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embeddings/oleObject2.bin" ContentType="application/vnd.openxmlformats-officedocument.oleObject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omments2.xml" ContentType="application/vnd.openxmlformats-officedocument.spreadsheetml.comments+xml"/>
  <Override PartName="/xl/drawings/drawing18.xml" ContentType="application/vnd.openxmlformats-officedocument.drawing+xml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drawings/drawing19.xml" ContentType="application/vnd.openxmlformats-officedocument.drawing+xml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/>
  <mc:AlternateContent xmlns:mc="http://schemas.openxmlformats.org/markup-compatibility/2006">
    <mc:Choice Requires="x15">
      <x15ac:absPath xmlns:x15ac="http://schemas.microsoft.com/office/spreadsheetml/2010/11/ac" url="D:\OneDrive - MSFT\Work\Elite MHE\"/>
    </mc:Choice>
  </mc:AlternateContent>
  <xr:revisionPtr revIDLastSave="0" documentId="13_ncr:1_{D26C1481-379D-4C86-9F58-661958679165}" xr6:coauthVersionLast="47" xr6:coauthVersionMax="47" xr10:uidLastSave="{00000000-0000-0000-0000-000000000000}"/>
  <bookViews>
    <workbookView xWindow="-98" yWindow="-98" windowWidth="24196" windowHeight="15196" tabRatio="909" activeTab="2" xr2:uid="{00000000-000D-0000-FFFF-FFFF00000000}"/>
  </bookViews>
  <sheets>
    <sheet name="E Data" sheetId="3" r:id="rId1"/>
    <sheet name="MH" sheetId="4" r:id="rId2"/>
    <sheet name="AH" sheetId="5" r:id="rId3"/>
    <sheet name="CT_HP" sheetId="6" r:id="rId4"/>
    <sheet name="CT_wh" sheetId="7" r:id="rId5"/>
    <sheet name="input" sheetId="12" state="hidden" r:id="rId6"/>
    <sheet name="Girder" sheetId="22" r:id="rId7"/>
    <sheet name="Selection" sheetId="10" r:id="rId8"/>
    <sheet name="LT_HP" sheetId="8" r:id="rId9"/>
    <sheet name="LT_wh" sheetId="9" r:id="rId10"/>
    <sheet name="Tech" sheetId="11" r:id="rId11"/>
    <sheet name="ESt" sheetId="13" r:id="rId12"/>
    <sheet name="E Paint" sheetId="14" state="hidden" r:id="rId13"/>
    <sheet name="E Motor &amp; Drive" sheetId="21" state="hidden" r:id="rId14"/>
    <sheet name="G CALCU" sheetId="23" state="hidden" r:id="rId15"/>
    <sheet name="G OUTPUT" sheetId="24" state="hidden" r:id="rId16"/>
    <sheet name="G Time" sheetId="25" r:id="rId17"/>
    <sheet name="G BUCKLING" sheetId="26" state="hidden" r:id="rId18"/>
    <sheet name="G DIAPHRAGM " sheetId="27" state="hidden" r:id="rId19"/>
    <sheet name="G SEISMIC-1893" sheetId="28" state="hidden" r:id="rId20"/>
    <sheet name="I_REVISED" sheetId="29" state="hidden" r:id="rId21"/>
    <sheet name="CRAB_WT" sheetId="30" state="hidden" r:id="rId22"/>
    <sheet name="Sheet1" sheetId="31" state="hidden" r:id="rId23"/>
    <sheet name="Gantry Girder_cal (2)" sheetId="32" state="hidden" r:id="rId24"/>
    <sheet name="prop+plate  (2)" sheetId="33" state="hidden" r:id="rId25"/>
    <sheet name="prop+plate " sheetId="34" state="hidden" r:id="rId26"/>
    <sheet name="sft" sheetId="35" state="hidden" r:id="rId27"/>
    <sheet name="npcil" sheetId="36" state="hidden" r:id="rId28"/>
    <sheet name="GEAR_COSTING" sheetId="37" state="hidden" r:id="rId29"/>
    <sheet name="GG_cal" sheetId="38" state="hidden" r:id="rId30"/>
    <sheet name="pp" sheetId="39" state="hidden" r:id="rId31"/>
    <sheet name="MTSHAFT" sheetId="40" state="hidden" r:id="rId32"/>
    <sheet name="Sheet2" sheetId="41" state="hidden" r:id="rId33"/>
    <sheet name="Sheet1 (2)" sheetId="42" state="hidden" r:id="rId34"/>
    <sheet name="E Gear B" sheetId="19" state="hidden" r:id="rId35"/>
    <sheet name="E CT_LT" sheetId="20" state="hidden" r:id="rId36"/>
    <sheet name="E Buffer" sheetId="15" state="hidden" r:id="rId37"/>
    <sheet name="E OUTPUT" sheetId="16" state="hidden" r:id="rId38"/>
    <sheet name="E CALCU" sheetId="17" state="hidden" r:id="rId39"/>
  </sheets>
  <externalReferences>
    <externalReference r:id="rId40"/>
  </externalReferences>
  <definedNames>
    <definedName name="_140.0.2.2_eotlive__pedestal_assy" localSheetId="33">#REF!</definedName>
    <definedName name="_140.0.2.2_eotlive__pedestal_assy">#REF!</definedName>
    <definedName name="_140.0.2.2_eotlive__pedestal_assy__1" localSheetId="33">#REF!</definedName>
    <definedName name="_140.0.2.2_eotlive__pedestal_assy__1">#REF!</definedName>
    <definedName name="_140.0.2.2_eotlive__pedestal_assy_1" localSheetId="33">#REF!</definedName>
    <definedName name="_140.0.2.2_eotlive__pedestal_assy_1">#REF!</definedName>
    <definedName name="_140.0.2.2_eotlive_barrel_malmedie_4">#REF!</definedName>
    <definedName name="_140.0.2.2_eotlive_barrel_malmedie_4_1">#REF!</definedName>
    <definedName name="_140.0.2.2_eotlive_barrel_malmedie_5">#REF!</definedName>
    <definedName name="_140.0.2.2_eotlive_barrel_malmedie_5_1">#REF!</definedName>
    <definedName name="_140.0.2.2_eotlive_brake">#REF!</definedName>
    <definedName name="_140.0.2.2_eotlive_casecarburise">#REF!</definedName>
    <definedName name="_140.0.2.2_eotlive_cdf_is3177">#REF!</definedName>
    <definedName name="_140.0.2.2_eotlive_cdf_is3177_1">#REF!</definedName>
    <definedName name="_140.0.2.2_eotlive_codeel">#REF!</definedName>
    <definedName name="_140.0.2.2_eotlive_codeel_1">#REF!</definedName>
    <definedName name="_140.0.2.2_eotlive_cr_is3443_1980">#REF!</definedName>
    <definedName name="_140.0.2.2_eotlive_cr_is3443_1980_1">#REF!</definedName>
    <definedName name="_140.0.2.2_eotlive_cr_is3443_1981">#REF!</definedName>
    <definedName name="_140.0.2.2_eotlive_cr_is3443_1981_1">#REF!</definedName>
    <definedName name="_140.0.2.2_eotlive_cr_is3443_1982">#REF!</definedName>
    <definedName name="_140.0.2.2_eotlive_cr_is3443_1983">#REF!</definedName>
    <definedName name="_140.0.2.2_eotlive_crqtable">#REF!</definedName>
    <definedName name="_140.0.2.2_eotlive_crqtable_1">#REF!</definedName>
    <definedName name="_140.0.2.2_eotlive_ct_driving_wheel_assembly_2">#REF!</definedName>
    <definedName name="_140.0.2.2_eotlive_ct_driving_wheel_assembly_2_1">#REF!</definedName>
    <definedName name="_140.0.2.2_eotlive_ct_driving_wheel_assembly_3">#REF!</definedName>
    <definedName name="_140.0.2.2_eotlive_ct_trailing_wheel_assembly">#REF!</definedName>
    <definedName name="_140.0.2.2_eotlive_ct_trailing_wheel_assembly_1">#REF!</definedName>
    <definedName name="_140.0.2.2_eotlive_customer_desc">#REF!</definedName>
    <definedName name="_140.0.2.2_eotlive_cycle">#REF!</definedName>
    <definedName name="_140.0.2.2_eotlive_cycle_1">#REF!</definedName>
    <definedName name="_140.0.2.2_eotlive_cycle_1_1">#REF!</definedName>
    <definedName name="_140.0.2.2_eotlive_cycle_2">#REF!</definedName>
    <definedName name="_140.0.2.2_eotlive_cycle_2_1">#REF!</definedName>
    <definedName name="_140.0.2.2_eotlive_dimmotor2">#REF!</definedName>
    <definedName name="_140.0.2.2_eotlive_dimmotor2_1">#REF!</definedName>
    <definedName name="_140.0.2.2_eotlive_dimmotor2_2">#REF!</definedName>
    <definedName name="_140.0.2.2_eotlive_dimmotor3">#REF!</definedName>
    <definedName name="_140.0.2.2_eotlive_dimmotor3_1">#REF!</definedName>
    <definedName name="_140.0.2.2_eotlive_dimmotor5">#REF!</definedName>
    <definedName name="_140.0.2.2_eotlive_dimmotor5_1">#REF!</definedName>
    <definedName name="_140.0.2.2_eotlive_dimmotor5_2">#REF!</definedName>
    <definedName name="_140.0.2.2_eotlive_drivetype_electrical">#REF!</definedName>
    <definedName name="_140.0.2.2_eotlive_drivetype_electrical_1">#REF!</definedName>
    <definedName name="_140.0.2.2_eotlive_drivetype_electrical_1_1">#REF!</definedName>
    <definedName name="_140.0.2.2_eotlive_drivetype_electrical_2">#REF!</definedName>
    <definedName name="_140.0.2.2_eotlive_drivetype_electrical_2_1">#REF!</definedName>
    <definedName name="_140.0.2.2_eotlive_duty_is3177">#REF!</definedName>
    <definedName name="_140.0.2.2_eotlive_duty_is3177_1">#REF!</definedName>
    <definedName name="_140.0.2.2_eotlive_duty_is3177_1_1">#REF!</definedName>
    <definedName name="_140.0.2.2_eotlive_fem_dutyfactor">#REF!</definedName>
    <definedName name="_140.0.2.2_eotlive_fem_dutyfactor_1">#REF!</definedName>
    <definedName name="_140.0.2.2_eotlive_hookblock_1">#REF!</definedName>
    <definedName name="_140.0.2.2_eotlive_hookblock_1_1">#REF!</definedName>
    <definedName name="_140.0.2.2_eotlive_hookblock_2">#REF!</definedName>
    <definedName name="_140.0.2.2_eotlive_hookblock_3">#REF!</definedName>
    <definedName name="_140.0.2.2_eotlive_htec_2">#REF!</definedName>
    <definedName name="_140.0.2.2_eotlive_htec_2_1">#REF!</definedName>
    <definedName name="_140.0.2.2_eotlive_htec_3">#REF!</definedName>
    <definedName name="_140.0.2.2_eotlive_htec_3_1">#REF!</definedName>
    <definedName name="_140.0.2.2_eotlive_is_1024">#REF!</definedName>
    <definedName name="_140.0.2.2_eotlive_is_1024_1">#REF!</definedName>
    <definedName name="_140.0.2.2_eotlive_is_1025">#REF!</definedName>
    <definedName name="_140.0.2.2_eotlive_lt_brake_drum">#REF!</definedName>
    <definedName name="_140.0.2.2_eotlive_lt_brake_drum_1">#REF!</definedName>
    <definedName name="_140.0.2.2_eotlive_lt_driving_wheel_assembly">#REF!</definedName>
    <definedName name="_140.0.2.2_eotlive_lt_driving_wheel_assembly_1">#REF!</definedName>
    <definedName name="_140.0.2.2_eotlive_lt_motor1">#REF!</definedName>
    <definedName name="_140.0.2.2_eotlive_lt_motor1_1">#REF!</definedName>
    <definedName name="_140.0.2.2_eotlive_lt_motor2">#REF!</definedName>
    <definedName name="_140.0.2.2_eotlive_lt_motor2_1">#REF!</definedName>
    <definedName name="_140.0.2.2_eotlive_lt_trailing_wheel_assembly">#REF!</definedName>
    <definedName name="_140.0.2.2_eotlive_lt_trailing_wheel_assembly_1">#REF!</definedName>
    <definedName name="_140.0.2.2_eotlive_lt_trailing_wheel_assembly_1_1">#REF!</definedName>
    <definedName name="_140.0.2.2_eotlive_lt_trailing_wheel_assembly_2">#REF!</definedName>
    <definedName name="_140.0.2.2_eotlive_lt_trailing_wheel_assembly_2_1">#REF!</definedName>
    <definedName name="_140.0.2.2_eotlive_lt_trailing_wheel_assembly_3">#REF!</definedName>
    <definedName name="_140.0.2.2_eotlive_mi">#REF!</definedName>
    <definedName name="_140.0.2.2_eotlive_mi_1">#REF!</definedName>
    <definedName name="_140.0.2.2_eotlive_mi_1_1">#REF!</definedName>
    <definedName name="_140.0.2.2_eotlive_motormake">#REF!</definedName>
    <definedName name="_140.0.2.2_eotlive_motormake_1">#REF!</definedName>
    <definedName name="_140.0.2.2_eotlive_mounting">#REF!</definedName>
    <definedName name="_140.0.2.2_eotlive_mounting_1">#REF!</definedName>
    <definedName name="_140.0.2.2_eotlive_mounting_1_1">#REF!</definedName>
    <definedName name="_140.0.2.2_eotlive_nobb">#REF!</definedName>
    <definedName name="_140.0.2.2_eotlive_nobb_1">#REF!</definedName>
    <definedName name="_140.0.2.2_eotlive_panel">#REF!</definedName>
    <definedName name="_140.0.2.2_eotlive_panel_1">#REF!</definedName>
    <definedName name="_140.0.2.2_eotlive_rope_anchor">#REF!</definedName>
    <definedName name="_140.0.2.2_eotlive_rope_anchor_1">#REF!</definedName>
    <definedName name="_140.0.2.2_eotlive_sewdrive">#REF!</definedName>
    <definedName name="_140.0.2.2_eotlive_sewdrive_1">#REF!</definedName>
    <definedName name="_140.0.2.2_eotlive_speedfactor_fem">#REF!</definedName>
    <definedName name="_140.0.2.2_eotlive_speedfactor_fem_1">#REF!</definedName>
    <definedName name="_140.0.2.2_eotlive_ss">#REF!</definedName>
    <definedName name="_140.0.2.2_eotlive_ss_1">#REF!</definedName>
    <definedName name="_140.0.2.2_eotlive_strk1k2">#REF!</definedName>
    <definedName name="_140.0.2.2_eotlive_strk1k2_1">#REF!</definedName>
    <definedName name="_140.0.2.2_eotlive_strk1k2_1_1">#REF!</definedName>
    <definedName name="_140.0.2.2_eotlive_struct">#REF!</definedName>
    <definedName name="_140.0.2.2_eotlive_struct_1">#REF!</definedName>
    <definedName name="_140.0.2.2_eotlive_struct_ft">#REF!</definedName>
    <definedName name="_140.0.2.2_eotlive_struct_ft_1">#REF!</definedName>
    <definedName name="_140.0.2.2_eotlive_struct_ft_1_1">#REF!</definedName>
    <definedName name="_140.0.2.2_eotlive_stub_shaft">#REF!</definedName>
    <definedName name="_140.0.2.2_eotlive_stub_shaft_1">#REF!</definedName>
    <definedName name="_140.0.2.2_eotlive_tbldesc">#REF!</definedName>
    <definedName name="_140.0.2.2_eotlive_tbleql_bar">#REF!</definedName>
    <definedName name="_140.0.2.2_eotlive_tbleql_bar_1">#REF!</definedName>
    <definedName name="_140.0.2.2_eotlive_tbleql_sheave">#REF!</definedName>
    <definedName name="_140.0.2.2_eotlive_tbleql_sheave_1">#REF!</definedName>
    <definedName name="_140.0.2.2_eotlive_tbleql_sheave_1_1">#REF!</definedName>
    <definedName name="_140.0.2.2_eotlive_tbleql_sheave_2">#REF!</definedName>
    <definedName name="_140.0.2.2_eotlive_tbljackcapacity">#REF!</definedName>
    <definedName name="_140.0.2.2_eotlive_tbljackcapacity_1">#REF!</definedName>
    <definedName name="_140.0.2.2_eotlive_tbljackcapacity_1_1">#REF!</definedName>
    <definedName name="_140.0.2.2_eotlive_tbllogin">#REF!</definedName>
    <definedName name="_140.0.2.2_eotlive_tbllogin_1">#REF!</definedName>
    <definedName name="_140.0.2.2_eotlive_tbllogin_1_1">#REF!</definedName>
    <definedName name="_140.0.2.2_eotlive_tblspringbuffer">#REF!</definedName>
    <definedName name="_140.0.2.2_eotlive_tblspringbuffer_1">#REF!</definedName>
    <definedName name="_140.0.2.2_eotlive_tbltopsheavediawt">#REF!</definedName>
    <definedName name="_140.0.2.2_eotlive_tbltopsheavediawt_1">#REF!</definedName>
    <definedName name="_140.0.2.2_eotlive_tbltopsheavediawt_1_1">#REF!</definedName>
    <definedName name="_140.0.2.2_eotlive_tbltopsheavediawt_2">#REF!</definedName>
    <definedName name="_140.0.2.2_eotlive_tmpcorfct">#REF!</definedName>
    <definedName name="_140.0.2.2_eotlive_tmpcorfct_1">#REF!</definedName>
    <definedName name="_140.0.2.2_eotlive_travel_drive_ratio">#REF!</definedName>
    <definedName name="_140.0.2.2_eotlive_travel_drive_ratio_1">#REF!</definedName>
    <definedName name="_140.0.2.2_eotlive_travel_drive_ratio_1_1">#REF!</definedName>
    <definedName name="_140.0.2.2_eotlive_travel_drive_ratio_2">#REF!</definedName>
    <definedName name="_140.0.2.2_eotlive_volumehardened">#REF!</definedName>
    <definedName name="_140.0.2.2_eotlive_volumehardened_1">#REF!</definedName>
    <definedName name="_140.0.2.2_eotlive_webstiffner">#REF!</definedName>
    <definedName name="_140.0.2.2_eotlive_webstiffner_1">#REF!</definedName>
    <definedName name="_140.0.2.2_eotlive_wheel_size">#REF!</definedName>
    <definedName name="_140.0.2.2_eotlive_wheel_size_1">#REF!</definedName>
    <definedName name="_140.0.2.2_eotlive_wheel_size_1_1">#REF!</definedName>
    <definedName name="_140.0.2.2_eotlive_wtbb_1">#REF!</definedName>
    <definedName name="_140.0.2.2_eotlive_wtbb_1_1">#REF!</definedName>
    <definedName name="array">MH!$AA$106</definedName>
    <definedName name="Ax">#REF!</definedName>
    <definedName name="Ax_1">#REF!</definedName>
    <definedName name="beams">#REF!</definedName>
    <definedName name="BFt">#REF!</definedName>
    <definedName name="BFt_1">#REF!</definedName>
    <definedName name="BFw">#REF!</definedName>
    <definedName name="BFw_1">#REF!</definedName>
    <definedName name="CSa_1">#REF!</definedName>
    <definedName name="CSa_1_1">#REF!</definedName>
    <definedName name="CSa_2">#REF!</definedName>
    <definedName name="CSa_2_1">#REF!</definedName>
    <definedName name="D_1">#REF!</definedName>
    <definedName name="D_1_1">#REF!</definedName>
    <definedName name="DF">#REF!</definedName>
    <definedName name="DF_1">#REF!</definedName>
    <definedName name="Duty">#REF!</definedName>
    <definedName name="Duty_Class">#REF!</definedName>
    <definedName name="Duty_Class_1">#REF!</definedName>
    <definedName name="Excel_BuiltIn__FilterDatabase">#REF!</definedName>
    <definedName name="Excel_BuiltIn__FilterDatabase_1">#REF!</definedName>
    <definedName name="Excel_BuiltIn__FilterDatabase_2">#REF!</definedName>
    <definedName name="Excel_BuiltIn__FilterDatabase_3">#REF!</definedName>
    <definedName name="Excel_BuiltIn_Print_Area_1_1">#REF!</definedName>
    <definedName name="Excel_BuiltIn_Print_Area_2">#REF!</definedName>
    <definedName name="Excel_BuiltIn_Print_Area_3">#REF!</definedName>
    <definedName name="Excel_BuiltIn_Print_Area_4">#REF!</definedName>
    <definedName name="Fy" localSheetId="33">[1]comp!$O$60</definedName>
    <definedName name="Fy">[1]comp!$O$60</definedName>
    <definedName name="Fy_1" localSheetId="18">#REF!</definedName>
    <definedName name="Fy_1" localSheetId="33">#REF!</definedName>
    <definedName name="Fy_1">#REF!</definedName>
    <definedName name="HAP" localSheetId="18">#REF!</definedName>
    <definedName name="HAP">#REF!</definedName>
    <definedName name="HAP_1" localSheetId="18">#REF!</definedName>
    <definedName name="HAP_1">#REF!</definedName>
    <definedName name="HAP_2">#REF!</definedName>
    <definedName name="Hd">#REF!</definedName>
    <definedName name="Hd_1">#REF!</definedName>
    <definedName name="Hd_2">#REF!</definedName>
    <definedName name="HF">#REF!</definedName>
    <definedName name="HF_1">#REF!</definedName>
    <definedName name="HF_2">#REF!</definedName>
    <definedName name="IF">#REF!</definedName>
    <definedName name="IF_1">#REF!</definedName>
    <definedName name="IF_2">#REF!</definedName>
    <definedName name="Impact_Factor">#REF!</definedName>
    <definedName name="IWt">#REF!</definedName>
    <definedName name="IWt_1">#REF!</definedName>
    <definedName name="Ixx">#REF!</definedName>
    <definedName name="Ixx_1">#REF!</definedName>
    <definedName name="Ixx_w">#REF!</definedName>
    <definedName name="Ixx_w_1">#REF!</definedName>
    <definedName name="Iyy">#REF!</definedName>
    <definedName name="Iyy_1">#REF!</definedName>
    <definedName name="Iyy_w">#REF!</definedName>
    <definedName name="Iyy_w_1">#REF!</definedName>
    <definedName name="LL">#REF!</definedName>
    <definedName name="LL_1">#REF!</definedName>
    <definedName name="LL_2">#REF!</definedName>
    <definedName name="M_1">#REF!</definedName>
    <definedName name="M_1_1">#REF!</definedName>
    <definedName name="M_1_2">#REF!</definedName>
    <definedName name="M_10">#REF!</definedName>
    <definedName name="M_10_1">#REF!</definedName>
    <definedName name="M_10_2">#REF!</definedName>
    <definedName name="M_11">#REF!</definedName>
    <definedName name="M_11_1">#REF!</definedName>
    <definedName name="M_11_2">#REF!</definedName>
    <definedName name="M_12">#REF!</definedName>
    <definedName name="M_12_1">#REF!</definedName>
    <definedName name="M_12_2">#REF!</definedName>
    <definedName name="M_13">#REF!</definedName>
    <definedName name="M_13_1">#REF!</definedName>
    <definedName name="M_13_2">#REF!</definedName>
    <definedName name="M_2">#REF!</definedName>
    <definedName name="M_2_1">#REF!</definedName>
    <definedName name="M_2_2">#REF!</definedName>
    <definedName name="M_3">#REF!</definedName>
    <definedName name="M_3_1">#REF!</definedName>
    <definedName name="M_3_2">#REF!</definedName>
    <definedName name="M_4">#REF!</definedName>
    <definedName name="M_4_1">#REF!</definedName>
    <definedName name="M_4_2">#REF!</definedName>
    <definedName name="M_5">#REF!</definedName>
    <definedName name="M_5_1">#REF!</definedName>
    <definedName name="M_5_2">#REF!</definedName>
    <definedName name="M_6">#REF!</definedName>
    <definedName name="M_6_1">#REF!</definedName>
    <definedName name="M_6_2">#REF!</definedName>
    <definedName name="M_7">#REF!</definedName>
    <definedName name="M_7_1">#REF!</definedName>
    <definedName name="M_7_2">#REF!</definedName>
    <definedName name="M_8">#REF!</definedName>
    <definedName name="M_8_1">#REF!</definedName>
    <definedName name="M_8_2">#REF!</definedName>
    <definedName name="M_9">#REF!</definedName>
    <definedName name="M_9_1">#REF!</definedName>
    <definedName name="M_9_2">#REF!</definedName>
    <definedName name="Nct">#REF!</definedName>
    <definedName name="Nct_1">#REF!</definedName>
    <definedName name="Nct_2">#REF!</definedName>
    <definedName name="Nlt">#REF!</definedName>
    <definedName name="Nlt_1">#REF!</definedName>
    <definedName name="Nlt_2">#REF!</definedName>
    <definedName name="OWt">#REF!</definedName>
    <definedName name="OWt_1">#REF!</definedName>
    <definedName name="_xlnm.Print_Area" localSheetId="2">AH!$A$1:K295</definedName>
    <definedName name="_xlnm.Print_Area" localSheetId="3">CT_HP!$A$1:$J$58</definedName>
    <definedName name="_xlnm.Print_Area" localSheetId="4">CT_wh!$A$1:$J$50</definedName>
    <definedName name="_xlnm.Print_Area" localSheetId="36">'E Buffer'!$A$1:I65</definedName>
    <definedName name="_xlnm.Print_Area" localSheetId="0">'E Data'!$A$1:$I$50</definedName>
    <definedName name="_xlnm.Print_Area" localSheetId="12">'E Paint'!$A$1:$E$75</definedName>
    <definedName name="_xlnm.Print_Area" localSheetId="11">ESt!$A$1:$K$201</definedName>
    <definedName name="_xlnm.Print_Area" localSheetId="17">'G BUCKLING'!$A$1:K347</definedName>
    <definedName name="_xlnm.Print_Area" localSheetId="14">'G CALCU'!$A$1:K386</definedName>
    <definedName name="_xlnm.Print_Area" localSheetId="18">'G DIAPHRAGM '!$A$1:T147</definedName>
    <definedName name="_xlnm.Print_Area" localSheetId="15">'G OUTPUT'!$A$1:J306</definedName>
    <definedName name="_xlnm.Print_Area" localSheetId="16">'G Time'!$A$1:J62</definedName>
    <definedName name="_xlnm.Print_Area" localSheetId="6">Girder!$A$1:Q53</definedName>
    <definedName name="_xlnm.Print_Area" localSheetId="5">input!$A$1:$K$54</definedName>
    <definedName name="_xlnm.Print_Area" localSheetId="8">LT_HP!$A$1:$J$62</definedName>
    <definedName name="_xlnm.Print_Area" localSheetId="9">LT_wh!$A$1:$J$54</definedName>
    <definedName name="_xlnm.Print_Area" localSheetId="1">MH!$A$1:K295</definedName>
    <definedName name="_xlnm.Print_Area" localSheetId="7">Selection!$A$1:F50</definedName>
    <definedName name="_xlnm.Print_Area" localSheetId="10">Tech!$A$1:$H$108</definedName>
    <definedName name="_xlnm.Print_Titles" localSheetId="12">'E Paint'!$1:$2</definedName>
    <definedName name="rail_type" localSheetId="18">#REF!</definedName>
    <definedName name="rail_type" localSheetId="33">#REF!</definedName>
    <definedName name="rail_type">#REF!</definedName>
    <definedName name="rail_type_1" localSheetId="18">#REF!</definedName>
    <definedName name="rail_type_1">#REF!</definedName>
    <definedName name="S" localSheetId="18">#REF!</definedName>
    <definedName name="S">#REF!</definedName>
    <definedName name="S_1">#REF!</definedName>
    <definedName name="T" localSheetId="33">[1]comp!$R$57</definedName>
    <definedName name="T">[1]comp!$R$57</definedName>
    <definedName name="T_1" localSheetId="18">#REF!</definedName>
    <definedName name="T_1" localSheetId="33">#REF!</definedName>
    <definedName name="T_1">#REF!</definedName>
    <definedName name="Tb" localSheetId="18">#REF!</definedName>
    <definedName name="Tb">#REF!</definedName>
    <definedName name="Tb_1" localSheetId="18">#REF!</definedName>
    <definedName name="Tb_1">#REF!</definedName>
    <definedName name="Tb_2">#REF!</definedName>
    <definedName name="Text1">#REF!</definedName>
    <definedName name="TFt">#REF!</definedName>
    <definedName name="TFt_1">#REF!</definedName>
    <definedName name="TFw">#REF!</definedName>
    <definedName name="TFw_1">#REF!</definedName>
    <definedName name="Tg">#REF!</definedName>
    <definedName name="Tg_1">#REF!</definedName>
    <definedName name="Tg_2">#REF!</definedName>
    <definedName name="TWd">#REF!</definedName>
    <definedName name="TWd_1">#REF!</definedName>
    <definedName name="TWt">#REF!</definedName>
    <definedName name="TWt_1">#REF!</definedName>
    <definedName name="Wc">#REF!</definedName>
    <definedName name="Wc_1">#REF!</definedName>
    <definedName name="Wcr">#REF!</definedName>
    <definedName name="Wcr_1">#REF!</definedName>
    <definedName name="Wcr_2">#REF!</definedName>
    <definedName name="Wd">#REF!</definedName>
    <definedName name="Wd_1">#REF!</definedName>
    <definedName name="We">#REF!</definedName>
    <definedName name="We_1">#REF!</definedName>
    <definedName name="We_2">#REF!</definedName>
    <definedName name="web_stiffener">#REF!</definedName>
    <definedName name="web_stiffener_1">#REF!</definedName>
    <definedName name="Wg">#REF!</definedName>
    <definedName name="Wg_1">#REF!</definedName>
    <definedName name="Wg_2">#REF!</definedName>
    <definedName name="WGB">#REF!</definedName>
    <definedName name="WGB_1">#REF!</definedName>
    <definedName name="WGB_2">#REF!</definedName>
    <definedName name="Wh">#REF!</definedName>
    <definedName name="Wh_1">#REF!</definedName>
    <definedName name="Wh_2">#REF!</definedName>
    <definedName name="Wlt">#REF!</definedName>
    <definedName name="Wlt_1">#REF!</definedName>
    <definedName name="Wlt_2">#REF!</definedName>
    <definedName name="Wp">#REF!</definedName>
    <definedName name="Wp_1">#REF!</definedName>
    <definedName name="Wp_2">#REF!</definedName>
    <definedName name="Wt">#REF!</definedName>
    <definedName name="Wt_1">#REF!</definedName>
    <definedName name="Wt_2">#REF!</definedName>
    <definedName name="x_1">#REF!</definedName>
    <definedName name="x_1_1">#REF!</definedName>
    <definedName name="x_2">#REF!</definedName>
    <definedName name="x_2_1">#REF!</definedName>
    <definedName name="x_3">#REF!</definedName>
    <definedName name="x_3_1">#REF!</definedName>
    <definedName name="x_4">#REF!</definedName>
    <definedName name="x_4_1">#REF!</definedName>
    <definedName name="xb">#REF!</definedName>
    <definedName name="xb_1">#REF!</definedName>
    <definedName name="xt_1">#REF!</definedName>
    <definedName name="xt_1_1">#REF!</definedName>
    <definedName name="xt_2">#REF!</definedName>
    <definedName name="xt_2_1">#REF!</definedName>
    <definedName name="y_1">#REF!</definedName>
    <definedName name="y_1_1">#REF!</definedName>
    <definedName name="y_2">#REF!</definedName>
    <definedName name="y_2_1">#REF!</definedName>
    <definedName name="Z_28937D02_D309_11D8_8D2C_0050BAB0FA7F_.wvu.PrintArea" localSheetId="6" hidden="1">Girder!$A$1:$K$53</definedName>
    <definedName name="Z_3324CEA3_3AB1_11D8_83CD_0040056DFAA1_.wvu.Cols" localSheetId="6" hidden="1">Girder!$L:$U</definedName>
    <definedName name="Z_3B7F9976_3AE0_49ED_970D_B17CF7955DF9_.wvu.PrintArea" localSheetId="6" hidden="1">Girder!$A$1:$K$53</definedName>
    <definedName name="Z_4380B4D3_8502_4B6C_8190_DF77FC929381_.wvu.PrintArea" localSheetId="6" hidden="1">Girder!$A$1:$K$53</definedName>
    <definedName name="Z_590F9BE5_E789_4C13_B811_5598342C8153_.wvu.PrintArea" localSheetId="6" hidden="1">Girder!$A$1:$K$53</definedName>
    <definedName name="Z_65870CB0_8BB9_4C31_99EB_378196BF39CF_.wvu.PrintArea" localSheetId="6" hidden="1">Girder!$A$1:$K$53</definedName>
    <definedName name="Z_8B372B77_BB18_4D1A_858D_50CA316558FE_.wvu.PrintArea" localSheetId="14" hidden="1">'G CALCU'!$A$1:$K$292</definedName>
    <definedName name="Z_8B372B77_BB18_4D1A_858D_50CA316558FE_.wvu.PrintArea" localSheetId="6" hidden="1">Girder!$A$1:$K$53</definedName>
    <definedName name="Z_8B372B77_BB18_4D1A_858D_50CA316558FE_.wvu.Rows" localSheetId="6" hidden="1">Girder!$66:$68</definedName>
    <definedName name="Z_E35EE270_7E8B_4DF9_962D_48FBD9063A80_.wvu.PrintArea" localSheetId="6" hidden="1">Girder!$A$1:$K$53</definedName>
    <definedName name="ZxxA" localSheetId="33">#REF!</definedName>
    <definedName name="ZxxA">#REF!</definedName>
    <definedName name="ZxxA_1" localSheetId="33">#REF!</definedName>
    <definedName name="ZxxA_1">#REF!</definedName>
    <definedName name="ZxxA_2" localSheetId="33">#REF!</definedName>
    <definedName name="ZxxA_2">#REF!</definedName>
    <definedName name="ZxxB">#REF!</definedName>
    <definedName name="ZxxB_1">#REF!</definedName>
    <definedName name="ZxxB_2">#REF!</definedName>
    <definedName name="ZxxC">#REF!</definedName>
    <definedName name="ZxxC_1">#REF!</definedName>
    <definedName name="ZxxD">#REF!</definedName>
    <definedName name="ZxxD_1">#REF!</definedName>
    <definedName name="ZxxD_2">#REF!</definedName>
    <definedName name="ZyyA">#REF!</definedName>
    <definedName name="ZyyA_1">#REF!</definedName>
    <definedName name="ZyyA_2">#REF!</definedName>
    <definedName name="ZyyB">#REF!</definedName>
    <definedName name="ZyyB_1">#REF!</definedName>
    <definedName name="ZyyB_2">#REF!</definedName>
    <definedName name="ZyyC">#REF!</definedName>
    <definedName name="ZyyC_1">#REF!</definedName>
    <definedName name="ZyyC_2">#REF!</definedName>
    <definedName name="ZyyD">#REF!</definedName>
    <definedName name="ZyyD_1">#REF!</definedName>
    <definedName name="ZyyD_2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3" l="1"/>
  <c r="E117" i="13"/>
  <c r="J63" i="11" l="1"/>
  <c r="C23" i="13" l="1"/>
  <c r="T41" i="9" l="1"/>
  <c r="P39" i="6"/>
  <c r="R30" i="5"/>
  <c r="I20" i="9"/>
  <c r="I16" i="7"/>
  <c r="I40" i="9"/>
  <c r="I36" i="7"/>
  <c r="N191" i="4"/>
  <c r="E66" i="3"/>
  <c r="E65" i="3"/>
  <c r="G16" i="13"/>
  <c r="G15" i="13"/>
  <c r="G14" i="13"/>
  <c r="D15" i="13"/>
  <c r="D14" i="13"/>
  <c r="D9" i="42" l="1"/>
  <c r="D7" i="42"/>
  <c r="D5" i="42"/>
  <c r="D3" i="42"/>
  <c r="D2" i="42"/>
  <c r="E18" i="41"/>
  <c r="D18" i="41"/>
  <c r="C18" i="41"/>
  <c r="B18" i="41"/>
  <c r="E17" i="41"/>
  <c r="D17" i="41"/>
  <c r="C17" i="41"/>
  <c r="B17" i="41"/>
  <c r="E16" i="41"/>
  <c r="D16" i="41"/>
  <c r="C16" i="41"/>
  <c r="B16" i="41"/>
  <c r="B15" i="41"/>
  <c r="E13" i="41"/>
  <c r="D13" i="41"/>
  <c r="C13" i="41"/>
  <c r="B13" i="41"/>
  <c r="E12" i="41"/>
  <c r="D12" i="41"/>
  <c r="C12" i="41"/>
  <c r="B12" i="41"/>
  <c r="E11" i="41"/>
  <c r="D11" i="41"/>
  <c r="C11" i="41"/>
  <c r="B11" i="41"/>
  <c r="B10" i="41"/>
  <c r="C2" i="41"/>
  <c r="B2" i="41"/>
  <c r="B20" i="39"/>
  <c r="B16" i="39"/>
  <c r="B14" i="39"/>
  <c r="J10" i="39"/>
  <c r="I10" i="39"/>
  <c r="H10" i="39"/>
  <c r="G10" i="39"/>
  <c r="B24" i="39" s="1"/>
  <c r="D11" i="38" s="1"/>
  <c r="F10" i="39"/>
  <c r="E10" i="39"/>
  <c r="C10" i="39"/>
  <c r="B23" i="39" s="1"/>
  <c r="J9" i="39"/>
  <c r="B21" i="39" s="1"/>
  <c r="B22" i="39" s="1"/>
  <c r="I9" i="39"/>
  <c r="I8" i="39"/>
  <c r="B12" i="39" s="1"/>
  <c r="B13" i="39" s="1"/>
  <c r="H8" i="39"/>
  <c r="C1" i="39"/>
  <c r="D19" i="38"/>
  <c r="D18" i="38"/>
  <c r="H10" i="38"/>
  <c r="D3" i="38"/>
  <c r="D17" i="38" s="1"/>
  <c r="E39" i="37"/>
  <c r="D38" i="37"/>
  <c r="C38" i="37"/>
  <c r="E38" i="37" s="1"/>
  <c r="H35" i="37"/>
  <c r="G35" i="37"/>
  <c r="D35" i="37"/>
  <c r="C35" i="37"/>
  <c r="E35" i="37" s="1"/>
  <c r="E36" i="37" s="1"/>
  <c r="H34" i="37"/>
  <c r="I34" i="37" s="1"/>
  <c r="G34" i="37"/>
  <c r="E34" i="37"/>
  <c r="D34" i="37"/>
  <c r="C34" i="37"/>
  <c r="H33" i="37"/>
  <c r="G33" i="37"/>
  <c r="I33" i="37" s="1"/>
  <c r="D33" i="37"/>
  <c r="C33" i="37"/>
  <c r="E33" i="37" s="1"/>
  <c r="C24" i="37"/>
  <c r="E24" i="37" s="1"/>
  <c r="E23" i="37"/>
  <c r="I20" i="37"/>
  <c r="E20" i="37"/>
  <c r="E21" i="37" s="1"/>
  <c r="I19" i="37"/>
  <c r="E19" i="37"/>
  <c r="I18" i="37"/>
  <c r="E18" i="37"/>
  <c r="E11" i="37"/>
  <c r="D11" i="37"/>
  <c r="C11" i="37"/>
  <c r="D10" i="37"/>
  <c r="C10" i="37"/>
  <c r="I7" i="37"/>
  <c r="H7" i="37"/>
  <c r="G7" i="37"/>
  <c r="D7" i="37"/>
  <c r="C7" i="37"/>
  <c r="E7" i="37" s="1"/>
  <c r="H6" i="37"/>
  <c r="G6" i="37"/>
  <c r="I6" i="37" s="1"/>
  <c r="D6" i="37"/>
  <c r="E6" i="37" s="1"/>
  <c r="C6" i="37"/>
  <c r="I5" i="37"/>
  <c r="H5" i="37"/>
  <c r="G5" i="37"/>
  <c r="D5" i="37"/>
  <c r="C5" i="37"/>
  <c r="E5" i="37" s="1"/>
  <c r="D54" i="36"/>
  <c r="D48" i="36"/>
  <c r="D42" i="36"/>
  <c r="D28" i="36"/>
  <c r="D33" i="36" s="1"/>
  <c r="D61" i="36" s="1"/>
  <c r="H12" i="36"/>
  <c r="G6" i="35"/>
  <c r="C5" i="35"/>
  <c r="G4" i="35"/>
  <c r="B23" i="34"/>
  <c r="B20" i="34"/>
  <c r="B14" i="34"/>
  <c r="J10" i="34"/>
  <c r="I10" i="34"/>
  <c r="H10" i="34"/>
  <c r="G10" i="34"/>
  <c r="B24" i="34" s="1"/>
  <c r="F10" i="34"/>
  <c r="B16" i="34" s="1"/>
  <c r="B25" i="34" s="1"/>
  <c r="E10" i="34"/>
  <c r="C10" i="34"/>
  <c r="J9" i="34"/>
  <c r="B21" i="34" s="1"/>
  <c r="I9" i="34"/>
  <c r="I8" i="34"/>
  <c r="B12" i="34" s="1"/>
  <c r="B13" i="34" s="1"/>
  <c r="H8" i="34"/>
  <c r="B21" i="33"/>
  <c r="B20" i="33"/>
  <c r="B22" i="33" s="1"/>
  <c r="B14" i="33"/>
  <c r="J10" i="33"/>
  <c r="H10" i="33"/>
  <c r="I10" i="33" s="1"/>
  <c r="F10" i="33"/>
  <c r="B16" i="33" s="1"/>
  <c r="B19" i="33" s="1"/>
  <c r="E10" i="33"/>
  <c r="C10" i="33"/>
  <c r="J9" i="33"/>
  <c r="I9" i="33"/>
  <c r="I8" i="33"/>
  <c r="H8" i="33"/>
  <c r="C23" i="32"/>
  <c r="D19" i="32"/>
  <c r="D18" i="32"/>
  <c r="C25" i="32" s="1"/>
  <c r="D17" i="32"/>
  <c r="C24" i="32" s="1"/>
  <c r="D16" i="32"/>
  <c r="F23" i="31"/>
  <c r="B23" i="31"/>
  <c r="F22" i="31"/>
  <c r="B22" i="31"/>
  <c r="F21" i="31"/>
  <c r="B21" i="31"/>
  <c r="F20" i="31"/>
  <c r="F26" i="31" s="1"/>
  <c r="B20" i="31"/>
  <c r="B26" i="31" s="1"/>
  <c r="D18" i="31"/>
  <c r="D17" i="31"/>
  <c r="E18" i="31" s="1"/>
  <c r="B17" i="31"/>
  <c r="A22" i="30"/>
  <c r="B22" i="30" s="1"/>
  <c r="E22" i="29"/>
  <c r="D16" i="29"/>
  <c r="D15" i="29"/>
  <c r="C21" i="29" s="1"/>
  <c r="D14" i="29"/>
  <c r="C22" i="29" s="1"/>
  <c r="L22" i="28"/>
  <c r="D3" i="28" s="1"/>
  <c r="L13" i="28"/>
  <c r="D2" i="28" s="1"/>
  <c r="L8" i="28"/>
  <c r="D174" i="27"/>
  <c r="C159" i="27"/>
  <c r="J123" i="27"/>
  <c r="X113" i="27"/>
  <c r="AA126" i="27" s="1"/>
  <c r="X111" i="27"/>
  <c r="O50" i="22" s="1"/>
  <c r="V93" i="27"/>
  <c r="D91" i="27"/>
  <c r="D92" i="27" s="1"/>
  <c r="J87" i="27"/>
  <c r="T86" i="27"/>
  <c r="Y27" i="27" s="1"/>
  <c r="E78" i="27"/>
  <c r="F51" i="27"/>
  <c r="J110" i="27" s="1"/>
  <c r="F110" i="27" s="1"/>
  <c r="F50" i="27"/>
  <c r="C38" i="27"/>
  <c r="C37" i="27"/>
  <c r="Y26" i="27"/>
  <c r="Y25" i="27"/>
  <c r="C25" i="27"/>
  <c r="Y24" i="27"/>
  <c r="C24" i="27"/>
  <c r="C26" i="27" s="1"/>
  <c r="F31" i="27" s="1"/>
  <c r="Y23" i="27"/>
  <c r="Y22" i="27"/>
  <c r="Y21" i="27"/>
  <c r="Y20" i="27"/>
  <c r="Y19" i="27"/>
  <c r="Y18" i="27"/>
  <c r="Y17" i="27"/>
  <c r="Y16" i="27"/>
  <c r="C339" i="26"/>
  <c r="L311" i="26"/>
  <c r="D302" i="26"/>
  <c r="C286" i="26"/>
  <c r="F273" i="26"/>
  <c r="C206" i="26"/>
  <c r="F193" i="26"/>
  <c r="F109" i="26"/>
  <c r="D98" i="26"/>
  <c r="C92" i="26"/>
  <c r="D115" i="26" s="1"/>
  <c r="O82" i="26"/>
  <c r="O81" i="26"/>
  <c r="I81" i="26"/>
  <c r="P79" i="26"/>
  <c r="C81" i="26" s="1"/>
  <c r="O79" i="26"/>
  <c r="R78" i="26"/>
  <c r="O78" i="26"/>
  <c r="S76" i="26"/>
  <c r="R76" i="26"/>
  <c r="Q76" i="26"/>
  <c r="P76" i="26"/>
  <c r="S75" i="26"/>
  <c r="R75" i="26"/>
  <c r="Q75" i="26"/>
  <c r="P75" i="26"/>
  <c r="S74" i="26"/>
  <c r="R74" i="26"/>
  <c r="Q74" i="26"/>
  <c r="P74" i="26"/>
  <c r="S73" i="26"/>
  <c r="R73" i="26"/>
  <c r="Q73" i="26"/>
  <c r="P73" i="26"/>
  <c r="S72" i="26"/>
  <c r="R72" i="26"/>
  <c r="Q72" i="26"/>
  <c r="P72" i="26"/>
  <c r="S71" i="26"/>
  <c r="R71" i="26"/>
  <c r="Q71" i="26"/>
  <c r="P71" i="26"/>
  <c r="S70" i="26"/>
  <c r="S78" i="26" s="1"/>
  <c r="J62" i="26" s="1"/>
  <c r="R70" i="26"/>
  <c r="Q70" i="26"/>
  <c r="Q78" i="26" s="1"/>
  <c r="C63" i="26" s="1"/>
  <c r="P70" i="26"/>
  <c r="P78" i="26" s="1"/>
  <c r="C62" i="26" s="1"/>
  <c r="S69" i="26"/>
  <c r="R69" i="26"/>
  <c r="Q69" i="26"/>
  <c r="P69" i="26"/>
  <c r="S68" i="26"/>
  <c r="R68" i="26"/>
  <c r="Q68" i="26"/>
  <c r="P68" i="26"/>
  <c r="S67" i="26"/>
  <c r="S79" i="26" s="1"/>
  <c r="J82" i="26" s="1"/>
  <c r="R67" i="26"/>
  <c r="R79" i="26" s="1"/>
  <c r="J83" i="26" s="1"/>
  <c r="Q67" i="26"/>
  <c r="Q79" i="26" s="1"/>
  <c r="C82" i="26" s="1"/>
  <c r="P67" i="26"/>
  <c r="C66" i="26"/>
  <c r="J63" i="26"/>
  <c r="I61" i="26"/>
  <c r="D52" i="26"/>
  <c r="D47" i="26"/>
  <c r="D42" i="26"/>
  <c r="D10" i="26"/>
  <c r="C17" i="27" s="1"/>
  <c r="C18" i="27" s="1"/>
  <c r="D9" i="26"/>
  <c r="D8" i="26"/>
  <c r="D5" i="26"/>
  <c r="N60" i="25"/>
  <c r="N58" i="25"/>
  <c r="N56" i="25"/>
  <c r="N54" i="25"/>
  <c r="N52" i="25"/>
  <c r="N50" i="25"/>
  <c r="N48" i="25"/>
  <c r="M42" i="25" s="1"/>
  <c r="E48" i="25" s="1"/>
  <c r="E44" i="25"/>
  <c r="M262" i="24"/>
  <c r="H227" i="24"/>
  <c r="H100" i="24"/>
  <c r="E109" i="23" s="1"/>
  <c r="E110" i="23" s="1"/>
  <c r="H83" i="24"/>
  <c r="H74" i="24"/>
  <c r="E33" i="24"/>
  <c r="E31" i="24"/>
  <c r="C31" i="24"/>
  <c r="A20" i="24"/>
  <c r="N398" i="23"/>
  <c r="J398" i="23"/>
  <c r="N397" i="23"/>
  <c r="J397" i="23"/>
  <c r="N396" i="23"/>
  <c r="J396" i="23"/>
  <c r="N395" i="23"/>
  <c r="J395" i="23"/>
  <c r="N394" i="23"/>
  <c r="J394" i="23"/>
  <c r="N393" i="23"/>
  <c r="J393" i="23"/>
  <c r="N392" i="23"/>
  <c r="J392" i="23"/>
  <c r="N391" i="23"/>
  <c r="J391" i="23"/>
  <c r="D354" i="23"/>
  <c r="D356" i="23" s="1"/>
  <c r="E346" i="23"/>
  <c r="E342" i="23"/>
  <c r="E338" i="23"/>
  <c r="E328" i="23"/>
  <c r="E326" i="23"/>
  <c r="L324" i="23"/>
  <c r="T193" i="23"/>
  <c r="T194" i="23" s="1"/>
  <c r="F12" i="23"/>
  <c r="B10" i="23" s="1"/>
  <c r="F11" i="23"/>
  <c r="B201" i="24" s="1"/>
  <c r="F10" i="23"/>
  <c r="B192" i="24" s="1"/>
  <c r="F9" i="23"/>
  <c r="D11" i="23" s="1"/>
  <c r="F7" i="23"/>
  <c r="C7" i="23" s="1"/>
  <c r="M2" i="23"/>
  <c r="V74" i="22"/>
  <c r="U74" i="22"/>
  <c r="C60" i="22"/>
  <c r="G57" i="22"/>
  <c r="C57" i="22"/>
  <c r="E56" i="22"/>
  <c r="C56" i="22"/>
  <c r="P53" i="22"/>
  <c r="O51" i="22"/>
  <c r="N43" i="22"/>
  <c r="D99" i="26" s="1"/>
  <c r="N42" i="22"/>
  <c r="H319" i="23" s="1"/>
  <c r="J319" i="23" s="1"/>
  <c r="D41" i="22"/>
  <c r="D20" i="23" s="1"/>
  <c r="D40" i="22"/>
  <c r="D19" i="23" s="1"/>
  <c r="H39" i="22"/>
  <c r="S37" i="22"/>
  <c r="B37" i="22"/>
  <c r="S35" i="22"/>
  <c r="T35" i="22" s="1"/>
  <c r="O35" i="22"/>
  <c r="N35" i="22" s="1"/>
  <c r="C13" i="23"/>
  <c r="D32" i="22"/>
  <c r="B32" i="22"/>
  <c r="O37" i="22" s="1"/>
  <c r="N37" i="22" s="1"/>
  <c r="I31" i="22"/>
  <c r="B31" i="22"/>
  <c r="F8" i="23"/>
  <c r="C16" i="23" s="1"/>
  <c r="C28" i="22"/>
  <c r="B28" i="22"/>
  <c r="Y18" i="22"/>
  <c r="Y17" i="22"/>
  <c r="Y16" i="22"/>
  <c r="Y15" i="22"/>
  <c r="Y14" i="22"/>
  <c r="Y13" i="22"/>
  <c r="H13" i="22"/>
  <c r="F13" i="22"/>
  <c r="D77" i="24" s="1"/>
  <c r="Y12" i="22"/>
  <c r="H12" i="22"/>
  <c r="Y11" i="22"/>
  <c r="Y10" i="22"/>
  <c r="Y9" i="22"/>
  <c r="Y8" i="22"/>
  <c r="Z5" i="22"/>
  <c r="Y5" i="22"/>
  <c r="J86" i="27" s="1"/>
  <c r="X5" i="22"/>
  <c r="W5" i="22"/>
  <c r="I25" i="23" l="1"/>
  <c r="I205" i="23" s="1"/>
  <c r="D31" i="22"/>
  <c r="G48" i="26"/>
  <c r="G43" i="26"/>
  <c r="G53" i="26"/>
  <c r="B11" i="23"/>
  <c r="K34" i="22"/>
  <c r="D6" i="42"/>
  <c r="E19" i="42" s="1"/>
  <c r="C37" i="22"/>
  <c r="J242" i="23"/>
  <c r="F111" i="26"/>
  <c r="L312" i="26"/>
  <c r="M110" i="26"/>
  <c r="F98" i="26"/>
  <c r="J122" i="27"/>
  <c r="D99" i="27"/>
  <c r="D100" i="27"/>
  <c r="J243" i="23"/>
  <c r="C192" i="24"/>
  <c r="B16" i="23"/>
  <c r="H77" i="24"/>
  <c r="E21" i="41"/>
  <c r="I259" i="24" s="1"/>
  <c r="D48" i="22" s="1"/>
  <c r="D21" i="41"/>
  <c r="C21" i="41"/>
  <c r="B21" i="41"/>
  <c r="C195" i="24"/>
  <c r="J241" i="23"/>
  <c r="I33" i="22"/>
  <c r="D8" i="42"/>
  <c r="D152" i="27"/>
  <c r="W128" i="27" s="1"/>
  <c r="D11" i="26"/>
  <c r="O36" i="22"/>
  <c r="N36" i="22" s="1"/>
  <c r="H120" i="24"/>
  <c r="D4" i="42"/>
  <c r="D6" i="26"/>
  <c r="D13" i="26" s="1"/>
  <c r="C201" i="24"/>
  <c r="K33" i="22"/>
  <c r="I34" i="22"/>
  <c r="G35" i="22"/>
  <c r="F99" i="26"/>
  <c r="C101" i="26" s="1"/>
  <c r="B7" i="23"/>
  <c r="D196" i="24"/>
  <c r="F13" i="23"/>
  <c r="C10" i="23" s="1"/>
  <c r="H320" i="23"/>
  <c r="J320" i="23" s="1"/>
  <c r="F315" i="23" s="1"/>
  <c r="J402" i="23"/>
  <c r="C196" i="24"/>
  <c r="D12" i="26"/>
  <c r="F32" i="27"/>
  <c r="F33" i="27" s="1"/>
  <c r="E37" i="27" s="1"/>
  <c r="F37" i="27" s="1"/>
  <c r="F30" i="27"/>
  <c r="G10" i="33"/>
  <c r="B24" i="33" s="1"/>
  <c r="B23" i="33"/>
  <c r="B25" i="33" s="1"/>
  <c r="B15" i="34"/>
  <c r="I21" i="37"/>
  <c r="D67" i="36"/>
  <c r="D66" i="36"/>
  <c r="B25" i="39"/>
  <c r="C30" i="27"/>
  <c r="C36" i="32"/>
  <c r="C32" i="32"/>
  <c r="C28" i="32"/>
  <c r="C35" i="32"/>
  <c r="C31" i="32"/>
  <c r="C34" i="32"/>
  <c r="C30" i="32"/>
  <c r="B12" i="33"/>
  <c r="B19" i="34"/>
  <c r="C8" i="35"/>
  <c r="G5" i="35"/>
  <c r="E8" i="37"/>
  <c r="E12" i="37" s="1"/>
  <c r="G12" i="37" s="1"/>
  <c r="I8" i="37"/>
  <c r="B15" i="39"/>
  <c r="E17" i="42"/>
  <c r="C18" i="31"/>
  <c r="B18" i="31"/>
  <c r="C29" i="32"/>
  <c r="G11" i="34"/>
  <c r="B22" i="34"/>
  <c r="D60" i="36"/>
  <c r="E10" i="37"/>
  <c r="E25" i="37"/>
  <c r="G25" i="37" s="1"/>
  <c r="I35" i="37"/>
  <c r="I36" i="37" s="1"/>
  <c r="E40" i="37" s="1"/>
  <c r="G40" i="37" s="1"/>
  <c r="D43" i="26"/>
  <c r="C44" i="26" s="1"/>
  <c r="D48" i="26"/>
  <c r="C49" i="26" s="1"/>
  <c r="D53" i="26"/>
  <c r="D54" i="26" s="1"/>
  <c r="C70" i="26"/>
  <c r="C72" i="26" s="1"/>
  <c r="D74" i="26" s="1"/>
  <c r="C58" i="22" s="1"/>
  <c r="F165" i="26"/>
  <c r="F245" i="26"/>
  <c r="H120" i="27"/>
  <c r="F111" i="27"/>
  <c r="F112" i="27" s="1"/>
  <c r="C33" i="32"/>
  <c r="E139" i="27"/>
  <c r="C25" i="29"/>
  <c r="B19" i="39"/>
  <c r="D11" i="42"/>
  <c r="D16" i="38"/>
  <c r="E83" i="27"/>
  <c r="O52" i="22" s="1"/>
  <c r="E20" i="42" l="1"/>
  <c r="C54" i="26"/>
  <c r="I131" i="27"/>
  <c r="F15" i="23"/>
  <c r="C31" i="22"/>
  <c r="M19" i="23"/>
  <c r="F17" i="23"/>
  <c r="S28" i="22" s="1"/>
  <c r="V28" i="22" s="1"/>
  <c r="D44" i="26"/>
  <c r="L399" i="23"/>
  <c r="H399" i="23"/>
  <c r="M257" i="24"/>
  <c r="I257" i="24"/>
  <c r="D46" i="22" s="1"/>
  <c r="I258" i="24"/>
  <c r="L257" i="24"/>
  <c r="J244" i="23"/>
  <c r="I237" i="23" s="1"/>
  <c r="X110" i="27"/>
  <c r="C34" i="38"/>
  <c r="C30" i="38"/>
  <c r="C33" i="38"/>
  <c r="C29" i="38"/>
  <c r="C36" i="38"/>
  <c r="C32" i="38"/>
  <c r="C28" i="38"/>
  <c r="C35" i="38"/>
  <c r="C31" i="38"/>
  <c r="B15" i="33"/>
  <c r="B13" i="33"/>
  <c r="I256" i="24"/>
  <c r="M256" i="24"/>
  <c r="L256" i="24"/>
  <c r="B17" i="39"/>
  <c r="D10" i="38" s="1"/>
  <c r="B18" i="39"/>
  <c r="C19" i="35"/>
  <c r="C20" i="35" s="1"/>
  <c r="C12" i="35"/>
  <c r="C13" i="35" s="1"/>
  <c r="G8" i="35"/>
  <c r="E18" i="42"/>
  <c r="F110" i="26"/>
  <c r="E327" i="23"/>
  <c r="B18" i="34"/>
  <c r="B17" i="34"/>
  <c r="F49" i="27"/>
  <c r="D7" i="26"/>
  <c r="E337" i="23"/>
  <c r="F14" i="23"/>
  <c r="S30" i="22"/>
  <c r="V30" i="22" s="1"/>
  <c r="D49" i="26"/>
  <c r="L255" i="24"/>
  <c r="M255" i="24"/>
  <c r="I255" i="24"/>
  <c r="K114" i="27"/>
  <c r="J116" i="27" s="1"/>
  <c r="J114" i="27"/>
  <c r="D101" i="27"/>
  <c r="D118" i="27"/>
  <c r="I23" i="42" l="1"/>
  <c r="J26" i="42" s="1"/>
  <c r="E131" i="27"/>
  <c r="F97" i="28"/>
  <c r="D45" i="22"/>
  <c r="C104" i="27"/>
  <c r="I129" i="27"/>
  <c r="H129" i="27" s="1"/>
  <c r="J129" i="27" s="1"/>
  <c r="B196" i="24"/>
  <c r="F16" i="23"/>
  <c r="I22" i="23"/>
  <c r="I10" i="23"/>
  <c r="O5" i="23" s="1"/>
  <c r="G19" i="35"/>
  <c r="G20" i="35" s="1"/>
  <c r="G12" i="35"/>
  <c r="G13" i="35" s="1"/>
  <c r="B18" i="33"/>
  <c r="B17" i="33"/>
  <c r="N259" i="24"/>
  <c r="N263" i="24"/>
  <c r="M259" i="24"/>
  <c r="G219" i="23"/>
  <c r="H256" i="23"/>
  <c r="I23" i="23"/>
  <c r="G205" i="24" s="1"/>
  <c r="D14" i="26"/>
  <c r="D15" i="26"/>
  <c r="C73" i="27"/>
  <c r="C74" i="27"/>
  <c r="D59" i="27" s="1"/>
  <c r="C25" i="38"/>
  <c r="C23" i="38"/>
  <c r="C24" i="38"/>
  <c r="E344" i="23"/>
  <c r="M338" i="23" s="1"/>
  <c r="N338" i="23" s="1"/>
  <c r="F344" i="23" s="1"/>
  <c r="O341" i="23"/>
  <c r="O340" i="23"/>
  <c r="D10" i="42"/>
  <c r="E329" i="23"/>
  <c r="F52" i="27"/>
  <c r="O34" i="22"/>
  <c r="D16" i="26"/>
  <c r="F25" i="22"/>
  <c r="I20" i="23" l="1"/>
  <c r="G202" i="24" s="1"/>
  <c r="M225" i="24" s="1"/>
  <c r="J27" i="42"/>
  <c r="I21" i="23" s="1"/>
  <c r="P5" i="23" s="1"/>
  <c r="O320" i="23"/>
  <c r="M320" i="23"/>
  <c r="O324" i="23"/>
  <c r="L320" i="23"/>
  <c r="H242" i="24"/>
  <c r="G204" i="24"/>
  <c r="E205" i="23"/>
  <c r="D14" i="42"/>
  <c r="D13" i="42"/>
  <c r="I30" i="42" s="1"/>
  <c r="D61" i="27"/>
  <c r="D62" i="27"/>
  <c r="H246" i="24"/>
  <c r="E197" i="23"/>
  <c r="G197" i="23" s="1"/>
  <c r="I24" i="23"/>
  <c r="G206" i="24" s="1"/>
  <c r="M324" i="23"/>
  <c r="N320" i="23"/>
  <c r="F112" i="26"/>
  <c r="D301" i="26"/>
  <c r="F346" i="23"/>
  <c r="G346" i="23" s="1"/>
  <c r="E345" i="23"/>
  <c r="B53" i="22"/>
  <c r="G93" i="26" s="1"/>
  <c r="N34" i="22"/>
  <c r="N324" i="23"/>
  <c r="M21" i="23"/>
  <c r="H104" i="28"/>
  <c r="F104" i="28"/>
  <c r="D104" i="28"/>
  <c r="C71" i="27"/>
  <c r="C81" i="27" s="1"/>
  <c r="C70" i="27"/>
  <c r="D17" i="26"/>
  <c r="D18" i="26" s="1"/>
  <c r="F87" i="28"/>
  <c r="M263" i="24"/>
  <c r="M265" i="24" s="1"/>
  <c r="D44" i="22" s="1"/>
  <c r="H241" i="24"/>
  <c r="I18" i="23"/>
  <c r="G200" i="24" s="1"/>
  <c r="G36" i="22" s="1"/>
  <c r="G192" i="24"/>
  <c r="I11" i="23" l="1"/>
  <c r="G193" i="24" s="1"/>
  <c r="G203" i="24"/>
  <c r="M226" i="24" s="1"/>
  <c r="H225" i="24" s="1"/>
  <c r="I35" i="42"/>
  <c r="M326" i="23"/>
  <c r="F323" i="23" s="1"/>
  <c r="M322" i="23"/>
  <c r="F321" i="23" s="1"/>
  <c r="D22" i="26"/>
  <c r="D21" i="26"/>
  <c r="O24" i="26" s="1"/>
  <c r="D24" i="26" s="1"/>
  <c r="D19" i="26"/>
  <c r="I31" i="42"/>
  <c r="I39" i="42" s="1"/>
  <c r="L310" i="26"/>
  <c r="D306" i="26"/>
  <c r="D329" i="26"/>
  <c r="I104" i="26"/>
  <c r="F115" i="26" s="1"/>
  <c r="O44" i="22" s="1"/>
  <c r="I106" i="26"/>
  <c r="D64" i="27"/>
  <c r="D65" i="27"/>
  <c r="B104" i="28"/>
  <c r="G315" i="23" l="1"/>
  <c r="I42" i="42"/>
  <c r="I12" i="23"/>
  <c r="I43" i="42"/>
  <c r="I47" i="42"/>
  <c r="I46" i="42"/>
  <c r="H16" i="42"/>
  <c r="I13" i="23"/>
  <c r="D326" i="26"/>
  <c r="D327" i="26"/>
  <c r="E79" i="27"/>
  <c r="E81" i="27" s="1"/>
  <c r="G81" i="27" s="1"/>
  <c r="E77" i="27"/>
  <c r="M28" i="26"/>
  <c r="G42" i="26"/>
  <c r="C332" i="26"/>
  <c r="C331" i="26"/>
  <c r="C85" i="26"/>
  <c r="C86" i="26"/>
  <c r="C88" i="26" s="1"/>
  <c r="D90" i="26" s="1"/>
  <c r="C59" i="22" s="1"/>
  <c r="O25" i="26"/>
  <c r="D27" i="26" s="1"/>
  <c r="D30" i="26" s="1"/>
  <c r="J240" i="23" l="1"/>
  <c r="G194" i="24"/>
  <c r="I14" i="23"/>
  <c r="E21" i="25"/>
  <c r="E376" i="23"/>
  <c r="F271" i="23"/>
  <c r="I15" i="23"/>
  <c r="G52" i="26"/>
  <c r="C15" i="27"/>
  <c r="E38" i="27" s="1"/>
  <c r="F38" i="27" s="1"/>
  <c r="D141" i="26"/>
  <c r="F166" i="26"/>
  <c r="E377" i="23"/>
  <c r="I16" i="23"/>
  <c r="G195" i="24"/>
  <c r="I17" i="23"/>
  <c r="O38" i="22"/>
  <c r="C342" i="26"/>
  <c r="C341" i="26"/>
  <c r="G47" i="26"/>
  <c r="D221" i="26"/>
  <c r="D236" i="26" s="1"/>
  <c r="F246" i="26"/>
  <c r="F44" i="26"/>
  <c r="G44" i="26"/>
  <c r="G178" i="23" l="1"/>
  <c r="J178" i="23" s="1"/>
  <c r="H244" i="24"/>
  <c r="G197" i="24"/>
  <c r="H243" i="24"/>
  <c r="G196" i="24"/>
  <c r="E178" i="23"/>
  <c r="I178" i="23" s="1"/>
  <c r="H221" i="24"/>
  <c r="G199" i="24"/>
  <c r="F49" i="26"/>
  <c r="G49" i="26"/>
  <c r="D248" i="26"/>
  <c r="D250" i="26" s="1"/>
  <c r="C256" i="26" s="1"/>
  <c r="D247" i="26"/>
  <c r="G198" i="24"/>
  <c r="H245" i="24"/>
  <c r="E187" i="23"/>
  <c r="D167" i="26"/>
  <c r="D168" i="26"/>
  <c r="D170" i="26" s="1"/>
  <c r="I156" i="26"/>
  <c r="D156" i="26"/>
  <c r="F54" i="26"/>
  <c r="G54" i="26"/>
  <c r="C255" i="26" l="1"/>
  <c r="C176" i="26"/>
  <c r="C175" i="26"/>
  <c r="G176" i="26"/>
  <c r="G175" i="26"/>
  <c r="AA30" i="21" l="1"/>
  <c r="AA29" i="21"/>
  <c r="AA28" i="21"/>
  <c r="AA27" i="21"/>
  <c r="AA26" i="21"/>
  <c r="AA25" i="21"/>
  <c r="AA24" i="21"/>
  <c r="AA23" i="21"/>
  <c r="AA22" i="21"/>
  <c r="AA21" i="21"/>
  <c r="AA20" i="21"/>
  <c r="AA19" i="21"/>
  <c r="AA18" i="21"/>
  <c r="AA17" i="21"/>
  <c r="AA16" i="21"/>
  <c r="AA15" i="21"/>
  <c r="AA14" i="21"/>
  <c r="AA13" i="21"/>
  <c r="AA12" i="21"/>
  <c r="AA11" i="21"/>
  <c r="AA10" i="21"/>
  <c r="AA9" i="21"/>
  <c r="AA8" i="21"/>
  <c r="AA7" i="21"/>
  <c r="AA6" i="21"/>
  <c r="AA5" i="21"/>
  <c r="S16" i="21"/>
  <c r="S15" i="21"/>
  <c r="S14" i="21"/>
  <c r="S13" i="21"/>
  <c r="S12" i="21"/>
  <c r="S11" i="21"/>
  <c r="S10" i="21"/>
  <c r="S9" i="21"/>
  <c r="S8" i="21"/>
  <c r="S7" i="21"/>
  <c r="S6" i="21"/>
  <c r="S5" i="21"/>
  <c r="AB23" i="10" l="1"/>
  <c r="AB22" i="10"/>
  <c r="AB21" i="10"/>
  <c r="AB20" i="10"/>
  <c r="AB19" i="10"/>
  <c r="AB18" i="10"/>
  <c r="AB17" i="10"/>
  <c r="AB16" i="10"/>
  <c r="AB15" i="10"/>
  <c r="AB14" i="10"/>
  <c r="AB13" i="10"/>
  <c r="AB12" i="10"/>
  <c r="AB11" i="10"/>
  <c r="AB10" i="10"/>
  <c r="AB9" i="10"/>
  <c r="AB8" i="10"/>
  <c r="AB7" i="10"/>
  <c r="N29" i="5"/>
  <c r="N28" i="5"/>
  <c r="N27" i="5"/>
  <c r="N26" i="5"/>
  <c r="L118" i="5" l="1"/>
  <c r="L118" i="4"/>
  <c r="S18" i="10"/>
  <c r="S17" i="10"/>
  <c r="S16" i="10"/>
  <c r="S15" i="10"/>
  <c r="S14" i="10"/>
  <c r="S13" i="10"/>
  <c r="S12" i="10"/>
  <c r="S11" i="10"/>
  <c r="S10" i="10"/>
  <c r="S9" i="10"/>
  <c r="S8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V130" i="10" l="1"/>
  <c r="V128" i="10"/>
  <c r="V127" i="10"/>
  <c r="V126" i="10"/>
  <c r="V122" i="10"/>
  <c r="V121" i="10"/>
  <c r="V120" i="10"/>
  <c r="V119" i="10"/>
  <c r="V115" i="10"/>
  <c r="V114" i="10"/>
  <c r="V113" i="10"/>
  <c r="V112" i="10"/>
  <c r="V108" i="10"/>
  <c r="V107" i="10"/>
  <c r="V106" i="10"/>
  <c r="V105" i="10"/>
  <c r="V104" i="10"/>
  <c r="V103" i="10"/>
  <c r="V99" i="10"/>
  <c r="V98" i="10"/>
  <c r="V97" i="10"/>
  <c r="V96" i="10"/>
  <c r="V95" i="10"/>
  <c r="V94" i="10"/>
  <c r="S130" i="10"/>
  <c r="S128" i="10"/>
  <c r="S127" i="10"/>
  <c r="S126" i="10"/>
  <c r="S122" i="10"/>
  <c r="S121" i="10"/>
  <c r="S120" i="10"/>
  <c r="S119" i="10"/>
  <c r="S115" i="10"/>
  <c r="S114" i="10"/>
  <c r="S113" i="10"/>
  <c r="S112" i="10"/>
  <c r="S108" i="10"/>
  <c r="S107" i="10"/>
  <c r="S106" i="10"/>
  <c r="S105" i="10"/>
  <c r="S104" i="10"/>
  <c r="S103" i="10"/>
  <c r="S99" i="10"/>
  <c r="S98" i="10"/>
  <c r="S97" i="10"/>
  <c r="S96" i="10"/>
  <c r="S95" i="10"/>
  <c r="S94" i="10"/>
  <c r="V90" i="10"/>
  <c r="V89" i="10"/>
  <c r="V88" i="10"/>
  <c r="V87" i="10"/>
  <c r="V86" i="10"/>
  <c r="V85" i="10"/>
  <c r="V84" i="10"/>
  <c r="V83" i="10"/>
  <c r="S90" i="10"/>
  <c r="S89" i="10"/>
  <c r="S88" i="10"/>
  <c r="S87" i="10"/>
  <c r="S86" i="10"/>
  <c r="S85" i="10"/>
  <c r="S84" i="10"/>
  <c r="S83" i="10"/>
  <c r="V79" i="10"/>
  <c r="V78" i="10"/>
  <c r="V77" i="10"/>
  <c r="V76" i="10"/>
  <c r="V75" i="10"/>
  <c r="V74" i="10"/>
  <c r="V73" i="10"/>
  <c r="V72" i="10"/>
  <c r="V71" i="10"/>
  <c r="S79" i="10"/>
  <c r="S78" i="10"/>
  <c r="S77" i="10"/>
  <c r="S76" i="10"/>
  <c r="S75" i="10"/>
  <c r="S74" i="10"/>
  <c r="S73" i="10"/>
  <c r="S72" i="10"/>
  <c r="S71" i="10"/>
  <c r="V67" i="10"/>
  <c r="V66" i="10"/>
  <c r="V65" i="10"/>
  <c r="V64" i="10"/>
  <c r="V63" i="10"/>
  <c r="V62" i="10"/>
  <c r="V61" i="10"/>
  <c r="V60" i="10"/>
  <c r="V59" i="10"/>
  <c r="V58" i="10"/>
  <c r="S67" i="10"/>
  <c r="S66" i="10"/>
  <c r="S65" i="10"/>
  <c r="S64" i="10"/>
  <c r="S63" i="10"/>
  <c r="S62" i="10"/>
  <c r="S61" i="10"/>
  <c r="S60" i="10"/>
  <c r="S59" i="10"/>
  <c r="S58" i="10"/>
  <c r="V54" i="10"/>
  <c r="V53" i="10"/>
  <c r="V52" i="10"/>
  <c r="V51" i="10"/>
  <c r="V50" i="10"/>
  <c r="V49" i="10"/>
  <c r="V48" i="10"/>
  <c r="V47" i="10"/>
  <c r="V46" i="10"/>
  <c r="V45" i="10"/>
  <c r="V41" i="10"/>
  <c r="S41" i="10"/>
  <c r="S54" i="10"/>
  <c r="S53" i="10"/>
  <c r="S52" i="10"/>
  <c r="S51" i="10"/>
  <c r="S50" i="10"/>
  <c r="S49" i="10"/>
  <c r="S48" i="10"/>
  <c r="S47" i="10"/>
  <c r="S46" i="10"/>
  <c r="S45" i="10"/>
  <c r="M184" i="4" l="1"/>
  <c r="O146" i="4"/>
  <c r="Z82" i="5"/>
  <c r="Z81" i="5"/>
  <c r="Z80" i="5"/>
  <c r="Z79" i="5"/>
  <c r="Z78" i="5"/>
  <c r="Z77" i="5"/>
  <c r="Z76" i="5"/>
  <c r="Z75" i="5"/>
  <c r="Z74" i="5"/>
  <c r="Z73" i="5"/>
  <c r="Z72" i="5"/>
  <c r="Z71" i="5"/>
  <c r="Z70" i="5"/>
  <c r="Z69" i="5"/>
  <c r="V62" i="5"/>
  <c r="U62" i="5"/>
  <c r="T62" i="5"/>
  <c r="V61" i="5"/>
  <c r="U61" i="5"/>
  <c r="T61" i="5"/>
  <c r="V60" i="5"/>
  <c r="U60" i="5"/>
  <c r="T60" i="5"/>
  <c r="V59" i="5"/>
  <c r="U59" i="5"/>
  <c r="V58" i="5"/>
  <c r="U58" i="5"/>
  <c r="V57" i="5"/>
  <c r="U57" i="5"/>
  <c r="V56" i="5"/>
  <c r="U56" i="5"/>
  <c r="U62" i="4" l="1"/>
  <c r="U61" i="4"/>
  <c r="U60" i="4"/>
  <c r="U59" i="4"/>
  <c r="U58" i="4"/>
  <c r="U57" i="4"/>
  <c r="U56" i="4"/>
  <c r="V62" i="4"/>
  <c r="V61" i="4"/>
  <c r="V60" i="4"/>
  <c r="V59" i="4"/>
  <c r="V58" i="4"/>
  <c r="V57" i="4"/>
  <c r="V56" i="4"/>
  <c r="I12" i="4"/>
  <c r="N29" i="4"/>
  <c r="L48" i="4"/>
  <c r="N28" i="4"/>
  <c r="N27" i="4"/>
  <c r="N26" i="4"/>
  <c r="L46" i="4"/>
  <c r="E22" i="13"/>
  <c r="HM375" i="20" l="1"/>
  <c r="FE375" i="20"/>
  <c r="CQ375" i="20"/>
  <c r="AI375" i="20"/>
  <c r="IB372" i="20"/>
  <c r="FT372" i="20"/>
  <c r="DF372" i="20"/>
  <c r="AX372" i="20"/>
  <c r="HJ143" i="20"/>
  <c r="FE143" i="20"/>
  <c r="CN143" i="20"/>
  <c r="AI143" i="20"/>
  <c r="IB140" i="20"/>
  <c r="FT140" i="20"/>
  <c r="DF140" i="20"/>
  <c r="AX140" i="20"/>
  <c r="L155" i="13"/>
  <c r="L131" i="13"/>
  <c r="M113" i="13"/>
  <c r="L76" i="13"/>
  <c r="L55" i="13"/>
  <c r="J82" i="9"/>
  <c r="I82" i="9"/>
  <c r="J81" i="9"/>
  <c r="I81" i="9"/>
  <c r="L51" i="9"/>
  <c r="K51" i="9"/>
  <c r="K49" i="9"/>
  <c r="K40" i="9"/>
  <c r="P77" i="8"/>
  <c r="O77" i="8"/>
  <c r="N77" i="8"/>
  <c r="P76" i="8"/>
  <c r="O76" i="8"/>
  <c r="N76" i="8"/>
  <c r="P75" i="8"/>
  <c r="N75" i="8"/>
  <c r="Q47" i="8"/>
  <c r="P47" i="8"/>
  <c r="O47" i="8"/>
  <c r="Q46" i="8"/>
  <c r="P46" i="8"/>
  <c r="O46" i="8"/>
  <c r="Q45" i="8"/>
  <c r="P45" i="8"/>
  <c r="O45" i="8"/>
  <c r="Q44" i="8"/>
  <c r="P44" i="8"/>
  <c r="O44" i="8"/>
  <c r="J85" i="7"/>
  <c r="I85" i="7"/>
  <c r="J84" i="7"/>
  <c r="I84" i="7"/>
  <c r="L47" i="7"/>
  <c r="K47" i="7"/>
  <c r="K45" i="7"/>
  <c r="K36" i="7"/>
  <c r="P73" i="6"/>
  <c r="O73" i="6"/>
  <c r="N73" i="6"/>
  <c r="P72" i="6"/>
  <c r="O72" i="6"/>
  <c r="N72" i="6"/>
  <c r="P71" i="6"/>
  <c r="N71" i="6"/>
  <c r="Y31" i="6"/>
  <c r="X31" i="6"/>
  <c r="W31" i="6"/>
  <c r="Y30" i="6"/>
  <c r="X30" i="6"/>
  <c r="W30" i="6"/>
  <c r="Y29" i="6"/>
  <c r="X29" i="6"/>
  <c r="W29" i="6"/>
  <c r="Y28" i="6"/>
  <c r="X28" i="6"/>
  <c r="W28" i="6"/>
  <c r="K297" i="5"/>
  <c r="J297" i="5"/>
  <c r="K296" i="5"/>
  <c r="J296" i="5"/>
  <c r="I296" i="5"/>
  <c r="L183" i="5"/>
  <c r="L129" i="5"/>
  <c r="L114" i="5"/>
  <c r="L109" i="5"/>
  <c r="Q67" i="5"/>
  <c r="P67" i="5"/>
  <c r="O67" i="5"/>
  <c r="Q66" i="5"/>
  <c r="P66" i="5"/>
  <c r="O66" i="5"/>
  <c r="Q65" i="5"/>
  <c r="O65" i="5"/>
  <c r="N50" i="5"/>
  <c r="M50" i="5"/>
  <c r="N49" i="5"/>
  <c r="M49" i="5"/>
  <c r="L49" i="5"/>
  <c r="N48" i="5"/>
  <c r="M48" i="5"/>
  <c r="L48" i="5"/>
  <c r="O47" i="5"/>
  <c r="N47" i="5"/>
  <c r="M47" i="5"/>
  <c r="L47" i="5"/>
  <c r="K297" i="4"/>
  <c r="J297" i="4"/>
  <c r="K296" i="4"/>
  <c r="J296" i="4"/>
  <c r="I296" i="4"/>
  <c r="L183" i="4"/>
  <c r="L130" i="4"/>
  <c r="L114" i="4"/>
  <c r="L109" i="4"/>
  <c r="Q67" i="4"/>
  <c r="P67" i="4"/>
  <c r="O67" i="4"/>
  <c r="Q66" i="4"/>
  <c r="P66" i="4"/>
  <c r="O66" i="4"/>
  <c r="Q65" i="4"/>
  <c r="O65" i="4"/>
  <c r="N49" i="4"/>
  <c r="M49" i="4"/>
  <c r="N48" i="4"/>
  <c r="M48" i="4"/>
  <c r="N47" i="4"/>
  <c r="M47" i="4"/>
  <c r="L47" i="4"/>
  <c r="O46" i="4"/>
  <c r="N46" i="4"/>
  <c r="M46" i="4"/>
  <c r="I75" i="3"/>
  <c r="I74" i="3"/>
  <c r="I73" i="3"/>
  <c r="I72" i="3"/>
  <c r="I71" i="3"/>
  <c r="I70" i="3"/>
  <c r="I69" i="3"/>
  <c r="I67" i="3"/>
  <c r="H67" i="3"/>
  <c r="H66" i="3"/>
  <c r="K65" i="3"/>
  <c r="I65" i="3"/>
  <c r="H65" i="3"/>
  <c r="K64" i="3"/>
  <c r="I64" i="3"/>
  <c r="H63" i="3"/>
  <c r="K62" i="3"/>
  <c r="I62" i="3"/>
  <c r="H62" i="3"/>
  <c r="K61" i="3"/>
  <c r="I61" i="3"/>
  <c r="H61" i="3"/>
  <c r="K60" i="3"/>
  <c r="I60" i="3"/>
  <c r="H60" i="3"/>
  <c r="K59" i="3"/>
  <c r="I59" i="3"/>
  <c r="H59" i="3"/>
  <c r="K58" i="3"/>
  <c r="I58" i="3"/>
  <c r="H58" i="3"/>
  <c r="J57" i="3"/>
  <c r="J30" i="3"/>
  <c r="J29" i="3"/>
  <c r="J28" i="3"/>
  <c r="P43" i="8"/>
  <c r="G16" i="10"/>
  <c r="G17" i="10"/>
  <c r="Y92" i="8"/>
  <c r="Y91" i="8"/>
  <c r="Y90" i="8"/>
  <c r="Y89" i="8"/>
  <c r="Y88" i="8"/>
  <c r="Y87" i="8"/>
  <c r="Y86" i="8"/>
  <c r="Y85" i="8"/>
  <c r="Y84" i="8"/>
  <c r="Y83" i="8"/>
  <c r="Y82" i="8"/>
  <c r="Y81" i="8"/>
  <c r="Y80" i="8"/>
  <c r="Y79" i="8"/>
  <c r="Y88" i="6" l="1"/>
  <c r="Y87" i="6"/>
  <c r="Y86" i="6"/>
  <c r="Y85" i="6"/>
  <c r="Y84" i="6"/>
  <c r="Y83" i="6"/>
  <c r="Y82" i="6"/>
  <c r="Y81" i="6"/>
  <c r="Y80" i="6"/>
  <c r="Y79" i="6"/>
  <c r="Y78" i="6"/>
  <c r="Y77" i="6"/>
  <c r="Y76" i="6"/>
  <c r="Y75" i="6"/>
  <c r="Z82" i="4"/>
  <c r="Z81" i="4"/>
  <c r="Z80" i="4"/>
  <c r="Z79" i="4"/>
  <c r="Z78" i="4"/>
  <c r="Z77" i="4"/>
  <c r="Z76" i="4"/>
  <c r="Z75" i="4"/>
  <c r="Z74" i="4"/>
  <c r="Z73" i="4"/>
  <c r="Z72" i="4"/>
  <c r="Z71" i="4"/>
  <c r="Z70" i="4"/>
  <c r="Z69" i="4"/>
  <c r="AW49" i="11"/>
  <c r="AW48" i="11"/>
  <c r="I25" i="13" l="1"/>
  <c r="AA8" i="13"/>
  <c r="G45" i="14" l="1"/>
  <c r="AW46" i="11"/>
  <c r="AW45" i="11"/>
  <c r="P66" i="11"/>
  <c r="R62" i="11"/>
  <c r="AW42" i="11"/>
  <c r="AW40" i="11"/>
  <c r="AW29" i="11" l="1"/>
  <c r="AR2" i="11"/>
  <c r="AR3" i="11" s="1"/>
  <c r="AR4" i="11" s="1"/>
  <c r="AR5" i="11" s="1"/>
  <c r="AR6" i="11" s="1"/>
  <c r="AR7" i="11" s="1"/>
  <c r="AR8" i="11" s="1"/>
  <c r="AR9" i="11" s="1"/>
  <c r="AR10" i="11" s="1"/>
  <c r="AR11" i="11" s="1"/>
  <c r="AR12" i="11" s="1"/>
  <c r="AR13" i="11" s="1"/>
  <c r="AR14" i="11" s="1"/>
  <c r="AR15" i="11" s="1"/>
  <c r="AR16" i="11" s="1"/>
  <c r="AR17" i="11" s="1"/>
  <c r="AR18" i="11" s="1"/>
  <c r="AR19" i="11" s="1"/>
  <c r="AR20" i="11" s="1"/>
  <c r="AR21" i="11" s="1"/>
  <c r="AR22" i="11" s="1"/>
  <c r="AR23" i="11" s="1"/>
  <c r="AR24" i="11" s="1"/>
  <c r="AR25" i="11" s="1"/>
  <c r="AR26" i="11" s="1"/>
  <c r="AR27" i="11" s="1"/>
  <c r="AR28" i="11" s="1"/>
  <c r="AR29" i="11" s="1"/>
  <c r="AR30" i="11" s="1"/>
  <c r="AR31" i="11" s="1"/>
  <c r="AR32" i="11" s="1"/>
  <c r="AR33" i="11" s="1"/>
  <c r="AR34" i="11" s="1"/>
  <c r="AR35" i="11" s="1"/>
  <c r="AR36" i="11" s="1"/>
  <c r="AR37" i="11" s="1"/>
  <c r="AR38" i="11" s="1"/>
  <c r="AR39" i="11" s="1"/>
  <c r="AR40" i="11" s="1"/>
  <c r="AR42" i="11" s="1"/>
  <c r="AR43" i="11" s="1"/>
  <c r="AR44" i="11" s="1"/>
  <c r="AR45" i="11" s="1"/>
  <c r="AR46" i="11" s="1"/>
  <c r="AR47" i="11" s="1"/>
  <c r="AR48" i="11" s="1"/>
  <c r="AR49" i="11" s="1"/>
  <c r="AR50" i="11" s="1"/>
  <c r="AR51" i="11" s="1"/>
  <c r="AR52" i="11" s="1"/>
  <c r="AR53" i="11" s="1"/>
  <c r="AR54" i="11" s="1"/>
  <c r="AR55" i="11" s="1"/>
  <c r="AR56" i="11" s="1"/>
  <c r="A2" i="4" l="1"/>
  <c r="G47" i="10"/>
  <c r="G27" i="10"/>
  <c r="G26" i="10"/>
  <c r="G18" i="10"/>
  <c r="G14" i="10"/>
  <c r="L115" i="5"/>
  <c r="AI266" i="5"/>
  <c r="AI268" i="5" s="1"/>
  <c r="X68" i="8"/>
  <c r="W69" i="8"/>
  <c r="W66" i="8"/>
  <c r="J84" i="6"/>
  <c r="H83" i="21"/>
  <c r="R104" i="21"/>
  <c r="AA155" i="21"/>
  <c r="AA154" i="21"/>
  <c r="AA153" i="21"/>
  <c r="AA152" i="21"/>
  <c r="AA149" i="21"/>
  <c r="AA148" i="21"/>
  <c r="AA147" i="21"/>
  <c r="AA146" i="21"/>
  <c r="AA144" i="21"/>
  <c r="AA143" i="21"/>
  <c r="AA141" i="21"/>
  <c r="AA137" i="21"/>
  <c r="AA136" i="21"/>
  <c r="AA135" i="21"/>
  <c r="V159" i="21"/>
  <c r="V160" i="21" s="1"/>
  <c r="V149" i="21"/>
  <c r="AA145" i="21" s="1"/>
  <c r="V143" i="21"/>
  <c r="AA140" i="21" s="1"/>
  <c r="V145" i="21"/>
  <c r="AA142" i="21" s="1"/>
  <c r="V141" i="21"/>
  <c r="AA139" i="21" s="1"/>
  <c r="V139" i="21"/>
  <c r="AA138" i="21" s="1"/>
  <c r="K47" i="21"/>
  <c r="G167" i="13"/>
  <c r="G178" i="13"/>
  <c r="G182" i="13"/>
  <c r="I75" i="9"/>
  <c r="N96" i="9"/>
  <c r="I77" i="7"/>
  <c r="N98" i="7"/>
  <c r="I107" i="13"/>
  <c r="I39" i="5"/>
  <c r="I39" i="6"/>
  <c r="A2" i="5" l="1"/>
  <c r="A2" i="6" s="1"/>
  <c r="A2" i="7" s="1"/>
  <c r="A2" i="8" s="1"/>
  <c r="A2" i="9" s="1"/>
  <c r="A2" i="10" s="1"/>
  <c r="A51" i="4"/>
  <c r="A85" i="4" s="1"/>
  <c r="AI270" i="5"/>
  <c r="AI269" i="5" s="1"/>
  <c r="AA157" i="21"/>
  <c r="V161" i="21"/>
  <c r="AA156" i="21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70" i="20"/>
  <c r="B65" i="3"/>
  <c r="L13" i="12"/>
  <c r="A176" i="4" l="1"/>
  <c r="A231" i="4" s="1"/>
  <c r="A121" i="4"/>
  <c r="AA158" i="21"/>
  <c r="V162" i="21"/>
  <c r="AA159" i="21" s="1"/>
  <c r="F76" i="3"/>
  <c r="U61" i="9"/>
  <c r="U60" i="9"/>
  <c r="X54" i="9"/>
  <c r="Y54" i="9" s="1"/>
  <c r="X61" i="9"/>
  <c r="Y61" i="9" s="1"/>
  <c r="X60" i="9"/>
  <c r="X59" i="9"/>
  <c r="X58" i="9"/>
  <c r="X57" i="9"/>
  <c r="X56" i="9"/>
  <c r="X55" i="9"/>
  <c r="Y60" i="9"/>
  <c r="U52" i="9"/>
  <c r="X52" i="9" s="1"/>
  <c r="U51" i="9"/>
  <c r="X51" i="9" s="1"/>
  <c r="W62" i="9"/>
  <c r="U63" i="9"/>
  <c r="Q27" i="9"/>
  <c r="S27" i="9"/>
  <c r="R27" i="9"/>
  <c r="T43" i="9"/>
  <c r="U62" i="9"/>
  <c r="T62" i="9"/>
  <c r="T42" i="9"/>
  <c r="Q48" i="11"/>
  <c r="P7" i="11"/>
  <c r="AW2" i="11" s="1"/>
  <c r="J283" i="4"/>
  <c r="H288" i="4" l="1"/>
  <c r="H287" i="4"/>
  <c r="N311" i="4"/>
  <c r="Q94" i="9"/>
  <c r="Q95" i="9"/>
  <c r="Q93" i="9"/>
  <c r="Q92" i="9"/>
  <c r="G2" i="3" l="1"/>
  <c r="C8" i="10"/>
  <c r="G12" i="10" s="1"/>
  <c r="C2" i="10"/>
  <c r="D64" i="14" l="1"/>
  <c r="F35" i="14"/>
  <c r="S196" i="13"/>
  <c r="S195" i="13"/>
  <c r="Q196" i="13"/>
  <c r="S192" i="13"/>
  <c r="G146" i="13"/>
  <c r="G6" i="12"/>
  <c r="D4" i="22" s="1"/>
  <c r="E25" i="24" s="1"/>
  <c r="I37" i="5"/>
  <c r="I38" i="5"/>
  <c r="I23" i="5"/>
  <c r="C89" i="3"/>
  <c r="D89" i="3" s="1"/>
  <c r="AC38" i="11" s="1"/>
  <c r="F36" i="14"/>
  <c r="AN65" i="4"/>
  <c r="D19" i="3"/>
  <c r="O147" i="13"/>
  <c r="AC26" i="11"/>
  <c r="AC28" i="11"/>
  <c r="AC9" i="11"/>
  <c r="AC11" i="11"/>
  <c r="AC7" i="11"/>
  <c r="AC4" i="11"/>
  <c r="T32" i="4"/>
  <c r="M83" i="6" l="1"/>
  <c r="D92" i="13"/>
  <c r="F89" i="3"/>
  <c r="I36" i="5" s="1"/>
  <c r="I43" i="8"/>
  <c r="D93" i="6"/>
  <c r="E89" i="3"/>
  <c r="C93" i="6"/>
  <c r="E93" i="6"/>
  <c r="AC62" i="11"/>
  <c r="AC74" i="11"/>
  <c r="AC50" i="11"/>
  <c r="N71" i="4"/>
  <c r="N69" i="4"/>
  <c r="L199" i="13"/>
  <c r="N123" i="13"/>
  <c r="L104" i="13"/>
  <c r="E168" i="13"/>
  <c r="G168" i="13" s="1"/>
  <c r="G170" i="13"/>
  <c r="E175" i="13"/>
  <c r="G112" i="13"/>
  <c r="E137" i="13"/>
  <c r="Q15" i="15"/>
  <c r="Q20" i="15"/>
  <c r="Q19" i="15"/>
  <c r="Q18" i="15"/>
  <c r="Q17" i="15"/>
  <c r="Q16" i="15"/>
  <c r="Q14" i="15"/>
  <c r="P180" i="13"/>
  <c r="O180" i="13"/>
  <c r="P176" i="13"/>
  <c r="O176" i="13"/>
  <c r="P174" i="13"/>
  <c r="O174" i="13"/>
  <c r="P173" i="13"/>
  <c r="O173" i="13"/>
  <c r="P172" i="13"/>
  <c r="O172" i="13"/>
  <c r="O171" i="13"/>
  <c r="O168" i="13"/>
  <c r="P168" i="13"/>
  <c r="Q166" i="13"/>
  <c r="O138" i="13"/>
  <c r="L83" i="6"/>
  <c r="K83" i="6"/>
  <c r="N77" i="5"/>
  <c r="L77" i="4"/>
  <c r="M77" i="4"/>
  <c r="N77" i="4"/>
  <c r="W72" i="8"/>
  <c r="W71" i="8"/>
  <c r="W68" i="8"/>
  <c r="W67" i="8"/>
  <c r="X72" i="8"/>
  <c r="X71" i="8"/>
  <c r="X70" i="8"/>
  <c r="X69" i="8"/>
  <c r="X67" i="8"/>
  <c r="X66" i="8"/>
  <c r="W70" i="8"/>
  <c r="X68" i="6"/>
  <c r="W68" i="6"/>
  <c r="X67" i="6"/>
  <c r="W67" i="6"/>
  <c r="X66" i="6"/>
  <c r="W66" i="6"/>
  <c r="X65" i="6"/>
  <c r="W65" i="6"/>
  <c r="X64" i="6"/>
  <c r="W64" i="6"/>
  <c r="X63" i="6"/>
  <c r="W63" i="6"/>
  <c r="X62" i="6"/>
  <c r="W62" i="6"/>
  <c r="P136" i="13"/>
  <c r="P134" i="13"/>
  <c r="E138" i="13"/>
  <c r="O136" i="13"/>
  <c r="O134" i="13"/>
  <c r="E100" i="13"/>
  <c r="G100" i="13" s="1"/>
  <c r="E180" i="13"/>
  <c r="G165" i="13"/>
  <c r="G158" i="13"/>
  <c r="E142" i="13"/>
  <c r="E141" i="13"/>
  <c r="G141" i="13" s="1"/>
  <c r="G140" i="13"/>
  <c r="I139" i="13"/>
  <c r="P125" i="13" s="1"/>
  <c r="G135" i="13"/>
  <c r="H25" i="11"/>
  <c r="G10" i="11" s="1"/>
  <c r="I110" i="13" s="1"/>
  <c r="B93" i="6" l="1"/>
  <c r="I42" i="6" s="1"/>
  <c r="I34" i="4"/>
  <c r="I108" i="13" s="1"/>
  <c r="C90" i="3"/>
  <c r="I40" i="6" s="1"/>
  <c r="K42" i="8"/>
  <c r="R31" i="11" s="1"/>
  <c r="O70" i="4"/>
  <c r="E176" i="13"/>
  <c r="G176" i="13" s="1"/>
  <c r="E172" i="13"/>
  <c r="G172" i="13" s="1"/>
  <c r="G163" i="13"/>
  <c r="I163" i="13" s="1"/>
  <c r="G142" i="13"/>
  <c r="E174" i="13"/>
  <c r="G180" i="13"/>
  <c r="G179" i="13"/>
  <c r="E177" i="13"/>
  <c r="E173" i="13"/>
  <c r="G173" i="13" s="1"/>
  <c r="I165" i="13"/>
  <c r="G169" i="13"/>
  <c r="S31" i="11" l="1"/>
  <c r="G36" i="6"/>
  <c r="I44" i="8"/>
  <c r="I34" i="5"/>
  <c r="G175" i="13"/>
  <c r="G174" i="13"/>
  <c r="G177" i="13"/>
  <c r="AM90" i="8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M76" i="8"/>
  <c r="AM75" i="8"/>
  <c r="AM74" i="8"/>
  <c r="AM73" i="8"/>
  <c r="AM72" i="8"/>
  <c r="AM71" i="8"/>
  <c r="AM86" i="6"/>
  <c r="AM85" i="6"/>
  <c r="AM84" i="6"/>
  <c r="AM83" i="6"/>
  <c r="AM82" i="6"/>
  <c r="AM81" i="6"/>
  <c r="AM80" i="6"/>
  <c r="AM79" i="6"/>
  <c r="AM78" i="6"/>
  <c r="AM77" i="6"/>
  <c r="AM76" i="6"/>
  <c r="AM75" i="6"/>
  <c r="AM74" i="6"/>
  <c r="AM73" i="6"/>
  <c r="AM72" i="6"/>
  <c r="AM71" i="6"/>
  <c r="AM70" i="6"/>
  <c r="AM69" i="6"/>
  <c r="AM68" i="6"/>
  <c r="AM67" i="6"/>
  <c r="AN80" i="5"/>
  <c r="AN79" i="5"/>
  <c r="AN78" i="5"/>
  <c r="AN77" i="5"/>
  <c r="AN76" i="5"/>
  <c r="AN75" i="5"/>
  <c r="AN74" i="5"/>
  <c r="AN73" i="5"/>
  <c r="AN72" i="5"/>
  <c r="AN71" i="5"/>
  <c r="AN70" i="5"/>
  <c r="AN69" i="5"/>
  <c r="AN68" i="5"/>
  <c r="AN67" i="5"/>
  <c r="AN66" i="5"/>
  <c r="AN65" i="5"/>
  <c r="AN64" i="5"/>
  <c r="AN63" i="5"/>
  <c r="AN62" i="5"/>
  <c r="AN61" i="5"/>
  <c r="AN80" i="4"/>
  <c r="AN79" i="4"/>
  <c r="AN78" i="4"/>
  <c r="AN77" i="4"/>
  <c r="AN76" i="4"/>
  <c r="AN75" i="4"/>
  <c r="AN74" i="4"/>
  <c r="AN73" i="4"/>
  <c r="AN72" i="4"/>
  <c r="AN71" i="4"/>
  <c r="AN70" i="4"/>
  <c r="AN69" i="4"/>
  <c r="AN68" i="4"/>
  <c r="AN67" i="4"/>
  <c r="AN66" i="4"/>
  <c r="AN64" i="4"/>
  <c r="AN63" i="4"/>
  <c r="AN62" i="4"/>
  <c r="AN61" i="4"/>
  <c r="U112" i="21"/>
  <c r="AE108" i="21"/>
  <c r="AE104" i="21"/>
  <c r="AE103" i="21"/>
  <c r="AE102" i="21"/>
  <c r="AE101" i="21"/>
  <c r="AE100" i="21"/>
  <c r="AE94" i="21"/>
  <c r="AE92" i="21"/>
  <c r="AE91" i="21"/>
  <c r="AE83" i="21"/>
  <c r="G171" i="13" l="1"/>
  <c r="I171" i="13" s="1"/>
  <c r="AS45" i="8"/>
  <c r="AS46" i="8" s="1"/>
  <c r="AS47" i="8" s="1"/>
  <c r="AS48" i="8" s="1"/>
  <c r="AS49" i="8" s="1"/>
  <c r="AS50" i="8" s="1"/>
  <c r="AS51" i="8" s="1"/>
  <c r="AS52" i="8" s="1"/>
  <c r="AS53" i="8" s="1"/>
  <c r="AS54" i="8" s="1"/>
  <c r="AS55" i="8" s="1"/>
  <c r="AS41" i="6"/>
  <c r="AS42" i="6" s="1"/>
  <c r="AS43" i="6" s="1"/>
  <c r="AS44" i="6" s="1"/>
  <c r="AS45" i="6" s="1"/>
  <c r="AS46" i="6" s="1"/>
  <c r="AS47" i="6" s="1"/>
  <c r="AS48" i="6" s="1"/>
  <c r="AS49" i="6" s="1"/>
  <c r="AS50" i="6" s="1"/>
  <c r="AS51" i="6" s="1"/>
  <c r="FH58" i="20" l="1"/>
  <c r="GD58" i="20"/>
  <c r="DZ68" i="20"/>
  <c r="DZ74" i="20" s="1"/>
  <c r="HK68" i="20"/>
  <c r="IF68" i="20"/>
  <c r="EA79" i="20"/>
  <c r="EA80" i="20" s="1"/>
  <c r="EA81" i="20" s="1"/>
  <c r="EA82" i="20" s="1"/>
  <c r="EA83" i="20"/>
  <c r="EB85" i="20"/>
  <c r="EB86" i="20"/>
  <c r="EB87" i="20"/>
  <c r="EB88" i="20"/>
  <c r="EB89" i="20"/>
  <c r="EB90" i="20"/>
  <c r="EB91" i="20"/>
  <c r="EB92" i="20"/>
  <c r="EB93" i="20"/>
  <c r="EA94" i="20"/>
  <c r="EA95" i="20" s="1"/>
  <c r="EA96" i="20" s="1"/>
  <c r="EA97" i="20" s="1"/>
  <c r="EA98" i="20" s="1"/>
  <c r="EB94" i="20"/>
  <c r="EB95" i="20"/>
  <c r="EB96" i="20"/>
  <c r="EB97" i="20"/>
  <c r="EB98" i="20"/>
  <c r="EB101" i="20"/>
  <c r="EB102" i="20"/>
  <c r="EB103" i="20"/>
  <c r="EB104" i="20"/>
  <c r="EB105" i="20"/>
  <c r="EB106" i="20"/>
  <c r="EB107" i="20"/>
  <c r="EB108" i="20"/>
  <c r="EB109" i="20"/>
  <c r="EB110" i="20"/>
  <c r="EB111" i="20"/>
  <c r="EB112" i="20"/>
  <c r="EB113" i="20"/>
  <c r="EB114" i="20"/>
  <c r="EB115" i="20"/>
  <c r="EB117" i="20"/>
  <c r="EB118" i="20"/>
  <c r="EB119" i="20"/>
  <c r="EB120" i="20"/>
  <c r="EB121" i="20"/>
  <c r="EB122" i="20"/>
  <c r="EB123" i="20"/>
  <c r="EB124" i="20"/>
  <c r="EB125" i="20"/>
  <c r="EB126" i="20"/>
  <c r="EB127" i="20"/>
  <c r="EB128" i="20"/>
  <c r="EB129" i="20"/>
  <c r="EB130" i="20"/>
  <c r="EB131" i="20"/>
  <c r="GB183" i="20"/>
  <c r="GC183" i="20"/>
  <c r="DZ198" i="20"/>
  <c r="EN198" i="20"/>
  <c r="FB198" i="20"/>
  <c r="FP198" i="20"/>
  <c r="GH198" i="20"/>
  <c r="GV198" i="20"/>
  <c r="HJ198" i="20"/>
  <c r="HX198" i="20"/>
  <c r="GB415" i="20"/>
  <c r="GC415" i="20"/>
  <c r="DZ430" i="20"/>
  <c r="EN430" i="20"/>
  <c r="FB430" i="20"/>
  <c r="FP430" i="20"/>
  <c r="GH430" i="20"/>
  <c r="GV430" i="20"/>
  <c r="HJ430" i="20"/>
  <c r="HX430" i="20"/>
  <c r="D20" i="3"/>
  <c r="P10" i="11" s="1"/>
  <c r="AW5" i="11" s="1"/>
  <c r="F115" i="4"/>
  <c r="CB257" i="21"/>
  <c r="CA257" i="21"/>
  <c r="BZ257" i="21"/>
  <c r="BY257" i="21"/>
  <c r="BX257" i="21"/>
  <c r="BW257" i="21"/>
  <c r="BV257" i="21"/>
  <c r="BU257" i="21"/>
  <c r="BT257" i="21"/>
  <c r="BS257" i="21"/>
  <c r="BR257" i="21"/>
  <c r="BQ257" i="21"/>
  <c r="BP257" i="21"/>
  <c r="BO257" i="21"/>
  <c r="BN257" i="21"/>
  <c r="BM257" i="21"/>
  <c r="BL257" i="21"/>
  <c r="BK257" i="21"/>
  <c r="BJ257" i="21"/>
  <c r="BI257" i="21"/>
  <c r="BH257" i="21"/>
  <c r="BG257" i="21"/>
  <c r="BF257" i="21"/>
  <c r="BE257" i="21"/>
  <c r="BF256" i="21"/>
  <c r="BG256" i="21" s="1"/>
  <c r="BH256" i="21" s="1"/>
  <c r="BI256" i="21" s="1"/>
  <c r="BJ256" i="21" s="1"/>
  <c r="BK256" i="21" s="1"/>
  <c r="BL256" i="21" s="1"/>
  <c r="BM256" i="21" s="1"/>
  <c r="BT255" i="21"/>
  <c r="BU255" i="21" s="1"/>
  <c r="BV255" i="21" s="1"/>
  <c r="BW255" i="21" s="1"/>
  <c r="BX255" i="21" s="1"/>
  <c r="BY255" i="21" s="1"/>
  <c r="BZ255" i="21" s="1"/>
  <c r="CA255" i="21" s="1"/>
  <c r="CB255" i="21" s="1"/>
  <c r="BM255" i="21"/>
  <c r="BN255" i="21" s="1"/>
  <c r="BO255" i="21" s="1"/>
  <c r="BP255" i="21" s="1"/>
  <c r="BQ255" i="21" s="1"/>
  <c r="BR255" i="21" s="1"/>
  <c r="BL255" i="21"/>
  <c r="BF255" i="21"/>
  <c r="BG255" i="21" s="1"/>
  <c r="BH255" i="21" s="1"/>
  <c r="BI255" i="21" s="1"/>
  <c r="BJ255" i="21" s="1"/>
  <c r="BT254" i="21"/>
  <c r="BU254" i="21" s="1"/>
  <c r="BV254" i="21" s="1"/>
  <c r="BO254" i="21"/>
  <c r="BP254" i="21" s="1"/>
  <c r="BN254" i="21"/>
  <c r="BF254" i="21"/>
  <c r="BG254" i="21" s="1"/>
  <c r="BH254" i="21" s="1"/>
  <c r="CB249" i="21"/>
  <c r="CA249" i="21"/>
  <c r="BZ249" i="21"/>
  <c r="BY249" i="21"/>
  <c r="BX249" i="21"/>
  <c r="BW249" i="21"/>
  <c r="BV249" i="21"/>
  <c r="BU249" i="21"/>
  <c r="BT249" i="21"/>
  <c r="BS249" i="21"/>
  <c r="BR249" i="21"/>
  <c r="BQ249" i="21"/>
  <c r="BP249" i="21"/>
  <c r="BO249" i="21"/>
  <c r="BN249" i="21"/>
  <c r="BM249" i="21"/>
  <c r="BL249" i="21"/>
  <c r="BK249" i="21"/>
  <c r="BJ249" i="21"/>
  <c r="BI249" i="21"/>
  <c r="BH249" i="21"/>
  <c r="BG249" i="21"/>
  <c r="BF249" i="21"/>
  <c r="BE249" i="21"/>
  <c r="BD249" i="21"/>
  <c r="CO217" i="21"/>
  <c r="CN217" i="21"/>
  <c r="CM217" i="21"/>
  <c r="CL217" i="21"/>
  <c r="CK217" i="21"/>
  <c r="CJ217" i="21"/>
  <c r="CI217" i="21"/>
  <c r="CH217" i="21"/>
  <c r="CG217" i="21"/>
  <c r="CF217" i="21"/>
  <c r="CE217" i="21"/>
  <c r="CD217" i="21"/>
  <c r="CC217" i="21"/>
  <c r="CB217" i="21"/>
  <c r="CA217" i="21"/>
  <c r="BZ217" i="21"/>
  <c r="BY217" i="21"/>
  <c r="BX217" i="21"/>
  <c r="BW217" i="21"/>
  <c r="BV217" i="21"/>
  <c r="BU217" i="21"/>
  <c r="BT217" i="21"/>
  <c r="BS217" i="21"/>
  <c r="BR217" i="21"/>
  <c r="BS216" i="21"/>
  <c r="BT216" i="21" s="1"/>
  <c r="BU216" i="21" s="1"/>
  <c r="CG215" i="21"/>
  <c r="CH215" i="21" s="1"/>
  <c r="CI215" i="21" s="1"/>
  <c r="CJ215" i="21" s="1"/>
  <c r="CK215" i="21" s="1"/>
  <c r="CL215" i="21" s="1"/>
  <c r="CM215" i="21" s="1"/>
  <c r="CN215" i="21" s="1"/>
  <c r="CO215" i="21" s="1"/>
  <c r="BY215" i="21"/>
  <c r="BZ215" i="21" s="1"/>
  <c r="CA215" i="21" s="1"/>
  <c r="CB215" i="21" s="1"/>
  <c r="CC215" i="21" s="1"/>
  <c r="CD215" i="21" s="1"/>
  <c r="CE215" i="21" s="1"/>
  <c r="BS215" i="21"/>
  <c r="BT215" i="21" s="1"/>
  <c r="BU215" i="21" s="1"/>
  <c r="BV215" i="21" s="1"/>
  <c r="BW215" i="21" s="1"/>
  <c r="CG214" i="21"/>
  <c r="CH214" i="21" s="1"/>
  <c r="CI214" i="21" s="1"/>
  <c r="CJ214" i="21" s="1"/>
  <c r="CK214" i="21" s="1"/>
  <c r="CA214" i="21"/>
  <c r="BS214" i="21"/>
  <c r="BT214" i="21" s="1"/>
  <c r="BU214" i="21" s="1"/>
  <c r="BV214" i="21" s="1"/>
  <c r="BW214" i="21" s="1"/>
  <c r="CO209" i="21"/>
  <c r="CN209" i="21"/>
  <c r="CM209" i="21"/>
  <c r="CL209" i="21"/>
  <c r="CK209" i="21"/>
  <c r="CJ209" i="21"/>
  <c r="CI209" i="21"/>
  <c r="CH209" i="21"/>
  <c r="CG209" i="21"/>
  <c r="CF209" i="21"/>
  <c r="CE209" i="21"/>
  <c r="CD209" i="21"/>
  <c r="CC209" i="21"/>
  <c r="CB209" i="21"/>
  <c r="CA209" i="21"/>
  <c r="BZ209" i="21"/>
  <c r="BY209" i="21"/>
  <c r="BX209" i="21"/>
  <c r="BW209" i="21"/>
  <c r="BV209" i="21"/>
  <c r="BU209" i="21"/>
  <c r="BT209" i="21"/>
  <c r="BS209" i="21"/>
  <c r="BR209" i="21"/>
  <c r="CB201" i="21"/>
  <c r="CA201" i="21"/>
  <c r="BZ201" i="21"/>
  <c r="BY201" i="21"/>
  <c r="BX201" i="21"/>
  <c r="BW201" i="21"/>
  <c r="BV201" i="21"/>
  <c r="BU201" i="21"/>
  <c r="BT201" i="21"/>
  <c r="BS201" i="21"/>
  <c r="BR201" i="21"/>
  <c r="BQ201" i="21"/>
  <c r="BP201" i="21"/>
  <c r="BO201" i="21"/>
  <c r="BN201" i="21"/>
  <c r="BM201" i="21"/>
  <c r="BL201" i="21"/>
  <c r="BK201" i="21"/>
  <c r="BJ201" i="21"/>
  <c r="BI201" i="21"/>
  <c r="BH201" i="21"/>
  <c r="BG201" i="21"/>
  <c r="BF201" i="21"/>
  <c r="BE201" i="21"/>
  <c r="BF200" i="21"/>
  <c r="BG200" i="21" s="1"/>
  <c r="BH200" i="21" s="1"/>
  <c r="BT199" i="21"/>
  <c r="BU199" i="21" s="1"/>
  <c r="BV199" i="21" s="1"/>
  <c r="BW199" i="21" s="1"/>
  <c r="BX199" i="21" s="1"/>
  <c r="BY199" i="21" s="1"/>
  <c r="BZ199" i="21" s="1"/>
  <c r="CA199" i="21" s="1"/>
  <c r="CB199" i="21" s="1"/>
  <c r="BL199" i="21"/>
  <c r="BM199" i="21" s="1"/>
  <c r="BN199" i="21" s="1"/>
  <c r="BO199" i="21" s="1"/>
  <c r="BP199" i="21" s="1"/>
  <c r="BQ199" i="21" s="1"/>
  <c r="BR199" i="21" s="1"/>
  <c r="BF199" i="21"/>
  <c r="BG199" i="21" s="1"/>
  <c r="BH199" i="21" s="1"/>
  <c r="BI199" i="21" s="1"/>
  <c r="BJ199" i="21" s="1"/>
  <c r="BT198" i="21"/>
  <c r="BU198" i="21" s="1"/>
  <c r="BV198" i="21" s="1"/>
  <c r="BW198" i="21" s="1"/>
  <c r="BX198" i="21" s="1"/>
  <c r="BN198" i="21"/>
  <c r="BF198" i="21"/>
  <c r="BG198" i="21" s="1"/>
  <c r="BH198" i="21" s="1"/>
  <c r="BI198" i="21" s="1"/>
  <c r="BJ198" i="21" s="1"/>
  <c r="CB193" i="21"/>
  <c r="CA193" i="21"/>
  <c r="BZ193" i="21"/>
  <c r="BY193" i="21"/>
  <c r="BX193" i="21"/>
  <c r="BW193" i="21"/>
  <c r="BV193" i="21"/>
  <c r="BU193" i="21"/>
  <c r="BT193" i="21"/>
  <c r="BS193" i="21"/>
  <c r="BR193" i="21"/>
  <c r="BQ193" i="21"/>
  <c r="BP193" i="21"/>
  <c r="BO193" i="21"/>
  <c r="BN193" i="21"/>
  <c r="BM193" i="21"/>
  <c r="BL193" i="21"/>
  <c r="BK193" i="21"/>
  <c r="BJ193" i="21"/>
  <c r="BI193" i="21"/>
  <c r="BH193" i="21"/>
  <c r="BG193" i="21"/>
  <c r="BF193" i="21"/>
  <c r="BE193" i="21"/>
  <c r="BQ209" i="21"/>
  <c r="BD193" i="21"/>
  <c r="BQ155" i="21"/>
  <c r="BE139" i="21"/>
  <c r="BF139" i="21"/>
  <c r="BG139" i="21"/>
  <c r="BH139" i="21"/>
  <c r="BI139" i="21"/>
  <c r="BJ139" i="21"/>
  <c r="BK139" i="21"/>
  <c r="BL139" i="21"/>
  <c r="BM139" i="21"/>
  <c r="BN139" i="21"/>
  <c r="BO139" i="21"/>
  <c r="BP139" i="21"/>
  <c r="BQ139" i="21"/>
  <c r="BR139" i="21"/>
  <c r="BS139" i="21"/>
  <c r="BT139" i="21"/>
  <c r="BU139" i="21"/>
  <c r="BV139" i="21"/>
  <c r="BW139" i="21"/>
  <c r="BX139" i="21"/>
  <c r="BY139" i="21"/>
  <c r="BZ139" i="21"/>
  <c r="CA139" i="21"/>
  <c r="CB139" i="21"/>
  <c r="CC139" i="21"/>
  <c r="CD139" i="21"/>
  <c r="CE139" i="21"/>
  <c r="CF139" i="21"/>
  <c r="CG139" i="21"/>
  <c r="BD139" i="21"/>
  <c r="CG90" i="21"/>
  <c r="CF90" i="21"/>
  <c r="CC90" i="21"/>
  <c r="CB90" i="21"/>
  <c r="BY90" i="21"/>
  <c r="BX90" i="21"/>
  <c r="BU90" i="21"/>
  <c r="BT90" i="21"/>
  <c r="BP90" i="21"/>
  <c r="BM90" i="21"/>
  <c r="BL90" i="21"/>
  <c r="BI90" i="21"/>
  <c r="BH90" i="21"/>
  <c r="BE90" i="21"/>
  <c r="AE95" i="21"/>
  <c r="CH90" i="21"/>
  <c r="BV90" i="21"/>
  <c r="BQ90" i="21"/>
  <c r="BN90" i="21"/>
  <c r="CE89" i="21"/>
  <c r="CF89" i="21" s="1"/>
  <c r="CG89" i="21" s="1"/>
  <c r="CH89" i="21" s="1"/>
  <c r="CC89" i="21"/>
  <c r="CH87" i="21"/>
  <c r="CG87" i="21"/>
  <c r="CF87" i="21"/>
  <c r="CE87" i="21"/>
  <c r="CD87" i="21"/>
  <c r="CC87" i="21"/>
  <c r="CB87" i="21"/>
  <c r="CA87" i="21"/>
  <c r="BZ87" i="21"/>
  <c r="BY87" i="21"/>
  <c r="BX87" i="21"/>
  <c r="BW87" i="21"/>
  <c r="BV87" i="21"/>
  <c r="BU87" i="21"/>
  <c r="BT87" i="21"/>
  <c r="BS87" i="21"/>
  <c r="BR87" i="21"/>
  <c r="BQ87" i="21"/>
  <c r="BP87" i="21"/>
  <c r="BO87" i="21"/>
  <c r="BN87" i="21"/>
  <c r="BM87" i="21"/>
  <c r="BL87" i="21"/>
  <c r="BK87" i="21"/>
  <c r="BJ87" i="21"/>
  <c r="BI87" i="21"/>
  <c r="BH87" i="21"/>
  <c r="BG87" i="21"/>
  <c r="BF87" i="21"/>
  <c r="BE87" i="21"/>
  <c r="BD87" i="21"/>
  <c r="U6" i="3"/>
  <c r="E25" i="3"/>
  <c r="E266" i="21"/>
  <c r="D266" i="21"/>
  <c r="E265" i="21"/>
  <c r="D265" i="21"/>
  <c r="C265" i="21"/>
  <c r="E264" i="21"/>
  <c r="D264" i="21"/>
  <c r="C264" i="21"/>
  <c r="E263" i="21"/>
  <c r="D263" i="21"/>
  <c r="C263" i="21"/>
  <c r="F105" i="21"/>
  <c r="E105" i="21"/>
  <c r="F104" i="21"/>
  <c r="E104" i="21"/>
  <c r="D104" i="21"/>
  <c r="F103" i="21"/>
  <c r="E103" i="21"/>
  <c r="D103" i="21"/>
  <c r="F102" i="21"/>
  <c r="E102" i="21"/>
  <c r="D102" i="21"/>
  <c r="E157" i="21"/>
  <c r="D157" i="21"/>
  <c r="E156" i="21"/>
  <c r="D156" i="21"/>
  <c r="C156" i="21"/>
  <c r="E155" i="21"/>
  <c r="D155" i="21"/>
  <c r="C155" i="21"/>
  <c r="E154" i="21"/>
  <c r="D154" i="21"/>
  <c r="C154" i="21"/>
  <c r="AE84" i="21"/>
  <c r="AE85" i="21"/>
  <c r="AE86" i="21"/>
  <c r="AE87" i="21"/>
  <c r="AE88" i="21"/>
  <c r="AE89" i="21"/>
  <c r="AE90" i="21"/>
  <c r="AE93" i="21"/>
  <c r="AE96" i="21"/>
  <c r="AE97" i="21"/>
  <c r="AE98" i="21"/>
  <c r="AE99" i="21"/>
  <c r="AE105" i="21"/>
  <c r="AE106" i="21"/>
  <c r="AE107" i="21"/>
  <c r="AE109" i="21"/>
  <c r="AE110" i="21"/>
  <c r="AE111" i="21"/>
  <c r="AE112" i="21"/>
  <c r="F7" i="15"/>
  <c r="F8" i="15" s="1"/>
  <c r="F9" i="15" s="1"/>
  <c r="F5" i="15"/>
  <c r="F38" i="15" s="1"/>
  <c r="F4" i="15"/>
  <c r="F37" i="15"/>
  <c r="D32" i="21"/>
  <c r="D31" i="21"/>
  <c r="N112" i="13"/>
  <c r="C33" i="21"/>
  <c r="B33" i="21"/>
  <c r="C32" i="21"/>
  <c r="B32" i="21"/>
  <c r="A32" i="21"/>
  <c r="C31" i="21"/>
  <c r="B31" i="21"/>
  <c r="A31" i="21"/>
  <c r="D30" i="21"/>
  <c r="C30" i="21"/>
  <c r="B30" i="21"/>
  <c r="A30" i="21"/>
  <c r="L115" i="4"/>
  <c r="N113" i="13"/>
  <c r="BE51" i="21"/>
  <c r="BF51" i="21"/>
  <c r="BG51" i="21"/>
  <c r="BH51" i="21"/>
  <c r="BI51" i="21"/>
  <c r="BJ51" i="21"/>
  <c r="BK51" i="21"/>
  <c r="BL51" i="21"/>
  <c r="E47" i="21"/>
  <c r="AA55" i="21"/>
  <c r="AA56" i="21"/>
  <c r="BE53" i="21"/>
  <c r="AA57" i="21"/>
  <c r="BE54" i="21"/>
  <c r="AA58" i="21"/>
  <c r="BE55" i="21"/>
  <c r="BE56" i="21"/>
  <c r="AA60" i="21"/>
  <c r="AA61" i="21"/>
  <c r="L37" i="5" s="1"/>
  <c r="AA62" i="21"/>
  <c r="L38" i="5" s="1"/>
  <c r="BE59" i="21"/>
  <c r="AA63" i="21"/>
  <c r="L39" i="5" s="1"/>
  <c r="BE60" i="21"/>
  <c r="BE61" i="21"/>
  <c r="AA65" i="21"/>
  <c r="K46" i="6" s="1"/>
  <c r="BE62" i="21"/>
  <c r="AA66" i="21"/>
  <c r="K47" i="6" s="1"/>
  <c r="AA67" i="21"/>
  <c r="BE64" i="21"/>
  <c r="AA68" i="21"/>
  <c r="K49" i="6" s="1"/>
  <c r="BE65" i="21"/>
  <c r="BE66" i="21"/>
  <c r="AA70" i="21"/>
  <c r="K50" i="8" s="1"/>
  <c r="BE67" i="21"/>
  <c r="AA71" i="21"/>
  <c r="AA72" i="21"/>
  <c r="K52" i="8" s="1"/>
  <c r="BE69" i="21"/>
  <c r="AA73" i="21"/>
  <c r="K53" i="8" s="1"/>
  <c r="BE70" i="21"/>
  <c r="BE71" i="21"/>
  <c r="BE72" i="21"/>
  <c r="R82" i="21"/>
  <c r="CD90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5" i="21"/>
  <c r="R106" i="21"/>
  <c r="R107" i="21"/>
  <c r="R108" i="21"/>
  <c r="R109" i="21"/>
  <c r="T110" i="21"/>
  <c r="T111" i="21" s="1"/>
  <c r="T112" i="21" s="1"/>
  <c r="R110" i="21"/>
  <c r="R111" i="21"/>
  <c r="R112" i="21"/>
  <c r="R134" i="21"/>
  <c r="AK134" i="21"/>
  <c r="H135" i="21"/>
  <c r="CB158" i="21" s="1"/>
  <c r="R135" i="21"/>
  <c r="AK135" i="21"/>
  <c r="R136" i="21"/>
  <c r="AK136" i="21"/>
  <c r="R137" i="21"/>
  <c r="AK137" i="21"/>
  <c r="R138" i="21"/>
  <c r="AK138" i="21"/>
  <c r="R139" i="21"/>
  <c r="AK139" i="21"/>
  <c r="R140" i="21"/>
  <c r="AK140" i="21"/>
  <c r="R141" i="21"/>
  <c r="AK141" i="21"/>
  <c r="R142" i="21"/>
  <c r="AK142" i="21"/>
  <c r="R143" i="21"/>
  <c r="AK143" i="21"/>
  <c r="R144" i="21"/>
  <c r="AK144" i="21"/>
  <c r="R145" i="21"/>
  <c r="AK145" i="21"/>
  <c r="R146" i="21"/>
  <c r="AK146" i="21"/>
  <c r="R147" i="21"/>
  <c r="AK147" i="21"/>
  <c r="R148" i="21"/>
  <c r="AK148" i="21"/>
  <c r="R149" i="21"/>
  <c r="AK149" i="21"/>
  <c r="R150" i="21"/>
  <c r="R151" i="21"/>
  <c r="AK150" i="21"/>
  <c r="R152" i="21"/>
  <c r="AK151" i="21"/>
  <c r="R153" i="21"/>
  <c r="AK152" i="21"/>
  <c r="R154" i="21"/>
  <c r="AK153" i="21"/>
  <c r="AK154" i="21"/>
  <c r="R155" i="21"/>
  <c r="AK155" i="21"/>
  <c r="R156" i="21"/>
  <c r="AK156" i="21"/>
  <c r="R157" i="21"/>
  <c r="AK157" i="21"/>
  <c r="R158" i="21"/>
  <c r="AK158" i="21"/>
  <c r="R159" i="21"/>
  <c r="AK159" i="21"/>
  <c r="R160" i="21"/>
  <c r="R161" i="21"/>
  <c r="R162" i="21"/>
  <c r="R163" i="21"/>
  <c r="R188" i="21"/>
  <c r="H189" i="21"/>
  <c r="K57" i="21" s="1"/>
  <c r="AH57" i="21" s="1"/>
  <c r="R189" i="21"/>
  <c r="Z189" i="21"/>
  <c r="AK189" i="21"/>
  <c r="R190" i="21"/>
  <c r="W190" i="21"/>
  <c r="W191" i="21" s="1"/>
  <c r="W192" i="21" s="1"/>
  <c r="W193" i="21" s="1"/>
  <c r="W194" i="21" s="1"/>
  <c r="W195" i="21" s="1"/>
  <c r="W196" i="21" s="1"/>
  <c r="X190" i="21"/>
  <c r="Y190" i="21"/>
  <c r="Y191" i="21" s="1"/>
  <c r="Y192" i="21" s="1"/>
  <c r="Y193" i="21" s="1"/>
  <c r="Y194" i="21" s="1"/>
  <c r="Y195" i="21" s="1"/>
  <c r="Z190" i="21"/>
  <c r="AK190" i="21"/>
  <c r="AS190" i="21"/>
  <c r="R191" i="21"/>
  <c r="X191" i="21"/>
  <c r="X192" i="21" s="1"/>
  <c r="X193" i="21" s="1"/>
  <c r="Z191" i="21"/>
  <c r="AK191" i="21"/>
  <c r="AP191" i="21"/>
  <c r="AQ191" i="21"/>
  <c r="AQ192" i="21" s="1"/>
  <c r="AQ193" i="21" s="1"/>
  <c r="AQ194" i="21" s="1"/>
  <c r="AQ195" i="21" s="1"/>
  <c r="AR191" i="21"/>
  <c r="AR192" i="21" s="1"/>
  <c r="AR193" i="21" s="1"/>
  <c r="AR194" i="21" s="1"/>
  <c r="AR195" i="21" s="1"/>
  <c r="AR196" i="21" s="1"/>
  <c r="AR197" i="21" s="1"/>
  <c r="AR198" i="21" s="1"/>
  <c r="AS191" i="21"/>
  <c r="R192" i="21"/>
  <c r="Z192" i="21"/>
  <c r="AK192" i="21"/>
  <c r="AS192" i="21"/>
  <c r="R193" i="21"/>
  <c r="Z193" i="21"/>
  <c r="AK193" i="21"/>
  <c r="AS193" i="21"/>
  <c r="R194" i="21"/>
  <c r="Z194" i="21"/>
  <c r="AK194" i="21"/>
  <c r="AS194" i="21"/>
  <c r="R195" i="21"/>
  <c r="Z195" i="21"/>
  <c r="AK195" i="21"/>
  <c r="AS195" i="21"/>
  <c r="R196" i="21"/>
  <c r="X196" i="21"/>
  <c r="X197" i="21" s="1"/>
  <c r="Z196" i="21"/>
  <c r="AK196" i="21"/>
  <c r="AS196" i="21"/>
  <c r="R197" i="21"/>
  <c r="Z197" i="21"/>
  <c r="AK197" i="21"/>
  <c r="AQ197" i="21"/>
  <c r="AQ198" i="21" s="1"/>
  <c r="AQ199" i="21" s="1"/>
  <c r="AQ200" i="21" s="1"/>
  <c r="AQ201" i="21" s="1"/>
  <c r="AQ202" i="21" s="1"/>
  <c r="AQ203" i="21" s="1"/>
  <c r="AS197" i="21"/>
  <c r="R198" i="21"/>
  <c r="W198" i="21"/>
  <c r="Z198" i="21"/>
  <c r="AK198" i="21"/>
  <c r="AS198" i="21"/>
  <c r="R199" i="21"/>
  <c r="Z199" i="21"/>
  <c r="AK199" i="21"/>
  <c r="AP199" i="21"/>
  <c r="AP200" i="21" s="1"/>
  <c r="AP201" i="21" s="1"/>
  <c r="AP202" i="21" s="1"/>
  <c r="AS199" i="21"/>
  <c r="R200" i="21"/>
  <c r="Z200" i="21"/>
  <c r="AK200" i="21"/>
  <c r="AS200" i="21"/>
  <c r="R201" i="21"/>
  <c r="Z201" i="21"/>
  <c r="AK201" i="21"/>
  <c r="AS201" i="21"/>
  <c r="R202" i="21"/>
  <c r="Z202" i="21"/>
  <c r="AK202" i="21"/>
  <c r="AS202" i="21"/>
  <c r="R203" i="21"/>
  <c r="Z203" i="21"/>
  <c r="AK203" i="21"/>
  <c r="AS203" i="21"/>
  <c r="R204" i="21"/>
  <c r="W204" i="21"/>
  <c r="W205" i="21" s="1"/>
  <c r="W206" i="21" s="1"/>
  <c r="W207" i="21" s="1"/>
  <c r="X204" i="21"/>
  <c r="X205" i="21" s="1"/>
  <c r="X206" i="21" s="1"/>
  <c r="X207" i="21" s="1"/>
  <c r="X208" i="21" s="1"/>
  <c r="X209" i="21" s="1"/>
  <c r="X210" i="21" s="1"/>
  <c r="X211" i="21" s="1"/>
  <c r="X212" i="21" s="1"/>
  <c r="Z204" i="21"/>
  <c r="AK204" i="21"/>
  <c r="AS204" i="21"/>
  <c r="R205" i="21"/>
  <c r="Z205" i="21"/>
  <c r="AK205" i="21"/>
  <c r="AP205" i="21"/>
  <c r="AP206" i="21" s="1"/>
  <c r="AQ205" i="21"/>
  <c r="AQ206" i="21" s="1"/>
  <c r="AQ207" i="21" s="1"/>
  <c r="AQ208" i="21" s="1"/>
  <c r="AQ209" i="21" s="1"/>
  <c r="AQ210" i="21" s="1"/>
  <c r="AQ211" i="21" s="1"/>
  <c r="AQ212" i="21" s="1"/>
  <c r="AQ213" i="21" s="1"/>
  <c r="AS205" i="21"/>
  <c r="R206" i="21"/>
  <c r="Z206" i="21"/>
  <c r="AK206" i="21"/>
  <c r="AS206" i="21"/>
  <c r="B207" i="21"/>
  <c r="C207" i="21"/>
  <c r="D207" i="21"/>
  <c r="R207" i="21"/>
  <c r="Z207" i="21"/>
  <c r="AK207" i="21"/>
  <c r="AS207" i="21"/>
  <c r="B208" i="21"/>
  <c r="C208" i="21"/>
  <c r="D208" i="21"/>
  <c r="R208" i="21"/>
  <c r="Z208" i="21"/>
  <c r="AK208" i="21"/>
  <c r="AS208" i="21"/>
  <c r="B209" i="21"/>
  <c r="C209" i="21"/>
  <c r="D209" i="21"/>
  <c r="R209" i="21"/>
  <c r="Z209" i="21"/>
  <c r="AK209" i="21"/>
  <c r="AS209" i="21"/>
  <c r="C210" i="21"/>
  <c r="D210" i="21"/>
  <c r="R210" i="21"/>
  <c r="Z210" i="21"/>
  <c r="AK210" i="21"/>
  <c r="AS210" i="21"/>
  <c r="R211" i="21"/>
  <c r="Z211" i="21"/>
  <c r="AK211" i="21"/>
  <c r="AS211" i="21"/>
  <c r="R212" i="21"/>
  <c r="Z212" i="21"/>
  <c r="AK212" i="21"/>
  <c r="AS212" i="21"/>
  <c r="AK213" i="21"/>
  <c r="AS213" i="21"/>
  <c r="R244" i="21"/>
  <c r="H245" i="21"/>
  <c r="CN268" i="21" s="1"/>
  <c r="R245" i="21"/>
  <c r="Z245" i="21"/>
  <c r="AK245" i="21"/>
  <c r="R246" i="21"/>
  <c r="W246" i="21"/>
  <c r="W247" i="21" s="1"/>
  <c r="X246" i="21"/>
  <c r="X247" i="21" s="1"/>
  <c r="X248" i="21" s="1"/>
  <c r="X249" i="21" s="1"/>
  <c r="X250" i="21" s="1"/>
  <c r="Y246" i="21"/>
  <c r="Z246" i="21"/>
  <c r="AK246" i="21"/>
  <c r="AS246" i="21"/>
  <c r="R247" i="21"/>
  <c r="Y247" i="21"/>
  <c r="Z247" i="21"/>
  <c r="AK247" i="21"/>
  <c r="AP247" i="21"/>
  <c r="AQ247" i="21"/>
  <c r="AR247" i="21"/>
  <c r="AS247" i="21"/>
  <c r="R248" i="21"/>
  <c r="Y248" i="21"/>
  <c r="Z248" i="21"/>
  <c r="AK248" i="21"/>
  <c r="AP248" i="21"/>
  <c r="AQ248" i="21"/>
  <c r="AR248" i="21"/>
  <c r="AS248" i="21"/>
  <c r="R249" i="21"/>
  <c r="Y249" i="21"/>
  <c r="Z249" i="21"/>
  <c r="AK249" i="21"/>
  <c r="AP249" i="21"/>
  <c r="AQ249" i="21"/>
  <c r="AR249" i="21"/>
  <c r="AS249" i="21"/>
  <c r="R250" i="21"/>
  <c r="Y250" i="21"/>
  <c r="Y251" i="21" s="1"/>
  <c r="Y252" i="21" s="1"/>
  <c r="Y253" i="21" s="1"/>
  <c r="Y254" i="21" s="1"/>
  <c r="Y255" i="21" s="1"/>
  <c r="Y256" i="21" s="1"/>
  <c r="Y257" i="21" s="1"/>
  <c r="Y258" i="21" s="1"/>
  <c r="Y259" i="21" s="1"/>
  <c r="Z250" i="21"/>
  <c r="AK250" i="21"/>
  <c r="AP250" i="21"/>
  <c r="AP251" i="21" s="1"/>
  <c r="AQ250" i="21"/>
  <c r="AQ251" i="21" s="1"/>
  <c r="AR250" i="21"/>
  <c r="AR251" i="21" s="1"/>
  <c r="AR252" i="21" s="1"/>
  <c r="AR253" i="21" s="1"/>
  <c r="AR254" i="21" s="1"/>
  <c r="AR255" i="21" s="1"/>
  <c r="AR256" i="21" s="1"/>
  <c r="AR257" i="21" s="1"/>
  <c r="AR258" i="21" s="1"/>
  <c r="AR259" i="21" s="1"/>
  <c r="AR260" i="21" s="1"/>
  <c r="AS250" i="21"/>
  <c r="R251" i="21"/>
  <c r="Z251" i="21"/>
  <c r="AK251" i="21"/>
  <c r="AS251" i="21"/>
  <c r="R252" i="21"/>
  <c r="X252" i="21"/>
  <c r="X253" i="21" s="1"/>
  <c r="X254" i="21" s="1"/>
  <c r="Z252" i="21"/>
  <c r="AK252" i="21"/>
  <c r="AS252" i="21"/>
  <c r="R253" i="21"/>
  <c r="Z253" i="21"/>
  <c r="AK253" i="21"/>
  <c r="AQ253" i="21"/>
  <c r="AQ254" i="21" s="1"/>
  <c r="AQ255" i="21" s="1"/>
  <c r="AQ256" i="21" s="1"/>
  <c r="AQ257" i="21" s="1"/>
  <c r="AQ258" i="21" s="1"/>
  <c r="AQ259" i="21" s="1"/>
  <c r="AS253" i="21"/>
  <c r="R254" i="21"/>
  <c r="W254" i="21"/>
  <c r="W255" i="21" s="1"/>
  <c r="W256" i="21" s="1"/>
  <c r="W257" i="21" s="1"/>
  <c r="W258" i="21" s="1"/>
  <c r="Z254" i="21"/>
  <c r="AK254" i="21"/>
  <c r="AS254" i="21"/>
  <c r="R255" i="21"/>
  <c r="Z255" i="21"/>
  <c r="AK255" i="21"/>
  <c r="AP255" i="21"/>
  <c r="AP256" i="21" s="1"/>
  <c r="AP257" i="21" s="1"/>
  <c r="AP258" i="21" s="1"/>
  <c r="AP259" i="21" s="1"/>
  <c r="AS255" i="21"/>
  <c r="R256" i="21"/>
  <c r="Z256" i="21"/>
  <c r="AK256" i="21"/>
  <c r="AS256" i="21"/>
  <c r="R257" i="21"/>
  <c r="Z257" i="21"/>
  <c r="AK257" i="21"/>
  <c r="AS257" i="21"/>
  <c r="R258" i="21"/>
  <c r="Z258" i="21"/>
  <c r="AK258" i="21"/>
  <c r="AS258" i="21"/>
  <c r="R259" i="21"/>
  <c r="Z259" i="21"/>
  <c r="AK259" i="21"/>
  <c r="AS259" i="21"/>
  <c r="R260" i="21"/>
  <c r="W260" i="21"/>
  <c r="W261" i="21" s="1"/>
  <c r="W262" i="21" s="1"/>
  <c r="W263" i="21" s="1"/>
  <c r="W264" i="21" s="1"/>
  <c r="W265" i="21" s="1"/>
  <c r="W266" i="21" s="1"/>
  <c r="W267" i="21" s="1"/>
  <c r="W268" i="21" s="1"/>
  <c r="X260" i="21"/>
  <c r="X261" i="21" s="1"/>
  <c r="Z260" i="21"/>
  <c r="AK260" i="21"/>
  <c r="AS260" i="21"/>
  <c r="R261" i="21"/>
  <c r="Z261" i="21"/>
  <c r="AK261" i="21"/>
  <c r="AP261" i="21"/>
  <c r="AP262" i="21" s="1"/>
  <c r="AP263" i="21" s="1"/>
  <c r="AP264" i="21" s="1"/>
  <c r="AP265" i="21" s="1"/>
  <c r="AP266" i="21" s="1"/>
  <c r="AP267" i="21" s="1"/>
  <c r="AP268" i="21" s="1"/>
  <c r="AP269" i="21" s="1"/>
  <c r="AQ261" i="21"/>
  <c r="AQ262" i="21" s="1"/>
  <c r="AQ263" i="21" s="1"/>
  <c r="AQ264" i="21" s="1"/>
  <c r="AQ265" i="21" s="1"/>
  <c r="AQ266" i="21" s="1"/>
  <c r="AQ267" i="21" s="1"/>
  <c r="AQ268" i="21" s="1"/>
  <c r="AQ269" i="21" s="1"/>
  <c r="AS261" i="21"/>
  <c r="R262" i="21"/>
  <c r="Z262" i="21"/>
  <c r="AK262" i="21"/>
  <c r="AS262" i="21"/>
  <c r="R263" i="21"/>
  <c r="Z263" i="21"/>
  <c r="AK263" i="21"/>
  <c r="AS263" i="21"/>
  <c r="R264" i="21"/>
  <c r="Z264" i="21"/>
  <c r="AK264" i="21"/>
  <c r="AS264" i="21"/>
  <c r="R265" i="21"/>
  <c r="Z265" i="21"/>
  <c r="AK265" i="21"/>
  <c r="AS265" i="21"/>
  <c r="R266" i="21"/>
  <c r="Z266" i="21"/>
  <c r="AK266" i="21"/>
  <c r="AS266" i="21"/>
  <c r="R267" i="21"/>
  <c r="Z267" i="21"/>
  <c r="AK267" i="21"/>
  <c r="AS267" i="21"/>
  <c r="R268" i="21"/>
  <c r="Z268" i="21"/>
  <c r="AK268" i="21"/>
  <c r="AS268" i="21"/>
  <c r="AK269" i="21"/>
  <c r="AS269" i="21"/>
  <c r="L29" i="4"/>
  <c r="K125" i="13" s="1"/>
  <c r="K51" i="8"/>
  <c r="K48" i="6"/>
  <c r="L36" i="5"/>
  <c r="L36" i="4"/>
  <c r="L37" i="4"/>
  <c r="L38" i="4"/>
  <c r="L35" i="4"/>
  <c r="AI266" i="4"/>
  <c r="AI270" i="4" s="1"/>
  <c r="AI269" i="4" s="1"/>
  <c r="BL29" i="21"/>
  <c r="BL30" i="21" s="1"/>
  <c r="BL31" i="21" s="1"/>
  <c r="BL32" i="21" s="1"/>
  <c r="BL33" i="21" s="1"/>
  <c r="BO6" i="21"/>
  <c r="G25" i="11"/>
  <c r="BO5" i="21" s="1"/>
  <c r="D95" i="13"/>
  <c r="G31" i="11"/>
  <c r="R44" i="11" s="1"/>
  <c r="C60" i="12"/>
  <c r="B61" i="12"/>
  <c r="L77" i="5"/>
  <c r="S72" i="8"/>
  <c r="S71" i="8"/>
  <c r="S70" i="8"/>
  <c r="T68" i="6"/>
  <c r="S68" i="6"/>
  <c r="S67" i="6"/>
  <c r="T66" i="6"/>
  <c r="S66" i="6"/>
  <c r="T63" i="6"/>
  <c r="T62" i="6"/>
  <c r="H75" i="6"/>
  <c r="M75" i="6" s="1"/>
  <c r="H90" i="8"/>
  <c r="AK90" i="8"/>
  <c r="AU89" i="8"/>
  <c r="AU88" i="8"/>
  <c r="AK87" i="8"/>
  <c r="AU85" i="8"/>
  <c r="AU86" i="8" s="1"/>
  <c r="AK85" i="8"/>
  <c r="AU82" i="8"/>
  <c r="AU83" i="8" s="1"/>
  <c r="AU81" i="8"/>
  <c r="AK81" i="8"/>
  <c r="AK78" i="8"/>
  <c r="AK79" i="8" s="1"/>
  <c r="AU77" i="8"/>
  <c r="AU78" i="8" s="1"/>
  <c r="AU79" i="8" s="1"/>
  <c r="AK75" i="8"/>
  <c r="AK76" i="8" s="1"/>
  <c r="AU73" i="8"/>
  <c r="AU74" i="8" s="1"/>
  <c r="AU75" i="8" s="1"/>
  <c r="AK73" i="8"/>
  <c r="AU72" i="8"/>
  <c r="AU70" i="8"/>
  <c r="AU68" i="8"/>
  <c r="AK86" i="6"/>
  <c r="AU84" i="6"/>
  <c r="AU85" i="6" s="1"/>
  <c r="AK83" i="6"/>
  <c r="AU81" i="6"/>
  <c r="AU82" i="6" s="1"/>
  <c r="AK81" i="6"/>
  <c r="AU77" i="6"/>
  <c r="AU78" i="6" s="1"/>
  <c r="AU79" i="6" s="1"/>
  <c r="AK77" i="6"/>
  <c r="AK74" i="6"/>
  <c r="AK75" i="6" s="1"/>
  <c r="AU73" i="6"/>
  <c r="AU74" i="6" s="1"/>
  <c r="AU75" i="6" s="1"/>
  <c r="AK71" i="6"/>
  <c r="AK72" i="6" s="1"/>
  <c r="AK69" i="6"/>
  <c r="AU68" i="6"/>
  <c r="AU69" i="6" s="1"/>
  <c r="AU70" i="6" s="1"/>
  <c r="AU71" i="6" s="1"/>
  <c r="AU66" i="6"/>
  <c r="AU64" i="6"/>
  <c r="AL80" i="5"/>
  <c r="AV78" i="5"/>
  <c r="AV79" i="5" s="1"/>
  <c r="AL77" i="5"/>
  <c r="AV76" i="5"/>
  <c r="AV75" i="5"/>
  <c r="AL75" i="5"/>
  <c r="AV71" i="5"/>
  <c r="AV72" i="5" s="1"/>
  <c r="AV73" i="5" s="1"/>
  <c r="AL71" i="5"/>
  <c r="AL68" i="5"/>
  <c r="AL69" i="5" s="1"/>
  <c r="AV67" i="5"/>
  <c r="AV68" i="5" s="1"/>
  <c r="AV69" i="5" s="1"/>
  <c r="AL65" i="5"/>
  <c r="AL66" i="5" s="1"/>
  <c r="AL63" i="5"/>
  <c r="AV62" i="5"/>
  <c r="AV63" i="5" s="1"/>
  <c r="AV64" i="5" s="1"/>
  <c r="AV65" i="5" s="1"/>
  <c r="AV60" i="5"/>
  <c r="AV58" i="5"/>
  <c r="AL80" i="4"/>
  <c r="AV78" i="4"/>
  <c r="AV79" i="4" s="1"/>
  <c r="AL77" i="4"/>
  <c r="AV75" i="4"/>
  <c r="AV76" i="4" s="1"/>
  <c r="AL75" i="4"/>
  <c r="AV71" i="4"/>
  <c r="AV72" i="4" s="1"/>
  <c r="AV73" i="4" s="1"/>
  <c r="AL71" i="4"/>
  <c r="AL68" i="4"/>
  <c r="AL69" i="4" s="1"/>
  <c r="AV67" i="4"/>
  <c r="AV68" i="4" s="1"/>
  <c r="AV69" i="4" s="1"/>
  <c r="AL65" i="4"/>
  <c r="AL66" i="4" s="1"/>
  <c r="AL63" i="4"/>
  <c r="AV62" i="4"/>
  <c r="AV63" i="4" s="1"/>
  <c r="AV64" i="4" s="1"/>
  <c r="AV65" i="4" s="1"/>
  <c r="T62" i="4"/>
  <c r="T61" i="4"/>
  <c r="AV60" i="4"/>
  <c r="T60" i="4"/>
  <c r="AV58" i="4"/>
  <c r="L91" i="8"/>
  <c r="L89" i="8"/>
  <c r="L85" i="8"/>
  <c r="L84" i="8"/>
  <c r="L90" i="8" s="1"/>
  <c r="L83" i="8"/>
  <c r="L82" i="8"/>
  <c r="T65" i="6"/>
  <c r="L87" i="6"/>
  <c r="L85" i="6"/>
  <c r="L81" i="6"/>
  <c r="L80" i="6"/>
  <c r="L86" i="6" s="1"/>
  <c r="L79" i="6"/>
  <c r="L78" i="6"/>
  <c r="M75" i="5"/>
  <c r="M81" i="5"/>
  <c r="M79" i="5"/>
  <c r="M77" i="5"/>
  <c r="M74" i="5"/>
  <c r="M80" i="5" s="1"/>
  <c r="M73" i="5"/>
  <c r="M72" i="5"/>
  <c r="M72" i="4"/>
  <c r="M81" i="4"/>
  <c r="M79" i="4"/>
  <c r="M75" i="4"/>
  <c r="M74" i="4"/>
  <c r="M80" i="4" s="1"/>
  <c r="M73" i="4"/>
  <c r="D68" i="11"/>
  <c r="AC29" i="11"/>
  <c r="AC13" i="11"/>
  <c r="AC108" i="11"/>
  <c r="AC16" i="11"/>
  <c r="AC15" i="11"/>
  <c r="AC14" i="11"/>
  <c r="AC10" i="11"/>
  <c r="AC106" i="11"/>
  <c r="AC105" i="11"/>
  <c r="C27" i="11"/>
  <c r="AC36" i="11"/>
  <c r="AC48" i="11"/>
  <c r="AC37" i="11"/>
  <c r="AC20" i="11"/>
  <c r="AC24" i="11"/>
  <c r="AC22" i="11"/>
  <c r="AC21" i="11"/>
  <c r="AC19" i="11"/>
  <c r="P8" i="11"/>
  <c r="AW3" i="11" s="1"/>
  <c r="P6" i="11"/>
  <c r="AW1" i="11" s="1"/>
  <c r="S358" i="5"/>
  <c r="S357" i="5"/>
  <c r="S356" i="5"/>
  <c r="S355" i="5"/>
  <c r="S354" i="5"/>
  <c r="S353" i="5"/>
  <c r="S352" i="5"/>
  <c r="S351" i="5"/>
  <c r="S350" i="5"/>
  <c r="S349" i="5"/>
  <c r="S348" i="5"/>
  <c r="S347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358" i="4"/>
  <c r="S357" i="4"/>
  <c r="S356" i="4"/>
  <c r="S355" i="4"/>
  <c r="S354" i="4"/>
  <c r="S353" i="4"/>
  <c r="S352" i="4"/>
  <c r="S351" i="4"/>
  <c r="S350" i="4"/>
  <c r="S349" i="4"/>
  <c r="S348" i="4"/>
  <c r="S347" i="4"/>
  <c r="S328" i="4"/>
  <c r="S327" i="4"/>
  <c r="S326" i="4"/>
  <c r="S325" i="4"/>
  <c r="S324" i="4"/>
  <c r="S323" i="4"/>
  <c r="S322" i="4"/>
  <c r="S321" i="4"/>
  <c r="S320" i="4"/>
  <c r="S319" i="4"/>
  <c r="S318" i="4"/>
  <c r="S317" i="4"/>
  <c r="S316" i="4"/>
  <c r="S315" i="4"/>
  <c r="S300" i="4"/>
  <c r="S313" i="4"/>
  <c r="S312" i="4"/>
  <c r="S311" i="4"/>
  <c r="S310" i="4"/>
  <c r="S309" i="4"/>
  <c r="S308" i="4"/>
  <c r="S307" i="4"/>
  <c r="S306" i="4"/>
  <c r="S305" i="4"/>
  <c r="S304" i="4"/>
  <c r="S303" i="4"/>
  <c r="S302" i="4"/>
  <c r="S301" i="4"/>
  <c r="AE107" i="4"/>
  <c r="AD107" i="4"/>
  <c r="AE107" i="5"/>
  <c r="AD107" i="5"/>
  <c r="Z109" i="4"/>
  <c r="A324" i="4"/>
  <c r="A316" i="5"/>
  <c r="A322" i="5"/>
  <c r="A306" i="5"/>
  <c r="A308" i="5"/>
  <c r="A310" i="5"/>
  <c r="A312" i="5"/>
  <c r="A314" i="5"/>
  <c r="A318" i="5"/>
  <c r="A320" i="5"/>
  <c r="A324" i="5"/>
  <c r="A326" i="5"/>
  <c r="A328" i="5"/>
  <c r="A330" i="5"/>
  <c r="A304" i="5"/>
  <c r="A330" i="4"/>
  <c r="A306" i="4"/>
  <c r="A308" i="4"/>
  <c r="A310" i="4"/>
  <c r="A312" i="4"/>
  <c r="A314" i="4"/>
  <c r="A316" i="4"/>
  <c r="A318" i="4"/>
  <c r="A320" i="4"/>
  <c r="A322" i="4"/>
  <c r="A326" i="4"/>
  <c r="A328" i="4"/>
  <c r="A304" i="4"/>
  <c r="AN137" i="21" l="1"/>
  <c r="BH142" i="21"/>
  <c r="BS158" i="21"/>
  <c r="AL280" i="5"/>
  <c r="AM280" i="5" s="1"/>
  <c r="AI275" i="5" s="1"/>
  <c r="AG275" i="5"/>
  <c r="AL280" i="4"/>
  <c r="AM280" i="4" s="1"/>
  <c r="AI275" i="4" s="1"/>
  <c r="F12" i="12"/>
  <c r="AN152" i="21"/>
  <c r="D26" i="3"/>
  <c r="DZ70" i="20"/>
  <c r="H31" i="11"/>
  <c r="S44" i="11" s="1"/>
  <c r="J90" i="8"/>
  <c r="M87" i="8" s="1"/>
  <c r="L87" i="8"/>
  <c r="K87" i="8"/>
  <c r="BX142" i="21"/>
  <c r="CI158" i="21"/>
  <c r="BK142" i="21"/>
  <c r="CN158" i="21"/>
  <c r="AN142" i="21"/>
  <c r="AN157" i="21"/>
  <c r="BS142" i="21"/>
  <c r="CP158" i="21"/>
  <c r="U135" i="21"/>
  <c r="BZ142" i="21"/>
  <c r="BT158" i="21"/>
  <c r="AN145" i="21"/>
  <c r="BP142" i="21"/>
  <c r="BY158" i="21"/>
  <c r="BH252" i="21"/>
  <c r="AN138" i="21"/>
  <c r="AN146" i="21"/>
  <c r="AN153" i="21"/>
  <c r="CC142" i="21"/>
  <c r="BW142" i="21"/>
  <c r="BO142" i="21"/>
  <c r="BG142" i="21"/>
  <c r="CM158" i="21"/>
  <c r="CF158" i="21"/>
  <c r="BX158" i="21"/>
  <c r="AN141" i="21"/>
  <c r="AN149" i="21"/>
  <c r="AN156" i="21"/>
  <c r="CA142" i="21"/>
  <c r="BT142" i="21"/>
  <c r="BL142" i="21"/>
  <c r="CJ158" i="21"/>
  <c r="CC158" i="21"/>
  <c r="BU158" i="21"/>
  <c r="D37" i="13"/>
  <c r="DZ73" i="20"/>
  <c r="DZ93" i="20"/>
  <c r="DZ89" i="20"/>
  <c r="DZ86" i="20"/>
  <c r="DZ82" i="20"/>
  <c r="DZ76" i="20"/>
  <c r="DZ72" i="20"/>
  <c r="DZ95" i="20"/>
  <c r="DZ92" i="20"/>
  <c r="DZ98" i="20"/>
  <c r="DZ94" i="20"/>
  <c r="DZ81" i="20"/>
  <c r="DZ97" i="20"/>
  <c r="DZ90" i="20"/>
  <c r="DZ80" i="20"/>
  <c r="DZ78" i="20"/>
  <c r="DZ75" i="20"/>
  <c r="U161" i="21"/>
  <c r="U160" i="21"/>
  <c r="E26" i="3"/>
  <c r="N122" i="13"/>
  <c r="F6" i="15"/>
  <c r="F14" i="15" s="1"/>
  <c r="T64" i="6"/>
  <c r="T67" i="6"/>
  <c r="P70" i="4"/>
  <c r="Q70" i="4" s="1"/>
  <c r="DZ100" i="20"/>
  <c r="DZ113" i="20" s="1"/>
  <c r="DZ88" i="20"/>
  <c r="DZ85" i="20"/>
  <c r="DZ79" i="20"/>
  <c r="DZ77" i="20"/>
  <c r="DZ96" i="20"/>
  <c r="DZ91" i="20"/>
  <c r="DZ87" i="20"/>
  <c r="DZ83" i="20"/>
  <c r="DZ71" i="20"/>
  <c r="U192" i="21"/>
  <c r="U246" i="21"/>
  <c r="U254" i="21"/>
  <c r="U189" i="21"/>
  <c r="AN247" i="21"/>
  <c r="AN251" i="21"/>
  <c r="AN255" i="21"/>
  <c r="AN259" i="21"/>
  <c r="BF196" i="21"/>
  <c r="BR268" i="21"/>
  <c r="BZ268" i="21"/>
  <c r="CD268" i="21"/>
  <c r="CH268" i="21"/>
  <c r="CL268" i="21"/>
  <c r="BG90" i="21"/>
  <c r="BK90" i="21"/>
  <c r="BO90" i="21"/>
  <c r="BS90" i="21"/>
  <c r="BW90" i="21"/>
  <c r="CA90" i="21"/>
  <c r="CE90" i="21"/>
  <c r="AN136" i="21"/>
  <c r="AN140" i="21"/>
  <c r="AN144" i="21"/>
  <c r="AN148" i="21"/>
  <c r="AN151" i="21"/>
  <c r="AN155" i="21"/>
  <c r="U191" i="21"/>
  <c r="U193" i="21"/>
  <c r="U195" i="21"/>
  <c r="U247" i="21"/>
  <c r="U253" i="21"/>
  <c r="U259" i="21"/>
  <c r="CB142" i="21"/>
  <c r="BU142" i="21"/>
  <c r="BQ142" i="21"/>
  <c r="BM142" i="21"/>
  <c r="BI142" i="21"/>
  <c r="BE142" i="21"/>
  <c r="CO158" i="21"/>
  <c r="CK158" i="21"/>
  <c r="CG158" i="21"/>
  <c r="CD158" i="21"/>
  <c r="BZ158" i="21"/>
  <c r="BV158" i="21"/>
  <c r="BR158" i="21"/>
  <c r="BG196" i="21"/>
  <c r="BT212" i="21"/>
  <c r="BU268" i="21"/>
  <c r="BY268" i="21"/>
  <c r="CC268" i="21"/>
  <c r="CG268" i="21"/>
  <c r="CK268" i="21"/>
  <c r="CO268" i="21"/>
  <c r="K67" i="21"/>
  <c r="AH67" i="21" s="1"/>
  <c r="R48" i="6" s="1"/>
  <c r="U190" i="21"/>
  <c r="BE196" i="21"/>
  <c r="BR212" i="21"/>
  <c r="BS268" i="21"/>
  <c r="BW268" i="21"/>
  <c r="CA268" i="21"/>
  <c r="CE268" i="21"/>
  <c r="CI268" i="21"/>
  <c r="CM268" i="21"/>
  <c r="AN191" i="21"/>
  <c r="U245" i="21"/>
  <c r="AN249" i="21"/>
  <c r="AN257" i="21"/>
  <c r="BU212" i="21"/>
  <c r="BE252" i="21"/>
  <c r="BV268" i="21"/>
  <c r="K62" i="21"/>
  <c r="AH62" i="21" s="1"/>
  <c r="S38" i="5" s="1"/>
  <c r="BF90" i="21"/>
  <c r="BJ90" i="21"/>
  <c r="BR90" i="21"/>
  <c r="BZ90" i="21"/>
  <c r="AN139" i="21"/>
  <c r="AN143" i="21"/>
  <c r="AN147" i="21"/>
  <c r="AN150" i="21"/>
  <c r="AN154" i="21"/>
  <c r="AN190" i="21"/>
  <c r="AN198" i="21"/>
  <c r="AN246" i="21"/>
  <c r="AN248" i="21"/>
  <c r="AN250" i="21"/>
  <c r="AN254" i="21"/>
  <c r="AN256" i="21"/>
  <c r="AN258" i="21"/>
  <c r="AN260" i="21"/>
  <c r="BY142" i="21"/>
  <c r="BV142" i="21"/>
  <c r="BR142" i="21"/>
  <c r="BN142" i="21"/>
  <c r="BJ142" i="21"/>
  <c r="BF142" i="21"/>
  <c r="AN135" i="21"/>
  <c r="CL158" i="21"/>
  <c r="CH158" i="21"/>
  <c r="CE158" i="21"/>
  <c r="CA158" i="21"/>
  <c r="BW158" i="21"/>
  <c r="BH196" i="21"/>
  <c r="BS212" i="21"/>
  <c r="BT268" i="21"/>
  <c r="BX268" i="21"/>
  <c r="CB268" i="21"/>
  <c r="CF268" i="21"/>
  <c r="CJ268" i="21"/>
  <c r="BQ254" i="21"/>
  <c r="BR254" i="21" s="1"/>
  <c r="BM252" i="21"/>
  <c r="BF252" i="21"/>
  <c r="BG252" i="21"/>
  <c r="BW254" i="21"/>
  <c r="BN256" i="21"/>
  <c r="BN252" i="21" s="1"/>
  <c r="BI254" i="21"/>
  <c r="BI252" i="21" s="1"/>
  <c r="CL214" i="21"/>
  <c r="BV216" i="21"/>
  <c r="BW216" i="21" s="1"/>
  <c r="BX216" i="21" s="1"/>
  <c r="BY216" i="21" s="1"/>
  <c r="BZ216" i="21" s="1"/>
  <c r="CA216" i="21" s="1"/>
  <c r="CB216" i="21" s="1"/>
  <c r="CC216" i="21" s="1"/>
  <c r="CD216" i="21" s="1"/>
  <c r="CE216" i="21" s="1"/>
  <c r="CF216" i="21" s="1"/>
  <c r="CF212" i="21" s="1"/>
  <c r="BX214" i="21"/>
  <c r="BX212" i="21" s="1"/>
  <c r="CB214" i="21"/>
  <c r="BK198" i="21"/>
  <c r="BI200" i="21"/>
  <c r="BJ200" i="21" s="1"/>
  <c r="BK200" i="21" s="1"/>
  <c r="BL200" i="21" s="1"/>
  <c r="BM200" i="21" s="1"/>
  <c r="BN200" i="21" s="1"/>
  <c r="BO200" i="21" s="1"/>
  <c r="BP200" i="21" s="1"/>
  <c r="BQ200" i="21" s="1"/>
  <c r="BR200" i="21" s="1"/>
  <c r="BS200" i="21" s="1"/>
  <c r="BS196" i="21" s="1"/>
  <c r="BY198" i="21"/>
  <c r="BO198" i="21"/>
  <c r="U108" i="21"/>
  <c r="U111" i="21"/>
  <c r="K49" i="21"/>
  <c r="U110" i="21"/>
  <c r="U109" i="21"/>
  <c r="T33" i="5"/>
  <c r="E48" i="21"/>
  <c r="A86" i="21" s="1"/>
  <c r="J60" i="21" s="1"/>
  <c r="AB60" i="21" s="1"/>
  <c r="M36" i="5" s="1"/>
  <c r="X262" i="21"/>
  <c r="AP252" i="21"/>
  <c r="AN252" i="21" s="1"/>
  <c r="AR199" i="21"/>
  <c r="AN199" i="21" s="1"/>
  <c r="X194" i="21"/>
  <c r="U194" i="21" s="1"/>
  <c r="Y260" i="21"/>
  <c r="Y261" i="21" s="1"/>
  <c r="Y262" i="21" s="1"/>
  <c r="Y263" i="21" s="1"/>
  <c r="Y264" i="21" s="1"/>
  <c r="Y265" i="21" s="1"/>
  <c r="Y266" i="21" s="1"/>
  <c r="Y267" i="21" s="1"/>
  <c r="Y268" i="21" s="1"/>
  <c r="AP203" i="21"/>
  <c r="X255" i="21"/>
  <c r="U255" i="21" s="1"/>
  <c r="W248" i="21"/>
  <c r="U248" i="21" s="1"/>
  <c r="W208" i="21"/>
  <c r="Y196" i="21"/>
  <c r="Y197" i="21" s="1"/>
  <c r="Y198" i="21" s="1"/>
  <c r="Y199" i="21" s="1"/>
  <c r="Y200" i="21" s="1"/>
  <c r="Y201" i="21" s="1"/>
  <c r="Y202" i="21" s="1"/>
  <c r="Y203" i="21" s="1"/>
  <c r="U203" i="21" s="1"/>
  <c r="AR261" i="21"/>
  <c r="AR262" i="21" s="1"/>
  <c r="AR263" i="21" s="1"/>
  <c r="AR264" i="21" s="1"/>
  <c r="AR265" i="21" s="1"/>
  <c r="AR266" i="21" s="1"/>
  <c r="AR267" i="21" s="1"/>
  <c r="AR268" i="21" s="1"/>
  <c r="AR269" i="21" s="1"/>
  <c r="AN269" i="21" s="1"/>
  <c r="AP207" i="21"/>
  <c r="W199" i="21"/>
  <c r="A85" i="21"/>
  <c r="A137" i="21"/>
  <c r="X198" i="21"/>
  <c r="X199" i="21" s="1"/>
  <c r="X200" i="21" s="1"/>
  <c r="X201" i="21" s="1"/>
  <c r="X202" i="21" s="1"/>
  <c r="K48" i="21"/>
  <c r="U158" i="21"/>
  <c r="K68" i="21"/>
  <c r="AH68" i="21" s="1"/>
  <c r="R49" i="6" s="1"/>
  <c r="K73" i="21"/>
  <c r="AH73" i="21" s="1"/>
  <c r="R53" i="8" s="1"/>
  <c r="K50" i="21"/>
  <c r="K58" i="21"/>
  <c r="AH58" i="21" s="1"/>
  <c r="S38" i="4" s="1"/>
  <c r="K63" i="21"/>
  <c r="AH63" i="21" s="1"/>
  <c r="S39" i="5" s="1"/>
  <c r="K56" i="21"/>
  <c r="AH56" i="21" s="1"/>
  <c r="S36" i="4" s="1"/>
  <c r="K61" i="21"/>
  <c r="AH61" i="21" s="1"/>
  <c r="S37" i="5" s="1"/>
  <c r="K66" i="21"/>
  <c r="AH66" i="21" s="1"/>
  <c r="R47" i="6" s="1"/>
  <c r="U136" i="21"/>
  <c r="U137" i="21"/>
  <c r="U138" i="21"/>
  <c r="U139" i="21"/>
  <c r="U140" i="21"/>
  <c r="U141" i="21"/>
  <c r="U142" i="21"/>
  <c r="U143" i="21"/>
  <c r="U144" i="21"/>
  <c r="U145" i="21"/>
  <c r="U146" i="21"/>
  <c r="U147" i="21"/>
  <c r="U148" i="21"/>
  <c r="U149" i="21"/>
  <c r="U150" i="21"/>
  <c r="U156" i="21"/>
  <c r="U151" i="21"/>
  <c r="U152" i="21"/>
  <c r="U153" i="21"/>
  <c r="U154" i="21"/>
  <c r="U155" i="21"/>
  <c r="U159" i="21"/>
  <c r="K71" i="21"/>
  <c r="AH71" i="21" s="1"/>
  <c r="R51" i="8" s="1"/>
  <c r="U157" i="21"/>
  <c r="V163" i="21"/>
  <c r="AA160" i="21" s="1"/>
  <c r="AN158" i="21"/>
  <c r="AP192" i="21"/>
  <c r="AN192" i="21" s="1"/>
  <c r="A247" i="21"/>
  <c r="A191" i="21"/>
  <c r="K72" i="21"/>
  <c r="AH72" i="21" s="1"/>
  <c r="R52" i="8" s="1"/>
  <c r="K55" i="21"/>
  <c r="AH55" i="21" s="1"/>
  <c r="S35" i="4" s="1"/>
  <c r="K60" i="21"/>
  <c r="AH60" i="21" s="1"/>
  <c r="S36" i="5" s="1"/>
  <c r="K65" i="21"/>
  <c r="AH65" i="21" s="1"/>
  <c r="R46" i="6" s="1"/>
  <c r="K70" i="21"/>
  <c r="AH70" i="21" s="1"/>
  <c r="R50" i="8" s="1"/>
  <c r="S37" i="4"/>
  <c r="AI268" i="4"/>
  <c r="I69" i="5"/>
  <c r="H77" i="6"/>
  <c r="I52" i="13"/>
  <c r="I71" i="5"/>
  <c r="N71" i="5" s="1"/>
  <c r="L92" i="8"/>
  <c r="M82" i="5"/>
  <c r="L88" i="6"/>
  <c r="M82" i="4"/>
  <c r="E27" i="16"/>
  <c r="F3" i="11"/>
  <c r="D68" i="20"/>
  <c r="D100" i="20" s="1"/>
  <c r="O130" i="7"/>
  <c r="O99" i="7"/>
  <c r="L293" i="5"/>
  <c r="EA68" i="19" s="1"/>
  <c r="D100" i="19"/>
  <c r="D68" i="19"/>
  <c r="U262" i="21" l="1"/>
  <c r="U260" i="21"/>
  <c r="T68" i="8"/>
  <c r="T66" i="8"/>
  <c r="T72" i="8"/>
  <c r="U261" i="21"/>
  <c r="BO196" i="21"/>
  <c r="M77" i="6"/>
  <c r="N76" i="6" s="1"/>
  <c r="T71" i="8"/>
  <c r="U199" i="21"/>
  <c r="AN262" i="21"/>
  <c r="AN263" i="21"/>
  <c r="T69" i="8"/>
  <c r="T70" i="8"/>
  <c r="T67" i="8"/>
  <c r="DZ106" i="20"/>
  <c r="DZ108" i="20"/>
  <c r="DZ104" i="20"/>
  <c r="DZ129" i="20"/>
  <c r="DZ118" i="20"/>
  <c r="DZ102" i="20"/>
  <c r="DZ130" i="20"/>
  <c r="DZ125" i="20"/>
  <c r="DZ101" i="20"/>
  <c r="DZ126" i="20"/>
  <c r="DZ109" i="20"/>
  <c r="DZ119" i="20"/>
  <c r="DZ128" i="20"/>
  <c r="DZ112" i="20"/>
  <c r="N69" i="5"/>
  <c r="P70" i="5" s="1"/>
  <c r="DZ103" i="20"/>
  <c r="DZ115" i="20"/>
  <c r="DZ105" i="20"/>
  <c r="DZ107" i="20"/>
  <c r="DZ124" i="20"/>
  <c r="DZ122" i="20"/>
  <c r="DZ123" i="20"/>
  <c r="DZ131" i="20"/>
  <c r="DZ127" i="20"/>
  <c r="DZ111" i="20"/>
  <c r="DZ114" i="20"/>
  <c r="DZ117" i="20"/>
  <c r="DZ120" i="20"/>
  <c r="DZ110" i="20"/>
  <c r="DZ121" i="20"/>
  <c r="CD142" i="21"/>
  <c r="BK196" i="21"/>
  <c r="CA212" i="21"/>
  <c r="AN264" i="21"/>
  <c r="BZ212" i="21"/>
  <c r="U198" i="21"/>
  <c r="U197" i="21"/>
  <c r="AN261" i="21"/>
  <c r="BI196" i="21"/>
  <c r="U196" i="21"/>
  <c r="AN266" i="21"/>
  <c r="BJ196" i="21"/>
  <c r="BM196" i="21"/>
  <c r="AN265" i="21"/>
  <c r="BW212" i="21"/>
  <c r="BV212" i="21"/>
  <c r="CB212" i="21"/>
  <c r="AN268" i="21"/>
  <c r="BN196" i="21"/>
  <c r="AN267" i="21"/>
  <c r="BO256" i="21"/>
  <c r="BO252" i="21" s="1"/>
  <c r="BX254" i="21"/>
  <c r="BJ254" i="21"/>
  <c r="BJ252" i="21" s="1"/>
  <c r="CC214" i="21"/>
  <c r="CC212" i="21" s="1"/>
  <c r="BY214" i="21"/>
  <c r="BY212" i="21" s="1"/>
  <c r="CG216" i="21"/>
  <c r="CG212" i="21" s="1"/>
  <c r="CM214" i="21"/>
  <c r="BZ198" i="21"/>
  <c r="BL198" i="21"/>
  <c r="BL196" i="21" s="1"/>
  <c r="BP198" i="21"/>
  <c r="BP196" i="21" s="1"/>
  <c r="BT200" i="21"/>
  <c r="BT196" i="21" s="1"/>
  <c r="A248" i="21"/>
  <c r="J63" i="21" s="1"/>
  <c r="AB63" i="21" s="1"/>
  <c r="M39" i="5" s="1"/>
  <c r="A138" i="21"/>
  <c r="J61" i="21" s="1"/>
  <c r="AB61" i="21" s="1"/>
  <c r="M37" i="5" s="1"/>
  <c r="A192" i="21"/>
  <c r="J62" i="21" s="1"/>
  <c r="AB62" i="21" s="1"/>
  <c r="M38" i="5" s="1"/>
  <c r="AV65" i="21"/>
  <c r="J57" i="21"/>
  <c r="AB57" i="21" s="1"/>
  <c r="M37" i="4" s="1"/>
  <c r="AV64" i="21"/>
  <c r="AV67" i="21"/>
  <c r="AV66" i="21"/>
  <c r="AP193" i="21"/>
  <c r="AN193" i="21" s="1"/>
  <c r="X256" i="21"/>
  <c r="U256" i="21" s="1"/>
  <c r="AV55" i="21"/>
  <c r="AV56" i="21"/>
  <c r="J55" i="21"/>
  <c r="AB55" i="21" s="1"/>
  <c r="M35" i="4" s="1"/>
  <c r="AV53" i="21"/>
  <c r="AV54" i="21"/>
  <c r="W209" i="21"/>
  <c r="W249" i="21"/>
  <c r="U249" i="21" s="1"/>
  <c r="X263" i="21"/>
  <c r="U263" i="21" s="1"/>
  <c r="AV70" i="21"/>
  <c r="AV72" i="21"/>
  <c r="J58" i="21"/>
  <c r="AB58" i="21" s="1"/>
  <c r="M38" i="4" s="1"/>
  <c r="AV69" i="21"/>
  <c r="AV71" i="21"/>
  <c r="AN159" i="21"/>
  <c r="AV60" i="21"/>
  <c r="J56" i="21"/>
  <c r="AB56" i="21" s="1"/>
  <c r="M36" i="4" s="1"/>
  <c r="AV61" i="21"/>
  <c r="AV62" i="21"/>
  <c r="AV59" i="21"/>
  <c r="AP208" i="21"/>
  <c r="AP253" i="21"/>
  <c r="AN253" i="21" s="1"/>
  <c r="U162" i="21"/>
  <c r="U163" i="21"/>
  <c r="W200" i="21"/>
  <c r="U200" i="21" s="1"/>
  <c r="Y204" i="21"/>
  <c r="U204" i="21" s="1"/>
  <c r="AR200" i="21"/>
  <c r="AN200" i="21" s="1"/>
  <c r="H83" i="8"/>
  <c r="M81" i="8" s="1"/>
  <c r="I72" i="13"/>
  <c r="EA100" i="19"/>
  <c r="O76" i="6" l="1"/>
  <c r="P75" i="6" s="1"/>
  <c r="O70" i="5"/>
  <c r="Q69" i="5" s="1"/>
  <c r="K70" i="4"/>
  <c r="CE142" i="21"/>
  <c r="BP256" i="21"/>
  <c r="BP252" i="21" s="1"/>
  <c r="BK254" i="21"/>
  <c r="BK252" i="21" s="1"/>
  <c r="BY254" i="21"/>
  <c r="CN214" i="21"/>
  <c r="CH216" i="21"/>
  <c r="CH212" i="21" s="1"/>
  <c r="CD214" i="21"/>
  <c r="CD212" i="21" s="1"/>
  <c r="BQ198" i="21"/>
  <c r="BQ196" i="21" s="1"/>
  <c r="CA198" i="21"/>
  <c r="BU200" i="21"/>
  <c r="BU196" i="21" s="1"/>
  <c r="AP209" i="21"/>
  <c r="W250" i="21"/>
  <c r="U250" i="21" s="1"/>
  <c r="X257" i="21"/>
  <c r="U257" i="21" s="1"/>
  <c r="AP194" i="21"/>
  <c r="AN194" i="21" s="1"/>
  <c r="Y205" i="21"/>
  <c r="U205" i="21" s="1"/>
  <c r="X264" i="21"/>
  <c r="U264" i="21" s="1"/>
  <c r="AR201" i="21"/>
  <c r="AN201" i="21" s="1"/>
  <c r="W201" i="21"/>
  <c r="U201" i="21" s="1"/>
  <c r="W210" i="21"/>
  <c r="AI264" i="4"/>
  <c r="T68" i="7"/>
  <c r="I36" i="8"/>
  <c r="I31" i="8"/>
  <c r="G134" i="11" l="1"/>
  <c r="S43" i="6"/>
  <c r="CF142" i="21"/>
  <c r="CG142" i="21"/>
  <c r="BQ256" i="21"/>
  <c r="BQ252" i="21" s="1"/>
  <c r="BZ254" i="21"/>
  <c r="BL254" i="21"/>
  <c r="BL252" i="21" s="1"/>
  <c r="CO214" i="21"/>
  <c r="CI216" i="21"/>
  <c r="CI212" i="21" s="1"/>
  <c r="CE214" i="21"/>
  <c r="CE212" i="21" s="1"/>
  <c r="CB198" i="21"/>
  <c r="BR198" i="21"/>
  <c r="BR196" i="21" s="1"/>
  <c r="BV200" i="21"/>
  <c r="BV196" i="21" s="1"/>
  <c r="X258" i="21"/>
  <c r="U258" i="21" s="1"/>
  <c r="W251" i="21"/>
  <c r="U251" i="21" s="1"/>
  <c r="AP195" i="21"/>
  <c r="AN195" i="21" s="1"/>
  <c r="AP210" i="21"/>
  <c r="X265" i="21"/>
  <c r="U265" i="21" s="1"/>
  <c r="Y206" i="21"/>
  <c r="U206" i="21" s="1"/>
  <c r="W211" i="21"/>
  <c r="W202" i="21"/>
  <c r="U202" i="21" s="1"/>
  <c r="AR202" i="21"/>
  <c r="AN202" i="21" s="1"/>
  <c r="I45" i="6"/>
  <c r="AC61" i="11" s="1"/>
  <c r="I43" i="6"/>
  <c r="H10" i="12"/>
  <c r="H10" i="22" s="1"/>
  <c r="H11" i="12"/>
  <c r="E373" i="23" l="1"/>
  <c r="E296" i="23"/>
  <c r="I29" i="22"/>
  <c r="E23" i="25"/>
  <c r="E25" i="25" s="1"/>
  <c r="F39" i="25" s="1"/>
  <c r="I87" i="26"/>
  <c r="W210" i="23"/>
  <c r="S147" i="23"/>
  <c r="J48" i="22"/>
  <c r="O33" i="22"/>
  <c r="N33" i="22" s="1"/>
  <c r="D5" i="28"/>
  <c r="D65" i="28" s="1"/>
  <c r="H75" i="24"/>
  <c r="E104" i="23"/>
  <c r="E107" i="23" s="1"/>
  <c r="J46" i="22"/>
  <c r="O32" i="22"/>
  <c r="N32" i="22" s="1"/>
  <c r="I28" i="22"/>
  <c r="I30" i="22"/>
  <c r="V91" i="27"/>
  <c r="M44" i="25"/>
  <c r="M45" i="25" s="1"/>
  <c r="C55" i="22" s="1"/>
  <c r="E47" i="25"/>
  <c r="J114" i="26"/>
  <c r="M114" i="26" s="1"/>
  <c r="K93" i="27"/>
  <c r="S26" i="22"/>
  <c r="V26" i="22" s="1"/>
  <c r="I50" i="27"/>
  <c r="S27" i="22"/>
  <c r="V27" i="22" s="1"/>
  <c r="I53" i="27"/>
  <c r="P64" i="22"/>
  <c r="P68" i="22"/>
  <c r="S29" i="22"/>
  <c r="V29" i="22" s="1"/>
  <c r="D93" i="11"/>
  <c r="H11" i="22"/>
  <c r="S47" i="8"/>
  <c r="I31" i="12"/>
  <c r="I33" i="12"/>
  <c r="I32" i="12"/>
  <c r="I44" i="6"/>
  <c r="CA254" i="21"/>
  <c r="BR256" i="21"/>
  <c r="BR252" i="21" s="1"/>
  <c r="CJ216" i="21"/>
  <c r="CJ212" i="21" s="1"/>
  <c r="BW200" i="21"/>
  <c r="BW196" i="21" s="1"/>
  <c r="X266" i="21"/>
  <c r="U266" i="21" s="1"/>
  <c r="AP211" i="21"/>
  <c r="AR203" i="21"/>
  <c r="AN203" i="21" s="1"/>
  <c r="Y207" i="21"/>
  <c r="U207" i="21" s="1"/>
  <c r="AP196" i="21"/>
  <c r="AN196" i="21" s="1"/>
  <c r="W252" i="21"/>
  <c r="U252" i="21" s="1"/>
  <c r="W212" i="21"/>
  <c r="T77" i="12"/>
  <c r="P24" i="11"/>
  <c r="I65" i="9"/>
  <c r="AH96" i="9"/>
  <c r="AG96" i="9"/>
  <c r="F25" i="3"/>
  <c r="U99" i="9"/>
  <c r="V85" i="9"/>
  <c r="W85" i="9"/>
  <c r="X85" i="9"/>
  <c r="Y85" i="9"/>
  <c r="Z85" i="9"/>
  <c r="Y86" i="9"/>
  <c r="Y87" i="9"/>
  <c r="Y88" i="9"/>
  <c r="Y89" i="9"/>
  <c r="Y90" i="9"/>
  <c r="V92" i="9"/>
  <c r="W92" i="9"/>
  <c r="X92" i="9"/>
  <c r="Y92" i="9"/>
  <c r="Z92" i="9"/>
  <c r="Y93" i="9"/>
  <c r="Y94" i="9"/>
  <c r="Y95" i="9"/>
  <c r="Y96" i="9"/>
  <c r="Y97" i="9"/>
  <c r="V99" i="9"/>
  <c r="W99" i="9"/>
  <c r="X99" i="9"/>
  <c r="Y99" i="9"/>
  <c r="Z99" i="9"/>
  <c r="Y100" i="9"/>
  <c r="Y78" i="9" s="1"/>
  <c r="Y101" i="9"/>
  <c r="Y79" i="9" s="1"/>
  <c r="V103" i="9"/>
  <c r="W103" i="9"/>
  <c r="X103" i="9"/>
  <c r="Y103" i="9"/>
  <c r="Z103" i="9"/>
  <c r="Y104" i="9"/>
  <c r="Y80" i="9" s="1"/>
  <c r="Y105" i="9"/>
  <c r="Y81" i="9" s="1"/>
  <c r="V108" i="9"/>
  <c r="W108" i="9"/>
  <c r="X108" i="9"/>
  <c r="Y108" i="9"/>
  <c r="Z108" i="9"/>
  <c r="Y109" i="9"/>
  <c r="Y110" i="9"/>
  <c r="Y111" i="9"/>
  <c r="Y112" i="9"/>
  <c r="Y113" i="9"/>
  <c r="V115" i="9"/>
  <c r="W115" i="9"/>
  <c r="X115" i="9"/>
  <c r="Y115" i="9"/>
  <c r="Z115" i="9"/>
  <c r="Y116" i="9"/>
  <c r="Y117" i="9"/>
  <c r="Y118" i="9"/>
  <c r="Y119" i="9"/>
  <c r="Y120" i="9"/>
  <c r="U86" i="9"/>
  <c r="U87" i="9"/>
  <c r="U88" i="9"/>
  <c r="U89" i="9"/>
  <c r="U92" i="9"/>
  <c r="U93" i="9"/>
  <c r="U94" i="9"/>
  <c r="U95" i="9"/>
  <c r="U96" i="9"/>
  <c r="U103" i="9"/>
  <c r="U108" i="9"/>
  <c r="U109" i="9"/>
  <c r="U110" i="9"/>
  <c r="U111" i="9"/>
  <c r="U112" i="9"/>
  <c r="U115" i="9"/>
  <c r="U116" i="9"/>
  <c r="U117" i="9"/>
  <c r="U118" i="9"/>
  <c r="U119" i="9"/>
  <c r="U85" i="9"/>
  <c r="T81" i="9"/>
  <c r="T79" i="9"/>
  <c r="T70" i="7"/>
  <c r="I66" i="7"/>
  <c r="Y92" i="7"/>
  <c r="Y88" i="7"/>
  <c r="U92" i="7"/>
  <c r="V74" i="7"/>
  <c r="W74" i="7"/>
  <c r="X74" i="7"/>
  <c r="Y74" i="7"/>
  <c r="Z74" i="7"/>
  <c r="Y75" i="7"/>
  <c r="Y76" i="7"/>
  <c r="Y77" i="7"/>
  <c r="Y78" i="7"/>
  <c r="Y79" i="7"/>
  <c r="V81" i="7"/>
  <c r="W81" i="7"/>
  <c r="X81" i="7"/>
  <c r="Y81" i="7"/>
  <c r="Z81" i="7"/>
  <c r="Y82" i="7"/>
  <c r="Y83" i="7"/>
  <c r="Y84" i="7"/>
  <c r="Y85" i="7"/>
  <c r="Y86" i="7"/>
  <c r="V88" i="7"/>
  <c r="W88" i="7"/>
  <c r="X88" i="7"/>
  <c r="Z88" i="7"/>
  <c r="Y89" i="7"/>
  <c r="Y67" i="7" s="1"/>
  <c r="Y90" i="7"/>
  <c r="Y68" i="7" s="1"/>
  <c r="V92" i="7"/>
  <c r="W92" i="7"/>
  <c r="X92" i="7"/>
  <c r="Z92" i="7"/>
  <c r="Y93" i="7"/>
  <c r="Y69" i="7" s="1"/>
  <c r="Y94" i="7"/>
  <c r="Y70" i="7" s="1"/>
  <c r="V97" i="7"/>
  <c r="W97" i="7"/>
  <c r="X97" i="7"/>
  <c r="Y97" i="7"/>
  <c r="Z97" i="7"/>
  <c r="Y98" i="7"/>
  <c r="Y99" i="7"/>
  <c r="Y100" i="7"/>
  <c r="Y101" i="7"/>
  <c r="Y102" i="7"/>
  <c r="V104" i="7"/>
  <c r="W104" i="7"/>
  <c r="X104" i="7"/>
  <c r="Y104" i="7"/>
  <c r="Z104" i="7"/>
  <c r="Y105" i="7"/>
  <c r="Y106" i="7"/>
  <c r="Y107" i="7"/>
  <c r="Y108" i="7"/>
  <c r="Y109" i="7"/>
  <c r="U75" i="7"/>
  <c r="U76" i="7"/>
  <c r="U77" i="7"/>
  <c r="U78" i="7"/>
  <c r="U81" i="7"/>
  <c r="U82" i="7"/>
  <c r="U83" i="7"/>
  <c r="U84" i="7"/>
  <c r="U85" i="7"/>
  <c r="U88" i="7"/>
  <c r="U97" i="7"/>
  <c r="U98" i="7"/>
  <c r="U99" i="7"/>
  <c r="U100" i="7"/>
  <c r="U101" i="7"/>
  <c r="U104" i="7"/>
  <c r="U105" i="7"/>
  <c r="U106" i="7"/>
  <c r="U107" i="7"/>
  <c r="U108" i="7"/>
  <c r="U74" i="7"/>
  <c r="F98" i="20"/>
  <c r="F97" i="20"/>
  <c r="F96" i="20"/>
  <c r="F94" i="20"/>
  <c r="F90" i="20"/>
  <c r="F86" i="20"/>
  <c r="F85" i="20"/>
  <c r="I55" i="27" l="1"/>
  <c r="I56" i="27" s="1"/>
  <c r="D39" i="23"/>
  <c r="G273" i="24"/>
  <c r="H219" i="24"/>
  <c r="J75" i="24"/>
  <c r="J100" i="24" s="1"/>
  <c r="G265" i="24"/>
  <c r="H48" i="22" s="1"/>
  <c r="N155" i="23"/>
  <c r="N152" i="23"/>
  <c r="N148" i="23"/>
  <c r="D151" i="23"/>
  <c r="D160" i="23"/>
  <c r="B64" i="28"/>
  <c r="E64" i="28"/>
  <c r="M90" i="26"/>
  <c r="M87" i="26"/>
  <c r="H26" i="22"/>
  <c r="H111" i="24" s="1"/>
  <c r="E369" i="23"/>
  <c r="X181" i="23"/>
  <c r="T188" i="23" s="1"/>
  <c r="H76" i="24"/>
  <c r="S145" i="23"/>
  <c r="D9" i="28"/>
  <c r="W209" i="23"/>
  <c r="E49" i="21"/>
  <c r="A87" i="21" s="1"/>
  <c r="R30" i="11"/>
  <c r="AC60" i="11"/>
  <c r="L17" i="4"/>
  <c r="M17" i="4" s="1"/>
  <c r="I20" i="4" s="1"/>
  <c r="H353" i="4"/>
  <c r="AA23" i="19"/>
  <c r="BS256" i="21"/>
  <c r="CB254" i="21"/>
  <c r="CK216" i="21"/>
  <c r="CK212" i="21" s="1"/>
  <c r="BX200" i="21"/>
  <c r="BX196" i="21" s="1"/>
  <c r="AC17" i="11"/>
  <c r="X267" i="21"/>
  <c r="U267" i="21" s="1"/>
  <c r="Y208" i="21"/>
  <c r="U208" i="21" s="1"/>
  <c r="AP212" i="21"/>
  <c r="AP197" i="21"/>
  <c r="AN197" i="21" s="1"/>
  <c r="AR204" i="21"/>
  <c r="AN204" i="21" s="1"/>
  <c r="J100" i="4"/>
  <c r="J109" i="4" s="1"/>
  <c r="G25" i="3"/>
  <c r="D8" i="11" s="1"/>
  <c r="H134" i="11"/>
  <c r="D85" i="20"/>
  <c r="F107" i="20"/>
  <c r="D117" i="20"/>
  <c r="F115" i="20"/>
  <c r="F114" i="20"/>
  <c r="F113" i="20"/>
  <c r="F112" i="20"/>
  <c r="F111" i="20"/>
  <c r="F110" i="20"/>
  <c r="F109" i="20"/>
  <c r="F108" i="20"/>
  <c r="F106" i="20"/>
  <c r="F105" i="20"/>
  <c r="F104" i="20"/>
  <c r="F103" i="20"/>
  <c r="F102" i="20"/>
  <c r="F101" i="20"/>
  <c r="F129" i="20"/>
  <c r="D129" i="20" s="1"/>
  <c r="F131" i="20"/>
  <c r="D131" i="20" s="1"/>
  <c r="F130" i="20"/>
  <c r="D130" i="20" s="1"/>
  <c r="F128" i="20"/>
  <c r="D128" i="20" s="1"/>
  <c r="F127" i="20"/>
  <c r="D127" i="20" s="1"/>
  <c r="F126" i="20"/>
  <c r="D126" i="20" s="1"/>
  <c r="F125" i="20"/>
  <c r="F124" i="20"/>
  <c r="F123" i="20"/>
  <c r="F122" i="20"/>
  <c r="F121" i="20"/>
  <c r="F120" i="20"/>
  <c r="F119" i="20"/>
  <c r="F118" i="20"/>
  <c r="D118" i="20" s="1"/>
  <c r="F117" i="20"/>
  <c r="I42" i="22" l="1"/>
  <c r="E108" i="23" s="1"/>
  <c r="D284" i="23" s="1"/>
  <c r="D285" i="23" s="1"/>
  <c r="G275" i="24" s="1"/>
  <c r="G37" i="22"/>
  <c r="H98" i="24" s="1"/>
  <c r="J98" i="24" s="1"/>
  <c r="E371" i="23" s="1"/>
  <c r="E381" i="23" s="1"/>
  <c r="H222" i="24"/>
  <c r="H220" i="24" s="1"/>
  <c r="H223" i="24"/>
  <c r="F272" i="23"/>
  <c r="E68" i="23"/>
  <c r="E179" i="24" s="1"/>
  <c r="E35" i="23"/>
  <c r="X178" i="23" s="1"/>
  <c r="A249" i="21"/>
  <c r="J68" i="21" s="1"/>
  <c r="AB68" i="21" s="1"/>
  <c r="L49" i="6" s="1"/>
  <c r="A193" i="21"/>
  <c r="J67" i="21" s="1"/>
  <c r="AB67" i="21" s="1"/>
  <c r="L48" i="6" s="1"/>
  <c r="J65" i="21"/>
  <c r="AB65" i="21" s="1"/>
  <c r="L46" i="6" s="1"/>
  <c r="A139" i="21"/>
  <c r="J66" i="21" s="1"/>
  <c r="AB66" i="21" s="1"/>
  <c r="L47" i="6" s="1"/>
  <c r="I20" i="5"/>
  <c r="G26" i="3"/>
  <c r="F26" i="3"/>
  <c r="BS252" i="21"/>
  <c r="BT256" i="21"/>
  <c r="BT252" i="21" s="1"/>
  <c r="CL216" i="21"/>
  <c r="CL212" i="21" s="1"/>
  <c r="BY200" i="21"/>
  <c r="BY196" i="21" s="1"/>
  <c r="X268" i="21"/>
  <c r="U268" i="21" s="1"/>
  <c r="AR205" i="21"/>
  <c r="AN205" i="21" s="1"/>
  <c r="Y209" i="21"/>
  <c r="U209" i="21" s="1"/>
  <c r="AP213" i="21"/>
  <c r="S56" i="7"/>
  <c r="I146" i="11"/>
  <c r="DJ68" i="20"/>
  <c r="CO68" i="20"/>
  <c r="BH58" i="20"/>
  <c r="AL58" i="20"/>
  <c r="DB430" i="20"/>
  <c r="CN430" i="20"/>
  <c r="BZ430" i="20"/>
  <c r="BL430" i="20"/>
  <c r="AT430" i="20"/>
  <c r="AF430" i="20"/>
  <c r="R430" i="20"/>
  <c r="D430" i="20"/>
  <c r="BG415" i="20"/>
  <c r="BF415" i="20"/>
  <c r="DB198" i="20"/>
  <c r="CN198" i="20"/>
  <c r="BZ198" i="20"/>
  <c r="BL198" i="20"/>
  <c r="AT198" i="20"/>
  <c r="AF198" i="20"/>
  <c r="R198" i="20"/>
  <c r="D198" i="20"/>
  <c r="BG183" i="20"/>
  <c r="BF183" i="20"/>
  <c r="D125" i="20"/>
  <c r="D124" i="20"/>
  <c r="D123" i="20"/>
  <c r="D122" i="20"/>
  <c r="D121" i="20"/>
  <c r="D120" i="20"/>
  <c r="D119" i="20"/>
  <c r="D115" i="20"/>
  <c r="D114" i="20"/>
  <c r="D113" i="20"/>
  <c r="D112" i="20"/>
  <c r="D111" i="20"/>
  <c r="D110" i="20"/>
  <c r="D109" i="20"/>
  <c r="D108" i="20"/>
  <c r="D107" i="20"/>
  <c r="D106" i="20"/>
  <c r="D105" i="20"/>
  <c r="D104" i="20"/>
  <c r="D103" i="20"/>
  <c r="D102" i="20"/>
  <c r="D101" i="20"/>
  <c r="D98" i="20"/>
  <c r="D97" i="20"/>
  <c r="D96" i="20"/>
  <c r="F95" i="20"/>
  <c r="D95" i="20" s="1"/>
  <c r="D94" i="20"/>
  <c r="E94" i="20"/>
  <c r="E95" i="20" s="1"/>
  <c r="E96" i="20" s="1"/>
  <c r="E97" i="20" s="1"/>
  <c r="E98" i="20" s="1"/>
  <c r="F93" i="20"/>
  <c r="D93" i="20" s="1"/>
  <c r="F92" i="20"/>
  <c r="D92" i="20" s="1"/>
  <c r="F91" i="20"/>
  <c r="D91" i="20" s="1"/>
  <c r="D90" i="20"/>
  <c r="F89" i="20"/>
  <c r="D89" i="20" s="1"/>
  <c r="F88" i="20"/>
  <c r="D88" i="20" s="1"/>
  <c r="F87" i="20"/>
  <c r="D87" i="20" s="1"/>
  <c r="D86" i="20"/>
  <c r="D83" i="20"/>
  <c r="D82" i="20"/>
  <c r="D81" i="20"/>
  <c r="D80" i="20"/>
  <c r="D79" i="20"/>
  <c r="E79" i="20"/>
  <c r="E80" i="20" s="1"/>
  <c r="E81" i="20" s="1"/>
  <c r="E82" i="20" s="1"/>
  <c r="E83" i="20" s="1"/>
  <c r="D78" i="20"/>
  <c r="D77" i="20"/>
  <c r="D76" i="20"/>
  <c r="D75" i="20"/>
  <c r="D74" i="20"/>
  <c r="D73" i="20"/>
  <c r="D72" i="20"/>
  <c r="D71" i="20"/>
  <c r="D70" i="20"/>
  <c r="M110" i="23" l="1"/>
  <c r="D17" i="13"/>
  <c r="F60" i="22"/>
  <c r="W207" i="23" s="1"/>
  <c r="X179" i="23"/>
  <c r="T186" i="23" s="1"/>
  <c r="T185" i="23"/>
  <c r="H224" i="24"/>
  <c r="H228" i="24" s="1"/>
  <c r="H232" i="24" s="1"/>
  <c r="H233" i="24" s="1"/>
  <c r="S19" i="4"/>
  <c r="O284" i="4"/>
  <c r="BU256" i="21"/>
  <c r="BU252" i="21" s="1"/>
  <c r="CM216" i="21"/>
  <c r="CM212" i="21" s="1"/>
  <c r="BZ200" i="21"/>
  <c r="BZ196" i="21" s="1"/>
  <c r="Y210" i="21"/>
  <c r="U210" i="21" s="1"/>
  <c r="AR206" i="21"/>
  <c r="AN206" i="21" s="1"/>
  <c r="X14" i="7"/>
  <c r="X15" i="7" s="1"/>
  <c r="Y15" i="7" s="1"/>
  <c r="X11" i="9"/>
  <c r="X12" i="9" s="1"/>
  <c r="Y12" i="9" s="1"/>
  <c r="I14" i="7"/>
  <c r="F304" i="4"/>
  <c r="T65" i="7" s="1"/>
  <c r="F309" i="5"/>
  <c r="F307" i="5"/>
  <c r="F307" i="4"/>
  <c r="F309" i="4"/>
  <c r="G320" i="5"/>
  <c r="G313" i="5"/>
  <c r="N19" i="3"/>
  <c r="F304" i="5"/>
  <c r="G337" i="5"/>
  <c r="I337" i="5"/>
  <c r="J337" i="5"/>
  <c r="K337" i="5"/>
  <c r="L337" i="5"/>
  <c r="G338" i="5"/>
  <c r="G339" i="5"/>
  <c r="G340" i="5"/>
  <c r="G343" i="5"/>
  <c r="H343" i="5"/>
  <c r="I343" i="5"/>
  <c r="J343" i="5"/>
  <c r="K343" i="5"/>
  <c r="L343" i="5"/>
  <c r="G344" i="5"/>
  <c r="I344" i="5"/>
  <c r="J344" i="5"/>
  <c r="K344" i="5"/>
  <c r="L344" i="5"/>
  <c r="G345" i="5"/>
  <c r="G346" i="5"/>
  <c r="G347" i="5"/>
  <c r="H336" i="5"/>
  <c r="I336" i="5"/>
  <c r="J336" i="5"/>
  <c r="K336" i="5"/>
  <c r="L336" i="5"/>
  <c r="G336" i="5"/>
  <c r="G337" i="4"/>
  <c r="I337" i="4"/>
  <c r="J337" i="4"/>
  <c r="K337" i="4"/>
  <c r="L337" i="4"/>
  <c r="G338" i="4"/>
  <c r="G339" i="4"/>
  <c r="G340" i="4"/>
  <c r="G343" i="4"/>
  <c r="H343" i="4"/>
  <c r="I343" i="4"/>
  <c r="J343" i="4"/>
  <c r="K343" i="4"/>
  <c r="L343" i="4"/>
  <c r="G344" i="4"/>
  <c r="I344" i="4"/>
  <c r="J344" i="4"/>
  <c r="K344" i="4"/>
  <c r="L344" i="4"/>
  <c r="G345" i="4"/>
  <c r="G346" i="4"/>
  <c r="G347" i="4"/>
  <c r="H336" i="4"/>
  <c r="I336" i="4"/>
  <c r="J336" i="4"/>
  <c r="K336" i="4"/>
  <c r="L336" i="4"/>
  <c r="G336" i="4"/>
  <c r="G320" i="4"/>
  <c r="HY385" i="19"/>
  <c r="HK385" i="19"/>
  <c r="GW385" i="19"/>
  <c r="GI385" i="19"/>
  <c r="FQ385" i="19"/>
  <c r="FC385" i="19"/>
  <c r="EO385" i="19"/>
  <c r="EA385" i="19"/>
  <c r="GD370" i="19"/>
  <c r="GC370" i="19"/>
  <c r="HN330" i="19"/>
  <c r="FF330" i="19"/>
  <c r="IC327" i="19"/>
  <c r="FU327" i="19"/>
  <c r="DB385" i="19"/>
  <c r="CN385" i="19"/>
  <c r="BZ385" i="19"/>
  <c r="BL385" i="19"/>
  <c r="AT385" i="19"/>
  <c r="AF385" i="19"/>
  <c r="R385" i="19"/>
  <c r="D385" i="19"/>
  <c r="BG370" i="19"/>
  <c r="BF370" i="19"/>
  <c r="CQ330" i="19"/>
  <c r="AI330" i="19"/>
  <c r="DF327" i="19"/>
  <c r="AX327" i="19"/>
  <c r="E31" i="25" l="1"/>
  <c r="AA61" i="9"/>
  <c r="I46" i="9"/>
  <c r="D34" i="10"/>
  <c r="F305" i="5"/>
  <c r="Z19" i="19"/>
  <c r="EW20" i="19"/>
  <c r="EV19" i="20"/>
  <c r="Z19" i="20"/>
  <c r="BV256" i="21"/>
  <c r="BV252" i="21" s="1"/>
  <c r="CN216" i="21"/>
  <c r="CN212" i="21" s="1"/>
  <c r="CA200" i="21"/>
  <c r="CA196" i="21" s="1"/>
  <c r="AR207" i="21"/>
  <c r="AN207" i="21" s="1"/>
  <c r="Y211" i="21"/>
  <c r="U211" i="21" s="1"/>
  <c r="T76" i="9"/>
  <c r="L139" i="4"/>
  <c r="E136" i="4" s="1"/>
  <c r="L138" i="5"/>
  <c r="F305" i="4"/>
  <c r="T66" i="7" s="1"/>
  <c r="BW256" i="21" l="1"/>
  <c r="BW252" i="21" s="1"/>
  <c r="CO216" i="21"/>
  <c r="CO212" i="21" s="1"/>
  <c r="CB200" i="21"/>
  <c r="CB196" i="21" s="1"/>
  <c r="Y212" i="21"/>
  <c r="U212" i="21" s="1"/>
  <c r="AR208" i="21"/>
  <c r="AN208" i="21" s="1"/>
  <c r="B138" i="5"/>
  <c r="C138" i="5"/>
  <c r="T77" i="9"/>
  <c r="K144" i="4"/>
  <c r="E143" i="4"/>
  <c r="C138" i="4"/>
  <c r="K140" i="4"/>
  <c r="B138" i="4"/>
  <c r="K144" i="5"/>
  <c r="E136" i="5"/>
  <c r="K140" i="5"/>
  <c r="E143" i="5"/>
  <c r="I72" i="7"/>
  <c r="J283" i="5"/>
  <c r="H313" i="5"/>
  <c r="I313" i="5"/>
  <c r="J313" i="5"/>
  <c r="K313" i="5"/>
  <c r="L313" i="5"/>
  <c r="H320" i="5"/>
  <c r="I320" i="5"/>
  <c r="J320" i="5"/>
  <c r="K320" i="5"/>
  <c r="L320" i="5"/>
  <c r="H327" i="5"/>
  <c r="I327" i="5"/>
  <c r="J327" i="5"/>
  <c r="K327" i="5"/>
  <c r="L327" i="5"/>
  <c r="H330" i="5"/>
  <c r="I330" i="5"/>
  <c r="J330" i="5"/>
  <c r="K330" i="5"/>
  <c r="L330" i="5"/>
  <c r="H331" i="5"/>
  <c r="I331" i="5"/>
  <c r="J331" i="5"/>
  <c r="K331" i="5"/>
  <c r="L331" i="5"/>
  <c r="G327" i="5"/>
  <c r="G330" i="5"/>
  <c r="G331" i="5"/>
  <c r="HY197" i="19"/>
  <c r="HK197" i="19"/>
  <c r="GW197" i="19"/>
  <c r="GI197" i="19"/>
  <c r="FQ197" i="19"/>
  <c r="FC197" i="19"/>
  <c r="EO197" i="19"/>
  <c r="EA197" i="19"/>
  <c r="GD182" i="19"/>
  <c r="GC182" i="19"/>
  <c r="HN142" i="19"/>
  <c r="FF142" i="19"/>
  <c r="IC139" i="19"/>
  <c r="FU139" i="19"/>
  <c r="EC128" i="19"/>
  <c r="EA128" i="19" s="1"/>
  <c r="EC127" i="19"/>
  <c r="EA127" i="19" s="1"/>
  <c r="EC126" i="19"/>
  <c r="EA126" i="19" s="1"/>
  <c r="EC125" i="19"/>
  <c r="EA125" i="19" s="1"/>
  <c r="EC124" i="19"/>
  <c r="EA124" i="19" s="1"/>
  <c r="EC123" i="19"/>
  <c r="EA123" i="19" s="1"/>
  <c r="EC122" i="19"/>
  <c r="EA122" i="19" s="1"/>
  <c r="EC121" i="19"/>
  <c r="EA121" i="19" s="1"/>
  <c r="EC120" i="19"/>
  <c r="EA120" i="19" s="1"/>
  <c r="EC119" i="19"/>
  <c r="EA119" i="19" s="1"/>
  <c r="EC118" i="19"/>
  <c r="EA118" i="19" s="1"/>
  <c r="EC117" i="19"/>
  <c r="EA117" i="19" s="1"/>
  <c r="EC115" i="19"/>
  <c r="EA115" i="19" s="1"/>
  <c r="EC114" i="19"/>
  <c r="EA114" i="19" s="1"/>
  <c r="EC113" i="19"/>
  <c r="EA113" i="19" s="1"/>
  <c r="EC112" i="19"/>
  <c r="EA112" i="19" s="1"/>
  <c r="EC111" i="19"/>
  <c r="EA111" i="19" s="1"/>
  <c r="EC110" i="19"/>
  <c r="EA110" i="19" s="1"/>
  <c r="EC109" i="19"/>
  <c r="EA109" i="19" s="1"/>
  <c r="EC108" i="19"/>
  <c r="EA108" i="19" s="1"/>
  <c r="EC107" i="19"/>
  <c r="EA107" i="19" s="1"/>
  <c r="EC106" i="19"/>
  <c r="EA106" i="19" s="1"/>
  <c r="EC105" i="19"/>
  <c r="EA105" i="19" s="1"/>
  <c r="EC104" i="19"/>
  <c r="EA104" i="19" s="1"/>
  <c r="EC103" i="19"/>
  <c r="EA103" i="19" s="1"/>
  <c r="EC102" i="19"/>
  <c r="EA102" i="19" s="1"/>
  <c r="EC101" i="19"/>
  <c r="EA101" i="19" s="1"/>
  <c r="EC98" i="19"/>
  <c r="EA98" i="19" s="1"/>
  <c r="EC97" i="19"/>
  <c r="EA97" i="19" s="1"/>
  <c r="EC96" i="19"/>
  <c r="EA96" i="19" s="1"/>
  <c r="EC95" i="19"/>
  <c r="EA95" i="19" s="1"/>
  <c r="EC94" i="19"/>
  <c r="EA94" i="19" s="1"/>
  <c r="EB94" i="19"/>
  <c r="EB95" i="19" s="1"/>
  <c r="EB96" i="19" s="1"/>
  <c r="EB97" i="19" s="1"/>
  <c r="EB98" i="19" s="1"/>
  <c r="EC93" i="19"/>
  <c r="EA93" i="19"/>
  <c r="EC92" i="19"/>
  <c r="EA92" i="19" s="1"/>
  <c r="EC91" i="19"/>
  <c r="EA91" i="19" s="1"/>
  <c r="EC90" i="19"/>
  <c r="EA90" i="19" s="1"/>
  <c r="EC89" i="19"/>
  <c r="EA89" i="19" s="1"/>
  <c r="EC88" i="19"/>
  <c r="EA88" i="19" s="1"/>
  <c r="EC87" i="19"/>
  <c r="EA87" i="19" s="1"/>
  <c r="IG69" i="19"/>
  <c r="HL69" i="19"/>
  <c r="EC86" i="19"/>
  <c r="EA86" i="19" s="1"/>
  <c r="EC85" i="19"/>
  <c r="EA85" i="19" s="1"/>
  <c r="EC83" i="19"/>
  <c r="EA83" i="19" s="1"/>
  <c r="EB83" i="19"/>
  <c r="EC82" i="19"/>
  <c r="EA82" i="19" s="1"/>
  <c r="EC81" i="19"/>
  <c r="EA81" i="19" s="1"/>
  <c r="EC80" i="19"/>
  <c r="EA80" i="19" s="1"/>
  <c r="EC79" i="19"/>
  <c r="EA79" i="19" s="1"/>
  <c r="EB79" i="19"/>
  <c r="EB80" i="19" s="1"/>
  <c r="EB81" i="19" s="1"/>
  <c r="EB82" i="19" s="1"/>
  <c r="EC78" i="19"/>
  <c r="EA78" i="19" s="1"/>
  <c r="EC77" i="19"/>
  <c r="EA77" i="19" s="1"/>
  <c r="GE59" i="19"/>
  <c r="FI59" i="19"/>
  <c r="EC76" i="19"/>
  <c r="EA76" i="19" s="1"/>
  <c r="EC75" i="19"/>
  <c r="EA75" i="19" s="1"/>
  <c r="EC74" i="19"/>
  <c r="EA74" i="19" s="1"/>
  <c r="EC73" i="19"/>
  <c r="EA73" i="19" s="1"/>
  <c r="EC72" i="19"/>
  <c r="EA72" i="19" s="1"/>
  <c r="EC71" i="19"/>
  <c r="EA71" i="19" s="1"/>
  <c r="EC70" i="19"/>
  <c r="EA70" i="19" s="1"/>
  <c r="M77" i="7"/>
  <c r="P330" i="5"/>
  <c r="P330" i="4"/>
  <c r="P298" i="4"/>
  <c r="O128" i="9"/>
  <c r="O161" i="9" s="1"/>
  <c r="O97" i="9"/>
  <c r="Q162" i="9"/>
  <c r="O162" i="9"/>
  <c r="Q161" i="9"/>
  <c r="Q160" i="9"/>
  <c r="Q159" i="9"/>
  <c r="O159" i="9" s="1"/>
  <c r="Q158" i="9"/>
  <c r="P158" i="9"/>
  <c r="P159" i="9" s="1"/>
  <c r="P160" i="9" s="1"/>
  <c r="P161" i="9" s="1"/>
  <c r="P162" i="9" s="1"/>
  <c r="Q157" i="9"/>
  <c r="O157" i="9" s="1"/>
  <c r="P157" i="9"/>
  <c r="Q156" i="9"/>
  <c r="Q155" i="9"/>
  <c r="O155" i="9" s="1"/>
  <c r="Q154" i="9"/>
  <c r="O154" i="9" s="1"/>
  <c r="Q153" i="9"/>
  <c r="O153" i="9"/>
  <c r="Q152" i="9"/>
  <c r="Q151" i="9"/>
  <c r="O151" i="9" s="1"/>
  <c r="Q150" i="9"/>
  <c r="O150" i="9" s="1"/>
  <c r="Q149" i="9"/>
  <c r="O149" i="9"/>
  <c r="Q148" i="9"/>
  <c r="Q147" i="9"/>
  <c r="O147" i="9" s="1"/>
  <c r="Q146" i="9"/>
  <c r="O146" i="9" s="1"/>
  <c r="Q145" i="9"/>
  <c r="O145" i="9"/>
  <c r="Q143" i="9"/>
  <c r="Q142" i="9"/>
  <c r="O142" i="9" s="1"/>
  <c r="Q141" i="9"/>
  <c r="O141" i="9" s="1"/>
  <c r="Q140" i="9"/>
  <c r="O140" i="9"/>
  <c r="Q139" i="9"/>
  <c r="Q138" i="9"/>
  <c r="O138" i="9" s="1"/>
  <c r="Q137" i="9"/>
  <c r="O137" i="9" s="1"/>
  <c r="Q136" i="9"/>
  <c r="O136" i="9"/>
  <c r="Q135" i="9"/>
  <c r="Q134" i="9"/>
  <c r="O134" i="9" s="1"/>
  <c r="Q133" i="9"/>
  <c r="O133" i="9" s="1"/>
  <c r="Q132" i="9"/>
  <c r="O132" i="9"/>
  <c r="Q131" i="9"/>
  <c r="Q130" i="9"/>
  <c r="O130" i="9" s="1"/>
  <c r="Q129" i="9"/>
  <c r="O129" i="9" s="1"/>
  <c r="Q126" i="9"/>
  <c r="O126" i="9"/>
  <c r="Q125" i="9"/>
  <c r="Q124" i="9"/>
  <c r="Q123" i="9"/>
  <c r="O123" i="9" s="1"/>
  <c r="Q122" i="9"/>
  <c r="P122" i="9"/>
  <c r="P123" i="9" s="1"/>
  <c r="P124" i="9" s="1"/>
  <c r="P125" i="9" s="1"/>
  <c r="P126" i="9" s="1"/>
  <c r="Q121" i="9"/>
  <c r="O121" i="9" s="1"/>
  <c r="Q120" i="9"/>
  <c r="O120" i="9" s="1"/>
  <c r="Q119" i="9"/>
  <c r="Q118" i="9"/>
  <c r="Q117" i="9"/>
  <c r="O117" i="9" s="1"/>
  <c r="Q116" i="9"/>
  <c r="O116" i="9" s="1"/>
  <c r="Q115" i="9"/>
  <c r="Q114" i="9"/>
  <c r="Q113" i="9"/>
  <c r="O113" i="9" s="1"/>
  <c r="Q111" i="9"/>
  <c r="O111" i="9" s="1"/>
  <c r="Q110" i="9"/>
  <c r="Q109" i="9"/>
  <c r="O109" i="9" s="1"/>
  <c r="Q108" i="9"/>
  <c r="O108" i="9" s="1"/>
  <c r="Q107" i="9"/>
  <c r="P107" i="9"/>
  <c r="P108" i="9" s="1"/>
  <c r="P109" i="9" s="1"/>
  <c r="P110" i="9" s="1"/>
  <c r="P111" i="9" s="1"/>
  <c r="Q106" i="9"/>
  <c r="O106" i="9" s="1"/>
  <c r="Q105" i="9"/>
  <c r="Q104" i="9"/>
  <c r="O104" i="9"/>
  <c r="Q103" i="9"/>
  <c r="Q102" i="9"/>
  <c r="O102" i="9" s="1"/>
  <c r="Q101" i="9"/>
  <c r="O101" i="9"/>
  <c r="Q100" i="9"/>
  <c r="Q99" i="9"/>
  <c r="O99" i="9" s="1"/>
  <c r="Q98" i="9"/>
  <c r="O98" i="9" s="1"/>
  <c r="P95" i="9"/>
  <c r="M75" i="9"/>
  <c r="Q164" i="7"/>
  <c r="Q163" i="7"/>
  <c r="O163" i="7" s="1"/>
  <c r="Q162" i="7"/>
  <c r="Q161" i="7"/>
  <c r="Q160" i="7"/>
  <c r="Q159" i="7"/>
  <c r="O159" i="7" s="1"/>
  <c r="P159" i="7"/>
  <c r="P160" i="7" s="1"/>
  <c r="P161" i="7" s="1"/>
  <c r="P162" i="7" s="1"/>
  <c r="P163" i="7" s="1"/>
  <c r="P164" i="7" s="1"/>
  <c r="Q158" i="7"/>
  <c r="Q157" i="7"/>
  <c r="Q156" i="7"/>
  <c r="Q155" i="7"/>
  <c r="Q154" i="7"/>
  <c r="Q153" i="7"/>
  <c r="Q152" i="7"/>
  <c r="Q151" i="7"/>
  <c r="Q150" i="7"/>
  <c r="Q149" i="7"/>
  <c r="Q148" i="7"/>
  <c r="Q147" i="7"/>
  <c r="Q145" i="7"/>
  <c r="Q144" i="7"/>
  <c r="Q143" i="7"/>
  <c r="Q142" i="7"/>
  <c r="Q141" i="7"/>
  <c r="Q140" i="7"/>
  <c r="Q139" i="7"/>
  <c r="Q138" i="7"/>
  <c r="Q137" i="7"/>
  <c r="Q136" i="7"/>
  <c r="Q135" i="7"/>
  <c r="Q134" i="7"/>
  <c r="Q133" i="7"/>
  <c r="O133" i="7"/>
  <c r="Q132" i="7"/>
  <c r="Q131" i="7"/>
  <c r="Q128" i="7"/>
  <c r="Q127" i="7"/>
  <c r="Q126" i="7"/>
  <c r="Q125" i="7"/>
  <c r="Q124" i="7"/>
  <c r="P124" i="7"/>
  <c r="P125" i="7" s="1"/>
  <c r="P126" i="7" s="1"/>
  <c r="P127" i="7" s="1"/>
  <c r="P128" i="7" s="1"/>
  <c r="Q123" i="7"/>
  <c r="Q122" i="7"/>
  <c r="O122" i="7" s="1"/>
  <c r="Q121" i="7"/>
  <c r="Q120" i="7"/>
  <c r="O120" i="7" s="1"/>
  <c r="Q119" i="7"/>
  <c r="O119" i="7"/>
  <c r="Q118" i="7"/>
  <c r="Q117" i="7"/>
  <c r="Q116" i="7"/>
  <c r="Q115" i="7"/>
  <c r="O115" i="7" s="1"/>
  <c r="Q113" i="7"/>
  <c r="Q112" i="7"/>
  <c r="Q111" i="7"/>
  <c r="Q110" i="7"/>
  <c r="O110" i="7" s="1"/>
  <c r="Q109" i="7"/>
  <c r="P109" i="7"/>
  <c r="P110" i="7" s="1"/>
  <c r="P111" i="7" s="1"/>
  <c r="P112" i="7" s="1"/>
  <c r="P113" i="7" s="1"/>
  <c r="Q108" i="7"/>
  <c r="Q107" i="7"/>
  <c r="O107" i="7" s="1"/>
  <c r="Q106" i="7"/>
  <c r="O106" i="7" s="1"/>
  <c r="Q105" i="7"/>
  <c r="Q104" i="7"/>
  <c r="O104" i="7" s="1"/>
  <c r="Q103" i="7"/>
  <c r="Q102" i="7"/>
  <c r="O102" i="7" s="1"/>
  <c r="Q101" i="7"/>
  <c r="O101" i="7" s="1"/>
  <c r="Q100" i="7"/>
  <c r="P97" i="7"/>
  <c r="R358" i="5"/>
  <c r="R357" i="5"/>
  <c r="R356" i="5"/>
  <c r="R355" i="5"/>
  <c r="R354" i="5"/>
  <c r="R353" i="5"/>
  <c r="R352" i="5"/>
  <c r="R351" i="5"/>
  <c r="R350" i="5"/>
  <c r="R349" i="5"/>
  <c r="R348" i="5"/>
  <c r="R347" i="5"/>
  <c r="R345" i="5"/>
  <c r="R344" i="5"/>
  <c r="R343" i="5"/>
  <c r="R342" i="5"/>
  <c r="R341" i="5"/>
  <c r="R340" i="5"/>
  <c r="R339" i="5"/>
  <c r="R338" i="5"/>
  <c r="R337" i="5"/>
  <c r="R336" i="5"/>
  <c r="R335" i="5"/>
  <c r="R334" i="5"/>
  <c r="R333" i="5"/>
  <c r="R332" i="5"/>
  <c r="R331" i="5"/>
  <c r="R328" i="5"/>
  <c r="R327" i="5"/>
  <c r="R326" i="5"/>
  <c r="R325" i="5"/>
  <c r="R324" i="5"/>
  <c r="R323" i="5"/>
  <c r="R322" i="5"/>
  <c r="R321" i="5"/>
  <c r="R320" i="5"/>
  <c r="R319" i="5"/>
  <c r="R318" i="5"/>
  <c r="R317" i="5"/>
  <c r="R316" i="5"/>
  <c r="R315" i="5"/>
  <c r="R313" i="5"/>
  <c r="R312" i="5"/>
  <c r="R311" i="5"/>
  <c r="R310" i="5"/>
  <c r="R309" i="5"/>
  <c r="R308" i="5"/>
  <c r="R307" i="5"/>
  <c r="R306" i="5"/>
  <c r="R305" i="5"/>
  <c r="R304" i="5"/>
  <c r="R303" i="5"/>
  <c r="R302" i="5"/>
  <c r="R301" i="5"/>
  <c r="R300" i="5"/>
  <c r="N289" i="5"/>
  <c r="K327" i="4"/>
  <c r="R358" i="4"/>
  <c r="R357" i="4"/>
  <c r="P357" i="4" s="1"/>
  <c r="R356" i="4"/>
  <c r="R355" i="4"/>
  <c r="R354" i="4"/>
  <c r="R353" i="4"/>
  <c r="R352" i="4"/>
  <c r="R351" i="4"/>
  <c r="R350" i="4"/>
  <c r="R349" i="4"/>
  <c r="R348" i="4"/>
  <c r="R347" i="4"/>
  <c r="R345" i="4"/>
  <c r="R344" i="4"/>
  <c r="P344" i="4" s="1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H313" i="4"/>
  <c r="I313" i="4"/>
  <c r="J313" i="4"/>
  <c r="K313" i="4"/>
  <c r="L313" i="4"/>
  <c r="H320" i="4"/>
  <c r="I320" i="4"/>
  <c r="J320" i="4"/>
  <c r="K320" i="4"/>
  <c r="L320" i="4"/>
  <c r="H327" i="4"/>
  <c r="I327" i="4"/>
  <c r="J327" i="4"/>
  <c r="L327" i="4"/>
  <c r="H331" i="4"/>
  <c r="I331" i="4"/>
  <c r="J331" i="4"/>
  <c r="K331" i="4"/>
  <c r="L331" i="4"/>
  <c r="G314" i="4"/>
  <c r="G315" i="4"/>
  <c r="G316" i="4"/>
  <c r="G317" i="4"/>
  <c r="G321" i="4"/>
  <c r="G322" i="4"/>
  <c r="G323" i="4"/>
  <c r="G324" i="4"/>
  <c r="G327" i="4"/>
  <c r="G331" i="4"/>
  <c r="DB196" i="19"/>
  <c r="CN196" i="19"/>
  <c r="BZ196" i="19"/>
  <c r="BL196" i="19"/>
  <c r="AT196" i="19"/>
  <c r="AF196" i="19"/>
  <c r="R196" i="19"/>
  <c r="D196" i="19"/>
  <c r="BG181" i="19"/>
  <c r="BF181" i="19"/>
  <c r="CQ141" i="19"/>
  <c r="AI141" i="19"/>
  <c r="DF138" i="19"/>
  <c r="AX138" i="19"/>
  <c r="F128" i="19"/>
  <c r="D128" i="19" s="1"/>
  <c r="F127" i="19"/>
  <c r="D127" i="19" s="1"/>
  <c r="F126" i="19"/>
  <c r="D126" i="19" s="1"/>
  <c r="F125" i="19"/>
  <c r="D125" i="19" s="1"/>
  <c r="F124" i="19"/>
  <c r="D124" i="19" s="1"/>
  <c r="F123" i="19"/>
  <c r="D123" i="19" s="1"/>
  <c r="F122" i="19"/>
  <c r="D122" i="19" s="1"/>
  <c r="F121" i="19"/>
  <c r="D121" i="19" s="1"/>
  <c r="F120" i="19"/>
  <c r="D120" i="19" s="1"/>
  <c r="F119" i="19"/>
  <c r="D119" i="19" s="1"/>
  <c r="F118" i="19"/>
  <c r="D118" i="19" s="1"/>
  <c r="F117" i="19"/>
  <c r="D117" i="19" s="1"/>
  <c r="F115" i="19"/>
  <c r="D115" i="19" s="1"/>
  <c r="F114" i="19"/>
  <c r="D114" i="19" s="1"/>
  <c r="F113" i="19"/>
  <c r="D113" i="19" s="1"/>
  <c r="F112" i="19"/>
  <c r="D112" i="19" s="1"/>
  <c r="F111" i="19"/>
  <c r="D111" i="19" s="1"/>
  <c r="F110" i="19"/>
  <c r="D110" i="19" s="1"/>
  <c r="F109" i="19"/>
  <c r="D109" i="19" s="1"/>
  <c r="F108" i="19"/>
  <c r="D108" i="19" s="1"/>
  <c r="F107" i="19"/>
  <c r="D107" i="19" s="1"/>
  <c r="F106" i="19"/>
  <c r="D106" i="19" s="1"/>
  <c r="F105" i="19"/>
  <c r="D105" i="19" s="1"/>
  <c r="F104" i="19"/>
  <c r="D104" i="19" s="1"/>
  <c r="F103" i="19"/>
  <c r="D103" i="19" s="1"/>
  <c r="F102" i="19"/>
  <c r="D102" i="19" s="1"/>
  <c r="F101" i="19"/>
  <c r="D101" i="19" s="1"/>
  <c r="F98" i="19"/>
  <c r="D98" i="19" s="1"/>
  <c r="F97" i="19"/>
  <c r="D97" i="19" s="1"/>
  <c r="F96" i="19"/>
  <c r="D96" i="19" s="1"/>
  <c r="F95" i="19"/>
  <c r="D95" i="19" s="1"/>
  <c r="F94" i="19"/>
  <c r="D94" i="19" s="1"/>
  <c r="E94" i="19"/>
  <c r="E95" i="19" s="1"/>
  <c r="E96" i="19" s="1"/>
  <c r="E97" i="19" s="1"/>
  <c r="E98" i="19" s="1"/>
  <c r="F93" i="19"/>
  <c r="D93" i="19" s="1"/>
  <c r="F92" i="19"/>
  <c r="D92" i="19" s="1"/>
  <c r="F91" i="19"/>
  <c r="D91" i="19" s="1"/>
  <c r="F90" i="19"/>
  <c r="D90" i="19" s="1"/>
  <c r="F89" i="19"/>
  <c r="D89" i="19" s="1"/>
  <c r="F88" i="19"/>
  <c r="D88" i="19" s="1"/>
  <c r="F87" i="19"/>
  <c r="D87" i="19" s="1"/>
  <c r="DJ68" i="19"/>
  <c r="CO68" i="19"/>
  <c r="F86" i="19"/>
  <c r="D86" i="19" s="1"/>
  <c r="F85" i="19"/>
  <c r="D85" i="19" s="1"/>
  <c r="F83" i="19"/>
  <c r="D83" i="19" s="1"/>
  <c r="F82" i="19"/>
  <c r="D82" i="19" s="1"/>
  <c r="F81" i="19"/>
  <c r="D81" i="19" s="1"/>
  <c r="F80" i="19"/>
  <c r="D80" i="19" s="1"/>
  <c r="F79" i="19"/>
  <c r="D79" i="19" s="1"/>
  <c r="E79" i="19"/>
  <c r="E80" i="19" s="1"/>
  <c r="E81" i="19" s="1"/>
  <c r="E82" i="19" s="1"/>
  <c r="E83" i="19" s="1"/>
  <c r="F78" i="19"/>
  <c r="D78" i="19" s="1"/>
  <c r="F77" i="19"/>
  <c r="D77" i="19" s="1"/>
  <c r="BH58" i="19"/>
  <c r="AL58" i="19"/>
  <c r="F76" i="19"/>
  <c r="D76" i="19" s="1"/>
  <c r="F75" i="19"/>
  <c r="D75" i="19" s="1"/>
  <c r="F74" i="19"/>
  <c r="D74" i="19" s="1"/>
  <c r="F73" i="19"/>
  <c r="D73" i="19" s="1"/>
  <c r="F72" i="19"/>
  <c r="D72" i="19" s="1"/>
  <c r="F71" i="19"/>
  <c r="D71" i="19" s="1"/>
  <c r="F70" i="19"/>
  <c r="D70" i="19" s="1"/>
  <c r="O131" i="9" l="1"/>
  <c r="O139" i="9"/>
  <c r="O148" i="9"/>
  <c r="O156" i="9"/>
  <c r="O158" i="9"/>
  <c r="O160" i="9"/>
  <c r="H288" i="5"/>
  <c r="N313" i="5"/>
  <c r="H287" i="5"/>
  <c r="N311" i="5"/>
  <c r="O122" i="9"/>
  <c r="V114" i="7"/>
  <c r="M85" i="7"/>
  <c r="M87" i="7"/>
  <c r="O135" i="9"/>
  <c r="O143" i="9"/>
  <c r="O152" i="9"/>
  <c r="P333" i="4"/>
  <c r="P337" i="4"/>
  <c r="P341" i="4"/>
  <c r="L17" i="5"/>
  <c r="M17" i="5" s="1"/>
  <c r="H353" i="5"/>
  <c r="L76" i="7"/>
  <c r="EW23" i="20"/>
  <c r="AA23" i="20"/>
  <c r="EX24" i="19"/>
  <c r="BX256" i="21"/>
  <c r="AR209" i="21"/>
  <c r="AN209" i="21" s="1"/>
  <c r="P331" i="4"/>
  <c r="P351" i="4"/>
  <c r="P355" i="4"/>
  <c r="P340" i="4"/>
  <c r="P343" i="4"/>
  <c r="P348" i="4"/>
  <c r="P334" i="4"/>
  <c r="P338" i="4"/>
  <c r="P350" i="4"/>
  <c r="P354" i="4"/>
  <c r="P358" i="4"/>
  <c r="P305" i="4"/>
  <c r="P310" i="4"/>
  <c r="P315" i="4"/>
  <c r="P319" i="4"/>
  <c r="P323" i="4"/>
  <c r="P356" i="4"/>
  <c r="P309" i="4"/>
  <c r="P307" i="4"/>
  <c r="P311" i="4"/>
  <c r="P328" i="4"/>
  <c r="P302" i="4"/>
  <c r="P313" i="4"/>
  <c r="P301" i="4"/>
  <c r="P325" i="4"/>
  <c r="P336" i="4"/>
  <c r="P342" i="4"/>
  <c r="P347" i="4"/>
  <c r="P353" i="4"/>
  <c r="P326" i="4"/>
  <c r="P332" i="4"/>
  <c r="P335" i="4"/>
  <c r="P339" i="4"/>
  <c r="P345" i="4"/>
  <c r="P349" i="4"/>
  <c r="P352" i="4"/>
  <c r="Y77" i="9"/>
  <c r="Y76" i="9"/>
  <c r="Y66" i="7"/>
  <c r="Y65" i="7"/>
  <c r="P304" i="4"/>
  <c r="P318" i="4"/>
  <c r="P322" i="4"/>
  <c r="P327" i="4"/>
  <c r="P300" i="4"/>
  <c r="P303" i="4"/>
  <c r="P308" i="4"/>
  <c r="P312" i="4"/>
  <c r="P316" i="4"/>
  <c r="P320" i="4"/>
  <c r="P306" i="4"/>
  <c r="P317" i="4"/>
  <c r="P321" i="4"/>
  <c r="P324" i="4"/>
  <c r="J74" i="7"/>
  <c r="C75" i="7"/>
  <c r="C74" i="7"/>
  <c r="P298" i="5"/>
  <c r="P326" i="5" s="1"/>
  <c r="O100" i="9"/>
  <c r="O103" i="9"/>
  <c r="O105" i="9"/>
  <c r="O107" i="9"/>
  <c r="O115" i="9"/>
  <c r="O119" i="9"/>
  <c r="O125" i="9"/>
  <c r="O110" i="9"/>
  <c r="O114" i="9"/>
  <c r="O118" i="9"/>
  <c r="O124" i="9"/>
  <c r="O156" i="7"/>
  <c r="O155" i="7"/>
  <c r="O140" i="7"/>
  <c r="O150" i="7"/>
  <c r="O112" i="7"/>
  <c r="O116" i="7"/>
  <c r="O123" i="7"/>
  <c r="O125" i="7"/>
  <c r="O138" i="7"/>
  <c r="O158" i="7"/>
  <c r="O100" i="7"/>
  <c r="O103" i="7"/>
  <c r="O134" i="7"/>
  <c r="O147" i="7"/>
  <c r="O141" i="7"/>
  <c r="O142" i="7"/>
  <c r="O109" i="7"/>
  <c r="O111" i="7"/>
  <c r="O113" i="7"/>
  <c r="O117" i="7"/>
  <c r="O124" i="7"/>
  <c r="O127" i="7"/>
  <c r="O105" i="7"/>
  <c r="O108" i="7"/>
  <c r="O118" i="7"/>
  <c r="O121" i="7"/>
  <c r="O126" i="7"/>
  <c r="O128" i="7"/>
  <c r="O132" i="7"/>
  <c r="O135" i="7"/>
  <c r="O143" i="7"/>
  <c r="O149" i="7"/>
  <c r="O152" i="7"/>
  <c r="O157" i="7"/>
  <c r="O162" i="7"/>
  <c r="O164" i="7"/>
  <c r="O137" i="7"/>
  <c r="O145" i="7"/>
  <c r="O151" i="7"/>
  <c r="O154" i="7"/>
  <c r="O161" i="7"/>
  <c r="O131" i="7"/>
  <c r="O136" i="7"/>
  <c r="O139" i="7"/>
  <c r="O144" i="7"/>
  <c r="O148" i="7"/>
  <c r="O153" i="7"/>
  <c r="O160" i="7"/>
  <c r="P356" i="5"/>
  <c r="P348" i="5"/>
  <c r="P339" i="5"/>
  <c r="P331" i="5"/>
  <c r="P354" i="5"/>
  <c r="P345" i="5"/>
  <c r="P337" i="5"/>
  <c r="P352" i="5"/>
  <c r="P343" i="5"/>
  <c r="P335" i="5"/>
  <c r="P358" i="5"/>
  <c r="P350" i="5"/>
  <c r="P341" i="5"/>
  <c r="P333" i="5"/>
  <c r="P342" i="5"/>
  <c r="P338" i="5"/>
  <c r="P347" i="5"/>
  <c r="P355" i="5"/>
  <c r="P332" i="5"/>
  <c r="P340" i="5"/>
  <c r="P349" i="5"/>
  <c r="P357" i="5"/>
  <c r="P334" i="5"/>
  <c r="P351" i="5"/>
  <c r="P336" i="5"/>
  <c r="P344" i="5"/>
  <c r="P353" i="5"/>
  <c r="I55" i="10"/>
  <c r="K54" i="10" s="1"/>
  <c r="I17" i="9"/>
  <c r="G137" i="13"/>
  <c r="D38" i="17"/>
  <c r="C30" i="17" s="1"/>
  <c r="M16" i="17"/>
  <c r="M14" i="17"/>
  <c r="M11" i="17"/>
  <c r="M10" i="17"/>
  <c r="M9" i="17"/>
  <c r="H93" i="16"/>
  <c r="E107" i="17" s="1"/>
  <c r="E108" i="17" s="1"/>
  <c r="H67" i="16"/>
  <c r="C25" i="16"/>
  <c r="E19" i="16"/>
  <c r="A14" i="16"/>
  <c r="L55" i="15"/>
  <c r="L54" i="15"/>
  <c r="F40" i="15"/>
  <c r="F41" i="15" s="1"/>
  <c r="F42" i="15" s="1"/>
  <c r="G9" i="14"/>
  <c r="N25" i="13"/>
  <c r="I193" i="13"/>
  <c r="H190" i="13"/>
  <c r="I180" i="13"/>
  <c r="P72" i="11"/>
  <c r="G152" i="13"/>
  <c r="H188" i="13" s="1"/>
  <c r="G150" i="13"/>
  <c r="G138" i="13"/>
  <c r="G139" i="13"/>
  <c r="E136" i="13"/>
  <c r="G136" i="13" s="1"/>
  <c r="G191" i="13"/>
  <c r="G133" i="13"/>
  <c r="G189" i="13" s="1"/>
  <c r="P124" i="13"/>
  <c r="M112" i="13"/>
  <c r="X11" i="11"/>
  <c r="N24" i="13"/>
  <c r="I96" i="13"/>
  <c r="D96" i="13"/>
  <c r="I85" i="13"/>
  <c r="I82" i="13"/>
  <c r="I76" i="13"/>
  <c r="D72" i="13"/>
  <c r="I69" i="13"/>
  <c r="I65" i="13"/>
  <c r="D64" i="13"/>
  <c r="D65" i="13" s="1"/>
  <c r="I62" i="13"/>
  <c r="I56" i="13"/>
  <c r="X6" i="11"/>
  <c r="D52" i="13"/>
  <c r="D53" i="13" s="1"/>
  <c r="I50" i="13"/>
  <c r="X5" i="11" s="1"/>
  <c r="I49" i="13"/>
  <c r="X8" i="11" s="1"/>
  <c r="G44" i="13"/>
  <c r="I41" i="13"/>
  <c r="X14" i="11" s="1"/>
  <c r="D34" i="13"/>
  <c r="D38" i="13" s="1"/>
  <c r="F23" i="13"/>
  <c r="F24" i="13" s="1"/>
  <c r="F25" i="13" s="1"/>
  <c r="F26" i="13" s="1"/>
  <c r="F27" i="13" s="1"/>
  <c r="E23" i="13"/>
  <c r="E24" i="13" s="1"/>
  <c r="E25" i="13" s="1"/>
  <c r="AB18" i="13"/>
  <c r="AB17" i="13"/>
  <c r="AB16" i="13"/>
  <c r="AB15" i="13"/>
  <c r="AB14" i="13"/>
  <c r="AB13" i="13"/>
  <c r="AB12" i="13"/>
  <c r="I11" i="13"/>
  <c r="P121" i="13" s="1"/>
  <c r="AB10" i="13"/>
  <c r="AA10" i="13"/>
  <c r="AA9" i="13"/>
  <c r="AD8" i="13"/>
  <c r="AB8" i="13"/>
  <c r="AD7" i="13"/>
  <c r="AB7" i="13"/>
  <c r="AA6" i="13"/>
  <c r="AD5" i="13"/>
  <c r="AB5" i="13"/>
  <c r="AA5" i="13"/>
  <c r="AD4" i="13"/>
  <c r="AB4" i="13"/>
  <c r="AA4" i="13"/>
  <c r="AB3" i="13"/>
  <c r="AA3" i="13"/>
  <c r="M5" i="13"/>
  <c r="AD2" i="13"/>
  <c r="AB2" i="13"/>
  <c r="AA2" i="13"/>
  <c r="L4" i="13"/>
  <c r="AD1" i="13"/>
  <c r="AB1" i="13"/>
  <c r="AA1" i="13"/>
  <c r="L3" i="13"/>
  <c r="O31" i="12"/>
  <c r="S23" i="12"/>
  <c r="S22" i="12"/>
  <c r="Q22" i="12"/>
  <c r="K16" i="12"/>
  <c r="H16" i="12"/>
  <c r="T13" i="12"/>
  <c r="X12" i="12"/>
  <c r="W12" i="12"/>
  <c r="V11" i="12"/>
  <c r="H28" i="12"/>
  <c r="H104" i="16" s="1"/>
  <c r="K10" i="12"/>
  <c r="D7" i="14"/>
  <c r="D21" i="14" s="1"/>
  <c r="D23" i="14" s="1"/>
  <c r="T7" i="12"/>
  <c r="G7" i="12"/>
  <c r="K6" i="12"/>
  <c r="L5" i="12"/>
  <c r="K5" i="12"/>
  <c r="G5" i="12"/>
  <c r="C82" i="11"/>
  <c r="C85" i="11" s="1"/>
  <c r="C80" i="11"/>
  <c r="P71" i="11"/>
  <c r="N71" i="11"/>
  <c r="P70" i="11"/>
  <c r="P69" i="11"/>
  <c r="P68" i="11"/>
  <c r="R59" i="11"/>
  <c r="H59" i="11"/>
  <c r="G59" i="11"/>
  <c r="H55" i="11"/>
  <c r="C162" i="13" s="1"/>
  <c r="G55" i="11"/>
  <c r="C161" i="13" s="1"/>
  <c r="P54" i="11"/>
  <c r="P42" i="11"/>
  <c r="L41" i="11"/>
  <c r="G39" i="11"/>
  <c r="D39" i="11"/>
  <c r="L38" i="11"/>
  <c r="C38" i="11"/>
  <c r="D37" i="11"/>
  <c r="AC53" i="11" s="1"/>
  <c r="C37" i="11"/>
  <c r="P31" i="11"/>
  <c r="D31" i="11"/>
  <c r="C31" i="11"/>
  <c r="P30" i="11"/>
  <c r="P28" i="11"/>
  <c r="C28" i="11"/>
  <c r="P26" i="11"/>
  <c r="H26" i="11"/>
  <c r="AC76" i="11" s="1"/>
  <c r="G26" i="11"/>
  <c r="AC64" i="11" s="1"/>
  <c r="D26" i="11"/>
  <c r="AC52" i="11" s="1"/>
  <c r="C26" i="11"/>
  <c r="AC40" i="11" s="1"/>
  <c r="AC77" i="11"/>
  <c r="AC65" i="11"/>
  <c r="D25" i="11"/>
  <c r="C25" i="11"/>
  <c r="O24" i="11"/>
  <c r="N24" i="11"/>
  <c r="G24" i="11"/>
  <c r="D24" i="11"/>
  <c r="AC51" i="11" s="1"/>
  <c r="C24" i="11"/>
  <c r="AC39" i="11" s="1"/>
  <c r="S23" i="11"/>
  <c r="AW15" i="11" s="1"/>
  <c r="R23" i="11"/>
  <c r="AW14" i="11" s="1"/>
  <c r="P23" i="11"/>
  <c r="AW12" i="11" s="1"/>
  <c r="C22" i="11"/>
  <c r="AC34" i="11" s="1"/>
  <c r="F20" i="11"/>
  <c r="B20" i="11"/>
  <c r="P17" i="11"/>
  <c r="AW11" i="11" s="1"/>
  <c r="X17" i="11"/>
  <c r="C17" i="11"/>
  <c r="X16" i="11"/>
  <c r="P16" i="11"/>
  <c r="H16" i="11"/>
  <c r="G16" i="11"/>
  <c r="D16" i="11"/>
  <c r="H6" i="13" s="1"/>
  <c r="C16" i="11"/>
  <c r="H5" i="13" s="1"/>
  <c r="X13" i="11"/>
  <c r="P13" i="11"/>
  <c r="AW8" i="11" s="1"/>
  <c r="X12" i="11"/>
  <c r="P11" i="11"/>
  <c r="AW6" i="11" s="1"/>
  <c r="G11" i="11"/>
  <c r="C9" i="13" s="1"/>
  <c r="B11" i="11"/>
  <c r="C11" i="13" s="1"/>
  <c r="X10" i="11"/>
  <c r="N10" i="11"/>
  <c r="B10" i="11"/>
  <c r="C10" i="13" s="1"/>
  <c r="V9" i="11"/>
  <c r="B9" i="11"/>
  <c r="S8" i="11"/>
  <c r="F8" i="11"/>
  <c r="N7" i="11"/>
  <c r="L7" i="11"/>
  <c r="B7" i="11"/>
  <c r="S11" i="11" s="1"/>
  <c r="V20" i="11"/>
  <c r="F6" i="11"/>
  <c r="B6" i="11"/>
  <c r="C6" i="13" s="1"/>
  <c r="P5" i="11"/>
  <c r="AW10" i="11" s="1"/>
  <c r="B5" i="11"/>
  <c r="C4" i="13" s="1"/>
  <c r="G4" i="11"/>
  <c r="Q44" i="11" s="1"/>
  <c r="F4" i="11"/>
  <c r="C61" i="13" s="1"/>
  <c r="H3" i="11"/>
  <c r="G8" i="12"/>
  <c r="C290" i="16" s="1"/>
  <c r="H290" i="16" s="1"/>
  <c r="T130" i="10"/>
  <c r="U128" i="10"/>
  <c r="U127" i="10"/>
  <c r="T127" i="10"/>
  <c r="T128" i="10" s="1"/>
  <c r="T126" i="10"/>
  <c r="R125" i="10"/>
  <c r="T125" i="10" s="1"/>
  <c r="M93" i="10" s="1"/>
  <c r="U120" i="10"/>
  <c r="U121" i="10" s="1"/>
  <c r="T120" i="10"/>
  <c r="T121" i="10" s="1"/>
  <c r="T122" i="10" s="1"/>
  <c r="T119" i="10"/>
  <c r="R118" i="10"/>
  <c r="U113" i="10"/>
  <c r="U114" i="10" s="1"/>
  <c r="T113" i="10"/>
  <c r="R111" i="10"/>
  <c r="T111" i="10" s="1"/>
  <c r="M91" i="10" s="1"/>
  <c r="U104" i="10"/>
  <c r="U105" i="10" s="1"/>
  <c r="U106" i="10" s="1"/>
  <c r="T104" i="10"/>
  <c r="T105" i="10" s="1"/>
  <c r="R102" i="10"/>
  <c r="T96" i="10"/>
  <c r="U95" i="10"/>
  <c r="U96" i="10" s="1"/>
  <c r="T95" i="10"/>
  <c r="O94" i="10"/>
  <c r="N94" i="10"/>
  <c r="M94" i="10"/>
  <c r="L94" i="10"/>
  <c r="K94" i="10"/>
  <c r="R93" i="10"/>
  <c r="V93" i="10" s="1"/>
  <c r="O89" i="10" s="1"/>
  <c r="U84" i="10"/>
  <c r="U85" i="10" s="1"/>
  <c r="U86" i="10" s="1"/>
  <c r="U87" i="10" s="1"/>
  <c r="U88" i="10" s="1"/>
  <c r="O84" i="10"/>
  <c r="N84" i="10"/>
  <c r="M84" i="10"/>
  <c r="L84" i="10"/>
  <c r="K84" i="10"/>
  <c r="R82" i="10"/>
  <c r="O82" i="10"/>
  <c r="N82" i="10"/>
  <c r="M82" i="10"/>
  <c r="L82" i="10"/>
  <c r="K82" i="10"/>
  <c r="T79" i="10"/>
  <c r="U75" i="10"/>
  <c r="U76" i="10" s="1"/>
  <c r="U77" i="10" s="1"/>
  <c r="U78" i="10" s="1"/>
  <c r="U79" i="10" s="1"/>
  <c r="T75" i="10"/>
  <c r="U73" i="10"/>
  <c r="U72" i="10"/>
  <c r="O72" i="10"/>
  <c r="N72" i="10"/>
  <c r="M72" i="10"/>
  <c r="L72" i="10"/>
  <c r="K72" i="10"/>
  <c r="R70" i="10"/>
  <c r="T70" i="10" s="1"/>
  <c r="M87" i="10" s="1"/>
  <c r="T66" i="10"/>
  <c r="T67" i="10" s="1"/>
  <c r="U63" i="10"/>
  <c r="U64" i="10" s="1"/>
  <c r="U65" i="10" s="1"/>
  <c r="U66" i="10" s="1"/>
  <c r="U67" i="10" s="1"/>
  <c r="U59" i="10"/>
  <c r="U60" i="10" s="1"/>
  <c r="R57" i="10"/>
  <c r="U49" i="10"/>
  <c r="U50" i="10" s="1"/>
  <c r="U51" i="10" s="1"/>
  <c r="U52" i="10" s="1"/>
  <c r="U53" i="10" s="1"/>
  <c r="U54" i="10" s="1"/>
  <c r="U46" i="10"/>
  <c r="U47" i="10" s="1"/>
  <c r="AD44" i="10"/>
  <c r="R44" i="10"/>
  <c r="C33" i="10"/>
  <c r="D8" i="10"/>
  <c r="C20" i="10"/>
  <c r="D120" i="9"/>
  <c r="I88" i="9"/>
  <c r="I68" i="9"/>
  <c r="X63" i="9"/>
  <c r="Y63" i="9" s="1"/>
  <c r="W63" i="9"/>
  <c r="T63" i="9"/>
  <c r="AA63" i="9" s="1"/>
  <c r="S62" i="9"/>
  <c r="AA62" i="9"/>
  <c r="X62" i="9"/>
  <c r="Y62" i="9" s="1"/>
  <c r="S61" i="9"/>
  <c r="S60" i="9"/>
  <c r="AA59" i="9"/>
  <c r="Y59" i="9"/>
  <c r="S59" i="9"/>
  <c r="AA58" i="9"/>
  <c r="Y58" i="9"/>
  <c r="S58" i="9"/>
  <c r="Y57" i="9"/>
  <c r="S57" i="9"/>
  <c r="Y56" i="9"/>
  <c r="R58" i="9" s="1"/>
  <c r="S56" i="9"/>
  <c r="AA55" i="9"/>
  <c r="Y55" i="9"/>
  <c r="S55" i="9"/>
  <c r="AA53" i="9"/>
  <c r="U53" i="9"/>
  <c r="X53" i="9" s="1"/>
  <c r="Y53" i="9" s="1"/>
  <c r="S53" i="9"/>
  <c r="Y52" i="9"/>
  <c r="S52" i="9"/>
  <c r="AA51" i="9"/>
  <c r="Y51" i="9"/>
  <c r="S51" i="9"/>
  <c r="N51" i="9"/>
  <c r="R53" i="9"/>
  <c r="U49" i="9"/>
  <c r="D86" i="9"/>
  <c r="P43" i="9"/>
  <c r="P42" i="9"/>
  <c r="P41" i="9"/>
  <c r="G41" i="9"/>
  <c r="C86" i="11" s="1"/>
  <c r="J10" i="13" s="1"/>
  <c r="P40" i="9"/>
  <c r="J40" i="9"/>
  <c r="D35" i="10" s="1"/>
  <c r="P39" i="9"/>
  <c r="P38" i="9"/>
  <c r="P37" i="9"/>
  <c r="P36" i="9"/>
  <c r="P35" i="9"/>
  <c r="P34" i="9"/>
  <c r="T33" i="9"/>
  <c r="P33" i="9"/>
  <c r="T32" i="9"/>
  <c r="P32" i="9"/>
  <c r="T31" i="9"/>
  <c r="P31" i="9"/>
  <c r="S28" i="9"/>
  <c r="R28" i="9"/>
  <c r="Q28" i="9"/>
  <c r="P28" i="9" s="1"/>
  <c r="P27" i="9"/>
  <c r="P26" i="9"/>
  <c r="P25" i="9"/>
  <c r="P24" i="9"/>
  <c r="P23" i="9"/>
  <c r="P22" i="9"/>
  <c r="P21" i="9"/>
  <c r="P20" i="9"/>
  <c r="P19" i="9"/>
  <c r="I19" i="9"/>
  <c r="J19" i="9" s="1"/>
  <c r="P18" i="9"/>
  <c r="I18" i="9"/>
  <c r="J18" i="9" s="1"/>
  <c r="P17" i="9"/>
  <c r="P16" i="9"/>
  <c r="I15" i="9"/>
  <c r="J15" i="9" s="1"/>
  <c r="L13" i="9"/>
  <c r="I13" i="9"/>
  <c r="L12" i="9"/>
  <c r="M12" i="9" s="1"/>
  <c r="E66" i="8"/>
  <c r="H63" i="8"/>
  <c r="E63" i="8"/>
  <c r="A63" i="8"/>
  <c r="D53" i="8"/>
  <c r="S37" i="8"/>
  <c r="S36" i="8"/>
  <c r="R34" i="8"/>
  <c r="S34" i="8" s="1"/>
  <c r="Q36" i="8" s="1"/>
  <c r="S33" i="8"/>
  <c r="R33" i="8"/>
  <c r="Y36" i="9"/>
  <c r="E36" i="8"/>
  <c r="H34" i="8"/>
  <c r="D35" i="8" s="1"/>
  <c r="I35" i="8" s="1"/>
  <c r="I24" i="8"/>
  <c r="I23" i="8"/>
  <c r="G23" i="8"/>
  <c r="C10" i="8"/>
  <c r="K114" i="7"/>
  <c r="I114" i="7" s="1"/>
  <c r="I100" i="7"/>
  <c r="J100" i="7" s="1"/>
  <c r="D91" i="7" s="1"/>
  <c r="I91" i="7"/>
  <c r="I90" i="7"/>
  <c r="I69" i="7"/>
  <c r="D90" i="13" s="1"/>
  <c r="D101" i="13" s="1"/>
  <c r="A54" i="7"/>
  <c r="P48" i="7"/>
  <c r="T42" i="7"/>
  <c r="J29" i="7"/>
  <c r="R28" i="7"/>
  <c r="Q28" i="7"/>
  <c r="R27" i="7"/>
  <c r="Q27" i="7"/>
  <c r="I15" i="7"/>
  <c r="H81" i="8"/>
  <c r="M79" i="8" s="1"/>
  <c r="H59" i="6"/>
  <c r="H1" i="6" s="1"/>
  <c r="E59" i="6"/>
  <c r="A59" i="6"/>
  <c r="D49" i="6"/>
  <c r="K38" i="6"/>
  <c r="I32" i="6"/>
  <c r="E32" i="6"/>
  <c r="D31" i="6"/>
  <c r="I31" i="6" s="1"/>
  <c r="I27" i="6"/>
  <c r="I20" i="6"/>
  <c r="I19" i="6"/>
  <c r="G19" i="6"/>
  <c r="C10" i="6"/>
  <c r="R276" i="5"/>
  <c r="S276" i="5" s="1"/>
  <c r="J257" i="5"/>
  <c r="H134" i="5"/>
  <c r="L137" i="5" s="1"/>
  <c r="J129" i="5"/>
  <c r="F106" i="5"/>
  <c r="J99" i="5"/>
  <c r="J98" i="5"/>
  <c r="J95" i="5"/>
  <c r="D22" i="11"/>
  <c r="G27" i="5"/>
  <c r="O284" i="5"/>
  <c r="I17" i="5"/>
  <c r="I15" i="5"/>
  <c r="J276" i="5" s="1"/>
  <c r="I12" i="5"/>
  <c r="N289" i="4"/>
  <c r="M288" i="4" s="1"/>
  <c r="K286" i="4" s="1"/>
  <c r="R279" i="4"/>
  <c r="J277" i="4"/>
  <c r="J276" i="4"/>
  <c r="O281" i="4" s="1"/>
  <c r="N273" i="4"/>
  <c r="J257" i="4"/>
  <c r="H134" i="4"/>
  <c r="L138" i="4" s="1"/>
  <c r="J129" i="4"/>
  <c r="G99" i="4"/>
  <c r="J98" i="4"/>
  <c r="J95" i="4"/>
  <c r="J96" i="4" s="1"/>
  <c r="A52" i="4"/>
  <c r="G31" i="4"/>
  <c r="I27" i="4"/>
  <c r="I27" i="5" s="1"/>
  <c r="G27" i="4"/>
  <c r="I23" i="4"/>
  <c r="P18" i="4"/>
  <c r="C21" i="4" s="1"/>
  <c r="S18" i="4" s="1"/>
  <c r="I17" i="4"/>
  <c r="I15" i="4"/>
  <c r="I13" i="4"/>
  <c r="I91" i="3"/>
  <c r="I90" i="3"/>
  <c r="K52" i="3"/>
  <c r="N38" i="3"/>
  <c r="L9" i="6" s="1"/>
  <c r="T10" i="12"/>
  <c r="F5" i="11"/>
  <c r="L16" i="3"/>
  <c r="V21" i="11"/>
  <c r="D4" i="3"/>
  <c r="E4" i="6" s="1"/>
  <c r="E62" i="6" s="1"/>
  <c r="B4" i="3"/>
  <c r="E25" i="16" s="1"/>
  <c r="B2" i="11"/>
  <c r="F2" i="4"/>
  <c r="B4" i="5"/>
  <c r="B53" i="5" s="1"/>
  <c r="A3" i="8"/>
  <c r="A65" i="8" s="1"/>
  <c r="C160" i="13" l="1"/>
  <c r="C26" i="13"/>
  <c r="H73" i="16"/>
  <c r="H16" i="22"/>
  <c r="H80" i="24" s="1"/>
  <c r="L6" i="12"/>
  <c r="J2" i="22"/>
  <c r="L7" i="12"/>
  <c r="J3" i="22"/>
  <c r="S206" i="23" s="1"/>
  <c r="C25" i="13"/>
  <c r="L3" i="12"/>
  <c r="D5" i="22"/>
  <c r="A19" i="24" s="1"/>
  <c r="L1" i="12"/>
  <c r="D3" i="22"/>
  <c r="B87" i="5"/>
  <c r="B233" i="5" s="1"/>
  <c r="I25" i="7"/>
  <c r="G41" i="11" s="1"/>
  <c r="I19" i="7"/>
  <c r="A3" i="5"/>
  <c r="A52" i="5" s="1"/>
  <c r="A3" i="6"/>
  <c r="A61" i="6" s="1"/>
  <c r="U44" i="10"/>
  <c r="N85" i="10" s="1"/>
  <c r="V57" i="10"/>
  <c r="O86" i="10" s="1"/>
  <c r="U82" i="10"/>
  <c r="N88" i="10" s="1"/>
  <c r="T118" i="10"/>
  <c r="M92" i="10" s="1"/>
  <c r="B4" i="6"/>
  <c r="B62" i="6" s="1"/>
  <c r="U102" i="10"/>
  <c r="N90" i="10" s="1"/>
  <c r="H191" i="13"/>
  <c r="P196" i="13"/>
  <c r="K88" i="13"/>
  <c r="G99" i="13" s="1"/>
  <c r="O37" i="11"/>
  <c r="R48" i="11" s="1"/>
  <c r="D84" i="13"/>
  <c r="D85" i="13" s="1"/>
  <c r="AW33" i="11"/>
  <c r="O122" i="13"/>
  <c r="AC31" i="11"/>
  <c r="BC20" i="11"/>
  <c r="AW20" i="11"/>
  <c r="AI264" i="5"/>
  <c r="J13" i="9"/>
  <c r="J17" i="9" s="1"/>
  <c r="AD50" i="9"/>
  <c r="AE50" i="9" s="1"/>
  <c r="G121" i="13"/>
  <c r="E192" i="13" s="1"/>
  <c r="S38" i="8"/>
  <c r="H37" i="11"/>
  <c r="D35" i="13"/>
  <c r="D45" i="13" s="1"/>
  <c r="N15" i="6"/>
  <c r="M24" i="6" s="1"/>
  <c r="M25" i="6" s="1"/>
  <c r="C45" i="10"/>
  <c r="G54" i="11" s="1"/>
  <c r="U42" i="11"/>
  <c r="Z54" i="9"/>
  <c r="Z60" i="9"/>
  <c r="Z61" i="9"/>
  <c r="L166" i="13"/>
  <c r="K14" i="12"/>
  <c r="H14" i="12" s="1"/>
  <c r="L14" i="12"/>
  <c r="Z51" i="9"/>
  <c r="D20" i="10"/>
  <c r="Z47" i="10" s="1"/>
  <c r="AD47" i="10" s="1"/>
  <c r="D21" i="10" s="1"/>
  <c r="D22" i="10" s="1"/>
  <c r="G3" i="10"/>
  <c r="G2" i="10"/>
  <c r="Z109" i="5"/>
  <c r="L30" i="5"/>
  <c r="S23" i="13"/>
  <c r="K143" i="13" s="1"/>
  <c r="T11" i="4"/>
  <c r="U11" i="4" s="1"/>
  <c r="T12" i="4" s="1"/>
  <c r="U12" i="4" s="1"/>
  <c r="U13" i="4" s="1"/>
  <c r="I160" i="13"/>
  <c r="I26" i="13" s="1"/>
  <c r="M160" i="13"/>
  <c r="L160" i="13"/>
  <c r="C159" i="13"/>
  <c r="E160" i="13"/>
  <c r="P119" i="13"/>
  <c r="O281" i="5"/>
  <c r="N281" i="5"/>
  <c r="S64" i="11"/>
  <c r="AW44" i="11" s="1"/>
  <c r="BX252" i="21"/>
  <c r="BY256" i="21"/>
  <c r="BY252" i="21" s="1"/>
  <c r="AR210" i="21"/>
  <c r="AN210" i="21" s="1"/>
  <c r="D17" i="11"/>
  <c r="AC43" i="11" s="1"/>
  <c r="J277" i="5"/>
  <c r="J138" i="5"/>
  <c r="D69" i="13"/>
  <c r="Q35" i="11" s="1"/>
  <c r="BO4" i="21"/>
  <c r="O118" i="13"/>
  <c r="BO3" i="21"/>
  <c r="AC91" i="11"/>
  <c r="G188" i="13"/>
  <c r="G154" i="13"/>
  <c r="R196" i="13" s="1"/>
  <c r="G192" i="13"/>
  <c r="N80" i="8"/>
  <c r="O80" i="8"/>
  <c r="I74" i="8"/>
  <c r="D27" i="11"/>
  <c r="AC49" i="11"/>
  <c r="AD102" i="11"/>
  <c r="AC46" i="11"/>
  <c r="C39" i="11"/>
  <c r="J138" i="4"/>
  <c r="S63" i="11"/>
  <c r="V63" i="11" s="1"/>
  <c r="L16" i="11"/>
  <c r="O120" i="13"/>
  <c r="D70" i="13"/>
  <c r="D74" i="13" s="1"/>
  <c r="Q31" i="11"/>
  <c r="Q54" i="11"/>
  <c r="V54" i="11" s="1"/>
  <c r="Q28" i="11"/>
  <c r="V28" i="11" s="1"/>
  <c r="Q30" i="11"/>
  <c r="Q38" i="11"/>
  <c r="Q23" i="11"/>
  <c r="Q37" i="11"/>
  <c r="Q26" i="11"/>
  <c r="H24" i="11"/>
  <c r="AC75" i="11" s="1"/>
  <c r="AC63" i="11"/>
  <c r="D50" i="13"/>
  <c r="D54" i="13" s="1"/>
  <c r="D55" i="13" s="1"/>
  <c r="D56" i="13" s="1"/>
  <c r="AC41" i="11"/>
  <c r="D73" i="13"/>
  <c r="V44" i="11"/>
  <c r="P18" i="5"/>
  <c r="S19" i="5"/>
  <c r="I12" i="6"/>
  <c r="I15" i="6"/>
  <c r="K9" i="6"/>
  <c r="I10" i="6" s="1"/>
  <c r="C31" i="6"/>
  <c r="I48" i="8"/>
  <c r="D89" i="13"/>
  <c r="R35" i="11" s="1"/>
  <c r="W23" i="11"/>
  <c r="K2" i="12"/>
  <c r="D3" i="11"/>
  <c r="G37" i="11"/>
  <c r="L15" i="11"/>
  <c r="L9" i="8"/>
  <c r="K9" i="8" s="1"/>
  <c r="I10" i="8" s="1"/>
  <c r="G37" i="14" s="1"/>
  <c r="O121" i="13"/>
  <c r="I85" i="4"/>
  <c r="I2" i="4" s="1"/>
  <c r="I51" i="4" s="1"/>
  <c r="K33" i="13"/>
  <c r="H27" i="13"/>
  <c r="F28" i="13"/>
  <c r="H28" i="13" s="1"/>
  <c r="F29" i="13"/>
  <c r="H189" i="13"/>
  <c r="H193" i="13" s="1"/>
  <c r="S35" i="11"/>
  <c r="X35" i="11" s="1"/>
  <c r="C35" i="8"/>
  <c r="B87" i="4"/>
  <c r="B233" i="4" s="1"/>
  <c r="A86" i="5"/>
  <c r="A122" i="5" s="1"/>
  <c r="A177" i="5" s="1"/>
  <c r="A232" i="5" s="1"/>
  <c r="B4" i="8"/>
  <c r="B66" i="8" s="1"/>
  <c r="R63" i="11"/>
  <c r="U63" i="11" s="1"/>
  <c r="C4" i="4"/>
  <c r="B53" i="4" s="1"/>
  <c r="A86" i="4"/>
  <c r="A122" i="4" s="1"/>
  <c r="A177" i="4" s="1"/>
  <c r="A232" i="4" s="1"/>
  <c r="L4" i="11"/>
  <c r="L5" i="11"/>
  <c r="L6" i="11" s="1"/>
  <c r="I3" i="13"/>
  <c r="H7" i="13"/>
  <c r="H2" i="6"/>
  <c r="H60" i="6" s="1"/>
  <c r="X23" i="11"/>
  <c r="H99" i="4"/>
  <c r="H100" i="4" s="1"/>
  <c r="G26" i="4"/>
  <c r="D8" i="13"/>
  <c r="G39" i="9"/>
  <c r="C8" i="13"/>
  <c r="I39" i="9"/>
  <c r="AA60" i="9" s="1"/>
  <c r="K35" i="3"/>
  <c r="G99" i="5"/>
  <c r="D70" i="16"/>
  <c r="AA7" i="3"/>
  <c r="S1" i="9"/>
  <c r="R11" i="11"/>
  <c r="H47" i="11"/>
  <c r="AC12" i="11" s="1"/>
  <c r="T1" i="9"/>
  <c r="E26" i="13"/>
  <c r="E27" i="13" s="1"/>
  <c r="I41" i="9"/>
  <c r="I7" i="6"/>
  <c r="S279" i="4"/>
  <c r="P323" i="5"/>
  <c r="P308" i="5"/>
  <c r="P316" i="5"/>
  <c r="P322" i="5"/>
  <c r="P307" i="5"/>
  <c r="P320" i="5"/>
  <c r="P310" i="5"/>
  <c r="P309" i="5"/>
  <c r="P301" i="5"/>
  <c r="P302" i="5"/>
  <c r="P321" i="5"/>
  <c r="P300" i="5"/>
  <c r="P327" i="5"/>
  <c r="P317" i="5"/>
  <c r="P303" i="5"/>
  <c r="P304" i="5"/>
  <c r="P315" i="5"/>
  <c r="P324" i="5"/>
  <c r="P312" i="5"/>
  <c r="P325" i="5"/>
  <c r="P311" i="5"/>
  <c r="P313" i="5"/>
  <c r="P318" i="5"/>
  <c r="P305" i="5"/>
  <c r="P306" i="5"/>
  <c r="P319" i="5"/>
  <c r="P328" i="5"/>
  <c r="S111" i="10"/>
  <c r="L91" i="10" s="1"/>
  <c r="S44" i="10"/>
  <c r="L85" i="10" s="1"/>
  <c r="K55" i="10"/>
  <c r="K57" i="10" s="1"/>
  <c r="S125" i="10"/>
  <c r="L93" i="10" s="1"/>
  <c r="I59" i="10"/>
  <c r="S82" i="10"/>
  <c r="L88" i="10" s="1"/>
  <c r="T57" i="10"/>
  <c r="M86" i="10" s="1"/>
  <c r="K90" i="10"/>
  <c r="S102" i="10"/>
  <c r="L90" i="10" s="1"/>
  <c r="S118" i="10"/>
  <c r="L92" i="10" s="1"/>
  <c r="I64" i="10"/>
  <c r="I58" i="10"/>
  <c r="T102" i="10"/>
  <c r="M90" i="10" s="1"/>
  <c r="S70" i="10"/>
  <c r="L87" i="10" s="1"/>
  <c r="K89" i="10"/>
  <c r="T93" i="10"/>
  <c r="M89" i="10" s="1"/>
  <c r="I65" i="10"/>
  <c r="I67" i="10"/>
  <c r="I57" i="10"/>
  <c r="U59" i="11"/>
  <c r="I71" i="9"/>
  <c r="N53" i="10"/>
  <c r="N54" i="10" s="1"/>
  <c r="D97" i="13"/>
  <c r="K86" i="10"/>
  <c r="K85" i="10"/>
  <c r="K88" i="10"/>
  <c r="K93" i="10"/>
  <c r="H57" i="10"/>
  <c r="T44" i="10"/>
  <c r="M85" i="10" s="1"/>
  <c r="U57" i="10"/>
  <c r="N86" i="10" s="1"/>
  <c r="T82" i="10"/>
  <c r="M88" i="10" s="1"/>
  <c r="U93" i="10"/>
  <c r="N89" i="10" s="1"/>
  <c r="M288" i="5"/>
  <c r="K286" i="5" s="1"/>
  <c r="B178" i="5"/>
  <c r="B123" i="5"/>
  <c r="G31" i="5"/>
  <c r="U28" i="11"/>
  <c r="U30" i="11"/>
  <c r="G74" i="7"/>
  <c r="D38" i="11"/>
  <c r="I70" i="13"/>
  <c r="E21" i="4"/>
  <c r="G38" i="11"/>
  <c r="D49" i="13"/>
  <c r="P35" i="11" s="1"/>
  <c r="P39" i="11" s="1"/>
  <c r="H28" i="11"/>
  <c r="I69" i="6"/>
  <c r="G17" i="11"/>
  <c r="AC55" i="11" s="1"/>
  <c r="R26" i="11"/>
  <c r="M272" i="4"/>
  <c r="M62" i="7"/>
  <c r="L66" i="7"/>
  <c r="G28" i="11"/>
  <c r="P44" i="11"/>
  <c r="U44" i="11" s="1"/>
  <c r="N273" i="5"/>
  <c r="K41" i="6"/>
  <c r="D28" i="11"/>
  <c r="C3" i="13"/>
  <c r="F2" i="11"/>
  <c r="L3" i="11" s="1"/>
  <c r="I2" i="5"/>
  <c r="H2" i="8"/>
  <c r="H64" i="8" s="1"/>
  <c r="F4" i="4"/>
  <c r="F53" i="4" s="1"/>
  <c r="F4" i="5"/>
  <c r="F53" i="5" s="1"/>
  <c r="F87" i="5" s="1"/>
  <c r="F123" i="5" s="1"/>
  <c r="F178" i="5" s="1"/>
  <c r="F233" i="5" s="1"/>
  <c r="B3" i="11"/>
  <c r="S13" i="11"/>
  <c r="K87" i="10"/>
  <c r="V111" i="10"/>
  <c r="O91" i="10" s="1"/>
  <c r="V118" i="10"/>
  <c r="O92" i="10" s="1"/>
  <c r="V125" i="10"/>
  <c r="O93" i="10" s="1"/>
  <c r="V44" i="10"/>
  <c r="O85" i="10" s="1"/>
  <c r="S57" i="10"/>
  <c r="L86" i="10" s="1"/>
  <c r="I60" i="10"/>
  <c r="I63" i="10"/>
  <c r="U70" i="10"/>
  <c r="N87" i="10" s="1"/>
  <c r="V82" i="10"/>
  <c r="O88" i="10" s="1"/>
  <c r="K92" i="10"/>
  <c r="S93" i="10"/>
  <c r="L89" i="10" s="1"/>
  <c r="V102" i="10"/>
  <c r="O90" i="10" s="1"/>
  <c r="U111" i="10"/>
  <c r="N91" i="10" s="1"/>
  <c r="U118" i="10"/>
  <c r="N92" i="10" s="1"/>
  <c r="U125" i="10"/>
  <c r="N93" i="10" s="1"/>
  <c r="V70" i="10"/>
  <c r="O87" i="10" s="1"/>
  <c r="I61" i="10"/>
  <c r="I62" i="10"/>
  <c r="K91" i="10"/>
  <c r="U23" i="11"/>
  <c r="I26" i="4"/>
  <c r="B12" i="11" s="1"/>
  <c r="B13" i="11"/>
  <c r="I26" i="5"/>
  <c r="F12" i="11"/>
  <c r="I35" i="7"/>
  <c r="G100" i="5"/>
  <c r="D22" i="6"/>
  <c r="D26" i="8" s="1"/>
  <c r="G35" i="7"/>
  <c r="Y43" i="7" s="1"/>
  <c r="Z43" i="7" s="1"/>
  <c r="C8" i="11"/>
  <c r="P12" i="11"/>
  <c r="AW7" i="11" s="1"/>
  <c r="T9" i="12"/>
  <c r="N23" i="3"/>
  <c r="G26" i="5"/>
  <c r="P10" i="9"/>
  <c r="Q10" i="9" s="1"/>
  <c r="P9" i="11"/>
  <c r="AW4" i="11" s="1"/>
  <c r="D10" i="10"/>
  <c r="C81" i="13"/>
  <c r="C83" i="13" s="1"/>
  <c r="H12" i="10"/>
  <c r="D14" i="10" s="1"/>
  <c r="I4" i="10" s="1"/>
  <c r="G5" i="11"/>
  <c r="D7" i="13"/>
  <c r="P123" i="13" s="1"/>
  <c r="K99" i="9"/>
  <c r="F115" i="5"/>
  <c r="D45" i="11" s="1"/>
  <c r="D80" i="13" s="1"/>
  <c r="J152" i="5"/>
  <c r="K7" i="12"/>
  <c r="L4" i="12"/>
  <c r="H69" i="16"/>
  <c r="E102" i="17"/>
  <c r="E105" i="17" s="1"/>
  <c r="J264" i="5"/>
  <c r="H8" i="13"/>
  <c r="C45" i="11"/>
  <c r="D60" i="13" s="1"/>
  <c r="J152" i="4"/>
  <c r="AA8" i="3"/>
  <c r="C7" i="13"/>
  <c r="P122" i="13" s="1"/>
  <c r="AA6" i="3"/>
  <c r="Z52" i="9"/>
  <c r="AA52" i="9" s="1"/>
  <c r="Z56" i="9"/>
  <c r="V57" i="12"/>
  <c r="U74" i="12" s="1"/>
  <c r="G85" i="11"/>
  <c r="Q46" i="12"/>
  <c r="J50" i="12"/>
  <c r="T57" i="12"/>
  <c r="S69" i="12" s="1"/>
  <c r="T69" i="12" s="1"/>
  <c r="F2" i="5"/>
  <c r="F85" i="5" s="1"/>
  <c r="F121" i="5" s="1"/>
  <c r="F176" i="5" s="1"/>
  <c r="F231" i="5" s="1"/>
  <c r="J96" i="5"/>
  <c r="E2" i="6"/>
  <c r="E60" i="6" s="1"/>
  <c r="H11" i="10"/>
  <c r="D13" i="10" s="1"/>
  <c r="N3" i="11"/>
  <c r="L14" i="11"/>
  <c r="E2" i="8"/>
  <c r="E64" i="8" s="1"/>
  <c r="D11" i="10"/>
  <c r="E75" i="13" s="1"/>
  <c r="G75" i="13" s="1"/>
  <c r="M13" i="9"/>
  <c r="N12" i="9" s="1"/>
  <c r="I16" i="9" s="1"/>
  <c r="L9" i="11"/>
  <c r="C5" i="13"/>
  <c r="F85" i="4"/>
  <c r="F51" i="4"/>
  <c r="K61" i="13"/>
  <c r="W8" i="12"/>
  <c r="T11" i="12" s="1"/>
  <c r="L2" i="12"/>
  <c r="A13" i="16"/>
  <c r="X278" i="4"/>
  <c r="N281" i="4"/>
  <c r="W278" i="4"/>
  <c r="V8" i="12"/>
  <c r="K11" i="12"/>
  <c r="T8" i="12"/>
  <c r="I13" i="5"/>
  <c r="J153" i="4"/>
  <c r="J264" i="4"/>
  <c r="I113" i="7"/>
  <c r="J113" i="7" s="1"/>
  <c r="J114" i="7" s="1"/>
  <c r="K113" i="7" s="1"/>
  <c r="D90" i="7" s="1"/>
  <c r="C9" i="11"/>
  <c r="M22" i="8"/>
  <c r="B119" i="9"/>
  <c r="C119" i="9" s="1"/>
  <c r="B120" i="9"/>
  <c r="J153" i="5"/>
  <c r="Z63" i="9"/>
  <c r="Z55" i="9"/>
  <c r="Z53" i="9"/>
  <c r="Z59" i="9"/>
  <c r="Z58" i="9"/>
  <c r="Z57" i="9"/>
  <c r="C24" i="10"/>
  <c r="G11" i="10"/>
  <c r="C11" i="10"/>
  <c r="E55" i="13" s="1"/>
  <c r="C10" i="10"/>
  <c r="E63" i="13" s="1"/>
  <c r="G63" i="13" s="1"/>
  <c r="D5" i="13"/>
  <c r="Q42" i="11"/>
  <c r="D14" i="11"/>
  <c r="Z62" i="9"/>
  <c r="C75" i="13"/>
  <c r="F39" i="15"/>
  <c r="D24" i="10"/>
  <c r="J54" i="12"/>
  <c r="C55" i="13"/>
  <c r="C63" i="13"/>
  <c r="H68" i="16"/>
  <c r="G266" i="16" s="1"/>
  <c r="D52" i="11"/>
  <c r="J52" i="12"/>
  <c r="D27" i="14"/>
  <c r="I29" i="7" l="1"/>
  <c r="K46" i="7" s="1"/>
  <c r="S214" i="23"/>
  <c r="S215" i="23" s="1"/>
  <c r="S213" i="23"/>
  <c r="L8" i="12"/>
  <c r="J4" i="22"/>
  <c r="D94" i="11"/>
  <c r="H14" i="22"/>
  <c r="V125" i="9"/>
  <c r="M83" i="9"/>
  <c r="M85" i="9"/>
  <c r="O123" i="13"/>
  <c r="R42" i="11"/>
  <c r="BE23" i="11"/>
  <c r="N24" i="6"/>
  <c r="N25" i="6" s="1"/>
  <c r="O24" i="6" s="1"/>
  <c r="I26" i="6" s="1"/>
  <c r="G15" i="11" s="1"/>
  <c r="V23" i="11"/>
  <c r="Y23" i="11" s="1"/>
  <c r="AW13" i="11"/>
  <c r="C52" i="11"/>
  <c r="AW32" i="11"/>
  <c r="W44" i="11"/>
  <c r="AA57" i="9"/>
  <c r="AB52" i="9"/>
  <c r="E50" i="21"/>
  <c r="A194" i="21" s="1"/>
  <c r="S30" i="11"/>
  <c r="M166" i="13"/>
  <c r="E166" i="13" s="1"/>
  <c r="J16" i="9"/>
  <c r="H17" i="12"/>
  <c r="H27" i="12"/>
  <c r="Q194" i="13"/>
  <c r="S194" i="13" s="1"/>
  <c r="H48" i="11"/>
  <c r="AA54" i="9"/>
  <c r="O14" i="4"/>
  <c r="E21" i="5"/>
  <c r="C21" i="5"/>
  <c r="S18" i="5" s="1"/>
  <c r="E159" i="13"/>
  <c r="G159" i="13" s="1"/>
  <c r="AA47" i="10"/>
  <c r="AA48" i="10" s="1"/>
  <c r="Z48" i="10"/>
  <c r="AD48" i="10" s="1"/>
  <c r="AB47" i="10"/>
  <c r="AB48" i="10" s="1"/>
  <c r="AD70" i="12"/>
  <c r="AF70" i="12" s="1"/>
  <c r="A166" i="13"/>
  <c r="P118" i="13"/>
  <c r="U7" i="3"/>
  <c r="V22" i="11" s="1"/>
  <c r="V18" i="11" s="1"/>
  <c r="BZ256" i="21"/>
  <c r="BZ252" i="21" s="1"/>
  <c r="C13" i="8"/>
  <c r="F47" i="15"/>
  <c r="E51" i="15" s="1"/>
  <c r="G51" i="15" s="1"/>
  <c r="G53" i="15" s="1"/>
  <c r="C61" i="15" s="1"/>
  <c r="I162" i="13" s="1"/>
  <c r="AR211" i="21"/>
  <c r="AN211" i="21" s="1"/>
  <c r="Q57" i="11"/>
  <c r="AW37" i="11" s="1"/>
  <c r="AC72" i="11"/>
  <c r="W63" i="11"/>
  <c r="P79" i="8"/>
  <c r="R39" i="11"/>
  <c r="W35" i="11"/>
  <c r="Q39" i="11"/>
  <c r="V35" i="11"/>
  <c r="U54" i="11"/>
  <c r="W54" i="11" s="1"/>
  <c r="V30" i="11"/>
  <c r="C84" i="11"/>
  <c r="I10" i="13" s="1"/>
  <c r="G55" i="13"/>
  <c r="D93" i="13"/>
  <c r="B178" i="4"/>
  <c r="B4" i="7"/>
  <c r="B4" i="9" s="1"/>
  <c r="B58" i="9" s="1"/>
  <c r="B123" i="4"/>
  <c r="H312" i="4"/>
  <c r="L284" i="4"/>
  <c r="J284" i="4" s="1"/>
  <c r="H19" i="8"/>
  <c r="I49" i="8"/>
  <c r="AC73" i="11" s="1"/>
  <c r="G22" i="11"/>
  <c r="I47" i="8"/>
  <c r="I89" i="13"/>
  <c r="I46" i="8"/>
  <c r="I34" i="13" s="1"/>
  <c r="G160" i="13"/>
  <c r="C11" i="8"/>
  <c r="E18" i="15"/>
  <c r="E83" i="13"/>
  <c r="G83" i="13" s="1"/>
  <c r="J10" i="8"/>
  <c r="F37" i="14" s="1"/>
  <c r="D37" i="14" s="1"/>
  <c r="H11" i="8"/>
  <c r="H2" i="7"/>
  <c r="H52" i="7" s="1"/>
  <c r="C16" i="8"/>
  <c r="H20" i="8"/>
  <c r="C20" i="8"/>
  <c r="H16" i="8"/>
  <c r="C19" i="8"/>
  <c r="C12" i="8"/>
  <c r="H14" i="8"/>
  <c r="C14" i="8"/>
  <c r="H12" i="8"/>
  <c r="H18" i="8"/>
  <c r="C18" i="8"/>
  <c r="H13" i="8"/>
  <c r="H17" i="8"/>
  <c r="C17" i="8"/>
  <c r="H15" i="8"/>
  <c r="C15" i="8"/>
  <c r="I121" i="4"/>
  <c r="I176" i="4" s="1"/>
  <c r="I231" i="4" s="1"/>
  <c r="T70" i="12"/>
  <c r="T71" i="12" s="1"/>
  <c r="T72" i="12" s="1"/>
  <c r="X57" i="12"/>
  <c r="W67" i="12" s="1"/>
  <c r="X67" i="12" s="1"/>
  <c r="Y67" i="12" s="1"/>
  <c r="V74" i="12"/>
  <c r="V75" i="12" s="1"/>
  <c r="V76" i="12" s="1"/>
  <c r="V77" i="12" s="1"/>
  <c r="V78" i="12" s="1"/>
  <c r="M272" i="5"/>
  <c r="R38" i="11"/>
  <c r="R37" i="11"/>
  <c r="B100" i="8"/>
  <c r="E100" i="8"/>
  <c r="G27" i="11"/>
  <c r="O38" i="11"/>
  <c r="BE24" i="11" s="1"/>
  <c r="C100" i="8"/>
  <c r="D100" i="8"/>
  <c r="S39" i="11"/>
  <c r="H12" i="12"/>
  <c r="A3" i="7"/>
  <c r="A3" i="9" s="1"/>
  <c r="A57" i="9" s="1"/>
  <c r="V64" i="11"/>
  <c r="K12" i="12"/>
  <c r="K13" i="12" s="1"/>
  <c r="H13" i="12"/>
  <c r="H113" i="16" s="1"/>
  <c r="G27" i="13"/>
  <c r="E28" i="13"/>
  <c r="G28" i="13" s="1"/>
  <c r="E29" i="13"/>
  <c r="I13" i="6"/>
  <c r="I14" i="6" s="1"/>
  <c r="H7" i="6"/>
  <c r="I66" i="10"/>
  <c r="L74" i="9"/>
  <c r="G73" i="9" s="1"/>
  <c r="K58" i="10"/>
  <c r="K64" i="10"/>
  <c r="K60" i="10"/>
  <c r="K66" i="10"/>
  <c r="M55" i="10"/>
  <c r="M67" i="10" s="1"/>
  <c r="K59" i="10"/>
  <c r="K65" i="10"/>
  <c r="K61" i="10"/>
  <c r="K63" i="10"/>
  <c r="K62" i="10"/>
  <c r="K67" i="10"/>
  <c r="H38" i="11"/>
  <c r="L64" i="9"/>
  <c r="C74" i="9"/>
  <c r="C73" i="9"/>
  <c r="J73" i="9"/>
  <c r="V42" i="11"/>
  <c r="W42" i="11" s="1"/>
  <c r="U35" i="11"/>
  <c r="L61" i="7"/>
  <c r="K43" i="6"/>
  <c r="K71" i="5"/>
  <c r="G40" i="8"/>
  <c r="S26" i="11"/>
  <c r="K45" i="8"/>
  <c r="M60" i="9"/>
  <c r="H17" i="11"/>
  <c r="AC67" i="11" s="1"/>
  <c r="I85" i="5"/>
  <c r="I121" i="5" s="1"/>
  <c r="I176" i="5" s="1"/>
  <c r="I231" i="5" s="1"/>
  <c r="I51" i="5"/>
  <c r="F87" i="4"/>
  <c r="E4" i="7" s="1"/>
  <c r="C4" i="10" s="1"/>
  <c r="G43" i="11"/>
  <c r="N35" i="3"/>
  <c r="J100" i="5"/>
  <c r="I26" i="8"/>
  <c r="I22" i="6"/>
  <c r="F51" i="5"/>
  <c r="I99" i="9"/>
  <c r="I98" i="9"/>
  <c r="J98" i="9" s="1"/>
  <c r="AA56" i="9"/>
  <c r="C120" i="9"/>
  <c r="D119" i="9" s="1"/>
  <c r="D88" i="9" s="1"/>
  <c r="T14" i="12"/>
  <c r="K17" i="12"/>
  <c r="E43" i="11"/>
  <c r="G258" i="16"/>
  <c r="H52" i="12" s="1"/>
  <c r="AA53" i="10"/>
  <c r="AA54" i="10" s="1"/>
  <c r="AB53" i="10"/>
  <c r="AB54" i="10" s="1"/>
  <c r="Z53" i="10"/>
  <c r="H25" i="13"/>
  <c r="G25" i="13"/>
  <c r="AA51" i="10"/>
  <c r="AA52" i="10" s="1"/>
  <c r="AB51" i="10"/>
  <c r="AB52" i="10" s="1"/>
  <c r="Z51" i="10"/>
  <c r="G26" i="13"/>
  <c r="H26" i="13"/>
  <c r="E76" i="13"/>
  <c r="G76" i="13" s="1"/>
  <c r="D62" i="11"/>
  <c r="E2" i="7"/>
  <c r="F121" i="4"/>
  <c r="F176" i="4" s="1"/>
  <c r="F231" i="4" s="1"/>
  <c r="K81" i="13"/>
  <c r="AB45" i="10"/>
  <c r="AB46" i="10" s="1"/>
  <c r="AA45" i="10"/>
  <c r="AA46" i="10" s="1"/>
  <c r="Z45" i="10"/>
  <c r="L31" i="8"/>
  <c r="L32" i="8" s="1"/>
  <c r="M31" i="8"/>
  <c r="O119" i="13"/>
  <c r="K68" i="13"/>
  <c r="C47" i="11"/>
  <c r="P57" i="11"/>
  <c r="AW36" i="11" s="1"/>
  <c r="D37" i="17"/>
  <c r="E66" i="17" s="1"/>
  <c r="H212" i="16"/>
  <c r="Z37" i="10"/>
  <c r="I34" i="7" l="1"/>
  <c r="G42" i="11"/>
  <c r="E134" i="13"/>
  <c r="G134" i="13" s="1"/>
  <c r="D6" i="28"/>
  <c r="H78" i="24"/>
  <c r="W208" i="23"/>
  <c r="S144" i="23"/>
  <c r="E33" i="25"/>
  <c r="E35" i="25" s="1"/>
  <c r="E37" i="25" s="1"/>
  <c r="F40" i="25" s="1"/>
  <c r="E43" i="25" s="1"/>
  <c r="E45" i="25" s="1"/>
  <c r="E53" i="25" s="1"/>
  <c r="E295" i="23"/>
  <c r="H25" i="22"/>
  <c r="H108" i="24" s="1"/>
  <c r="E370" i="23"/>
  <c r="E380" i="23" s="1"/>
  <c r="D94" i="27"/>
  <c r="H74" i="16"/>
  <c r="D42" i="17" s="1"/>
  <c r="C32" i="17" s="1"/>
  <c r="H17" i="22"/>
  <c r="A250" i="21"/>
  <c r="J73" i="21" s="1"/>
  <c r="AB73" i="21" s="1"/>
  <c r="A88" i="21"/>
  <c r="J70" i="21" s="1"/>
  <c r="AB70" i="21" s="1"/>
  <c r="T13" i="5"/>
  <c r="U13" i="5" s="1"/>
  <c r="T14" i="5" s="1"/>
  <c r="U14" i="5" s="1"/>
  <c r="U15" i="5" s="1"/>
  <c r="O14" i="5" s="1"/>
  <c r="J108" i="5"/>
  <c r="Q56" i="11" s="1"/>
  <c r="A140" i="21"/>
  <c r="J71" i="21" s="1"/>
  <c r="AB71" i="21" s="1"/>
  <c r="AB51" i="9"/>
  <c r="AB53" i="9" s="1"/>
  <c r="AA49" i="9" s="1"/>
  <c r="T11" i="11" s="1"/>
  <c r="U57" i="11"/>
  <c r="E81" i="13"/>
  <c r="G81" i="13" s="1"/>
  <c r="I25" i="5"/>
  <c r="AC48" i="10"/>
  <c r="AC47" i="10" s="1"/>
  <c r="AE70" i="12"/>
  <c r="S24" i="13"/>
  <c r="G166" i="13"/>
  <c r="G29" i="13"/>
  <c r="C3" i="20"/>
  <c r="DY3" i="20"/>
  <c r="CA256" i="21"/>
  <c r="CA252" i="21" s="1"/>
  <c r="I16" i="8"/>
  <c r="G18" i="15"/>
  <c r="G20" i="15" s="1"/>
  <c r="G28" i="15" s="1"/>
  <c r="K28" i="15" s="1"/>
  <c r="G61" i="15"/>
  <c r="J72" i="21"/>
  <c r="AB72" i="21" s="1"/>
  <c r="AR212" i="21"/>
  <c r="AN212" i="21" s="1"/>
  <c r="D47" i="11"/>
  <c r="V57" i="11" s="1"/>
  <c r="I61" i="13"/>
  <c r="AC94" i="11"/>
  <c r="Y35" i="11"/>
  <c r="B4" i="10"/>
  <c r="R28" i="11"/>
  <c r="W28" i="11" s="1"/>
  <c r="AC58" i="11"/>
  <c r="I40" i="13"/>
  <c r="M32" i="8"/>
  <c r="N31" i="8" s="1"/>
  <c r="I30" i="8" s="1"/>
  <c r="H15" i="11" s="1"/>
  <c r="B54" i="7"/>
  <c r="I7" i="8"/>
  <c r="I14" i="8"/>
  <c r="H7" i="8"/>
  <c r="I19" i="8"/>
  <c r="I17" i="8"/>
  <c r="H2" i="9"/>
  <c r="H56" i="9" s="1"/>
  <c r="X9" i="11"/>
  <c r="H22" i="11"/>
  <c r="AC70" i="11" s="1"/>
  <c r="A3" i="10"/>
  <c r="V79" i="12"/>
  <c r="U77" i="12" s="1"/>
  <c r="U75" i="12" s="1"/>
  <c r="V33" i="12" s="1"/>
  <c r="T73" i="12"/>
  <c r="S73" i="12" s="1"/>
  <c r="S70" i="12" s="1"/>
  <c r="V31" i="12" s="1"/>
  <c r="X70" i="12"/>
  <c r="X71" i="12" s="1"/>
  <c r="X72" i="12" s="1"/>
  <c r="X73" i="12" s="1"/>
  <c r="S42" i="11"/>
  <c r="S48" i="11"/>
  <c r="S37" i="11"/>
  <c r="S38" i="11"/>
  <c r="H27" i="11"/>
  <c r="W30" i="11"/>
  <c r="J72" i="7"/>
  <c r="J71" i="9" s="1"/>
  <c r="A53" i="7"/>
  <c r="I16" i="6"/>
  <c r="I11" i="6" s="1"/>
  <c r="C3" i="19"/>
  <c r="H70" i="16"/>
  <c r="J284" i="5"/>
  <c r="DZ3" i="19" s="1"/>
  <c r="H312" i="5" s="1"/>
  <c r="M64" i="10"/>
  <c r="I15" i="8"/>
  <c r="C16" i="6"/>
  <c r="C12" i="6"/>
  <c r="H12" i="6"/>
  <c r="C15" i="6"/>
  <c r="C11" i="6"/>
  <c r="C14" i="6"/>
  <c r="H16" i="6"/>
  <c r="H15" i="6"/>
  <c r="C13" i="6"/>
  <c r="H14" i="6"/>
  <c r="H13" i="6"/>
  <c r="H11" i="6"/>
  <c r="M58" i="10"/>
  <c r="M57" i="10"/>
  <c r="M66" i="10"/>
  <c r="M65" i="10"/>
  <c r="M62" i="10"/>
  <c r="M59" i="10"/>
  <c r="M63" i="10"/>
  <c r="M61" i="10"/>
  <c r="O55" i="10"/>
  <c r="O65" i="10" s="1"/>
  <c r="M60" i="10"/>
  <c r="F123" i="4"/>
  <c r="F178" i="4" s="1"/>
  <c r="F233" i="4" s="1"/>
  <c r="K47" i="8"/>
  <c r="L59" i="9"/>
  <c r="C128" i="5"/>
  <c r="C128" i="4"/>
  <c r="J99" i="9"/>
  <c r="K98" i="9" s="1"/>
  <c r="F32" i="17"/>
  <c r="F265" i="17"/>
  <c r="E33" i="17"/>
  <c r="Z54" i="10"/>
  <c r="AD54" i="10" s="1"/>
  <c r="AD53" i="10"/>
  <c r="D25" i="10" s="1"/>
  <c r="D26" i="10" s="1"/>
  <c r="Z46" i="10"/>
  <c r="AD46" i="10" s="1"/>
  <c r="AD45" i="10"/>
  <c r="C21" i="10" s="1"/>
  <c r="C22" i="10" s="1"/>
  <c r="E4" i="9"/>
  <c r="E58" i="9" s="1"/>
  <c r="E54" i="7"/>
  <c r="H71" i="16"/>
  <c r="H101" i="16"/>
  <c r="Z52" i="10"/>
  <c r="AD52" i="10" s="1"/>
  <c r="AD51" i="10"/>
  <c r="C25" i="10" s="1"/>
  <c r="C26" i="10" s="1"/>
  <c r="E2" i="10"/>
  <c r="E2" i="9"/>
  <c r="E56" i="9" s="1"/>
  <c r="E52" i="7"/>
  <c r="D64" i="11"/>
  <c r="C77" i="13" s="1"/>
  <c r="K77" i="13" s="1"/>
  <c r="G77" i="13" s="1"/>
  <c r="C76" i="13"/>
  <c r="E172" i="16"/>
  <c r="G143" i="13" l="1"/>
  <c r="P194" i="13"/>
  <c r="H81" i="24"/>
  <c r="D44" i="23" s="1"/>
  <c r="E297" i="23"/>
  <c r="S146" i="23"/>
  <c r="N142" i="23" s="1"/>
  <c r="H109" i="24"/>
  <c r="H114" i="24"/>
  <c r="D42" i="23" s="1"/>
  <c r="C251" i="24"/>
  <c r="D210" i="23" s="1"/>
  <c r="D211" i="23" s="1"/>
  <c r="J122" i="24"/>
  <c r="D351" i="23" s="1"/>
  <c r="D358" i="23" s="1"/>
  <c r="F358" i="23" s="1"/>
  <c r="H122" i="24"/>
  <c r="E42" i="23" s="1"/>
  <c r="H116" i="24"/>
  <c r="D43" i="23" s="1"/>
  <c r="H128" i="24"/>
  <c r="H124" i="24"/>
  <c r="E43" i="23" s="1"/>
  <c r="S217" i="23"/>
  <c r="S218" i="23"/>
  <c r="S219" i="23" s="1"/>
  <c r="E299" i="23"/>
  <c r="D151" i="27"/>
  <c r="D95" i="27"/>
  <c r="E25" i="28"/>
  <c r="E22" i="28" s="1"/>
  <c r="E37" i="28"/>
  <c r="E43" i="28" s="1"/>
  <c r="I14" i="5"/>
  <c r="J97" i="5" s="1"/>
  <c r="L33" i="12"/>
  <c r="G31" i="12" s="1"/>
  <c r="D76" i="11" s="1"/>
  <c r="W57" i="11"/>
  <c r="AC46" i="10"/>
  <c r="AC45" i="10" s="1"/>
  <c r="R24" i="13"/>
  <c r="Y37" i="10"/>
  <c r="E56" i="13"/>
  <c r="G56" i="13" s="1"/>
  <c r="Q197" i="13"/>
  <c r="S197" i="13" s="1"/>
  <c r="H29" i="13"/>
  <c r="C28" i="15"/>
  <c r="I161" i="13" s="1"/>
  <c r="CB256" i="21"/>
  <c r="CB252" i="21" s="1"/>
  <c r="D61" i="15"/>
  <c r="D63" i="15" s="1"/>
  <c r="E55" i="15"/>
  <c r="H57" i="15" s="1"/>
  <c r="H63" i="15"/>
  <c r="AR213" i="21"/>
  <c r="AN213" i="21" s="1"/>
  <c r="I81" i="13"/>
  <c r="AC95" i="11"/>
  <c r="L50" i="8"/>
  <c r="L53" i="8"/>
  <c r="L52" i="8"/>
  <c r="L51" i="8"/>
  <c r="S28" i="11"/>
  <c r="X28" i="11" s="1"/>
  <c r="Y28" i="11" s="1"/>
  <c r="I34" i="6"/>
  <c r="I35" i="6" s="1"/>
  <c r="Z67" i="12"/>
  <c r="Y68" i="12" s="1"/>
  <c r="W69" i="12" s="1"/>
  <c r="V35" i="12" s="1"/>
  <c r="L36" i="12" s="1"/>
  <c r="G35" i="12" s="1"/>
  <c r="D100" i="11" s="1"/>
  <c r="X74" i="12"/>
  <c r="W72" i="12" s="1"/>
  <c r="W70" i="12" s="1"/>
  <c r="V34" i="12" s="1"/>
  <c r="L35" i="12" s="1"/>
  <c r="G34" i="12" s="1"/>
  <c r="D99" i="11" s="1"/>
  <c r="X30" i="11"/>
  <c r="Y30" i="11" s="1"/>
  <c r="R55" i="9"/>
  <c r="R59" i="9" s="1"/>
  <c r="O57" i="10"/>
  <c r="O66" i="10"/>
  <c r="O61" i="10"/>
  <c r="O63" i="10"/>
  <c r="O59" i="10"/>
  <c r="O64" i="10"/>
  <c r="O58" i="10"/>
  <c r="O62" i="10"/>
  <c r="O60" i="10"/>
  <c r="O67" i="10"/>
  <c r="P56" i="11"/>
  <c r="BC34" i="11" s="1"/>
  <c r="AW35" i="11" s="1"/>
  <c r="C46" i="11"/>
  <c r="D46" i="11"/>
  <c r="AC54" i="10"/>
  <c r="AC53" i="10" s="1"/>
  <c r="AC52" i="10"/>
  <c r="AC51" i="10" s="1"/>
  <c r="E62" i="13"/>
  <c r="G62" i="13" s="1"/>
  <c r="C48" i="11"/>
  <c r="C62" i="13" s="1"/>
  <c r="Y38" i="10"/>
  <c r="D48" i="11"/>
  <c r="C82" i="13" s="1"/>
  <c r="Z38" i="10"/>
  <c r="R194" i="13"/>
  <c r="G190" i="13"/>
  <c r="G193" i="13" s="1"/>
  <c r="H102" i="16"/>
  <c r="C244" i="16"/>
  <c r="D208" i="17" s="1"/>
  <c r="H121" i="16"/>
  <c r="H117" i="16"/>
  <c r="E41" i="17" s="1"/>
  <c r="H115" i="16"/>
  <c r="E40" i="17" s="1"/>
  <c r="H107" i="16"/>
  <c r="D40" i="17" s="1"/>
  <c r="H109" i="16"/>
  <c r="D41" i="17" s="1"/>
  <c r="C62" i="11"/>
  <c r="N140" i="23" l="1"/>
  <c r="N145" i="23" s="1"/>
  <c r="N151" i="23" s="1"/>
  <c r="F275" i="23"/>
  <c r="F60" i="23"/>
  <c r="D30" i="23"/>
  <c r="D11" i="28" s="1"/>
  <c r="D49" i="28" s="1"/>
  <c r="F56" i="28" s="1"/>
  <c r="E59" i="28" s="1"/>
  <c r="F273" i="23"/>
  <c r="E60" i="23"/>
  <c r="D60" i="23"/>
  <c r="C30" i="23"/>
  <c r="D10" i="28" s="1"/>
  <c r="D46" i="28" s="1"/>
  <c r="F53" i="28" s="1"/>
  <c r="C34" i="23"/>
  <c r="M41" i="23"/>
  <c r="F34" i="23"/>
  <c r="K119" i="27"/>
  <c r="D119" i="27"/>
  <c r="J115" i="27"/>
  <c r="D117" i="27"/>
  <c r="J117" i="27"/>
  <c r="T117" i="27" s="1"/>
  <c r="H119" i="27"/>
  <c r="D96" i="27"/>
  <c r="H130" i="24"/>
  <c r="H132" i="24"/>
  <c r="C29" i="23"/>
  <c r="D59" i="23"/>
  <c r="D29" i="23"/>
  <c r="F59" i="23"/>
  <c r="F170" i="24" s="1"/>
  <c r="J183" i="5"/>
  <c r="J197" i="5" s="1"/>
  <c r="J101" i="5"/>
  <c r="J102" i="5" s="1"/>
  <c r="Z103" i="5" s="1"/>
  <c r="AA103" i="5" s="1"/>
  <c r="I28" i="5"/>
  <c r="I30" i="5" s="1"/>
  <c r="AI265" i="5"/>
  <c r="AI272" i="5" s="1"/>
  <c r="H210" i="5"/>
  <c r="J236" i="5" s="1"/>
  <c r="D96" i="11"/>
  <c r="G32" i="12"/>
  <c r="D97" i="11" s="1"/>
  <c r="D6" i="14"/>
  <c r="G5" i="14" s="1"/>
  <c r="H30" i="15"/>
  <c r="J30" i="15" s="1"/>
  <c r="E161" i="13" s="1"/>
  <c r="G161" i="13" s="1"/>
  <c r="C49" i="21"/>
  <c r="C87" i="21" s="1"/>
  <c r="M119" i="21" s="1"/>
  <c r="BE119" i="21" s="1"/>
  <c r="BF119" i="21" s="1"/>
  <c r="BG119" i="21" s="1"/>
  <c r="BH119" i="21" s="1"/>
  <c r="AP53" i="6"/>
  <c r="AQ53" i="6" s="1"/>
  <c r="D28" i="15"/>
  <c r="D30" i="15" s="1"/>
  <c r="E22" i="15"/>
  <c r="H24" i="15" s="1"/>
  <c r="L43" i="15"/>
  <c r="J31" i="15"/>
  <c r="E162" i="13" s="1"/>
  <c r="M43" i="12"/>
  <c r="L43" i="12" s="1"/>
  <c r="D44" i="12"/>
  <c r="D17" i="17" s="1"/>
  <c r="D158" i="17" s="1"/>
  <c r="C30" i="12"/>
  <c r="F6" i="17"/>
  <c r="C185" i="16" s="1"/>
  <c r="J34" i="6"/>
  <c r="K8" i="6"/>
  <c r="G121" i="11" s="1"/>
  <c r="T51" i="7" s="1"/>
  <c r="E82" i="13"/>
  <c r="G82" i="13" s="1"/>
  <c r="O47" i="7"/>
  <c r="G19" i="11"/>
  <c r="I67" i="6"/>
  <c r="G77" i="11"/>
  <c r="U56" i="11"/>
  <c r="V56" i="11"/>
  <c r="B30" i="12"/>
  <c r="F8" i="17"/>
  <c r="G76" i="11"/>
  <c r="M44" i="12"/>
  <c r="L44" i="12" s="1"/>
  <c r="D28" i="17"/>
  <c r="F58" i="17"/>
  <c r="F268" i="17"/>
  <c r="F57" i="17"/>
  <c r="F163" i="16" s="1"/>
  <c r="D27" i="17"/>
  <c r="D57" i="17"/>
  <c r="D163" i="16" s="1"/>
  <c r="C27" i="17"/>
  <c r="B65" i="15"/>
  <c r="H123" i="16"/>
  <c r="H125" i="16"/>
  <c r="C56" i="13"/>
  <c r="C64" i="11"/>
  <c r="C57" i="13" s="1"/>
  <c r="K57" i="13" s="1"/>
  <c r="G57" i="13" s="1"/>
  <c r="C28" i="17"/>
  <c r="D58" i="17"/>
  <c r="D164" i="16" s="1"/>
  <c r="E58" i="17"/>
  <c r="E164" i="16" s="1"/>
  <c r="F266" i="17"/>
  <c r="C59" i="28" l="1"/>
  <c r="D171" i="24"/>
  <c r="E59" i="23"/>
  <c r="C105" i="27"/>
  <c r="C106" i="27" s="1"/>
  <c r="C103" i="27"/>
  <c r="I124" i="27"/>
  <c r="F171" i="24"/>
  <c r="D170" i="24"/>
  <c r="C123" i="27"/>
  <c r="D123" i="27"/>
  <c r="E171" i="24"/>
  <c r="I210" i="5"/>
  <c r="Q193" i="13"/>
  <c r="S193" i="13" s="1"/>
  <c r="L41" i="15"/>
  <c r="M43" i="15" s="1"/>
  <c r="Z100" i="5"/>
  <c r="AA100" i="5" s="1"/>
  <c r="AF100" i="5" s="1"/>
  <c r="Z101" i="5"/>
  <c r="AA101" i="5" s="1"/>
  <c r="AB101" i="5" s="1"/>
  <c r="X90" i="5"/>
  <c r="X91" i="5" s="1"/>
  <c r="X92" i="5" s="1"/>
  <c r="D41" i="11"/>
  <c r="W90" i="5"/>
  <c r="W91" i="5" s="1"/>
  <c r="W93" i="5" s="1"/>
  <c r="Z102" i="5"/>
  <c r="AA102" i="5" s="1"/>
  <c r="AC102" i="5" s="1"/>
  <c r="V90" i="5"/>
  <c r="V91" i="5" s="1"/>
  <c r="V95" i="5" s="1"/>
  <c r="G162" i="13"/>
  <c r="AF103" i="5"/>
  <c r="C249" i="21"/>
  <c r="M281" i="21" s="1"/>
  <c r="BE281" i="21" s="1"/>
  <c r="BF281" i="21" s="1"/>
  <c r="BG281" i="21" s="1"/>
  <c r="BH281" i="21" s="1"/>
  <c r="C139" i="21"/>
  <c r="M171" i="21" s="1"/>
  <c r="C193" i="21"/>
  <c r="M225" i="21" s="1"/>
  <c r="BE225" i="21" s="1"/>
  <c r="BF225" i="21" s="1"/>
  <c r="BG225" i="21" s="1"/>
  <c r="BH225" i="21" s="1"/>
  <c r="M45" i="6"/>
  <c r="AU53" i="6"/>
  <c r="P45" i="6" s="1"/>
  <c r="AT53" i="6"/>
  <c r="Q45" i="6" s="1"/>
  <c r="AS53" i="6"/>
  <c r="O45" i="6" s="1"/>
  <c r="AR53" i="6"/>
  <c r="N45" i="6" s="1"/>
  <c r="B32" i="15"/>
  <c r="BN119" i="21"/>
  <c r="BQ119" i="21"/>
  <c r="BI119" i="21"/>
  <c r="BM119" i="21"/>
  <c r="BP119" i="21"/>
  <c r="BO119" i="21"/>
  <c r="BR119" i="21"/>
  <c r="BK119" i="21"/>
  <c r="BJ119" i="21"/>
  <c r="J32" i="15"/>
  <c r="N119" i="21"/>
  <c r="O119" i="21" s="1"/>
  <c r="P119" i="21" s="1"/>
  <c r="R119" i="21" s="1"/>
  <c r="M126" i="21"/>
  <c r="F34" i="11"/>
  <c r="W56" i="11"/>
  <c r="AC103" i="5"/>
  <c r="AC107" i="5" s="1"/>
  <c r="AA107" i="5"/>
  <c r="AB103" i="5"/>
  <c r="AB107" i="5" s="1"/>
  <c r="C5" i="17"/>
  <c r="D149" i="17"/>
  <c r="N69" i="7"/>
  <c r="F74" i="7"/>
  <c r="I74" i="7" s="1"/>
  <c r="R27" i="11"/>
  <c r="G18" i="11"/>
  <c r="F9" i="17"/>
  <c r="L10" i="17" s="1"/>
  <c r="B41" i="12"/>
  <c r="F136" i="5"/>
  <c r="F143" i="5"/>
  <c r="B5" i="17"/>
  <c r="B185" i="16"/>
  <c r="L9" i="17"/>
  <c r="E57" i="17"/>
  <c r="E163" i="16" s="1"/>
  <c r="F164" i="16"/>
  <c r="E170" i="24" l="1"/>
  <c r="G135" i="27"/>
  <c r="K135" i="27"/>
  <c r="BE171" i="21"/>
  <c r="BF171" i="21" s="1"/>
  <c r="BG171" i="21" s="1"/>
  <c r="BH171" i="21" s="1"/>
  <c r="EF4" i="20"/>
  <c r="E4" i="20"/>
  <c r="F114" i="5"/>
  <c r="AC98" i="5" s="1"/>
  <c r="AF101" i="5"/>
  <c r="AB100" i="5"/>
  <c r="AC100" i="5"/>
  <c r="W94" i="5"/>
  <c r="AC101" i="5"/>
  <c r="AF102" i="5"/>
  <c r="V94" i="5"/>
  <c r="X93" i="5"/>
  <c r="AB102" i="5"/>
  <c r="V92" i="5"/>
  <c r="F111" i="5" s="1"/>
  <c r="AD111" i="5" s="1"/>
  <c r="V93" i="5"/>
  <c r="F108" i="5"/>
  <c r="AA98" i="5" s="1"/>
  <c r="W92" i="5"/>
  <c r="AF172" i="21"/>
  <c r="AG172" i="21" s="1"/>
  <c r="BW282" i="21"/>
  <c r="BX282" i="21" s="1"/>
  <c r="N225" i="21"/>
  <c r="O225" i="21" s="1"/>
  <c r="P225" i="21" s="1"/>
  <c r="Z225" i="21" s="1"/>
  <c r="N171" i="21"/>
  <c r="O171" i="21" s="1"/>
  <c r="P171" i="21" s="1"/>
  <c r="X171" i="21" s="1"/>
  <c r="AF282" i="21"/>
  <c r="M288" i="21" s="1"/>
  <c r="N281" i="21"/>
  <c r="O281" i="21" s="1"/>
  <c r="P281" i="21" s="1"/>
  <c r="S281" i="21" s="1"/>
  <c r="AF226" i="21"/>
  <c r="M232" i="21" s="1"/>
  <c r="BW226" i="21"/>
  <c r="BX226" i="21" s="1"/>
  <c r="N126" i="21"/>
  <c r="O126" i="21" s="1"/>
  <c r="BE126" i="21"/>
  <c r="BF126" i="21" s="1"/>
  <c r="BG126" i="21" s="1"/>
  <c r="BH126" i="21" s="1"/>
  <c r="BO225" i="21"/>
  <c r="BI225" i="21"/>
  <c r="BM225" i="21"/>
  <c r="BP225" i="21"/>
  <c r="BR225" i="21"/>
  <c r="BN225" i="21"/>
  <c r="BJ225" i="21"/>
  <c r="BQ225" i="21"/>
  <c r="BK225" i="21"/>
  <c r="BI281" i="21"/>
  <c r="BK281" i="21"/>
  <c r="BN281" i="21"/>
  <c r="BP281" i="21"/>
  <c r="BO281" i="21"/>
  <c r="BR281" i="21"/>
  <c r="BQ281" i="21"/>
  <c r="BJ281" i="21"/>
  <c r="BM281" i="21"/>
  <c r="X119" i="21"/>
  <c r="U119" i="21"/>
  <c r="V119" i="21"/>
  <c r="Q119" i="21"/>
  <c r="Z119" i="21"/>
  <c r="Y119" i="21"/>
  <c r="S119" i="21"/>
  <c r="W119" i="21"/>
  <c r="D87" i="21"/>
  <c r="W27" i="11"/>
  <c r="EG4" i="19"/>
  <c r="J4" i="19"/>
  <c r="J4" i="20"/>
  <c r="M73" i="7"/>
  <c r="M75" i="7"/>
  <c r="M74" i="7"/>
  <c r="B14" i="17"/>
  <c r="B194" i="16"/>
  <c r="F143" i="4"/>
  <c r="F136" i="4"/>
  <c r="F112" i="5" l="1"/>
  <c r="Q55" i="11" s="1"/>
  <c r="F109" i="5"/>
  <c r="M110" i="5" s="1"/>
  <c r="C128" i="27"/>
  <c r="C127" i="27"/>
  <c r="F116" i="5"/>
  <c r="H14" i="5" s="1"/>
  <c r="BW172" i="21"/>
  <c r="BO171" i="21"/>
  <c r="BR171" i="21"/>
  <c r="AC111" i="5"/>
  <c r="AB105" i="5"/>
  <c r="AA106" i="5" s="1"/>
  <c r="AC106" i="5" s="1"/>
  <c r="J109" i="5"/>
  <c r="BI109" i="5"/>
  <c r="BJ109" i="5" s="1"/>
  <c r="AB104" i="5"/>
  <c r="AA104" i="5" s="1"/>
  <c r="X102" i="5" s="1"/>
  <c r="I80" i="13"/>
  <c r="Q53" i="11"/>
  <c r="AB106" i="5"/>
  <c r="D40" i="11"/>
  <c r="M53" i="11" s="1"/>
  <c r="AD98" i="5"/>
  <c r="D42" i="11"/>
  <c r="X106" i="5"/>
  <c r="AA111" i="5"/>
  <c r="BK171" i="21"/>
  <c r="BM171" i="21"/>
  <c r="Q171" i="21"/>
  <c r="S225" i="21"/>
  <c r="BJ171" i="21"/>
  <c r="BI171" i="21"/>
  <c r="BN171" i="21"/>
  <c r="BP171" i="21"/>
  <c r="V225" i="21"/>
  <c r="BQ171" i="21"/>
  <c r="B80" i="13"/>
  <c r="U225" i="21"/>
  <c r="Q225" i="21"/>
  <c r="W225" i="21"/>
  <c r="Z281" i="21"/>
  <c r="M178" i="21"/>
  <c r="W281" i="21"/>
  <c r="Y281" i="21"/>
  <c r="V281" i="21"/>
  <c r="BE288" i="21"/>
  <c r="X281" i="21"/>
  <c r="Q281" i="21"/>
  <c r="U281" i="21"/>
  <c r="Y225" i="21"/>
  <c r="X225" i="21"/>
  <c r="R281" i="21"/>
  <c r="R225" i="21"/>
  <c r="AG282" i="21"/>
  <c r="N288" i="21" s="1"/>
  <c r="D249" i="21" s="1"/>
  <c r="W171" i="21"/>
  <c r="U171" i="21"/>
  <c r="S171" i="21"/>
  <c r="R171" i="21"/>
  <c r="V171" i="21"/>
  <c r="BE232" i="21"/>
  <c r="Z171" i="21"/>
  <c r="Y171" i="21"/>
  <c r="AG226" i="21"/>
  <c r="AH226" i="21" s="1"/>
  <c r="AA119" i="21"/>
  <c r="T119" i="21"/>
  <c r="BY282" i="21"/>
  <c r="BF288" i="21"/>
  <c r="BM126" i="21"/>
  <c r="BN126" i="21"/>
  <c r="BK126" i="21"/>
  <c r="BQ126" i="21"/>
  <c r="BR126" i="21"/>
  <c r="BJ126" i="21"/>
  <c r="BI126" i="21"/>
  <c r="BP126" i="21"/>
  <c r="BO126" i="21"/>
  <c r="BF232" i="21"/>
  <c r="BY226" i="21"/>
  <c r="P126" i="21"/>
  <c r="R126" i="21" s="1"/>
  <c r="E87" i="21"/>
  <c r="AH172" i="21"/>
  <c r="N178" i="21"/>
  <c r="D139" i="21" s="1"/>
  <c r="M76" i="7"/>
  <c r="M80" i="7" s="1"/>
  <c r="EL4" i="19"/>
  <c r="E375" i="20"/>
  <c r="E143" i="20"/>
  <c r="AX40" i="20"/>
  <c r="CN40" i="20"/>
  <c r="AE111" i="5" l="1"/>
  <c r="C135" i="27"/>
  <c r="C134" i="27"/>
  <c r="N14" i="5"/>
  <c r="K80" i="13"/>
  <c r="BE178" i="21"/>
  <c r="BX172" i="21"/>
  <c r="D44" i="11"/>
  <c r="V55" i="11" s="1"/>
  <c r="AE98" i="5"/>
  <c r="M97" i="5"/>
  <c r="M116" i="5"/>
  <c r="G128" i="5"/>
  <c r="M105" i="5"/>
  <c r="J164" i="5"/>
  <c r="J258" i="5" s="1"/>
  <c r="J187" i="5"/>
  <c r="M113" i="5"/>
  <c r="AB111" i="5"/>
  <c r="M117" i="5"/>
  <c r="M100" i="5"/>
  <c r="M98" i="5"/>
  <c r="M95" i="5"/>
  <c r="M107" i="5"/>
  <c r="M119" i="5"/>
  <c r="AB98" i="5"/>
  <c r="M118" i="5"/>
  <c r="M115" i="5"/>
  <c r="M109" i="5"/>
  <c r="M120" i="5"/>
  <c r="M112" i="5"/>
  <c r="M94" i="5"/>
  <c r="M102" i="5"/>
  <c r="J200" i="5"/>
  <c r="M101" i="5"/>
  <c r="X105" i="5"/>
  <c r="L99" i="5" s="1"/>
  <c r="M91" i="5"/>
  <c r="M99" i="5"/>
  <c r="M108" i="5"/>
  <c r="M103" i="5"/>
  <c r="M106" i="5"/>
  <c r="M104" i="5"/>
  <c r="M93" i="5"/>
  <c r="M121" i="5"/>
  <c r="M114" i="5"/>
  <c r="J143" i="5"/>
  <c r="D54" i="11" s="1"/>
  <c r="Q52" i="11"/>
  <c r="M90" i="5"/>
  <c r="D43" i="11"/>
  <c r="M96" i="5"/>
  <c r="M92" i="5"/>
  <c r="AB109" i="5"/>
  <c r="BT109" i="5"/>
  <c r="BU109" i="5" s="1"/>
  <c r="X103" i="5"/>
  <c r="X100" i="5"/>
  <c r="BP109" i="5"/>
  <c r="BN109" i="5"/>
  <c r="BL109" i="5"/>
  <c r="X101" i="5"/>
  <c r="V53" i="11"/>
  <c r="T225" i="21"/>
  <c r="K119" i="21"/>
  <c r="AA225" i="21"/>
  <c r="T171" i="21"/>
  <c r="AA281" i="21"/>
  <c r="T281" i="21"/>
  <c r="AH282" i="21"/>
  <c r="O288" i="21" s="1"/>
  <c r="E249" i="21" s="1"/>
  <c r="N232" i="21"/>
  <c r="D193" i="21" s="1"/>
  <c r="AA171" i="21"/>
  <c r="BG232" i="21"/>
  <c r="BZ226" i="21"/>
  <c r="BZ282" i="21"/>
  <c r="BG288" i="21"/>
  <c r="W126" i="21"/>
  <c r="F94" i="21" s="1"/>
  <c r="X126" i="21"/>
  <c r="G94" i="21" s="1"/>
  <c r="S126" i="21"/>
  <c r="I87" i="21" s="1"/>
  <c r="Z126" i="21"/>
  <c r="I94" i="21" s="1"/>
  <c r="Q126" i="21"/>
  <c r="G87" i="21" s="1"/>
  <c r="H87" i="21"/>
  <c r="Y126" i="21"/>
  <c r="H94" i="21" s="1"/>
  <c r="U126" i="21"/>
  <c r="D94" i="21" s="1"/>
  <c r="V126" i="21"/>
  <c r="E94" i="21" s="1"/>
  <c r="F87" i="21"/>
  <c r="E65" i="21"/>
  <c r="AC65" i="21" s="1"/>
  <c r="AW55" i="21"/>
  <c r="AI226" i="21"/>
  <c r="O232" i="21"/>
  <c r="E193" i="21" s="1"/>
  <c r="O178" i="21"/>
  <c r="E139" i="21" s="1"/>
  <c r="AI172" i="21"/>
  <c r="AE106" i="5"/>
  <c r="AD106" i="5"/>
  <c r="X140" i="20"/>
  <c r="CD140" i="20"/>
  <c r="C313" i="20"/>
  <c r="C323" i="20" s="1"/>
  <c r="BG41" i="20"/>
  <c r="BR82" i="20" s="1"/>
  <c r="BR103" i="20" s="1"/>
  <c r="AK41" i="20"/>
  <c r="AV82" i="20" s="1"/>
  <c r="AV103" i="20" s="1"/>
  <c r="CF372" i="20"/>
  <c r="C551" i="20"/>
  <c r="C561" i="20" s="1"/>
  <c r="X372" i="20"/>
  <c r="BL554" i="20"/>
  <c r="BL564" i="20" s="1"/>
  <c r="CW41" i="20"/>
  <c r="DH82" i="20" s="1"/>
  <c r="DH103" i="20" s="1"/>
  <c r="CB41" i="20"/>
  <c r="CM82" i="20" s="1"/>
  <c r="CM103" i="20" s="1"/>
  <c r="C142" i="27" l="1"/>
  <c r="C143" i="27" s="1"/>
  <c r="C141" i="27"/>
  <c r="C80" i="13"/>
  <c r="AW31" i="11"/>
  <c r="BY172" i="21"/>
  <c r="BF178" i="21"/>
  <c r="J119" i="21"/>
  <c r="J94" i="21" s="1"/>
  <c r="M46" i="6"/>
  <c r="J130" i="5"/>
  <c r="Q149" i="5" s="1"/>
  <c r="Q150" i="5" s="1"/>
  <c r="K143" i="5"/>
  <c r="K139" i="5"/>
  <c r="AB110" i="5"/>
  <c r="S147" i="5"/>
  <c r="CA109" i="5"/>
  <c r="J198" i="5"/>
  <c r="V52" i="11"/>
  <c r="BY109" i="5"/>
  <c r="AC85" i="11"/>
  <c r="T149" i="5"/>
  <c r="BW109" i="5"/>
  <c r="AA105" i="5"/>
  <c r="BI110" i="5"/>
  <c r="F118" i="5" s="1"/>
  <c r="J118" i="5" s="1"/>
  <c r="E80" i="13" s="1"/>
  <c r="G80" i="13" s="1"/>
  <c r="K225" i="21"/>
  <c r="J225" i="21" s="1"/>
  <c r="J200" i="21" s="1"/>
  <c r="K171" i="21"/>
  <c r="J171" i="21" s="1"/>
  <c r="J146" i="21" s="1"/>
  <c r="AI282" i="21"/>
  <c r="AR282" i="21" s="1"/>
  <c r="Y288" i="21" s="1"/>
  <c r="H256" i="21" s="1"/>
  <c r="CC226" i="21"/>
  <c r="BK232" i="21" s="1"/>
  <c r="BH232" i="21"/>
  <c r="CA226" i="21"/>
  <c r="BI232" i="21" s="1"/>
  <c r="CH226" i="21"/>
  <c r="BP232" i="21" s="1"/>
  <c r="CB226" i="21"/>
  <c r="BJ232" i="21" s="1"/>
  <c r="CJ226" i="21"/>
  <c r="BR232" i="21" s="1"/>
  <c r="CG226" i="21"/>
  <c r="BO232" i="21" s="1"/>
  <c r="CE226" i="21"/>
  <c r="BM232" i="21" s="1"/>
  <c r="CF226" i="21"/>
  <c r="BN232" i="21" s="1"/>
  <c r="CI226" i="21"/>
  <c r="BQ232" i="21" s="1"/>
  <c r="T126" i="21"/>
  <c r="CC282" i="21"/>
  <c r="BK288" i="21" s="1"/>
  <c r="BH288" i="21"/>
  <c r="CA282" i="21"/>
  <c r="BI288" i="21" s="1"/>
  <c r="CH282" i="21"/>
  <c r="BP288" i="21" s="1"/>
  <c r="CB282" i="21"/>
  <c r="BJ288" i="21" s="1"/>
  <c r="CJ282" i="21"/>
  <c r="BR288" i="21" s="1"/>
  <c r="CG282" i="21"/>
  <c r="BO288" i="21" s="1"/>
  <c r="CE282" i="21"/>
  <c r="BM288" i="21" s="1"/>
  <c r="CF282" i="21"/>
  <c r="BN288" i="21" s="1"/>
  <c r="CI282" i="21"/>
  <c r="BQ288" i="21" s="1"/>
  <c r="AA126" i="21"/>
  <c r="E68" i="21"/>
  <c r="AC68" i="21" s="1"/>
  <c r="M49" i="6" s="1"/>
  <c r="AW71" i="21"/>
  <c r="F65" i="21"/>
  <c r="AD65" i="21" s="1"/>
  <c r="N46" i="6" s="1"/>
  <c r="C94" i="21"/>
  <c r="AX55" i="21"/>
  <c r="S65" i="21"/>
  <c r="AN65" i="21" s="1"/>
  <c r="O53" i="6" s="1"/>
  <c r="BJ55" i="21"/>
  <c r="AR172" i="21"/>
  <c r="Y178" i="21" s="1"/>
  <c r="H146" i="21" s="1"/>
  <c r="AJ172" i="21"/>
  <c r="Q178" i="21" s="1"/>
  <c r="G139" i="21" s="1"/>
  <c r="AQ172" i="21"/>
  <c r="X178" i="21" s="1"/>
  <c r="G146" i="21" s="1"/>
  <c r="P178" i="21"/>
  <c r="F139" i="21" s="1"/>
  <c r="AN172" i="21"/>
  <c r="U178" i="21" s="1"/>
  <c r="D146" i="21" s="1"/>
  <c r="AS172" i="21"/>
  <c r="Z178" i="21" s="1"/>
  <c r="I146" i="21" s="1"/>
  <c r="AK172" i="21"/>
  <c r="R178" i="21" s="1"/>
  <c r="H139" i="21" s="1"/>
  <c r="AL172" i="21"/>
  <c r="S178" i="21" s="1"/>
  <c r="I139" i="21" s="1"/>
  <c r="AO172" i="21"/>
  <c r="V178" i="21" s="1"/>
  <c r="E146" i="21" s="1"/>
  <c r="AP172" i="21"/>
  <c r="W178" i="21" s="1"/>
  <c r="F146" i="21" s="1"/>
  <c r="AJ226" i="21"/>
  <c r="Q232" i="21" s="1"/>
  <c r="G193" i="21" s="1"/>
  <c r="AO226" i="21"/>
  <c r="V232" i="21" s="1"/>
  <c r="E200" i="21" s="1"/>
  <c r="AN226" i="21"/>
  <c r="U232" i="21" s="1"/>
  <c r="D200" i="21" s="1"/>
  <c r="P232" i="21"/>
  <c r="F193" i="21" s="1"/>
  <c r="AQ226" i="21"/>
  <c r="X232" i="21" s="1"/>
  <c r="G200" i="21" s="1"/>
  <c r="AR226" i="21"/>
  <c r="Y232" i="21" s="1"/>
  <c r="H200" i="21" s="1"/>
  <c r="AL226" i="21"/>
  <c r="S232" i="21" s="1"/>
  <c r="I193" i="21" s="1"/>
  <c r="AK226" i="21"/>
  <c r="R232" i="21" s="1"/>
  <c r="H193" i="21" s="1"/>
  <c r="AP226" i="21"/>
  <c r="W232" i="21" s="1"/>
  <c r="F200" i="21" s="1"/>
  <c r="AS226" i="21"/>
  <c r="Z232" i="21" s="1"/>
  <c r="I200" i="21" s="1"/>
  <c r="T65" i="21"/>
  <c r="AO65" i="21" s="1"/>
  <c r="P53" i="6" s="1"/>
  <c r="BK55" i="21"/>
  <c r="I65" i="21"/>
  <c r="AG65" i="21" s="1"/>
  <c r="Q46" i="6" s="1"/>
  <c r="BA55" i="21"/>
  <c r="Q65" i="21"/>
  <c r="AL65" i="21" s="1"/>
  <c r="M53" i="6" s="1"/>
  <c r="BH55" i="21"/>
  <c r="AY55" i="21"/>
  <c r="G65" i="21"/>
  <c r="AE65" i="21" s="1"/>
  <c r="O46" i="6" s="1"/>
  <c r="BI55" i="21"/>
  <c r="R65" i="21"/>
  <c r="AM65" i="21" s="1"/>
  <c r="N53" i="6" s="1"/>
  <c r="E66" i="21"/>
  <c r="AC66" i="21" s="1"/>
  <c r="M47" i="6" s="1"/>
  <c r="AW61" i="21"/>
  <c r="H65" i="21"/>
  <c r="AF65" i="21" s="1"/>
  <c r="AZ55" i="21"/>
  <c r="AW66" i="21"/>
  <c r="E67" i="21"/>
  <c r="AC67" i="21" s="1"/>
  <c r="M48" i="6" s="1"/>
  <c r="BG55" i="21"/>
  <c r="P65" i="21"/>
  <c r="BL55" i="21"/>
  <c r="U65" i="21"/>
  <c r="AP65" i="21" s="1"/>
  <c r="Q53" i="6" s="1"/>
  <c r="C572" i="20"/>
  <c r="AG561" i="20"/>
  <c r="AG572" i="20" s="1"/>
  <c r="W561" i="20"/>
  <c r="W572" i="20" s="1"/>
  <c r="M561" i="20"/>
  <c r="M572" i="20" s="1"/>
  <c r="AG323" i="20"/>
  <c r="AG334" i="20" s="1"/>
  <c r="M323" i="20"/>
  <c r="M334" i="20" s="1"/>
  <c r="W323" i="20"/>
  <c r="W334" i="20" s="1"/>
  <c r="C334" i="20"/>
  <c r="BL575" i="20"/>
  <c r="CP564" i="20"/>
  <c r="CP575" i="20" s="1"/>
  <c r="CF564" i="20"/>
  <c r="CF575" i="20" s="1"/>
  <c r="BV564" i="20"/>
  <c r="BV575" i="20" s="1"/>
  <c r="B241" i="20"/>
  <c r="C185" i="20"/>
  <c r="AG223" i="20"/>
  <c r="BK417" i="20"/>
  <c r="CO455" i="20"/>
  <c r="BJ473" i="20"/>
  <c r="BJ241" i="20"/>
  <c r="CE143" i="20"/>
  <c r="CD143" i="20"/>
  <c r="BK185" i="20"/>
  <c r="CO223" i="20"/>
  <c r="BL313" i="20"/>
  <c r="BL323" i="20" s="1"/>
  <c r="B473" i="20"/>
  <c r="C417" i="20"/>
  <c r="AG455" i="20"/>
  <c r="G60" i="11"/>
  <c r="E145" i="27" l="1"/>
  <c r="G146" i="27"/>
  <c r="BZ172" i="21"/>
  <c r="BG178" i="21"/>
  <c r="S46" i="6"/>
  <c r="L53" i="6"/>
  <c r="P46" i="6" s="1"/>
  <c r="D58" i="11"/>
  <c r="J139" i="5"/>
  <c r="D50" i="11" s="1"/>
  <c r="R149" i="5"/>
  <c r="R150" i="5" s="1"/>
  <c r="BT110" i="5"/>
  <c r="F119" i="5" s="1"/>
  <c r="AL282" i="21"/>
  <c r="S288" i="21" s="1"/>
  <c r="I249" i="21" s="1"/>
  <c r="I68" i="21" s="1"/>
  <c r="AG68" i="21" s="1"/>
  <c r="Q49" i="6" s="1"/>
  <c r="AD105" i="5"/>
  <c r="AD109" i="5" s="1"/>
  <c r="AD110" i="5" s="1"/>
  <c r="AA109" i="5"/>
  <c r="AA110" i="5" s="1"/>
  <c r="AE105" i="5"/>
  <c r="AE109" i="5" s="1"/>
  <c r="AE110" i="5" s="1"/>
  <c r="AC105" i="5"/>
  <c r="AC109" i="5" s="1"/>
  <c r="AC110" i="5" s="1"/>
  <c r="AO282" i="21"/>
  <c r="V288" i="21" s="1"/>
  <c r="E256" i="21" s="1"/>
  <c r="Q68" i="21" s="1"/>
  <c r="AL68" i="21" s="1"/>
  <c r="M56" i="6" s="1"/>
  <c r="AP282" i="21"/>
  <c r="W288" i="21" s="1"/>
  <c r="F256" i="21" s="1"/>
  <c r="BI71" i="21" s="1"/>
  <c r="AK282" i="21"/>
  <c r="R288" i="21" s="1"/>
  <c r="H249" i="21" s="1"/>
  <c r="AZ71" i="21" s="1"/>
  <c r="AS282" i="21"/>
  <c r="Z288" i="21" s="1"/>
  <c r="I256" i="21" s="1"/>
  <c r="U68" i="21" s="1"/>
  <c r="AP68" i="21" s="1"/>
  <c r="AQ282" i="21"/>
  <c r="X288" i="21" s="1"/>
  <c r="G256" i="21" s="1"/>
  <c r="S68" i="21" s="1"/>
  <c r="AN68" i="21" s="1"/>
  <c r="O56" i="6" s="1"/>
  <c r="AN282" i="21"/>
  <c r="U288" i="21" s="1"/>
  <c r="D256" i="21" s="1"/>
  <c r="BG71" i="21" s="1"/>
  <c r="P288" i="21"/>
  <c r="F249" i="21" s="1"/>
  <c r="C256" i="21" s="1"/>
  <c r="AJ282" i="21"/>
  <c r="Q288" i="21" s="1"/>
  <c r="G249" i="21" s="1"/>
  <c r="G68" i="21" s="1"/>
  <c r="AE68" i="21" s="1"/>
  <c r="O49" i="6" s="1"/>
  <c r="K126" i="21"/>
  <c r="AA232" i="21"/>
  <c r="T232" i="21"/>
  <c r="H67" i="21"/>
  <c r="AF67" i="21" s="1"/>
  <c r="P48" i="6" s="1"/>
  <c r="AZ66" i="21"/>
  <c r="AX66" i="21"/>
  <c r="F67" i="21"/>
  <c r="AD67" i="21" s="1"/>
  <c r="N48" i="6" s="1"/>
  <c r="C200" i="21"/>
  <c r="BA61" i="21"/>
  <c r="I66" i="21"/>
  <c r="AG66" i="21" s="1"/>
  <c r="BJ66" i="21"/>
  <c r="S67" i="21"/>
  <c r="AN67" i="21" s="1"/>
  <c r="O55" i="6" s="1"/>
  <c r="BH61" i="21"/>
  <c r="Q66" i="21"/>
  <c r="AL66" i="21" s="1"/>
  <c r="AK66" i="21" s="1"/>
  <c r="P66" i="21"/>
  <c r="BG61" i="21"/>
  <c r="BM55" i="21"/>
  <c r="V65" i="21"/>
  <c r="U67" i="21"/>
  <c r="AP67" i="21" s="1"/>
  <c r="Q55" i="6" s="1"/>
  <c r="BL66" i="21"/>
  <c r="T67" i="21"/>
  <c r="AO67" i="21" s="1"/>
  <c r="P55" i="6" s="1"/>
  <c r="BK66" i="21"/>
  <c r="Q67" i="21"/>
  <c r="AL67" i="21" s="1"/>
  <c r="M55" i="6" s="1"/>
  <c r="BH66" i="21"/>
  <c r="BI61" i="21"/>
  <c r="R66" i="21"/>
  <c r="AM66" i="21" s="1"/>
  <c r="BL61" i="21"/>
  <c r="U66" i="21"/>
  <c r="AP66" i="21" s="1"/>
  <c r="AY61" i="21"/>
  <c r="G66" i="21"/>
  <c r="AE66" i="21" s="1"/>
  <c r="AK65" i="21"/>
  <c r="C146" i="21"/>
  <c r="AX61" i="21"/>
  <c r="F66" i="21"/>
  <c r="AD66" i="21" s="1"/>
  <c r="R67" i="21"/>
  <c r="AM67" i="21" s="1"/>
  <c r="N55" i="6" s="1"/>
  <c r="BI66" i="21"/>
  <c r="AY66" i="21"/>
  <c r="G67" i="21"/>
  <c r="AE67" i="21" s="1"/>
  <c r="O48" i="6" s="1"/>
  <c r="T66" i="21"/>
  <c r="AO66" i="21" s="1"/>
  <c r="BK61" i="21"/>
  <c r="BF55" i="21"/>
  <c r="O65" i="21"/>
  <c r="I67" i="21"/>
  <c r="AG67" i="21" s="1"/>
  <c r="Q48" i="6" s="1"/>
  <c r="BA66" i="21"/>
  <c r="BG66" i="21"/>
  <c r="P67" i="21"/>
  <c r="AZ61" i="21"/>
  <c r="H66" i="21"/>
  <c r="AF66" i="21" s="1"/>
  <c r="S66" i="21"/>
  <c r="AN66" i="21" s="1"/>
  <c r="BJ61" i="21"/>
  <c r="T68" i="21"/>
  <c r="AO68" i="21" s="1"/>
  <c r="P56" i="6" s="1"/>
  <c r="BK71" i="21"/>
  <c r="AS417" i="20"/>
  <c r="AE417" i="20"/>
  <c r="Q417" i="20"/>
  <c r="BJ517" i="20"/>
  <c r="BJ539" i="20"/>
  <c r="BJ495" i="20"/>
  <c r="BY185" i="20"/>
  <c r="CM185" i="20"/>
  <c r="DA185" i="20"/>
  <c r="AE185" i="20"/>
  <c r="Q185" i="20"/>
  <c r="AS185" i="20"/>
  <c r="CO289" i="20"/>
  <c r="CO245" i="20"/>
  <c r="CO267" i="20"/>
  <c r="AG289" i="20"/>
  <c r="AG267" i="20"/>
  <c r="AG245" i="20"/>
  <c r="B539" i="20"/>
  <c r="B495" i="20"/>
  <c r="B517" i="20"/>
  <c r="CO521" i="20"/>
  <c r="CO477" i="20"/>
  <c r="CO499" i="20"/>
  <c r="B307" i="20"/>
  <c r="B263" i="20"/>
  <c r="B285" i="20"/>
  <c r="AG521" i="20"/>
  <c r="AG477" i="20"/>
  <c r="AG499" i="20"/>
  <c r="BJ307" i="20"/>
  <c r="BJ263" i="20"/>
  <c r="BJ285" i="20"/>
  <c r="BL334" i="20"/>
  <c r="CF323" i="20"/>
  <c r="CF334" i="20" s="1"/>
  <c r="BV323" i="20"/>
  <c r="BV334" i="20" s="1"/>
  <c r="CP323" i="20"/>
  <c r="CP334" i="20" s="1"/>
  <c r="DA417" i="20"/>
  <c r="CM417" i="20"/>
  <c r="BY417" i="20"/>
  <c r="CA172" i="21" l="1"/>
  <c r="BI178" i="21" s="1"/>
  <c r="CF172" i="21"/>
  <c r="BN178" i="21" s="1"/>
  <c r="CH172" i="21"/>
  <c r="BP178" i="21" s="1"/>
  <c r="CC172" i="21"/>
  <c r="BK178" i="21" s="1"/>
  <c r="CE172" i="21"/>
  <c r="BM178" i="21" s="1"/>
  <c r="BH178" i="21"/>
  <c r="CJ172" i="21"/>
  <c r="BR178" i="21" s="1"/>
  <c r="CG172" i="21"/>
  <c r="BO178" i="21" s="1"/>
  <c r="CI172" i="21"/>
  <c r="BQ178" i="21" s="1"/>
  <c r="CB172" i="21"/>
  <c r="BJ178" i="21" s="1"/>
  <c r="G20" i="11"/>
  <c r="Z110" i="5"/>
  <c r="S53" i="6"/>
  <c r="S145" i="5"/>
  <c r="T145" i="5" s="1"/>
  <c r="S146" i="5"/>
  <c r="BA71" i="21"/>
  <c r="AY71" i="21"/>
  <c r="BJ71" i="21"/>
  <c r="AX71" i="21"/>
  <c r="H68" i="21"/>
  <c r="AF68" i="21" s="1"/>
  <c r="P49" i="6" s="1"/>
  <c r="BH71" i="21"/>
  <c r="P68" i="21"/>
  <c r="F68" i="21"/>
  <c r="AD68" i="21" s="1"/>
  <c r="N49" i="6" s="1"/>
  <c r="R68" i="21"/>
  <c r="AM68" i="21" s="1"/>
  <c r="N56" i="6" s="1"/>
  <c r="BL71" i="21"/>
  <c r="T288" i="21"/>
  <c r="AA288" i="21"/>
  <c r="K232" i="21"/>
  <c r="AQ65" i="21"/>
  <c r="R53" i="6" s="1"/>
  <c r="L55" i="6"/>
  <c r="S55" i="6" s="1"/>
  <c r="AK67" i="21"/>
  <c r="V67" i="21"/>
  <c r="BM66" i="21"/>
  <c r="Q56" i="6"/>
  <c r="BF66" i="21"/>
  <c r="O67" i="21"/>
  <c r="BF61" i="21"/>
  <c r="O66" i="21"/>
  <c r="V66" i="21"/>
  <c r="AQ66" i="21" s="1"/>
  <c r="BM61" i="21"/>
  <c r="O68" i="21"/>
  <c r="BF71" i="21"/>
  <c r="CF307" i="20"/>
  <c r="BX285" i="20"/>
  <c r="BO306" i="20"/>
  <c r="BO308" i="20" s="1"/>
  <c r="BO309" i="20" s="1"/>
  <c r="BO307" i="20"/>
  <c r="CA263" i="20"/>
  <c r="BO241" i="20"/>
  <c r="BR285" i="20"/>
  <c r="BZ262" i="20"/>
  <c r="BZ264" i="20" s="1"/>
  <c r="BZ265" i="20" s="1"/>
  <c r="BR240" i="20"/>
  <c r="BR242" i="20" s="1"/>
  <c r="BR243" i="20" s="1"/>
  <c r="BP262" i="20"/>
  <c r="BP264" i="20" s="1"/>
  <c r="BP265" i="20" s="1"/>
  <c r="BS285" i="20"/>
  <c r="BS240" i="20"/>
  <c r="BS242" i="20" s="1"/>
  <c r="BS243" i="20" s="1"/>
  <c r="CG263" i="20"/>
  <c r="BN241" i="20"/>
  <c r="BL285" i="20"/>
  <c r="BW284" i="20"/>
  <c r="BW286" i="20" s="1"/>
  <c r="BW287" i="20" s="1"/>
  <c r="CI241" i="20"/>
  <c r="CF263" i="20"/>
  <c r="BN285" i="20"/>
  <c r="CB307" i="20"/>
  <c r="BT285" i="20"/>
  <c r="CK285" i="20"/>
  <c r="CK306" i="20"/>
  <c r="CK308" i="20" s="1"/>
  <c r="CK309" i="20" s="1"/>
  <c r="BW263" i="20"/>
  <c r="CK240" i="20"/>
  <c r="CK242" i="20" s="1"/>
  <c r="CK243" i="20" s="1"/>
  <c r="CH284" i="20"/>
  <c r="CH286" i="20" s="1"/>
  <c r="CH287" i="20" s="1"/>
  <c r="BV262" i="20"/>
  <c r="BV264" i="20" s="1"/>
  <c r="BV265" i="20" s="1"/>
  <c r="BN240" i="20"/>
  <c r="BN242" i="20" s="1"/>
  <c r="BN243" i="20" s="1"/>
  <c r="CH241" i="20"/>
  <c r="CD284" i="20"/>
  <c r="CD286" i="20" s="1"/>
  <c r="CD287" i="20" s="1"/>
  <c r="BV307" i="20"/>
  <c r="BW262" i="20"/>
  <c r="BW264" i="20" s="1"/>
  <c r="BW265" i="20" s="1"/>
  <c r="CJ240" i="20"/>
  <c r="CJ242" i="20" s="1"/>
  <c r="CJ243" i="20" s="1"/>
  <c r="CB285" i="20"/>
  <c r="BO285" i="20"/>
  <c r="BM240" i="20"/>
  <c r="BM242" i="20" s="1"/>
  <c r="BM243" i="20" s="1"/>
  <c r="CL240" i="20"/>
  <c r="CL242" i="20" s="1"/>
  <c r="CL243" i="20" s="1"/>
  <c r="CF284" i="20"/>
  <c r="CF286" i="20" s="1"/>
  <c r="CF287" i="20" s="1"/>
  <c r="CE307" i="20"/>
  <c r="CH262" i="20"/>
  <c r="CH264" i="20" s="1"/>
  <c r="CH265" i="20" s="1"/>
  <c r="CK241" i="20"/>
  <c r="BN284" i="20"/>
  <c r="BN286" i="20" s="1"/>
  <c r="BN287" i="20" s="1"/>
  <c r="CC262" i="20"/>
  <c r="CC264" i="20" s="1"/>
  <c r="CC265" i="20" s="1"/>
  <c r="CA285" i="20"/>
  <c r="BS263" i="20"/>
  <c r="BL262" i="20"/>
  <c r="BL264" i="20" s="1"/>
  <c r="BL265" i="20" s="1"/>
  <c r="CA284" i="20"/>
  <c r="CA286" i="20" s="1"/>
  <c r="CA287" i="20" s="1"/>
  <c r="BT263" i="20"/>
  <c r="CI262" i="20"/>
  <c r="CI264" i="20" s="1"/>
  <c r="CI265" i="20" s="1"/>
  <c r="BY241" i="20"/>
  <c r="BQ240" i="20"/>
  <c r="BQ242" i="20" s="1"/>
  <c r="BQ243" i="20" s="1"/>
  <c r="CB240" i="20"/>
  <c r="CB242" i="20" s="1"/>
  <c r="CB243" i="20" s="1"/>
  <c r="CC306" i="20"/>
  <c r="CC308" i="20" s="1"/>
  <c r="CC309" i="20" s="1"/>
  <c r="BT284" i="20"/>
  <c r="BT286" i="20" s="1"/>
  <c r="BT287" i="20" s="1"/>
  <c r="BP307" i="20"/>
  <c r="CK307" i="20"/>
  <c r="BY285" i="20"/>
  <c r="BM306" i="20"/>
  <c r="BM308" i="20" s="1"/>
  <c r="BM309" i="20" s="1"/>
  <c r="CK262" i="20"/>
  <c r="CK264" i="20" s="1"/>
  <c r="CK265" i="20" s="1"/>
  <c r="BY240" i="20"/>
  <c r="BY242" i="20" s="1"/>
  <c r="BY243" i="20" s="1"/>
  <c r="BR284" i="20"/>
  <c r="BR286" i="20" s="1"/>
  <c r="BR287" i="20" s="1"/>
  <c r="CJ241" i="20"/>
  <c r="CJ306" i="20"/>
  <c r="CJ308" i="20" s="1"/>
  <c r="CJ309" i="20" s="1"/>
  <c r="CF240" i="20"/>
  <c r="CF242" i="20" s="1"/>
  <c r="CF243" i="20" s="1"/>
  <c r="CC263" i="20"/>
  <c r="CA307" i="20"/>
  <c r="BY263" i="20"/>
  <c r="BY284" i="20"/>
  <c r="BY286" i="20" s="1"/>
  <c r="BY287" i="20" s="1"/>
  <c r="BY307" i="20"/>
  <c r="BU306" i="20"/>
  <c r="BU308" i="20" s="1"/>
  <c r="BU309" i="20" s="1"/>
  <c r="CC240" i="20"/>
  <c r="CC242" i="20" s="1"/>
  <c r="CC243" i="20" s="1"/>
  <c r="CD262" i="20"/>
  <c r="CD264" i="20" s="1"/>
  <c r="CD265" i="20" s="1"/>
  <c r="BX262" i="20"/>
  <c r="BX264" i="20" s="1"/>
  <c r="BX265" i="20" s="1"/>
  <c r="BL307" i="20"/>
  <c r="CG307" i="20"/>
  <c r="BU285" i="20"/>
  <c r="CE285" i="20"/>
  <c r="CG262" i="20"/>
  <c r="CG264" i="20" s="1"/>
  <c r="CG265" i="20" s="1"/>
  <c r="BU240" i="20"/>
  <c r="BU242" i="20" s="1"/>
  <c r="BU243" i="20" s="1"/>
  <c r="BM284" i="20"/>
  <c r="BM286" i="20" s="1"/>
  <c r="BM287" i="20" s="1"/>
  <c r="CF241" i="20"/>
  <c r="BT306" i="20"/>
  <c r="BT308" i="20" s="1"/>
  <c r="BT309" i="20" s="1"/>
  <c r="BX240" i="20"/>
  <c r="BX242" i="20" s="1"/>
  <c r="BX243" i="20" s="1"/>
  <c r="BU263" i="20"/>
  <c r="CG306" i="20"/>
  <c r="CG308" i="20" s="1"/>
  <c r="CG309" i="20" s="1"/>
  <c r="CE262" i="20"/>
  <c r="CE264" i="20" s="1"/>
  <c r="CE265" i="20" s="1"/>
  <c r="BQ263" i="20"/>
  <c r="CI306" i="20"/>
  <c r="CI308" i="20" s="1"/>
  <c r="CI309" i="20" s="1"/>
  <c r="CE263" i="20"/>
  <c r="BZ285" i="20"/>
  <c r="BN307" i="20"/>
  <c r="CK263" i="20"/>
  <c r="CI263" i="20"/>
  <c r="BZ240" i="20"/>
  <c r="BZ242" i="20" s="1"/>
  <c r="BZ243" i="20" s="1"/>
  <c r="CL285" i="20"/>
  <c r="BT240" i="20"/>
  <c r="BT242" i="20" s="1"/>
  <c r="BT243" i="20" s="1"/>
  <c r="CJ263" i="20"/>
  <c r="BT262" i="20"/>
  <c r="BT264" i="20" s="1"/>
  <c r="BT265" i="20" s="1"/>
  <c r="CC284" i="20"/>
  <c r="CC286" i="20" s="1"/>
  <c r="CC287" i="20" s="1"/>
  <c r="CD263" i="20"/>
  <c r="CB284" i="20"/>
  <c r="CB286" i="20" s="1"/>
  <c r="CB287" i="20" s="1"/>
  <c r="BL241" i="20"/>
  <c r="CA240" i="20"/>
  <c r="CA242" i="20" s="1"/>
  <c r="CA243" i="20" s="1"/>
  <c r="CD241" i="20"/>
  <c r="CB241" i="20"/>
  <c r="BO262" i="20"/>
  <c r="BO264" i="20" s="1"/>
  <c r="BO265" i="20" s="1"/>
  <c r="CG240" i="20"/>
  <c r="CG242" i="20" s="1"/>
  <c r="CG243" i="20" s="1"/>
  <c r="BU284" i="20"/>
  <c r="BU286" i="20" s="1"/>
  <c r="BU287" i="20" s="1"/>
  <c r="CE306" i="20"/>
  <c r="CE308" i="20" s="1"/>
  <c r="CE309" i="20" s="1"/>
  <c r="BQ284" i="20"/>
  <c r="BQ286" i="20" s="1"/>
  <c r="BQ287" i="20" s="1"/>
  <c r="BX306" i="20"/>
  <c r="BX308" i="20" s="1"/>
  <c r="BX309" i="20" s="1"/>
  <c r="CH240" i="20"/>
  <c r="CH242" i="20" s="1"/>
  <c r="CH243" i="20" s="1"/>
  <c r="CI307" i="20"/>
  <c r="CL241" i="20"/>
  <c r="BR306" i="20"/>
  <c r="BR308" i="20" s="1"/>
  <c r="BR309" i="20" s="1"/>
  <c r="BO263" i="20"/>
  <c r="BV240" i="20"/>
  <c r="BV242" i="20" s="1"/>
  <c r="BV243" i="20" s="1"/>
  <c r="CJ285" i="20"/>
  <c r="BO284" i="20"/>
  <c r="BO286" i="20" s="1"/>
  <c r="BO287" i="20" s="1"/>
  <c r="CA241" i="20"/>
  <c r="CL262" i="20"/>
  <c r="CL264" i="20" s="1"/>
  <c r="CL265" i="20" s="1"/>
  <c r="BR263" i="20"/>
  <c r="BM241" i="20"/>
  <c r="CJ262" i="20"/>
  <c r="CJ264" i="20" s="1"/>
  <c r="CJ265" i="20" s="1"/>
  <c r="BW307" i="20"/>
  <c r="BN262" i="20"/>
  <c r="BN264" i="20" s="1"/>
  <c r="BN265" i="20" s="1"/>
  <c r="BW306" i="20"/>
  <c r="BW308" i="20" s="1"/>
  <c r="BW309" i="20" s="1"/>
  <c r="BY306" i="20"/>
  <c r="BY308" i="20" s="1"/>
  <c r="BY309" i="20" s="1"/>
  <c r="BQ285" i="20"/>
  <c r="CG285" i="20"/>
  <c r="BM307" i="20"/>
  <c r="BV285" i="20"/>
  <c r="BW285" i="20"/>
  <c r="BP285" i="20"/>
  <c r="BQ306" i="20"/>
  <c r="BQ308" i="20" s="1"/>
  <c r="BQ309" i="20" s="1"/>
  <c r="BU307" i="20"/>
  <c r="CH307" i="20"/>
  <c r="CB306" i="20"/>
  <c r="CB308" i="20" s="1"/>
  <c r="CB309" i="20" s="1"/>
  <c r="BT307" i="20"/>
  <c r="BX241" i="20"/>
  <c r="CE284" i="20"/>
  <c r="CE286" i="20" s="1"/>
  <c r="CE287" i="20" s="1"/>
  <c r="BX263" i="20"/>
  <c r="BS262" i="20"/>
  <c r="BS264" i="20" s="1"/>
  <c r="BS265" i="20" s="1"/>
  <c r="CC285" i="20"/>
  <c r="CF285" i="20"/>
  <c r="CL306" i="20"/>
  <c r="CL308" i="20" s="1"/>
  <c r="CL309" i="20" s="1"/>
  <c r="BV306" i="20"/>
  <c r="BV308" i="20" s="1"/>
  <c r="BV309" i="20" s="1"/>
  <c r="CC307" i="20"/>
  <c r="BW240" i="20"/>
  <c r="BW242" i="20" s="1"/>
  <c r="BW243" i="20" s="1"/>
  <c r="BS284" i="20"/>
  <c r="BS286" i="20" s="1"/>
  <c r="BS287" i="20" s="1"/>
  <c r="BL263" i="20"/>
  <c r="BU241" i="20"/>
  <c r="BM285" i="20"/>
  <c r="CI285" i="20"/>
  <c r="BL284" i="20"/>
  <c r="BL286" i="20" s="1"/>
  <c r="BL287" i="20" s="1"/>
  <c r="CD240" i="20"/>
  <c r="CD242" i="20" s="1"/>
  <c r="CD243" i="20" s="1"/>
  <c r="BV241" i="20"/>
  <c r="BS241" i="20"/>
  <c r="CH285" i="20"/>
  <c r="BM263" i="20"/>
  <c r="BR307" i="20"/>
  <c r="CI240" i="20"/>
  <c r="CI242" i="20" s="1"/>
  <c r="CI243" i="20" s="1"/>
  <c r="CD306" i="20"/>
  <c r="CD308" i="20" s="1"/>
  <c r="CD309" i="20" s="1"/>
  <c r="CI284" i="20"/>
  <c r="CI286" i="20" s="1"/>
  <c r="CI287" i="20" s="1"/>
  <c r="BU262" i="20"/>
  <c r="BU264" i="20" s="1"/>
  <c r="BU265" i="20" s="1"/>
  <c r="CB263" i="20"/>
  <c r="CK284" i="20"/>
  <c r="CK286" i="20" s="1"/>
  <c r="CK287" i="20" s="1"/>
  <c r="CA262" i="20"/>
  <c r="CA264" i="20" s="1"/>
  <c r="CA265" i="20" s="1"/>
  <c r="CE240" i="20"/>
  <c r="CE242" i="20" s="1"/>
  <c r="CE243" i="20" s="1"/>
  <c r="BS306" i="20"/>
  <c r="BS308" i="20" s="1"/>
  <c r="BS309" i="20" s="1"/>
  <c r="CF306" i="20"/>
  <c r="CF308" i="20" s="1"/>
  <c r="CF309" i="20" s="1"/>
  <c r="CL307" i="20"/>
  <c r="BQ307" i="20"/>
  <c r="CG284" i="20"/>
  <c r="CG286" i="20" s="1"/>
  <c r="CG287" i="20" s="1"/>
  <c r="BZ307" i="20"/>
  <c r="BP241" i="20"/>
  <c r="BL306" i="20"/>
  <c r="BL308" i="20" s="1"/>
  <c r="BL309" i="20" s="1"/>
  <c r="BV263" i="20"/>
  <c r="CJ307" i="20"/>
  <c r="BY262" i="20"/>
  <c r="BY264" i="20" s="1"/>
  <c r="BY265" i="20" s="1"/>
  <c r="CH263" i="20"/>
  <c r="BW241" i="20"/>
  <c r="CB262" i="20"/>
  <c r="CB264" i="20" s="1"/>
  <c r="CB265" i="20" s="1"/>
  <c r="CD285" i="20"/>
  <c r="CD307" i="20"/>
  <c r="BM262" i="20"/>
  <c r="BM264" i="20" s="1"/>
  <c r="BM265" i="20" s="1"/>
  <c r="CJ284" i="20"/>
  <c r="CJ286" i="20" s="1"/>
  <c r="CJ287" i="20" s="1"/>
  <c r="BP240" i="20"/>
  <c r="BP242" i="20" s="1"/>
  <c r="BP243" i="20" s="1"/>
  <c r="BR262" i="20"/>
  <c r="BR264" i="20" s="1"/>
  <c r="BR265" i="20" s="1"/>
  <c r="CL284" i="20"/>
  <c r="CL286" i="20" s="1"/>
  <c r="CL287" i="20" s="1"/>
  <c r="BT241" i="20"/>
  <c r="CL263" i="20"/>
  <c r="BV284" i="20"/>
  <c r="BV286" i="20" s="1"/>
  <c r="BV287" i="20" s="1"/>
  <c r="BZ306" i="20"/>
  <c r="BZ308" i="20" s="1"/>
  <c r="BZ309" i="20" s="1"/>
  <c r="BQ262" i="20"/>
  <c r="BQ264" i="20" s="1"/>
  <c r="BQ265" i="20" s="1"/>
  <c r="BZ284" i="20"/>
  <c r="BZ286" i="20" s="1"/>
  <c r="BZ287" i="20" s="1"/>
  <c r="BO240" i="20"/>
  <c r="BO242" i="20" s="1"/>
  <c r="BO243" i="20" s="1"/>
  <c r="BP263" i="20"/>
  <c r="CF262" i="20"/>
  <c r="CF264" i="20" s="1"/>
  <c r="CF265" i="20" s="1"/>
  <c r="BX307" i="20"/>
  <c r="BP284" i="20"/>
  <c r="BP286" i="20" s="1"/>
  <c r="BP287" i="20" s="1"/>
  <c r="CG241" i="20"/>
  <c r="BN306" i="20"/>
  <c r="BN308" i="20" s="1"/>
  <c r="BN309" i="20" s="1"/>
  <c r="CE241" i="20"/>
  <c r="BZ263" i="20"/>
  <c r="BN263" i="20"/>
  <c r="BX284" i="20"/>
  <c r="BX286" i="20" s="1"/>
  <c r="BX287" i="20" s="1"/>
  <c r="CA306" i="20"/>
  <c r="CA308" i="20" s="1"/>
  <c r="CA309" i="20" s="1"/>
  <c r="BP306" i="20"/>
  <c r="BP308" i="20" s="1"/>
  <c r="BP309" i="20" s="1"/>
  <c r="BS307" i="20"/>
  <c r="CH306" i="20"/>
  <c r="CH308" i="20" s="1"/>
  <c r="CH309" i="20" s="1"/>
  <c r="BR241" i="20"/>
  <c r="BQ241" i="20"/>
  <c r="CC241" i="20"/>
  <c r="BL240" i="20"/>
  <c r="BL242" i="20" s="1"/>
  <c r="BL243" i="20" s="1"/>
  <c r="BZ241" i="20"/>
  <c r="AB539" i="20"/>
  <c r="Y539" i="20"/>
  <c r="X538" i="20"/>
  <c r="X540" i="20" s="1"/>
  <c r="X541" i="20" s="1"/>
  <c r="W539" i="20"/>
  <c r="K516" i="20"/>
  <c r="K518" i="20" s="1"/>
  <c r="K519" i="20" s="1"/>
  <c r="I495" i="20"/>
  <c r="W472" i="20"/>
  <c r="AB495" i="20"/>
  <c r="T473" i="20"/>
  <c r="Z516" i="20"/>
  <c r="Z518" i="20" s="1"/>
  <c r="Z519" i="20" s="1"/>
  <c r="S473" i="20"/>
  <c r="P472" i="20"/>
  <c r="AD495" i="20"/>
  <c r="U472" i="20"/>
  <c r="AA538" i="20"/>
  <c r="AA540" i="20" s="1"/>
  <c r="AA541" i="20" s="1"/>
  <c r="E538" i="20"/>
  <c r="E540" i="20" s="1"/>
  <c r="E541" i="20" s="1"/>
  <c r="K494" i="20"/>
  <c r="K496" i="20" s="1"/>
  <c r="K497" i="20" s="1"/>
  <c r="T495" i="20"/>
  <c r="Z495" i="20"/>
  <c r="G517" i="20"/>
  <c r="X539" i="20"/>
  <c r="Z539" i="20"/>
  <c r="W516" i="20"/>
  <c r="W518" i="20" s="1"/>
  <c r="W519" i="20" s="1"/>
  <c r="O494" i="20"/>
  <c r="O496" i="20" s="1"/>
  <c r="O497" i="20" s="1"/>
  <c r="H495" i="20"/>
  <c r="Q538" i="20"/>
  <c r="Q540" i="20" s="1"/>
  <c r="Q541" i="20" s="1"/>
  <c r="G495" i="20"/>
  <c r="W517" i="20"/>
  <c r="N538" i="20"/>
  <c r="N540" i="20" s="1"/>
  <c r="N541" i="20" s="1"/>
  <c r="G538" i="20"/>
  <c r="G540" i="20" s="1"/>
  <c r="G541" i="20" s="1"/>
  <c r="T516" i="20"/>
  <c r="T518" i="20" s="1"/>
  <c r="T519" i="20" s="1"/>
  <c r="E517" i="20"/>
  <c r="AC495" i="20"/>
  <c r="Q473" i="20"/>
  <c r="H517" i="20"/>
  <c r="N494" i="20"/>
  <c r="N496" i="20" s="1"/>
  <c r="N497" i="20" s="1"/>
  <c r="F472" i="20"/>
  <c r="K495" i="20"/>
  <c r="P494" i="20"/>
  <c r="P496" i="20" s="1"/>
  <c r="P497" i="20" s="1"/>
  <c r="F473" i="20"/>
  <c r="R473" i="20"/>
  <c r="T539" i="20"/>
  <c r="H538" i="20"/>
  <c r="H540" i="20" s="1"/>
  <c r="H541" i="20" s="1"/>
  <c r="AA539" i="20"/>
  <c r="F539" i="20"/>
  <c r="Z472" i="20"/>
  <c r="D517" i="20"/>
  <c r="AD473" i="20"/>
  <c r="F538" i="20"/>
  <c r="F540" i="20" s="1"/>
  <c r="F541" i="20" s="1"/>
  <c r="O539" i="20"/>
  <c r="Y473" i="20"/>
  <c r="V494" i="20"/>
  <c r="V496" i="20" s="1"/>
  <c r="V497" i="20" s="1"/>
  <c r="AA495" i="20"/>
  <c r="Z473" i="20"/>
  <c r="AC517" i="20"/>
  <c r="AA516" i="20"/>
  <c r="AA518" i="20" s="1"/>
  <c r="AA519" i="20" s="1"/>
  <c r="M473" i="20"/>
  <c r="J494" i="20"/>
  <c r="J496" i="20" s="1"/>
  <c r="J497" i="20" s="1"/>
  <c r="Y494" i="20"/>
  <c r="Y496" i="20" s="1"/>
  <c r="Y497" i="20" s="1"/>
  <c r="AC472" i="20"/>
  <c r="AB517" i="20"/>
  <c r="L539" i="20"/>
  <c r="I539" i="20"/>
  <c r="V517" i="20"/>
  <c r="U538" i="20"/>
  <c r="U540" i="20" s="1"/>
  <c r="U541" i="20" s="1"/>
  <c r="Y538" i="20"/>
  <c r="Y540" i="20" s="1"/>
  <c r="Y541" i="20" s="1"/>
  <c r="S494" i="20"/>
  <c r="S496" i="20" s="1"/>
  <c r="S497" i="20" s="1"/>
  <c r="G472" i="20"/>
  <c r="L495" i="20"/>
  <c r="D473" i="20"/>
  <c r="J495" i="20"/>
  <c r="I472" i="20"/>
  <c r="W495" i="20"/>
  <c r="L472" i="20"/>
  <c r="X472" i="20"/>
  <c r="R539" i="20"/>
  <c r="S516" i="20"/>
  <c r="S518" i="20" s="1"/>
  <c r="S519" i="20" s="1"/>
  <c r="U473" i="20"/>
  <c r="R494" i="20"/>
  <c r="R496" i="20" s="1"/>
  <c r="R497" i="20" s="1"/>
  <c r="S495" i="20"/>
  <c r="O473" i="20"/>
  <c r="V538" i="20"/>
  <c r="V540" i="20" s="1"/>
  <c r="V541" i="20" s="1"/>
  <c r="R517" i="20"/>
  <c r="G516" i="20"/>
  <c r="G518" i="20" s="1"/>
  <c r="G519" i="20" s="1"/>
  <c r="I473" i="20"/>
  <c r="F494" i="20"/>
  <c r="F496" i="20" s="1"/>
  <c r="F497" i="20" s="1"/>
  <c r="Q494" i="20"/>
  <c r="Q496" i="20" s="1"/>
  <c r="Q497" i="20" s="1"/>
  <c r="T472" i="20"/>
  <c r="Q516" i="20"/>
  <c r="Q518" i="20" s="1"/>
  <c r="Q519" i="20" s="1"/>
  <c r="AC539" i="20"/>
  <c r="J539" i="20"/>
  <c r="D516" i="20"/>
  <c r="D518" i="20" s="1"/>
  <c r="D519" i="20" s="1"/>
  <c r="O516" i="20"/>
  <c r="O518" i="20" s="1"/>
  <c r="O519" i="20" s="1"/>
  <c r="M495" i="20"/>
  <c r="AA472" i="20"/>
  <c r="F516" i="20"/>
  <c r="F518" i="20" s="1"/>
  <c r="F519" i="20" s="1"/>
  <c r="X473" i="20"/>
  <c r="L517" i="20"/>
  <c r="AA473" i="20"/>
  <c r="AB472" i="20"/>
  <c r="N539" i="20"/>
  <c r="D472" i="20"/>
  <c r="D474" i="20" s="1"/>
  <c r="D475" i="20" s="1"/>
  <c r="R538" i="20"/>
  <c r="R540" i="20" s="1"/>
  <c r="R541" i="20" s="1"/>
  <c r="X516" i="20"/>
  <c r="X518" i="20" s="1"/>
  <c r="X519" i="20" s="1"/>
  <c r="I516" i="20"/>
  <c r="I518" i="20" s="1"/>
  <c r="I519" i="20" s="1"/>
  <c r="N516" i="20"/>
  <c r="N518" i="20" s="1"/>
  <c r="N519" i="20" s="1"/>
  <c r="AD517" i="20"/>
  <c r="N473" i="20"/>
  <c r="U494" i="20"/>
  <c r="U496" i="20" s="1"/>
  <c r="U497" i="20" s="1"/>
  <c r="E539" i="20"/>
  <c r="M517" i="20"/>
  <c r="S472" i="20"/>
  <c r="P473" i="20"/>
  <c r="K473" i="20"/>
  <c r="L494" i="20"/>
  <c r="L496" i="20" s="1"/>
  <c r="L497" i="20" s="1"/>
  <c r="J538" i="20"/>
  <c r="J540" i="20" s="1"/>
  <c r="J541" i="20" s="1"/>
  <c r="P516" i="20"/>
  <c r="P518" i="20" s="1"/>
  <c r="P519" i="20" s="1"/>
  <c r="Y495" i="20"/>
  <c r="AD516" i="20"/>
  <c r="AD518" i="20" s="1"/>
  <c r="AD519" i="20" s="1"/>
  <c r="AD539" i="20"/>
  <c r="E494" i="20"/>
  <c r="E496" i="20" s="1"/>
  <c r="E497" i="20" s="1"/>
  <c r="O495" i="20"/>
  <c r="H516" i="20"/>
  <c r="H518" i="20" s="1"/>
  <c r="H519" i="20" s="1"/>
  <c r="Z538" i="20"/>
  <c r="Z540" i="20" s="1"/>
  <c r="Z541" i="20" s="1"/>
  <c r="K517" i="20"/>
  <c r="R472" i="20"/>
  <c r="M472" i="20"/>
  <c r="Q495" i="20"/>
  <c r="J472" i="20"/>
  <c r="V473" i="20"/>
  <c r="M538" i="20"/>
  <c r="M540" i="20" s="1"/>
  <c r="M541" i="20" s="1"/>
  <c r="V516" i="20"/>
  <c r="V518" i="20" s="1"/>
  <c r="V519" i="20" s="1"/>
  <c r="W473" i="20"/>
  <c r="AD538" i="20"/>
  <c r="AD540" i="20" s="1"/>
  <c r="AD541" i="20" s="1"/>
  <c r="J517" i="20"/>
  <c r="S517" i="20"/>
  <c r="T538" i="20"/>
  <c r="T540" i="20" s="1"/>
  <c r="T541" i="20" s="1"/>
  <c r="V472" i="20"/>
  <c r="V474" i="20" s="1"/>
  <c r="V475" i="20" s="1"/>
  <c r="R516" i="20"/>
  <c r="R518" i="20" s="1"/>
  <c r="R519" i="20" s="1"/>
  <c r="J473" i="20"/>
  <c r="K538" i="20"/>
  <c r="K540" i="20" s="1"/>
  <c r="K541" i="20" s="1"/>
  <c r="E473" i="20"/>
  <c r="I494" i="20"/>
  <c r="I496" i="20" s="1"/>
  <c r="I497" i="20" s="1"/>
  <c r="H539" i="20"/>
  <c r="U495" i="20"/>
  <c r="J516" i="20"/>
  <c r="J518" i="20" s="1"/>
  <c r="J519" i="20" s="1"/>
  <c r="T517" i="20"/>
  <c r="Z494" i="20"/>
  <c r="Z496" i="20" s="1"/>
  <c r="Z497" i="20" s="1"/>
  <c r="AA517" i="20"/>
  <c r="M494" i="20"/>
  <c r="M496" i="20" s="1"/>
  <c r="M497" i="20" s="1"/>
  <c r="V539" i="20"/>
  <c r="P539" i="20"/>
  <c r="K539" i="20"/>
  <c r="H473" i="20"/>
  <c r="G473" i="20"/>
  <c r="AA494" i="20"/>
  <c r="AA496" i="20" s="1"/>
  <c r="AA497" i="20" s="1"/>
  <c r="E516" i="20"/>
  <c r="E518" i="20" s="1"/>
  <c r="E519" i="20" s="1"/>
  <c r="N472" i="20"/>
  <c r="F517" i="20"/>
  <c r="V495" i="20"/>
  <c r="P517" i="20"/>
  <c r="O538" i="20"/>
  <c r="O540" i="20" s="1"/>
  <c r="O541" i="20" s="1"/>
  <c r="L538" i="20"/>
  <c r="L540" i="20" s="1"/>
  <c r="L541" i="20" s="1"/>
  <c r="W538" i="20"/>
  <c r="W540" i="20" s="1"/>
  <c r="W541" i="20" s="1"/>
  <c r="G494" i="20"/>
  <c r="G496" i="20" s="1"/>
  <c r="G497" i="20" s="1"/>
  <c r="AC516" i="20"/>
  <c r="AC518" i="20" s="1"/>
  <c r="AC519" i="20" s="1"/>
  <c r="Q517" i="20"/>
  <c r="AB473" i="20"/>
  <c r="AB516" i="20"/>
  <c r="AB518" i="20" s="1"/>
  <c r="AB519" i="20" s="1"/>
  <c r="E472" i="20"/>
  <c r="S538" i="20"/>
  <c r="S540" i="20" s="1"/>
  <c r="S541" i="20" s="1"/>
  <c r="AC473" i="20"/>
  <c r="M516" i="20"/>
  <c r="M518" i="20" s="1"/>
  <c r="M519" i="20" s="1"/>
  <c r="D539" i="20"/>
  <c r="O472" i="20"/>
  <c r="Y472" i="20"/>
  <c r="U539" i="20"/>
  <c r="Y516" i="20"/>
  <c r="Y518" i="20" s="1"/>
  <c r="Y519" i="20" s="1"/>
  <c r="AD472" i="20"/>
  <c r="S539" i="20"/>
  <c r="M539" i="20"/>
  <c r="AC538" i="20"/>
  <c r="AC540" i="20" s="1"/>
  <c r="AC541" i="20" s="1"/>
  <c r="W494" i="20"/>
  <c r="W496" i="20" s="1"/>
  <c r="W497" i="20" s="1"/>
  <c r="P495" i="20"/>
  <c r="R495" i="20"/>
  <c r="U516" i="20"/>
  <c r="U518" i="20" s="1"/>
  <c r="U519" i="20" s="1"/>
  <c r="D494" i="20"/>
  <c r="D496" i="20" s="1"/>
  <c r="D497" i="20" s="1"/>
  <c r="G539" i="20"/>
  <c r="D495" i="20"/>
  <c r="AC494" i="20"/>
  <c r="AC496" i="20" s="1"/>
  <c r="AC497" i="20" s="1"/>
  <c r="P538" i="20"/>
  <c r="P540" i="20" s="1"/>
  <c r="P541" i="20" s="1"/>
  <c r="X517" i="20"/>
  <c r="F495" i="20"/>
  <c r="U517" i="20"/>
  <c r="H494" i="20"/>
  <c r="H496" i="20" s="1"/>
  <c r="H497" i="20" s="1"/>
  <c r="L473" i="20"/>
  <c r="L516" i="20"/>
  <c r="L518" i="20" s="1"/>
  <c r="L519" i="20" s="1"/>
  <c r="AB538" i="20"/>
  <c r="AB540" i="20" s="1"/>
  <c r="AB541" i="20" s="1"/>
  <c r="Z517" i="20"/>
  <c r="K472" i="20"/>
  <c r="Q472" i="20"/>
  <c r="Q539" i="20"/>
  <c r="O517" i="20"/>
  <c r="I538" i="20"/>
  <c r="I540" i="20" s="1"/>
  <c r="I541" i="20" s="1"/>
  <c r="N495" i="20"/>
  <c r="D538" i="20"/>
  <c r="D540" i="20" s="1"/>
  <c r="D541" i="20" s="1"/>
  <c r="N517" i="20"/>
  <c r="AB494" i="20"/>
  <c r="AB496" i="20" s="1"/>
  <c r="AB497" i="20" s="1"/>
  <c r="E495" i="20"/>
  <c r="X494" i="20"/>
  <c r="X496" i="20" s="1"/>
  <c r="X497" i="20" s="1"/>
  <c r="Y517" i="20"/>
  <c r="AD494" i="20"/>
  <c r="AD496" i="20" s="1"/>
  <c r="AD497" i="20" s="1"/>
  <c r="T494" i="20"/>
  <c r="T496" i="20" s="1"/>
  <c r="T497" i="20" s="1"/>
  <c r="I517" i="20"/>
  <c r="H472" i="20"/>
  <c r="X495" i="20"/>
  <c r="AC307" i="20"/>
  <c r="U285" i="20"/>
  <c r="N306" i="20"/>
  <c r="N308" i="20" s="1"/>
  <c r="N309" i="20" s="1"/>
  <c r="F284" i="20"/>
  <c r="F286" i="20" s="1"/>
  <c r="F287" i="20" s="1"/>
  <c r="D284" i="20"/>
  <c r="D286" i="20" s="1"/>
  <c r="D287" i="20" s="1"/>
  <c r="X241" i="20"/>
  <c r="AA306" i="20"/>
  <c r="AA308" i="20" s="1"/>
  <c r="AA309" i="20" s="1"/>
  <c r="I263" i="20"/>
  <c r="AC240" i="20"/>
  <c r="AC242" i="20" s="1"/>
  <c r="AC243" i="20" s="1"/>
  <c r="AA262" i="20"/>
  <c r="AA264" i="20" s="1"/>
  <c r="AA265" i="20" s="1"/>
  <c r="H307" i="20"/>
  <c r="R241" i="20"/>
  <c r="J262" i="20"/>
  <c r="J264" i="20" s="1"/>
  <c r="J265" i="20" s="1"/>
  <c r="G262" i="20"/>
  <c r="G264" i="20" s="1"/>
  <c r="G265" i="20" s="1"/>
  <c r="U306" i="20"/>
  <c r="U308" i="20" s="1"/>
  <c r="U309" i="20" s="1"/>
  <c r="N307" i="20"/>
  <c r="F285" i="20"/>
  <c r="T285" i="20"/>
  <c r="X262" i="20"/>
  <c r="X264" i="20" s="1"/>
  <c r="X265" i="20" s="1"/>
  <c r="P240" i="20"/>
  <c r="P242" i="20" s="1"/>
  <c r="P243" i="20" s="1"/>
  <c r="K284" i="20"/>
  <c r="K286" i="20" s="1"/>
  <c r="K287" i="20" s="1"/>
  <c r="AC241" i="20"/>
  <c r="G306" i="20"/>
  <c r="G308" i="20" s="1"/>
  <c r="G309" i="20" s="1"/>
  <c r="AA307" i="20"/>
  <c r="R263" i="20"/>
  <c r="AA263" i="20"/>
  <c r="N241" i="20"/>
  <c r="E307" i="20"/>
  <c r="R285" i="20"/>
  <c r="H263" i="20"/>
  <c r="AA284" i="20"/>
  <c r="AA286" i="20" s="1"/>
  <c r="AA287" i="20" s="1"/>
  <c r="E240" i="20"/>
  <c r="E242" i="20" s="1"/>
  <c r="E243" i="20" s="1"/>
  <c r="Q284" i="20"/>
  <c r="Q286" i="20" s="1"/>
  <c r="Q287" i="20" s="1"/>
  <c r="N263" i="20"/>
  <c r="Q240" i="20"/>
  <c r="Q242" i="20" s="1"/>
  <c r="Q243" i="20" s="1"/>
  <c r="V240" i="20"/>
  <c r="V242" i="20" s="1"/>
  <c r="V243" i="20" s="1"/>
  <c r="Q306" i="20"/>
  <c r="Q308" i="20" s="1"/>
  <c r="Q309" i="20" s="1"/>
  <c r="P241" i="20"/>
  <c r="K262" i="20"/>
  <c r="K264" i="20" s="1"/>
  <c r="K265" i="20" s="1"/>
  <c r="AC306" i="20"/>
  <c r="AC308" i="20" s="1"/>
  <c r="AC309" i="20" s="1"/>
  <c r="D263" i="20"/>
  <c r="S307" i="20"/>
  <c r="R262" i="20"/>
  <c r="R264" i="20" s="1"/>
  <c r="R265" i="20" s="1"/>
  <c r="I285" i="20"/>
  <c r="L307" i="20"/>
  <c r="L241" i="20"/>
  <c r="U241" i="20"/>
  <c r="U307" i="20"/>
  <c r="L285" i="20"/>
  <c r="Y241" i="20"/>
  <c r="K263" i="20"/>
  <c r="R306" i="20"/>
  <c r="R308" i="20" s="1"/>
  <c r="R309" i="20" s="1"/>
  <c r="G307" i="20"/>
  <c r="X307" i="20"/>
  <c r="I306" i="20"/>
  <c r="I308" i="20" s="1"/>
  <c r="I309" i="20" s="1"/>
  <c r="V284" i="20"/>
  <c r="V286" i="20" s="1"/>
  <c r="V287" i="20" s="1"/>
  <c r="Y284" i="20"/>
  <c r="Y286" i="20" s="1"/>
  <c r="Y287" i="20" s="1"/>
  <c r="D240" i="20"/>
  <c r="D242" i="20" s="1"/>
  <c r="D243" i="20" s="1"/>
  <c r="Q241" i="20"/>
  <c r="K285" i="20"/>
  <c r="AA241" i="20"/>
  <c r="I307" i="20"/>
  <c r="V285" i="20"/>
  <c r="L263" i="20"/>
  <c r="G285" i="20"/>
  <c r="I240" i="20"/>
  <c r="I242" i="20" s="1"/>
  <c r="I243" i="20" s="1"/>
  <c r="G241" i="20"/>
  <c r="AB284" i="20"/>
  <c r="AB286" i="20" s="1"/>
  <c r="AB287" i="20" s="1"/>
  <c r="F240" i="20"/>
  <c r="F242" i="20" s="1"/>
  <c r="F243" i="20" s="1"/>
  <c r="AD263" i="20"/>
  <c r="Z262" i="20"/>
  <c r="Z264" i="20" s="1"/>
  <c r="Z265" i="20" s="1"/>
  <c r="V306" i="20"/>
  <c r="V308" i="20" s="1"/>
  <c r="V309" i="20" s="1"/>
  <c r="O284" i="20"/>
  <c r="O286" i="20" s="1"/>
  <c r="O287" i="20" s="1"/>
  <c r="O240" i="20"/>
  <c r="O242" i="20" s="1"/>
  <c r="O243" i="20" s="1"/>
  <c r="X285" i="20"/>
  <c r="X263" i="20"/>
  <c r="J240" i="20"/>
  <c r="J242" i="20" s="1"/>
  <c r="J243" i="20" s="1"/>
  <c r="I262" i="20"/>
  <c r="I264" i="20" s="1"/>
  <c r="I265" i="20" s="1"/>
  <c r="M306" i="20"/>
  <c r="M308" i="20" s="1"/>
  <c r="M309" i="20" s="1"/>
  <c r="P262" i="20"/>
  <c r="P264" i="20" s="1"/>
  <c r="P265" i="20" s="1"/>
  <c r="G240" i="20"/>
  <c r="G242" i="20" s="1"/>
  <c r="G243" i="20" s="1"/>
  <c r="J263" i="20"/>
  <c r="AB241" i="20"/>
  <c r="W262" i="20"/>
  <c r="W264" i="20" s="1"/>
  <c r="W265" i="20" s="1"/>
  <c r="M307" i="20"/>
  <c r="E285" i="20"/>
  <c r="Z285" i="20"/>
  <c r="D307" i="20"/>
  <c r="P263" i="20"/>
  <c r="H241" i="20"/>
  <c r="O285" i="20"/>
  <c r="U262" i="20"/>
  <c r="U264" i="20" s="1"/>
  <c r="U265" i="20" s="1"/>
  <c r="M240" i="20"/>
  <c r="M242" i="20" s="1"/>
  <c r="M243" i="20" s="1"/>
  <c r="O241" i="20"/>
  <c r="H285" i="20"/>
  <c r="N240" i="20"/>
  <c r="N242" i="20" s="1"/>
  <c r="N243" i="20" s="1"/>
  <c r="W284" i="20"/>
  <c r="W286" i="20" s="1"/>
  <c r="W287" i="20" s="1"/>
  <c r="F263" i="20"/>
  <c r="E306" i="20"/>
  <c r="E308" i="20" s="1"/>
  <c r="E309" i="20" s="1"/>
  <c r="Z306" i="20"/>
  <c r="Z308" i="20" s="1"/>
  <c r="Z309" i="20" s="1"/>
  <c r="R284" i="20"/>
  <c r="R286" i="20" s="1"/>
  <c r="R287" i="20" s="1"/>
  <c r="T284" i="20"/>
  <c r="T286" i="20" s="1"/>
  <c r="T287" i="20" s="1"/>
  <c r="H262" i="20"/>
  <c r="H264" i="20" s="1"/>
  <c r="H265" i="20" s="1"/>
  <c r="W307" i="20"/>
  <c r="U263" i="20"/>
  <c r="M241" i="20"/>
  <c r="W263" i="20"/>
  <c r="AC284" i="20"/>
  <c r="AC286" i="20" s="1"/>
  <c r="AC287" i="20" s="1"/>
  <c r="N262" i="20"/>
  <c r="N264" i="20" s="1"/>
  <c r="N265" i="20" s="1"/>
  <c r="K241" i="20"/>
  <c r="P285" i="20"/>
  <c r="AC285" i="20"/>
  <c r="N284" i="20"/>
  <c r="N286" i="20" s="1"/>
  <c r="N287" i="20" s="1"/>
  <c r="D262" i="20"/>
  <c r="D264" i="20" s="1"/>
  <c r="D265" i="20" s="1"/>
  <c r="Q263" i="20"/>
  <c r="O263" i="20"/>
  <c r="F262" i="20"/>
  <c r="F264" i="20" s="1"/>
  <c r="F265" i="20" s="1"/>
  <c r="S263" i="20"/>
  <c r="W241" i="20"/>
  <c r="O262" i="20"/>
  <c r="O264" i="20" s="1"/>
  <c r="O265" i="20" s="1"/>
  <c r="F306" i="20"/>
  <c r="F308" i="20" s="1"/>
  <c r="F309" i="20" s="1"/>
  <c r="K306" i="20"/>
  <c r="K308" i="20" s="1"/>
  <c r="K309" i="20" s="1"/>
  <c r="L306" i="20"/>
  <c r="L308" i="20" s="1"/>
  <c r="L309" i="20" s="1"/>
  <c r="V307" i="20"/>
  <c r="X240" i="20"/>
  <c r="X242" i="20" s="1"/>
  <c r="X243" i="20" s="1"/>
  <c r="S240" i="20"/>
  <c r="S242" i="20" s="1"/>
  <c r="S243" i="20" s="1"/>
  <c r="Z240" i="20"/>
  <c r="Z242" i="20" s="1"/>
  <c r="Z243" i="20" s="1"/>
  <c r="F307" i="20"/>
  <c r="D285" i="20"/>
  <c r="H240" i="20"/>
  <c r="H242" i="20" s="1"/>
  <c r="H243" i="20" s="1"/>
  <c r="X284" i="20"/>
  <c r="X286" i="20" s="1"/>
  <c r="X287" i="20" s="1"/>
  <c r="M285" i="20"/>
  <c r="T262" i="20"/>
  <c r="T264" i="20" s="1"/>
  <c r="T265" i="20" s="1"/>
  <c r="S285" i="20"/>
  <c r="R240" i="20"/>
  <c r="R242" i="20" s="1"/>
  <c r="R243" i="20" s="1"/>
  <c r="J284" i="20"/>
  <c r="J286" i="20" s="1"/>
  <c r="J287" i="20" s="1"/>
  <c r="M263" i="20"/>
  <c r="Z241" i="20"/>
  <c r="AD306" i="20"/>
  <c r="AD308" i="20" s="1"/>
  <c r="AD309" i="20" s="1"/>
  <c r="L262" i="20"/>
  <c r="L264" i="20" s="1"/>
  <c r="L265" i="20" s="1"/>
  <c r="Y263" i="20"/>
  <c r="M284" i="20"/>
  <c r="M286" i="20" s="1"/>
  <c r="M287" i="20" s="1"/>
  <c r="V262" i="20"/>
  <c r="V264" i="20" s="1"/>
  <c r="V265" i="20" s="1"/>
  <c r="T306" i="20"/>
  <c r="T308" i="20" s="1"/>
  <c r="T309" i="20" s="1"/>
  <c r="AD307" i="20"/>
  <c r="X306" i="20"/>
  <c r="X308" i="20" s="1"/>
  <c r="X309" i="20" s="1"/>
  <c r="D241" i="20"/>
  <c r="Q262" i="20"/>
  <c r="Q264" i="20" s="1"/>
  <c r="Q265" i="20" s="1"/>
  <c r="O307" i="20"/>
  <c r="I241" i="20"/>
  <c r="H284" i="20"/>
  <c r="H286" i="20" s="1"/>
  <c r="H287" i="20" s="1"/>
  <c r="AC263" i="20"/>
  <c r="P307" i="20"/>
  <c r="U240" i="20"/>
  <c r="U242" i="20" s="1"/>
  <c r="U243" i="20" s="1"/>
  <c r="H306" i="20"/>
  <c r="H308" i="20" s="1"/>
  <c r="H309" i="20" s="1"/>
  <c r="S284" i="20"/>
  <c r="S286" i="20" s="1"/>
  <c r="S287" i="20" s="1"/>
  <c r="Z284" i="20"/>
  <c r="Z286" i="20" s="1"/>
  <c r="Z287" i="20" s="1"/>
  <c r="Y262" i="20"/>
  <c r="Y264" i="20" s="1"/>
  <c r="Y265" i="20" s="1"/>
  <c r="AD284" i="20"/>
  <c r="AD286" i="20" s="1"/>
  <c r="AD287" i="20" s="1"/>
  <c r="E284" i="20"/>
  <c r="E286" i="20" s="1"/>
  <c r="E287" i="20" s="1"/>
  <c r="Y285" i="20"/>
  <c r="G263" i="20"/>
  <c r="J285" i="20"/>
  <c r="P284" i="20"/>
  <c r="P286" i="20" s="1"/>
  <c r="P287" i="20" s="1"/>
  <c r="Z263" i="20"/>
  <c r="Q285" i="20"/>
  <c r="T241" i="20"/>
  <c r="S262" i="20"/>
  <c r="S264" i="20" s="1"/>
  <c r="S265" i="20" s="1"/>
  <c r="S241" i="20"/>
  <c r="M262" i="20"/>
  <c r="M264" i="20" s="1"/>
  <c r="M265" i="20" s="1"/>
  <c r="O306" i="20"/>
  <c r="O308" i="20" s="1"/>
  <c r="O309" i="20" s="1"/>
  <c r="AD240" i="20"/>
  <c r="AD242" i="20" s="1"/>
  <c r="AD243" i="20" s="1"/>
  <c r="Q307" i="20"/>
  <c r="AD262" i="20"/>
  <c r="AD264" i="20" s="1"/>
  <c r="AD265" i="20" s="1"/>
  <c r="W240" i="20"/>
  <c r="W242" i="20" s="1"/>
  <c r="W243" i="20" s="1"/>
  <c r="T240" i="20"/>
  <c r="T242" i="20" s="1"/>
  <c r="T243" i="20" s="1"/>
  <c r="Y307" i="20"/>
  <c r="Y240" i="20"/>
  <c r="Y242" i="20" s="1"/>
  <c r="Y243" i="20" s="1"/>
  <c r="AB240" i="20"/>
  <c r="AB242" i="20" s="1"/>
  <c r="AB243" i="20" s="1"/>
  <c r="AC262" i="20"/>
  <c r="AC264" i="20" s="1"/>
  <c r="AC265" i="20" s="1"/>
  <c r="W285" i="20"/>
  <c r="V263" i="20"/>
  <c r="AB262" i="20"/>
  <c r="AB264" i="20" s="1"/>
  <c r="AB265" i="20" s="1"/>
  <c r="AD241" i="20"/>
  <c r="E263" i="20"/>
  <c r="P306" i="20"/>
  <c r="P308" i="20" s="1"/>
  <c r="P309" i="20" s="1"/>
  <c r="U284" i="20"/>
  <c r="U286" i="20" s="1"/>
  <c r="U287" i="20" s="1"/>
  <c r="L240" i="20"/>
  <c r="L242" i="20" s="1"/>
  <c r="L243" i="20" s="1"/>
  <c r="AB285" i="20"/>
  <c r="E262" i="20"/>
  <c r="E264" i="20" s="1"/>
  <c r="E265" i="20" s="1"/>
  <c r="L284" i="20"/>
  <c r="L286" i="20" s="1"/>
  <c r="L287" i="20" s="1"/>
  <c r="J306" i="20"/>
  <c r="J308" i="20" s="1"/>
  <c r="J309" i="20" s="1"/>
  <c r="S306" i="20"/>
  <c r="S308" i="20" s="1"/>
  <c r="S309" i="20" s="1"/>
  <c r="AB306" i="20"/>
  <c r="AB308" i="20" s="1"/>
  <c r="AB309" i="20" s="1"/>
  <c r="Z307" i="20"/>
  <c r="AA240" i="20"/>
  <c r="AA242" i="20" s="1"/>
  <c r="AA243" i="20" s="1"/>
  <c r="D306" i="20"/>
  <c r="D308" i="20" s="1"/>
  <c r="D309" i="20" s="1"/>
  <c r="N285" i="20"/>
  <c r="AD285" i="20"/>
  <c r="J307" i="20"/>
  <c r="I284" i="20"/>
  <c r="I286" i="20" s="1"/>
  <c r="I287" i="20" s="1"/>
  <c r="R307" i="20"/>
  <c r="K240" i="20"/>
  <c r="K242" i="20" s="1"/>
  <c r="K243" i="20" s="1"/>
  <c r="AB263" i="20"/>
  <c r="F241" i="20"/>
  <c r="V241" i="20"/>
  <c r="G284" i="20"/>
  <c r="G286" i="20" s="1"/>
  <c r="G287" i="20" s="1"/>
  <c r="K307" i="20"/>
  <c r="Y306" i="20"/>
  <c r="Y308" i="20" s="1"/>
  <c r="Y309" i="20" s="1"/>
  <c r="W306" i="20"/>
  <c r="W308" i="20" s="1"/>
  <c r="W309" i="20" s="1"/>
  <c r="AB307" i="20"/>
  <c r="J241" i="20"/>
  <c r="AA285" i="20"/>
  <c r="T307" i="20"/>
  <c r="T263" i="20"/>
  <c r="E241" i="20"/>
  <c r="BW517" i="20"/>
  <c r="CL472" i="20"/>
  <c r="CD472" i="20"/>
  <c r="BY473" i="20"/>
  <c r="CK516" i="20"/>
  <c r="CK518" i="20" s="1"/>
  <c r="CK519" i="20" s="1"/>
  <c r="CI472" i="20"/>
  <c r="CI517" i="20"/>
  <c r="BV494" i="20"/>
  <c r="BV496" i="20" s="1"/>
  <c r="BV497" i="20" s="1"/>
  <c r="BP494" i="20"/>
  <c r="BP496" i="20" s="1"/>
  <c r="BP497" i="20" s="1"/>
  <c r="CF517" i="20"/>
  <c r="CG472" i="20"/>
  <c r="CA494" i="20"/>
  <c r="CA496" i="20" s="1"/>
  <c r="CA497" i="20" s="1"/>
  <c r="BR517" i="20"/>
  <c r="BL538" i="20"/>
  <c r="BL540" i="20" s="1"/>
  <c r="BL541" i="20" s="1"/>
  <c r="BZ473" i="20"/>
  <c r="CE495" i="20"/>
  <c r="BN516" i="20"/>
  <c r="BN518" i="20" s="1"/>
  <c r="BN519" i="20" s="1"/>
  <c r="BV473" i="20"/>
  <c r="CC516" i="20"/>
  <c r="CC518" i="20" s="1"/>
  <c r="CC519" i="20" s="1"/>
  <c r="BU495" i="20"/>
  <c r="BL517" i="20"/>
  <c r="CL494" i="20"/>
  <c r="CL496" i="20" s="1"/>
  <c r="CL497" i="20" s="1"/>
  <c r="BU473" i="20"/>
  <c r="BT494" i="20"/>
  <c r="BT496" i="20" s="1"/>
  <c r="BT497" i="20" s="1"/>
  <c r="CK494" i="20"/>
  <c r="CK496" i="20" s="1"/>
  <c r="CK497" i="20" s="1"/>
  <c r="CL539" i="20"/>
  <c r="CD473" i="20"/>
  <c r="BT517" i="20"/>
  <c r="CE516" i="20"/>
  <c r="CE518" i="20" s="1"/>
  <c r="CE519" i="20" s="1"/>
  <c r="BX472" i="20"/>
  <c r="BU538" i="20"/>
  <c r="BU540" i="20" s="1"/>
  <c r="BU541" i="20" s="1"/>
  <c r="BU494" i="20"/>
  <c r="BU496" i="20" s="1"/>
  <c r="BU497" i="20" s="1"/>
  <c r="BS495" i="20"/>
  <c r="BZ538" i="20"/>
  <c r="BZ540" i="20" s="1"/>
  <c r="BZ541" i="20" s="1"/>
  <c r="BP472" i="20"/>
  <c r="BU516" i="20"/>
  <c r="BU518" i="20" s="1"/>
  <c r="BU519" i="20" s="1"/>
  <c r="CB538" i="20"/>
  <c r="CB540" i="20" s="1"/>
  <c r="CB541" i="20" s="1"/>
  <c r="CC472" i="20"/>
  <c r="BP517" i="20"/>
  <c r="BQ517" i="20"/>
  <c r="BX494" i="20"/>
  <c r="BX496" i="20" s="1"/>
  <c r="BX497" i="20" s="1"/>
  <c r="CJ516" i="20"/>
  <c r="CJ518" i="20" s="1"/>
  <c r="CJ519" i="20" s="1"/>
  <c r="BW473" i="20"/>
  <c r="CJ472" i="20"/>
  <c r="CJ494" i="20"/>
  <c r="CJ496" i="20" s="1"/>
  <c r="CJ497" i="20" s="1"/>
  <c r="CE473" i="20"/>
  <c r="BM516" i="20"/>
  <c r="BM518" i="20" s="1"/>
  <c r="BM519" i="20" s="1"/>
  <c r="CI539" i="20"/>
  <c r="BR495" i="20"/>
  <c r="CJ538" i="20"/>
  <c r="CJ540" i="20" s="1"/>
  <c r="CJ541" i="20" s="1"/>
  <c r="CK517" i="20"/>
  <c r="BV472" i="20"/>
  <c r="BS472" i="20"/>
  <c r="BP495" i="20"/>
  <c r="CA539" i="20"/>
  <c r="BY472" i="20"/>
  <c r="BT473" i="20"/>
  <c r="BP473" i="20"/>
  <c r="BW516" i="20"/>
  <c r="BW518" i="20" s="1"/>
  <c r="BW519" i="20" s="1"/>
  <c r="CF539" i="20"/>
  <c r="CB472" i="20"/>
  <c r="BZ472" i="20"/>
  <c r="BO472" i="20"/>
  <c r="CL516" i="20"/>
  <c r="CL518" i="20" s="1"/>
  <c r="CL519" i="20" s="1"/>
  <c r="BO517" i="20"/>
  <c r="CH473" i="20"/>
  <c r="BQ539" i="20"/>
  <c r="BM517" i="20"/>
  <c r="CC517" i="20"/>
  <c r="CA516" i="20"/>
  <c r="CA518" i="20" s="1"/>
  <c r="CA519" i="20" s="1"/>
  <c r="BZ539" i="20"/>
  <c r="CB539" i="20"/>
  <c r="BO494" i="20"/>
  <c r="BO496" i="20" s="1"/>
  <c r="BO497" i="20" s="1"/>
  <c r="BX539" i="20"/>
  <c r="CI473" i="20"/>
  <c r="CI538" i="20"/>
  <c r="CI540" i="20" s="1"/>
  <c r="CI541" i="20" s="1"/>
  <c r="CC494" i="20"/>
  <c r="CC496" i="20" s="1"/>
  <c r="CC497" i="20" s="1"/>
  <c r="BM495" i="20"/>
  <c r="BN539" i="20"/>
  <c r="BY539" i="20"/>
  <c r="CK538" i="20"/>
  <c r="CK540" i="20" s="1"/>
  <c r="CK541" i="20" s="1"/>
  <c r="BS494" i="20"/>
  <c r="BS496" i="20" s="1"/>
  <c r="BS497" i="20" s="1"/>
  <c r="BS539" i="20"/>
  <c r="BV495" i="20"/>
  <c r="CF494" i="20"/>
  <c r="CF496" i="20" s="1"/>
  <c r="CF497" i="20" s="1"/>
  <c r="BT538" i="20"/>
  <c r="BT540" i="20" s="1"/>
  <c r="BT541" i="20" s="1"/>
  <c r="CG495" i="20"/>
  <c r="BT472" i="20"/>
  <c r="BM538" i="20"/>
  <c r="BM540" i="20" s="1"/>
  <c r="BM541" i="20" s="1"/>
  <c r="CK473" i="20"/>
  <c r="BN538" i="20"/>
  <c r="BN540" i="20" s="1"/>
  <c r="BN541" i="20" s="1"/>
  <c r="BM473" i="20"/>
  <c r="CC495" i="20"/>
  <c r="BO539" i="20"/>
  <c r="CF495" i="20"/>
  <c r="CC473" i="20"/>
  <c r="CD495" i="20"/>
  <c r="BL516" i="20"/>
  <c r="BL518" i="20" s="1"/>
  <c r="BL519" i="20" s="1"/>
  <c r="BM539" i="20"/>
  <c r="BL473" i="20"/>
  <c r="CL473" i="20"/>
  <c r="BN517" i="20"/>
  <c r="CE538" i="20"/>
  <c r="CE540" i="20" s="1"/>
  <c r="CE541" i="20" s="1"/>
  <c r="BR539" i="20"/>
  <c r="CH516" i="20"/>
  <c r="CH518" i="20" s="1"/>
  <c r="CH519" i="20" s="1"/>
  <c r="CH517" i="20"/>
  <c r="BU539" i="20"/>
  <c r="CA473" i="20"/>
  <c r="CJ517" i="20"/>
  <c r="BY494" i="20"/>
  <c r="BY496" i="20" s="1"/>
  <c r="BY497" i="20" s="1"/>
  <c r="BY517" i="20"/>
  <c r="BR494" i="20"/>
  <c r="BR496" i="20" s="1"/>
  <c r="BR497" i="20" s="1"/>
  <c r="BU517" i="20"/>
  <c r="BY538" i="20"/>
  <c r="BY540" i="20" s="1"/>
  <c r="BY541" i="20" s="1"/>
  <c r="CJ539" i="20"/>
  <c r="CH495" i="20"/>
  <c r="CH494" i="20"/>
  <c r="CH496" i="20" s="1"/>
  <c r="CH497" i="20" s="1"/>
  <c r="BR472" i="20"/>
  <c r="BQ472" i="20"/>
  <c r="BP539" i="20"/>
  <c r="CF472" i="20"/>
  <c r="CF516" i="20"/>
  <c r="CF518" i="20" s="1"/>
  <c r="CF519" i="20" s="1"/>
  <c r="BW495" i="20"/>
  <c r="CK472" i="20"/>
  <c r="BV538" i="20"/>
  <c r="BV540" i="20" s="1"/>
  <c r="BV541" i="20" s="1"/>
  <c r="CI494" i="20"/>
  <c r="CI496" i="20" s="1"/>
  <c r="CI497" i="20" s="1"/>
  <c r="CG516" i="20"/>
  <c r="CG518" i="20" s="1"/>
  <c r="CG519" i="20" s="1"/>
  <c r="BN473" i="20"/>
  <c r="BU472" i="20"/>
  <c r="BN472" i="20"/>
  <c r="CJ495" i="20"/>
  <c r="BW472" i="20"/>
  <c r="BT495" i="20"/>
  <c r="BW539" i="20"/>
  <c r="BS516" i="20"/>
  <c r="BS518" i="20" s="1"/>
  <c r="BS519" i="20" s="1"/>
  <c r="CC539" i="20"/>
  <c r="BQ473" i="20"/>
  <c r="BN494" i="20"/>
  <c r="BN496" i="20" s="1"/>
  <c r="BN497" i="20" s="1"/>
  <c r="BQ516" i="20"/>
  <c r="BQ518" i="20" s="1"/>
  <c r="BQ519" i="20" s="1"/>
  <c r="BZ495" i="20"/>
  <c r="CB495" i="20"/>
  <c r="CF473" i="20"/>
  <c r="CE517" i="20"/>
  <c r="CL517" i="20"/>
  <c r="BM494" i="20"/>
  <c r="BM496" i="20" s="1"/>
  <c r="BM497" i="20" s="1"/>
  <c r="BW538" i="20"/>
  <c r="BW540" i="20" s="1"/>
  <c r="BW541" i="20" s="1"/>
  <c r="CF538" i="20"/>
  <c r="CF540" i="20" s="1"/>
  <c r="CF541" i="20" s="1"/>
  <c r="BP516" i="20"/>
  <c r="BP518" i="20" s="1"/>
  <c r="BP519" i="20" s="1"/>
  <c r="BR538" i="20"/>
  <c r="BR540" i="20" s="1"/>
  <c r="BR541" i="20" s="1"/>
  <c r="BV516" i="20"/>
  <c r="BV518" i="20" s="1"/>
  <c r="BV519" i="20" s="1"/>
  <c r="CG539" i="20"/>
  <c r="CD516" i="20"/>
  <c r="CD518" i="20" s="1"/>
  <c r="CD519" i="20" s="1"/>
  <c r="CK495" i="20"/>
  <c r="BS517" i="20"/>
  <c r="BO516" i="20"/>
  <c r="BO518" i="20" s="1"/>
  <c r="BO519" i="20" s="1"/>
  <c r="CH538" i="20"/>
  <c r="CH540" i="20" s="1"/>
  <c r="CH541" i="20" s="1"/>
  <c r="CA517" i="20"/>
  <c r="CB516" i="20"/>
  <c r="CB518" i="20" s="1"/>
  <c r="CB519" i="20" s="1"/>
  <c r="BM472" i="20"/>
  <c r="CD517" i="20"/>
  <c r="CH539" i="20"/>
  <c r="BO495" i="20"/>
  <c r="CK539" i="20"/>
  <c r="CG538" i="20"/>
  <c r="CG540" i="20" s="1"/>
  <c r="CG541" i="20" s="1"/>
  <c r="BV539" i="20"/>
  <c r="CE494" i="20"/>
  <c r="CE496" i="20" s="1"/>
  <c r="CE497" i="20" s="1"/>
  <c r="CE539" i="20"/>
  <c r="BL494" i="20"/>
  <c r="BL496" i="20" s="1"/>
  <c r="BL497" i="20" s="1"/>
  <c r="CD539" i="20"/>
  <c r="BR473" i="20"/>
  <c r="CB473" i="20"/>
  <c r="BX473" i="20"/>
  <c r="BV517" i="20"/>
  <c r="BX495" i="20"/>
  <c r="BO538" i="20"/>
  <c r="BO540" i="20" s="1"/>
  <c r="BO541" i="20" s="1"/>
  <c r="CG473" i="20"/>
  <c r="CL538" i="20"/>
  <c r="CL540" i="20" s="1"/>
  <c r="CL541" i="20" s="1"/>
  <c r="BN495" i="20"/>
  <c r="BP538" i="20"/>
  <c r="BP540" i="20" s="1"/>
  <c r="BP541" i="20" s="1"/>
  <c r="BZ516" i="20"/>
  <c r="BZ518" i="20" s="1"/>
  <c r="BZ519" i="20" s="1"/>
  <c r="CG517" i="20"/>
  <c r="BY516" i="20"/>
  <c r="BY518" i="20" s="1"/>
  <c r="BY519" i="20" s="1"/>
  <c r="BX538" i="20"/>
  <c r="BX540" i="20" s="1"/>
  <c r="BX541" i="20" s="1"/>
  <c r="BT516" i="20"/>
  <c r="BT518" i="20" s="1"/>
  <c r="BT519" i="20" s="1"/>
  <c r="CA495" i="20"/>
  <c r="CA538" i="20"/>
  <c r="CA540" i="20" s="1"/>
  <c r="CA541" i="20" s="1"/>
  <c r="CI495" i="20"/>
  <c r="BS473" i="20"/>
  <c r="BL472" i="20"/>
  <c r="BQ494" i="20"/>
  <c r="BQ496" i="20" s="1"/>
  <c r="BQ497" i="20" s="1"/>
  <c r="BZ517" i="20"/>
  <c r="CB517" i="20"/>
  <c r="BZ494" i="20"/>
  <c r="BZ496" i="20" s="1"/>
  <c r="BZ497" i="20" s="1"/>
  <c r="BQ495" i="20"/>
  <c r="BO473" i="20"/>
  <c r="CE472" i="20"/>
  <c r="CB494" i="20"/>
  <c r="CB496" i="20" s="1"/>
  <c r="CB497" i="20" s="1"/>
  <c r="BQ538" i="20"/>
  <c r="BQ540" i="20" s="1"/>
  <c r="BQ541" i="20" s="1"/>
  <c r="CH472" i="20"/>
  <c r="BR516" i="20"/>
  <c r="BR518" i="20" s="1"/>
  <c r="BR519" i="20" s="1"/>
  <c r="CD538" i="20"/>
  <c r="CD540" i="20" s="1"/>
  <c r="CD541" i="20" s="1"/>
  <c r="BX517" i="20"/>
  <c r="CD494" i="20"/>
  <c r="CD496" i="20" s="1"/>
  <c r="CD497" i="20" s="1"/>
  <c r="CC538" i="20"/>
  <c r="CC540" i="20" s="1"/>
  <c r="CC541" i="20" s="1"/>
  <c r="BY495" i="20"/>
  <c r="CI516" i="20"/>
  <c r="CI518" i="20" s="1"/>
  <c r="CI519" i="20" s="1"/>
  <c r="CL495" i="20"/>
  <c r="BX516" i="20"/>
  <c r="BX518" i="20" s="1"/>
  <c r="BX519" i="20" s="1"/>
  <c r="BL539" i="20"/>
  <c r="CG494" i="20"/>
  <c r="CG496" i="20" s="1"/>
  <c r="CG497" i="20" s="1"/>
  <c r="CA472" i="20"/>
  <c r="BL495" i="20"/>
  <c r="BT539" i="20"/>
  <c r="BW494" i="20"/>
  <c r="BW496" i="20" s="1"/>
  <c r="BW497" i="20" s="1"/>
  <c r="CJ473" i="20"/>
  <c r="BS538" i="20"/>
  <c r="BS540" i="20" s="1"/>
  <c r="BS541" i="20" s="1"/>
  <c r="BY474" i="20" l="1"/>
  <c r="BY475" i="20" s="1"/>
  <c r="E474" i="20"/>
  <c r="E475" i="20" s="1"/>
  <c r="D109" i="13"/>
  <c r="M109" i="13" s="1"/>
  <c r="L109" i="13" s="1"/>
  <c r="AW18" i="11"/>
  <c r="T178" i="21"/>
  <c r="AA178" i="21"/>
  <c r="K37" i="6"/>
  <c r="G119" i="11" s="1"/>
  <c r="T50" i="7" s="1"/>
  <c r="T146" i="5"/>
  <c r="J141" i="5" s="1"/>
  <c r="D51" i="11" s="1"/>
  <c r="C84" i="13" s="1"/>
  <c r="L56" i="6"/>
  <c r="S56" i="6" s="1"/>
  <c r="D123" i="11"/>
  <c r="B308" i="5" s="1"/>
  <c r="AK68" i="21"/>
  <c r="AC56" i="11"/>
  <c r="D128" i="13"/>
  <c r="G128" i="13" s="1"/>
  <c r="F191" i="13" s="1"/>
  <c r="D119" i="13"/>
  <c r="M124" i="13" s="1"/>
  <c r="L12" i="11"/>
  <c r="M120" i="13"/>
  <c r="N120" i="13" s="1"/>
  <c r="AQ67" i="21"/>
  <c r="R55" i="6" s="1"/>
  <c r="O47" i="6"/>
  <c r="S47" i="6" s="1"/>
  <c r="P54" i="6"/>
  <c r="N47" i="6"/>
  <c r="S45" i="6" s="1"/>
  <c r="Q54" i="6"/>
  <c r="Q47" i="6"/>
  <c r="S48" i="6" s="1"/>
  <c r="K89" i="13" s="1"/>
  <c r="O54" i="6"/>
  <c r="N54" i="6"/>
  <c r="P47" i="6"/>
  <c r="S49" i="6" s="1"/>
  <c r="CA474" i="20"/>
  <c r="CA475" i="20" s="1"/>
  <c r="BM474" i="20"/>
  <c r="BM475" i="20" s="1"/>
  <c r="AD474" i="20"/>
  <c r="AD475" i="20" s="1"/>
  <c r="BL474" i="20"/>
  <c r="BL475" i="20" s="1"/>
  <c r="BN474" i="20"/>
  <c r="BN475" i="20" s="1"/>
  <c r="BZ474" i="20"/>
  <c r="BZ475" i="20" s="1"/>
  <c r="CC474" i="20"/>
  <c r="CC475" i="20" s="1"/>
  <c r="BX474" i="20"/>
  <c r="BX475" i="20" s="1"/>
  <c r="CI474" i="20"/>
  <c r="CI475" i="20" s="1"/>
  <c r="N474" i="20"/>
  <c r="N475" i="20" s="1"/>
  <c r="L474" i="20"/>
  <c r="L475" i="20" s="1"/>
  <c r="BU474" i="20"/>
  <c r="BU475" i="20" s="1"/>
  <c r="CF474" i="20"/>
  <c r="CF475" i="20" s="1"/>
  <c r="CB474" i="20"/>
  <c r="CB475" i="20" s="1"/>
  <c r="BS474" i="20"/>
  <c r="BS475" i="20" s="1"/>
  <c r="Q474" i="20"/>
  <c r="Q475" i="20" s="1"/>
  <c r="J474" i="20"/>
  <c r="J475" i="20" s="1"/>
  <c r="F474" i="20"/>
  <c r="F475" i="20" s="1"/>
  <c r="BW474" i="20"/>
  <c r="BW475" i="20" s="1"/>
  <c r="Y474" i="20"/>
  <c r="Y475" i="20" s="1"/>
  <c r="S474" i="20"/>
  <c r="S475" i="20" s="1"/>
  <c r="BR474" i="20"/>
  <c r="BR475" i="20" s="1"/>
  <c r="CL474" i="20"/>
  <c r="CL475" i="20" s="1"/>
  <c r="Z474" i="20"/>
  <c r="Z475" i="20" s="1"/>
  <c r="CE474" i="20"/>
  <c r="CE475" i="20" s="1"/>
  <c r="CK474" i="20"/>
  <c r="CK475" i="20" s="1"/>
  <c r="BT474" i="20"/>
  <c r="BT475" i="20" s="1"/>
  <c r="BV474" i="20"/>
  <c r="BV475" i="20" s="1"/>
  <c r="CJ474" i="20"/>
  <c r="CJ475" i="20" s="1"/>
  <c r="K474" i="20"/>
  <c r="K475" i="20" s="1"/>
  <c r="AB474" i="20"/>
  <c r="AB475" i="20" s="1"/>
  <c r="T474" i="20"/>
  <c r="T475" i="20" s="1"/>
  <c r="I474" i="20"/>
  <c r="I475" i="20" s="1"/>
  <c r="G474" i="20"/>
  <c r="G475" i="20" s="1"/>
  <c r="AC474" i="20"/>
  <c r="AC475" i="20" s="1"/>
  <c r="P474" i="20"/>
  <c r="P475" i="20" s="1"/>
  <c r="R474" i="20"/>
  <c r="R475" i="20" s="1"/>
  <c r="U474" i="20"/>
  <c r="U475" i="20" s="1"/>
  <c r="CH474" i="20"/>
  <c r="CH475" i="20" s="1"/>
  <c r="BQ474" i="20"/>
  <c r="BQ475" i="20" s="1"/>
  <c r="BO474" i="20"/>
  <c r="BO475" i="20" s="1"/>
  <c r="BP474" i="20"/>
  <c r="BP475" i="20" s="1"/>
  <c r="CG474" i="20"/>
  <c r="CG475" i="20" s="1"/>
  <c r="CD474" i="20"/>
  <c r="CD475" i="20" s="1"/>
  <c r="H474" i="20"/>
  <c r="H475" i="20" s="1"/>
  <c r="O474" i="20"/>
  <c r="O475" i="20" s="1"/>
  <c r="M474" i="20"/>
  <c r="M475" i="20" s="1"/>
  <c r="AA474" i="20"/>
  <c r="AA475" i="20" s="1"/>
  <c r="X474" i="20"/>
  <c r="X475" i="20" s="1"/>
  <c r="W474" i="20"/>
  <c r="W475" i="20" s="1"/>
  <c r="I53" i="6" l="1"/>
  <c r="E89" i="13" s="1"/>
  <c r="G89" i="13" s="1"/>
  <c r="K178" i="21"/>
  <c r="C89" i="13"/>
  <c r="G21" i="11"/>
  <c r="I64" i="7"/>
  <c r="G23" i="11"/>
  <c r="L64" i="7"/>
  <c r="M64" i="7" s="1"/>
  <c r="I68" i="6"/>
  <c r="I71" i="6" s="1"/>
  <c r="I72" i="6" s="1"/>
  <c r="I73" i="6" s="1"/>
  <c r="AC63" i="6" s="1"/>
  <c r="AQ60" i="6" s="1"/>
  <c r="R29" i="11"/>
  <c r="L70" i="7"/>
  <c r="H145" i="5"/>
  <c r="S149" i="5" s="1"/>
  <c r="S150" i="5" s="1"/>
  <c r="R151" i="5"/>
  <c r="D16" i="10"/>
  <c r="D17" i="10" s="1"/>
  <c r="E84" i="13" s="1"/>
  <c r="G84" i="13" s="1"/>
  <c r="J263" i="5"/>
  <c r="P150" i="5"/>
  <c r="D127" i="11" s="1"/>
  <c r="B312" i="5" s="1"/>
  <c r="J161" i="5"/>
  <c r="Q151" i="5"/>
  <c r="Q152" i="5" s="1"/>
  <c r="B8" i="21"/>
  <c r="R54" i="6"/>
  <c r="M54" i="6"/>
  <c r="L54" i="6" s="1"/>
  <c r="S54" i="6" s="1"/>
  <c r="G29" i="11" l="1"/>
  <c r="L62" i="7"/>
  <c r="K63" i="7" s="1"/>
  <c r="AC66" i="6"/>
  <c r="AC65" i="6" s="1"/>
  <c r="AC68" i="6" s="1"/>
  <c r="C109" i="13"/>
  <c r="C128" i="13"/>
  <c r="AC57" i="11"/>
  <c r="AC59" i="11"/>
  <c r="W29" i="11"/>
  <c r="AC62" i="6"/>
  <c r="O77" i="6" s="1"/>
  <c r="O78" i="6" s="1"/>
  <c r="O87" i="6" s="1"/>
  <c r="T147" i="5"/>
  <c r="S148" i="5" s="1"/>
  <c r="T148" i="5" s="1"/>
  <c r="T150" i="5" s="1"/>
  <c r="J145" i="5" s="1"/>
  <c r="D18" i="10"/>
  <c r="K84" i="13" s="1"/>
  <c r="D28" i="10"/>
  <c r="AB59" i="10" s="1"/>
  <c r="AB60" i="10" s="1"/>
  <c r="R152" i="5"/>
  <c r="Q132" i="5" s="1"/>
  <c r="J132" i="5" s="1"/>
  <c r="D59" i="11" s="1"/>
  <c r="B24" i="21"/>
  <c r="AT19" i="21" s="1"/>
  <c r="N19" i="21"/>
  <c r="Q19" i="21" s="1"/>
  <c r="B16" i="21"/>
  <c r="AD19" i="21" s="1"/>
  <c r="AG19" i="21" s="1"/>
  <c r="D55" i="11" l="1"/>
  <c r="J165" i="5"/>
  <c r="J256" i="5" s="1"/>
  <c r="P151" i="5"/>
  <c r="D129" i="11" s="1"/>
  <c r="B314" i="5" s="1"/>
  <c r="P149" i="5"/>
  <c r="D125" i="11" s="1"/>
  <c r="B310" i="5" s="1"/>
  <c r="AI274" i="5"/>
  <c r="AI277" i="5" s="1"/>
  <c r="R216" i="5"/>
  <c r="S187" i="5"/>
  <c r="S189" i="5" s="1"/>
  <c r="R194" i="5"/>
  <c r="F237" i="5"/>
  <c r="J237" i="5" s="1"/>
  <c r="J239" i="5" s="1"/>
  <c r="F243" i="5" s="1"/>
  <c r="AB66" i="6"/>
  <c r="AB67" i="6" s="1"/>
  <c r="AB72" i="6" s="1"/>
  <c r="N87" i="6" s="1"/>
  <c r="P87" i="6" s="1"/>
  <c r="O80" i="6"/>
  <c r="O88" i="6" s="1"/>
  <c r="S251" i="5"/>
  <c r="S253" i="5" s="1"/>
  <c r="J255" i="5"/>
  <c r="S208" i="5"/>
  <c r="S210" i="5" s="1"/>
  <c r="H132" i="5"/>
  <c r="BP5" i="21"/>
  <c r="C119" i="13"/>
  <c r="X104" i="13" s="1"/>
  <c r="O85" i="6"/>
  <c r="R226" i="5"/>
  <c r="R184" i="5"/>
  <c r="C78" i="13"/>
  <c r="R174" i="5"/>
  <c r="J126" i="5"/>
  <c r="J182" i="5" s="1"/>
  <c r="J184" i="5" s="1"/>
  <c r="J186" i="5" s="1"/>
  <c r="J199" i="5" s="1"/>
  <c r="G204" i="5" s="1"/>
  <c r="J204" i="5" s="1"/>
  <c r="R238" i="5"/>
  <c r="R169" i="5"/>
  <c r="G203" i="5"/>
  <c r="J203" i="5" s="1"/>
  <c r="J266" i="5"/>
  <c r="AA59" i="10"/>
  <c r="AA60" i="10" s="1"/>
  <c r="Z59" i="10"/>
  <c r="AD59" i="10" s="1"/>
  <c r="D29" i="10" s="1"/>
  <c r="AE19" i="21"/>
  <c r="AF19" i="21" s="1"/>
  <c r="AE21" i="21" s="1"/>
  <c r="C16" i="21" s="1"/>
  <c r="T104" i="13" s="1"/>
  <c r="R248" i="5"/>
  <c r="J154" i="5"/>
  <c r="J274" i="5" s="1"/>
  <c r="L186" i="5"/>
  <c r="R205" i="5"/>
  <c r="S229" i="5"/>
  <c r="S231" i="5" s="1"/>
  <c r="O19" i="21"/>
  <c r="AU19" i="21"/>
  <c r="AV19" i="21" s="1"/>
  <c r="AW19" i="21"/>
  <c r="AC70" i="6"/>
  <c r="AC72" i="6"/>
  <c r="AC69" i="6"/>
  <c r="AC67" i="6"/>
  <c r="AC74" i="6"/>
  <c r="Z39" i="10" l="1"/>
  <c r="D53" i="11"/>
  <c r="C85" i="13" s="1"/>
  <c r="J190" i="5"/>
  <c r="J195" i="5"/>
  <c r="E247" i="5" s="1"/>
  <c r="G205" i="5"/>
  <c r="J205" i="5" s="1"/>
  <c r="J241" i="5" s="1"/>
  <c r="J243" i="5" s="1"/>
  <c r="H247" i="5" s="1"/>
  <c r="L190" i="5"/>
  <c r="AB68" i="6"/>
  <c r="N79" i="6" s="1"/>
  <c r="P79" i="6" s="1"/>
  <c r="AB70" i="6"/>
  <c r="N85" i="6" s="1"/>
  <c r="AB74" i="6"/>
  <c r="N81" i="6" s="1"/>
  <c r="P81" i="6" s="1"/>
  <c r="O86" i="6"/>
  <c r="N77" i="6"/>
  <c r="AB69" i="6"/>
  <c r="AB73" i="6" s="1"/>
  <c r="N78" i="6"/>
  <c r="P78" i="6" s="1"/>
  <c r="E217" i="5"/>
  <c r="I215" i="5" s="1"/>
  <c r="S197" i="5"/>
  <c r="S199" i="5" s="1"/>
  <c r="BP11" i="21"/>
  <c r="BO11" i="21"/>
  <c r="I78" i="13"/>
  <c r="Z60" i="10"/>
  <c r="AD60" i="10" s="1"/>
  <c r="D30" i="10"/>
  <c r="E85" i="13" s="1"/>
  <c r="G85" i="13" s="1"/>
  <c r="AF21" i="21"/>
  <c r="F16" i="21" s="1"/>
  <c r="V104" i="13" s="1"/>
  <c r="AH21" i="21"/>
  <c r="E16" i="21" s="1"/>
  <c r="S104" i="13" s="1"/>
  <c r="AI21" i="21"/>
  <c r="AH19" i="21"/>
  <c r="AG21" i="21"/>
  <c r="D16" i="21" s="1"/>
  <c r="R104" i="13" s="1"/>
  <c r="J157" i="5"/>
  <c r="J159" i="5" s="1"/>
  <c r="J170" i="5" s="1"/>
  <c r="J171" i="5" s="1"/>
  <c r="P19" i="21"/>
  <c r="O21" i="21" s="1"/>
  <c r="C8" i="21" s="1"/>
  <c r="P109" i="13" s="1"/>
  <c r="AU21" i="21"/>
  <c r="AC71" i="6"/>
  <c r="AC73" i="6"/>
  <c r="S171" i="5" l="1"/>
  <c r="S173" i="5" s="1"/>
  <c r="S241" i="5"/>
  <c r="S243" i="5" s="1"/>
  <c r="S177" i="5"/>
  <c r="S179" i="5" s="1"/>
  <c r="S219" i="5"/>
  <c r="S221" i="5" s="1"/>
  <c r="J259" i="5"/>
  <c r="L132" i="5"/>
  <c r="J207" i="5"/>
  <c r="F229" i="5" s="1"/>
  <c r="BQ11" i="21"/>
  <c r="Y104" i="13" s="1"/>
  <c r="AC60" i="10"/>
  <c r="AC59" i="10" s="1"/>
  <c r="O209" i="5"/>
  <c r="F244" i="5"/>
  <c r="O208" i="5"/>
  <c r="E221" i="5"/>
  <c r="J218" i="5" s="1"/>
  <c r="G218" i="5" s="1"/>
  <c r="P85" i="6"/>
  <c r="M85" i="6"/>
  <c r="AB71" i="6"/>
  <c r="N86" i="6" s="1"/>
  <c r="P86" i="6" s="1"/>
  <c r="N80" i="6"/>
  <c r="P80" i="6" s="1"/>
  <c r="N88" i="6"/>
  <c r="P88" i="6" s="1"/>
  <c r="D57" i="11"/>
  <c r="AI19" i="21"/>
  <c r="AD21" i="21" s="1"/>
  <c r="G16" i="21" s="1"/>
  <c r="U104" i="13" s="1"/>
  <c r="C217" i="5"/>
  <c r="H215" i="5" s="1"/>
  <c r="L170" i="5"/>
  <c r="J172" i="5" s="1"/>
  <c r="D60" i="11"/>
  <c r="D63" i="11" s="1"/>
  <c r="R19" i="21"/>
  <c r="P21" i="21"/>
  <c r="F8" i="21" s="1"/>
  <c r="R21" i="21"/>
  <c r="E8" i="21" s="1"/>
  <c r="O109" i="13" s="1"/>
  <c r="F109" i="13" s="1"/>
  <c r="S21" i="21"/>
  <c r="Q21" i="21"/>
  <c r="D8" i="21" s="1"/>
  <c r="N109" i="13" s="1"/>
  <c r="E109" i="13" s="1"/>
  <c r="AV21" i="21"/>
  <c r="F24" i="21" s="1"/>
  <c r="V114" i="13" s="1"/>
  <c r="C24" i="21"/>
  <c r="T114" i="13" s="1"/>
  <c r="AX21" i="21"/>
  <c r="E24" i="21" s="1"/>
  <c r="S114" i="13" s="1"/>
  <c r="AW21" i="21"/>
  <c r="AY21" i="21"/>
  <c r="AX19" i="21"/>
  <c r="S260" i="5" l="1"/>
  <c r="T260" i="5"/>
  <c r="P208" i="5"/>
  <c r="P209" i="5" s="1"/>
  <c r="J210" i="5"/>
  <c r="D78" i="13"/>
  <c r="L131" i="5"/>
  <c r="F217" i="5"/>
  <c r="J215" i="5" s="1"/>
  <c r="G109" i="13"/>
  <c r="D191" i="13" s="1"/>
  <c r="S19" i="21"/>
  <c r="N21" i="21" s="1"/>
  <c r="G8" i="21" s="1"/>
  <c r="Q109" i="13" s="1"/>
  <c r="D24" i="21"/>
  <c r="R114" i="13" s="1"/>
  <c r="AY19" i="21"/>
  <c r="AT21" i="21" s="1"/>
  <c r="G24" i="21" s="1"/>
  <c r="U114" i="13" s="1"/>
  <c r="U260" i="5" l="1"/>
  <c r="S168" i="5" s="1"/>
  <c r="E219" i="5"/>
  <c r="I217" i="5" s="1"/>
  <c r="T62" i="7"/>
  <c r="G221" i="5" l="1"/>
  <c r="J225" i="5" s="1"/>
  <c r="G226" i="5"/>
  <c r="F228" i="5" l="1"/>
  <c r="J228" i="5"/>
  <c r="J229" i="5" s="1"/>
  <c r="G247" i="5" l="1"/>
  <c r="F247" i="5"/>
  <c r="J247" i="5" l="1"/>
  <c r="E249" i="5" s="1"/>
  <c r="C90" i="13" l="1"/>
  <c r="I80" i="7"/>
  <c r="I79" i="7" s="1"/>
  <c r="E90" i="13" s="1"/>
  <c r="G90" i="13" s="1"/>
  <c r="G36" i="11"/>
  <c r="M81" i="7"/>
  <c r="I90" i="13" l="1"/>
  <c r="K76" i="7"/>
  <c r="G138" i="11" s="1"/>
  <c r="T58" i="7" s="1"/>
  <c r="K90" i="13"/>
  <c r="U1" i="9"/>
  <c r="K20" i="9" s="1"/>
  <c r="R57" i="9" s="1"/>
  <c r="I29" i="9" l="1"/>
  <c r="H41" i="11" s="1"/>
  <c r="B328" i="5"/>
  <c r="I89" i="9"/>
  <c r="H19" i="12"/>
  <c r="H76" i="16" s="1"/>
  <c r="K19" i="12"/>
  <c r="S59" i="11"/>
  <c r="J20" i="9"/>
  <c r="J23" i="9" s="1"/>
  <c r="T16" i="12"/>
  <c r="F116" i="9"/>
  <c r="G116" i="9" s="1"/>
  <c r="D89" i="9" s="1"/>
  <c r="D33" i="10"/>
  <c r="D45" i="10" s="1"/>
  <c r="H39" i="11"/>
  <c r="D40" i="13" s="1"/>
  <c r="A23" i="13" s="1"/>
  <c r="I23" i="9"/>
  <c r="AG56" i="12" l="1"/>
  <c r="J45" i="3"/>
  <c r="AC107" i="11"/>
  <c r="B326" i="5"/>
  <c r="D41" i="13"/>
  <c r="D42" i="13"/>
  <c r="H43" i="11"/>
  <c r="I33" i="9"/>
  <c r="K50" i="9" s="1"/>
  <c r="O53" i="10"/>
  <c r="O54" i="10" s="1"/>
  <c r="H54" i="11"/>
  <c r="C42" i="13" s="1"/>
  <c r="V59" i="11"/>
  <c r="W59" i="11" s="1"/>
  <c r="P67" i="11" l="1"/>
  <c r="AW47" i="11"/>
  <c r="I38" i="9"/>
  <c r="H42" i="11"/>
  <c r="U11" i="9" l="1"/>
  <c r="U12" i="9" s="1"/>
  <c r="V12" i="9" s="1"/>
  <c r="I53" i="9" s="1"/>
  <c r="Q35" i="8" l="1"/>
  <c r="I64" i="9"/>
  <c r="B330" i="5" l="1"/>
  <c r="C65" i="12"/>
  <c r="D36" i="10"/>
  <c r="Q53" i="9"/>
  <c r="I90" i="9"/>
  <c r="H52" i="11"/>
  <c r="D28" i="14" s="1"/>
  <c r="N55" i="9"/>
  <c r="I49" i="9"/>
  <c r="F98" i="9"/>
  <c r="D31" i="14" l="1"/>
  <c r="L34" i="14"/>
  <c r="M34" i="14" s="1"/>
  <c r="D29" i="14" s="1"/>
  <c r="D30" i="14" s="1"/>
  <c r="AF49" i="9"/>
  <c r="AG49" i="9" s="1"/>
  <c r="AF50" i="9"/>
  <c r="S60" i="11"/>
  <c r="D46" i="10"/>
  <c r="G98" i="9"/>
  <c r="D90" i="9" s="1"/>
  <c r="D91" i="9" s="1"/>
  <c r="B98" i="9" s="1"/>
  <c r="C98" i="9" s="1"/>
  <c r="C94" i="9" s="1"/>
  <c r="AC88" i="11"/>
  <c r="K97" i="10"/>
  <c r="M68" i="10"/>
  <c r="D40" i="10" s="1"/>
  <c r="N56" i="9"/>
  <c r="L62" i="8" s="1"/>
  <c r="K63" i="8"/>
  <c r="C40" i="13"/>
  <c r="J38" i="11"/>
  <c r="I68" i="10"/>
  <c r="D37" i="10" s="1"/>
  <c r="O68" i="10"/>
  <c r="D44" i="10" s="1"/>
  <c r="K68" i="10"/>
  <c r="D38" i="10" s="1"/>
  <c r="I37" i="10" s="1"/>
  <c r="I38" i="10" s="1"/>
  <c r="M47" i="9"/>
  <c r="N47" i="9" s="1"/>
  <c r="N57" i="9"/>
  <c r="L63" i="8" s="1"/>
  <c r="H50" i="11"/>
  <c r="M48" i="9"/>
  <c r="I39" i="10" l="1"/>
  <c r="V60" i="11"/>
  <c r="AW39" i="11"/>
  <c r="D33" i="14"/>
  <c r="AG50" i="9"/>
  <c r="AH49" i="9" s="1"/>
  <c r="J54" i="9" s="1"/>
  <c r="AG68" i="12"/>
  <c r="AG65" i="12"/>
  <c r="AG62" i="12"/>
  <c r="AG67" i="12"/>
  <c r="AG58" i="12"/>
  <c r="AG59" i="12"/>
  <c r="AG66" i="12"/>
  <c r="AG63" i="12"/>
  <c r="AG60" i="12"/>
  <c r="AG57" i="12"/>
  <c r="AG64" i="12"/>
  <c r="AG61" i="12"/>
  <c r="D48" i="10"/>
  <c r="K45" i="13" s="1"/>
  <c r="C45" i="13"/>
  <c r="D47" i="10"/>
  <c r="E45" i="13" s="1"/>
  <c r="G45" i="13" s="1"/>
  <c r="I45" i="13" s="1"/>
  <c r="X15" i="11" s="1"/>
  <c r="L99" i="10"/>
  <c r="M99" i="10"/>
  <c r="N99" i="10"/>
  <c r="O99" i="10"/>
  <c r="E42" i="13"/>
  <c r="G42" i="13" s="1"/>
  <c r="E40" i="13"/>
  <c r="G40" i="13" s="1"/>
  <c r="R54" i="9" s="1"/>
  <c r="Q59" i="9" s="1"/>
  <c r="Q60" i="9" s="1"/>
  <c r="C93" i="9"/>
  <c r="A91" i="9" s="1"/>
  <c r="B99" i="9"/>
  <c r="C99" i="9" s="1"/>
  <c r="B94" i="9" s="1"/>
  <c r="N97" i="10"/>
  <c r="O97" i="10"/>
  <c r="M97" i="10"/>
  <c r="L97" i="10"/>
  <c r="N48" i="9"/>
  <c r="O47" i="9" s="1"/>
  <c r="L52" i="9"/>
  <c r="K40" i="13"/>
  <c r="AA65" i="10"/>
  <c r="AA66" i="10" s="1"/>
  <c r="AB65" i="10"/>
  <c r="AB66" i="10" s="1"/>
  <c r="Z65" i="10"/>
  <c r="K52" i="9"/>
  <c r="L101" i="10" l="1"/>
  <c r="I72" i="10" s="1"/>
  <c r="M101" i="10"/>
  <c r="I73" i="10" s="1"/>
  <c r="AG70" i="12"/>
  <c r="R23" i="13" s="1"/>
  <c r="B93" i="9"/>
  <c r="F93" i="9" s="1"/>
  <c r="F94" i="9" s="1"/>
  <c r="F95" i="9" s="1"/>
  <c r="N101" i="10"/>
  <c r="I74" i="10" s="1"/>
  <c r="O101" i="10"/>
  <c r="I75" i="10" s="1"/>
  <c r="I50" i="9"/>
  <c r="L40" i="9" s="1"/>
  <c r="AD65" i="10"/>
  <c r="D41" i="10" s="1"/>
  <c r="D42" i="10" s="1"/>
  <c r="Z66" i="10"/>
  <c r="AD66" i="10" s="1"/>
  <c r="Q61" i="9"/>
  <c r="AC66" i="10" l="1"/>
  <c r="AC65" i="10" s="1"/>
  <c r="H23" i="13"/>
  <c r="G23" i="13"/>
  <c r="I77" i="10"/>
  <c r="G38" i="10" s="1"/>
  <c r="A92" i="9"/>
  <c r="L37" i="9"/>
  <c r="L30" i="9"/>
  <c r="L38" i="9"/>
  <c r="H61" i="11"/>
  <c r="L41" i="9"/>
  <c r="I52" i="9"/>
  <c r="K53" i="9" s="1"/>
  <c r="L32" i="9"/>
  <c r="L31" i="9"/>
  <c r="L29" i="9"/>
  <c r="L28" i="9"/>
  <c r="L34" i="9"/>
  <c r="L33" i="9"/>
  <c r="L35" i="9"/>
  <c r="L36" i="9"/>
  <c r="L39" i="9"/>
  <c r="B92" i="9"/>
  <c r="B91" i="9"/>
  <c r="H53" i="11"/>
  <c r="C41" i="13" s="1"/>
  <c r="C43" i="13" s="1"/>
  <c r="D43" i="13" s="1"/>
  <c r="K43" i="13" s="1"/>
  <c r="Z40" i="10"/>
  <c r="H127" i="11" l="1"/>
  <c r="Z34" i="9" s="1"/>
  <c r="E41" i="13"/>
  <c r="G41" i="13" s="1"/>
  <c r="A90" i="9"/>
  <c r="H123" i="11" s="1"/>
  <c r="G43" i="13"/>
  <c r="H60" i="11"/>
  <c r="Z32" i="9" l="1"/>
  <c r="H125" i="11"/>
  <c r="H51" i="11"/>
  <c r="Z33" i="9" l="1"/>
  <c r="G313" i="4"/>
  <c r="O185" i="5" l="1"/>
  <c r="L187" i="5" s="1"/>
  <c r="J191" i="5" s="1"/>
  <c r="Y58" i="12"/>
  <c r="Z58" i="12" s="1"/>
  <c r="Y59" i="12" s="1"/>
  <c r="Z59" i="12" s="1"/>
  <c r="V250" i="5" l="1"/>
  <c r="V172" i="5"/>
  <c r="V235" i="5"/>
  <c r="V248" i="5"/>
  <c r="V232" i="5"/>
  <c r="V247" i="5"/>
  <c r="V194" i="5"/>
  <c r="V212" i="5"/>
  <c r="V223" i="5"/>
  <c r="V249" i="5"/>
  <c r="V185" i="5"/>
  <c r="V251" i="5"/>
  <c r="V183" i="5"/>
  <c r="V195" i="5"/>
  <c r="V254" i="5"/>
  <c r="V189" i="5"/>
  <c r="V216" i="5"/>
  <c r="V184" i="5"/>
  <c r="V243" i="5"/>
  <c r="V176" i="5"/>
  <c r="V226" i="5"/>
  <c r="V211" i="5"/>
  <c r="V202" i="5"/>
  <c r="V245" i="5"/>
  <c r="V221" i="5"/>
  <c r="V260" i="5"/>
  <c r="V228" i="5"/>
  <c r="V179" i="5"/>
  <c r="V196" i="5"/>
  <c r="V173" i="5"/>
  <c r="V206" i="5"/>
  <c r="L191" i="5"/>
  <c r="L85" i="13" s="1"/>
  <c r="L86" i="13" s="1"/>
  <c r="D61" i="11"/>
  <c r="E78" i="13" s="1"/>
  <c r="K78" i="13" s="1"/>
  <c r="V219" i="5"/>
  <c r="V191" i="5"/>
  <c r="V215" i="5"/>
  <c r="V252" i="5"/>
  <c r="V257" i="5"/>
  <c r="V190" i="5"/>
  <c r="J260" i="5"/>
  <c r="V182" i="5"/>
  <c r="V175" i="5"/>
  <c r="V188" i="5"/>
  <c r="V178" i="5"/>
  <c r="V230" i="5"/>
  <c r="L184" i="5"/>
  <c r="D131" i="11" s="1"/>
  <c r="B316" i="5" s="1"/>
  <c r="V200" i="5"/>
  <c r="V208" i="5"/>
  <c r="V198" i="5"/>
  <c r="V246" i="5"/>
  <c r="V258" i="5"/>
  <c r="V256" i="5"/>
  <c r="V229" i="5"/>
  <c r="V177" i="5"/>
  <c r="V193" i="5"/>
  <c r="V259" i="5"/>
  <c r="V205" i="5"/>
  <c r="V170" i="5"/>
  <c r="V253" i="5"/>
  <c r="V207" i="5"/>
  <c r="V227" i="5"/>
  <c r="V255" i="5"/>
  <c r="V220" i="5"/>
  <c r="V171" i="5"/>
  <c r="V233" i="5"/>
  <c r="V238" i="5"/>
  <c r="V181" i="5"/>
  <c r="V239" i="5"/>
  <c r="V241" i="5"/>
  <c r="V187" i="5"/>
  <c r="L192" i="5"/>
  <c r="V201" i="5"/>
  <c r="V197" i="5"/>
  <c r="V224" i="5"/>
  <c r="V240" i="5"/>
  <c r="V217" i="5"/>
  <c r="V204" i="5"/>
  <c r="V234" i="5"/>
  <c r="V209" i="5"/>
  <c r="V225" i="5"/>
  <c r="V237" i="5"/>
  <c r="V214" i="5"/>
  <c r="V242" i="5"/>
  <c r="V244" i="5"/>
  <c r="V192" i="5"/>
  <c r="V203" i="5"/>
  <c r="V222" i="5"/>
  <c r="V169" i="5"/>
  <c r="V174" i="5"/>
  <c r="V186" i="5"/>
  <c r="V180" i="5"/>
  <c r="V210" i="5"/>
  <c r="V218" i="5"/>
  <c r="V199" i="5"/>
  <c r="V213" i="5"/>
  <c r="V231" i="5"/>
  <c r="V236" i="5"/>
  <c r="Z60" i="12"/>
  <c r="Y60" i="12" s="1"/>
  <c r="L34" i="12"/>
  <c r="G33" i="12" s="1"/>
  <c r="G38" i="12" l="1"/>
  <c r="D103" i="11" s="1"/>
  <c r="D98" i="11"/>
  <c r="G78" i="13"/>
  <c r="C79" i="13"/>
  <c r="G79" i="13" s="1"/>
  <c r="V36" i="12"/>
  <c r="L37" i="12" s="1"/>
  <c r="B35" i="12"/>
  <c r="I36" i="12" l="1"/>
  <c r="I37" i="12"/>
  <c r="G36" i="12"/>
  <c r="F11" i="17"/>
  <c r="F7" i="17"/>
  <c r="M46" i="12"/>
  <c r="L46" i="12" s="1"/>
  <c r="K31" i="12"/>
  <c r="L31" i="12" s="1"/>
  <c r="I12" i="8"/>
  <c r="C67" i="12"/>
  <c r="D77" i="11"/>
  <c r="M45" i="12"/>
  <c r="L45" i="12" s="1"/>
  <c r="M42" i="12"/>
  <c r="L42" i="12" s="1"/>
  <c r="D8" i="14"/>
  <c r="D10" i="14" s="1"/>
  <c r="D35" i="12"/>
  <c r="I13" i="8"/>
  <c r="B34" i="12" l="1"/>
  <c r="D101" i="11"/>
  <c r="G37" i="12"/>
  <c r="D45" i="12"/>
  <c r="D18" i="17" s="1"/>
  <c r="C34" i="12"/>
  <c r="F10" i="17"/>
  <c r="C188" i="16" s="1"/>
  <c r="G78" i="11"/>
  <c r="J40" i="11"/>
  <c r="D9" i="17"/>
  <c r="B9" i="17"/>
  <c r="D189" i="16"/>
  <c r="B189" i="16"/>
  <c r="I18" i="8"/>
  <c r="I20" i="8" s="1"/>
  <c r="I11" i="8" s="1"/>
  <c r="I38" i="8" s="1"/>
  <c r="J235" i="17" l="1"/>
  <c r="M47" i="12"/>
  <c r="L47" i="12" s="1"/>
  <c r="I34" i="12"/>
  <c r="I11" i="17"/>
  <c r="I14" i="17" s="1"/>
  <c r="I8" i="17"/>
  <c r="G185" i="16" s="1"/>
  <c r="J237" i="17"/>
  <c r="J236" i="17"/>
  <c r="C8" i="17"/>
  <c r="I20" i="17"/>
  <c r="H235" i="16" s="1"/>
  <c r="L11" i="17"/>
  <c r="B8" i="17"/>
  <c r="K8" i="8"/>
  <c r="H121" i="11" s="1"/>
  <c r="J38" i="8"/>
  <c r="G188" i="16" l="1"/>
  <c r="G197" i="16"/>
  <c r="I16" i="17"/>
  <c r="H91" i="16" s="1"/>
  <c r="J238" i="17"/>
  <c r="I231" i="17" s="1"/>
  <c r="I21" i="17" s="1"/>
  <c r="G198" i="16" s="1"/>
  <c r="E203" i="17"/>
  <c r="H234" i="16"/>
  <c r="I15" i="17"/>
  <c r="H214" i="16" s="1"/>
  <c r="I9" i="17"/>
  <c r="I19" i="17" s="1"/>
  <c r="G196" i="16" s="1"/>
  <c r="D209" i="17"/>
  <c r="Z31" i="9"/>
  <c r="I72" i="8"/>
  <c r="I39" i="8"/>
  <c r="S27" i="11"/>
  <c r="F73" i="9"/>
  <c r="I73" i="9" s="1"/>
  <c r="H18" i="11"/>
  <c r="N67" i="9"/>
  <c r="G191" i="16"/>
  <c r="H238" i="16"/>
  <c r="E185" i="17"/>
  <c r="E106" i="17" l="1"/>
  <c r="E110" i="17" s="1"/>
  <c r="D124" i="17" s="1"/>
  <c r="G186" i="16"/>
  <c r="I18" i="17"/>
  <c r="E3" i="17" s="1"/>
  <c r="G192" i="16"/>
  <c r="H250" i="17"/>
  <c r="E195" i="17" s="1"/>
  <c r="G193" i="16"/>
  <c r="V39" i="12" s="1"/>
  <c r="AP57" i="8"/>
  <c r="AQ57" i="8" s="1"/>
  <c r="AR57" i="8" s="1"/>
  <c r="C50" i="21"/>
  <c r="C250" i="21" s="1"/>
  <c r="M282" i="21" s="1"/>
  <c r="EA4" i="20"/>
  <c r="EG4" i="20"/>
  <c r="X27" i="11"/>
  <c r="K4" i="19"/>
  <c r="EH4" i="19"/>
  <c r="K4" i="20"/>
  <c r="M73" i="9"/>
  <c r="M72" i="9"/>
  <c r="M71" i="9"/>
  <c r="F36" i="11"/>
  <c r="H216" i="16"/>
  <c r="H215" i="16"/>
  <c r="H213" i="16" s="1"/>
  <c r="N53" i="9"/>
  <c r="H19" i="11"/>
  <c r="L39" i="12" l="1"/>
  <c r="G39" i="12" s="1"/>
  <c r="D104" i="11" s="1"/>
  <c r="V40" i="12"/>
  <c r="L40" i="12" s="1"/>
  <c r="I10" i="17"/>
  <c r="F264" i="17" s="1"/>
  <c r="G97" i="17"/>
  <c r="D116" i="17" s="1"/>
  <c r="D117" i="17" s="1"/>
  <c r="I22" i="17"/>
  <c r="G199" i="16" s="1"/>
  <c r="G195" i="16"/>
  <c r="H239" i="16"/>
  <c r="AU57" i="8"/>
  <c r="P49" i="8" s="1"/>
  <c r="AS57" i="8"/>
  <c r="O49" i="8" s="1"/>
  <c r="AT57" i="8"/>
  <c r="Q49" i="8" s="1"/>
  <c r="M49" i="8"/>
  <c r="N49" i="8"/>
  <c r="C194" i="21"/>
  <c r="M226" i="21" s="1"/>
  <c r="BE226" i="21" s="1"/>
  <c r="BW227" i="21" s="1"/>
  <c r="C88" i="21"/>
  <c r="M120" i="21" s="1"/>
  <c r="BE120" i="21" s="1"/>
  <c r="BF120" i="21" s="1"/>
  <c r="BG120" i="21" s="1"/>
  <c r="BH120" i="21" s="1"/>
  <c r="BO120" i="21" s="1"/>
  <c r="C140" i="21"/>
  <c r="M172" i="21" s="1"/>
  <c r="BE172" i="21" s="1"/>
  <c r="BW173" i="21" s="1"/>
  <c r="FT40" i="20"/>
  <c r="HJ40" i="20"/>
  <c r="EA143" i="20"/>
  <c r="EA375" i="20"/>
  <c r="BE282" i="21"/>
  <c r="AF283" i="21"/>
  <c r="N282" i="21"/>
  <c r="O282" i="21" s="1"/>
  <c r="P282" i="21" s="1"/>
  <c r="M74" i="9"/>
  <c r="M78" i="9" s="1"/>
  <c r="H124" i="17"/>
  <c r="H217" i="16"/>
  <c r="H221" i="16" s="1"/>
  <c r="H225" i="16" s="1"/>
  <c r="H226" i="16" s="1"/>
  <c r="I248" i="16" s="1"/>
  <c r="EM4" i="19"/>
  <c r="I12" i="17" l="1"/>
  <c r="D277" i="17"/>
  <c r="D278" i="17" s="1"/>
  <c r="G268" i="16" s="1"/>
  <c r="I13" i="17"/>
  <c r="G190" i="16" s="1"/>
  <c r="G40" i="12"/>
  <c r="D79" i="11" s="1"/>
  <c r="C21" i="13" s="1"/>
  <c r="G187" i="16"/>
  <c r="J234" i="17"/>
  <c r="AF173" i="21"/>
  <c r="AG173" i="21" s="1"/>
  <c r="BF172" i="21"/>
  <c r="BG172" i="21" s="1"/>
  <c r="BH172" i="21" s="1"/>
  <c r="M127" i="21"/>
  <c r="N127" i="21" s="1"/>
  <c r="O127" i="21" s="1"/>
  <c r="BF226" i="21"/>
  <c r="BG226" i="21" s="1"/>
  <c r="BH226" i="21" s="1"/>
  <c r="BK226" i="21" s="1"/>
  <c r="AF227" i="21"/>
  <c r="M233" i="21" s="1"/>
  <c r="BP120" i="21"/>
  <c r="N226" i="21"/>
  <c r="O226" i="21" s="1"/>
  <c r="P226" i="21" s="1"/>
  <c r="Z226" i="21" s="1"/>
  <c r="BQ120" i="21"/>
  <c r="N172" i="21"/>
  <c r="O172" i="21" s="1"/>
  <c r="P172" i="21" s="1"/>
  <c r="R172" i="21" s="1"/>
  <c r="BK120" i="21"/>
  <c r="BN120" i="21"/>
  <c r="BM120" i="21"/>
  <c r="BJ120" i="21"/>
  <c r="BR120" i="21"/>
  <c r="N120" i="21"/>
  <c r="O120" i="21" s="1"/>
  <c r="P120" i="21" s="1"/>
  <c r="V120" i="21" s="1"/>
  <c r="BI120" i="21"/>
  <c r="HS41" i="20"/>
  <c r="GX41" i="20"/>
  <c r="GC41" i="20"/>
  <c r="FG41" i="20"/>
  <c r="ET140" i="20"/>
  <c r="GZ140" i="20"/>
  <c r="DY313" i="20"/>
  <c r="DY323" i="20" s="1"/>
  <c r="DY551" i="20"/>
  <c r="DY561" i="20" s="1"/>
  <c r="GH554" i="20"/>
  <c r="GH564" i="20" s="1"/>
  <c r="HB372" i="20"/>
  <c r="ET372" i="20"/>
  <c r="BX227" i="21"/>
  <c r="BE233" i="21"/>
  <c r="BF282" i="21"/>
  <c r="BG282" i="21" s="1"/>
  <c r="BH282" i="21" s="1"/>
  <c r="K281" i="21"/>
  <c r="J281" i="21" s="1"/>
  <c r="J256" i="21" s="1"/>
  <c r="BW283" i="21"/>
  <c r="BE179" i="21"/>
  <c r="BX173" i="21"/>
  <c r="M289" i="21"/>
  <c r="AG283" i="21"/>
  <c r="R282" i="21"/>
  <c r="Q282" i="21"/>
  <c r="X282" i="21"/>
  <c r="S282" i="21"/>
  <c r="U282" i="21"/>
  <c r="Y282" i="21"/>
  <c r="Z282" i="21"/>
  <c r="W282" i="21"/>
  <c r="V282" i="21"/>
  <c r="D48" i="12"/>
  <c r="G217" i="17"/>
  <c r="E176" i="17"/>
  <c r="G189" i="16"/>
  <c r="H236" i="16"/>
  <c r="D18" i="13" l="1"/>
  <c r="D106" i="11"/>
  <c r="H237" i="16"/>
  <c r="BO172" i="21"/>
  <c r="BR172" i="21"/>
  <c r="M179" i="21"/>
  <c r="BN172" i="21"/>
  <c r="BK172" i="21"/>
  <c r="BI172" i="21"/>
  <c r="BM172" i="21"/>
  <c r="BP172" i="21"/>
  <c r="BJ172" i="21"/>
  <c r="BQ172" i="21"/>
  <c r="BR226" i="21"/>
  <c r="BE127" i="21"/>
  <c r="Y226" i="21"/>
  <c r="X120" i="21"/>
  <c r="W226" i="21"/>
  <c r="Z120" i="21"/>
  <c r="D88" i="21"/>
  <c r="BI226" i="21"/>
  <c r="Q226" i="21"/>
  <c r="X226" i="21"/>
  <c r="Q120" i="21"/>
  <c r="BJ226" i="21"/>
  <c r="BM226" i="21"/>
  <c r="BP226" i="21"/>
  <c r="BQ226" i="21"/>
  <c r="BN226" i="21"/>
  <c r="R120" i="21"/>
  <c r="BO226" i="21"/>
  <c r="R226" i="21"/>
  <c r="V226" i="21"/>
  <c r="S226" i="21"/>
  <c r="Y120" i="21"/>
  <c r="S120" i="21"/>
  <c r="U226" i="21"/>
  <c r="U120" i="21"/>
  <c r="W120" i="21"/>
  <c r="W172" i="21"/>
  <c r="AG227" i="21"/>
  <c r="AH227" i="21" s="1"/>
  <c r="V172" i="21"/>
  <c r="U172" i="21"/>
  <c r="Y172" i="21"/>
  <c r="X172" i="21"/>
  <c r="Q172" i="21"/>
  <c r="Z172" i="21"/>
  <c r="S172" i="21"/>
  <c r="V68" i="21"/>
  <c r="BM71" i="21"/>
  <c r="GF473" i="20"/>
  <c r="GG417" i="20"/>
  <c r="HK455" i="20"/>
  <c r="HA143" i="20"/>
  <c r="HK223" i="20"/>
  <c r="GH313" i="20"/>
  <c r="GH323" i="20" s="1"/>
  <c r="GF241" i="20"/>
  <c r="GZ143" i="20"/>
  <c r="GG185" i="20"/>
  <c r="HI82" i="20"/>
  <c r="DX473" i="20"/>
  <c r="FC455" i="20"/>
  <c r="DY417" i="20"/>
  <c r="GN82" i="20"/>
  <c r="HB564" i="20"/>
  <c r="GR564" i="20"/>
  <c r="GH575" i="20"/>
  <c r="HL564" i="20"/>
  <c r="DY185" i="20"/>
  <c r="FC223" i="20"/>
  <c r="DX241" i="20"/>
  <c r="ID82" i="20"/>
  <c r="EI323" i="20"/>
  <c r="ES323" i="20"/>
  <c r="DY334" i="20"/>
  <c r="FC323" i="20"/>
  <c r="ES561" i="20"/>
  <c r="EI561" i="20"/>
  <c r="DY572" i="20"/>
  <c r="FC561" i="20"/>
  <c r="FR82" i="20"/>
  <c r="BI282" i="21"/>
  <c r="BN282" i="21"/>
  <c r="BK282" i="21"/>
  <c r="BR282" i="21"/>
  <c r="BP282" i="21"/>
  <c r="BO282" i="21"/>
  <c r="BQ282" i="21"/>
  <c r="BM282" i="21"/>
  <c r="BJ282" i="21"/>
  <c r="BY173" i="21"/>
  <c r="BF179" i="21"/>
  <c r="BY227" i="21"/>
  <c r="BF233" i="21"/>
  <c r="BF127" i="21"/>
  <c r="BG127" i="21" s="1"/>
  <c r="BH127" i="21" s="1"/>
  <c r="BX283" i="21"/>
  <c r="BE289" i="21"/>
  <c r="N179" i="21"/>
  <c r="D140" i="21" s="1"/>
  <c r="AH173" i="21"/>
  <c r="P127" i="21"/>
  <c r="E88" i="21"/>
  <c r="N289" i="21"/>
  <c r="D250" i="21" s="1"/>
  <c r="AH283" i="21"/>
  <c r="G21" i="13"/>
  <c r="H21" i="13"/>
  <c r="N233" i="21" l="1"/>
  <c r="D194" i="21" s="1"/>
  <c r="AA120" i="21"/>
  <c r="AA226" i="21"/>
  <c r="T120" i="21"/>
  <c r="T226" i="21"/>
  <c r="T172" i="21"/>
  <c r="AA172" i="21"/>
  <c r="AQ68" i="21"/>
  <c r="R56" i="6" s="1"/>
  <c r="T282" i="21"/>
  <c r="EI334" i="20"/>
  <c r="EM185" i="20"/>
  <c r="FO185" i="20"/>
  <c r="FA185" i="20"/>
  <c r="EM417" i="20"/>
  <c r="FA417" i="20"/>
  <c r="FO417" i="20"/>
  <c r="HK267" i="20"/>
  <c r="HK289" i="20"/>
  <c r="HK245" i="20"/>
  <c r="GR323" i="20"/>
  <c r="HB323" i="20"/>
  <c r="HL323" i="20"/>
  <c r="GH334" i="20"/>
  <c r="FC572" i="20"/>
  <c r="EI572" i="20"/>
  <c r="DX263" i="20"/>
  <c r="DX307" i="20"/>
  <c r="DX285" i="20"/>
  <c r="HL575" i="20"/>
  <c r="HB575" i="20"/>
  <c r="GN103" i="20"/>
  <c r="DX495" i="20"/>
  <c r="DX517" i="20"/>
  <c r="DX539" i="20"/>
  <c r="GF285" i="20"/>
  <c r="GF263" i="20"/>
  <c r="GF307" i="20"/>
  <c r="HK477" i="20"/>
  <c r="HK521" i="20"/>
  <c r="HK499" i="20"/>
  <c r="AA282" i="21"/>
  <c r="K288" i="21"/>
  <c r="FC334" i="20"/>
  <c r="HW185" i="20"/>
  <c r="GU185" i="20"/>
  <c r="HI185" i="20"/>
  <c r="GF517" i="20"/>
  <c r="GF539" i="20"/>
  <c r="GF495" i="20"/>
  <c r="ES572" i="20"/>
  <c r="ES334" i="20"/>
  <c r="FC245" i="20"/>
  <c r="FC267" i="20"/>
  <c r="FC289" i="20"/>
  <c r="HI103" i="20"/>
  <c r="GU417" i="20"/>
  <c r="HW417" i="20"/>
  <c r="HI417" i="20"/>
  <c r="FR103" i="20"/>
  <c r="ID103" i="20"/>
  <c r="GR575" i="20"/>
  <c r="FC477" i="20"/>
  <c r="FC499" i="20"/>
  <c r="FC521" i="20"/>
  <c r="BY283" i="21"/>
  <c r="BF289" i="21"/>
  <c r="BP127" i="21"/>
  <c r="BR127" i="21"/>
  <c r="BK127" i="21"/>
  <c r="BO127" i="21"/>
  <c r="BM127" i="21"/>
  <c r="BI127" i="21"/>
  <c r="BQ127" i="21"/>
  <c r="BN127" i="21"/>
  <c r="BJ127" i="21"/>
  <c r="BZ173" i="21"/>
  <c r="BG179" i="21"/>
  <c r="BZ227" i="21"/>
  <c r="BG233" i="21"/>
  <c r="R127" i="21"/>
  <c r="H88" i="21" s="1"/>
  <c r="Z127" i="21"/>
  <c r="I95" i="21" s="1"/>
  <c r="Y127" i="21"/>
  <c r="H95" i="21" s="1"/>
  <c r="V127" i="21"/>
  <c r="E95" i="21" s="1"/>
  <c r="X127" i="21"/>
  <c r="G95" i="21" s="1"/>
  <c r="Q127" i="21"/>
  <c r="S127" i="21"/>
  <c r="I88" i="21" s="1"/>
  <c r="W127" i="21"/>
  <c r="F95" i="21" s="1"/>
  <c r="U127" i="21"/>
  <c r="D95" i="21" s="1"/>
  <c r="F88" i="21"/>
  <c r="O289" i="21"/>
  <c r="E250" i="21" s="1"/>
  <c r="AI283" i="21"/>
  <c r="O179" i="21"/>
  <c r="E140" i="21" s="1"/>
  <c r="AI173" i="21"/>
  <c r="AI227" i="21"/>
  <c r="O233" i="21"/>
  <c r="E194" i="21" s="1"/>
  <c r="AW56" i="21"/>
  <c r="E70" i="21"/>
  <c r="AC70" i="21" s="1"/>
  <c r="M50" i="8" s="1"/>
  <c r="K120" i="21" l="1"/>
  <c r="J120" i="21" s="1"/>
  <c r="J95" i="21" s="1"/>
  <c r="K226" i="21"/>
  <c r="J226" i="21" s="1"/>
  <c r="J201" i="21" s="1"/>
  <c r="K172" i="21"/>
  <c r="J172" i="21" s="1"/>
  <c r="J147" i="21" s="1"/>
  <c r="K282" i="21"/>
  <c r="HB334" i="20"/>
  <c r="EN472" i="20"/>
  <c r="EB473" i="20"/>
  <c r="ER473" i="20"/>
  <c r="EF494" i="20"/>
  <c r="EF496" i="20" s="1"/>
  <c r="EF497" i="20" s="1"/>
  <c r="EV494" i="20"/>
  <c r="EJ495" i="20"/>
  <c r="EZ495" i="20"/>
  <c r="EN516" i="20"/>
  <c r="EN518" i="20" s="1"/>
  <c r="EN519" i="20" s="1"/>
  <c r="EB517" i="20"/>
  <c r="ER517" i="20"/>
  <c r="EF538" i="20"/>
  <c r="EV538" i="20"/>
  <c r="EV540" i="20" s="1"/>
  <c r="EV541" i="20" s="1"/>
  <c r="EJ539" i="20"/>
  <c r="EZ539" i="20"/>
  <c r="EQ472" i="20"/>
  <c r="EY473" i="20"/>
  <c r="EE495" i="20"/>
  <c r="EI516" i="20"/>
  <c r="EQ517" i="20"/>
  <c r="EM538" i="20"/>
  <c r="EM540" i="20" s="1"/>
  <c r="EM541" i="20" s="1"/>
  <c r="EO472" i="20"/>
  <c r="EG473" i="20"/>
  <c r="EW473" i="20"/>
  <c r="EO494" i="20"/>
  <c r="EO496" i="20" s="1"/>
  <c r="EO497" i="20" s="1"/>
  <c r="EG495" i="20"/>
  <c r="EW495" i="20"/>
  <c r="EO516" i="20"/>
  <c r="EG517" i="20"/>
  <c r="EW517" i="20"/>
  <c r="EO538" i="20"/>
  <c r="EG539" i="20"/>
  <c r="EW539" i="20"/>
  <c r="EI473" i="20"/>
  <c r="EI494" i="20"/>
  <c r="EI496" i="20" s="1"/>
  <c r="EI497" i="20" s="1"/>
  <c r="EI495" i="20"/>
  <c r="EM516" i="20"/>
  <c r="EM518" i="20" s="1"/>
  <c r="EM519" i="20" s="1"/>
  <c r="EM517" i="20"/>
  <c r="DZ473" i="20"/>
  <c r="DZ495" i="20"/>
  <c r="DZ517" i="20"/>
  <c r="EY538" i="20"/>
  <c r="EY540" i="20" s="1"/>
  <c r="EY541" i="20" s="1"/>
  <c r="EY539" i="20"/>
  <c r="ED516" i="20"/>
  <c r="DZ539" i="20"/>
  <c r="DZ494" i="20"/>
  <c r="DZ496" i="20" s="1"/>
  <c r="DZ497" i="20" s="1"/>
  <c r="EL538" i="20"/>
  <c r="ED473" i="20"/>
  <c r="ET495" i="20"/>
  <c r="EI538" i="20"/>
  <c r="ET539" i="20"/>
  <c r="ET516" i="20"/>
  <c r="EP472" i="20"/>
  <c r="DZ516" i="20"/>
  <c r="EM539" i="20"/>
  <c r="EB472" i="20"/>
  <c r="ER472" i="20"/>
  <c r="EF473" i="20"/>
  <c r="EV473" i="20"/>
  <c r="EJ494" i="20"/>
  <c r="EJ496" i="20" s="1"/>
  <c r="EJ497" i="20" s="1"/>
  <c r="EZ494" i="20"/>
  <c r="EZ496" i="20" s="1"/>
  <c r="EZ497" i="20" s="1"/>
  <c r="EN495" i="20"/>
  <c r="EB516" i="20"/>
  <c r="ER516" i="20"/>
  <c r="ER518" i="20" s="1"/>
  <c r="ER519" i="20" s="1"/>
  <c r="EF517" i="20"/>
  <c r="EV517" i="20"/>
  <c r="EJ538" i="20"/>
  <c r="EZ538" i="20"/>
  <c r="EZ540" i="20" s="1"/>
  <c r="EZ541" i="20" s="1"/>
  <c r="EN539" i="20"/>
  <c r="EA472" i="20"/>
  <c r="EY472" i="20"/>
  <c r="EE494" i="20"/>
  <c r="EM495" i="20"/>
  <c r="EQ516" i="20"/>
  <c r="EQ518" i="20" s="1"/>
  <c r="EQ519" i="20" s="1"/>
  <c r="EU517" i="20"/>
  <c r="EC472" i="20"/>
  <c r="ES472" i="20"/>
  <c r="EK473" i="20"/>
  <c r="EC494" i="20"/>
  <c r="ES494" i="20"/>
  <c r="EK495" i="20"/>
  <c r="EC516" i="20"/>
  <c r="EC518" i="20" s="1"/>
  <c r="EC519" i="20" s="1"/>
  <c r="ES516" i="20"/>
  <c r="EK517" i="20"/>
  <c r="EC538" i="20"/>
  <c r="ES538" i="20"/>
  <c r="EK539" i="20"/>
  <c r="EI472" i="20"/>
  <c r="EM473" i="20"/>
  <c r="EQ494" i="20"/>
  <c r="EQ496" i="20" s="1"/>
  <c r="EQ497" i="20" s="1"/>
  <c r="EQ495" i="20"/>
  <c r="EU516" i="20"/>
  <c r="EU518" i="20" s="1"/>
  <c r="EU519" i="20" s="1"/>
  <c r="EY517" i="20"/>
  <c r="EP473" i="20"/>
  <c r="EP495" i="20"/>
  <c r="EP517" i="20"/>
  <c r="EA539" i="20"/>
  <c r="ED472" i="20"/>
  <c r="EL517" i="20"/>
  <c r="EP539" i="20"/>
  <c r="EX495" i="20"/>
  <c r="EE539" i="20"/>
  <c r="ET473" i="20"/>
  <c r="EL516" i="20"/>
  <c r="EL518" i="20" s="1"/>
  <c r="EL519" i="20" s="1"/>
  <c r="ET538" i="20"/>
  <c r="ET540" i="20" s="1"/>
  <c r="ET541" i="20" s="1"/>
  <c r="ET472" i="20"/>
  <c r="EP538" i="20"/>
  <c r="EX473" i="20"/>
  <c r="EP516" i="20"/>
  <c r="EP518" i="20" s="1"/>
  <c r="EP519" i="20" s="1"/>
  <c r="EZ472" i="20"/>
  <c r="EB494" i="20"/>
  <c r="EF495" i="20"/>
  <c r="EJ516" i="20"/>
  <c r="EJ518" i="20" s="1"/>
  <c r="EJ519" i="20" s="1"/>
  <c r="EN517" i="20"/>
  <c r="ER538" i="20"/>
  <c r="EV539" i="20"/>
  <c r="EQ473" i="20"/>
  <c r="EA516" i="20"/>
  <c r="EE538" i="20"/>
  <c r="EC473" i="20"/>
  <c r="EK494" i="20"/>
  <c r="EK496" i="20" s="1"/>
  <c r="EK497" i="20" s="1"/>
  <c r="ES495" i="20"/>
  <c r="EC517" i="20"/>
  <c r="EK538" i="20"/>
  <c r="EK540" i="20" s="1"/>
  <c r="EK541" i="20" s="1"/>
  <c r="ES539" i="20"/>
  <c r="EA494" i="20"/>
  <c r="EA496" i="20" s="1"/>
  <c r="EA497" i="20" s="1"/>
  <c r="EE516" i="20"/>
  <c r="EX472" i="20"/>
  <c r="EX516" i="20"/>
  <c r="EX518" i="20" s="1"/>
  <c r="EX519" i="20" s="1"/>
  <c r="EQ539" i="20"/>
  <c r="EX538" i="20"/>
  <c r="DZ538" i="20"/>
  <c r="ED495" i="20"/>
  <c r="EL539" i="20"/>
  <c r="EX539" i="20"/>
  <c r="EU538" i="20"/>
  <c r="EZ473" i="20"/>
  <c r="EJ517" i="20"/>
  <c r="ER539" i="20"/>
  <c r="EU495" i="20"/>
  <c r="EW472" i="20"/>
  <c r="EO495" i="20"/>
  <c r="EG538" i="20"/>
  <c r="EU473" i="20"/>
  <c r="EH516" i="20"/>
  <c r="EH518" i="20" s="1"/>
  <c r="EH519" i="20" s="1"/>
  <c r="EX517" i="20"/>
  <c r="ED539" i="20"/>
  <c r="EN473" i="20"/>
  <c r="EV495" i="20"/>
  <c r="EB538" i="20"/>
  <c r="EM472" i="20"/>
  <c r="EE517" i="20"/>
  <c r="ES473" i="20"/>
  <c r="EK516" i="20"/>
  <c r="EK518" i="20" s="1"/>
  <c r="EK519" i="20" s="1"/>
  <c r="EC539" i="20"/>
  <c r="EI517" i="20"/>
  <c r="ET494" i="20"/>
  <c r="ET496" i="20" s="1"/>
  <c r="ET497" i="20" s="1"/>
  <c r="EL472" i="20"/>
  <c r="EH495" i="20"/>
  <c r="EF472" i="20"/>
  <c r="EJ473" i="20"/>
  <c r="EN494" i="20"/>
  <c r="EN496" i="20" s="1"/>
  <c r="EN497" i="20" s="1"/>
  <c r="ER495" i="20"/>
  <c r="EV516" i="20"/>
  <c r="EZ517" i="20"/>
  <c r="EB539" i="20"/>
  <c r="EE472" i="20"/>
  <c r="EM494" i="20"/>
  <c r="EY516" i="20"/>
  <c r="EY518" i="20" s="1"/>
  <c r="EY519" i="20" s="1"/>
  <c r="EG472" i="20"/>
  <c r="EO473" i="20"/>
  <c r="EW494" i="20"/>
  <c r="EW496" i="20" s="1"/>
  <c r="EW497" i="20" s="1"/>
  <c r="EG516" i="20"/>
  <c r="EG518" i="20" s="1"/>
  <c r="EG519" i="20" s="1"/>
  <c r="EO517" i="20"/>
  <c r="EW538" i="20"/>
  <c r="EU472" i="20"/>
  <c r="EU474" i="20" s="1"/>
  <c r="EU475" i="20" s="1"/>
  <c r="EY494" i="20"/>
  <c r="EY496" i="20" s="1"/>
  <c r="EY497" i="20" s="1"/>
  <c r="EA517" i="20"/>
  <c r="EH494" i="20"/>
  <c r="EH496" i="20" s="1"/>
  <c r="EH497" i="20" s="1"/>
  <c r="EH538" i="20"/>
  <c r="EL473" i="20"/>
  <c r="DZ472" i="20"/>
  <c r="EU539" i="20"/>
  <c r="ED517" i="20"/>
  <c r="ED494" i="20"/>
  <c r="ED496" i="20" s="1"/>
  <c r="ED497" i="20" s="1"/>
  <c r="EP494" i="20"/>
  <c r="EP496" i="20" s="1"/>
  <c r="EP497" i="20" s="1"/>
  <c r="EV472" i="20"/>
  <c r="EV474" i="20" s="1"/>
  <c r="EV475" i="20" s="1"/>
  <c r="EB495" i="20"/>
  <c r="EF516" i="20"/>
  <c r="EF518" i="20" s="1"/>
  <c r="EF519" i="20" s="1"/>
  <c r="EN538" i="20"/>
  <c r="EE473" i="20"/>
  <c r="EA538" i="20"/>
  <c r="EG494" i="20"/>
  <c r="EG496" i="20" s="1"/>
  <c r="EG497" i="20" s="1"/>
  <c r="EW516" i="20"/>
  <c r="EW518" i="20" s="1"/>
  <c r="EW519" i="20" s="1"/>
  <c r="EO539" i="20"/>
  <c r="EY495" i="20"/>
  <c r="EH472" i="20"/>
  <c r="EI539" i="20"/>
  <c r="ED538" i="20"/>
  <c r="ED540" i="20" s="1"/>
  <c r="ED541" i="20" s="1"/>
  <c r="EL494" i="20"/>
  <c r="EH539" i="20"/>
  <c r="EH517" i="20"/>
  <c r="EJ472" i="20"/>
  <c r="ER494" i="20"/>
  <c r="ER496" i="20" s="1"/>
  <c r="ER497" i="20" s="1"/>
  <c r="EZ516" i="20"/>
  <c r="EZ518" i="20" s="1"/>
  <c r="EZ519" i="20" s="1"/>
  <c r="EF539" i="20"/>
  <c r="EU494" i="20"/>
  <c r="EU496" i="20" s="1"/>
  <c r="EU497" i="20" s="1"/>
  <c r="EK472" i="20"/>
  <c r="EC495" i="20"/>
  <c r="ES517" i="20"/>
  <c r="EA473" i="20"/>
  <c r="EA495" i="20"/>
  <c r="EX494" i="20"/>
  <c r="EX496" i="20" s="1"/>
  <c r="EX497" i="20" s="1"/>
  <c r="EQ538" i="20"/>
  <c r="EQ540" i="20" s="1"/>
  <c r="EQ541" i="20" s="1"/>
  <c r="EH473" i="20"/>
  <c r="ET517" i="20"/>
  <c r="EL495" i="20"/>
  <c r="GL240" i="20"/>
  <c r="GL242" i="20" s="1"/>
  <c r="GL243" i="20" s="1"/>
  <c r="HB240" i="20"/>
  <c r="HB242" i="20" s="1"/>
  <c r="HB243" i="20" s="1"/>
  <c r="GR241" i="20"/>
  <c r="HH241" i="20"/>
  <c r="GY240" i="20"/>
  <c r="GT241" i="20"/>
  <c r="GL262" i="20"/>
  <c r="HB262" i="20"/>
  <c r="GR263" i="20"/>
  <c r="HH263" i="20"/>
  <c r="GT284" i="20"/>
  <c r="GJ285" i="20"/>
  <c r="GZ285" i="20"/>
  <c r="GL306" i="20"/>
  <c r="HB306" i="20"/>
  <c r="GR307" i="20"/>
  <c r="HH307" i="20"/>
  <c r="HC240" i="20"/>
  <c r="HC242" i="20" s="1"/>
  <c r="HC243" i="20" s="1"/>
  <c r="GS241" i="20"/>
  <c r="GO262" i="20"/>
  <c r="HE262" i="20"/>
  <c r="HE264" i="20" s="1"/>
  <c r="HE265" i="20" s="1"/>
  <c r="GU263" i="20"/>
  <c r="GK284" i="20"/>
  <c r="HA284" i="20"/>
  <c r="GQ285" i="20"/>
  <c r="HG285" i="20"/>
  <c r="GW306" i="20"/>
  <c r="GM307" i="20"/>
  <c r="HC307" i="20"/>
  <c r="GK241" i="20"/>
  <c r="GV262" i="20"/>
  <c r="HB263" i="20"/>
  <c r="GL285" i="20"/>
  <c r="GV306" i="20"/>
  <c r="HB307" i="20"/>
  <c r="GW241" i="20"/>
  <c r="GY262" i="20"/>
  <c r="HE263" i="20"/>
  <c r="HG284" i="20"/>
  <c r="HG286" i="20" s="1"/>
  <c r="HG287" i="20" s="1"/>
  <c r="GI306" i="20"/>
  <c r="GO307" i="20"/>
  <c r="HA241" i="20"/>
  <c r="GX263" i="20"/>
  <c r="GX285" i="20"/>
  <c r="GX307" i="20"/>
  <c r="HC306" i="20"/>
  <c r="GK263" i="20"/>
  <c r="HA285" i="20"/>
  <c r="GK240" i="20"/>
  <c r="GK242" i="20" s="1"/>
  <c r="GK243" i="20" s="1"/>
  <c r="HC284" i="20"/>
  <c r="HE240" i="20"/>
  <c r="HE242" i="20" s="1"/>
  <c r="HE243" i="20" s="1"/>
  <c r="GZ284" i="20"/>
  <c r="GZ286" i="20" s="1"/>
  <c r="GZ287" i="20" s="1"/>
  <c r="GP307" i="20"/>
  <c r="GP241" i="20"/>
  <c r="GP240" i="20"/>
  <c r="GP242" i="20" s="1"/>
  <c r="GP243" i="20" s="1"/>
  <c r="HF240" i="20"/>
  <c r="HF242" i="20" s="1"/>
  <c r="HF243" i="20" s="1"/>
  <c r="GV241" i="20"/>
  <c r="GI240" i="20"/>
  <c r="HD240" i="20"/>
  <c r="HD242" i="20" s="1"/>
  <c r="HD243" i="20" s="1"/>
  <c r="GY241" i="20"/>
  <c r="GP262" i="20"/>
  <c r="HF262" i="20"/>
  <c r="HF264" i="20" s="1"/>
  <c r="HF265" i="20" s="1"/>
  <c r="GV263" i="20"/>
  <c r="GH284" i="20"/>
  <c r="GX284" i="20"/>
  <c r="GN285" i="20"/>
  <c r="HD285" i="20"/>
  <c r="GP306" i="20"/>
  <c r="HF306" i="20"/>
  <c r="GV307" i="20"/>
  <c r="GM240" i="20"/>
  <c r="HH240" i="20"/>
  <c r="HH242" i="20" s="1"/>
  <c r="HH243" i="20" s="1"/>
  <c r="GX241" i="20"/>
  <c r="GS262" i="20"/>
  <c r="GI263" i="20"/>
  <c r="GY263" i="20"/>
  <c r="GO284" i="20"/>
  <c r="HE284" i="20"/>
  <c r="GU285" i="20"/>
  <c r="GK306" i="20"/>
  <c r="HA306" i="20"/>
  <c r="GQ307" i="20"/>
  <c r="HG307" i="20"/>
  <c r="GU241" i="20"/>
  <c r="HD262" i="20"/>
  <c r="HD264" i="20" s="1"/>
  <c r="HD265" i="20" s="1"/>
  <c r="GN284" i="20"/>
  <c r="GN286" i="20" s="1"/>
  <c r="GN287" i="20" s="1"/>
  <c r="GT285" i="20"/>
  <c r="HD306" i="20"/>
  <c r="HD308" i="20" s="1"/>
  <c r="HD309" i="20" s="1"/>
  <c r="GQ240" i="20"/>
  <c r="GQ242" i="20" s="1"/>
  <c r="GQ243" i="20" s="1"/>
  <c r="HG241" i="20"/>
  <c r="HG262" i="20"/>
  <c r="HG264" i="20" s="1"/>
  <c r="HG265" i="20" s="1"/>
  <c r="GI284" i="20"/>
  <c r="GO285" i="20"/>
  <c r="GQ306" i="20"/>
  <c r="GQ308" i="20" s="1"/>
  <c r="GQ309" i="20" s="1"/>
  <c r="GW307" i="20"/>
  <c r="GR262" i="20"/>
  <c r="GR264" i="20" s="1"/>
  <c r="GR265" i="20" s="1"/>
  <c r="GR284" i="20"/>
  <c r="GR306" i="20"/>
  <c r="GM262" i="20"/>
  <c r="GV240" i="20"/>
  <c r="GV242" i="20" s="1"/>
  <c r="GV243" i="20" s="1"/>
  <c r="HA263" i="20"/>
  <c r="GU306" i="20"/>
  <c r="HG240" i="20"/>
  <c r="HG242" i="20" s="1"/>
  <c r="HG243" i="20" s="1"/>
  <c r="GS285" i="20"/>
  <c r="GZ262" i="20"/>
  <c r="GZ264" i="20" s="1"/>
  <c r="GZ265" i="20" s="1"/>
  <c r="GJ284" i="20"/>
  <c r="GJ240" i="20"/>
  <c r="GP285" i="20"/>
  <c r="GH240" i="20"/>
  <c r="GH242" i="20" s="1"/>
  <c r="GH243" i="20" s="1"/>
  <c r="GN241" i="20"/>
  <c r="GS240" i="20"/>
  <c r="GS242" i="20" s="1"/>
  <c r="GS243" i="20" s="1"/>
  <c r="GH262" i="20"/>
  <c r="GH264" i="20" s="1"/>
  <c r="GH265" i="20" s="1"/>
  <c r="GN263" i="20"/>
  <c r="GP284" i="20"/>
  <c r="GV285" i="20"/>
  <c r="GX306" i="20"/>
  <c r="GX308" i="20" s="1"/>
  <c r="GX309" i="20" s="1"/>
  <c r="HD307" i="20"/>
  <c r="GM241" i="20"/>
  <c r="HA262" i="20"/>
  <c r="HG263" i="20"/>
  <c r="GM285" i="20"/>
  <c r="GS306" i="20"/>
  <c r="GY307" i="20"/>
  <c r="GN262" i="20"/>
  <c r="GN264" i="20" s="1"/>
  <c r="GN265" i="20" s="1"/>
  <c r="HD284" i="20"/>
  <c r="HD286" i="20" s="1"/>
  <c r="HD287" i="20" s="1"/>
  <c r="GQ262" i="20"/>
  <c r="GY284" i="20"/>
  <c r="HG306" i="20"/>
  <c r="HG308" i="20" s="1"/>
  <c r="HG309" i="20" s="1"/>
  <c r="GH263" i="20"/>
  <c r="GH307" i="20"/>
  <c r="GU262" i="20"/>
  <c r="GU264" i="20" s="1"/>
  <c r="GU265" i="20" s="1"/>
  <c r="HA307" i="20"/>
  <c r="GS307" i="20"/>
  <c r="GJ306" i="20"/>
  <c r="GJ241" i="20"/>
  <c r="HE241" i="20"/>
  <c r="GR285" i="20"/>
  <c r="GZ307" i="20"/>
  <c r="HC263" i="20"/>
  <c r="GU307" i="20"/>
  <c r="GL307" i="20"/>
  <c r="GY306" i="20"/>
  <c r="HB241" i="20"/>
  <c r="HF307" i="20"/>
  <c r="GO241" i="20"/>
  <c r="HF284" i="20"/>
  <c r="GW240" i="20"/>
  <c r="GW284" i="20"/>
  <c r="GW286" i="20" s="1"/>
  <c r="GW287" i="20" s="1"/>
  <c r="GZ240" i="20"/>
  <c r="GZ242" i="20" s="1"/>
  <c r="GZ243" i="20" s="1"/>
  <c r="GL241" i="20"/>
  <c r="GU240" i="20"/>
  <c r="GK285" i="20"/>
  <c r="GJ262" i="20"/>
  <c r="GJ264" i="20" s="1"/>
  <c r="GJ265" i="20" s="1"/>
  <c r="GT240" i="20"/>
  <c r="GT242" i="20" s="1"/>
  <c r="GT243" i="20" s="1"/>
  <c r="GZ241" i="20"/>
  <c r="GI241" i="20"/>
  <c r="GT262" i="20"/>
  <c r="GZ263" i="20"/>
  <c r="HB284" i="20"/>
  <c r="HB286" i="20" s="1"/>
  <c r="HB287" i="20" s="1"/>
  <c r="HH285" i="20"/>
  <c r="GJ307" i="20"/>
  <c r="GR240" i="20"/>
  <c r="GR242" i="20" s="1"/>
  <c r="GR243" i="20" s="1"/>
  <c r="HC241" i="20"/>
  <c r="GM263" i="20"/>
  <c r="GS284" i="20"/>
  <c r="GY285" i="20"/>
  <c r="HE306" i="20"/>
  <c r="HE308" i="20" s="1"/>
  <c r="HE309" i="20" s="1"/>
  <c r="GO240" i="20"/>
  <c r="GO242" i="20" s="1"/>
  <c r="GO243" i="20" s="1"/>
  <c r="GL263" i="20"/>
  <c r="HB285" i="20"/>
  <c r="HA240" i="20"/>
  <c r="HA242" i="20" s="1"/>
  <c r="HA243" i="20" s="1"/>
  <c r="GO263" i="20"/>
  <c r="GW285" i="20"/>
  <c r="HE307" i="20"/>
  <c r="HH284" i="20"/>
  <c r="HH286" i="20" s="1"/>
  <c r="HH287" i="20" s="1"/>
  <c r="GS263" i="20"/>
  <c r="GU284" i="20"/>
  <c r="GU286" i="20" s="1"/>
  <c r="GU287" i="20" s="1"/>
  <c r="GQ241" i="20"/>
  <c r="HF263" i="20"/>
  <c r="GP263" i="20"/>
  <c r="GT307" i="20"/>
  <c r="GN240" i="20"/>
  <c r="GN242" i="20" s="1"/>
  <c r="GN243" i="20" s="1"/>
  <c r="GJ263" i="20"/>
  <c r="GL284" i="20"/>
  <c r="GL286" i="20" s="1"/>
  <c r="GL287" i="20" s="1"/>
  <c r="GT306" i="20"/>
  <c r="GT308" i="20" s="1"/>
  <c r="GT309" i="20" s="1"/>
  <c r="GH241" i="20"/>
  <c r="GW262" i="20"/>
  <c r="GI285" i="20"/>
  <c r="GO306" i="20"/>
  <c r="GO308" i="20" s="1"/>
  <c r="GO309" i="20" s="1"/>
  <c r="HF241" i="20"/>
  <c r="GV284" i="20"/>
  <c r="GV286" i="20" s="1"/>
  <c r="GV287" i="20" s="1"/>
  <c r="GI262" i="20"/>
  <c r="GI264" i="20" s="1"/>
  <c r="GI265" i="20" s="1"/>
  <c r="GQ284" i="20"/>
  <c r="GQ286" i="20" s="1"/>
  <c r="GQ287" i="20" s="1"/>
  <c r="HH262" i="20"/>
  <c r="HH264" i="20" s="1"/>
  <c r="HH265" i="20" s="1"/>
  <c r="HH306" i="20"/>
  <c r="GK307" i="20"/>
  <c r="GM306" i="20"/>
  <c r="GZ306" i="20"/>
  <c r="GZ308" i="20" s="1"/>
  <c r="GZ309" i="20" s="1"/>
  <c r="GX240" i="20"/>
  <c r="HD241" i="20"/>
  <c r="GX262" i="20"/>
  <c r="GX264" i="20" s="1"/>
  <c r="GX265" i="20" s="1"/>
  <c r="HD263" i="20"/>
  <c r="GH306" i="20"/>
  <c r="GN307" i="20"/>
  <c r="GK262" i="20"/>
  <c r="GK264" i="20" s="1"/>
  <c r="GK265" i="20" s="1"/>
  <c r="GQ263" i="20"/>
  <c r="HC285" i="20"/>
  <c r="GI307" i="20"/>
  <c r="GT263" i="20"/>
  <c r="GN306" i="20"/>
  <c r="GW263" i="20"/>
  <c r="HE285" i="20"/>
  <c r="GH285" i="20"/>
  <c r="GM284" i="20"/>
  <c r="HC262" i="20"/>
  <c r="HC264" i="20" s="1"/>
  <c r="HC265" i="20" s="1"/>
  <c r="HF285" i="20"/>
  <c r="GR334" i="20"/>
  <c r="HL334" i="20"/>
  <c r="GO472" i="20"/>
  <c r="HE472" i="20"/>
  <c r="GU473" i="20"/>
  <c r="GK494" i="20"/>
  <c r="HA494" i="20"/>
  <c r="GQ495" i="20"/>
  <c r="HG495" i="20"/>
  <c r="GW516" i="20"/>
  <c r="GM517" i="20"/>
  <c r="HC517" i="20"/>
  <c r="GS538" i="20"/>
  <c r="GI539" i="20"/>
  <c r="GY539" i="20"/>
  <c r="GR472" i="20"/>
  <c r="GT473" i="20"/>
  <c r="GZ494" i="20"/>
  <c r="GX495" i="20"/>
  <c r="HH516" i="20"/>
  <c r="HH518" i="20" s="1"/>
  <c r="HH519" i="20" s="1"/>
  <c r="HF517" i="20"/>
  <c r="GT472" i="20"/>
  <c r="GJ473" i="20"/>
  <c r="GZ473" i="20"/>
  <c r="GL494" i="20"/>
  <c r="HB494" i="20"/>
  <c r="GR495" i="20"/>
  <c r="HH495" i="20"/>
  <c r="GT516" i="20"/>
  <c r="GJ517" i="20"/>
  <c r="GZ517" i="20"/>
  <c r="GL538" i="20"/>
  <c r="HB538" i="20"/>
  <c r="HB540" i="20" s="1"/>
  <c r="HB541" i="20" s="1"/>
  <c r="GR539" i="20"/>
  <c r="HH539" i="20"/>
  <c r="GH473" i="20"/>
  <c r="GN494" i="20"/>
  <c r="GN496" i="20" s="1"/>
  <c r="GN497" i="20" s="1"/>
  <c r="GT495" i="20"/>
  <c r="GV516" i="20"/>
  <c r="HB517" i="20"/>
  <c r="GU494" i="20"/>
  <c r="GU496" i="20" s="1"/>
  <c r="GU497" i="20" s="1"/>
  <c r="GK517" i="20"/>
  <c r="HD538" i="20"/>
  <c r="GQ472" i="20"/>
  <c r="GW517" i="20"/>
  <c r="GM472" i="20"/>
  <c r="GM516" i="20"/>
  <c r="GM518" i="20" s="1"/>
  <c r="GM519" i="20" s="1"/>
  <c r="GI472" i="20"/>
  <c r="GI494" i="20"/>
  <c r="GI496" i="20" s="1"/>
  <c r="GI497" i="20" s="1"/>
  <c r="GI516" i="20"/>
  <c r="GI538" i="20"/>
  <c r="GO539" i="20"/>
  <c r="GQ494" i="20"/>
  <c r="HC538" i="20"/>
  <c r="HC516" i="20"/>
  <c r="GH539" i="20"/>
  <c r="GS472" i="20"/>
  <c r="GI473" i="20"/>
  <c r="GY473" i="20"/>
  <c r="GO494" i="20"/>
  <c r="HE494" i="20"/>
  <c r="HE496" i="20" s="1"/>
  <c r="HE497" i="20" s="1"/>
  <c r="GU495" i="20"/>
  <c r="GK516" i="20"/>
  <c r="GK518" i="20" s="1"/>
  <c r="GK519" i="20" s="1"/>
  <c r="HA516" i="20"/>
  <c r="GQ517" i="20"/>
  <c r="HG517" i="20"/>
  <c r="GW538" i="20"/>
  <c r="GW540" i="20" s="1"/>
  <c r="GW541" i="20" s="1"/>
  <c r="GM539" i="20"/>
  <c r="HC539" i="20"/>
  <c r="GZ472" i="20"/>
  <c r="HB473" i="20"/>
  <c r="HH494" i="20"/>
  <c r="HH496" i="20" s="1"/>
  <c r="HH497" i="20" s="1"/>
  <c r="HB495" i="20"/>
  <c r="GH517" i="20"/>
  <c r="GH472" i="20"/>
  <c r="GX472" i="20"/>
  <c r="GN473" i="20"/>
  <c r="HD473" i="20"/>
  <c r="GP494" i="20"/>
  <c r="HF494" i="20"/>
  <c r="GV495" i="20"/>
  <c r="GH516" i="20"/>
  <c r="GH518" i="20" s="1"/>
  <c r="GH519" i="20" s="1"/>
  <c r="GX516" i="20"/>
  <c r="GN517" i="20"/>
  <c r="HD517" i="20"/>
  <c r="GP538" i="20"/>
  <c r="HF538" i="20"/>
  <c r="GV539" i="20"/>
  <c r="GJ472" i="20"/>
  <c r="GP473" i="20"/>
  <c r="GV494" i="20"/>
  <c r="HF495" i="20"/>
  <c r="HD516" i="20"/>
  <c r="HD518" i="20" s="1"/>
  <c r="HD519" i="20" s="1"/>
  <c r="GU472" i="20"/>
  <c r="GK495" i="20"/>
  <c r="HA517" i="20"/>
  <c r="GL539" i="20"/>
  <c r="GW473" i="20"/>
  <c r="GU538" i="20"/>
  <c r="GS473" i="20"/>
  <c r="GJ538" i="20"/>
  <c r="GY472" i="20"/>
  <c r="GY494" i="20"/>
  <c r="GY516" i="20"/>
  <c r="GY518" i="20" s="1"/>
  <c r="GY519" i="20" s="1"/>
  <c r="GQ538" i="20"/>
  <c r="GQ540" i="20" s="1"/>
  <c r="GQ541" i="20" s="1"/>
  <c r="GW539" i="20"/>
  <c r="GW495" i="20"/>
  <c r="GS539" i="20"/>
  <c r="GS517" i="20"/>
  <c r="GP539" i="20"/>
  <c r="GK472" i="20"/>
  <c r="GQ473" i="20"/>
  <c r="GW494" i="20"/>
  <c r="GW496" i="20" s="1"/>
  <c r="GW497" i="20" s="1"/>
  <c r="HC495" i="20"/>
  <c r="GI517" i="20"/>
  <c r="GO538" i="20"/>
  <c r="GO540" i="20" s="1"/>
  <c r="GO541" i="20" s="1"/>
  <c r="GU539" i="20"/>
  <c r="GL473" i="20"/>
  <c r="GP495" i="20"/>
  <c r="GX517" i="20"/>
  <c r="HF472" i="20"/>
  <c r="GH494" i="20"/>
  <c r="GN495" i="20"/>
  <c r="GP516" i="20"/>
  <c r="GP518" i="20" s="1"/>
  <c r="GP519" i="20" s="1"/>
  <c r="GV517" i="20"/>
  <c r="GX538" i="20"/>
  <c r="HD539" i="20"/>
  <c r="HF473" i="20"/>
  <c r="GR516" i="20"/>
  <c r="GR518" i="20" s="1"/>
  <c r="GR519" i="20" s="1"/>
  <c r="HA473" i="20"/>
  <c r="GV538" i="20"/>
  <c r="GQ516" i="20"/>
  <c r="GQ518" i="20" s="1"/>
  <c r="GQ519" i="20" s="1"/>
  <c r="HC494" i="20"/>
  <c r="HC496" i="20" s="1"/>
  <c r="HC497" i="20" s="1"/>
  <c r="HE473" i="20"/>
  <c r="HE517" i="20"/>
  <c r="HG472" i="20"/>
  <c r="GS495" i="20"/>
  <c r="GM473" i="20"/>
  <c r="GY495" i="20"/>
  <c r="GK538" i="20"/>
  <c r="HH472" i="20"/>
  <c r="GP517" i="20"/>
  <c r="HH473" i="20"/>
  <c r="GL516" i="20"/>
  <c r="GL518" i="20" s="1"/>
  <c r="GL519" i="20" s="1"/>
  <c r="GT538" i="20"/>
  <c r="GX473" i="20"/>
  <c r="GK473" i="20"/>
  <c r="HG494" i="20"/>
  <c r="HG496" i="20" s="1"/>
  <c r="HG497" i="20" s="1"/>
  <c r="GO473" i="20"/>
  <c r="HE539" i="20"/>
  <c r="HF539" i="20"/>
  <c r="GX494" i="20"/>
  <c r="GX496" i="20" s="1"/>
  <c r="GX497" i="20" s="1"/>
  <c r="GL495" i="20"/>
  <c r="HB539" i="20"/>
  <c r="HE495" i="20"/>
  <c r="HH538" i="20"/>
  <c r="HH540" i="20" s="1"/>
  <c r="HH541" i="20" s="1"/>
  <c r="GW472" i="20"/>
  <c r="HC473" i="20"/>
  <c r="GI495" i="20"/>
  <c r="GO516" i="20"/>
  <c r="GO518" i="20" s="1"/>
  <c r="GO519" i="20" s="1"/>
  <c r="GU517" i="20"/>
  <c r="HA538" i="20"/>
  <c r="HG539" i="20"/>
  <c r="GJ494" i="20"/>
  <c r="GJ496" i="20" s="1"/>
  <c r="GJ497" i="20" s="1"/>
  <c r="GN516" i="20"/>
  <c r="GL472" i="20"/>
  <c r="GR473" i="20"/>
  <c r="GT494" i="20"/>
  <c r="GT496" i="20" s="1"/>
  <c r="GT497" i="20" s="1"/>
  <c r="GZ495" i="20"/>
  <c r="HB516" i="20"/>
  <c r="HH517" i="20"/>
  <c r="GJ539" i="20"/>
  <c r="GV472" i="20"/>
  <c r="HD494" i="20"/>
  <c r="GL517" i="20"/>
  <c r="HA495" i="20"/>
  <c r="GT539" i="20"/>
  <c r="GK539" i="20"/>
  <c r="GZ538" i="20"/>
  <c r="GO495" i="20"/>
  <c r="GY538" i="20"/>
  <c r="GY540" i="20" s="1"/>
  <c r="GY541" i="20" s="1"/>
  <c r="HG516" i="20"/>
  <c r="HG518" i="20" s="1"/>
  <c r="HG519" i="20" s="1"/>
  <c r="GR538" i="20"/>
  <c r="GR540" i="20" s="1"/>
  <c r="GR541" i="20" s="1"/>
  <c r="GS494" i="20"/>
  <c r="GS496" i="20" s="1"/>
  <c r="GS497" i="20" s="1"/>
  <c r="HE516" i="20"/>
  <c r="HE518" i="20" s="1"/>
  <c r="HE519" i="20" s="1"/>
  <c r="GQ539" i="20"/>
  <c r="GH495" i="20"/>
  <c r="HB472" i="20"/>
  <c r="GJ495" i="20"/>
  <c r="GR517" i="20"/>
  <c r="GZ539" i="20"/>
  <c r="GJ516" i="20"/>
  <c r="GN538" i="20"/>
  <c r="GM494" i="20"/>
  <c r="GO517" i="20"/>
  <c r="HC472" i="20"/>
  <c r="HA472" i="20"/>
  <c r="HG473" i="20"/>
  <c r="GM495" i="20"/>
  <c r="GS516" i="20"/>
  <c r="GS518" i="20" s="1"/>
  <c r="GS519" i="20" s="1"/>
  <c r="GY517" i="20"/>
  <c r="HE538" i="20"/>
  <c r="HE540" i="20" s="1"/>
  <c r="HE541" i="20" s="1"/>
  <c r="GN472" i="20"/>
  <c r="GR494" i="20"/>
  <c r="GR496" i="20" s="1"/>
  <c r="GR497" i="20" s="1"/>
  <c r="GZ516" i="20"/>
  <c r="GZ518" i="20" s="1"/>
  <c r="GZ519" i="20" s="1"/>
  <c r="GP472" i="20"/>
  <c r="GV473" i="20"/>
  <c r="HD495" i="20"/>
  <c r="HF516" i="20"/>
  <c r="HF518" i="20" s="1"/>
  <c r="HF519" i="20" s="1"/>
  <c r="GH538" i="20"/>
  <c r="GN539" i="20"/>
  <c r="HD472" i="20"/>
  <c r="GT517" i="20"/>
  <c r="GU516" i="20"/>
  <c r="HA539" i="20"/>
  <c r="GX539" i="20"/>
  <c r="HG538" i="20"/>
  <c r="HG540" i="20" s="1"/>
  <c r="HG541" i="20" s="1"/>
  <c r="GM538" i="20"/>
  <c r="EK240" i="20"/>
  <c r="EC241" i="20"/>
  <c r="ES241" i="20"/>
  <c r="EL240" i="20"/>
  <c r="EI241" i="20"/>
  <c r="EC262" i="20"/>
  <c r="EC264" i="20" s="1"/>
  <c r="EC265" i="20" s="1"/>
  <c r="ES262" i="20"/>
  <c r="EK263" i="20"/>
  <c r="EC284" i="20"/>
  <c r="ES284" i="20"/>
  <c r="ES286" i="20" s="1"/>
  <c r="ES287" i="20" s="1"/>
  <c r="EK285" i="20"/>
  <c r="EC306" i="20"/>
  <c r="ES306" i="20"/>
  <c r="EK307" i="20"/>
  <c r="DZ240" i="20"/>
  <c r="DZ242" i="20" s="1"/>
  <c r="DZ243" i="20" s="1"/>
  <c r="EU240" i="20"/>
  <c r="EU242" i="20" s="1"/>
  <c r="EU243" i="20" s="1"/>
  <c r="EM241" i="20"/>
  <c r="EF262" i="20"/>
  <c r="EF264" i="20" s="1"/>
  <c r="EF265" i="20" s="1"/>
  <c r="EV262" i="20"/>
  <c r="EV264" i="20" s="1"/>
  <c r="EV265" i="20" s="1"/>
  <c r="EJ263" i="20"/>
  <c r="EZ263" i="20"/>
  <c r="EN284" i="20"/>
  <c r="EN286" i="20" s="1"/>
  <c r="EN287" i="20" s="1"/>
  <c r="EB285" i="20"/>
  <c r="ER285" i="20"/>
  <c r="EF306" i="20"/>
  <c r="EV306" i="20"/>
  <c r="EV308" i="20" s="1"/>
  <c r="EV309" i="20" s="1"/>
  <c r="EJ307" i="20"/>
  <c r="EZ307" i="20"/>
  <c r="DZ241" i="20"/>
  <c r="EI262" i="20"/>
  <c r="EI264" i="20" s="1"/>
  <c r="EI265" i="20" s="1"/>
  <c r="EI263" i="20"/>
  <c r="EI284" i="20"/>
  <c r="EI285" i="20"/>
  <c r="EI306" i="20"/>
  <c r="EI308" i="20" s="1"/>
  <c r="EI309" i="20" s="1"/>
  <c r="EI307" i="20"/>
  <c r="EN240" i="20"/>
  <c r="EV241" i="20"/>
  <c r="ED263" i="20"/>
  <c r="EL284" i="20"/>
  <c r="EL286" i="20" s="1"/>
  <c r="EL287" i="20" s="1"/>
  <c r="ET285" i="20"/>
  <c r="ED307" i="20"/>
  <c r="EE241" i="20"/>
  <c r="EM263" i="20"/>
  <c r="EE306" i="20"/>
  <c r="EH263" i="20"/>
  <c r="EX285" i="20"/>
  <c r="EO240" i="20"/>
  <c r="EG241" i="20"/>
  <c r="EW241" i="20"/>
  <c r="EQ240" i="20"/>
  <c r="EQ242" i="20" s="1"/>
  <c r="EQ243" i="20" s="1"/>
  <c r="EN241" i="20"/>
  <c r="EG262" i="20"/>
  <c r="EW262" i="20"/>
  <c r="EW264" i="20" s="1"/>
  <c r="EW265" i="20" s="1"/>
  <c r="EO263" i="20"/>
  <c r="EG284" i="20"/>
  <c r="EG286" i="20" s="1"/>
  <c r="EG287" i="20" s="1"/>
  <c r="EW284" i="20"/>
  <c r="EO285" i="20"/>
  <c r="EG306" i="20"/>
  <c r="EW306" i="20"/>
  <c r="EO307" i="20"/>
  <c r="EE240" i="20"/>
  <c r="EZ240" i="20"/>
  <c r="EZ242" i="20" s="1"/>
  <c r="EZ243" i="20" s="1"/>
  <c r="ER241" i="20"/>
  <c r="EJ262" i="20"/>
  <c r="EJ264" i="20" s="1"/>
  <c r="EJ265" i="20" s="1"/>
  <c r="EZ262" i="20"/>
  <c r="EZ264" i="20" s="1"/>
  <c r="EZ265" i="20" s="1"/>
  <c r="EN263" i="20"/>
  <c r="EB284" i="20"/>
  <c r="EB286" i="20" s="1"/>
  <c r="EB287" i="20" s="1"/>
  <c r="ER284" i="20"/>
  <c r="ER286" i="20" s="1"/>
  <c r="ER287" i="20" s="1"/>
  <c r="EF285" i="20"/>
  <c r="EV285" i="20"/>
  <c r="EJ306" i="20"/>
  <c r="EJ308" i="20" s="1"/>
  <c r="EJ309" i="20" s="1"/>
  <c r="EZ306" i="20"/>
  <c r="EZ308" i="20" s="1"/>
  <c r="EZ309" i="20" s="1"/>
  <c r="EN307" i="20"/>
  <c r="EB240" i="20"/>
  <c r="EB242" i="20" s="1"/>
  <c r="EB243" i="20" s="1"/>
  <c r="EJ241" i="20"/>
  <c r="EQ262" i="20"/>
  <c r="EQ264" i="20" s="1"/>
  <c r="EQ265" i="20" s="1"/>
  <c r="EQ263" i="20"/>
  <c r="EQ284" i="20"/>
  <c r="EQ286" i="20" s="1"/>
  <c r="EQ287" i="20" s="1"/>
  <c r="EQ285" i="20"/>
  <c r="EQ306" i="20"/>
  <c r="EQ308" i="20" s="1"/>
  <c r="EQ309" i="20" s="1"/>
  <c r="EQ307" i="20"/>
  <c r="EY240" i="20"/>
  <c r="EY242" i="20" s="1"/>
  <c r="EY243" i="20" s="1"/>
  <c r="ED262" i="20"/>
  <c r="EL263" i="20"/>
  <c r="ET284" i="20"/>
  <c r="ET286" i="20" s="1"/>
  <c r="ET287" i="20" s="1"/>
  <c r="ED306" i="20"/>
  <c r="EL307" i="20"/>
  <c r="EZ241" i="20"/>
  <c r="EE284" i="20"/>
  <c r="EU306" i="20"/>
  <c r="EU308" i="20" s="1"/>
  <c r="EU309" i="20" s="1"/>
  <c r="DZ284" i="20"/>
  <c r="EW240" i="20"/>
  <c r="EW242" i="20" s="1"/>
  <c r="EW243" i="20" s="1"/>
  <c r="EG263" i="20"/>
  <c r="EP240" i="20"/>
  <c r="ER306" i="20"/>
  <c r="ET262" i="20"/>
  <c r="EP285" i="20"/>
  <c r="EA240" i="20"/>
  <c r="EA242" i="20" s="1"/>
  <c r="EA243" i="20" s="1"/>
  <c r="EC263" i="20"/>
  <c r="EC307" i="20"/>
  <c r="EX241" i="20"/>
  <c r="EJ285" i="20"/>
  <c r="ER307" i="20"/>
  <c r="EY285" i="20"/>
  <c r="EL262" i="20"/>
  <c r="EL264" i="20" s="1"/>
  <c r="EL265" i="20" s="1"/>
  <c r="EU284" i="20"/>
  <c r="ET240" i="20"/>
  <c r="ET242" i="20" s="1"/>
  <c r="ET243" i="20" s="1"/>
  <c r="DZ285" i="20"/>
  <c r="EE285" i="20"/>
  <c r="EU285" i="20"/>
  <c r="EG240" i="20"/>
  <c r="EG242" i="20" s="1"/>
  <c r="EG243" i="20" s="1"/>
  <c r="EO262" i="20"/>
  <c r="EO306" i="20"/>
  <c r="EO308" i="20" s="1"/>
  <c r="EO309" i="20" s="1"/>
  <c r="ER262" i="20"/>
  <c r="ER264" i="20" s="1"/>
  <c r="ER265" i="20" s="1"/>
  <c r="EB306" i="20"/>
  <c r="EX240" i="20"/>
  <c r="EX242" i="20" s="1"/>
  <c r="EX243" i="20" s="1"/>
  <c r="EA285" i="20"/>
  <c r="EL241" i="20"/>
  <c r="EU262" i="20"/>
  <c r="EX262" i="20"/>
  <c r="EX264" i="20" s="1"/>
  <c r="EX265" i="20" s="1"/>
  <c r="EQ241" i="20"/>
  <c r="EM284" i="20"/>
  <c r="EM286" i="20" s="1"/>
  <c r="EM287" i="20" s="1"/>
  <c r="EC240" i="20"/>
  <c r="EK241" i="20"/>
  <c r="EV240" i="20"/>
  <c r="EV242" i="20" s="1"/>
  <c r="EV243" i="20" s="1"/>
  <c r="EK262" i="20"/>
  <c r="EK264" i="20" s="1"/>
  <c r="EK265" i="20" s="1"/>
  <c r="ES263" i="20"/>
  <c r="EC285" i="20"/>
  <c r="EK306" i="20"/>
  <c r="ES307" i="20"/>
  <c r="EB241" i="20"/>
  <c r="EN262" i="20"/>
  <c r="ER263" i="20"/>
  <c r="EV284" i="20"/>
  <c r="EV286" i="20" s="1"/>
  <c r="EV287" i="20" s="1"/>
  <c r="EZ285" i="20"/>
  <c r="EB307" i="20"/>
  <c r="EM240" i="20"/>
  <c r="EM242" i="20" s="1"/>
  <c r="EM243" i="20" s="1"/>
  <c r="EY262" i="20"/>
  <c r="EY264" i="20" s="1"/>
  <c r="EY265" i="20" s="1"/>
  <c r="EY284" i="20"/>
  <c r="EY286" i="20" s="1"/>
  <c r="EY287" i="20" s="1"/>
  <c r="EY306" i="20"/>
  <c r="EA241" i="20"/>
  <c r="ET263" i="20"/>
  <c r="EL306" i="20"/>
  <c r="EL308" i="20" s="1"/>
  <c r="EL309" i="20" s="1"/>
  <c r="EE262" i="20"/>
  <c r="EE264" i="20" s="1"/>
  <c r="EE265" i="20" s="1"/>
  <c r="EM307" i="20"/>
  <c r="EP306" i="20"/>
  <c r="EP308" i="20" s="1"/>
  <c r="EP309" i="20" s="1"/>
  <c r="EH262" i="20"/>
  <c r="EH264" i="20" s="1"/>
  <c r="EH265" i="20" s="1"/>
  <c r="EH284" i="20"/>
  <c r="EH306" i="20"/>
  <c r="EI240" i="20"/>
  <c r="EI242" i="20" s="1"/>
  <c r="EI243" i="20" s="1"/>
  <c r="DZ306" i="20"/>
  <c r="EU307" i="20"/>
  <c r="EE263" i="20"/>
  <c r="EU263" i="20"/>
  <c r="EF240" i="20"/>
  <c r="EF242" i="20" s="1"/>
  <c r="EF243" i="20" s="1"/>
  <c r="EY241" i="20"/>
  <c r="EO284" i="20"/>
  <c r="EO286" i="20" s="1"/>
  <c r="EO287" i="20" s="1"/>
  <c r="EW285" i="20"/>
  <c r="EG307" i="20"/>
  <c r="EB262" i="20"/>
  <c r="EF263" i="20"/>
  <c r="EJ284" i="20"/>
  <c r="EJ286" i="20" s="1"/>
  <c r="EJ287" i="20" s="1"/>
  <c r="EN285" i="20"/>
  <c r="EV307" i="20"/>
  <c r="EA262" i="20"/>
  <c r="EA284" i="20"/>
  <c r="EA286" i="20" s="1"/>
  <c r="EA287" i="20" s="1"/>
  <c r="EA306" i="20"/>
  <c r="ED240" i="20"/>
  <c r="EL285" i="20"/>
  <c r="ER240" i="20"/>
  <c r="ER242" i="20" s="1"/>
  <c r="ER243" i="20" s="1"/>
  <c r="EM285" i="20"/>
  <c r="EH285" i="20"/>
  <c r="EF241" i="20"/>
  <c r="EP263" i="20"/>
  <c r="EP307" i="20"/>
  <c r="EX263" i="20"/>
  <c r="EM306" i="20"/>
  <c r="EM308" i="20" s="1"/>
  <c r="EM309" i="20" s="1"/>
  <c r="EP241" i="20"/>
  <c r="EE307" i="20"/>
  <c r="ES240" i="20"/>
  <c r="ES242" i="20" s="1"/>
  <c r="ES243" i="20" s="1"/>
  <c r="ET241" i="20"/>
  <c r="EK284" i="20"/>
  <c r="EK286" i="20" s="1"/>
  <c r="EK287" i="20" s="1"/>
  <c r="ES285" i="20"/>
  <c r="EJ240" i="20"/>
  <c r="EB263" i="20"/>
  <c r="EF284" i="20"/>
  <c r="EF286" i="20" s="1"/>
  <c r="EF287" i="20" s="1"/>
  <c r="EN306" i="20"/>
  <c r="EN308" i="20" s="1"/>
  <c r="EN309" i="20" s="1"/>
  <c r="EU241" i="20"/>
  <c r="EY263" i="20"/>
  <c r="EY307" i="20"/>
  <c r="ED285" i="20"/>
  <c r="ET307" i="20"/>
  <c r="EP284" i="20"/>
  <c r="EP286" i="20" s="1"/>
  <c r="EP287" i="20" s="1"/>
  <c r="DZ263" i="20"/>
  <c r="DZ307" i="20"/>
  <c r="EP262" i="20"/>
  <c r="EM262" i="20"/>
  <c r="EO241" i="20"/>
  <c r="ED241" i="20"/>
  <c r="EW263" i="20"/>
  <c r="EG285" i="20"/>
  <c r="EW307" i="20"/>
  <c r="EH241" i="20"/>
  <c r="EV263" i="20"/>
  <c r="EZ284" i="20"/>
  <c r="EZ286" i="20" s="1"/>
  <c r="EZ287" i="20" s="1"/>
  <c r="EF307" i="20"/>
  <c r="EA263" i="20"/>
  <c r="EA307" i="20"/>
  <c r="ED284" i="20"/>
  <c r="ET306" i="20"/>
  <c r="ET308" i="20" s="1"/>
  <c r="ET309" i="20" s="1"/>
  <c r="DZ262" i="20"/>
  <c r="EX307" i="20"/>
  <c r="EX284" i="20"/>
  <c r="EX306" i="20"/>
  <c r="EX308" i="20" s="1"/>
  <c r="EX309" i="20" s="1"/>
  <c r="EH307" i="20"/>
  <c r="EH240" i="20"/>
  <c r="BG289" i="21"/>
  <c r="BZ283" i="21"/>
  <c r="G88" i="21"/>
  <c r="G70" i="21" s="1"/>
  <c r="AE70" i="21" s="1"/>
  <c r="O50" i="8" s="1"/>
  <c r="T127" i="21"/>
  <c r="CJ227" i="21"/>
  <c r="BR233" i="21" s="1"/>
  <c r="CC227" i="21"/>
  <c r="BK233" i="21" s="1"/>
  <c r="BH233" i="21"/>
  <c r="CH227" i="21"/>
  <c r="BP233" i="21" s="1"/>
  <c r="CB227" i="21"/>
  <c r="BJ233" i="21" s="1"/>
  <c r="CA227" i="21"/>
  <c r="BI233" i="21" s="1"/>
  <c r="CE227" i="21"/>
  <c r="BM233" i="21" s="1"/>
  <c r="CG227" i="21"/>
  <c r="BO233" i="21" s="1"/>
  <c r="CF227" i="21"/>
  <c r="BN233" i="21" s="1"/>
  <c r="CI227" i="21"/>
  <c r="BQ233" i="21" s="1"/>
  <c r="AA127" i="21"/>
  <c r="BH179" i="21"/>
  <c r="CB173" i="21"/>
  <c r="BJ179" i="21" s="1"/>
  <c r="CH173" i="21"/>
  <c r="BP179" i="21" s="1"/>
  <c r="CI173" i="21"/>
  <c r="BQ179" i="21" s="1"/>
  <c r="CE173" i="21"/>
  <c r="BM179" i="21" s="1"/>
  <c r="CG173" i="21"/>
  <c r="BO179" i="21" s="1"/>
  <c r="CA173" i="21"/>
  <c r="BI179" i="21" s="1"/>
  <c r="CF173" i="21"/>
  <c r="BN179" i="21" s="1"/>
  <c r="CJ173" i="21"/>
  <c r="BR179" i="21" s="1"/>
  <c r="CC173" i="21"/>
  <c r="BK179" i="21" s="1"/>
  <c r="F70" i="21"/>
  <c r="AD70" i="21" s="1"/>
  <c r="N50" i="8" s="1"/>
  <c r="C95" i="21"/>
  <c r="AX56" i="21"/>
  <c r="U70" i="21"/>
  <c r="AP70" i="21" s="1"/>
  <c r="Q57" i="8" s="1"/>
  <c r="BL56" i="21"/>
  <c r="AP227" i="21"/>
  <c r="W233" i="21" s="1"/>
  <c r="F201" i="21" s="1"/>
  <c r="AO227" i="21"/>
  <c r="V233" i="21" s="1"/>
  <c r="E201" i="21" s="1"/>
  <c r="AS227" i="21"/>
  <c r="Z233" i="21" s="1"/>
  <c r="I201" i="21" s="1"/>
  <c r="AJ227" i="21"/>
  <c r="Q233" i="21" s="1"/>
  <c r="G194" i="21" s="1"/>
  <c r="AQ227" i="21"/>
  <c r="X233" i="21" s="1"/>
  <c r="G201" i="21" s="1"/>
  <c r="P233" i="21"/>
  <c r="F194" i="21" s="1"/>
  <c r="AL227" i="21"/>
  <c r="S233" i="21" s="1"/>
  <c r="I194" i="21" s="1"/>
  <c r="AR227" i="21"/>
  <c r="Y233" i="21" s="1"/>
  <c r="H201" i="21" s="1"/>
  <c r="AK227" i="21"/>
  <c r="R233" i="21" s="1"/>
  <c r="H194" i="21" s="1"/>
  <c r="AN227" i="21"/>
  <c r="U233" i="21" s="1"/>
  <c r="D201" i="21" s="1"/>
  <c r="AW72" i="21"/>
  <c r="E73" i="21"/>
  <c r="AC73" i="21" s="1"/>
  <c r="I70" i="21"/>
  <c r="AG70" i="21" s="1"/>
  <c r="Q50" i="8" s="1"/>
  <c r="BA56" i="21"/>
  <c r="AW62" i="21"/>
  <c r="E71" i="21"/>
  <c r="AC71" i="21" s="1"/>
  <c r="M51" i="8" s="1"/>
  <c r="S50" i="8" s="1"/>
  <c r="K41" i="8" s="1"/>
  <c r="P70" i="21"/>
  <c r="BG56" i="21"/>
  <c r="S70" i="21"/>
  <c r="AN70" i="21" s="1"/>
  <c r="O57" i="8" s="1"/>
  <c r="BJ56" i="21"/>
  <c r="H70" i="21"/>
  <c r="AF70" i="21" s="1"/>
  <c r="AZ56" i="21"/>
  <c r="AP173" i="21"/>
  <c r="W179" i="21" s="1"/>
  <c r="F147" i="21" s="1"/>
  <c r="AO173" i="21"/>
  <c r="V179" i="21" s="1"/>
  <c r="E147" i="21" s="1"/>
  <c r="AL173" i="21"/>
  <c r="S179" i="21" s="1"/>
  <c r="I140" i="21" s="1"/>
  <c r="P179" i="21"/>
  <c r="F140" i="21" s="1"/>
  <c r="AJ173" i="21"/>
  <c r="Q179" i="21" s="1"/>
  <c r="G140" i="21" s="1"/>
  <c r="AK173" i="21"/>
  <c r="R179" i="21" s="1"/>
  <c r="H140" i="21" s="1"/>
  <c r="AQ173" i="21"/>
  <c r="X179" i="21" s="1"/>
  <c r="G147" i="21" s="1"/>
  <c r="AS173" i="21"/>
  <c r="Z179" i="21" s="1"/>
  <c r="I147" i="21" s="1"/>
  <c r="AR173" i="21"/>
  <c r="Y179" i="21" s="1"/>
  <c r="H147" i="21" s="1"/>
  <c r="AN173" i="21"/>
  <c r="U179" i="21" s="1"/>
  <c r="D147" i="21" s="1"/>
  <c r="BK56" i="21"/>
  <c r="T70" i="21"/>
  <c r="AO70" i="21" s="1"/>
  <c r="P57" i="8" s="1"/>
  <c r="AW67" i="21"/>
  <c r="E72" i="21"/>
  <c r="AC72" i="21" s="1"/>
  <c r="M52" i="8" s="1"/>
  <c r="AN283" i="21"/>
  <c r="U289" i="21" s="1"/>
  <c r="AJ283" i="21"/>
  <c r="Q289" i="21" s="1"/>
  <c r="G250" i="21" s="1"/>
  <c r="AK283" i="21"/>
  <c r="R289" i="21" s="1"/>
  <c r="H250" i="21" s="1"/>
  <c r="AP283" i="21"/>
  <c r="W289" i="21" s="1"/>
  <c r="F257" i="21" s="1"/>
  <c r="AL283" i="21"/>
  <c r="S289" i="21" s="1"/>
  <c r="I250" i="21" s="1"/>
  <c r="AR283" i="21"/>
  <c r="Y289" i="21" s="1"/>
  <c r="H257" i="21" s="1"/>
  <c r="AS283" i="21"/>
  <c r="Z289" i="21" s="1"/>
  <c r="I257" i="21" s="1"/>
  <c r="AO283" i="21"/>
  <c r="V289" i="21" s="1"/>
  <c r="E257" i="21" s="1"/>
  <c r="AQ283" i="21"/>
  <c r="X289" i="21" s="1"/>
  <c r="G257" i="21" s="1"/>
  <c r="P289" i="21"/>
  <c r="F250" i="21" s="1"/>
  <c r="BI56" i="21"/>
  <c r="R70" i="21"/>
  <c r="AM70" i="21" s="1"/>
  <c r="N57" i="8" s="1"/>
  <c r="Q70" i="21"/>
  <c r="AL70" i="21" s="1"/>
  <c r="BH56" i="21"/>
  <c r="GP474" i="20" l="1"/>
  <c r="GP475" i="20" s="1"/>
  <c r="EX474" i="20"/>
  <c r="EX475" i="20" s="1"/>
  <c r="GL474" i="20"/>
  <c r="GL475" i="20" s="1"/>
  <c r="AY56" i="21"/>
  <c r="EU286" i="20"/>
  <c r="EU287" i="20" s="1"/>
  <c r="HA518" i="20"/>
  <c r="HA519" i="20" s="1"/>
  <c r="GI286" i="20"/>
  <c r="GI287" i="20" s="1"/>
  <c r="HA286" i="20"/>
  <c r="HA287" i="20" s="1"/>
  <c r="DZ264" i="20"/>
  <c r="DZ265" i="20" s="1"/>
  <c r="EC242" i="20"/>
  <c r="EC243" i="20" s="1"/>
  <c r="GN518" i="20"/>
  <c r="GN519" i="20" s="1"/>
  <c r="GT540" i="20"/>
  <c r="GT541" i="20" s="1"/>
  <c r="GQ496" i="20"/>
  <c r="GQ497" i="20" s="1"/>
  <c r="GL496" i="20"/>
  <c r="GL497" i="20" s="1"/>
  <c r="GS286" i="20"/>
  <c r="GS287" i="20" s="1"/>
  <c r="GR286" i="20"/>
  <c r="GR287" i="20" s="1"/>
  <c r="HA308" i="20"/>
  <c r="HA309" i="20" s="1"/>
  <c r="HF308" i="20"/>
  <c r="HF309" i="20" s="1"/>
  <c r="GY264" i="20"/>
  <c r="GY265" i="20" s="1"/>
  <c r="GY242" i="20"/>
  <c r="GY243" i="20" s="1"/>
  <c r="ES540" i="20"/>
  <c r="ES541" i="20" s="1"/>
  <c r="EI540" i="20"/>
  <c r="EI541" i="20" s="1"/>
  <c r="EV496" i="20"/>
  <c r="EV497" i="20" s="1"/>
  <c r="EH242" i="20"/>
  <c r="EH243" i="20" s="1"/>
  <c r="EP264" i="20"/>
  <c r="EP265" i="20" s="1"/>
  <c r="EJ242" i="20"/>
  <c r="EJ243" i="20" s="1"/>
  <c r="ED242" i="20"/>
  <c r="ED243" i="20" s="1"/>
  <c r="EB264" i="20"/>
  <c r="EB265" i="20" s="1"/>
  <c r="EH286" i="20"/>
  <c r="EH287" i="20" s="1"/>
  <c r="EY308" i="20"/>
  <c r="EY309" i="20" s="1"/>
  <c r="EN264" i="20"/>
  <c r="EN265" i="20" s="1"/>
  <c r="EO264" i="20"/>
  <c r="EO265" i="20" s="1"/>
  <c r="ET264" i="20"/>
  <c r="ET265" i="20" s="1"/>
  <c r="EW286" i="20"/>
  <c r="EW287" i="20" s="1"/>
  <c r="EG264" i="20"/>
  <c r="EG265" i="20" s="1"/>
  <c r="EN242" i="20"/>
  <c r="EN243" i="20" s="1"/>
  <c r="EI286" i="20"/>
  <c r="EI287" i="20" s="1"/>
  <c r="EL242" i="20"/>
  <c r="EL243" i="20" s="1"/>
  <c r="GU518" i="20"/>
  <c r="GU519" i="20" s="1"/>
  <c r="GM496" i="20"/>
  <c r="GM497" i="20" s="1"/>
  <c r="HD496" i="20"/>
  <c r="HD497" i="20" s="1"/>
  <c r="HB518" i="20"/>
  <c r="HB519" i="20" s="1"/>
  <c r="HA540" i="20"/>
  <c r="HA541" i="20" s="1"/>
  <c r="GX540" i="20"/>
  <c r="GX541" i="20" s="1"/>
  <c r="GH496" i="20"/>
  <c r="GH497" i="20" s="1"/>
  <c r="GP540" i="20"/>
  <c r="GP541" i="20" s="1"/>
  <c r="HC540" i="20"/>
  <c r="HC541" i="20" s="1"/>
  <c r="HB496" i="20"/>
  <c r="HB497" i="20" s="1"/>
  <c r="GZ496" i="20"/>
  <c r="GZ497" i="20" s="1"/>
  <c r="GW518" i="20"/>
  <c r="GW519" i="20" s="1"/>
  <c r="GK496" i="20"/>
  <c r="GK497" i="20" s="1"/>
  <c r="GM286" i="20"/>
  <c r="GM287" i="20" s="1"/>
  <c r="HF286" i="20"/>
  <c r="HF287" i="20" s="1"/>
  <c r="GY308" i="20"/>
  <c r="GY309" i="20" s="1"/>
  <c r="GQ264" i="20"/>
  <c r="GQ265" i="20" s="1"/>
  <c r="GS308" i="20"/>
  <c r="GS309" i="20" s="1"/>
  <c r="GP286" i="20"/>
  <c r="GP287" i="20" s="1"/>
  <c r="GJ286" i="20"/>
  <c r="GJ287" i="20" s="1"/>
  <c r="GU308" i="20"/>
  <c r="GU309" i="20" s="1"/>
  <c r="GR308" i="20"/>
  <c r="GR309" i="20" s="1"/>
  <c r="HE286" i="20"/>
  <c r="HE287" i="20" s="1"/>
  <c r="GS264" i="20"/>
  <c r="GS265" i="20" s="1"/>
  <c r="GI242" i="20"/>
  <c r="GI243" i="20" s="1"/>
  <c r="HC286" i="20"/>
  <c r="HC287" i="20" s="1"/>
  <c r="HC308" i="20"/>
  <c r="HC309" i="20" s="1"/>
  <c r="GV308" i="20"/>
  <c r="GV309" i="20" s="1"/>
  <c r="EW540" i="20"/>
  <c r="EW541" i="20" s="1"/>
  <c r="EX540" i="20"/>
  <c r="EX541" i="20" s="1"/>
  <c r="EE518" i="20"/>
  <c r="EE519" i="20" s="1"/>
  <c r="ER540" i="20"/>
  <c r="ER541" i="20" s="1"/>
  <c r="EB496" i="20"/>
  <c r="EB497" i="20" s="1"/>
  <c r="EP540" i="20"/>
  <c r="EP541" i="20" s="1"/>
  <c r="ES518" i="20"/>
  <c r="ES519" i="20" s="1"/>
  <c r="EC496" i="20"/>
  <c r="EC497" i="20" s="1"/>
  <c r="EJ540" i="20"/>
  <c r="EJ541" i="20" s="1"/>
  <c r="EL540" i="20"/>
  <c r="EL541" i="20" s="1"/>
  <c r="EO540" i="20"/>
  <c r="EO541" i="20" s="1"/>
  <c r="EI518" i="20"/>
  <c r="EI519" i="20" s="1"/>
  <c r="EP242" i="20"/>
  <c r="EP243" i="20" s="1"/>
  <c r="HF496" i="20"/>
  <c r="HF497" i="20" s="1"/>
  <c r="GO496" i="20"/>
  <c r="GO497" i="20" s="1"/>
  <c r="GO264" i="20"/>
  <c r="GO265" i="20" s="1"/>
  <c r="HB264" i="20"/>
  <c r="HB265" i="20" s="1"/>
  <c r="EU264" i="20"/>
  <c r="EU265" i="20" s="1"/>
  <c r="ER308" i="20"/>
  <c r="ER309" i="20" s="1"/>
  <c r="ED264" i="20"/>
  <c r="ED265" i="20" s="1"/>
  <c r="EW308" i="20"/>
  <c r="EW309" i="20" s="1"/>
  <c r="EO242" i="20"/>
  <c r="EO243" i="20" s="1"/>
  <c r="ES264" i="20"/>
  <c r="ES265" i="20" s="1"/>
  <c r="GT518" i="20"/>
  <c r="GT519" i="20" s="1"/>
  <c r="GS540" i="20"/>
  <c r="GS541" i="20" s="1"/>
  <c r="GT264" i="20"/>
  <c r="GT265" i="20" s="1"/>
  <c r="GO286" i="20"/>
  <c r="GO287" i="20" s="1"/>
  <c r="GX286" i="20"/>
  <c r="GX287" i="20" s="1"/>
  <c r="GP264" i="20"/>
  <c r="GP265" i="20" s="1"/>
  <c r="EN540" i="20"/>
  <c r="EN541" i="20" s="1"/>
  <c r="EX286" i="20"/>
  <c r="EX287" i="20" s="1"/>
  <c r="ED286" i="20"/>
  <c r="ED287" i="20" s="1"/>
  <c r="EM264" i="20"/>
  <c r="EM265" i="20" s="1"/>
  <c r="EA264" i="20"/>
  <c r="EA265" i="20" s="1"/>
  <c r="EK308" i="20"/>
  <c r="EK309" i="20" s="1"/>
  <c r="EE286" i="20"/>
  <c r="EE287" i="20" s="1"/>
  <c r="EE242" i="20"/>
  <c r="EE243" i="20" s="1"/>
  <c r="ES308" i="20"/>
  <c r="ES309" i="20" s="1"/>
  <c r="EC286" i="20"/>
  <c r="EC287" i="20" s="1"/>
  <c r="EK242" i="20"/>
  <c r="EK243" i="20" s="1"/>
  <c r="GZ540" i="20"/>
  <c r="GZ541" i="20" s="1"/>
  <c r="GV540" i="20"/>
  <c r="GV541" i="20" s="1"/>
  <c r="GY496" i="20"/>
  <c r="GY497" i="20" s="1"/>
  <c r="GU540" i="20"/>
  <c r="GU541" i="20" s="1"/>
  <c r="GV496" i="20"/>
  <c r="GV497" i="20" s="1"/>
  <c r="HF540" i="20"/>
  <c r="HF541" i="20" s="1"/>
  <c r="GX518" i="20"/>
  <c r="GX519" i="20" s="1"/>
  <c r="GP496" i="20"/>
  <c r="GP497" i="20" s="1"/>
  <c r="HC518" i="20"/>
  <c r="HC519" i="20" s="1"/>
  <c r="HD540" i="20"/>
  <c r="HD541" i="20" s="1"/>
  <c r="GV518" i="20"/>
  <c r="GV519" i="20" s="1"/>
  <c r="HA496" i="20"/>
  <c r="HA497" i="20" s="1"/>
  <c r="GX242" i="20"/>
  <c r="GX243" i="20" s="1"/>
  <c r="HH308" i="20"/>
  <c r="HH309" i="20" s="1"/>
  <c r="GW264" i="20"/>
  <c r="GW265" i="20" s="1"/>
  <c r="GU242" i="20"/>
  <c r="GU243" i="20" s="1"/>
  <c r="GW242" i="20"/>
  <c r="GW243" i="20" s="1"/>
  <c r="GY286" i="20"/>
  <c r="GY287" i="20" s="1"/>
  <c r="HA264" i="20"/>
  <c r="HA265" i="20" s="1"/>
  <c r="GJ242" i="20"/>
  <c r="GJ243" i="20" s="1"/>
  <c r="GM264" i="20"/>
  <c r="GM265" i="20" s="1"/>
  <c r="GM242" i="20"/>
  <c r="GM243" i="20" s="1"/>
  <c r="GV264" i="20"/>
  <c r="GV265" i="20" s="1"/>
  <c r="GW308" i="20"/>
  <c r="GW309" i="20" s="1"/>
  <c r="GK286" i="20"/>
  <c r="GK287" i="20" s="1"/>
  <c r="HB308" i="20"/>
  <c r="HB309" i="20" s="1"/>
  <c r="GT286" i="20"/>
  <c r="GT287" i="20" s="1"/>
  <c r="GL264" i="20"/>
  <c r="GL265" i="20" s="1"/>
  <c r="EL496" i="20"/>
  <c r="EL497" i="20" s="1"/>
  <c r="EH540" i="20"/>
  <c r="EH541" i="20" s="1"/>
  <c r="EM496" i="20"/>
  <c r="EM497" i="20" s="1"/>
  <c r="EV518" i="20"/>
  <c r="EV519" i="20" s="1"/>
  <c r="EU540" i="20"/>
  <c r="EU541" i="20" s="1"/>
  <c r="ES496" i="20"/>
  <c r="ES497" i="20" s="1"/>
  <c r="EE496" i="20"/>
  <c r="EE497" i="20" s="1"/>
  <c r="ET518" i="20"/>
  <c r="ET519" i="20" s="1"/>
  <c r="ED518" i="20"/>
  <c r="ED519" i="20" s="1"/>
  <c r="EO518" i="20"/>
  <c r="EO519" i="20" s="1"/>
  <c r="H20" i="11"/>
  <c r="AW19" i="11" s="1"/>
  <c r="H119" i="11"/>
  <c r="HA474" i="20"/>
  <c r="HA475" i="20" s="1"/>
  <c r="GW474" i="20"/>
  <c r="GW475" i="20" s="1"/>
  <c r="DZ474" i="20"/>
  <c r="DZ475" i="20" s="1"/>
  <c r="EG474" i="20"/>
  <c r="EG475" i="20" s="1"/>
  <c r="ET474" i="20"/>
  <c r="ET475" i="20" s="1"/>
  <c r="ER474" i="20"/>
  <c r="ER475" i="20" s="1"/>
  <c r="J282" i="21"/>
  <c r="J257" i="21" s="1"/>
  <c r="GN540" i="20"/>
  <c r="GN541" i="20" s="1"/>
  <c r="GV474" i="20"/>
  <c r="GV475" i="20" s="1"/>
  <c r="HH474" i="20"/>
  <c r="HH475" i="20" s="1"/>
  <c r="GJ474" i="20"/>
  <c r="GJ475" i="20" s="1"/>
  <c r="GM308" i="20"/>
  <c r="GM309" i="20" s="1"/>
  <c r="ED474" i="20"/>
  <c r="ED475" i="20" s="1"/>
  <c r="EA474" i="20"/>
  <c r="EA475" i="20" s="1"/>
  <c r="EO474" i="20"/>
  <c r="EO475" i="20" s="1"/>
  <c r="EN474" i="20"/>
  <c r="EN475" i="20" s="1"/>
  <c r="HB474" i="20"/>
  <c r="HB475" i="20" s="1"/>
  <c r="EW474" i="20"/>
  <c r="EW475" i="20" s="1"/>
  <c r="GN308" i="20"/>
  <c r="GN309" i="20" s="1"/>
  <c r="EG540" i="20"/>
  <c r="EG541" i="20" s="1"/>
  <c r="EE308" i="20"/>
  <c r="EE309" i="20" s="1"/>
  <c r="HD474" i="20"/>
  <c r="HD475" i="20" s="1"/>
  <c r="HC474" i="20"/>
  <c r="HC475" i="20" s="1"/>
  <c r="GJ518" i="20"/>
  <c r="GJ519" i="20" s="1"/>
  <c r="GK540" i="20"/>
  <c r="GK541" i="20" s="1"/>
  <c r="HG474" i="20"/>
  <c r="HG475" i="20" s="1"/>
  <c r="GX474" i="20"/>
  <c r="GX475" i="20" s="1"/>
  <c r="GI474" i="20"/>
  <c r="GI475" i="20" s="1"/>
  <c r="GL540" i="20"/>
  <c r="GL541" i="20" s="1"/>
  <c r="GR474" i="20"/>
  <c r="GR475" i="20" s="1"/>
  <c r="HE474" i="20"/>
  <c r="HE475" i="20" s="1"/>
  <c r="GP308" i="20"/>
  <c r="GP309" i="20" s="1"/>
  <c r="EH474" i="20"/>
  <c r="EH475" i="20" s="1"/>
  <c r="EC540" i="20"/>
  <c r="EC541" i="20" s="1"/>
  <c r="EP474" i="20"/>
  <c r="EP475" i="20" s="1"/>
  <c r="GJ308" i="20"/>
  <c r="GJ309" i="20" s="1"/>
  <c r="GL308" i="20"/>
  <c r="GL309" i="20" s="1"/>
  <c r="EH308" i="20"/>
  <c r="EH309" i="20" s="1"/>
  <c r="EF308" i="20"/>
  <c r="EF309" i="20" s="1"/>
  <c r="GI540" i="20"/>
  <c r="GI541" i="20" s="1"/>
  <c r="EB474" i="20"/>
  <c r="EB475" i="20" s="1"/>
  <c r="ES474" i="20"/>
  <c r="ES475" i="20" s="1"/>
  <c r="GJ540" i="20"/>
  <c r="GJ541" i="20" s="1"/>
  <c r="EZ474" i="20"/>
  <c r="EZ475" i="20" s="1"/>
  <c r="ED308" i="20"/>
  <c r="ED309" i="20" s="1"/>
  <c r="EG308" i="20"/>
  <c r="EG309" i="20" s="1"/>
  <c r="GM540" i="20"/>
  <c r="GM541" i="20" s="1"/>
  <c r="GH540" i="20"/>
  <c r="GH541" i="20" s="1"/>
  <c r="GY474" i="20"/>
  <c r="GY475" i="20" s="1"/>
  <c r="GU474" i="20"/>
  <c r="GU475" i="20" s="1"/>
  <c r="GZ474" i="20"/>
  <c r="GZ475" i="20" s="1"/>
  <c r="GI518" i="20"/>
  <c r="GI519" i="20" s="1"/>
  <c r="GM474" i="20"/>
  <c r="GM475" i="20" s="1"/>
  <c r="GT474" i="20"/>
  <c r="GT475" i="20" s="1"/>
  <c r="GK308" i="20"/>
  <c r="GK309" i="20" s="1"/>
  <c r="GH286" i="20"/>
  <c r="GH287" i="20" s="1"/>
  <c r="GI308" i="20"/>
  <c r="GI309" i="20" s="1"/>
  <c r="EJ474" i="20"/>
  <c r="EJ475" i="20" s="1"/>
  <c r="EE474" i="20"/>
  <c r="EE475" i="20" s="1"/>
  <c r="EM474" i="20"/>
  <c r="EM475" i="20" s="1"/>
  <c r="EE540" i="20"/>
  <c r="EE541" i="20" s="1"/>
  <c r="EY474" i="20"/>
  <c r="EY475" i="20" s="1"/>
  <c r="EB518" i="20"/>
  <c r="EB519" i="20" s="1"/>
  <c r="EC308" i="20"/>
  <c r="EC309" i="20" s="1"/>
  <c r="GQ474" i="20"/>
  <c r="GQ475" i="20" s="1"/>
  <c r="HF474" i="20"/>
  <c r="HF475" i="20" s="1"/>
  <c r="GS474" i="20"/>
  <c r="GS475" i="20" s="1"/>
  <c r="GH308" i="20"/>
  <c r="GH309" i="20" s="1"/>
  <c r="EL474" i="20"/>
  <c r="EL475" i="20" s="1"/>
  <c r="EB540" i="20"/>
  <c r="EB541" i="20" s="1"/>
  <c r="EA518" i="20"/>
  <c r="EA519" i="20" s="1"/>
  <c r="DZ518" i="20"/>
  <c r="DZ519" i="20" s="1"/>
  <c r="EA308" i="20"/>
  <c r="EA309" i="20" s="1"/>
  <c r="DZ308" i="20"/>
  <c r="DZ309" i="20" s="1"/>
  <c r="EB308" i="20"/>
  <c r="EB309" i="20" s="1"/>
  <c r="DZ286" i="20"/>
  <c r="DZ287" i="20" s="1"/>
  <c r="GN474" i="20"/>
  <c r="GN475" i="20" s="1"/>
  <c r="GK474" i="20"/>
  <c r="GK475" i="20" s="1"/>
  <c r="GH474" i="20"/>
  <c r="GH475" i="20" s="1"/>
  <c r="GO474" i="20"/>
  <c r="GO475" i="20" s="1"/>
  <c r="EK474" i="20"/>
  <c r="EK475" i="20" s="1"/>
  <c r="EA540" i="20"/>
  <c r="EA541" i="20" s="1"/>
  <c r="EF474" i="20"/>
  <c r="EF475" i="20" s="1"/>
  <c r="DZ540" i="20"/>
  <c r="DZ541" i="20" s="1"/>
  <c r="EI474" i="20"/>
  <c r="EI475" i="20" s="1"/>
  <c r="EC474" i="20"/>
  <c r="EC475" i="20" s="1"/>
  <c r="EQ474" i="20"/>
  <c r="EQ475" i="20" s="1"/>
  <c r="EF540" i="20"/>
  <c r="EF541" i="20" s="1"/>
  <c r="D257" i="21"/>
  <c r="BG72" i="21" s="1"/>
  <c r="AA233" i="21"/>
  <c r="AA179" i="21"/>
  <c r="T233" i="21"/>
  <c r="CE283" i="21"/>
  <c r="BM289" i="21" s="1"/>
  <c r="CH283" i="21"/>
  <c r="BP289" i="21" s="1"/>
  <c r="CB283" i="21"/>
  <c r="BJ289" i="21" s="1"/>
  <c r="CA283" i="21"/>
  <c r="BI289" i="21" s="1"/>
  <c r="CI283" i="21"/>
  <c r="BQ289" i="21" s="1"/>
  <c r="CG283" i="21"/>
  <c r="BO289" i="21" s="1"/>
  <c r="CF283" i="21"/>
  <c r="BN289" i="21" s="1"/>
  <c r="BH289" i="21"/>
  <c r="CJ283" i="21"/>
  <c r="BR289" i="21" s="1"/>
  <c r="CC283" i="21"/>
  <c r="BK289" i="21" s="1"/>
  <c r="T179" i="21"/>
  <c r="K127" i="21"/>
  <c r="AK70" i="21"/>
  <c r="I73" i="21"/>
  <c r="AG73" i="21" s="1"/>
  <c r="BA72" i="21"/>
  <c r="BK62" i="21"/>
  <c r="T71" i="21"/>
  <c r="AO71" i="21" s="1"/>
  <c r="P58" i="8" s="1"/>
  <c r="R71" i="21"/>
  <c r="AM71" i="21" s="1"/>
  <c r="N58" i="8" s="1"/>
  <c r="BI62" i="21"/>
  <c r="BK67" i="21"/>
  <c r="T72" i="21"/>
  <c r="AO72" i="21" s="1"/>
  <c r="P59" i="8" s="1"/>
  <c r="F73" i="21"/>
  <c r="AD73" i="21" s="1"/>
  <c r="C257" i="21"/>
  <c r="AX72" i="21"/>
  <c r="G73" i="21"/>
  <c r="AE73" i="21" s="1"/>
  <c r="AY72" i="21"/>
  <c r="H71" i="21"/>
  <c r="AF71" i="21" s="1"/>
  <c r="P51" i="8" s="1"/>
  <c r="AZ62" i="21"/>
  <c r="H72" i="21"/>
  <c r="AF72" i="21" s="1"/>
  <c r="P52" i="8" s="1"/>
  <c r="AZ67" i="21"/>
  <c r="BJ67" i="21"/>
  <c r="S72" i="21"/>
  <c r="AN72" i="21" s="1"/>
  <c r="O59" i="8" s="1"/>
  <c r="O70" i="21"/>
  <c r="BF56" i="21"/>
  <c r="BL72" i="21"/>
  <c r="U73" i="21"/>
  <c r="AP73" i="21" s="1"/>
  <c r="AZ72" i="21"/>
  <c r="H73" i="21"/>
  <c r="AF73" i="21" s="1"/>
  <c r="P53" i="8" s="1"/>
  <c r="S71" i="21"/>
  <c r="AN71" i="21" s="1"/>
  <c r="O58" i="8" s="1"/>
  <c r="BJ62" i="21"/>
  <c r="I71" i="21"/>
  <c r="AG71" i="21" s="1"/>
  <c r="Q51" i="8" s="1"/>
  <c r="S52" i="8" s="1"/>
  <c r="K34" i="13" s="1"/>
  <c r="BA62" i="21"/>
  <c r="V70" i="21"/>
  <c r="BM56" i="21"/>
  <c r="P72" i="21"/>
  <c r="BG67" i="21"/>
  <c r="AX67" i="21"/>
  <c r="F72" i="21"/>
  <c r="AD72" i="21" s="1"/>
  <c r="N52" i="8" s="1"/>
  <c r="C201" i="21"/>
  <c r="Q72" i="21"/>
  <c r="AL72" i="21" s="1"/>
  <c r="M59" i="8" s="1"/>
  <c r="BH67" i="21"/>
  <c r="M57" i="8"/>
  <c r="S73" i="21"/>
  <c r="AN73" i="21" s="1"/>
  <c r="BJ72" i="21"/>
  <c r="AY62" i="21"/>
  <c r="G71" i="21"/>
  <c r="AE71" i="21" s="1"/>
  <c r="O51" i="8" s="1"/>
  <c r="S51" i="8" s="1"/>
  <c r="S29" i="11" s="1"/>
  <c r="G72" i="21"/>
  <c r="AE72" i="21" s="1"/>
  <c r="O52" i="8" s="1"/>
  <c r="AY67" i="21"/>
  <c r="T73" i="21"/>
  <c r="AO73" i="21" s="1"/>
  <c r="P60" i="8" s="1"/>
  <c r="BK72" i="21"/>
  <c r="BG62" i="21"/>
  <c r="P71" i="21"/>
  <c r="Q71" i="21"/>
  <c r="AL71" i="21" s="1"/>
  <c r="AK71" i="21" s="1"/>
  <c r="BH62" i="21"/>
  <c r="BI67" i="21"/>
  <c r="R72" i="21"/>
  <c r="AM72" i="21" s="1"/>
  <c r="N59" i="8" s="1"/>
  <c r="BH72" i="21"/>
  <c r="Q73" i="21"/>
  <c r="AL73" i="21" s="1"/>
  <c r="BI72" i="21"/>
  <c r="R73" i="21"/>
  <c r="AM73" i="21" s="1"/>
  <c r="BL62" i="21"/>
  <c r="U71" i="21"/>
  <c r="AP71" i="21" s="1"/>
  <c r="Q58" i="8" s="1"/>
  <c r="AX62" i="21"/>
  <c r="F71" i="21"/>
  <c r="AD71" i="21" s="1"/>
  <c r="N51" i="8" s="1"/>
  <c r="S49" i="8" s="1"/>
  <c r="C147" i="21"/>
  <c r="BA67" i="21"/>
  <c r="I72" i="21"/>
  <c r="AG72" i="21" s="1"/>
  <c r="Q52" i="8" s="1"/>
  <c r="BL67" i="21"/>
  <c r="U72" i="21"/>
  <c r="AP72" i="21" s="1"/>
  <c r="Q59" i="8" s="1"/>
  <c r="L57" i="8" l="1"/>
  <c r="L59" i="8"/>
  <c r="S59" i="8" s="1"/>
  <c r="D120" i="13"/>
  <c r="M125" i="13" s="1"/>
  <c r="D110" i="13"/>
  <c r="M110" i="13" s="1"/>
  <c r="L110" i="13" s="1"/>
  <c r="I63" i="9"/>
  <c r="I67" i="9" s="1"/>
  <c r="H23" i="11"/>
  <c r="X29" i="11" s="1"/>
  <c r="I73" i="8"/>
  <c r="I76" i="8" s="1"/>
  <c r="I77" i="8" s="1"/>
  <c r="I78" i="8" s="1"/>
  <c r="AC67" i="8" s="1"/>
  <c r="L62" i="9"/>
  <c r="M62" i="9" s="1"/>
  <c r="L68" i="9"/>
  <c r="M121" i="13"/>
  <c r="N121" i="13" s="1"/>
  <c r="H21" i="11"/>
  <c r="AC69" i="11" s="1"/>
  <c r="P34" i="8"/>
  <c r="Q34" i="8" s="1"/>
  <c r="Q37" i="8" s="1"/>
  <c r="Q38" i="8" s="1"/>
  <c r="P38" i="8" s="1"/>
  <c r="H131" i="11" s="1"/>
  <c r="M35" i="8"/>
  <c r="L13" i="11"/>
  <c r="AC68" i="11"/>
  <c r="B9" i="21"/>
  <c r="N24" i="21" s="1"/>
  <c r="Z30" i="9"/>
  <c r="D129" i="13"/>
  <c r="G129" i="13" s="1"/>
  <c r="T289" i="21"/>
  <c r="AA289" i="21"/>
  <c r="AQ70" i="21"/>
  <c r="R57" i="8" s="1"/>
  <c r="V73" i="21"/>
  <c r="AQ73" i="21" s="1"/>
  <c r="P73" i="21"/>
  <c r="K233" i="21"/>
  <c r="K179" i="21"/>
  <c r="O72" i="21"/>
  <c r="BF67" i="21"/>
  <c r="V71" i="21"/>
  <c r="BM62" i="21"/>
  <c r="V72" i="21"/>
  <c r="BM67" i="21"/>
  <c r="BF72" i="21"/>
  <c r="O73" i="21"/>
  <c r="BF62" i="21"/>
  <c r="O71" i="21"/>
  <c r="AK72" i="21"/>
  <c r="BM72" i="21"/>
  <c r="M58" i="8"/>
  <c r="AK73" i="21"/>
  <c r="K66" i="9" l="1"/>
  <c r="K64" i="8"/>
  <c r="P50" i="8"/>
  <c r="S57" i="8" s="1"/>
  <c r="L58" i="8"/>
  <c r="S58" i="8" s="1"/>
  <c r="AC71" i="11"/>
  <c r="H29" i="11"/>
  <c r="F188" i="13"/>
  <c r="AC66" i="8"/>
  <c r="AB70" i="8" s="1"/>
  <c r="L60" i="9"/>
  <c r="K61" i="9" s="1"/>
  <c r="C110" i="13"/>
  <c r="C120" i="13" s="1"/>
  <c r="X105" i="13" s="1"/>
  <c r="C129" i="13"/>
  <c r="C34" i="13"/>
  <c r="K289" i="21"/>
  <c r="AQ72" i="21"/>
  <c r="R59" i="8" s="1"/>
  <c r="EA5" i="20"/>
  <c r="EG5" i="20"/>
  <c r="AQ71" i="21"/>
  <c r="R58" i="8" s="1"/>
  <c r="AC70" i="8"/>
  <c r="AC69" i="8" s="1"/>
  <c r="AC72" i="8" s="1"/>
  <c r="AQ64" i="8"/>
  <c r="K5" i="20"/>
  <c r="N66" i="9"/>
  <c r="H34" i="11"/>
  <c r="EH5" i="19"/>
  <c r="AJ98" i="9"/>
  <c r="AK98" i="9" s="1"/>
  <c r="N65" i="9"/>
  <c r="AM109" i="9"/>
  <c r="AN109" i="9" s="1"/>
  <c r="K5" i="19"/>
  <c r="AG97" i="9"/>
  <c r="L65" i="9" s="1"/>
  <c r="O81" i="8" l="1"/>
  <c r="O82" i="8" s="1"/>
  <c r="O91" i="8" s="1"/>
  <c r="S53" i="8"/>
  <c r="I57" i="8" s="1"/>
  <c r="E34" i="13" s="1"/>
  <c r="G34" i="13" s="1"/>
  <c r="N20" i="21"/>
  <c r="Q20" i="21" s="1"/>
  <c r="B25" i="21"/>
  <c r="AT20" i="21" s="1"/>
  <c r="AW20" i="21" s="1"/>
  <c r="BP6" i="21"/>
  <c r="BO12" i="21" s="1"/>
  <c r="B17" i="21"/>
  <c r="AD20" i="21" s="1"/>
  <c r="AE20" i="21" s="1"/>
  <c r="AF20" i="21" s="1"/>
  <c r="EA144" i="20"/>
  <c r="GB184" i="20" s="1"/>
  <c r="EA376" i="20"/>
  <c r="GB416" i="20" s="1"/>
  <c r="HJ41" i="20"/>
  <c r="HN39" i="20" s="1"/>
  <c r="FT41" i="20"/>
  <c r="FX40" i="20" s="1"/>
  <c r="EM5" i="19"/>
  <c r="AC78" i="8"/>
  <c r="AC73" i="8"/>
  <c r="AC71" i="8"/>
  <c r="AC74" i="8"/>
  <c r="AC76" i="8"/>
  <c r="AH97" i="9"/>
  <c r="M65" i="9"/>
  <c r="AB71" i="8"/>
  <c r="N81" i="8"/>
  <c r="O89" i="8" l="1"/>
  <c r="O84" i="8"/>
  <c r="L66" i="9"/>
  <c r="M66" i="9" s="1"/>
  <c r="Q24" i="21"/>
  <c r="O24" i="21"/>
  <c r="P24" i="21" s="1"/>
  <c r="AU20" i="21"/>
  <c r="AV20" i="21" s="1"/>
  <c r="AU22" i="21" s="1"/>
  <c r="AX22" i="21" s="1"/>
  <c r="E25" i="21" s="1"/>
  <c r="S115" i="13" s="1"/>
  <c r="O20" i="21"/>
  <c r="P20" i="21" s="1"/>
  <c r="O22" i="21" s="1"/>
  <c r="P22" i="21" s="1"/>
  <c r="AG20" i="21"/>
  <c r="AE22" i="21" s="1"/>
  <c r="AI22" i="21" s="1"/>
  <c r="BP12" i="21"/>
  <c r="BQ12" i="21" s="1"/>
  <c r="Y105" i="13" s="1"/>
  <c r="H35" i="11"/>
  <c r="BC28" i="11" s="1"/>
  <c r="AW28" i="11" s="1"/>
  <c r="ET141" i="20"/>
  <c r="DY314" i="20"/>
  <c r="DY324" i="20" s="1"/>
  <c r="GC184" i="20"/>
  <c r="FY40" i="20"/>
  <c r="GC40" i="20"/>
  <c r="FO49" i="20"/>
  <c r="HO39" i="20"/>
  <c r="HF49" i="20"/>
  <c r="HS40" i="20"/>
  <c r="ET373" i="20"/>
  <c r="GC416" i="20"/>
  <c r="DY552" i="20"/>
  <c r="DY562" i="20" s="1"/>
  <c r="AB78" i="8"/>
  <c r="N85" i="8" s="1"/>
  <c r="AB74" i="8"/>
  <c r="N89" i="8" s="1"/>
  <c r="AB72" i="8"/>
  <c r="AB76" i="8"/>
  <c r="N91" i="8" s="1"/>
  <c r="N82" i="8"/>
  <c r="AB73" i="8"/>
  <c r="AC75" i="8"/>
  <c r="AC77" i="8"/>
  <c r="O90" i="8"/>
  <c r="O92" i="8"/>
  <c r="P91" i="8" l="1"/>
  <c r="M91" i="8" s="1"/>
  <c r="O25" i="21"/>
  <c r="R20" i="21"/>
  <c r="N83" i="8"/>
  <c r="P83" i="8" s="1"/>
  <c r="C25" i="21"/>
  <c r="T115" i="13" s="1"/>
  <c r="AV22" i="21"/>
  <c r="F25" i="21" s="1"/>
  <c r="V115" i="13" s="1"/>
  <c r="AY22" i="21"/>
  <c r="AX20" i="21"/>
  <c r="AW22" i="21"/>
  <c r="D25" i="21" s="1"/>
  <c r="R115" i="13" s="1"/>
  <c r="R22" i="21"/>
  <c r="Q22" i="21"/>
  <c r="S22" i="21"/>
  <c r="AF22" i="21"/>
  <c r="F17" i="21" s="1"/>
  <c r="V105" i="13" s="1"/>
  <c r="C17" i="21"/>
  <c r="T105" i="13" s="1"/>
  <c r="AH20" i="21"/>
  <c r="AH22" i="21"/>
  <c r="E17" i="21" s="1"/>
  <c r="S105" i="13" s="1"/>
  <c r="AG22" i="21"/>
  <c r="D17" i="21" s="1"/>
  <c r="R105" i="13" s="1"/>
  <c r="U74" i="9"/>
  <c r="L70" i="9" s="1"/>
  <c r="K65" i="9"/>
  <c r="HS44" i="20"/>
  <c r="IE82" i="20"/>
  <c r="HS54" i="20"/>
  <c r="HT53" i="20" s="1"/>
  <c r="HS48" i="20"/>
  <c r="HT47" i="20" s="1"/>
  <c r="HS53" i="20"/>
  <c r="HT52" i="20" s="1"/>
  <c r="HS46" i="20"/>
  <c r="HT45" i="20" s="1"/>
  <c r="HS49" i="20"/>
  <c r="HT48" i="20" s="1"/>
  <c r="HS56" i="20"/>
  <c r="HT55" i="20" s="1"/>
  <c r="HS45" i="20"/>
  <c r="HT44" i="20" s="1"/>
  <c r="HS50" i="20"/>
  <c r="HS55" i="20"/>
  <c r="HT54" i="20" s="1"/>
  <c r="HS52" i="20"/>
  <c r="HT51" i="20" s="1"/>
  <c r="HS57" i="20"/>
  <c r="HT56" i="20" s="1"/>
  <c r="HS47" i="20"/>
  <c r="HT46" i="20" s="1"/>
  <c r="HS51" i="20"/>
  <c r="HT50" i="20" s="1"/>
  <c r="HR65" i="20"/>
  <c r="GC44" i="20"/>
  <c r="GC46" i="20"/>
  <c r="GD45" i="20" s="1"/>
  <c r="GC48" i="20"/>
  <c r="GD47" i="20" s="1"/>
  <c r="GB65" i="20"/>
  <c r="GC51" i="20"/>
  <c r="GD50" i="20" s="1"/>
  <c r="GC47" i="20"/>
  <c r="GD46" i="20" s="1"/>
  <c r="GC54" i="20"/>
  <c r="GD53" i="20" s="1"/>
  <c r="GC52" i="20"/>
  <c r="GD51" i="20" s="1"/>
  <c r="GC58" i="20"/>
  <c r="GD57" i="20" s="1"/>
  <c r="GC45" i="20"/>
  <c r="GD44" i="20" s="1"/>
  <c r="GC49" i="20"/>
  <c r="GD48" i="20" s="1"/>
  <c r="GC57" i="20"/>
  <c r="GD56" i="20" s="1"/>
  <c r="GC55" i="20"/>
  <c r="GD54" i="20" s="1"/>
  <c r="GC53" i="20"/>
  <c r="GD52" i="20" s="1"/>
  <c r="GC50" i="20"/>
  <c r="GO82" i="20"/>
  <c r="GC56" i="20"/>
  <c r="GD55" i="20" s="1"/>
  <c r="DX242" i="20"/>
  <c r="FC222" i="20"/>
  <c r="DY13" i="20"/>
  <c r="DX13" i="20" s="1"/>
  <c r="DY184" i="20"/>
  <c r="FP52" i="20"/>
  <c r="DY27" i="20"/>
  <c r="DX27" i="20" s="1"/>
  <c r="HB373" i="20"/>
  <c r="GH555" i="20"/>
  <c r="GH565" i="20" s="1"/>
  <c r="GX40" i="20"/>
  <c r="HF50" i="20"/>
  <c r="GZ141" i="20"/>
  <c r="GH314" i="20"/>
  <c r="GH324" i="20" s="1"/>
  <c r="DX474" i="20"/>
  <c r="DY36" i="20"/>
  <c r="DX36" i="20" s="1"/>
  <c r="FC454" i="20"/>
  <c r="DY416" i="20"/>
  <c r="EB325" i="20"/>
  <c r="EA326" i="20" s="1"/>
  <c r="FC324" i="20"/>
  <c r="ES324" i="20"/>
  <c r="EE325" i="20"/>
  <c r="ED326" i="20" s="1"/>
  <c r="EE326" i="20" s="1"/>
  <c r="EA325" i="20"/>
  <c r="DY335" i="20"/>
  <c r="EI324" i="20"/>
  <c r="EC325" i="20"/>
  <c r="EB326" i="20" s="1"/>
  <c r="DY325" i="20"/>
  <c r="ED325" i="20"/>
  <c r="EC326" i="20" s="1"/>
  <c r="DZ325" i="20"/>
  <c r="DY326" i="20" s="1"/>
  <c r="EI562" i="20"/>
  <c r="ES562" i="20"/>
  <c r="EB563" i="20"/>
  <c r="EA564" i="20" s="1"/>
  <c r="EE563" i="20"/>
  <c r="ED564" i="20" s="1"/>
  <c r="EE564" i="20" s="1"/>
  <c r="DY573" i="20"/>
  <c r="FC562" i="20"/>
  <c r="EC563" i="20"/>
  <c r="EB564" i="20" s="1"/>
  <c r="EA563" i="20"/>
  <c r="DY563" i="20"/>
  <c r="DZ563" i="20"/>
  <c r="DY564" i="20" s="1"/>
  <c r="ED563" i="20"/>
  <c r="EC564" i="20" s="1"/>
  <c r="DY23" i="20"/>
  <c r="DX23" i="20" s="1"/>
  <c r="HG52" i="20"/>
  <c r="FG40" i="20"/>
  <c r="FO50" i="20"/>
  <c r="P82" i="8"/>
  <c r="P85" i="8"/>
  <c r="M85" i="8" s="1"/>
  <c r="N84" i="8"/>
  <c r="AB75" i="8"/>
  <c r="N90" i="8" s="1"/>
  <c r="AB77" i="8"/>
  <c r="N92" i="8" s="1"/>
  <c r="P89" i="8"/>
  <c r="K85" i="8" l="1"/>
  <c r="H88" i="8" s="1"/>
  <c r="M89" i="8"/>
  <c r="K89" i="8" s="1"/>
  <c r="H92" i="8" s="1"/>
  <c r="K37" i="13" s="1"/>
  <c r="M82" i="8"/>
  <c r="K82" i="8" s="1"/>
  <c r="H85" i="8" s="1"/>
  <c r="Q25" i="21"/>
  <c r="Q28" i="21" s="1"/>
  <c r="D9" i="21" s="1"/>
  <c r="N110" i="13" s="1"/>
  <c r="E110" i="13" s="1"/>
  <c r="P25" i="21"/>
  <c r="P28" i="21" s="1"/>
  <c r="F9" i="21" s="1"/>
  <c r="R24" i="21"/>
  <c r="S25" i="21"/>
  <c r="S28" i="21" s="1"/>
  <c r="O28" i="21"/>
  <c r="C9" i="21" s="1"/>
  <c r="P110" i="13" s="1"/>
  <c r="R25" i="21"/>
  <c r="R28" i="21" s="1"/>
  <c r="E9" i="21" s="1"/>
  <c r="O110" i="13" s="1"/>
  <c r="F110" i="13" s="1"/>
  <c r="M83" i="8"/>
  <c r="K83" i="8" s="1"/>
  <c r="H86" i="8" s="1"/>
  <c r="AY20" i="21"/>
  <c r="AT22" i="21" s="1"/>
  <c r="S20" i="21"/>
  <c r="N22" i="21" s="1"/>
  <c r="AI20" i="21"/>
  <c r="AD22" i="21" s="1"/>
  <c r="AA76" i="9"/>
  <c r="FG58" i="20"/>
  <c r="FH57" i="20" s="1"/>
  <c r="FG47" i="20"/>
  <c r="FH46" i="20" s="1"/>
  <c r="FG56" i="20"/>
  <c r="FH55" i="20" s="1"/>
  <c r="FG45" i="20"/>
  <c r="FH44" i="20" s="1"/>
  <c r="FG51" i="20"/>
  <c r="FH50" i="20" s="1"/>
  <c r="FF65" i="20"/>
  <c r="FG49" i="20"/>
  <c r="FH48" i="20" s="1"/>
  <c r="FG54" i="20"/>
  <c r="FH53" i="20" s="1"/>
  <c r="FG57" i="20"/>
  <c r="FH56" i="20" s="1"/>
  <c r="FG46" i="20"/>
  <c r="FH45" i="20" s="1"/>
  <c r="FG48" i="20"/>
  <c r="FH47" i="20" s="1"/>
  <c r="FG53" i="20"/>
  <c r="FH52" i="20" s="1"/>
  <c r="FG44" i="20"/>
  <c r="FG52" i="20"/>
  <c r="FH51" i="20" s="1"/>
  <c r="FS82" i="20"/>
  <c r="FG55" i="20"/>
  <c r="FH54" i="20" s="1"/>
  <c r="FG50" i="20"/>
  <c r="FI563" i="20"/>
  <c r="FH564" i="20" s="1"/>
  <c r="FI564" i="20" s="1"/>
  <c r="FC563" i="20"/>
  <c r="FH563" i="20"/>
  <c r="FG564" i="20" s="1"/>
  <c r="FC573" i="20"/>
  <c r="FG563" i="20"/>
  <c r="FF564" i="20" s="1"/>
  <c r="FD563" i="20"/>
  <c r="FC564" i="20" s="1"/>
  <c r="FF563" i="20"/>
  <c r="FE564" i="20" s="1"/>
  <c r="FE563" i="20"/>
  <c r="EX563" i="20"/>
  <c r="EW564" i="20" s="1"/>
  <c r="ES563" i="20"/>
  <c r="EW563" i="20"/>
  <c r="EV564" i="20" s="1"/>
  <c r="ES573" i="20"/>
  <c r="ET563" i="20"/>
  <c r="ES564" i="20" s="1"/>
  <c r="EY563" i="20"/>
  <c r="EX564" i="20" s="1"/>
  <c r="EY564" i="20" s="1"/>
  <c r="EV563" i="20"/>
  <c r="EU564" i="20" s="1"/>
  <c r="EU563" i="20"/>
  <c r="DZ326" i="20"/>
  <c r="DX329" i="20"/>
  <c r="DY241" i="20"/>
  <c r="DX286" i="20"/>
  <c r="DX264" i="20"/>
  <c r="DX308" i="20"/>
  <c r="DY242" i="20"/>
  <c r="FQ141" i="20" s="1"/>
  <c r="DY28" i="20"/>
  <c r="DX28" i="20" s="1"/>
  <c r="FP53" i="20"/>
  <c r="DY340" i="20"/>
  <c r="DY343" i="20"/>
  <c r="DZ342" i="20" s="1"/>
  <c r="DY338" i="20"/>
  <c r="DY342" i="20"/>
  <c r="DZ341" i="20" s="1"/>
  <c r="DY341" i="20"/>
  <c r="DZ340" i="20" s="1"/>
  <c r="DY344" i="20"/>
  <c r="DZ343" i="20" s="1"/>
  <c r="DY339" i="20"/>
  <c r="DZ338" i="20" s="1"/>
  <c r="FD325" i="20"/>
  <c r="FC326" i="20" s="1"/>
  <c r="FH325" i="20"/>
  <c r="FG326" i="20" s="1"/>
  <c r="FI325" i="20"/>
  <c r="FH326" i="20" s="1"/>
  <c r="FI326" i="20" s="1"/>
  <c r="FE325" i="20"/>
  <c r="FC335" i="20"/>
  <c r="FF325" i="20"/>
  <c r="FE326" i="20" s="1"/>
  <c r="FG325" i="20"/>
  <c r="FF326" i="20" s="1"/>
  <c r="FC325" i="20"/>
  <c r="DY24" i="20"/>
  <c r="DX24" i="20" s="1"/>
  <c r="HG53" i="20"/>
  <c r="GD49" i="20"/>
  <c r="GC60" i="20"/>
  <c r="DZ564" i="20"/>
  <c r="DX567" i="20"/>
  <c r="EJ325" i="20"/>
  <c r="EI326" i="20" s="1"/>
  <c r="EL325" i="20"/>
  <c r="EK326" i="20" s="1"/>
  <c r="EI325" i="20"/>
  <c r="EM325" i="20"/>
  <c r="EL326" i="20" s="1"/>
  <c r="EK325" i="20"/>
  <c r="EN325" i="20"/>
  <c r="EM326" i="20" s="1"/>
  <c r="EI335" i="20"/>
  <c r="EO325" i="20"/>
  <c r="EN326" i="20" s="1"/>
  <c r="EO326" i="20" s="1"/>
  <c r="ET325" i="20"/>
  <c r="ES326" i="20" s="1"/>
  <c r="EW325" i="20"/>
  <c r="EV326" i="20" s="1"/>
  <c r="ES325" i="20"/>
  <c r="EX325" i="20"/>
  <c r="EW326" i="20" s="1"/>
  <c r="EY325" i="20"/>
  <c r="EX326" i="20" s="1"/>
  <c r="EY326" i="20" s="1"/>
  <c r="EU325" i="20"/>
  <c r="ES335" i="20"/>
  <c r="EV325" i="20"/>
  <c r="EU326" i="20" s="1"/>
  <c r="FC476" i="20"/>
  <c r="FC458" i="20"/>
  <c r="FC462" i="20"/>
  <c r="FD461" i="20" s="1"/>
  <c r="FC469" i="20"/>
  <c r="FD468" i="20" s="1"/>
  <c r="FC465" i="20"/>
  <c r="FD464" i="20" s="1"/>
  <c r="FC520" i="20"/>
  <c r="FC460" i="20"/>
  <c r="FD459" i="20" s="1"/>
  <c r="FC464" i="20"/>
  <c r="FD463" i="20" s="1"/>
  <c r="FC468" i="20"/>
  <c r="FD467" i="20" s="1"/>
  <c r="FC498" i="20"/>
  <c r="FC459" i="20"/>
  <c r="FD458" i="20" s="1"/>
  <c r="FC463" i="20"/>
  <c r="FC467" i="20"/>
  <c r="FD466" i="20" s="1"/>
  <c r="FC466" i="20"/>
  <c r="FD465" i="20" s="1"/>
  <c r="FC456" i="20"/>
  <c r="FC461" i="20"/>
  <c r="FD460" i="20" s="1"/>
  <c r="DX469" i="20"/>
  <c r="DY20" i="20"/>
  <c r="DX20" i="20" s="1"/>
  <c r="GG184" i="20"/>
  <c r="GF242" i="20"/>
  <c r="HK222" i="20"/>
  <c r="HK454" i="20"/>
  <c r="GG416" i="20"/>
  <c r="DY43" i="20"/>
  <c r="DX43" i="20" s="1"/>
  <c r="GF474" i="20"/>
  <c r="GN89" i="20"/>
  <c r="GO88" i="20" s="1"/>
  <c r="GO103" i="20"/>
  <c r="GN94" i="20"/>
  <c r="GO93" i="20" s="1"/>
  <c r="GN87" i="20"/>
  <c r="GO86" i="20" s="1"/>
  <c r="GN86" i="20"/>
  <c r="GO85" i="20" s="1"/>
  <c r="GN85" i="20"/>
  <c r="GN92" i="20"/>
  <c r="GO91" i="20" s="1"/>
  <c r="GN91" i="20"/>
  <c r="GO90" i="20" s="1"/>
  <c r="GN96" i="20"/>
  <c r="GO95" i="20" s="1"/>
  <c r="GN90" i="20"/>
  <c r="GN97" i="20"/>
  <c r="GN95" i="20"/>
  <c r="GO94" i="20" s="1"/>
  <c r="GN93" i="20"/>
  <c r="GO92" i="20" s="1"/>
  <c r="GN88" i="20"/>
  <c r="GO87" i="20" s="1"/>
  <c r="GK65" i="20"/>
  <c r="GK67" i="20" s="1"/>
  <c r="GJ68" i="20" s="1"/>
  <c r="GL65" i="20"/>
  <c r="GL67" i="20" s="1"/>
  <c r="GK68" i="20" s="1"/>
  <c r="GE65" i="20"/>
  <c r="GE67" i="20" s="1"/>
  <c r="GD68" i="20" s="1"/>
  <c r="GQ65" i="20"/>
  <c r="GQ67" i="20" s="1"/>
  <c r="GP68" i="20" s="1"/>
  <c r="GQ68" i="20" s="1"/>
  <c r="GH65" i="20"/>
  <c r="GH67" i="20" s="1"/>
  <c r="GG68" i="20" s="1"/>
  <c r="GJ65" i="20"/>
  <c r="GJ67" i="20" s="1"/>
  <c r="GI68" i="20" s="1"/>
  <c r="GD65" i="20"/>
  <c r="GD67" i="20" s="1"/>
  <c r="GC68" i="20" s="1"/>
  <c r="GI65" i="20"/>
  <c r="GI67" i="20" s="1"/>
  <c r="GO65" i="20"/>
  <c r="GO67" i="20" s="1"/>
  <c r="GN68" i="20" s="1"/>
  <c r="GP65" i="20"/>
  <c r="GP67" i="20" s="1"/>
  <c r="GO68" i="20" s="1"/>
  <c r="GM65" i="20"/>
  <c r="GM67" i="20" s="1"/>
  <c r="GL68" i="20" s="1"/>
  <c r="GG65" i="20"/>
  <c r="GG67" i="20" s="1"/>
  <c r="GF68" i="20" s="1"/>
  <c r="GN65" i="20"/>
  <c r="GN67" i="20" s="1"/>
  <c r="GM68" i="20" s="1"/>
  <c r="GC65" i="20"/>
  <c r="GC67" i="20" s="1"/>
  <c r="GF65" i="20"/>
  <c r="GF67" i="20" s="1"/>
  <c r="GE68" i="20" s="1"/>
  <c r="DX326" i="20"/>
  <c r="DX330" i="20"/>
  <c r="DX518" i="20"/>
  <c r="DX496" i="20"/>
  <c r="DY473" i="20"/>
  <c r="DY474" i="20"/>
  <c r="FQ373" i="20" s="1"/>
  <c r="DX540" i="20"/>
  <c r="GX48" i="20"/>
  <c r="GY47" i="20" s="1"/>
  <c r="GX56" i="20"/>
  <c r="GY55" i="20" s="1"/>
  <c r="GX49" i="20"/>
  <c r="GY48" i="20" s="1"/>
  <c r="GW65" i="20"/>
  <c r="GX47" i="20"/>
  <c r="GY46" i="20" s="1"/>
  <c r="GX46" i="20"/>
  <c r="GY45" i="20" s="1"/>
  <c r="GX57" i="20"/>
  <c r="GY56" i="20" s="1"/>
  <c r="GX51" i="20"/>
  <c r="GY50" i="20" s="1"/>
  <c r="GX50" i="20"/>
  <c r="GX44" i="20"/>
  <c r="GX53" i="20"/>
  <c r="GY52" i="20" s="1"/>
  <c r="GX55" i="20"/>
  <c r="GY54" i="20" s="1"/>
  <c r="GX52" i="20"/>
  <c r="GY51" i="20" s="1"/>
  <c r="GX54" i="20"/>
  <c r="GY53" i="20" s="1"/>
  <c r="GX45" i="20"/>
  <c r="GY44" i="20" s="1"/>
  <c r="HJ82" i="20"/>
  <c r="HT43" i="20"/>
  <c r="HS61" i="20"/>
  <c r="FC233" i="20"/>
  <c r="FD232" i="20" s="1"/>
  <c r="FC229" i="20"/>
  <c r="FD228" i="20" s="1"/>
  <c r="FC234" i="20"/>
  <c r="FD233" i="20" s="1"/>
  <c r="FC230" i="20"/>
  <c r="FD229" i="20" s="1"/>
  <c r="FC226" i="20"/>
  <c r="DX237" i="20"/>
  <c r="FC231" i="20"/>
  <c r="FC232" i="20"/>
  <c r="FD231" i="20" s="1"/>
  <c r="FC224" i="20"/>
  <c r="FC244" i="20"/>
  <c r="FC235" i="20"/>
  <c r="FD234" i="20" s="1"/>
  <c r="FC237" i="20"/>
  <c r="FD236" i="20" s="1"/>
  <c r="FC236" i="20"/>
  <c r="FD235" i="20" s="1"/>
  <c r="FC288" i="20"/>
  <c r="FC227" i="20"/>
  <c r="FD226" i="20" s="1"/>
  <c r="FC266" i="20"/>
  <c r="FC228" i="20"/>
  <c r="FD227" i="20" s="1"/>
  <c r="HT49" i="20"/>
  <c r="HS60" i="20"/>
  <c r="ID91" i="20"/>
  <c r="IE90" i="20" s="1"/>
  <c r="ID88" i="20"/>
  <c r="IE87" i="20" s="1"/>
  <c r="ID89" i="20"/>
  <c r="IE88" i="20" s="1"/>
  <c r="ID90" i="20"/>
  <c r="ID97" i="20"/>
  <c r="ID92" i="20"/>
  <c r="IE91" i="20" s="1"/>
  <c r="ID85" i="20"/>
  <c r="ID93" i="20"/>
  <c r="IE92" i="20" s="1"/>
  <c r="ID95" i="20"/>
  <c r="IE94" i="20" s="1"/>
  <c r="ID86" i="20"/>
  <c r="IE85" i="20" s="1"/>
  <c r="ID94" i="20"/>
  <c r="IE93" i="20" s="1"/>
  <c r="ID96" i="20"/>
  <c r="IE95" i="20" s="1"/>
  <c r="ID87" i="20"/>
  <c r="IE86" i="20" s="1"/>
  <c r="IE103" i="20"/>
  <c r="DX564" i="20"/>
  <c r="DX568" i="20"/>
  <c r="DY576" i="20"/>
  <c r="DY580" i="20"/>
  <c r="DZ579" i="20" s="1"/>
  <c r="DY579" i="20"/>
  <c r="DZ578" i="20" s="1"/>
  <c r="DY582" i="20"/>
  <c r="DZ581" i="20" s="1"/>
  <c r="DY577" i="20"/>
  <c r="DZ576" i="20" s="1"/>
  <c r="DY581" i="20"/>
  <c r="DZ580" i="20" s="1"/>
  <c r="DY578" i="20"/>
  <c r="EM563" i="20"/>
  <c r="EL564" i="20" s="1"/>
  <c r="EI563" i="20"/>
  <c r="EK563" i="20"/>
  <c r="EI573" i="20"/>
  <c r="EO563" i="20"/>
  <c r="EN564" i="20" s="1"/>
  <c r="EO564" i="20" s="1"/>
  <c r="EL563" i="20"/>
  <c r="EK564" i="20" s="1"/>
  <c r="EN563" i="20"/>
  <c r="EM564" i="20" s="1"/>
  <c r="EJ563" i="20"/>
  <c r="EI564" i="20" s="1"/>
  <c r="EM416" i="20"/>
  <c r="DY425" i="20"/>
  <c r="DZ424" i="20" s="1"/>
  <c r="DY428" i="20"/>
  <c r="DZ427" i="20" s="1"/>
  <c r="DY430" i="20"/>
  <c r="DZ429" i="20" s="1"/>
  <c r="DY424" i="20"/>
  <c r="FA416" i="20"/>
  <c r="DY420" i="20"/>
  <c r="DY423" i="20"/>
  <c r="DZ422" i="20" s="1"/>
  <c r="DY422" i="20"/>
  <c r="DZ421" i="20" s="1"/>
  <c r="DY429" i="20"/>
  <c r="DZ428" i="20" s="1"/>
  <c r="FO416" i="20"/>
  <c r="DY421" i="20"/>
  <c r="DZ420" i="20" s="1"/>
  <c r="DX437" i="20"/>
  <c r="DY427" i="20"/>
  <c r="DZ426" i="20" s="1"/>
  <c r="DY426" i="20"/>
  <c r="DZ425" i="20" s="1"/>
  <c r="HL324" i="20"/>
  <c r="GH325" i="20"/>
  <c r="HB324" i="20"/>
  <c r="GK325" i="20"/>
  <c r="GJ326" i="20" s="1"/>
  <c r="GI325" i="20"/>
  <c r="GH326" i="20" s="1"/>
  <c r="GH335" i="20"/>
  <c r="GN325" i="20"/>
  <c r="GM326" i="20" s="1"/>
  <c r="GN326" i="20" s="1"/>
  <c r="GR324" i="20"/>
  <c r="GL325" i="20"/>
  <c r="GK326" i="20" s="1"/>
  <c r="GJ325" i="20"/>
  <c r="GM325" i="20"/>
  <c r="GL326" i="20" s="1"/>
  <c r="GJ566" i="20"/>
  <c r="HL565" i="20"/>
  <c r="GH566" i="20"/>
  <c r="GI566" i="20"/>
  <c r="GH567" i="20" s="1"/>
  <c r="GK566" i="20"/>
  <c r="GJ567" i="20" s="1"/>
  <c r="GH576" i="20"/>
  <c r="GN566" i="20"/>
  <c r="GM567" i="20" s="1"/>
  <c r="GN567" i="20" s="1"/>
  <c r="GL566" i="20"/>
  <c r="GK567" i="20" s="1"/>
  <c r="GM566" i="20"/>
  <c r="GL567" i="20" s="1"/>
  <c r="GR565" i="20"/>
  <c r="HB565" i="20"/>
  <c r="DY193" i="20"/>
  <c r="DZ192" i="20" s="1"/>
  <c r="DY188" i="20"/>
  <c r="DY196" i="20"/>
  <c r="DZ195" i="20" s="1"/>
  <c r="DY195" i="20"/>
  <c r="DZ194" i="20" s="1"/>
  <c r="DX205" i="20"/>
  <c r="FO184" i="20"/>
  <c r="DY190" i="20"/>
  <c r="DZ189" i="20" s="1"/>
  <c r="DY194" i="20"/>
  <c r="DZ193" i="20" s="1"/>
  <c r="DY198" i="20"/>
  <c r="DZ197" i="20" s="1"/>
  <c r="DY189" i="20"/>
  <c r="DZ188" i="20" s="1"/>
  <c r="DY197" i="20"/>
  <c r="DZ196" i="20" s="1"/>
  <c r="DY192" i="20"/>
  <c r="EM184" i="20"/>
  <c r="FA184" i="20"/>
  <c r="DY191" i="20"/>
  <c r="DZ190" i="20" s="1"/>
  <c r="GD43" i="20"/>
  <c r="GC61" i="20"/>
  <c r="IF65" i="20"/>
  <c r="IF67" i="20" s="1"/>
  <c r="IE68" i="20" s="1"/>
  <c r="HW65" i="20"/>
  <c r="HW67" i="20" s="1"/>
  <c r="HV68" i="20" s="1"/>
  <c r="HS65" i="20"/>
  <c r="HS67" i="20" s="1"/>
  <c r="IC65" i="20"/>
  <c r="IC67" i="20" s="1"/>
  <c r="IB68" i="20" s="1"/>
  <c r="HY65" i="20"/>
  <c r="HY67" i="20" s="1"/>
  <c r="IA65" i="20"/>
  <c r="IA67" i="20" s="1"/>
  <c r="HZ68" i="20" s="1"/>
  <c r="HT65" i="20"/>
  <c r="HT67" i="20" s="1"/>
  <c r="HS68" i="20" s="1"/>
  <c r="HU65" i="20"/>
  <c r="HU67" i="20" s="1"/>
  <c r="HT68" i="20" s="1"/>
  <c r="IE65" i="20"/>
  <c r="IE67" i="20" s="1"/>
  <c r="ID68" i="20" s="1"/>
  <c r="HZ65" i="20"/>
  <c r="HZ67" i="20" s="1"/>
  <c r="HY68" i="20" s="1"/>
  <c r="IB65" i="20"/>
  <c r="IB67" i="20" s="1"/>
  <c r="IA68" i="20" s="1"/>
  <c r="ID65" i="20"/>
  <c r="ID67" i="20" s="1"/>
  <c r="IC68" i="20" s="1"/>
  <c r="HX65" i="20"/>
  <c r="HX67" i="20" s="1"/>
  <c r="HW68" i="20" s="1"/>
  <c r="HV65" i="20"/>
  <c r="HV67" i="20" s="1"/>
  <c r="HU68" i="20" s="1"/>
  <c r="P84" i="8"/>
  <c r="T100" i="9"/>
  <c r="U100" i="9"/>
  <c r="U78" i="9" s="1"/>
  <c r="P90" i="8"/>
  <c r="M90" i="8" s="1"/>
  <c r="K90" i="8" s="1"/>
  <c r="H93" i="8" s="1"/>
  <c r="K38" i="13" s="1"/>
  <c r="U113" i="9"/>
  <c r="T113" i="9"/>
  <c r="U104" i="9"/>
  <c r="U80" i="9" s="1"/>
  <c r="T104" i="9"/>
  <c r="P92" i="8"/>
  <c r="M92" i="8" s="1"/>
  <c r="K92" i="8" s="1"/>
  <c r="H95" i="8" s="1"/>
  <c r="E38" i="13" s="1"/>
  <c r="G38" i="13" s="1"/>
  <c r="U90" i="9"/>
  <c r="U76" i="9" s="1"/>
  <c r="T90" i="9"/>
  <c r="HT60" i="20" l="1"/>
  <c r="K79" i="8"/>
  <c r="H136" i="11" s="1"/>
  <c r="Z37" i="9" s="1"/>
  <c r="H30" i="11"/>
  <c r="M84" i="8"/>
  <c r="K84" i="8" s="1"/>
  <c r="H87" i="8" s="1"/>
  <c r="H32" i="11" s="1"/>
  <c r="S24" i="21"/>
  <c r="N25" i="21" s="1"/>
  <c r="N28" i="21" s="1"/>
  <c r="G9" i="21" s="1"/>
  <c r="Q110" i="13" s="1"/>
  <c r="G110" i="13"/>
  <c r="G25" i="21"/>
  <c r="U115" i="13" s="1"/>
  <c r="G17" i="21"/>
  <c r="U105" i="13" s="1"/>
  <c r="GD60" i="20"/>
  <c r="GD61" i="20" s="1"/>
  <c r="GD62" i="20" s="1"/>
  <c r="GI41" i="20" s="1"/>
  <c r="FP49" i="20" s="1"/>
  <c r="DZ27" i="20" s="1"/>
  <c r="DY567" i="20"/>
  <c r="DY568" i="20" s="1"/>
  <c r="DY569" i="20" s="1"/>
  <c r="DY329" i="20"/>
  <c r="DY330" i="20" s="1"/>
  <c r="DY331" i="20" s="1"/>
  <c r="HT61" i="20"/>
  <c r="HU61" i="20" s="1"/>
  <c r="HU62" i="20" s="1"/>
  <c r="HZ40" i="20" s="1"/>
  <c r="HH52" i="20" s="1"/>
  <c r="HH49" i="20" s="1"/>
  <c r="EM189" i="20"/>
  <c r="EN188" i="20" s="1"/>
  <c r="EM193" i="20"/>
  <c r="EN192" i="20" s="1"/>
  <c r="EM197" i="20"/>
  <c r="EN196" i="20" s="1"/>
  <c r="EM188" i="20"/>
  <c r="EM196" i="20"/>
  <c r="EN195" i="20" s="1"/>
  <c r="EM191" i="20"/>
  <c r="EN190" i="20" s="1"/>
  <c r="EL205" i="20"/>
  <c r="EM190" i="20"/>
  <c r="EN189" i="20" s="1"/>
  <c r="EM194" i="20"/>
  <c r="EN193" i="20" s="1"/>
  <c r="EM198" i="20"/>
  <c r="EN197" i="20" s="1"/>
  <c r="EM192" i="20"/>
  <c r="EM195" i="20"/>
  <c r="EN194" i="20" s="1"/>
  <c r="HE325" i="20"/>
  <c r="HD326" i="20" s="1"/>
  <c r="HF325" i="20"/>
  <c r="HE326" i="20" s="1"/>
  <c r="HC325" i="20"/>
  <c r="HB326" i="20" s="1"/>
  <c r="HB325" i="20"/>
  <c r="HD325" i="20"/>
  <c r="HB335" i="20"/>
  <c r="HH325" i="20"/>
  <c r="HG326" i="20" s="1"/>
  <c r="HH326" i="20" s="1"/>
  <c r="HG325" i="20"/>
  <c r="HF326" i="20" s="1"/>
  <c r="FA421" i="20"/>
  <c r="FB420" i="20" s="1"/>
  <c r="FA420" i="20"/>
  <c r="FA428" i="20"/>
  <c r="FB427" i="20" s="1"/>
  <c r="FA427" i="20"/>
  <c r="FB426" i="20" s="1"/>
  <c r="FA422" i="20"/>
  <c r="FB421" i="20" s="1"/>
  <c r="FA426" i="20"/>
  <c r="FB425" i="20" s="1"/>
  <c r="FA430" i="20"/>
  <c r="FB429" i="20" s="1"/>
  <c r="FA425" i="20"/>
  <c r="FB424" i="20" s="1"/>
  <c r="FA429" i="20"/>
  <c r="FB428" i="20" s="1"/>
  <c r="FA424" i="20"/>
  <c r="FA423" i="20"/>
  <c r="FB422" i="20" s="1"/>
  <c r="EZ437" i="20"/>
  <c r="FC279" i="20"/>
  <c r="FD278" i="20" s="1"/>
  <c r="FC268" i="20"/>
  <c r="FC270" i="20"/>
  <c r="FC276" i="20"/>
  <c r="FD275" i="20" s="1"/>
  <c r="FC272" i="20"/>
  <c r="FD271" i="20" s="1"/>
  <c r="FC273" i="20"/>
  <c r="FD272" i="20" s="1"/>
  <c r="DX281" i="20"/>
  <c r="FC278" i="20"/>
  <c r="FD277" i="20" s="1"/>
  <c r="FC271" i="20"/>
  <c r="FD270" i="20" s="1"/>
  <c r="FC274" i="20"/>
  <c r="FD273" i="20" s="1"/>
  <c r="FC281" i="20"/>
  <c r="FD280" i="20" s="1"/>
  <c r="FC277" i="20"/>
  <c r="FD276" i="20" s="1"/>
  <c r="FC280" i="20"/>
  <c r="FD279" i="20" s="1"/>
  <c r="FC275" i="20"/>
  <c r="HI86" i="20"/>
  <c r="HJ85" i="20" s="1"/>
  <c r="HI85" i="20"/>
  <c r="HI91" i="20"/>
  <c r="HJ90" i="20" s="1"/>
  <c r="HI88" i="20"/>
  <c r="HJ87" i="20" s="1"/>
  <c r="HI94" i="20"/>
  <c r="HJ93" i="20" s="1"/>
  <c r="HI97" i="20"/>
  <c r="HI89" i="20"/>
  <c r="HJ88" i="20" s="1"/>
  <c r="HI95" i="20"/>
  <c r="HJ94" i="20" s="1"/>
  <c r="HI93" i="20"/>
  <c r="HJ92" i="20" s="1"/>
  <c r="HI96" i="20"/>
  <c r="HJ95" i="20" s="1"/>
  <c r="HI92" i="20"/>
  <c r="HJ91" i="20" s="1"/>
  <c r="HI87" i="20"/>
  <c r="HJ86" i="20" s="1"/>
  <c r="HI90" i="20"/>
  <c r="HJ103" i="20"/>
  <c r="HB65" i="20"/>
  <c r="HB67" i="20" s="1"/>
  <c r="HA68" i="20" s="1"/>
  <c r="HC65" i="20"/>
  <c r="HC67" i="20" s="1"/>
  <c r="HB68" i="20" s="1"/>
  <c r="HI65" i="20"/>
  <c r="HI67" i="20" s="1"/>
  <c r="HH68" i="20" s="1"/>
  <c r="HE65" i="20"/>
  <c r="HE67" i="20" s="1"/>
  <c r="HD68" i="20" s="1"/>
  <c r="HF65" i="20"/>
  <c r="HF67" i="20" s="1"/>
  <c r="HE68" i="20" s="1"/>
  <c r="HG65" i="20"/>
  <c r="HG67" i="20" s="1"/>
  <c r="HF68" i="20" s="1"/>
  <c r="GZ65" i="20"/>
  <c r="GZ67" i="20" s="1"/>
  <c r="GY68" i="20" s="1"/>
  <c r="GY65" i="20"/>
  <c r="GY67" i="20" s="1"/>
  <c r="GX68" i="20" s="1"/>
  <c r="HD65" i="20"/>
  <c r="HD67" i="20" s="1"/>
  <c r="HH65" i="20"/>
  <c r="HH67" i="20" s="1"/>
  <c r="HG68" i="20" s="1"/>
  <c r="HA65" i="20"/>
  <c r="HA67" i="20" s="1"/>
  <c r="GZ68" i="20" s="1"/>
  <c r="HK65" i="20"/>
  <c r="HK67" i="20" s="1"/>
  <c r="HJ68" i="20" s="1"/>
  <c r="HJ65" i="20"/>
  <c r="HJ67" i="20" s="1"/>
  <c r="HI68" i="20" s="1"/>
  <c r="GX65" i="20"/>
  <c r="GX67" i="20" s="1"/>
  <c r="DY539" i="20"/>
  <c r="DY540" i="20"/>
  <c r="FQ376" i="20" s="1"/>
  <c r="DY518" i="20"/>
  <c r="FQ375" i="20" s="1"/>
  <c r="DY517" i="20"/>
  <c r="DZ187" i="20"/>
  <c r="DY201" i="20"/>
  <c r="FO421" i="20"/>
  <c r="FP420" i="20" s="1"/>
  <c r="FO425" i="20"/>
  <c r="FP424" i="20" s="1"/>
  <c r="FO429" i="20"/>
  <c r="FP428" i="20" s="1"/>
  <c r="FO424" i="20"/>
  <c r="FO427" i="20"/>
  <c r="FP426" i="20" s="1"/>
  <c r="FO422" i="20"/>
  <c r="FP421" i="20" s="1"/>
  <c r="FO426" i="20"/>
  <c r="FP425" i="20" s="1"/>
  <c r="FO430" i="20"/>
  <c r="FP429" i="20" s="1"/>
  <c r="FO420" i="20"/>
  <c r="FO428" i="20"/>
  <c r="FP427" i="20" s="1"/>
  <c r="FO423" i="20"/>
  <c r="FP422" i="20" s="1"/>
  <c r="FN437" i="20"/>
  <c r="DZ419" i="20"/>
  <c r="DY433" i="20"/>
  <c r="ID110" i="20"/>
  <c r="IE109" i="20" s="1"/>
  <c r="ID111" i="20"/>
  <c r="ID118" i="20"/>
  <c r="ID112" i="20"/>
  <c r="IE111" i="20" s="1"/>
  <c r="ID113" i="20"/>
  <c r="IE112" i="20" s="1"/>
  <c r="ID107" i="20"/>
  <c r="IE106" i="20" s="1"/>
  <c r="ID117" i="20"/>
  <c r="IE116" i="20" s="1"/>
  <c r="ID106" i="20"/>
  <c r="ID109" i="20"/>
  <c r="IE108" i="20" s="1"/>
  <c r="ID114" i="20"/>
  <c r="IE113" i="20" s="1"/>
  <c r="ID116" i="20"/>
  <c r="IE115" i="20" s="1"/>
  <c r="ID108" i="20"/>
  <c r="IE107" i="20" s="1"/>
  <c r="ID115" i="20"/>
  <c r="IE114" i="20" s="1"/>
  <c r="DY495" i="20"/>
  <c r="DY496" i="20"/>
  <c r="FQ374" i="20" s="1"/>
  <c r="ET326" i="20"/>
  <c r="ER329" i="20"/>
  <c r="FB326" i="20"/>
  <c r="FB330" i="20"/>
  <c r="FD326" i="20"/>
  <c r="FB329" i="20"/>
  <c r="DZ337" i="20"/>
  <c r="DY347" i="20"/>
  <c r="ET564" i="20"/>
  <c r="ER567" i="20"/>
  <c r="ES579" i="20"/>
  <c r="ET578" i="20" s="1"/>
  <c r="ES581" i="20"/>
  <c r="ET580" i="20" s="1"/>
  <c r="ES576" i="20"/>
  <c r="ES580" i="20"/>
  <c r="ET579" i="20" s="1"/>
  <c r="ES582" i="20"/>
  <c r="ET581" i="20" s="1"/>
  <c r="ES578" i="20"/>
  <c r="ES577" i="20"/>
  <c r="ET576" i="20" s="1"/>
  <c r="HR68" i="20"/>
  <c r="HR71" i="20"/>
  <c r="DZ191" i="20"/>
  <c r="DY200" i="20"/>
  <c r="HD566" i="20"/>
  <c r="HC566" i="20"/>
  <c r="HB567" i="20" s="1"/>
  <c r="HE566" i="20"/>
  <c r="HD567" i="20" s="1"/>
  <c r="HF566" i="20"/>
  <c r="HE567" i="20" s="1"/>
  <c r="HH566" i="20"/>
  <c r="HG567" i="20" s="1"/>
  <c r="HH567" i="20" s="1"/>
  <c r="HG566" i="20"/>
  <c r="HF567" i="20" s="1"/>
  <c r="HB566" i="20"/>
  <c r="HB576" i="20"/>
  <c r="GG567" i="20"/>
  <c r="GG571" i="20"/>
  <c r="GI326" i="20"/>
  <c r="GG329" i="20"/>
  <c r="GH338" i="20"/>
  <c r="GH342" i="20"/>
  <c r="GI341" i="20" s="1"/>
  <c r="GH340" i="20"/>
  <c r="GH339" i="20"/>
  <c r="GI338" i="20" s="1"/>
  <c r="GH343" i="20"/>
  <c r="GI342" i="20" s="1"/>
  <c r="GH341" i="20"/>
  <c r="GI340" i="20" s="1"/>
  <c r="GH344" i="20"/>
  <c r="GI343" i="20" s="1"/>
  <c r="GG326" i="20"/>
  <c r="GG330" i="20"/>
  <c r="EC437" i="20"/>
  <c r="EC439" i="20" s="1"/>
  <c r="EE437" i="20"/>
  <c r="EE439" i="20" s="1"/>
  <c r="ED440" i="20" s="1"/>
  <c r="EH437" i="20"/>
  <c r="EH439" i="20" s="1"/>
  <c r="EG440" i="20" s="1"/>
  <c r="EF437" i="20"/>
  <c r="EF439" i="20" s="1"/>
  <c r="EE440" i="20" s="1"/>
  <c r="ED437" i="20"/>
  <c r="ED439" i="20" s="1"/>
  <c r="EC440" i="20" s="1"/>
  <c r="EA437" i="20"/>
  <c r="EA439" i="20" s="1"/>
  <c r="DZ440" i="20" s="1"/>
  <c r="DZ437" i="20"/>
  <c r="DZ439" i="20" s="1"/>
  <c r="DY440" i="20" s="1"/>
  <c r="EI437" i="20"/>
  <c r="EI439" i="20" s="1"/>
  <c r="EH440" i="20" s="1"/>
  <c r="EI440" i="20" s="1"/>
  <c r="EG437" i="20"/>
  <c r="EG439" i="20" s="1"/>
  <c r="EF440" i="20" s="1"/>
  <c r="DY437" i="20"/>
  <c r="DY439" i="20" s="1"/>
  <c r="EB437" i="20"/>
  <c r="EB439" i="20" s="1"/>
  <c r="EA440" i="20" s="1"/>
  <c r="DZ423" i="20"/>
  <c r="DY432" i="20"/>
  <c r="EM420" i="20"/>
  <c r="EM424" i="20"/>
  <c r="EM428" i="20"/>
  <c r="EN427" i="20" s="1"/>
  <c r="EM427" i="20"/>
  <c r="EN426" i="20" s="1"/>
  <c r="EM426" i="20"/>
  <c r="EN425" i="20" s="1"/>
  <c r="EM421" i="20"/>
  <c r="EN420" i="20" s="1"/>
  <c r="EM425" i="20"/>
  <c r="EN424" i="20" s="1"/>
  <c r="EM429" i="20"/>
  <c r="EN428" i="20" s="1"/>
  <c r="EM423" i="20"/>
  <c r="EN422" i="20" s="1"/>
  <c r="EL437" i="20"/>
  <c r="EM422" i="20"/>
  <c r="EN421" i="20" s="1"/>
  <c r="EM430" i="20"/>
  <c r="EN429" i="20" s="1"/>
  <c r="IE89" i="20"/>
  <c r="ID99" i="20"/>
  <c r="FD230" i="20"/>
  <c r="FD238" i="20" s="1"/>
  <c r="FC238" i="20"/>
  <c r="FC239" i="20" s="1"/>
  <c r="GO97" i="20"/>
  <c r="GO96" i="20"/>
  <c r="GF308" i="20"/>
  <c r="GG241" i="20"/>
  <c r="GG242" i="20"/>
  <c r="HY141" i="20" s="1"/>
  <c r="GF264" i="20"/>
  <c r="GF286" i="20"/>
  <c r="FD462" i="20"/>
  <c r="FD470" i="20" s="1"/>
  <c r="FC470" i="20"/>
  <c r="FC471" i="20" s="1"/>
  <c r="DZ339" i="20"/>
  <c r="DY346" i="20"/>
  <c r="DY308" i="20"/>
  <c r="FQ144" i="20" s="1"/>
  <c r="DY307" i="20"/>
  <c r="ER564" i="20"/>
  <c r="ER568" i="20"/>
  <c r="FB564" i="20"/>
  <c r="FB568" i="20"/>
  <c r="FH49" i="20"/>
  <c r="FG60" i="20"/>
  <c r="FH43" i="20"/>
  <c r="FG61" i="20"/>
  <c r="DZ205" i="20"/>
  <c r="DZ207" i="20" s="1"/>
  <c r="DY208" i="20" s="1"/>
  <c r="EC205" i="20"/>
  <c r="EC207" i="20" s="1"/>
  <c r="EB205" i="20"/>
  <c r="EB207" i="20" s="1"/>
  <c r="EA208" i="20" s="1"/>
  <c r="EE205" i="20"/>
  <c r="EE207" i="20" s="1"/>
  <c r="ED208" i="20" s="1"/>
  <c r="EF205" i="20"/>
  <c r="EF207" i="20" s="1"/>
  <c r="EE208" i="20" s="1"/>
  <c r="EI205" i="20"/>
  <c r="EI207" i="20" s="1"/>
  <c r="EH208" i="20" s="1"/>
  <c r="EI208" i="20" s="1"/>
  <c r="ED205" i="20"/>
  <c r="ED207" i="20" s="1"/>
  <c r="EC208" i="20" s="1"/>
  <c r="EG205" i="20"/>
  <c r="EG207" i="20" s="1"/>
  <c r="EF208" i="20" s="1"/>
  <c r="EA205" i="20"/>
  <c r="EA207" i="20" s="1"/>
  <c r="DZ208" i="20" s="1"/>
  <c r="DY205" i="20"/>
  <c r="DY207" i="20" s="1"/>
  <c r="EH205" i="20"/>
  <c r="EH207" i="20" s="1"/>
  <c r="EG208" i="20" s="1"/>
  <c r="EH564" i="20"/>
  <c r="EH568" i="20"/>
  <c r="DZ575" i="20"/>
  <c r="DY585" i="20"/>
  <c r="IE96" i="20"/>
  <c r="IE97" i="20"/>
  <c r="GB68" i="20"/>
  <c r="GB71" i="20"/>
  <c r="GF496" i="20"/>
  <c r="GG474" i="20"/>
  <c r="HY373" i="20" s="1"/>
  <c r="GG473" i="20"/>
  <c r="GF518" i="20"/>
  <c r="GF540" i="20"/>
  <c r="HK237" i="20"/>
  <c r="HL236" i="20" s="1"/>
  <c r="HK233" i="20"/>
  <c r="HL232" i="20" s="1"/>
  <c r="HK266" i="20"/>
  <c r="HK235" i="20"/>
  <c r="HL234" i="20" s="1"/>
  <c r="HK224" i="20"/>
  <c r="HK244" i="20"/>
  <c r="HK230" i="20"/>
  <c r="HL229" i="20" s="1"/>
  <c r="HK227" i="20"/>
  <c r="HL226" i="20" s="1"/>
  <c r="HK236" i="20"/>
  <c r="HL235" i="20" s="1"/>
  <c r="GF237" i="20"/>
  <c r="HK226" i="20"/>
  <c r="HK231" i="20"/>
  <c r="HK288" i="20"/>
  <c r="HK232" i="20"/>
  <c r="HL231" i="20" s="1"/>
  <c r="HK228" i="20"/>
  <c r="HL227" i="20" s="1"/>
  <c r="HK229" i="20"/>
  <c r="HL228" i="20" s="1"/>
  <c r="HK234" i="20"/>
  <c r="HL233" i="20" s="1"/>
  <c r="FC478" i="20"/>
  <c r="FC487" i="20"/>
  <c r="FD486" i="20" s="1"/>
  <c r="FC481" i="20"/>
  <c r="FD480" i="20" s="1"/>
  <c r="DX491" i="20"/>
  <c r="FC491" i="20"/>
  <c r="FD490" i="20" s="1"/>
  <c r="FC480" i="20"/>
  <c r="FC482" i="20"/>
  <c r="FD481" i="20" s="1"/>
  <c r="FC485" i="20"/>
  <c r="FC486" i="20"/>
  <c r="FD485" i="20" s="1"/>
  <c r="FC488" i="20"/>
  <c r="FD487" i="20" s="1"/>
  <c r="FC483" i="20"/>
  <c r="FD482" i="20" s="1"/>
  <c r="FC484" i="20"/>
  <c r="FD483" i="20" s="1"/>
  <c r="FC490" i="20"/>
  <c r="FD489" i="20" s="1"/>
  <c r="FC489" i="20"/>
  <c r="FD488" i="20" s="1"/>
  <c r="EJ326" i="20"/>
  <c r="EH329" i="20"/>
  <c r="FP141" i="20"/>
  <c r="FK65" i="20"/>
  <c r="FK67" i="20" s="1"/>
  <c r="FJ68" i="20" s="1"/>
  <c r="FL65" i="20"/>
  <c r="FL67" i="20" s="1"/>
  <c r="FK68" i="20" s="1"/>
  <c r="FR65" i="20"/>
  <c r="FR67" i="20" s="1"/>
  <c r="FQ68" i="20" s="1"/>
  <c r="FU65" i="20"/>
  <c r="FU67" i="20" s="1"/>
  <c r="FT68" i="20" s="1"/>
  <c r="FU68" i="20" s="1"/>
  <c r="FO65" i="20"/>
  <c r="FO67" i="20" s="1"/>
  <c r="FN68" i="20" s="1"/>
  <c r="FP65" i="20"/>
  <c r="FP67" i="20" s="1"/>
  <c r="FO68" i="20" s="1"/>
  <c r="FI65" i="20"/>
  <c r="FI67" i="20" s="1"/>
  <c r="FH68" i="20" s="1"/>
  <c r="FN65" i="20"/>
  <c r="FN67" i="20" s="1"/>
  <c r="FM68" i="20" s="1"/>
  <c r="FH65" i="20"/>
  <c r="FH67" i="20" s="1"/>
  <c r="FG68" i="20" s="1"/>
  <c r="FM65" i="20"/>
  <c r="FM67" i="20" s="1"/>
  <c r="FQ65" i="20"/>
  <c r="FQ67" i="20" s="1"/>
  <c r="FP68" i="20" s="1"/>
  <c r="FG65" i="20"/>
  <c r="FG67" i="20" s="1"/>
  <c r="FT65" i="20"/>
  <c r="FT67" i="20" s="1"/>
  <c r="FS68" i="20" s="1"/>
  <c r="FS65" i="20"/>
  <c r="FS67" i="20" s="1"/>
  <c r="FR68" i="20" s="1"/>
  <c r="FJ65" i="20"/>
  <c r="FJ67" i="20" s="1"/>
  <c r="FI68" i="20" s="1"/>
  <c r="HX68" i="20"/>
  <c r="HR70" i="20"/>
  <c r="FA198" i="20"/>
  <c r="FB197" i="20" s="1"/>
  <c r="FA194" i="20"/>
  <c r="FB193" i="20" s="1"/>
  <c r="FA193" i="20"/>
  <c r="FB192" i="20" s="1"/>
  <c r="FA192" i="20"/>
  <c r="FA195" i="20"/>
  <c r="FB194" i="20" s="1"/>
  <c r="FA191" i="20"/>
  <c r="FB190" i="20" s="1"/>
  <c r="FA188" i="20"/>
  <c r="FA196" i="20"/>
  <c r="FB195" i="20" s="1"/>
  <c r="FA189" i="20"/>
  <c r="FB188" i="20" s="1"/>
  <c r="EZ205" i="20"/>
  <c r="FA190" i="20"/>
  <c r="FB189" i="20" s="1"/>
  <c r="FA197" i="20"/>
  <c r="FB196" i="20" s="1"/>
  <c r="FO194" i="20"/>
  <c r="FP193" i="20" s="1"/>
  <c r="FO193" i="20"/>
  <c r="FP192" i="20" s="1"/>
  <c r="FO188" i="20"/>
  <c r="FO192" i="20"/>
  <c r="FO196" i="20"/>
  <c r="FP195" i="20" s="1"/>
  <c r="FO191" i="20"/>
  <c r="FP190" i="20" s="1"/>
  <c r="FO195" i="20"/>
  <c r="FP194" i="20" s="1"/>
  <c r="FN205" i="20"/>
  <c r="FO190" i="20"/>
  <c r="FP189" i="20" s="1"/>
  <c r="FO198" i="20"/>
  <c r="FP197" i="20" s="1"/>
  <c r="FO189" i="20"/>
  <c r="FP188" i="20" s="1"/>
  <c r="FO197" i="20"/>
  <c r="FP196" i="20" s="1"/>
  <c r="GI567" i="20"/>
  <c r="GG570" i="20"/>
  <c r="GT325" i="20"/>
  <c r="GW325" i="20"/>
  <c r="GV326" i="20" s="1"/>
  <c r="GV325" i="20"/>
  <c r="GU326" i="20" s="1"/>
  <c r="GR335" i="20"/>
  <c r="GX325" i="20"/>
  <c r="GW326" i="20" s="1"/>
  <c r="GX326" i="20" s="1"/>
  <c r="GR325" i="20"/>
  <c r="GS325" i="20"/>
  <c r="GR326" i="20" s="1"/>
  <c r="GU325" i="20"/>
  <c r="GT326" i="20" s="1"/>
  <c r="EJ564" i="20"/>
  <c r="EH567" i="20"/>
  <c r="GY49" i="20"/>
  <c r="GX60" i="20"/>
  <c r="HK467" i="20"/>
  <c r="HL466" i="20" s="1"/>
  <c r="HK463" i="20"/>
  <c r="HK466" i="20"/>
  <c r="HL465" i="20" s="1"/>
  <c r="HK460" i="20"/>
  <c r="HL459" i="20" s="1"/>
  <c r="HK498" i="20"/>
  <c r="HK456" i="20"/>
  <c r="HK461" i="20"/>
  <c r="HL460" i="20" s="1"/>
  <c r="HK476" i="20"/>
  <c r="GF469" i="20"/>
  <c r="HK462" i="20"/>
  <c r="HL461" i="20" s="1"/>
  <c r="HK468" i="20"/>
  <c r="HL467" i="20" s="1"/>
  <c r="HK465" i="20"/>
  <c r="HL464" i="20" s="1"/>
  <c r="HK458" i="20"/>
  <c r="HK464" i="20"/>
  <c r="HL463" i="20" s="1"/>
  <c r="HK520" i="20"/>
  <c r="HK459" i="20"/>
  <c r="HL458" i="20" s="1"/>
  <c r="HK469" i="20"/>
  <c r="HL468" i="20" s="1"/>
  <c r="FC508" i="20"/>
  <c r="FD507" i="20" s="1"/>
  <c r="FC510" i="20"/>
  <c r="FD509" i="20" s="1"/>
  <c r="FC511" i="20"/>
  <c r="FD510" i="20" s="1"/>
  <c r="FC506" i="20"/>
  <c r="FD505" i="20" s="1"/>
  <c r="FC502" i="20"/>
  <c r="FC503" i="20"/>
  <c r="FD502" i="20" s="1"/>
  <c r="FC505" i="20"/>
  <c r="FD504" i="20" s="1"/>
  <c r="FC513" i="20"/>
  <c r="FD512" i="20" s="1"/>
  <c r="FC500" i="20"/>
  <c r="FC512" i="20"/>
  <c r="FD511" i="20" s="1"/>
  <c r="FC509" i="20"/>
  <c r="FD508" i="20" s="1"/>
  <c r="FC504" i="20"/>
  <c r="FD503" i="20" s="1"/>
  <c r="FC507" i="20"/>
  <c r="DX513" i="20"/>
  <c r="FC522" i="20"/>
  <c r="FC531" i="20"/>
  <c r="FD530" i="20" s="1"/>
  <c r="FC533" i="20"/>
  <c r="FD532" i="20" s="1"/>
  <c r="FC534" i="20"/>
  <c r="FD533" i="20" s="1"/>
  <c r="FC528" i="20"/>
  <c r="FD527" i="20" s="1"/>
  <c r="DX535" i="20"/>
  <c r="FC524" i="20"/>
  <c r="FC530" i="20"/>
  <c r="FD529" i="20" s="1"/>
  <c r="FC527" i="20"/>
  <c r="FD526" i="20" s="1"/>
  <c r="FC535" i="20"/>
  <c r="FD534" i="20" s="1"/>
  <c r="FC532" i="20"/>
  <c r="FD531" i="20" s="1"/>
  <c r="FC529" i="20"/>
  <c r="FC526" i="20"/>
  <c r="FD525" i="20" s="1"/>
  <c r="FC525" i="20"/>
  <c r="FD524" i="20" s="1"/>
  <c r="DY286" i="20"/>
  <c r="FQ143" i="20" s="1"/>
  <c r="DY285" i="20"/>
  <c r="FD564" i="20"/>
  <c r="FB567" i="20"/>
  <c r="FC579" i="20"/>
  <c r="FD578" i="20" s="1"/>
  <c r="FC582" i="20"/>
  <c r="FD581" i="20" s="1"/>
  <c r="FC580" i="20"/>
  <c r="FD579" i="20" s="1"/>
  <c r="FC578" i="20"/>
  <c r="FC581" i="20"/>
  <c r="FD580" i="20" s="1"/>
  <c r="FC576" i="20"/>
  <c r="FC577" i="20"/>
  <c r="FD576" i="20" s="1"/>
  <c r="FR88" i="20"/>
  <c r="FS87" i="20" s="1"/>
  <c r="FR94" i="20"/>
  <c r="FS93" i="20" s="1"/>
  <c r="FR96" i="20"/>
  <c r="FS95" i="20" s="1"/>
  <c r="FR93" i="20"/>
  <c r="FS92" i="20" s="1"/>
  <c r="FR90" i="20"/>
  <c r="FS103" i="20"/>
  <c r="FR91" i="20"/>
  <c r="FS90" i="20" s="1"/>
  <c r="FR86" i="20"/>
  <c r="FS85" i="20" s="1"/>
  <c r="FR87" i="20"/>
  <c r="FS86" i="20" s="1"/>
  <c r="FR95" i="20"/>
  <c r="FS94" i="20" s="1"/>
  <c r="FR92" i="20"/>
  <c r="FS91" i="20" s="1"/>
  <c r="FR85" i="20"/>
  <c r="FR89" i="20"/>
  <c r="FS88" i="20" s="1"/>
  <c r="FR97" i="20"/>
  <c r="GT566" i="20"/>
  <c r="GU566" i="20"/>
  <c r="GT567" i="20" s="1"/>
  <c r="GS566" i="20"/>
  <c r="GR567" i="20" s="1"/>
  <c r="GR576" i="20"/>
  <c r="GX566" i="20"/>
  <c r="GW567" i="20" s="1"/>
  <c r="GX567" i="20" s="1"/>
  <c r="GR566" i="20"/>
  <c r="GW566" i="20"/>
  <c r="GV567" i="20" s="1"/>
  <c r="GV566" i="20"/>
  <c r="GU567" i="20" s="1"/>
  <c r="GH585" i="20"/>
  <c r="GI584" i="20" s="1"/>
  <c r="GH580" i="20"/>
  <c r="GI579" i="20" s="1"/>
  <c r="GH583" i="20"/>
  <c r="GI582" i="20" s="1"/>
  <c r="GH582" i="20"/>
  <c r="GI581" i="20" s="1"/>
  <c r="GH581" i="20"/>
  <c r="GH584" i="20"/>
  <c r="GI583" i="20" s="1"/>
  <c r="GH579" i="20"/>
  <c r="HM566" i="20"/>
  <c r="HL567" i="20" s="1"/>
  <c r="HN566" i="20"/>
  <c r="HP566" i="20"/>
  <c r="HO567" i="20" s="1"/>
  <c r="HL576" i="20"/>
  <c r="HQ566" i="20"/>
  <c r="HP567" i="20" s="1"/>
  <c r="HL566" i="20"/>
  <c r="HO566" i="20"/>
  <c r="HN567" i="20" s="1"/>
  <c r="HR566" i="20"/>
  <c r="HQ567" i="20" s="1"/>
  <c r="HR567" i="20" s="1"/>
  <c r="HL325" i="20"/>
  <c r="HQ325" i="20"/>
  <c r="HP326" i="20" s="1"/>
  <c r="HN325" i="20"/>
  <c r="HL335" i="20"/>
  <c r="HP325" i="20"/>
  <c r="HO326" i="20" s="1"/>
  <c r="HM325" i="20"/>
  <c r="HL326" i="20" s="1"/>
  <c r="HO325" i="20"/>
  <c r="HN326" i="20" s="1"/>
  <c r="HR325" i="20"/>
  <c r="HQ326" i="20" s="1"/>
  <c r="HR326" i="20" s="1"/>
  <c r="EI581" i="20"/>
  <c r="EJ580" i="20" s="1"/>
  <c r="EI582" i="20"/>
  <c r="EJ581" i="20" s="1"/>
  <c r="EI578" i="20"/>
  <c r="EI576" i="20"/>
  <c r="EI579" i="20"/>
  <c r="EJ578" i="20" s="1"/>
  <c r="EI577" i="20"/>
  <c r="EJ576" i="20" s="1"/>
  <c r="EI580" i="20"/>
  <c r="EJ579" i="20" s="1"/>
  <c r="DZ577" i="20"/>
  <c r="DY584" i="20"/>
  <c r="IE84" i="20"/>
  <c r="IE99" i="20"/>
  <c r="FC302" i="20"/>
  <c r="FD301" i="20" s="1"/>
  <c r="FC297" i="20"/>
  <c r="FC296" i="20"/>
  <c r="FD295" i="20" s="1"/>
  <c r="DX303" i="20"/>
  <c r="FC293" i="20"/>
  <c r="FD292" i="20" s="1"/>
  <c r="FC301" i="20"/>
  <c r="FD300" i="20" s="1"/>
  <c r="FC303" i="20"/>
  <c r="FD302" i="20" s="1"/>
  <c r="FC298" i="20"/>
  <c r="FD297" i="20" s="1"/>
  <c r="FC290" i="20"/>
  <c r="FC299" i="20"/>
  <c r="FD298" i="20" s="1"/>
  <c r="FC300" i="20"/>
  <c r="FD299" i="20" s="1"/>
  <c r="FC294" i="20"/>
  <c r="FD293" i="20" s="1"/>
  <c r="FC295" i="20"/>
  <c r="FD294" i="20" s="1"/>
  <c r="FC292" i="20"/>
  <c r="FC249" i="20"/>
  <c r="FD248" i="20" s="1"/>
  <c r="FC257" i="20"/>
  <c r="FD256" i="20" s="1"/>
  <c r="FC248" i="20"/>
  <c r="FC258" i="20"/>
  <c r="FD257" i="20" s="1"/>
  <c r="FC253" i="20"/>
  <c r="FC256" i="20"/>
  <c r="FD255" i="20" s="1"/>
  <c r="FC251" i="20"/>
  <c r="FD250" i="20" s="1"/>
  <c r="DX259" i="20"/>
  <c r="FC252" i="20"/>
  <c r="FD251" i="20" s="1"/>
  <c r="FC246" i="20"/>
  <c r="FC255" i="20"/>
  <c r="FD254" i="20" s="1"/>
  <c r="FC259" i="20"/>
  <c r="FD258" i="20" s="1"/>
  <c r="FC250" i="20"/>
  <c r="FD249" i="20" s="1"/>
  <c r="FC254" i="20"/>
  <c r="FD253" i="20" s="1"/>
  <c r="GY43" i="20"/>
  <c r="GX61" i="20"/>
  <c r="FP373" i="20"/>
  <c r="GH68" i="20"/>
  <c r="GB70" i="20"/>
  <c r="GC70" i="20" s="1"/>
  <c r="GO89" i="20"/>
  <c r="GN99" i="20"/>
  <c r="GO84" i="20"/>
  <c r="GO99" i="20"/>
  <c r="GN110" i="20"/>
  <c r="GO109" i="20" s="1"/>
  <c r="GN107" i="20"/>
  <c r="GO106" i="20" s="1"/>
  <c r="GN118" i="20"/>
  <c r="GN112" i="20"/>
  <c r="GO111" i="20" s="1"/>
  <c r="GN115" i="20"/>
  <c r="GO114" i="20" s="1"/>
  <c r="GN113" i="20"/>
  <c r="GO112" i="20" s="1"/>
  <c r="GN117" i="20"/>
  <c r="GO116" i="20" s="1"/>
  <c r="GN106" i="20"/>
  <c r="GN116" i="20"/>
  <c r="GO115" i="20" s="1"/>
  <c r="GN114" i="20"/>
  <c r="GO113" i="20" s="1"/>
  <c r="GN111" i="20"/>
  <c r="GN108" i="20"/>
  <c r="GO107" i="20" s="1"/>
  <c r="GN109" i="20"/>
  <c r="GO108" i="20" s="1"/>
  <c r="GG428" i="20"/>
  <c r="GH427" i="20" s="1"/>
  <c r="GG423" i="20"/>
  <c r="GH422" i="20" s="1"/>
  <c r="HI416" i="20"/>
  <c r="GG426" i="20"/>
  <c r="GH425" i="20" s="1"/>
  <c r="GG421" i="20"/>
  <c r="GH420" i="20" s="1"/>
  <c r="GG425" i="20"/>
  <c r="GH424" i="20" s="1"/>
  <c r="GG429" i="20"/>
  <c r="GH428" i="20" s="1"/>
  <c r="GG420" i="20"/>
  <c r="GG424" i="20"/>
  <c r="HW416" i="20"/>
  <c r="GU416" i="20"/>
  <c r="GG427" i="20"/>
  <c r="GH426" i="20" s="1"/>
  <c r="GF437" i="20"/>
  <c r="GG422" i="20"/>
  <c r="GH421" i="20" s="1"/>
  <c r="GG430" i="20"/>
  <c r="GH429" i="20" s="1"/>
  <c r="GG192" i="20"/>
  <c r="GG191" i="20"/>
  <c r="GH190" i="20" s="1"/>
  <c r="HW184" i="20"/>
  <c r="HI184" i="20"/>
  <c r="GG194" i="20"/>
  <c r="GH193" i="20" s="1"/>
  <c r="GG189" i="20"/>
  <c r="GH188" i="20" s="1"/>
  <c r="GG193" i="20"/>
  <c r="GH192" i="20" s="1"/>
  <c r="GG197" i="20"/>
  <c r="GH196" i="20" s="1"/>
  <c r="GG188" i="20"/>
  <c r="GG196" i="20"/>
  <c r="GH195" i="20" s="1"/>
  <c r="GG198" i="20"/>
  <c r="GH197" i="20" s="1"/>
  <c r="GU184" i="20"/>
  <c r="GG195" i="20"/>
  <c r="GH194" i="20" s="1"/>
  <c r="GG190" i="20"/>
  <c r="GH189" i="20" s="1"/>
  <c r="GF205" i="20"/>
  <c r="ES339" i="20"/>
  <c r="ET338" i="20" s="1"/>
  <c r="ES342" i="20"/>
  <c r="ET341" i="20" s="1"/>
  <c r="ES340" i="20"/>
  <c r="ES343" i="20"/>
  <c r="ET342" i="20" s="1"/>
  <c r="ES338" i="20"/>
  <c r="ES341" i="20"/>
  <c r="ET340" i="20" s="1"/>
  <c r="ES344" i="20"/>
  <c r="ET343" i="20" s="1"/>
  <c r="ER326" i="20"/>
  <c r="ER330" i="20"/>
  <c r="EI340" i="20"/>
  <c r="EI343" i="20"/>
  <c r="EJ342" i="20" s="1"/>
  <c r="EI342" i="20"/>
  <c r="EJ341" i="20" s="1"/>
  <c r="EI341" i="20"/>
  <c r="EJ340" i="20" s="1"/>
  <c r="EI344" i="20"/>
  <c r="EJ343" i="20" s="1"/>
  <c r="EI338" i="20"/>
  <c r="EI339" i="20"/>
  <c r="EJ338" i="20" s="1"/>
  <c r="EH326" i="20"/>
  <c r="EH330" i="20"/>
  <c r="FC338" i="20"/>
  <c r="FC340" i="20"/>
  <c r="FC344" i="20"/>
  <c r="FD343" i="20" s="1"/>
  <c r="FC341" i="20"/>
  <c r="FD340" i="20" s="1"/>
  <c r="FC342" i="20"/>
  <c r="FD341" i="20" s="1"/>
  <c r="FC343" i="20"/>
  <c r="FD342" i="20" s="1"/>
  <c r="FC339" i="20"/>
  <c r="FD338" i="20" s="1"/>
  <c r="DY264" i="20"/>
  <c r="FQ142" i="20" s="1"/>
  <c r="DY263" i="20"/>
  <c r="T105" i="9"/>
  <c r="U105" i="9"/>
  <c r="U81" i="9" s="1"/>
  <c r="T120" i="9"/>
  <c r="U120" i="9"/>
  <c r="S43" i="11"/>
  <c r="U101" i="9"/>
  <c r="U79" i="9" s="1"/>
  <c r="T101" i="9"/>
  <c r="T97" i="9"/>
  <c r="U97" i="9"/>
  <c r="U77" i="9" s="1"/>
  <c r="Z42" i="9"/>
  <c r="BC24" i="11" l="1"/>
  <c r="AW24" i="11" s="1"/>
  <c r="AC82" i="11"/>
  <c r="C37" i="13"/>
  <c r="C38" i="13" s="1"/>
  <c r="Y74" i="9"/>
  <c r="AA80" i="9" s="1"/>
  <c r="D188" i="13"/>
  <c r="HS70" i="20"/>
  <c r="HS73" i="20" s="1"/>
  <c r="FH60" i="20"/>
  <c r="FH61" i="20" s="1"/>
  <c r="FH62" i="20" s="1"/>
  <c r="FN41" i="20" s="1"/>
  <c r="FP50" i="20" s="1"/>
  <c r="DZ28" i="20" s="1"/>
  <c r="GY60" i="20"/>
  <c r="GY61" i="20" s="1"/>
  <c r="EI567" i="20"/>
  <c r="EI568" i="20" s="1"/>
  <c r="GH570" i="20"/>
  <c r="GH571" i="20" s="1"/>
  <c r="FC567" i="20"/>
  <c r="FC568" i="20" s="1"/>
  <c r="DZ346" i="20"/>
  <c r="DZ347" i="20" s="1"/>
  <c r="DZ348" i="20" s="1"/>
  <c r="GE61" i="20"/>
  <c r="GE62" i="20" s="1"/>
  <c r="GI40" i="20" s="1"/>
  <c r="FQ52" i="20" s="1"/>
  <c r="FQ49" i="20" s="1"/>
  <c r="FT49" i="20" s="1"/>
  <c r="EI329" i="20"/>
  <c r="EI330" i="20" s="1"/>
  <c r="EI331" i="20" s="1"/>
  <c r="ES567" i="20"/>
  <c r="ES568" i="20" s="1"/>
  <c r="ES569" i="20" s="1"/>
  <c r="FC329" i="20"/>
  <c r="FC330" i="20" s="1"/>
  <c r="FC331" i="20" s="1"/>
  <c r="ES329" i="20"/>
  <c r="ES330" i="20" s="1"/>
  <c r="ES331" i="20" s="1"/>
  <c r="DZ584" i="20"/>
  <c r="DZ585" i="20" s="1"/>
  <c r="DZ586" i="20" s="1"/>
  <c r="GH329" i="20"/>
  <c r="GH330" i="20" s="1"/>
  <c r="FD471" i="20"/>
  <c r="FE471" i="20" s="1"/>
  <c r="DZ200" i="20"/>
  <c r="DZ201" i="20" s="1"/>
  <c r="HT62" i="20"/>
  <c r="HZ41" i="20" s="1"/>
  <c r="HG49" i="20" s="1"/>
  <c r="DZ23" i="20" s="1"/>
  <c r="V100" i="9" s="1"/>
  <c r="V78" i="9" s="1"/>
  <c r="FD239" i="20"/>
  <c r="FE239" i="20" s="1"/>
  <c r="GC73" i="20"/>
  <c r="GB73" i="20" s="1"/>
  <c r="FD339" i="20"/>
  <c r="FC346" i="20"/>
  <c r="GG205" i="20"/>
  <c r="GG207" i="20" s="1"/>
  <c r="GI205" i="20"/>
  <c r="GI207" i="20" s="1"/>
  <c r="GH208" i="20" s="1"/>
  <c r="GN205" i="20"/>
  <c r="GN207" i="20" s="1"/>
  <c r="GM208" i="20" s="1"/>
  <c r="GO205" i="20"/>
  <c r="GO207" i="20" s="1"/>
  <c r="GN208" i="20" s="1"/>
  <c r="GH205" i="20"/>
  <c r="GH207" i="20" s="1"/>
  <c r="GG208" i="20" s="1"/>
  <c r="GK205" i="20"/>
  <c r="GK207" i="20" s="1"/>
  <c r="GQ205" i="20"/>
  <c r="GQ207" i="20" s="1"/>
  <c r="GP208" i="20" s="1"/>
  <c r="GQ208" i="20" s="1"/>
  <c r="GP205" i="20"/>
  <c r="GP207" i="20" s="1"/>
  <c r="GO208" i="20" s="1"/>
  <c r="GM205" i="20"/>
  <c r="GM207" i="20" s="1"/>
  <c r="GL208" i="20" s="1"/>
  <c r="GL205" i="20"/>
  <c r="GL207" i="20" s="1"/>
  <c r="GK208" i="20" s="1"/>
  <c r="GJ205" i="20"/>
  <c r="GJ207" i="20" s="1"/>
  <c r="GI208" i="20" s="1"/>
  <c r="HW188" i="20"/>
  <c r="HW192" i="20"/>
  <c r="HW196" i="20"/>
  <c r="HX195" i="20" s="1"/>
  <c r="HW195" i="20"/>
  <c r="HX194" i="20" s="1"/>
  <c r="HW190" i="20"/>
  <c r="HX189" i="20" s="1"/>
  <c r="HW198" i="20"/>
  <c r="HX197" i="20" s="1"/>
  <c r="HW189" i="20"/>
  <c r="HX188" i="20" s="1"/>
  <c r="HW193" i="20"/>
  <c r="HX192" i="20" s="1"/>
  <c r="HW197" i="20"/>
  <c r="HX196" i="20" s="1"/>
  <c r="HW191" i="20"/>
  <c r="HX190" i="20" s="1"/>
  <c r="HV205" i="20"/>
  <c r="HW194" i="20"/>
  <c r="HX193" i="20" s="1"/>
  <c r="HL338" i="20"/>
  <c r="HL342" i="20"/>
  <c r="HM341" i="20" s="1"/>
  <c r="HL341" i="20"/>
  <c r="HM340" i="20" s="1"/>
  <c r="HL344" i="20"/>
  <c r="HM343" i="20" s="1"/>
  <c r="HL339" i="20"/>
  <c r="HM338" i="20" s="1"/>
  <c r="HL343" i="20"/>
  <c r="HM342" i="20" s="1"/>
  <c r="HL340" i="20"/>
  <c r="GI578" i="20"/>
  <c r="GH588" i="20"/>
  <c r="FS89" i="20"/>
  <c r="FR99" i="20"/>
  <c r="GS326" i="20"/>
  <c r="GQ329" i="20"/>
  <c r="FB187" i="20"/>
  <c r="FA201" i="20"/>
  <c r="HK268" i="20"/>
  <c r="HK273" i="20"/>
  <c r="HL272" i="20" s="1"/>
  <c r="HK277" i="20"/>
  <c r="HL276" i="20" s="1"/>
  <c r="GF281" i="20"/>
  <c r="HK276" i="20"/>
  <c r="HL275" i="20" s="1"/>
  <c r="HK280" i="20"/>
  <c r="HL279" i="20" s="1"/>
  <c r="HK271" i="20"/>
  <c r="HL270" i="20" s="1"/>
  <c r="HK279" i="20"/>
  <c r="HL278" i="20" s="1"/>
  <c r="HK270" i="20"/>
  <c r="HK274" i="20"/>
  <c r="HL273" i="20" s="1"/>
  <c r="HK278" i="20"/>
  <c r="HL277" i="20" s="1"/>
  <c r="HK281" i="20"/>
  <c r="HL280" i="20" s="1"/>
  <c r="HK272" i="20"/>
  <c r="HL271" i="20" s="1"/>
  <c r="HK275" i="20"/>
  <c r="GG517" i="20"/>
  <c r="GG518" i="20"/>
  <c r="HY375" i="20" s="1"/>
  <c r="FP144" i="20"/>
  <c r="DX440" i="20"/>
  <c r="DX443" i="20"/>
  <c r="GI339" i="20"/>
  <c r="GH346" i="20"/>
  <c r="FP419" i="20"/>
  <c r="FO433" i="20"/>
  <c r="HL49" i="20"/>
  <c r="ED23" i="20" s="1"/>
  <c r="Z100" i="9" s="1"/>
  <c r="Z78" i="9" s="1"/>
  <c r="HJ49" i="20"/>
  <c r="EB23" i="20" s="1"/>
  <c r="X100" i="9" s="1"/>
  <c r="X78" i="9" s="1"/>
  <c r="HK49" i="20"/>
  <c r="EA23" i="20"/>
  <c r="W100" i="9" s="1"/>
  <c r="W78" i="9" s="1"/>
  <c r="HH205" i="20"/>
  <c r="HI195" i="20"/>
  <c r="HJ194" i="20" s="1"/>
  <c r="HI196" i="20"/>
  <c r="HJ195" i="20" s="1"/>
  <c r="HI193" i="20"/>
  <c r="HJ192" i="20" s="1"/>
  <c r="HI190" i="20"/>
  <c r="HJ189" i="20" s="1"/>
  <c r="HI191" i="20"/>
  <c r="HJ190" i="20" s="1"/>
  <c r="HI198" i="20"/>
  <c r="HJ197" i="20" s="1"/>
  <c r="HI189" i="20"/>
  <c r="HJ188" i="20" s="1"/>
  <c r="HI197" i="20"/>
  <c r="HJ196" i="20" s="1"/>
  <c r="HI194" i="20"/>
  <c r="HJ193" i="20" s="1"/>
  <c r="HI192" i="20"/>
  <c r="HI188" i="20"/>
  <c r="HI423" i="20"/>
  <c r="HJ422" i="20" s="1"/>
  <c r="HI420" i="20"/>
  <c r="HI428" i="20"/>
  <c r="HJ427" i="20" s="1"/>
  <c r="HI421" i="20"/>
  <c r="HJ420" i="20" s="1"/>
  <c r="HI426" i="20"/>
  <c r="HJ425" i="20" s="1"/>
  <c r="HI427" i="20"/>
  <c r="HJ426" i="20" s="1"/>
  <c r="HI424" i="20"/>
  <c r="HI425" i="20"/>
  <c r="HJ424" i="20" s="1"/>
  <c r="HI422" i="20"/>
  <c r="HJ421" i="20" s="1"/>
  <c r="HI430" i="20"/>
  <c r="HJ429" i="20" s="1"/>
  <c r="HI429" i="20"/>
  <c r="HJ428" i="20" s="1"/>
  <c r="HH437" i="20"/>
  <c r="GO105" i="20"/>
  <c r="GO120" i="20"/>
  <c r="FD296" i="20"/>
  <c r="FD304" i="20" s="1"/>
  <c r="FC304" i="20"/>
  <c r="FC305" i="20" s="1"/>
  <c r="FR113" i="20"/>
  <c r="FS112" i="20" s="1"/>
  <c r="FR110" i="20"/>
  <c r="FS109" i="20" s="1"/>
  <c r="FR106" i="20"/>
  <c r="FR117" i="20"/>
  <c r="FS116" i="20" s="1"/>
  <c r="FR109" i="20"/>
  <c r="FS108" i="20" s="1"/>
  <c r="FR108" i="20"/>
  <c r="FS107" i="20" s="1"/>
  <c r="FR107" i="20"/>
  <c r="FS106" i="20" s="1"/>
  <c r="FR115" i="20"/>
  <c r="FS114" i="20" s="1"/>
  <c r="FR112" i="20"/>
  <c r="FS111" i="20" s="1"/>
  <c r="FR114" i="20"/>
  <c r="FS113" i="20" s="1"/>
  <c r="FR111" i="20"/>
  <c r="FR118" i="20"/>
  <c r="FR116" i="20"/>
  <c r="FS115" i="20" s="1"/>
  <c r="FD506" i="20"/>
  <c r="FD514" i="20" s="1"/>
  <c r="FC514" i="20"/>
  <c r="FC515" i="20" s="1"/>
  <c r="HL462" i="20"/>
  <c r="HL470" i="20" s="1"/>
  <c r="HK470" i="20"/>
  <c r="HK471" i="20" s="1"/>
  <c r="FO205" i="20"/>
  <c r="FO207" i="20" s="1"/>
  <c r="FQ205" i="20"/>
  <c r="FQ207" i="20" s="1"/>
  <c r="FP208" i="20" s="1"/>
  <c r="FR205" i="20"/>
  <c r="FR207" i="20" s="1"/>
  <c r="FQ208" i="20" s="1"/>
  <c r="FT205" i="20"/>
  <c r="FT207" i="20" s="1"/>
  <c r="FS208" i="20" s="1"/>
  <c r="FU205" i="20"/>
  <c r="FU207" i="20" s="1"/>
  <c r="FT208" i="20" s="1"/>
  <c r="FP205" i="20"/>
  <c r="FP207" i="20" s="1"/>
  <c r="FO208" i="20" s="1"/>
  <c r="FS205" i="20"/>
  <c r="FS207" i="20" s="1"/>
  <c r="FY205" i="20"/>
  <c r="FY207" i="20" s="1"/>
  <c r="FX208" i="20" s="1"/>
  <c r="FY208" i="20" s="1"/>
  <c r="FX205" i="20"/>
  <c r="FX207" i="20" s="1"/>
  <c r="FW208" i="20" s="1"/>
  <c r="FV205" i="20"/>
  <c r="FV207" i="20" s="1"/>
  <c r="FU208" i="20" s="1"/>
  <c r="FW205" i="20"/>
  <c r="FW207" i="20" s="1"/>
  <c r="FV208" i="20" s="1"/>
  <c r="FB191" i="20"/>
  <c r="FA200" i="20"/>
  <c r="GG495" i="20"/>
  <c r="GG496" i="20"/>
  <c r="HY374" i="20" s="1"/>
  <c r="EU437" i="20"/>
  <c r="EU439" i="20" s="1"/>
  <c r="ET440" i="20" s="1"/>
  <c r="EP437" i="20"/>
  <c r="EP439" i="20" s="1"/>
  <c r="EO440" i="20" s="1"/>
  <c r="EV437" i="20"/>
  <c r="EV439" i="20" s="1"/>
  <c r="EU440" i="20" s="1"/>
  <c r="ES437" i="20"/>
  <c r="ES439" i="20" s="1"/>
  <c r="ER440" i="20" s="1"/>
  <c r="ER437" i="20"/>
  <c r="ER439" i="20" s="1"/>
  <c r="EQ440" i="20" s="1"/>
  <c r="EO437" i="20"/>
  <c r="EO439" i="20" s="1"/>
  <c r="EN440" i="20" s="1"/>
  <c r="EM437" i="20"/>
  <c r="EM439" i="20" s="1"/>
  <c r="EN437" i="20"/>
  <c r="EN439" i="20" s="1"/>
  <c r="EM440" i="20" s="1"/>
  <c r="ET437" i="20"/>
  <c r="ET439" i="20" s="1"/>
  <c r="ES440" i="20" s="1"/>
  <c r="EW437" i="20"/>
  <c r="EW439" i="20" s="1"/>
  <c r="EV440" i="20" s="1"/>
  <c r="EW440" i="20" s="1"/>
  <c r="EQ437" i="20"/>
  <c r="EQ439" i="20" s="1"/>
  <c r="EN423" i="20"/>
  <c r="EM432" i="20"/>
  <c r="HB582" i="20"/>
  <c r="HC581" i="20" s="1"/>
  <c r="HB585" i="20"/>
  <c r="HC584" i="20" s="1"/>
  <c r="HB584" i="20"/>
  <c r="HC583" i="20" s="1"/>
  <c r="HB579" i="20"/>
  <c r="HB583" i="20"/>
  <c r="HC582" i="20" s="1"/>
  <c r="HB581" i="20"/>
  <c r="HB580" i="20"/>
  <c r="HC579" i="20" s="1"/>
  <c r="GW68" i="20"/>
  <c r="GW71" i="20"/>
  <c r="FF437" i="20"/>
  <c r="FF439" i="20" s="1"/>
  <c r="FE440" i="20" s="1"/>
  <c r="FA437" i="20"/>
  <c r="FA439" i="20" s="1"/>
  <c r="FK437" i="20"/>
  <c r="FK439" i="20" s="1"/>
  <c r="FJ440" i="20" s="1"/>
  <c r="FK440" i="20" s="1"/>
  <c r="FB437" i="20"/>
  <c r="FB439" i="20" s="1"/>
  <c r="FA440" i="20" s="1"/>
  <c r="FH437" i="20"/>
  <c r="FH439" i="20" s="1"/>
  <c r="FG440" i="20" s="1"/>
  <c r="FG437" i="20"/>
  <c r="FG439" i="20" s="1"/>
  <c r="FF440" i="20" s="1"/>
  <c r="FC437" i="20"/>
  <c r="FC439" i="20" s="1"/>
  <c r="FB440" i="20" s="1"/>
  <c r="FJ437" i="20"/>
  <c r="FJ439" i="20" s="1"/>
  <c r="FI440" i="20" s="1"/>
  <c r="FD437" i="20"/>
  <c r="FD439" i="20" s="1"/>
  <c r="FC440" i="20" s="1"/>
  <c r="FE437" i="20"/>
  <c r="FE439" i="20" s="1"/>
  <c r="FI437" i="20"/>
  <c r="FI439" i="20" s="1"/>
  <c r="FH440" i="20" s="1"/>
  <c r="HA326" i="20"/>
  <c r="HA330" i="20"/>
  <c r="EJ339" i="20"/>
  <c r="EI346" i="20"/>
  <c r="GH187" i="20"/>
  <c r="GG201" i="20"/>
  <c r="GH191" i="20"/>
  <c r="GG200" i="20"/>
  <c r="GH419" i="20"/>
  <c r="GG433" i="20"/>
  <c r="FD252" i="20"/>
  <c r="FD260" i="20" s="1"/>
  <c r="FC260" i="20"/>
  <c r="FC261" i="20" s="1"/>
  <c r="HK567" i="20"/>
  <c r="HK571" i="20"/>
  <c r="HM567" i="20"/>
  <c r="HK570" i="20"/>
  <c r="GI580" i="20"/>
  <c r="GH587" i="20"/>
  <c r="GS567" i="20"/>
  <c r="GQ570" i="20"/>
  <c r="FD575" i="20"/>
  <c r="FC585" i="20"/>
  <c r="FP143" i="20"/>
  <c r="FD528" i="20"/>
  <c r="FD536" i="20" s="1"/>
  <c r="FC536" i="20"/>
  <c r="FC537" i="20" s="1"/>
  <c r="HK526" i="20"/>
  <c r="HL525" i="20" s="1"/>
  <c r="HK530" i="20"/>
  <c r="HL529" i="20" s="1"/>
  <c r="HK534" i="20"/>
  <c r="HL533" i="20" s="1"/>
  <c r="HK529" i="20"/>
  <c r="HK535" i="20"/>
  <c r="HL534" i="20" s="1"/>
  <c r="HK524" i="20"/>
  <c r="HK532" i="20"/>
  <c r="HL531" i="20" s="1"/>
  <c r="HK527" i="20"/>
  <c r="HL526" i="20" s="1"/>
  <c r="HK531" i="20"/>
  <c r="HL530" i="20" s="1"/>
  <c r="HK522" i="20"/>
  <c r="HK525" i="20"/>
  <c r="HL524" i="20" s="1"/>
  <c r="HK533" i="20"/>
  <c r="HL532" i="20" s="1"/>
  <c r="HK528" i="20"/>
  <c r="HL527" i="20" s="1"/>
  <c r="GF535" i="20"/>
  <c r="FL68" i="20"/>
  <c r="FF70" i="20"/>
  <c r="FD484" i="20"/>
  <c r="FD492" i="20" s="1"/>
  <c r="FC492" i="20"/>
  <c r="FC493" i="20" s="1"/>
  <c r="HK290" i="20"/>
  <c r="HK295" i="20"/>
  <c r="HL294" i="20" s="1"/>
  <c r="HK299" i="20"/>
  <c r="HL298" i="20" s="1"/>
  <c r="GF303" i="20"/>
  <c r="HK294" i="20"/>
  <c r="HL293" i="20" s="1"/>
  <c r="HK302" i="20"/>
  <c r="HL301" i="20" s="1"/>
  <c r="HK297" i="20"/>
  <c r="HK292" i="20"/>
  <c r="HK296" i="20"/>
  <c r="HL295" i="20" s="1"/>
  <c r="HK300" i="20"/>
  <c r="HL299" i="20" s="1"/>
  <c r="HK303" i="20"/>
  <c r="HL302" i="20" s="1"/>
  <c r="HK298" i="20"/>
  <c r="HL297" i="20" s="1"/>
  <c r="HK293" i="20"/>
  <c r="HL292" i="20" s="1"/>
  <c r="HK301" i="20"/>
  <c r="HL300" i="20" s="1"/>
  <c r="GG285" i="20"/>
  <c r="GG286" i="20"/>
  <c r="HY143" i="20" s="1"/>
  <c r="GG308" i="20"/>
  <c r="HY144" i="20" s="1"/>
  <c r="GG307" i="20"/>
  <c r="GI337" i="20"/>
  <c r="GH347" i="20"/>
  <c r="HC567" i="20"/>
  <c r="HA570" i="20"/>
  <c r="FP376" i="20"/>
  <c r="HJ89" i="20"/>
  <c r="HI99" i="20"/>
  <c r="HC326" i="20"/>
  <c r="HA329" i="20"/>
  <c r="HW422" i="20"/>
  <c r="HX421" i="20" s="1"/>
  <c r="HW426" i="20"/>
  <c r="HX425" i="20" s="1"/>
  <c r="HW430" i="20"/>
  <c r="HX429" i="20" s="1"/>
  <c r="HW421" i="20"/>
  <c r="HX420" i="20" s="1"/>
  <c r="HW429" i="20"/>
  <c r="HX428" i="20" s="1"/>
  <c r="HW420" i="20"/>
  <c r="HW428" i="20"/>
  <c r="HX427" i="20" s="1"/>
  <c r="HW423" i="20"/>
  <c r="HX422" i="20" s="1"/>
  <c r="HW427" i="20"/>
  <c r="HX426" i="20" s="1"/>
  <c r="HV437" i="20"/>
  <c r="HW425" i="20"/>
  <c r="HX424" i="20" s="1"/>
  <c r="HW424" i="20"/>
  <c r="GO110" i="20"/>
  <c r="GN120" i="20"/>
  <c r="GN121" i="20" s="1"/>
  <c r="GO117" i="20"/>
  <c r="GO118" i="20"/>
  <c r="EJ575" i="20"/>
  <c r="EI585" i="20"/>
  <c r="HL579" i="20"/>
  <c r="HL582" i="20"/>
  <c r="HM581" i="20" s="1"/>
  <c r="HL580" i="20"/>
  <c r="HM579" i="20" s="1"/>
  <c r="HL581" i="20"/>
  <c r="HL584" i="20"/>
  <c r="HM583" i="20" s="1"/>
  <c r="HL583" i="20"/>
  <c r="HM582" i="20" s="1"/>
  <c r="HL585" i="20"/>
  <c r="HM584" i="20" s="1"/>
  <c r="FD577" i="20"/>
  <c r="FC584" i="20"/>
  <c r="HK503" i="20"/>
  <c r="HL502" i="20" s="1"/>
  <c r="HK507" i="20"/>
  <c r="HK511" i="20"/>
  <c r="HL510" i="20" s="1"/>
  <c r="HK513" i="20"/>
  <c r="HL512" i="20" s="1"/>
  <c r="HK506" i="20"/>
  <c r="HL505" i="20" s="1"/>
  <c r="GF513" i="20"/>
  <c r="HK505" i="20"/>
  <c r="HL504" i="20" s="1"/>
  <c r="HK500" i="20"/>
  <c r="HK504" i="20"/>
  <c r="HL503" i="20" s="1"/>
  <c r="HK508" i="20"/>
  <c r="HL507" i="20" s="1"/>
  <c r="HK512" i="20"/>
  <c r="HL511" i="20" s="1"/>
  <c r="HK502" i="20"/>
  <c r="HK510" i="20"/>
  <c r="HL509" i="20" s="1"/>
  <c r="HK509" i="20"/>
  <c r="HL508" i="20" s="1"/>
  <c r="FP187" i="20"/>
  <c r="FO201" i="20"/>
  <c r="FF68" i="20"/>
  <c r="FF71" i="20"/>
  <c r="EN419" i="20"/>
  <c r="EM433" i="20"/>
  <c r="HA567" i="20"/>
  <c r="HA571" i="20"/>
  <c r="ET577" i="20"/>
  <c r="ES584" i="20"/>
  <c r="IE117" i="20"/>
  <c r="IE118" i="20"/>
  <c r="HC68" i="20"/>
  <c r="GW70" i="20"/>
  <c r="EN191" i="20"/>
  <c r="EM200" i="20"/>
  <c r="ER205" i="20"/>
  <c r="ER207" i="20" s="1"/>
  <c r="EQ208" i="20" s="1"/>
  <c r="EU205" i="20"/>
  <c r="EU207" i="20" s="1"/>
  <c r="ET208" i="20" s="1"/>
  <c r="ET205" i="20"/>
  <c r="ET207" i="20" s="1"/>
  <c r="ES208" i="20" s="1"/>
  <c r="EQ205" i="20"/>
  <c r="EQ207" i="20" s="1"/>
  <c r="ES205" i="20"/>
  <c r="ES207" i="20" s="1"/>
  <c r="ER208" i="20" s="1"/>
  <c r="EV205" i="20"/>
  <c r="EV207" i="20" s="1"/>
  <c r="EU208" i="20" s="1"/>
  <c r="EP205" i="20"/>
  <c r="EP207" i="20" s="1"/>
  <c r="EO208" i="20" s="1"/>
  <c r="EW205" i="20"/>
  <c r="EW207" i="20" s="1"/>
  <c r="EV208" i="20" s="1"/>
  <c r="EW208" i="20" s="1"/>
  <c r="EN205" i="20"/>
  <c r="EN207" i="20" s="1"/>
  <c r="EM208" i="20" s="1"/>
  <c r="EO205" i="20"/>
  <c r="EO207" i="20" s="1"/>
  <c r="EN208" i="20" s="1"/>
  <c r="EM205" i="20"/>
  <c r="EM207" i="20" s="1"/>
  <c r="ET337" i="20"/>
  <c r="ES347" i="20"/>
  <c r="GU188" i="20"/>
  <c r="GU192" i="20"/>
  <c r="GU196" i="20"/>
  <c r="GV195" i="20" s="1"/>
  <c r="GU191" i="20"/>
  <c r="GV190" i="20" s="1"/>
  <c r="GT205" i="20"/>
  <c r="GU194" i="20"/>
  <c r="GV193" i="20" s="1"/>
  <c r="GU189" i="20"/>
  <c r="GV188" i="20" s="1"/>
  <c r="GU193" i="20"/>
  <c r="GV192" i="20" s="1"/>
  <c r="GU197" i="20"/>
  <c r="GV196" i="20" s="1"/>
  <c r="GU195" i="20"/>
  <c r="GV194" i="20" s="1"/>
  <c r="GU190" i="20"/>
  <c r="GV189" i="20" s="1"/>
  <c r="GU198" i="20"/>
  <c r="GV197" i="20" s="1"/>
  <c r="GU421" i="20"/>
  <c r="GV420" i="20" s="1"/>
  <c r="GU425" i="20"/>
  <c r="GV424" i="20" s="1"/>
  <c r="GU429" i="20"/>
  <c r="GV428" i="20" s="1"/>
  <c r="GU420" i="20"/>
  <c r="GU424" i="20"/>
  <c r="GU427" i="20"/>
  <c r="GV426" i="20" s="1"/>
  <c r="GU422" i="20"/>
  <c r="GV421" i="20" s="1"/>
  <c r="GU426" i="20"/>
  <c r="GV425" i="20" s="1"/>
  <c r="GU430" i="20"/>
  <c r="GV429" i="20" s="1"/>
  <c r="GU428" i="20"/>
  <c r="GV427" i="20" s="1"/>
  <c r="GU423" i="20"/>
  <c r="GV422" i="20" s="1"/>
  <c r="GT437" i="20"/>
  <c r="HK326" i="20"/>
  <c r="HK330" i="20"/>
  <c r="GR581" i="20"/>
  <c r="GR584" i="20"/>
  <c r="GS583" i="20" s="1"/>
  <c r="GR582" i="20"/>
  <c r="GS581" i="20" s="1"/>
  <c r="GR585" i="20"/>
  <c r="GS584" i="20" s="1"/>
  <c r="GR580" i="20"/>
  <c r="GS579" i="20" s="1"/>
  <c r="GR579" i="20"/>
  <c r="GR583" i="20"/>
  <c r="GS582" i="20" s="1"/>
  <c r="FS97" i="20"/>
  <c r="FS96" i="20"/>
  <c r="GQ326" i="20"/>
  <c r="GQ330" i="20"/>
  <c r="FP191" i="20"/>
  <c r="FO200" i="20"/>
  <c r="HL230" i="20"/>
  <c r="HL238" i="20" s="1"/>
  <c r="HK238" i="20"/>
  <c r="HK239" i="20" s="1"/>
  <c r="GG540" i="20"/>
  <c r="HY376" i="20" s="1"/>
  <c r="GG539" i="20"/>
  <c r="GG263" i="20"/>
  <c r="GG264" i="20"/>
  <c r="HY142" i="20" s="1"/>
  <c r="ET575" i="20"/>
  <c r="ES585" i="20"/>
  <c r="IE105" i="20"/>
  <c r="IE120" i="20"/>
  <c r="FP375" i="20"/>
  <c r="EN187" i="20"/>
  <c r="EM201" i="20"/>
  <c r="FP142" i="20"/>
  <c r="FD337" i="20"/>
  <c r="FC347" i="20"/>
  <c r="EJ337" i="20"/>
  <c r="EI347" i="20"/>
  <c r="ET339" i="20"/>
  <c r="ES346" i="20"/>
  <c r="GH437" i="20"/>
  <c r="GH439" i="20" s="1"/>
  <c r="GG440" i="20" s="1"/>
  <c r="GQ437" i="20"/>
  <c r="GQ439" i="20" s="1"/>
  <c r="GP440" i="20" s="1"/>
  <c r="GQ440" i="20" s="1"/>
  <c r="GJ437" i="20"/>
  <c r="GJ439" i="20" s="1"/>
  <c r="GI440" i="20" s="1"/>
  <c r="GK437" i="20"/>
  <c r="GK439" i="20" s="1"/>
  <c r="GG437" i="20"/>
  <c r="GG439" i="20" s="1"/>
  <c r="GL437" i="20"/>
  <c r="GL439" i="20" s="1"/>
  <c r="GK440" i="20" s="1"/>
  <c r="GO437" i="20"/>
  <c r="GO439" i="20" s="1"/>
  <c r="GN440" i="20" s="1"/>
  <c r="GN437" i="20"/>
  <c r="GN439" i="20" s="1"/>
  <c r="GM440" i="20" s="1"/>
  <c r="GM437" i="20"/>
  <c r="GM439" i="20" s="1"/>
  <c r="GL440" i="20" s="1"/>
  <c r="GP437" i="20"/>
  <c r="GP439" i="20" s="1"/>
  <c r="GO440" i="20" s="1"/>
  <c r="GI437" i="20"/>
  <c r="GI439" i="20" s="1"/>
  <c r="GH440" i="20" s="1"/>
  <c r="GH423" i="20"/>
  <c r="GG432" i="20"/>
  <c r="EJ577" i="20"/>
  <c r="EI584" i="20"/>
  <c r="HM326" i="20"/>
  <c r="HK329" i="20"/>
  <c r="GQ567" i="20"/>
  <c r="GQ571" i="20"/>
  <c r="FS84" i="20"/>
  <c r="FS99" i="20"/>
  <c r="HK481" i="20"/>
  <c r="HL480" i="20" s="1"/>
  <c r="HK491" i="20"/>
  <c r="HL490" i="20" s="1"/>
  <c r="HK480" i="20"/>
  <c r="HK488" i="20"/>
  <c r="HL487" i="20" s="1"/>
  <c r="GF491" i="20"/>
  <c r="HK487" i="20"/>
  <c r="HL486" i="20" s="1"/>
  <c r="HK482" i="20"/>
  <c r="HL481" i="20" s="1"/>
  <c r="HK486" i="20"/>
  <c r="HL485" i="20" s="1"/>
  <c r="HK490" i="20"/>
  <c r="HL489" i="20" s="1"/>
  <c r="HK485" i="20"/>
  <c r="HK489" i="20"/>
  <c r="HL488" i="20" s="1"/>
  <c r="HK484" i="20"/>
  <c r="HL483" i="20" s="1"/>
  <c r="HK483" i="20"/>
  <c r="HL482" i="20" s="1"/>
  <c r="HK478" i="20"/>
  <c r="GR342" i="20"/>
  <c r="GS341" i="20" s="1"/>
  <c r="GR339" i="20"/>
  <c r="GS338" i="20" s="1"/>
  <c r="GR341" i="20"/>
  <c r="GS340" i="20" s="1"/>
  <c r="GR344" i="20"/>
  <c r="GS343" i="20" s="1"/>
  <c r="GR343" i="20"/>
  <c r="GS342" i="20" s="1"/>
  <c r="GR338" i="20"/>
  <c r="GR340" i="20"/>
  <c r="FA205" i="20"/>
  <c r="FA207" i="20" s="1"/>
  <c r="FJ205" i="20"/>
  <c r="FJ207" i="20" s="1"/>
  <c r="FI208" i="20" s="1"/>
  <c r="FG205" i="20"/>
  <c r="FG207" i="20" s="1"/>
  <c r="FF208" i="20" s="1"/>
  <c r="FI205" i="20"/>
  <c r="FI207" i="20" s="1"/>
  <c r="FH208" i="20" s="1"/>
  <c r="FB205" i="20"/>
  <c r="FB207" i="20" s="1"/>
  <c r="FA208" i="20" s="1"/>
  <c r="FE205" i="20"/>
  <c r="FE207" i="20" s="1"/>
  <c r="FC205" i="20"/>
  <c r="FC207" i="20" s="1"/>
  <c r="FB208" i="20" s="1"/>
  <c r="FD205" i="20"/>
  <c r="FD207" i="20" s="1"/>
  <c r="FC208" i="20" s="1"/>
  <c r="FH205" i="20"/>
  <c r="FH207" i="20" s="1"/>
  <c r="FG208" i="20" s="1"/>
  <c r="FF205" i="20"/>
  <c r="FF207" i="20" s="1"/>
  <c r="FE208" i="20" s="1"/>
  <c r="FK205" i="20"/>
  <c r="FK207" i="20" s="1"/>
  <c r="FJ208" i="20" s="1"/>
  <c r="FK208" i="20" s="1"/>
  <c r="HK249" i="20"/>
  <c r="HL248" i="20" s="1"/>
  <c r="HK253" i="20"/>
  <c r="HK257" i="20"/>
  <c r="HL256" i="20" s="1"/>
  <c r="HK248" i="20"/>
  <c r="HK256" i="20"/>
  <c r="HL255" i="20" s="1"/>
  <c r="HK259" i="20"/>
  <c r="HL258" i="20" s="1"/>
  <c r="HK246" i="20"/>
  <c r="HK255" i="20"/>
  <c r="HL254" i="20" s="1"/>
  <c r="HK250" i="20"/>
  <c r="HL249" i="20" s="1"/>
  <c r="HK254" i="20"/>
  <c r="HL253" i="20" s="1"/>
  <c r="HK258" i="20"/>
  <c r="HL257" i="20" s="1"/>
  <c r="HK252" i="20"/>
  <c r="HL251" i="20" s="1"/>
  <c r="HK251" i="20"/>
  <c r="HL250" i="20" s="1"/>
  <c r="GF259" i="20"/>
  <c r="HX373" i="20"/>
  <c r="DX208" i="20"/>
  <c r="DX211" i="20"/>
  <c r="EB208" i="20"/>
  <c r="DX210" i="20"/>
  <c r="HX141" i="20"/>
  <c r="EB440" i="20"/>
  <c r="DX442" i="20"/>
  <c r="FP374" i="20"/>
  <c r="IE110" i="20"/>
  <c r="ID120" i="20"/>
  <c r="FP437" i="20"/>
  <c r="FP439" i="20" s="1"/>
  <c r="FO440" i="20" s="1"/>
  <c r="FU437" i="20"/>
  <c r="FU439" i="20" s="1"/>
  <c r="FT440" i="20" s="1"/>
  <c r="FY437" i="20"/>
  <c r="FY439" i="20" s="1"/>
  <c r="FX440" i="20" s="1"/>
  <c r="FY440" i="20" s="1"/>
  <c r="FO437" i="20"/>
  <c r="FO439" i="20" s="1"/>
  <c r="FS437" i="20"/>
  <c r="FS439" i="20" s="1"/>
  <c r="FX437" i="20"/>
  <c r="FX439" i="20" s="1"/>
  <c r="FW440" i="20" s="1"/>
  <c r="FR437" i="20"/>
  <c r="FR439" i="20" s="1"/>
  <c r="FQ440" i="20" s="1"/>
  <c r="FT437" i="20"/>
  <c r="FT439" i="20" s="1"/>
  <c r="FS440" i="20" s="1"/>
  <c r="FQ437" i="20"/>
  <c r="FQ439" i="20" s="1"/>
  <c r="FP440" i="20" s="1"/>
  <c r="FW437" i="20"/>
  <c r="FW439" i="20" s="1"/>
  <c r="FV440" i="20" s="1"/>
  <c r="FV437" i="20"/>
  <c r="FV439" i="20" s="1"/>
  <c r="FU440" i="20" s="1"/>
  <c r="FP423" i="20"/>
  <c r="FO432" i="20"/>
  <c r="HI111" i="20"/>
  <c r="HI118" i="20"/>
  <c r="HI117" i="20"/>
  <c r="HJ116" i="20" s="1"/>
  <c r="HI109" i="20"/>
  <c r="HJ108" i="20" s="1"/>
  <c r="HI116" i="20"/>
  <c r="HJ115" i="20" s="1"/>
  <c r="HI115" i="20"/>
  <c r="HJ114" i="20" s="1"/>
  <c r="HI113" i="20"/>
  <c r="HJ112" i="20" s="1"/>
  <c r="HI106" i="20"/>
  <c r="HI110" i="20"/>
  <c r="HJ109" i="20" s="1"/>
  <c r="HI108" i="20"/>
  <c r="HJ107" i="20" s="1"/>
  <c r="HI107" i="20"/>
  <c r="HJ106" i="20" s="1"/>
  <c r="HI114" i="20"/>
  <c r="HJ113" i="20" s="1"/>
  <c r="HI112" i="20"/>
  <c r="HJ111" i="20" s="1"/>
  <c r="HJ96" i="20"/>
  <c r="HJ97" i="20"/>
  <c r="HJ84" i="20"/>
  <c r="HJ99" i="20"/>
  <c r="FD274" i="20"/>
  <c r="FD282" i="20" s="1"/>
  <c r="FC282" i="20"/>
  <c r="FC283" i="20" s="1"/>
  <c r="FB423" i="20"/>
  <c r="FA432" i="20"/>
  <c r="FB419" i="20"/>
  <c r="FA433" i="20"/>
  <c r="HB344" i="20"/>
  <c r="HC343" i="20" s="1"/>
  <c r="HB343" i="20"/>
  <c r="HC342" i="20" s="1"/>
  <c r="HB339" i="20"/>
  <c r="HC338" i="20" s="1"/>
  <c r="HB338" i="20"/>
  <c r="HB341" i="20"/>
  <c r="HC340" i="20" s="1"/>
  <c r="HB340" i="20"/>
  <c r="HB342" i="20"/>
  <c r="HC341" i="20" s="1"/>
  <c r="GN100" i="20"/>
  <c r="GO100" i="20" s="1"/>
  <c r="ID100" i="20"/>
  <c r="IE100" i="20" s="1"/>
  <c r="DZ432" i="20"/>
  <c r="DZ433" i="20" s="1"/>
  <c r="V104" i="9"/>
  <c r="V80" i="9" s="1"/>
  <c r="FD584" i="20" l="1"/>
  <c r="FD585" i="20" s="1"/>
  <c r="FG70" i="20"/>
  <c r="FG73" i="20" s="1"/>
  <c r="FB432" i="20"/>
  <c r="FB433" i="20" s="1"/>
  <c r="GY62" i="20"/>
  <c r="HE41" i="20" s="1"/>
  <c r="HG50" i="20" s="1"/>
  <c r="DZ24" i="20" s="1"/>
  <c r="V101" i="9" s="1"/>
  <c r="V79" i="9" s="1"/>
  <c r="GZ61" i="20"/>
  <c r="GZ62" i="20" s="1"/>
  <c r="HE40" i="20" s="1"/>
  <c r="HH53" i="20" s="1"/>
  <c r="HH50" i="20" s="1"/>
  <c r="HL50" i="20" s="1"/>
  <c r="ED24" i="20" s="1"/>
  <c r="GX70" i="20"/>
  <c r="GX73" i="20" s="1"/>
  <c r="HB329" i="20"/>
  <c r="HB330" i="20" s="1"/>
  <c r="FD261" i="20"/>
  <c r="FE261" i="20" s="1"/>
  <c r="DY265" i="20" s="1"/>
  <c r="DY475" i="20"/>
  <c r="FD346" i="20"/>
  <c r="FD347" i="20" s="1"/>
  <c r="GC72" i="20"/>
  <c r="GB72" i="20" s="1"/>
  <c r="GJ40" i="20" s="1"/>
  <c r="HL570" i="20"/>
  <c r="HL571" i="20" s="1"/>
  <c r="HL572" i="20" s="1"/>
  <c r="FJ146" i="20"/>
  <c r="FD283" i="20"/>
  <c r="DX282" i="20" s="1"/>
  <c r="HL329" i="20"/>
  <c r="HL330" i="20" s="1"/>
  <c r="HL239" i="20"/>
  <c r="HM239" i="20" s="1"/>
  <c r="FJ378" i="20"/>
  <c r="ET346" i="20"/>
  <c r="ET347" i="20" s="1"/>
  <c r="ET584" i="20"/>
  <c r="ET585" i="20" s="1"/>
  <c r="EU585" i="20" s="1"/>
  <c r="EU586" i="20" s="1"/>
  <c r="EA594" i="20" s="1"/>
  <c r="EZ378" i="20" s="1"/>
  <c r="HB570" i="20"/>
  <c r="HB571" i="20" s="1"/>
  <c r="HB572" i="20" s="1"/>
  <c r="GI587" i="20"/>
  <c r="GI588" i="20" s="1"/>
  <c r="GI589" i="20" s="1"/>
  <c r="GI595" i="20" s="1"/>
  <c r="HG376" i="20" s="1"/>
  <c r="FU49" i="20"/>
  <c r="ED27" i="20" s="1"/>
  <c r="Z104" i="9" s="1"/>
  <c r="Z80" i="9" s="1"/>
  <c r="GR329" i="20"/>
  <c r="GR330" i="20" s="1"/>
  <c r="FS49" i="20"/>
  <c r="EB27" i="20" s="1"/>
  <c r="X104" i="9" s="1"/>
  <c r="X80" i="9" s="1"/>
  <c r="DX470" i="20"/>
  <c r="ID121" i="20"/>
  <c r="IE121" i="20" s="1"/>
  <c r="IF103" i="20" s="1"/>
  <c r="GR570" i="20"/>
  <c r="GR571" i="20" s="1"/>
  <c r="GR572" i="20" s="1"/>
  <c r="EJ346" i="20"/>
  <c r="EJ347" i="20" s="1"/>
  <c r="EK347" i="20" s="1"/>
  <c r="EK348" i="20" s="1"/>
  <c r="EC356" i="20" s="1"/>
  <c r="EZ145" i="20" s="1"/>
  <c r="EA27" i="20"/>
  <c r="W104" i="9" s="1"/>
  <c r="W80" i="9" s="1"/>
  <c r="EJ584" i="20"/>
  <c r="EJ585" i="20" s="1"/>
  <c r="GI346" i="20"/>
  <c r="GI347" i="20" s="1"/>
  <c r="FI61" i="20"/>
  <c r="FI62" i="20" s="1"/>
  <c r="FN40" i="20" s="1"/>
  <c r="FQ53" i="20" s="1"/>
  <c r="FQ50" i="20" s="1"/>
  <c r="FD515" i="20"/>
  <c r="FE515" i="20" s="1"/>
  <c r="EA347" i="20"/>
  <c r="EA348" i="20" s="1"/>
  <c r="EC355" i="20" s="1"/>
  <c r="EZ144" i="20" s="1"/>
  <c r="FD493" i="20"/>
  <c r="HL471" i="20"/>
  <c r="HM471" i="20" s="1"/>
  <c r="DX238" i="20"/>
  <c r="FP200" i="20"/>
  <c r="FP201" i="20" s="1"/>
  <c r="EA585" i="20"/>
  <c r="EA586" i="20" s="1"/>
  <c r="FD537" i="20"/>
  <c r="FE537" i="20" s="1"/>
  <c r="DY243" i="20"/>
  <c r="EN432" i="20"/>
  <c r="EN433" i="20" s="1"/>
  <c r="GP100" i="20"/>
  <c r="GP83" i="20" s="1"/>
  <c r="GP82" i="20"/>
  <c r="IF100" i="20"/>
  <c r="IF83" i="20" s="1"/>
  <c r="IF82" i="20"/>
  <c r="EA433" i="20"/>
  <c r="EA434" i="20" s="1"/>
  <c r="FK373" i="20" s="1"/>
  <c r="DZ434" i="20"/>
  <c r="FJ373" i="20" s="1"/>
  <c r="EA201" i="20"/>
  <c r="EA202" i="20" s="1"/>
  <c r="FK141" i="20" s="1"/>
  <c r="DZ202" i="20"/>
  <c r="FJ141" i="20" s="1"/>
  <c r="HL252" i="20"/>
  <c r="HL260" i="20" s="1"/>
  <c r="HK260" i="20"/>
  <c r="HK261" i="20" s="1"/>
  <c r="HL484" i="20"/>
  <c r="HL492" i="20" s="1"/>
  <c r="HK492" i="20"/>
  <c r="HK493" i="20" s="1"/>
  <c r="HX142" i="20"/>
  <c r="GS578" i="20"/>
  <c r="GR588" i="20"/>
  <c r="GV191" i="20"/>
  <c r="GU200" i="20"/>
  <c r="HM578" i="20"/>
  <c r="HL588" i="20"/>
  <c r="FR208" i="20"/>
  <c r="FN210" i="20"/>
  <c r="HR437" i="20"/>
  <c r="HR439" i="20" s="1"/>
  <c r="HQ440" i="20" s="1"/>
  <c r="HL437" i="20"/>
  <c r="HL439" i="20" s="1"/>
  <c r="HK440" i="20" s="1"/>
  <c r="HS437" i="20"/>
  <c r="HS439" i="20" s="1"/>
  <c r="HR440" i="20" s="1"/>
  <c r="HS440" i="20" s="1"/>
  <c r="HO437" i="20"/>
  <c r="HO439" i="20" s="1"/>
  <c r="HN440" i="20" s="1"/>
  <c r="HP437" i="20"/>
  <c r="HP439" i="20" s="1"/>
  <c r="HO440" i="20" s="1"/>
  <c r="HK437" i="20"/>
  <c r="HK439" i="20" s="1"/>
  <c r="HJ440" i="20" s="1"/>
  <c r="HQ437" i="20"/>
  <c r="HQ439" i="20" s="1"/>
  <c r="HP440" i="20" s="1"/>
  <c r="HN437" i="20"/>
  <c r="HN439" i="20" s="1"/>
  <c r="HM440" i="20" s="1"/>
  <c r="HM437" i="20"/>
  <c r="HM439" i="20" s="1"/>
  <c r="HJ437" i="20"/>
  <c r="HJ439" i="20" s="1"/>
  <c r="HI440" i="20" s="1"/>
  <c r="HI437" i="20"/>
  <c r="HI439" i="20" s="1"/>
  <c r="HL274" i="20"/>
  <c r="HL282" i="20" s="1"/>
  <c r="HK282" i="20"/>
  <c r="HK283" i="20" s="1"/>
  <c r="EP208" i="20"/>
  <c r="EL210" i="20"/>
  <c r="HC578" i="20"/>
  <c r="HB588" i="20"/>
  <c r="HN205" i="20"/>
  <c r="HN207" i="20" s="1"/>
  <c r="HM208" i="20" s="1"/>
  <c r="HQ205" i="20"/>
  <c r="HQ207" i="20" s="1"/>
  <c r="HP208" i="20" s="1"/>
  <c r="HL205" i="20"/>
  <c r="HL207" i="20" s="1"/>
  <c r="HK208" i="20" s="1"/>
  <c r="HJ205" i="20"/>
  <c r="HJ207" i="20" s="1"/>
  <c r="HI208" i="20" s="1"/>
  <c r="HO205" i="20"/>
  <c r="HO207" i="20" s="1"/>
  <c r="HN208" i="20" s="1"/>
  <c r="HI205" i="20"/>
  <c r="HI207" i="20" s="1"/>
  <c r="HR205" i="20"/>
  <c r="HR207" i="20" s="1"/>
  <c r="HQ208" i="20" s="1"/>
  <c r="HP205" i="20"/>
  <c r="HP207" i="20" s="1"/>
  <c r="HO208" i="20" s="1"/>
  <c r="HK205" i="20"/>
  <c r="HK207" i="20" s="1"/>
  <c r="HJ208" i="20" s="1"/>
  <c r="HM205" i="20"/>
  <c r="HM207" i="20" s="1"/>
  <c r="HS205" i="20"/>
  <c r="HS207" i="20" s="1"/>
  <c r="HR208" i="20" s="1"/>
  <c r="HS208" i="20" s="1"/>
  <c r="HX375" i="20"/>
  <c r="GF208" i="20"/>
  <c r="GF211" i="20"/>
  <c r="GH572" i="20"/>
  <c r="HC337" i="20"/>
  <c r="HB347" i="20"/>
  <c r="FN440" i="20"/>
  <c r="FN443" i="20"/>
  <c r="GS337" i="20"/>
  <c r="GR347" i="20"/>
  <c r="GF440" i="20"/>
  <c r="GF443" i="20"/>
  <c r="HD437" i="20"/>
  <c r="HD439" i="20" s="1"/>
  <c r="HC440" i="20" s="1"/>
  <c r="GY437" i="20"/>
  <c r="GY439" i="20" s="1"/>
  <c r="HA437" i="20"/>
  <c r="HA439" i="20" s="1"/>
  <c r="GZ440" i="20" s="1"/>
  <c r="GZ437" i="20"/>
  <c r="GZ439" i="20" s="1"/>
  <c r="GY440" i="20" s="1"/>
  <c r="GU437" i="20"/>
  <c r="GU439" i="20" s="1"/>
  <c r="HC437" i="20"/>
  <c r="HC439" i="20" s="1"/>
  <c r="HB440" i="20" s="1"/>
  <c r="GX437" i="20"/>
  <c r="GX439" i="20" s="1"/>
  <c r="GW440" i="20" s="1"/>
  <c r="HE437" i="20"/>
  <c r="HE439" i="20" s="1"/>
  <c r="HD440" i="20" s="1"/>
  <c r="HE440" i="20" s="1"/>
  <c r="HB437" i="20"/>
  <c r="HB439" i="20" s="1"/>
  <c r="HA440" i="20" s="1"/>
  <c r="GV437" i="20"/>
  <c r="GV439" i="20" s="1"/>
  <c r="GU440" i="20" s="1"/>
  <c r="GW437" i="20"/>
  <c r="GW439" i="20" s="1"/>
  <c r="GV440" i="20" s="1"/>
  <c r="GV419" i="20"/>
  <c r="GU433" i="20"/>
  <c r="DZ592" i="20"/>
  <c r="EY376" i="20" s="1"/>
  <c r="DX570" i="20"/>
  <c r="EA561" i="20" s="1"/>
  <c r="EB592" i="20" s="1"/>
  <c r="FA376" i="20" s="1"/>
  <c r="HL506" i="20"/>
  <c r="HL514" i="20" s="1"/>
  <c r="HK514" i="20"/>
  <c r="HK515" i="20" s="1"/>
  <c r="EI569" i="20"/>
  <c r="HL296" i="20"/>
  <c r="HL304" i="20" s="1"/>
  <c r="HK304" i="20"/>
  <c r="HK305" i="20" s="1"/>
  <c r="FN208" i="20"/>
  <c r="FN211" i="20"/>
  <c r="HJ419" i="20"/>
  <c r="HI433" i="20"/>
  <c r="EB355" i="20"/>
  <c r="EY144" i="20" s="1"/>
  <c r="DX332" i="20"/>
  <c r="EA323" i="20" s="1"/>
  <c r="ED355" i="20" s="1"/>
  <c r="FA144" i="20" s="1"/>
  <c r="HM339" i="20"/>
  <c r="HL346" i="20"/>
  <c r="IF205" i="20"/>
  <c r="IF207" i="20" s="1"/>
  <c r="IE208" i="20" s="1"/>
  <c r="IB205" i="20"/>
  <c r="IB207" i="20" s="1"/>
  <c r="IA208" i="20" s="1"/>
  <c r="HY205" i="20"/>
  <c r="HY207" i="20" s="1"/>
  <c r="HX208" i="20" s="1"/>
  <c r="IA205" i="20"/>
  <c r="IA207" i="20" s="1"/>
  <c r="HW205" i="20"/>
  <c r="HW207" i="20" s="1"/>
  <c r="ID205" i="20"/>
  <c r="ID207" i="20" s="1"/>
  <c r="IC208" i="20" s="1"/>
  <c r="HZ205" i="20"/>
  <c r="HZ207" i="20" s="1"/>
  <c r="HY208" i="20" s="1"/>
  <c r="IG205" i="20"/>
  <c r="IG207" i="20" s="1"/>
  <c r="IF208" i="20" s="1"/>
  <c r="IG208" i="20" s="1"/>
  <c r="IE205" i="20"/>
  <c r="IE207" i="20" s="1"/>
  <c r="ID208" i="20" s="1"/>
  <c r="HX205" i="20"/>
  <c r="HX207" i="20" s="1"/>
  <c r="HW208" i="20" s="1"/>
  <c r="IC205" i="20"/>
  <c r="IC207" i="20" s="1"/>
  <c r="IB208" i="20" s="1"/>
  <c r="GJ208" i="20"/>
  <c r="GF210" i="20"/>
  <c r="DX239" i="20"/>
  <c r="FK146" i="20"/>
  <c r="FD305" i="20"/>
  <c r="DY442" i="20"/>
  <c r="DY443" i="20" s="1"/>
  <c r="DY210" i="20"/>
  <c r="DY211" i="20" s="1"/>
  <c r="GH432" i="20"/>
  <c r="GH433" i="20" s="1"/>
  <c r="FB200" i="20"/>
  <c r="FB201" i="20" s="1"/>
  <c r="GO121" i="20"/>
  <c r="FR100" i="20"/>
  <c r="FS100" i="20" s="1"/>
  <c r="HC339" i="20"/>
  <c r="HB346" i="20"/>
  <c r="HJ110" i="20"/>
  <c r="HI120" i="20"/>
  <c r="EZ208" i="20"/>
  <c r="EZ211" i="20"/>
  <c r="EL208" i="20"/>
  <c r="EL211" i="20"/>
  <c r="GH331" i="20"/>
  <c r="HX143" i="20"/>
  <c r="FD440" i="20"/>
  <c r="EZ442" i="20"/>
  <c r="EZ440" i="20"/>
  <c r="EZ443" i="20"/>
  <c r="FS118" i="20"/>
  <c r="FS117" i="20"/>
  <c r="HJ187" i="20"/>
  <c r="HI201" i="20"/>
  <c r="HM337" i="20"/>
  <c r="HL347" i="20"/>
  <c r="HX187" i="20"/>
  <c r="HW201" i="20"/>
  <c r="DX471" i="20"/>
  <c r="FK378" i="20"/>
  <c r="HJ117" i="20"/>
  <c r="HJ118" i="20"/>
  <c r="FD208" i="20"/>
  <c r="EZ210" i="20"/>
  <c r="GJ440" i="20"/>
  <c r="GF442" i="20"/>
  <c r="HX423" i="20"/>
  <c r="HW432" i="20"/>
  <c r="HL528" i="20"/>
  <c r="HL536" i="20" s="1"/>
  <c r="HK536" i="20"/>
  <c r="HK537" i="20" s="1"/>
  <c r="HX191" i="20"/>
  <c r="HW200" i="20"/>
  <c r="HS72" i="20"/>
  <c r="HR73" i="20"/>
  <c r="FC569" i="20"/>
  <c r="HJ105" i="20"/>
  <c r="HJ120" i="20"/>
  <c r="FR440" i="20"/>
  <c r="FN442" i="20"/>
  <c r="GS339" i="20"/>
  <c r="GR346" i="20"/>
  <c r="HX376" i="20"/>
  <c r="GS580" i="20"/>
  <c r="GR587" i="20"/>
  <c r="GV423" i="20"/>
  <c r="GU432" i="20"/>
  <c r="GZ205" i="20"/>
  <c r="GZ207" i="20" s="1"/>
  <c r="GY208" i="20" s="1"/>
  <c r="GY205" i="20"/>
  <c r="GY207" i="20" s="1"/>
  <c r="HE205" i="20"/>
  <c r="HE207" i="20" s="1"/>
  <c r="HD208" i="20" s="1"/>
  <c r="HE208" i="20" s="1"/>
  <c r="HD205" i="20"/>
  <c r="HD207" i="20" s="1"/>
  <c r="HC208" i="20" s="1"/>
  <c r="GX205" i="20"/>
  <c r="GX207" i="20" s="1"/>
  <c r="GW208" i="20" s="1"/>
  <c r="HA205" i="20"/>
  <c r="HA207" i="20" s="1"/>
  <c r="GZ208" i="20" s="1"/>
  <c r="HC205" i="20"/>
  <c r="HC207" i="20" s="1"/>
  <c r="HB208" i="20" s="1"/>
  <c r="GW205" i="20"/>
  <c r="GW207" i="20" s="1"/>
  <c r="GV208" i="20" s="1"/>
  <c r="GV205" i="20"/>
  <c r="GV207" i="20" s="1"/>
  <c r="GU208" i="20" s="1"/>
  <c r="HB205" i="20"/>
  <c r="HB207" i="20" s="1"/>
  <c r="HA208" i="20" s="1"/>
  <c r="GU205" i="20"/>
  <c r="GU207" i="20" s="1"/>
  <c r="GV187" i="20"/>
  <c r="GU201" i="20"/>
  <c r="GJ41" i="20"/>
  <c r="HM580" i="20"/>
  <c r="HL587" i="20"/>
  <c r="IB437" i="20"/>
  <c r="IB439" i="20" s="1"/>
  <c r="IA440" i="20" s="1"/>
  <c r="IA437" i="20"/>
  <c r="IA439" i="20" s="1"/>
  <c r="HX437" i="20"/>
  <c r="HX439" i="20" s="1"/>
  <c r="HW440" i="20" s="1"/>
  <c r="ID437" i="20"/>
  <c r="ID439" i="20" s="1"/>
  <c r="IC440" i="20" s="1"/>
  <c r="HY437" i="20"/>
  <c r="HY439" i="20" s="1"/>
  <c r="HX440" i="20" s="1"/>
  <c r="IF437" i="20"/>
  <c r="IF439" i="20" s="1"/>
  <c r="IE440" i="20" s="1"/>
  <c r="IG437" i="20"/>
  <c r="IG439" i="20" s="1"/>
  <c r="IF440" i="20" s="1"/>
  <c r="IG440" i="20" s="1"/>
  <c r="IE437" i="20"/>
  <c r="IE439" i="20" s="1"/>
  <c r="ID440" i="20" s="1"/>
  <c r="HZ437" i="20"/>
  <c r="HZ439" i="20" s="1"/>
  <c r="HY440" i="20" s="1"/>
  <c r="IC437" i="20"/>
  <c r="IC439" i="20" s="1"/>
  <c r="IB440" i="20" s="1"/>
  <c r="HW437" i="20"/>
  <c r="HW439" i="20" s="1"/>
  <c r="HX419" i="20"/>
  <c r="HW433" i="20"/>
  <c r="HX144" i="20"/>
  <c r="HC580" i="20"/>
  <c r="HB587" i="20"/>
  <c r="EP440" i="20"/>
  <c r="EL442" i="20"/>
  <c r="EL440" i="20"/>
  <c r="EL443" i="20"/>
  <c r="HX374" i="20"/>
  <c r="FS110" i="20"/>
  <c r="FR120" i="20"/>
  <c r="FS105" i="20"/>
  <c r="FS120" i="20"/>
  <c r="HJ423" i="20"/>
  <c r="HI432" i="20"/>
  <c r="HJ191" i="20"/>
  <c r="HI200" i="20"/>
  <c r="EN200" i="20"/>
  <c r="EN201" i="20" s="1"/>
  <c r="FP432" i="20"/>
  <c r="FP433" i="20" s="1"/>
  <c r="HI100" i="20"/>
  <c r="HJ100" i="20" s="1"/>
  <c r="GH200" i="20"/>
  <c r="GH201" i="20" s="1"/>
  <c r="V105" i="9"/>
  <c r="V81" i="9" s="1"/>
  <c r="FJ147" i="20" l="1"/>
  <c r="HR146" i="20"/>
  <c r="EA24" i="20"/>
  <c r="W101" i="9" s="1"/>
  <c r="W79" i="9" s="1"/>
  <c r="FR121" i="20"/>
  <c r="FS121" i="20" s="1"/>
  <c r="HJ50" i="20"/>
  <c r="EB24" i="20" s="1"/>
  <c r="X101" i="9" s="1"/>
  <c r="X79" i="9" s="1"/>
  <c r="HK50" i="20"/>
  <c r="FA442" i="20"/>
  <c r="FA443" i="20" s="1"/>
  <c r="DX260" i="20"/>
  <c r="GS587" i="20"/>
  <c r="GS588" i="20" s="1"/>
  <c r="FJ148" i="20"/>
  <c r="FE283" i="20"/>
  <c r="DY287" i="20" s="1"/>
  <c r="DX514" i="20"/>
  <c r="GG243" i="20"/>
  <c r="GF238" i="20"/>
  <c r="DX331" i="20"/>
  <c r="HM587" i="20"/>
  <c r="HM588" i="20" s="1"/>
  <c r="HM589" i="20" s="1"/>
  <c r="HL305" i="20"/>
  <c r="HM305" i="20" s="1"/>
  <c r="GG309" i="20" s="1"/>
  <c r="HL283" i="20"/>
  <c r="GF282" i="20" s="1"/>
  <c r="GG475" i="20"/>
  <c r="ET586" i="20"/>
  <c r="ER570" i="20" s="1"/>
  <c r="EU561" i="20" s="1"/>
  <c r="EB594" i="20" s="1"/>
  <c r="FA378" i="20" s="1"/>
  <c r="HC587" i="20"/>
  <c r="HC588" i="20" s="1"/>
  <c r="DY541" i="20"/>
  <c r="HR378" i="20"/>
  <c r="HI121" i="20"/>
  <c r="HJ121" i="20" s="1"/>
  <c r="GJ588" i="20"/>
  <c r="GJ589" i="20" s="1"/>
  <c r="GJ595" i="20" s="1"/>
  <c r="HH376" i="20" s="1"/>
  <c r="GS346" i="20"/>
  <c r="GS347" i="20" s="1"/>
  <c r="GS348" i="20" s="1"/>
  <c r="HC346" i="20"/>
  <c r="HC347" i="20" s="1"/>
  <c r="HM346" i="20"/>
  <c r="HM347" i="20" s="1"/>
  <c r="HM348" i="20" s="1"/>
  <c r="GK358" i="20" s="1"/>
  <c r="HE147" i="20" s="1"/>
  <c r="FJ379" i="20"/>
  <c r="HL493" i="20"/>
  <c r="GF492" i="20" s="1"/>
  <c r="GG442" i="20"/>
  <c r="GG443" i="20" s="1"/>
  <c r="DX492" i="20"/>
  <c r="DY519" i="20"/>
  <c r="EJ348" i="20"/>
  <c r="EH332" i="20" s="1"/>
  <c r="EK323" i="20" s="1"/>
  <c r="ED356" i="20" s="1"/>
  <c r="FA145" i="20" s="1"/>
  <c r="GG210" i="20"/>
  <c r="GG211" i="20" s="1"/>
  <c r="IF121" i="20"/>
  <c r="IF104" i="20" s="1"/>
  <c r="HV81" i="20" s="1"/>
  <c r="HT72" i="20" s="1"/>
  <c r="EZ13" i="20" s="1"/>
  <c r="HJ432" i="20"/>
  <c r="HJ433" i="20" s="1"/>
  <c r="FJ380" i="20"/>
  <c r="FO442" i="20"/>
  <c r="FO443" i="20" s="1"/>
  <c r="FE493" i="20"/>
  <c r="DY497" i="20" s="1"/>
  <c r="FP202" i="20"/>
  <c r="FJ144" i="20" s="1"/>
  <c r="FQ201" i="20"/>
  <c r="FQ202" i="20" s="1"/>
  <c r="FK144" i="20" s="1"/>
  <c r="FC147" i="20" s="1"/>
  <c r="GF470" i="20"/>
  <c r="HL515" i="20"/>
  <c r="GF514" i="20" s="1"/>
  <c r="DX536" i="20"/>
  <c r="HJ200" i="20"/>
  <c r="HJ201" i="20" s="1"/>
  <c r="FA210" i="20"/>
  <c r="FA211" i="20" s="1"/>
  <c r="FJ381" i="20"/>
  <c r="EA592" i="20"/>
  <c r="EZ376" i="20" s="1"/>
  <c r="DX569" i="20"/>
  <c r="HL261" i="20"/>
  <c r="HR147" i="20" s="1"/>
  <c r="HL537" i="20"/>
  <c r="HM537" i="20" s="1"/>
  <c r="GV432" i="20"/>
  <c r="GV433" i="20" s="1"/>
  <c r="DY444" i="20"/>
  <c r="DX444" i="20" s="1"/>
  <c r="DX445" i="20"/>
  <c r="FP434" i="20"/>
  <c r="FJ376" i="20" s="1"/>
  <c r="FQ433" i="20"/>
  <c r="FQ434" i="20" s="1"/>
  <c r="FK376" i="20" s="1"/>
  <c r="FC379" i="20" s="1"/>
  <c r="GI201" i="20"/>
  <c r="GI202" i="20" s="1"/>
  <c r="HS141" i="20" s="1"/>
  <c r="GH202" i="20"/>
  <c r="HR141" i="20" s="1"/>
  <c r="HK82" i="20"/>
  <c r="HK100" i="20"/>
  <c r="HK83" i="20" s="1"/>
  <c r="DY212" i="20"/>
  <c r="DX212" i="20" s="1"/>
  <c r="DX213" i="20"/>
  <c r="EO201" i="20"/>
  <c r="EO202" i="20" s="1"/>
  <c r="FK142" i="20" s="1"/>
  <c r="FC145" i="20" s="1"/>
  <c r="EU145" i="20" s="1"/>
  <c r="EB148" i="20" s="1"/>
  <c r="EA10" i="20" s="1"/>
  <c r="EN202" i="20"/>
  <c r="FJ142" i="20" s="1"/>
  <c r="FC201" i="20"/>
  <c r="FC202" i="20" s="1"/>
  <c r="FK143" i="20" s="1"/>
  <c r="FC146" i="20" s="1"/>
  <c r="FB202" i="20"/>
  <c r="FJ143" i="20" s="1"/>
  <c r="EO433" i="20"/>
  <c r="EO434" i="20" s="1"/>
  <c r="FK374" i="20" s="1"/>
  <c r="FC377" i="20" s="1"/>
  <c r="EN434" i="20"/>
  <c r="FJ374" i="20" s="1"/>
  <c r="HR72" i="20"/>
  <c r="IA40" i="20" s="1"/>
  <c r="GH434" i="20"/>
  <c r="HR373" i="20" s="1"/>
  <c r="GI433" i="20"/>
  <c r="GI434" i="20" s="1"/>
  <c r="HS373" i="20" s="1"/>
  <c r="GX440" i="20"/>
  <c r="GT442" i="20"/>
  <c r="HH208" i="20"/>
  <c r="HH211" i="20"/>
  <c r="HZ440" i="20"/>
  <c r="HV442" i="20"/>
  <c r="FT100" i="20"/>
  <c r="FT83" i="20" s="1"/>
  <c r="FT82" i="20"/>
  <c r="FE347" i="20"/>
  <c r="FE348" i="20" s="1"/>
  <c r="FD348" i="20"/>
  <c r="HV440" i="20"/>
  <c r="HV443" i="20"/>
  <c r="GX208" i="20"/>
  <c r="GT210" i="20"/>
  <c r="EK469" i="20"/>
  <c r="EB469" i="20"/>
  <c r="EX469" i="20"/>
  <c r="ED469" i="20"/>
  <c r="EY469" i="20"/>
  <c r="DZ469" i="20"/>
  <c r="EU469" i="20"/>
  <c r="EW469" i="20"/>
  <c r="EV469" i="20"/>
  <c r="EJ469" i="20"/>
  <c r="EC469" i="20"/>
  <c r="EM469" i="20"/>
  <c r="EL469" i="20"/>
  <c r="EQ469" i="20"/>
  <c r="EO469" i="20"/>
  <c r="EH469" i="20"/>
  <c r="EA469" i="20"/>
  <c r="EI469" i="20"/>
  <c r="EF469" i="20"/>
  <c r="EP469" i="20"/>
  <c r="EG469" i="20"/>
  <c r="ER469" i="20"/>
  <c r="ET469" i="20"/>
  <c r="EZ469" i="20"/>
  <c r="ES469" i="20"/>
  <c r="EN469" i="20"/>
  <c r="EE469" i="20"/>
  <c r="DX304" i="20"/>
  <c r="FJ149" i="20"/>
  <c r="FE305" i="20"/>
  <c r="DY309" i="20" s="1"/>
  <c r="GI348" i="20"/>
  <c r="GJ347" i="20"/>
  <c r="GJ348" i="20" s="1"/>
  <c r="GL355" i="20" s="1"/>
  <c r="HF144" i="20" s="1"/>
  <c r="FK380" i="20"/>
  <c r="DX515" i="20"/>
  <c r="FS50" i="20"/>
  <c r="EB28" i="20" s="1"/>
  <c r="X105" i="9" s="1"/>
  <c r="X81" i="9" s="1"/>
  <c r="EA28" i="20"/>
  <c r="W105" i="9" s="1"/>
  <c r="W81" i="9" s="1"/>
  <c r="FU50" i="20"/>
  <c r="ED28" i="20" s="1"/>
  <c r="Z105" i="9" s="1"/>
  <c r="Z81" i="9" s="1"/>
  <c r="FT50" i="20"/>
  <c r="FC144" i="20"/>
  <c r="EU144" i="20" s="1"/>
  <c r="EB147" i="20" s="1"/>
  <c r="EA9" i="20" s="1"/>
  <c r="GF471" i="20"/>
  <c r="HS378" i="20"/>
  <c r="EM442" i="20"/>
  <c r="EM443" i="20" s="1"/>
  <c r="ER569" i="20"/>
  <c r="FO210" i="20"/>
  <c r="FO211" i="20" s="1"/>
  <c r="EU347" i="20"/>
  <c r="EU348" i="20" s="1"/>
  <c r="ET348" i="20"/>
  <c r="HV208" i="20"/>
  <c r="HV211" i="20"/>
  <c r="HL208" i="20"/>
  <c r="HH210" i="20"/>
  <c r="DX261" i="20"/>
  <c r="FK147" i="20"/>
  <c r="DX537" i="20"/>
  <c r="FK381" i="20"/>
  <c r="FC376" i="20"/>
  <c r="HS146" i="20"/>
  <c r="GF239" i="20"/>
  <c r="HB331" i="20"/>
  <c r="EJ586" i="20"/>
  <c r="EK585" i="20"/>
  <c r="EK586" i="20" s="1"/>
  <c r="EA593" i="20" s="1"/>
  <c r="EZ377" i="20" s="1"/>
  <c r="IA41" i="20"/>
  <c r="GP103" i="20"/>
  <c r="GD81" i="20" s="1"/>
  <c r="GP121" i="20"/>
  <c r="GP104" i="20" s="1"/>
  <c r="GF81" i="20" s="1"/>
  <c r="FG72" i="20"/>
  <c r="FF73" i="20"/>
  <c r="EN237" i="20"/>
  <c r="EA237" i="20"/>
  <c r="EW237" i="20"/>
  <c r="EP237" i="20"/>
  <c r="EX237" i="20"/>
  <c r="EH237" i="20"/>
  <c r="EJ237" i="20"/>
  <c r="EZ237" i="20"/>
  <c r="EQ237" i="20"/>
  <c r="EK237" i="20"/>
  <c r="EM237" i="20"/>
  <c r="EY237" i="20"/>
  <c r="ES237" i="20"/>
  <c r="EF237" i="20"/>
  <c r="EV237" i="20"/>
  <c r="EL237" i="20"/>
  <c r="EE237" i="20"/>
  <c r="EC237" i="20"/>
  <c r="EO237" i="20"/>
  <c r="ET237" i="20"/>
  <c r="EB237" i="20"/>
  <c r="ER237" i="20"/>
  <c r="EG237" i="20"/>
  <c r="DZ237" i="20"/>
  <c r="EU237" i="20"/>
  <c r="ED237" i="20"/>
  <c r="EI237" i="20"/>
  <c r="HH440" i="20"/>
  <c r="HH443" i="20"/>
  <c r="FB376" i="20"/>
  <c r="ET376" i="20" s="1"/>
  <c r="EA379" i="20" s="1"/>
  <c r="DZ32" i="20" s="1"/>
  <c r="V109" i="9" s="1"/>
  <c r="FR373" i="20"/>
  <c r="FN373" i="20"/>
  <c r="GR331" i="20"/>
  <c r="GT208" i="20"/>
  <c r="GT211" i="20"/>
  <c r="GX72" i="20"/>
  <c r="GW73" i="20"/>
  <c r="HL331" i="20"/>
  <c r="FB434" i="20"/>
  <c r="FJ375" i="20" s="1"/>
  <c r="FC433" i="20"/>
  <c r="FC434" i="20" s="1"/>
  <c r="FK375" i="20" s="1"/>
  <c r="FC378" i="20" s="1"/>
  <c r="EU378" i="20" s="1"/>
  <c r="EB381" i="20" s="1"/>
  <c r="EA34" i="20" s="1"/>
  <c r="FD586" i="20"/>
  <c r="FE585" i="20"/>
  <c r="FE586" i="20" s="1"/>
  <c r="EA595" i="20" s="1"/>
  <c r="EZ379" i="20" s="1"/>
  <c r="HZ208" i="20"/>
  <c r="HV210" i="20"/>
  <c r="GT440" i="20"/>
  <c r="GT443" i="20"/>
  <c r="HL440" i="20"/>
  <c r="HH442" i="20"/>
  <c r="FR141" i="20"/>
  <c r="FN141" i="20"/>
  <c r="FB144" i="20"/>
  <c r="ET144" i="20" s="1"/>
  <c r="EA147" i="20" s="1"/>
  <c r="DZ9" i="20" s="1"/>
  <c r="V86" i="9" s="1"/>
  <c r="EH331" i="20"/>
  <c r="GH73" i="20"/>
  <c r="GV200" i="20"/>
  <c r="GV201" i="20" s="1"/>
  <c r="HX200" i="20"/>
  <c r="HX201" i="20" s="1"/>
  <c r="HX432" i="20"/>
  <c r="HX433" i="20" s="1"/>
  <c r="GG573" i="20"/>
  <c r="EM210" i="20"/>
  <c r="EM211" i="20" s="1"/>
  <c r="HT81" i="20"/>
  <c r="Z101" i="9"/>
  <c r="Z79" i="9" s="1"/>
  <c r="HR379" i="20" l="1"/>
  <c r="DZ239" i="20"/>
  <c r="EA239" i="20" s="1"/>
  <c r="FL146" i="20" s="1"/>
  <c r="DZ471" i="20"/>
  <c r="EA471" i="20" s="1"/>
  <c r="FL378" i="20" s="1"/>
  <c r="FL141" i="20"/>
  <c r="FL373" i="20"/>
  <c r="HR148" i="20"/>
  <c r="DX283" i="20"/>
  <c r="EM281" i="20" s="1"/>
  <c r="EB356" i="20"/>
  <c r="EY145" i="20" s="1"/>
  <c r="HR149" i="20"/>
  <c r="HM283" i="20"/>
  <c r="GG287" i="20" s="1"/>
  <c r="FK148" i="20"/>
  <c r="FN143" i="20" s="1"/>
  <c r="GF304" i="20"/>
  <c r="FJ151" i="20"/>
  <c r="EU377" i="20"/>
  <c r="EB380" i="20" s="1"/>
  <c r="EA33" i="20" s="1"/>
  <c r="EB33" i="20" s="1"/>
  <c r="GG572" i="20"/>
  <c r="GJ564" i="20" s="1"/>
  <c r="GK595" i="20" s="1"/>
  <c r="HI376" i="20" s="1"/>
  <c r="DZ594" i="20"/>
  <c r="EY378" i="20" s="1"/>
  <c r="EB34" i="20"/>
  <c r="ED34" i="20"/>
  <c r="Z111" i="9" s="1"/>
  <c r="EU376" i="20"/>
  <c r="EB379" i="20" s="1"/>
  <c r="EA32" i="20" s="1"/>
  <c r="W109" i="9" s="1"/>
  <c r="FJ383" i="20"/>
  <c r="HN347" i="20"/>
  <c r="HN348" i="20" s="1"/>
  <c r="GL358" i="20" s="1"/>
  <c r="HF147" i="20" s="1"/>
  <c r="HR381" i="20"/>
  <c r="DX493" i="20"/>
  <c r="EJ491" i="20" s="1"/>
  <c r="EB9" i="20"/>
  <c r="X86" i="9" s="1"/>
  <c r="ED9" i="20"/>
  <c r="Z86" i="9" s="1"/>
  <c r="W86" i="9"/>
  <c r="HC348" i="20"/>
  <c r="GK357" i="20" s="1"/>
  <c r="HE146" i="20" s="1"/>
  <c r="HD347" i="20"/>
  <c r="HD348" i="20" s="1"/>
  <c r="GL357" i="20" s="1"/>
  <c r="HF146" i="20" s="1"/>
  <c r="EB10" i="20"/>
  <c r="ED10" i="20"/>
  <c r="HM493" i="20"/>
  <c r="HS379" i="20" s="1"/>
  <c r="EU379" i="20"/>
  <c r="EB382" i="20" s="1"/>
  <c r="EA35" i="20" s="1"/>
  <c r="EB35" i="20" s="1"/>
  <c r="HX73" i="20"/>
  <c r="FK379" i="20"/>
  <c r="FN374" i="20" s="1"/>
  <c r="GG541" i="20"/>
  <c r="GF260" i="20"/>
  <c r="HR380" i="20"/>
  <c r="HM515" i="20"/>
  <c r="HS380" i="20" s="1"/>
  <c r="GF536" i="20"/>
  <c r="HM261" i="20"/>
  <c r="GG265" i="20" s="1"/>
  <c r="HN588" i="20"/>
  <c r="HN589" i="20" s="1"/>
  <c r="GJ598" i="20" s="1"/>
  <c r="HH379" i="20" s="1"/>
  <c r="FB569" i="20"/>
  <c r="HI442" i="20"/>
  <c r="HI443" i="20" s="1"/>
  <c r="FB147" i="20"/>
  <c r="GK356" i="20"/>
  <c r="HE145" i="20" s="1"/>
  <c r="GQ332" i="20"/>
  <c r="HI210" i="20"/>
  <c r="HI211" i="20" s="1"/>
  <c r="GT347" i="20"/>
  <c r="GT348" i="20" s="1"/>
  <c r="GL356" i="20" s="1"/>
  <c r="HF145" i="20" s="1"/>
  <c r="HW210" i="20"/>
  <c r="HW211" i="20" s="1"/>
  <c r="GW201" i="20"/>
  <c r="GW202" i="20" s="1"/>
  <c r="HS142" i="20" s="1"/>
  <c r="HI145" i="20" s="1"/>
  <c r="GV202" i="20"/>
  <c r="HR142" i="20" s="1"/>
  <c r="GD72" i="20"/>
  <c r="EY13" i="20" s="1"/>
  <c r="GF80" i="20"/>
  <c r="HX434" i="20"/>
  <c r="HR376" i="20" s="1"/>
  <c r="HY433" i="20"/>
  <c r="HY434" i="20" s="1"/>
  <c r="HS376" i="20" s="1"/>
  <c r="HK379" i="20" s="1"/>
  <c r="EM212" i="20"/>
  <c r="EL212" i="20" s="1"/>
  <c r="EL213" i="20"/>
  <c r="HK121" i="20"/>
  <c r="HK104" i="20" s="1"/>
  <c r="HA81" i="20" s="1"/>
  <c r="HK103" i="20"/>
  <c r="GY81" i="20" s="1"/>
  <c r="GK355" i="20"/>
  <c r="HE144" i="20" s="1"/>
  <c r="GG332" i="20"/>
  <c r="HJ376" i="20"/>
  <c r="HB376" i="20" s="1"/>
  <c r="EC379" i="20" s="1"/>
  <c r="DZ39" i="20" s="1"/>
  <c r="V116" i="9" s="1"/>
  <c r="HV373" i="20"/>
  <c r="HZ373" i="20"/>
  <c r="FA212" i="20"/>
  <c r="EZ212" i="20" s="1"/>
  <c r="EZ213" i="20"/>
  <c r="HK201" i="20"/>
  <c r="HK202" i="20" s="1"/>
  <c r="HS143" i="20" s="1"/>
  <c r="HI146" i="20" s="1"/>
  <c r="HJ202" i="20"/>
  <c r="HR143" i="20" s="1"/>
  <c r="HY201" i="20"/>
  <c r="HY202" i="20" s="1"/>
  <c r="HS144" i="20" s="1"/>
  <c r="HI147" i="20" s="1"/>
  <c r="HX202" i="20"/>
  <c r="HR144" i="20" s="1"/>
  <c r="EL445" i="20"/>
  <c r="EM444" i="20"/>
  <c r="EL444" i="20" s="1"/>
  <c r="DZ595" i="20"/>
  <c r="EY379" i="20" s="1"/>
  <c r="FB570" i="20"/>
  <c r="FE561" i="20" s="1"/>
  <c r="EB595" i="20" s="1"/>
  <c r="FO41" i="20"/>
  <c r="EN259" i="20"/>
  <c r="EA259" i="20"/>
  <c r="EQ259" i="20"/>
  <c r="EL259" i="20"/>
  <c r="EW259" i="20"/>
  <c r="ES259" i="20"/>
  <c r="EE259" i="20"/>
  <c r="DZ259" i="20"/>
  <c r="EJ259" i="20"/>
  <c r="EZ259" i="20"/>
  <c r="EM259" i="20"/>
  <c r="ED259" i="20"/>
  <c r="EO259" i="20"/>
  <c r="EC259" i="20"/>
  <c r="EH259" i="20"/>
  <c r="EF259" i="20"/>
  <c r="EV259" i="20"/>
  <c r="EI259" i="20"/>
  <c r="EY259" i="20"/>
  <c r="EG259" i="20"/>
  <c r="EP259" i="20"/>
  <c r="EX259" i="20"/>
  <c r="EB259" i="20"/>
  <c r="ER259" i="20"/>
  <c r="EU259" i="20"/>
  <c r="ET259" i="20"/>
  <c r="EK259" i="20"/>
  <c r="HS381" i="20"/>
  <c r="GF537" i="20"/>
  <c r="HC589" i="20"/>
  <c r="HD588" i="20"/>
  <c r="HD589" i="20" s="1"/>
  <c r="FT121" i="20"/>
  <c r="FT104" i="20" s="1"/>
  <c r="FJ81" i="20" s="1"/>
  <c r="FH72" i="20" s="1"/>
  <c r="EY7" i="20" s="1"/>
  <c r="FT103" i="20"/>
  <c r="FH81" i="20" s="1"/>
  <c r="GI598" i="20"/>
  <c r="HG379" i="20" s="1"/>
  <c r="HK573" i="20"/>
  <c r="HV141" i="20"/>
  <c r="HH144" i="20"/>
  <c r="HZ141" i="20"/>
  <c r="HK433" i="20"/>
  <c r="HK434" i="20" s="1"/>
  <c r="HS375" i="20" s="1"/>
  <c r="HK378" i="20" s="1"/>
  <c r="HJ434" i="20"/>
  <c r="HR375" i="20" s="1"/>
  <c r="FA444" i="20"/>
  <c r="EZ444" i="20" s="1"/>
  <c r="EZ445" i="20"/>
  <c r="FN213" i="20"/>
  <c r="FO212" i="20"/>
  <c r="FN212" i="20" s="1"/>
  <c r="GW72" i="20"/>
  <c r="HF40" i="20" s="1"/>
  <c r="EC357" i="20"/>
  <c r="EZ146" i="20" s="1"/>
  <c r="EU146" i="20" s="1"/>
  <c r="EB149" i="20" s="1"/>
  <c r="EA11" i="20" s="1"/>
  <c r="W88" i="9" s="1"/>
  <c r="ER331" i="20"/>
  <c r="GG444" i="20"/>
  <c r="GF444" i="20" s="1"/>
  <c r="GF445" i="20"/>
  <c r="GR469" i="20"/>
  <c r="GS469" i="20"/>
  <c r="GL469" i="20"/>
  <c r="GO469" i="20"/>
  <c r="HG469" i="20"/>
  <c r="HD469" i="20"/>
  <c r="HH469" i="20"/>
  <c r="GX469" i="20"/>
  <c r="GT469" i="20"/>
  <c r="GZ469" i="20"/>
  <c r="GN469" i="20"/>
  <c r="GM469" i="20"/>
  <c r="HF469" i="20"/>
  <c r="GI469" i="20"/>
  <c r="HC469" i="20"/>
  <c r="GK469" i="20"/>
  <c r="GP469" i="20"/>
  <c r="GJ469" i="20"/>
  <c r="GH469" i="20"/>
  <c r="HB469" i="20"/>
  <c r="HE469" i="20"/>
  <c r="GY469" i="20"/>
  <c r="HA469" i="20"/>
  <c r="GU469" i="20"/>
  <c r="GV469" i="20"/>
  <c r="GW469" i="20"/>
  <c r="GQ469" i="20"/>
  <c r="FK149" i="20"/>
  <c r="DX305" i="20"/>
  <c r="EC358" i="20"/>
  <c r="EZ147" i="20" s="1"/>
  <c r="EU147" i="20" s="1"/>
  <c r="EB150" i="20" s="1"/>
  <c r="EA12" i="20" s="1"/>
  <c r="W89" i="9" s="1"/>
  <c r="FB331" i="20"/>
  <c r="FB379" i="20"/>
  <c r="FR376" i="20"/>
  <c r="FN376" i="20"/>
  <c r="HK332" i="20"/>
  <c r="GG331" i="20"/>
  <c r="HW442" i="20"/>
  <c r="HW443" i="20" s="1"/>
  <c r="IG82" i="20"/>
  <c r="HT73" i="20"/>
  <c r="HT80" i="20"/>
  <c r="FF72" i="20"/>
  <c r="FO40" i="20" s="1"/>
  <c r="GM237" i="20"/>
  <c r="HC237" i="20"/>
  <c r="GW237" i="20"/>
  <c r="GP237" i="20"/>
  <c r="GN237" i="20"/>
  <c r="GH237" i="20"/>
  <c r="GT237" i="20"/>
  <c r="HD237" i="20"/>
  <c r="GI237" i="20"/>
  <c r="GY237" i="20"/>
  <c r="GR237" i="20"/>
  <c r="GK237" i="20"/>
  <c r="HF237" i="20"/>
  <c r="GZ237" i="20"/>
  <c r="HE237" i="20"/>
  <c r="GU237" i="20"/>
  <c r="GL237" i="20"/>
  <c r="HH237" i="20"/>
  <c r="HA237" i="20"/>
  <c r="GO237" i="20"/>
  <c r="GJ237" i="20"/>
  <c r="GQ237" i="20"/>
  <c r="HG237" i="20"/>
  <c r="HB237" i="20"/>
  <c r="GV237" i="20"/>
  <c r="GX237" i="20"/>
  <c r="GS237" i="20"/>
  <c r="GF305" i="20"/>
  <c r="HS149" i="20"/>
  <c r="GQ82" i="20"/>
  <c r="GD73" i="20"/>
  <c r="GD80" i="20"/>
  <c r="HI144" i="20"/>
  <c r="HA144" i="20" s="1"/>
  <c r="ED147" i="20" s="1"/>
  <c r="EA16" i="20" s="1"/>
  <c r="HK376" i="20"/>
  <c r="HC376" i="20" s="1"/>
  <c r="ED379" i="20" s="1"/>
  <c r="EA39" i="20" s="1"/>
  <c r="FB146" i="20"/>
  <c r="GT588" i="20"/>
  <c r="GT589" i="20" s="1"/>
  <c r="GS589" i="20"/>
  <c r="GW433" i="20"/>
  <c r="GW434" i="20" s="1"/>
  <c r="HS374" i="20" s="1"/>
  <c r="HK377" i="20" s="1"/>
  <c r="GV434" i="20"/>
  <c r="HR374" i="20" s="1"/>
  <c r="GG212" i="20"/>
  <c r="GF212" i="20" s="1"/>
  <c r="GF213" i="20"/>
  <c r="FR375" i="20"/>
  <c r="FN375" i="20"/>
  <c r="FB378" i="20"/>
  <c r="HF41" i="20"/>
  <c r="DZ593" i="20"/>
  <c r="EY377" i="20" s="1"/>
  <c r="EH570" i="20"/>
  <c r="EK561" i="20" s="1"/>
  <c r="EB593" i="20" s="1"/>
  <c r="FA377" i="20" s="1"/>
  <c r="EM535" i="20"/>
  <c r="DZ535" i="20"/>
  <c r="EB535" i="20"/>
  <c r="ER535" i="20"/>
  <c r="EL535" i="20"/>
  <c r="EO535" i="20"/>
  <c r="EI535" i="20"/>
  <c r="EY535" i="20"/>
  <c r="EX535" i="20"/>
  <c r="EN535" i="20"/>
  <c r="ED535" i="20"/>
  <c r="ES535" i="20"/>
  <c r="EW535" i="20"/>
  <c r="EE535" i="20"/>
  <c r="EU535" i="20"/>
  <c r="EP535" i="20"/>
  <c r="EJ535" i="20"/>
  <c r="EZ535" i="20"/>
  <c r="EC535" i="20"/>
  <c r="EG535" i="20"/>
  <c r="EA535" i="20"/>
  <c r="EQ535" i="20"/>
  <c r="EH535" i="20"/>
  <c r="EF535" i="20"/>
  <c r="EV535" i="20"/>
  <c r="ET535" i="20"/>
  <c r="EK535" i="20"/>
  <c r="EB357" i="20"/>
  <c r="EY146" i="20" s="1"/>
  <c r="ER332" i="20"/>
  <c r="EU323" i="20" s="1"/>
  <c r="ED357" i="20" s="1"/>
  <c r="FA146" i="20" s="1"/>
  <c r="FO444" i="20"/>
  <c r="FN444" i="20" s="1"/>
  <c r="FN445" i="20"/>
  <c r="EM513" i="20"/>
  <c r="DZ513" i="20"/>
  <c r="EB513" i="20"/>
  <c r="ER513" i="20"/>
  <c r="EL513" i="20"/>
  <c r="EO513" i="20"/>
  <c r="EQ513" i="20"/>
  <c r="EF513" i="20"/>
  <c r="ET513" i="20"/>
  <c r="EI513" i="20"/>
  <c r="EY513" i="20"/>
  <c r="EX513" i="20"/>
  <c r="EN513" i="20"/>
  <c r="ED513" i="20"/>
  <c r="ES513" i="20"/>
  <c r="EW513" i="20"/>
  <c r="EE513" i="20"/>
  <c r="EU513" i="20"/>
  <c r="EP513" i="20"/>
  <c r="EJ513" i="20"/>
  <c r="EZ513" i="20"/>
  <c r="EC513" i="20"/>
  <c r="EG513" i="20"/>
  <c r="EA513" i="20"/>
  <c r="EH513" i="20"/>
  <c r="EV513" i="20"/>
  <c r="EK513" i="20"/>
  <c r="EB358" i="20"/>
  <c r="EY147" i="20" s="1"/>
  <c r="FB332" i="20"/>
  <c r="FE323" i="20" s="1"/>
  <c r="ED358" i="20" s="1"/>
  <c r="FB377" i="20"/>
  <c r="FN142" i="20"/>
  <c r="FB145" i="20"/>
  <c r="ET145" i="20" s="1"/>
  <c r="EA148" i="20" s="1"/>
  <c r="DZ10" i="20" s="1"/>
  <c r="V87" i="9" s="1"/>
  <c r="FR142" i="20"/>
  <c r="EH569" i="20"/>
  <c r="GU210" i="20"/>
  <c r="GU211" i="20" s="1"/>
  <c r="GU442" i="20"/>
  <c r="GU443" i="20" s="1"/>
  <c r="HV80" i="20"/>
  <c r="HV72" i="20" s="1"/>
  <c r="ED33" i="20" l="1"/>
  <c r="Z110" i="9" s="1"/>
  <c r="ET378" i="20"/>
  <c r="EA381" i="20" s="1"/>
  <c r="DZ34" i="20" s="1"/>
  <c r="V111" i="9" s="1"/>
  <c r="GH471" i="20"/>
  <c r="GI471" i="20" s="1"/>
  <c r="HT378" i="20" s="1"/>
  <c r="HA147" i="20"/>
  <c r="ED150" i="20" s="1"/>
  <c r="EA19" i="20" s="1"/>
  <c r="ED19" i="20" s="1"/>
  <c r="Z96" i="9" s="1"/>
  <c r="GJ323" i="20"/>
  <c r="GM355" i="20" s="1"/>
  <c r="HG144" i="20" s="1"/>
  <c r="EB36" i="20"/>
  <c r="X113" i="9" s="1"/>
  <c r="GH239" i="20"/>
  <c r="GI239" i="20" s="1"/>
  <c r="HT146" i="20" s="1"/>
  <c r="ER281" i="20"/>
  <c r="EO281" i="20"/>
  <c r="DZ537" i="20"/>
  <c r="EA537" i="20" s="1"/>
  <c r="FL381" i="20" s="1"/>
  <c r="FP146" i="20"/>
  <c r="FD144" i="20" s="1"/>
  <c r="FE144" i="20" s="1"/>
  <c r="EW6" i="20" s="1"/>
  <c r="DZ515" i="20"/>
  <c r="EA515" i="20" s="1"/>
  <c r="FL380" i="20" s="1"/>
  <c r="EN281" i="20"/>
  <c r="EN491" i="20"/>
  <c r="EG281" i="20"/>
  <c r="EJ281" i="20"/>
  <c r="DZ261" i="20"/>
  <c r="EA261" i="20" s="1"/>
  <c r="FL147" i="20" s="1"/>
  <c r="DZ281" i="20"/>
  <c r="FR143" i="20"/>
  <c r="EF281" i="20"/>
  <c r="FP378" i="20"/>
  <c r="FD376" i="20" s="1"/>
  <c r="FE376" i="20" s="1"/>
  <c r="EX6" i="20" s="1"/>
  <c r="HS148" i="20"/>
  <c r="HZ143" i="20" s="1"/>
  <c r="EL491" i="20"/>
  <c r="EM491" i="20"/>
  <c r="ED491" i="20"/>
  <c r="ES281" i="20"/>
  <c r="EB281" i="20"/>
  <c r="EY281" i="20"/>
  <c r="EC281" i="20"/>
  <c r="EE281" i="20"/>
  <c r="ED281" i="20"/>
  <c r="FK151" i="20"/>
  <c r="EI491" i="20"/>
  <c r="EQ281" i="20"/>
  <c r="EU281" i="20"/>
  <c r="EP281" i="20"/>
  <c r="EV281" i="20"/>
  <c r="EA281" i="20"/>
  <c r="EK281" i="20"/>
  <c r="EZ281" i="20"/>
  <c r="EO491" i="20"/>
  <c r="EZ491" i="20"/>
  <c r="EW281" i="20"/>
  <c r="ET281" i="20"/>
  <c r="EH281" i="20"/>
  <c r="EI281" i="20"/>
  <c r="EL281" i="20"/>
  <c r="EX281" i="20"/>
  <c r="GF283" i="20"/>
  <c r="GP281" i="20" s="1"/>
  <c r="ED35" i="20"/>
  <c r="GF493" i="20"/>
  <c r="HF491" i="20" s="1"/>
  <c r="EX491" i="20"/>
  <c r="EQ491" i="20"/>
  <c r="EG491" i="20"/>
  <c r="ER491" i="20"/>
  <c r="ES491" i="20"/>
  <c r="EY491" i="20"/>
  <c r="HC73" i="20"/>
  <c r="EH491" i="20"/>
  <c r="EB491" i="20"/>
  <c r="EV491" i="20"/>
  <c r="EE491" i="20"/>
  <c r="EW491" i="20"/>
  <c r="EK491" i="20"/>
  <c r="EP491" i="20"/>
  <c r="ET147" i="20"/>
  <c r="EA150" i="20" s="1"/>
  <c r="DZ12" i="20" s="1"/>
  <c r="V89" i="9" s="1"/>
  <c r="HR383" i="20"/>
  <c r="FL144" i="20"/>
  <c r="ED32" i="20"/>
  <c r="Z109" i="9" s="1"/>
  <c r="EF491" i="20"/>
  <c r="EB32" i="20"/>
  <c r="X109" i="9" s="1"/>
  <c r="FR374" i="20"/>
  <c r="FR372" i="20" s="1"/>
  <c r="ET491" i="20"/>
  <c r="EC491" i="20"/>
  <c r="EU491" i="20"/>
  <c r="DZ491" i="20"/>
  <c r="EA491" i="20"/>
  <c r="HT141" i="20"/>
  <c r="HA332" i="20"/>
  <c r="HD323" i="20" s="1"/>
  <c r="GM357" i="20" s="1"/>
  <c r="HG146" i="20" s="1"/>
  <c r="HR151" i="20"/>
  <c r="W112" i="9"/>
  <c r="HK331" i="20"/>
  <c r="HN323" i="20" s="1"/>
  <c r="GM358" i="20" s="1"/>
  <c r="EA36" i="20"/>
  <c r="W113" i="9" s="1"/>
  <c r="FL374" i="20"/>
  <c r="HS147" i="20"/>
  <c r="FK383" i="20"/>
  <c r="GG497" i="20"/>
  <c r="FL376" i="20"/>
  <c r="FN372" i="20"/>
  <c r="HA146" i="20"/>
  <c r="ED149" i="20" s="1"/>
  <c r="EA18" i="20" s="1"/>
  <c r="W95" i="9" s="1"/>
  <c r="ED16" i="20"/>
  <c r="Z93" i="9" s="1"/>
  <c r="EB16" i="20"/>
  <c r="X93" i="9" s="1"/>
  <c r="ED39" i="20"/>
  <c r="Z116" i="9" s="1"/>
  <c r="EB39" i="20"/>
  <c r="X116" i="9" s="1"/>
  <c r="W116" i="9"/>
  <c r="FR144" i="20"/>
  <c r="ET377" i="20"/>
  <c r="EA380" i="20" s="1"/>
  <c r="DZ33" i="20" s="1"/>
  <c r="V110" i="9" s="1"/>
  <c r="HS383" i="20"/>
  <c r="HA331" i="20"/>
  <c r="HT373" i="20"/>
  <c r="ET379" i="20"/>
  <c r="EA382" i="20" s="1"/>
  <c r="DZ35" i="20" s="1"/>
  <c r="FL143" i="20"/>
  <c r="GZ144" i="20"/>
  <c r="EC147" i="20" s="1"/>
  <c r="DZ16" i="20" s="1"/>
  <c r="V93" i="9" s="1"/>
  <c r="GF261" i="20"/>
  <c r="GX259" i="20" s="1"/>
  <c r="FL142" i="20"/>
  <c r="ET146" i="20"/>
  <c r="EA149" i="20" s="1"/>
  <c r="DZ11" i="20" s="1"/>
  <c r="V88" i="9" s="1"/>
  <c r="GG519" i="20"/>
  <c r="FL375" i="20"/>
  <c r="HA145" i="20"/>
  <c r="ED148" i="20" s="1"/>
  <c r="EA17" i="20" s="1"/>
  <c r="ED17" i="20" s="1"/>
  <c r="HC379" i="20"/>
  <c r="ED382" i="20" s="1"/>
  <c r="EA42" i="20" s="1"/>
  <c r="FN144" i="20"/>
  <c r="FN140" i="20" s="1"/>
  <c r="GF515" i="20"/>
  <c r="GK513" i="20" s="1"/>
  <c r="GQ331" i="20"/>
  <c r="GT323" i="20" s="1"/>
  <c r="GM356" i="20" s="1"/>
  <c r="HG145" i="20" s="1"/>
  <c r="HK572" i="20"/>
  <c r="HN564" i="20" s="1"/>
  <c r="GK598" i="20" s="1"/>
  <c r="EC353" i="20"/>
  <c r="EZ148" i="20" s="1"/>
  <c r="FA147" i="20"/>
  <c r="HV445" i="20"/>
  <c r="HW444" i="20"/>
  <c r="HV444" i="20" s="1"/>
  <c r="GY72" i="20"/>
  <c r="EZ7" i="20" s="1"/>
  <c r="HA80" i="20"/>
  <c r="GY73" i="20"/>
  <c r="EZ8" i="20" s="1"/>
  <c r="HL82" i="20"/>
  <c r="GY80" i="20"/>
  <c r="EZ14" i="20"/>
  <c r="EZ16" i="20"/>
  <c r="HJ379" i="20"/>
  <c r="HB379" i="20" s="1"/>
  <c r="EC382" i="20" s="1"/>
  <c r="DZ42" i="20" s="1"/>
  <c r="HZ376" i="20"/>
  <c r="HV376" i="20"/>
  <c r="HZ374" i="20"/>
  <c r="HV374" i="20"/>
  <c r="HJ377" i="20"/>
  <c r="GU303" i="20"/>
  <c r="GH303" i="20"/>
  <c r="GX303" i="20"/>
  <c r="GW303" i="20"/>
  <c r="GZ303" i="20"/>
  <c r="GN303" i="20"/>
  <c r="GI303" i="20"/>
  <c r="GL303" i="20"/>
  <c r="HE303" i="20"/>
  <c r="HD303" i="20"/>
  <c r="GQ303" i="20"/>
  <c r="HG303" i="20"/>
  <c r="GT303" i="20"/>
  <c r="GO303" i="20"/>
  <c r="GR303" i="20"/>
  <c r="HA303" i="20"/>
  <c r="GS303" i="20"/>
  <c r="GM303" i="20"/>
  <c r="HC303" i="20"/>
  <c r="GP303" i="20"/>
  <c r="HF303" i="20"/>
  <c r="GJ303" i="20"/>
  <c r="GK303" i="20"/>
  <c r="GV303" i="20"/>
  <c r="GY303" i="20"/>
  <c r="HB303" i="20"/>
  <c r="HH303" i="20"/>
  <c r="HV73" i="20"/>
  <c r="HX72" i="20" s="1"/>
  <c r="HZ72" i="20" s="1"/>
  <c r="HD49" i="20" s="1"/>
  <c r="EZ15" i="20"/>
  <c r="GU212" i="20"/>
  <c r="GT212" i="20" s="1"/>
  <c r="GT213" i="20"/>
  <c r="HH146" i="20"/>
  <c r="GZ146" i="20" s="1"/>
  <c r="EC149" i="20" s="1"/>
  <c r="DZ18" i="20" s="1"/>
  <c r="V95" i="9" s="1"/>
  <c r="HI444" i="20"/>
  <c r="HH444" i="20" s="1"/>
  <c r="HH445" i="20"/>
  <c r="HW212" i="20"/>
  <c r="HV212" i="20" s="1"/>
  <c r="HV213" i="20"/>
  <c r="GJ596" i="20"/>
  <c r="HH377" i="20" s="1"/>
  <c r="HC377" i="20" s="1"/>
  <c r="ED380" i="20" s="1"/>
  <c r="EA40" i="20" s="1"/>
  <c r="GQ572" i="20"/>
  <c r="EF303" i="20"/>
  <c r="EV303" i="20"/>
  <c r="EI303" i="20"/>
  <c r="EY303" i="20"/>
  <c r="EG303" i="20"/>
  <c r="EP303" i="20"/>
  <c r="EX303" i="20"/>
  <c r="EN303" i="20"/>
  <c r="EQ303" i="20"/>
  <c r="EW303" i="20"/>
  <c r="EM303" i="20"/>
  <c r="EO303" i="20"/>
  <c r="EH303" i="20"/>
  <c r="EB303" i="20"/>
  <c r="ER303" i="20"/>
  <c r="EE303" i="20"/>
  <c r="EU303" i="20"/>
  <c r="ET303" i="20"/>
  <c r="DZ303" i="20"/>
  <c r="EK303" i="20"/>
  <c r="EA303" i="20"/>
  <c r="EL303" i="20"/>
  <c r="ES303" i="20"/>
  <c r="EJ303" i="20"/>
  <c r="EZ303" i="20"/>
  <c r="ED303" i="20"/>
  <c r="EC303" i="20"/>
  <c r="ED11" i="20"/>
  <c r="Z88" i="9" s="1"/>
  <c r="EB11" i="20"/>
  <c r="X88" i="9" s="1"/>
  <c r="FH73" i="20"/>
  <c r="FU82" i="20"/>
  <c r="FH80" i="20"/>
  <c r="GL535" i="20"/>
  <c r="HB535" i="20"/>
  <c r="GW535" i="20"/>
  <c r="GQ535" i="20"/>
  <c r="HG535" i="20"/>
  <c r="HD535" i="20"/>
  <c r="HH535" i="20"/>
  <c r="GT535" i="20"/>
  <c r="HF535" i="20"/>
  <c r="HE535" i="20"/>
  <c r="GU535" i="20"/>
  <c r="GZ535" i="20"/>
  <c r="GJ535" i="20"/>
  <c r="GH535" i="20"/>
  <c r="GX535" i="20"/>
  <c r="GS535" i="20"/>
  <c r="GM535" i="20"/>
  <c r="HC535" i="20"/>
  <c r="GN535" i="20"/>
  <c r="GR535" i="20"/>
  <c r="GK535" i="20"/>
  <c r="GI535" i="20"/>
  <c r="GY535" i="20"/>
  <c r="HA535" i="20"/>
  <c r="GV535" i="20"/>
  <c r="GP535" i="20"/>
  <c r="GO535" i="20"/>
  <c r="GU444" i="20"/>
  <c r="GT444" i="20" s="1"/>
  <c r="GT445" i="20"/>
  <c r="EY16" i="20"/>
  <c r="EY14" i="20"/>
  <c r="HI212" i="20"/>
  <c r="HH212" i="20" s="1"/>
  <c r="HH213" i="20"/>
  <c r="HZ375" i="20"/>
  <c r="HV375" i="20"/>
  <c r="HJ378" i="20"/>
  <c r="GJ597" i="20"/>
  <c r="HH378" i="20" s="1"/>
  <c r="HC378" i="20" s="1"/>
  <c r="ED381" i="20" s="1"/>
  <c r="EA41" i="20" s="1"/>
  <c r="W118" i="9" s="1"/>
  <c r="HA572" i="20"/>
  <c r="GF73" i="20"/>
  <c r="EY15" i="20"/>
  <c r="HH145" i="20"/>
  <c r="GZ145" i="20" s="1"/>
  <c r="EC148" i="20" s="1"/>
  <c r="DZ17" i="20" s="1"/>
  <c r="V94" i="9" s="1"/>
  <c r="GI596" i="20"/>
  <c r="HG377" i="20" s="1"/>
  <c r="GQ573" i="20"/>
  <c r="ED12" i="20"/>
  <c r="ED13" i="20" s="1"/>
  <c r="EB12" i="20"/>
  <c r="EB13" i="20" s="1"/>
  <c r="X90" i="9" s="1"/>
  <c r="X76" i="9" s="1"/>
  <c r="EA13" i="20"/>
  <c r="W90" i="9" s="1"/>
  <c r="W76" i="9" s="1"/>
  <c r="GI597" i="20"/>
  <c r="HG378" i="20" s="1"/>
  <c r="HA573" i="20"/>
  <c r="HD564" i="20" s="1"/>
  <c r="GK597" i="20" s="1"/>
  <c r="HI378" i="20" s="1"/>
  <c r="FA379" i="20"/>
  <c r="EA590" i="20"/>
  <c r="HV144" i="20"/>
  <c r="HH147" i="20"/>
  <c r="GZ147" i="20" s="1"/>
  <c r="EC150" i="20" s="1"/>
  <c r="DZ19" i="20" s="1"/>
  <c r="HZ144" i="20"/>
  <c r="FJ80" i="20"/>
  <c r="FJ72" i="20" s="1"/>
  <c r="FL73" i="20"/>
  <c r="GF72" i="20"/>
  <c r="W111" i="9"/>
  <c r="X111" i="9"/>
  <c r="Z87" i="9"/>
  <c r="W87" i="9"/>
  <c r="X87" i="9"/>
  <c r="W93" i="9"/>
  <c r="W110" i="9"/>
  <c r="X110" i="9"/>
  <c r="X112" i="9"/>
  <c r="EB19" i="20" l="1"/>
  <c r="ED36" i="20"/>
  <c r="Z113" i="9" s="1"/>
  <c r="DZ283" i="20"/>
  <c r="EA283" i="20" s="1"/>
  <c r="FL148" i="20" s="1"/>
  <c r="FP148" i="20" s="1"/>
  <c r="FD146" i="20" s="1"/>
  <c r="FE146" i="20" s="1"/>
  <c r="EW8" i="20" s="1"/>
  <c r="HX378" i="20"/>
  <c r="HL376" i="20" s="1"/>
  <c r="HM376" i="20" s="1"/>
  <c r="EX10" i="20" s="1"/>
  <c r="W96" i="9"/>
  <c r="HG147" i="20"/>
  <c r="GL353" i="20"/>
  <c r="HF148" i="20" s="1"/>
  <c r="FN72" i="20"/>
  <c r="FM50" i="20" s="1"/>
  <c r="EY10" i="20" s="1"/>
  <c r="GT564" i="20"/>
  <c r="GK596" i="20" s="1"/>
  <c r="HI377" i="20" s="1"/>
  <c r="FP147" i="20"/>
  <c r="FD145" i="20" s="1"/>
  <c r="FE145" i="20" s="1"/>
  <c r="EW7" i="20" s="1"/>
  <c r="FP380" i="20"/>
  <c r="FD378" i="20" s="1"/>
  <c r="FE378" i="20" s="1"/>
  <c r="EX8" i="20" s="1"/>
  <c r="FP381" i="20"/>
  <c r="FD379" i="20" s="1"/>
  <c r="FE379" i="20" s="1"/>
  <c r="EX9" i="20" s="1"/>
  <c r="DZ36" i="20"/>
  <c r="V113" i="9" s="1"/>
  <c r="DZ20" i="20"/>
  <c r="V97" i="9" s="1"/>
  <c r="V77" i="9" s="1"/>
  <c r="EA20" i="20"/>
  <c r="W97" i="9" s="1"/>
  <c r="W77" i="9" s="1"/>
  <c r="W74" i="9" s="1"/>
  <c r="HX146" i="20"/>
  <c r="HJ144" i="20" s="1"/>
  <c r="HK144" i="20" s="1"/>
  <c r="EW10" i="20" s="1"/>
  <c r="HC281" i="20"/>
  <c r="GH281" i="20"/>
  <c r="HB281" i="20"/>
  <c r="GQ281" i="20"/>
  <c r="X96" i="9"/>
  <c r="GL281" i="20"/>
  <c r="GN281" i="20"/>
  <c r="GM281" i="20"/>
  <c r="GU281" i="20"/>
  <c r="DZ305" i="20"/>
  <c r="EA305" i="20" s="1"/>
  <c r="FL149" i="20" s="1"/>
  <c r="DZ493" i="20"/>
  <c r="EA493" i="20" s="1"/>
  <c r="FL379" i="20" s="1"/>
  <c r="FL377" i="20" s="1"/>
  <c r="GH537" i="20"/>
  <c r="GI537" i="20" s="1"/>
  <c r="HT381" i="20" s="1"/>
  <c r="GH305" i="20"/>
  <c r="GI305" i="20" s="1"/>
  <c r="HT149" i="20" s="1"/>
  <c r="GJ281" i="20"/>
  <c r="GO281" i="20"/>
  <c r="GZ281" i="20"/>
  <c r="GK281" i="20"/>
  <c r="GR281" i="20"/>
  <c r="GV281" i="20"/>
  <c r="HE259" i="20"/>
  <c r="GZ259" i="20"/>
  <c r="HS151" i="20"/>
  <c r="HB378" i="20"/>
  <c r="EC381" i="20" s="1"/>
  <c r="DZ41" i="20" s="1"/>
  <c r="V118" i="9" s="1"/>
  <c r="HV143" i="20"/>
  <c r="HH281" i="20"/>
  <c r="HD281" i="20"/>
  <c r="HA281" i="20"/>
  <c r="HG281" i="20"/>
  <c r="GY281" i="20"/>
  <c r="GX281" i="20"/>
  <c r="GI281" i="20"/>
  <c r="HF281" i="20"/>
  <c r="GS281" i="20"/>
  <c r="GT281" i="20"/>
  <c r="HE281" i="20"/>
  <c r="GW281" i="20"/>
  <c r="GL259" i="20"/>
  <c r="GW259" i="20"/>
  <c r="HG259" i="20"/>
  <c r="GO259" i="20"/>
  <c r="GM259" i="20"/>
  <c r="GV259" i="20"/>
  <c r="HC259" i="20"/>
  <c r="GY259" i="20"/>
  <c r="GV491" i="20"/>
  <c r="HF259" i="20"/>
  <c r="GR259" i="20"/>
  <c r="HH259" i="20"/>
  <c r="GN259" i="20"/>
  <c r="GU259" i="20"/>
  <c r="GI259" i="20"/>
  <c r="HA259" i="20"/>
  <c r="GQ259" i="20"/>
  <c r="GJ259" i="20"/>
  <c r="GH259" i="20"/>
  <c r="HE491" i="20"/>
  <c r="DZ13" i="20"/>
  <c r="V90" i="9" s="1"/>
  <c r="V76" i="9" s="1"/>
  <c r="V74" i="9" s="1"/>
  <c r="M70" i="9" s="1"/>
  <c r="GX491" i="20"/>
  <c r="Z112" i="9"/>
  <c r="GL491" i="20"/>
  <c r="GN491" i="20"/>
  <c r="GZ491" i="20"/>
  <c r="HT375" i="20"/>
  <c r="HG491" i="20"/>
  <c r="GM513" i="20"/>
  <c r="GR491" i="20"/>
  <c r="HD491" i="20"/>
  <c r="GT491" i="20"/>
  <c r="HZ142" i="20"/>
  <c r="HZ140" i="20" s="1"/>
  <c r="GK491" i="20"/>
  <c r="GM491" i="20"/>
  <c r="HH491" i="20"/>
  <c r="GW491" i="20"/>
  <c r="GI491" i="20"/>
  <c r="GO491" i="20"/>
  <c r="GP491" i="20"/>
  <c r="HV372" i="20"/>
  <c r="GS491" i="20"/>
  <c r="HB491" i="20"/>
  <c r="GU491" i="20"/>
  <c r="HV142" i="20"/>
  <c r="GY491" i="20"/>
  <c r="HC491" i="20"/>
  <c r="GH491" i="20"/>
  <c r="GQ491" i="20"/>
  <c r="HA491" i="20"/>
  <c r="GJ491" i="20"/>
  <c r="V96" i="9"/>
  <c r="FL140" i="20"/>
  <c r="ED18" i="20"/>
  <c r="Z95" i="9" s="1"/>
  <c r="EB18" i="20"/>
  <c r="X95" i="9" s="1"/>
  <c r="V112" i="9"/>
  <c r="HT374" i="20"/>
  <c r="GJ513" i="20"/>
  <c r="GI513" i="20"/>
  <c r="HT143" i="20"/>
  <c r="EA43" i="20"/>
  <c r="W120" i="9" s="1"/>
  <c r="EB42" i="20"/>
  <c r="HD513" i="20"/>
  <c r="HB513" i="20"/>
  <c r="FL372" i="20"/>
  <c r="HT376" i="20"/>
  <c r="EB17" i="20"/>
  <c r="X94" i="9" s="1"/>
  <c r="FR140" i="20"/>
  <c r="HB377" i="20"/>
  <c r="EC380" i="20" s="1"/>
  <c r="DZ40" i="20" s="1"/>
  <c r="V117" i="9" s="1"/>
  <c r="HD259" i="20"/>
  <c r="GK259" i="20"/>
  <c r="GS259" i="20"/>
  <c r="GT259" i="20"/>
  <c r="HB259" i="20"/>
  <c r="GP259" i="20"/>
  <c r="GR513" i="20"/>
  <c r="GQ513" i="20"/>
  <c r="HT144" i="20"/>
  <c r="HT142" i="20"/>
  <c r="HZ372" i="20"/>
  <c r="ED42" i="20"/>
  <c r="HI379" i="20"/>
  <c r="HH380" i="20" s="1"/>
  <c r="GJ593" i="20"/>
  <c r="GH513" i="20"/>
  <c r="GY513" i="20"/>
  <c r="GO513" i="20"/>
  <c r="GS513" i="20"/>
  <c r="HE513" i="20"/>
  <c r="GW513" i="20"/>
  <c r="GP513" i="20"/>
  <c r="HH513" i="20"/>
  <c r="HA513" i="20"/>
  <c r="GT513" i="20"/>
  <c r="GL513" i="20"/>
  <c r="GN513" i="20"/>
  <c r="HC513" i="20"/>
  <c r="HG513" i="20"/>
  <c r="GU513" i="20"/>
  <c r="GZ513" i="20"/>
  <c r="HF513" i="20"/>
  <c r="GX513" i="20"/>
  <c r="GV513" i="20"/>
  <c r="EZ380" i="20"/>
  <c r="GH72" i="20"/>
  <c r="GJ72" i="20" s="1"/>
  <c r="FM49" i="20" s="1"/>
  <c r="EY9" i="20" s="1"/>
  <c r="EB41" i="20"/>
  <c r="X118" i="9" s="1"/>
  <c r="ED41" i="20"/>
  <c r="Z118" i="9" s="1"/>
  <c r="FJ73" i="20"/>
  <c r="FL72" i="20" s="1"/>
  <c r="EY11" i="20"/>
  <c r="EZ9" i="20"/>
  <c r="HA73" i="20"/>
  <c r="EZ11" i="20"/>
  <c r="EY12" i="20"/>
  <c r="EY8" i="20"/>
  <c r="EB40" i="20"/>
  <c r="X117" i="9" s="1"/>
  <c r="ED40" i="20"/>
  <c r="Z117" i="9" s="1"/>
  <c r="HA72" i="20"/>
  <c r="EZ12" i="20"/>
  <c r="Z89" i="9"/>
  <c r="X89" i="9"/>
  <c r="Z90" i="9"/>
  <c r="Z76" i="9" s="1"/>
  <c r="Z74" i="9" s="1"/>
  <c r="P70" i="9" s="1"/>
  <c r="Z94" i="9"/>
  <c r="W94" i="9"/>
  <c r="V119" i="9"/>
  <c r="W117" i="9"/>
  <c r="W119" i="9"/>
  <c r="ED20" i="20" l="1"/>
  <c r="Z97" i="9" s="1"/>
  <c r="Z77" i="9" s="1"/>
  <c r="FL145" i="20"/>
  <c r="FL151" i="20" s="1"/>
  <c r="FP46" i="20"/>
  <c r="EE26" i="20" s="1"/>
  <c r="N70" i="9"/>
  <c r="GH493" i="20"/>
  <c r="GI493" i="20" s="1"/>
  <c r="HT379" i="20" s="1"/>
  <c r="HX379" i="20" s="1"/>
  <c r="HL377" i="20" s="1"/>
  <c r="HM377" i="20" s="1"/>
  <c r="EX11" i="20" s="1"/>
  <c r="DZ43" i="20"/>
  <c r="V120" i="9" s="1"/>
  <c r="ED43" i="20"/>
  <c r="Z120" i="9" s="1"/>
  <c r="EB20" i="20"/>
  <c r="X97" i="9" s="1"/>
  <c r="X77" i="9" s="1"/>
  <c r="X74" i="9" s="1"/>
  <c r="O70" i="9" s="1"/>
  <c r="EB43" i="20"/>
  <c r="X120" i="9" s="1"/>
  <c r="HX149" i="20"/>
  <c r="HJ147" i="20" s="1"/>
  <c r="HK147" i="20" s="1"/>
  <c r="EW13" i="20" s="1"/>
  <c r="FP149" i="20"/>
  <c r="FD147" i="20" s="1"/>
  <c r="FE147" i="20" s="1"/>
  <c r="EW9" i="20" s="1"/>
  <c r="GH283" i="20"/>
  <c r="GI283" i="20" s="1"/>
  <c r="HT148" i="20" s="1"/>
  <c r="HX148" i="20" s="1"/>
  <c r="HJ146" i="20" s="1"/>
  <c r="HK146" i="20" s="1"/>
  <c r="EW12" i="20" s="1"/>
  <c r="HX381" i="20"/>
  <c r="HL379" i="20" s="1"/>
  <c r="HM379" i="20" s="1"/>
  <c r="EX13" i="20" s="1"/>
  <c r="FP379" i="20"/>
  <c r="FD377" i="20" s="1"/>
  <c r="FE377" i="20" s="1"/>
  <c r="EX7" i="20" s="1"/>
  <c r="FL383" i="20"/>
  <c r="GH261" i="20"/>
  <c r="GI261" i="20" s="1"/>
  <c r="HT147" i="20" s="1"/>
  <c r="GH515" i="20"/>
  <c r="GI515" i="20" s="1"/>
  <c r="HT380" i="20" s="1"/>
  <c r="HX380" i="20" s="1"/>
  <c r="HL378" i="20" s="1"/>
  <c r="HM378" i="20" s="1"/>
  <c r="EX12" i="20" s="1"/>
  <c r="HV140" i="20"/>
  <c r="HT140" i="20"/>
  <c r="HT372" i="20"/>
  <c r="M79" i="9"/>
  <c r="K74" i="9" s="1"/>
  <c r="H138" i="11" s="1"/>
  <c r="HC72" i="20"/>
  <c r="HE72" i="20" s="1"/>
  <c r="HD50" i="20" s="1"/>
  <c r="X119" i="9"/>
  <c r="Z119" i="9"/>
  <c r="FP145" i="20" l="1"/>
  <c r="FM151" i="20" s="1"/>
  <c r="FI151" i="20" s="1"/>
  <c r="FC148" i="20" s="1"/>
  <c r="EU148" i="20" s="1"/>
  <c r="EB151" i="20" s="1"/>
  <c r="EE8" i="20" s="1"/>
  <c r="AA85" i="9" s="1"/>
  <c r="EY6" i="20"/>
  <c r="EY17" i="20" s="1"/>
  <c r="EX20" i="20" s="1"/>
  <c r="AA78" i="9"/>
  <c r="C35" i="13"/>
  <c r="H36" i="11"/>
  <c r="I78" i="9"/>
  <c r="I77" i="9" s="1"/>
  <c r="E35" i="13" s="1"/>
  <c r="Z38" i="9"/>
  <c r="HT145" i="20"/>
  <c r="HT151" i="20" s="1"/>
  <c r="FP377" i="20"/>
  <c r="FM383" i="20" s="1"/>
  <c r="FI383" i="20" s="1"/>
  <c r="FC380" i="20" s="1"/>
  <c r="EU380" i="20" s="1"/>
  <c r="EB383" i="20" s="1"/>
  <c r="EX14" i="20" s="1"/>
  <c r="HX147" i="20"/>
  <c r="HJ145" i="20" s="1"/>
  <c r="HK145" i="20" s="1"/>
  <c r="EW11" i="20" s="1"/>
  <c r="HT377" i="20"/>
  <c r="HT383" i="20" s="1"/>
  <c r="AA77" i="9"/>
  <c r="HX377" i="20"/>
  <c r="HU383" i="20" s="1"/>
  <c r="EZ10" i="20"/>
  <c r="HG46" i="20"/>
  <c r="AA103" i="9"/>
  <c r="W124" i="9" s="1"/>
  <c r="G35" i="13" l="1"/>
  <c r="I35" i="13" s="1"/>
  <c r="K35" i="13"/>
  <c r="AA81" i="9"/>
  <c r="AA79" i="9"/>
  <c r="EE31" i="20"/>
  <c r="AA108" i="9" s="1"/>
  <c r="HX145" i="20"/>
  <c r="HU151" i="20" s="1"/>
  <c r="HQ151" i="20" s="1"/>
  <c r="HI148" i="20" s="1"/>
  <c r="HA148" i="20" s="1"/>
  <c r="ED151" i="20" s="1"/>
  <c r="EW15" i="20" s="1"/>
  <c r="EW16" i="20" s="1"/>
  <c r="HQ383" i="20"/>
  <c r="HK380" i="20" s="1"/>
  <c r="HC380" i="20" s="1"/>
  <c r="ED383" i="20" s="1"/>
  <c r="EE38" i="20" s="1"/>
  <c r="AA115" i="9" s="1"/>
  <c r="EW14" i="20"/>
  <c r="EZ6" i="20"/>
  <c r="EZ17" i="20" s="1"/>
  <c r="EX21" i="20" s="1"/>
  <c r="EE22" i="20"/>
  <c r="Q188" i="13" l="1"/>
  <c r="K46" i="13"/>
  <c r="X19" i="12" s="1"/>
  <c r="X123" i="9"/>
  <c r="EW17" i="20"/>
  <c r="EX19" i="20" s="1"/>
  <c r="EX23" i="20" s="1"/>
  <c r="EX24" i="20" s="1"/>
  <c r="H144" i="11" s="1"/>
  <c r="EE15" i="20"/>
  <c r="AA92" i="9" s="1"/>
  <c r="X122" i="9" s="1"/>
  <c r="W122" i="9" s="1"/>
  <c r="W125" i="9" s="1"/>
  <c r="U84" i="9" s="1"/>
  <c r="EX15" i="20"/>
  <c r="EX16" i="20" s="1"/>
  <c r="AA99" i="9"/>
  <c r="W123" i="9" s="1"/>
  <c r="Z19" i="12" l="1"/>
  <c r="T19" i="12" s="1"/>
  <c r="K24" i="12" s="1"/>
  <c r="H24" i="12" s="1"/>
  <c r="S188" i="13"/>
  <c r="AA75" i="9"/>
  <c r="K78" i="9" s="1"/>
  <c r="H140" i="11" s="1"/>
  <c r="DY7" i="20"/>
  <c r="EX17" i="20"/>
  <c r="Z41" i="9"/>
  <c r="I144" i="11"/>
  <c r="H97" i="16" l="1"/>
  <c r="E113" i="17" s="1"/>
  <c r="E97" i="17" s="1"/>
  <c r="H23" i="22"/>
  <c r="H104" i="24" s="1"/>
  <c r="H142" i="11"/>
  <c r="I142" i="11" s="1"/>
  <c r="F111" i="4"/>
  <c r="Z39" i="9"/>
  <c r="D133" i="17" l="1"/>
  <c r="I116" i="17"/>
  <c r="I117" i="17" s="1"/>
  <c r="D141" i="17"/>
  <c r="E115" i="23"/>
  <c r="D8" i="28"/>
  <c r="L139" i="11"/>
  <c r="H148" i="11"/>
  <c r="Z36" i="9" s="1"/>
  <c r="C40" i="11"/>
  <c r="P53" i="11"/>
  <c r="I60" i="13"/>
  <c r="AD111" i="4"/>
  <c r="Z40" i="9"/>
  <c r="AD98" i="4"/>
  <c r="E32" i="28" l="1"/>
  <c r="E40" i="28" s="1"/>
  <c r="G59" i="28" s="1"/>
  <c r="F74" i="28" s="1"/>
  <c r="E19" i="28"/>
  <c r="E16" i="28" s="1"/>
  <c r="E28" i="28" s="1"/>
  <c r="E99" i="23"/>
  <c r="I118" i="23"/>
  <c r="I119" i="23" s="1"/>
  <c r="D143" i="23"/>
  <c r="E116" i="23"/>
  <c r="G99" i="23" s="1"/>
  <c r="D135" i="23"/>
  <c r="U53" i="11"/>
  <c r="W53" i="11" s="1"/>
  <c r="E112" i="23" l="1"/>
  <c r="D126" i="23" s="1"/>
  <c r="D118" i="23"/>
  <c r="F85" i="28"/>
  <c r="D103" i="28" s="1"/>
  <c r="F95" i="28"/>
  <c r="H103" i="28" s="1"/>
  <c r="D119" i="23" l="1"/>
  <c r="H126" i="23"/>
  <c r="E300" i="23"/>
  <c r="E301" i="23" s="1"/>
  <c r="E304" i="23" l="1"/>
  <c r="E303" i="23"/>
  <c r="M53" i="8" l="1"/>
  <c r="O60" i="8"/>
  <c r="O53" i="8"/>
  <c r="N60" i="8"/>
  <c r="N53" i="8"/>
  <c r="M60" i="8" l="1"/>
  <c r="Q60" i="8"/>
  <c r="Q53" i="8"/>
  <c r="R60" i="8"/>
  <c r="L60" i="8" l="1"/>
  <c r="S60" i="8" s="1"/>
  <c r="L138" i="11" l="1"/>
  <c r="L140" i="11" s="1"/>
  <c r="H133" i="11"/>
  <c r="H115" i="11" s="1"/>
  <c r="M134" i="11" s="1"/>
  <c r="K134" i="11" s="1"/>
  <c r="L134" i="11" s="1"/>
  <c r="Z29" i="9" l="1"/>
  <c r="Z27" i="9"/>
  <c r="L54" i="9" s="1"/>
  <c r="B326" i="4" l="1"/>
  <c r="B328" i="4" l="1"/>
  <c r="B330" i="4" l="1"/>
  <c r="M79" i="6" l="1"/>
  <c r="K79" i="6" s="1"/>
  <c r="M81" i="6"/>
  <c r="M87" i="6"/>
  <c r="K87" i="6" s="1"/>
  <c r="M78" i="6"/>
  <c r="K78" i="6" s="1"/>
  <c r="M80" i="6"/>
  <c r="K80" i="6" s="1"/>
  <c r="K85" i="6"/>
  <c r="M86" i="6"/>
  <c r="K86" i="6" s="1"/>
  <c r="M88" i="6"/>
  <c r="K88" i="6" s="1"/>
  <c r="K81" i="6" l="1"/>
  <c r="H82" i="6" s="1"/>
  <c r="H79" i="6"/>
  <c r="K75" i="6" s="1"/>
  <c r="G136" i="11" s="1"/>
  <c r="K139" i="11" s="1"/>
  <c r="H86" i="6"/>
  <c r="K92" i="13" s="1"/>
  <c r="H89" i="6"/>
  <c r="E93" i="13" s="1"/>
  <c r="G93" i="13" s="1"/>
  <c r="H87" i="6"/>
  <c r="K93" i="13" s="1"/>
  <c r="H88" i="6"/>
  <c r="E92" i="13" s="1"/>
  <c r="G92" i="13" s="1"/>
  <c r="H80" i="6"/>
  <c r="H81" i="6"/>
  <c r="G32" i="11" s="1"/>
  <c r="BC23" i="11" s="1"/>
  <c r="AW23" i="11" s="1"/>
  <c r="AC81" i="11" l="1"/>
  <c r="R43" i="11"/>
  <c r="T57" i="7"/>
  <c r="G148" i="11"/>
  <c r="G30" i="11"/>
  <c r="I92" i="13"/>
  <c r="C92" i="13"/>
  <c r="C93" i="13" s="1"/>
  <c r="T56" i="7" l="1"/>
  <c r="K91" i="8" l="1"/>
  <c r="H94" i="8" s="1"/>
  <c r="E37" i="13" s="1"/>
  <c r="G37" i="13" s="1"/>
  <c r="P188" i="13" l="1"/>
  <c r="G46" i="13"/>
  <c r="I37" i="13"/>
  <c r="X7" i="11" s="1"/>
  <c r="R188" i="13" l="1"/>
  <c r="C188" i="13"/>
  <c r="J188" i="13" l="1"/>
  <c r="I25" i="4" l="1"/>
  <c r="D12" i="11" l="1"/>
  <c r="J29" i="5" l="1"/>
  <c r="D13" i="11"/>
  <c r="C48" i="21" l="1"/>
  <c r="D19" i="11"/>
  <c r="N285" i="5"/>
  <c r="N288" i="5" s="1"/>
  <c r="N287" i="5"/>
  <c r="I61" i="5"/>
  <c r="J286" i="5"/>
  <c r="J287" i="5" s="1"/>
  <c r="N286" i="5"/>
  <c r="D18" i="11"/>
  <c r="Q27" i="11"/>
  <c r="V27" i="11" l="1"/>
  <c r="K63" i="5"/>
  <c r="B36" i="11"/>
  <c r="C138" i="21"/>
  <c r="M170" i="21" s="1"/>
  <c r="BE170" i="21" s="1"/>
  <c r="C192" i="21"/>
  <c r="M224" i="21" s="1"/>
  <c r="C248" i="21"/>
  <c r="M280" i="21" s="1"/>
  <c r="C86" i="21"/>
  <c r="M118" i="21" s="1"/>
  <c r="EB4" i="19"/>
  <c r="EE4" i="19"/>
  <c r="ED4" i="20"/>
  <c r="H4" i="19"/>
  <c r="H4" i="20"/>
  <c r="N292" i="5"/>
  <c r="EK4" i="19" l="1"/>
  <c r="BE280" i="21"/>
  <c r="AF281" i="21"/>
  <c r="N280" i="21"/>
  <c r="N118" i="21"/>
  <c r="M125" i="21"/>
  <c r="BE118" i="21"/>
  <c r="BE224" i="21"/>
  <c r="AF225" i="21"/>
  <c r="N224" i="21"/>
  <c r="FU41" i="19"/>
  <c r="HK41" i="19"/>
  <c r="EB142" i="19"/>
  <c r="EB330" i="19"/>
  <c r="AF171" i="21"/>
  <c r="N170" i="21"/>
  <c r="D248" i="21" l="1"/>
  <c r="O280" i="21"/>
  <c r="FC327" i="19"/>
  <c r="HK327" i="19"/>
  <c r="O224" i="21"/>
  <c r="D192" i="21"/>
  <c r="BE125" i="21"/>
  <c r="N125" i="21"/>
  <c r="O125" i="21" s="1"/>
  <c r="P125" i="21" s="1"/>
  <c r="R125" i="21" s="1"/>
  <c r="BF280" i="21"/>
  <c r="BG280" i="21" s="1"/>
  <c r="BH280" i="21" s="1"/>
  <c r="BW281" i="21"/>
  <c r="BF170" i="21"/>
  <c r="BG170" i="21" s="1"/>
  <c r="BH170" i="21" s="1"/>
  <c r="BR170" i="21" s="1"/>
  <c r="BW171" i="21"/>
  <c r="GD42" i="19"/>
  <c r="FH42" i="19"/>
  <c r="BF118" i="21"/>
  <c r="BG118" i="21" s="1"/>
  <c r="BH118" i="21" s="1"/>
  <c r="M287" i="21"/>
  <c r="AG281" i="21"/>
  <c r="M177" i="21"/>
  <c r="AG171" i="21"/>
  <c r="GY42" i="19"/>
  <c r="HT42" i="19"/>
  <c r="BF224" i="21"/>
  <c r="BG224" i="21" s="1"/>
  <c r="BH224" i="21" s="1"/>
  <c r="BW225" i="21"/>
  <c r="O170" i="21"/>
  <c r="D138" i="21"/>
  <c r="FC139" i="19"/>
  <c r="HK139" i="19"/>
  <c r="M231" i="21"/>
  <c r="AG225" i="21"/>
  <c r="D86" i="21"/>
  <c r="O118" i="21"/>
  <c r="BI224" i="21" l="1"/>
  <c r="BN224" i="21"/>
  <c r="BR224" i="21"/>
  <c r="BJ224" i="21"/>
  <c r="BO224" i="21"/>
  <c r="BP224" i="21"/>
  <c r="BM224" i="21"/>
  <c r="BK224" i="21"/>
  <c r="BQ224" i="21"/>
  <c r="BK118" i="21"/>
  <c r="BP118" i="21"/>
  <c r="BM118" i="21"/>
  <c r="BQ118" i="21"/>
  <c r="BN118" i="21"/>
  <c r="BI118" i="21"/>
  <c r="BO118" i="21"/>
  <c r="BJ118" i="21"/>
  <c r="BR118" i="21"/>
  <c r="BE177" i="21"/>
  <c r="BX171" i="21"/>
  <c r="P280" i="21"/>
  <c r="E248" i="21"/>
  <c r="N231" i="21"/>
  <c r="AH225" i="21"/>
  <c r="BI170" i="21"/>
  <c r="BN170" i="21"/>
  <c r="BJ170" i="21"/>
  <c r="BO170" i="21"/>
  <c r="BP170" i="21"/>
  <c r="BM170" i="21"/>
  <c r="BK170" i="21"/>
  <c r="BQ170" i="21"/>
  <c r="P224" i="21"/>
  <c r="E192" i="21"/>
  <c r="FD222" i="19"/>
  <c r="DY240" i="19"/>
  <c r="DZ184" i="19"/>
  <c r="N177" i="21"/>
  <c r="AH171" i="21"/>
  <c r="BI280" i="21"/>
  <c r="BN280" i="21"/>
  <c r="BR280" i="21"/>
  <c r="BJ280" i="21"/>
  <c r="BO280" i="21"/>
  <c r="BP280" i="21"/>
  <c r="BQ280" i="21"/>
  <c r="BM280" i="21"/>
  <c r="BK280" i="21"/>
  <c r="E86" i="21"/>
  <c r="P118" i="21"/>
  <c r="GH184" i="19"/>
  <c r="HL222" i="19"/>
  <c r="GG240" i="19"/>
  <c r="BE231" i="21"/>
  <c r="BX225" i="21"/>
  <c r="HJ83" i="19"/>
  <c r="GO83" i="19"/>
  <c r="BE287" i="21"/>
  <c r="BX281" i="21"/>
  <c r="BF125" i="21"/>
  <c r="BG125" i="21" s="1"/>
  <c r="BH125" i="21" s="1"/>
  <c r="FD410" i="19"/>
  <c r="DZ372" i="19"/>
  <c r="DY428" i="19"/>
  <c r="P170" i="21"/>
  <c r="E138" i="21"/>
  <c r="IE83" i="19"/>
  <c r="N287" i="21"/>
  <c r="AH281" i="21"/>
  <c r="FS83" i="19"/>
  <c r="X125" i="21"/>
  <c r="Q125" i="21"/>
  <c r="U125" i="21"/>
  <c r="Y125" i="21"/>
  <c r="V125" i="21"/>
  <c r="S125" i="21"/>
  <c r="W125" i="21"/>
  <c r="Z125" i="21"/>
  <c r="HL410" i="19"/>
  <c r="GH372" i="19"/>
  <c r="GG428" i="19"/>
  <c r="FD432" i="19" l="1"/>
  <c r="FD454" i="19"/>
  <c r="FD476" i="19"/>
  <c r="HJ104" i="19"/>
  <c r="F192" i="21"/>
  <c r="X224" i="21"/>
  <c r="G199" i="21" s="1"/>
  <c r="Q224" i="21"/>
  <c r="G192" i="21" s="1"/>
  <c r="U224" i="21"/>
  <c r="D199" i="21" s="1"/>
  <c r="Y224" i="21"/>
  <c r="H199" i="21" s="1"/>
  <c r="V224" i="21"/>
  <c r="E199" i="21" s="1"/>
  <c r="S224" i="21"/>
  <c r="I192" i="21" s="1"/>
  <c r="R224" i="21"/>
  <c r="H192" i="21" s="1"/>
  <c r="Z224" i="21"/>
  <c r="I199" i="21" s="1"/>
  <c r="W224" i="21"/>
  <c r="F199" i="21" s="1"/>
  <c r="E63" i="21"/>
  <c r="AC63" i="21" s="1"/>
  <c r="N39" i="5" s="1"/>
  <c r="AW70" i="21"/>
  <c r="BY281" i="21"/>
  <c r="BF287" i="21"/>
  <c r="BY225" i="21"/>
  <c r="BF231" i="21"/>
  <c r="HJ184" i="19"/>
  <c r="HX184" i="19"/>
  <c r="GV184" i="19"/>
  <c r="AW65" i="21"/>
  <c r="E62" i="21"/>
  <c r="AC62" i="21" s="1"/>
  <c r="N38" i="5" s="1"/>
  <c r="HJ372" i="19"/>
  <c r="HX372" i="19"/>
  <c r="GV372" i="19"/>
  <c r="AI281" i="21"/>
  <c r="O287" i="21"/>
  <c r="F138" i="21"/>
  <c r="X170" i="21"/>
  <c r="G145" i="21" s="1"/>
  <c r="Q170" i="21"/>
  <c r="U170" i="21"/>
  <c r="D145" i="21" s="1"/>
  <c r="Y170" i="21"/>
  <c r="H145" i="21" s="1"/>
  <c r="V170" i="21"/>
  <c r="E145" i="21" s="1"/>
  <c r="R170" i="21"/>
  <c r="H138" i="21" s="1"/>
  <c r="Z170" i="21"/>
  <c r="I145" i="21" s="1"/>
  <c r="W170" i="21"/>
  <c r="F145" i="21" s="1"/>
  <c r="S170" i="21"/>
  <c r="I138" i="21" s="1"/>
  <c r="BI125" i="21"/>
  <c r="BN125" i="21"/>
  <c r="BR125" i="21"/>
  <c r="BJ125" i="21"/>
  <c r="BO125" i="21"/>
  <c r="BP125" i="21"/>
  <c r="BK125" i="21"/>
  <c r="BQ125" i="21"/>
  <c r="BM125" i="21"/>
  <c r="GG262" i="19"/>
  <c r="GG284" i="19"/>
  <c r="GG306" i="19"/>
  <c r="E60" i="21"/>
  <c r="AC60" i="21" s="1"/>
  <c r="N36" i="5" s="1"/>
  <c r="AW54" i="21"/>
  <c r="FB184" i="19"/>
  <c r="FP184" i="19"/>
  <c r="EN184" i="19"/>
  <c r="F248" i="21"/>
  <c r="X280" i="21"/>
  <c r="G255" i="21" s="1"/>
  <c r="Q280" i="21"/>
  <c r="U280" i="21"/>
  <c r="D255" i="21" s="1"/>
  <c r="Y280" i="21"/>
  <c r="H255" i="21" s="1"/>
  <c r="S280" i="21"/>
  <c r="I248" i="21" s="1"/>
  <c r="W280" i="21"/>
  <c r="F255" i="21" s="1"/>
  <c r="V280" i="21"/>
  <c r="E255" i="21" s="1"/>
  <c r="R280" i="21"/>
  <c r="H248" i="21" s="1"/>
  <c r="Z280" i="21"/>
  <c r="I255" i="21" s="1"/>
  <c r="GG450" i="19"/>
  <c r="GG472" i="19"/>
  <c r="GG494" i="19"/>
  <c r="FS104" i="19"/>
  <c r="AW60" i="21"/>
  <c r="E61" i="21"/>
  <c r="AC61" i="21" s="1"/>
  <c r="N37" i="5" s="1"/>
  <c r="R118" i="21"/>
  <c r="H86" i="21" s="1"/>
  <c r="V118" i="21"/>
  <c r="E93" i="21" s="1"/>
  <c r="Z118" i="21"/>
  <c r="I93" i="21" s="1"/>
  <c r="S118" i="21"/>
  <c r="I86" i="21" s="1"/>
  <c r="W118" i="21"/>
  <c r="F93" i="21" s="1"/>
  <c r="F86" i="21"/>
  <c r="U118" i="21"/>
  <c r="D93" i="21" s="1"/>
  <c r="Q118" i="21"/>
  <c r="G86" i="21" s="1"/>
  <c r="Y118" i="21"/>
  <c r="H93" i="21" s="1"/>
  <c r="X118" i="21"/>
  <c r="G93" i="21" s="1"/>
  <c r="IE104" i="19"/>
  <c r="FB372" i="19"/>
  <c r="FP372" i="19"/>
  <c r="EN372" i="19"/>
  <c r="AI171" i="21"/>
  <c r="O177" i="21"/>
  <c r="FD244" i="19"/>
  <c r="FD266" i="19"/>
  <c r="FD288" i="19"/>
  <c r="HL432" i="19"/>
  <c r="HL454" i="19"/>
  <c r="HL476" i="19"/>
  <c r="DY450" i="19"/>
  <c r="DY472" i="19"/>
  <c r="DY494" i="19"/>
  <c r="GO104" i="19"/>
  <c r="HL244" i="19"/>
  <c r="HL266" i="19"/>
  <c r="HL288" i="19"/>
  <c r="DY262" i="19"/>
  <c r="DY284" i="19"/>
  <c r="DY306" i="19"/>
  <c r="AI225" i="21"/>
  <c r="O231" i="21"/>
  <c r="BY171" i="21"/>
  <c r="BZ171" i="21" s="1"/>
  <c r="CB171" i="21" s="1"/>
  <c r="BF177" i="21"/>
  <c r="T36" i="5" l="1"/>
  <c r="I41" i="5" s="1"/>
  <c r="AA280" i="21"/>
  <c r="AA170" i="21"/>
  <c r="AA125" i="21"/>
  <c r="T125" i="21"/>
  <c r="T224" i="21"/>
  <c r="AN225" i="21"/>
  <c r="U231" i="21" s="1"/>
  <c r="AR225" i="21"/>
  <c r="Y231" i="21" s="1"/>
  <c r="P231" i="21"/>
  <c r="AJ225" i="21"/>
  <c r="Q231" i="21" s="1"/>
  <c r="AO225" i="21"/>
  <c r="V231" i="21" s="1"/>
  <c r="AS225" i="21"/>
  <c r="Z231" i="21" s="1"/>
  <c r="AQ225" i="21"/>
  <c r="X231" i="21" s="1"/>
  <c r="AP225" i="21"/>
  <c r="W231" i="21" s="1"/>
  <c r="AL225" i="21"/>
  <c r="S231" i="21" s="1"/>
  <c r="AK225" i="21"/>
  <c r="R231" i="21" s="1"/>
  <c r="BG54" i="21"/>
  <c r="P60" i="21"/>
  <c r="BH70" i="21"/>
  <c r="Q63" i="21"/>
  <c r="AL63" i="21" s="1"/>
  <c r="AN281" i="21"/>
  <c r="U287" i="21" s="1"/>
  <c r="AR281" i="21"/>
  <c r="Y287" i="21" s="1"/>
  <c r="P287" i="21"/>
  <c r="AJ281" i="21"/>
  <c r="Q287" i="21" s="1"/>
  <c r="AO281" i="21"/>
  <c r="V287" i="21" s="1"/>
  <c r="AS281" i="21"/>
  <c r="Z287" i="21" s="1"/>
  <c r="AL281" i="21"/>
  <c r="S287" i="21" s="1"/>
  <c r="AK281" i="21"/>
  <c r="R287" i="21" s="1"/>
  <c r="AQ281" i="21"/>
  <c r="X287" i="21" s="1"/>
  <c r="AP281" i="21"/>
  <c r="W287" i="21" s="1"/>
  <c r="BL65" i="21"/>
  <c r="U62" i="21"/>
  <c r="AP62" i="21" s="1"/>
  <c r="R45" i="5" s="1"/>
  <c r="I60" i="21"/>
  <c r="AG60" i="21" s="1"/>
  <c r="R36" i="5" s="1"/>
  <c r="BA54" i="21"/>
  <c r="BK70" i="21"/>
  <c r="T63" i="21"/>
  <c r="AO63" i="21" s="1"/>
  <c r="Q46" i="5" s="1"/>
  <c r="P61" i="21"/>
  <c r="BG60" i="21"/>
  <c r="BH65" i="21"/>
  <c r="Q62" i="21"/>
  <c r="AL62" i="21" s="1"/>
  <c r="BG177" i="21"/>
  <c r="EA239" i="19"/>
  <c r="EA241" i="19" s="1"/>
  <c r="EA242" i="19" s="1"/>
  <c r="EE239" i="19"/>
  <c r="EE241" i="19" s="1"/>
  <c r="EE242" i="19" s="1"/>
  <c r="EI239" i="19"/>
  <c r="EI241" i="19" s="1"/>
  <c r="EI242" i="19" s="1"/>
  <c r="EM239" i="19"/>
  <c r="EM241" i="19" s="1"/>
  <c r="EM242" i="19" s="1"/>
  <c r="EQ239" i="19"/>
  <c r="EQ241" i="19" s="1"/>
  <c r="EQ242" i="19" s="1"/>
  <c r="EU239" i="19"/>
  <c r="EU241" i="19" s="1"/>
  <c r="EU242" i="19" s="1"/>
  <c r="EY239" i="19"/>
  <c r="EY241" i="19" s="1"/>
  <c r="EY242" i="19" s="1"/>
  <c r="EA240" i="19"/>
  <c r="EE240" i="19"/>
  <c r="EI240" i="19"/>
  <c r="EM240" i="19"/>
  <c r="EQ240" i="19"/>
  <c r="EU240" i="19"/>
  <c r="EY240" i="19"/>
  <c r="EA261" i="19"/>
  <c r="EE261" i="19"/>
  <c r="EE263" i="19" s="1"/>
  <c r="EE264" i="19" s="1"/>
  <c r="EI261" i="19"/>
  <c r="EI263" i="19" s="1"/>
  <c r="EI264" i="19" s="1"/>
  <c r="EM261" i="19"/>
  <c r="EM263" i="19" s="1"/>
  <c r="EM264" i="19" s="1"/>
  <c r="EQ261" i="19"/>
  <c r="EQ263" i="19" s="1"/>
  <c r="EQ264" i="19" s="1"/>
  <c r="EU261" i="19"/>
  <c r="EU263" i="19" s="1"/>
  <c r="EU264" i="19" s="1"/>
  <c r="EY261" i="19"/>
  <c r="EY263" i="19" s="1"/>
  <c r="EY264" i="19" s="1"/>
  <c r="EA262" i="19"/>
  <c r="EE262" i="19"/>
  <c r="EI262" i="19"/>
  <c r="EM262" i="19"/>
  <c r="EQ262" i="19"/>
  <c r="EU262" i="19"/>
  <c r="EY262" i="19"/>
  <c r="EA283" i="19"/>
  <c r="EE283" i="19"/>
  <c r="EE285" i="19" s="1"/>
  <c r="EE286" i="19" s="1"/>
  <c r="EI283" i="19"/>
  <c r="EI285" i="19" s="1"/>
  <c r="EI286" i="19" s="1"/>
  <c r="EM283" i="19"/>
  <c r="EM285" i="19" s="1"/>
  <c r="EM286" i="19" s="1"/>
  <c r="EQ283" i="19"/>
  <c r="EQ285" i="19" s="1"/>
  <c r="EQ286" i="19" s="1"/>
  <c r="EU283" i="19"/>
  <c r="EU285" i="19" s="1"/>
  <c r="EU286" i="19" s="1"/>
  <c r="EY283" i="19"/>
  <c r="EY285" i="19" s="1"/>
  <c r="EY286" i="19" s="1"/>
  <c r="EA284" i="19"/>
  <c r="EE284" i="19"/>
  <c r="EI284" i="19"/>
  <c r="EM284" i="19"/>
  <c r="EQ284" i="19"/>
  <c r="EU284" i="19"/>
  <c r="EY284" i="19"/>
  <c r="EA305" i="19"/>
  <c r="EE305" i="19"/>
  <c r="EI305" i="19"/>
  <c r="EM305" i="19"/>
  <c r="EM307" i="19" s="1"/>
  <c r="EM308" i="19" s="1"/>
  <c r="EQ305" i="19"/>
  <c r="EQ307" i="19" s="1"/>
  <c r="EQ308" i="19" s="1"/>
  <c r="EU305" i="19"/>
  <c r="EU307" i="19" s="1"/>
  <c r="EU308" i="19" s="1"/>
  <c r="EY305" i="19"/>
  <c r="EY307" i="19" s="1"/>
  <c r="EY308" i="19" s="1"/>
  <c r="EA306" i="19"/>
  <c r="EE306" i="19"/>
  <c r="EI306" i="19"/>
  <c r="EM306" i="19"/>
  <c r="EQ306" i="19"/>
  <c r="EU306" i="19"/>
  <c r="EY306" i="19"/>
  <c r="EB239" i="19"/>
  <c r="EB241" i="19" s="1"/>
  <c r="EB242" i="19" s="1"/>
  <c r="EF239" i="19"/>
  <c r="EF241" i="19" s="1"/>
  <c r="EF242" i="19" s="1"/>
  <c r="EJ239" i="19"/>
  <c r="EJ241" i="19" s="1"/>
  <c r="EJ242" i="19" s="1"/>
  <c r="EN239" i="19"/>
  <c r="EN241" i="19" s="1"/>
  <c r="EN242" i="19" s="1"/>
  <c r="ER239" i="19"/>
  <c r="ER241" i="19" s="1"/>
  <c r="ER242" i="19" s="1"/>
  <c r="EV239" i="19"/>
  <c r="EV241" i="19" s="1"/>
  <c r="EV242" i="19" s="1"/>
  <c r="EZ239" i="19"/>
  <c r="EZ241" i="19" s="1"/>
  <c r="EZ242" i="19" s="1"/>
  <c r="EB240" i="19"/>
  <c r="EF240" i="19"/>
  <c r="EJ240" i="19"/>
  <c r="EN240" i="19"/>
  <c r="ER240" i="19"/>
  <c r="EV240" i="19"/>
  <c r="EZ240" i="19"/>
  <c r="EB261" i="19"/>
  <c r="EB263" i="19" s="1"/>
  <c r="EB264" i="19" s="1"/>
  <c r="EF261" i="19"/>
  <c r="EF263" i="19" s="1"/>
  <c r="EF264" i="19" s="1"/>
  <c r="EJ261" i="19"/>
  <c r="EJ263" i="19" s="1"/>
  <c r="EJ264" i="19" s="1"/>
  <c r="EN261" i="19"/>
  <c r="EN263" i="19" s="1"/>
  <c r="EN264" i="19" s="1"/>
  <c r="ER261" i="19"/>
  <c r="ER263" i="19" s="1"/>
  <c r="ER264" i="19" s="1"/>
  <c r="EV261" i="19"/>
  <c r="EV263" i="19" s="1"/>
  <c r="EV264" i="19" s="1"/>
  <c r="EZ261" i="19"/>
  <c r="EZ263" i="19" s="1"/>
  <c r="EZ264" i="19" s="1"/>
  <c r="EB262" i="19"/>
  <c r="EF262" i="19"/>
  <c r="EJ262" i="19"/>
  <c r="EN262" i="19"/>
  <c r="ER262" i="19"/>
  <c r="EV262" i="19"/>
  <c r="EZ262" i="19"/>
  <c r="EB283" i="19"/>
  <c r="EF283" i="19"/>
  <c r="EF285" i="19" s="1"/>
  <c r="EF286" i="19" s="1"/>
  <c r="EJ283" i="19"/>
  <c r="EJ285" i="19" s="1"/>
  <c r="EJ286" i="19" s="1"/>
  <c r="EN283" i="19"/>
  <c r="EN285" i="19" s="1"/>
  <c r="EN286" i="19" s="1"/>
  <c r="ER283" i="19"/>
  <c r="ER285" i="19" s="1"/>
  <c r="ER286" i="19" s="1"/>
  <c r="EV283" i="19"/>
  <c r="EV285" i="19" s="1"/>
  <c r="EV286" i="19" s="1"/>
  <c r="EZ283" i="19"/>
  <c r="EZ285" i="19" s="1"/>
  <c r="EZ286" i="19" s="1"/>
  <c r="EB284" i="19"/>
  <c r="EF284" i="19"/>
  <c r="EJ284" i="19"/>
  <c r="EN284" i="19"/>
  <c r="ER284" i="19"/>
  <c r="EV284" i="19"/>
  <c r="EZ284" i="19"/>
  <c r="EB305" i="19"/>
  <c r="EF305" i="19"/>
  <c r="EJ305" i="19"/>
  <c r="EN305" i="19"/>
  <c r="EN307" i="19" s="1"/>
  <c r="EN308" i="19" s="1"/>
  <c r="ER305" i="19"/>
  <c r="ER307" i="19" s="1"/>
  <c r="ER308" i="19" s="1"/>
  <c r="EV305" i="19"/>
  <c r="EV307" i="19" s="1"/>
  <c r="EV308" i="19" s="1"/>
  <c r="EZ305" i="19"/>
  <c r="EZ307" i="19" s="1"/>
  <c r="EZ308" i="19" s="1"/>
  <c r="EB306" i="19"/>
  <c r="EF306" i="19"/>
  <c r="EJ306" i="19"/>
  <c r="EN306" i="19"/>
  <c r="ER306" i="19"/>
  <c r="EV306" i="19"/>
  <c r="EZ306" i="19"/>
  <c r="EG239" i="19"/>
  <c r="EG241" i="19" s="1"/>
  <c r="EG242" i="19" s="1"/>
  <c r="EO239" i="19"/>
  <c r="EO241" i="19" s="1"/>
  <c r="EO242" i="19" s="1"/>
  <c r="EW239" i="19"/>
  <c r="EW241" i="19" s="1"/>
  <c r="EW242" i="19" s="1"/>
  <c r="EG240" i="19"/>
  <c r="EO240" i="19"/>
  <c r="EW240" i="19"/>
  <c r="EG261" i="19"/>
  <c r="EG263" i="19" s="1"/>
  <c r="EG264" i="19" s="1"/>
  <c r="EO261" i="19"/>
  <c r="EO263" i="19" s="1"/>
  <c r="EO264" i="19" s="1"/>
  <c r="EW261" i="19"/>
  <c r="EW263" i="19" s="1"/>
  <c r="EW264" i="19" s="1"/>
  <c r="EG262" i="19"/>
  <c r="EO262" i="19"/>
  <c r="EW262" i="19"/>
  <c r="EG283" i="19"/>
  <c r="EG285" i="19" s="1"/>
  <c r="EG286" i="19" s="1"/>
  <c r="EO283" i="19"/>
  <c r="EO285" i="19" s="1"/>
  <c r="EO286" i="19" s="1"/>
  <c r="EW283" i="19"/>
  <c r="EW285" i="19" s="1"/>
  <c r="EW286" i="19" s="1"/>
  <c r="EG284" i="19"/>
  <c r="EO284" i="19"/>
  <c r="EW284" i="19"/>
  <c r="EG305" i="19"/>
  <c r="EO305" i="19"/>
  <c r="EO307" i="19" s="1"/>
  <c r="EO308" i="19" s="1"/>
  <c r="EW305" i="19"/>
  <c r="EW307" i="19" s="1"/>
  <c r="EW308" i="19" s="1"/>
  <c r="EG306" i="19"/>
  <c r="EO306" i="19"/>
  <c r="EW306" i="19"/>
  <c r="EH239" i="19"/>
  <c r="EH241" i="19" s="1"/>
  <c r="EH242" i="19" s="1"/>
  <c r="EP239" i="19"/>
  <c r="EP241" i="19" s="1"/>
  <c r="EP242" i="19" s="1"/>
  <c r="EX239" i="19"/>
  <c r="EX241" i="19" s="1"/>
  <c r="EX242" i="19" s="1"/>
  <c r="EH240" i="19"/>
  <c r="EP240" i="19"/>
  <c r="EX240" i="19"/>
  <c r="EH261" i="19"/>
  <c r="EH263" i="19" s="1"/>
  <c r="EH264" i="19" s="1"/>
  <c r="EP261" i="19"/>
  <c r="EP263" i="19" s="1"/>
  <c r="EP264" i="19" s="1"/>
  <c r="EX261" i="19"/>
  <c r="EX263" i="19" s="1"/>
  <c r="EX264" i="19" s="1"/>
  <c r="EH262" i="19"/>
  <c r="EP262" i="19"/>
  <c r="EX262" i="19"/>
  <c r="EH283" i="19"/>
  <c r="EH285" i="19" s="1"/>
  <c r="EH286" i="19" s="1"/>
  <c r="EP283" i="19"/>
  <c r="EP285" i="19" s="1"/>
  <c r="EP286" i="19" s="1"/>
  <c r="EX283" i="19"/>
  <c r="EX285" i="19" s="1"/>
  <c r="EX286" i="19" s="1"/>
  <c r="EH284" i="19"/>
  <c r="EP284" i="19"/>
  <c r="EX284" i="19"/>
  <c r="EH305" i="19"/>
  <c r="EP305" i="19"/>
  <c r="EP307" i="19" s="1"/>
  <c r="EP308" i="19" s="1"/>
  <c r="EX305" i="19"/>
  <c r="EX307" i="19" s="1"/>
  <c r="EX308" i="19" s="1"/>
  <c r="EH306" i="19"/>
  <c r="EP306" i="19"/>
  <c r="EX306" i="19"/>
  <c r="EC239" i="19"/>
  <c r="EC241" i="19" s="1"/>
  <c r="EC242" i="19" s="1"/>
  <c r="ES239" i="19"/>
  <c r="ES241" i="19" s="1"/>
  <c r="ES242" i="19" s="1"/>
  <c r="EK240" i="19"/>
  <c r="FA240" i="19"/>
  <c r="EC261" i="19"/>
  <c r="EC263" i="19" s="1"/>
  <c r="EC264" i="19" s="1"/>
  <c r="ES261" i="19"/>
  <c r="ES263" i="19" s="1"/>
  <c r="ES264" i="19" s="1"/>
  <c r="EK262" i="19"/>
  <c r="FA262" i="19"/>
  <c r="EC283" i="19"/>
  <c r="ES283" i="19"/>
  <c r="ES285" i="19" s="1"/>
  <c r="ES286" i="19" s="1"/>
  <c r="EK284" i="19"/>
  <c r="FA284" i="19"/>
  <c r="EC305" i="19"/>
  <c r="ES305" i="19"/>
  <c r="ES307" i="19" s="1"/>
  <c r="ES308" i="19" s="1"/>
  <c r="EK306" i="19"/>
  <c r="FA306" i="19"/>
  <c r="EL239" i="19"/>
  <c r="EL241" i="19" s="1"/>
  <c r="EL242" i="19" s="1"/>
  <c r="ED240" i="19"/>
  <c r="ED262" i="19"/>
  <c r="EL283" i="19"/>
  <c r="EL285" i="19" s="1"/>
  <c r="EL286" i="19" s="1"/>
  <c r="ET284" i="19"/>
  <c r="EL305" i="19"/>
  <c r="EL307" i="19" s="1"/>
  <c r="EL308" i="19" s="1"/>
  <c r="ED306" i="19"/>
  <c r="EK239" i="19"/>
  <c r="EK241" i="19" s="1"/>
  <c r="EK242" i="19" s="1"/>
  <c r="ES240" i="19"/>
  <c r="EK261" i="19"/>
  <c r="EK263" i="19" s="1"/>
  <c r="EK264" i="19" s="1"/>
  <c r="ES262" i="19"/>
  <c r="EK283" i="19"/>
  <c r="EK285" i="19" s="1"/>
  <c r="EK286" i="19" s="1"/>
  <c r="ES284" i="19"/>
  <c r="EK305" i="19"/>
  <c r="ES306" i="19"/>
  <c r="ED239" i="19"/>
  <c r="ED241" i="19" s="1"/>
  <c r="ED242" i="19" s="1"/>
  <c r="ET239" i="19"/>
  <c r="ET241" i="19" s="1"/>
  <c r="ET242" i="19" s="1"/>
  <c r="EL240" i="19"/>
  <c r="ED261" i="19"/>
  <c r="ED263" i="19" s="1"/>
  <c r="ED264" i="19" s="1"/>
  <c r="ET261" i="19"/>
  <c r="ET263" i="19" s="1"/>
  <c r="ET264" i="19" s="1"/>
  <c r="EL262" i="19"/>
  <c r="ED283" i="19"/>
  <c r="ET283" i="19"/>
  <c r="ET285" i="19" s="1"/>
  <c r="ET286" i="19" s="1"/>
  <c r="EL284" i="19"/>
  <c r="ED305" i="19"/>
  <c r="ET305" i="19"/>
  <c r="ET307" i="19" s="1"/>
  <c r="ET308" i="19" s="1"/>
  <c r="EL306" i="19"/>
  <c r="ET240" i="19"/>
  <c r="EL261" i="19"/>
  <c r="EL263" i="19" s="1"/>
  <c r="EL264" i="19" s="1"/>
  <c r="ET262" i="19"/>
  <c r="ED284" i="19"/>
  <c r="ET306" i="19"/>
  <c r="FA239" i="19"/>
  <c r="FA241" i="19" s="1"/>
  <c r="FA242" i="19" s="1"/>
  <c r="EC240" i="19"/>
  <c r="FA261" i="19"/>
  <c r="FA263" i="19" s="1"/>
  <c r="FA264" i="19" s="1"/>
  <c r="EC262" i="19"/>
  <c r="FA283" i="19"/>
  <c r="FA285" i="19" s="1"/>
  <c r="FA286" i="19" s="1"/>
  <c r="EC284" i="19"/>
  <c r="FA305" i="19"/>
  <c r="FA307" i="19" s="1"/>
  <c r="FA308" i="19" s="1"/>
  <c r="EC306" i="19"/>
  <c r="EA427" i="19"/>
  <c r="EE427" i="19"/>
  <c r="EI427" i="19"/>
  <c r="EM427" i="19"/>
  <c r="EQ427" i="19"/>
  <c r="EU427" i="19"/>
  <c r="EY427" i="19"/>
  <c r="EA428" i="19"/>
  <c r="EE428" i="19"/>
  <c r="EI428" i="19"/>
  <c r="EM428" i="19"/>
  <c r="EQ428" i="19"/>
  <c r="EU428" i="19"/>
  <c r="EY428" i="19"/>
  <c r="EA449" i="19"/>
  <c r="EE449" i="19"/>
  <c r="EI449" i="19"/>
  <c r="EM449" i="19"/>
  <c r="EQ449" i="19"/>
  <c r="EU449" i="19"/>
  <c r="EY449" i="19"/>
  <c r="EA450" i="19"/>
  <c r="EE450" i="19"/>
  <c r="EI450" i="19"/>
  <c r="EM450" i="19"/>
  <c r="EQ450" i="19"/>
  <c r="EU450" i="19"/>
  <c r="EY450" i="19"/>
  <c r="EA471" i="19"/>
  <c r="EE471" i="19"/>
  <c r="EI471" i="19"/>
  <c r="EM471" i="19"/>
  <c r="EQ471" i="19"/>
  <c r="EU471" i="19"/>
  <c r="EY471" i="19"/>
  <c r="EA472" i="19"/>
  <c r="EE472" i="19"/>
  <c r="EI472" i="19"/>
  <c r="EM472" i="19"/>
  <c r="EQ472" i="19"/>
  <c r="EU472" i="19"/>
  <c r="EY472" i="19"/>
  <c r="EA493" i="19"/>
  <c r="EE493" i="19"/>
  <c r="EI493" i="19"/>
  <c r="EM493" i="19"/>
  <c r="EQ493" i="19"/>
  <c r="EU493" i="19"/>
  <c r="EY493" i="19"/>
  <c r="EA494" i="19"/>
  <c r="EE494" i="19"/>
  <c r="EI494" i="19"/>
  <c r="EM494" i="19"/>
  <c r="EQ494" i="19"/>
  <c r="EU494" i="19"/>
  <c r="EY494" i="19"/>
  <c r="EB427" i="19"/>
  <c r="EF427" i="19"/>
  <c r="EJ427" i="19"/>
  <c r="EN427" i="19"/>
  <c r="ER427" i="19"/>
  <c r="EV427" i="19"/>
  <c r="EZ427" i="19"/>
  <c r="EB428" i="19"/>
  <c r="EF428" i="19"/>
  <c r="EJ428" i="19"/>
  <c r="EN428" i="19"/>
  <c r="ER428" i="19"/>
  <c r="EV428" i="19"/>
  <c r="EZ428" i="19"/>
  <c r="EB449" i="19"/>
  <c r="EF449" i="19"/>
  <c r="EJ449" i="19"/>
  <c r="EN449" i="19"/>
  <c r="ER449" i="19"/>
  <c r="EV449" i="19"/>
  <c r="EZ449" i="19"/>
  <c r="EB450" i="19"/>
  <c r="EF450" i="19"/>
  <c r="EJ450" i="19"/>
  <c r="EN450" i="19"/>
  <c r="ER450" i="19"/>
  <c r="EV450" i="19"/>
  <c r="EZ450" i="19"/>
  <c r="EB471" i="19"/>
  <c r="EF471" i="19"/>
  <c r="EJ471" i="19"/>
  <c r="EN471" i="19"/>
  <c r="ER471" i="19"/>
  <c r="EV471" i="19"/>
  <c r="EZ471" i="19"/>
  <c r="EB472" i="19"/>
  <c r="EF472" i="19"/>
  <c r="EJ472" i="19"/>
  <c r="EN472" i="19"/>
  <c r="ER472" i="19"/>
  <c r="EV472" i="19"/>
  <c r="EZ472" i="19"/>
  <c r="EB493" i="19"/>
  <c r="EF493" i="19"/>
  <c r="EJ493" i="19"/>
  <c r="EN493" i="19"/>
  <c r="ER493" i="19"/>
  <c r="EV493" i="19"/>
  <c r="EZ493" i="19"/>
  <c r="EB494" i="19"/>
  <c r="EF494" i="19"/>
  <c r="EJ494" i="19"/>
  <c r="EN494" i="19"/>
  <c r="ER494" i="19"/>
  <c r="EV494" i="19"/>
  <c r="EZ494" i="19"/>
  <c r="EC427" i="19"/>
  <c r="EK427" i="19"/>
  <c r="ES427" i="19"/>
  <c r="FA427" i="19"/>
  <c r="EC428" i="19"/>
  <c r="EK428" i="19"/>
  <c r="ES428" i="19"/>
  <c r="FA428" i="19"/>
  <c r="EC449" i="19"/>
  <c r="EK449" i="19"/>
  <c r="ES449" i="19"/>
  <c r="FA449" i="19"/>
  <c r="EC450" i="19"/>
  <c r="EK450" i="19"/>
  <c r="ES450" i="19"/>
  <c r="FA450" i="19"/>
  <c r="EC471" i="19"/>
  <c r="EK471" i="19"/>
  <c r="ES471" i="19"/>
  <c r="FA471" i="19"/>
  <c r="EC472" i="19"/>
  <c r="EK472" i="19"/>
  <c r="ES472" i="19"/>
  <c r="FA472" i="19"/>
  <c r="EC493" i="19"/>
  <c r="EK493" i="19"/>
  <c r="ES493" i="19"/>
  <c r="FA493" i="19"/>
  <c r="EC494" i="19"/>
  <c r="EK494" i="19"/>
  <c r="ES494" i="19"/>
  <c r="FA494" i="19"/>
  <c r="EP427" i="19"/>
  <c r="EH428" i="19"/>
  <c r="EX428" i="19"/>
  <c r="EH449" i="19"/>
  <c r="EX449" i="19"/>
  <c r="EX451" i="19" s="1"/>
  <c r="EX452" i="19" s="1"/>
  <c r="EP450" i="19"/>
  <c r="EP471" i="19"/>
  <c r="EH472" i="19"/>
  <c r="EX472" i="19"/>
  <c r="EH493" i="19"/>
  <c r="EX493" i="19"/>
  <c r="EP494" i="19"/>
  <c r="EO427" i="19"/>
  <c r="EG428" i="19"/>
  <c r="EW428" i="19"/>
  <c r="EO449" i="19"/>
  <c r="EG450" i="19"/>
  <c r="EW450" i="19"/>
  <c r="EO471" i="19"/>
  <c r="EG472" i="19"/>
  <c r="EO472" i="19"/>
  <c r="EO493" i="19"/>
  <c r="EG494" i="19"/>
  <c r="EW494" i="19"/>
  <c r="ED427" i="19"/>
  <c r="EL427" i="19"/>
  <c r="ET427" i="19"/>
  <c r="ED428" i="19"/>
  <c r="EL428" i="19"/>
  <c r="ET428" i="19"/>
  <c r="ED449" i="19"/>
  <c r="EL449" i="19"/>
  <c r="ET449" i="19"/>
  <c r="ED450" i="19"/>
  <c r="EL450" i="19"/>
  <c r="ET450" i="19"/>
  <c r="ED471" i="19"/>
  <c r="EL471" i="19"/>
  <c r="ET471" i="19"/>
  <c r="ED472" i="19"/>
  <c r="EL472" i="19"/>
  <c r="ET472" i="19"/>
  <c r="ED493" i="19"/>
  <c r="EL493" i="19"/>
  <c r="ET493" i="19"/>
  <c r="ED494" i="19"/>
  <c r="EL494" i="19"/>
  <c r="ET494" i="19"/>
  <c r="EH427" i="19"/>
  <c r="EX427" i="19"/>
  <c r="EP428" i="19"/>
  <c r="EP449" i="19"/>
  <c r="EH450" i="19"/>
  <c r="EX450" i="19"/>
  <c r="EH471" i="19"/>
  <c r="EX471" i="19"/>
  <c r="EP472" i="19"/>
  <c r="EP493" i="19"/>
  <c r="EH494" i="19"/>
  <c r="EX494" i="19"/>
  <c r="EG427" i="19"/>
  <c r="EW427" i="19"/>
  <c r="EO428" i="19"/>
  <c r="EG449" i="19"/>
  <c r="EW449" i="19"/>
  <c r="EW451" i="19" s="1"/>
  <c r="EW452" i="19" s="1"/>
  <c r="EO450" i="19"/>
  <c r="EG471" i="19"/>
  <c r="EW471" i="19"/>
  <c r="EW472" i="19"/>
  <c r="EG493" i="19"/>
  <c r="EW493" i="19"/>
  <c r="EO494" i="19"/>
  <c r="BJ54" i="21"/>
  <c r="S60" i="21"/>
  <c r="AN60" i="21" s="1"/>
  <c r="P43" i="5" s="1"/>
  <c r="AX54" i="21"/>
  <c r="F60" i="21"/>
  <c r="AD60" i="21" s="1"/>
  <c r="O36" i="5" s="1"/>
  <c r="C93" i="21"/>
  <c r="Q60" i="21"/>
  <c r="AL60" i="21" s="1"/>
  <c r="N43" i="5" s="1"/>
  <c r="BH54" i="21"/>
  <c r="GJ427" i="19"/>
  <c r="GN427" i="19"/>
  <c r="GR427" i="19"/>
  <c r="GV427" i="19"/>
  <c r="GZ427" i="19"/>
  <c r="HD427" i="19"/>
  <c r="HH427" i="19"/>
  <c r="GL428" i="19"/>
  <c r="GP428" i="19"/>
  <c r="GT428" i="19"/>
  <c r="GX428" i="19"/>
  <c r="HB428" i="19"/>
  <c r="HF428" i="19"/>
  <c r="GJ449" i="19"/>
  <c r="GN449" i="19"/>
  <c r="GR449" i="19"/>
  <c r="GV449" i="19"/>
  <c r="GZ449" i="19"/>
  <c r="HD449" i="19"/>
  <c r="HH449" i="19"/>
  <c r="GL450" i="19"/>
  <c r="GP450" i="19"/>
  <c r="GT450" i="19"/>
  <c r="GX450" i="19"/>
  <c r="HB450" i="19"/>
  <c r="HF450" i="19"/>
  <c r="GJ471" i="19"/>
  <c r="GN471" i="19"/>
  <c r="GR471" i="19"/>
  <c r="GV471" i="19"/>
  <c r="GZ471" i="19"/>
  <c r="HD471" i="19"/>
  <c r="HH471" i="19"/>
  <c r="GL472" i="19"/>
  <c r="GP472" i="19"/>
  <c r="GT472" i="19"/>
  <c r="GX472" i="19"/>
  <c r="HB472" i="19"/>
  <c r="HF472" i="19"/>
  <c r="GJ493" i="19"/>
  <c r="GN493" i="19"/>
  <c r="GR493" i="19"/>
  <c r="GV493" i="19"/>
  <c r="GZ493" i="19"/>
  <c r="HD493" i="19"/>
  <c r="HH493" i="19"/>
  <c r="HH495" i="19" s="1"/>
  <c r="HH496" i="19" s="1"/>
  <c r="GL494" i="19"/>
  <c r="GP494" i="19"/>
  <c r="GT494" i="19"/>
  <c r="GX494" i="19"/>
  <c r="HB494" i="19"/>
  <c r="HF494" i="19"/>
  <c r="GK427" i="19"/>
  <c r="GO427" i="19"/>
  <c r="GS427" i="19"/>
  <c r="GW427" i="19"/>
  <c r="HA427" i="19"/>
  <c r="HE427" i="19"/>
  <c r="HI427" i="19"/>
  <c r="GI428" i="19"/>
  <c r="GM428" i="19"/>
  <c r="GQ428" i="19"/>
  <c r="GU428" i="19"/>
  <c r="GY428" i="19"/>
  <c r="HC428" i="19"/>
  <c r="HG428" i="19"/>
  <c r="GK449" i="19"/>
  <c r="GO449" i="19"/>
  <c r="GS449" i="19"/>
  <c r="GW449" i="19"/>
  <c r="GW451" i="19" s="1"/>
  <c r="GW452" i="19" s="1"/>
  <c r="HA449" i="19"/>
  <c r="HE449" i="19"/>
  <c r="HI449" i="19"/>
  <c r="GI450" i="19"/>
  <c r="GM450" i="19"/>
  <c r="GQ450" i="19"/>
  <c r="GU450" i="19"/>
  <c r="GY450" i="19"/>
  <c r="HC450" i="19"/>
  <c r="HG450" i="19"/>
  <c r="GK471" i="19"/>
  <c r="GO471" i="19"/>
  <c r="GS471" i="19"/>
  <c r="GW471" i="19"/>
  <c r="HA471" i="19"/>
  <c r="HE471" i="19"/>
  <c r="HE473" i="19" s="1"/>
  <c r="HE474" i="19" s="1"/>
  <c r="HI471" i="19"/>
  <c r="GI472" i="19"/>
  <c r="GM472" i="19"/>
  <c r="GQ472" i="19"/>
  <c r="GU472" i="19"/>
  <c r="GY472" i="19"/>
  <c r="HC472" i="19"/>
  <c r="HG472" i="19"/>
  <c r="GK493" i="19"/>
  <c r="GO493" i="19"/>
  <c r="GS493" i="19"/>
  <c r="GW493" i="19"/>
  <c r="HA493" i="19"/>
  <c r="HE493" i="19"/>
  <c r="HI493" i="19"/>
  <c r="GI494" i="19"/>
  <c r="GM494" i="19"/>
  <c r="GQ494" i="19"/>
  <c r="GU494" i="19"/>
  <c r="GY494" i="19"/>
  <c r="HC494" i="19"/>
  <c r="HG494" i="19"/>
  <c r="GP427" i="19"/>
  <c r="GP429" i="19" s="1"/>
  <c r="GP430" i="19" s="1"/>
  <c r="GX427" i="19"/>
  <c r="HF427" i="19"/>
  <c r="GN428" i="19"/>
  <c r="GV428" i="19"/>
  <c r="HD428" i="19"/>
  <c r="GP449" i="19"/>
  <c r="GX449" i="19"/>
  <c r="GX451" i="19" s="1"/>
  <c r="GX452" i="19" s="1"/>
  <c r="HF449" i="19"/>
  <c r="GN450" i="19"/>
  <c r="GV450" i="19"/>
  <c r="HD450" i="19"/>
  <c r="GP471" i="19"/>
  <c r="GX471" i="19"/>
  <c r="HF471" i="19"/>
  <c r="HF473" i="19" s="1"/>
  <c r="HF474" i="19" s="1"/>
  <c r="GN472" i="19"/>
  <c r="GV472" i="19"/>
  <c r="HD472" i="19"/>
  <c r="GP493" i="19"/>
  <c r="GX493" i="19"/>
  <c r="HF493" i="19"/>
  <c r="HF495" i="19" s="1"/>
  <c r="HF496" i="19" s="1"/>
  <c r="GN494" i="19"/>
  <c r="GV494" i="19"/>
  <c r="HD494" i="19"/>
  <c r="GM427" i="19"/>
  <c r="GM429" i="19" s="1"/>
  <c r="GM430" i="19" s="1"/>
  <c r="HC427" i="19"/>
  <c r="GS428" i="19"/>
  <c r="HI428" i="19"/>
  <c r="GU449" i="19"/>
  <c r="GU451" i="19" s="1"/>
  <c r="GU452" i="19" s="1"/>
  <c r="GK450" i="19"/>
  <c r="HA450" i="19"/>
  <c r="GM471" i="19"/>
  <c r="HC471" i="19"/>
  <c r="HC473" i="19" s="1"/>
  <c r="HC474" i="19" s="1"/>
  <c r="GS472" i="19"/>
  <c r="HI472" i="19"/>
  <c r="GU493" i="19"/>
  <c r="GK494" i="19"/>
  <c r="GS494" i="19"/>
  <c r="HI494" i="19"/>
  <c r="GL427" i="19"/>
  <c r="HB427" i="19"/>
  <c r="GR428" i="19"/>
  <c r="HH428" i="19"/>
  <c r="GL449" i="19"/>
  <c r="HB449" i="19"/>
  <c r="HB451" i="19" s="1"/>
  <c r="HB452" i="19" s="1"/>
  <c r="GR450" i="19"/>
  <c r="HH450" i="19"/>
  <c r="GL471" i="19"/>
  <c r="HB471" i="19"/>
  <c r="GJ472" i="19"/>
  <c r="GZ472" i="19"/>
  <c r="GL493" i="19"/>
  <c r="HB493" i="19"/>
  <c r="GJ494" i="19"/>
  <c r="GZ494" i="19"/>
  <c r="GI427" i="19"/>
  <c r="GI429" i="19" s="1"/>
  <c r="GI430" i="19" s="1"/>
  <c r="GQ427" i="19"/>
  <c r="GY427" i="19"/>
  <c r="HG427" i="19"/>
  <c r="GO428" i="19"/>
  <c r="GW428" i="19"/>
  <c r="HE428" i="19"/>
  <c r="GI449" i="19"/>
  <c r="GQ449" i="19"/>
  <c r="GQ451" i="19" s="1"/>
  <c r="GQ452" i="19" s="1"/>
  <c r="GY449" i="19"/>
  <c r="HG449" i="19"/>
  <c r="HG451" i="19" s="1"/>
  <c r="HG452" i="19" s="1"/>
  <c r="GO450" i="19"/>
  <c r="GW450" i="19"/>
  <c r="HE450" i="19"/>
  <c r="GI471" i="19"/>
  <c r="GQ471" i="19"/>
  <c r="GY471" i="19"/>
  <c r="GY473" i="19" s="1"/>
  <c r="GY474" i="19" s="1"/>
  <c r="HG471" i="19"/>
  <c r="GO472" i="19"/>
  <c r="GW472" i="19"/>
  <c r="HE472" i="19"/>
  <c r="GI493" i="19"/>
  <c r="GQ493" i="19"/>
  <c r="GY493" i="19"/>
  <c r="HG493" i="19"/>
  <c r="HG495" i="19" s="1"/>
  <c r="HG496" i="19" s="1"/>
  <c r="GO494" i="19"/>
  <c r="GW494" i="19"/>
  <c r="HE494" i="19"/>
  <c r="GU427" i="19"/>
  <c r="GK428" i="19"/>
  <c r="HA428" i="19"/>
  <c r="GM449" i="19"/>
  <c r="GM451" i="19" s="1"/>
  <c r="GM452" i="19" s="1"/>
  <c r="HC449" i="19"/>
  <c r="GS450" i="19"/>
  <c r="HI450" i="19"/>
  <c r="GU471" i="19"/>
  <c r="GU473" i="19" s="1"/>
  <c r="GU474" i="19" s="1"/>
  <c r="GK472" i="19"/>
  <c r="HA472" i="19"/>
  <c r="GM493" i="19"/>
  <c r="HC493" i="19"/>
  <c r="HC495" i="19" s="1"/>
  <c r="HC496" i="19" s="1"/>
  <c r="HA494" i="19"/>
  <c r="GT427" i="19"/>
  <c r="GJ428" i="19"/>
  <c r="GZ428" i="19"/>
  <c r="GT449" i="19"/>
  <c r="GJ450" i="19"/>
  <c r="GZ450" i="19"/>
  <c r="GT471" i="19"/>
  <c r="GT473" i="19" s="1"/>
  <c r="GT474" i="19" s="1"/>
  <c r="GR472" i="19"/>
  <c r="HH472" i="19"/>
  <c r="GT493" i="19"/>
  <c r="GR494" i="19"/>
  <c r="HH494" i="19"/>
  <c r="R63" i="21"/>
  <c r="AM63" i="21" s="1"/>
  <c r="O46" i="5" s="1"/>
  <c r="BI70" i="21"/>
  <c r="G248" i="21"/>
  <c r="T280" i="21"/>
  <c r="BA60" i="21"/>
  <c r="I61" i="21"/>
  <c r="AG61" i="21" s="1"/>
  <c r="R37" i="5" s="1"/>
  <c r="BH60" i="21"/>
  <c r="Q61" i="21"/>
  <c r="AL61" i="21" s="1"/>
  <c r="S61" i="21"/>
  <c r="AN61" i="21" s="1"/>
  <c r="P44" i="5" s="1"/>
  <c r="BJ60" i="21"/>
  <c r="AZ65" i="21"/>
  <c r="H62" i="21"/>
  <c r="AF62" i="21" s="1"/>
  <c r="Q38" i="5" s="1"/>
  <c r="P62" i="21"/>
  <c r="BG65" i="21"/>
  <c r="T118" i="21"/>
  <c r="BL54" i="21"/>
  <c r="U60" i="21"/>
  <c r="AP60" i="21" s="1"/>
  <c r="R43" i="5" s="1"/>
  <c r="BG70" i="21"/>
  <c r="P63" i="21"/>
  <c r="AZ60" i="21"/>
  <c r="H61" i="21"/>
  <c r="AF61" i="21" s="1"/>
  <c r="Q37" i="5" s="1"/>
  <c r="G138" i="21"/>
  <c r="T170" i="21"/>
  <c r="BZ281" i="21"/>
  <c r="BG287" i="21"/>
  <c r="T62" i="21"/>
  <c r="AO62" i="21" s="1"/>
  <c r="Q45" i="5" s="1"/>
  <c r="BK65" i="21"/>
  <c r="F62" i="21"/>
  <c r="AD62" i="21" s="1"/>
  <c r="O38" i="5" s="1"/>
  <c r="C199" i="21"/>
  <c r="AX65" i="21"/>
  <c r="AY54" i="21"/>
  <c r="G60" i="21"/>
  <c r="AE60" i="21" s="1"/>
  <c r="P36" i="5" s="1"/>
  <c r="AZ70" i="21"/>
  <c r="H63" i="21"/>
  <c r="AF63" i="21" s="1"/>
  <c r="Q39" i="5" s="1"/>
  <c r="F63" i="21"/>
  <c r="AD63" i="21" s="1"/>
  <c r="O39" i="5" s="1"/>
  <c r="C255" i="21"/>
  <c r="AX70" i="21"/>
  <c r="BL60" i="21"/>
  <c r="U61" i="21"/>
  <c r="AP61" i="21" s="1"/>
  <c r="R44" i="5" s="1"/>
  <c r="BI65" i="21"/>
  <c r="R62" i="21"/>
  <c r="AM62" i="21" s="1"/>
  <c r="O45" i="5" s="1"/>
  <c r="S62" i="21"/>
  <c r="AN62" i="21" s="1"/>
  <c r="P45" i="5" s="1"/>
  <c r="BJ65" i="21"/>
  <c r="AN171" i="21"/>
  <c r="U177" i="21" s="1"/>
  <c r="AR171" i="21"/>
  <c r="Y177" i="21" s="1"/>
  <c r="P177" i="21"/>
  <c r="AJ171" i="21"/>
  <c r="Q177" i="21" s="1"/>
  <c r="AO171" i="21"/>
  <c r="V177" i="21" s="1"/>
  <c r="AS171" i="21"/>
  <c r="Z177" i="21" s="1"/>
  <c r="AK171" i="21"/>
  <c r="R177" i="21" s="1"/>
  <c r="AQ171" i="21"/>
  <c r="X177" i="21" s="1"/>
  <c r="AP171" i="21"/>
  <c r="W177" i="21" s="1"/>
  <c r="AL171" i="21"/>
  <c r="S177" i="21" s="1"/>
  <c r="BK54" i="21"/>
  <c r="T60" i="21"/>
  <c r="AO60" i="21" s="1"/>
  <c r="Q43" i="5" s="1"/>
  <c r="R60" i="21"/>
  <c r="AM60" i="21" s="1"/>
  <c r="O43" i="5" s="1"/>
  <c r="BI54" i="21"/>
  <c r="AZ54" i="21"/>
  <c r="H60" i="21"/>
  <c r="AF60" i="21" s="1"/>
  <c r="BL70" i="21"/>
  <c r="U63" i="21"/>
  <c r="AP63" i="21" s="1"/>
  <c r="R46" i="5" s="1"/>
  <c r="I63" i="21"/>
  <c r="AG63" i="21" s="1"/>
  <c r="R39" i="5" s="1"/>
  <c r="BA70" i="21"/>
  <c r="S63" i="21"/>
  <c r="AN63" i="21" s="1"/>
  <c r="P46" i="5" s="1"/>
  <c r="BJ70" i="21"/>
  <c r="GJ239" i="19"/>
  <c r="GJ241" i="19" s="1"/>
  <c r="GJ242" i="19" s="1"/>
  <c r="GN239" i="19"/>
  <c r="GN241" i="19" s="1"/>
  <c r="GN242" i="19" s="1"/>
  <c r="GR239" i="19"/>
  <c r="GR241" i="19" s="1"/>
  <c r="GR242" i="19" s="1"/>
  <c r="GV239" i="19"/>
  <c r="GV241" i="19" s="1"/>
  <c r="GV242" i="19" s="1"/>
  <c r="GZ239" i="19"/>
  <c r="GZ241" i="19" s="1"/>
  <c r="GZ242" i="19" s="1"/>
  <c r="HD239" i="19"/>
  <c r="HD241" i="19" s="1"/>
  <c r="HD242" i="19" s="1"/>
  <c r="HH239" i="19"/>
  <c r="HH241" i="19" s="1"/>
  <c r="HH242" i="19" s="1"/>
  <c r="GL240" i="19"/>
  <c r="GP240" i="19"/>
  <c r="GT240" i="19"/>
  <c r="GX240" i="19"/>
  <c r="HB240" i="19"/>
  <c r="HF240" i="19"/>
  <c r="GJ261" i="19"/>
  <c r="GJ263" i="19" s="1"/>
  <c r="GJ264" i="19" s="1"/>
  <c r="GN261" i="19"/>
  <c r="GN263" i="19" s="1"/>
  <c r="GN264" i="19" s="1"/>
  <c r="GR261" i="19"/>
  <c r="GR263" i="19" s="1"/>
  <c r="GR264" i="19" s="1"/>
  <c r="GV261" i="19"/>
  <c r="GV263" i="19" s="1"/>
  <c r="GV264" i="19" s="1"/>
  <c r="GZ261" i="19"/>
  <c r="GZ263" i="19" s="1"/>
  <c r="GZ264" i="19" s="1"/>
  <c r="HD261" i="19"/>
  <c r="HD263" i="19" s="1"/>
  <c r="HD264" i="19" s="1"/>
  <c r="HH261" i="19"/>
  <c r="HH263" i="19" s="1"/>
  <c r="HH264" i="19" s="1"/>
  <c r="GL262" i="19"/>
  <c r="GP262" i="19"/>
  <c r="GT262" i="19"/>
  <c r="GX262" i="19"/>
  <c r="HB262" i="19"/>
  <c r="HF262" i="19"/>
  <c r="GJ283" i="19"/>
  <c r="GN283" i="19"/>
  <c r="GN285" i="19" s="1"/>
  <c r="GN286" i="19" s="1"/>
  <c r="GR283" i="19"/>
  <c r="GR285" i="19" s="1"/>
  <c r="GR286" i="19" s="1"/>
  <c r="GV283" i="19"/>
  <c r="GV285" i="19" s="1"/>
  <c r="GV286" i="19" s="1"/>
  <c r="GZ283" i="19"/>
  <c r="GZ285" i="19" s="1"/>
  <c r="GZ286" i="19" s="1"/>
  <c r="HD283" i="19"/>
  <c r="HD285" i="19" s="1"/>
  <c r="HD286" i="19" s="1"/>
  <c r="HH283" i="19"/>
  <c r="HH285" i="19" s="1"/>
  <c r="HH286" i="19" s="1"/>
  <c r="GL284" i="19"/>
  <c r="GP284" i="19"/>
  <c r="GT284" i="19"/>
  <c r="GX284" i="19"/>
  <c r="HB284" i="19"/>
  <c r="HF284" i="19"/>
  <c r="GJ305" i="19"/>
  <c r="GN305" i="19"/>
  <c r="GR305" i="19"/>
  <c r="GV305" i="19"/>
  <c r="GV307" i="19" s="1"/>
  <c r="GV308" i="19" s="1"/>
  <c r="GZ305" i="19"/>
  <c r="GZ307" i="19" s="1"/>
  <c r="GZ308" i="19" s="1"/>
  <c r="HD305" i="19"/>
  <c r="HD307" i="19" s="1"/>
  <c r="HD308" i="19" s="1"/>
  <c r="HH305" i="19"/>
  <c r="HH307" i="19" s="1"/>
  <c r="HH308" i="19" s="1"/>
  <c r="GL306" i="19"/>
  <c r="GP306" i="19"/>
  <c r="GT306" i="19"/>
  <c r="GK239" i="19"/>
  <c r="GK241" i="19" s="1"/>
  <c r="GK242" i="19" s="1"/>
  <c r="GO239" i="19"/>
  <c r="GO241" i="19" s="1"/>
  <c r="GO242" i="19" s="1"/>
  <c r="GS239" i="19"/>
  <c r="GS241" i="19" s="1"/>
  <c r="GS242" i="19" s="1"/>
  <c r="GW239" i="19"/>
  <c r="GW241" i="19" s="1"/>
  <c r="GW242" i="19" s="1"/>
  <c r="HA239" i="19"/>
  <c r="HA241" i="19" s="1"/>
  <c r="HA242" i="19" s="1"/>
  <c r="HE239" i="19"/>
  <c r="HE241" i="19" s="1"/>
  <c r="HE242" i="19" s="1"/>
  <c r="HI239" i="19"/>
  <c r="HI241" i="19" s="1"/>
  <c r="HI242" i="19" s="1"/>
  <c r="GI240" i="19"/>
  <c r="GM240" i="19"/>
  <c r="GQ240" i="19"/>
  <c r="GU240" i="19"/>
  <c r="GY240" i="19"/>
  <c r="HC240" i="19"/>
  <c r="HG240" i="19"/>
  <c r="GK261" i="19"/>
  <c r="GK263" i="19" s="1"/>
  <c r="GK264" i="19" s="1"/>
  <c r="GO261" i="19"/>
  <c r="GO263" i="19" s="1"/>
  <c r="GO264" i="19" s="1"/>
  <c r="GS261" i="19"/>
  <c r="GS263" i="19" s="1"/>
  <c r="GS264" i="19" s="1"/>
  <c r="GW261" i="19"/>
  <c r="GW263" i="19" s="1"/>
  <c r="GW264" i="19" s="1"/>
  <c r="HA261" i="19"/>
  <c r="HA263" i="19" s="1"/>
  <c r="HA264" i="19" s="1"/>
  <c r="HE261" i="19"/>
  <c r="HE263" i="19" s="1"/>
  <c r="HE264" i="19" s="1"/>
  <c r="HI261" i="19"/>
  <c r="HI263" i="19" s="1"/>
  <c r="HI264" i="19" s="1"/>
  <c r="GI262" i="19"/>
  <c r="GM262" i="19"/>
  <c r="GQ262" i="19"/>
  <c r="GU262" i="19"/>
  <c r="GY262" i="19"/>
  <c r="HC262" i="19"/>
  <c r="HG262" i="19"/>
  <c r="GK283" i="19"/>
  <c r="GO283" i="19"/>
  <c r="GO285" i="19" s="1"/>
  <c r="GO286" i="19" s="1"/>
  <c r="GS283" i="19"/>
  <c r="GS285" i="19" s="1"/>
  <c r="GS286" i="19" s="1"/>
  <c r="GW283" i="19"/>
  <c r="GW285" i="19" s="1"/>
  <c r="GW286" i="19" s="1"/>
  <c r="HA283" i="19"/>
  <c r="HA285" i="19" s="1"/>
  <c r="HA286" i="19" s="1"/>
  <c r="HE283" i="19"/>
  <c r="HE285" i="19" s="1"/>
  <c r="HE286" i="19" s="1"/>
  <c r="HI283" i="19"/>
  <c r="HI285" i="19" s="1"/>
  <c r="HI286" i="19" s="1"/>
  <c r="GI284" i="19"/>
  <c r="GM284" i="19"/>
  <c r="GQ284" i="19"/>
  <c r="GU284" i="19"/>
  <c r="GY284" i="19"/>
  <c r="HC284" i="19"/>
  <c r="HG284" i="19"/>
  <c r="GK305" i="19"/>
  <c r="GO305" i="19"/>
  <c r="GS305" i="19"/>
  <c r="GW305" i="19"/>
  <c r="GW307" i="19" s="1"/>
  <c r="GW308" i="19" s="1"/>
  <c r="HA305" i="19"/>
  <c r="HA307" i="19" s="1"/>
  <c r="HA308" i="19" s="1"/>
  <c r="HE305" i="19"/>
  <c r="HE307" i="19" s="1"/>
  <c r="HE308" i="19" s="1"/>
  <c r="HI305" i="19"/>
  <c r="HI307" i="19" s="1"/>
  <c r="HI308" i="19" s="1"/>
  <c r="GI306" i="19"/>
  <c r="GM306" i="19"/>
  <c r="GQ306" i="19"/>
  <c r="GU306" i="19"/>
  <c r="GL239" i="19"/>
  <c r="GL241" i="19" s="1"/>
  <c r="GL242" i="19" s="1"/>
  <c r="GT239" i="19"/>
  <c r="GT241" i="19" s="1"/>
  <c r="GT242" i="19" s="1"/>
  <c r="HB239" i="19"/>
  <c r="HB241" i="19" s="1"/>
  <c r="HB242" i="19" s="1"/>
  <c r="GJ240" i="19"/>
  <c r="GR240" i="19"/>
  <c r="GZ240" i="19"/>
  <c r="HH240" i="19"/>
  <c r="GL261" i="19"/>
  <c r="GL263" i="19" s="1"/>
  <c r="GL264" i="19" s="1"/>
  <c r="GT261" i="19"/>
  <c r="GT263" i="19" s="1"/>
  <c r="GT264" i="19" s="1"/>
  <c r="HB261" i="19"/>
  <c r="HB263" i="19" s="1"/>
  <c r="HB264" i="19" s="1"/>
  <c r="GJ262" i="19"/>
  <c r="GR262" i="19"/>
  <c r="GZ262" i="19"/>
  <c r="HH262" i="19"/>
  <c r="GL283" i="19"/>
  <c r="GT283" i="19"/>
  <c r="GT285" i="19" s="1"/>
  <c r="GT286" i="19" s="1"/>
  <c r="HB283" i="19"/>
  <c r="HB285" i="19" s="1"/>
  <c r="HB286" i="19" s="1"/>
  <c r="GJ284" i="19"/>
  <c r="GR284" i="19"/>
  <c r="GZ284" i="19"/>
  <c r="HH284" i="19"/>
  <c r="GL305" i="19"/>
  <c r="GT305" i="19"/>
  <c r="GT307" i="19" s="1"/>
  <c r="GT308" i="19" s="1"/>
  <c r="HB305" i="19"/>
  <c r="HB307" i="19" s="1"/>
  <c r="HB308" i="19" s="1"/>
  <c r="GJ306" i="19"/>
  <c r="GR306" i="19"/>
  <c r="GX306" i="19"/>
  <c r="HB306" i="19"/>
  <c r="HF306" i="19"/>
  <c r="GM239" i="19"/>
  <c r="GM241" i="19" s="1"/>
  <c r="GM242" i="19" s="1"/>
  <c r="GU239" i="19"/>
  <c r="GU241" i="19" s="1"/>
  <c r="GU242" i="19" s="1"/>
  <c r="HC239" i="19"/>
  <c r="HC241" i="19" s="1"/>
  <c r="HC242" i="19" s="1"/>
  <c r="GK240" i="19"/>
  <c r="GS240" i="19"/>
  <c r="HA240" i="19"/>
  <c r="HI240" i="19"/>
  <c r="GM261" i="19"/>
  <c r="GM263" i="19" s="1"/>
  <c r="GM264" i="19" s="1"/>
  <c r="GU261" i="19"/>
  <c r="GU263" i="19" s="1"/>
  <c r="GU264" i="19" s="1"/>
  <c r="HC261" i="19"/>
  <c r="HC263" i="19" s="1"/>
  <c r="HC264" i="19" s="1"/>
  <c r="GK262" i="19"/>
  <c r="GS262" i="19"/>
  <c r="HA262" i="19"/>
  <c r="HI262" i="19"/>
  <c r="GM283" i="19"/>
  <c r="GM285" i="19" s="1"/>
  <c r="GM286" i="19" s="1"/>
  <c r="GU283" i="19"/>
  <c r="GU285" i="19" s="1"/>
  <c r="GU286" i="19" s="1"/>
  <c r="HC283" i="19"/>
  <c r="HC285" i="19" s="1"/>
  <c r="HC286" i="19" s="1"/>
  <c r="GK284" i="19"/>
  <c r="GS284" i="19"/>
  <c r="HA284" i="19"/>
  <c r="HI284" i="19"/>
  <c r="GM305" i="19"/>
  <c r="GU305" i="19"/>
  <c r="GU307" i="19" s="1"/>
  <c r="GU308" i="19" s="1"/>
  <c r="HC305" i="19"/>
  <c r="HC307" i="19" s="1"/>
  <c r="HC308" i="19" s="1"/>
  <c r="GK306" i="19"/>
  <c r="GS306" i="19"/>
  <c r="GY306" i="19"/>
  <c r="HC306" i="19"/>
  <c r="HG306" i="19"/>
  <c r="GP239" i="19"/>
  <c r="GP241" i="19" s="1"/>
  <c r="GP242" i="19" s="1"/>
  <c r="HF239" i="19"/>
  <c r="HF241" i="19" s="1"/>
  <c r="HF242" i="19" s="1"/>
  <c r="GV240" i="19"/>
  <c r="GP261" i="19"/>
  <c r="GP263" i="19" s="1"/>
  <c r="GP264" i="19" s="1"/>
  <c r="HF261" i="19"/>
  <c r="HF263" i="19" s="1"/>
  <c r="HF264" i="19" s="1"/>
  <c r="GV262" i="19"/>
  <c r="GP283" i="19"/>
  <c r="GP285" i="19" s="1"/>
  <c r="GP286" i="19" s="1"/>
  <c r="HF283" i="19"/>
  <c r="HF285" i="19" s="1"/>
  <c r="HF286" i="19" s="1"/>
  <c r="GV284" i="19"/>
  <c r="GP305" i="19"/>
  <c r="HF305" i="19"/>
  <c r="HF307" i="19" s="1"/>
  <c r="HF308" i="19" s="1"/>
  <c r="GV306" i="19"/>
  <c r="HD306" i="19"/>
  <c r="GY239" i="19"/>
  <c r="GY241" i="19" s="1"/>
  <c r="GY242" i="19" s="1"/>
  <c r="GO240" i="19"/>
  <c r="GI261" i="19"/>
  <c r="GO262" i="19"/>
  <c r="GY283" i="19"/>
  <c r="GY285" i="19" s="1"/>
  <c r="GY286" i="19" s="1"/>
  <c r="HE284" i="19"/>
  <c r="GY305" i="19"/>
  <c r="GY307" i="19" s="1"/>
  <c r="GY308" i="19" s="1"/>
  <c r="GO306" i="19"/>
  <c r="HI306" i="19"/>
  <c r="GX239" i="19"/>
  <c r="GX241" i="19" s="1"/>
  <c r="GX242" i="19" s="1"/>
  <c r="HD240" i="19"/>
  <c r="GX261" i="19"/>
  <c r="GX263" i="19" s="1"/>
  <c r="GX264" i="19" s="1"/>
  <c r="HD262" i="19"/>
  <c r="GX283" i="19"/>
  <c r="GX285" i="19" s="1"/>
  <c r="GX286" i="19" s="1"/>
  <c r="GN284" i="19"/>
  <c r="GX305" i="19"/>
  <c r="GX307" i="19" s="1"/>
  <c r="GX308" i="19" s="1"/>
  <c r="GZ306" i="19"/>
  <c r="GQ239" i="19"/>
  <c r="GQ241" i="19" s="1"/>
  <c r="GQ242" i="19" s="1"/>
  <c r="HG239" i="19"/>
  <c r="HG241" i="19" s="1"/>
  <c r="HG242" i="19" s="1"/>
  <c r="GW240" i="19"/>
  <c r="GQ261" i="19"/>
  <c r="GQ263" i="19" s="1"/>
  <c r="GQ264" i="19" s="1"/>
  <c r="HG261" i="19"/>
  <c r="HG263" i="19" s="1"/>
  <c r="HG264" i="19" s="1"/>
  <c r="GW262" i="19"/>
  <c r="GQ283" i="19"/>
  <c r="GQ285" i="19" s="1"/>
  <c r="GQ286" i="19" s="1"/>
  <c r="HG283" i="19"/>
  <c r="HG285" i="19" s="1"/>
  <c r="HG286" i="19" s="1"/>
  <c r="GW284" i="19"/>
  <c r="GQ305" i="19"/>
  <c r="HG305" i="19"/>
  <c r="HG307" i="19" s="1"/>
  <c r="HG308" i="19" s="1"/>
  <c r="GW306" i="19"/>
  <c r="HE306" i="19"/>
  <c r="GI239" i="19"/>
  <c r="GI241" i="19" s="1"/>
  <c r="GI242" i="19" s="1"/>
  <c r="HE240" i="19"/>
  <c r="GY261" i="19"/>
  <c r="GY263" i="19" s="1"/>
  <c r="GY264" i="19" s="1"/>
  <c r="HE262" i="19"/>
  <c r="GI283" i="19"/>
  <c r="GO284" i="19"/>
  <c r="GI305" i="19"/>
  <c r="HA306" i="19"/>
  <c r="GN240" i="19"/>
  <c r="GN262" i="19"/>
  <c r="HD284" i="19"/>
  <c r="GN306" i="19"/>
  <c r="HH306" i="19"/>
  <c r="BI60" i="21"/>
  <c r="R61" i="21"/>
  <c r="AM61" i="21" s="1"/>
  <c r="O44" i="5" s="1"/>
  <c r="T61" i="21"/>
  <c r="AO61" i="21" s="1"/>
  <c r="Q44" i="5" s="1"/>
  <c r="BK60" i="21"/>
  <c r="C145" i="21"/>
  <c r="AX60" i="21"/>
  <c r="F61" i="21"/>
  <c r="AD61" i="21" s="1"/>
  <c r="O37" i="5" s="1"/>
  <c r="BZ225" i="21"/>
  <c r="BG231" i="21"/>
  <c r="BA65" i="21"/>
  <c r="I62" i="21"/>
  <c r="AG62" i="21" s="1"/>
  <c r="R38" i="5" s="1"/>
  <c r="G62" i="21"/>
  <c r="AE62" i="21" s="1"/>
  <c r="P38" i="5" s="1"/>
  <c r="AY65" i="21"/>
  <c r="AA118" i="21"/>
  <c r="AA224" i="21"/>
  <c r="GL429" i="19" l="1"/>
  <c r="GL430" i="19" s="1"/>
  <c r="HG473" i="19"/>
  <c r="HG474" i="19" s="1"/>
  <c r="GY451" i="19"/>
  <c r="GY452" i="19" s="1"/>
  <c r="HB495" i="19"/>
  <c r="HB496" i="19" s="1"/>
  <c r="HB473" i="19"/>
  <c r="HB474" i="19" s="1"/>
  <c r="HF451" i="19"/>
  <c r="HF452" i="19" s="1"/>
  <c r="HI495" i="19"/>
  <c r="HI496" i="19" s="1"/>
  <c r="HI451" i="19"/>
  <c r="HI452" i="19" s="1"/>
  <c r="HD495" i="19"/>
  <c r="HD496" i="19" s="1"/>
  <c r="GV451" i="19"/>
  <c r="GV452" i="19" s="1"/>
  <c r="EW473" i="19"/>
  <c r="EW474" i="19" s="1"/>
  <c r="EX473" i="19"/>
  <c r="EX474" i="19" s="1"/>
  <c r="EP451" i="19"/>
  <c r="EP452" i="19" s="1"/>
  <c r="EL451" i="19"/>
  <c r="EL452" i="19" s="1"/>
  <c r="EO451" i="19"/>
  <c r="EO452" i="19" s="1"/>
  <c r="EH451" i="19"/>
  <c r="EH452" i="19" s="1"/>
  <c r="EV495" i="19"/>
  <c r="EV496" i="19" s="1"/>
  <c r="EN473" i="19"/>
  <c r="EN474" i="19" s="1"/>
  <c r="EV451" i="19"/>
  <c r="EV452" i="19" s="1"/>
  <c r="EU495" i="19"/>
  <c r="EU496" i="19" s="1"/>
  <c r="EM473" i="19"/>
  <c r="EM474" i="19" s="1"/>
  <c r="EU451" i="19"/>
  <c r="EU452" i="19" s="1"/>
  <c r="GT451" i="19"/>
  <c r="GT452" i="19" s="1"/>
  <c r="HC451" i="19"/>
  <c r="HC452" i="19" s="1"/>
  <c r="ET473" i="19"/>
  <c r="ET474" i="19" s="1"/>
  <c r="ER495" i="19"/>
  <c r="ER496" i="19" s="1"/>
  <c r="EZ473" i="19"/>
  <c r="EZ474" i="19" s="1"/>
  <c r="ER451" i="19"/>
  <c r="ER452" i="19" s="1"/>
  <c r="EQ495" i="19"/>
  <c r="EQ496" i="19" s="1"/>
  <c r="EY473" i="19"/>
  <c r="EY474" i="19" s="1"/>
  <c r="EQ451" i="19"/>
  <c r="EQ452" i="19" s="1"/>
  <c r="FA473" i="19"/>
  <c r="FA474" i="19" s="1"/>
  <c r="HA473" i="19"/>
  <c r="HA474" i="19" s="1"/>
  <c r="GS451" i="19"/>
  <c r="GS452" i="19" s="1"/>
  <c r="FA495" i="19"/>
  <c r="FA496" i="19" s="1"/>
  <c r="FA451" i="19"/>
  <c r="FA452" i="19" s="1"/>
  <c r="GZ451" i="19"/>
  <c r="GZ452" i="19" s="1"/>
  <c r="ET451" i="19"/>
  <c r="ET452" i="19" s="1"/>
  <c r="EZ495" i="19"/>
  <c r="EZ496" i="19" s="1"/>
  <c r="EJ451" i="19"/>
  <c r="EJ452" i="19" s="1"/>
  <c r="EY495" i="19"/>
  <c r="EY496" i="19" s="1"/>
  <c r="EI451" i="19"/>
  <c r="EI452" i="19" s="1"/>
  <c r="GY495" i="19"/>
  <c r="GY496" i="19" s="1"/>
  <c r="GP451" i="19"/>
  <c r="GP452" i="19" s="1"/>
  <c r="HA495" i="19"/>
  <c r="HA496" i="19" s="1"/>
  <c r="HI473" i="19"/>
  <c r="HI474" i="19" s="1"/>
  <c r="HA451" i="19"/>
  <c r="HA452" i="19" s="1"/>
  <c r="GZ473" i="19"/>
  <c r="GZ474" i="19" s="1"/>
  <c r="HD451" i="19"/>
  <c r="HD452" i="19" s="1"/>
  <c r="EL473" i="19"/>
  <c r="EL474" i="19" s="1"/>
  <c r="EK451" i="19"/>
  <c r="EK452" i="19" s="1"/>
  <c r="EV473" i="19"/>
  <c r="EV474" i="19" s="1"/>
  <c r="EN451" i="19"/>
  <c r="EN452" i="19" s="1"/>
  <c r="EU473" i="19"/>
  <c r="EU474" i="19" s="1"/>
  <c r="EM451" i="19"/>
  <c r="EM452" i="19" s="1"/>
  <c r="HH473" i="19"/>
  <c r="HH474" i="19" s="1"/>
  <c r="GX473" i="19"/>
  <c r="GX474" i="19" s="1"/>
  <c r="GV473" i="19"/>
  <c r="GV474" i="19" s="1"/>
  <c r="ET495" i="19"/>
  <c r="ET496" i="19" s="1"/>
  <c r="ER473" i="19"/>
  <c r="ER474" i="19" s="1"/>
  <c r="EZ451" i="19"/>
  <c r="EZ452" i="19" s="1"/>
  <c r="EQ473" i="19"/>
  <c r="EQ474" i="19" s="1"/>
  <c r="EY451" i="19"/>
  <c r="EY452" i="19" s="1"/>
  <c r="HE495" i="19"/>
  <c r="HE496" i="19" s="1"/>
  <c r="GW473" i="19"/>
  <c r="GW474" i="19" s="1"/>
  <c r="HE451" i="19"/>
  <c r="HE452" i="19" s="1"/>
  <c r="GZ495" i="19"/>
  <c r="GZ496" i="19" s="1"/>
  <c r="HD473" i="19"/>
  <c r="HD474" i="19" s="1"/>
  <c r="HH451" i="19"/>
  <c r="HH452" i="19" s="1"/>
  <c r="GR451" i="19"/>
  <c r="GR452" i="19" s="1"/>
  <c r="EW495" i="19"/>
  <c r="EW496" i="19" s="1"/>
  <c r="EO473" i="19"/>
  <c r="EO474" i="19" s="1"/>
  <c r="EX495" i="19"/>
  <c r="EX496" i="19" s="1"/>
  <c r="EP473" i="19"/>
  <c r="EP474" i="19" s="1"/>
  <c r="ES495" i="19"/>
  <c r="ES496" i="19" s="1"/>
  <c r="ES473" i="19"/>
  <c r="ES474" i="19" s="1"/>
  <c r="ES451" i="19"/>
  <c r="ES452" i="19" s="1"/>
  <c r="D20" i="11"/>
  <c r="D118" i="13" s="1"/>
  <c r="GL451" i="19"/>
  <c r="GL452" i="19" s="1"/>
  <c r="GU495" i="19"/>
  <c r="GU496" i="19" s="1"/>
  <c r="GM473" i="19"/>
  <c r="GM474" i="19" s="1"/>
  <c r="EG473" i="19"/>
  <c r="EG474" i="19" s="1"/>
  <c r="EH473" i="19"/>
  <c r="EH474" i="19" s="1"/>
  <c r="Q36" i="5"/>
  <c r="T38" i="5" s="1"/>
  <c r="GQ473" i="19"/>
  <c r="GQ474" i="19" s="1"/>
  <c r="M43" i="5"/>
  <c r="GJ285" i="19"/>
  <c r="GJ286" i="19" s="1"/>
  <c r="GL473" i="19"/>
  <c r="GL474" i="19" s="1"/>
  <c r="GX495" i="19"/>
  <c r="GX496" i="19" s="1"/>
  <c r="GO495" i="19"/>
  <c r="GO496" i="19" s="1"/>
  <c r="GJ495" i="19"/>
  <c r="GJ496" i="19" s="1"/>
  <c r="T39" i="5"/>
  <c r="GI451" i="19"/>
  <c r="GI452" i="19" s="1"/>
  <c r="GI285" i="19"/>
  <c r="GI286" i="19" s="1"/>
  <c r="GQ307" i="19"/>
  <c r="GQ308" i="19" s="1"/>
  <c r="GT429" i="19"/>
  <c r="GT430" i="19" s="1"/>
  <c r="GI495" i="19"/>
  <c r="GI496" i="19" s="1"/>
  <c r="GQ429" i="19"/>
  <c r="GQ430" i="19" s="1"/>
  <c r="T35" i="5"/>
  <c r="I40" i="5" s="1"/>
  <c r="GP307" i="19"/>
  <c r="GP308" i="19" s="1"/>
  <c r="GS307" i="19"/>
  <c r="GS308" i="19" s="1"/>
  <c r="GK285" i="19"/>
  <c r="GK286" i="19" s="1"/>
  <c r="GR307" i="19"/>
  <c r="GR308" i="19" s="1"/>
  <c r="GP495" i="19"/>
  <c r="GP496" i="19" s="1"/>
  <c r="GS473" i="19"/>
  <c r="GS474" i="19" s="1"/>
  <c r="GK451" i="19"/>
  <c r="GK452" i="19" s="1"/>
  <c r="GN451" i="19"/>
  <c r="GN452" i="19" s="1"/>
  <c r="EG495" i="19"/>
  <c r="EG496" i="19" s="1"/>
  <c r="EP495" i="19"/>
  <c r="EP496" i="19" s="1"/>
  <c r="EO495" i="19"/>
  <c r="EO496" i="19" s="1"/>
  <c r="EH495" i="19"/>
  <c r="EH496" i="19" s="1"/>
  <c r="EK495" i="19"/>
  <c r="EK496" i="19" s="1"/>
  <c r="EN495" i="19"/>
  <c r="EN496" i="19" s="1"/>
  <c r="EF473" i="19"/>
  <c r="EF474" i="19" s="1"/>
  <c r="EM495" i="19"/>
  <c r="EM496" i="19" s="1"/>
  <c r="EE473" i="19"/>
  <c r="EE474" i="19" s="1"/>
  <c r="ED285" i="19"/>
  <c r="ED286" i="19" s="1"/>
  <c r="EK307" i="19"/>
  <c r="EK308" i="19" s="1"/>
  <c r="GM307" i="19"/>
  <c r="GM308" i="19" s="1"/>
  <c r="GT495" i="19"/>
  <c r="GT496" i="19" s="1"/>
  <c r="ED473" i="19"/>
  <c r="ED474" i="19" s="1"/>
  <c r="EJ495" i="19"/>
  <c r="EJ496" i="19" s="1"/>
  <c r="EI495" i="19"/>
  <c r="EI496" i="19" s="1"/>
  <c r="EC307" i="19"/>
  <c r="EC308" i="19" s="1"/>
  <c r="EJ307" i="19"/>
  <c r="EJ308" i="19" s="1"/>
  <c r="EB285" i="19"/>
  <c r="EB286" i="19" s="1"/>
  <c r="GL285" i="19"/>
  <c r="GL286" i="19" s="1"/>
  <c r="GV495" i="19"/>
  <c r="GV496" i="19" s="1"/>
  <c r="EK473" i="19"/>
  <c r="EK474" i="19" s="1"/>
  <c r="EJ473" i="19"/>
  <c r="EJ474" i="19" s="1"/>
  <c r="EI473" i="19"/>
  <c r="EI474" i="19" s="1"/>
  <c r="GI263" i="19"/>
  <c r="GI264" i="19" s="1"/>
  <c r="GS495" i="19"/>
  <c r="GS496" i="19" s="1"/>
  <c r="GR473" i="19"/>
  <c r="GR474" i="19" s="1"/>
  <c r="EG451" i="19"/>
  <c r="EG452" i="19" s="1"/>
  <c r="EL495" i="19"/>
  <c r="EL496" i="19" s="1"/>
  <c r="EF451" i="19"/>
  <c r="EF452" i="19" s="1"/>
  <c r="EE451" i="19"/>
  <c r="EE452" i="19" s="1"/>
  <c r="GO451" i="19"/>
  <c r="GO452" i="19" s="1"/>
  <c r="ED451" i="19"/>
  <c r="ED452" i="19" s="1"/>
  <c r="EA263" i="19"/>
  <c r="EA264" i="19" s="1"/>
  <c r="GW495" i="19"/>
  <c r="GW496" i="19" s="1"/>
  <c r="EC451" i="19"/>
  <c r="EC452" i="19" s="1"/>
  <c r="EC285" i="19"/>
  <c r="EC286" i="19" s="1"/>
  <c r="EI307" i="19"/>
  <c r="EI308" i="19" s="1"/>
  <c r="EB451" i="19"/>
  <c r="EB452" i="19" s="1"/>
  <c r="EA451" i="19"/>
  <c r="EA452" i="19" s="1"/>
  <c r="EH307" i="19"/>
  <c r="EH308" i="19" s="1"/>
  <c r="EG307" i="19"/>
  <c r="EG308" i="19" s="1"/>
  <c r="GL307" i="19"/>
  <c r="GL308" i="19" s="1"/>
  <c r="GK307" i="19"/>
  <c r="GK308" i="19" s="1"/>
  <c r="GP473" i="19"/>
  <c r="GP474" i="19" s="1"/>
  <c r="GK473" i="19"/>
  <c r="GK474" i="19" s="1"/>
  <c r="EF307" i="19"/>
  <c r="EF308" i="19" s="1"/>
  <c r="EE307" i="19"/>
  <c r="EE308" i="19" s="1"/>
  <c r="GN473" i="19"/>
  <c r="GN474" i="19" s="1"/>
  <c r="GO307" i="19"/>
  <c r="GO308" i="19" s="1"/>
  <c r="GN307" i="19"/>
  <c r="GN308" i="19" s="1"/>
  <c r="GQ495" i="19"/>
  <c r="GQ496" i="19" s="1"/>
  <c r="GO473" i="19"/>
  <c r="GO474" i="19" s="1"/>
  <c r="GR495" i="19"/>
  <c r="GR496" i="19" s="1"/>
  <c r="GJ451" i="19"/>
  <c r="GJ452" i="19" s="1"/>
  <c r="EC473" i="19"/>
  <c r="EC474" i="19" s="1"/>
  <c r="ED307" i="19"/>
  <c r="ED308" i="19" s="1"/>
  <c r="EA285" i="19"/>
  <c r="EA286" i="19" s="1"/>
  <c r="ED495" i="19"/>
  <c r="ED496" i="19" s="1"/>
  <c r="EB307" i="19"/>
  <c r="EB308" i="19" s="1"/>
  <c r="EA307" i="19"/>
  <c r="EA308" i="19" s="1"/>
  <c r="GN495" i="19"/>
  <c r="GN496" i="19" s="1"/>
  <c r="GL495" i="19"/>
  <c r="GL496" i="19" s="1"/>
  <c r="EB495" i="19"/>
  <c r="EB496" i="19" s="1"/>
  <c r="EA495" i="19"/>
  <c r="EA496" i="19" s="1"/>
  <c r="GM495" i="19"/>
  <c r="GM496" i="19" s="1"/>
  <c r="EF495" i="19"/>
  <c r="EF496" i="19" s="1"/>
  <c r="GI307" i="19"/>
  <c r="GI308" i="19" s="1"/>
  <c r="K170" i="21"/>
  <c r="J170" i="21" s="1"/>
  <c r="J145" i="21" s="1"/>
  <c r="GK495" i="19"/>
  <c r="GK496" i="19" s="1"/>
  <c r="GJ473" i="19"/>
  <c r="GJ474" i="19" s="1"/>
  <c r="GJ307" i="19"/>
  <c r="GJ308" i="19" s="1"/>
  <c r="EE495" i="19"/>
  <c r="EE496" i="19" s="1"/>
  <c r="GI473" i="19"/>
  <c r="GI474" i="19" s="1"/>
  <c r="EC495" i="19"/>
  <c r="EC496" i="19" s="1"/>
  <c r="EB473" i="19"/>
  <c r="EB474" i="19" s="1"/>
  <c r="EA473" i="19"/>
  <c r="EA474" i="19" s="1"/>
  <c r="K280" i="21"/>
  <c r="ET429" i="19"/>
  <c r="ET430" i="19" s="1"/>
  <c r="EZ429" i="19"/>
  <c r="EZ430" i="19" s="1"/>
  <c r="FA429" i="19"/>
  <c r="FA430" i="19" s="1"/>
  <c r="EN429" i="19"/>
  <c r="EN430" i="19" s="1"/>
  <c r="EM429" i="19"/>
  <c r="EM430" i="19" s="1"/>
  <c r="K224" i="21"/>
  <c r="J224" i="21" s="1"/>
  <c r="J199" i="21" s="1"/>
  <c r="EJ429" i="19"/>
  <c r="EJ430" i="19" s="1"/>
  <c r="EG429" i="19"/>
  <c r="EG430" i="19" s="1"/>
  <c r="EH429" i="19"/>
  <c r="EH430" i="19" s="1"/>
  <c r="EO429" i="19"/>
  <c r="EO430" i="19" s="1"/>
  <c r="EP429" i="19"/>
  <c r="EP430" i="19" s="1"/>
  <c r="GW429" i="19"/>
  <c r="GW430" i="19" s="1"/>
  <c r="GV429" i="19"/>
  <c r="GV430" i="19" s="1"/>
  <c r="EY429" i="19"/>
  <c r="EY430" i="19" s="1"/>
  <c r="EI429" i="19"/>
  <c r="EI430" i="19" s="1"/>
  <c r="HC429" i="19"/>
  <c r="HC430" i="19" s="1"/>
  <c r="K125" i="21"/>
  <c r="HG429" i="19"/>
  <c r="HG430" i="19" s="1"/>
  <c r="HF429" i="19"/>
  <c r="HF430" i="19" s="1"/>
  <c r="HI429" i="19"/>
  <c r="HI430" i="19" s="1"/>
  <c r="GR429" i="19"/>
  <c r="GR430" i="19" s="1"/>
  <c r="CC281" i="21"/>
  <c r="BK287" i="21" s="1"/>
  <c r="CH281" i="21"/>
  <c r="BP287" i="21" s="1"/>
  <c r="CE281" i="21"/>
  <c r="BM287" i="21" s="1"/>
  <c r="CI281" i="21"/>
  <c r="BQ287" i="21" s="1"/>
  <c r="CB281" i="21"/>
  <c r="BJ287" i="21" s="1"/>
  <c r="CJ281" i="21"/>
  <c r="BR287" i="21" s="1"/>
  <c r="CG281" i="21"/>
  <c r="BO287" i="21" s="1"/>
  <c r="BH287" i="21"/>
  <c r="CF281" i="21"/>
  <c r="BN287" i="21" s="1"/>
  <c r="CA281" i="21"/>
  <c r="BI287" i="21" s="1"/>
  <c r="N45" i="5"/>
  <c r="M45" i="5" s="1"/>
  <c r="T45" i="5" s="1"/>
  <c r="AK62" i="21"/>
  <c r="N44" i="5"/>
  <c r="M44" i="5" s="1"/>
  <c r="T44" i="5" s="1"/>
  <c r="AK61" i="21"/>
  <c r="CC171" i="21"/>
  <c r="BK177" i="21" s="1"/>
  <c r="CH171" i="21"/>
  <c r="BP177" i="21" s="1"/>
  <c r="CE171" i="21"/>
  <c r="BM177" i="21" s="1"/>
  <c r="CI171" i="21"/>
  <c r="BQ177" i="21" s="1"/>
  <c r="CF171" i="21"/>
  <c r="BN177" i="21" s="1"/>
  <c r="CA171" i="21"/>
  <c r="BI177" i="21" s="1"/>
  <c r="CG171" i="21"/>
  <c r="BO177" i="21" s="1"/>
  <c r="BH177" i="21"/>
  <c r="BJ177" i="21"/>
  <c r="CJ171" i="21"/>
  <c r="BR177" i="21" s="1"/>
  <c r="BF60" i="21"/>
  <c r="O61" i="21"/>
  <c r="O63" i="21"/>
  <c r="BF70" i="21"/>
  <c r="G61" i="21"/>
  <c r="AE61" i="21" s="1"/>
  <c r="P37" i="5" s="1"/>
  <c r="T37" i="5" s="1"/>
  <c r="I42" i="5" s="1"/>
  <c r="AY60" i="21"/>
  <c r="AK60" i="21"/>
  <c r="GS429" i="19"/>
  <c r="GS430" i="19" s="1"/>
  <c r="HH429" i="19"/>
  <c r="HH430" i="19" s="1"/>
  <c r="K118" i="21"/>
  <c r="GU429" i="19"/>
  <c r="GU430" i="19" s="1"/>
  <c r="ED429" i="19"/>
  <c r="ED430" i="19" s="1"/>
  <c r="EB429" i="19"/>
  <c r="EB430" i="19" s="1"/>
  <c r="EQ429" i="19"/>
  <c r="EQ430" i="19" s="1"/>
  <c r="HB429" i="19"/>
  <c r="HB430" i="19" s="1"/>
  <c r="HA429" i="19"/>
  <c r="HA430" i="19" s="1"/>
  <c r="GK429" i="19"/>
  <c r="GK430" i="19" s="1"/>
  <c r="GZ429" i="19"/>
  <c r="GZ430" i="19" s="1"/>
  <c r="GJ429" i="19"/>
  <c r="GJ430" i="19" s="1"/>
  <c r="EW429" i="19"/>
  <c r="EW430" i="19" s="1"/>
  <c r="EX429" i="19"/>
  <c r="EX430" i="19" s="1"/>
  <c r="EL429" i="19"/>
  <c r="EL430" i="19" s="1"/>
  <c r="EK429" i="19"/>
  <c r="EK430" i="19" s="1"/>
  <c r="EV429" i="19"/>
  <c r="EV430" i="19" s="1"/>
  <c r="EF429" i="19"/>
  <c r="EF430" i="19" s="1"/>
  <c r="EU429" i="19"/>
  <c r="EU430" i="19" s="1"/>
  <c r="EE429" i="19"/>
  <c r="EE430" i="19" s="1"/>
  <c r="AY70" i="21"/>
  <c r="G63" i="21"/>
  <c r="AE63" i="21" s="1"/>
  <c r="P39" i="5" s="1"/>
  <c r="N46" i="5"/>
  <c r="M46" i="5" s="1"/>
  <c r="T46" i="5" s="1"/>
  <c r="AK63" i="21"/>
  <c r="CC225" i="21"/>
  <c r="BK231" i="21" s="1"/>
  <c r="CH225" i="21"/>
  <c r="BP231" i="21" s="1"/>
  <c r="CE225" i="21"/>
  <c r="BM231" i="21" s="1"/>
  <c r="CI225" i="21"/>
  <c r="BQ231" i="21" s="1"/>
  <c r="CJ225" i="21"/>
  <c r="BR231" i="21" s="1"/>
  <c r="CG225" i="21"/>
  <c r="BO231" i="21" s="1"/>
  <c r="BH231" i="21"/>
  <c r="CF225" i="21"/>
  <c r="BN231" i="21" s="1"/>
  <c r="CB225" i="21"/>
  <c r="BJ231" i="21" s="1"/>
  <c r="CA225" i="21"/>
  <c r="BI231" i="21" s="1"/>
  <c r="O62" i="21"/>
  <c r="BF65" i="21"/>
  <c r="BF54" i="21"/>
  <c r="O60" i="21"/>
  <c r="EC429" i="19"/>
  <c r="EC430" i="19" s="1"/>
  <c r="ER429" i="19"/>
  <c r="ER430" i="19" s="1"/>
  <c r="EA429" i="19"/>
  <c r="EA430" i="19" s="1"/>
  <c r="GY429" i="19"/>
  <c r="GY430" i="19" s="1"/>
  <c r="GX429" i="19"/>
  <c r="GX430" i="19" s="1"/>
  <c r="HE429" i="19"/>
  <c r="HE430" i="19" s="1"/>
  <c r="GO429" i="19"/>
  <c r="GO430" i="19" s="1"/>
  <c r="HD429" i="19"/>
  <c r="HD430" i="19" s="1"/>
  <c r="GN429" i="19"/>
  <c r="GN430" i="19" s="1"/>
  <c r="ES429" i="19"/>
  <c r="ES430" i="19" s="1"/>
  <c r="I44" i="5" l="1"/>
  <c r="K69" i="13" s="1"/>
  <c r="I43" i="5"/>
  <c r="E69" i="13" s="1"/>
  <c r="G69" i="13" s="1"/>
  <c r="M119" i="13"/>
  <c r="N119" i="13" s="1"/>
  <c r="AW17" i="11"/>
  <c r="L29" i="5"/>
  <c r="D119" i="11" s="1"/>
  <c r="D21" i="11"/>
  <c r="C69" i="13" s="1"/>
  <c r="U42" i="5"/>
  <c r="V42" i="5" s="1"/>
  <c r="K43" i="5" s="1"/>
  <c r="T43" i="5"/>
  <c r="M123" i="13"/>
  <c r="AC44" i="11"/>
  <c r="D108" i="13"/>
  <c r="L11" i="11"/>
  <c r="D127" i="13"/>
  <c r="G127" i="13" s="1"/>
  <c r="J275" i="5"/>
  <c r="J279" i="5" s="1"/>
  <c r="D23" i="11"/>
  <c r="AC47" i="11" s="1"/>
  <c r="I62" i="5"/>
  <c r="Q29" i="11"/>
  <c r="M275" i="5"/>
  <c r="N275" i="5" s="1"/>
  <c r="J280" i="21"/>
  <c r="J255" i="21" s="1"/>
  <c r="V63" i="21" s="1"/>
  <c r="AQ63" i="21" s="1"/>
  <c r="S46" i="5" s="1"/>
  <c r="T231" i="21"/>
  <c r="T177" i="21"/>
  <c r="BM65" i="21"/>
  <c r="V62" i="21"/>
  <c r="AQ62" i="21" s="1"/>
  <c r="S45" i="5" s="1"/>
  <c r="AA287" i="21"/>
  <c r="BM60" i="21"/>
  <c r="V61" i="21"/>
  <c r="AQ61" i="21" s="1"/>
  <c r="S44" i="5" s="1"/>
  <c r="J118" i="21"/>
  <c r="J93" i="21" s="1"/>
  <c r="AA177" i="21"/>
  <c r="AA231" i="21"/>
  <c r="T287" i="21"/>
  <c r="M108" i="13" l="1"/>
  <c r="L108" i="13" s="1"/>
  <c r="I64" i="5"/>
  <c r="D29" i="11" s="1"/>
  <c r="B304" i="5"/>
  <c r="AC45" i="11"/>
  <c r="C108" i="13"/>
  <c r="BP4" i="21" s="1"/>
  <c r="BO10" i="21" s="1"/>
  <c r="BQ10" i="21" s="1"/>
  <c r="Y103" i="13" s="1"/>
  <c r="F190" i="13"/>
  <c r="V29" i="11"/>
  <c r="M273" i="5"/>
  <c r="L274" i="5" s="1"/>
  <c r="G117" i="13"/>
  <c r="BM70" i="21"/>
  <c r="K231" i="21"/>
  <c r="K177" i="21"/>
  <c r="K287" i="21"/>
  <c r="V60" i="21"/>
  <c r="AQ60" i="21" s="1"/>
  <c r="S43" i="5" s="1"/>
  <c r="BM54" i="21"/>
  <c r="H5" i="20"/>
  <c r="EB5" i="19"/>
  <c r="V315" i="5"/>
  <c r="M279" i="5" s="1"/>
  <c r="ED5" i="20"/>
  <c r="EE5" i="19"/>
  <c r="O280" i="5"/>
  <c r="O279" i="5"/>
  <c r="Y337" i="5"/>
  <c r="Z337" i="5" s="1"/>
  <c r="AB323" i="5"/>
  <c r="AC323" i="5" s="1"/>
  <c r="H5" i="19"/>
  <c r="D34" i="11"/>
  <c r="B7" i="21" l="1"/>
  <c r="V32" i="21" s="1"/>
  <c r="Y32" i="21" s="1"/>
  <c r="I65" i="5"/>
  <c r="AD56" i="5" s="1"/>
  <c r="P71" i="5" s="1"/>
  <c r="P72" i="5" s="1"/>
  <c r="P81" i="5" s="1"/>
  <c r="C118" i="13"/>
  <c r="X103" i="13" s="1"/>
  <c r="P193" i="13"/>
  <c r="E187" i="13"/>
  <c r="E193" i="13" s="1"/>
  <c r="G123" i="13"/>
  <c r="HK42" i="19"/>
  <c r="HO40" i="19" s="1"/>
  <c r="FU42" i="19"/>
  <c r="FY41" i="19" s="1"/>
  <c r="EB143" i="19"/>
  <c r="GC183" i="19" s="1"/>
  <c r="EB331" i="19"/>
  <c r="GC371" i="19" s="1"/>
  <c r="N279" i="5"/>
  <c r="W315" i="5"/>
  <c r="EK5" i="19"/>
  <c r="W32" i="21" l="1"/>
  <c r="X32" i="21" s="1"/>
  <c r="B15" i="21"/>
  <c r="AL24" i="21" s="1"/>
  <c r="AO24" i="21" s="1"/>
  <c r="B23" i="21"/>
  <c r="BB24" i="21" s="1"/>
  <c r="BC24" i="21" s="1"/>
  <c r="BD24" i="21" s="1"/>
  <c r="AC60" i="5"/>
  <c r="O71" i="5" s="1"/>
  <c r="I66" i="5"/>
  <c r="AD57" i="5" s="1"/>
  <c r="AD60" i="5" s="1"/>
  <c r="AD59" i="5" s="1"/>
  <c r="AD61" i="5" s="1"/>
  <c r="M280" i="5"/>
  <c r="N280" i="5" s="1"/>
  <c r="J281" i="5" s="1"/>
  <c r="M278" i="5" s="1"/>
  <c r="C127" i="13"/>
  <c r="R193" i="13"/>
  <c r="AM24" i="21"/>
  <c r="AN24" i="21" s="1"/>
  <c r="AM26" i="21" s="1"/>
  <c r="AN26" i="21" s="1"/>
  <c r="F15" i="21" s="1"/>
  <c r="V103" i="13" s="1"/>
  <c r="GD371" i="19"/>
  <c r="HK328" i="19" s="1"/>
  <c r="FC328" i="19"/>
  <c r="W34" i="21"/>
  <c r="FC140" i="19"/>
  <c r="GD183" i="19"/>
  <c r="HK140" i="19" s="1"/>
  <c r="HG50" i="19"/>
  <c r="HT41" i="19"/>
  <c r="HP40" i="19"/>
  <c r="P79" i="5"/>
  <c r="P74" i="5"/>
  <c r="FP50" i="19"/>
  <c r="GD41" i="19"/>
  <c r="FZ41" i="19"/>
  <c r="AC61" i="5" l="1"/>
  <c r="AC63" i="5" s="1"/>
  <c r="BE24" i="21"/>
  <c r="BC26" i="21" s="1"/>
  <c r="BF26" i="21" s="1"/>
  <c r="E23" i="21" s="1"/>
  <c r="S113" i="13" s="1"/>
  <c r="AD64" i="5"/>
  <c r="AD66" i="5"/>
  <c r="AR54" i="5"/>
  <c r="AD68" i="5"/>
  <c r="AD62" i="5"/>
  <c r="AD63" i="5"/>
  <c r="AD67" i="5" s="1"/>
  <c r="M281" i="5"/>
  <c r="N282" i="5" s="1"/>
  <c r="L280" i="5"/>
  <c r="L279" i="5" s="1"/>
  <c r="G302" i="5"/>
  <c r="M304" i="5" s="1"/>
  <c r="D35" i="11"/>
  <c r="AW26" i="11" s="1"/>
  <c r="BF24" i="21"/>
  <c r="BG26" i="21"/>
  <c r="BE26" i="21"/>
  <c r="D23" i="21" s="1"/>
  <c r="R113" i="13" s="1"/>
  <c r="GD51" i="19"/>
  <c r="GD59" i="19"/>
  <c r="GE58" i="19" s="1"/>
  <c r="GD45" i="19"/>
  <c r="GD46" i="19"/>
  <c r="GE45" i="19" s="1"/>
  <c r="GD53" i="19"/>
  <c r="GE52" i="19" s="1"/>
  <c r="GD54" i="19"/>
  <c r="GE53" i="19" s="1"/>
  <c r="GC66" i="19"/>
  <c r="GD47" i="19"/>
  <c r="GE46" i="19" s="1"/>
  <c r="GD50" i="19"/>
  <c r="GE49" i="19" s="1"/>
  <c r="GP83" i="19"/>
  <c r="GD52" i="19"/>
  <c r="GE51" i="19" s="1"/>
  <c r="GD55" i="19"/>
  <c r="GE54" i="19" s="1"/>
  <c r="GD56" i="19"/>
  <c r="GE55" i="19" s="1"/>
  <c r="GD57" i="19"/>
  <c r="GE56" i="19" s="1"/>
  <c r="GD58" i="19"/>
  <c r="GE57" i="19" s="1"/>
  <c r="GD49" i="19"/>
  <c r="GE48" i="19" s="1"/>
  <c r="GD48" i="19"/>
  <c r="GE47" i="19" s="1"/>
  <c r="HG51" i="19"/>
  <c r="GY41" i="19"/>
  <c r="DZ20" i="19"/>
  <c r="GH183" i="19"/>
  <c r="GG241" i="19"/>
  <c r="HL221" i="19"/>
  <c r="DZ43" i="19"/>
  <c r="GG429" i="19"/>
  <c r="HL409" i="19"/>
  <c r="GH371" i="19"/>
  <c r="FH41" i="19"/>
  <c r="FP51" i="19"/>
  <c r="DZ36" i="19"/>
  <c r="DZ371" i="19"/>
  <c r="DY429" i="19"/>
  <c r="FD409" i="19"/>
  <c r="AO26" i="21"/>
  <c r="AP26" i="21"/>
  <c r="E15" i="21" s="1"/>
  <c r="S103" i="13" s="1"/>
  <c r="C15" i="21"/>
  <c r="T103" i="13" s="1"/>
  <c r="AQ26" i="21"/>
  <c r="AP24" i="21"/>
  <c r="FQ53" i="19"/>
  <c r="DZ27" i="19"/>
  <c r="HT45" i="19"/>
  <c r="HT46" i="19"/>
  <c r="HU45" i="19" s="1"/>
  <c r="HT50" i="19"/>
  <c r="HU49" i="19" s="1"/>
  <c r="HT58" i="19"/>
  <c r="HU57" i="19" s="1"/>
  <c r="IF83" i="19"/>
  <c r="HT47" i="19"/>
  <c r="HU46" i="19" s="1"/>
  <c r="HT48" i="19"/>
  <c r="HU47" i="19" s="1"/>
  <c r="HT49" i="19"/>
  <c r="HU48" i="19" s="1"/>
  <c r="HT53" i="19"/>
  <c r="HU52" i="19" s="1"/>
  <c r="HT51" i="19"/>
  <c r="HT54" i="19"/>
  <c r="HU53" i="19" s="1"/>
  <c r="HT56" i="19"/>
  <c r="HU55" i="19" s="1"/>
  <c r="HS66" i="19"/>
  <c r="HT52" i="19"/>
  <c r="HU51" i="19" s="1"/>
  <c r="HT55" i="19"/>
  <c r="HU54" i="19" s="1"/>
  <c r="HT57" i="19"/>
  <c r="HU56" i="19" s="1"/>
  <c r="DZ183" i="19"/>
  <c r="DY241" i="19"/>
  <c r="DZ13" i="19"/>
  <c r="FD221" i="19"/>
  <c r="P80" i="5"/>
  <c r="P82" i="5"/>
  <c r="DZ23" i="19"/>
  <c r="HH53" i="19"/>
  <c r="Z34" i="21"/>
  <c r="E7" i="21" s="1"/>
  <c r="AA34" i="21"/>
  <c r="X34" i="21"/>
  <c r="F7" i="21" s="1"/>
  <c r="C7" i="21"/>
  <c r="P108" i="13" s="1"/>
  <c r="Y34" i="21"/>
  <c r="Z32" i="21"/>
  <c r="AC66" i="5"/>
  <c r="O81" i="5" s="1"/>
  <c r="AC68" i="5"/>
  <c r="O75" i="5" s="1"/>
  <c r="O72" i="5"/>
  <c r="AC62" i="5"/>
  <c r="AC64" i="5"/>
  <c r="O79" i="5" s="1"/>
  <c r="AD65" i="5" l="1"/>
  <c r="BD26" i="21"/>
  <c r="F23" i="21" s="1"/>
  <c r="V113" i="13" s="1"/>
  <c r="C23" i="21"/>
  <c r="T113" i="13" s="1"/>
  <c r="O108" i="13"/>
  <c r="F108" i="13" s="1"/>
  <c r="O73" i="5"/>
  <c r="Q73" i="5" s="1"/>
  <c r="BG24" i="21"/>
  <c r="BB26" i="21" s="1"/>
  <c r="G23" i="21" s="1"/>
  <c r="U113" i="13" s="1"/>
  <c r="Q79" i="5"/>
  <c r="N79" i="5" s="1"/>
  <c r="L79" i="5" s="1"/>
  <c r="I79" i="5" s="1"/>
  <c r="K72" i="13" s="1"/>
  <c r="HT66" i="19"/>
  <c r="HT68" i="19" s="1"/>
  <c r="HX66" i="19"/>
  <c r="HX68" i="19" s="1"/>
  <c r="HW69" i="19" s="1"/>
  <c r="IB66" i="19"/>
  <c r="IB68" i="19" s="1"/>
  <c r="IA69" i="19" s="1"/>
  <c r="IF66" i="19"/>
  <c r="IF68" i="19" s="1"/>
  <c r="IE69" i="19" s="1"/>
  <c r="HV66" i="19"/>
  <c r="HV68" i="19" s="1"/>
  <c r="HU69" i="19" s="1"/>
  <c r="IA66" i="19"/>
  <c r="IA68" i="19" s="1"/>
  <c r="HZ69" i="19" s="1"/>
  <c r="IG66" i="19"/>
  <c r="IG68" i="19" s="1"/>
  <c r="IF69" i="19" s="1"/>
  <c r="HU66" i="19"/>
  <c r="HU68" i="19" s="1"/>
  <c r="HT69" i="19" s="1"/>
  <c r="HZ66" i="19"/>
  <c r="HZ68" i="19" s="1"/>
  <c r="IE66" i="19"/>
  <c r="IE68" i="19" s="1"/>
  <c r="ID69" i="19" s="1"/>
  <c r="IC66" i="19"/>
  <c r="IC68" i="19" s="1"/>
  <c r="IB69" i="19" s="1"/>
  <c r="ID66" i="19"/>
  <c r="ID68" i="19" s="1"/>
  <c r="IC69" i="19" s="1"/>
  <c r="HW66" i="19"/>
  <c r="HW68" i="19" s="1"/>
  <c r="HV69" i="19" s="1"/>
  <c r="HY66" i="19"/>
  <c r="HY68" i="19" s="1"/>
  <c r="HX69" i="19" s="1"/>
  <c r="FD413" i="19"/>
  <c r="FD414" i="19"/>
  <c r="FE413" i="19" s="1"/>
  <c r="FD415" i="19"/>
  <c r="FE414" i="19" s="1"/>
  <c r="FD416" i="19"/>
  <c r="FE415" i="19" s="1"/>
  <c r="FD417" i="19"/>
  <c r="FE416" i="19" s="1"/>
  <c r="FD418" i="19"/>
  <c r="FD419" i="19"/>
  <c r="FE418" i="19" s="1"/>
  <c r="FD420" i="19"/>
  <c r="FE419" i="19" s="1"/>
  <c r="FD421" i="19"/>
  <c r="FE420" i="19" s="1"/>
  <c r="FD422" i="19"/>
  <c r="FE421" i="19" s="1"/>
  <c r="FD423" i="19"/>
  <c r="FE422" i="19" s="1"/>
  <c r="DY424" i="19"/>
  <c r="FD424" i="19"/>
  <c r="FE423" i="19" s="1"/>
  <c r="FD431" i="19"/>
  <c r="FD453" i="19"/>
  <c r="FD475" i="19"/>
  <c r="FD411" i="19"/>
  <c r="DZ28" i="19"/>
  <c r="FQ54" i="19"/>
  <c r="GH428" i="19"/>
  <c r="GG451" i="19"/>
  <c r="GG473" i="19"/>
  <c r="GG495" i="19"/>
  <c r="GH429" i="19"/>
  <c r="HZ328" i="19" s="1"/>
  <c r="GG236" i="19"/>
  <c r="HL236" i="19"/>
  <c r="HM235" i="19" s="1"/>
  <c r="HL226" i="19"/>
  <c r="HM225" i="19" s="1"/>
  <c r="HL228" i="19"/>
  <c r="HM227" i="19" s="1"/>
  <c r="HL230" i="19"/>
  <c r="HL232" i="19"/>
  <c r="HM231" i="19" s="1"/>
  <c r="HL234" i="19"/>
  <c r="HM233" i="19" s="1"/>
  <c r="HL223" i="19"/>
  <c r="HL227" i="19"/>
  <c r="HM226" i="19" s="1"/>
  <c r="HL231" i="19"/>
  <c r="HM230" i="19" s="1"/>
  <c r="HL235" i="19"/>
  <c r="HM234" i="19" s="1"/>
  <c r="HL225" i="19"/>
  <c r="HL233" i="19"/>
  <c r="HM232" i="19" s="1"/>
  <c r="HL243" i="19"/>
  <c r="HL265" i="19"/>
  <c r="HL287" i="19"/>
  <c r="HL229" i="19"/>
  <c r="HM228" i="19" s="1"/>
  <c r="GY47" i="19"/>
  <c r="GZ46" i="19" s="1"/>
  <c r="GY50" i="19"/>
  <c r="GZ49" i="19" s="1"/>
  <c r="GY48" i="19"/>
  <c r="GZ47" i="19" s="1"/>
  <c r="GY49" i="19"/>
  <c r="GZ48" i="19" s="1"/>
  <c r="GY52" i="19"/>
  <c r="GZ51" i="19" s="1"/>
  <c r="GY55" i="19"/>
  <c r="GZ54" i="19" s="1"/>
  <c r="GY56" i="19"/>
  <c r="GZ55" i="19" s="1"/>
  <c r="GY57" i="19"/>
  <c r="GZ56" i="19" s="1"/>
  <c r="GY58" i="19"/>
  <c r="GZ57" i="19" s="1"/>
  <c r="GX66" i="19"/>
  <c r="GY51" i="19"/>
  <c r="HK83" i="19"/>
  <c r="GY54" i="19"/>
  <c r="GZ53" i="19" s="1"/>
  <c r="GY45" i="19"/>
  <c r="GY53" i="19"/>
  <c r="GZ52" i="19" s="1"/>
  <c r="GY46" i="19"/>
  <c r="GZ45" i="19" s="1"/>
  <c r="AC65" i="5"/>
  <c r="O80" i="5" s="1"/>
  <c r="AC67" i="5"/>
  <c r="O82" i="5" s="1"/>
  <c r="O74" i="5"/>
  <c r="GG424" i="19"/>
  <c r="HL424" i="19"/>
  <c r="HM423" i="19" s="1"/>
  <c r="HL413" i="19"/>
  <c r="HL415" i="19"/>
  <c r="HM414" i="19" s="1"/>
  <c r="HL417" i="19"/>
  <c r="HM416" i="19" s="1"/>
  <c r="HL419" i="19"/>
  <c r="HM418" i="19" s="1"/>
  <c r="HL421" i="19"/>
  <c r="HM420" i="19" s="1"/>
  <c r="HL423" i="19"/>
  <c r="HM422" i="19" s="1"/>
  <c r="HL414" i="19"/>
  <c r="HM413" i="19" s="1"/>
  <c r="HL418" i="19"/>
  <c r="HL422" i="19"/>
  <c r="HM421" i="19" s="1"/>
  <c r="HL431" i="19"/>
  <c r="HL453" i="19"/>
  <c r="HL475" i="19"/>
  <c r="HL411" i="19"/>
  <c r="HL416" i="19"/>
  <c r="HM415" i="19" s="1"/>
  <c r="HL420" i="19"/>
  <c r="HM419" i="19" s="1"/>
  <c r="G325" i="5"/>
  <c r="G305" i="5" s="1"/>
  <c r="DY20" i="19"/>
  <c r="F325" i="5" s="1"/>
  <c r="D7" i="21"/>
  <c r="N108" i="13" s="1"/>
  <c r="E108" i="13" s="1"/>
  <c r="AA32" i="21"/>
  <c r="V34" i="21" s="1"/>
  <c r="FD225" i="19"/>
  <c r="FD226" i="19"/>
  <c r="FE225" i="19" s="1"/>
  <c r="FD227" i="19"/>
  <c r="FE226" i="19" s="1"/>
  <c r="FD228" i="19"/>
  <c r="FE227" i="19" s="1"/>
  <c r="FD229" i="19"/>
  <c r="FE228" i="19" s="1"/>
  <c r="FD230" i="19"/>
  <c r="FD231" i="19"/>
  <c r="FE230" i="19" s="1"/>
  <c r="FD232" i="19"/>
  <c r="FE231" i="19" s="1"/>
  <c r="FD233" i="19"/>
  <c r="FE232" i="19" s="1"/>
  <c r="FD234" i="19"/>
  <c r="FE233" i="19" s="1"/>
  <c r="FD235" i="19"/>
  <c r="FE234" i="19" s="1"/>
  <c r="DY236" i="19"/>
  <c r="FD236" i="19"/>
  <c r="FE235" i="19" s="1"/>
  <c r="FD223" i="19"/>
  <c r="FD243" i="19"/>
  <c r="FD265" i="19"/>
  <c r="FD287" i="19"/>
  <c r="HU44" i="19"/>
  <c r="HT62" i="19"/>
  <c r="DY451" i="19"/>
  <c r="DY473" i="19"/>
  <c r="DY495" i="19"/>
  <c r="DZ429" i="19"/>
  <c r="FR328" i="19" s="1"/>
  <c r="DZ428" i="19"/>
  <c r="FH48" i="19"/>
  <c r="FI47" i="19" s="1"/>
  <c r="FH49" i="19"/>
  <c r="FI48" i="19" s="1"/>
  <c r="FH50" i="19"/>
  <c r="FI49" i="19" s="1"/>
  <c r="FH52" i="19"/>
  <c r="FI51" i="19" s="1"/>
  <c r="FH53" i="19"/>
  <c r="FI52" i="19" s="1"/>
  <c r="FH54" i="19"/>
  <c r="FI53" i="19" s="1"/>
  <c r="FH55" i="19"/>
  <c r="FI54" i="19" s="1"/>
  <c r="FH56" i="19"/>
  <c r="FI55" i="19" s="1"/>
  <c r="FH57" i="19"/>
  <c r="FI56" i="19" s="1"/>
  <c r="FH58" i="19"/>
  <c r="FI57" i="19" s="1"/>
  <c r="FG66" i="19"/>
  <c r="FT83" i="19"/>
  <c r="FH45" i="19"/>
  <c r="FH46" i="19"/>
  <c r="FI45" i="19" s="1"/>
  <c r="FH47" i="19"/>
  <c r="FI46" i="19" s="1"/>
  <c r="FH51" i="19"/>
  <c r="FH59" i="19"/>
  <c r="FI58" i="19" s="1"/>
  <c r="G348" i="5"/>
  <c r="DY43" i="19"/>
  <c r="F348" i="5" s="1"/>
  <c r="GH240" i="19"/>
  <c r="GG263" i="19"/>
  <c r="GG285" i="19"/>
  <c r="GH241" i="19"/>
  <c r="HZ140" i="19" s="1"/>
  <c r="GG307" i="19"/>
  <c r="DZ24" i="19"/>
  <c r="HH54" i="19"/>
  <c r="Q81" i="5"/>
  <c r="N81" i="5" s="1"/>
  <c r="L81" i="5" s="1"/>
  <c r="I81" i="5" s="1"/>
  <c r="E72" i="13" s="1"/>
  <c r="G72" i="13" s="1"/>
  <c r="EN183" i="19"/>
  <c r="FB183" i="19"/>
  <c r="FP183" i="19"/>
  <c r="DZ187" i="19"/>
  <c r="DZ191" i="19"/>
  <c r="DZ195" i="19"/>
  <c r="EA194" i="19" s="1"/>
  <c r="DZ190" i="19"/>
  <c r="EA189" i="19" s="1"/>
  <c r="DZ189" i="19"/>
  <c r="EA188" i="19" s="1"/>
  <c r="DZ193" i="19"/>
  <c r="EA192" i="19" s="1"/>
  <c r="DZ197" i="19"/>
  <c r="EA196" i="19" s="1"/>
  <c r="DY204" i="19"/>
  <c r="DZ188" i="19"/>
  <c r="EA187" i="19" s="1"/>
  <c r="DZ192" i="19"/>
  <c r="EA191" i="19" s="1"/>
  <c r="DZ196" i="19"/>
  <c r="EA195" i="19" s="1"/>
  <c r="DZ194" i="19"/>
  <c r="EA193" i="19" s="1"/>
  <c r="IE86" i="19"/>
  <c r="IE87" i="19"/>
  <c r="IF86" i="19" s="1"/>
  <c r="IE88" i="19"/>
  <c r="IF87" i="19" s="1"/>
  <c r="IE89" i="19"/>
  <c r="IF88" i="19" s="1"/>
  <c r="IE90" i="19"/>
  <c r="IF89" i="19" s="1"/>
  <c r="IE91" i="19"/>
  <c r="IE92" i="19"/>
  <c r="IF91" i="19" s="1"/>
  <c r="IE93" i="19"/>
  <c r="IF92" i="19" s="1"/>
  <c r="IE94" i="19"/>
  <c r="IF93" i="19" s="1"/>
  <c r="IE95" i="19"/>
  <c r="IF94" i="19" s="1"/>
  <c r="IE96" i="19"/>
  <c r="IF95" i="19" s="1"/>
  <c r="IE97" i="19"/>
  <c r="IF96" i="19" s="1"/>
  <c r="IE98" i="19"/>
  <c r="IF104" i="19"/>
  <c r="G332" i="5"/>
  <c r="G308" i="5" s="1"/>
  <c r="DY27" i="19"/>
  <c r="F332" i="5" s="1"/>
  <c r="Q75" i="5"/>
  <c r="N75" i="5" s="1"/>
  <c r="L75" i="5" s="1"/>
  <c r="I75" i="5" s="1"/>
  <c r="DY263" i="19"/>
  <c r="DY285" i="19"/>
  <c r="DZ241" i="19"/>
  <c r="FR140" i="19" s="1"/>
  <c r="DY307" i="19"/>
  <c r="DZ240" i="19"/>
  <c r="HU50" i="19"/>
  <c r="HT61" i="19"/>
  <c r="G341" i="5"/>
  <c r="DY36" i="19"/>
  <c r="F341" i="5" s="1"/>
  <c r="GP104" i="19"/>
  <c r="GO86" i="19"/>
  <c r="GO88" i="19"/>
  <c r="GP87" i="19" s="1"/>
  <c r="GO90" i="19"/>
  <c r="GP89" i="19" s="1"/>
  <c r="GO92" i="19"/>
  <c r="GP91" i="19" s="1"/>
  <c r="GO94" i="19"/>
  <c r="GP93" i="19" s="1"/>
  <c r="GO96" i="19"/>
  <c r="GP95" i="19" s="1"/>
  <c r="GO98" i="19"/>
  <c r="GO87" i="19"/>
  <c r="GP86" i="19" s="1"/>
  <c r="GO91" i="19"/>
  <c r="GO95" i="19"/>
  <c r="GP94" i="19" s="1"/>
  <c r="GO93" i="19"/>
  <c r="GP92" i="19" s="1"/>
  <c r="GO97" i="19"/>
  <c r="GP96" i="19" s="1"/>
  <c r="GO89" i="19"/>
  <c r="GP88" i="19" s="1"/>
  <c r="GG66" i="19"/>
  <c r="GG68" i="19" s="1"/>
  <c r="GF69" i="19" s="1"/>
  <c r="GK66" i="19"/>
  <c r="GK68" i="19" s="1"/>
  <c r="GJ69" i="19" s="1"/>
  <c r="GO66" i="19"/>
  <c r="GO68" i="19" s="1"/>
  <c r="GN69" i="19" s="1"/>
  <c r="GE66" i="19"/>
  <c r="GE68" i="19" s="1"/>
  <c r="GD69" i="19" s="1"/>
  <c r="GJ66" i="19"/>
  <c r="GJ68" i="19" s="1"/>
  <c r="GP66" i="19"/>
  <c r="GP68" i="19" s="1"/>
  <c r="GO69" i="19" s="1"/>
  <c r="GD66" i="19"/>
  <c r="GD68" i="19" s="1"/>
  <c r="GI66" i="19"/>
  <c r="GI68" i="19" s="1"/>
  <c r="GH69" i="19" s="1"/>
  <c r="GN66" i="19"/>
  <c r="GN68" i="19" s="1"/>
  <c r="GM69" i="19" s="1"/>
  <c r="GL66" i="19"/>
  <c r="GL68" i="19" s="1"/>
  <c r="GK69" i="19" s="1"/>
  <c r="GM66" i="19"/>
  <c r="GM68" i="19" s="1"/>
  <c r="GL69" i="19" s="1"/>
  <c r="GQ66" i="19"/>
  <c r="GQ68" i="19" s="1"/>
  <c r="GP69" i="19" s="1"/>
  <c r="GR66" i="19"/>
  <c r="GR68" i="19" s="1"/>
  <c r="GQ69" i="19" s="1"/>
  <c r="GR69" i="19" s="1"/>
  <c r="GF66" i="19"/>
  <c r="GF68" i="19" s="1"/>
  <c r="GE69" i="19" s="1"/>
  <c r="GH66" i="19"/>
  <c r="GH68" i="19" s="1"/>
  <c r="GG69" i="19" s="1"/>
  <c r="GE44" i="19"/>
  <c r="GD62" i="19"/>
  <c r="Q72" i="5"/>
  <c r="N72" i="5" s="1"/>
  <c r="L72" i="5" s="1"/>
  <c r="I72" i="5" s="1"/>
  <c r="G328" i="5"/>
  <c r="G306" i="5" s="1"/>
  <c r="DY23" i="19"/>
  <c r="F328" i="5" s="1"/>
  <c r="G318" i="5"/>
  <c r="G304" i="5" s="1"/>
  <c r="DY13" i="19"/>
  <c r="F318" i="5" s="1"/>
  <c r="D15" i="21"/>
  <c r="R103" i="13" s="1"/>
  <c r="AQ24" i="21"/>
  <c r="AL26" i="21" s="1"/>
  <c r="EN371" i="19"/>
  <c r="FB371" i="19"/>
  <c r="DZ375" i="19"/>
  <c r="DZ376" i="19"/>
  <c r="EA375" i="19" s="1"/>
  <c r="DZ377" i="19"/>
  <c r="EA376" i="19" s="1"/>
  <c r="DZ378" i="19"/>
  <c r="EA377" i="19" s="1"/>
  <c r="DZ379" i="19"/>
  <c r="DZ380" i="19"/>
  <c r="EA379" i="19" s="1"/>
  <c r="DZ381" i="19"/>
  <c r="EA380" i="19" s="1"/>
  <c r="DZ382" i="19"/>
  <c r="EA381" i="19" s="1"/>
  <c r="DZ383" i="19"/>
  <c r="EA382" i="19" s="1"/>
  <c r="DZ384" i="19"/>
  <c r="EA383" i="19" s="1"/>
  <c r="DZ385" i="19"/>
  <c r="EA384" i="19" s="1"/>
  <c r="DY392" i="19"/>
  <c r="FP371" i="19"/>
  <c r="HJ371" i="19"/>
  <c r="HX371" i="19"/>
  <c r="GH375" i="19"/>
  <c r="GH376" i="19"/>
  <c r="GI375" i="19" s="1"/>
  <c r="GH377" i="19"/>
  <c r="GI376" i="19" s="1"/>
  <c r="GH378" i="19"/>
  <c r="GI377" i="19" s="1"/>
  <c r="GH379" i="19"/>
  <c r="GH380" i="19"/>
  <c r="GI379" i="19" s="1"/>
  <c r="GH381" i="19"/>
  <c r="GI380" i="19" s="1"/>
  <c r="GH382" i="19"/>
  <c r="GI381" i="19" s="1"/>
  <c r="GH383" i="19"/>
  <c r="GI382" i="19" s="1"/>
  <c r="GH384" i="19"/>
  <c r="GI383" i="19" s="1"/>
  <c r="GG392" i="19"/>
  <c r="GV371" i="19"/>
  <c r="GH385" i="19"/>
  <c r="GI384" i="19" s="1"/>
  <c r="HJ183" i="19"/>
  <c r="HX183" i="19"/>
  <c r="GH197" i="19"/>
  <c r="GI196" i="19" s="1"/>
  <c r="GV183" i="19"/>
  <c r="GH187" i="19"/>
  <c r="GH188" i="19"/>
  <c r="GI187" i="19" s="1"/>
  <c r="GH189" i="19"/>
  <c r="GI188" i="19" s="1"/>
  <c r="GH190" i="19"/>
  <c r="GI189" i="19" s="1"/>
  <c r="GH191" i="19"/>
  <c r="GH192" i="19"/>
  <c r="GI191" i="19" s="1"/>
  <c r="GH193" i="19"/>
  <c r="GI192" i="19" s="1"/>
  <c r="GH194" i="19"/>
  <c r="GI193" i="19" s="1"/>
  <c r="GH195" i="19"/>
  <c r="GI194" i="19" s="1"/>
  <c r="GH196" i="19"/>
  <c r="GI195" i="19" s="1"/>
  <c r="GG204" i="19"/>
  <c r="GE50" i="19"/>
  <c r="GD61" i="19"/>
  <c r="HU61" i="19" l="1"/>
  <c r="HU62" i="19" s="1"/>
  <c r="G108" i="13"/>
  <c r="D190" i="13" s="1"/>
  <c r="N73" i="5"/>
  <c r="L73" i="5" s="1"/>
  <c r="I73" i="5" s="1"/>
  <c r="GE61" i="19"/>
  <c r="GE62" i="19" s="1"/>
  <c r="GV187" i="19"/>
  <c r="GV188" i="19"/>
  <c r="GW187" i="19" s="1"/>
  <c r="GV189" i="19"/>
  <c r="GW188" i="19" s="1"/>
  <c r="GV190" i="19"/>
  <c r="GW189" i="19" s="1"/>
  <c r="GV191" i="19"/>
  <c r="GV192" i="19"/>
  <c r="GW191" i="19" s="1"/>
  <c r="GV193" i="19"/>
  <c r="GW192" i="19" s="1"/>
  <c r="GV194" i="19"/>
  <c r="GW193" i="19" s="1"/>
  <c r="GV195" i="19"/>
  <c r="GW194" i="19" s="1"/>
  <c r="GV196" i="19"/>
  <c r="GW195" i="19" s="1"/>
  <c r="GU204" i="19"/>
  <c r="GV197" i="19"/>
  <c r="GW196" i="19" s="1"/>
  <c r="GI374" i="19"/>
  <c r="GH388" i="19"/>
  <c r="EA392" i="19"/>
  <c r="EA394" i="19" s="1"/>
  <c r="DZ395" i="19" s="1"/>
  <c r="EE392" i="19"/>
  <c r="EE394" i="19" s="1"/>
  <c r="ED395" i="19" s="1"/>
  <c r="EI392" i="19"/>
  <c r="EI394" i="19" s="1"/>
  <c r="EH395" i="19" s="1"/>
  <c r="EB392" i="19"/>
  <c r="EB394" i="19" s="1"/>
  <c r="EA395" i="19" s="1"/>
  <c r="EF392" i="19"/>
  <c r="EF394" i="19" s="1"/>
  <c r="EE395" i="19" s="1"/>
  <c r="EJ392" i="19"/>
  <c r="EJ394" i="19" s="1"/>
  <c r="EI395" i="19" s="1"/>
  <c r="EJ395" i="19" s="1"/>
  <c r="EG392" i="19"/>
  <c r="EG394" i="19" s="1"/>
  <c r="EF395" i="19" s="1"/>
  <c r="ED392" i="19"/>
  <c r="ED394" i="19" s="1"/>
  <c r="EC392" i="19"/>
  <c r="EC394" i="19" s="1"/>
  <c r="EB395" i="19" s="1"/>
  <c r="DZ392" i="19"/>
  <c r="DZ394" i="19" s="1"/>
  <c r="EH392" i="19"/>
  <c r="EH394" i="19" s="1"/>
  <c r="EG395" i="19" s="1"/>
  <c r="FB385" i="19"/>
  <c r="FC384" i="19" s="1"/>
  <c r="FA392" i="19"/>
  <c r="FB375" i="19"/>
  <c r="FB376" i="19"/>
  <c r="FC375" i="19" s="1"/>
  <c r="FB377" i="19"/>
  <c r="FC376" i="19" s="1"/>
  <c r="FB378" i="19"/>
  <c r="FC377" i="19" s="1"/>
  <c r="FB379" i="19"/>
  <c r="FB380" i="19"/>
  <c r="FC379" i="19" s="1"/>
  <c r="FB381" i="19"/>
  <c r="FC380" i="19" s="1"/>
  <c r="FB382" i="19"/>
  <c r="FC381" i="19" s="1"/>
  <c r="FB383" i="19"/>
  <c r="FC382" i="19" s="1"/>
  <c r="FB384" i="19"/>
  <c r="FC383" i="19" s="1"/>
  <c r="GI69" i="19"/>
  <c r="GC71" i="19"/>
  <c r="DZ306" i="19"/>
  <c r="DZ307" i="19"/>
  <c r="FR143" i="19" s="1"/>
  <c r="DZ451" i="19"/>
  <c r="FR329" i="19" s="1"/>
  <c r="DZ450" i="19"/>
  <c r="FD269" i="19"/>
  <c r="FD270" i="19"/>
  <c r="FE269" i="19" s="1"/>
  <c r="FD271" i="19"/>
  <c r="FE270" i="19" s="1"/>
  <c r="FD272" i="19"/>
  <c r="FE271" i="19" s="1"/>
  <c r="FD273" i="19"/>
  <c r="FE272" i="19" s="1"/>
  <c r="FD274" i="19"/>
  <c r="FD275" i="19"/>
  <c r="FE274" i="19" s="1"/>
  <c r="FD276" i="19"/>
  <c r="FE275" i="19" s="1"/>
  <c r="FD277" i="19"/>
  <c r="FE276" i="19" s="1"/>
  <c r="FD278" i="19"/>
  <c r="FE277" i="19" s="1"/>
  <c r="FD279" i="19"/>
  <c r="FE278" i="19" s="1"/>
  <c r="DY280" i="19"/>
  <c r="FD280" i="19"/>
  <c r="FE279" i="19" s="1"/>
  <c r="FD267" i="19"/>
  <c r="G7" i="21"/>
  <c r="Q108" i="13" s="1"/>
  <c r="G15" i="21"/>
  <c r="U103" i="13" s="1"/>
  <c r="GH472" i="19"/>
  <c r="GH473" i="19"/>
  <c r="HZ330" i="19" s="1"/>
  <c r="G333" i="5"/>
  <c r="G309" i="5" s="1"/>
  <c r="DY28" i="19"/>
  <c r="F333" i="5" s="1"/>
  <c r="FD435" i="19"/>
  <c r="FD436" i="19"/>
  <c r="FE435" i="19" s="1"/>
  <c r="FD437" i="19"/>
  <c r="FE436" i="19" s="1"/>
  <c r="FD438" i="19"/>
  <c r="FE437" i="19" s="1"/>
  <c r="FD439" i="19"/>
  <c r="FE438" i="19" s="1"/>
  <c r="FD440" i="19"/>
  <c r="FD441" i="19"/>
  <c r="FE440" i="19" s="1"/>
  <c r="FD442" i="19"/>
  <c r="FE441" i="19" s="1"/>
  <c r="FD443" i="19"/>
  <c r="FE442" i="19" s="1"/>
  <c r="FD444" i="19"/>
  <c r="FE443" i="19" s="1"/>
  <c r="FD445" i="19"/>
  <c r="FE444" i="19" s="1"/>
  <c r="DY446" i="19"/>
  <c r="FD446" i="19"/>
  <c r="FE445" i="19" s="1"/>
  <c r="FD433" i="19"/>
  <c r="GI190" i="19"/>
  <c r="GH199" i="19"/>
  <c r="FP375" i="19"/>
  <c r="FP376" i="19"/>
  <c r="FQ375" i="19" s="1"/>
  <c r="FP377" i="19"/>
  <c r="FQ376" i="19" s="1"/>
  <c r="FP378" i="19"/>
  <c r="FQ377" i="19" s="1"/>
  <c r="FP379" i="19"/>
  <c r="FP380" i="19"/>
  <c r="FQ379" i="19" s="1"/>
  <c r="FP381" i="19"/>
  <c r="FQ380" i="19" s="1"/>
  <c r="FP382" i="19"/>
  <c r="FQ381" i="19" s="1"/>
  <c r="FP383" i="19"/>
  <c r="FQ382" i="19" s="1"/>
  <c r="FP384" i="19"/>
  <c r="FQ383" i="19" s="1"/>
  <c r="FP385" i="19"/>
  <c r="FQ384" i="19" s="1"/>
  <c r="FO392" i="19"/>
  <c r="EA378" i="19"/>
  <c r="DZ387" i="19"/>
  <c r="FQ140" i="19"/>
  <c r="DZ263" i="19"/>
  <c r="FR141" i="19" s="1"/>
  <c r="DZ262" i="19"/>
  <c r="FB197" i="19"/>
  <c r="FC196" i="19" s="1"/>
  <c r="FB187" i="19"/>
  <c r="FB188" i="19"/>
  <c r="FC187" i="19" s="1"/>
  <c r="FB189" i="19"/>
  <c r="FC188" i="19" s="1"/>
  <c r="FB190" i="19"/>
  <c r="FC189" i="19" s="1"/>
  <c r="FB191" i="19"/>
  <c r="FB192" i="19"/>
  <c r="FC191" i="19" s="1"/>
  <c r="FB193" i="19"/>
  <c r="FC192" i="19" s="1"/>
  <c r="FB194" i="19"/>
  <c r="FC193" i="19" s="1"/>
  <c r="FB195" i="19"/>
  <c r="FC194" i="19" s="1"/>
  <c r="FB196" i="19"/>
  <c r="FC195" i="19" s="1"/>
  <c r="FA204" i="19"/>
  <c r="GH306" i="19"/>
  <c r="GH307" i="19"/>
  <c r="HZ143" i="19" s="1"/>
  <c r="DZ473" i="19"/>
  <c r="FR330" i="19" s="1"/>
  <c r="DZ472" i="19"/>
  <c r="FD291" i="19"/>
  <c r="FD292" i="19"/>
  <c r="FE291" i="19" s="1"/>
  <c r="FD293" i="19"/>
  <c r="FE292" i="19" s="1"/>
  <c r="FD294" i="19"/>
  <c r="FE293" i="19" s="1"/>
  <c r="FD295" i="19"/>
  <c r="FE294" i="19" s="1"/>
  <c r="FD296" i="19"/>
  <c r="FD297" i="19"/>
  <c r="FE296" i="19" s="1"/>
  <c r="FD298" i="19"/>
  <c r="FE297" i="19" s="1"/>
  <c r="FD299" i="19"/>
  <c r="FE298" i="19" s="1"/>
  <c r="FD300" i="19"/>
  <c r="FE299" i="19" s="1"/>
  <c r="FD301" i="19"/>
  <c r="FE300" i="19" s="1"/>
  <c r="DY302" i="19"/>
  <c r="FD302" i="19"/>
  <c r="FE301" i="19" s="1"/>
  <c r="FD289" i="19"/>
  <c r="GG490" i="19"/>
  <c r="HL490" i="19"/>
  <c r="HM489" i="19" s="1"/>
  <c r="HL479" i="19"/>
  <c r="HL481" i="19"/>
  <c r="HM480" i="19" s="1"/>
  <c r="HL483" i="19"/>
  <c r="HM482" i="19" s="1"/>
  <c r="HL485" i="19"/>
  <c r="HM484" i="19" s="1"/>
  <c r="HL487" i="19"/>
  <c r="HM486" i="19" s="1"/>
  <c r="HL489" i="19"/>
  <c r="HM488" i="19" s="1"/>
  <c r="HL477" i="19"/>
  <c r="HL480" i="19"/>
  <c r="HM479" i="19" s="1"/>
  <c r="HL484" i="19"/>
  <c r="HL488" i="19"/>
  <c r="HM487" i="19" s="1"/>
  <c r="HL482" i="19"/>
  <c r="HM481" i="19" s="1"/>
  <c r="HL486" i="19"/>
  <c r="HM485" i="19" s="1"/>
  <c r="Q80" i="5"/>
  <c r="N80" i="5" s="1"/>
  <c r="L80" i="5" s="1"/>
  <c r="I80" i="5" s="1"/>
  <c r="K73" i="13" s="1"/>
  <c r="GZ50" i="19"/>
  <c r="GY61" i="19"/>
  <c r="GG280" i="19"/>
  <c r="HL280" i="19"/>
  <c r="HM279" i="19" s="1"/>
  <c r="HL270" i="19"/>
  <c r="HM269" i="19" s="1"/>
  <c r="HL272" i="19"/>
  <c r="HM271" i="19" s="1"/>
  <c r="HL274" i="19"/>
  <c r="HL276" i="19"/>
  <c r="HM275" i="19" s="1"/>
  <c r="HL278" i="19"/>
  <c r="HM277" i="19" s="1"/>
  <c r="HL267" i="19"/>
  <c r="HL271" i="19"/>
  <c r="HM270" i="19" s="1"/>
  <c r="HL275" i="19"/>
  <c r="HM274" i="19" s="1"/>
  <c r="HL279" i="19"/>
  <c r="HM278" i="19" s="1"/>
  <c r="HL269" i="19"/>
  <c r="HL277" i="19"/>
  <c r="HM276" i="19" s="1"/>
  <c r="HL273" i="19"/>
  <c r="HM272" i="19" s="1"/>
  <c r="GH494" i="19"/>
  <c r="GH495" i="19"/>
  <c r="HZ331" i="19" s="1"/>
  <c r="GI204" i="19"/>
  <c r="GI206" i="19" s="1"/>
  <c r="GH207" i="19" s="1"/>
  <c r="GM204" i="19"/>
  <c r="GM206" i="19" s="1"/>
  <c r="GL207" i="19" s="1"/>
  <c r="GQ204" i="19"/>
  <c r="GQ206" i="19" s="1"/>
  <c r="GP207" i="19" s="1"/>
  <c r="GJ204" i="19"/>
  <c r="GJ206" i="19" s="1"/>
  <c r="GI207" i="19" s="1"/>
  <c r="GN204" i="19"/>
  <c r="GN206" i="19" s="1"/>
  <c r="GM207" i="19" s="1"/>
  <c r="GR204" i="19"/>
  <c r="GR206" i="19" s="1"/>
  <c r="GQ207" i="19" s="1"/>
  <c r="GR207" i="19" s="1"/>
  <c r="GK204" i="19"/>
  <c r="GK206" i="19" s="1"/>
  <c r="GJ207" i="19" s="1"/>
  <c r="GL204" i="19"/>
  <c r="GL206" i="19" s="1"/>
  <c r="GO204" i="19"/>
  <c r="GO206" i="19" s="1"/>
  <c r="GN207" i="19" s="1"/>
  <c r="GP204" i="19"/>
  <c r="GP206" i="19" s="1"/>
  <c r="GO207" i="19" s="1"/>
  <c r="GH204" i="19"/>
  <c r="GH206" i="19" s="1"/>
  <c r="GV375" i="19"/>
  <c r="GV376" i="19"/>
  <c r="GW375" i="19" s="1"/>
  <c r="GV377" i="19"/>
  <c r="GW376" i="19" s="1"/>
  <c r="GV378" i="19"/>
  <c r="GW377" i="19" s="1"/>
  <c r="GV379" i="19"/>
  <c r="GV380" i="19"/>
  <c r="GW379" i="19" s="1"/>
  <c r="GV381" i="19"/>
  <c r="GW380" i="19" s="1"/>
  <c r="GV382" i="19"/>
  <c r="GW381" i="19" s="1"/>
  <c r="GV383" i="19"/>
  <c r="GW382" i="19" s="1"/>
  <c r="GV384" i="19"/>
  <c r="GW383" i="19" s="1"/>
  <c r="GV385" i="19"/>
  <c r="GW384" i="19" s="1"/>
  <c r="GU392" i="19"/>
  <c r="HX375" i="19"/>
  <c r="HX376" i="19"/>
  <c r="HY375" i="19" s="1"/>
  <c r="HX377" i="19"/>
  <c r="HY376" i="19" s="1"/>
  <c r="HX378" i="19"/>
  <c r="HY377" i="19" s="1"/>
  <c r="HX379" i="19"/>
  <c r="HX380" i="19"/>
  <c r="HY379" i="19" s="1"/>
  <c r="HX381" i="19"/>
  <c r="HY380" i="19" s="1"/>
  <c r="HX382" i="19"/>
  <c r="HY381" i="19" s="1"/>
  <c r="HX383" i="19"/>
  <c r="HY382" i="19" s="1"/>
  <c r="HX384" i="19"/>
  <c r="HY383" i="19" s="1"/>
  <c r="HX385" i="19"/>
  <c r="HY384" i="19" s="1"/>
  <c r="HW392" i="19"/>
  <c r="EN375" i="19"/>
  <c r="EN376" i="19"/>
  <c r="EO375" i="19" s="1"/>
  <c r="EN377" i="19"/>
  <c r="EO376" i="19" s="1"/>
  <c r="EN378" i="19"/>
  <c r="EO377" i="19" s="1"/>
  <c r="EN379" i="19"/>
  <c r="EN380" i="19"/>
  <c r="EO379" i="19" s="1"/>
  <c r="EN381" i="19"/>
  <c r="EO380" i="19" s="1"/>
  <c r="EN382" i="19"/>
  <c r="EO381" i="19" s="1"/>
  <c r="EN383" i="19"/>
  <c r="EO382" i="19" s="1"/>
  <c r="EN384" i="19"/>
  <c r="EO383" i="19" s="1"/>
  <c r="EN385" i="19"/>
  <c r="EO384" i="19" s="1"/>
  <c r="EM392" i="19"/>
  <c r="GP90" i="19"/>
  <c r="GO100" i="19"/>
  <c r="GP85" i="19"/>
  <c r="GP100" i="19"/>
  <c r="IF97" i="19"/>
  <c r="IF98" i="19"/>
  <c r="IF85" i="19"/>
  <c r="IF100" i="19"/>
  <c r="EA186" i="19"/>
  <c r="DZ200" i="19"/>
  <c r="GH284" i="19"/>
  <c r="GH285" i="19"/>
  <c r="HZ142" i="19" s="1"/>
  <c r="FI50" i="19"/>
  <c r="FH61" i="19"/>
  <c r="FD247" i="19"/>
  <c r="FD248" i="19"/>
  <c r="FE247" i="19" s="1"/>
  <c r="FD249" i="19"/>
  <c r="FE248" i="19" s="1"/>
  <c r="FD250" i="19"/>
  <c r="FE249" i="19" s="1"/>
  <c r="FD251" i="19"/>
  <c r="FE250" i="19" s="1"/>
  <c r="FD252" i="19"/>
  <c r="FD253" i="19"/>
  <c r="FE252" i="19" s="1"/>
  <c r="FD254" i="19"/>
  <c r="FE253" i="19" s="1"/>
  <c r="FD255" i="19"/>
  <c r="FE254" i="19" s="1"/>
  <c r="FD256" i="19"/>
  <c r="FE255" i="19" s="1"/>
  <c r="FD257" i="19"/>
  <c r="FE256" i="19" s="1"/>
  <c r="DY258" i="19"/>
  <c r="FD258" i="19"/>
  <c r="FE257" i="19" s="1"/>
  <c r="FD245" i="19"/>
  <c r="GG446" i="19"/>
  <c r="HL446" i="19"/>
  <c r="HM445" i="19" s="1"/>
  <c r="HL435" i="19"/>
  <c r="HL437" i="19"/>
  <c r="HM436" i="19" s="1"/>
  <c r="HL439" i="19"/>
  <c r="HM438" i="19" s="1"/>
  <c r="HL441" i="19"/>
  <c r="HM440" i="19" s="1"/>
  <c r="HL443" i="19"/>
  <c r="HM442" i="19" s="1"/>
  <c r="HL445" i="19"/>
  <c r="HM444" i="19" s="1"/>
  <c r="HL433" i="19"/>
  <c r="HL436" i="19"/>
  <c r="HM435" i="19" s="1"/>
  <c r="HL440" i="19"/>
  <c r="HL444" i="19"/>
  <c r="HM443" i="19" s="1"/>
  <c r="HL438" i="19"/>
  <c r="HM437" i="19" s="1"/>
  <c r="HL442" i="19"/>
  <c r="HM441" i="19" s="1"/>
  <c r="Q74" i="5"/>
  <c r="N74" i="5" s="1"/>
  <c r="L74" i="5" s="1"/>
  <c r="I74" i="5" s="1"/>
  <c r="D32" i="11" s="1"/>
  <c r="AW22" i="11" s="1"/>
  <c r="HJ86" i="19"/>
  <c r="HJ87" i="19"/>
  <c r="HK86" i="19" s="1"/>
  <c r="HJ88" i="19"/>
  <c r="HK87" i="19" s="1"/>
  <c r="HJ89" i="19"/>
  <c r="HK88" i="19" s="1"/>
  <c r="HJ90" i="19"/>
  <c r="HK89" i="19" s="1"/>
  <c r="HJ91" i="19"/>
  <c r="HJ92" i="19"/>
  <c r="HK91" i="19" s="1"/>
  <c r="HJ93" i="19"/>
  <c r="HK92" i="19" s="1"/>
  <c r="HJ94" i="19"/>
  <c r="HK93" i="19" s="1"/>
  <c r="HJ95" i="19"/>
  <c r="HK94" i="19" s="1"/>
  <c r="HJ96" i="19"/>
  <c r="HK95" i="19" s="1"/>
  <c r="HJ97" i="19"/>
  <c r="HK96" i="19" s="1"/>
  <c r="HJ98" i="19"/>
  <c r="HK104" i="19"/>
  <c r="HM229" i="19"/>
  <c r="HM237" i="19" s="1"/>
  <c r="HL237" i="19"/>
  <c r="GH450" i="19"/>
  <c r="GH451" i="19"/>
  <c r="HZ329" i="19" s="1"/>
  <c r="GI378" i="19"/>
  <c r="GH387" i="19"/>
  <c r="IE107" i="19"/>
  <c r="IE108" i="19"/>
  <c r="IF107" i="19" s="1"/>
  <c r="IE110" i="19"/>
  <c r="IF109" i="19" s="1"/>
  <c r="IE112" i="19"/>
  <c r="IE114" i="19"/>
  <c r="IF113" i="19" s="1"/>
  <c r="IE116" i="19"/>
  <c r="IF115" i="19" s="1"/>
  <c r="IE118" i="19"/>
  <c r="IF117" i="19" s="1"/>
  <c r="IE111" i="19"/>
  <c r="IF110" i="19" s="1"/>
  <c r="IE115" i="19"/>
  <c r="IF114" i="19" s="1"/>
  <c r="IE119" i="19"/>
  <c r="IE109" i="19"/>
  <c r="IF108" i="19" s="1"/>
  <c r="IE117" i="19"/>
  <c r="IF116" i="19" s="1"/>
  <c r="IE113" i="19"/>
  <c r="IF112" i="19" s="1"/>
  <c r="IF90" i="19"/>
  <c r="IE100" i="19"/>
  <c r="EA190" i="19"/>
  <c r="DZ199" i="19"/>
  <c r="EN187" i="19"/>
  <c r="EN188" i="19"/>
  <c r="EO187" i="19" s="1"/>
  <c r="EN189" i="19"/>
  <c r="EO188" i="19" s="1"/>
  <c r="EN190" i="19"/>
  <c r="EO189" i="19" s="1"/>
  <c r="EN191" i="19"/>
  <c r="EN192" i="19"/>
  <c r="EO191" i="19" s="1"/>
  <c r="EN193" i="19"/>
  <c r="EO192" i="19" s="1"/>
  <c r="EN194" i="19"/>
  <c r="EO193" i="19" s="1"/>
  <c r="EN195" i="19"/>
  <c r="EO194" i="19" s="1"/>
  <c r="EN196" i="19"/>
  <c r="EO195" i="19" s="1"/>
  <c r="EM204" i="19"/>
  <c r="EN197" i="19"/>
  <c r="EO196" i="19" s="1"/>
  <c r="FI44" i="19"/>
  <c r="FH62" i="19"/>
  <c r="FJ66" i="19"/>
  <c r="FJ68" i="19" s="1"/>
  <c r="FI69" i="19" s="1"/>
  <c r="FK66" i="19"/>
  <c r="FK68" i="19" s="1"/>
  <c r="FJ69" i="19" s="1"/>
  <c r="FO66" i="19"/>
  <c r="FO68" i="19" s="1"/>
  <c r="FN69" i="19" s="1"/>
  <c r="FS66" i="19"/>
  <c r="FS68" i="19" s="1"/>
  <c r="FR69" i="19" s="1"/>
  <c r="FH66" i="19"/>
  <c r="FH68" i="19" s="1"/>
  <c r="FN66" i="19"/>
  <c r="FN68" i="19" s="1"/>
  <c r="FT66" i="19"/>
  <c r="FT68" i="19" s="1"/>
  <c r="FS69" i="19" s="1"/>
  <c r="FM66" i="19"/>
  <c r="FM68" i="19" s="1"/>
  <c r="FL69" i="19" s="1"/>
  <c r="FR66" i="19"/>
  <c r="FR68" i="19" s="1"/>
  <c r="FQ69" i="19" s="1"/>
  <c r="FI66" i="19"/>
  <c r="FI68" i="19" s="1"/>
  <c r="FH69" i="19" s="1"/>
  <c r="FU66" i="19"/>
  <c r="FU68" i="19" s="1"/>
  <c r="FT69" i="19" s="1"/>
  <c r="FL66" i="19"/>
  <c r="FL68" i="19" s="1"/>
  <c r="FK69" i="19" s="1"/>
  <c r="FV66" i="19"/>
  <c r="FV68" i="19" s="1"/>
  <c r="FU69" i="19" s="1"/>
  <c r="FV69" i="19" s="1"/>
  <c r="FP66" i="19"/>
  <c r="FP68" i="19" s="1"/>
  <c r="FO69" i="19" s="1"/>
  <c r="FQ66" i="19"/>
  <c r="FQ68" i="19" s="1"/>
  <c r="FP69" i="19" s="1"/>
  <c r="FQ328" i="19"/>
  <c r="GG468" i="19"/>
  <c r="HL468" i="19"/>
  <c r="HM467" i="19" s="1"/>
  <c r="HL457" i="19"/>
  <c r="HL459" i="19"/>
  <c r="HM458" i="19" s="1"/>
  <c r="HL461" i="19"/>
  <c r="HM460" i="19" s="1"/>
  <c r="HL463" i="19"/>
  <c r="HM462" i="19" s="1"/>
  <c r="HL465" i="19"/>
  <c r="HM464" i="19" s="1"/>
  <c r="HL467" i="19"/>
  <c r="HM466" i="19" s="1"/>
  <c r="HL458" i="19"/>
  <c r="HM457" i="19" s="1"/>
  <c r="HL462" i="19"/>
  <c r="HL466" i="19"/>
  <c r="HM465" i="19" s="1"/>
  <c r="HL455" i="19"/>
  <c r="HL460" i="19"/>
  <c r="HM459" i="19" s="1"/>
  <c r="HL464" i="19"/>
  <c r="HM463" i="19" s="1"/>
  <c r="HB66" i="19"/>
  <c r="HB68" i="19" s="1"/>
  <c r="HA69" i="19" s="1"/>
  <c r="HF66" i="19"/>
  <c r="HF68" i="19" s="1"/>
  <c r="HE69" i="19" s="1"/>
  <c r="HJ66" i="19"/>
  <c r="HJ68" i="19" s="1"/>
  <c r="HI69" i="19" s="1"/>
  <c r="GZ66" i="19"/>
  <c r="GZ68" i="19" s="1"/>
  <c r="GY69" i="19" s="1"/>
  <c r="HE66" i="19"/>
  <c r="HE68" i="19" s="1"/>
  <c r="HK66" i="19"/>
  <c r="HK68" i="19" s="1"/>
  <c r="HJ69" i="19" s="1"/>
  <c r="GY66" i="19"/>
  <c r="GY68" i="19" s="1"/>
  <c r="HD66" i="19"/>
  <c r="HD68" i="19" s="1"/>
  <c r="HC69" i="19" s="1"/>
  <c r="HI66" i="19"/>
  <c r="HI68" i="19" s="1"/>
  <c r="HH69" i="19" s="1"/>
  <c r="HA66" i="19"/>
  <c r="HA68" i="19" s="1"/>
  <c r="GZ69" i="19" s="1"/>
  <c r="HL66" i="19"/>
  <c r="HL68" i="19" s="1"/>
  <c r="HK69" i="19" s="1"/>
  <c r="HC66" i="19"/>
  <c r="HC68" i="19" s="1"/>
  <c r="HB69" i="19" s="1"/>
  <c r="HH66" i="19"/>
  <c r="HH68" i="19" s="1"/>
  <c r="HG69" i="19" s="1"/>
  <c r="HG66" i="19"/>
  <c r="HG68" i="19" s="1"/>
  <c r="HF69" i="19" s="1"/>
  <c r="GG258" i="19"/>
  <c r="HL258" i="19"/>
  <c r="HM257" i="19" s="1"/>
  <c r="HL248" i="19"/>
  <c r="HM247" i="19" s="1"/>
  <c r="HL250" i="19"/>
  <c r="HM249" i="19" s="1"/>
  <c r="HL252" i="19"/>
  <c r="HL254" i="19"/>
  <c r="HM253" i="19" s="1"/>
  <c r="HL256" i="19"/>
  <c r="HM255" i="19" s="1"/>
  <c r="HL245" i="19"/>
  <c r="HL249" i="19"/>
  <c r="HM248" i="19" s="1"/>
  <c r="HL253" i="19"/>
  <c r="HM252" i="19" s="1"/>
  <c r="HL257" i="19"/>
  <c r="HM256" i="19" s="1"/>
  <c r="HL247" i="19"/>
  <c r="HL255" i="19"/>
  <c r="HM254" i="19" s="1"/>
  <c r="HL251" i="19"/>
  <c r="HM250" i="19" s="1"/>
  <c r="FE417" i="19"/>
  <c r="FE425" i="19" s="1"/>
  <c r="FD425" i="19"/>
  <c r="FD426" i="19" s="1"/>
  <c r="GI186" i="19"/>
  <c r="GH200" i="19"/>
  <c r="HJ197" i="19"/>
  <c r="HK196" i="19" s="1"/>
  <c r="HJ187" i="19"/>
  <c r="HJ188" i="19"/>
  <c r="HK187" i="19" s="1"/>
  <c r="HJ189" i="19"/>
  <c r="HK188" i="19" s="1"/>
  <c r="HJ190" i="19"/>
  <c r="HK189" i="19" s="1"/>
  <c r="HJ191" i="19"/>
  <c r="HJ192" i="19"/>
  <c r="HK191" i="19" s="1"/>
  <c r="HJ193" i="19"/>
  <c r="HK192" i="19" s="1"/>
  <c r="HJ194" i="19"/>
  <c r="HK193" i="19" s="1"/>
  <c r="HJ195" i="19"/>
  <c r="HK194" i="19" s="1"/>
  <c r="HJ196" i="19"/>
  <c r="HK195" i="19" s="1"/>
  <c r="HI204" i="19"/>
  <c r="EA374" i="19"/>
  <c r="DZ388" i="19"/>
  <c r="D30" i="11"/>
  <c r="L69" i="5"/>
  <c r="D121" i="11" s="1"/>
  <c r="GP98" i="19"/>
  <c r="GP97" i="19"/>
  <c r="HY140" i="19"/>
  <c r="HM417" i="19"/>
  <c r="HM425" i="19" s="1"/>
  <c r="HL425" i="19"/>
  <c r="HL426" i="19" s="1"/>
  <c r="FD457" i="19"/>
  <c r="FD458" i="19"/>
  <c r="FE457" i="19" s="1"/>
  <c r="FD459" i="19"/>
  <c r="FE458" i="19" s="1"/>
  <c r="FD460" i="19"/>
  <c r="FE459" i="19" s="1"/>
  <c r="FD461" i="19"/>
  <c r="FE460" i="19" s="1"/>
  <c r="FD462" i="19"/>
  <c r="FD463" i="19"/>
  <c r="FE462" i="19" s="1"/>
  <c r="FD464" i="19"/>
  <c r="FE463" i="19" s="1"/>
  <c r="FD465" i="19"/>
  <c r="FE464" i="19" s="1"/>
  <c r="FD466" i="19"/>
  <c r="FE465" i="19" s="1"/>
  <c r="FD467" i="19"/>
  <c r="FE466" i="19" s="1"/>
  <c r="DY468" i="19"/>
  <c r="FD468" i="19"/>
  <c r="FE467" i="19" s="1"/>
  <c r="FD455" i="19"/>
  <c r="HY69" i="19"/>
  <c r="HS71" i="19"/>
  <c r="HS69" i="19"/>
  <c r="HS72" i="19"/>
  <c r="HX187" i="19"/>
  <c r="HX188" i="19"/>
  <c r="HY187" i="19" s="1"/>
  <c r="HX189" i="19"/>
  <c r="HY188" i="19" s="1"/>
  <c r="HX190" i="19"/>
  <c r="HY189" i="19" s="1"/>
  <c r="HX191" i="19"/>
  <c r="HX192" i="19"/>
  <c r="HY191" i="19" s="1"/>
  <c r="HX193" i="19"/>
  <c r="HY192" i="19" s="1"/>
  <c r="HX194" i="19"/>
  <c r="HY193" i="19" s="1"/>
  <c r="HX195" i="19"/>
  <c r="HY194" i="19" s="1"/>
  <c r="HX196" i="19"/>
  <c r="HY195" i="19" s="1"/>
  <c r="HX197" i="19"/>
  <c r="HY196" i="19" s="1"/>
  <c r="HW204" i="19"/>
  <c r="GI392" i="19"/>
  <c r="GI394" i="19" s="1"/>
  <c r="GH395" i="19" s="1"/>
  <c r="GM392" i="19"/>
  <c r="GM394" i="19" s="1"/>
  <c r="GL395" i="19" s="1"/>
  <c r="GQ392" i="19"/>
  <c r="GQ394" i="19" s="1"/>
  <c r="GP395" i="19" s="1"/>
  <c r="GJ392" i="19"/>
  <c r="GJ394" i="19" s="1"/>
  <c r="GI395" i="19" s="1"/>
  <c r="GN392" i="19"/>
  <c r="GN394" i="19" s="1"/>
  <c r="GM395" i="19" s="1"/>
  <c r="GR392" i="19"/>
  <c r="GR394" i="19" s="1"/>
  <c r="GQ395" i="19" s="1"/>
  <c r="GR395" i="19" s="1"/>
  <c r="GO392" i="19"/>
  <c r="GO394" i="19" s="1"/>
  <c r="GN395" i="19" s="1"/>
  <c r="GL392" i="19"/>
  <c r="GL394" i="19" s="1"/>
  <c r="GK392" i="19"/>
  <c r="GK394" i="19" s="1"/>
  <c r="GJ395" i="19" s="1"/>
  <c r="GH392" i="19"/>
  <c r="GH394" i="19" s="1"/>
  <c r="GP392" i="19"/>
  <c r="GP394" i="19" s="1"/>
  <c r="GO395" i="19" s="1"/>
  <c r="HJ385" i="19"/>
  <c r="HK384" i="19" s="1"/>
  <c r="HI392" i="19"/>
  <c r="HJ379" i="19"/>
  <c r="HJ380" i="19"/>
  <c r="HK379" i="19" s="1"/>
  <c r="HJ381" i="19"/>
  <c r="HK380" i="19" s="1"/>
  <c r="HJ382" i="19"/>
  <c r="HK381" i="19" s="1"/>
  <c r="HJ383" i="19"/>
  <c r="HK382" i="19" s="1"/>
  <c r="HJ384" i="19"/>
  <c r="HK383" i="19" s="1"/>
  <c r="HJ375" i="19"/>
  <c r="HJ376" i="19"/>
  <c r="HK375" i="19" s="1"/>
  <c r="HJ377" i="19"/>
  <c r="HK376" i="19" s="1"/>
  <c r="HJ378" i="19"/>
  <c r="HK377" i="19" s="1"/>
  <c r="GC69" i="19"/>
  <c r="GC72" i="19"/>
  <c r="GO110" i="19"/>
  <c r="GP109" i="19" s="1"/>
  <c r="GO112" i="19"/>
  <c r="GO114" i="19"/>
  <c r="GP113" i="19" s="1"/>
  <c r="GO116" i="19"/>
  <c r="GP115" i="19" s="1"/>
  <c r="GO118" i="19"/>
  <c r="GP117" i="19" s="1"/>
  <c r="GO107" i="19"/>
  <c r="GO109" i="19"/>
  <c r="GP108" i="19" s="1"/>
  <c r="GO113" i="19"/>
  <c r="GP112" i="19" s="1"/>
  <c r="GO117" i="19"/>
  <c r="GP116" i="19" s="1"/>
  <c r="GO119" i="19"/>
  <c r="GO115" i="19"/>
  <c r="GP114" i="19" s="1"/>
  <c r="GO111" i="19"/>
  <c r="GP110" i="19" s="1"/>
  <c r="GO108" i="19"/>
  <c r="GP107" i="19" s="1"/>
  <c r="DZ285" i="19"/>
  <c r="FR142" i="19" s="1"/>
  <c r="DZ284" i="19"/>
  <c r="EA204" i="19"/>
  <c r="EA206" i="19" s="1"/>
  <c r="DZ207" i="19" s="1"/>
  <c r="EE204" i="19"/>
  <c r="EE206" i="19" s="1"/>
  <c r="ED207" i="19" s="1"/>
  <c r="EI204" i="19"/>
  <c r="EI206" i="19" s="1"/>
  <c r="EH207" i="19" s="1"/>
  <c r="EB204" i="19"/>
  <c r="EB206" i="19" s="1"/>
  <c r="EA207" i="19" s="1"/>
  <c r="EF204" i="19"/>
  <c r="EF206" i="19" s="1"/>
  <c r="EE207" i="19" s="1"/>
  <c r="EJ204" i="19"/>
  <c r="EJ206" i="19" s="1"/>
  <c r="EI207" i="19" s="1"/>
  <c r="EJ207" i="19" s="1"/>
  <c r="EC204" i="19"/>
  <c r="EC206" i="19" s="1"/>
  <c r="EB207" i="19" s="1"/>
  <c r="ED204" i="19"/>
  <c r="ED206" i="19" s="1"/>
  <c r="EG204" i="19"/>
  <c r="EG206" i="19" s="1"/>
  <c r="EF207" i="19" s="1"/>
  <c r="EH204" i="19"/>
  <c r="EH206" i="19" s="1"/>
  <c r="EG207" i="19" s="1"/>
  <c r="DZ204" i="19"/>
  <c r="DZ206" i="19" s="1"/>
  <c r="FP187" i="19"/>
  <c r="FP188" i="19"/>
  <c r="FQ187" i="19" s="1"/>
  <c r="FP189" i="19"/>
  <c r="FQ188" i="19" s="1"/>
  <c r="FP190" i="19"/>
  <c r="FQ189" i="19" s="1"/>
  <c r="FP191" i="19"/>
  <c r="FP192" i="19"/>
  <c r="FQ191" i="19" s="1"/>
  <c r="FP193" i="19"/>
  <c r="FQ192" i="19" s="1"/>
  <c r="FP194" i="19"/>
  <c r="FQ193" i="19" s="1"/>
  <c r="FP195" i="19"/>
  <c r="FQ194" i="19" s="1"/>
  <c r="FP196" i="19"/>
  <c r="FQ195" i="19" s="1"/>
  <c r="FP197" i="19"/>
  <c r="FQ196" i="19" s="1"/>
  <c r="FO204" i="19"/>
  <c r="G329" i="5"/>
  <c r="G307" i="5" s="1"/>
  <c r="DY24" i="19"/>
  <c r="F329" i="5" s="1"/>
  <c r="GH262" i="19"/>
  <c r="GH263" i="19"/>
  <c r="HZ141" i="19" s="1"/>
  <c r="FT104" i="19"/>
  <c r="FS86" i="19"/>
  <c r="FS87" i="19"/>
  <c r="FT86" i="19" s="1"/>
  <c r="FS88" i="19"/>
  <c r="FT87" i="19" s="1"/>
  <c r="FS89" i="19"/>
  <c r="FT88" i="19" s="1"/>
  <c r="FS90" i="19"/>
  <c r="FT89" i="19" s="1"/>
  <c r="FS91" i="19"/>
  <c r="FS92" i="19"/>
  <c r="FT91" i="19" s="1"/>
  <c r="FS93" i="19"/>
  <c r="FT92" i="19" s="1"/>
  <c r="FS94" i="19"/>
  <c r="FT93" i="19" s="1"/>
  <c r="FS95" i="19"/>
  <c r="FT94" i="19" s="1"/>
  <c r="FS96" i="19"/>
  <c r="FT95" i="19" s="1"/>
  <c r="FS97" i="19"/>
  <c r="FT96" i="19" s="1"/>
  <c r="FS98" i="19"/>
  <c r="DZ495" i="19"/>
  <c r="FR331" i="19" s="1"/>
  <c r="DZ494" i="19"/>
  <c r="FE229" i="19"/>
  <c r="FE237" i="19" s="1"/>
  <c r="FD237" i="19"/>
  <c r="FD238" i="19" s="1"/>
  <c r="Q82" i="5"/>
  <c r="N82" i="5" s="1"/>
  <c r="L82" i="5" s="1"/>
  <c r="I82" i="5" s="1"/>
  <c r="E73" i="13" s="1"/>
  <c r="G73" i="13" s="1"/>
  <c r="GZ44" i="19"/>
  <c r="GY62" i="19"/>
  <c r="GG302" i="19"/>
  <c r="HL302" i="19"/>
  <c r="HM301" i="19" s="1"/>
  <c r="HL292" i="19"/>
  <c r="HM291" i="19" s="1"/>
  <c r="HL294" i="19"/>
  <c r="HM293" i="19" s="1"/>
  <c r="HL296" i="19"/>
  <c r="HL298" i="19"/>
  <c r="HM297" i="19" s="1"/>
  <c r="HL300" i="19"/>
  <c r="HM299" i="19" s="1"/>
  <c r="HL289" i="19"/>
  <c r="HL293" i="19"/>
  <c r="HM292" i="19" s="1"/>
  <c r="HL297" i="19"/>
  <c r="HM296" i="19" s="1"/>
  <c r="HL301" i="19"/>
  <c r="HM300" i="19" s="1"/>
  <c r="HL291" i="19"/>
  <c r="HL299" i="19"/>
  <c r="HM298" i="19" s="1"/>
  <c r="HL295" i="19"/>
  <c r="HM294" i="19" s="1"/>
  <c r="HY328" i="19"/>
  <c r="FD479" i="19"/>
  <c r="FD480" i="19"/>
  <c r="FE479" i="19" s="1"/>
  <c r="FD481" i="19"/>
  <c r="FE480" i="19" s="1"/>
  <c r="FD482" i="19"/>
  <c r="FE481" i="19" s="1"/>
  <c r="FD483" i="19"/>
  <c r="FE482" i="19" s="1"/>
  <c r="FD484" i="19"/>
  <c r="FD485" i="19"/>
  <c r="FE484" i="19" s="1"/>
  <c r="FD486" i="19"/>
  <c r="FE485" i="19" s="1"/>
  <c r="FD487" i="19"/>
  <c r="FE486" i="19" s="1"/>
  <c r="FD488" i="19"/>
  <c r="FE487" i="19" s="1"/>
  <c r="FD489" i="19"/>
  <c r="FE488" i="19" s="1"/>
  <c r="DY490" i="19"/>
  <c r="FD490" i="19"/>
  <c r="FE489" i="19" s="1"/>
  <c r="FD477" i="19"/>
  <c r="HT71" i="19" l="1"/>
  <c r="EA199" i="19"/>
  <c r="EA200" i="19" s="1"/>
  <c r="IE101" i="19"/>
  <c r="IF101" i="19" s="1"/>
  <c r="IG83" i="19" s="1"/>
  <c r="HL238" i="19"/>
  <c r="HM238" i="19" s="1"/>
  <c r="HN238" i="19" s="1"/>
  <c r="GH242" i="19" s="1"/>
  <c r="GZ61" i="19"/>
  <c r="GZ62" i="19" s="1"/>
  <c r="HM426" i="19"/>
  <c r="HN426" i="19" s="1"/>
  <c r="GH430" i="19" s="1"/>
  <c r="GF62" i="19"/>
  <c r="GF63" i="19" s="1"/>
  <c r="GJ41" i="19" s="1"/>
  <c r="FR53" i="19" s="1"/>
  <c r="FR50" i="19" s="1"/>
  <c r="GE63" i="19"/>
  <c r="GJ42" i="19" s="1"/>
  <c r="FQ50" i="19" s="1"/>
  <c r="EA27" i="19" s="1"/>
  <c r="H332" i="5" s="1"/>
  <c r="H308" i="5" s="1"/>
  <c r="FE238" i="19"/>
  <c r="FF238" i="19" s="1"/>
  <c r="DZ242" i="19" s="1"/>
  <c r="EA387" i="19"/>
  <c r="EA388" i="19" s="1"/>
  <c r="HM295" i="19"/>
  <c r="HM303" i="19" s="1"/>
  <c r="HL303" i="19"/>
  <c r="FT90" i="19"/>
  <c r="FS100" i="19"/>
  <c r="HK378" i="19"/>
  <c r="HJ387" i="19"/>
  <c r="HK186" i="19"/>
  <c r="HJ200" i="19"/>
  <c r="HK97" i="19"/>
  <c r="HK98" i="19"/>
  <c r="HK85" i="19"/>
  <c r="HK100" i="19"/>
  <c r="FE295" i="19"/>
  <c r="FE303" i="19" s="1"/>
  <c r="FD303" i="19"/>
  <c r="FC190" i="19"/>
  <c r="FB199" i="19"/>
  <c r="FQ378" i="19"/>
  <c r="FP387" i="19"/>
  <c r="HY330" i="19"/>
  <c r="GW186" i="19"/>
  <c r="GV200" i="19"/>
  <c r="FQ331" i="19"/>
  <c r="GP119" i="19"/>
  <c r="GP118" i="19"/>
  <c r="GP111" i="19"/>
  <c r="GO121" i="19"/>
  <c r="GX69" i="19"/>
  <c r="GX72" i="19"/>
  <c r="IF106" i="19"/>
  <c r="IF121" i="19"/>
  <c r="HJ107" i="19"/>
  <c r="HJ108" i="19"/>
  <c r="HK107" i="19" s="1"/>
  <c r="HJ109" i="19"/>
  <c r="HK108" i="19" s="1"/>
  <c r="HJ110" i="19"/>
  <c r="HK109" i="19" s="1"/>
  <c r="HJ111" i="19"/>
  <c r="HK110" i="19" s="1"/>
  <c r="HJ112" i="19"/>
  <c r="HJ113" i="19"/>
  <c r="HK112" i="19" s="1"/>
  <c r="HJ114" i="19"/>
  <c r="HK113" i="19" s="1"/>
  <c r="HJ115" i="19"/>
  <c r="HK114" i="19" s="1"/>
  <c r="HJ116" i="19"/>
  <c r="HK115" i="19" s="1"/>
  <c r="HJ117" i="19"/>
  <c r="HK116" i="19" s="1"/>
  <c r="HJ118" i="19"/>
  <c r="HK117" i="19" s="1"/>
  <c r="HJ119" i="19"/>
  <c r="HK90" i="19"/>
  <c r="HJ100" i="19"/>
  <c r="GG207" i="19"/>
  <c r="GG210" i="19"/>
  <c r="EC395" i="19"/>
  <c r="DY397" i="19"/>
  <c r="FS107" i="19"/>
  <c r="FS108" i="19"/>
  <c r="FT107" i="19" s="1"/>
  <c r="FS109" i="19"/>
  <c r="FT108" i="19" s="1"/>
  <c r="FS110" i="19"/>
  <c r="FT109" i="19" s="1"/>
  <c r="FS111" i="19"/>
  <c r="FT110" i="19" s="1"/>
  <c r="FS112" i="19"/>
  <c r="FS113" i="19"/>
  <c r="FT112" i="19" s="1"/>
  <c r="FS114" i="19"/>
  <c r="FT113" i="19" s="1"/>
  <c r="FS115" i="19"/>
  <c r="FT114" i="19" s="1"/>
  <c r="FS116" i="19"/>
  <c r="FT115" i="19" s="1"/>
  <c r="FS117" i="19"/>
  <c r="FT116" i="19" s="1"/>
  <c r="FS118" i="19"/>
  <c r="FT117" i="19" s="1"/>
  <c r="FS119" i="19"/>
  <c r="FQ190" i="19"/>
  <c r="FP199" i="19"/>
  <c r="FQ186" i="19"/>
  <c r="FP200" i="19"/>
  <c r="EC207" i="19"/>
  <c r="DY209" i="19"/>
  <c r="FQ142" i="19"/>
  <c r="HK374" i="19"/>
  <c r="HJ388" i="19"/>
  <c r="GK395" i="19"/>
  <c r="GG397" i="19"/>
  <c r="HY204" i="19"/>
  <c r="HY206" i="19" s="1"/>
  <c r="HX207" i="19" s="1"/>
  <c r="IC204" i="19"/>
  <c r="IC206" i="19" s="1"/>
  <c r="IB207" i="19" s="1"/>
  <c r="IG204" i="19"/>
  <c r="IG206" i="19" s="1"/>
  <c r="IF207" i="19" s="1"/>
  <c r="HZ204" i="19"/>
  <c r="HZ206" i="19" s="1"/>
  <c r="HY207" i="19" s="1"/>
  <c r="ID204" i="19"/>
  <c r="ID206" i="19" s="1"/>
  <c r="IC207" i="19" s="1"/>
  <c r="IH204" i="19"/>
  <c r="IH206" i="19" s="1"/>
  <c r="IG207" i="19" s="1"/>
  <c r="IH207" i="19" s="1"/>
  <c r="IE204" i="19"/>
  <c r="IE206" i="19" s="1"/>
  <c r="ID207" i="19" s="1"/>
  <c r="HX204" i="19"/>
  <c r="HX206" i="19" s="1"/>
  <c r="IF204" i="19"/>
  <c r="IF206" i="19" s="1"/>
  <c r="IE207" i="19" s="1"/>
  <c r="IB204" i="19"/>
  <c r="IB206" i="19" s="1"/>
  <c r="IA204" i="19"/>
  <c r="IA206" i="19" s="1"/>
  <c r="HZ207" i="19" s="1"/>
  <c r="FE461" i="19"/>
  <c r="FE469" i="19" s="1"/>
  <c r="FD469" i="19"/>
  <c r="B306" i="5"/>
  <c r="HK204" i="19"/>
  <c r="HK206" i="19" s="1"/>
  <c r="HJ207" i="19" s="1"/>
  <c r="HO204" i="19"/>
  <c r="HO206" i="19" s="1"/>
  <c r="HN207" i="19" s="1"/>
  <c r="HL204" i="19"/>
  <c r="HL206" i="19" s="1"/>
  <c r="HK207" i="19" s="1"/>
  <c r="HP204" i="19"/>
  <c r="HP206" i="19" s="1"/>
  <c r="HO207" i="19" s="1"/>
  <c r="HM204" i="19"/>
  <c r="HM206" i="19" s="1"/>
  <c r="HL207" i="19" s="1"/>
  <c r="HS204" i="19"/>
  <c r="HS206" i="19" s="1"/>
  <c r="HR207" i="19" s="1"/>
  <c r="HN204" i="19"/>
  <c r="HN206" i="19" s="1"/>
  <c r="HT204" i="19"/>
  <c r="HT206" i="19" s="1"/>
  <c r="HS207" i="19" s="1"/>
  <c r="HT207" i="19" s="1"/>
  <c r="HJ204" i="19"/>
  <c r="HJ206" i="19" s="1"/>
  <c r="HQ204" i="19"/>
  <c r="HQ206" i="19" s="1"/>
  <c r="HP207" i="19" s="1"/>
  <c r="HR204" i="19"/>
  <c r="HR206" i="19" s="1"/>
  <c r="HQ207" i="19" s="1"/>
  <c r="HM461" i="19"/>
  <c r="HM469" i="19" s="1"/>
  <c r="HL469" i="19"/>
  <c r="EO190" i="19"/>
  <c r="EN199" i="19"/>
  <c r="EO186" i="19"/>
  <c r="EN200" i="19"/>
  <c r="IF118" i="19"/>
  <c r="IF119" i="19"/>
  <c r="HM439" i="19"/>
  <c r="HM447" i="19" s="1"/>
  <c r="HL447" i="19"/>
  <c r="EO378" i="19"/>
  <c r="EN387" i="19"/>
  <c r="EO374" i="19"/>
  <c r="EN388" i="19"/>
  <c r="HY378" i="19"/>
  <c r="HX387" i="19"/>
  <c r="HY374" i="19"/>
  <c r="HX388" i="19"/>
  <c r="GW378" i="19"/>
  <c r="GV387" i="19"/>
  <c r="GW374" i="19"/>
  <c r="GV388" i="19"/>
  <c r="GK207" i="19"/>
  <c r="GG209" i="19"/>
  <c r="FQ330" i="19"/>
  <c r="FC204" i="19"/>
  <c r="FC206" i="19" s="1"/>
  <c r="FB207" i="19" s="1"/>
  <c r="FG204" i="19"/>
  <c r="FG206" i="19" s="1"/>
  <c r="FF207" i="19" s="1"/>
  <c r="FK204" i="19"/>
  <c r="FK206" i="19" s="1"/>
  <c r="FJ207" i="19" s="1"/>
  <c r="FD204" i="19"/>
  <c r="FD206" i="19" s="1"/>
  <c r="FC207" i="19" s="1"/>
  <c r="FH204" i="19"/>
  <c r="FH206" i="19" s="1"/>
  <c r="FG207" i="19" s="1"/>
  <c r="FL204" i="19"/>
  <c r="FL206" i="19" s="1"/>
  <c r="FK207" i="19" s="1"/>
  <c r="FL207" i="19" s="1"/>
  <c r="FE204" i="19"/>
  <c r="FE206" i="19" s="1"/>
  <c r="FD207" i="19" s="1"/>
  <c r="FF204" i="19"/>
  <c r="FF206" i="19" s="1"/>
  <c r="FB204" i="19"/>
  <c r="FB206" i="19" s="1"/>
  <c r="FJ204" i="19"/>
  <c r="FJ206" i="19" s="1"/>
  <c r="FI207" i="19" s="1"/>
  <c r="FI204" i="19"/>
  <c r="FI206" i="19" s="1"/>
  <c r="FH207" i="19" s="1"/>
  <c r="FQ141" i="19"/>
  <c r="FQ329" i="19"/>
  <c r="FC392" i="19"/>
  <c r="FC394" i="19" s="1"/>
  <c r="FB395" i="19" s="1"/>
  <c r="FG392" i="19"/>
  <c r="FG394" i="19" s="1"/>
  <c r="FF395" i="19" s="1"/>
  <c r="FK392" i="19"/>
  <c r="FK394" i="19" s="1"/>
  <c r="FJ395" i="19" s="1"/>
  <c r="FD392" i="19"/>
  <c r="FD394" i="19" s="1"/>
  <c r="FC395" i="19" s="1"/>
  <c r="FH392" i="19"/>
  <c r="FH394" i="19" s="1"/>
  <c r="FG395" i="19" s="1"/>
  <c r="FL392" i="19"/>
  <c r="FL394" i="19" s="1"/>
  <c r="FK395" i="19" s="1"/>
  <c r="FL395" i="19" s="1"/>
  <c r="FI392" i="19"/>
  <c r="FI394" i="19" s="1"/>
  <c r="FH395" i="19" s="1"/>
  <c r="FB392" i="19"/>
  <c r="FB394" i="19" s="1"/>
  <c r="FJ392" i="19"/>
  <c r="FJ394" i="19" s="1"/>
  <c r="FI395" i="19" s="1"/>
  <c r="FF392" i="19"/>
  <c r="FF394" i="19" s="1"/>
  <c r="FE392" i="19"/>
  <c r="FE394" i="19" s="1"/>
  <c r="FD395" i="19" s="1"/>
  <c r="GW204" i="19"/>
  <c r="GW206" i="19" s="1"/>
  <c r="GV207" i="19" s="1"/>
  <c r="HA204" i="19"/>
  <c r="HA206" i="19" s="1"/>
  <c r="GZ207" i="19" s="1"/>
  <c r="HE204" i="19"/>
  <c r="HE206" i="19" s="1"/>
  <c r="HD207" i="19" s="1"/>
  <c r="GX204" i="19"/>
  <c r="GX206" i="19" s="1"/>
  <c r="GW207" i="19" s="1"/>
  <c r="HB204" i="19"/>
  <c r="HB206" i="19" s="1"/>
  <c r="HA207" i="19" s="1"/>
  <c r="HF204" i="19"/>
  <c r="HF206" i="19" s="1"/>
  <c r="HE207" i="19" s="1"/>
  <c r="HF207" i="19" s="1"/>
  <c r="HC204" i="19"/>
  <c r="HC206" i="19" s="1"/>
  <c r="HB207" i="19" s="1"/>
  <c r="GV204" i="19"/>
  <c r="GV206" i="19" s="1"/>
  <c r="HD204" i="19"/>
  <c r="HD206" i="19" s="1"/>
  <c r="HC207" i="19" s="1"/>
  <c r="GY204" i="19"/>
  <c r="GY206" i="19" s="1"/>
  <c r="GX207" i="19" s="1"/>
  <c r="GZ204" i="19"/>
  <c r="GZ206" i="19" s="1"/>
  <c r="FE426" i="19"/>
  <c r="HT74" i="19"/>
  <c r="GI387" i="19"/>
  <c r="GI388" i="19" s="1"/>
  <c r="GD71" i="19"/>
  <c r="GD74" i="19" s="1"/>
  <c r="HY141" i="19"/>
  <c r="GG395" i="19"/>
  <c r="GG398" i="19"/>
  <c r="HK190" i="19"/>
  <c r="HJ199" i="19"/>
  <c r="FG69" i="19"/>
  <c r="FG72" i="19"/>
  <c r="EO204" i="19"/>
  <c r="EO206" i="19" s="1"/>
  <c r="EN207" i="19" s="1"/>
  <c r="ES204" i="19"/>
  <c r="ES206" i="19" s="1"/>
  <c r="ER207" i="19" s="1"/>
  <c r="EW204" i="19"/>
  <c r="EW206" i="19" s="1"/>
  <c r="EV207" i="19" s="1"/>
  <c r="EP204" i="19"/>
  <c r="EP206" i="19" s="1"/>
  <c r="EO207" i="19" s="1"/>
  <c r="ET204" i="19"/>
  <c r="ET206" i="19" s="1"/>
  <c r="ES207" i="19" s="1"/>
  <c r="EX204" i="19"/>
  <c r="EX206" i="19" s="1"/>
  <c r="EW207" i="19" s="1"/>
  <c r="EX207" i="19" s="1"/>
  <c r="EU204" i="19"/>
  <c r="EU206" i="19" s="1"/>
  <c r="ET207" i="19" s="1"/>
  <c r="EN204" i="19"/>
  <c r="EN206" i="19" s="1"/>
  <c r="EV204" i="19"/>
  <c r="EV206" i="19" s="1"/>
  <c r="EU207" i="19" s="1"/>
  <c r="EQ204" i="19"/>
  <c r="EQ206" i="19" s="1"/>
  <c r="EP207" i="19" s="1"/>
  <c r="ER204" i="19"/>
  <c r="ER206" i="19" s="1"/>
  <c r="IF111" i="19"/>
  <c r="IE121" i="19"/>
  <c r="HY329" i="19"/>
  <c r="HY142" i="19"/>
  <c r="FC186" i="19"/>
  <c r="FB200" i="19"/>
  <c r="FQ374" i="19"/>
  <c r="FP388" i="19"/>
  <c r="FE273" i="19"/>
  <c r="FE281" i="19" s="1"/>
  <c r="FD281" i="19"/>
  <c r="GW190" i="19"/>
  <c r="GV199" i="19"/>
  <c r="FE483" i="19"/>
  <c r="FE491" i="19" s="1"/>
  <c r="FD491" i="19"/>
  <c r="FQ204" i="19"/>
  <c r="FQ206" i="19" s="1"/>
  <c r="FP207" i="19" s="1"/>
  <c r="FU204" i="19"/>
  <c r="FU206" i="19" s="1"/>
  <c r="FT207" i="19" s="1"/>
  <c r="FY204" i="19"/>
  <c r="FY206" i="19" s="1"/>
  <c r="FX207" i="19" s="1"/>
  <c r="FR204" i="19"/>
  <c r="FR206" i="19" s="1"/>
  <c r="FQ207" i="19" s="1"/>
  <c r="FV204" i="19"/>
  <c r="FV206" i="19" s="1"/>
  <c r="FU207" i="19" s="1"/>
  <c r="FZ204" i="19"/>
  <c r="FZ206" i="19" s="1"/>
  <c r="FY207" i="19" s="1"/>
  <c r="FZ207" i="19" s="1"/>
  <c r="FW204" i="19"/>
  <c r="FW206" i="19" s="1"/>
  <c r="FV207" i="19" s="1"/>
  <c r="FP204" i="19"/>
  <c r="FP206" i="19" s="1"/>
  <c r="FX204" i="19"/>
  <c r="FX206" i="19" s="1"/>
  <c r="FW207" i="19" s="1"/>
  <c r="FS204" i="19"/>
  <c r="FS206" i="19" s="1"/>
  <c r="FR207" i="19" s="1"/>
  <c r="FT204" i="19"/>
  <c r="FT206" i="19" s="1"/>
  <c r="DY207" i="19"/>
  <c r="DY210" i="19"/>
  <c r="GP106" i="19"/>
  <c r="GP121" i="19"/>
  <c r="HM251" i="19"/>
  <c r="HM259" i="19" s="1"/>
  <c r="HL259" i="19"/>
  <c r="FM69" i="19"/>
  <c r="FG71" i="19"/>
  <c r="FE251" i="19"/>
  <c r="FE259" i="19" s="1"/>
  <c r="FD259" i="19"/>
  <c r="EO392" i="19"/>
  <c r="EO394" i="19" s="1"/>
  <c r="EN395" i="19" s="1"/>
  <c r="ES392" i="19"/>
  <c r="ES394" i="19" s="1"/>
  <c r="ER395" i="19" s="1"/>
  <c r="EW392" i="19"/>
  <c r="EW394" i="19" s="1"/>
  <c r="EV395" i="19" s="1"/>
  <c r="EP392" i="19"/>
  <c r="EP394" i="19" s="1"/>
  <c r="EO395" i="19" s="1"/>
  <c r="ET392" i="19"/>
  <c r="ET394" i="19" s="1"/>
  <c r="ES395" i="19" s="1"/>
  <c r="EX392" i="19"/>
  <c r="EX394" i="19" s="1"/>
  <c r="EW395" i="19" s="1"/>
  <c r="EX395" i="19" s="1"/>
  <c r="EQ392" i="19"/>
  <c r="EQ394" i="19" s="1"/>
  <c r="EP395" i="19" s="1"/>
  <c r="EV392" i="19"/>
  <c r="EV394" i="19" s="1"/>
  <c r="EU395" i="19" s="1"/>
  <c r="EU392" i="19"/>
  <c r="EU394" i="19" s="1"/>
  <c r="ET395" i="19" s="1"/>
  <c r="ER392" i="19"/>
  <c r="ER394" i="19" s="1"/>
  <c r="EN392" i="19"/>
  <c r="EN394" i="19" s="1"/>
  <c r="HY392" i="19"/>
  <c r="HY394" i="19" s="1"/>
  <c r="HX395" i="19" s="1"/>
  <c r="IC392" i="19"/>
  <c r="IC394" i="19" s="1"/>
  <c r="IB395" i="19" s="1"/>
  <c r="IG392" i="19"/>
  <c r="IG394" i="19" s="1"/>
  <c r="IF395" i="19" s="1"/>
  <c r="HZ392" i="19"/>
  <c r="HZ394" i="19" s="1"/>
  <c r="HY395" i="19" s="1"/>
  <c r="ID392" i="19"/>
  <c r="ID394" i="19" s="1"/>
  <c r="IC395" i="19" s="1"/>
  <c r="IH392" i="19"/>
  <c r="IH394" i="19" s="1"/>
  <c r="IG395" i="19" s="1"/>
  <c r="IH395" i="19" s="1"/>
  <c r="IA392" i="19"/>
  <c r="IA394" i="19" s="1"/>
  <c r="HZ395" i="19" s="1"/>
  <c r="HX392" i="19"/>
  <c r="HX394" i="19" s="1"/>
  <c r="IB392" i="19"/>
  <c r="IB394" i="19" s="1"/>
  <c r="IF392" i="19"/>
  <c r="IF394" i="19" s="1"/>
  <c r="IE395" i="19" s="1"/>
  <c r="IE392" i="19"/>
  <c r="IE394" i="19" s="1"/>
  <c r="ID395" i="19" s="1"/>
  <c r="GW392" i="19"/>
  <c r="GW394" i="19" s="1"/>
  <c r="GV395" i="19" s="1"/>
  <c r="HA392" i="19"/>
  <c r="HA394" i="19" s="1"/>
  <c r="GZ395" i="19" s="1"/>
  <c r="HE392" i="19"/>
  <c r="HE394" i="19" s="1"/>
  <c r="HD395" i="19" s="1"/>
  <c r="GX392" i="19"/>
  <c r="GX394" i="19" s="1"/>
  <c r="GW395" i="19" s="1"/>
  <c r="HB392" i="19"/>
  <c r="HB394" i="19" s="1"/>
  <c r="HA395" i="19" s="1"/>
  <c r="HF392" i="19"/>
  <c r="HF394" i="19" s="1"/>
  <c r="HE395" i="19" s="1"/>
  <c r="HF395" i="19" s="1"/>
  <c r="GY392" i="19"/>
  <c r="GY394" i="19" s="1"/>
  <c r="GX395" i="19" s="1"/>
  <c r="HD392" i="19"/>
  <c r="HD394" i="19" s="1"/>
  <c r="HC395" i="19" s="1"/>
  <c r="HC392" i="19"/>
  <c r="HC394" i="19" s="1"/>
  <c r="HB395" i="19" s="1"/>
  <c r="GZ392" i="19"/>
  <c r="GZ394" i="19" s="1"/>
  <c r="GV392" i="19"/>
  <c r="GV394" i="19" s="1"/>
  <c r="HY331" i="19"/>
  <c r="FE439" i="19"/>
  <c r="FE447" i="19" s="1"/>
  <c r="FD447" i="19"/>
  <c r="FT97" i="19"/>
  <c r="FT98" i="19"/>
  <c r="FT85" i="19"/>
  <c r="FT100" i="19"/>
  <c r="HK392" i="19"/>
  <c r="HK394" i="19" s="1"/>
  <c r="HJ395" i="19" s="1"/>
  <c r="HO392" i="19"/>
  <c r="HO394" i="19" s="1"/>
  <c r="HN395" i="19" s="1"/>
  <c r="HS392" i="19"/>
  <c r="HS394" i="19" s="1"/>
  <c r="HR395" i="19" s="1"/>
  <c r="HL392" i="19"/>
  <c r="HL394" i="19" s="1"/>
  <c r="HK395" i="19" s="1"/>
  <c r="HP392" i="19"/>
  <c r="HP394" i="19" s="1"/>
  <c r="HO395" i="19" s="1"/>
  <c r="HT392" i="19"/>
  <c r="HT394" i="19" s="1"/>
  <c r="HS395" i="19" s="1"/>
  <c r="HT395" i="19" s="1"/>
  <c r="HQ392" i="19"/>
  <c r="HQ394" i="19" s="1"/>
  <c r="HP395" i="19" s="1"/>
  <c r="HJ392" i="19"/>
  <c r="HJ394" i="19" s="1"/>
  <c r="HR392" i="19"/>
  <c r="HR394" i="19" s="1"/>
  <c r="HQ395" i="19" s="1"/>
  <c r="HN392" i="19"/>
  <c r="HN394" i="19" s="1"/>
  <c r="HM392" i="19"/>
  <c r="HM394" i="19" s="1"/>
  <c r="HL395" i="19" s="1"/>
  <c r="HY190" i="19"/>
  <c r="HX199" i="19"/>
  <c r="HY186" i="19"/>
  <c r="HX200" i="19"/>
  <c r="HD69" i="19"/>
  <c r="GX71" i="19"/>
  <c r="HV62" i="19"/>
  <c r="HV63" i="19" s="1"/>
  <c r="HU63" i="19"/>
  <c r="IA42" i="19" s="1"/>
  <c r="HH50" i="19" s="1"/>
  <c r="EA23" i="19" s="1"/>
  <c r="H328" i="5" s="1"/>
  <c r="H306" i="5" s="1"/>
  <c r="C72" i="13"/>
  <c r="AC80" i="11"/>
  <c r="HM273" i="19"/>
  <c r="HM281" i="19" s="1"/>
  <c r="HL281" i="19"/>
  <c r="HM483" i="19"/>
  <c r="HM491" i="19" s="1"/>
  <c r="HL491" i="19"/>
  <c r="HY143" i="19"/>
  <c r="FQ392" i="19"/>
  <c r="FQ394" i="19" s="1"/>
  <c r="FP395" i="19" s="1"/>
  <c r="FU392" i="19"/>
  <c r="FU394" i="19" s="1"/>
  <c r="FT395" i="19" s="1"/>
  <c r="FY392" i="19"/>
  <c r="FY394" i="19" s="1"/>
  <c r="FX395" i="19" s="1"/>
  <c r="FR392" i="19"/>
  <c r="FR394" i="19" s="1"/>
  <c r="FQ395" i="19" s="1"/>
  <c r="FV392" i="19"/>
  <c r="FV394" i="19" s="1"/>
  <c r="FU395" i="19" s="1"/>
  <c r="FZ392" i="19"/>
  <c r="FZ394" i="19" s="1"/>
  <c r="FY395" i="19" s="1"/>
  <c r="FZ395" i="19" s="1"/>
  <c r="FS392" i="19"/>
  <c r="FS394" i="19" s="1"/>
  <c r="FR395" i="19" s="1"/>
  <c r="FP392" i="19"/>
  <c r="FP394" i="19" s="1"/>
  <c r="FT392" i="19"/>
  <c r="FT394" i="19" s="1"/>
  <c r="FX392" i="19"/>
  <c r="FX394" i="19" s="1"/>
  <c r="FW395" i="19" s="1"/>
  <c r="FW392" i="19"/>
  <c r="FW394" i="19" s="1"/>
  <c r="FV395" i="19" s="1"/>
  <c r="FQ143" i="19"/>
  <c r="FC378" i="19"/>
  <c r="FB387" i="19"/>
  <c r="FC374" i="19"/>
  <c r="FB388" i="19"/>
  <c r="DY395" i="19"/>
  <c r="DY398" i="19"/>
  <c r="FI61" i="19"/>
  <c r="FI62" i="19" s="1"/>
  <c r="GO101" i="19"/>
  <c r="GP101" i="19" s="1"/>
  <c r="GI199" i="19"/>
  <c r="GI200" i="19" s="1"/>
  <c r="HL492" i="19" l="1"/>
  <c r="HM492" i="19" s="1"/>
  <c r="GG491" i="19" s="1"/>
  <c r="HY387" i="19"/>
  <c r="HY388" i="19" s="1"/>
  <c r="HY389" i="19" s="1"/>
  <c r="HS331" i="19" s="1"/>
  <c r="FH71" i="19"/>
  <c r="FH74" i="19" s="1"/>
  <c r="HL260" i="19"/>
  <c r="HM260" i="19" s="1"/>
  <c r="GG259" i="19" s="1"/>
  <c r="FD492" i="19"/>
  <c r="FE492" i="19" s="1"/>
  <c r="FK336" i="19" s="1"/>
  <c r="GY71" i="19"/>
  <c r="GY74" i="19" s="1"/>
  <c r="FQ387" i="19"/>
  <c r="FQ388" i="19" s="1"/>
  <c r="FR388" i="19" s="1"/>
  <c r="FR389" i="19" s="1"/>
  <c r="FL331" i="19" s="1"/>
  <c r="FD334" i="19" s="1"/>
  <c r="EC337" i="19" s="1"/>
  <c r="EB35" i="19" s="1"/>
  <c r="HY199" i="19"/>
  <c r="HY200" i="19" s="1"/>
  <c r="HK387" i="19"/>
  <c r="HK388" i="19" s="1"/>
  <c r="HL304" i="19"/>
  <c r="HM304" i="19" s="1"/>
  <c r="FC387" i="19"/>
  <c r="FC388" i="19" s="1"/>
  <c r="FD304" i="19"/>
  <c r="FE304" i="19" s="1"/>
  <c r="FF304" i="19" s="1"/>
  <c r="DZ308" i="19" s="1"/>
  <c r="HK199" i="19"/>
  <c r="HK200" i="19" s="1"/>
  <c r="GZ63" i="19"/>
  <c r="HF42" i="19" s="1"/>
  <c r="HH51" i="19" s="1"/>
  <c r="EA24" i="19" s="1"/>
  <c r="H329" i="5" s="1"/>
  <c r="H307" i="5" s="1"/>
  <c r="HA62" i="19"/>
  <c r="HA63" i="19" s="1"/>
  <c r="HF41" i="19" s="1"/>
  <c r="HI54" i="19" s="1"/>
  <c r="HI51" i="19" s="1"/>
  <c r="HL282" i="19"/>
  <c r="HM282" i="19" s="1"/>
  <c r="HN282" i="19" s="1"/>
  <c r="GH286" i="19" s="1"/>
  <c r="HS145" i="19"/>
  <c r="FD282" i="19"/>
  <c r="FE282" i="19" s="1"/>
  <c r="FC199" i="19"/>
  <c r="FC200" i="19" s="1"/>
  <c r="FC201" i="19" s="1"/>
  <c r="FK142" i="19" s="1"/>
  <c r="GG425" i="19"/>
  <c r="FD260" i="19"/>
  <c r="FE260" i="19" s="1"/>
  <c r="GW199" i="19"/>
  <c r="GW200" i="19" s="1"/>
  <c r="GW387" i="19"/>
  <c r="GW388" i="19" s="1"/>
  <c r="GX388" i="19" s="1"/>
  <c r="GX389" i="19" s="1"/>
  <c r="HT329" i="19" s="1"/>
  <c r="HL332" i="19" s="1"/>
  <c r="EE335" i="19" s="1"/>
  <c r="EB40" i="19" s="1"/>
  <c r="EO387" i="19"/>
  <c r="EO388" i="19" s="1"/>
  <c r="IG101" i="19"/>
  <c r="IG84" i="19" s="1"/>
  <c r="HS333" i="19"/>
  <c r="FS101" i="19"/>
  <c r="FT101" i="19" s="1"/>
  <c r="FU83" i="19" s="1"/>
  <c r="FQ199" i="19"/>
  <c r="FQ200" i="19" s="1"/>
  <c r="FD448" i="19"/>
  <c r="FE448" i="19" s="1"/>
  <c r="DY447" i="19" s="1"/>
  <c r="FK145" i="19"/>
  <c r="HL448" i="19"/>
  <c r="HM448" i="19" s="1"/>
  <c r="HL470" i="19"/>
  <c r="HM470" i="19" s="1"/>
  <c r="HS335" i="19" s="1"/>
  <c r="FD470" i="19"/>
  <c r="FE470" i="19" s="1"/>
  <c r="GG237" i="19"/>
  <c r="HJ101" i="19"/>
  <c r="HK101" i="19" s="1"/>
  <c r="EA389" i="19"/>
  <c r="FK328" i="19" s="1"/>
  <c r="FC331" i="19" s="1"/>
  <c r="EB334" i="19" s="1"/>
  <c r="EA32" i="19" s="1"/>
  <c r="H337" i="5" s="1"/>
  <c r="EB388" i="19"/>
  <c r="EB389" i="19" s="1"/>
  <c r="FL328" i="19" s="1"/>
  <c r="FD331" i="19" s="1"/>
  <c r="EC334" i="19" s="1"/>
  <c r="DY237" i="19"/>
  <c r="GH209" i="19"/>
  <c r="GH210" i="19" s="1"/>
  <c r="GH211" i="19" s="1"/>
  <c r="GO122" i="19"/>
  <c r="GP122" i="19" s="1"/>
  <c r="FI63" i="19"/>
  <c r="FO42" i="19" s="1"/>
  <c r="FQ51" i="19" s="1"/>
  <c r="EA28" i="19" s="1"/>
  <c r="H333" i="5" s="1"/>
  <c r="H309" i="5" s="1"/>
  <c r="FJ62" i="19"/>
  <c r="FJ63" i="19" s="1"/>
  <c r="GJ200" i="19"/>
  <c r="GJ201" i="19" s="1"/>
  <c r="HT140" i="19" s="1"/>
  <c r="GI201" i="19"/>
  <c r="HS140" i="19" s="1"/>
  <c r="GJ388" i="19"/>
  <c r="GJ389" i="19" s="1"/>
  <c r="HT328" i="19" s="1"/>
  <c r="GI389" i="19"/>
  <c r="HS328" i="19" s="1"/>
  <c r="IA41" i="19"/>
  <c r="HI53" i="19" s="1"/>
  <c r="HI50" i="19" s="1"/>
  <c r="HW395" i="19"/>
  <c r="HW398" i="19"/>
  <c r="EM395" i="19"/>
  <c r="EM398" i="19"/>
  <c r="FS207" i="19"/>
  <c r="FO209" i="19"/>
  <c r="HI207" i="19"/>
  <c r="HI210" i="19"/>
  <c r="FT111" i="19"/>
  <c r="FS121" i="19"/>
  <c r="GY395" i="19"/>
  <c r="GU397" i="19"/>
  <c r="FO207" i="19"/>
  <c r="FO210" i="19"/>
  <c r="GY207" i="19"/>
  <c r="GU209" i="19"/>
  <c r="FA207" i="19"/>
  <c r="FA210" i="19"/>
  <c r="IA207" i="19"/>
  <c r="HW209" i="19"/>
  <c r="FS395" i="19"/>
  <c r="FO397" i="19"/>
  <c r="C73" i="13"/>
  <c r="Q43" i="11"/>
  <c r="V43" i="11" s="1"/>
  <c r="EB27" i="19"/>
  <c r="I332" i="5" s="1"/>
  <c r="I308" i="5" s="1"/>
  <c r="FU50" i="19"/>
  <c r="FV50" i="19"/>
  <c r="EE27" i="19" s="1"/>
  <c r="L332" i="5" s="1"/>
  <c r="L308" i="5" s="1"/>
  <c r="FT50" i="19"/>
  <c r="EC27" i="19" s="1"/>
  <c r="J332" i="5" s="1"/>
  <c r="J308" i="5" s="1"/>
  <c r="HM395" i="19"/>
  <c r="HI397" i="19"/>
  <c r="GU395" i="19"/>
  <c r="GU398" i="19"/>
  <c r="EM207" i="19"/>
  <c r="EM210" i="19"/>
  <c r="HT73" i="19"/>
  <c r="HS74" i="19"/>
  <c r="GU207" i="19"/>
  <c r="GU210" i="19"/>
  <c r="HM207" i="19"/>
  <c r="HI209" i="19"/>
  <c r="HK119" i="19"/>
  <c r="HK118" i="19"/>
  <c r="HK106" i="19"/>
  <c r="HK121" i="19"/>
  <c r="EO199" i="19"/>
  <c r="EO200" i="19" s="1"/>
  <c r="DZ397" i="19"/>
  <c r="DZ398" i="19" s="1"/>
  <c r="GC74" i="19"/>
  <c r="GD73" i="19"/>
  <c r="HI395" i="19"/>
  <c r="HI398" i="19"/>
  <c r="FE207" i="19"/>
  <c r="FA209" i="19"/>
  <c r="EB200" i="19"/>
  <c r="EB201" i="19" s="1"/>
  <c r="FL140" i="19" s="1"/>
  <c r="EA201" i="19"/>
  <c r="FK140" i="19" s="1"/>
  <c r="FO395" i="19"/>
  <c r="FO398" i="19"/>
  <c r="IA395" i="19"/>
  <c r="HW397" i="19"/>
  <c r="EQ207" i="19"/>
  <c r="EM209" i="19"/>
  <c r="FE395" i="19"/>
  <c r="FA397" i="19"/>
  <c r="GQ101" i="19"/>
  <c r="GQ84" i="19" s="1"/>
  <c r="GQ83" i="19"/>
  <c r="EQ395" i="19"/>
  <c r="EM397" i="19"/>
  <c r="HT145" i="19"/>
  <c r="GG238" i="19"/>
  <c r="DY238" i="19"/>
  <c r="FL145" i="19"/>
  <c r="FK333" i="19"/>
  <c r="FF426" i="19"/>
  <c r="DZ430" i="19" s="1"/>
  <c r="DY425" i="19"/>
  <c r="FA395" i="19"/>
  <c r="FA398" i="19"/>
  <c r="HW207" i="19"/>
  <c r="HW210" i="19"/>
  <c r="FT118" i="19"/>
  <c r="FT119" i="19"/>
  <c r="FT106" i="19"/>
  <c r="FT121" i="19"/>
  <c r="HK111" i="19"/>
  <c r="HJ121" i="19"/>
  <c r="HT333" i="19"/>
  <c r="GG426" i="19"/>
  <c r="DZ209" i="19"/>
  <c r="DZ210" i="19" s="1"/>
  <c r="IE122" i="19"/>
  <c r="IF122" i="19" s="1"/>
  <c r="GH397" i="19"/>
  <c r="GH398" i="19" s="1"/>
  <c r="HX397" i="19" l="1"/>
  <c r="HX398" i="19" s="1"/>
  <c r="HX399" i="19" s="1"/>
  <c r="HS146" i="19"/>
  <c r="HJ397" i="19"/>
  <c r="HJ398" i="19" s="1"/>
  <c r="EP388" i="19"/>
  <c r="EP389" i="19" s="1"/>
  <c r="FL329" i="19" s="1"/>
  <c r="FD332" i="19" s="1"/>
  <c r="EC335" i="19" s="1"/>
  <c r="EB33" i="19" s="1"/>
  <c r="I338" i="5" s="1"/>
  <c r="EO389" i="19"/>
  <c r="FK329" i="19" s="1"/>
  <c r="FC332" i="19" s="1"/>
  <c r="EB335" i="19" s="1"/>
  <c r="EA33" i="19" s="1"/>
  <c r="H338" i="5" s="1"/>
  <c r="FQ389" i="19"/>
  <c r="FK331" i="19" s="1"/>
  <c r="FC334" i="19" s="1"/>
  <c r="EB337" i="19" s="1"/>
  <c r="EA35" i="19" s="1"/>
  <c r="FP397" i="19"/>
  <c r="FP398" i="19" s="1"/>
  <c r="HS148" i="19"/>
  <c r="HN304" i="19"/>
  <c r="GH308" i="19" s="1"/>
  <c r="GG303" i="19"/>
  <c r="HK389" i="19"/>
  <c r="HS330" i="19" s="1"/>
  <c r="HK333" i="19" s="1"/>
  <c r="ED336" i="19" s="1"/>
  <c r="EA41" i="19" s="1"/>
  <c r="H346" i="5" s="1"/>
  <c r="HL388" i="19"/>
  <c r="HL389" i="19" s="1"/>
  <c r="HT330" i="19" s="1"/>
  <c r="HL333" i="19" s="1"/>
  <c r="EE336" i="19" s="1"/>
  <c r="EB41" i="19" s="1"/>
  <c r="EC41" i="19" s="1"/>
  <c r="J346" i="5" s="1"/>
  <c r="HZ388" i="19"/>
  <c r="HZ389" i="19" s="1"/>
  <c r="HT331" i="19" s="1"/>
  <c r="HL334" i="19" s="1"/>
  <c r="EE337" i="19" s="1"/>
  <c r="EB42" i="19" s="1"/>
  <c r="I347" i="5" s="1"/>
  <c r="GW389" i="19"/>
  <c r="HS329" i="19" s="1"/>
  <c r="HK332" i="19" s="1"/>
  <c r="ED335" i="19" s="1"/>
  <c r="EA40" i="19" s="1"/>
  <c r="H345" i="5" s="1"/>
  <c r="EN397" i="19"/>
  <c r="EN398" i="19" s="1"/>
  <c r="DY491" i="19"/>
  <c r="DY303" i="19"/>
  <c r="FF448" i="19"/>
  <c r="DZ452" i="19" s="1"/>
  <c r="FF492" i="19"/>
  <c r="DZ496" i="19" s="1"/>
  <c r="HS147" i="19"/>
  <c r="GG469" i="19"/>
  <c r="FK148" i="19"/>
  <c r="FF282" i="19"/>
  <c r="DZ286" i="19" s="1"/>
  <c r="DY281" i="19"/>
  <c r="FK147" i="19"/>
  <c r="DY259" i="19"/>
  <c r="FK146" i="19"/>
  <c r="FF260" i="19"/>
  <c r="FL146" i="19" s="1"/>
  <c r="FB209" i="19"/>
  <c r="FB210" i="19" s="1"/>
  <c r="GV209" i="19"/>
  <c r="GV210" i="19" s="1"/>
  <c r="GV211" i="19" s="1"/>
  <c r="GG281" i="19"/>
  <c r="HN260" i="19"/>
  <c r="GH264" i="19" s="1"/>
  <c r="HS336" i="19"/>
  <c r="HJ209" i="19"/>
  <c r="HJ210" i="19" s="1"/>
  <c r="HJ211" i="19" s="1"/>
  <c r="HJ122" i="19"/>
  <c r="HK122" i="19" s="1"/>
  <c r="HN470" i="19"/>
  <c r="GH474" i="19" s="1"/>
  <c r="FK334" i="19"/>
  <c r="HN492" i="19"/>
  <c r="GH496" i="19" s="1"/>
  <c r="HX209" i="19"/>
  <c r="HX210" i="19" s="1"/>
  <c r="GV397" i="19"/>
  <c r="GV398" i="19" s="1"/>
  <c r="GV399" i="19" s="1"/>
  <c r="GU399" i="19" s="1"/>
  <c r="FP209" i="19"/>
  <c r="FB397" i="19"/>
  <c r="FB398" i="19" s="1"/>
  <c r="FB399" i="19" s="1"/>
  <c r="FU101" i="19"/>
  <c r="FU84" i="19" s="1"/>
  <c r="GG211" i="19"/>
  <c r="FD200" i="19"/>
  <c r="FD201" i="19" s="1"/>
  <c r="FL142" i="19" s="1"/>
  <c r="FD145" i="19" s="1"/>
  <c r="EC148" i="19" s="1"/>
  <c r="EB11" i="19" s="1"/>
  <c r="I316" i="5" s="1"/>
  <c r="GQ122" i="19"/>
  <c r="GQ105" i="19" s="1"/>
  <c r="GG82" i="19" s="1"/>
  <c r="GE73" i="19" s="1"/>
  <c r="EZ14" i="19" s="1"/>
  <c r="GQ104" i="19"/>
  <c r="GE82" i="19" s="1"/>
  <c r="FP210" i="19"/>
  <c r="FP211" i="19" s="1"/>
  <c r="GG212" i="19"/>
  <c r="EN209" i="19"/>
  <c r="EN210" i="19" s="1"/>
  <c r="EN211" i="19" s="1"/>
  <c r="GG400" i="19"/>
  <c r="GH399" i="19"/>
  <c r="GG399" i="19" s="1"/>
  <c r="DZ211" i="19"/>
  <c r="DY211" i="19" s="1"/>
  <c r="DY212" i="19"/>
  <c r="ED236" i="19"/>
  <c r="EH236" i="19"/>
  <c r="EL236" i="19"/>
  <c r="EP236" i="19"/>
  <c r="ET236" i="19"/>
  <c r="EX236" i="19"/>
  <c r="EA236" i="19"/>
  <c r="EE236" i="19"/>
  <c r="EI236" i="19"/>
  <c r="EM236" i="19"/>
  <c r="EQ236" i="19"/>
  <c r="EU236" i="19"/>
  <c r="EY236" i="19"/>
  <c r="EB236" i="19"/>
  <c r="EJ236" i="19"/>
  <c r="ER236" i="19"/>
  <c r="EZ236" i="19"/>
  <c r="EC236" i="19"/>
  <c r="EK236" i="19"/>
  <c r="ES236" i="19"/>
  <c r="FA236" i="19"/>
  <c r="EN236" i="19"/>
  <c r="EW236" i="19"/>
  <c r="EV236" i="19"/>
  <c r="EO236" i="19"/>
  <c r="EG236" i="19"/>
  <c r="EF236" i="19"/>
  <c r="HK51" i="19"/>
  <c r="EC24" i="19" s="1"/>
  <c r="J329" i="5" s="1"/>
  <c r="J307" i="5" s="1"/>
  <c r="HL51" i="19"/>
  <c r="HM51" i="19"/>
  <c r="EE24" i="19" s="1"/>
  <c r="L329" i="5" s="1"/>
  <c r="L307" i="5" s="1"/>
  <c r="EB24" i="19"/>
  <c r="I329" i="5" s="1"/>
  <c r="I307" i="5" s="1"/>
  <c r="HL331" i="19"/>
  <c r="EE334" i="19" s="1"/>
  <c r="GK42" i="19"/>
  <c r="HS334" i="19"/>
  <c r="GG447" i="19"/>
  <c r="HN448" i="19"/>
  <c r="HL101" i="19"/>
  <c r="HL84" i="19" s="1"/>
  <c r="HL83" i="19"/>
  <c r="DY304" i="19"/>
  <c r="FL148" i="19"/>
  <c r="FC145" i="19"/>
  <c r="EB148" i="19" s="1"/>
  <c r="EA11" i="19" s="1"/>
  <c r="H316" i="5" s="1"/>
  <c r="HT147" i="19"/>
  <c r="GG282" i="19"/>
  <c r="IA328" i="19"/>
  <c r="HK331" i="19"/>
  <c r="ED334" i="19" s="1"/>
  <c r="EA39" i="19" s="1"/>
  <c r="H344" i="5" s="1"/>
  <c r="HW328" i="19"/>
  <c r="FO41" i="19"/>
  <c r="FR54" i="19" s="1"/>
  <c r="FR51" i="19" s="1"/>
  <c r="GY73" i="19"/>
  <c r="GX74" i="19"/>
  <c r="DY400" i="19"/>
  <c r="DZ399" i="19"/>
  <c r="DY399" i="19" s="1"/>
  <c r="FD143" i="19"/>
  <c r="EC146" i="19" s="1"/>
  <c r="EB9" i="19" s="1"/>
  <c r="GC73" i="19"/>
  <c r="GK41" i="19" s="1"/>
  <c r="HL200" i="19"/>
  <c r="HL201" i="19" s="1"/>
  <c r="HT142" i="19" s="1"/>
  <c r="HL145" i="19" s="1"/>
  <c r="EE148" i="19" s="1"/>
  <c r="EB18" i="19" s="1"/>
  <c r="HK201" i="19"/>
  <c r="HS142" i="19" s="1"/>
  <c r="HS73" i="19"/>
  <c r="IB41" i="19" s="1"/>
  <c r="HK334" i="19"/>
  <c r="ED337" i="19" s="1"/>
  <c r="EA42" i="19" s="1"/>
  <c r="HM50" i="19"/>
  <c r="EE23" i="19" s="1"/>
  <c r="L328" i="5" s="1"/>
  <c r="L306" i="5" s="1"/>
  <c r="HK50" i="19"/>
  <c r="EC23" i="19" s="1"/>
  <c r="J328" i="5" s="1"/>
  <c r="J306" i="5" s="1"/>
  <c r="EB23" i="19"/>
  <c r="I328" i="5" s="1"/>
  <c r="I306" i="5" s="1"/>
  <c r="HL50" i="19"/>
  <c r="HL143" i="19"/>
  <c r="EE146" i="19" s="1"/>
  <c r="EB16" i="19" s="1"/>
  <c r="HY201" i="19"/>
  <c r="HS143" i="19" s="1"/>
  <c r="HZ200" i="19"/>
  <c r="HZ201" i="19" s="1"/>
  <c r="HT143" i="19" s="1"/>
  <c r="HL146" i="19" s="1"/>
  <c r="EE149" i="19" s="1"/>
  <c r="EB19" i="19" s="1"/>
  <c r="IG104" i="19"/>
  <c r="HU82" i="19" s="1"/>
  <c r="IG122" i="19"/>
  <c r="IG105" i="19" s="1"/>
  <c r="HW82" i="19" s="1"/>
  <c r="HU73" i="19" s="1"/>
  <c r="FA14" i="19" s="1"/>
  <c r="FQ201" i="19"/>
  <c r="FK143" i="19" s="1"/>
  <c r="FR200" i="19"/>
  <c r="FR201" i="19" s="1"/>
  <c r="FL143" i="19" s="1"/>
  <c r="FD146" i="19" s="1"/>
  <c r="EC149" i="19" s="1"/>
  <c r="EB12" i="19" s="1"/>
  <c r="EO201" i="19"/>
  <c r="FK141" i="19" s="1"/>
  <c r="EP200" i="19"/>
  <c r="EP201" i="19" s="1"/>
  <c r="FL141" i="19" s="1"/>
  <c r="FD144" i="19" s="1"/>
  <c r="EC147" i="19" s="1"/>
  <c r="EB10" i="19" s="1"/>
  <c r="GK424" i="19"/>
  <c r="GO424" i="19"/>
  <c r="GS424" i="19"/>
  <c r="GW424" i="19"/>
  <c r="HA424" i="19"/>
  <c r="HE424" i="19"/>
  <c r="HI424" i="19"/>
  <c r="GL424" i="19"/>
  <c r="GP424" i="19"/>
  <c r="GT424" i="19"/>
  <c r="GX424" i="19"/>
  <c r="HB424" i="19"/>
  <c r="HF424" i="19"/>
  <c r="GI424" i="19"/>
  <c r="GQ424" i="19"/>
  <c r="GY424" i="19"/>
  <c r="HG424" i="19"/>
  <c r="GV424" i="19"/>
  <c r="GU424" i="19"/>
  <c r="GJ424" i="19"/>
  <c r="GR424" i="19"/>
  <c r="GZ424" i="19"/>
  <c r="HH424" i="19"/>
  <c r="GN424" i="19"/>
  <c r="HD424" i="19"/>
  <c r="GM424" i="19"/>
  <c r="HC424" i="19"/>
  <c r="GK236" i="19"/>
  <c r="GO236" i="19"/>
  <c r="GS236" i="19"/>
  <c r="GW236" i="19"/>
  <c r="HA236" i="19"/>
  <c r="HE236" i="19"/>
  <c r="HI236" i="19"/>
  <c r="GL236" i="19"/>
  <c r="GP236" i="19"/>
  <c r="GT236" i="19"/>
  <c r="GX236" i="19"/>
  <c r="HB236" i="19"/>
  <c r="HF236" i="19"/>
  <c r="GM236" i="19"/>
  <c r="GU236" i="19"/>
  <c r="HC236" i="19"/>
  <c r="GN236" i="19"/>
  <c r="GV236" i="19"/>
  <c r="HD236" i="19"/>
  <c r="GI236" i="19"/>
  <c r="GY236" i="19"/>
  <c r="HH236" i="19"/>
  <c r="HG236" i="19"/>
  <c r="GJ236" i="19"/>
  <c r="GZ236" i="19"/>
  <c r="GR236" i="19"/>
  <c r="GQ236" i="19"/>
  <c r="GW201" i="19"/>
  <c r="HS141" i="19" s="1"/>
  <c r="GX200" i="19"/>
  <c r="GX201" i="19" s="1"/>
  <c r="HT141" i="19" s="1"/>
  <c r="HL144" i="19" s="1"/>
  <c r="EE147" i="19" s="1"/>
  <c r="EB17" i="19" s="1"/>
  <c r="FF470" i="19"/>
  <c r="DY469" i="19"/>
  <c r="FK335" i="19"/>
  <c r="DY426" i="19"/>
  <c r="FL333" i="19"/>
  <c r="FO328" i="19" s="1"/>
  <c r="I340" i="5"/>
  <c r="EC35" i="19"/>
  <c r="ED35" i="19"/>
  <c r="EE35" i="19"/>
  <c r="FO140" i="19"/>
  <c r="FC143" i="19"/>
  <c r="EB146" i="19" s="1"/>
  <c r="EA9" i="19" s="1"/>
  <c r="H314" i="5" s="1"/>
  <c r="FS140" i="19"/>
  <c r="I345" i="5"/>
  <c r="ED40" i="19"/>
  <c r="K345" i="5" s="1"/>
  <c r="EE40" i="19"/>
  <c r="L345" i="5" s="1"/>
  <c r="EC40" i="19"/>
  <c r="J345" i="5" s="1"/>
  <c r="FH73" i="19"/>
  <c r="FG74" i="19"/>
  <c r="FD388" i="19"/>
  <c r="FD389" i="19" s="1"/>
  <c r="FL330" i="19" s="1"/>
  <c r="FD333" i="19" s="1"/>
  <c r="EC336" i="19" s="1"/>
  <c r="EB34" i="19" s="1"/>
  <c r="FC389" i="19"/>
  <c r="FK330" i="19" s="1"/>
  <c r="IB42" i="19"/>
  <c r="IA140" i="19"/>
  <c r="HW140" i="19"/>
  <c r="HK143" i="19"/>
  <c r="ED146" i="19" s="1"/>
  <c r="EA16" i="19" s="1"/>
  <c r="H321" i="5" s="1"/>
  <c r="FS122" i="19"/>
  <c r="FT122" i="19" s="1"/>
  <c r="EB43" i="19" l="1"/>
  <c r="I348" i="5" s="1"/>
  <c r="DY260" i="19"/>
  <c r="ED258" i="19" s="1"/>
  <c r="ED41" i="19"/>
  <c r="K346" i="5" s="1"/>
  <c r="EC33" i="19"/>
  <c r="J338" i="5" s="1"/>
  <c r="DY492" i="19"/>
  <c r="EL490" i="19" s="1"/>
  <c r="EB36" i="19"/>
  <c r="I341" i="5" s="1"/>
  <c r="EE33" i="19"/>
  <c r="L338" i="5" s="1"/>
  <c r="EE41" i="19"/>
  <c r="L346" i="5" s="1"/>
  <c r="ED33" i="19"/>
  <c r="K338" i="5" s="1"/>
  <c r="I346" i="5"/>
  <c r="GG304" i="19"/>
  <c r="GO302" i="19" s="1"/>
  <c r="EC42" i="19"/>
  <c r="J347" i="5" s="1"/>
  <c r="ED42" i="19"/>
  <c r="K347" i="5" s="1"/>
  <c r="EE42" i="19"/>
  <c r="L347" i="5" s="1"/>
  <c r="FK338" i="19"/>
  <c r="HT148" i="19"/>
  <c r="HW143" i="19" s="1"/>
  <c r="HW399" i="19"/>
  <c r="ED11" i="19"/>
  <c r="ED27" i="19" s="1"/>
  <c r="K332" i="5" s="1"/>
  <c r="K308" i="5" s="1"/>
  <c r="HS338" i="19"/>
  <c r="DY448" i="19"/>
  <c r="EL446" i="19" s="1"/>
  <c r="FL334" i="19"/>
  <c r="FO329" i="19" s="1"/>
  <c r="HT336" i="19"/>
  <c r="GG492" i="19"/>
  <c r="GK490" i="19" s="1"/>
  <c r="GG260" i="19"/>
  <c r="GS258" i="19" s="1"/>
  <c r="FL336" i="19"/>
  <c r="FO331" i="19" s="1"/>
  <c r="DY282" i="19"/>
  <c r="EH280" i="19" s="1"/>
  <c r="FL147" i="19"/>
  <c r="FS142" i="19" s="1"/>
  <c r="DZ264" i="19"/>
  <c r="HT146" i="19"/>
  <c r="IA141" i="19" s="1"/>
  <c r="HU140" i="19"/>
  <c r="HW212" i="19"/>
  <c r="HX211" i="19"/>
  <c r="HW211" i="19" s="1"/>
  <c r="HT335" i="19"/>
  <c r="HW330" i="19" s="1"/>
  <c r="HS150" i="19"/>
  <c r="HW400" i="19"/>
  <c r="GG470" i="19"/>
  <c r="GS468" i="19" s="1"/>
  <c r="EE11" i="19"/>
  <c r="L316" i="5" s="1"/>
  <c r="HW81" i="19"/>
  <c r="FA17" i="19" s="1"/>
  <c r="IH83" i="19"/>
  <c r="HU74" i="19"/>
  <c r="FA15" i="19" s="1"/>
  <c r="HU81" i="19"/>
  <c r="GI426" i="19"/>
  <c r="GJ426" i="19" s="1"/>
  <c r="HU333" i="19" s="1"/>
  <c r="EA238" i="19"/>
  <c r="EB238" i="19" s="1"/>
  <c r="FM145" i="19" s="1"/>
  <c r="GI238" i="19"/>
  <c r="GJ238" i="19" s="1"/>
  <c r="HU145" i="19" s="1"/>
  <c r="FM140" i="19"/>
  <c r="HI211" i="19"/>
  <c r="EC11" i="19"/>
  <c r="J316" i="5" s="1"/>
  <c r="GU400" i="19"/>
  <c r="HU329" i="19" s="1"/>
  <c r="GU212" i="19"/>
  <c r="FS328" i="19"/>
  <c r="FA400" i="19"/>
  <c r="HI212" i="19"/>
  <c r="FO212" i="19"/>
  <c r="FU104" i="19"/>
  <c r="FI82" i="19" s="1"/>
  <c r="FU122" i="19"/>
  <c r="FU105" i="19" s="1"/>
  <c r="FK82" i="19" s="1"/>
  <c r="FI73" i="19" s="1"/>
  <c r="EZ8" i="19" s="1"/>
  <c r="EC34" i="19"/>
  <c r="J339" i="5" s="1"/>
  <c r="ED34" i="19"/>
  <c r="K339" i="5" s="1"/>
  <c r="I339" i="5"/>
  <c r="EE34" i="19"/>
  <c r="L339" i="5" s="1"/>
  <c r="HG42" i="19"/>
  <c r="FC333" i="19"/>
  <c r="EB336" i="19" s="1"/>
  <c r="EA34" i="19" s="1"/>
  <c r="H339" i="5" s="1"/>
  <c r="J340" i="5"/>
  <c r="I315" i="5"/>
  <c r="EC10" i="19"/>
  <c r="J315" i="5" s="1"/>
  <c r="ED10" i="19"/>
  <c r="K315" i="5" s="1"/>
  <c r="EE10" i="19"/>
  <c r="L315" i="5" s="1"/>
  <c r="H347" i="5"/>
  <c r="EA43" i="19"/>
  <c r="H348" i="5" s="1"/>
  <c r="HT334" i="19"/>
  <c r="GG448" i="19"/>
  <c r="EN399" i="19"/>
  <c r="EM399" i="19" s="1"/>
  <c r="EM400" i="19"/>
  <c r="FA212" i="19"/>
  <c r="FB211" i="19"/>
  <c r="FA211" i="19" s="1"/>
  <c r="GR83" i="19"/>
  <c r="GE74" i="19"/>
  <c r="EZ15" i="19" s="1"/>
  <c r="GE81" i="19"/>
  <c r="FP42" i="19"/>
  <c r="K340" i="5"/>
  <c r="ED424" i="19"/>
  <c r="EH424" i="19"/>
  <c r="EL424" i="19"/>
  <c r="EP424" i="19"/>
  <c r="ET424" i="19"/>
  <c r="EX424" i="19"/>
  <c r="EA424" i="19"/>
  <c r="EE424" i="19"/>
  <c r="EI424" i="19"/>
  <c r="EM424" i="19"/>
  <c r="EQ424" i="19"/>
  <c r="EU424" i="19"/>
  <c r="EY424" i="19"/>
  <c r="EF424" i="19"/>
  <c r="EN424" i="19"/>
  <c r="EV424" i="19"/>
  <c r="EC424" i="19"/>
  <c r="ES424" i="19"/>
  <c r="FA424" i="19"/>
  <c r="EJ424" i="19"/>
  <c r="EZ424" i="19"/>
  <c r="EG424" i="19"/>
  <c r="EO424" i="19"/>
  <c r="EW424" i="19"/>
  <c r="EK424" i="19"/>
  <c r="EB424" i="19"/>
  <c r="ER424" i="19"/>
  <c r="HK144" i="19"/>
  <c r="ED147" i="19" s="1"/>
  <c r="EA17" i="19" s="1"/>
  <c r="H322" i="5" s="1"/>
  <c r="FS143" i="19"/>
  <c r="FO143" i="19"/>
  <c r="FC146" i="19"/>
  <c r="EB149" i="19" s="1"/>
  <c r="EA12" i="19" s="1"/>
  <c r="HK146" i="19"/>
  <c r="ED149" i="19" s="1"/>
  <c r="EA19" i="19" s="1"/>
  <c r="H340" i="5"/>
  <c r="EA36" i="19"/>
  <c r="H341" i="5" s="1"/>
  <c r="GX73" i="19"/>
  <c r="HG41" i="19" s="1"/>
  <c r="HU328" i="19"/>
  <c r="GU211" i="19"/>
  <c r="EM211" i="19"/>
  <c r="GG81" i="19"/>
  <c r="FM328" i="19"/>
  <c r="GH452" i="19"/>
  <c r="GI74" i="19"/>
  <c r="HL104" i="19"/>
  <c r="GZ82" i="19" s="1"/>
  <c r="HL122" i="19"/>
  <c r="HL105" i="19" s="1"/>
  <c r="HB82" i="19" s="1"/>
  <c r="HI400" i="19"/>
  <c r="HJ399" i="19"/>
  <c r="HI399" i="19" s="1"/>
  <c r="L340" i="5"/>
  <c r="FL335" i="19"/>
  <c r="FO330" i="19" s="1"/>
  <c r="DY470" i="19"/>
  <c r="FS141" i="19"/>
  <c r="FC144" i="19"/>
  <c r="EB147" i="19" s="1"/>
  <c r="EA10" i="19" s="1"/>
  <c r="H315" i="5" s="1"/>
  <c r="FO141" i="19"/>
  <c r="FP399" i="19"/>
  <c r="FO399" i="19" s="1"/>
  <c r="FO400" i="19"/>
  <c r="ED16" i="19"/>
  <c r="K321" i="5" s="1"/>
  <c r="I321" i="5"/>
  <c r="EE16" i="19"/>
  <c r="L321" i="5" s="1"/>
  <c r="EC16" i="19"/>
  <c r="J321" i="5" s="1"/>
  <c r="HK145" i="19"/>
  <c r="ED148" i="19" s="1"/>
  <c r="EA18" i="19" s="1"/>
  <c r="H323" i="5" s="1"/>
  <c r="IA142" i="19"/>
  <c r="HW142" i="19"/>
  <c r="FT51" i="19"/>
  <c r="EC28" i="19" s="1"/>
  <c r="J333" i="5" s="1"/>
  <c r="J309" i="5" s="1"/>
  <c r="EB28" i="19"/>
  <c r="I333" i="5" s="1"/>
  <c r="I309" i="5" s="1"/>
  <c r="FV51" i="19"/>
  <c r="EE28" i="19" s="1"/>
  <c r="L333" i="5" s="1"/>
  <c r="L309" i="5" s="1"/>
  <c r="FU51" i="19"/>
  <c r="FG73" i="19"/>
  <c r="FP41" i="19" s="1"/>
  <c r="ED9" i="19"/>
  <c r="K314" i="5" s="1"/>
  <c r="EE9" i="19"/>
  <c r="L314" i="5" s="1"/>
  <c r="I314" i="5"/>
  <c r="EC9" i="19"/>
  <c r="J314" i="5" s="1"/>
  <c r="EC43" i="19"/>
  <c r="J348" i="5" s="1"/>
  <c r="ED43" i="19"/>
  <c r="K348" i="5" s="1"/>
  <c r="I322" i="5"/>
  <c r="EC17" i="19"/>
  <c r="J322" i="5" s="1"/>
  <c r="ED17" i="19"/>
  <c r="K322" i="5" s="1"/>
  <c r="EE17" i="19"/>
  <c r="L322" i="5" s="1"/>
  <c r="EE12" i="19"/>
  <c r="EB13" i="19"/>
  <c r="I318" i="5" s="1"/>
  <c r="I304" i="5" s="1"/>
  <c r="ED12" i="19"/>
  <c r="I317" i="5"/>
  <c r="EC12" i="19"/>
  <c r="EE19" i="19"/>
  <c r="EB20" i="19"/>
  <c r="I325" i="5" s="1"/>
  <c r="I305" i="5" s="1"/>
  <c r="I324" i="5"/>
  <c r="ED19" i="19"/>
  <c r="EC19" i="19"/>
  <c r="EC18" i="19"/>
  <c r="J323" i="5" s="1"/>
  <c r="EE18" i="19"/>
  <c r="L323" i="5" s="1"/>
  <c r="I323" i="5"/>
  <c r="ED18" i="19"/>
  <c r="GK280" i="19"/>
  <c r="GO280" i="19"/>
  <c r="GS280" i="19"/>
  <c r="GW280" i="19"/>
  <c r="HA280" i="19"/>
  <c r="HE280" i="19"/>
  <c r="HI280" i="19"/>
  <c r="GL280" i="19"/>
  <c r="GP280" i="19"/>
  <c r="GT280" i="19"/>
  <c r="GX280" i="19"/>
  <c r="HB280" i="19"/>
  <c r="HF280" i="19"/>
  <c r="GM280" i="19"/>
  <c r="GU280" i="19"/>
  <c r="HC280" i="19"/>
  <c r="GN280" i="19"/>
  <c r="GV280" i="19"/>
  <c r="HD280" i="19"/>
  <c r="GI280" i="19"/>
  <c r="GY280" i="19"/>
  <c r="GR280" i="19"/>
  <c r="HH280" i="19"/>
  <c r="HG280" i="19"/>
  <c r="GJ280" i="19"/>
  <c r="GZ280" i="19"/>
  <c r="GQ280" i="19"/>
  <c r="ED302" i="19"/>
  <c r="EH302" i="19"/>
  <c r="EL302" i="19"/>
  <c r="EP302" i="19"/>
  <c r="ET302" i="19"/>
  <c r="EX302" i="19"/>
  <c r="EA302" i="19"/>
  <c r="EE302" i="19"/>
  <c r="EI302" i="19"/>
  <c r="EM302" i="19"/>
  <c r="EQ302" i="19"/>
  <c r="EU302" i="19"/>
  <c r="EY302" i="19"/>
  <c r="EB302" i="19"/>
  <c r="EJ302" i="19"/>
  <c r="ER302" i="19"/>
  <c r="EZ302" i="19"/>
  <c r="EC302" i="19"/>
  <c r="EK302" i="19"/>
  <c r="ES302" i="19"/>
  <c r="FA302" i="19"/>
  <c r="EN302" i="19"/>
  <c r="EG302" i="19"/>
  <c r="EV302" i="19"/>
  <c r="EO302" i="19"/>
  <c r="EW302" i="19"/>
  <c r="EF302" i="19"/>
  <c r="FA399" i="19"/>
  <c r="HY74" i="19"/>
  <c r="FK150" i="19"/>
  <c r="DZ474" i="19"/>
  <c r="EM212" i="19"/>
  <c r="FO211" i="19"/>
  <c r="EE43" i="19" l="1"/>
  <c r="L348" i="5" s="1"/>
  <c r="EN258" i="19"/>
  <c r="EX258" i="19"/>
  <c r="GS302" i="19"/>
  <c r="EW258" i="19"/>
  <c r="EB258" i="19"/>
  <c r="EM258" i="19"/>
  <c r="EC258" i="19"/>
  <c r="EH258" i="19"/>
  <c r="EG280" i="19"/>
  <c r="EG258" i="19"/>
  <c r="EJ258" i="19"/>
  <c r="EA258" i="19"/>
  <c r="EV258" i="19"/>
  <c r="ES258" i="19"/>
  <c r="ER258" i="19"/>
  <c r="EU258" i="19"/>
  <c r="EE258" i="19"/>
  <c r="EP258" i="19"/>
  <c r="EF258" i="19"/>
  <c r="EK258" i="19"/>
  <c r="EQ258" i="19"/>
  <c r="EL258" i="19"/>
  <c r="EO258" i="19"/>
  <c r="FA258" i="19"/>
  <c r="EZ258" i="19"/>
  <c r="EY258" i="19"/>
  <c r="EI258" i="19"/>
  <c r="ET258" i="19"/>
  <c r="HE490" i="19"/>
  <c r="EY490" i="19"/>
  <c r="EP490" i="19"/>
  <c r="GI490" i="19"/>
  <c r="GX302" i="19"/>
  <c r="HD302" i="19"/>
  <c r="GJ490" i="19"/>
  <c r="GQ302" i="19"/>
  <c r="GQ490" i="19"/>
  <c r="EE36" i="19"/>
  <c r="L341" i="5" s="1"/>
  <c r="GV490" i="19"/>
  <c r="GN490" i="19"/>
  <c r="GT490" i="19"/>
  <c r="GO490" i="19"/>
  <c r="HH302" i="19"/>
  <c r="GU302" i="19"/>
  <c r="HI302" i="19"/>
  <c r="GR490" i="19"/>
  <c r="HI490" i="19"/>
  <c r="GI302" i="19"/>
  <c r="HB302" i="19"/>
  <c r="GW302" i="19"/>
  <c r="GU490" i="19"/>
  <c r="HD490" i="19"/>
  <c r="GX490" i="19"/>
  <c r="GS490" i="19"/>
  <c r="HG302" i="19"/>
  <c r="HC302" i="19"/>
  <c r="GL302" i="19"/>
  <c r="ER490" i="19"/>
  <c r="EG490" i="19"/>
  <c r="ET490" i="19"/>
  <c r="ED36" i="19"/>
  <c r="K341" i="5" s="1"/>
  <c r="EU490" i="19"/>
  <c r="EK490" i="19"/>
  <c r="EV490" i="19"/>
  <c r="EE490" i="19"/>
  <c r="FA490" i="19"/>
  <c r="EC490" i="19"/>
  <c r="EI490" i="19"/>
  <c r="ED490" i="19"/>
  <c r="GJ468" i="19"/>
  <c r="HC258" i="19"/>
  <c r="EU446" i="19"/>
  <c r="EJ490" i="19"/>
  <c r="EO490" i="19"/>
  <c r="ES490" i="19"/>
  <c r="EF490" i="19"/>
  <c r="EM490" i="19"/>
  <c r="EX490" i="19"/>
  <c r="EH490" i="19"/>
  <c r="EC36" i="19"/>
  <c r="J341" i="5" s="1"/>
  <c r="EZ490" i="19"/>
  <c r="EW490" i="19"/>
  <c r="EB490" i="19"/>
  <c r="EN490" i="19"/>
  <c r="EQ490" i="19"/>
  <c r="EA490" i="19"/>
  <c r="IA143" i="19"/>
  <c r="IA139" i="19" s="1"/>
  <c r="GZ490" i="19"/>
  <c r="GY490" i="19"/>
  <c r="GL490" i="19"/>
  <c r="GW490" i="19"/>
  <c r="K316" i="5"/>
  <c r="GJ302" i="19"/>
  <c r="GY302" i="19"/>
  <c r="GN302" i="19"/>
  <c r="HF302" i="19"/>
  <c r="GP302" i="19"/>
  <c r="HA302" i="19"/>
  <c r="GK302" i="19"/>
  <c r="ED23" i="19"/>
  <c r="K328" i="5" s="1"/>
  <c r="K306" i="5" s="1"/>
  <c r="GM490" i="19"/>
  <c r="HB490" i="19"/>
  <c r="HH490" i="19"/>
  <c r="HC490" i="19"/>
  <c r="HG490" i="19"/>
  <c r="HF490" i="19"/>
  <c r="GP490" i="19"/>
  <c r="HA490" i="19"/>
  <c r="EQ280" i="19"/>
  <c r="GZ302" i="19"/>
  <c r="GR302" i="19"/>
  <c r="GV302" i="19"/>
  <c r="GM302" i="19"/>
  <c r="GT302" i="19"/>
  <c r="HE302" i="19"/>
  <c r="EV446" i="19"/>
  <c r="EK446" i="19"/>
  <c r="EE446" i="19"/>
  <c r="EZ446" i="19"/>
  <c r="EP446" i="19"/>
  <c r="EA280" i="19"/>
  <c r="HY333" i="19"/>
  <c r="HN331" i="19" s="1"/>
  <c r="EY11" i="19" s="1"/>
  <c r="FS331" i="19"/>
  <c r="EF280" i="19"/>
  <c r="HU331" i="19"/>
  <c r="IA331" i="19"/>
  <c r="HW331" i="19"/>
  <c r="EG446" i="19"/>
  <c r="EI446" i="19"/>
  <c r="GI258" i="19"/>
  <c r="GW258" i="19"/>
  <c r="EB446" i="19"/>
  <c r="EO446" i="19"/>
  <c r="ES446" i="19"/>
  <c r="EF446" i="19"/>
  <c r="EM446" i="19"/>
  <c r="EX446" i="19"/>
  <c r="EH446" i="19"/>
  <c r="GW468" i="19"/>
  <c r="GJ258" i="19"/>
  <c r="GL258" i="19"/>
  <c r="FA446" i="19"/>
  <c r="EC446" i="19"/>
  <c r="EY446" i="19"/>
  <c r="ET446" i="19"/>
  <c r="ED446" i="19"/>
  <c r="ER446" i="19"/>
  <c r="EW446" i="19"/>
  <c r="EJ446" i="19"/>
  <c r="EN446" i="19"/>
  <c r="EQ446" i="19"/>
  <c r="EA446" i="19"/>
  <c r="FS329" i="19"/>
  <c r="HB468" i="19"/>
  <c r="HB258" i="19"/>
  <c r="GR468" i="19"/>
  <c r="GZ258" i="19"/>
  <c r="GN258" i="19"/>
  <c r="GP258" i="19"/>
  <c r="GK258" i="19"/>
  <c r="HT150" i="19"/>
  <c r="FO327" i="19"/>
  <c r="GN468" i="19"/>
  <c r="GY468" i="19"/>
  <c r="GL468" i="19"/>
  <c r="HH258" i="19"/>
  <c r="GR258" i="19"/>
  <c r="GV258" i="19"/>
  <c r="GM258" i="19"/>
  <c r="GT258" i="19"/>
  <c r="HE258" i="19"/>
  <c r="GO258" i="19"/>
  <c r="HF468" i="19"/>
  <c r="HA468" i="19"/>
  <c r="GY258" i="19"/>
  <c r="HF258" i="19"/>
  <c r="HA258" i="19"/>
  <c r="HD468" i="19"/>
  <c r="HG468" i="19"/>
  <c r="GP468" i="19"/>
  <c r="GK468" i="19"/>
  <c r="GQ258" i="19"/>
  <c r="HG258" i="19"/>
  <c r="HD258" i="19"/>
  <c r="GU258" i="19"/>
  <c r="GX258" i="19"/>
  <c r="HI258" i="19"/>
  <c r="EA304" i="19"/>
  <c r="EB304" i="19" s="1"/>
  <c r="FM148" i="19" s="1"/>
  <c r="EJ280" i="19"/>
  <c r="FK81" i="19"/>
  <c r="EZ13" i="19" s="1"/>
  <c r="FS139" i="19"/>
  <c r="HW141" i="19"/>
  <c r="HW139" i="19" s="1"/>
  <c r="IA330" i="19"/>
  <c r="EK280" i="19"/>
  <c r="EL280" i="19"/>
  <c r="EV280" i="19"/>
  <c r="ER280" i="19"/>
  <c r="EE280" i="19"/>
  <c r="EO280" i="19"/>
  <c r="FA280" i="19"/>
  <c r="EZ280" i="19"/>
  <c r="EY280" i="19"/>
  <c r="EI280" i="19"/>
  <c r="ET280" i="19"/>
  <c r="ED280" i="19"/>
  <c r="HW73" i="19"/>
  <c r="HU142" i="19"/>
  <c r="FL150" i="19"/>
  <c r="FO142" i="19"/>
  <c r="FO139" i="19" s="1"/>
  <c r="HY145" i="19"/>
  <c r="HN143" i="19" s="1"/>
  <c r="EG146" i="19" s="1"/>
  <c r="HU143" i="19"/>
  <c r="ES280" i="19"/>
  <c r="EU280" i="19"/>
  <c r="EP280" i="19"/>
  <c r="EW280" i="19"/>
  <c r="EN280" i="19"/>
  <c r="EC280" i="19"/>
  <c r="EB280" i="19"/>
  <c r="EM280" i="19"/>
  <c r="EX280" i="19"/>
  <c r="GM468" i="19"/>
  <c r="GZ468" i="19"/>
  <c r="GV468" i="19"/>
  <c r="GI468" i="19"/>
  <c r="GT468" i="19"/>
  <c r="HE468" i="19"/>
  <c r="GO468" i="19"/>
  <c r="FQ145" i="19"/>
  <c r="FF143" i="19" s="1"/>
  <c r="EX7" i="19" s="1"/>
  <c r="HC468" i="19"/>
  <c r="HH468" i="19"/>
  <c r="GU468" i="19"/>
  <c r="GQ468" i="19"/>
  <c r="GX468" i="19"/>
  <c r="HI468" i="19"/>
  <c r="GZ81" i="19"/>
  <c r="FA12" i="19" s="1"/>
  <c r="HM83" i="19"/>
  <c r="GZ74" i="19"/>
  <c r="FA9" i="19" s="1"/>
  <c r="GZ73" i="19"/>
  <c r="FA8" i="19" s="1"/>
  <c r="HB81" i="19"/>
  <c r="FA13" i="19" s="1"/>
  <c r="EA426" i="19"/>
  <c r="EB426" i="19" s="1"/>
  <c r="FM333" i="19" s="1"/>
  <c r="FQ333" i="19" s="1"/>
  <c r="FF331" i="19" s="1"/>
  <c r="FA16" i="19"/>
  <c r="HW74" i="19"/>
  <c r="FM330" i="19"/>
  <c r="GI282" i="19"/>
  <c r="GJ282" i="19" s="1"/>
  <c r="HU147" i="19" s="1"/>
  <c r="I302" i="5"/>
  <c r="J290" i="5" s="1"/>
  <c r="M131" i="5" s="1"/>
  <c r="FM331" i="19"/>
  <c r="HU141" i="19"/>
  <c r="FM143" i="19"/>
  <c r="FM329" i="19"/>
  <c r="K324" i="5"/>
  <c r="ED20" i="19"/>
  <c r="K325" i="5" s="1"/>
  <c r="K305" i="5" s="1"/>
  <c r="L317" i="5"/>
  <c r="EE13" i="19"/>
  <c r="L318" i="5" s="1"/>
  <c r="L304" i="5" s="1"/>
  <c r="GG74" i="19"/>
  <c r="EZ16" i="19"/>
  <c r="GK446" i="19"/>
  <c r="GO446" i="19"/>
  <c r="GS446" i="19"/>
  <c r="GW446" i="19"/>
  <c r="HA446" i="19"/>
  <c r="HE446" i="19"/>
  <c r="HI446" i="19"/>
  <c r="GL446" i="19"/>
  <c r="GP446" i="19"/>
  <c r="GT446" i="19"/>
  <c r="GX446" i="19"/>
  <c r="HB446" i="19"/>
  <c r="HF446" i="19"/>
  <c r="GI446" i="19"/>
  <c r="GQ446" i="19"/>
  <c r="GY446" i="19"/>
  <c r="HG446" i="19"/>
  <c r="GN446" i="19"/>
  <c r="HD446" i="19"/>
  <c r="GU446" i="19"/>
  <c r="GJ446" i="19"/>
  <c r="GR446" i="19"/>
  <c r="GZ446" i="19"/>
  <c r="HH446" i="19"/>
  <c r="GV446" i="19"/>
  <c r="GM446" i="19"/>
  <c r="HC446" i="19"/>
  <c r="FI74" i="19"/>
  <c r="EZ9" i="19" s="1"/>
  <c r="FV83" i="19"/>
  <c r="FI81" i="19"/>
  <c r="K317" i="5"/>
  <c r="ED13" i="19"/>
  <c r="K318" i="5" s="1"/>
  <c r="K304" i="5" s="1"/>
  <c r="K302" i="5" s="1"/>
  <c r="EA20" i="19"/>
  <c r="H325" i="5" s="1"/>
  <c r="H305" i="5" s="1"/>
  <c r="H324" i="5"/>
  <c r="FM142" i="19"/>
  <c r="FL338" i="19"/>
  <c r="FM141" i="19"/>
  <c r="FM74" i="19"/>
  <c r="HD74" i="19"/>
  <c r="K323" i="5"/>
  <c r="ED24" i="19"/>
  <c r="K329" i="5" s="1"/>
  <c r="K307" i="5" s="1"/>
  <c r="ED28" i="19"/>
  <c r="K333" i="5" s="1"/>
  <c r="K309" i="5" s="1"/>
  <c r="EC13" i="19"/>
  <c r="J318" i="5" s="1"/>
  <c r="J304" i="5" s="1"/>
  <c r="J317" i="5"/>
  <c r="H317" i="5"/>
  <c r="EA13" i="19"/>
  <c r="H318" i="5" s="1"/>
  <c r="H304" i="5" s="1"/>
  <c r="IA329" i="19"/>
  <c r="HW329" i="19"/>
  <c r="HT338" i="19"/>
  <c r="J324" i="5"/>
  <c r="EC20" i="19"/>
  <c r="J325" i="5" s="1"/>
  <c r="J305" i="5" s="1"/>
  <c r="L324" i="5"/>
  <c r="EE20" i="19"/>
  <c r="L325" i="5" s="1"/>
  <c r="L305" i="5" s="1"/>
  <c r="ED468" i="19"/>
  <c r="EH468" i="19"/>
  <c r="EL468" i="19"/>
  <c r="EP468" i="19"/>
  <c r="ET468" i="19"/>
  <c r="EX468" i="19"/>
  <c r="EA468" i="19"/>
  <c r="EE468" i="19"/>
  <c r="EI468" i="19"/>
  <c r="EM468" i="19"/>
  <c r="EQ468" i="19"/>
  <c r="EU468" i="19"/>
  <c r="EY468" i="19"/>
  <c r="EF468" i="19"/>
  <c r="EN468" i="19"/>
  <c r="EV468" i="19"/>
  <c r="EK468" i="19"/>
  <c r="FA468" i="19"/>
  <c r="EJ468" i="19"/>
  <c r="EZ468" i="19"/>
  <c r="EG468" i="19"/>
  <c r="EO468" i="19"/>
  <c r="EW468" i="19"/>
  <c r="EC468" i="19"/>
  <c r="ES468" i="19"/>
  <c r="EB468" i="19"/>
  <c r="ER468" i="19"/>
  <c r="GG73" i="19"/>
  <c r="EZ17" i="19"/>
  <c r="FS330" i="19"/>
  <c r="HU330" i="19"/>
  <c r="EA260" i="19" l="1"/>
  <c r="EB260" i="19" s="1"/>
  <c r="FM146" i="19" s="1"/>
  <c r="FQ146" i="19" s="1"/>
  <c r="GI304" i="19"/>
  <c r="GJ304" i="19" s="1"/>
  <c r="HU148" i="19" s="1"/>
  <c r="HY148" i="19" s="1"/>
  <c r="HN146" i="19" s="1"/>
  <c r="EG149" i="19" s="1"/>
  <c r="GI260" i="19"/>
  <c r="GJ260" i="19" s="1"/>
  <c r="HU146" i="19" s="1"/>
  <c r="HY146" i="19" s="1"/>
  <c r="HN144" i="19" s="1"/>
  <c r="EA492" i="19"/>
  <c r="EB492" i="19" s="1"/>
  <c r="FM336" i="19" s="1"/>
  <c r="FQ336" i="19" s="1"/>
  <c r="FF334" i="19" s="1"/>
  <c r="EF337" i="19" s="1"/>
  <c r="GI492" i="19"/>
  <c r="GJ492" i="19" s="1"/>
  <c r="HU336" i="19" s="1"/>
  <c r="HY336" i="19" s="1"/>
  <c r="HN334" i="19" s="1"/>
  <c r="EG337" i="19" s="1"/>
  <c r="EA282" i="19"/>
  <c r="EB282" i="19" s="1"/>
  <c r="FM147" i="19" s="1"/>
  <c r="FQ147" i="19" s="1"/>
  <c r="FF145" i="19" s="1"/>
  <c r="EF148" i="19" s="1"/>
  <c r="EA448" i="19"/>
  <c r="EB448" i="19" s="1"/>
  <c r="FM334" i="19" s="1"/>
  <c r="FQ334" i="19" s="1"/>
  <c r="FF332" i="19" s="1"/>
  <c r="J302" i="5"/>
  <c r="FQ148" i="19"/>
  <c r="FF146" i="19" s="1"/>
  <c r="EX10" i="19" s="1"/>
  <c r="H302" i="5"/>
  <c r="FS327" i="19"/>
  <c r="HW327" i="19"/>
  <c r="FK73" i="19"/>
  <c r="EG334" i="19"/>
  <c r="EX11" i="19"/>
  <c r="HY73" i="19"/>
  <c r="IA73" i="19" s="1"/>
  <c r="HE50" i="19" s="1"/>
  <c r="FA10" i="19" s="1"/>
  <c r="HY147" i="19"/>
  <c r="HN145" i="19" s="1"/>
  <c r="EX13" i="19" s="1"/>
  <c r="GI470" i="19"/>
  <c r="GJ470" i="19" s="1"/>
  <c r="HU335" i="19" s="1"/>
  <c r="HY335" i="19" s="1"/>
  <c r="HN333" i="19" s="1"/>
  <c r="EY13" i="19" s="1"/>
  <c r="EF146" i="19"/>
  <c r="IA327" i="19"/>
  <c r="HU139" i="19"/>
  <c r="HB74" i="19"/>
  <c r="GI448" i="19"/>
  <c r="GJ448" i="19" s="1"/>
  <c r="HU334" i="19" s="1"/>
  <c r="EF334" i="19"/>
  <c r="EY7" i="19"/>
  <c r="HB73" i="19"/>
  <c r="FM327" i="19"/>
  <c r="EA470" i="19"/>
  <c r="EB470" i="19" s="1"/>
  <c r="FM335" i="19" s="1"/>
  <c r="L302" i="5"/>
  <c r="GI73" i="19"/>
  <c r="GK73" i="19" s="1"/>
  <c r="FN50" i="19" s="1"/>
  <c r="EZ10" i="19" s="1"/>
  <c r="Q301" i="5"/>
  <c r="Q310" i="5"/>
  <c r="Q315" i="5"/>
  <c r="Q316" i="5"/>
  <c r="Q319" i="5"/>
  <c r="Q322" i="5"/>
  <c r="Q326" i="5"/>
  <c r="Q334" i="5"/>
  <c r="Q343" i="5"/>
  <c r="Q345" i="5"/>
  <c r="Q349" i="5"/>
  <c r="Q352" i="5"/>
  <c r="Q355" i="5"/>
  <c r="Q303" i="5"/>
  <c r="Q311" i="5"/>
  <c r="Q313" i="5"/>
  <c r="Q321" i="5"/>
  <c r="Q335" i="5"/>
  <c r="Q337" i="5"/>
  <c r="Q338" i="5"/>
  <c r="Q340" i="5"/>
  <c r="Q341" i="5"/>
  <c r="Q356" i="5"/>
  <c r="Q304" i="5"/>
  <c r="Q305" i="5"/>
  <c r="Q317" i="5"/>
  <c r="Q323" i="5"/>
  <c r="Q342" i="5"/>
  <c r="Q353" i="5"/>
  <c r="Q300" i="5"/>
  <c r="Q302" i="5"/>
  <c r="Q312" i="5"/>
  <c r="Q320" i="5"/>
  <c r="Q331" i="5"/>
  <c r="Q332" i="5"/>
  <c r="Q333" i="5"/>
  <c r="Q347" i="5"/>
  <c r="Q348" i="5"/>
  <c r="Q358" i="5"/>
  <c r="Q306" i="5"/>
  <c r="Q308" i="5"/>
  <c r="Q318" i="5"/>
  <c r="Q324" i="5"/>
  <c r="Q336" i="5"/>
  <c r="Q339" i="5"/>
  <c r="Q350" i="5"/>
  <c r="Q328" i="5"/>
  <c r="Q344" i="5"/>
  <c r="Q351" i="5"/>
  <c r="Q309" i="5"/>
  <c r="Q354" i="5"/>
  <c r="Q357" i="5"/>
  <c r="Q307" i="5"/>
  <c r="Q327" i="5"/>
  <c r="Q325" i="5"/>
  <c r="HU327" i="19"/>
  <c r="FM139" i="19"/>
  <c r="J293" i="5"/>
  <c r="E74" i="13" s="1"/>
  <c r="G74" i="13" s="1"/>
  <c r="J294" i="5"/>
  <c r="J292" i="5" s="1"/>
  <c r="S284" i="5"/>
  <c r="D36" i="11"/>
  <c r="C70" i="13" s="1"/>
  <c r="FK74" i="19"/>
  <c r="EZ12" i="19"/>
  <c r="M306" i="5"/>
  <c r="E70" i="13" l="1"/>
  <c r="G70" i="13" s="1"/>
  <c r="K70" i="13"/>
  <c r="K86" i="13" s="1"/>
  <c r="J288" i="5"/>
  <c r="M305" i="5" s="1"/>
  <c r="HU144" i="19"/>
  <c r="HU150" i="19" s="1"/>
  <c r="FM144" i="19"/>
  <c r="FM150" i="19" s="1"/>
  <c r="EF149" i="19"/>
  <c r="FM332" i="19"/>
  <c r="FM338" i="19" s="1"/>
  <c r="EX14" i="19"/>
  <c r="FM73" i="19"/>
  <c r="FO73" i="19" s="1"/>
  <c r="FN51" i="19" s="1"/>
  <c r="EZ11" i="19" s="1"/>
  <c r="EX9" i="19"/>
  <c r="HU332" i="19"/>
  <c r="HU338" i="19" s="1"/>
  <c r="EY14" i="19"/>
  <c r="HD73" i="19"/>
  <c r="HF73" i="19" s="1"/>
  <c r="HE51" i="19" s="1"/>
  <c r="FA11" i="19" s="1"/>
  <c r="EG148" i="19"/>
  <c r="EY10" i="19"/>
  <c r="HY334" i="19"/>
  <c r="HN332" i="19" s="1"/>
  <c r="EG336" i="19"/>
  <c r="FQ335" i="19"/>
  <c r="FF333" i="19" s="1"/>
  <c r="EY9" i="19" s="1"/>
  <c r="HY144" i="19"/>
  <c r="HV150" i="19" s="1"/>
  <c r="M307" i="5"/>
  <c r="EY8" i="19"/>
  <c r="EF335" i="19"/>
  <c r="M309" i="5"/>
  <c r="EX12" i="19"/>
  <c r="EG147" i="19"/>
  <c r="FQ144" i="19"/>
  <c r="FN150" i="19" s="1"/>
  <c r="FF144" i="19"/>
  <c r="M308" i="5"/>
  <c r="P190" i="13" l="1"/>
  <c r="G86" i="13"/>
  <c r="C190" i="13" s="1"/>
  <c r="J190" i="13" s="1"/>
  <c r="Q190" i="13"/>
  <c r="S190" i="13" s="1"/>
  <c r="N284" i="5"/>
  <c r="L288" i="5" s="1"/>
  <c r="HH47" i="19"/>
  <c r="FA7" i="19" s="1"/>
  <c r="FA18" i="19" s="1"/>
  <c r="EY22" i="19" s="1"/>
  <c r="HR150" i="19"/>
  <c r="HL147" i="19" s="1"/>
  <c r="EE150" i="19" s="1"/>
  <c r="EX16" i="19" s="1"/>
  <c r="EX17" i="19" s="1"/>
  <c r="FJ150" i="19"/>
  <c r="FD147" i="19" s="1"/>
  <c r="EC150" i="19" s="1"/>
  <c r="EF8" i="19" s="1"/>
  <c r="FQ47" i="19"/>
  <c r="EF26" i="19" s="1"/>
  <c r="M331" i="5" s="1"/>
  <c r="I352" i="5" s="1"/>
  <c r="HY332" i="19"/>
  <c r="HV338" i="19" s="1"/>
  <c r="HR338" i="19" s="1"/>
  <c r="HL335" i="19" s="1"/>
  <c r="EE338" i="19" s="1"/>
  <c r="EY16" i="19" s="1"/>
  <c r="EY17" i="19" s="1"/>
  <c r="FQ332" i="19"/>
  <c r="FN338" i="19" s="1"/>
  <c r="FJ338" i="19" s="1"/>
  <c r="FD335" i="19" s="1"/>
  <c r="EC338" i="19" s="1"/>
  <c r="EY15" i="19" s="1"/>
  <c r="EF336" i="19"/>
  <c r="EY12" i="19"/>
  <c r="EG335" i="19"/>
  <c r="EX8" i="19"/>
  <c r="EF147" i="19"/>
  <c r="D133" i="11" l="1"/>
  <c r="B318" i="5" s="1"/>
  <c r="L292" i="5"/>
  <c r="R190" i="13"/>
  <c r="EF15" i="19"/>
  <c r="M320" i="5" s="1"/>
  <c r="EF22" i="19"/>
  <c r="M327" i="5" s="1"/>
  <c r="I351" i="5" s="1"/>
  <c r="EX15" i="19"/>
  <c r="EX18" i="19" s="1"/>
  <c r="EY20" i="19" s="1"/>
  <c r="EY24" i="19" s="1"/>
  <c r="EY25" i="19" s="1"/>
  <c r="D139" i="11" s="1"/>
  <c r="EF38" i="19"/>
  <c r="M343" i="5" s="1"/>
  <c r="EZ7" i="19"/>
  <c r="EZ18" i="19" s="1"/>
  <c r="EY21" i="19" s="1"/>
  <c r="EF31" i="19"/>
  <c r="M336" i="5" s="1"/>
  <c r="M313" i="5"/>
  <c r="EY18" i="19"/>
  <c r="J350" i="5" l="1"/>
  <c r="I350" i="5" s="1"/>
  <c r="I353" i="5" s="1"/>
  <c r="G312" i="5" s="1"/>
  <c r="D137" i="11" s="1"/>
  <c r="J351" i="5"/>
  <c r="DZ7" i="19"/>
  <c r="B324" i="5"/>
  <c r="M303" i="5" l="1"/>
  <c r="D135" i="11" s="1"/>
  <c r="B322" i="5"/>
  <c r="D147" i="11" l="1"/>
  <c r="D115" i="11" s="1"/>
  <c r="B300" i="5" s="1"/>
  <c r="L137" i="11"/>
  <c r="B320" i="5"/>
  <c r="M132" i="11" l="1"/>
  <c r="K132" i="11" s="1"/>
  <c r="L132" i="11" l="1"/>
  <c r="C14" i="10" l="1"/>
  <c r="E61" i="13" s="1"/>
  <c r="G61" i="13" s="1"/>
  <c r="I3" i="10" l="1"/>
  <c r="G15" i="10" s="1"/>
  <c r="R117" i="10" l="1"/>
  <c r="U117" i="10" s="1"/>
  <c r="N80" i="10" s="1"/>
  <c r="H55" i="10"/>
  <c r="H58" i="10" s="1"/>
  <c r="G37" i="7"/>
  <c r="G86" i="11" s="1"/>
  <c r="J9" i="13" s="1"/>
  <c r="C22" i="13" s="1"/>
  <c r="R81" i="10"/>
  <c r="R124" i="10"/>
  <c r="V124" i="10" s="1"/>
  <c r="O81" i="10" s="1"/>
  <c r="R56" i="10"/>
  <c r="U56" i="10" s="1"/>
  <c r="N74" i="10" s="1"/>
  <c r="R92" i="10"/>
  <c r="S92" i="10" s="1"/>
  <c r="L77" i="10" s="1"/>
  <c r="R43" i="10"/>
  <c r="U43" i="10" s="1"/>
  <c r="N73" i="10" s="1"/>
  <c r="R101" i="10"/>
  <c r="K78" i="10" s="1"/>
  <c r="R110" i="10"/>
  <c r="T110" i="10" s="1"/>
  <c r="M79" i="10" s="1"/>
  <c r="I42" i="7"/>
  <c r="D89" i="7" s="1"/>
  <c r="R69" i="10"/>
  <c r="T69" i="10" s="1"/>
  <c r="M75" i="10" s="1"/>
  <c r="P19" i="7"/>
  <c r="P26" i="7"/>
  <c r="P43" i="7"/>
  <c r="C34" i="10"/>
  <c r="P17" i="7"/>
  <c r="P32" i="7"/>
  <c r="P42" i="7"/>
  <c r="P40" i="7"/>
  <c r="P33" i="7"/>
  <c r="P24" i="7"/>
  <c r="P23" i="7"/>
  <c r="P27" i="7"/>
  <c r="P36" i="7"/>
  <c r="P39" i="7"/>
  <c r="P16" i="7"/>
  <c r="P44" i="7"/>
  <c r="P34" i="7"/>
  <c r="P35" i="7"/>
  <c r="P25" i="7"/>
  <c r="P41" i="7"/>
  <c r="P28" i="7"/>
  <c r="P21" i="7"/>
  <c r="P22" i="7"/>
  <c r="P18" i="7"/>
  <c r="P38" i="7"/>
  <c r="P37" i="7"/>
  <c r="J36" i="7"/>
  <c r="T15" i="12" s="1"/>
  <c r="P20" i="7"/>
  <c r="K79" i="10" l="1"/>
  <c r="T117" i="10"/>
  <c r="M80" i="10" s="1"/>
  <c r="S124" i="10"/>
  <c r="L81" i="10" s="1"/>
  <c r="T56" i="10"/>
  <c r="M74" i="10" s="1"/>
  <c r="U110" i="10"/>
  <c r="N79" i="10" s="1"/>
  <c r="U92" i="10"/>
  <c r="N77" i="10" s="1"/>
  <c r="K74" i="10"/>
  <c r="S110" i="10"/>
  <c r="L79" i="10" s="1"/>
  <c r="S43" i="10"/>
  <c r="L73" i="10" s="1"/>
  <c r="K75" i="10"/>
  <c r="V110" i="10"/>
  <c r="O79" i="10" s="1"/>
  <c r="K73" i="10"/>
  <c r="K81" i="10"/>
  <c r="V117" i="10"/>
  <c r="O80" i="10" s="1"/>
  <c r="T43" i="10"/>
  <c r="M73" i="10" s="1"/>
  <c r="U124" i="10"/>
  <c r="N81" i="10" s="1"/>
  <c r="V43" i="10"/>
  <c r="O73" i="10" s="1"/>
  <c r="H59" i="10"/>
  <c r="K80" i="10"/>
  <c r="T124" i="10"/>
  <c r="M81" i="10" s="1"/>
  <c r="H61" i="10"/>
  <c r="S117" i="10"/>
  <c r="L80" i="10" s="1"/>
  <c r="V12" i="7"/>
  <c r="V13" i="7" s="1"/>
  <c r="C35" i="10"/>
  <c r="U101" i="10"/>
  <c r="N78" i="10" s="1"/>
  <c r="V81" i="10"/>
  <c r="O76" i="10" s="1"/>
  <c r="T81" i="10"/>
  <c r="M76" i="10" s="1"/>
  <c r="S81" i="10"/>
  <c r="L76" i="10" s="1"/>
  <c r="R64" i="11"/>
  <c r="V101" i="10"/>
  <c r="O78" i="10" s="1"/>
  <c r="U81" i="10"/>
  <c r="N76" i="10" s="1"/>
  <c r="G47" i="11"/>
  <c r="S69" i="10"/>
  <c r="L75" i="10" s="1"/>
  <c r="I37" i="7"/>
  <c r="F18" i="12"/>
  <c r="S101" i="10"/>
  <c r="L78" i="10" s="1"/>
  <c r="T92" i="10"/>
  <c r="M77" i="10" s="1"/>
  <c r="K76" i="10"/>
  <c r="V56" i="10"/>
  <c r="O74" i="10" s="1"/>
  <c r="S56" i="10"/>
  <c r="L74" i="10" s="1"/>
  <c r="V69" i="10"/>
  <c r="O75" i="10" s="1"/>
  <c r="U69" i="10"/>
  <c r="N75" i="10" s="1"/>
  <c r="T101" i="10"/>
  <c r="M78" i="10" s="1"/>
  <c r="K77" i="10"/>
  <c r="V92" i="10"/>
  <c r="O77" i="10" s="1"/>
  <c r="G22" i="13"/>
  <c r="H22" i="13"/>
  <c r="H65" i="10"/>
  <c r="H67" i="10"/>
  <c r="H62" i="10"/>
  <c r="H64" i="10"/>
  <c r="H63" i="10"/>
  <c r="J55" i="10"/>
  <c r="H60" i="10"/>
  <c r="H66" i="10"/>
  <c r="I95" i="13" l="1"/>
  <c r="AC92" i="11"/>
  <c r="I22" i="13"/>
  <c r="G84" i="11"/>
  <c r="I9" i="13" s="1"/>
  <c r="G48" i="11"/>
  <c r="U14" i="7"/>
  <c r="U15" i="7" s="1"/>
  <c r="V15" i="7" s="1"/>
  <c r="I49" i="7" s="1"/>
  <c r="K18" i="12"/>
  <c r="H18" i="12"/>
  <c r="J62" i="10"/>
  <c r="J59" i="10"/>
  <c r="J67" i="10"/>
  <c r="J63" i="10"/>
  <c r="J64" i="10"/>
  <c r="L55" i="10"/>
  <c r="J65" i="10"/>
  <c r="J57" i="10"/>
  <c r="J61" i="10"/>
  <c r="J58" i="10"/>
  <c r="J66" i="10"/>
  <c r="J60" i="10"/>
  <c r="U64" i="11"/>
  <c r="W64" i="11" s="1"/>
  <c r="AW43" i="11"/>
  <c r="I45" i="7" l="1"/>
  <c r="C69" i="12"/>
  <c r="V12" i="12"/>
  <c r="I65" i="7"/>
  <c r="I68" i="7" s="1"/>
  <c r="C36" i="10"/>
  <c r="J68" i="10" s="1"/>
  <c r="C38" i="10" s="1"/>
  <c r="I92" i="7"/>
  <c r="G52" i="11"/>
  <c r="F100" i="7"/>
  <c r="G100" i="7" s="1"/>
  <c r="D92" i="7" s="1"/>
  <c r="D93" i="7" s="1"/>
  <c r="B100" i="7" s="1"/>
  <c r="C95" i="7" s="1"/>
  <c r="A93" i="7" s="1"/>
  <c r="H75" i="16"/>
  <c r="H128" i="16" s="1"/>
  <c r="D163" i="17" s="1"/>
  <c r="D168" i="17" s="1"/>
  <c r="H18" i="22"/>
  <c r="C68" i="12"/>
  <c r="C64" i="12" s="1"/>
  <c r="C61" i="12" s="1"/>
  <c r="C62" i="12" s="1"/>
  <c r="D62" i="12" s="1"/>
  <c r="G131" i="11" s="1"/>
  <c r="L61" i="10"/>
  <c r="L63" i="10"/>
  <c r="N55" i="10"/>
  <c r="L60" i="10"/>
  <c r="L65" i="10"/>
  <c r="L58" i="10"/>
  <c r="L62" i="10"/>
  <c r="L64" i="10"/>
  <c r="L67" i="10"/>
  <c r="L66" i="10"/>
  <c r="L57" i="10"/>
  <c r="L59" i="10"/>
  <c r="B101" i="7" l="1"/>
  <c r="B95" i="7" s="1"/>
  <c r="K61" i="6"/>
  <c r="AF56" i="7"/>
  <c r="E5" i="20"/>
  <c r="AL60" i="7"/>
  <c r="AM60" i="7" s="1"/>
  <c r="AI57" i="7"/>
  <c r="AJ57" i="7" s="1"/>
  <c r="N68" i="7"/>
  <c r="J5" i="20"/>
  <c r="EF5" i="20"/>
  <c r="J5" i="19"/>
  <c r="N67" i="7"/>
  <c r="EG5" i="19"/>
  <c r="G34" i="11"/>
  <c r="C100" i="7"/>
  <c r="C96" i="7" s="1"/>
  <c r="AC87" i="11"/>
  <c r="C95" i="13"/>
  <c r="J42" i="11"/>
  <c r="L40" i="11" s="1"/>
  <c r="L42" i="11" s="1"/>
  <c r="Z12" i="12"/>
  <c r="T12" i="12"/>
  <c r="K15" i="12" s="1"/>
  <c r="H15" i="12" s="1"/>
  <c r="C46" i="10"/>
  <c r="R60" i="11"/>
  <c r="AW38" i="11" s="1"/>
  <c r="K96" i="10"/>
  <c r="H68" i="10"/>
  <c r="AA43" i="7"/>
  <c r="AB43" i="7" s="1"/>
  <c r="M43" i="7"/>
  <c r="N43" i="7" s="1"/>
  <c r="N49" i="7"/>
  <c r="G50" i="11"/>
  <c r="O48" i="7"/>
  <c r="L59" i="6" s="1"/>
  <c r="O49" i="7"/>
  <c r="L60" i="6" s="1"/>
  <c r="AA44" i="7"/>
  <c r="M44" i="7"/>
  <c r="K60" i="6"/>
  <c r="L68" i="10"/>
  <c r="C40" i="10" s="1"/>
  <c r="N66" i="10"/>
  <c r="N58" i="10"/>
  <c r="N65" i="10"/>
  <c r="N60" i="10"/>
  <c r="N67" i="10"/>
  <c r="N57" i="10"/>
  <c r="N64" i="10"/>
  <c r="N63" i="10"/>
  <c r="N61" i="10"/>
  <c r="N59" i="10"/>
  <c r="N62" i="10"/>
  <c r="H82" i="24"/>
  <c r="H135" i="24" s="1"/>
  <c r="D165" i="23" s="1"/>
  <c r="C156" i="27"/>
  <c r="W119" i="27"/>
  <c r="W120" i="27"/>
  <c r="C252" i="16"/>
  <c r="E194" i="17"/>
  <c r="E197" i="17"/>
  <c r="K95" i="13"/>
  <c r="H37" i="10"/>
  <c r="H38" i="10" s="1"/>
  <c r="L48" i="7"/>
  <c r="C101" i="7" l="1"/>
  <c r="B96" i="7" s="1"/>
  <c r="AB44" i="7"/>
  <c r="AC43" i="7" s="1"/>
  <c r="J50" i="7" s="1"/>
  <c r="N44" i="7"/>
  <c r="O43" i="7" s="1"/>
  <c r="I46" i="7" s="1"/>
  <c r="C37" i="10"/>
  <c r="H15" i="22"/>
  <c r="H72" i="16"/>
  <c r="D39" i="17" s="1"/>
  <c r="EL5" i="19"/>
  <c r="L3" i="19" s="1"/>
  <c r="CN41" i="20"/>
  <c r="CR39" i="20" s="1"/>
  <c r="AX41" i="20"/>
  <c r="BB40" i="20" s="1"/>
  <c r="E376" i="20"/>
  <c r="BF416" i="20" s="1"/>
  <c r="E144" i="20"/>
  <c r="BF184" i="20" s="1"/>
  <c r="L98" i="10"/>
  <c r="O98" i="10"/>
  <c r="M98" i="10"/>
  <c r="N98" i="10"/>
  <c r="M96" i="10"/>
  <c r="M100" i="10" s="1"/>
  <c r="H73" i="10" s="1"/>
  <c r="O96" i="10"/>
  <c r="O100" i="10" s="1"/>
  <c r="N96" i="10"/>
  <c r="N100" i="10" s="1"/>
  <c r="L96" i="10"/>
  <c r="L100" i="10" s="1"/>
  <c r="H72" i="10" s="1"/>
  <c r="L67" i="7"/>
  <c r="AG56" i="7"/>
  <c r="L68" i="7" s="1"/>
  <c r="M68" i="7" s="1"/>
  <c r="U60" i="11"/>
  <c r="W60" i="11" s="1"/>
  <c r="C101" i="13"/>
  <c r="C48" i="10"/>
  <c r="K101" i="13" s="1"/>
  <c r="C47" i="10"/>
  <c r="E101" i="13" s="1"/>
  <c r="G101" i="13" s="1"/>
  <c r="I101" i="13" s="1"/>
  <c r="H74" i="10"/>
  <c r="N68" i="10"/>
  <c r="C44" i="10" s="1"/>
  <c r="G170" i="23"/>
  <c r="G196" i="23" s="1"/>
  <c r="G199" i="23" s="1"/>
  <c r="D170" i="23"/>
  <c r="C167" i="27"/>
  <c r="C166" i="27"/>
  <c r="Z63" i="10"/>
  <c r="AB63" i="10"/>
  <c r="AB64" i="10" s="1"/>
  <c r="AA63" i="10"/>
  <c r="AA64" i="10" s="1"/>
  <c r="X125" i="27"/>
  <c r="X126" i="27" s="1"/>
  <c r="AC126" i="27" s="1"/>
  <c r="X124" i="27"/>
  <c r="F95" i="7"/>
  <c r="A94" i="7"/>
  <c r="F96" i="7" l="1"/>
  <c r="F97" i="7" s="1"/>
  <c r="H75" i="10"/>
  <c r="H77" i="10" s="1"/>
  <c r="G37" i="10" s="1"/>
  <c r="G127" i="11" s="1"/>
  <c r="T54" i="7" s="1"/>
  <c r="BG40" i="20"/>
  <c r="BC40" i="20"/>
  <c r="AS49" i="20"/>
  <c r="X180" i="23"/>
  <c r="T187" i="23" s="1"/>
  <c r="T189" i="23" s="1"/>
  <c r="H79" i="24"/>
  <c r="D41" i="23" s="1"/>
  <c r="O2" i="22"/>
  <c r="D12" i="28"/>
  <c r="D60" i="28" s="1"/>
  <c r="F70" i="28" s="1"/>
  <c r="C70" i="28" s="1"/>
  <c r="M42" i="23"/>
  <c r="M43" i="23" s="1"/>
  <c r="D40" i="23" s="1"/>
  <c r="I70" i="7"/>
  <c r="M67" i="7"/>
  <c r="CS39" i="20"/>
  <c r="CW40" i="20"/>
  <c r="CJ49" i="20"/>
  <c r="E95" i="13"/>
  <c r="G95" i="13" s="1"/>
  <c r="K48" i="7"/>
  <c r="BG184" i="20"/>
  <c r="C314" i="20"/>
  <c r="C324" i="20" s="1"/>
  <c r="X141" i="20"/>
  <c r="BG416" i="20"/>
  <c r="C552" i="20"/>
  <c r="C562" i="20" s="1"/>
  <c r="X373" i="20"/>
  <c r="F30" i="17"/>
  <c r="G48" i="17"/>
  <c r="D30" i="17"/>
  <c r="E62" i="17"/>
  <c r="G37" i="17"/>
  <c r="G39" i="17" s="1"/>
  <c r="G61" i="11"/>
  <c r="L17" i="7"/>
  <c r="L28" i="7"/>
  <c r="L31" i="7"/>
  <c r="L36" i="7"/>
  <c r="L27" i="7"/>
  <c r="L25" i="7"/>
  <c r="L22" i="7"/>
  <c r="L32" i="7"/>
  <c r="L37" i="7"/>
  <c r="L16" i="7"/>
  <c r="L21" i="7"/>
  <c r="L35" i="7"/>
  <c r="L18" i="7"/>
  <c r="L26" i="7"/>
  <c r="L15" i="7"/>
  <c r="L34" i="7"/>
  <c r="L14" i="7"/>
  <c r="L20" i="7"/>
  <c r="L29" i="7"/>
  <c r="L30" i="7"/>
  <c r="L24" i="7"/>
  <c r="L19" i="7"/>
  <c r="L33" i="7"/>
  <c r="L23" i="7"/>
  <c r="I48" i="7"/>
  <c r="B94" i="7"/>
  <c r="B93" i="7"/>
  <c r="AD63" i="10"/>
  <c r="C41" i="10" s="1"/>
  <c r="Z64" i="10"/>
  <c r="AD64" i="10" s="1"/>
  <c r="D170" i="27"/>
  <c r="D171" i="27"/>
  <c r="D172" i="27" s="1"/>
  <c r="F172" i="27" s="1"/>
  <c r="E97" i="13"/>
  <c r="G97" i="13" s="1"/>
  <c r="H39" i="10"/>
  <c r="AC64" i="10"/>
  <c r="E196" i="23"/>
  <c r="C259" i="24"/>
  <c r="E199" i="23"/>
  <c r="CB40" i="20" l="1"/>
  <c r="CJ50" i="20"/>
  <c r="F72" i="28"/>
  <c r="F76" i="28" s="1"/>
  <c r="D78" i="28" s="1"/>
  <c r="C71" i="28"/>
  <c r="AT52" i="20"/>
  <c r="C27" i="20"/>
  <c r="E168" i="16"/>
  <c r="D69" i="17"/>
  <c r="D65" i="17" s="1"/>
  <c r="C416" i="20"/>
  <c r="B474" i="20"/>
  <c r="C36" i="20"/>
  <c r="AG454" i="20"/>
  <c r="C184" i="20"/>
  <c r="C13" i="20"/>
  <c r="AG222" i="20"/>
  <c r="B242" i="20"/>
  <c r="AS50" i="20"/>
  <c r="AK40" i="20"/>
  <c r="K49" i="7"/>
  <c r="G125" i="11" s="1"/>
  <c r="G51" i="11"/>
  <c r="E563" i="20"/>
  <c r="I563" i="20"/>
  <c r="H564" i="20" s="1"/>
  <c r="I564" i="20" s="1"/>
  <c r="AG562" i="20"/>
  <c r="D563" i="20"/>
  <c r="C564" i="20" s="1"/>
  <c r="G563" i="20"/>
  <c r="F564" i="20" s="1"/>
  <c r="C563" i="20"/>
  <c r="F563" i="20"/>
  <c r="E564" i="20" s="1"/>
  <c r="C573" i="20"/>
  <c r="W562" i="20"/>
  <c r="H563" i="20"/>
  <c r="G564" i="20" s="1"/>
  <c r="M562" i="20"/>
  <c r="C335" i="20"/>
  <c r="AG324" i="20"/>
  <c r="F325" i="20"/>
  <c r="E326" i="20" s="1"/>
  <c r="H325" i="20"/>
  <c r="G326" i="20" s="1"/>
  <c r="I325" i="20"/>
  <c r="H326" i="20" s="1"/>
  <c r="I326" i="20" s="1"/>
  <c r="D325" i="20"/>
  <c r="C326" i="20" s="1"/>
  <c r="G325" i="20"/>
  <c r="F326" i="20" s="1"/>
  <c r="C325" i="20"/>
  <c r="M324" i="20"/>
  <c r="E325" i="20"/>
  <c r="W324" i="20"/>
  <c r="C23" i="20"/>
  <c r="CK52" i="20"/>
  <c r="K68" i="7"/>
  <c r="K67" i="7" s="1"/>
  <c r="U63" i="7"/>
  <c r="G35" i="11"/>
  <c r="BC27" i="11" s="1"/>
  <c r="AW27" i="11" s="1"/>
  <c r="E64" i="23"/>
  <c r="D32" i="23"/>
  <c r="M38" i="23" s="1"/>
  <c r="BG52" i="20"/>
  <c r="BH51" i="20" s="1"/>
  <c r="BS82" i="20"/>
  <c r="BG45" i="20"/>
  <c r="BH44" i="20" s="1"/>
  <c r="BG48" i="20"/>
  <c r="BH47" i="20" s="1"/>
  <c r="BG54" i="20"/>
  <c r="BH53" i="20" s="1"/>
  <c r="BF65" i="20"/>
  <c r="BG46" i="20"/>
  <c r="BH45" i="20" s="1"/>
  <c r="BG55" i="20"/>
  <c r="BH54" i="20" s="1"/>
  <c r="BG57" i="20"/>
  <c r="BH56" i="20" s="1"/>
  <c r="BG58" i="20"/>
  <c r="BH57" i="20" s="1"/>
  <c r="BG47" i="20"/>
  <c r="BH46" i="20" s="1"/>
  <c r="BG49" i="20"/>
  <c r="BH48" i="20" s="1"/>
  <c r="BG44" i="20"/>
  <c r="BG51" i="20"/>
  <c r="BH50" i="20" s="1"/>
  <c r="BG56" i="20"/>
  <c r="BH55" i="20" s="1"/>
  <c r="BG50" i="20"/>
  <c r="BG53" i="20"/>
  <c r="BH52" i="20" s="1"/>
  <c r="G50" i="17"/>
  <c r="E202" i="17"/>
  <c r="CF373" i="20"/>
  <c r="BL555" i="20"/>
  <c r="BL565" i="20" s="1"/>
  <c r="CD141" i="20"/>
  <c r="BL314" i="20"/>
  <c r="BL324" i="20" s="1"/>
  <c r="CW49" i="20"/>
  <c r="CX48" i="20" s="1"/>
  <c r="CW45" i="20"/>
  <c r="CX44" i="20" s="1"/>
  <c r="CW50" i="20"/>
  <c r="CW48" i="20"/>
  <c r="CX47" i="20" s="1"/>
  <c r="CW44" i="20"/>
  <c r="CW51" i="20"/>
  <c r="CX50" i="20" s="1"/>
  <c r="DI82" i="20"/>
  <c r="CW57" i="20"/>
  <c r="CX56" i="20" s="1"/>
  <c r="CW53" i="20"/>
  <c r="CX52" i="20" s="1"/>
  <c r="CW54" i="20"/>
  <c r="CX53" i="20" s="1"/>
  <c r="CV65" i="20"/>
  <c r="CW46" i="20"/>
  <c r="CX45" i="20" s="1"/>
  <c r="CW47" i="20"/>
  <c r="CX46" i="20" s="1"/>
  <c r="CW52" i="20"/>
  <c r="CX51" i="20" s="1"/>
  <c r="CW55" i="20"/>
  <c r="CX54" i="20" s="1"/>
  <c r="CW56" i="20"/>
  <c r="CX55" i="20" s="1"/>
  <c r="G50" i="23"/>
  <c r="C32" i="23"/>
  <c r="G39" i="23"/>
  <c r="G41" i="23" s="1"/>
  <c r="F32" i="23"/>
  <c r="AC63" i="10"/>
  <c r="G53" i="11"/>
  <c r="C96" i="13" s="1"/>
  <c r="C98" i="13" s="1"/>
  <c r="D98" i="13" s="1"/>
  <c r="K98" i="13" s="1"/>
  <c r="C42" i="10"/>
  <c r="E96" i="13" s="1"/>
  <c r="G96" i="13" s="1"/>
  <c r="Y40" i="10"/>
  <c r="A92" i="7"/>
  <c r="G123" i="11" s="1"/>
  <c r="BR97" i="20" l="1"/>
  <c r="BR89" i="20"/>
  <c r="BS88" i="20" s="1"/>
  <c r="BS103" i="20"/>
  <c r="BR95" i="20"/>
  <c r="BS94" i="20" s="1"/>
  <c r="BR91" i="20"/>
  <c r="BS90" i="20" s="1"/>
  <c r="BR85" i="20"/>
  <c r="BR92" i="20"/>
  <c r="BS91" i="20" s="1"/>
  <c r="BR94" i="20"/>
  <c r="BS93" i="20" s="1"/>
  <c r="BR86" i="20"/>
  <c r="BS85" i="20" s="1"/>
  <c r="BR93" i="20"/>
  <c r="BS92" i="20" s="1"/>
  <c r="BR88" i="20"/>
  <c r="BS87" i="20" s="1"/>
  <c r="BR90" i="20"/>
  <c r="BR87" i="20"/>
  <c r="BS86" i="20" s="1"/>
  <c r="BR96" i="20"/>
  <c r="BS95" i="20" s="1"/>
  <c r="B330" i="20"/>
  <c r="B326" i="20"/>
  <c r="S563" i="20"/>
  <c r="R564" i="20" s="1"/>
  <c r="S564" i="20" s="1"/>
  <c r="O563" i="20"/>
  <c r="R563" i="20"/>
  <c r="Q564" i="20" s="1"/>
  <c r="Q563" i="20"/>
  <c r="P564" i="20" s="1"/>
  <c r="M573" i="20"/>
  <c r="M563" i="20"/>
  <c r="P563" i="20"/>
  <c r="O564" i="20" s="1"/>
  <c r="N563" i="20"/>
  <c r="M564" i="20" s="1"/>
  <c r="T53" i="7"/>
  <c r="AE184" i="20"/>
  <c r="B205" i="20"/>
  <c r="C190" i="20"/>
  <c r="D189" i="20" s="1"/>
  <c r="C195" i="20"/>
  <c r="D194" i="20" s="1"/>
  <c r="C198" i="20"/>
  <c r="D197" i="20" s="1"/>
  <c r="C194" i="20"/>
  <c r="D193" i="20" s="1"/>
  <c r="C188" i="20"/>
  <c r="C193" i="20"/>
  <c r="D192" i="20" s="1"/>
  <c r="C192" i="20"/>
  <c r="Q184" i="20"/>
  <c r="C191" i="20"/>
  <c r="D190" i="20" s="1"/>
  <c r="AS184" i="20"/>
  <c r="C189" i="20"/>
  <c r="D188" i="20" s="1"/>
  <c r="C196" i="20"/>
  <c r="D195" i="20" s="1"/>
  <c r="C197" i="20"/>
  <c r="D196" i="20" s="1"/>
  <c r="AG520" i="20"/>
  <c r="AG462" i="20"/>
  <c r="AH461" i="20" s="1"/>
  <c r="AG460" i="20"/>
  <c r="AH459" i="20" s="1"/>
  <c r="AG459" i="20"/>
  <c r="AH458" i="20" s="1"/>
  <c r="AG465" i="20"/>
  <c r="AH464" i="20" s="1"/>
  <c r="AG463" i="20"/>
  <c r="AG458" i="20"/>
  <c r="AG468" i="20"/>
  <c r="AH467" i="20" s="1"/>
  <c r="AG498" i="20"/>
  <c r="AG456" i="20"/>
  <c r="AG469" i="20"/>
  <c r="AH468" i="20" s="1"/>
  <c r="AG466" i="20"/>
  <c r="AH465" i="20" s="1"/>
  <c r="B469" i="20"/>
  <c r="AG461" i="20"/>
  <c r="AH460" i="20" s="1"/>
  <c r="AG464" i="20"/>
  <c r="AH463" i="20" s="1"/>
  <c r="AG467" i="20"/>
  <c r="AH466" i="20" s="1"/>
  <c r="AG476" i="20"/>
  <c r="D168" i="16"/>
  <c r="E170" i="16" s="1"/>
  <c r="E71" i="17"/>
  <c r="CX43" i="20"/>
  <c r="CW61" i="20"/>
  <c r="BJ474" i="20"/>
  <c r="C43" i="20"/>
  <c r="CO454" i="20"/>
  <c r="BK416" i="20"/>
  <c r="BG61" i="20"/>
  <c r="BH43" i="20"/>
  <c r="AA65" i="7"/>
  <c r="L72" i="7"/>
  <c r="AC325" i="20"/>
  <c r="AB326" i="20" s="1"/>
  <c r="AC326" i="20" s="1"/>
  <c r="Y325" i="20"/>
  <c r="Z325" i="20"/>
  <c r="Y326" i="20" s="1"/>
  <c r="W335" i="20"/>
  <c r="AA325" i="20"/>
  <c r="Z326" i="20" s="1"/>
  <c r="X325" i="20"/>
  <c r="W326" i="20" s="1"/>
  <c r="W325" i="20"/>
  <c r="AB325" i="20"/>
  <c r="AA326" i="20" s="1"/>
  <c r="B568" i="20"/>
  <c r="B564" i="20"/>
  <c r="AK45" i="20"/>
  <c r="AL44" i="20" s="1"/>
  <c r="AK55" i="20"/>
  <c r="AL54" i="20" s="1"/>
  <c r="AK44" i="20"/>
  <c r="AK57" i="20"/>
  <c r="AL56" i="20" s="1"/>
  <c r="AK49" i="20"/>
  <c r="AL48" i="20" s="1"/>
  <c r="AK46" i="20"/>
  <c r="AL45" i="20" s="1"/>
  <c r="AW82" i="20"/>
  <c r="AK58" i="20"/>
  <c r="AL57" i="20" s="1"/>
  <c r="AK48" i="20"/>
  <c r="AL47" i="20" s="1"/>
  <c r="AK53" i="20"/>
  <c r="AL52" i="20" s="1"/>
  <c r="AK52" i="20"/>
  <c r="AL51" i="20" s="1"/>
  <c r="AK54" i="20"/>
  <c r="AL53" i="20" s="1"/>
  <c r="AK50" i="20"/>
  <c r="AK56" i="20"/>
  <c r="AL55" i="20" s="1"/>
  <c r="AJ65" i="20"/>
  <c r="AK51" i="20"/>
  <c r="AL50" i="20" s="1"/>
  <c r="AK47" i="20"/>
  <c r="AL46" i="20" s="1"/>
  <c r="B308" i="20"/>
  <c r="C242" i="20"/>
  <c r="AU141" i="20" s="1"/>
  <c r="C241" i="20"/>
  <c r="AT141" i="20" s="1"/>
  <c r="B286" i="20"/>
  <c r="B264" i="20"/>
  <c r="U102" i="7"/>
  <c r="B36" i="20"/>
  <c r="T102" i="7" s="1"/>
  <c r="D95" i="28"/>
  <c r="D85" i="28"/>
  <c r="BO566" i="20"/>
  <c r="BN567" i="20" s="1"/>
  <c r="BV565" i="20"/>
  <c r="BN566" i="20"/>
  <c r="BR566" i="20"/>
  <c r="BQ567" i="20" s="1"/>
  <c r="BR567" i="20" s="1"/>
  <c r="BQ566" i="20"/>
  <c r="BP567" i="20" s="1"/>
  <c r="BL576" i="20"/>
  <c r="BP566" i="20"/>
  <c r="BO567" i="20" s="1"/>
  <c r="BM566" i="20"/>
  <c r="BL567" i="20" s="1"/>
  <c r="CP565" i="20"/>
  <c r="BL566" i="20"/>
  <c r="CF565" i="20"/>
  <c r="BQ65" i="20"/>
  <c r="BQ67" i="20" s="1"/>
  <c r="BP68" i="20" s="1"/>
  <c r="BJ65" i="20"/>
  <c r="BJ67" i="20" s="1"/>
  <c r="BI68" i="20" s="1"/>
  <c r="BN65" i="20"/>
  <c r="BN67" i="20" s="1"/>
  <c r="BM68" i="20" s="1"/>
  <c r="BI65" i="20"/>
  <c r="BI67" i="20" s="1"/>
  <c r="BH68" i="20" s="1"/>
  <c r="BL65" i="20"/>
  <c r="BL67" i="20" s="1"/>
  <c r="BK68" i="20" s="1"/>
  <c r="BH65" i="20"/>
  <c r="BH67" i="20" s="1"/>
  <c r="BG68" i="20" s="1"/>
  <c r="BS65" i="20"/>
  <c r="BS67" i="20" s="1"/>
  <c r="BR68" i="20" s="1"/>
  <c r="BP65" i="20"/>
  <c r="BP67" i="20" s="1"/>
  <c r="BO68" i="20" s="1"/>
  <c r="BO65" i="20"/>
  <c r="BO67" i="20" s="1"/>
  <c r="BN68" i="20" s="1"/>
  <c r="BT65" i="20"/>
  <c r="BT67" i="20" s="1"/>
  <c r="BS68" i="20" s="1"/>
  <c r="BK65" i="20"/>
  <c r="BK67" i="20" s="1"/>
  <c r="BJ68" i="20" s="1"/>
  <c r="BR65" i="20"/>
  <c r="BR67" i="20" s="1"/>
  <c r="BQ68" i="20" s="1"/>
  <c r="BG65" i="20"/>
  <c r="BG67" i="20" s="1"/>
  <c r="BM65" i="20"/>
  <c r="BM67" i="20" s="1"/>
  <c r="BU65" i="20"/>
  <c r="BU67" i="20" s="1"/>
  <c r="BT68" i="20" s="1"/>
  <c r="BU68" i="20" s="1"/>
  <c r="AG563" i="20"/>
  <c r="AM563" i="20"/>
  <c r="AL564" i="20" s="1"/>
  <c r="AM564" i="20" s="1"/>
  <c r="AK563" i="20"/>
  <c r="AJ564" i="20" s="1"/>
  <c r="AJ563" i="20"/>
  <c r="AI564" i="20" s="1"/>
  <c r="AL563" i="20"/>
  <c r="AK564" i="20" s="1"/>
  <c r="AI563" i="20"/>
  <c r="AG573" i="20"/>
  <c r="AH563" i="20"/>
  <c r="AG564" i="20" s="1"/>
  <c r="L207" i="23"/>
  <c r="L208" i="23" s="1"/>
  <c r="M208" i="23" s="1"/>
  <c r="G52" i="23"/>
  <c r="E204" i="23"/>
  <c r="BV324" i="20"/>
  <c r="BL325" i="20"/>
  <c r="BR325" i="20"/>
  <c r="BQ326" i="20" s="1"/>
  <c r="BR326" i="20" s="1"/>
  <c r="CF324" i="20"/>
  <c r="BQ325" i="20"/>
  <c r="BP326" i="20" s="1"/>
  <c r="BM325" i="20"/>
  <c r="BL326" i="20" s="1"/>
  <c r="BN325" i="20"/>
  <c r="BP325" i="20"/>
  <c r="BO326" i="20" s="1"/>
  <c r="BO325" i="20"/>
  <c r="BN326" i="20" s="1"/>
  <c r="BL335" i="20"/>
  <c r="CP324" i="20"/>
  <c r="C246" i="16"/>
  <c r="E205" i="17"/>
  <c r="E219" i="17" s="1"/>
  <c r="H250" i="16" s="1"/>
  <c r="C50" i="12" s="1"/>
  <c r="L50" i="12" s="1"/>
  <c r="BH49" i="20"/>
  <c r="BG60" i="20"/>
  <c r="B329" i="20"/>
  <c r="D326" i="20"/>
  <c r="AI325" i="20"/>
  <c r="AK325" i="20"/>
  <c r="AJ326" i="20" s="1"/>
  <c r="AL325" i="20"/>
  <c r="AK326" i="20" s="1"/>
  <c r="AM325" i="20"/>
  <c r="AL326" i="20" s="1"/>
  <c r="AM326" i="20" s="1"/>
  <c r="AG325" i="20"/>
  <c r="AH325" i="20"/>
  <c r="AG326" i="20" s="1"/>
  <c r="AG335" i="20"/>
  <c r="AJ325" i="20"/>
  <c r="AI326" i="20" s="1"/>
  <c r="X563" i="20"/>
  <c r="W564" i="20" s="1"/>
  <c r="W573" i="20"/>
  <c r="AB563" i="20"/>
  <c r="AA564" i="20" s="1"/>
  <c r="AA563" i="20"/>
  <c r="Z564" i="20" s="1"/>
  <c r="AC563" i="20"/>
  <c r="AB564" i="20" s="1"/>
  <c r="AC564" i="20" s="1"/>
  <c r="Z563" i="20"/>
  <c r="Y564" i="20" s="1"/>
  <c r="Y563" i="20"/>
  <c r="W563" i="20"/>
  <c r="B567" i="20"/>
  <c r="D564" i="20"/>
  <c r="AT53" i="20"/>
  <c r="C28" i="20"/>
  <c r="AG266" i="20"/>
  <c r="AG226" i="20"/>
  <c r="AG224" i="20"/>
  <c r="AG227" i="20"/>
  <c r="AH226" i="20" s="1"/>
  <c r="AG235" i="20"/>
  <c r="AH234" i="20" s="1"/>
  <c r="AG288" i="20"/>
  <c r="AG229" i="20"/>
  <c r="AH228" i="20" s="1"/>
  <c r="AG234" i="20"/>
  <c r="AH233" i="20" s="1"/>
  <c r="AG232" i="20"/>
  <c r="AH231" i="20" s="1"/>
  <c r="B237" i="20"/>
  <c r="AG237" i="20"/>
  <c r="AH236" i="20" s="1"/>
  <c r="AG231" i="20"/>
  <c r="AG233" i="20"/>
  <c r="AH232" i="20" s="1"/>
  <c r="AG230" i="20"/>
  <c r="AH229" i="20" s="1"/>
  <c r="AG236" i="20"/>
  <c r="AH235" i="20" s="1"/>
  <c r="AG244" i="20"/>
  <c r="AG228" i="20"/>
  <c r="AH227" i="20" s="1"/>
  <c r="B518" i="20"/>
  <c r="C474" i="20"/>
  <c r="AU373" i="20" s="1"/>
  <c r="B540" i="20"/>
  <c r="C473" i="20"/>
  <c r="AT373" i="20" s="1"/>
  <c r="B496" i="20"/>
  <c r="U93" i="7"/>
  <c r="U69" i="7" s="1"/>
  <c r="B27" i="20"/>
  <c r="T93" i="7" s="1"/>
  <c r="C24" i="20"/>
  <c r="CK53" i="20"/>
  <c r="U89" i="7"/>
  <c r="U67" i="7" s="1"/>
  <c r="B23" i="20"/>
  <c r="T89" i="7" s="1"/>
  <c r="DF65" i="20"/>
  <c r="DF67" i="20" s="1"/>
  <c r="DE68" i="20" s="1"/>
  <c r="DH65" i="20"/>
  <c r="DH67" i="20" s="1"/>
  <c r="DG68" i="20" s="1"/>
  <c r="DC65" i="20"/>
  <c r="DC67" i="20" s="1"/>
  <c r="DA65" i="20"/>
  <c r="DA67" i="20" s="1"/>
  <c r="CZ68" i="20" s="1"/>
  <c r="DB65" i="20"/>
  <c r="DB67" i="20" s="1"/>
  <c r="DA68" i="20" s="1"/>
  <c r="DG65" i="20"/>
  <c r="DG67" i="20" s="1"/>
  <c r="DF68" i="20" s="1"/>
  <c r="CY65" i="20"/>
  <c r="CY67" i="20" s="1"/>
  <c r="CX68" i="20" s="1"/>
  <c r="CW65" i="20"/>
  <c r="CW67" i="20" s="1"/>
  <c r="DJ65" i="20"/>
  <c r="DJ67" i="20" s="1"/>
  <c r="DI68" i="20" s="1"/>
  <c r="DI65" i="20"/>
  <c r="DI67" i="20" s="1"/>
  <c r="DH68" i="20" s="1"/>
  <c r="CZ65" i="20"/>
  <c r="CZ67" i="20" s="1"/>
  <c r="CY68" i="20" s="1"/>
  <c r="CX65" i="20"/>
  <c r="CX67" i="20" s="1"/>
  <c r="CW68" i="20" s="1"/>
  <c r="DE65" i="20"/>
  <c r="DE67" i="20" s="1"/>
  <c r="DD68" i="20" s="1"/>
  <c r="DD65" i="20"/>
  <c r="DD67" i="20" s="1"/>
  <c r="DC68" i="20" s="1"/>
  <c r="DH95" i="20"/>
  <c r="DI94" i="20" s="1"/>
  <c r="DH88" i="20"/>
  <c r="DI87" i="20" s="1"/>
  <c r="DH97" i="20"/>
  <c r="DI103" i="20"/>
  <c r="DH94" i="20"/>
  <c r="DI93" i="20" s="1"/>
  <c r="DH86" i="20"/>
  <c r="DI85" i="20" s="1"/>
  <c r="DH96" i="20"/>
  <c r="DI95" i="20" s="1"/>
  <c r="DH90" i="20"/>
  <c r="DH87" i="20"/>
  <c r="DI86" i="20" s="1"/>
  <c r="DH92" i="20"/>
  <c r="DI91" i="20" s="1"/>
  <c r="DH91" i="20"/>
  <c r="DI90" i="20" s="1"/>
  <c r="DH89" i="20"/>
  <c r="DI88" i="20" s="1"/>
  <c r="DH93" i="20"/>
  <c r="DI92" i="20" s="1"/>
  <c r="DH85" i="20"/>
  <c r="CW60" i="20"/>
  <c r="CX60" i="20" s="1"/>
  <c r="CX49" i="20"/>
  <c r="BJ242" i="20"/>
  <c r="C20" i="20"/>
  <c r="CO222" i="20"/>
  <c r="BK184" i="20"/>
  <c r="E175" i="24"/>
  <c r="D71" i="23"/>
  <c r="M325" i="20"/>
  <c r="P325" i="20"/>
  <c r="O326" i="20" s="1"/>
  <c r="Q325" i="20"/>
  <c r="P326" i="20" s="1"/>
  <c r="R325" i="20"/>
  <c r="Q326" i="20" s="1"/>
  <c r="O325" i="20"/>
  <c r="N325" i="20"/>
  <c r="M326" i="20" s="1"/>
  <c r="S325" i="20"/>
  <c r="R326" i="20" s="1"/>
  <c r="S326" i="20" s="1"/>
  <c r="M335" i="20"/>
  <c r="C341" i="20"/>
  <c r="D340" i="20" s="1"/>
  <c r="C340" i="20"/>
  <c r="C338" i="20"/>
  <c r="C343" i="20"/>
  <c r="D342" i="20" s="1"/>
  <c r="C342" i="20"/>
  <c r="D341" i="20" s="1"/>
  <c r="C344" i="20"/>
  <c r="D343" i="20" s="1"/>
  <c r="C339" i="20"/>
  <c r="D338" i="20" s="1"/>
  <c r="C577" i="20"/>
  <c r="D576" i="20" s="1"/>
  <c r="C579" i="20"/>
  <c r="D578" i="20" s="1"/>
  <c r="C582" i="20"/>
  <c r="D581" i="20" s="1"/>
  <c r="C581" i="20"/>
  <c r="D580" i="20" s="1"/>
  <c r="C580" i="20"/>
  <c r="D579" i="20" s="1"/>
  <c r="C578" i="20"/>
  <c r="C576" i="20"/>
  <c r="U79" i="7"/>
  <c r="U65" i="7" s="1"/>
  <c r="Y63" i="7" s="1"/>
  <c r="AA69" i="7" s="1"/>
  <c r="B13" i="20"/>
  <c r="T79" i="7" s="1"/>
  <c r="C424" i="20"/>
  <c r="Q416" i="20"/>
  <c r="AS416" i="20"/>
  <c r="C425" i="20"/>
  <c r="D424" i="20" s="1"/>
  <c r="B437" i="20"/>
  <c r="AE416" i="20"/>
  <c r="C430" i="20"/>
  <c r="D429" i="20" s="1"/>
  <c r="C429" i="20"/>
  <c r="D428" i="20" s="1"/>
  <c r="C423" i="20"/>
  <c r="D422" i="20" s="1"/>
  <c r="C426" i="20"/>
  <c r="D425" i="20" s="1"/>
  <c r="C428" i="20"/>
  <c r="D427" i="20" s="1"/>
  <c r="C420" i="20"/>
  <c r="C421" i="20"/>
  <c r="D420" i="20" s="1"/>
  <c r="C422" i="20"/>
  <c r="D421" i="20" s="1"/>
  <c r="C427" i="20"/>
  <c r="D426" i="20" s="1"/>
  <c r="CB57" i="20"/>
  <c r="CC56" i="20" s="1"/>
  <c r="CB45" i="20"/>
  <c r="CC44" i="20" s="1"/>
  <c r="CB50" i="20"/>
  <c r="CB47" i="20"/>
  <c r="CC46" i="20" s="1"/>
  <c r="CB44" i="20"/>
  <c r="CB52" i="20"/>
  <c r="CC51" i="20" s="1"/>
  <c r="CB48" i="20"/>
  <c r="CC47" i="20" s="1"/>
  <c r="CB49" i="20"/>
  <c r="CC48" i="20" s="1"/>
  <c r="CB46" i="20"/>
  <c r="CC45" i="20" s="1"/>
  <c r="CB51" i="20"/>
  <c r="CC50" i="20" s="1"/>
  <c r="CB54" i="20"/>
  <c r="CC53" i="20" s="1"/>
  <c r="CN82" i="20"/>
  <c r="CB55" i="20"/>
  <c r="CC54" i="20" s="1"/>
  <c r="CA65" i="20"/>
  <c r="CB56" i="20"/>
  <c r="CC55" i="20" s="1"/>
  <c r="CB53" i="20"/>
  <c r="CC52" i="20" s="1"/>
  <c r="T52" i="7"/>
  <c r="G98" i="13"/>
  <c r="P191" i="13" s="1"/>
  <c r="K102" i="13"/>
  <c r="Q191" i="13"/>
  <c r="C329" i="20" l="1"/>
  <c r="C330" i="20" s="1"/>
  <c r="BH60" i="20"/>
  <c r="BH61" i="20" s="1"/>
  <c r="BI61" i="20" s="1"/>
  <c r="BI62" i="20" s="1"/>
  <c r="BM40" i="20" s="1"/>
  <c r="AU52" i="20" s="1"/>
  <c r="AU49" i="20" s="1"/>
  <c r="C567" i="20"/>
  <c r="C568" i="20" s="1"/>
  <c r="C569" i="20" s="1"/>
  <c r="DH99" i="20"/>
  <c r="DI89" i="20"/>
  <c r="W581" i="20"/>
  <c r="X580" i="20" s="1"/>
  <c r="W580" i="20"/>
  <c r="X579" i="20" s="1"/>
  <c r="W577" i="20"/>
  <c r="X576" i="20" s="1"/>
  <c r="W582" i="20"/>
  <c r="X581" i="20" s="1"/>
  <c r="W576" i="20"/>
  <c r="W578" i="20"/>
  <c r="W579" i="20"/>
  <c r="X578" i="20" s="1"/>
  <c r="CP335" i="20"/>
  <c r="CT325" i="20"/>
  <c r="CS326" i="20" s="1"/>
  <c r="CS325" i="20"/>
  <c r="CR326" i="20" s="1"/>
  <c r="CU325" i="20"/>
  <c r="CT326" i="20" s="1"/>
  <c r="CQ325" i="20"/>
  <c r="CP326" i="20" s="1"/>
  <c r="CP325" i="20"/>
  <c r="CV325" i="20"/>
  <c r="CU326" i="20" s="1"/>
  <c r="CV326" i="20" s="1"/>
  <c r="CR325" i="20"/>
  <c r="BK329" i="20"/>
  <c r="BM326" i="20"/>
  <c r="AF567" i="20"/>
  <c r="AH564" i="20"/>
  <c r="BF71" i="20"/>
  <c r="BF68" i="20"/>
  <c r="D87" i="28"/>
  <c r="D88" i="28" s="1"/>
  <c r="I7" i="22" s="1"/>
  <c r="B103" i="28"/>
  <c r="B105" i="28"/>
  <c r="D105" i="28" s="1"/>
  <c r="C264" i="20"/>
  <c r="AU142" i="20" s="1"/>
  <c r="C263" i="20"/>
  <c r="C308" i="20"/>
  <c r="AU144" i="20" s="1"/>
  <c r="C307" i="20"/>
  <c r="AN65" i="20"/>
  <c r="AN67" i="20" s="1"/>
  <c r="AM68" i="20" s="1"/>
  <c r="AT65" i="20"/>
  <c r="AT67" i="20" s="1"/>
  <c r="AS68" i="20" s="1"/>
  <c r="AY65" i="20"/>
  <c r="AY67" i="20" s="1"/>
  <c r="AX68" i="20" s="1"/>
  <c r="AY68" i="20" s="1"/>
  <c r="AW65" i="20"/>
  <c r="AW67" i="20" s="1"/>
  <c r="AV68" i="20" s="1"/>
  <c r="AS65" i="20"/>
  <c r="AS67" i="20" s="1"/>
  <c r="AR68" i="20" s="1"/>
  <c r="AX65" i="20"/>
  <c r="AX67" i="20" s="1"/>
  <c r="AW68" i="20" s="1"/>
  <c r="AQ65" i="20"/>
  <c r="AQ67" i="20" s="1"/>
  <c r="AO65" i="20"/>
  <c r="AO67" i="20" s="1"/>
  <c r="AN68" i="20" s="1"/>
  <c r="AL65" i="20"/>
  <c r="AL67" i="20" s="1"/>
  <c r="AK68" i="20" s="1"/>
  <c r="AV65" i="20"/>
  <c r="AV67" i="20" s="1"/>
  <c r="AU68" i="20" s="1"/>
  <c r="AR65" i="20"/>
  <c r="AR67" i="20" s="1"/>
  <c r="AQ68" i="20" s="1"/>
  <c r="AP65" i="20"/>
  <c r="AP67" i="20" s="1"/>
  <c r="AO68" i="20" s="1"/>
  <c r="AU65" i="20"/>
  <c r="AU67" i="20" s="1"/>
  <c r="AT68" i="20" s="1"/>
  <c r="AK65" i="20"/>
  <c r="AK67" i="20" s="1"/>
  <c r="AM65" i="20"/>
  <c r="AM67" i="20" s="1"/>
  <c r="AL68" i="20" s="1"/>
  <c r="AW103" i="20"/>
  <c r="AV93" i="20"/>
  <c r="AW92" i="20" s="1"/>
  <c r="AV87" i="20"/>
  <c r="AW86" i="20" s="1"/>
  <c r="AV89" i="20"/>
  <c r="AW88" i="20" s="1"/>
  <c r="AV90" i="20"/>
  <c r="AV91" i="20"/>
  <c r="AW90" i="20" s="1"/>
  <c r="AV96" i="20"/>
  <c r="AW95" i="20" s="1"/>
  <c r="AV97" i="20"/>
  <c r="AV92" i="20"/>
  <c r="AW91" i="20" s="1"/>
  <c r="AV85" i="20"/>
  <c r="AV94" i="20"/>
  <c r="AW93" i="20" s="1"/>
  <c r="AV86" i="20"/>
  <c r="AW85" i="20" s="1"/>
  <c r="AV95" i="20"/>
  <c r="AW94" i="20" s="1"/>
  <c r="AV88" i="20"/>
  <c r="AW87" i="20" s="1"/>
  <c r="AL43" i="20"/>
  <c r="AK61" i="20"/>
  <c r="U109" i="7"/>
  <c r="B43" i="20"/>
  <c r="T109" i="7" s="1"/>
  <c r="D177" i="16"/>
  <c r="F263" i="17"/>
  <c r="C62" i="17"/>
  <c r="G62" i="17"/>
  <c r="P205" i="20"/>
  <c r="Q192" i="20"/>
  <c r="Q198" i="20"/>
  <c r="R197" i="20" s="1"/>
  <c r="Q188" i="20"/>
  <c r="Q194" i="20"/>
  <c r="R193" i="20" s="1"/>
  <c r="Q195" i="20"/>
  <c r="R194" i="20" s="1"/>
  <c r="Q197" i="20"/>
  <c r="R196" i="20" s="1"/>
  <c r="Q190" i="20"/>
  <c r="R189" i="20" s="1"/>
  <c r="Q191" i="20"/>
  <c r="R190" i="20" s="1"/>
  <c r="Q196" i="20"/>
  <c r="R195" i="20" s="1"/>
  <c r="Q193" i="20"/>
  <c r="R192" i="20" s="1"/>
  <c r="Q189" i="20"/>
  <c r="R188" i="20" s="1"/>
  <c r="H205" i="20"/>
  <c r="H207" i="20" s="1"/>
  <c r="G208" i="20" s="1"/>
  <c r="E205" i="20"/>
  <c r="E207" i="20" s="1"/>
  <c r="D208" i="20" s="1"/>
  <c r="M205" i="20"/>
  <c r="M207" i="20" s="1"/>
  <c r="L208" i="20" s="1"/>
  <c r="M208" i="20" s="1"/>
  <c r="I205" i="20"/>
  <c r="I207" i="20" s="1"/>
  <c r="H208" i="20" s="1"/>
  <c r="G205" i="20"/>
  <c r="G207" i="20" s="1"/>
  <c r="L205" i="20"/>
  <c r="L207" i="20" s="1"/>
  <c r="K208" i="20" s="1"/>
  <c r="J205" i="20"/>
  <c r="J207" i="20" s="1"/>
  <c r="I208" i="20" s="1"/>
  <c r="K205" i="20"/>
  <c r="K207" i="20" s="1"/>
  <c r="J208" i="20" s="1"/>
  <c r="D205" i="20"/>
  <c r="D207" i="20" s="1"/>
  <c r="C208" i="20" s="1"/>
  <c r="C205" i="20"/>
  <c r="C207" i="20" s="1"/>
  <c r="F205" i="20"/>
  <c r="F207" i="20" s="1"/>
  <c r="E208" i="20" s="1"/>
  <c r="BR99" i="20"/>
  <c r="BS89" i="20"/>
  <c r="CN65" i="20"/>
  <c r="CN67" i="20" s="1"/>
  <c r="CM68" i="20" s="1"/>
  <c r="CI65" i="20"/>
  <c r="CI67" i="20" s="1"/>
  <c r="CH68" i="20" s="1"/>
  <c r="CE65" i="20"/>
  <c r="CE67" i="20" s="1"/>
  <c r="CD68" i="20" s="1"/>
  <c r="CG65" i="20"/>
  <c r="CG67" i="20" s="1"/>
  <c r="CF68" i="20" s="1"/>
  <c r="CB65" i="20"/>
  <c r="CB67" i="20" s="1"/>
  <c r="CD65" i="20"/>
  <c r="CD67" i="20" s="1"/>
  <c r="CC68" i="20" s="1"/>
  <c r="CO65" i="20"/>
  <c r="CO67" i="20" s="1"/>
  <c r="CN68" i="20" s="1"/>
  <c r="CC65" i="20"/>
  <c r="CC67" i="20" s="1"/>
  <c r="CB68" i="20" s="1"/>
  <c r="CF65" i="20"/>
  <c r="CF67" i="20" s="1"/>
  <c r="CE68" i="20" s="1"/>
  <c r="CJ65" i="20"/>
  <c r="CJ67" i="20" s="1"/>
  <c r="CI68" i="20" s="1"/>
  <c r="CM65" i="20"/>
  <c r="CM67" i="20" s="1"/>
  <c r="CL68" i="20" s="1"/>
  <c r="CL65" i="20"/>
  <c r="CL67" i="20" s="1"/>
  <c r="CK68" i="20" s="1"/>
  <c r="CK65" i="20"/>
  <c r="CK67" i="20" s="1"/>
  <c r="CJ68" i="20" s="1"/>
  <c r="CH65" i="20"/>
  <c r="CH67" i="20" s="1"/>
  <c r="D423" i="20"/>
  <c r="C432" i="20"/>
  <c r="C584" i="20"/>
  <c r="D577" i="20"/>
  <c r="N326" i="20"/>
  <c r="L329" i="20"/>
  <c r="BK192" i="20"/>
  <c r="BK195" i="20"/>
  <c r="BL194" i="20" s="1"/>
  <c r="BK197" i="20"/>
  <c r="BL196" i="20" s="1"/>
  <c r="BK189" i="20"/>
  <c r="BL188" i="20" s="1"/>
  <c r="CM184" i="20"/>
  <c r="BY184" i="20"/>
  <c r="DA184" i="20"/>
  <c r="BK196" i="20"/>
  <c r="BL195" i="20" s="1"/>
  <c r="BK198" i="20"/>
  <c r="BL197" i="20" s="1"/>
  <c r="BK190" i="20"/>
  <c r="BL189" i="20" s="1"/>
  <c r="BK191" i="20"/>
  <c r="BL190" i="20" s="1"/>
  <c r="BK193" i="20"/>
  <c r="BL192" i="20" s="1"/>
  <c r="BJ205" i="20"/>
  <c r="BK194" i="20"/>
  <c r="BL193" i="20" s="1"/>
  <c r="BK188" i="20"/>
  <c r="DH107" i="20"/>
  <c r="DI106" i="20" s="1"/>
  <c r="DH112" i="20"/>
  <c r="DI111" i="20" s="1"/>
  <c r="DH114" i="20"/>
  <c r="DI113" i="20" s="1"/>
  <c r="DH113" i="20"/>
  <c r="DI112" i="20" s="1"/>
  <c r="DH111" i="20"/>
  <c r="DH117" i="20"/>
  <c r="DI116" i="20" s="1"/>
  <c r="DH106" i="20"/>
  <c r="DH109" i="20"/>
  <c r="DI108" i="20" s="1"/>
  <c r="DH108" i="20"/>
  <c r="DI107" i="20" s="1"/>
  <c r="DH115" i="20"/>
  <c r="DI114" i="20" s="1"/>
  <c r="DH110" i="20"/>
  <c r="DI109" i="20" s="1"/>
  <c r="DH116" i="20"/>
  <c r="DI115" i="20" s="1"/>
  <c r="DH118" i="20"/>
  <c r="C496" i="20"/>
  <c r="AU374" i="20" s="1"/>
  <c r="C495" i="20"/>
  <c r="AT374" i="20" s="1"/>
  <c r="AG299" i="20"/>
  <c r="AH298" i="20" s="1"/>
  <c r="AG297" i="20"/>
  <c r="AG302" i="20"/>
  <c r="AH301" i="20" s="1"/>
  <c r="AG303" i="20"/>
  <c r="AH302" i="20" s="1"/>
  <c r="AG298" i="20"/>
  <c r="AH297" i="20" s="1"/>
  <c r="AG290" i="20"/>
  <c r="AG295" i="20"/>
  <c r="AH294" i="20" s="1"/>
  <c r="AG296" i="20"/>
  <c r="AH295" i="20" s="1"/>
  <c r="AG293" i="20"/>
  <c r="AH292" i="20" s="1"/>
  <c r="AG300" i="20"/>
  <c r="AH299" i="20" s="1"/>
  <c r="B303" i="20"/>
  <c r="AG294" i="20"/>
  <c r="AH293" i="20" s="1"/>
  <c r="AG292" i="20"/>
  <c r="AG301" i="20"/>
  <c r="AH300" i="20" s="1"/>
  <c r="CC43" i="20"/>
  <c r="CB61" i="20"/>
  <c r="D419" i="20"/>
  <c r="C433" i="20"/>
  <c r="M341" i="20"/>
  <c r="N340" i="20" s="1"/>
  <c r="M344" i="20"/>
  <c r="N343" i="20" s="1"/>
  <c r="M340" i="20"/>
  <c r="M339" i="20"/>
  <c r="N338" i="20" s="1"/>
  <c r="M338" i="20"/>
  <c r="M342" i="20"/>
  <c r="N341" i="20" s="1"/>
  <c r="M343" i="20"/>
  <c r="N342" i="20" s="1"/>
  <c r="D67" i="23"/>
  <c r="N156" i="23"/>
  <c r="N157" i="23" s="1"/>
  <c r="N158" i="23" s="1"/>
  <c r="N154" i="23"/>
  <c r="CO224" i="20"/>
  <c r="CO228" i="20"/>
  <c r="CP227" i="20" s="1"/>
  <c r="CO233" i="20"/>
  <c r="CP232" i="20" s="1"/>
  <c r="CO288" i="20"/>
  <c r="CO226" i="20"/>
  <c r="CO227" i="20"/>
  <c r="CP226" i="20" s="1"/>
  <c r="CO235" i="20"/>
  <c r="CP234" i="20" s="1"/>
  <c r="BJ237" i="20"/>
  <c r="CO266" i="20"/>
  <c r="CO237" i="20"/>
  <c r="CP236" i="20" s="1"/>
  <c r="CO232" i="20"/>
  <c r="CP231" i="20" s="1"/>
  <c r="CO229" i="20"/>
  <c r="CP228" i="20" s="1"/>
  <c r="CO230" i="20"/>
  <c r="CP229" i="20" s="1"/>
  <c r="CO236" i="20"/>
  <c r="CP235" i="20" s="1"/>
  <c r="CO234" i="20"/>
  <c r="CP233" i="20" s="1"/>
  <c r="CO231" i="20"/>
  <c r="CO244" i="20"/>
  <c r="DI97" i="20"/>
  <c r="DI96" i="20"/>
  <c r="U90" i="7"/>
  <c r="U68" i="7" s="1"/>
  <c r="B24" i="20"/>
  <c r="T90" i="7" s="1"/>
  <c r="AG268" i="20"/>
  <c r="AG278" i="20"/>
  <c r="AH277" i="20" s="1"/>
  <c r="AG273" i="20"/>
  <c r="AH272" i="20" s="1"/>
  <c r="AG272" i="20"/>
  <c r="AH271" i="20" s="1"/>
  <c r="AG275" i="20"/>
  <c r="AG279" i="20"/>
  <c r="AH278" i="20" s="1"/>
  <c r="AG276" i="20"/>
  <c r="AH275" i="20" s="1"/>
  <c r="AG280" i="20"/>
  <c r="AH279" i="20" s="1"/>
  <c r="AG271" i="20"/>
  <c r="AH270" i="20" s="1"/>
  <c r="AG270" i="20"/>
  <c r="AG277" i="20"/>
  <c r="AH276" i="20" s="1"/>
  <c r="AG274" i="20"/>
  <c r="AH273" i="20" s="1"/>
  <c r="AG281" i="20"/>
  <c r="AH280" i="20" s="1"/>
  <c r="B281" i="20"/>
  <c r="AF330" i="20"/>
  <c r="AF326" i="20"/>
  <c r="AF329" i="20"/>
  <c r="AH326" i="20"/>
  <c r="BL341" i="20"/>
  <c r="BM340" i="20" s="1"/>
  <c r="BL342" i="20"/>
  <c r="BM341" i="20" s="1"/>
  <c r="BL338" i="20"/>
  <c r="BL344" i="20"/>
  <c r="BM343" i="20" s="1"/>
  <c r="BL343" i="20"/>
  <c r="BM342" i="20" s="1"/>
  <c r="BL340" i="20"/>
  <c r="BL339" i="20"/>
  <c r="BM338" i="20" s="1"/>
  <c r="BK326" i="20"/>
  <c r="BK330" i="20"/>
  <c r="AF568" i="20"/>
  <c r="AF564" i="20"/>
  <c r="CL566" i="20"/>
  <c r="CK567" i="20" s="1"/>
  <c r="CL567" i="20" s="1"/>
  <c r="CF566" i="20"/>
  <c r="CJ566" i="20"/>
  <c r="CI567" i="20" s="1"/>
  <c r="CK566" i="20"/>
  <c r="CJ567" i="20" s="1"/>
  <c r="CG566" i="20"/>
  <c r="CF567" i="20" s="1"/>
  <c r="CI566" i="20"/>
  <c r="CH567" i="20" s="1"/>
  <c r="CF576" i="20"/>
  <c r="CH566" i="20"/>
  <c r="BK570" i="20"/>
  <c r="BM567" i="20"/>
  <c r="F103" i="28"/>
  <c r="F105" i="28"/>
  <c r="H105" i="28" s="1"/>
  <c r="D97" i="28"/>
  <c r="D98" i="28" s="1"/>
  <c r="C285" i="20"/>
  <c r="AT143" i="20" s="1"/>
  <c r="C286" i="20"/>
  <c r="AU143" i="20" s="1"/>
  <c r="W341" i="20"/>
  <c r="X340" i="20" s="1"/>
  <c r="W340" i="20"/>
  <c r="W339" i="20"/>
  <c r="X338" i="20" s="1"/>
  <c r="W342" i="20"/>
  <c r="X341" i="20" s="1"/>
  <c r="W338" i="20"/>
  <c r="W343" i="20"/>
  <c r="X342" i="20" s="1"/>
  <c r="W344" i="20"/>
  <c r="X343" i="20" s="1"/>
  <c r="BJ518" i="20"/>
  <c r="BJ540" i="20"/>
  <c r="BK474" i="20"/>
  <c r="DC373" i="20" s="1"/>
  <c r="BJ496" i="20"/>
  <c r="BK473" i="20"/>
  <c r="AH462" i="20"/>
  <c r="AH470" i="20" s="1"/>
  <c r="AG470" i="20"/>
  <c r="AG471" i="20" s="1"/>
  <c r="D191" i="20"/>
  <c r="C200" i="20"/>
  <c r="AE195" i="20"/>
  <c r="AF194" i="20" s="1"/>
  <c r="AE188" i="20"/>
  <c r="AE198" i="20"/>
  <c r="AF197" i="20" s="1"/>
  <c r="AE197" i="20"/>
  <c r="AF196" i="20" s="1"/>
  <c r="AE194" i="20"/>
  <c r="AF193" i="20" s="1"/>
  <c r="AE192" i="20"/>
  <c r="AE196" i="20"/>
  <c r="AF195" i="20" s="1"/>
  <c r="AE191" i="20"/>
  <c r="AF190" i="20" s="1"/>
  <c r="AE190" i="20"/>
  <c r="AF189" i="20" s="1"/>
  <c r="AE193" i="20"/>
  <c r="AF192" i="20" s="1"/>
  <c r="AE189" i="20"/>
  <c r="AF188" i="20" s="1"/>
  <c r="AD205" i="20"/>
  <c r="BR115" i="20"/>
  <c r="BS114" i="20" s="1"/>
  <c r="BR113" i="20"/>
  <c r="BS112" i="20" s="1"/>
  <c r="BR114" i="20"/>
  <c r="BS113" i="20" s="1"/>
  <c r="BR109" i="20"/>
  <c r="BS108" i="20" s="1"/>
  <c r="BR117" i="20"/>
  <c r="BS116" i="20" s="1"/>
  <c r="BR110" i="20"/>
  <c r="BS109" i="20" s="1"/>
  <c r="BR107" i="20"/>
  <c r="BS106" i="20" s="1"/>
  <c r="BR106" i="20"/>
  <c r="BR112" i="20"/>
  <c r="BS111" i="20" s="1"/>
  <c r="BR118" i="20"/>
  <c r="BR116" i="20"/>
  <c r="BS115" i="20" s="1"/>
  <c r="BR111" i="20"/>
  <c r="BR108" i="20"/>
  <c r="BS107" i="20" s="1"/>
  <c r="I437" i="20"/>
  <c r="I439" i="20" s="1"/>
  <c r="H440" i="20" s="1"/>
  <c r="M437" i="20"/>
  <c r="M439" i="20" s="1"/>
  <c r="L440" i="20" s="1"/>
  <c r="M440" i="20" s="1"/>
  <c r="J437" i="20"/>
  <c r="J439" i="20" s="1"/>
  <c r="I440" i="20" s="1"/>
  <c r="L437" i="20"/>
  <c r="L439" i="20" s="1"/>
  <c r="K440" i="20" s="1"/>
  <c r="G437" i="20"/>
  <c r="G439" i="20" s="1"/>
  <c r="H437" i="20"/>
  <c r="H439" i="20" s="1"/>
  <c r="G440" i="20" s="1"/>
  <c r="C437" i="20"/>
  <c r="C439" i="20" s="1"/>
  <c r="D437" i="20"/>
  <c r="D439" i="20" s="1"/>
  <c r="C440" i="20" s="1"/>
  <c r="K437" i="20"/>
  <c r="K439" i="20" s="1"/>
  <c r="J440" i="20" s="1"/>
  <c r="F437" i="20"/>
  <c r="F439" i="20" s="1"/>
  <c r="E440" i="20" s="1"/>
  <c r="E437" i="20"/>
  <c r="E439" i="20" s="1"/>
  <c r="D440" i="20" s="1"/>
  <c r="CM87" i="20"/>
  <c r="CN86" i="20" s="1"/>
  <c r="CM96" i="20"/>
  <c r="CN95" i="20" s="1"/>
  <c r="CM97" i="20"/>
  <c r="CM91" i="20"/>
  <c r="CN90" i="20" s="1"/>
  <c r="CM95" i="20"/>
  <c r="CN94" i="20" s="1"/>
  <c r="CM93" i="20"/>
  <c r="CN92" i="20" s="1"/>
  <c r="CM88" i="20"/>
  <c r="CN87" i="20" s="1"/>
  <c r="CN103" i="20"/>
  <c r="CM85" i="20"/>
  <c r="CM86" i="20"/>
  <c r="CN85" i="20" s="1"/>
  <c r="CM90" i="20"/>
  <c r="CM92" i="20"/>
  <c r="CN91" i="20" s="1"/>
  <c r="CM89" i="20"/>
  <c r="CN88" i="20" s="1"/>
  <c r="CM94" i="20"/>
  <c r="CN93" i="20" s="1"/>
  <c r="AS426" i="20"/>
  <c r="AT425" i="20" s="1"/>
  <c r="AS429" i="20"/>
  <c r="AT428" i="20" s="1"/>
  <c r="AS420" i="20"/>
  <c r="AS430" i="20"/>
  <c r="AT429" i="20" s="1"/>
  <c r="AS428" i="20"/>
  <c r="AT427" i="20" s="1"/>
  <c r="AS421" i="20"/>
  <c r="AT420" i="20" s="1"/>
  <c r="AS422" i="20"/>
  <c r="AT421" i="20" s="1"/>
  <c r="AR437" i="20"/>
  <c r="AS423" i="20"/>
  <c r="AT422" i="20" s="1"/>
  <c r="AS427" i="20"/>
  <c r="AT426" i="20" s="1"/>
  <c r="AS424" i="20"/>
  <c r="AS425" i="20"/>
  <c r="AT424" i="20" s="1"/>
  <c r="D337" i="20"/>
  <c r="C347" i="20"/>
  <c r="U86" i="7"/>
  <c r="U66" i="7" s="1"/>
  <c r="B20" i="20"/>
  <c r="T86" i="7" s="1"/>
  <c r="DI84" i="20"/>
  <c r="DI99" i="20"/>
  <c r="CV68" i="20"/>
  <c r="CV71" i="20"/>
  <c r="C539" i="20"/>
  <c r="C540" i="20"/>
  <c r="AU376" i="20" s="1"/>
  <c r="AG250" i="20"/>
  <c r="AH249" i="20" s="1"/>
  <c r="B259" i="20"/>
  <c r="AG256" i="20"/>
  <c r="AH255" i="20" s="1"/>
  <c r="AG255" i="20"/>
  <c r="AH254" i="20" s="1"/>
  <c r="AG253" i="20"/>
  <c r="AG249" i="20"/>
  <c r="AH248" i="20" s="1"/>
  <c r="AG258" i="20"/>
  <c r="AH257" i="20" s="1"/>
  <c r="AG252" i="20"/>
  <c r="AH251" i="20" s="1"/>
  <c r="AG251" i="20"/>
  <c r="AH250" i="20" s="1"/>
  <c r="AG257" i="20"/>
  <c r="AH256" i="20" s="1"/>
  <c r="AG246" i="20"/>
  <c r="AG248" i="20"/>
  <c r="AG259" i="20"/>
  <c r="AH258" i="20" s="1"/>
  <c r="AG254" i="20"/>
  <c r="AH253" i="20" s="1"/>
  <c r="AH230" i="20"/>
  <c r="AH238" i="20" s="1"/>
  <c r="AG238" i="20"/>
  <c r="AG239" i="20" s="1"/>
  <c r="U94" i="7"/>
  <c r="U70" i="7" s="1"/>
  <c r="B28" i="20"/>
  <c r="T94" i="7" s="1"/>
  <c r="V564" i="20"/>
  <c r="V568" i="20"/>
  <c r="BW325" i="20"/>
  <c r="BV326" i="20" s="1"/>
  <c r="BX325" i="20"/>
  <c r="BV335" i="20"/>
  <c r="BV325" i="20"/>
  <c r="CB325" i="20"/>
  <c r="CA326" i="20" s="1"/>
  <c r="CB326" i="20" s="1"/>
  <c r="CA325" i="20"/>
  <c r="BZ326" i="20" s="1"/>
  <c r="BZ325" i="20"/>
  <c r="BY326" i="20" s="1"/>
  <c r="BY325" i="20"/>
  <c r="BX326" i="20" s="1"/>
  <c r="BK571" i="20"/>
  <c r="BK567" i="20"/>
  <c r="BL585" i="20"/>
  <c r="BM584" i="20" s="1"/>
  <c r="BL580" i="20"/>
  <c r="BM579" i="20" s="1"/>
  <c r="BL579" i="20"/>
  <c r="BL582" i="20"/>
  <c r="BM581" i="20" s="1"/>
  <c r="BL581" i="20"/>
  <c r="BL584" i="20"/>
  <c r="BM583" i="20" s="1"/>
  <c r="BL583" i="20"/>
  <c r="BM582" i="20" s="1"/>
  <c r="BW566" i="20"/>
  <c r="BV567" i="20" s="1"/>
  <c r="BV576" i="20"/>
  <c r="BV566" i="20"/>
  <c r="BY566" i="20"/>
  <c r="BX567" i="20" s="1"/>
  <c r="CB566" i="20"/>
  <c r="CA567" i="20" s="1"/>
  <c r="CB567" i="20" s="1"/>
  <c r="BX566" i="20"/>
  <c r="BZ566" i="20"/>
  <c r="BY567" i="20" s="1"/>
  <c r="CA566" i="20"/>
  <c r="BZ567" i="20" s="1"/>
  <c r="AL49" i="20"/>
  <c r="AK60" i="20"/>
  <c r="V330" i="20"/>
  <c r="V326" i="20"/>
  <c r="BK425" i="20"/>
  <c r="BL424" i="20" s="1"/>
  <c r="BK430" i="20"/>
  <c r="BL429" i="20" s="1"/>
  <c r="BY416" i="20"/>
  <c r="BK420" i="20"/>
  <c r="DA416" i="20"/>
  <c r="BK423" i="20"/>
  <c r="BL422" i="20" s="1"/>
  <c r="BK429" i="20"/>
  <c r="BL428" i="20" s="1"/>
  <c r="BK428" i="20"/>
  <c r="BL427" i="20" s="1"/>
  <c r="BK427" i="20"/>
  <c r="BL426" i="20" s="1"/>
  <c r="BJ437" i="20"/>
  <c r="BK422" i="20"/>
  <c r="BL421" i="20" s="1"/>
  <c r="BK424" i="20"/>
  <c r="BK426" i="20"/>
  <c r="BL425" i="20" s="1"/>
  <c r="CM416" i="20"/>
  <c r="BK421" i="20"/>
  <c r="BL420" i="20" s="1"/>
  <c r="CX61" i="20"/>
  <c r="AG486" i="20"/>
  <c r="AH485" i="20" s="1"/>
  <c r="AG488" i="20"/>
  <c r="AH487" i="20" s="1"/>
  <c r="B491" i="20"/>
  <c r="AG489" i="20"/>
  <c r="AH488" i="20" s="1"/>
  <c r="AG481" i="20"/>
  <c r="AH480" i="20" s="1"/>
  <c r="AG487" i="20"/>
  <c r="AH486" i="20" s="1"/>
  <c r="AG490" i="20"/>
  <c r="AH489" i="20" s="1"/>
  <c r="AG484" i="20"/>
  <c r="AH483" i="20" s="1"/>
  <c r="AG478" i="20"/>
  <c r="AG482" i="20"/>
  <c r="AH481" i="20" s="1"/>
  <c r="AG480" i="20"/>
  <c r="AG483" i="20"/>
  <c r="AH482" i="20" s="1"/>
  <c r="AG485" i="20"/>
  <c r="AG491" i="20"/>
  <c r="AH490" i="20" s="1"/>
  <c r="AG503" i="20"/>
  <c r="AH502" i="20" s="1"/>
  <c r="AG504" i="20"/>
  <c r="AH503" i="20" s="1"/>
  <c r="AG509" i="20"/>
  <c r="AH508" i="20" s="1"/>
  <c r="AG511" i="20"/>
  <c r="AH510" i="20" s="1"/>
  <c r="AG507" i="20"/>
  <c r="AG513" i="20"/>
  <c r="AH512" i="20" s="1"/>
  <c r="AG505" i="20"/>
  <c r="AH504" i="20" s="1"/>
  <c r="AG512" i="20"/>
  <c r="AH511" i="20" s="1"/>
  <c r="AG500" i="20"/>
  <c r="AG502" i="20"/>
  <c r="AG506" i="20"/>
  <c r="AH505" i="20" s="1"/>
  <c r="AG508" i="20"/>
  <c r="AH507" i="20" s="1"/>
  <c r="B513" i="20"/>
  <c r="AG510" i="20"/>
  <c r="AH509" i="20" s="1"/>
  <c r="AG525" i="20"/>
  <c r="AH524" i="20" s="1"/>
  <c r="AG524" i="20"/>
  <c r="AG529" i="20"/>
  <c r="AG532" i="20"/>
  <c r="AH531" i="20" s="1"/>
  <c r="AG526" i="20"/>
  <c r="AH525" i="20" s="1"/>
  <c r="AG528" i="20"/>
  <c r="AH527" i="20" s="1"/>
  <c r="AG527" i="20"/>
  <c r="AH526" i="20" s="1"/>
  <c r="AG535" i="20"/>
  <c r="AH534" i="20" s="1"/>
  <c r="B535" i="20"/>
  <c r="AG530" i="20"/>
  <c r="AH529" i="20" s="1"/>
  <c r="AG533" i="20"/>
  <c r="AH532" i="20" s="1"/>
  <c r="AG534" i="20"/>
  <c r="AH533" i="20" s="1"/>
  <c r="AG522" i="20"/>
  <c r="AG531" i="20"/>
  <c r="AH530" i="20" s="1"/>
  <c r="AS197" i="20"/>
  <c r="AT196" i="20" s="1"/>
  <c r="AS189" i="20"/>
  <c r="AT188" i="20" s="1"/>
  <c r="AS196" i="20"/>
  <c r="AT195" i="20" s="1"/>
  <c r="AS195" i="20"/>
  <c r="AT194" i="20" s="1"/>
  <c r="AS188" i="20"/>
  <c r="AS194" i="20"/>
  <c r="AT193" i="20" s="1"/>
  <c r="AS191" i="20"/>
  <c r="AT190" i="20" s="1"/>
  <c r="AS190" i="20"/>
  <c r="AT189" i="20" s="1"/>
  <c r="AS193" i="20"/>
  <c r="AT192" i="20" s="1"/>
  <c r="AS198" i="20"/>
  <c r="AT197" i="20" s="1"/>
  <c r="AS192" i="20"/>
  <c r="AR205" i="20"/>
  <c r="L568" i="20"/>
  <c r="L564" i="20"/>
  <c r="N564" i="20"/>
  <c r="L567" i="20"/>
  <c r="BS84" i="20"/>
  <c r="BS99" i="20"/>
  <c r="L326" i="20"/>
  <c r="L330" i="20"/>
  <c r="C518" i="20"/>
  <c r="AU375" i="20" s="1"/>
  <c r="C517" i="20"/>
  <c r="CB60" i="20"/>
  <c r="CC49" i="20"/>
  <c r="AE422" i="20"/>
  <c r="AF421" i="20" s="1"/>
  <c r="AE423" i="20"/>
  <c r="AF422" i="20" s="1"/>
  <c r="AD437" i="20"/>
  <c r="AE429" i="20"/>
  <c r="AF428" i="20" s="1"/>
  <c r="AE421" i="20"/>
  <c r="AF420" i="20" s="1"/>
  <c r="AE424" i="20"/>
  <c r="AE426" i="20"/>
  <c r="AF425" i="20" s="1"/>
  <c r="AE420" i="20"/>
  <c r="AE427" i="20"/>
  <c r="AF426" i="20" s="1"/>
  <c r="AE425" i="20"/>
  <c r="AF424" i="20" s="1"/>
  <c r="AE428" i="20"/>
  <c r="AF427" i="20" s="1"/>
  <c r="AE430" i="20"/>
  <c r="AF429" i="20" s="1"/>
  <c r="Q429" i="20"/>
  <c r="R428" i="20" s="1"/>
  <c r="Q424" i="20"/>
  <c r="Q430" i="20"/>
  <c r="R429" i="20" s="1"/>
  <c r="Q422" i="20"/>
  <c r="R421" i="20" s="1"/>
  <c r="Q425" i="20"/>
  <c r="R424" i="20" s="1"/>
  <c r="Q426" i="20"/>
  <c r="R425" i="20" s="1"/>
  <c r="Q427" i="20"/>
  <c r="R426" i="20" s="1"/>
  <c r="Q421" i="20"/>
  <c r="R420" i="20" s="1"/>
  <c r="Q420" i="20"/>
  <c r="Q428" i="20"/>
  <c r="R427" i="20" s="1"/>
  <c r="Q423" i="20"/>
  <c r="R422" i="20" s="1"/>
  <c r="P437" i="20"/>
  <c r="C585" i="20"/>
  <c r="D575" i="20"/>
  <c r="C346" i="20"/>
  <c r="D339" i="20"/>
  <c r="BJ308" i="20"/>
  <c r="BK242" i="20"/>
  <c r="DC141" i="20" s="1"/>
  <c r="BK241" i="20"/>
  <c r="DB141" i="20" s="1"/>
  <c r="BJ264" i="20"/>
  <c r="BJ286" i="20"/>
  <c r="CV70" i="20"/>
  <c r="CW70" i="20" s="1"/>
  <c r="DB68" i="20"/>
  <c r="X564" i="20"/>
  <c r="V567" i="20"/>
  <c r="AG339" i="20"/>
  <c r="AH338" i="20" s="1"/>
  <c r="AG342" i="20"/>
  <c r="AH341" i="20" s="1"/>
  <c r="AG341" i="20"/>
  <c r="AH340" i="20" s="1"/>
  <c r="AG338" i="20"/>
  <c r="AG343" i="20"/>
  <c r="AH342" i="20" s="1"/>
  <c r="AG344" i="20"/>
  <c r="AH343" i="20" s="1"/>
  <c r="AG340" i="20"/>
  <c r="C331" i="20"/>
  <c r="CF325" i="20"/>
  <c r="CI325" i="20"/>
  <c r="CH326" i="20" s="1"/>
  <c r="CG325" i="20"/>
  <c r="CF326" i="20" s="1"/>
  <c r="CL325" i="20"/>
  <c r="CK326" i="20" s="1"/>
  <c r="CL326" i="20" s="1"/>
  <c r="CJ325" i="20"/>
  <c r="CI326" i="20" s="1"/>
  <c r="CH325" i="20"/>
  <c r="CK325" i="20"/>
  <c r="CJ326" i="20" s="1"/>
  <c r="CF335" i="20"/>
  <c r="C253" i="24"/>
  <c r="I204" i="23"/>
  <c r="I207" i="23" s="1"/>
  <c r="E222" i="23" s="1"/>
  <c r="H258" i="24" s="1"/>
  <c r="K258" i="24" s="1"/>
  <c r="E207" i="23"/>
  <c r="AG576" i="20"/>
  <c r="AG578" i="20"/>
  <c r="AG580" i="20"/>
  <c r="AH579" i="20" s="1"/>
  <c r="AG581" i="20"/>
  <c r="AH580" i="20" s="1"/>
  <c r="AG579" i="20"/>
  <c r="AH578" i="20" s="1"/>
  <c r="AG582" i="20"/>
  <c r="AH581" i="20" s="1"/>
  <c r="AG577" i="20"/>
  <c r="AH576" i="20" s="1"/>
  <c r="BF70" i="20"/>
  <c r="BL68" i="20"/>
  <c r="CQ566" i="20"/>
  <c r="CP567" i="20" s="1"/>
  <c r="CP566" i="20"/>
  <c r="CS566" i="20"/>
  <c r="CR567" i="20" s="1"/>
  <c r="CU566" i="20"/>
  <c r="CT567" i="20" s="1"/>
  <c r="CP576" i="20"/>
  <c r="CV566" i="20"/>
  <c r="CU567" i="20" s="1"/>
  <c r="CV567" i="20" s="1"/>
  <c r="CT566" i="20"/>
  <c r="CS567" i="20" s="1"/>
  <c r="CR566" i="20"/>
  <c r="V329" i="20"/>
  <c r="X326" i="20"/>
  <c r="CO465" i="20"/>
  <c r="CP464" i="20" s="1"/>
  <c r="CO461" i="20"/>
  <c r="CP460" i="20" s="1"/>
  <c r="CO462" i="20"/>
  <c r="CP461" i="20" s="1"/>
  <c r="CO468" i="20"/>
  <c r="CP467" i="20" s="1"/>
  <c r="CO458" i="20"/>
  <c r="CO520" i="20"/>
  <c r="CO498" i="20"/>
  <c r="CO459" i="20"/>
  <c r="CP458" i="20" s="1"/>
  <c r="CO469" i="20"/>
  <c r="CP468" i="20" s="1"/>
  <c r="CO463" i="20"/>
  <c r="CO464" i="20"/>
  <c r="CP463" i="20" s="1"/>
  <c r="CO466" i="20"/>
  <c r="CP465" i="20" s="1"/>
  <c r="BJ469" i="20"/>
  <c r="CO467" i="20"/>
  <c r="CP466" i="20" s="1"/>
  <c r="CO456" i="20"/>
  <c r="CO460" i="20"/>
  <c r="CP459" i="20" s="1"/>
  <c r="CO476" i="20"/>
  <c r="C201" i="20"/>
  <c r="D187" i="20"/>
  <c r="M578" i="20"/>
  <c r="M579" i="20"/>
  <c r="N578" i="20" s="1"/>
  <c r="M580" i="20"/>
  <c r="N579" i="20" s="1"/>
  <c r="M576" i="20"/>
  <c r="M582" i="20"/>
  <c r="N581" i="20" s="1"/>
  <c r="M577" i="20"/>
  <c r="N576" i="20" s="1"/>
  <c r="M581" i="20"/>
  <c r="N580" i="20" s="1"/>
  <c r="BS97" i="20"/>
  <c r="BS96" i="20"/>
  <c r="G102" i="13"/>
  <c r="C191" i="13" s="1"/>
  <c r="J191" i="13" s="1"/>
  <c r="S191" i="13"/>
  <c r="BG70" i="20" l="1"/>
  <c r="BG73" i="20" s="1"/>
  <c r="BG72" i="20" s="1"/>
  <c r="W329" i="20"/>
  <c r="W330" i="20" s="1"/>
  <c r="BH62" i="20"/>
  <c r="BM41" i="20" s="1"/>
  <c r="AT49" i="20" s="1"/>
  <c r="D27" i="20" s="1"/>
  <c r="V93" i="7" s="1"/>
  <c r="V69" i="7" s="1"/>
  <c r="AL60" i="20"/>
  <c r="CW73" i="20"/>
  <c r="CW72" i="20" s="1"/>
  <c r="M567" i="20"/>
  <c r="M568" i="20" s="1"/>
  <c r="M569" i="20" s="1"/>
  <c r="D346" i="20"/>
  <c r="D347" i="20" s="1"/>
  <c r="AH471" i="20"/>
  <c r="AI471" i="20" s="1"/>
  <c r="D584" i="20"/>
  <c r="D585" i="20" s="1"/>
  <c r="D586" i="20" s="1"/>
  <c r="W567" i="20"/>
  <c r="W568" i="20" s="1"/>
  <c r="D200" i="20"/>
  <c r="D201" i="20" s="1"/>
  <c r="E201" i="20" s="1"/>
  <c r="E202" i="20" s="1"/>
  <c r="AO141" i="20" s="1"/>
  <c r="CE329" i="20"/>
  <c r="CG326" i="20"/>
  <c r="BK264" i="20"/>
  <c r="DC142" i="20" s="1"/>
  <c r="BK263" i="20"/>
  <c r="W437" i="20"/>
  <c r="W439" i="20" s="1"/>
  <c r="V440" i="20" s="1"/>
  <c r="S437" i="20"/>
  <c r="S439" i="20" s="1"/>
  <c r="R440" i="20" s="1"/>
  <c r="X437" i="20"/>
  <c r="X439" i="20" s="1"/>
  <c r="W440" i="20" s="1"/>
  <c r="Q437" i="20"/>
  <c r="Q439" i="20" s="1"/>
  <c r="T437" i="20"/>
  <c r="T439" i="20" s="1"/>
  <c r="S440" i="20" s="1"/>
  <c r="R437" i="20"/>
  <c r="R439" i="20" s="1"/>
  <c r="Q440" i="20" s="1"/>
  <c r="U437" i="20"/>
  <c r="U439" i="20" s="1"/>
  <c r="Y437" i="20"/>
  <c r="Y439" i="20" s="1"/>
  <c r="X440" i="20" s="1"/>
  <c r="V437" i="20"/>
  <c r="V439" i="20" s="1"/>
  <c r="U440" i="20" s="1"/>
  <c r="Z437" i="20"/>
  <c r="Z439" i="20" s="1"/>
  <c r="Y440" i="20" s="1"/>
  <c r="AA437" i="20"/>
  <c r="AA439" i="20" s="1"/>
  <c r="Z440" i="20" s="1"/>
  <c r="AA440" i="20" s="1"/>
  <c r="BS110" i="20"/>
  <c r="BR120" i="20"/>
  <c r="BS120" i="20"/>
  <c r="BS105" i="20"/>
  <c r="AH205" i="20"/>
  <c r="AH207" i="20" s="1"/>
  <c r="AG208" i="20" s="1"/>
  <c r="AJ205" i="20"/>
  <c r="AJ207" i="20" s="1"/>
  <c r="AI208" i="20" s="1"/>
  <c r="AI205" i="20"/>
  <c r="AI207" i="20" s="1"/>
  <c r="AM205" i="20"/>
  <c r="AM207" i="20" s="1"/>
  <c r="AL208" i="20" s="1"/>
  <c r="AN205" i="20"/>
  <c r="AN207" i="20" s="1"/>
  <c r="AM208" i="20" s="1"/>
  <c r="AF205" i="20"/>
  <c r="AF207" i="20" s="1"/>
  <c r="AE208" i="20" s="1"/>
  <c r="AL205" i="20"/>
  <c r="AL207" i="20" s="1"/>
  <c r="AK208" i="20" s="1"/>
  <c r="AO205" i="20"/>
  <c r="AO207" i="20" s="1"/>
  <c r="AN208" i="20" s="1"/>
  <c r="AO208" i="20" s="1"/>
  <c r="AE205" i="20"/>
  <c r="AE207" i="20" s="1"/>
  <c r="AK205" i="20"/>
  <c r="AK207" i="20" s="1"/>
  <c r="AJ208" i="20" s="1"/>
  <c r="AG205" i="20"/>
  <c r="AG207" i="20" s="1"/>
  <c r="AF208" i="20" s="1"/>
  <c r="BR205" i="20"/>
  <c r="BR207" i="20" s="1"/>
  <c r="BQ208" i="20" s="1"/>
  <c r="BK205" i="20"/>
  <c r="BK207" i="20" s="1"/>
  <c r="BP205" i="20"/>
  <c r="BP207" i="20" s="1"/>
  <c r="BO208" i="20" s="1"/>
  <c r="BN205" i="20"/>
  <c r="BN207" i="20" s="1"/>
  <c r="BM208" i="20" s="1"/>
  <c r="BS205" i="20"/>
  <c r="BS207" i="20" s="1"/>
  <c r="BR208" i="20" s="1"/>
  <c r="BU205" i="20"/>
  <c r="BU207" i="20" s="1"/>
  <c r="BT208" i="20" s="1"/>
  <c r="BU208" i="20" s="1"/>
  <c r="BQ205" i="20"/>
  <c r="BQ207" i="20" s="1"/>
  <c r="BP208" i="20" s="1"/>
  <c r="BL205" i="20"/>
  <c r="BL207" i="20" s="1"/>
  <c r="BK208" i="20" s="1"/>
  <c r="BO205" i="20"/>
  <c r="BO207" i="20" s="1"/>
  <c r="BM205" i="20"/>
  <c r="BM207" i="20" s="1"/>
  <c r="BL208" i="20" s="1"/>
  <c r="BT205" i="20"/>
  <c r="BT207" i="20" s="1"/>
  <c r="BS208" i="20" s="1"/>
  <c r="CM196" i="20"/>
  <c r="CN195" i="20" s="1"/>
  <c r="CL205" i="20"/>
  <c r="CM188" i="20"/>
  <c r="CM197" i="20"/>
  <c r="CN196" i="20" s="1"/>
  <c r="CM192" i="20"/>
  <c r="CM191" i="20"/>
  <c r="CN190" i="20" s="1"/>
  <c r="CM189" i="20"/>
  <c r="CN188" i="20" s="1"/>
  <c r="CM194" i="20"/>
  <c r="CN193" i="20" s="1"/>
  <c r="CM195" i="20"/>
  <c r="CN194" i="20" s="1"/>
  <c r="CM193" i="20"/>
  <c r="CN192" i="20" s="1"/>
  <c r="CM198" i="20"/>
  <c r="CN197" i="20" s="1"/>
  <c r="CM190" i="20"/>
  <c r="CN189" i="20" s="1"/>
  <c r="BL191" i="20"/>
  <c r="BK200" i="20"/>
  <c r="CA71" i="20"/>
  <c r="CA68" i="20"/>
  <c r="B211" i="20"/>
  <c r="B208" i="20"/>
  <c r="R191" i="20"/>
  <c r="Q200" i="20"/>
  <c r="C266" i="17"/>
  <c r="C268" i="17"/>
  <c r="AW96" i="20"/>
  <c r="AW97" i="20"/>
  <c r="AP68" i="20"/>
  <c r="AJ70" i="20"/>
  <c r="CO329" i="20"/>
  <c r="CQ326" i="20"/>
  <c r="W585" i="20"/>
  <c r="X575" i="20"/>
  <c r="M584" i="20"/>
  <c r="N577" i="20"/>
  <c r="AG346" i="20"/>
  <c r="AH339" i="20"/>
  <c r="AE433" i="20"/>
  <c r="AF419" i="20"/>
  <c r="AW205" i="20"/>
  <c r="AW207" i="20" s="1"/>
  <c r="AU205" i="20"/>
  <c r="AU207" i="20" s="1"/>
  <c r="AT208" i="20" s="1"/>
  <c r="BC205" i="20"/>
  <c r="BC207" i="20" s="1"/>
  <c r="BB208" i="20" s="1"/>
  <c r="BC208" i="20" s="1"/>
  <c r="AZ205" i="20"/>
  <c r="AZ207" i="20" s="1"/>
  <c r="AY208" i="20" s="1"/>
  <c r="BA205" i="20"/>
  <c r="BA207" i="20" s="1"/>
  <c r="AZ208" i="20" s="1"/>
  <c r="AT205" i="20"/>
  <c r="AT207" i="20" s="1"/>
  <c r="AS208" i="20" s="1"/>
  <c r="AS205" i="20"/>
  <c r="AS207" i="20" s="1"/>
  <c r="AV205" i="20"/>
  <c r="AV207" i="20" s="1"/>
  <c r="AU208" i="20" s="1"/>
  <c r="AY205" i="20"/>
  <c r="AY207" i="20" s="1"/>
  <c r="AX208" i="20" s="1"/>
  <c r="AX205" i="20"/>
  <c r="AX207" i="20" s="1"/>
  <c r="AW208" i="20" s="1"/>
  <c r="BB205" i="20"/>
  <c r="BB207" i="20" s="1"/>
  <c r="BA208" i="20" s="1"/>
  <c r="BY425" i="20"/>
  <c r="BZ424" i="20" s="1"/>
  <c r="BY429" i="20"/>
  <c r="BZ428" i="20" s="1"/>
  <c r="BX437" i="20"/>
  <c r="BY420" i="20"/>
  <c r="BY426" i="20"/>
  <c r="BZ425" i="20" s="1"/>
  <c r="BY423" i="20"/>
  <c r="BZ422" i="20" s="1"/>
  <c r="BY421" i="20"/>
  <c r="BZ420" i="20" s="1"/>
  <c r="BY428" i="20"/>
  <c r="BZ427" i="20" s="1"/>
  <c r="BY424" i="20"/>
  <c r="BY430" i="20"/>
  <c r="BZ429" i="20" s="1"/>
  <c r="BY427" i="20"/>
  <c r="BZ426" i="20" s="1"/>
  <c r="BY422" i="20"/>
  <c r="BZ421" i="20" s="1"/>
  <c r="BU326" i="20"/>
  <c r="BU330" i="20"/>
  <c r="DB373" i="20"/>
  <c r="BK517" i="20"/>
  <c r="BK518" i="20"/>
  <c r="DC375" i="20" s="1"/>
  <c r="N337" i="20"/>
  <c r="M347" i="20"/>
  <c r="CO508" i="20"/>
  <c r="CP507" i="20" s="1"/>
  <c r="CO500" i="20"/>
  <c r="CO512" i="20"/>
  <c r="CP511" i="20" s="1"/>
  <c r="CO502" i="20"/>
  <c r="CO504" i="20"/>
  <c r="CP503" i="20" s="1"/>
  <c r="CO511" i="20"/>
  <c r="CP510" i="20" s="1"/>
  <c r="CO507" i="20"/>
  <c r="CO503" i="20"/>
  <c r="CP502" i="20" s="1"/>
  <c r="CO510" i="20"/>
  <c r="CP509" i="20" s="1"/>
  <c r="BJ513" i="20"/>
  <c r="CO513" i="20"/>
  <c r="CP512" i="20" s="1"/>
  <c r="CO506" i="20"/>
  <c r="CP505" i="20" s="1"/>
  <c r="CO509" i="20"/>
  <c r="CP508" i="20" s="1"/>
  <c r="CO505" i="20"/>
  <c r="CP504" i="20" s="1"/>
  <c r="CP579" i="20"/>
  <c r="CP583" i="20"/>
  <c r="CQ582" i="20" s="1"/>
  <c r="CP582" i="20"/>
  <c r="CQ581" i="20" s="1"/>
  <c r="CP581" i="20"/>
  <c r="CP585" i="20"/>
  <c r="CQ584" i="20" s="1"/>
  <c r="CP580" i="20"/>
  <c r="CQ579" i="20" s="1"/>
  <c r="CP584" i="20"/>
  <c r="CQ583" i="20" s="1"/>
  <c r="AG584" i="20"/>
  <c r="AH577" i="20"/>
  <c r="CE326" i="20"/>
  <c r="CE330" i="20"/>
  <c r="AI437" i="20"/>
  <c r="AI439" i="20" s="1"/>
  <c r="AG437" i="20"/>
  <c r="AG439" i="20" s="1"/>
  <c r="AF440" i="20" s="1"/>
  <c r="AM437" i="20"/>
  <c r="AM439" i="20" s="1"/>
  <c r="AL440" i="20" s="1"/>
  <c r="AN437" i="20"/>
  <c r="AN439" i="20" s="1"/>
  <c r="AM440" i="20" s="1"/>
  <c r="AE437" i="20"/>
  <c r="AE439" i="20" s="1"/>
  <c r="AK437" i="20"/>
  <c r="AK439" i="20" s="1"/>
  <c r="AJ440" i="20" s="1"/>
  <c r="AH437" i="20"/>
  <c r="AH439" i="20" s="1"/>
  <c r="AG440" i="20" s="1"/>
  <c r="AF437" i="20"/>
  <c r="AF439" i="20" s="1"/>
  <c r="AE440" i="20" s="1"/>
  <c r="AO437" i="20"/>
  <c r="AO439" i="20" s="1"/>
  <c r="AN440" i="20" s="1"/>
  <c r="AO440" i="20" s="1"/>
  <c r="AL437" i="20"/>
  <c r="AL439" i="20" s="1"/>
  <c r="AK440" i="20" s="1"/>
  <c r="AJ437" i="20"/>
  <c r="AJ439" i="20" s="1"/>
  <c r="AI440" i="20" s="1"/>
  <c r="CC60" i="20"/>
  <c r="CC61" i="20" s="1"/>
  <c r="AS200" i="20"/>
  <c r="AT191" i="20"/>
  <c r="CM423" i="20"/>
  <c r="CN422" i="20" s="1"/>
  <c r="CM428" i="20"/>
  <c r="CN427" i="20" s="1"/>
  <c r="CM426" i="20"/>
  <c r="CN425" i="20" s="1"/>
  <c r="CM424" i="20"/>
  <c r="CM427" i="20"/>
  <c r="CN426" i="20" s="1"/>
  <c r="CM421" i="20"/>
  <c r="CN420" i="20" s="1"/>
  <c r="CM429" i="20"/>
  <c r="CN428" i="20" s="1"/>
  <c r="CM430" i="20"/>
  <c r="CN429" i="20" s="1"/>
  <c r="CM420" i="20"/>
  <c r="CM425" i="20"/>
  <c r="CN424" i="20" s="1"/>
  <c r="CL437" i="20"/>
  <c r="CM422" i="20"/>
  <c r="CN421" i="20" s="1"/>
  <c r="BT437" i="20"/>
  <c r="BT439" i="20" s="1"/>
  <c r="BS440" i="20" s="1"/>
  <c r="BQ437" i="20"/>
  <c r="BQ439" i="20" s="1"/>
  <c r="BP440" i="20" s="1"/>
  <c r="BU437" i="20"/>
  <c r="BU439" i="20" s="1"/>
  <c r="BT440" i="20" s="1"/>
  <c r="BU440" i="20" s="1"/>
  <c r="BR437" i="20"/>
  <c r="BR439" i="20" s="1"/>
  <c r="BQ440" i="20" s="1"/>
  <c r="BK437" i="20"/>
  <c r="BK439" i="20" s="1"/>
  <c r="BN437" i="20"/>
  <c r="BN439" i="20" s="1"/>
  <c r="BM440" i="20" s="1"/>
  <c r="BL437" i="20"/>
  <c r="BL439" i="20" s="1"/>
  <c r="BK440" i="20" s="1"/>
  <c r="BP437" i="20"/>
  <c r="BP439" i="20" s="1"/>
  <c r="BO440" i="20" s="1"/>
  <c r="BO437" i="20"/>
  <c r="BO439" i="20" s="1"/>
  <c r="BS437" i="20"/>
  <c r="BS439" i="20" s="1"/>
  <c r="BR440" i="20" s="1"/>
  <c r="BM437" i="20"/>
  <c r="BM439" i="20" s="1"/>
  <c r="BL440" i="20" s="1"/>
  <c r="AL61" i="20"/>
  <c r="BU570" i="20"/>
  <c r="BW567" i="20"/>
  <c r="BV581" i="20"/>
  <c r="BV583" i="20"/>
  <c r="BW582" i="20" s="1"/>
  <c r="BV584" i="20"/>
  <c r="BW583" i="20" s="1"/>
  <c r="BV582" i="20"/>
  <c r="BW581" i="20" s="1"/>
  <c r="BV579" i="20"/>
  <c r="BV585" i="20"/>
  <c r="BW584" i="20" s="1"/>
  <c r="BV580" i="20"/>
  <c r="BW579" i="20" s="1"/>
  <c r="BM580" i="20"/>
  <c r="BL587" i="20"/>
  <c r="BV340" i="20"/>
  <c r="BV339" i="20"/>
  <c r="BW338" i="20" s="1"/>
  <c r="BV343" i="20"/>
  <c r="BW342" i="20" s="1"/>
  <c r="BV342" i="20"/>
  <c r="BW341" i="20" s="1"/>
  <c r="BV341" i="20"/>
  <c r="BW340" i="20" s="1"/>
  <c r="BV338" i="20"/>
  <c r="BV344" i="20"/>
  <c r="BW343" i="20" s="1"/>
  <c r="AH239" i="20"/>
  <c r="AT376" i="20"/>
  <c r="CM99" i="20"/>
  <c r="CN89" i="20"/>
  <c r="CN97" i="20"/>
  <c r="CN96" i="20"/>
  <c r="BK495" i="20"/>
  <c r="BK496" i="20"/>
  <c r="DC374" i="20" s="1"/>
  <c r="CE567" i="20"/>
  <c r="CE571" i="20"/>
  <c r="AH274" i="20"/>
  <c r="AH282" i="20" s="1"/>
  <c r="AG282" i="20"/>
  <c r="AG283" i="20" s="1"/>
  <c r="D175" i="24"/>
  <c r="E177" i="24" s="1"/>
  <c r="E73" i="23"/>
  <c r="AG304" i="20"/>
  <c r="AG305" i="20" s="1"/>
  <c r="AH296" i="20"/>
  <c r="AH304" i="20" s="1"/>
  <c r="DI117" i="20"/>
  <c r="DI118" i="20"/>
  <c r="DI110" i="20"/>
  <c r="DH120" i="20"/>
  <c r="M329" i="20"/>
  <c r="M330" i="20" s="1"/>
  <c r="D432" i="20"/>
  <c r="D433" i="20" s="1"/>
  <c r="B210" i="20"/>
  <c r="F208" i="20"/>
  <c r="X205" i="20"/>
  <c r="X207" i="20" s="1"/>
  <c r="W208" i="20" s="1"/>
  <c r="V205" i="20"/>
  <c r="V207" i="20" s="1"/>
  <c r="U208" i="20" s="1"/>
  <c r="S205" i="20"/>
  <c r="S207" i="20" s="1"/>
  <c r="R208" i="20" s="1"/>
  <c r="T205" i="20"/>
  <c r="T207" i="20" s="1"/>
  <c r="S208" i="20" s="1"/>
  <c r="Y205" i="20"/>
  <c r="Y207" i="20" s="1"/>
  <c r="X208" i="20" s="1"/>
  <c r="R205" i="20"/>
  <c r="R207" i="20" s="1"/>
  <c r="Q208" i="20" s="1"/>
  <c r="W205" i="20"/>
  <c r="W207" i="20" s="1"/>
  <c r="V208" i="20" s="1"/>
  <c r="U205" i="20"/>
  <c r="U207" i="20" s="1"/>
  <c r="Q205" i="20"/>
  <c r="Q207" i="20" s="1"/>
  <c r="Z205" i="20"/>
  <c r="Z207" i="20" s="1"/>
  <c r="Y208" i="20" s="1"/>
  <c r="AA205" i="20"/>
  <c r="AA207" i="20" s="1"/>
  <c r="Z208" i="20" s="1"/>
  <c r="AA208" i="20" s="1"/>
  <c r="AJ71" i="20"/>
  <c r="AJ68" i="20"/>
  <c r="AT142" i="20"/>
  <c r="AG567" i="20"/>
  <c r="AG568" i="20" s="1"/>
  <c r="AG569" i="20" s="1"/>
  <c r="E27" i="20"/>
  <c r="AX49" i="20"/>
  <c r="AW49" i="20"/>
  <c r="AY49" i="20"/>
  <c r="CO571" i="20"/>
  <c r="CO567" i="20"/>
  <c r="CM116" i="20"/>
  <c r="CN115" i="20" s="1"/>
  <c r="CM106" i="20"/>
  <c r="CM117" i="20"/>
  <c r="CN116" i="20" s="1"/>
  <c r="CM114" i="20"/>
  <c r="CN113" i="20" s="1"/>
  <c r="CM112" i="20"/>
  <c r="CN111" i="20" s="1"/>
  <c r="CM107" i="20"/>
  <c r="CN106" i="20" s="1"/>
  <c r="CM110" i="20"/>
  <c r="CN109" i="20" s="1"/>
  <c r="CM108" i="20"/>
  <c r="CN107" i="20" s="1"/>
  <c r="CM115" i="20"/>
  <c r="CN114" i="20" s="1"/>
  <c r="CM111" i="20"/>
  <c r="CM118" i="20"/>
  <c r="CM109" i="20"/>
  <c r="CN108" i="20" s="1"/>
  <c r="CM113" i="20"/>
  <c r="CN112" i="20" s="1"/>
  <c r="B443" i="20"/>
  <c r="B440" i="20"/>
  <c r="CF584" i="20"/>
  <c r="CG583" i="20" s="1"/>
  <c r="CF580" i="20"/>
  <c r="CG579" i="20" s="1"/>
  <c r="CF582" i="20"/>
  <c r="CG581" i="20" s="1"/>
  <c r="CF585" i="20"/>
  <c r="CG584" i="20" s="1"/>
  <c r="CF579" i="20"/>
  <c r="CF583" i="20"/>
  <c r="CG582" i="20" s="1"/>
  <c r="CF581" i="20"/>
  <c r="BM339" i="20"/>
  <c r="BL346" i="20"/>
  <c r="M585" i="20"/>
  <c r="N575" i="20"/>
  <c r="CP462" i="20"/>
  <c r="CP470" i="20" s="1"/>
  <c r="CO470" i="20"/>
  <c r="CO471" i="20" s="1"/>
  <c r="CO526" i="20"/>
  <c r="CP525" i="20" s="1"/>
  <c r="CO525" i="20"/>
  <c r="CP524" i="20" s="1"/>
  <c r="CO524" i="20"/>
  <c r="CO527" i="20"/>
  <c r="CP526" i="20" s="1"/>
  <c r="BJ535" i="20"/>
  <c r="CO529" i="20"/>
  <c r="CO530" i="20"/>
  <c r="CP529" i="20" s="1"/>
  <c r="CO534" i="20"/>
  <c r="CP533" i="20" s="1"/>
  <c r="CO528" i="20"/>
  <c r="CP527" i="20" s="1"/>
  <c r="CO533" i="20"/>
  <c r="CP532" i="20" s="1"/>
  <c r="CO532" i="20"/>
  <c r="CP531" i="20" s="1"/>
  <c r="CO522" i="20"/>
  <c r="CO535" i="20"/>
  <c r="CP534" i="20" s="1"/>
  <c r="CO531" i="20"/>
  <c r="CP530" i="20" s="1"/>
  <c r="CQ567" i="20"/>
  <c r="CO570" i="20"/>
  <c r="AG585" i="20"/>
  <c r="AH575" i="20"/>
  <c r="CF343" i="20"/>
  <c r="CG342" i="20" s="1"/>
  <c r="CF342" i="20"/>
  <c r="CG341" i="20" s="1"/>
  <c r="CF341" i="20"/>
  <c r="CG340" i="20" s="1"/>
  <c r="CF338" i="20"/>
  <c r="CF339" i="20"/>
  <c r="CG338" i="20" s="1"/>
  <c r="CF340" i="20"/>
  <c r="CF344" i="20"/>
  <c r="CG343" i="20" s="1"/>
  <c r="R423" i="20"/>
  <c r="Q432" i="20"/>
  <c r="AE432" i="20"/>
  <c r="AF423" i="20"/>
  <c r="AT375" i="20"/>
  <c r="AG492" i="20"/>
  <c r="AG493" i="20" s="1"/>
  <c r="AH484" i="20"/>
  <c r="AH492" i="20" s="1"/>
  <c r="DA423" i="20"/>
  <c r="DB422" i="20" s="1"/>
  <c r="DA422" i="20"/>
  <c r="DB421" i="20" s="1"/>
  <c r="DA430" i="20"/>
  <c r="DB429" i="20" s="1"/>
  <c r="DA425" i="20"/>
  <c r="DB424" i="20" s="1"/>
  <c r="DA427" i="20"/>
  <c r="DB426" i="20" s="1"/>
  <c r="DA424" i="20"/>
  <c r="CZ437" i="20"/>
  <c r="DA420" i="20"/>
  <c r="DA429" i="20"/>
  <c r="DB428" i="20" s="1"/>
  <c r="DA421" i="20"/>
  <c r="DB420" i="20" s="1"/>
  <c r="DA428" i="20"/>
  <c r="DB427" i="20" s="1"/>
  <c r="DA426" i="20"/>
  <c r="DB425" i="20" s="1"/>
  <c r="BW326" i="20"/>
  <c r="BU329" i="20"/>
  <c r="AU437" i="20"/>
  <c r="AU439" i="20" s="1"/>
  <c r="AT440" i="20" s="1"/>
  <c r="BC437" i="20"/>
  <c r="BC439" i="20" s="1"/>
  <c r="BB440" i="20" s="1"/>
  <c r="BC440" i="20" s="1"/>
  <c r="AS437" i="20"/>
  <c r="AS439" i="20" s="1"/>
  <c r="AX437" i="20"/>
  <c r="AX439" i="20" s="1"/>
  <c r="AW440" i="20" s="1"/>
  <c r="AV437" i="20"/>
  <c r="AV439" i="20" s="1"/>
  <c r="AU440" i="20" s="1"/>
  <c r="AY437" i="20"/>
  <c r="AY439" i="20" s="1"/>
  <c r="AX440" i="20" s="1"/>
  <c r="AT437" i="20"/>
  <c r="AT439" i="20" s="1"/>
  <c r="AS440" i="20" s="1"/>
  <c r="AZ437" i="20"/>
  <c r="AZ439" i="20" s="1"/>
  <c r="AY440" i="20" s="1"/>
  <c r="BA437" i="20"/>
  <c r="BA439" i="20" s="1"/>
  <c r="AZ440" i="20" s="1"/>
  <c r="AW437" i="20"/>
  <c r="AW439" i="20" s="1"/>
  <c r="BB437" i="20"/>
  <c r="BB439" i="20" s="1"/>
  <c r="BA440" i="20" s="1"/>
  <c r="B442" i="20"/>
  <c r="F440" i="20"/>
  <c r="BS117" i="20"/>
  <c r="BS118" i="20"/>
  <c r="AF191" i="20"/>
  <c r="AE200" i="20"/>
  <c r="AF187" i="20"/>
  <c r="AE201" i="20"/>
  <c r="W346" i="20"/>
  <c r="X339" i="20"/>
  <c r="BL570" i="20"/>
  <c r="BL571" i="20" s="1"/>
  <c r="CO257" i="20"/>
  <c r="CP256" i="20" s="1"/>
  <c r="CO251" i="20"/>
  <c r="CP250" i="20" s="1"/>
  <c r="CO248" i="20"/>
  <c r="CO250" i="20"/>
  <c r="CP249" i="20" s="1"/>
  <c r="CO255" i="20"/>
  <c r="CP254" i="20" s="1"/>
  <c r="CO259" i="20"/>
  <c r="CP258" i="20" s="1"/>
  <c r="CO252" i="20"/>
  <c r="CP251" i="20" s="1"/>
  <c r="CO256" i="20"/>
  <c r="CP255" i="20" s="1"/>
  <c r="BJ259" i="20"/>
  <c r="CO246" i="20"/>
  <c r="CO258" i="20"/>
  <c r="CP257" i="20" s="1"/>
  <c r="CO253" i="20"/>
  <c r="CO254" i="20"/>
  <c r="CP253" i="20" s="1"/>
  <c r="CO249" i="20"/>
  <c r="CP248" i="20" s="1"/>
  <c r="CO275" i="20"/>
  <c r="CO273" i="20"/>
  <c r="CP272" i="20" s="1"/>
  <c r="CO280" i="20"/>
  <c r="CP279" i="20" s="1"/>
  <c r="CO281" i="20"/>
  <c r="CP280" i="20" s="1"/>
  <c r="CO279" i="20"/>
  <c r="CP278" i="20" s="1"/>
  <c r="CO277" i="20"/>
  <c r="CP276" i="20" s="1"/>
  <c r="CO278" i="20"/>
  <c r="CP277" i="20" s="1"/>
  <c r="CO274" i="20"/>
  <c r="CP273" i="20" s="1"/>
  <c r="CO268" i="20"/>
  <c r="BJ281" i="20"/>
  <c r="CO271" i="20"/>
  <c r="CP270" i="20" s="1"/>
  <c r="CO270" i="20"/>
  <c r="CO272" i="20"/>
  <c r="CP271" i="20" s="1"/>
  <c r="CO276" i="20"/>
  <c r="CP275" i="20" s="1"/>
  <c r="N339" i="20"/>
  <c r="M346" i="20"/>
  <c r="BL187" i="20"/>
  <c r="BK201" i="20"/>
  <c r="CZ205" i="20"/>
  <c r="DA196" i="20"/>
  <c r="DB195" i="20" s="1"/>
  <c r="DA198" i="20"/>
  <c r="DB197" i="20" s="1"/>
  <c r="DA192" i="20"/>
  <c r="DA191" i="20"/>
  <c r="DB190" i="20" s="1"/>
  <c r="DA190" i="20"/>
  <c r="DB189" i="20" s="1"/>
  <c r="DA194" i="20"/>
  <c r="DB193" i="20" s="1"/>
  <c r="DA193" i="20"/>
  <c r="DB192" i="20" s="1"/>
  <c r="DA197" i="20"/>
  <c r="DB196" i="20" s="1"/>
  <c r="DA188" i="20"/>
  <c r="DA195" i="20"/>
  <c r="DB194" i="20" s="1"/>
  <c r="DA189" i="20"/>
  <c r="DB188" i="20" s="1"/>
  <c r="BR100" i="20"/>
  <c r="BS100" i="20" s="1"/>
  <c r="R187" i="20"/>
  <c r="Q201" i="20"/>
  <c r="AW84" i="20"/>
  <c r="AW99" i="20"/>
  <c r="CO326" i="20"/>
  <c r="CO330" i="20"/>
  <c r="BU567" i="20"/>
  <c r="BU571" i="20"/>
  <c r="CO488" i="20"/>
  <c r="CP487" i="20" s="1"/>
  <c r="CO486" i="20"/>
  <c r="CP485" i="20" s="1"/>
  <c r="CO487" i="20"/>
  <c r="CP486" i="20" s="1"/>
  <c r="CO485" i="20"/>
  <c r="CO483" i="20"/>
  <c r="CP482" i="20" s="1"/>
  <c r="CO490" i="20"/>
  <c r="CP489" i="20" s="1"/>
  <c r="CO489" i="20"/>
  <c r="CP488" i="20" s="1"/>
  <c r="CO484" i="20"/>
  <c r="CP483" i="20" s="1"/>
  <c r="CO480" i="20"/>
  <c r="CO478" i="20"/>
  <c r="BJ491" i="20"/>
  <c r="CO491" i="20"/>
  <c r="CP490" i="20" s="1"/>
  <c r="CO481" i="20"/>
  <c r="CP480" i="20" s="1"/>
  <c r="CO482" i="20"/>
  <c r="CP481" i="20" s="1"/>
  <c r="F120" i="26"/>
  <c r="C20" i="27" s="1"/>
  <c r="E221" i="23"/>
  <c r="H257" i="24" s="1"/>
  <c r="C46" i="22" s="1"/>
  <c r="AH337" i="20"/>
  <c r="AG347" i="20"/>
  <c r="BK285" i="20"/>
  <c r="BK286" i="20"/>
  <c r="DC143" i="20" s="1"/>
  <c r="BK307" i="20"/>
  <c r="DB144" i="20" s="1"/>
  <c r="BK308" i="20"/>
  <c r="DC144" i="20" s="1"/>
  <c r="R419" i="20"/>
  <c r="Q433" i="20"/>
  <c r="AT187" i="20"/>
  <c r="AS201" i="20"/>
  <c r="AG536" i="20"/>
  <c r="AG537" i="20" s="1"/>
  <c r="AH528" i="20"/>
  <c r="AH536" i="20" s="1"/>
  <c r="AH506" i="20"/>
  <c r="AH514" i="20" s="1"/>
  <c r="AG514" i="20"/>
  <c r="AG515" i="20" s="1"/>
  <c r="CY61" i="20"/>
  <c r="CY62" i="20" s="1"/>
  <c r="DD40" i="20" s="1"/>
  <c r="CL52" i="20" s="1"/>
  <c r="CL49" i="20" s="1"/>
  <c r="CX62" i="20"/>
  <c r="DD41" i="20" s="1"/>
  <c r="CK49" i="20" s="1"/>
  <c r="D23" i="20" s="1"/>
  <c r="V89" i="7" s="1"/>
  <c r="V67" i="7" s="1"/>
  <c r="BL423" i="20"/>
  <c r="BK432" i="20"/>
  <c r="BK433" i="20"/>
  <c r="BL419" i="20"/>
  <c r="BM578" i="20"/>
  <c r="BL588" i="20"/>
  <c r="AG260" i="20"/>
  <c r="AG261" i="20" s="1"/>
  <c r="AH252" i="20"/>
  <c r="AH260" i="20" s="1"/>
  <c r="AT423" i="20"/>
  <c r="AS432" i="20"/>
  <c r="AT419" i="20"/>
  <c r="AS433" i="20"/>
  <c r="CN84" i="20"/>
  <c r="CN99" i="20"/>
  <c r="BK540" i="20"/>
  <c r="DC376" i="20" s="1"/>
  <c r="BK539" i="20"/>
  <c r="DB376" i="20" s="1"/>
  <c r="X337" i="20"/>
  <c r="W347" i="20"/>
  <c r="CG567" i="20"/>
  <c r="CE570" i="20"/>
  <c r="BM337" i="20"/>
  <c r="BL347" i="20"/>
  <c r="AG329" i="20"/>
  <c r="AG330" i="20" s="1"/>
  <c r="CP230" i="20"/>
  <c r="CP238" i="20" s="1"/>
  <c r="CO238" i="20"/>
  <c r="CO239" i="20" s="1"/>
  <c r="BJ303" i="20"/>
  <c r="CO297" i="20"/>
  <c r="CO294" i="20"/>
  <c r="CP293" i="20" s="1"/>
  <c r="CO299" i="20"/>
  <c r="CP298" i="20" s="1"/>
  <c r="CO303" i="20"/>
  <c r="CP302" i="20" s="1"/>
  <c r="CO292" i="20"/>
  <c r="CO298" i="20"/>
  <c r="CP297" i="20" s="1"/>
  <c r="CO295" i="20"/>
  <c r="CP294" i="20" s="1"/>
  <c r="CO301" i="20"/>
  <c r="CP300" i="20" s="1"/>
  <c r="CO290" i="20"/>
  <c r="CO300" i="20"/>
  <c r="CP299" i="20" s="1"/>
  <c r="CO293" i="20"/>
  <c r="CP292" i="20" s="1"/>
  <c r="CO296" i="20"/>
  <c r="CP295" i="20" s="1"/>
  <c r="CO302" i="20"/>
  <c r="CP301" i="20" s="1"/>
  <c r="DI105" i="20"/>
  <c r="DI120" i="20"/>
  <c r="BY194" i="20"/>
  <c r="BZ193" i="20" s="1"/>
  <c r="BY197" i="20"/>
  <c r="BZ196" i="20" s="1"/>
  <c r="BY189" i="20"/>
  <c r="BZ188" i="20" s="1"/>
  <c r="BY192" i="20"/>
  <c r="BX205" i="20"/>
  <c r="BY191" i="20"/>
  <c r="BZ190" i="20" s="1"/>
  <c r="BY188" i="20"/>
  <c r="BY190" i="20"/>
  <c r="BZ189" i="20" s="1"/>
  <c r="BY196" i="20"/>
  <c r="BZ195" i="20" s="1"/>
  <c r="BY193" i="20"/>
  <c r="BZ192" i="20" s="1"/>
  <c r="BY195" i="20"/>
  <c r="BZ194" i="20" s="1"/>
  <c r="BY198" i="20"/>
  <c r="BZ197" i="20" s="1"/>
  <c r="CA70" i="20"/>
  <c r="CG68" i="20"/>
  <c r="D78" i="17"/>
  <c r="H78" i="17"/>
  <c r="AV99" i="20"/>
  <c r="AW89" i="20"/>
  <c r="AV117" i="20"/>
  <c r="AW116" i="20" s="1"/>
  <c r="AV108" i="20"/>
  <c r="AW107" i="20" s="1"/>
  <c r="AV109" i="20"/>
  <c r="AW108" i="20" s="1"/>
  <c r="AV116" i="20"/>
  <c r="AW115" i="20" s="1"/>
  <c r="AV113" i="20"/>
  <c r="AW112" i="20" s="1"/>
  <c r="AV111" i="20"/>
  <c r="AV114" i="20"/>
  <c r="AW113" i="20" s="1"/>
  <c r="AV110" i="20"/>
  <c r="AW109" i="20" s="1"/>
  <c r="AV106" i="20"/>
  <c r="AV107" i="20"/>
  <c r="AW106" i="20" s="1"/>
  <c r="AV118" i="20"/>
  <c r="AV112" i="20"/>
  <c r="AW111" i="20" s="1"/>
  <c r="AV115" i="20"/>
  <c r="AW114" i="20" s="1"/>
  <c r="AT144" i="20"/>
  <c r="BL329" i="20"/>
  <c r="BL330" i="20" s="1"/>
  <c r="CP341" i="20"/>
  <c r="CQ340" i="20" s="1"/>
  <c r="CP339" i="20"/>
  <c r="CQ338" i="20" s="1"/>
  <c r="CP343" i="20"/>
  <c r="CQ342" i="20" s="1"/>
  <c r="CP342" i="20"/>
  <c r="CQ341" i="20" s="1"/>
  <c r="CP344" i="20"/>
  <c r="CQ343" i="20" s="1"/>
  <c r="CP338" i="20"/>
  <c r="CP340" i="20"/>
  <c r="X577" i="20"/>
  <c r="W584" i="20"/>
  <c r="DH100" i="20"/>
  <c r="DI100" i="20" s="1"/>
  <c r="R191" i="13"/>
  <c r="B470" i="20" l="1"/>
  <c r="AN378" i="20"/>
  <c r="CB70" i="20"/>
  <c r="CB73" i="20" s="1"/>
  <c r="CB72" i="20" s="1"/>
  <c r="C442" i="20"/>
  <c r="C443" i="20" s="1"/>
  <c r="C444" i="20" s="1"/>
  <c r="BF73" i="20"/>
  <c r="BN41" i="20" s="1"/>
  <c r="AF200" i="20"/>
  <c r="AF201" i="20" s="1"/>
  <c r="E585" i="20"/>
  <c r="E586" i="20" s="1"/>
  <c r="E592" i="20" s="1"/>
  <c r="AD376" i="20" s="1"/>
  <c r="C210" i="20"/>
  <c r="C211" i="20" s="1"/>
  <c r="AH283" i="20"/>
  <c r="AN148" i="20" s="1"/>
  <c r="D202" i="20"/>
  <c r="AN141" i="20" s="1"/>
  <c r="X584" i="20"/>
  <c r="X585" i="20" s="1"/>
  <c r="N346" i="20"/>
  <c r="N347" i="20" s="1"/>
  <c r="AV100" i="20"/>
  <c r="AW100" i="20" s="1"/>
  <c r="AX82" i="20" s="1"/>
  <c r="AH515" i="20"/>
  <c r="AN380" i="20" s="1"/>
  <c r="AH537" i="20"/>
  <c r="AI537" i="20" s="1"/>
  <c r="C541" i="20" s="1"/>
  <c r="AH493" i="20"/>
  <c r="B492" i="20" s="1"/>
  <c r="CF570" i="20"/>
  <c r="CF571" i="20" s="1"/>
  <c r="CF572" i="20" s="1"/>
  <c r="CP570" i="20"/>
  <c r="CP571" i="20" s="1"/>
  <c r="CP572" i="20" s="1"/>
  <c r="CM432" i="20"/>
  <c r="CN423" i="20"/>
  <c r="DB375" i="20"/>
  <c r="BY432" i="20"/>
  <c r="BZ423" i="20"/>
  <c r="R200" i="20"/>
  <c r="R201" i="20" s="1"/>
  <c r="AG144" i="20"/>
  <c r="Y144" i="20" s="1"/>
  <c r="F147" i="20" s="1"/>
  <c r="E9" i="20" s="1"/>
  <c r="P440" i="20"/>
  <c r="P443" i="20"/>
  <c r="DB142" i="20"/>
  <c r="DB419" i="20"/>
  <c r="DA433" i="20"/>
  <c r="CF346" i="20"/>
  <c r="CG339" i="20"/>
  <c r="F27" i="20"/>
  <c r="X93" i="7" s="1"/>
  <c r="X69" i="7" s="1"/>
  <c r="H27" i="20"/>
  <c r="Z93" i="7" s="1"/>
  <c r="Z69" i="7" s="1"/>
  <c r="W93" i="7"/>
  <c r="W69" i="7" s="1"/>
  <c r="M331" i="20"/>
  <c r="BW339" i="20"/>
  <c r="BV346" i="20"/>
  <c r="AM61" i="20"/>
  <c r="AM62" i="20" s="1"/>
  <c r="AR40" i="20" s="1"/>
  <c r="AU53" i="20" s="1"/>
  <c r="AU50" i="20" s="1"/>
  <c r="AL62" i="20"/>
  <c r="AR41" i="20" s="1"/>
  <c r="AT50" i="20" s="1"/>
  <c r="D28" i="20" s="1"/>
  <c r="V94" i="7" s="1"/>
  <c r="V70" i="7" s="1"/>
  <c r="DJ100" i="20"/>
  <c r="DJ83" i="20" s="1"/>
  <c r="DJ82" i="20"/>
  <c r="CP347" i="20"/>
  <c r="CQ337" i="20"/>
  <c r="AV120" i="20"/>
  <c r="AW110" i="20"/>
  <c r="H80" i="17"/>
  <c r="H86" i="17"/>
  <c r="H88" i="17" s="1"/>
  <c r="BZ191" i="20"/>
  <c r="BY200" i="20"/>
  <c r="AG331" i="20"/>
  <c r="AT432" i="20"/>
  <c r="AT433" i="20" s="1"/>
  <c r="BL432" i="20"/>
  <c r="BL433" i="20" s="1"/>
  <c r="DB143" i="20"/>
  <c r="DA201" i="20"/>
  <c r="DB187" i="20"/>
  <c r="X346" i="20"/>
  <c r="X347" i="20" s="1"/>
  <c r="DH437" i="20"/>
  <c r="DH439" i="20" s="1"/>
  <c r="DG440" i="20" s="1"/>
  <c r="DI437" i="20"/>
  <c r="DI439" i="20" s="1"/>
  <c r="DH440" i="20" s="1"/>
  <c r="DG437" i="20"/>
  <c r="DG439" i="20" s="1"/>
  <c r="DF440" i="20" s="1"/>
  <c r="DF437" i="20"/>
  <c r="DF439" i="20" s="1"/>
  <c r="DE440" i="20" s="1"/>
  <c r="DK437" i="20"/>
  <c r="DK439" i="20" s="1"/>
  <c r="DJ440" i="20" s="1"/>
  <c r="DK440" i="20" s="1"/>
  <c r="DJ437" i="20"/>
  <c r="DJ439" i="20" s="1"/>
  <c r="DI440" i="20" s="1"/>
  <c r="DE437" i="20"/>
  <c r="DE439" i="20" s="1"/>
  <c r="DC437" i="20"/>
  <c r="DC439" i="20" s="1"/>
  <c r="DB440" i="20" s="1"/>
  <c r="DA437" i="20"/>
  <c r="DA439" i="20" s="1"/>
  <c r="DB437" i="20"/>
  <c r="DB439" i="20" s="1"/>
  <c r="DA440" i="20" s="1"/>
  <c r="DD437" i="20"/>
  <c r="DD439" i="20" s="1"/>
  <c r="DC440" i="20" s="1"/>
  <c r="AF432" i="20"/>
  <c r="AF433" i="20" s="1"/>
  <c r="CV73" i="20"/>
  <c r="CP471" i="20"/>
  <c r="BM346" i="20"/>
  <c r="BM347" i="20" s="1"/>
  <c r="CG578" i="20"/>
  <c r="CF588" i="20"/>
  <c r="P210" i="20"/>
  <c r="T208" i="20"/>
  <c r="DH121" i="20"/>
  <c r="DI121" i="20" s="1"/>
  <c r="AH305" i="20"/>
  <c r="AN146" i="20"/>
  <c r="AI239" i="20"/>
  <c r="B238" i="20"/>
  <c r="BM587" i="20"/>
  <c r="BM588" i="20" s="1"/>
  <c r="BV588" i="20"/>
  <c r="BW578" i="20"/>
  <c r="BW580" i="20"/>
  <c r="BV587" i="20"/>
  <c r="CU437" i="20"/>
  <c r="CU439" i="20" s="1"/>
  <c r="CT440" i="20" s="1"/>
  <c r="CP437" i="20"/>
  <c r="CP439" i="20" s="1"/>
  <c r="CO440" i="20" s="1"/>
  <c r="CR437" i="20"/>
  <c r="CR439" i="20" s="1"/>
  <c r="CQ440" i="20" s="1"/>
  <c r="CT437" i="20"/>
  <c r="CT439" i="20" s="1"/>
  <c r="CS440" i="20" s="1"/>
  <c r="CO437" i="20"/>
  <c r="CO439" i="20" s="1"/>
  <c r="CN440" i="20" s="1"/>
  <c r="CM437" i="20"/>
  <c r="CM439" i="20" s="1"/>
  <c r="CW437" i="20"/>
  <c r="CW439" i="20" s="1"/>
  <c r="CV440" i="20" s="1"/>
  <c r="CW440" i="20" s="1"/>
  <c r="CS437" i="20"/>
  <c r="CS439" i="20" s="1"/>
  <c r="CR440" i="20" s="1"/>
  <c r="CQ437" i="20"/>
  <c r="CQ439" i="20" s="1"/>
  <c r="CN437" i="20"/>
  <c r="CN439" i="20" s="1"/>
  <c r="CM440" i="20" s="1"/>
  <c r="CV437" i="20"/>
  <c r="CV439" i="20" s="1"/>
  <c r="CU440" i="20" s="1"/>
  <c r="BY433" i="20"/>
  <c r="BZ419" i="20"/>
  <c r="AR211" i="20"/>
  <c r="AR208" i="20"/>
  <c r="N584" i="20"/>
  <c r="N585" i="20" s="1"/>
  <c r="CP329" i="20"/>
  <c r="CP330" i="20" s="1"/>
  <c r="CN187" i="20"/>
  <c r="CM201" i="20"/>
  <c r="BJ211" i="20"/>
  <c r="BJ208" i="20"/>
  <c r="AD210" i="20"/>
  <c r="AH208" i="20"/>
  <c r="P442" i="20"/>
  <c r="T440" i="20"/>
  <c r="CP346" i="20"/>
  <c r="CQ339" i="20"/>
  <c r="CI205" i="20"/>
  <c r="CI207" i="20" s="1"/>
  <c r="CH208" i="20" s="1"/>
  <c r="CI208" i="20" s="1"/>
  <c r="CB205" i="20"/>
  <c r="CB207" i="20" s="1"/>
  <c r="CA208" i="20" s="1"/>
  <c r="CD205" i="20"/>
  <c r="CD207" i="20" s="1"/>
  <c r="CC208" i="20" s="1"/>
  <c r="CC205" i="20"/>
  <c r="CC207" i="20" s="1"/>
  <c r="BZ205" i="20"/>
  <c r="BZ207" i="20" s="1"/>
  <c r="BY208" i="20" s="1"/>
  <c r="CG205" i="20"/>
  <c r="CG207" i="20" s="1"/>
  <c r="CF208" i="20" s="1"/>
  <c r="CA205" i="20"/>
  <c r="CA207" i="20" s="1"/>
  <c r="BZ208" i="20" s="1"/>
  <c r="CF205" i="20"/>
  <c r="CF207" i="20" s="1"/>
  <c r="CE208" i="20" s="1"/>
  <c r="CH205" i="20"/>
  <c r="CH207" i="20" s="1"/>
  <c r="CG208" i="20" s="1"/>
  <c r="CE205" i="20"/>
  <c r="CE207" i="20" s="1"/>
  <c r="CD208" i="20" s="1"/>
  <c r="BY205" i="20"/>
  <c r="BY207" i="20" s="1"/>
  <c r="CP274" i="20"/>
  <c r="CP282" i="20" s="1"/>
  <c r="CO282" i="20"/>
  <c r="CO283" i="20" s="1"/>
  <c r="AW120" i="20"/>
  <c r="AW105" i="20"/>
  <c r="BZ187" i="20"/>
  <c r="BY201" i="20"/>
  <c r="W569" i="20"/>
  <c r="BF72" i="20"/>
  <c r="BN40" i="20" s="1"/>
  <c r="CO492" i="20"/>
  <c r="CO493" i="20" s="1"/>
  <c r="CP484" i="20"/>
  <c r="CP492" i="20" s="1"/>
  <c r="BT82" i="20"/>
  <c r="BT100" i="20"/>
  <c r="BT83" i="20" s="1"/>
  <c r="DE205" i="20"/>
  <c r="DE207" i="20" s="1"/>
  <c r="DG205" i="20"/>
  <c r="DG207" i="20" s="1"/>
  <c r="DF208" i="20" s="1"/>
  <c r="DA205" i="20"/>
  <c r="DA207" i="20" s="1"/>
  <c r="DK205" i="20"/>
  <c r="DK207" i="20" s="1"/>
  <c r="DJ208" i="20" s="1"/>
  <c r="DK208" i="20" s="1"/>
  <c r="DI205" i="20"/>
  <c r="DI207" i="20" s="1"/>
  <c r="DH208" i="20" s="1"/>
  <c r="DJ205" i="20"/>
  <c r="DJ207" i="20" s="1"/>
  <c r="DI208" i="20" s="1"/>
  <c r="DH205" i="20"/>
  <c r="DH207" i="20" s="1"/>
  <c r="DG208" i="20" s="1"/>
  <c r="DC205" i="20"/>
  <c r="DC207" i="20" s="1"/>
  <c r="DB208" i="20" s="1"/>
  <c r="DB205" i="20"/>
  <c r="DB207" i="20" s="1"/>
  <c r="DA208" i="20" s="1"/>
  <c r="DD205" i="20"/>
  <c r="DD207" i="20" s="1"/>
  <c r="DC208" i="20" s="1"/>
  <c r="DF205" i="20"/>
  <c r="DF207" i="20" s="1"/>
  <c r="DE208" i="20" s="1"/>
  <c r="AR440" i="20"/>
  <c r="AR443" i="20"/>
  <c r="BV329" i="20"/>
  <c r="BV330" i="20" s="1"/>
  <c r="DA432" i="20"/>
  <c r="DB423" i="20"/>
  <c r="R432" i="20"/>
  <c r="R433" i="20" s="1"/>
  <c r="CV72" i="20"/>
  <c r="DE40" i="20" s="1"/>
  <c r="CG337" i="20"/>
  <c r="CF347" i="20"/>
  <c r="CP528" i="20"/>
  <c r="CP536" i="20" s="1"/>
  <c r="CO536" i="20"/>
  <c r="CO537" i="20" s="1"/>
  <c r="CN118" i="20"/>
  <c r="CN117" i="20"/>
  <c r="DB374" i="20"/>
  <c r="CM100" i="20"/>
  <c r="CN100" i="20" s="1"/>
  <c r="AT200" i="20"/>
  <c r="AT201" i="20" s="1"/>
  <c r="AD440" i="20"/>
  <c r="AD443" i="20"/>
  <c r="AD442" i="20"/>
  <c r="AH440" i="20"/>
  <c r="CQ578" i="20"/>
  <c r="CP588" i="20"/>
  <c r="CE437" i="20"/>
  <c r="CE439" i="20" s="1"/>
  <c r="CD440" i="20" s="1"/>
  <c r="CD437" i="20"/>
  <c r="CD439" i="20" s="1"/>
  <c r="CC440" i="20" s="1"/>
  <c r="BZ437" i="20"/>
  <c r="BZ439" i="20" s="1"/>
  <c r="BY440" i="20" s="1"/>
  <c r="CI437" i="20"/>
  <c r="CI439" i="20" s="1"/>
  <c r="CH440" i="20" s="1"/>
  <c r="CI440" i="20" s="1"/>
  <c r="BY437" i="20"/>
  <c r="BY439" i="20" s="1"/>
  <c r="CB437" i="20"/>
  <c r="CB439" i="20" s="1"/>
  <c r="CA440" i="20" s="1"/>
  <c r="CG437" i="20"/>
  <c r="CG439" i="20" s="1"/>
  <c r="CF440" i="20" s="1"/>
  <c r="CF437" i="20"/>
  <c r="CF439" i="20" s="1"/>
  <c r="CE440" i="20" s="1"/>
  <c r="CA437" i="20"/>
  <c r="CA439" i="20" s="1"/>
  <c r="BZ440" i="20" s="1"/>
  <c r="CC437" i="20"/>
  <c r="CC439" i="20" s="1"/>
  <c r="CH437" i="20"/>
  <c r="CH439" i="20" s="1"/>
  <c r="CG440" i="20" s="1"/>
  <c r="AK70" i="20"/>
  <c r="AK73" i="20" s="1"/>
  <c r="BL200" i="20"/>
  <c r="BL201" i="20" s="1"/>
  <c r="CW205" i="20"/>
  <c r="CW207" i="20" s="1"/>
  <c r="CV208" i="20" s="1"/>
  <c r="CW208" i="20" s="1"/>
  <c r="CN205" i="20"/>
  <c r="CN207" i="20" s="1"/>
  <c r="CM208" i="20" s="1"/>
  <c r="CQ205" i="20"/>
  <c r="CQ207" i="20" s="1"/>
  <c r="CV205" i="20"/>
  <c r="CV207" i="20" s="1"/>
  <c r="CU208" i="20" s="1"/>
  <c r="CO205" i="20"/>
  <c r="CO207" i="20" s="1"/>
  <c r="CN208" i="20" s="1"/>
  <c r="CP205" i="20"/>
  <c r="CP207" i="20" s="1"/>
  <c r="CO208" i="20" s="1"/>
  <c r="CR205" i="20"/>
  <c r="CR207" i="20" s="1"/>
  <c r="CQ208" i="20" s="1"/>
  <c r="CT205" i="20"/>
  <c r="CT207" i="20" s="1"/>
  <c r="CS208" i="20" s="1"/>
  <c r="CU205" i="20"/>
  <c r="CU207" i="20" s="1"/>
  <c r="CT208" i="20" s="1"/>
  <c r="CS205" i="20"/>
  <c r="CS207" i="20" s="1"/>
  <c r="CR208" i="20" s="1"/>
  <c r="CM205" i="20"/>
  <c r="CM207" i="20" s="1"/>
  <c r="BJ210" i="20"/>
  <c r="BN208" i="20"/>
  <c r="BR121" i="20"/>
  <c r="BS121" i="20" s="1"/>
  <c r="AW117" i="20"/>
  <c r="AW118" i="20"/>
  <c r="CO49" i="20"/>
  <c r="E23" i="20"/>
  <c r="W89" i="7" s="1"/>
  <c r="W67" i="7" s="1"/>
  <c r="CN49" i="20"/>
  <c r="F23" i="20" s="1"/>
  <c r="X89" i="7" s="1"/>
  <c r="X67" i="7" s="1"/>
  <c r="CP49" i="20"/>
  <c r="H23" i="20" s="1"/>
  <c r="Z89" i="7" s="1"/>
  <c r="Z67" i="7" s="1"/>
  <c r="P208" i="20"/>
  <c r="P211" i="20"/>
  <c r="D80" i="17"/>
  <c r="D86" i="17"/>
  <c r="E175" i="17" s="1"/>
  <c r="BL331" i="20"/>
  <c r="CP296" i="20"/>
  <c r="CP304" i="20" s="1"/>
  <c r="CO304" i="20"/>
  <c r="CO305" i="20" s="1"/>
  <c r="CP239" i="20"/>
  <c r="C475" i="20"/>
  <c r="AO378" i="20"/>
  <c r="B471" i="20"/>
  <c r="AH261" i="20"/>
  <c r="C21" i="27"/>
  <c r="C22" i="27"/>
  <c r="DA200" i="20"/>
  <c r="DB191" i="20"/>
  <c r="CO260" i="20"/>
  <c r="CO261" i="20" s="1"/>
  <c r="CP252" i="20"/>
  <c r="CP260" i="20" s="1"/>
  <c r="BL572" i="20"/>
  <c r="AV440" i="20"/>
  <c r="AR442" i="20"/>
  <c r="CG580" i="20"/>
  <c r="CF587" i="20"/>
  <c r="CM120" i="20"/>
  <c r="CN110" i="20"/>
  <c r="CN120" i="20"/>
  <c r="CN105" i="20"/>
  <c r="E433" i="20"/>
  <c r="E434" i="20" s="1"/>
  <c r="AO373" i="20" s="1"/>
  <c r="AG376" i="20" s="1"/>
  <c r="Y376" i="20" s="1"/>
  <c r="F379" i="20" s="1"/>
  <c r="E32" i="20" s="1"/>
  <c r="D434" i="20"/>
  <c r="AN373" i="20" s="1"/>
  <c r="G64" i="23"/>
  <c r="D184" i="24"/>
  <c r="C64" i="23"/>
  <c r="F270" i="23"/>
  <c r="BW337" i="20"/>
  <c r="BV347" i="20"/>
  <c r="BV570" i="20"/>
  <c r="BV571" i="20" s="1"/>
  <c r="BJ442" i="20"/>
  <c r="BN440" i="20"/>
  <c r="BJ440" i="20"/>
  <c r="BJ443" i="20"/>
  <c r="CM433" i="20"/>
  <c r="CN419" i="20"/>
  <c r="CC62" i="20"/>
  <c r="CI41" i="20" s="1"/>
  <c r="CK50" i="20" s="1"/>
  <c r="D24" i="20" s="1"/>
  <c r="V90" i="7" s="1"/>
  <c r="V68" i="7" s="1"/>
  <c r="CD61" i="20"/>
  <c r="CD62" i="20" s="1"/>
  <c r="CI40" i="20" s="1"/>
  <c r="CL53" i="20" s="1"/>
  <c r="CL50" i="20" s="1"/>
  <c r="E347" i="20"/>
  <c r="E348" i="20" s="1"/>
  <c r="D348" i="20"/>
  <c r="AH584" i="20"/>
  <c r="AH585" i="20" s="1"/>
  <c r="CQ580" i="20"/>
  <c r="CP587" i="20"/>
  <c r="W331" i="20"/>
  <c r="CP506" i="20"/>
  <c r="CP514" i="20" s="1"/>
  <c r="CO514" i="20"/>
  <c r="CO515" i="20" s="1"/>
  <c r="D592" i="20"/>
  <c r="AC376" i="20" s="1"/>
  <c r="B570" i="20"/>
  <c r="E561" i="20" s="1"/>
  <c r="F592" i="20" s="1"/>
  <c r="AE376" i="20" s="1"/>
  <c r="AR210" i="20"/>
  <c r="AV208" i="20"/>
  <c r="AH346" i="20"/>
  <c r="AH347" i="20" s="1"/>
  <c r="C270" i="17"/>
  <c r="C271" i="17" s="1"/>
  <c r="CM200" i="20"/>
  <c r="CN191" i="20"/>
  <c r="AF144" i="20"/>
  <c r="X144" i="20" s="1"/>
  <c r="E147" i="20" s="1"/>
  <c r="D9" i="20" s="1"/>
  <c r="V75" i="7" s="1"/>
  <c r="AD211" i="20"/>
  <c r="AD208" i="20"/>
  <c r="CF329" i="20"/>
  <c r="CF330" i="20" s="1"/>
  <c r="B282" i="20" l="1"/>
  <c r="AN379" i="20"/>
  <c r="AS210" i="20"/>
  <c r="AX100" i="20"/>
  <c r="AX83" i="20" s="1"/>
  <c r="B213" i="20"/>
  <c r="B569" i="20"/>
  <c r="B536" i="20"/>
  <c r="Q442" i="20"/>
  <c r="Q443" i="20" s="1"/>
  <c r="Q444" i="20" s="1"/>
  <c r="BK210" i="20"/>
  <c r="BK211" i="20" s="1"/>
  <c r="BK212" i="20" s="1"/>
  <c r="DB200" i="20"/>
  <c r="DB201" i="20" s="1"/>
  <c r="AN381" i="20"/>
  <c r="DB432" i="20"/>
  <c r="DB433" i="20" s="1"/>
  <c r="DC433" i="20" s="1"/>
  <c r="DC434" i="20" s="1"/>
  <c r="CW376" i="20" s="1"/>
  <c r="CO379" i="20" s="1"/>
  <c r="AG201" i="20"/>
  <c r="AG202" i="20" s="1"/>
  <c r="AO143" i="20" s="1"/>
  <c r="AG146" i="20" s="1"/>
  <c r="Y146" i="20" s="1"/>
  <c r="F149" i="20" s="1"/>
  <c r="E11" i="20" s="1"/>
  <c r="H11" i="20" s="1"/>
  <c r="Z77" i="7" s="1"/>
  <c r="AF202" i="20"/>
  <c r="AN143" i="20" s="1"/>
  <c r="AF146" i="20" s="1"/>
  <c r="X146" i="20" s="1"/>
  <c r="E149" i="20" s="1"/>
  <c r="D11" i="20" s="1"/>
  <c r="V77" i="7" s="1"/>
  <c r="AS211" i="20"/>
  <c r="AS212" i="20" s="1"/>
  <c r="AI493" i="20"/>
  <c r="C497" i="20" s="1"/>
  <c r="CN200" i="20"/>
  <c r="CN201" i="20" s="1"/>
  <c r="CO201" i="20" s="1"/>
  <c r="CO202" i="20" s="1"/>
  <c r="CW143" i="20" s="1"/>
  <c r="CM146" i="20" s="1"/>
  <c r="CE146" i="20" s="1"/>
  <c r="H149" i="20" s="1"/>
  <c r="E18" i="20" s="1"/>
  <c r="AS442" i="20"/>
  <c r="C212" i="20"/>
  <c r="B212" i="20" s="1"/>
  <c r="CP283" i="20"/>
  <c r="BJ282" i="20" s="1"/>
  <c r="CG587" i="20"/>
  <c r="CG588" i="20" s="1"/>
  <c r="CG589" i="20" s="1"/>
  <c r="AI515" i="20"/>
  <c r="C519" i="20" s="1"/>
  <c r="CQ346" i="20"/>
  <c r="CQ347" i="20" s="1"/>
  <c r="CR347" i="20" s="1"/>
  <c r="CR348" i="20" s="1"/>
  <c r="AI283" i="20"/>
  <c r="AO148" i="20" s="1"/>
  <c r="B514" i="20"/>
  <c r="X586" i="20"/>
  <c r="D594" i="20" s="1"/>
  <c r="AC378" i="20" s="1"/>
  <c r="Y585" i="20"/>
  <c r="Y586" i="20" s="1"/>
  <c r="E594" i="20" s="1"/>
  <c r="AD378" i="20" s="1"/>
  <c r="CP537" i="20"/>
  <c r="CQ537" i="20" s="1"/>
  <c r="CQ587" i="20"/>
  <c r="CQ588" i="20" s="1"/>
  <c r="CQ589" i="20" s="1"/>
  <c r="BK442" i="20"/>
  <c r="BK443" i="20" s="1"/>
  <c r="BK444" i="20" s="1"/>
  <c r="CP261" i="20"/>
  <c r="CQ261" i="20" s="1"/>
  <c r="AV373" i="20"/>
  <c r="CP305" i="20"/>
  <c r="CV149" i="20" s="1"/>
  <c r="AS443" i="20"/>
  <c r="AS444" i="20" s="1"/>
  <c r="CM121" i="20"/>
  <c r="CN121" i="20" s="1"/>
  <c r="CP493" i="20"/>
  <c r="CV379" i="20" s="1"/>
  <c r="BM433" i="20"/>
  <c r="BM434" i="20" s="1"/>
  <c r="CW373" i="20" s="1"/>
  <c r="BL434" i="20"/>
  <c r="CV373" i="20" s="1"/>
  <c r="CF331" i="20"/>
  <c r="AO381" i="20"/>
  <c r="B537" i="20"/>
  <c r="BX208" i="20"/>
  <c r="BX211" i="20"/>
  <c r="AE210" i="20"/>
  <c r="AE211" i="20" s="1"/>
  <c r="CL443" i="20"/>
  <c r="CL440" i="20"/>
  <c r="C243" i="20"/>
  <c r="B239" i="20"/>
  <c r="AO146" i="20"/>
  <c r="AG433" i="20"/>
  <c r="AG434" i="20" s="1"/>
  <c r="AO375" i="20" s="1"/>
  <c r="AG378" i="20" s="1"/>
  <c r="Y378" i="20" s="1"/>
  <c r="F381" i="20" s="1"/>
  <c r="E34" i="20" s="1"/>
  <c r="AF434" i="20"/>
  <c r="AN375" i="20" s="1"/>
  <c r="B445" i="20"/>
  <c r="C250" i="16"/>
  <c r="E184" i="17"/>
  <c r="E187" i="17" s="1"/>
  <c r="CA72" i="20"/>
  <c r="CJ40" i="20" s="1"/>
  <c r="BT103" i="20"/>
  <c r="BH81" i="20" s="1"/>
  <c r="BT121" i="20"/>
  <c r="BT104" i="20" s="1"/>
  <c r="BJ81" i="20" s="1"/>
  <c r="CP515" i="20"/>
  <c r="E24" i="20"/>
  <c r="W90" i="7" s="1"/>
  <c r="W68" i="7" s="1"/>
  <c r="CO50" i="20"/>
  <c r="CN50" i="20"/>
  <c r="F24" i="20" s="1"/>
  <c r="X90" i="7" s="1"/>
  <c r="X68" i="7" s="1"/>
  <c r="CP50" i="20"/>
  <c r="H24" i="20" s="1"/>
  <c r="Z90" i="7" s="1"/>
  <c r="Z68" i="7" s="1"/>
  <c r="BV572" i="20"/>
  <c r="C273" i="23"/>
  <c r="C275" i="23"/>
  <c r="AF376" i="20"/>
  <c r="X376" i="20" s="1"/>
  <c r="E379" i="20" s="1"/>
  <c r="D32" i="20" s="1"/>
  <c r="V98" i="7" s="1"/>
  <c r="AR373" i="20"/>
  <c r="CB440" i="20"/>
  <c r="BX442" i="20"/>
  <c r="AT202" i="20"/>
  <c r="AN144" i="20" s="1"/>
  <c r="AU201" i="20"/>
  <c r="AU202" i="20" s="1"/>
  <c r="AO144" i="20" s="1"/>
  <c r="AG147" i="20" s="1"/>
  <c r="DD208" i="20"/>
  <c r="CZ210" i="20"/>
  <c r="CP331" i="20"/>
  <c r="CP440" i="20"/>
  <c r="CL442" i="20"/>
  <c r="Q210" i="20"/>
  <c r="Q211" i="20" s="1"/>
  <c r="BM348" i="20"/>
  <c r="BN347" i="20"/>
  <c r="BN348" i="20" s="1"/>
  <c r="BP355" i="20" s="1"/>
  <c r="CJ144" i="20" s="1"/>
  <c r="DD440" i="20"/>
  <c r="CZ442" i="20"/>
  <c r="B444" i="20"/>
  <c r="AW50" i="20"/>
  <c r="AY50" i="20"/>
  <c r="AX50" i="20"/>
  <c r="E28" i="20"/>
  <c r="BZ432" i="20"/>
  <c r="BZ433" i="20" s="1"/>
  <c r="G355" i="20"/>
  <c r="AD144" i="20" s="1"/>
  <c r="B331" i="20"/>
  <c r="D285" i="17"/>
  <c r="G272" i="16" s="1"/>
  <c r="G274" i="16" s="1"/>
  <c r="E53" i="12"/>
  <c r="G260" i="16"/>
  <c r="H50" i="12"/>
  <c r="H48" i="12" s="1"/>
  <c r="AI585" i="20"/>
  <c r="AI586" i="20" s="1"/>
  <c r="AH586" i="20"/>
  <c r="H80" i="23"/>
  <c r="D80" i="23"/>
  <c r="AN147" i="20"/>
  <c r="B260" i="20"/>
  <c r="AI261" i="20"/>
  <c r="C265" i="20" s="1"/>
  <c r="BM201" i="20"/>
  <c r="BM202" i="20" s="1"/>
  <c r="CW141" i="20" s="1"/>
  <c r="BL202" i="20"/>
  <c r="CV141" i="20" s="1"/>
  <c r="BX440" i="20"/>
  <c r="BX443" i="20"/>
  <c r="AE442" i="20"/>
  <c r="AE443" i="20" s="1"/>
  <c r="CO82" i="20"/>
  <c r="CO100" i="20"/>
  <c r="CO83" i="20" s="1"/>
  <c r="N586" i="20"/>
  <c r="O585" i="20"/>
  <c r="O586" i="20" s="1"/>
  <c r="BW587" i="20"/>
  <c r="BW588" i="20" s="1"/>
  <c r="BM589" i="20"/>
  <c r="BN588" i="20"/>
  <c r="BN589" i="20" s="1"/>
  <c r="BN595" i="20" s="1"/>
  <c r="CL376" i="20" s="1"/>
  <c r="AN149" i="20"/>
  <c r="B304" i="20"/>
  <c r="AI305" i="20"/>
  <c r="C309" i="20" s="1"/>
  <c r="CQ471" i="20"/>
  <c r="BK475" i="20" s="1"/>
  <c r="BJ470" i="20"/>
  <c r="CV378" i="20"/>
  <c r="Y347" i="20"/>
  <c r="Y348" i="20" s="1"/>
  <c r="G357" i="20" s="1"/>
  <c r="AD146" i="20" s="1"/>
  <c r="X348" i="20"/>
  <c r="BL73" i="20"/>
  <c r="BN72" i="20" s="1"/>
  <c r="AQ49" i="20" s="1"/>
  <c r="AC9" i="20" s="1"/>
  <c r="BZ200" i="20"/>
  <c r="BZ201" i="20" s="1"/>
  <c r="BW346" i="20"/>
  <c r="BW347" i="20" s="1"/>
  <c r="CG346" i="20"/>
  <c r="CG347" i="20" s="1"/>
  <c r="H9" i="20"/>
  <c r="Z75" i="7" s="1"/>
  <c r="W75" i="7"/>
  <c r="F9" i="20"/>
  <c r="X75" i="7" s="1"/>
  <c r="CR588" i="20"/>
  <c r="CR589" i="20" s="1"/>
  <c r="BN598" i="20" s="1"/>
  <c r="CL379" i="20" s="1"/>
  <c r="C31" i="27"/>
  <c r="C32" i="27"/>
  <c r="C33" i="27" s="1"/>
  <c r="W98" i="7"/>
  <c r="F32" i="20"/>
  <c r="X98" i="7" s="1"/>
  <c r="H32" i="20"/>
  <c r="Z98" i="7" s="1"/>
  <c r="BJ238" i="20"/>
  <c r="CQ239" i="20"/>
  <c r="CV146" i="20"/>
  <c r="AI347" i="20"/>
  <c r="AI348" i="20" s="1"/>
  <c r="G358" i="20" s="1"/>
  <c r="AD147" i="20" s="1"/>
  <c r="AH348" i="20"/>
  <c r="F355" i="20"/>
  <c r="AC144" i="20" s="1"/>
  <c r="B332" i="20"/>
  <c r="E323" i="20" s="1"/>
  <c r="H355" i="20" s="1"/>
  <c r="AE144" i="20" s="1"/>
  <c r="AD469" i="20"/>
  <c r="N469" i="20"/>
  <c r="AB469" i="20"/>
  <c r="H469" i="20"/>
  <c r="J469" i="20"/>
  <c r="V469" i="20"/>
  <c r="G469" i="20"/>
  <c r="Q469" i="20"/>
  <c r="T469" i="20"/>
  <c r="R469" i="20"/>
  <c r="K469" i="20"/>
  <c r="F469" i="20"/>
  <c r="X469" i="20"/>
  <c r="M469" i="20"/>
  <c r="Y469" i="20"/>
  <c r="I469" i="20"/>
  <c r="AA469" i="20"/>
  <c r="S469" i="20"/>
  <c r="Z469" i="20"/>
  <c r="O469" i="20"/>
  <c r="L469" i="20"/>
  <c r="W469" i="20"/>
  <c r="D469" i="20"/>
  <c r="U469" i="20"/>
  <c r="P469" i="20"/>
  <c r="AC469" i="20"/>
  <c r="E469" i="20"/>
  <c r="C248" i="16"/>
  <c r="E178" i="17"/>
  <c r="CL211" i="20"/>
  <c r="CL208" i="20"/>
  <c r="CL210" i="20"/>
  <c r="CP208" i="20"/>
  <c r="AK72" i="20"/>
  <c r="AJ73" i="20"/>
  <c r="R434" i="20"/>
  <c r="AN374" i="20" s="1"/>
  <c r="S433" i="20"/>
  <c r="S434" i="20" s="1"/>
  <c r="AO374" i="20" s="1"/>
  <c r="AG377" i="20" s="1"/>
  <c r="Y377" i="20" s="1"/>
  <c r="F380" i="20" s="1"/>
  <c r="E33" i="20" s="1"/>
  <c r="BV331" i="20"/>
  <c r="CZ211" i="20"/>
  <c r="CZ208" i="20"/>
  <c r="CB208" i="20"/>
  <c r="BX210" i="20"/>
  <c r="DJ121" i="20"/>
  <c r="DJ104" i="20" s="1"/>
  <c r="CZ81" i="20" s="1"/>
  <c r="DJ103" i="20"/>
  <c r="CX81" i="20" s="1"/>
  <c r="DE41" i="20"/>
  <c r="DB73" i="20"/>
  <c r="CZ440" i="20"/>
  <c r="CZ443" i="20"/>
  <c r="O347" i="20"/>
  <c r="O348" i="20" s="1"/>
  <c r="G356" i="20" s="1"/>
  <c r="AD145" i="20" s="1"/>
  <c r="N348" i="20"/>
  <c r="AU433" i="20"/>
  <c r="AU434" i="20" s="1"/>
  <c r="AO376" i="20" s="1"/>
  <c r="AG379" i="20" s="1"/>
  <c r="Y379" i="20" s="1"/>
  <c r="F382" i="20" s="1"/>
  <c r="E35" i="20" s="1"/>
  <c r="AT434" i="20"/>
  <c r="AN376" i="20" s="1"/>
  <c r="AV121" i="20"/>
  <c r="AW121" i="20" s="1"/>
  <c r="CA73" i="20"/>
  <c r="R202" i="20"/>
  <c r="AN142" i="20" s="1"/>
  <c r="S201" i="20"/>
  <c r="S202" i="20" s="1"/>
  <c r="AO142" i="20" s="1"/>
  <c r="CN432" i="20"/>
  <c r="CN433" i="20" s="1"/>
  <c r="F11" i="20" l="1"/>
  <c r="X77" i="7" s="1"/>
  <c r="CV147" i="20"/>
  <c r="D471" i="20"/>
  <c r="E471" i="20" s="1"/>
  <c r="AP378" i="20" s="1"/>
  <c r="W77" i="7"/>
  <c r="AP141" i="20"/>
  <c r="B515" i="20"/>
  <c r="AB513" i="20" s="1"/>
  <c r="AO380" i="20"/>
  <c r="AR375" i="20" s="1"/>
  <c r="AR143" i="20"/>
  <c r="CN202" i="20"/>
  <c r="CV143" i="20" s="1"/>
  <c r="CL146" i="20" s="1"/>
  <c r="CD146" i="20" s="1"/>
  <c r="G149" i="20" s="1"/>
  <c r="D18" i="20" s="1"/>
  <c r="V84" i="7" s="1"/>
  <c r="DB202" i="20"/>
  <c r="CV144" i="20" s="1"/>
  <c r="DC201" i="20"/>
  <c r="DC202" i="20" s="1"/>
  <c r="CW144" i="20" s="1"/>
  <c r="CM147" i="20" s="1"/>
  <c r="CE147" i="20" s="1"/>
  <c r="H150" i="20" s="1"/>
  <c r="E19" i="20" s="1"/>
  <c r="H19" i="20" s="1"/>
  <c r="Z85" i="7" s="1"/>
  <c r="BY210" i="20"/>
  <c r="BY211" i="20" s="1"/>
  <c r="BY212" i="20" s="1"/>
  <c r="CQ283" i="20"/>
  <c r="BK287" i="20" s="1"/>
  <c r="BJ260" i="20"/>
  <c r="V569" i="20"/>
  <c r="DB434" i="20"/>
  <c r="CV376" i="20" s="1"/>
  <c r="AO379" i="20"/>
  <c r="AV374" i="20" s="1"/>
  <c r="CQ348" i="20"/>
  <c r="BO358" i="20" s="1"/>
  <c r="CI147" i="20" s="1"/>
  <c r="B493" i="20"/>
  <c r="T491" i="20" s="1"/>
  <c r="BJ536" i="20"/>
  <c r="CH588" i="20"/>
  <c r="CH589" i="20" s="1"/>
  <c r="BN597" i="20" s="1"/>
  <c r="CL378" i="20" s="1"/>
  <c r="E215" i="17"/>
  <c r="E217" i="17" s="1"/>
  <c r="E221" i="17" s="1"/>
  <c r="H252" i="16" s="1"/>
  <c r="C52" i="12" s="1"/>
  <c r="L52" i="12" s="1"/>
  <c r="CV381" i="20"/>
  <c r="C277" i="23"/>
  <c r="C278" i="23" s="1"/>
  <c r="H46" i="22" s="1"/>
  <c r="H44" i="22" s="1"/>
  <c r="BJ444" i="20"/>
  <c r="C287" i="20"/>
  <c r="CV148" i="20"/>
  <c r="CM442" i="20"/>
  <c r="CM443" i="20" s="1"/>
  <c r="CM444" i="20" s="1"/>
  <c r="B283" i="20"/>
  <c r="G281" i="20" s="1"/>
  <c r="BJ445" i="20"/>
  <c r="V570" i="20"/>
  <c r="Y561" i="20" s="1"/>
  <c r="F594" i="20" s="1"/>
  <c r="AE378" i="20" s="1"/>
  <c r="BJ304" i="20"/>
  <c r="CQ305" i="20"/>
  <c r="BK309" i="20" s="1"/>
  <c r="CG379" i="20"/>
  <c r="H382" i="20" s="1"/>
  <c r="E42" i="20" s="1"/>
  <c r="W108" i="7" s="1"/>
  <c r="AN383" i="20"/>
  <c r="BJ213" i="20"/>
  <c r="AP373" i="20"/>
  <c r="P445" i="20"/>
  <c r="BJ492" i="20"/>
  <c r="AF331" i="20"/>
  <c r="DA210" i="20"/>
  <c r="DA211" i="20" s="1"/>
  <c r="DA212" i="20" s="1"/>
  <c r="BY442" i="20"/>
  <c r="BY443" i="20" s="1"/>
  <c r="BY444" i="20" s="1"/>
  <c r="CQ493" i="20"/>
  <c r="BK497" i="20" s="1"/>
  <c r="Y147" i="20"/>
  <c r="F150" i="20" s="1"/>
  <c r="E12" i="20" s="1"/>
  <c r="F12" i="20" s="1"/>
  <c r="X78" i="7" s="1"/>
  <c r="AR213" i="20"/>
  <c r="CX73" i="20"/>
  <c r="DK82" i="20"/>
  <c r="CX80" i="20"/>
  <c r="AV376" i="20"/>
  <c r="AR376" i="20"/>
  <c r="AF379" i="20"/>
  <c r="X379" i="20" s="1"/>
  <c r="E382" i="20" s="1"/>
  <c r="D35" i="20" s="1"/>
  <c r="V101" i="7" s="1"/>
  <c r="BM597" i="20"/>
  <c r="CK378" i="20" s="1"/>
  <c r="CE573" i="20"/>
  <c r="CH564" i="20" s="1"/>
  <c r="BO597" i="20" s="1"/>
  <c r="CM378" i="20" s="1"/>
  <c r="AR445" i="20"/>
  <c r="E593" i="20"/>
  <c r="AD377" i="20" s="1"/>
  <c r="L569" i="20"/>
  <c r="CM144" i="20"/>
  <c r="CE144" i="20" s="1"/>
  <c r="H147" i="20" s="1"/>
  <c r="E16" i="20" s="1"/>
  <c r="D82" i="23"/>
  <c r="D88" i="23"/>
  <c r="E177" i="23" s="1"/>
  <c r="BH72" i="20"/>
  <c r="AC13" i="20" s="1"/>
  <c r="BJ80" i="20"/>
  <c r="W535" i="20"/>
  <c r="E535" i="20"/>
  <c r="H535" i="20"/>
  <c r="K535" i="20"/>
  <c r="G535" i="20"/>
  <c r="F535" i="20"/>
  <c r="Q535" i="20"/>
  <c r="U535" i="20"/>
  <c r="L535" i="20"/>
  <c r="V535" i="20"/>
  <c r="T535" i="20"/>
  <c r="O535" i="20"/>
  <c r="Z535" i="20"/>
  <c r="M535" i="20"/>
  <c r="P535" i="20"/>
  <c r="N535" i="20"/>
  <c r="AD535" i="20"/>
  <c r="AC535" i="20"/>
  <c r="X535" i="20"/>
  <c r="AA535" i="20"/>
  <c r="R535" i="20"/>
  <c r="S535" i="20"/>
  <c r="AB535" i="20"/>
  <c r="I535" i="20"/>
  <c r="J535" i="20"/>
  <c r="Y535" i="20"/>
  <c r="D535" i="20"/>
  <c r="AF145" i="20"/>
  <c r="AN151" i="20"/>
  <c r="F35" i="20"/>
  <c r="X101" i="7" s="1"/>
  <c r="H35" i="20"/>
  <c r="Z101" i="7" s="1"/>
  <c r="W101" i="7"/>
  <c r="CX72" i="20"/>
  <c r="AD13" i="20" s="1"/>
  <c r="CZ80" i="20"/>
  <c r="BH73" i="20"/>
  <c r="BU82" i="20"/>
  <c r="BH80" i="20"/>
  <c r="CM210" i="20"/>
  <c r="CM211" i="20" s="1"/>
  <c r="CA201" i="20"/>
  <c r="CA202" i="20" s="1"/>
  <c r="CW142" i="20" s="1"/>
  <c r="CM145" i="20" s="1"/>
  <c r="CE145" i="20" s="1"/>
  <c r="H148" i="20" s="1"/>
  <c r="E17" i="20" s="1"/>
  <c r="BZ202" i="20"/>
  <c r="CV142" i="20" s="1"/>
  <c r="D593" i="20"/>
  <c r="AC377" i="20" s="1"/>
  <c r="L570" i="20"/>
  <c r="O561" i="20" s="1"/>
  <c r="F593" i="20" s="1"/>
  <c r="AE377" i="20" s="1"/>
  <c r="CN379" i="20"/>
  <c r="BK541" i="20"/>
  <c r="BJ537" i="20"/>
  <c r="CW381" i="20"/>
  <c r="BJ212" i="20"/>
  <c r="CO572" i="20"/>
  <c r="AO147" i="20"/>
  <c r="AV142" i="20" s="1"/>
  <c r="B261" i="20"/>
  <c r="H82" i="23"/>
  <c r="H88" i="23"/>
  <c r="BO355" i="20"/>
  <c r="CI144" i="20" s="1"/>
  <c r="BK332" i="20"/>
  <c r="BN323" i="20" s="1"/>
  <c r="BQ355" i="20" s="1"/>
  <c r="CK144" i="20" s="1"/>
  <c r="AR212" i="20"/>
  <c r="AG145" i="20"/>
  <c r="Y145" i="20" s="1"/>
  <c r="F148" i="20" s="1"/>
  <c r="E10" i="20" s="1"/>
  <c r="AE444" i="20"/>
  <c r="AD444" i="20" s="1"/>
  <c r="AD445" i="20"/>
  <c r="CW147" i="20"/>
  <c r="BJ261" i="20"/>
  <c r="CJ41" i="20"/>
  <c r="CG73" i="20"/>
  <c r="CI72" i="20" s="1"/>
  <c r="CH50" i="20" s="1"/>
  <c r="AD10" i="20" s="1"/>
  <c r="E36" i="20"/>
  <c r="W102" i="7" s="1"/>
  <c r="H33" i="20"/>
  <c r="F33" i="20"/>
  <c r="W99" i="7"/>
  <c r="CL147" i="20"/>
  <c r="CD147" i="20" s="1"/>
  <c r="G150" i="20" s="1"/>
  <c r="D19" i="20" s="1"/>
  <c r="V85" i="7" s="1"/>
  <c r="AO149" i="20"/>
  <c r="AR144" i="20" s="1"/>
  <c r="B305" i="20"/>
  <c r="BM595" i="20"/>
  <c r="CK376" i="20" s="1"/>
  <c r="BK573" i="20"/>
  <c r="BN564" i="20" s="1"/>
  <c r="BO595" i="20" s="1"/>
  <c r="CM376" i="20" s="1"/>
  <c r="AF570" i="20"/>
  <c r="AI561" i="20" s="1"/>
  <c r="F595" i="20" s="1"/>
  <c r="D595" i="20"/>
  <c r="AC379" i="20" s="1"/>
  <c r="BZ434" i="20"/>
  <c r="CV374" i="20" s="1"/>
  <c r="CA433" i="20"/>
  <c r="CA434" i="20" s="1"/>
  <c r="CW374" i="20" s="1"/>
  <c r="CO377" i="20" s="1"/>
  <c r="CG377" i="20" s="1"/>
  <c r="H380" i="20" s="1"/>
  <c r="E40" i="20" s="1"/>
  <c r="DA442" i="20"/>
  <c r="DA443" i="20" s="1"/>
  <c r="Q212" i="20"/>
  <c r="P212" i="20" s="1"/>
  <c r="P213" i="20"/>
  <c r="F34" i="20"/>
  <c r="X100" i="7" s="1"/>
  <c r="H34" i="20"/>
  <c r="Z100" i="7" s="1"/>
  <c r="W100" i="7"/>
  <c r="F18" i="20"/>
  <c r="X84" i="7" s="1"/>
  <c r="H18" i="20"/>
  <c r="Z84" i="7" s="1"/>
  <c r="W84" i="7"/>
  <c r="AV141" i="20"/>
  <c r="AR141" i="20"/>
  <c r="BK265" i="20"/>
  <c r="CN376" i="20"/>
  <c r="CF376" i="20" s="1"/>
  <c r="G379" i="20" s="1"/>
  <c r="D39" i="20" s="1"/>
  <c r="V105" i="7" s="1"/>
  <c r="F358" i="20"/>
  <c r="AC147" i="20" s="1"/>
  <c r="AF332" i="20"/>
  <c r="AI323" i="20" s="1"/>
  <c r="H358" i="20" s="1"/>
  <c r="BW348" i="20"/>
  <c r="BX347" i="20"/>
  <c r="BX348" i="20" s="1"/>
  <c r="BP356" i="20" s="1"/>
  <c r="CJ145" i="20" s="1"/>
  <c r="BJ471" i="20"/>
  <c r="CW378" i="20"/>
  <c r="DD373" i="20" s="1"/>
  <c r="H28" i="20"/>
  <c r="Z94" i="7" s="1"/>
  <c r="Z70" i="7" s="1"/>
  <c r="W94" i="7"/>
  <c r="W70" i="7" s="1"/>
  <c r="F28" i="20"/>
  <c r="X94" i="7" s="1"/>
  <c r="X70" i="7" s="1"/>
  <c r="AF378" i="20"/>
  <c r="X378" i="20" s="1"/>
  <c r="E381" i="20" s="1"/>
  <c r="D34" i="20" s="1"/>
  <c r="V100" i="7" s="1"/>
  <c r="CO331" i="20"/>
  <c r="BP358" i="20"/>
  <c r="CJ147" i="20" s="1"/>
  <c r="F356" i="20"/>
  <c r="AC145" i="20" s="1"/>
  <c r="L332" i="20"/>
  <c r="O323" i="20" s="1"/>
  <c r="H356" i="20" s="1"/>
  <c r="AE145" i="20" s="1"/>
  <c r="AS41" i="20"/>
  <c r="CO433" i="20"/>
  <c r="CO434" i="20" s="1"/>
  <c r="CW375" i="20" s="1"/>
  <c r="CO378" i="20" s="1"/>
  <c r="CG378" i="20" s="1"/>
  <c r="H381" i="20" s="1"/>
  <c r="E41" i="20" s="1"/>
  <c r="CN434" i="20"/>
  <c r="CV375" i="20" s="1"/>
  <c r="AX121" i="20"/>
  <c r="AX104" i="20" s="1"/>
  <c r="AN81" i="20" s="1"/>
  <c r="AL72" i="20" s="1"/>
  <c r="AC7" i="20" s="1"/>
  <c r="AX103" i="20"/>
  <c r="AL81" i="20" s="1"/>
  <c r="AF377" i="20"/>
  <c r="X377" i="20" s="1"/>
  <c r="E380" i="20" s="1"/>
  <c r="D33" i="20" s="1"/>
  <c r="AJ72" i="20"/>
  <c r="AS40" i="20" s="1"/>
  <c r="V331" i="20"/>
  <c r="BK243" i="20"/>
  <c r="CW146" i="20"/>
  <c r="CZ141" i="20" s="1"/>
  <c r="BJ239" i="20"/>
  <c r="AR444" i="20"/>
  <c r="BM598" i="20"/>
  <c r="CK379" i="20" s="1"/>
  <c r="CO573" i="20"/>
  <c r="CR564" i="20" s="1"/>
  <c r="BO598" i="20" s="1"/>
  <c r="CH347" i="20"/>
  <c r="CH348" i="20" s="1"/>
  <c r="BP357" i="20" s="1"/>
  <c r="CJ146" i="20" s="1"/>
  <c r="CG348" i="20"/>
  <c r="F357" i="20"/>
  <c r="AC146" i="20" s="1"/>
  <c r="V332" i="20"/>
  <c r="Y323" i="20" s="1"/>
  <c r="H357" i="20" s="1"/>
  <c r="AE146" i="20" s="1"/>
  <c r="BX588" i="20"/>
  <c r="BX589" i="20" s="1"/>
  <c r="BN596" i="20" s="1"/>
  <c r="CL377" i="20" s="1"/>
  <c r="BW589" i="20"/>
  <c r="P444" i="20"/>
  <c r="CL144" i="20"/>
  <c r="CD144" i="20" s="1"/>
  <c r="G147" i="20" s="1"/>
  <c r="D16" i="20" s="1"/>
  <c r="V82" i="7" s="1"/>
  <c r="AV143" i="20"/>
  <c r="BK331" i="20"/>
  <c r="CO121" i="20"/>
  <c r="CO104" i="20" s="1"/>
  <c r="CE81" i="20" s="1"/>
  <c r="CO103" i="20"/>
  <c r="CC81" i="20" s="1"/>
  <c r="E595" i="20"/>
  <c r="AD379" i="20" s="1"/>
  <c r="AF569" i="20"/>
  <c r="L331" i="20"/>
  <c r="AF147" i="20"/>
  <c r="X147" i="20" s="1"/>
  <c r="E150" i="20" s="1"/>
  <c r="D12" i="20" s="1"/>
  <c r="V78" i="7" s="1"/>
  <c r="BK572" i="20"/>
  <c r="BJ514" i="20"/>
  <c r="CQ515" i="20"/>
  <c r="BK519" i="20" s="1"/>
  <c r="CV380" i="20"/>
  <c r="J237" i="20"/>
  <c r="T237" i="20"/>
  <c r="U237" i="20"/>
  <c r="X237" i="20"/>
  <c r="K237" i="20"/>
  <c r="AC237" i="20"/>
  <c r="I237" i="20"/>
  <c r="Y237" i="20"/>
  <c r="P237" i="20"/>
  <c r="Q237" i="20"/>
  <c r="O237" i="20"/>
  <c r="R237" i="20"/>
  <c r="AA237" i="20"/>
  <c r="F237" i="20"/>
  <c r="S237" i="20"/>
  <c r="L237" i="20"/>
  <c r="AB237" i="20"/>
  <c r="D237" i="20"/>
  <c r="N237" i="20"/>
  <c r="M237" i="20"/>
  <c r="Z237" i="20"/>
  <c r="AD237" i="20"/>
  <c r="E237" i="20"/>
  <c r="H237" i="20"/>
  <c r="W237" i="20"/>
  <c r="V237" i="20"/>
  <c r="G237" i="20"/>
  <c r="AE212" i="20"/>
  <c r="AD212" i="20" s="1"/>
  <c r="AD213" i="20"/>
  <c r="CO376" i="20"/>
  <c r="CG376" i="20" s="1"/>
  <c r="H379" i="20" s="1"/>
  <c r="E39" i="20" s="1"/>
  <c r="D239" i="20" l="1"/>
  <c r="E239" i="20" s="1"/>
  <c r="AP146" i="20" s="1"/>
  <c r="T513" i="20"/>
  <c r="S513" i="20"/>
  <c r="U513" i="20"/>
  <c r="P513" i="20"/>
  <c r="L513" i="20"/>
  <c r="N513" i="20"/>
  <c r="H513" i="20"/>
  <c r="V513" i="20"/>
  <c r="K513" i="20"/>
  <c r="Q513" i="20"/>
  <c r="G267" i="24"/>
  <c r="E10" i="25" s="1"/>
  <c r="E11" i="25" s="1"/>
  <c r="E52" i="25" s="1"/>
  <c r="E55" i="25" s="1"/>
  <c r="O46" i="22" s="1"/>
  <c r="F19" i="20"/>
  <c r="X85" i="7" s="1"/>
  <c r="AV375" i="20"/>
  <c r="AV372" i="20" s="1"/>
  <c r="W85" i="7"/>
  <c r="CZ212" i="20"/>
  <c r="F513" i="20"/>
  <c r="AD513" i="20"/>
  <c r="X513" i="20"/>
  <c r="R513" i="20"/>
  <c r="D491" i="20"/>
  <c r="AT378" i="20"/>
  <c r="AH376" i="20" s="1"/>
  <c r="AI376" i="20" s="1"/>
  <c r="AB6" i="20" s="1"/>
  <c r="M491" i="20"/>
  <c r="O513" i="20"/>
  <c r="G513" i="20"/>
  <c r="AA513" i="20"/>
  <c r="W513" i="20"/>
  <c r="I513" i="20"/>
  <c r="Y513" i="20"/>
  <c r="AC513" i="20"/>
  <c r="D513" i="20"/>
  <c r="J513" i="20"/>
  <c r="Z513" i="20"/>
  <c r="E513" i="20"/>
  <c r="M513" i="20"/>
  <c r="D292" i="23"/>
  <c r="G279" i="24" s="1"/>
  <c r="G281" i="24" s="1"/>
  <c r="H47" i="22"/>
  <c r="D537" i="20"/>
  <c r="E537" i="20" s="1"/>
  <c r="AP381" i="20" s="1"/>
  <c r="AO383" i="20"/>
  <c r="AB281" i="20"/>
  <c r="E491" i="20"/>
  <c r="U491" i="20"/>
  <c r="AD491" i="20"/>
  <c r="J491" i="20"/>
  <c r="Z491" i="20"/>
  <c r="S281" i="20"/>
  <c r="AC281" i="20"/>
  <c r="AR374" i="20"/>
  <c r="AR372" i="20" s="1"/>
  <c r="CW148" i="20"/>
  <c r="DD143" i="20" s="1"/>
  <c r="F281" i="20"/>
  <c r="BJ283" i="20"/>
  <c r="BY281" i="20" s="1"/>
  <c r="N491" i="20"/>
  <c r="F491" i="20"/>
  <c r="L491" i="20"/>
  <c r="S491" i="20"/>
  <c r="Y491" i="20"/>
  <c r="AC491" i="20"/>
  <c r="H42" i="20"/>
  <c r="Z108" i="7" s="1"/>
  <c r="H491" i="20"/>
  <c r="Q491" i="20"/>
  <c r="AA491" i="20"/>
  <c r="G491" i="20"/>
  <c r="V491" i="20"/>
  <c r="I491" i="20"/>
  <c r="R491" i="20"/>
  <c r="W491" i="20"/>
  <c r="K491" i="20"/>
  <c r="O491" i="20"/>
  <c r="AB491" i="20"/>
  <c r="P491" i="20"/>
  <c r="X491" i="20"/>
  <c r="CV151" i="20"/>
  <c r="DD376" i="20"/>
  <c r="CO332" i="20"/>
  <c r="CR323" i="20" s="1"/>
  <c r="BQ358" i="20" s="1"/>
  <c r="BJ305" i="20"/>
  <c r="CE303" i="20" s="1"/>
  <c r="U281" i="20"/>
  <c r="X281" i="20"/>
  <c r="H281" i="20"/>
  <c r="H248" i="16"/>
  <c r="C48" i="12" s="1"/>
  <c r="L48" i="12" s="1"/>
  <c r="CE572" i="20"/>
  <c r="E281" i="20"/>
  <c r="AD281" i="20"/>
  <c r="N281" i="20"/>
  <c r="Q281" i="20"/>
  <c r="CW149" i="20"/>
  <c r="DD144" i="20" s="1"/>
  <c r="L281" i="20"/>
  <c r="P281" i="20"/>
  <c r="T281" i="20"/>
  <c r="CX141" i="20"/>
  <c r="H12" i="20"/>
  <c r="Z78" i="7" s="1"/>
  <c r="CX373" i="20"/>
  <c r="AP374" i="20"/>
  <c r="W78" i="7"/>
  <c r="CZ213" i="20"/>
  <c r="AT146" i="20"/>
  <c r="AH144" i="20" s="1"/>
  <c r="AI144" i="20" s="1"/>
  <c r="AA6" i="20" s="1"/>
  <c r="I281" i="20"/>
  <c r="M281" i="20"/>
  <c r="V281" i="20"/>
  <c r="Z281" i="20"/>
  <c r="D281" i="20"/>
  <c r="O281" i="20"/>
  <c r="R281" i="20"/>
  <c r="CF379" i="20"/>
  <c r="G382" i="20" s="1"/>
  <c r="D42" i="20" s="1"/>
  <c r="V108" i="7" s="1"/>
  <c r="Y281" i="20"/>
  <c r="W281" i="20"/>
  <c r="J281" i="20"/>
  <c r="AA281" i="20"/>
  <c r="K281" i="20"/>
  <c r="BJ493" i="20"/>
  <c r="BT491" i="20" s="1"/>
  <c r="BX212" i="20"/>
  <c r="F42" i="20"/>
  <c r="X108" i="7" s="1"/>
  <c r="CL444" i="20"/>
  <c r="AP73" i="20"/>
  <c r="AR72" i="20" s="1"/>
  <c r="AQ50" i="20" s="1"/>
  <c r="AT46" i="20" s="1"/>
  <c r="CZ373" i="20"/>
  <c r="AP144" i="20"/>
  <c r="AP376" i="20"/>
  <c r="CE331" i="20"/>
  <c r="CL445" i="20"/>
  <c r="X145" i="20"/>
  <c r="E148" i="20" s="1"/>
  <c r="D10" i="20" s="1"/>
  <c r="V76" i="7" s="1"/>
  <c r="CW379" i="20"/>
  <c r="DD374" i="20" s="1"/>
  <c r="AR142" i="20"/>
  <c r="AR140" i="20" s="1"/>
  <c r="BX445" i="20"/>
  <c r="CC72" i="20"/>
  <c r="AD7" i="20" s="1"/>
  <c r="CE80" i="20"/>
  <c r="BM596" i="20"/>
  <c r="CK377" i="20" s="1"/>
  <c r="BU573" i="20"/>
  <c r="BX564" i="20" s="1"/>
  <c r="BO596" i="20" s="1"/>
  <c r="CM377" i="20" s="1"/>
  <c r="CC469" i="20"/>
  <c r="CH469" i="20"/>
  <c r="BY469" i="20"/>
  <c r="BO469" i="20"/>
  <c r="BN469" i="20"/>
  <c r="CB469" i="20"/>
  <c r="BL469" i="20"/>
  <c r="BQ469" i="20"/>
  <c r="BR469" i="20"/>
  <c r="BU469" i="20"/>
  <c r="BS469" i="20"/>
  <c r="CF469" i="20"/>
  <c r="BW469" i="20"/>
  <c r="CI469" i="20"/>
  <c r="CA469" i="20"/>
  <c r="BZ469" i="20"/>
  <c r="CK469" i="20"/>
  <c r="CE469" i="20"/>
  <c r="BM469" i="20"/>
  <c r="BV469" i="20"/>
  <c r="CL469" i="20"/>
  <c r="BP469" i="20"/>
  <c r="CG469" i="20"/>
  <c r="CD469" i="20"/>
  <c r="BX469" i="20"/>
  <c r="BT469" i="20"/>
  <c r="CJ469" i="20"/>
  <c r="J259" i="20"/>
  <c r="L259" i="20"/>
  <c r="H259" i="20"/>
  <c r="AA259" i="20"/>
  <c r="V259" i="20"/>
  <c r="N259" i="20"/>
  <c r="M259" i="20"/>
  <c r="S259" i="20"/>
  <c r="W259" i="20"/>
  <c r="D259" i="20"/>
  <c r="E259" i="20"/>
  <c r="O259" i="20"/>
  <c r="K259" i="20"/>
  <c r="Z259" i="20"/>
  <c r="G259" i="20"/>
  <c r="Y259" i="20"/>
  <c r="Q259" i="20"/>
  <c r="AD259" i="20"/>
  <c r="I259" i="20"/>
  <c r="X259" i="20"/>
  <c r="T259" i="20"/>
  <c r="U259" i="20"/>
  <c r="R259" i="20"/>
  <c r="AC259" i="20"/>
  <c r="P259" i="20"/>
  <c r="AB259" i="20"/>
  <c r="F259" i="20"/>
  <c r="CL213" i="20"/>
  <c r="CM212" i="20"/>
  <c r="CL212" i="20" s="1"/>
  <c r="F16" i="20"/>
  <c r="X82" i="7" s="1"/>
  <c r="W82" i="7"/>
  <c r="H16" i="20"/>
  <c r="Z82" i="7" s="1"/>
  <c r="CZ73" i="20"/>
  <c r="AD15" i="20"/>
  <c r="F39" i="20"/>
  <c r="X105" i="7" s="1"/>
  <c r="H39" i="20"/>
  <c r="Z105" i="7" s="1"/>
  <c r="W105" i="7"/>
  <c r="CC80" i="20"/>
  <c r="CP82" i="20"/>
  <c r="CC73" i="20"/>
  <c r="AD8" i="20" s="1"/>
  <c r="BZ237" i="20"/>
  <c r="BT237" i="20"/>
  <c r="BO237" i="20"/>
  <c r="BM237" i="20"/>
  <c r="CE237" i="20"/>
  <c r="CC237" i="20"/>
  <c r="BQ237" i="20"/>
  <c r="BY237" i="20"/>
  <c r="BN237" i="20"/>
  <c r="BX237" i="20"/>
  <c r="CI237" i="20"/>
  <c r="CF237" i="20"/>
  <c r="CA237" i="20"/>
  <c r="CJ237" i="20"/>
  <c r="CG237" i="20"/>
  <c r="BU237" i="20"/>
  <c r="CL237" i="20"/>
  <c r="CH237" i="20"/>
  <c r="CD237" i="20"/>
  <c r="CK237" i="20"/>
  <c r="CB237" i="20"/>
  <c r="BP237" i="20"/>
  <c r="BR237" i="20"/>
  <c r="BL237" i="20"/>
  <c r="BW237" i="20"/>
  <c r="BV237" i="20"/>
  <c r="BS237" i="20"/>
  <c r="CN378" i="20"/>
  <c r="CF378" i="20" s="1"/>
  <c r="G381" i="20" s="1"/>
  <c r="D41" i="20" s="1"/>
  <c r="V107" i="7" s="1"/>
  <c r="CV383" i="20"/>
  <c r="CZ445" i="20"/>
  <c r="DA444" i="20"/>
  <c r="CZ444" i="20" s="1"/>
  <c r="AE379" i="20"/>
  <c r="AD380" i="20" s="1"/>
  <c r="E590" i="20"/>
  <c r="X99" i="7"/>
  <c r="F36" i="20"/>
  <c r="X102" i="7" s="1"/>
  <c r="AP375" i="20"/>
  <c r="BW535" i="20"/>
  <c r="BO535" i="20"/>
  <c r="BS535" i="20"/>
  <c r="BZ535" i="20"/>
  <c r="CI535" i="20"/>
  <c r="BQ535" i="20"/>
  <c r="BL535" i="20"/>
  <c r="BN535" i="20"/>
  <c r="CF535" i="20"/>
  <c r="BV535" i="20"/>
  <c r="BY535" i="20"/>
  <c r="BU535" i="20"/>
  <c r="BP535" i="20"/>
  <c r="CC535" i="20"/>
  <c r="CJ535" i="20"/>
  <c r="CG535" i="20"/>
  <c r="CB535" i="20"/>
  <c r="BX535" i="20"/>
  <c r="CH535" i="20"/>
  <c r="BT535" i="20"/>
  <c r="CL535" i="20"/>
  <c r="CA535" i="20"/>
  <c r="BR535" i="20"/>
  <c r="BM535" i="20"/>
  <c r="CE535" i="20"/>
  <c r="CK535" i="20"/>
  <c r="CD535" i="20"/>
  <c r="H17" i="20"/>
  <c r="E20" i="20"/>
  <c r="W86" i="7" s="1"/>
  <c r="W66" i="7" s="1"/>
  <c r="F17" i="20"/>
  <c r="W83" i="7"/>
  <c r="BU331" i="20"/>
  <c r="CZ72" i="20"/>
  <c r="BJ72" i="20"/>
  <c r="G177" i="23"/>
  <c r="G180" i="23" s="1"/>
  <c r="E180" i="23"/>
  <c r="C255" i="24"/>
  <c r="BO357" i="20"/>
  <c r="CI146" i="20" s="1"/>
  <c r="CE332" i="20"/>
  <c r="CH323" i="20" s="1"/>
  <c r="BQ357" i="20" s="1"/>
  <c r="CK146" i="20" s="1"/>
  <c r="CZ142" i="20"/>
  <c r="DD142" i="20"/>
  <c r="CL145" i="20"/>
  <c r="CD145" i="20" s="1"/>
  <c r="G148" i="20" s="1"/>
  <c r="D17" i="20" s="1"/>
  <c r="AC16" i="20"/>
  <c r="AC14" i="20"/>
  <c r="CM379" i="20"/>
  <c r="CL380" i="20" s="1"/>
  <c r="BN593" i="20"/>
  <c r="AN80" i="20"/>
  <c r="AN72" i="20" s="1"/>
  <c r="V99" i="7"/>
  <c r="D36" i="20"/>
  <c r="V102" i="7" s="1"/>
  <c r="F41" i="20"/>
  <c r="X107" i="7" s="1"/>
  <c r="H41" i="20"/>
  <c r="Z107" i="7" s="1"/>
  <c r="W107" i="7"/>
  <c r="BX213" i="20"/>
  <c r="BO356" i="20"/>
  <c r="CI145" i="20" s="1"/>
  <c r="BU332" i="20"/>
  <c r="BX323" i="20" s="1"/>
  <c r="BQ356" i="20" s="1"/>
  <c r="CK145" i="20" s="1"/>
  <c r="E43" i="20"/>
  <c r="W109" i="7" s="1"/>
  <c r="H40" i="20"/>
  <c r="W106" i="7"/>
  <c r="F40" i="20"/>
  <c r="H36" i="20"/>
  <c r="Z102" i="7" s="1"/>
  <c r="Z99" i="7"/>
  <c r="CH259" i="20"/>
  <c r="CJ259" i="20"/>
  <c r="CL259" i="20"/>
  <c r="BP259" i="20"/>
  <c r="BZ259" i="20"/>
  <c r="CG259" i="20"/>
  <c r="CE259" i="20"/>
  <c r="CA259" i="20"/>
  <c r="BN259" i="20"/>
  <c r="BQ259" i="20"/>
  <c r="BM259" i="20"/>
  <c r="BW259" i="20"/>
  <c r="CK259" i="20"/>
  <c r="BO259" i="20"/>
  <c r="BY259" i="20"/>
  <c r="BV259" i="20"/>
  <c r="CC259" i="20"/>
  <c r="CD259" i="20"/>
  <c r="CB259" i="20"/>
  <c r="BX259" i="20"/>
  <c r="BR259" i="20"/>
  <c r="CF259" i="20"/>
  <c r="BT259" i="20"/>
  <c r="CI259" i="20"/>
  <c r="BS259" i="20"/>
  <c r="BU259" i="20"/>
  <c r="BL259" i="20"/>
  <c r="AO151" i="20"/>
  <c r="H90" i="23"/>
  <c r="I177" i="23"/>
  <c r="AC15" i="20"/>
  <c r="BJ73" i="20"/>
  <c r="AD14" i="20"/>
  <c r="AD16" i="20"/>
  <c r="CG281" i="20"/>
  <c r="CA281" i="20"/>
  <c r="BL281" i="20"/>
  <c r="CZ376" i="20"/>
  <c r="AV144" i="20"/>
  <c r="AV140" i="20" s="1"/>
  <c r="AP143" i="20"/>
  <c r="BJ515" i="20"/>
  <c r="CW380" i="20"/>
  <c r="CZ375" i="20" s="1"/>
  <c r="DD141" i="20"/>
  <c r="AY82" i="20"/>
  <c r="AL73" i="20"/>
  <c r="AL80" i="20"/>
  <c r="G353" i="20"/>
  <c r="AD148" i="20" s="1"/>
  <c r="AE147" i="20"/>
  <c r="BU572" i="20"/>
  <c r="AP142" i="20"/>
  <c r="CN377" i="20"/>
  <c r="CF377" i="20" s="1"/>
  <c r="G380" i="20" s="1"/>
  <c r="D40" i="20" s="1"/>
  <c r="D303" i="20"/>
  <c r="V303" i="20"/>
  <c r="T303" i="20"/>
  <c r="AA303" i="20"/>
  <c r="AC303" i="20"/>
  <c r="I303" i="20"/>
  <c r="S303" i="20"/>
  <c r="R303" i="20"/>
  <c r="L303" i="20"/>
  <c r="Z303" i="20"/>
  <c r="P303" i="20"/>
  <c r="Q303" i="20"/>
  <c r="E303" i="20"/>
  <c r="F303" i="20"/>
  <c r="X303" i="20"/>
  <c r="N303" i="20"/>
  <c r="U303" i="20"/>
  <c r="H303" i="20"/>
  <c r="O303" i="20"/>
  <c r="M303" i="20"/>
  <c r="AD303" i="20"/>
  <c r="G303" i="20"/>
  <c r="J303" i="20"/>
  <c r="K303" i="20"/>
  <c r="W303" i="20"/>
  <c r="Y303" i="20"/>
  <c r="AB303" i="20"/>
  <c r="F10" i="20"/>
  <c r="H10" i="20"/>
  <c r="E13" i="20"/>
  <c r="W79" i="7" s="1"/>
  <c r="W65" i="7" s="1"/>
  <c r="W63" i="7" s="1"/>
  <c r="W76" i="7"/>
  <c r="BX444" i="20"/>
  <c r="BO281" i="20" l="1"/>
  <c r="AT381" i="20"/>
  <c r="AH379" i="20" s="1"/>
  <c r="AI379" i="20" s="1"/>
  <c r="AB9" i="20" s="1"/>
  <c r="CX144" i="20"/>
  <c r="CB281" i="20"/>
  <c r="BY303" i="20"/>
  <c r="BP281" i="20"/>
  <c r="BZ281" i="20"/>
  <c r="CA303" i="20"/>
  <c r="CD281" i="20"/>
  <c r="CE281" i="20"/>
  <c r="BR281" i="20"/>
  <c r="CI281" i="20"/>
  <c r="BX281" i="20"/>
  <c r="BS281" i="20"/>
  <c r="BU281" i="20"/>
  <c r="BN303" i="20"/>
  <c r="CB303" i="20"/>
  <c r="BW281" i="20"/>
  <c r="CJ281" i="20"/>
  <c r="CC281" i="20"/>
  <c r="BQ281" i="20"/>
  <c r="CH281" i="20"/>
  <c r="BV281" i="20"/>
  <c r="BS303" i="20"/>
  <c r="BP303" i="20"/>
  <c r="CL281" i="20"/>
  <c r="BN281" i="20"/>
  <c r="CK281" i="20"/>
  <c r="BM281" i="20"/>
  <c r="CF281" i="20"/>
  <c r="BT281" i="20"/>
  <c r="D515" i="20"/>
  <c r="E515" i="20" s="1"/>
  <c r="AP380" i="20" s="1"/>
  <c r="AT380" i="20" s="1"/>
  <c r="AH378" i="20" s="1"/>
  <c r="AI378" i="20" s="1"/>
  <c r="AB8" i="20" s="1"/>
  <c r="BL471" i="20"/>
  <c r="BM471" i="20" s="1"/>
  <c r="CX378" i="20" s="1"/>
  <c r="DB378" i="20" s="1"/>
  <c r="CP376" i="20" s="1"/>
  <c r="CQ376" i="20" s="1"/>
  <c r="AB10" i="20" s="1"/>
  <c r="BL239" i="20"/>
  <c r="BM239" i="20" s="1"/>
  <c r="CX146" i="20" s="1"/>
  <c r="DB146" i="20" s="1"/>
  <c r="CN144" i="20" s="1"/>
  <c r="CO144" i="20" s="1"/>
  <c r="AA10" i="20" s="1"/>
  <c r="D305" i="20"/>
  <c r="E305" i="20" s="1"/>
  <c r="AP149" i="20" s="1"/>
  <c r="AT149" i="20" s="1"/>
  <c r="AH147" i="20" s="1"/>
  <c r="AI147" i="20" s="1"/>
  <c r="AA9" i="20" s="1"/>
  <c r="D283" i="20"/>
  <c r="E283" i="20" s="1"/>
  <c r="AP148" i="20" s="1"/>
  <c r="AT148" i="20" s="1"/>
  <c r="AH146" i="20" s="1"/>
  <c r="AI146" i="20" s="1"/>
  <c r="AA8" i="20" s="1"/>
  <c r="BL283" i="20"/>
  <c r="BM283" i="20" s="1"/>
  <c r="CX148" i="20" s="1"/>
  <c r="BL261" i="20"/>
  <c r="BM261" i="20" s="1"/>
  <c r="CX147" i="20" s="1"/>
  <c r="BL537" i="20"/>
  <c r="BM537" i="20" s="1"/>
  <c r="CX381" i="20" s="1"/>
  <c r="D261" i="20"/>
  <c r="E261" i="20" s="1"/>
  <c r="AP147" i="20" s="1"/>
  <c r="AT147" i="20" s="1"/>
  <c r="BN491" i="20"/>
  <c r="D493" i="20"/>
  <c r="E493" i="20" s="1"/>
  <c r="AP379" i="20" s="1"/>
  <c r="CI491" i="20"/>
  <c r="BL72" i="20"/>
  <c r="CC303" i="20"/>
  <c r="BQ303" i="20"/>
  <c r="CD303" i="20"/>
  <c r="CG303" i="20"/>
  <c r="BL303" i="20"/>
  <c r="CI303" i="20"/>
  <c r="BZ303" i="20"/>
  <c r="CZ143" i="20"/>
  <c r="CJ303" i="20"/>
  <c r="BM303" i="20"/>
  <c r="BX303" i="20"/>
  <c r="CL303" i="20"/>
  <c r="CK303" i="20"/>
  <c r="CH303" i="20"/>
  <c r="CF303" i="20"/>
  <c r="BT303" i="20"/>
  <c r="BV303" i="20"/>
  <c r="BR303" i="20"/>
  <c r="BO303" i="20"/>
  <c r="BU303" i="20"/>
  <c r="BW303" i="20"/>
  <c r="CW151" i="20"/>
  <c r="CK491" i="20"/>
  <c r="BX491" i="20"/>
  <c r="CC491" i="20"/>
  <c r="BP491" i="20"/>
  <c r="CK147" i="20"/>
  <c r="BP353" i="20"/>
  <c r="CJ148" i="20" s="1"/>
  <c r="BU491" i="20"/>
  <c r="BZ491" i="20"/>
  <c r="BR491" i="20"/>
  <c r="CX375" i="20"/>
  <c r="CL491" i="20"/>
  <c r="CF491" i="20"/>
  <c r="BM491" i="20"/>
  <c r="CG491" i="20"/>
  <c r="CZ144" i="20"/>
  <c r="CX374" i="20"/>
  <c r="CX142" i="20"/>
  <c r="CJ491" i="20"/>
  <c r="BL491" i="20"/>
  <c r="BW491" i="20"/>
  <c r="CH491" i="20"/>
  <c r="CB491" i="20"/>
  <c r="BO491" i="20"/>
  <c r="BV491" i="20"/>
  <c r="AC10" i="20"/>
  <c r="D13" i="20"/>
  <c r="V79" i="7" s="1"/>
  <c r="V65" i="7" s="1"/>
  <c r="V63" i="7" s="1"/>
  <c r="M72" i="7" s="1"/>
  <c r="CA491" i="20"/>
  <c r="CE491" i="20"/>
  <c r="BQ491" i="20"/>
  <c r="BY491" i="20"/>
  <c r="BS491" i="20"/>
  <c r="CD491" i="20"/>
  <c r="CZ374" i="20"/>
  <c r="CZ372" i="20" s="1"/>
  <c r="CX143" i="20"/>
  <c r="AD11" i="20"/>
  <c r="CE73" i="20"/>
  <c r="CE72" i="20"/>
  <c r="AD12" i="20"/>
  <c r="BV513" i="20"/>
  <c r="CL513" i="20"/>
  <c r="BP513" i="20"/>
  <c r="BY513" i="20"/>
  <c r="CG513" i="20"/>
  <c r="BR513" i="20"/>
  <c r="CA513" i="20"/>
  <c r="BN513" i="20"/>
  <c r="CB513" i="20"/>
  <c r="BU513" i="20"/>
  <c r="CK513" i="20"/>
  <c r="BS513" i="20"/>
  <c r="BW513" i="20"/>
  <c r="CJ513" i="20"/>
  <c r="CF513" i="20"/>
  <c r="BZ513" i="20"/>
  <c r="CC513" i="20"/>
  <c r="BT513" i="20"/>
  <c r="CD513" i="20"/>
  <c r="CH513" i="20"/>
  <c r="BO513" i="20"/>
  <c r="BQ513" i="20"/>
  <c r="CE513" i="20"/>
  <c r="BM513" i="20"/>
  <c r="BX513" i="20"/>
  <c r="CI513" i="20"/>
  <c r="BL513" i="20"/>
  <c r="Z83" i="7"/>
  <c r="H20" i="20"/>
  <c r="Z86" i="7" s="1"/>
  <c r="Z66" i="7" s="1"/>
  <c r="AP140" i="20"/>
  <c r="AP372" i="20"/>
  <c r="Z106" i="7"/>
  <c r="H43" i="20"/>
  <c r="Z109" i="7" s="1"/>
  <c r="N72" i="7"/>
  <c r="AA67" i="7"/>
  <c r="K80" i="7" s="1"/>
  <c r="G140" i="11" s="1"/>
  <c r="T59" i="7" s="1"/>
  <c r="AC11" i="20"/>
  <c r="AN73" i="20"/>
  <c r="AP72" i="20" s="1"/>
  <c r="J177" i="23"/>
  <c r="J180" i="23" s="1"/>
  <c r="I180" i="23"/>
  <c r="D20" i="20"/>
  <c r="V86" i="7" s="1"/>
  <c r="V66" i="7" s="1"/>
  <c r="V83" i="7"/>
  <c r="X83" i="7"/>
  <c r="F20" i="20"/>
  <c r="X86" i="7" s="1"/>
  <c r="X66" i="7" s="1"/>
  <c r="X76" i="7"/>
  <c r="F13" i="20"/>
  <c r="X79" i="7" s="1"/>
  <c r="X65" i="7" s="1"/>
  <c r="X63" i="7" s="1"/>
  <c r="V106" i="7"/>
  <c r="D43" i="20"/>
  <c r="V109" i="7" s="1"/>
  <c r="I26" i="20"/>
  <c r="AC6" i="20"/>
  <c r="Z76" i="7"/>
  <c r="H13" i="20"/>
  <c r="Z79" i="7" s="1"/>
  <c r="Z65" i="7" s="1"/>
  <c r="Z63" i="7" s="1"/>
  <c r="AC8" i="20"/>
  <c r="AC12" i="20"/>
  <c r="DD375" i="20"/>
  <c r="DD372" i="20" s="1"/>
  <c r="CW383" i="20"/>
  <c r="C257" i="24"/>
  <c r="E186" i="23"/>
  <c r="E189" i="23" s="1"/>
  <c r="G189" i="23" s="1"/>
  <c r="G217" i="23" s="1"/>
  <c r="X106" i="7"/>
  <c r="F43" i="20"/>
  <c r="X109" i="7" s="1"/>
  <c r="DD140" i="20"/>
  <c r="CX376" i="20"/>
  <c r="DB72" i="20"/>
  <c r="DD72" i="20" s="1"/>
  <c r="CH49" i="20" s="1"/>
  <c r="DB147" i="20" l="1"/>
  <c r="CN145" i="20" s="1"/>
  <c r="CO145" i="20" s="1"/>
  <c r="AA11" i="20" s="1"/>
  <c r="BL493" i="20"/>
  <c r="BM493" i="20" s="1"/>
  <c r="CX379" i="20" s="1"/>
  <c r="DB379" i="20" s="1"/>
  <c r="CP377" i="20" s="1"/>
  <c r="CQ377" i="20" s="1"/>
  <c r="AB11" i="20" s="1"/>
  <c r="AP145" i="20"/>
  <c r="DB381" i="20"/>
  <c r="CP379" i="20" s="1"/>
  <c r="CQ379" i="20" s="1"/>
  <c r="AB13" i="20" s="1"/>
  <c r="BL515" i="20"/>
  <c r="BM515" i="20" s="1"/>
  <c r="CX380" i="20" s="1"/>
  <c r="DB380" i="20" s="1"/>
  <c r="CP378" i="20" s="1"/>
  <c r="CQ378" i="20" s="1"/>
  <c r="AB12" i="20" s="1"/>
  <c r="DB148" i="20"/>
  <c r="CN146" i="20" s="1"/>
  <c r="CO146" i="20" s="1"/>
  <c r="AA12" i="20" s="1"/>
  <c r="AT379" i="20"/>
  <c r="AP377" i="20"/>
  <c r="AP383" i="20" s="1"/>
  <c r="BL305" i="20"/>
  <c r="BM305" i="20" s="1"/>
  <c r="CX149" i="20" s="1"/>
  <c r="CZ140" i="20"/>
  <c r="AA66" i="7"/>
  <c r="CX140" i="20"/>
  <c r="H255" i="24"/>
  <c r="C44" i="22"/>
  <c r="F118" i="26" s="1"/>
  <c r="G218" i="23"/>
  <c r="I303" i="23" s="1"/>
  <c r="D307" i="23" s="1"/>
  <c r="E219" i="23"/>
  <c r="E223" i="23" s="1"/>
  <c r="H259" i="24" s="1"/>
  <c r="C48" i="22" s="1"/>
  <c r="CG72" i="20"/>
  <c r="AD9" i="20"/>
  <c r="CK46" i="20"/>
  <c r="AC17" i="20"/>
  <c r="AB20" i="20" s="1"/>
  <c r="O72" i="7"/>
  <c r="AA68" i="7"/>
  <c r="AP151" i="20"/>
  <c r="E217" i="23"/>
  <c r="AH145" i="20"/>
  <c r="AI145" i="20" s="1"/>
  <c r="AA7" i="20" s="1"/>
  <c r="AT145" i="20"/>
  <c r="AQ151" i="20" s="1"/>
  <c r="P72" i="7"/>
  <c r="AA70" i="7"/>
  <c r="CX372" i="20"/>
  <c r="CX377" i="20" l="1"/>
  <c r="CX383" i="20" s="1"/>
  <c r="AH377" i="20"/>
  <c r="AI377" i="20" s="1"/>
  <c r="AB7" i="20" s="1"/>
  <c r="AT377" i="20"/>
  <c r="AQ383" i="20" s="1"/>
  <c r="AM383" i="20" s="1"/>
  <c r="AG380" i="20" s="1"/>
  <c r="Y380" i="20" s="1"/>
  <c r="F383" i="20" s="1"/>
  <c r="DB149" i="20"/>
  <c r="CX145" i="20"/>
  <c r="CX151" i="20" s="1"/>
  <c r="C344" i="26"/>
  <c r="D346" i="26" s="1"/>
  <c r="E123" i="26"/>
  <c r="E124" i="26"/>
  <c r="H256" i="24"/>
  <c r="C45" i="22"/>
  <c r="E218" i="23"/>
  <c r="I304" i="23" s="1"/>
  <c r="D308" i="23" s="1"/>
  <c r="DB377" i="20"/>
  <c r="CY383" i="20" s="1"/>
  <c r="AM151" i="20"/>
  <c r="AG148" i="20" s="1"/>
  <c r="Y148" i="20" s="1"/>
  <c r="F151" i="20" s="1"/>
  <c r="AD6" i="20"/>
  <c r="AD17" i="20" s="1"/>
  <c r="AB21" i="20" s="1"/>
  <c r="I22" i="20"/>
  <c r="AA92" i="7" s="1"/>
  <c r="W113" i="7" s="1"/>
  <c r="CU383" i="20" l="1"/>
  <c r="CO380" i="20" s="1"/>
  <c r="CG380" i="20" s="1"/>
  <c r="H383" i="20" s="1"/>
  <c r="I38" i="20" s="1"/>
  <c r="AA104" i="7" s="1"/>
  <c r="I31" i="20"/>
  <c r="AA97" i="7" s="1"/>
  <c r="AB14" i="20"/>
  <c r="DB145" i="20"/>
  <c r="CY151" i="20" s="1"/>
  <c r="CU151" i="20" s="1"/>
  <c r="CM148" i="20" s="1"/>
  <c r="CE148" i="20" s="1"/>
  <c r="H151" i="20" s="1"/>
  <c r="CN147" i="20"/>
  <c r="CO147" i="20" s="1"/>
  <c r="AA13" i="20" s="1"/>
  <c r="O48" i="22"/>
  <c r="G308" i="23"/>
  <c r="P48" i="22" s="1"/>
  <c r="F308" i="23"/>
  <c r="F307" i="23"/>
  <c r="G307" i="23" s="1"/>
  <c r="I8" i="20"/>
  <c r="AA74" i="7" s="1"/>
  <c r="AA14" i="20"/>
  <c r="I124" i="26"/>
  <c r="I140" i="26" s="1"/>
  <c r="I123" i="26"/>
  <c r="E127" i="26"/>
  <c r="E128" i="26"/>
  <c r="C186" i="26"/>
  <c r="C189" i="26"/>
  <c r="C202" i="26" s="1"/>
  <c r="C201" i="26"/>
  <c r="G189" i="26"/>
  <c r="X112" i="7" l="1"/>
  <c r="AB15" i="20"/>
  <c r="AB16" i="20" s="1"/>
  <c r="AB17" i="20" s="1"/>
  <c r="AA15" i="20"/>
  <c r="AA16" i="20" s="1"/>
  <c r="I15" i="20"/>
  <c r="AA88" i="7" s="1"/>
  <c r="W112" i="7" s="1"/>
  <c r="AA17" i="20"/>
  <c r="AB19" i="20" s="1"/>
  <c r="AB23" i="20" s="1"/>
  <c r="AB24" i="20" s="1"/>
  <c r="G144" i="11" s="1"/>
  <c r="T61" i="7" s="1"/>
  <c r="D140" i="26"/>
  <c r="E132" i="26"/>
  <c r="E131" i="26"/>
  <c r="AA81" i="7" l="1"/>
  <c r="X111" i="7" s="1"/>
  <c r="W111" i="7" s="1"/>
  <c r="W114" i="7" s="1"/>
  <c r="U73" i="7" s="1"/>
  <c r="AA64" i="7" s="1"/>
  <c r="G142" i="11" s="1"/>
  <c r="T60" i="7" s="1"/>
  <c r="C7" i="20"/>
  <c r="E135" i="26"/>
  <c r="E136" i="26"/>
  <c r="D220" i="26" s="1"/>
  <c r="C266" i="26"/>
  <c r="C281" i="26"/>
  <c r="C269" i="26"/>
  <c r="C282" i="26" s="1"/>
  <c r="C210" i="26"/>
  <c r="D152" i="26"/>
  <c r="I152" i="26"/>
  <c r="G173" i="26" l="1"/>
  <c r="G190" i="26" s="1"/>
  <c r="G191" i="26" s="1"/>
  <c r="G172" i="26"/>
  <c r="C172" i="26"/>
  <c r="C173" i="26"/>
  <c r="C190" i="26" s="1"/>
  <c r="C191" i="26" s="1"/>
  <c r="C212" i="26"/>
  <c r="C213" i="26"/>
  <c r="D216" i="26" s="1"/>
  <c r="D232" i="26"/>
  <c r="C290" i="26"/>
  <c r="C293" i="26" l="1"/>
  <c r="D296" i="26" s="1"/>
  <c r="C292" i="26"/>
  <c r="C253" i="26"/>
  <c r="C270" i="26" s="1"/>
  <c r="C271" i="26" s="1"/>
  <c r="C252" i="26"/>
  <c r="AB23" i="19"/>
  <c r="AB24" i="19" s="1"/>
  <c r="Q73" i="4"/>
  <c r="P81" i="4"/>
  <c r="J197" i="4"/>
  <c r="AI265" i="4"/>
  <c r="AI272" i="4" s="1"/>
  <c r="H210" i="4"/>
  <c r="I210" i="4" s="1"/>
  <c r="I28" i="4"/>
  <c r="I30" i="4" s="1"/>
  <c r="C47" i="21" s="1"/>
  <c r="J29" i="4"/>
  <c r="P27" i="11" s="1"/>
  <c r="J183" i="4"/>
  <c r="L5" i="4"/>
  <c r="J97" i="4"/>
  <c r="J101" i="4" s="1"/>
  <c r="J102" i="4" s="1"/>
  <c r="L6" i="4"/>
  <c r="C18" i="11" l="1"/>
  <c r="V90" i="4"/>
  <c r="V91" i="4" s="1"/>
  <c r="Z103" i="4"/>
  <c r="AA103" i="4" s="1"/>
  <c r="C41" i="11"/>
  <c r="X90" i="4"/>
  <c r="X91" i="4" s="1"/>
  <c r="Z101" i="4"/>
  <c r="AA101" i="4" s="1"/>
  <c r="Z102" i="4"/>
  <c r="AA102" i="4" s="1"/>
  <c r="W90" i="4"/>
  <c r="W91" i="4" s="1"/>
  <c r="Z100" i="4"/>
  <c r="AA100" i="4" s="1"/>
  <c r="C137" i="21"/>
  <c r="M169" i="21" s="1"/>
  <c r="C191" i="21"/>
  <c r="M223" i="21" s="1"/>
  <c r="C247" i="21"/>
  <c r="M279" i="21" s="1"/>
  <c r="C85" i="21"/>
  <c r="M117" i="21" s="1"/>
  <c r="N285" i="4"/>
  <c r="N288" i="4" s="1"/>
  <c r="N286" i="4"/>
  <c r="C19" i="11"/>
  <c r="J236" i="4"/>
  <c r="J286" i="4"/>
  <c r="J287" i="4" s="1"/>
  <c r="U27" i="11"/>
  <c r="Y27" i="11" s="1"/>
  <c r="N287" i="4"/>
  <c r="M181" i="4"/>
  <c r="M185" i="4" s="1"/>
  <c r="I62" i="4"/>
  <c r="W93" i="4" l="1"/>
  <c r="F114" i="4" s="1"/>
  <c r="W94" i="4"/>
  <c r="F112" i="4" s="1"/>
  <c r="F108" i="4"/>
  <c r="W92" i="4"/>
  <c r="F109" i="4" s="1"/>
  <c r="X92" i="4"/>
  <c r="X93" i="4"/>
  <c r="ED4" i="19"/>
  <c r="EJ4" i="19" s="1"/>
  <c r="EC4" i="20"/>
  <c r="G4" i="20"/>
  <c r="E4" i="19"/>
  <c r="N292" i="4"/>
  <c r="G4" i="19"/>
  <c r="BE223" i="21"/>
  <c r="AF224" i="21"/>
  <c r="N223" i="21"/>
  <c r="AF102" i="4"/>
  <c r="AB102" i="4"/>
  <c r="AC102" i="4"/>
  <c r="BE169" i="21"/>
  <c r="AF170" i="21"/>
  <c r="N169" i="21"/>
  <c r="AB101" i="4"/>
  <c r="AF101" i="4"/>
  <c r="AC101" i="4"/>
  <c r="AC103" i="4"/>
  <c r="AC107" i="4" s="1"/>
  <c r="AF103" i="4"/>
  <c r="AA107" i="4"/>
  <c r="AB103" i="4"/>
  <c r="AB107" i="4" s="1"/>
  <c r="BE279" i="21"/>
  <c r="N279" i="21"/>
  <c r="AF280" i="21"/>
  <c r="W279" i="4"/>
  <c r="B34" i="11"/>
  <c r="M124" i="21"/>
  <c r="N117" i="21"/>
  <c r="BE117" i="21"/>
  <c r="AB100" i="4"/>
  <c r="AC100" i="4"/>
  <c r="AF100" i="4"/>
  <c r="AD87" i="4"/>
  <c r="V95" i="4"/>
  <c r="AD89" i="4"/>
  <c r="AD88" i="4"/>
  <c r="V92" i="4"/>
  <c r="V93" i="4"/>
  <c r="V94" i="4"/>
  <c r="AB105" i="4" l="1"/>
  <c r="AA106" i="4" s="1"/>
  <c r="AB104" i="4"/>
  <c r="AA104" i="4" s="1"/>
  <c r="M286" i="21"/>
  <c r="AG280" i="21"/>
  <c r="O169" i="21"/>
  <c r="D137" i="21"/>
  <c r="O223" i="21"/>
  <c r="D191" i="21"/>
  <c r="P52" i="11"/>
  <c r="J200" i="4"/>
  <c r="M110" i="4"/>
  <c r="M99" i="4"/>
  <c r="M119" i="4"/>
  <c r="L107" i="4"/>
  <c r="M100" i="4"/>
  <c r="M114" i="4"/>
  <c r="M118" i="4"/>
  <c r="M120" i="4"/>
  <c r="M98" i="4"/>
  <c r="L110" i="4"/>
  <c r="M104" i="4"/>
  <c r="M116" i="4"/>
  <c r="AB98" i="4"/>
  <c r="J187" i="4"/>
  <c r="M113" i="4"/>
  <c r="L108" i="4"/>
  <c r="L111" i="4"/>
  <c r="M95" i="4"/>
  <c r="X105" i="4"/>
  <c r="C43" i="11"/>
  <c r="M107" i="4"/>
  <c r="M92" i="4"/>
  <c r="M101" i="4"/>
  <c r="AB111" i="4"/>
  <c r="M108" i="4"/>
  <c r="M94" i="4"/>
  <c r="M109" i="4"/>
  <c r="M96" i="4"/>
  <c r="J164" i="4"/>
  <c r="G128" i="4"/>
  <c r="M103" i="4"/>
  <c r="M112" i="4"/>
  <c r="M102" i="4"/>
  <c r="M90" i="4"/>
  <c r="M97" i="4"/>
  <c r="M93" i="4"/>
  <c r="M117" i="4"/>
  <c r="M105" i="4"/>
  <c r="M121" i="4"/>
  <c r="M91" i="4"/>
  <c r="M111" i="4"/>
  <c r="M115" i="4"/>
  <c r="BF117" i="21"/>
  <c r="BG117" i="21" s="1"/>
  <c r="BH117" i="21" s="1"/>
  <c r="D247" i="21"/>
  <c r="O279" i="21"/>
  <c r="M176" i="21"/>
  <c r="AG170" i="21"/>
  <c r="AB106" i="4"/>
  <c r="AB109" i="4" s="1"/>
  <c r="AB110" i="4" s="1"/>
  <c r="AG224" i="21"/>
  <c r="M230" i="21"/>
  <c r="E330" i="19"/>
  <c r="E141" i="19"/>
  <c r="CN40" i="19"/>
  <c r="AX40" i="19"/>
  <c r="BI109" i="4"/>
  <c r="C42" i="11"/>
  <c r="AA98" i="4"/>
  <c r="J110" i="4"/>
  <c r="AA111" i="4"/>
  <c r="X106" i="4"/>
  <c r="O117" i="21"/>
  <c r="D85" i="21"/>
  <c r="BW280" i="21"/>
  <c r="BF279" i="21"/>
  <c r="BG279" i="21" s="1"/>
  <c r="BH279" i="21" s="1"/>
  <c r="BF169" i="21"/>
  <c r="BG169" i="21" s="1"/>
  <c r="BH169" i="21" s="1"/>
  <c r="BW170" i="21"/>
  <c r="BW224" i="21"/>
  <c r="BF223" i="21"/>
  <c r="BG223" i="21" s="1"/>
  <c r="BH223" i="21" s="1"/>
  <c r="AE98" i="4"/>
  <c r="C44" i="11"/>
  <c r="P55" i="11"/>
  <c r="B60" i="13"/>
  <c r="AE111" i="4"/>
  <c r="BE124" i="21"/>
  <c r="N124" i="21"/>
  <c r="O124" i="21" s="1"/>
  <c r="P124" i="21" s="1"/>
  <c r="AC98" i="4"/>
  <c r="AC111" i="4"/>
  <c r="F116" i="4"/>
  <c r="AF138" i="19" l="1"/>
  <c r="CN138" i="19"/>
  <c r="AH280" i="21"/>
  <c r="N286" i="21"/>
  <c r="BM223" i="21"/>
  <c r="BI223" i="21"/>
  <c r="BO223" i="21"/>
  <c r="BJ223" i="21"/>
  <c r="BR223" i="21"/>
  <c r="BN223" i="21"/>
  <c r="BQ223" i="21"/>
  <c r="BK223" i="21"/>
  <c r="BP223" i="21"/>
  <c r="BM169" i="21"/>
  <c r="BR169" i="21"/>
  <c r="BI169" i="21"/>
  <c r="BN169" i="21"/>
  <c r="BQ169" i="21"/>
  <c r="BK169" i="21"/>
  <c r="BO169" i="21"/>
  <c r="BJ169" i="21"/>
  <c r="BP169" i="21"/>
  <c r="BN109" i="4"/>
  <c r="BL109" i="4"/>
  <c r="BJ109" i="4"/>
  <c r="BP109" i="4"/>
  <c r="BT109" i="4"/>
  <c r="CN327" i="19"/>
  <c r="AF327" i="19"/>
  <c r="AH170" i="21"/>
  <c r="N176" i="21"/>
  <c r="T117" i="21"/>
  <c r="K117" i="21" s="1"/>
  <c r="C60" i="13"/>
  <c r="AC84" i="11"/>
  <c r="AW30" i="11"/>
  <c r="P223" i="21"/>
  <c r="E191" i="21"/>
  <c r="BE176" i="21"/>
  <c r="BX170" i="21"/>
  <c r="BE286" i="21"/>
  <c r="BX280" i="21"/>
  <c r="J198" i="4"/>
  <c r="J258" i="4"/>
  <c r="W124" i="21"/>
  <c r="U124" i="21"/>
  <c r="Q124" i="21"/>
  <c r="Z124" i="21"/>
  <c r="R124" i="21"/>
  <c r="X124" i="21"/>
  <c r="V124" i="21"/>
  <c r="S124" i="21"/>
  <c r="Y124" i="21"/>
  <c r="BE230" i="21"/>
  <c r="BX224" i="21"/>
  <c r="BM117" i="21"/>
  <c r="BP117" i="21"/>
  <c r="BJ117" i="21"/>
  <c r="BQ117" i="21"/>
  <c r="BI117" i="21"/>
  <c r="BN117" i="21"/>
  <c r="BR117" i="21"/>
  <c r="BO117" i="21"/>
  <c r="BK117" i="21"/>
  <c r="L99" i="4"/>
  <c r="C123" i="11" s="1"/>
  <c r="U52" i="11"/>
  <c r="W52" i="11" s="1"/>
  <c r="X102" i="4"/>
  <c r="X101" i="4"/>
  <c r="X100" i="4"/>
  <c r="X103" i="4"/>
  <c r="AW34" i="11"/>
  <c r="U55" i="11"/>
  <c r="W55" i="11" s="1"/>
  <c r="BG41" i="19"/>
  <c r="AK41" i="19"/>
  <c r="K60" i="13"/>
  <c r="N14" i="4"/>
  <c r="H14" i="4"/>
  <c r="BF124" i="21"/>
  <c r="BG124" i="21" s="1"/>
  <c r="BH124" i="21" s="1"/>
  <c r="BM279" i="21"/>
  <c r="BK279" i="21"/>
  <c r="BI279" i="21"/>
  <c r="BP279" i="21"/>
  <c r="BQ279" i="21"/>
  <c r="BN279" i="21"/>
  <c r="BO279" i="21"/>
  <c r="BR279" i="21"/>
  <c r="BJ279" i="21"/>
  <c r="P117" i="21"/>
  <c r="E85" i="21"/>
  <c r="CB41" i="19"/>
  <c r="CW41" i="19"/>
  <c r="AH224" i="21"/>
  <c r="N230" i="21"/>
  <c r="P279" i="21"/>
  <c r="E247" i="21"/>
  <c r="K139" i="4"/>
  <c r="J130" i="4"/>
  <c r="K143" i="4"/>
  <c r="J143" i="4"/>
  <c r="P169" i="21"/>
  <c r="E137" i="21"/>
  <c r="AC106" i="4"/>
  <c r="AC109" i="4" s="1"/>
  <c r="AC110" i="4" s="1"/>
  <c r="AE106" i="4"/>
  <c r="AE109" i="4" s="1"/>
  <c r="AE110" i="4" s="1"/>
  <c r="AD106" i="4"/>
  <c r="AD109" i="4" s="1"/>
  <c r="AD110" i="4" s="1"/>
  <c r="AA109" i="4"/>
  <c r="AA110" i="4" s="1"/>
  <c r="AA105" i="4" l="1"/>
  <c r="AE105" i="4" s="1"/>
  <c r="V47" i="11"/>
  <c r="T124" i="21"/>
  <c r="K124" i="21" s="1"/>
  <c r="K123" i="21" s="1"/>
  <c r="R117" i="21"/>
  <c r="H85" i="21" s="1"/>
  <c r="F85" i="21"/>
  <c r="V117" i="21"/>
  <c r="E92" i="21" s="1"/>
  <c r="X117" i="21"/>
  <c r="G92" i="21" s="1"/>
  <c r="Y117" i="21"/>
  <c r="H92" i="21" s="1"/>
  <c r="S117" i="21"/>
  <c r="I85" i="21" s="1"/>
  <c r="U117" i="21"/>
  <c r="D92" i="21" s="1"/>
  <c r="Q117" i="21"/>
  <c r="G85" i="21" s="1"/>
  <c r="W117" i="21"/>
  <c r="F92" i="21" s="1"/>
  <c r="Z117" i="21"/>
  <c r="I92" i="21" s="1"/>
  <c r="BN124" i="21"/>
  <c r="BK124" i="21"/>
  <c r="BR124" i="21"/>
  <c r="BO124" i="21"/>
  <c r="BP124" i="21"/>
  <c r="BI124" i="21"/>
  <c r="BM124" i="21"/>
  <c r="AA124" i="21" s="1"/>
  <c r="BJ124" i="21"/>
  <c r="BQ124" i="21"/>
  <c r="AV82" i="19"/>
  <c r="AI170" i="21"/>
  <c r="O176" i="21"/>
  <c r="O286" i="21"/>
  <c r="AI280" i="21"/>
  <c r="AW59" i="21"/>
  <c r="E56" i="21"/>
  <c r="AC56" i="21" s="1"/>
  <c r="N36" i="4" s="1"/>
  <c r="E55" i="21"/>
  <c r="AC55" i="21" s="1"/>
  <c r="N35" i="4" s="1"/>
  <c r="T35" i="4" s="1"/>
  <c r="I41" i="4" s="1"/>
  <c r="AW53" i="21"/>
  <c r="BY109" i="4"/>
  <c r="BU109" i="4"/>
  <c r="CA109" i="4"/>
  <c r="BW109" i="4"/>
  <c r="AI224" i="21"/>
  <c r="O230" i="21"/>
  <c r="T151" i="4"/>
  <c r="C54" i="11"/>
  <c r="S149" i="4"/>
  <c r="DH82" i="19"/>
  <c r="BR82" i="19"/>
  <c r="I123" i="11"/>
  <c r="B308" i="4"/>
  <c r="BY280" i="21"/>
  <c r="BF286" i="21"/>
  <c r="AW64" i="21"/>
  <c r="E57" i="21"/>
  <c r="AC57" i="21" s="1"/>
  <c r="N37" i="4" s="1"/>
  <c r="C372" i="19"/>
  <c r="AG410" i="19"/>
  <c r="B428" i="19"/>
  <c r="BI110" i="4"/>
  <c r="F118" i="4" s="1"/>
  <c r="J118" i="4" s="1"/>
  <c r="E60" i="13" s="1"/>
  <c r="G60" i="13" s="1"/>
  <c r="CO221" i="19"/>
  <c r="BK183" i="19"/>
  <c r="BJ239" i="19"/>
  <c r="C58" i="11"/>
  <c r="R151" i="4"/>
  <c r="J139" i="4"/>
  <c r="Q151" i="4"/>
  <c r="Q152" i="4" s="1"/>
  <c r="BY224" i="21"/>
  <c r="BF230" i="21"/>
  <c r="BY170" i="21"/>
  <c r="BF176" i="21"/>
  <c r="R169" i="21"/>
  <c r="H137" i="21" s="1"/>
  <c r="S169" i="21"/>
  <c r="I137" i="21" s="1"/>
  <c r="X169" i="21"/>
  <c r="G144" i="21" s="1"/>
  <c r="F137" i="21"/>
  <c r="Q169" i="21"/>
  <c r="G137" i="21" s="1"/>
  <c r="V169" i="21"/>
  <c r="E144" i="21" s="1"/>
  <c r="Y169" i="21"/>
  <c r="H144" i="21" s="1"/>
  <c r="W169" i="21"/>
  <c r="F144" i="21" s="1"/>
  <c r="Z169" i="21"/>
  <c r="I144" i="21" s="1"/>
  <c r="U169" i="21"/>
  <c r="D144" i="21" s="1"/>
  <c r="E58" i="21"/>
  <c r="AC58" i="21" s="1"/>
  <c r="N38" i="4" s="1"/>
  <c r="AW69" i="21"/>
  <c r="Z110" i="4"/>
  <c r="R279" i="21"/>
  <c r="H247" i="21" s="1"/>
  <c r="Z279" i="21"/>
  <c r="I254" i="21" s="1"/>
  <c r="F247" i="21"/>
  <c r="W279" i="21"/>
  <c r="F254" i="21" s="1"/>
  <c r="S279" i="21"/>
  <c r="I247" i="21" s="1"/>
  <c r="Y279" i="21"/>
  <c r="H254" i="21" s="1"/>
  <c r="Q279" i="21"/>
  <c r="G247" i="21" s="1"/>
  <c r="X279" i="21"/>
  <c r="G254" i="21" s="1"/>
  <c r="U279" i="21"/>
  <c r="D254" i="21" s="1"/>
  <c r="V279" i="21"/>
  <c r="E254" i="21" s="1"/>
  <c r="CM82" i="19"/>
  <c r="F191" i="21"/>
  <c r="Y223" i="21"/>
  <c r="H198" i="21" s="1"/>
  <c r="S223" i="21"/>
  <c r="I191" i="21" s="1"/>
  <c r="V223" i="21"/>
  <c r="E198" i="21" s="1"/>
  <c r="Q223" i="21"/>
  <c r="W223" i="21"/>
  <c r="F198" i="21" s="1"/>
  <c r="U223" i="21"/>
  <c r="D198" i="21" s="1"/>
  <c r="R223" i="21"/>
  <c r="H191" i="21" s="1"/>
  <c r="X223" i="21"/>
  <c r="G198" i="21" s="1"/>
  <c r="Z223" i="21"/>
  <c r="I198" i="21" s="1"/>
  <c r="J117" i="21"/>
  <c r="J92" i="21" s="1"/>
  <c r="K116" i="21"/>
  <c r="J116" i="21" s="1"/>
  <c r="J91" i="21" s="1"/>
  <c r="BJ428" i="19"/>
  <c r="CO410" i="19"/>
  <c r="BK372" i="19"/>
  <c r="C183" i="19"/>
  <c r="B239" i="19"/>
  <c r="AG221" i="19"/>
  <c r="AC105" i="4" l="1"/>
  <c r="AD105" i="4"/>
  <c r="AE183" i="19"/>
  <c r="AS183" i="19"/>
  <c r="Q183" i="19"/>
  <c r="BJ472" i="19"/>
  <c r="BJ450" i="19"/>
  <c r="BJ494" i="19"/>
  <c r="C198" i="21"/>
  <c r="F57" i="21"/>
  <c r="AD57" i="21" s="1"/>
  <c r="O37" i="4" s="1"/>
  <c r="AX64" i="21"/>
  <c r="U58" i="21"/>
  <c r="AP58" i="21" s="1"/>
  <c r="R45" i="4" s="1"/>
  <c r="BL69" i="21"/>
  <c r="C144" i="21"/>
  <c r="AX59" i="21"/>
  <c r="F56" i="21"/>
  <c r="AD56" i="21" s="1"/>
  <c r="O36" i="4" s="1"/>
  <c r="AA169" i="21"/>
  <c r="BZ280" i="21"/>
  <c r="BG286" i="21"/>
  <c r="BR103" i="19"/>
  <c r="Q55" i="21"/>
  <c r="AL55" i="21" s="1"/>
  <c r="BH53" i="21"/>
  <c r="AA223" i="21"/>
  <c r="H57" i="21"/>
  <c r="AF57" i="21" s="1"/>
  <c r="Q37" i="4" s="1"/>
  <c r="AZ64" i="21"/>
  <c r="Q57" i="21"/>
  <c r="AL57" i="21" s="1"/>
  <c r="BH64" i="21"/>
  <c r="BG69" i="21"/>
  <c r="P58" i="21"/>
  <c r="BA69" i="21"/>
  <c r="I58" i="21"/>
  <c r="AG58" i="21" s="1"/>
  <c r="R38" i="4" s="1"/>
  <c r="H58" i="21"/>
  <c r="AF58" i="21" s="1"/>
  <c r="Q38" i="4" s="1"/>
  <c r="AZ69" i="21"/>
  <c r="T169" i="21"/>
  <c r="BK59" i="21"/>
  <c r="T56" i="21"/>
  <c r="AO56" i="21" s="1"/>
  <c r="Q43" i="4" s="1"/>
  <c r="S56" i="21"/>
  <c r="AN56" i="21" s="1"/>
  <c r="P43" i="4" s="1"/>
  <c r="BJ59" i="21"/>
  <c r="BG176" i="21"/>
  <c r="BZ170" i="21"/>
  <c r="S148" i="4"/>
  <c r="C50" i="11"/>
  <c r="S147" i="4"/>
  <c r="T147" i="4" s="1"/>
  <c r="BJ305" i="19"/>
  <c r="BJ261" i="19"/>
  <c r="BJ283" i="19"/>
  <c r="BT110" i="4"/>
  <c r="AV103" i="19"/>
  <c r="U55" i="21"/>
  <c r="AP55" i="21" s="1"/>
  <c r="R42" i="4" s="1"/>
  <c r="BL53" i="21"/>
  <c r="I55" i="21"/>
  <c r="AG55" i="21" s="1"/>
  <c r="R35" i="4" s="1"/>
  <c r="T38" i="4" s="1"/>
  <c r="I44" i="4" s="1"/>
  <c r="K49" i="13" s="1"/>
  <c r="BA53" i="21"/>
  <c r="F55" i="21"/>
  <c r="AD55" i="21" s="1"/>
  <c r="O35" i="4" s="1"/>
  <c r="T34" i="4" s="1"/>
  <c r="I40" i="4" s="1"/>
  <c r="AX53" i="21"/>
  <c r="C92" i="21"/>
  <c r="G191" i="21"/>
  <c r="T223" i="21"/>
  <c r="T58" i="21"/>
  <c r="AO58" i="21" s="1"/>
  <c r="Q45" i="4" s="1"/>
  <c r="BK69" i="21"/>
  <c r="AE372" i="19"/>
  <c r="Q372" i="19"/>
  <c r="AS372" i="19"/>
  <c r="C20" i="11"/>
  <c r="L28" i="4"/>
  <c r="C119" i="11" s="1"/>
  <c r="P57" i="21"/>
  <c r="BG64" i="21"/>
  <c r="AA117" i="21"/>
  <c r="R58" i="21"/>
  <c r="AM58" i="21" s="1"/>
  <c r="O45" i="4" s="1"/>
  <c r="BI69" i="21"/>
  <c r="BG59" i="21"/>
  <c r="P56" i="21"/>
  <c r="BH59" i="21"/>
  <c r="Q56" i="21"/>
  <c r="AL56" i="21" s="1"/>
  <c r="I56" i="21"/>
  <c r="AG56" i="21" s="1"/>
  <c r="R36" i="4" s="1"/>
  <c r="BA59" i="21"/>
  <c r="R152" i="4"/>
  <c r="CM183" i="19"/>
  <c r="DA183" i="19"/>
  <c r="BY183" i="19"/>
  <c r="B472" i="19"/>
  <c r="B494" i="19"/>
  <c r="B450" i="19"/>
  <c r="P230" i="21"/>
  <c r="AO224" i="21"/>
  <c r="V230" i="21" s="1"/>
  <c r="AL224" i="21"/>
  <c r="S230" i="21" s="1"/>
  <c r="AQ224" i="21"/>
  <c r="X230" i="21" s="1"/>
  <c r="AJ224" i="21"/>
  <c r="Q230" i="21" s="1"/>
  <c r="AP224" i="21"/>
  <c r="W230" i="21" s="1"/>
  <c r="AR224" i="21"/>
  <c r="Y230" i="21" s="1"/>
  <c r="AS224" i="21"/>
  <c r="Z230" i="21" s="1"/>
  <c r="AK224" i="21"/>
  <c r="R230" i="21" s="1"/>
  <c r="AN224" i="21"/>
  <c r="U230" i="21" s="1"/>
  <c r="AL170" i="21"/>
  <c r="S176" i="21" s="1"/>
  <c r="AS170" i="21"/>
  <c r="Z176" i="21" s="1"/>
  <c r="P176" i="21"/>
  <c r="AR170" i="21"/>
  <c r="Y176" i="21" s="1"/>
  <c r="AJ170" i="21"/>
  <c r="Q176" i="21" s="1"/>
  <c r="AP170" i="21"/>
  <c r="W176" i="21" s="1"/>
  <c r="AK170" i="21"/>
  <c r="R176" i="21" s="1"/>
  <c r="AN170" i="21"/>
  <c r="U176" i="21" s="1"/>
  <c r="AQ170" i="21"/>
  <c r="X176" i="21" s="1"/>
  <c r="AO170" i="21"/>
  <c r="V176" i="21" s="1"/>
  <c r="BI53" i="21"/>
  <c r="R55" i="21"/>
  <c r="AM55" i="21" s="1"/>
  <c r="O42" i="4" s="1"/>
  <c r="BK53" i="21"/>
  <c r="T55" i="21"/>
  <c r="AO55" i="21" s="1"/>
  <c r="Q42" i="4" s="1"/>
  <c r="H55" i="21"/>
  <c r="AF55" i="21" s="1"/>
  <c r="AZ53" i="21"/>
  <c r="BJ64" i="21"/>
  <c r="S57" i="21"/>
  <c r="AN57" i="21" s="1"/>
  <c r="P44" i="4" s="1"/>
  <c r="BH69" i="21"/>
  <c r="Q58" i="21"/>
  <c r="AL58" i="21" s="1"/>
  <c r="BI59" i="21"/>
  <c r="R56" i="21"/>
  <c r="AM56" i="21" s="1"/>
  <c r="O43" i="4" s="1"/>
  <c r="DH103" i="19"/>
  <c r="P55" i="21"/>
  <c r="BG53" i="21"/>
  <c r="AG243" i="19"/>
  <c r="AG265" i="19"/>
  <c r="AG287" i="19"/>
  <c r="CM372" i="19"/>
  <c r="DA372" i="19"/>
  <c r="BY372" i="19"/>
  <c r="V55" i="21"/>
  <c r="AQ55" i="21" s="1"/>
  <c r="S42" i="4" s="1"/>
  <c r="BM53" i="21"/>
  <c r="I57" i="21"/>
  <c r="AG57" i="21" s="1"/>
  <c r="R37" i="4" s="1"/>
  <c r="BA64" i="21"/>
  <c r="S58" i="21"/>
  <c r="AN58" i="21" s="1"/>
  <c r="P45" i="4" s="1"/>
  <c r="BJ69" i="21"/>
  <c r="B283" i="19"/>
  <c r="B261" i="19"/>
  <c r="B305" i="19"/>
  <c r="CO476" i="19"/>
  <c r="CO432" i="19"/>
  <c r="CO454" i="19"/>
  <c r="U57" i="21"/>
  <c r="AP57" i="21" s="1"/>
  <c r="R44" i="4" s="1"/>
  <c r="BL64" i="21"/>
  <c r="R57" i="21"/>
  <c r="AM57" i="21" s="1"/>
  <c r="O44" i="4" s="1"/>
  <c r="BI64" i="21"/>
  <c r="T57" i="21"/>
  <c r="AO57" i="21" s="1"/>
  <c r="Q44" i="4" s="1"/>
  <c r="BK64" i="21"/>
  <c r="CM103" i="19"/>
  <c r="G58" i="21"/>
  <c r="AE58" i="21" s="1"/>
  <c r="P38" i="4" s="1"/>
  <c r="AY69" i="21"/>
  <c r="C254" i="21"/>
  <c r="F58" i="21"/>
  <c r="AD58" i="21" s="1"/>
  <c r="O38" i="4" s="1"/>
  <c r="AX69" i="21"/>
  <c r="BL59" i="21"/>
  <c r="U56" i="21"/>
  <c r="AP56" i="21" s="1"/>
  <c r="R43" i="4" s="1"/>
  <c r="AY59" i="21"/>
  <c r="G56" i="21"/>
  <c r="AE56" i="21" s="1"/>
  <c r="P36" i="4" s="1"/>
  <c r="H56" i="21"/>
  <c r="AF56" i="21" s="1"/>
  <c r="Q36" i="4" s="1"/>
  <c r="AZ59" i="21"/>
  <c r="BZ224" i="21"/>
  <c r="BG230" i="21"/>
  <c r="CO265" i="19"/>
  <c r="CO243" i="19"/>
  <c r="CO287" i="19"/>
  <c r="AG432" i="19"/>
  <c r="AG454" i="19"/>
  <c r="AG476" i="19"/>
  <c r="AA279" i="21"/>
  <c r="AQ280" i="21"/>
  <c r="X286" i="21" s="1"/>
  <c r="AJ280" i="21"/>
  <c r="Q286" i="21" s="1"/>
  <c r="AP280" i="21"/>
  <c r="W286" i="21" s="1"/>
  <c r="AR280" i="21"/>
  <c r="Y286" i="21" s="1"/>
  <c r="AN280" i="21"/>
  <c r="U286" i="21" s="1"/>
  <c r="AL280" i="21"/>
  <c r="S286" i="21" s="1"/>
  <c r="AK280" i="21"/>
  <c r="R286" i="21" s="1"/>
  <c r="AS280" i="21"/>
  <c r="Z286" i="21" s="1"/>
  <c r="AO280" i="21"/>
  <c r="V286" i="21" s="1"/>
  <c r="P286" i="21"/>
  <c r="AY53" i="21"/>
  <c r="G55" i="21"/>
  <c r="AE55" i="21" s="1"/>
  <c r="P35" i="4" s="1"/>
  <c r="T36" i="4" s="1"/>
  <c r="I42" i="4" s="1"/>
  <c r="BJ53" i="21"/>
  <c r="S55" i="21"/>
  <c r="AN55" i="21" s="1"/>
  <c r="P42" i="4" s="1"/>
  <c r="T279" i="21"/>
  <c r="K169" i="21" l="1"/>
  <c r="J169" i="21" s="1"/>
  <c r="J144" i="21" s="1"/>
  <c r="K223" i="21"/>
  <c r="T148" i="4"/>
  <c r="J141" i="4" s="1"/>
  <c r="Q35" i="4"/>
  <c r="T37" i="4" s="1"/>
  <c r="I43" i="4" s="1"/>
  <c r="E49" i="13" s="1"/>
  <c r="G49" i="13" s="1"/>
  <c r="K279" i="21"/>
  <c r="C21" i="11"/>
  <c r="V38" i="4"/>
  <c r="W38" i="4" s="1"/>
  <c r="N45" i="4"/>
  <c r="M45" i="4" s="1"/>
  <c r="T45" i="4" s="1"/>
  <c r="AK58" i="21"/>
  <c r="AD427" i="19"/>
  <c r="V449" i="19"/>
  <c r="V451" i="19" s="1"/>
  <c r="V452" i="19" s="1"/>
  <c r="X471" i="19"/>
  <c r="X473" i="19" s="1"/>
  <c r="X474" i="19" s="1"/>
  <c r="AC427" i="19"/>
  <c r="F428" i="19"/>
  <c r="Z472" i="19"/>
  <c r="Q428" i="19"/>
  <c r="V493" i="19"/>
  <c r="V495" i="19" s="1"/>
  <c r="V496" i="19" s="1"/>
  <c r="J450" i="19"/>
  <c r="Z471" i="19"/>
  <c r="Z473" i="19" s="1"/>
  <c r="Z474" i="19" s="1"/>
  <c r="L427" i="19"/>
  <c r="O493" i="19"/>
  <c r="O495" i="19" s="1"/>
  <c r="O496" i="19" s="1"/>
  <c r="W427" i="19"/>
  <c r="D449" i="19"/>
  <c r="D451" i="19" s="1"/>
  <c r="D452" i="19" s="1"/>
  <c r="E427" i="19"/>
  <c r="X494" i="19"/>
  <c r="Z494" i="19"/>
  <c r="W471" i="19"/>
  <c r="W473" i="19" s="1"/>
  <c r="W474" i="19" s="1"/>
  <c r="O494" i="19"/>
  <c r="P472" i="19"/>
  <c r="H450" i="19"/>
  <c r="O427" i="19"/>
  <c r="V472" i="19"/>
  <c r="D493" i="19"/>
  <c r="P427" i="19"/>
  <c r="G450" i="19"/>
  <c r="P428" i="19"/>
  <c r="W428" i="19"/>
  <c r="AB450" i="19"/>
  <c r="U428" i="19"/>
  <c r="I449" i="19"/>
  <c r="I451" i="19" s="1"/>
  <c r="I452" i="19" s="1"/>
  <c r="T471" i="19"/>
  <c r="T473" i="19" s="1"/>
  <c r="T474" i="19" s="1"/>
  <c r="Q427" i="19"/>
  <c r="U449" i="19"/>
  <c r="U451" i="19" s="1"/>
  <c r="U452" i="19" s="1"/>
  <c r="I450" i="19"/>
  <c r="O450" i="19"/>
  <c r="E471" i="19"/>
  <c r="E473" i="19" s="1"/>
  <c r="E474" i="19" s="1"/>
  <c r="AD450" i="19"/>
  <c r="P493" i="19"/>
  <c r="P495" i="19" s="1"/>
  <c r="P496" i="19" s="1"/>
  <c r="T449" i="19"/>
  <c r="T451" i="19" s="1"/>
  <c r="T452" i="19" s="1"/>
  <c r="D427" i="19"/>
  <c r="AD493" i="19"/>
  <c r="AD495" i="19" s="1"/>
  <c r="AD496" i="19" s="1"/>
  <c r="Q471" i="19"/>
  <c r="Q473" i="19" s="1"/>
  <c r="Q474" i="19" s="1"/>
  <c r="T493" i="19"/>
  <c r="T495" i="19" s="1"/>
  <c r="T496" i="19" s="1"/>
  <c r="T427" i="19"/>
  <c r="K427" i="19"/>
  <c r="K493" i="19"/>
  <c r="K495" i="19" s="1"/>
  <c r="K496" i="19" s="1"/>
  <c r="U472" i="19"/>
  <c r="Q472" i="19"/>
  <c r="V428" i="19"/>
  <c r="P494" i="19"/>
  <c r="Q450" i="19"/>
  <c r="AA428" i="19"/>
  <c r="M494" i="19"/>
  <c r="AB427" i="19"/>
  <c r="J427" i="19"/>
  <c r="M449" i="19"/>
  <c r="M451" i="19" s="1"/>
  <c r="M452" i="19" s="1"/>
  <c r="AD471" i="19"/>
  <c r="AD473" i="19" s="1"/>
  <c r="AD474" i="19" s="1"/>
  <c r="J494" i="19"/>
  <c r="K494" i="19"/>
  <c r="I493" i="19"/>
  <c r="I495" i="19" s="1"/>
  <c r="I496" i="19" s="1"/>
  <c r="AA449" i="19"/>
  <c r="AA451" i="19" s="1"/>
  <c r="AA452" i="19" s="1"/>
  <c r="G471" i="19"/>
  <c r="G473" i="19" s="1"/>
  <c r="G474" i="19" s="1"/>
  <c r="K449" i="19"/>
  <c r="K451" i="19" s="1"/>
  <c r="K452" i="19" s="1"/>
  <c r="F471" i="19"/>
  <c r="F473" i="19" s="1"/>
  <c r="F474" i="19" s="1"/>
  <c r="E449" i="19"/>
  <c r="E451" i="19" s="1"/>
  <c r="E452" i="19" s="1"/>
  <c r="V471" i="19"/>
  <c r="V473" i="19" s="1"/>
  <c r="V474" i="19" s="1"/>
  <c r="K428" i="19"/>
  <c r="E450" i="19"/>
  <c r="D494" i="19"/>
  <c r="S450" i="19"/>
  <c r="AD428" i="19"/>
  <c r="D472" i="19"/>
  <c r="N428" i="19"/>
  <c r="R493" i="19"/>
  <c r="R495" i="19" s="1"/>
  <c r="R496" i="19" s="1"/>
  <c r="Y428" i="19"/>
  <c r="J472" i="19"/>
  <c r="R427" i="19"/>
  <c r="S427" i="19"/>
  <c r="R450" i="19"/>
  <c r="R428" i="19"/>
  <c r="W472" i="19"/>
  <c r="L494" i="19"/>
  <c r="I472" i="19"/>
  <c r="I428" i="19"/>
  <c r="Y471" i="19"/>
  <c r="Y473" i="19" s="1"/>
  <c r="Y474" i="19" s="1"/>
  <c r="Y450" i="19"/>
  <c r="AC494" i="19"/>
  <c r="L472" i="19"/>
  <c r="M471" i="19"/>
  <c r="M473" i="19" s="1"/>
  <c r="M474" i="19" s="1"/>
  <c r="Y427" i="19"/>
  <c r="R471" i="19"/>
  <c r="R473" i="19" s="1"/>
  <c r="R474" i="19" s="1"/>
  <c r="AA493" i="19"/>
  <c r="AA495" i="19" s="1"/>
  <c r="AA496" i="19" s="1"/>
  <c r="R449" i="19"/>
  <c r="R451" i="19" s="1"/>
  <c r="R452" i="19" s="1"/>
  <c r="F493" i="19"/>
  <c r="F495" i="19" s="1"/>
  <c r="F496" i="19" s="1"/>
  <c r="Z449" i="19"/>
  <c r="Z451" i="19" s="1"/>
  <c r="Z452" i="19" s="1"/>
  <c r="Y493" i="19"/>
  <c r="Y495" i="19" s="1"/>
  <c r="Y496" i="19" s="1"/>
  <c r="L471" i="19"/>
  <c r="L473" i="19" s="1"/>
  <c r="L474" i="19" s="1"/>
  <c r="F449" i="19"/>
  <c r="F451" i="19" s="1"/>
  <c r="F452" i="19" s="1"/>
  <c r="D450" i="19"/>
  <c r="E472" i="19"/>
  <c r="AC472" i="19"/>
  <c r="R472" i="19"/>
  <c r="J449" i="19"/>
  <c r="J451" i="19" s="1"/>
  <c r="J452" i="19" s="1"/>
  <c r="D428" i="19"/>
  <c r="X428" i="19"/>
  <c r="X427" i="19"/>
  <c r="Z427" i="19"/>
  <c r="V427" i="19"/>
  <c r="Q493" i="19"/>
  <c r="Q495" i="19" s="1"/>
  <c r="Q496" i="19" s="1"/>
  <c r="F494" i="19"/>
  <c r="AC428" i="19"/>
  <c r="O449" i="19"/>
  <c r="O451" i="19" s="1"/>
  <c r="O452" i="19" s="1"/>
  <c r="H471" i="19"/>
  <c r="H473" i="19" s="1"/>
  <c r="H474" i="19" s="1"/>
  <c r="H427" i="19"/>
  <c r="H493" i="19"/>
  <c r="H495" i="19" s="1"/>
  <c r="H496" i="19" s="1"/>
  <c r="N493" i="19"/>
  <c r="N495" i="19" s="1"/>
  <c r="N496" i="19" s="1"/>
  <c r="Z493" i="19"/>
  <c r="Z495" i="19" s="1"/>
  <c r="Z496" i="19" s="1"/>
  <c r="K472" i="19"/>
  <c r="N494" i="19"/>
  <c r="W494" i="19"/>
  <c r="AB493" i="19"/>
  <c r="AB495" i="19" s="1"/>
  <c r="AB496" i="19" s="1"/>
  <c r="G494" i="19"/>
  <c r="H494" i="19"/>
  <c r="N472" i="19"/>
  <c r="E493" i="19"/>
  <c r="O428" i="19"/>
  <c r="Q449" i="19"/>
  <c r="Q451" i="19" s="1"/>
  <c r="Q452" i="19" s="1"/>
  <c r="Q494" i="19"/>
  <c r="I471" i="19"/>
  <c r="I473" i="19" s="1"/>
  <c r="I474" i="19" s="1"/>
  <c r="J493" i="19"/>
  <c r="J495" i="19" s="1"/>
  <c r="J496" i="19" s="1"/>
  <c r="X450" i="19"/>
  <c r="F472" i="19"/>
  <c r="AA494" i="19"/>
  <c r="X493" i="19"/>
  <c r="X495" i="19" s="1"/>
  <c r="X496" i="19" s="1"/>
  <c r="T428" i="19"/>
  <c r="V494" i="19"/>
  <c r="E428" i="19"/>
  <c r="D471" i="19"/>
  <c r="D473" i="19" s="1"/>
  <c r="D474" i="19" s="1"/>
  <c r="AC493" i="19"/>
  <c r="AC495" i="19" s="1"/>
  <c r="AC496" i="19" s="1"/>
  <c r="S428" i="19"/>
  <c r="AC450" i="19"/>
  <c r="AA472" i="19"/>
  <c r="H449" i="19"/>
  <c r="H451" i="19" s="1"/>
  <c r="H452" i="19" s="1"/>
  <c r="L493" i="19"/>
  <c r="L495" i="19" s="1"/>
  <c r="L496" i="19" s="1"/>
  <c r="G449" i="19"/>
  <c r="G451" i="19" s="1"/>
  <c r="G452" i="19" s="1"/>
  <c r="Y494" i="19"/>
  <c r="U427" i="19"/>
  <c r="I427" i="19"/>
  <c r="I429" i="19" s="1"/>
  <c r="I430" i="19" s="1"/>
  <c r="F427" i="19"/>
  <c r="L449" i="19"/>
  <c r="L451" i="19" s="1"/>
  <c r="L452" i="19" s="1"/>
  <c r="AA427" i="19"/>
  <c r="P450" i="19"/>
  <c r="U494" i="19"/>
  <c r="AD494" i="19"/>
  <c r="AD472" i="19"/>
  <c r="AB472" i="19"/>
  <c r="X472" i="19"/>
  <c r="M450" i="19"/>
  <c r="G427" i="19"/>
  <c r="S471" i="19"/>
  <c r="S473" i="19" s="1"/>
  <c r="S474" i="19" s="1"/>
  <c r="AB494" i="19"/>
  <c r="W493" i="19"/>
  <c r="W495" i="19" s="1"/>
  <c r="W496" i="19" s="1"/>
  <c r="AA471" i="19"/>
  <c r="AA473" i="19" s="1"/>
  <c r="AA474" i="19" s="1"/>
  <c r="S493" i="19"/>
  <c r="S495" i="19" s="1"/>
  <c r="S496" i="19" s="1"/>
  <c r="H428" i="19"/>
  <c r="J428" i="19"/>
  <c r="M428" i="19"/>
  <c r="M427" i="19"/>
  <c r="S472" i="19"/>
  <c r="T472" i="19"/>
  <c r="K450" i="19"/>
  <c r="X449" i="19"/>
  <c r="X451" i="19" s="1"/>
  <c r="X452" i="19" s="1"/>
  <c r="G493" i="19"/>
  <c r="G495" i="19" s="1"/>
  <c r="G496" i="19" s="1"/>
  <c r="J471" i="19"/>
  <c r="J473" i="19" s="1"/>
  <c r="J474" i="19" s="1"/>
  <c r="U450" i="19"/>
  <c r="L450" i="19"/>
  <c r="L428" i="19"/>
  <c r="U471" i="19"/>
  <c r="U473" i="19" s="1"/>
  <c r="U474" i="19" s="1"/>
  <c r="U493" i="19"/>
  <c r="U495" i="19" s="1"/>
  <c r="U496" i="19" s="1"/>
  <c r="P449" i="19"/>
  <c r="P451" i="19" s="1"/>
  <c r="P452" i="19" s="1"/>
  <c r="AB428" i="19"/>
  <c r="R494" i="19"/>
  <c r="AC449" i="19"/>
  <c r="AC451" i="19" s="1"/>
  <c r="AC452" i="19" s="1"/>
  <c r="Z428" i="19"/>
  <c r="T450" i="19"/>
  <c r="N471" i="19"/>
  <c r="N473" i="19" s="1"/>
  <c r="N474" i="19" s="1"/>
  <c r="AB449" i="19"/>
  <c r="AB451" i="19" s="1"/>
  <c r="AB452" i="19" s="1"/>
  <c r="F450" i="19"/>
  <c r="O472" i="19"/>
  <c r="Y472" i="19"/>
  <c r="S449" i="19"/>
  <c r="S451" i="19" s="1"/>
  <c r="S452" i="19" s="1"/>
  <c r="O471" i="19"/>
  <c r="O473" i="19" s="1"/>
  <c r="O474" i="19" s="1"/>
  <c r="AD449" i="19"/>
  <c r="AD451" i="19" s="1"/>
  <c r="AD452" i="19" s="1"/>
  <c r="Y449" i="19"/>
  <c r="Y451" i="19" s="1"/>
  <c r="Y452" i="19" s="1"/>
  <c r="W449" i="19"/>
  <c r="W451" i="19" s="1"/>
  <c r="W452" i="19" s="1"/>
  <c r="Z450" i="19"/>
  <c r="N427" i="19"/>
  <c r="N429" i="19" s="1"/>
  <c r="N430" i="19" s="1"/>
  <c r="W450" i="19"/>
  <c r="P471" i="19"/>
  <c r="P473" i="19" s="1"/>
  <c r="P474" i="19" s="1"/>
  <c r="G428" i="19"/>
  <c r="G472" i="19"/>
  <c r="AC471" i="19"/>
  <c r="AC473" i="19" s="1"/>
  <c r="AC474" i="19" s="1"/>
  <c r="S494" i="19"/>
  <c r="H472" i="19"/>
  <c r="AB471" i="19"/>
  <c r="AB473" i="19" s="1"/>
  <c r="AB474" i="19" s="1"/>
  <c r="N450" i="19"/>
  <c r="M493" i="19"/>
  <c r="M495" i="19" s="1"/>
  <c r="M496" i="19" s="1"/>
  <c r="N449" i="19"/>
  <c r="N451" i="19" s="1"/>
  <c r="N452" i="19" s="1"/>
  <c r="K471" i="19"/>
  <c r="K473" i="19" s="1"/>
  <c r="K474" i="19" s="1"/>
  <c r="E494" i="19"/>
  <c r="M472" i="19"/>
  <c r="T494" i="19"/>
  <c r="AA450" i="19"/>
  <c r="V450" i="19"/>
  <c r="I494" i="19"/>
  <c r="I119" i="11"/>
  <c r="B304" i="4"/>
  <c r="AY64" i="21"/>
  <c r="G57" i="21"/>
  <c r="AE57" i="21" s="1"/>
  <c r="P37" i="4" s="1"/>
  <c r="CE170" i="21"/>
  <c r="BM176" i="21" s="1"/>
  <c r="BH176" i="21"/>
  <c r="CB170" i="21"/>
  <c r="BJ176" i="21" s="1"/>
  <c r="CF170" i="21"/>
  <c r="BN176" i="21" s="1"/>
  <c r="CH170" i="21"/>
  <c r="BP176" i="21" s="1"/>
  <c r="CA170" i="21"/>
  <c r="BI176" i="21" s="1"/>
  <c r="CJ170" i="21"/>
  <c r="BR176" i="21" s="1"/>
  <c r="CI170" i="21"/>
  <c r="BQ176" i="21" s="1"/>
  <c r="CC170" i="21"/>
  <c r="BK176" i="21" s="1"/>
  <c r="CG170" i="21"/>
  <c r="BO176" i="21" s="1"/>
  <c r="CJ280" i="21"/>
  <c r="BR286" i="21" s="1"/>
  <c r="CE280" i="21"/>
  <c r="BM286" i="21" s="1"/>
  <c r="CB280" i="21"/>
  <c r="BJ286" i="21" s="1"/>
  <c r="CH280" i="21"/>
  <c r="BP286" i="21" s="1"/>
  <c r="CI280" i="21"/>
  <c r="BQ286" i="21" s="1"/>
  <c r="BH286" i="21"/>
  <c r="CC280" i="21"/>
  <c r="BK286" i="21" s="1"/>
  <c r="CF280" i="21"/>
  <c r="BN286" i="21" s="1"/>
  <c r="CA280" i="21"/>
  <c r="BI286" i="21" s="1"/>
  <c r="CG280" i="21"/>
  <c r="BO286" i="21" s="1"/>
  <c r="BF59" i="21"/>
  <c r="O56" i="21"/>
  <c r="CK427" i="19"/>
  <c r="CG427" i="19"/>
  <c r="CA493" i="19"/>
  <c r="CA495" i="19" s="1"/>
  <c r="CA496" i="19" s="1"/>
  <c r="CG471" i="19"/>
  <c r="CG473" i="19" s="1"/>
  <c r="CG474" i="19" s="1"/>
  <c r="CJ494" i="19"/>
  <c r="CL471" i="19"/>
  <c r="CL473" i="19" s="1"/>
  <c r="CL474" i="19" s="1"/>
  <c r="CC471" i="19"/>
  <c r="CC473" i="19" s="1"/>
  <c r="CC474" i="19" s="1"/>
  <c r="BV449" i="19"/>
  <c r="BV451" i="19" s="1"/>
  <c r="BV452" i="19" s="1"/>
  <c r="BT493" i="19"/>
  <c r="BT495" i="19" s="1"/>
  <c r="BT496" i="19" s="1"/>
  <c r="CJ427" i="19"/>
  <c r="BN471" i="19"/>
  <c r="BN473" i="19" s="1"/>
  <c r="BN474" i="19" s="1"/>
  <c r="CG428" i="19"/>
  <c r="CD472" i="19"/>
  <c r="BZ450" i="19"/>
  <c r="BS449" i="19"/>
  <c r="BS451" i="19" s="1"/>
  <c r="BS452" i="19" s="1"/>
  <c r="CA449" i="19"/>
  <c r="CA451" i="19" s="1"/>
  <c r="CA452" i="19" s="1"/>
  <c r="BT449" i="19"/>
  <c r="BT451" i="19" s="1"/>
  <c r="BT452" i="19" s="1"/>
  <c r="BX449" i="19"/>
  <c r="BX451" i="19" s="1"/>
  <c r="BX452" i="19" s="1"/>
  <c r="BY427" i="19"/>
  <c r="BY450" i="19"/>
  <c r="CL427" i="19"/>
  <c r="BP471" i="19"/>
  <c r="BP473" i="19" s="1"/>
  <c r="BP474" i="19" s="1"/>
  <c r="BQ494" i="19"/>
  <c r="CH428" i="19"/>
  <c r="BQ472" i="19"/>
  <c r="BO471" i="19"/>
  <c r="BO473" i="19" s="1"/>
  <c r="BO474" i="19" s="1"/>
  <c r="BL472" i="19"/>
  <c r="BL471" i="19"/>
  <c r="BL473" i="19" s="1"/>
  <c r="BL474" i="19" s="1"/>
  <c r="CC427" i="19"/>
  <c r="BL493" i="19"/>
  <c r="BN493" i="19"/>
  <c r="BN495" i="19" s="1"/>
  <c r="BN496" i="19" s="1"/>
  <c r="BY449" i="19"/>
  <c r="BY451" i="19" s="1"/>
  <c r="BY452" i="19" s="1"/>
  <c r="CC493" i="19"/>
  <c r="CC495" i="19" s="1"/>
  <c r="CC496" i="19" s="1"/>
  <c r="BS472" i="19"/>
  <c r="CK449" i="19"/>
  <c r="CK451" i="19" s="1"/>
  <c r="CK452" i="19" s="1"/>
  <c r="BM428" i="19"/>
  <c r="CF449" i="19"/>
  <c r="CF451" i="19" s="1"/>
  <c r="CF452" i="19" s="1"/>
  <c r="BW449" i="19"/>
  <c r="BW451" i="19" s="1"/>
  <c r="BW452" i="19" s="1"/>
  <c r="BP450" i="19"/>
  <c r="BX494" i="19"/>
  <c r="BQ428" i="19"/>
  <c r="BX472" i="19"/>
  <c r="CL449" i="19"/>
  <c r="CL451" i="19" s="1"/>
  <c r="CL452" i="19" s="1"/>
  <c r="CJ428" i="19"/>
  <c r="BW494" i="19"/>
  <c r="BQ450" i="19"/>
  <c r="BZ494" i="19"/>
  <c r="BV494" i="19"/>
  <c r="BR450" i="19"/>
  <c r="CF450" i="19"/>
  <c r="CB472" i="19"/>
  <c r="CF428" i="19"/>
  <c r="CL494" i="19"/>
  <c r="CH494" i="19"/>
  <c r="BT427" i="19"/>
  <c r="BX427" i="19"/>
  <c r="BO493" i="19"/>
  <c r="BO495" i="19" s="1"/>
  <c r="BO496" i="19" s="1"/>
  <c r="CD471" i="19"/>
  <c r="CD473" i="19" s="1"/>
  <c r="CD474" i="19" s="1"/>
  <c r="CI450" i="19"/>
  <c r="CE493" i="19"/>
  <c r="CE495" i="19" s="1"/>
  <c r="CE496" i="19" s="1"/>
  <c r="BW493" i="19"/>
  <c r="BW495" i="19" s="1"/>
  <c r="BW496" i="19" s="1"/>
  <c r="CF493" i="19"/>
  <c r="CF495" i="19" s="1"/>
  <c r="CF496" i="19" s="1"/>
  <c r="BR493" i="19"/>
  <c r="BR495" i="19" s="1"/>
  <c r="BR496" i="19" s="1"/>
  <c r="CA471" i="19"/>
  <c r="CA473" i="19" s="1"/>
  <c r="CA474" i="19" s="1"/>
  <c r="BR494" i="19"/>
  <c r="CB450" i="19"/>
  <c r="BN494" i="19"/>
  <c r="CE449" i="19"/>
  <c r="CE451" i="19" s="1"/>
  <c r="CE452" i="19" s="1"/>
  <c r="BU493" i="19"/>
  <c r="BU495" i="19" s="1"/>
  <c r="BU496" i="19" s="1"/>
  <c r="BL449" i="19"/>
  <c r="BL451" i="19" s="1"/>
  <c r="BL452" i="19" s="1"/>
  <c r="BS493" i="19"/>
  <c r="BS495" i="19" s="1"/>
  <c r="BS496" i="19" s="1"/>
  <c r="BZ449" i="19"/>
  <c r="BZ451" i="19" s="1"/>
  <c r="BZ452" i="19" s="1"/>
  <c r="CD493" i="19"/>
  <c r="CD495" i="19" s="1"/>
  <c r="CD496" i="19" s="1"/>
  <c r="CD449" i="19"/>
  <c r="CD451" i="19" s="1"/>
  <c r="CD452" i="19" s="1"/>
  <c r="BS494" i="19"/>
  <c r="BX428" i="19"/>
  <c r="BY494" i="19"/>
  <c r="BQ471" i="19"/>
  <c r="BQ473" i="19" s="1"/>
  <c r="BQ474" i="19" s="1"/>
  <c r="BR428" i="19"/>
  <c r="CI427" i="19"/>
  <c r="BL428" i="19"/>
  <c r="CK493" i="19"/>
  <c r="CK495" i="19" s="1"/>
  <c r="CK496" i="19" s="1"/>
  <c r="BQ493" i="19"/>
  <c r="BQ495" i="19" s="1"/>
  <c r="BQ496" i="19" s="1"/>
  <c r="CH427" i="19"/>
  <c r="CH429" i="19" s="1"/>
  <c r="CH430" i="19" s="1"/>
  <c r="BW471" i="19"/>
  <c r="BW473" i="19" s="1"/>
  <c r="BW474" i="19" s="1"/>
  <c r="CE450" i="19"/>
  <c r="BM450" i="19"/>
  <c r="CJ471" i="19"/>
  <c r="CJ473" i="19" s="1"/>
  <c r="CJ474" i="19" s="1"/>
  <c r="CG494" i="19"/>
  <c r="BT450" i="19"/>
  <c r="CE494" i="19"/>
  <c r="BR472" i="19"/>
  <c r="BX450" i="19"/>
  <c r="BV450" i="19"/>
  <c r="CK428" i="19"/>
  <c r="BV471" i="19"/>
  <c r="BV473" i="19" s="1"/>
  <c r="BV474" i="19" s="1"/>
  <c r="CK494" i="19"/>
  <c r="BN450" i="19"/>
  <c r="BM494" i="19"/>
  <c r="CA428" i="19"/>
  <c r="CI472" i="19"/>
  <c r="CL428" i="19"/>
  <c r="BX471" i="19"/>
  <c r="BX473" i="19" s="1"/>
  <c r="BX474" i="19" s="1"/>
  <c r="CA472" i="19"/>
  <c r="BM427" i="19"/>
  <c r="BP427" i="19"/>
  <c r="CB471" i="19"/>
  <c r="CB473" i="19" s="1"/>
  <c r="CB474" i="19" s="1"/>
  <c r="CF471" i="19"/>
  <c r="CF473" i="19" s="1"/>
  <c r="CF474" i="19" s="1"/>
  <c r="BU472" i="19"/>
  <c r="CH450" i="19"/>
  <c r="BZ493" i="19"/>
  <c r="BZ495" i="19" s="1"/>
  <c r="BZ496" i="19" s="1"/>
  <c r="BY493" i="19"/>
  <c r="BY495" i="19" s="1"/>
  <c r="BY496" i="19" s="1"/>
  <c r="BU449" i="19"/>
  <c r="BU451" i="19" s="1"/>
  <c r="BU452" i="19" s="1"/>
  <c r="CI494" i="19"/>
  <c r="BS471" i="19"/>
  <c r="BS473" i="19" s="1"/>
  <c r="BS474" i="19" s="1"/>
  <c r="BM471" i="19"/>
  <c r="BM473" i="19" s="1"/>
  <c r="BM474" i="19" s="1"/>
  <c r="BW450" i="19"/>
  <c r="CK450" i="19"/>
  <c r="BT494" i="19"/>
  <c r="BN427" i="19"/>
  <c r="CK471" i="19"/>
  <c r="CK473" i="19" s="1"/>
  <c r="CK474" i="19" s="1"/>
  <c r="CB493" i="19"/>
  <c r="CB495" i="19" s="1"/>
  <c r="CB496" i="19" s="1"/>
  <c r="BN449" i="19"/>
  <c r="BN451" i="19" s="1"/>
  <c r="BN452" i="19" s="1"/>
  <c r="BV493" i="19"/>
  <c r="BV495" i="19" s="1"/>
  <c r="BV496" i="19" s="1"/>
  <c r="BO472" i="19"/>
  <c r="BW472" i="19"/>
  <c r="CL493" i="19"/>
  <c r="CL495" i="19" s="1"/>
  <c r="CL496" i="19" s="1"/>
  <c r="CA427" i="19"/>
  <c r="BP472" i="19"/>
  <c r="CI493" i="19"/>
  <c r="CI495" i="19" s="1"/>
  <c r="CI496" i="19" s="1"/>
  <c r="CB494" i="19"/>
  <c r="CE427" i="19"/>
  <c r="BP493" i="19"/>
  <c r="BP495" i="19" s="1"/>
  <c r="BP496" i="19" s="1"/>
  <c r="CC449" i="19"/>
  <c r="CC451" i="19" s="1"/>
  <c r="CC452" i="19" s="1"/>
  <c r="BQ427" i="19"/>
  <c r="CH493" i="19"/>
  <c r="CH495" i="19" s="1"/>
  <c r="CH496" i="19" s="1"/>
  <c r="CB428" i="19"/>
  <c r="CG450" i="19"/>
  <c r="BP494" i="19"/>
  <c r="CF472" i="19"/>
  <c r="BN428" i="19"/>
  <c r="CD450" i="19"/>
  <c r="BZ472" i="19"/>
  <c r="BY428" i="19"/>
  <c r="CI449" i="19"/>
  <c r="CI451" i="19" s="1"/>
  <c r="CI452" i="19" s="1"/>
  <c r="CA494" i="19"/>
  <c r="CJ472" i="19"/>
  <c r="CD428" i="19"/>
  <c r="CJ450" i="19"/>
  <c r="CG493" i="19"/>
  <c r="CG495" i="19" s="1"/>
  <c r="CG496" i="19" s="1"/>
  <c r="BU428" i="19"/>
  <c r="BT472" i="19"/>
  <c r="CK472" i="19"/>
  <c r="CG472" i="19"/>
  <c r="CC494" i="19"/>
  <c r="CA450" i="19"/>
  <c r="BY471" i="19"/>
  <c r="BY473" i="19" s="1"/>
  <c r="BY474" i="19" s="1"/>
  <c r="BU494" i="19"/>
  <c r="BZ471" i="19"/>
  <c r="BZ473" i="19" s="1"/>
  <c r="BZ474" i="19" s="1"/>
  <c r="BM472" i="19"/>
  <c r="CJ493" i="19"/>
  <c r="CJ495" i="19" s="1"/>
  <c r="CJ496" i="19" s="1"/>
  <c r="BU427" i="19"/>
  <c r="CL472" i="19"/>
  <c r="BR471" i="19"/>
  <c r="BR473" i="19" s="1"/>
  <c r="BR474" i="19" s="1"/>
  <c r="CI428" i="19"/>
  <c r="CC428" i="19"/>
  <c r="BZ428" i="19"/>
  <c r="BL450" i="19"/>
  <c r="CB427" i="19"/>
  <c r="CB429" i="19" s="1"/>
  <c r="CB430" i="19" s="1"/>
  <c r="BW427" i="19"/>
  <c r="BP428" i="19"/>
  <c r="CL450" i="19"/>
  <c r="BS450" i="19"/>
  <c r="CH472" i="19"/>
  <c r="BO427" i="19"/>
  <c r="BX493" i="19"/>
  <c r="BX495" i="19" s="1"/>
  <c r="BX496" i="19" s="1"/>
  <c r="BR449" i="19"/>
  <c r="BR451" i="19" s="1"/>
  <c r="BR452" i="19" s="1"/>
  <c r="BM449" i="19"/>
  <c r="BM451" i="19" s="1"/>
  <c r="BM452" i="19" s="1"/>
  <c r="BS428" i="19"/>
  <c r="BQ449" i="19"/>
  <c r="BQ451" i="19" s="1"/>
  <c r="BQ452" i="19" s="1"/>
  <c r="CF427" i="19"/>
  <c r="BT428" i="19"/>
  <c r="CG449" i="19"/>
  <c r="CG451" i="19" s="1"/>
  <c r="CG452" i="19" s="1"/>
  <c r="BL494" i="19"/>
  <c r="BV428" i="19"/>
  <c r="CH449" i="19"/>
  <c r="CH451" i="19" s="1"/>
  <c r="CH452" i="19" s="1"/>
  <c r="CC472" i="19"/>
  <c r="BV472" i="19"/>
  <c r="CF494" i="19"/>
  <c r="CD427" i="19"/>
  <c r="CE471" i="19"/>
  <c r="CE473" i="19" s="1"/>
  <c r="CE474" i="19" s="1"/>
  <c r="BN472" i="19"/>
  <c r="BR427" i="19"/>
  <c r="BT471" i="19"/>
  <c r="BT473" i="19" s="1"/>
  <c r="BT474" i="19" s="1"/>
  <c r="BO428" i="19"/>
  <c r="BM493" i="19"/>
  <c r="BL427" i="19"/>
  <c r="BL429" i="19" s="1"/>
  <c r="BL430" i="19" s="1"/>
  <c r="BO450" i="19"/>
  <c r="CE472" i="19"/>
  <c r="CH471" i="19"/>
  <c r="CH473" i="19" s="1"/>
  <c r="CH474" i="19" s="1"/>
  <c r="BU471" i="19"/>
  <c r="BU473" i="19" s="1"/>
  <c r="BU474" i="19" s="1"/>
  <c r="CD494" i="19"/>
  <c r="BO449" i="19"/>
  <c r="BO451" i="19" s="1"/>
  <c r="BO452" i="19" s="1"/>
  <c r="BZ427" i="19"/>
  <c r="BY472" i="19"/>
  <c r="CB449" i="19"/>
  <c r="CB451" i="19" s="1"/>
  <c r="CB452" i="19" s="1"/>
  <c r="CC450" i="19"/>
  <c r="CE428" i="19"/>
  <c r="BU450" i="19"/>
  <c r="BV427" i="19"/>
  <c r="BV429" i="19" s="1"/>
  <c r="BV430" i="19" s="1"/>
  <c r="BS427" i="19"/>
  <c r="BS429" i="19" s="1"/>
  <c r="BS430" i="19" s="1"/>
  <c r="BP449" i="19"/>
  <c r="BP451" i="19" s="1"/>
  <c r="BP452" i="19" s="1"/>
  <c r="BW428" i="19"/>
  <c r="CI471" i="19"/>
  <c r="CI473" i="19" s="1"/>
  <c r="CI474" i="19" s="1"/>
  <c r="BO494" i="19"/>
  <c r="CJ449" i="19"/>
  <c r="CJ451" i="19" s="1"/>
  <c r="CJ452" i="19" s="1"/>
  <c r="O58" i="21"/>
  <c r="BF69" i="21"/>
  <c r="J223" i="21"/>
  <c r="J198" i="21" s="1"/>
  <c r="K222" i="21"/>
  <c r="J222" i="21" s="1"/>
  <c r="J197" i="21" s="1"/>
  <c r="N42" i="4"/>
  <c r="M42" i="4" s="1"/>
  <c r="AK55" i="21"/>
  <c r="D107" i="13"/>
  <c r="D126" i="13"/>
  <c r="G126" i="13" s="1"/>
  <c r="M118" i="13"/>
  <c r="N118" i="13" s="1"/>
  <c r="L10" i="11"/>
  <c r="AC32" i="11"/>
  <c r="AW16" i="11"/>
  <c r="D117" i="13"/>
  <c r="M122" i="13" s="1"/>
  <c r="O55" i="21"/>
  <c r="BF53" i="21"/>
  <c r="CF261" i="19"/>
  <c r="CA283" i="19"/>
  <c r="BR304" i="19"/>
  <c r="BR306" i="19" s="1"/>
  <c r="BR307" i="19" s="1"/>
  <c r="BR238" i="19"/>
  <c r="BR240" i="19" s="1"/>
  <c r="BR241" i="19" s="1"/>
  <c r="BX261" i="19"/>
  <c r="CK261" i="19"/>
  <c r="BP305" i="19"/>
  <c r="BR283" i="19"/>
  <c r="CG304" i="19"/>
  <c r="CG306" i="19" s="1"/>
  <c r="CG307" i="19" s="1"/>
  <c r="CC260" i="19"/>
  <c r="CC262" i="19" s="1"/>
  <c r="CC263" i="19" s="1"/>
  <c r="CC283" i="19"/>
  <c r="CB305" i="19"/>
  <c r="CH260" i="19"/>
  <c r="CH262" i="19" s="1"/>
  <c r="CH263" i="19" s="1"/>
  <c r="BV238" i="19"/>
  <c r="BV240" i="19" s="1"/>
  <c r="BV241" i="19" s="1"/>
  <c r="CG260" i="19"/>
  <c r="CG262" i="19" s="1"/>
  <c r="CG263" i="19" s="1"/>
  <c r="BS238" i="19"/>
  <c r="BS240" i="19" s="1"/>
  <c r="BS241" i="19" s="1"/>
  <c r="BZ238" i="19"/>
  <c r="BZ240" i="19" s="1"/>
  <c r="BZ241" i="19" s="1"/>
  <c r="CH305" i="19"/>
  <c r="BO282" i="19"/>
  <c r="BO284" i="19" s="1"/>
  <c r="BO285" i="19" s="1"/>
  <c r="BY260" i="19"/>
  <c r="BY262" i="19" s="1"/>
  <c r="BY263" i="19" s="1"/>
  <c r="BS305" i="19"/>
  <c r="BY283" i="19"/>
  <c r="CJ239" i="19"/>
  <c r="BW304" i="19"/>
  <c r="BW306" i="19" s="1"/>
  <c r="BW307" i="19" s="1"/>
  <c r="BW283" i="19"/>
  <c r="CD283" i="19"/>
  <c r="CD261" i="19"/>
  <c r="BN305" i="19"/>
  <c r="CC304" i="19"/>
  <c r="CC306" i="19" s="1"/>
  <c r="CC307" i="19" s="1"/>
  <c r="BM260" i="19"/>
  <c r="BM262" i="19" s="1"/>
  <c r="BM263" i="19" s="1"/>
  <c r="BQ239" i="19"/>
  <c r="CK282" i="19"/>
  <c r="CK284" i="19" s="1"/>
  <c r="CK285" i="19" s="1"/>
  <c r="BS282" i="19"/>
  <c r="BS284" i="19" s="1"/>
  <c r="BS285" i="19" s="1"/>
  <c r="BT305" i="19"/>
  <c r="CL304" i="19"/>
  <c r="CL306" i="19" s="1"/>
  <c r="CL307" i="19" s="1"/>
  <c r="BO238" i="19"/>
  <c r="BO240" i="19" s="1"/>
  <c r="BO241" i="19" s="1"/>
  <c r="BZ305" i="19"/>
  <c r="BV239" i="19"/>
  <c r="CJ304" i="19"/>
  <c r="CJ306" i="19" s="1"/>
  <c r="CJ307" i="19" s="1"/>
  <c r="CD304" i="19"/>
  <c r="CD306" i="19" s="1"/>
  <c r="CD307" i="19" s="1"/>
  <c r="BV260" i="19"/>
  <c r="BV262" i="19" s="1"/>
  <c r="BV263" i="19" s="1"/>
  <c r="CI239" i="19"/>
  <c r="CL261" i="19"/>
  <c r="CF283" i="19"/>
  <c r="CF282" i="19"/>
  <c r="CF284" i="19" s="1"/>
  <c r="CF285" i="19" s="1"/>
  <c r="CG282" i="19"/>
  <c r="CG284" i="19" s="1"/>
  <c r="CG285" i="19" s="1"/>
  <c r="BN282" i="19"/>
  <c r="BN284" i="19" s="1"/>
  <c r="BN285" i="19" s="1"/>
  <c r="CE305" i="19"/>
  <c r="CA260" i="19"/>
  <c r="CA262" i="19" s="1"/>
  <c r="CA263" i="19" s="1"/>
  <c r="CI305" i="19"/>
  <c r="BR261" i="19"/>
  <c r="BL239" i="19"/>
  <c r="BW282" i="19"/>
  <c r="BW284" i="19" s="1"/>
  <c r="BW285" i="19" s="1"/>
  <c r="BU305" i="19"/>
  <c r="CA305" i="19"/>
  <c r="BX239" i="19"/>
  <c r="CG305" i="19"/>
  <c r="CB304" i="19"/>
  <c r="CB306" i="19" s="1"/>
  <c r="CB307" i="19" s="1"/>
  <c r="BR260" i="19"/>
  <c r="BR262" i="19" s="1"/>
  <c r="BR263" i="19" s="1"/>
  <c r="BM238" i="19"/>
  <c r="BM240" i="19" s="1"/>
  <c r="BM241" i="19" s="1"/>
  <c r="BW305" i="19"/>
  <c r="BR239" i="19"/>
  <c r="BN239" i="19"/>
  <c r="BR305" i="19"/>
  <c r="BQ304" i="19"/>
  <c r="BQ306" i="19" s="1"/>
  <c r="BQ307" i="19" s="1"/>
  <c r="CE283" i="19"/>
  <c r="BT261" i="19"/>
  <c r="BV282" i="19"/>
  <c r="BV284" i="19" s="1"/>
  <c r="BV285" i="19" s="1"/>
  <c r="BQ282" i="19"/>
  <c r="BQ284" i="19" s="1"/>
  <c r="BQ285" i="19" s="1"/>
  <c r="CE260" i="19"/>
  <c r="CE262" i="19" s="1"/>
  <c r="CE263" i="19" s="1"/>
  <c r="CE304" i="19"/>
  <c r="CE306" i="19" s="1"/>
  <c r="CE307" i="19" s="1"/>
  <c r="BP260" i="19"/>
  <c r="BP262" i="19" s="1"/>
  <c r="BP263" i="19" s="1"/>
  <c r="BQ238" i="19"/>
  <c r="BQ240" i="19" s="1"/>
  <c r="BQ241" i="19" s="1"/>
  <c r="BM305" i="19"/>
  <c r="BT239" i="19"/>
  <c r="CG261" i="19"/>
  <c r="CD305" i="19"/>
  <c r="CG239" i="19"/>
  <c r="BN260" i="19"/>
  <c r="BN262" i="19" s="1"/>
  <c r="BN263" i="19" s="1"/>
  <c r="BZ304" i="19"/>
  <c r="BZ306" i="19" s="1"/>
  <c r="BZ307" i="19" s="1"/>
  <c r="BQ260" i="19"/>
  <c r="BQ262" i="19" s="1"/>
  <c r="BQ263" i="19" s="1"/>
  <c r="BU282" i="19"/>
  <c r="BU284" i="19" s="1"/>
  <c r="BU285" i="19" s="1"/>
  <c r="CB260" i="19"/>
  <c r="CB262" i="19" s="1"/>
  <c r="CB263" i="19" s="1"/>
  <c r="CK239" i="19"/>
  <c r="CK260" i="19"/>
  <c r="CK262" i="19" s="1"/>
  <c r="CK263" i="19" s="1"/>
  <c r="BX238" i="19"/>
  <c r="BX240" i="19" s="1"/>
  <c r="BX241" i="19" s="1"/>
  <c r="CF239" i="19"/>
  <c r="BX304" i="19"/>
  <c r="BX306" i="19" s="1"/>
  <c r="BX307" i="19" s="1"/>
  <c r="CK238" i="19"/>
  <c r="CK240" i="19" s="1"/>
  <c r="CK241" i="19" s="1"/>
  <c r="CL238" i="19"/>
  <c r="CL240" i="19" s="1"/>
  <c r="CL241" i="19" s="1"/>
  <c r="BU239" i="19"/>
  <c r="CI261" i="19"/>
  <c r="BL261" i="19"/>
  <c r="CI238" i="19"/>
  <c r="CI240" i="19" s="1"/>
  <c r="CI241" i="19" s="1"/>
  <c r="CH238" i="19"/>
  <c r="CH240" i="19" s="1"/>
  <c r="CH241" i="19" s="1"/>
  <c r="BU238" i="19"/>
  <c r="BU240" i="19" s="1"/>
  <c r="BU241" i="19" s="1"/>
  <c r="BL304" i="19"/>
  <c r="BL306" i="19" s="1"/>
  <c r="BL307" i="19" s="1"/>
  <c r="CD239" i="19"/>
  <c r="CB283" i="19"/>
  <c r="BT260" i="19"/>
  <c r="BT262" i="19" s="1"/>
  <c r="BT263" i="19" s="1"/>
  <c r="CG283" i="19"/>
  <c r="BS260" i="19"/>
  <c r="BS262" i="19" s="1"/>
  <c r="BS263" i="19" s="1"/>
  <c r="CI260" i="19"/>
  <c r="CI262" i="19" s="1"/>
  <c r="CI263" i="19" s="1"/>
  <c r="BP282" i="19"/>
  <c r="BP284" i="19" s="1"/>
  <c r="BP285" i="19" s="1"/>
  <c r="BW238" i="19"/>
  <c r="BW240" i="19" s="1"/>
  <c r="BW241" i="19" s="1"/>
  <c r="BO261" i="19"/>
  <c r="BT282" i="19"/>
  <c r="BT284" i="19" s="1"/>
  <c r="BT285" i="19" s="1"/>
  <c r="CJ261" i="19"/>
  <c r="CH261" i="19"/>
  <c r="CA239" i="19"/>
  <c r="BM261" i="19"/>
  <c r="BM304" i="19"/>
  <c r="BM306" i="19" s="1"/>
  <c r="BM307" i="19" s="1"/>
  <c r="CE239" i="19"/>
  <c r="CF238" i="19"/>
  <c r="CF240" i="19" s="1"/>
  <c r="CF241" i="19" s="1"/>
  <c r="BV304" i="19"/>
  <c r="BV306" i="19" s="1"/>
  <c r="BV307" i="19" s="1"/>
  <c r="BO239" i="19"/>
  <c r="CE282" i="19"/>
  <c r="CE284" i="19" s="1"/>
  <c r="CE285" i="19" s="1"/>
  <c r="BU261" i="19"/>
  <c r="BW261" i="19"/>
  <c r="CF305" i="19"/>
  <c r="CC239" i="19"/>
  <c r="BY261" i="19"/>
  <c r="CC305" i="19"/>
  <c r="BM239" i="19"/>
  <c r="BZ283" i="19"/>
  <c r="BT304" i="19"/>
  <c r="BT306" i="19" s="1"/>
  <c r="BT307" i="19" s="1"/>
  <c r="BY282" i="19"/>
  <c r="BY284" i="19" s="1"/>
  <c r="BY285" i="19" s="1"/>
  <c r="BL238" i="19"/>
  <c r="BL240" i="19" s="1"/>
  <c r="BL241" i="19" s="1"/>
  <c r="BO304" i="19"/>
  <c r="BO306" i="19" s="1"/>
  <c r="BO307" i="19" s="1"/>
  <c r="BS239" i="19"/>
  <c r="BO305" i="19"/>
  <c r="CK283" i="19"/>
  <c r="CA238" i="19"/>
  <c r="CA240" i="19" s="1"/>
  <c r="CA241" i="19" s="1"/>
  <c r="CA261" i="19"/>
  <c r="CL260" i="19"/>
  <c r="CL262" i="19" s="1"/>
  <c r="CL263" i="19" s="1"/>
  <c r="BQ261" i="19"/>
  <c r="CB239" i="19"/>
  <c r="CL239" i="19"/>
  <c r="BT283" i="19"/>
  <c r="CG238" i="19"/>
  <c r="CG240" i="19" s="1"/>
  <c r="CG241" i="19" s="1"/>
  <c r="CA282" i="19"/>
  <c r="CA284" i="19" s="1"/>
  <c r="CA285" i="19" s="1"/>
  <c r="BU283" i="19"/>
  <c r="BV283" i="19"/>
  <c r="CK305" i="19"/>
  <c r="BL305" i="19"/>
  <c r="BU260" i="19"/>
  <c r="BU262" i="19" s="1"/>
  <c r="BU263" i="19" s="1"/>
  <c r="BW260" i="19"/>
  <c r="BW262" i="19" s="1"/>
  <c r="BW263" i="19" s="1"/>
  <c r="CF304" i="19"/>
  <c r="CF306" i="19" s="1"/>
  <c r="CF307" i="19" s="1"/>
  <c r="BT238" i="19"/>
  <c r="BT240" i="19" s="1"/>
  <c r="BT241" i="19" s="1"/>
  <c r="CJ305" i="19"/>
  <c r="CC261" i="19"/>
  <c r="BX282" i="19"/>
  <c r="BX284" i="19" s="1"/>
  <c r="BX285" i="19" s="1"/>
  <c r="CE238" i="19"/>
  <c r="CE240" i="19" s="1"/>
  <c r="CE241" i="19" s="1"/>
  <c r="BS283" i="19"/>
  <c r="CD238" i="19"/>
  <c r="CD240" i="19" s="1"/>
  <c r="CD241" i="19" s="1"/>
  <c r="BZ239" i="19"/>
  <c r="BL283" i="19"/>
  <c r="BS304" i="19"/>
  <c r="BS306" i="19" s="1"/>
  <c r="BS307" i="19" s="1"/>
  <c r="CI282" i="19"/>
  <c r="CI284" i="19" s="1"/>
  <c r="CI285" i="19" s="1"/>
  <c r="BU304" i="19"/>
  <c r="BU306" i="19" s="1"/>
  <c r="BU307" i="19" s="1"/>
  <c r="BN238" i="19"/>
  <c r="BN240" i="19" s="1"/>
  <c r="BN241" i="19" s="1"/>
  <c r="BM282" i="19"/>
  <c r="BM284" i="19" s="1"/>
  <c r="BM285" i="19" s="1"/>
  <c r="CK304" i="19"/>
  <c r="CK306" i="19" s="1"/>
  <c r="CK307" i="19" s="1"/>
  <c r="BP304" i="19"/>
  <c r="BP306" i="19" s="1"/>
  <c r="BP307" i="19" s="1"/>
  <c r="CC282" i="19"/>
  <c r="CC284" i="19" s="1"/>
  <c r="CC285" i="19" s="1"/>
  <c r="BX305" i="19"/>
  <c r="CH239" i="19"/>
  <c r="BO283" i="19"/>
  <c r="CJ238" i="19"/>
  <c r="CJ240" i="19" s="1"/>
  <c r="CJ241" i="19" s="1"/>
  <c r="CH304" i="19"/>
  <c r="CH306" i="19" s="1"/>
  <c r="CH307" i="19" s="1"/>
  <c r="CH282" i="19"/>
  <c r="CH284" i="19" s="1"/>
  <c r="CH285" i="19" s="1"/>
  <c r="CC238" i="19"/>
  <c r="CC240" i="19" s="1"/>
  <c r="CC241" i="19" s="1"/>
  <c r="BL260" i="19"/>
  <c r="BL262" i="19" s="1"/>
  <c r="BL263" i="19" s="1"/>
  <c r="BY305" i="19"/>
  <c r="BR282" i="19"/>
  <c r="BR284" i="19" s="1"/>
  <c r="BR285" i="19" s="1"/>
  <c r="BY238" i="19"/>
  <c r="BY240" i="19" s="1"/>
  <c r="BY241" i="19" s="1"/>
  <c r="BP238" i="19"/>
  <c r="BP240" i="19" s="1"/>
  <c r="BP241" i="19" s="1"/>
  <c r="CB261" i="19"/>
  <c r="CL283" i="19"/>
  <c r="BP261" i="19"/>
  <c r="BZ261" i="19"/>
  <c r="BP283" i="19"/>
  <c r="CI283" i="19"/>
  <c r="CJ260" i="19"/>
  <c r="CJ262" i="19" s="1"/>
  <c r="CJ263" i="19" s="1"/>
  <c r="BS261" i="19"/>
  <c r="CL282" i="19"/>
  <c r="CL284" i="19" s="1"/>
  <c r="CL285" i="19" s="1"/>
  <c r="BL282" i="19"/>
  <c r="BL284" i="19" s="1"/>
  <c r="BL285" i="19" s="1"/>
  <c r="BN304" i="19"/>
  <c r="BN306" i="19" s="1"/>
  <c r="BN307" i="19" s="1"/>
  <c r="BY304" i="19"/>
  <c r="BY306" i="19" s="1"/>
  <c r="BY307" i="19" s="1"/>
  <c r="BM283" i="19"/>
  <c r="CJ283" i="19"/>
  <c r="CD282" i="19"/>
  <c r="CD284" i="19" s="1"/>
  <c r="CD285" i="19" s="1"/>
  <c r="CI304" i="19"/>
  <c r="CI306" i="19" s="1"/>
  <c r="CI307" i="19" s="1"/>
  <c r="CL305" i="19"/>
  <c r="BN261" i="19"/>
  <c r="BW239" i="19"/>
  <c r="BZ282" i="19"/>
  <c r="BZ284" i="19" s="1"/>
  <c r="BZ285" i="19" s="1"/>
  <c r="BN283" i="19"/>
  <c r="BQ283" i="19"/>
  <c r="BY239" i="19"/>
  <c r="CE261" i="19"/>
  <c r="BQ305" i="19"/>
  <c r="CF260" i="19"/>
  <c r="CF262" i="19" s="1"/>
  <c r="CF263" i="19" s="1"/>
  <c r="BZ260" i="19"/>
  <c r="BZ262" i="19" s="1"/>
  <c r="BZ263" i="19" s="1"/>
  <c r="CD260" i="19"/>
  <c r="CD262" i="19" s="1"/>
  <c r="CD263" i="19" s="1"/>
  <c r="CB238" i="19"/>
  <c r="CB240" i="19" s="1"/>
  <c r="CB241" i="19" s="1"/>
  <c r="BX260" i="19"/>
  <c r="BX262" i="19" s="1"/>
  <c r="BX263" i="19" s="1"/>
  <c r="CA304" i="19"/>
  <c r="CA306" i="19" s="1"/>
  <c r="CA307" i="19" s="1"/>
  <c r="BP239" i="19"/>
  <c r="CB282" i="19"/>
  <c r="CB284" i="19" s="1"/>
  <c r="CB285" i="19" s="1"/>
  <c r="BX283" i="19"/>
  <c r="BO260" i="19"/>
  <c r="BO262" i="19" s="1"/>
  <c r="BO263" i="19" s="1"/>
  <c r="BV305" i="19"/>
  <c r="CJ282" i="19"/>
  <c r="CJ284" i="19" s="1"/>
  <c r="CJ285" i="19" s="1"/>
  <c r="BV261" i="19"/>
  <c r="CH283" i="19"/>
  <c r="O57" i="21"/>
  <c r="BF64" i="21"/>
  <c r="J279" i="21"/>
  <c r="J254" i="21" s="1"/>
  <c r="K278" i="21"/>
  <c r="J278" i="21" s="1"/>
  <c r="J253" i="21" s="1"/>
  <c r="N43" i="4"/>
  <c r="M43" i="4" s="1"/>
  <c r="T43" i="4" s="1"/>
  <c r="AK56" i="21"/>
  <c r="Q153" i="4"/>
  <c r="Q154" i="4" s="1"/>
  <c r="C16" i="10"/>
  <c r="H145" i="4"/>
  <c r="R153" i="4"/>
  <c r="C51" i="11"/>
  <c r="C64" i="13" s="1"/>
  <c r="J263" i="4"/>
  <c r="J275" i="4"/>
  <c r="P29" i="11"/>
  <c r="I63" i="4"/>
  <c r="I65" i="4" s="1"/>
  <c r="I66" i="4" s="1"/>
  <c r="M275" i="4"/>
  <c r="N275" i="4" s="1"/>
  <c r="C23" i="11"/>
  <c r="AC35" i="11" s="1"/>
  <c r="CA224" i="21"/>
  <c r="BI230" i="21" s="1"/>
  <c r="CF224" i="21"/>
  <c r="BN230" i="21" s="1"/>
  <c r="CB224" i="21"/>
  <c r="BJ230" i="21" s="1"/>
  <c r="CI224" i="21"/>
  <c r="BQ230" i="21" s="1"/>
  <c r="CC224" i="21"/>
  <c r="BK230" i="21" s="1"/>
  <c r="BH230" i="21"/>
  <c r="CH224" i="21"/>
  <c r="BP230" i="21" s="1"/>
  <c r="CJ224" i="21"/>
  <c r="BR230" i="21" s="1"/>
  <c r="CG224" i="21"/>
  <c r="BO230" i="21" s="1"/>
  <c r="CE224" i="21"/>
  <c r="BM230" i="21" s="1"/>
  <c r="P282" i="19"/>
  <c r="P284" i="19" s="1"/>
  <c r="P285" i="19" s="1"/>
  <c r="Q305" i="19"/>
  <c r="R304" i="19"/>
  <c r="R306" i="19" s="1"/>
  <c r="R307" i="19" s="1"/>
  <c r="V239" i="19"/>
  <c r="T304" i="19"/>
  <c r="T306" i="19" s="1"/>
  <c r="T307" i="19" s="1"/>
  <c r="X239" i="19"/>
  <c r="Z304" i="19"/>
  <c r="Z306" i="19" s="1"/>
  <c r="Z307" i="19" s="1"/>
  <c r="P304" i="19"/>
  <c r="P306" i="19" s="1"/>
  <c r="P307" i="19" s="1"/>
  <c r="AC260" i="19"/>
  <c r="AC262" i="19" s="1"/>
  <c r="AC263" i="19" s="1"/>
  <c r="Q238" i="19"/>
  <c r="Q240" i="19" s="1"/>
  <c r="Q241" i="19" s="1"/>
  <c r="AC239" i="19"/>
  <c r="R260" i="19"/>
  <c r="R262" i="19" s="1"/>
  <c r="R263" i="19" s="1"/>
  <c r="I304" i="19"/>
  <c r="I306" i="19" s="1"/>
  <c r="I307" i="19" s="1"/>
  <c r="P238" i="19"/>
  <c r="P240" i="19" s="1"/>
  <c r="P241" i="19" s="1"/>
  <c r="AA304" i="19"/>
  <c r="AA306" i="19" s="1"/>
  <c r="AA307" i="19" s="1"/>
  <c r="D261" i="19"/>
  <c r="F282" i="19"/>
  <c r="F284" i="19" s="1"/>
  <c r="F285" i="19" s="1"/>
  <c r="S261" i="19"/>
  <c r="X261" i="19"/>
  <c r="N304" i="19"/>
  <c r="N306" i="19" s="1"/>
  <c r="N307" i="19" s="1"/>
  <c r="H283" i="19"/>
  <c r="I305" i="19"/>
  <c r="H282" i="19"/>
  <c r="H284" i="19" s="1"/>
  <c r="H285" i="19" s="1"/>
  <c r="Q260" i="19"/>
  <c r="Q262" i="19" s="1"/>
  <c r="Q263" i="19" s="1"/>
  <c r="E239" i="19"/>
  <c r="O238" i="19"/>
  <c r="O240" i="19" s="1"/>
  <c r="O241" i="19" s="1"/>
  <c r="M282" i="19"/>
  <c r="M284" i="19" s="1"/>
  <c r="M285" i="19" s="1"/>
  <c r="G283" i="19"/>
  <c r="AC238" i="19"/>
  <c r="AC240" i="19" s="1"/>
  <c r="AC241" i="19" s="1"/>
  <c r="N260" i="19"/>
  <c r="N262" i="19" s="1"/>
  <c r="N263" i="19" s="1"/>
  <c r="L305" i="19"/>
  <c r="J282" i="19"/>
  <c r="J284" i="19" s="1"/>
  <c r="J285" i="19" s="1"/>
  <c r="Y239" i="19"/>
  <c r="AC282" i="19"/>
  <c r="AC284" i="19" s="1"/>
  <c r="AC285" i="19" s="1"/>
  <c r="X283" i="19"/>
  <c r="L282" i="19"/>
  <c r="L284" i="19" s="1"/>
  <c r="L285" i="19" s="1"/>
  <c r="Y238" i="19"/>
  <c r="Y240" i="19" s="1"/>
  <c r="Y241" i="19" s="1"/>
  <c r="M305" i="19"/>
  <c r="U238" i="19"/>
  <c r="U240" i="19" s="1"/>
  <c r="U241" i="19" s="1"/>
  <c r="M260" i="19"/>
  <c r="M262" i="19" s="1"/>
  <c r="M263" i="19" s="1"/>
  <c r="U239" i="19"/>
  <c r="L260" i="19"/>
  <c r="L262" i="19" s="1"/>
  <c r="L263" i="19" s="1"/>
  <c r="Q261" i="19"/>
  <c r="T305" i="19"/>
  <c r="W261" i="19"/>
  <c r="J283" i="19"/>
  <c r="AA239" i="19"/>
  <c r="R305" i="19"/>
  <c r="S305" i="19"/>
  <c r="V305" i="19"/>
  <c r="J304" i="19"/>
  <c r="J306" i="19" s="1"/>
  <c r="J307" i="19" s="1"/>
  <c r="T260" i="19"/>
  <c r="T262" i="19" s="1"/>
  <c r="T263" i="19" s="1"/>
  <c r="H305" i="19"/>
  <c r="G282" i="19"/>
  <c r="G284" i="19" s="1"/>
  <c r="G285" i="19" s="1"/>
  <c r="V261" i="19"/>
  <c r="S260" i="19"/>
  <c r="S262" i="19" s="1"/>
  <c r="S263" i="19" s="1"/>
  <c r="AB282" i="19"/>
  <c r="AB284" i="19" s="1"/>
  <c r="AB285" i="19" s="1"/>
  <c r="X282" i="19"/>
  <c r="X284" i="19" s="1"/>
  <c r="X285" i="19" s="1"/>
  <c r="H304" i="19"/>
  <c r="H306" i="19" s="1"/>
  <c r="H307" i="19" s="1"/>
  <c r="R239" i="19"/>
  <c r="K239" i="19"/>
  <c r="G238" i="19"/>
  <c r="G240" i="19" s="1"/>
  <c r="G241" i="19" s="1"/>
  <c r="F260" i="19"/>
  <c r="F262" i="19" s="1"/>
  <c r="F263" i="19" s="1"/>
  <c r="S304" i="19"/>
  <c r="S306" i="19" s="1"/>
  <c r="S307" i="19" s="1"/>
  <c r="L304" i="19"/>
  <c r="L306" i="19" s="1"/>
  <c r="L307" i="19" s="1"/>
  <c r="AA261" i="19"/>
  <c r="AD260" i="19"/>
  <c r="AD262" i="19" s="1"/>
  <c r="AD263" i="19" s="1"/>
  <c r="P261" i="19"/>
  <c r="Z261" i="19"/>
  <c r="G239" i="19"/>
  <c r="W282" i="19"/>
  <c r="W284" i="19" s="1"/>
  <c r="W285" i="19" s="1"/>
  <c r="L238" i="19"/>
  <c r="L240" i="19" s="1"/>
  <c r="L241" i="19" s="1"/>
  <c r="F238" i="19"/>
  <c r="F240" i="19" s="1"/>
  <c r="F241" i="19" s="1"/>
  <c r="E261" i="19"/>
  <c r="V282" i="19"/>
  <c r="V284" i="19" s="1"/>
  <c r="V285" i="19" s="1"/>
  <c r="O239" i="19"/>
  <c r="P283" i="19"/>
  <c r="X305" i="19"/>
  <c r="F239" i="19"/>
  <c r="H261" i="19"/>
  <c r="AB238" i="19"/>
  <c r="AB240" i="19" s="1"/>
  <c r="AB241" i="19" s="1"/>
  <c r="Y283" i="19"/>
  <c r="AB239" i="19"/>
  <c r="O282" i="19"/>
  <c r="O284" i="19" s="1"/>
  <c r="O285" i="19" s="1"/>
  <c r="Y305" i="19"/>
  <c r="P260" i="19"/>
  <c r="P262" i="19" s="1"/>
  <c r="P263" i="19" s="1"/>
  <c r="D304" i="19"/>
  <c r="D306" i="19" s="1"/>
  <c r="D307" i="19" s="1"/>
  <c r="J260" i="19"/>
  <c r="J262" i="19" s="1"/>
  <c r="J263" i="19" s="1"/>
  <c r="U260" i="19"/>
  <c r="U262" i="19" s="1"/>
  <c r="U263" i="19" s="1"/>
  <c r="Y282" i="19"/>
  <c r="Y284" i="19" s="1"/>
  <c r="Y285" i="19" s="1"/>
  <c r="L261" i="19"/>
  <c r="Z239" i="19"/>
  <c r="Q239" i="19"/>
  <c r="E283" i="19"/>
  <c r="T261" i="19"/>
  <c r="J261" i="19"/>
  <c r="G261" i="19"/>
  <c r="L239" i="19"/>
  <c r="AD304" i="19"/>
  <c r="AD306" i="19" s="1"/>
  <c r="AD307" i="19" s="1"/>
  <c r="AB283" i="19"/>
  <c r="R261" i="19"/>
  <c r="AB261" i="19"/>
  <c r="W305" i="19"/>
  <c r="K282" i="19"/>
  <c r="K284" i="19" s="1"/>
  <c r="K285" i="19" s="1"/>
  <c r="E260" i="19"/>
  <c r="E262" i="19" s="1"/>
  <c r="E263" i="19" s="1"/>
  <c r="U305" i="19"/>
  <c r="N305" i="19"/>
  <c r="V304" i="19"/>
  <c r="V306" i="19" s="1"/>
  <c r="V307" i="19" s="1"/>
  <c r="O304" i="19"/>
  <c r="O306" i="19" s="1"/>
  <c r="O307" i="19" s="1"/>
  <c r="G304" i="19"/>
  <c r="G306" i="19" s="1"/>
  <c r="G307" i="19" s="1"/>
  <c r="K304" i="19"/>
  <c r="K306" i="19" s="1"/>
  <c r="K307" i="19" s="1"/>
  <c r="M238" i="19"/>
  <c r="M240" i="19" s="1"/>
  <c r="M241" i="19" s="1"/>
  <c r="I238" i="19"/>
  <c r="I240" i="19" s="1"/>
  <c r="I241" i="19" s="1"/>
  <c r="Y260" i="19"/>
  <c r="Y262" i="19" s="1"/>
  <c r="Y263" i="19" s="1"/>
  <c r="T238" i="19"/>
  <c r="T240" i="19" s="1"/>
  <c r="T241" i="19" s="1"/>
  <c r="G260" i="19"/>
  <c r="G262" i="19" s="1"/>
  <c r="G263" i="19" s="1"/>
  <c r="AD261" i="19"/>
  <c r="P305" i="19"/>
  <c r="M239" i="19"/>
  <c r="X260" i="19"/>
  <c r="X262" i="19" s="1"/>
  <c r="X263" i="19" s="1"/>
  <c r="Q282" i="19"/>
  <c r="Q284" i="19" s="1"/>
  <c r="Q285" i="19" s="1"/>
  <c r="Z260" i="19"/>
  <c r="Z262" i="19" s="1"/>
  <c r="Z263" i="19" s="1"/>
  <c r="K260" i="19"/>
  <c r="K262" i="19" s="1"/>
  <c r="K263" i="19" s="1"/>
  <c r="E282" i="19"/>
  <c r="E284" i="19" s="1"/>
  <c r="E285" i="19" s="1"/>
  <c r="V238" i="19"/>
  <c r="V240" i="19" s="1"/>
  <c r="V241" i="19" s="1"/>
  <c r="S238" i="19"/>
  <c r="S240" i="19" s="1"/>
  <c r="S241" i="19" s="1"/>
  <c r="K238" i="19"/>
  <c r="K240" i="19" s="1"/>
  <c r="K241" i="19" s="1"/>
  <c r="AA238" i="19"/>
  <c r="AA240" i="19" s="1"/>
  <c r="AA241" i="19" s="1"/>
  <c r="I260" i="19"/>
  <c r="I262" i="19" s="1"/>
  <c r="I263" i="19" s="1"/>
  <c r="AD305" i="19"/>
  <c r="W283" i="19"/>
  <c r="D238" i="19"/>
  <c r="D240" i="19" s="1"/>
  <c r="D241" i="19" s="1"/>
  <c r="D282" i="19"/>
  <c r="D284" i="19" s="1"/>
  <c r="D285" i="19" s="1"/>
  <c r="S282" i="19"/>
  <c r="S284" i="19" s="1"/>
  <c r="S285" i="19" s="1"/>
  <c r="M304" i="19"/>
  <c r="M306" i="19" s="1"/>
  <c r="M307" i="19" s="1"/>
  <c r="D239" i="19"/>
  <c r="I239" i="19"/>
  <c r="P239" i="19"/>
  <c r="I283" i="19"/>
  <c r="U261" i="19"/>
  <c r="G305" i="19"/>
  <c r="O305" i="19"/>
  <c r="K261" i="19"/>
  <c r="T283" i="19"/>
  <c r="AD283" i="19"/>
  <c r="AB305" i="19"/>
  <c r="I261" i="19"/>
  <c r="M283" i="19"/>
  <c r="AB260" i="19"/>
  <c r="AB262" i="19" s="1"/>
  <c r="AB263" i="19" s="1"/>
  <c r="N283" i="19"/>
  <c r="R282" i="19"/>
  <c r="R284" i="19" s="1"/>
  <c r="R285" i="19" s="1"/>
  <c r="W260" i="19"/>
  <c r="W262" i="19" s="1"/>
  <c r="W263" i="19" s="1"/>
  <c r="O261" i="19"/>
  <c r="Q283" i="19"/>
  <c r="W304" i="19"/>
  <c r="W306" i="19" s="1"/>
  <c r="W307" i="19" s="1"/>
  <c r="W239" i="19"/>
  <c r="AA305" i="19"/>
  <c r="N239" i="19"/>
  <c r="R238" i="19"/>
  <c r="R240" i="19" s="1"/>
  <c r="R241" i="19" s="1"/>
  <c r="J239" i="19"/>
  <c r="S239" i="19"/>
  <c r="Y261" i="19"/>
  <c r="AD238" i="19"/>
  <c r="AD240" i="19" s="1"/>
  <c r="AD241" i="19" s="1"/>
  <c r="O283" i="19"/>
  <c r="AA283" i="19"/>
  <c r="X304" i="19"/>
  <c r="X306" i="19" s="1"/>
  <c r="X307" i="19" s="1"/>
  <c r="Z282" i="19"/>
  <c r="Z284" i="19" s="1"/>
  <c r="Z285" i="19" s="1"/>
  <c r="M261" i="19"/>
  <c r="N238" i="19"/>
  <c r="N240" i="19" s="1"/>
  <c r="N241" i="19" s="1"/>
  <c r="U304" i="19"/>
  <c r="U306" i="19" s="1"/>
  <c r="U307" i="19" s="1"/>
  <c r="F305" i="19"/>
  <c r="AC283" i="19"/>
  <c r="V283" i="19"/>
  <c r="AD282" i="19"/>
  <c r="AD284" i="19" s="1"/>
  <c r="AD285" i="19" s="1"/>
  <c r="E238" i="19"/>
  <c r="E240" i="19" s="1"/>
  <c r="E241" i="19" s="1"/>
  <c r="J238" i="19"/>
  <c r="J240" i="19" s="1"/>
  <c r="J241" i="19" s="1"/>
  <c r="U282" i="19"/>
  <c r="U284" i="19" s="1"/>
  <c r="U285" i="19" s="1"/>
  <c r="F304" i="19"/>
  <c r="F306" i="19" s="1"/>
  <c r="F307" i="19" s="1"/>
  <c r="Z238" i="19"/>
  <c r="Z240" i="19" s="1"/>
  <c r="Z241" i="19" s="1"/>
  <c r="V260" i="19"/>
  <c r="V262" i="19" s="1"/>
  <c r="V263" i="19" s="1"/>
  <c r="F261" i="19"/>
  <c r="D283" i="19"/>
  <c r="N261" i="19"/>
  <c r="D305" i="19"/>
  <c r="AA282" i="19"/>
  <c r="AA284" i="19" s="1"/>
  <c r="AA285" i="19" s="1"/>
  <c r="E304" i="19"/>
  <c r="E306" i="19" s="1"/>
  <c r="E307" i="19" s="1"/>
  <c r="Z305" i="19"/>
  <c r="O260" i="19"/>
  <c r="O262" i="19" s="1"/>
  <c r="O263" i="19" s="1"/>
  <c r="T239" i="19"/>
  <c r="Z283" i="19"/>
  <c r="K283" i="19"/>
  <c r="AC305" i="19"/>
  <c r="J305" i="19"/>
  <c r="H238" i="19"/>
  <c r="H240" i="19" s="1"/>
  <c r="H241" i="19" s="1"/>
  <c r="AC304" i="19"/>
  <c r="AC306" i="19" s="1"/>
  <c r="AC307" i="19" s="1"/>
  <c r="X238" i="19"/>
  <c r="X240" i="19" s="1"/>
  <c r="X241" i="19" s="1"/>
  <c r="K305" i="19"/>
  <c r="U283" i="19"/>
  <c r="I282" i="19"/>
  <c r="I284" i="19" s="1"/>
  <c r="I285" i="19" s="1"/>
  <c r="AD239" i="19"/>
  <c r="Q304" i="19"/>
  <c r="Q306" i="19" s="1"/>
  <c r="Q307" i="19" s="1"/>
  <c r="L283" i="19"/>
  <c r="E305" i="19"/>
  <c r="Y304" i="19"/>
  <c r="Y306" i="19" s="1"/>
  <c r="Y307" i="19" s="1"/>
  <c r="H239" i="19"/>
  <c r="AA260" i="19"/>
  <c r="AA262" i="19" s="1"/>
  <c r="AA263" i="19" s="1"/>
  <c r="AC261" i="19"/>
  <c r="T282" i="19"/>
  <c r="T284" i="19" s="1"/>
  <c r="T285" i="19" s="1"/>
  <c r="AB304" i="19"/>
  <c r="AB306" i="19" s="1"/>
  <c r="AB307" i="19" s="1"/>
  <c r="R283" i="19"/>
  <c r="S283" i="19"/>
  <c r="F283" i="19"/>
  <c r="W238" i="19"/>
  <c r="W240" i="19" s="1"/>
  <c r="W241" i="19" s="1"/>
  <c r="D260" i="19"/>
  <c r="D262" i="19" s="1"/>
  <c r="D263" i="19" s="1"/>
  <c r="H260" i="19"/>
  <c r="H262" i="19" s="1"/>
  <c r="H263" i="19" s="1"/>
  <c r="N282" i="19"/>
  <c r="N284" i="19" s="1"/>
  <c r="N285" i="19" s="1"/>
  <c r="P152" i="4"/>
  <c r="C127" i="11" s="1"/>
  <c r="K168" i="21"/>
  <c r="J168" i="21" s="1"/>
  <c r="J143" i="21" s="1"/>
  <c r="N44" i="4"/>
  <c r="M44" i="4" s="1"/>
  <c r="T44" i="4" s="1"/>
  <c r="AK57" i="21"/>
  <c r="BL495" i="19" l="1"/>
  <c r="BL496" i="19" s="1"/>
  <c r="T42" i="4"/>
  <c r="D495" i="19"/>
  <c r="D496" i="19" s="1"/>
  <c r="V429" i="19"/>
  <c r="V430" i="19" s="1"/>
  <c r="BU429" i="19"/>
  <c r="BU430" i="19" s="1"/>
  <c r="X429" i="19"/>
  <c r="X430" i="19" s="1"/>
  <c r="BQ429" i="19"/>
  <c r="BQ430" i="19" s="1"/>
  <c r="BP429" i="19"/>
  <c r="BP430" i="19" s="1"/>
  <c r="U429" i="19"/>
  <c r="U430" i="19" s="1"/>
  <c r="CA429" i="19"/>
  <c r="CA430" i="19" s="1"/>
  <c r="BN429" i="19"/>
  <c r="BN430" i="19" s="1"/>
  <c r="BW429" i="19"/>
  <c r="BW430" i="19" s="1"/>
  <c r="Q429" i="19"/>
  <c r="Q430" i="19" s="1"/>
  <c r="BR429" i="19"/>
  <c r="BR430" i="19" s="1"/>
  <c r="Y429" i="19"/>
  <c r="Y430" i="19" s="1"/>
  <c r="BZ429" i="19"/>
  <c r="BZ430" i="19" s="1"/>
  <c r="BM495" i="19"/>
  <c r="BM496" i="19" s="1"/>
  <c r="CI429" i="19"/>
  <c r="CI430" i="19" s="1"/>
  <c r="E495" i="19"/>
  <c r="E496" i="19" s="1"/>
  <c r="M429" i="19"/>
  <c r="M430" i="19" s="1"/>
  <c r="T429" i="19"/>
  <c r="T430" i="19" s="1"/>
  <c r="P429" i="19"/>
  <c r="P430" i="19" s="1"/>
  <c r="W429" i="19"/>
  <c r="W430" i="19" s="1"/>
  <c r="AD429" i="19"/>
  <c r="AD430" i="19" s="1"/>
  <c r="T176" i="21"/>
  <c r="AA230" i="21"/>
  <c r="T230" i="21"/>
  <c r="T286" i="21"/>
  <c r="S151" i="4"/>
  <c r="S152" i="4" s="1"/>
  <c r="T149" i="4"/>
  <c r="S150" i="4" s="1"/>
  <c r="T150" i="4" s="1"/>
  <c r="CE429" i="19"/>
  <c r="CE430" i="19" s="1"/>
  <c r="BX429" i="19"/>
  <c r="BX430" i="19" s="1"/>
  <c r="D429" i="19"/>
  <c r="D430" i="19" s="1"/>
  <c r="C49" i="13"/>
  <c r="C107" i="13"/>
  <c r="AC33" i="11"/>
  <c r="C126" i="13"/>
  <c r="V56" i="21"/>
  <c r="AQ56" i="21" s="1"/>
  <c r="S43" i="4" s="1"/>
  <c r="BM59" i="21"/>
  <c r="C28" i="10"/>
  <c r="C17" i="10"/>
  <c r="E64" i="13" s="1"/>
  <c r="G64" i="13" s="1"/>
  <c r="C18" i="10"/>
  <c r="K64" i="13" s="1"/>
  <c r="V57" i="21"/>
  <c r="AQ57" i="21" s="1"/>
  <c r="S44" i="4" s="1"/>
  <c r="BM64" i="21"/>
  <c r="BO429" i="19"/>
  <c r="BO430" i="19" s="1"/>
  <c r="BT429" i="19"/>
  <c r="BT430" i="19" s="1"/>
  <c r="BY429" i="19"/>
  <c r="BY430" i="19" s="1"/>
  <c r="AA176" i="21"/>
  <c r="G429" i="19"/>
  <c r="G430" i="19" s="1"/>
  <c r="AA429" i="19"/>
  <c r="AA430" i="19" s="1"/>
  <c r="Z429" i="19"/>
  <c r="Z430" i="19" s="1"/>
  <c r="J429" i="19"/>
  <c r="J430" i="19" s="1"/>
  <c r="AC429" i="19"/>
  <c r="AC430" i="19" s="1"/>
  <c r="W275" i="4"/>
  <c r="M273" i="4"/>
  <c r="L274" i="4" s="1"/>
  <c r="V58" i="21"/>
  <c r="AQ58" i="21" s="1"/>
  <c r="S45" i="4" s="1"/>
  <c r="BM69" i="21"/>
  <c r="I67" i="4"/>
  <c r="AD57" i="4" s="1"/>
  <c r="C29" i="11"/>
  <c r="AD56" i="4"/>
  <c r="G130" i="13"/>
  <c r="D69" i="11" s="1"/>
  <c r="F189" i="13"/>
  <c r="F193" i="13" s="1"/>
  <c r="P195" i="13"/>
  <c r="CD429" i="19"/>
  <c r="CD430" i="19" s="1"/>
  <c r="CJ429" i="19"/>
  <c r="CJ430" i="19" s="1"/>
  <c r="CG429" i="19"/>
  <c r="CG430" i="19" s="1"/>
  <c r="AA286" i="21"/>
  <c r="H429" i="19"/>
  <c r="H430" i="19" s="1"/>
  <c r="S429" i="19"/>
  <c r="S430" i="19" s="1"/>
  <c r="AB429" i="19"/>
  <c r="AB430" i="19" s="1"/>
  <c r="E429" i="19"/>
  <c r="E430" i="19" s="1"/>
  <c r="L429" i="19"/>
  <c r="L430" i="19" s="1"/>
  <c r="I127" i="11"/>
  <c r="B312" i="4"/>
  <c r="U29" i="11"/>
  <c r="Y29" i="11" s="1"/>
  <c r="R154" i="4"/>
  <c r="Q134" i="4" s="1"/>
  <c r="J132" i="4" s="1"/>
  <c r="M107" i="13"/>
  <c r="D111" i="13"/>
  <c r="CF429" i="19"/>
  <c r="CF430" i="19" s="1"/>
  <c r="BM429" i="19"/>
  <c r="BM430" i="19" s="1"/>
  <c r="CC429" i="19"/>
  <c r="CC430" i="19" s="1"/>
  <c r="CL429" i="19"/>
  <c r="CL430" i="19" s="1"/>
  <c r="CK429" i="19"/>
  <c r="CK430" i="19" s="1"/>
  <c r="F429" i="19"/>
  <c r="F430" i="19" s="1"/>
  <c r="R429" i="19"/>
  <c r="R430" i="19" s="1"/>
  <c r="K429" i="19"/>
  <c r="K430" i="19" s="1"/>
  <c r="O429" i="19"/>
  <c r="O430" i="19" s="1"/>
  <c r="K230" i="21" l="1"/>
  <c r="K229" i="21" s="1"/>
  <c r="K176" i="21"/>
  <c r="K175" i="21" s="1"/>
  <c r="K286" i="21"/>
  <c r="K285" i="21" s="1"/>
  <c r="M111" i="13"/>
  <c r="B10" i="21" s="1"/>
  <c r="B6" i="21"/>
  <c r="C59" i="11"/>
  <c r="C58" i="13" s="1"/>
  <c r="R196" i="4"/>
  <c r="R198" i="4" s="1"/>
  <c r="Q225" i="4"/>
  <c r="J255" i="4"/>
  <c r="Q203" i="4"/>
  <c r="J126" i="4"/>
  <c r="Q193" i="4"/>
  <c r="R180" i="4"/>
  <c r="R182" i="4" s="1"/>
  <c r="AI274" i="4"/>
  <c r="AI277" i="4" s="1"/>
  <c r="F237" i="4"/>
  <c r="J237" i="4" s="1"/>
  <c r="J239" i="4" s="1"/>
  <c r="H132" i="4"/>
  <c r="Q178" i="4"/>
  <c r="R206" i="4"/>
  <c r="R208" i="4" s="1"/>
  <c r="R217" i="4"/>
  <c r="R219" i="4" s="1"/>
  <c r="Q257" i="4"/>
  <c r="Q214" i="4"/>
  <c r="L186" i="4"/>
  <c r="R238" i="4"/>
  <c r="R240" i="4" s="1"/>
  <c r="J154" i="4"/>
  <c r="J157" i="4" s="1"/>
  <c r="J159" i="4" s="1"/>
  <c r="G203" i="4"/>
  <c r="J274" i="4"/>
  <c r="Q247" i="4"/>
  <c r="R260" i="4"/>
  <c r="R262" i="4" s="1"/>
  <c r="Q183" i="4"/>
  <c r="R186" i="4"/>
  <c r="R188" i="4" s="1"/>
  <c r="Q235" i="4"/>
  <c r="P151" i="4"/>
  <c r="C125" i="11" s="1"/>
  <c r="P71" i="4"/>
  <c r="P72" i="4" s="1"/>
  <c r="AC60" i="4"/>
  <c r="T152" i="4"/>
  <c r="J145" i="4" s="1"/>
  <c r="R195" i="13"/>
  <c r="AA57" i="10"/>
  <c r="AA58" i="10" s="1"/>
  <c r="AB57" i="10"/>
  <c r="AB58" i="10" s="1"/>
  <c r="Z57" i="10"/>
  <c r="L107" i="13"/>
  <c r="AD60" i="4"/>
  <c r="AD59" i="4" s="1"/>
  <c r="AR54" i="4"/>
  <c r="BP3" i="21"/>
  <c r="BO9" i="21" s="1"/>
  <c r="BQ9" i="21" s="1"/>
  <c r="Y102" i="13" s="1"/>
  <c r="C117" i="13"/>
  <c r="X102" i="13" s="1"/>
  <c r="L111" i="13" l="1"/>
  <c r="AC58" i="10"/>
  <c r="J165" i="4"/>
  <c r="J266" i="4"/>
  <c r="C55" i="11"/>
  <c r="P153" i="4"/>
  <c r="C129" i="11" s="1"/>
  <c r="O71" i="4"/>
  <c r="AC61" i="4"/>
  <c r="W274" i="4"/>
  <c r="J279" i="4"/>
  <c r="AD57" i="10"/>
  <c r="C29" i="10" s="1"/>
  <c r="Z58" i="10"/>
  <c r="AD58" i="10" s="1"/>
  <c r="AD66" i="4"/>
  <c r="AD64" i="4"/>
  <c r="AD61" i="4"/>
  <c r="AD62" i="4"/>
  <c r="AD68" i="4"/>
  <c r="AD63" i="4"/>
  <c r="P74" i="4"/>
  <c r="P79" i="4"/>
  <c r="J203" i="4"/>
  <c r="V31" i="21"/>
  <c r="B14" i="21"/>
  <c r="AL23" i="21" s="1"/>
  <c r="B22" i="21"/>
  <c r="BB23" i="21" s="1"/>
  <c r="B310" i="4"/>
  <c r="I125" i="11"/>
  <c r="J170" i="4"/>
  <c r="F243" i="4"/>
  <c r="A61" i="11"/>
  <c r="J182" i="4"/>
  <c r="I58" i="13"/>
  <c r="I24" i="21"/>
  <c r="B18" i="21"/>
  <c r="B26" i="21" s="1"/>
  <c r="W31" i="21" l="1"/>
  <c r="X31" i="21" s="1"/>
  <c r="Y31" i="21"/>
  <c r="C30" i="10"/>
  <c r="E65" i="13" s="1"/>
  <c r="G65" i="13" s="1"/>
  <c r="C53" i="11"/>
  <c r="Y39" i="10"/>
  <c r="Y41" i="10" s="1"/>
  <c r="G19" i="10" s="1"/>
  <c r="G129" i="11" s="1"/>
  <c r="I129" i="11" s="1"/>
  <c r="B314" i="4"/>
  <c r="J24" i="21"/>
  <c r="K24" i="21" s="1"/>
  <c r="I25" i="21"/>
  <c r="AD65" i="4"/>
  <c r="AD67" i="4"/>
  <c r="AC57" i="10"/>
  <c r="P80" i="4"/>
  <c r="P82" i="4"/>
  <c r="BC23" i="21"/>
  <c r="BD23" i="21" s="1"/>
  <c r="BE23" i="21"/>
  <c r="AC64" i="4"/>
  <c r="O79" i="4" s="1"/>
  <c r="AC68" i="4"/>
  <c r="O75" i="4" s="1"/>
  <c r="O72" i="4"/>
  <c r="AC66" i="4"/>
  <c r="O81" i="4" s="1"/>
  <c r="AC62" i="4"/>
  <c r="O73" i="4" s="1"/>
  <c r="N73" i="4" s="1"/>
  <c r="L73" i="4" s="1"/>
  <c r="I73" i="4" s="1"/>
  <c r="AC63" i="4"/>
  <c r="J184" i="4"/>
  <c r="J186" i="4" s="1"/>
  <c r="C217" i="4"/>
  <c r="J171" i="4"/>
  <c r="AO23" i="21"/>
  <c r="AM23" i="21"/>
  <c r="AN23" i="21" s="1"/>
  <c r="V315" i="4"/>
  <c r="E5" i="19"/>
  <c r="EC5" i="20"/>
  <c r="Y337" i="4"/>
  <c r="Z337" i="4" s="1"/>
  <c r="O279" i="4"/>
  <c r="C34" i="11"/>
  <c r="G5" i="19"/>
  <c r="G5" i="20"/>
  <c r="AB323" i="4"/>
  <c r="AC323" i="4" s="1"/>
  <c r="ED5" i="19"/>
  <c r="O280" i="4"/>
  <c r="E217" i="4"/>
  <c r="J256" i="4"/>
  <c r="W33" i="21" l="1"/>
  <c r="Y33" i="21" s="1"/>
  <c r="J25" i="21"/>
  <c r="C18" i="21" s="1"/>
  <c r="T106" i="13" s="1"/>
  <c r="BC25" i="21"/>
  <c r="BF23" i="21" s="1"/>
  <c r="EJ5" i="19"/>
  <c r="I3" i="19" s="1"/>
  <c r="I215" i="4"/>
  <c r="G65" i="12"/>
  <c r="L171" i="4"/>
  <c r="D58" i="13"/>
  <c r="J259" i="4"/>
  <c r="L133" i="4"/>
  <c r="C60" i="11"/>
  <c r="AC67" i="4"/>
  <c r="O82" i="4" s="1"/>
  <c r="AC65" i="4"/>
  <c r="O80" i="4" s="1"/>
  <c r="O74" i="4"/>
  <c r="F217" i="4"/>
  <c r="J215" i="4" s="1"/>
  <c r="H215" i="4"/>
  <c r="N79" i="4"/>
  <c r="L79" i="4" s="1"/>
  <c r="I79" i="4" s="1"/>
  <c r="K52" i="13" s="1"/>
  <c r="Q79" i="4"/>
  <c r="Q75" i="4"/>
  <c r="N75" i="4"/>
  <c r="L75" i="4" s="1"/>
  <c r="I75" i="4" s="1"/>
  <c r="N81" i="4"/>
  <c r="L81" i="4" s="1"/>
  <c r="I81" i="4" s="1"/>
  <c r="E52" i="13" s="1"/>
  <c r="G52" i="13" s="1"/>
  <c r="Q81" i="4"/>
  <c r="BG25" i="21"/>
  <c r="G133" i="11"/>
  <c r="K138" i="11"/>
  <c r="K140" i="11" s="1"/>
  <c r="M279" i="4"/>
  <c r="W315" i="4"/>
  <c r="M280" i="4" s="1"/>
  <c r="N280" i="4" s="1"/>
  <c r="E331" i="19"/>
  <c r="BF371" i="19" s="1"/>
  <c r="E142" i="19"/>
  <c r="BF182" i="19" s="1"/>
  <c r="CN41" i="19"/>
  <c r="CR39" i="19" s="1"/>
  <c r="AX41" i="19"/>
  <c r="BB40" i="19" s="1"/>
  <c r="AM25" i="21"/>
  <c r="L190" i="4"/>
  <c r="J190" i="4"/>
  <c r="R250" i="4" s="1"/>
  <c r="R252" i="4" s="1"/>
  <c r="J199" i="4"/>
  <c r="N72" i="4"/>
  <c r="L72" i="4" s="1"/>
  <c r="I72" i="4" s="1"/>
  <c r="Q72" i="4"/>
  <c r="C65" i="13"/>
  <c r="C57" i="11"/>
  <c r="Z31" i="21" l="1"/>
  <c r="C26" i="21"/>
  <c r="T116" i="13" s="1"/>
  <c r="X33" i="21"/>
  <c r="F6" i="21" s="1"/>
  <c r="C10" i="21"/>
  <c r="P111" i="13" s="1"/>
  <c r="Z33" i="21"/>
  <c r="E6" i="21" s="1"/>
  <c r="O107" i="13" s="1"/>
  <c r="F107" i="13" s="1"/>
  <c r="K25" i="21"/>
  <c r="S116" i="13" s="1"/>
  <c r="C6" i="21"/>
  <c r="P107" i="13" s="1"/>
  <c r="AA33" i="21"/>
  <c r="BF25" i="21"/>
  <c r="E22" i="21" s="1"/>
  <c r="S112" i="13" s="1"/>
  <c r="C22" i="21"/>
  <c r="T112" i="13" s="1"/>
  <c r="BD25" i="21"/>
  <c r="F22" i="21" s="1"/>
  <c r="V112" i="13" s="1"/>
  <c r="BE25" i="21"/>
  <c r="D22" i="21" s="1"/>
  <c r="R112" i="13" s="1"/>
  <c r="AO25" i="21"/>
  <c r="AP25" i="21"/>
  <c r="E14" i="21" s="1"/>
  <c r="S102" i="13" s="1"/>
  <c r="AQ25" i="21"/>
  <c r="C14" i="21"/>
  <c r="T102" i="13" s="1"/>
  <c r="AN25" i="21"/>
  <c r="F14" i="21" s="1"/>
  <c r="V102" i="13" s="1"/>
  <c r="AP23" i="21"/>
  <c r="BG182" i="19"/>
  <c r="CN139" i="19" s="1"/>
  <c r="AF139" i="19"/>
  <c r="G115" i="11"/>
  <c r="T49" i="7"/>
  <c r="Q80" i="4"/>
  <c r="N80" i="4"/>
  <c r="L80" i="4" s="1"/>
  <c r="I80" i="4" s="1"/>
  <c r="K53" i="13" s="1"/>
  <c r="G204" i="4"/>
  <c r="J204" i="4" s="1"/>
  <c r="G205" i="4" s="1"/>
  <c r="J205" i="4" s="1"/>
  <c r="J195" i="4"/>
  <c r="E247" i="4" s="1"/>
  <c r="O207" i="4"/>
  <c r="O206" i="4"/>
  <c r="R228" i="4"/>
  <c r="R230" i="4" s="1"/>
  <c r="J281" i="4"/>
  <c r="N279" i="4"/>
  <c r="Q82" i="4"/>
  <c r="N82" i="4"/>
  <c r="L82" i="4" s="1"/>
  <c r="I82" i="4" s="1"/>
  <c r="E53" i="13" s="1"/>
  <c r="G53" i="13" s="1"/>
  <c r="C30" i="11"/>
  <c r="L69" i="4"/>
  <c r="C121" i="11" s="1"/>
  <c r="BG371" i="19"/>
  <c r="CN328" i="19" s="1"/>
  <c r="AF328" i="19"/>
  <c r="N74" i="4"/>
  <c r="L74" i="4" s="1"/>
  <c r="I74" i="4" s="1"/>
  <c r="C32" i="11" s="1"/>
  <c r="Q74" i="4"/>
  <c r="AS49" i="19"/>
  <c r="BC40" i="19"/>
  <c r="BG40" i="19"/>
  <c r="CS39" i="19"/>
  <c r="CJ49" i="19"/>
  <c r="CW40" i="19"/>
  <c r="D6" i="21"/>
  <c r="N107" i="13" s="1"/>
  <c r="E107" i="13" s="1"/>
  <c r="D14" i="14"/>
  <c r="D16" i="14" s="1"/>
  <c r="D39" i="14" s="1"/>
  <c r="D40" i="14" s="1"/>
  <c r="C63" i="11"/>
  <c r="L132" i="4"/>
  <c r="J172" i="4"/>
  <c r="E219" i="4"/>
  <c r="I217" i="4" s="1"/>
  <c r="G226" i="4" s="1"/>
  <c r="BG23" i="21" l="1"/>
  <c r="BB25" i="21" s="1"/>
  <c r="G22" i="21" s="1"/>
  <c r="U112" i="13" s="1"/>
  <c r="G107" i="13"/>
  <c r="E18" i="21"/>
  <c r="AA31" i="21"/>
  <c r="V33" i="21" s="1"/>
  <c r="G6" i="21" s="1"/>
  <c r="Q107" i="13" s="1"/>
  <c r="S106" i="13"/>
  <c r="E26" i="21"/>
  <c r="Y106" i="13"/>
  <c r="E10" i="21"/>
  <c r="O111" i="13" s="1"/>
  <c r="E111" i="13" s="1"/>
  <c r="G111" i="13" s="1"/>
  <c r="D192" i="13" s="1"/>
  <c r="P206" i="4"/>
  <c r="P207" i="4" s="1"/>
  <c r="O183" i="4" s="1"/>
  <c r="CK52" i="19"/>
  <c r="C23" i="19"/>
  <c r="J207" i="4"/>
  <c r="F229" i="4" s="1"/>
  <c r="J241" i="4"/>
  <c r="E221" i="4"/>
  <c r="C13" i="19"/>
  <c r="AG220" i="19"/>
  <c r="B240" i="19"/>
  <c r="C182" i="19"/>
  <c r="D189" i="13"/>
  <c r="CJ50" i="19"/>
  <c r="CB40" i="19"/>
  <c r="AT52" i="19"/>
  <c r="C27" i="19"/>
  <c r="BJ429" i="19"/>
  <c r="C43" i="19"/>
  <c r="BK371" i="19"/>
  <c r="CO409" i="19"/>
  <c r="CO220" i="19"/>
  <c r="BJ240" i="19"/>
  <c r="BK182" i="19"/>
  <c r="C20" i="19"/>
  <c r="AK40" i="19"/>
  <c r="AS50" i="19"/>
  <c r="F42" i="14"/>
  <c r="F43" i="14" s="1"/>
  <c r="F44" i="14" s="1"/>
  <c r="D48" i="14"/>
  <c r="D51" i="14" s="1"/>
  <c r="D57" i="14"/>
  <c r="D60" i="14" s="1"/>
  <c r="C164" i="13"/>
  <c r="E164" i="13" s="1"/>
  <c r="D68" i="14"/>
  <c r="F73" i="14" s="1"/>
  <c r="G44" i="14"/>
  <c r="G47" i="14" s="1"/>
  <c r="H73" i="14"/>
  <c r="AG409" i="19"/>
  <c r="C371" i="19"/>
  <c r="C36" i="19"/>
  <c r="B429" i="19"/>
  <c r="I121" i="11"/>
  <c r="B306" i="4"/>
  <c r="G302" i="4"/>
  <c r="W276" i="4"/>
  <c r="W277" i="4" s="1"/>
  <c r="C35" i="11"/>
  <c r="AW25" i="11" s="1"/>
  <c r="M278" i="4"/>
  <c r="M281" i="4"/>
  <c r="N282" i="4" s="1"/>
  <c r="L280" i="4"/>
  <c r="L279" i="4" s="1"/>
  <c r="CW44" i="19"/>
  <c r="CW50" i="19"/>
  <c r="DI82" i="19"/>
  <c r="AD13" i="19"/>
  <c r="CW47" i="19"/>
  <c r="CX46" i="19" s="1"/>
  <c r="CW48" i="19"/>
  <c r="CX47" i="19" s="1"/>
  <c r="CW49" i="19"/>
  <c r="CX48" i="19" s="1"/>
  <c r="CW54" i="19"/>
  <c r="CX53" i="19" s="1"/>
  <c r="CW51" i="19"/>
  <c r="CX50" i="19" s="1"/>
  <c r="AD16" i="19"/>
  <c r="CW46" i="19"/>
  <c r="CX45" i="19" s="1"/>
  <c r="AD15" i="19"/>
  <c r="CW56" i="19"/>
  <c r="CX55" i="19" s="1"/>
  <c r="AD14" i="19"/>
  <c r="CW52" i="19"/>
  <c r="CX51" i="19" s="1"/>
  <c r="CW53" i="19"/>
  <c r="CX52" i="19" s="1"/>
  <c r="CW55" i="19"/>
  <c r="CX54" i="19" s="1"/>
  <c r="CW45" i="19"/>
  <c r="CX44" i="19" s="1"/>
  <c r="CW57" i="19"/>
  <c r="CX56" i="19" s="1"/>
  <c r="CV65" i="19"/>
  <c r="BF65" i="19"/>
  <c r="BG50" i="19"/>
  <c r="BG44" i="19"/>
  <c r="BS82" i="19"/>
  <c r="AC13" i="19"/>
  <c r="BG58" i="19"/>
  <c r="BH57" i="19" s="1"/>
  <c r="BG55" i="19"/>
  <c r="BH54" i="19" s="1"/>
  <c r="BG49" i="19"/>
  <c r="BH48" i="19" s="1"/>
  <c r="BG48" i="19"/>
  <c r="BH47" i="19" s="1"/>
  <c r="AC14" i="19"/>
  <c r="BG53" i="19"/>
  <c r="BH52" i="19" s="1"/>
  <c r="BG45" i="19"/>
  <c r="BH44" i="19" s="1"/>
  <c r="BG46" i="19"/>
  <c r="BH45" i="19" s="1"/>
  <c r="BG47" i="19"/>
  <c r="BH46" i="19" s="1"/>
  <c r="AC16" i="19"/>
  <c r="BG56" i="19"/>
  <c r="BH55" i="19" s="1"/>
  <c r="AC15" i="19"/>
  <c r="BG57" i="19"/>
  <c r="BH56" i="19" s="1"/>
  <c r="BG51" i="19"/>
  <c r="BH50" i="19" s="1"/>
  <c r="BG52" i="19"/>
  <c r="BH51" i="19" s="1"/>
  <c r="BG54" i="19"/>
  <c r="BH53" i="19" s="1"/>
  <c r="AC79" i="11"/>
  <c r="C52" i="13"/>
  <c r="AW21" i="11"/>
  <c r="S269" i="4"/>
  <c r="R269" i="4"/>
  <c r="T269" i="4" s="1"/>
  <c r="R177" i="4" s="1"/>
  <c r="L187" i="4" s="1"/>
  <c r="J191" i="4" s="1"/>
  <c r="M133" i="11"/>
  <c r="K133" i="11" s="1"/>
  <c r="L133" i="11" s="1"/>
  <c r="T47" i="7"/>
  <c r="L50" i="7" s="1"/>
  <c r="D14" i="21"/>
  <c r="R102" i="13" s="1"/>
  <c r="AQ23" i="21"/>
  <c r="AL25" i="21" s="1"/>
  <c r="P192" i="13" l="1"/>
  <c r="G113" i="13"/>
  <c r="D193" i="13"/>
  <c r="G14" i="21"/>
  <c r="U102" i="13" s="1"/>
  <c r="BR85" i="19"/>
  <c r="BR90" i="19"/>
  <c r="BR97" i="19"/>
  <c r="BR87" i="19"/>
  <c r="BS86" i="19" s="1"/>
  <c r="BR89" i="19"/>
  <c r="BS88" i="19" s="1"/>
  <c r="BR94" i="19"/>
  <c r="BS93" i="19" s="1"/>
  <c r="BR93" i="19"/>
  <c r="BS92" i="19" s="1"/>
  <c r="BR88" i="19"/>
  <c r="BS87" i="19" s="1"/>
  <c r="BS103" i="19"/>
  <c r="BR92" i="19"/>
  <c r="BS91" i="19" s="1"/>
  <c r="BR96" i="19"/>
  <c r="BS95" i="19" s="1"/>
  <c r="BR91" i="19"/>
  <c r="BS90" i="19" s="1"/>
  <c r="BR86" i="19"/>
  <c r="BS85" i="19" s="1"/>
  <c r="BR95" i="19"/>
  <c r="BS94" i="19" s="1"/>
  <c r="G325" i="4"/>
  <c r="G305" i="4" s="1"/>
  <c r="B20" i="19"/>
  <c r="F325" i="4" s="1"/>
  <c r="BJ424" i="19"/>
  <c r="CO418" i="19"/>
  <c r="CO431" i="19"/>
  <c r="CO413" i="19"/>
  <c r="CO423" i="19"/>
  <c r="CP422" i="19" s="1"/>
  <c r="CO424" i="19"/>
  <c r="CP423" i="19" s="1"/>
  <c r="CO415" i="19"/>
  <c r="CP414" i="19" s="1"/>
  <c r="CO422" i="19"/>
  <c r="CP421" i="19" s="1"/>
  <c r="CO414" i="19"/>
  <c r="CP413" i="19" s="1"/>
  <c r="CO411" i="19"/>
  <c r="CO453" i="19"/>
  <c r="CO475" i="19"/>
  <c r="CO416" i="19"/>
  <c r="CP415" i="19" s="1"/>
  <c r="CO421" i="19"/>
  <c r="CP420" i="19" s="1"/>
  <c r="CO419" i="19"/>
  <c r="CP418" i="19" s="1"/>
  <c r="CO420" i="19"/>
  <c r="CP419" i="19" s="1"/>
  <c r="CO417" i="19"/>
  <c r="CP416" i="19" s="1"/>
  <c r="G332" i="4"/>
  <c r="G308" i="4" s="1"/>
  <c r="B27" i="19"/>
  <c r="F332" i="4" s="1"/>
  <c r="B284" i="19"/>
  <c r="B262" i="19"/>
  <c r="B306" i="19"/>
  <c r="C240" i="19"/>
  <c r="AU139" i="19" s="1"/>
  <c r="C239" i="19"/>
  <c r="F244" i="4"/>
  <c r="J243" i="4"/>
  <c r="H247" i="4" s="1"/>
  <c r="P43" i="11"/>
  <c r="U43" i="11" s="1"/>
  <c r="W43" i="11" s="1"/>
  <c r="U47" i="11" s="1"/>
  <c r="Q33" i="11" s="1"/>
  <c r="C53" i="13"/>
  <c r="BH43" i="19"/>
  <c r="BG61" i="19"/>
  <c r="CW65" i="19"/>
  <c r="CW67" i="19" s="1"/>
  <c r="DC65" i="19"/>
  <c r="DC67" i="19" s="1"/>
  <c r="DH65" i="19"/>
  <c r="DH67" i="19" s="1"/>
  <c r="DG68" i="19" s="1"/>
  <c r="DG65" i="19"/>
  <c r="DG67" i="19" s="1"/>
  <c r="DF68" i="19" s="1"/>
  <c r="CZ65" i="19"/>
  <c r="CZ67" i="19" s="1"/>
  <c r="CY68" i="19" s="1"/>
  <c r="DI65" i="19"/>
  <c r="DI67" i="19" s="1"/>
  <c r="DH68" i="19" s="1"/>
  <c r="CX65" i="19"/>
  <c r="CX67" i="19" s="1"/>
  <c r="CW68" i="19" s="1"/>
  <c r="DE65" i="19"/>
  <c r="DE67" i="19" s="1"/>
  <c r="DD68" i="19" s="1"/>
  <c r="DJ65" i="19"/>
  <c r="DJ67" i="19" s="1"/>
  <c r="DI68" i="19" s="1"/>
  <c r="DF65" i="19"/>
  <c r="DF67" i="19" s="1"/>
  <c r="DE68" i="19" s="1"/>
  <c r="CY65" i="19"/>
  <c r="CY67" i="19" s="1"/>
  <c r="CX68" i="19" s="1"/>
  <c r="DA65" i="19"/>
  <c r="DA67" i="19" s="1"/>
  <c r="CZ68" i="19" s="1"/>
  <c r="DD65" i="19"/>
  <c r="DD67" i="19" s="1"/>
  <c r="DC68" i="19" s="1"/>
  <c r="DB65" i="19"/>
  <c r="DB67" i="19" s="1"/>
  <c r="DA68" i="19" s="1"/>
  <c r="B424" i="19"/>
  <c r="AG453" i="19"/>
  <c r="AG418" i="19"/>
  <c r="AG414" i="19"/>
  <c r="AH413" i="19" s="1"/>
  <c r="AG417" i="19"/>
  <c r="AH416" i="19" s="1"/>
  <c r="AG415" i="19"/>
  <c r="AH414" i="19" s="1"/>
  <c r="AG411" i="19"/>
  <c r="AG422" i="19"/>
  <c r="AH421" i="19" s="1"/>
  <c r="AG423" i="19"/>
  <c r="AH422" i="19" s="1"/>
  <c r="AG420" i="19"/>
  <c r="AH419" i="19" s="1"/>
  <c r="AG475" i="19"/>
  <c r="AG413" i="19"/>
  <c r="AG416" i="19"/>
  <c r="AH415" i="19" s="1"/>
  <c r="AG419" i="19"/>
  <c r="AH418" i="19" s="1"/>
  <c r="AG424" i="19"/>
  <c r="AH423" i="19" s="1"/>
  <c r="AG421" i="19"/>
  <c r="AH420" i="19" s="1"/>
  <c r="AG431" i="19"/>
  <c r="F46" i="14"/>
  <c r="F45" i="14"/>
  <c r="BK186" i="19"/>
  <c r="BJ203" i="19"/>
  <c r="BK191" i="19"/>
  <c r="BL190" i="19" s="1"/>
  <c r="BK187" i="19"/>
  <c r="BL186" i="19" s="1"/>
  <c r="BK194" i="19"/>
  <c r="BL193" i="19" s="1"/>
  <c r="BK189" i="19"/>
  <c r="BL188" i="19" s="1"/>
  <c r="DA182" i="19"/>
  <c r="BK190" i="19"/>
  <c r="BY182" i="19"/>
  <c r="BK193" i="19"/>
  <c r="BL192" i="19" s="1"/>
  <c r="BK195" i="19"/>
  <c r="BL194" i="19" s="1"/>
  <c r="BK188" i="19"/>
  <c r="BL187" i="19" s="1"/>
  <c r="BK196" i="19"/>
  <c r="BL195" i="19" s="1"/>
  <c r="BK192" i="19"/>
  <c r="BL191" i="19" s="1"/>
  <c r="CM182" i="19"/>
  <c r="BJ392" i="19"/>
  <c r="BY371" i="19"/>
  <c r="BK381" i="19"/>
  <c r="BL380" i="19" s="1"/>
  <c r="BK384" i="19"/>
  <c r="BL383" i="19" s="1"/>
  <c r="BK378" i="19"/>
  <c r="BL377" i="19" s="1"/>
  <c r="BK377" i="19"/>
  <c r="BL376" i="19" s="1"/>
  <c r="DA371" i="19"/>
  <c r="CM371" i="19"/>
  <c r="BK382" i="19"/>
  <c r="BL381" i="19" s="1"/>
  <c r="BK385" i="19"/>
  <c r="BL384" i="19" s="1"/>
  <c r="BK376" i="19"/>
  <c r="BL375" i="19" s="1"/>
  <c r="BK380" i="19"/>
  <c r="BL379" i="19" s="1"/>
  <c r="BK375" i="19"/>
  <c r="BK383" i="19"/>
  <c r="BL382" i="19" s="1"/>
  <c r="BK379" i="19"/>
  <c r="B235" i="19"/>
  <c r="AG229" i="19"/>
  <c r="AG286" i="19"/>
  <c r="AG264" i="19"/>
  <c r="AG242" i="19"/>
  <c r="AG228" i="19"/>
  <c r="AH227" i="19" s="1"/>
  <c r="AG230" i="19"/>
  <c r="AH229" i="19" s="1"/>
  <c r="AG231" i="19"/>
  <c r="AH230" i="19" s="1"/>
  <c r="AG235" i="19"/>
  <c r="AH234" i="19" s="1"/>
  <c r="AG232" i="19"/>
  <c r="AH231" i="19" s="1"/>
  <c r="AG234" i="19"/>
  <c r="AH233" i="19" s="1"/>
  <c r="AG224" i="19"/>
  <c r="AG233" i="19"/>
  <c r="AH232" i="19" s="1"/>
  <c r="AG222" i="19"/>
  <c r="AG227" i="19"/>
  <c r="AH226" i="19" s="1"/>
  <c r="AG226" i="19"/>
  <c r="AH225" i="19" s="1"/>
  <c r="AG225" i="19"/>
  <c r="AH224" i="19" s="1"/>
  <c r="CX43" i="19"/>
  <c r="CW61" i="19"/>
  <c r="C375" i="19"/>
  <c r="C379" i="19"/>
  <c r="Q371" i="19"/>
  <c r="AE371" i="19"/>
  <c r="C377" i="19"/>
  <c r="D376" i="19" s="1"/>
  <c r="C384" i="19"/>
  <c r="D383" i="19" s="1"/>
  <c r="C381" i="19"/>
  <c r="D380" i="19" s="1"/>
  <c r="C385" i="19"/>
  <c r="D384" i="19" s="1"/>
  <c r="C382" i="19"/>
  <c r="D381" i="19" s="1"/>
  <c r="C383" i="19"/>
  <c r="D382" i="19" s="1"/>
  <c r="C380" i="19"/>
  <c r="D379" i="19" s="1"/>
  <c r="B392" i="19"/>
  <c r="C376" i="19"/>
  <c r="D375" i="19" s="1"/>
  <c r="C378" i="19"/>
  <c r="D377" i="19" s="1"/>
  <c r="AS371" i="19"/>
  <c r="BH49" i="19"/>
  <c r="BG60" i="19"/>
  <c r="DH85" i="19"/>
  <c r="DH97" i="19"/>
  <c r="DH88" i="19"/>
  <c r="DI87" i="19" s="1"/>
  <c r="DH96" i="19"/>
  <c r="DI95" i="19" s="1"/>
  <c r="DH89" i="19"/>
  <c r="DI88" i="19" s="1"/>
  <c r="DH94" i="19"/>
  <c r="DI93" i="19" s="1"/>
  <c r="DH86" i="19"/>
  <c r="DI85" i="19" s="1"/>
  <c r="DH90" i="19"/>
  <c r="DI103" i="19"/>
  <c r="DH91" i="19"/>
  <c r="DI90" i="19" s="1"/>
  <c r="DH95" i="19"/>
  <c r="DI94" i="19" s="1"/>
  <c r="DH87" i="19"/>
  <c r="DI86" i="19" s="1"/>
  <c r="DH92" i="19"/>
  <c r="DI91" i="19" s="1"/>
  <c r="DH93" i="19"/>
  <c r="DI92" i="19" s="1"/>
  <c r="B451" i="19"/>
  <c r="C428" i="19"/>
  <c r="C429" i="19"/>
  <c r="AU328" i="19" s="1"/>
  <c r="B473" i="19"/>
  <c r="B495" i="19"/>
  <c r="H74" i="14"/>
  <c r="I164" i="13"/>
  <c r="G164" i="13"/>
  <c r="D72" i="11" s="1"/>
  <c r="AT53" i="19"/>
  <c r="C28" i="19"/>
  <c r="BK239" i="19"/>
  <c r="BJ284" i="19"/>
  <c r="BJ306" i="19"/>
  <c r="BJ262" i="19"/>
  <c r="BK240" i="19"/>
  <c r="DC139" i="19" s="1"/>
  <c r="G348" i="4"/>
  <c r="B43" i="19"/>
  <c r="F348" i="4" s="1"/>
  <c r="CA65" i="19"/>
  <c r="CB50" i="19"/>
  <c r="CN82" i="19"/>
  <c r="CB53" i="19"/>
  <c r="CC52" i="19" s="1"/>
  <c r="CB54" i="19"/>
  <c r="CC53" i="19" s="1"/>
  <c r="CB48" i="19"/>
  <c r="CC47" i="19" s="1"/>
  <c r="CB51" i="19"/>
  <c r="CC50" i="19" s="1"/>
  <c r="CB52" i="19"/>
  <c r="CC51" i="19" s="1"/>
  <c r="CB49" i="19"/>
  <c r="CC48" i="19" s="1"/>
  <c r="AD8" i="19"/>
  <c r="CB56" i="19"/>
  <c r="CC55" i="19" s="1"/>
  <c r="CB46" i="19"/>
  <c r="CC45" i="19" s="1"/>
  <c r="CB47" i="19"/>
  <c r="CC46" i="19" s="1"/>
  <c r="CB55" i="19"/>
  <c r="CC54" i="19" s="1"/>
  <c r="CB45" i="19"/>
  <c r="CC44" i="19" s="1"/>
  <c r="AD7" i="19"/>
  <c r="AD11" i="19"/>
  <c r="CB57" i="19"/>
  <c r="CC56" i="19" s="1"/>
  <c r="AD12" i="19"/>
  <c r="CB44" i="19"/>
  <c r="G318" i="4"/>
  <c r="G304" i="4" s="1"/>
  <c r="B13" i="19"/>
  <c r="F318" i="4" s="1"/>
  <c r="G328" i="4"/>
  <c r="G306" i="4" s="1"/>
  <c r="B23" i="19"/>
  <c r="F328" i="4" s="1"/>
  <c r="D73" i="14"/>
  <c r="F78" i="14"/>
  <c r="L184" i="4"/>
  <c r="C131" i="11" s="1"/>
  <c r="J260" i="4"/>
  <c r="C61" i="11" s="1"/>
  <c r="E58" i="13" s="1"/>
  <c r="K58" i="13" s="1"/>
  <c r="U216" i="4"/>
  <c r="U249" i="4"/>
  <c r="U255" i="4"/>
  <c r="U199" i="4"/>
  <c r="U236" i="4"/>
  <c r="U262" i="4"/>
  <c r="U188" i="4"/>
  <c r="U257" i="4"/>
  <c r="U193" i="4"/>
  <c r="U233" i="4"/>
  <c r="U266" i="4"/>
  <c r="U244" i="4"/>
  <c r="U251" i="4"/>
  <c r="U203" i="4"/>
  <c r="U235" i="4"/>
  <c r="U229" i="4"/>
  <c r="U207" i="4"/>
  <c r="U254" i="4"/>
  <c r="U215" i="4"/>
  <c r="U185" i="4"/>
  <c r="U246" i="4"/>
  <c r="U221" i="4"/>
  <c r="U243" i="4"/>
  <c r="U253" i="4"/>
  <c r="U189" i="4"/>
  <c r="U206" i="4"/>
  <c r="U197" i="4"/>
  <c r="U268" i="4"/>
  <c r="U213" i="4"/>
  <c r="U223" i="4"/>
  <c r="U204" i="4"/>
  <c r="U241" i="4"/>
  <c r="U205" i="4"/>
  <c r="U181" i="4"/>
  <c r="U210" i="4"/>
  <c r="U202" i="4"/>
  <c r="U225" i="4"/>
  <c r="U178" i="4"/>
  <c r="U234" i="4"/>
  <c r="U219" i="4"/>
  <c r="U265" i="4"/>
  <c r="U228" i="4"/>
  <c r="U238" i="4"/>
  <c r="U187" i="4"/>
  <c r="U259" i="4"/>
  <c r="U183" i="4"/>
  <c r="U180" i="4"/>
  <c r="U267" i="4"/>
  <c r="U209" i="4"/>
  <c r="U250" i="4"/>
  <c r="U264" i="4"/>
  <c r="U186" i="4"/>
  <c r="U201" i="4"/>
  <c r="U182" i="4"/>
  <c r="U217" i="4"/>
  <c r="U224" i="4"/>
  <c r="U248" i="4"/>
  <c r="U245" i="4"/>
  <c r="U226" i="4"/>
  <c r="U194" i="4"/>
  <c r="U269" i="4"/>
  <c r="U198" i="4"/>
  <c r="U242" i="4"/>
  <c r="U240" i="4"/>
  <c r="U214" i="4"/>
  <c r="U239" i="4"/>
  <c r="U252" i="4"/>
  <c r="U191" i="4"/>
  <c r="U260" i="4"/>
  <c r="U261" i="4"/>
  <c r="U196" i="4"/>
  <c r="U179" i="4"/>
  <c r="U256" i="4"/>
  <c r="U184" i="4"/>
  <c r="U263" i="4"/>
  <c r="U222" i="4"/>
  <c r="U211" i="4"/>
  <c r="U218" i="4"/>
  <c r="U231" i="4"/>
  <c r="U230" i="4"/>
  <c r="U195" i="4"/>
  <c r="U247" i="4"/>
  <c r="U232" i="4"/>
  <c r="U212" i="4"/>
  <c r="U237" i="4"/>
  <c r="U192" i="4"/>
  <c r="U190" i="4"/>
  <c r="U200" i="4"/>
  <c r="U208" i="4"/>
  <c r="U220" i="4"/>
  <c r="U227" i="4"/>
  <c r="U258" i="4"/>
  <c r="L191" i="4"/>
  <c r="L65" i="13" s="1"/>
  <c r="L66" i="13" s="1"/>
  <c r="L192" i="4"/>
  <c r="BG65" i="19"/>
  <c r="BG67" i="19" s="1"/>
  <c r="BJ65" i="19"/>
  <c r="BJ67" i="19" s="1"/>
  <c r="BI68" i="19" s="1"/>
  <c r="BN65" i="19"/>
  <c r="BN67" i="19" s="1"/>
  <c r="BM68" i="19" s="1"/>
  <c r="BR65" i="19"/>
  <c r="BR67" i="19" s="1"/>
  <c r="BQ68" i="19" s="1"/>
  <c r="BM65" i="19"/>
  <c r="BM67" i="19" s="1"/>
  <c r="BT65" i="19"/>
  <c r="BT67" i="19" s="1"/>
  <c r="BS68" i="19" s="1"/>
  <c r="BK65" i="19"/>
  <c r="BK67" i="19" s="1"/>
  <c r="BJ68" i="19" s="1"/>
  <c r="BP65" i="19"/>
  <c r="BP67" i="19" s="1"/>
  <c r="BO68" i="19" s="1"/>
  <c r="BL65" i="19"/>
  <c r="BL67" i="19" s="1"/>
  <c r="BK68" i="19" s="1"/>
  <c r="BU65" i="19"/>
  <c r="BU67" i="19" s="1"/>
  <c r="BT68" i="19" s="1"/>
  <c r="BU68" i="19" s="1"/>
  <c r="BO65" i="19"/>
  <c r="BO67" i="19" s="1"/>
  <c r="BN68" i="19" s="1"/>
  <c r="BH65" i="19"/>
  <c r="BH67" i="19" s="1"/>
  <c r="BG68" i="19" s="1"/>
  <c r="BI65" i="19"/>
  <c r="BI67" i="19" s="1"/>
  <c r="BH68" i="19" s="1"/>
  <c r="BS65" i="19"/>
  <c r="BS67" i="19" s="1"/>
  <c r="BR68" i="19" s="1"/>
  <c r="BQ65" i="19"/>
  <c r="BQ67" i="19" s="1"/>
  <c r="BP68" i="19" s="1"/>
  <c r="CX49" i="19"/>
  <c r="CW60" i="19"/>
  <c r="CX60" i="19" s="1"/>
  <c r="M304" i="4"/>
  <c r="G341" i="4"/>
  <c r="B36" i="19"/>
  <c r="F341" i="4" s="1"/>
  <c r="G48" i="14"/>
  <c r="AW82" i="19"/>
  <c r="AK50" i="19"/>
  <c r="AK52" i="19"/>
  <c r="AL51" i="19" s="1"/>
  <c r="AK57" i="19"/>
  <c r="AL56" i="19" s="1"/>
  <c r="AC8" i="19"/>
  <c r="AC11" i="19"/>
  <c r="AC12" i="19"/>
  <c r="AK47" i="19"/>
  <c r="AL46" i="19" s="1"/>
  <c r="AK56" i="19"/>
  <c r="AL55" i="19" s="1"/>
  <c r="AK45" i="19"/>
  <c r="AL44" i="19" s="1"/>
  <c r="AC7" i="19"/>
  <c r="AK44" i="19"/>
  <c r="AJ65" i="19"/>
  <c r="AK51" i="19"/>
  <c r="AL50" i="19" s="1"/>
  <c r="AK49" i="19"/>
  <c r="AL48" i="19" s="1"/>
  <c r="AK53" i="19"/>
  <c r="AL52" i="19" s="1"/>
  <c r="AK48" i="19"/>
  <c r="AL47" i="19" s="1"/>
  <c r="AK54" i="19"/>
  <c r="AL53" i="19" s="1"/>
  <c r="AK58" i="19"/>
  <c r="AL57" i="19" s="1"/>
  <c r="AK46" i="19"/>
  <c r="AL45" i="19" s="1"/>
  <c r="AK55" i="19"/>
  <c r="AL54" i="19" s="1"/>
  <c r="BJ235" i="19"/>
  <c r="CO286" i="19"/>
  <c r="CO233" i="19"/>
  <c r="CP232" i="19" s="1"/>
  <c r="CO234" i="19"/>
  <c r="CP233" i="19" s="1"/>
  <c r="CO226" i="19"/>
  <c r="CP225" i="19" s="1"/>
  <c r="CO227" i="19"/>
  <c r="CP226" i="19" s="1"/>
  <c r="CO225" i="19"/>
  <c r="CP224" i="19" s="1"/>
  <c r="CO224" i="19"/>
  <c r="CO242" i="19"/>
  <c r="CO264" i="19"/>
  <c r="CO228" i="19"/>
  <c r="CP227" i="19" s="1"/>
  <c r="CO231" i="19"/>
  <c r="CP230" i="19" s="1"/>
  <c r="CO232" i="19"/>
  <c r="CP231" i="19" s="1"/>
  <c r="CO229" i="19"/>
  <c r="CO235" i="19"/>
  <c r="CP234" i="19" s="1"/>
  <c r="CO222" i="19"/>
  <c r="CO230" i="19"/>
  <c r="CP229" i="19" s="1"/>
  <c r="BJ473" i="19"/>
  <c r="BK428" i="19"/>
  <c r="BK429" i="19"/>
  <c r="DC328" i="19" s="1"/>
  <c r="BJ495" i="19"/>
  <c r="BJ451" i="19"/>
  <c r="C24" i="19"/>
  <c r="CK53" i="19"/>
  <c r="C186" i="19"/>
  <c r="B203" i="19"/>
  <c r="C190" i="19"/>
  <c r="AE182" i="19"/>
  <c r="Q182" i="19"/>
  <c r="C192" i="19"/>
  <c r="D191" i="19" s="1"/>
  <c r="C189" i="19"/>
  <c r="D188" i="19" s="1"/>
  <c r="C188" i="19"/>
  <c r="D187" i="19" s="1"/>
  <c r="C194" i="19"/>
  <c r="D193" i="19" s="1"/>
  <c r="AS182" i="19"/>
  <c r="C195" i="19"/>
  <c r="D194" i="19" s="1"/>
  <c r="C193" i="19"/>
  <c r="D192" i="19" s="1"/>
  <c r="C196" i="19"/>
  <c r="D195" i="19" s="1"/>
  <c r="C187" i="19"/>
  <c r="D186" i="19" s="1"/>
  <c r="C191" i="19"/>
  <c r="D190" i="19" s="1"/>
  <c r="J210" i="4"/>
  <c r="G221" i="4"/>
  <c r="J218" i="4"/>
  <c r="G218" i="4" s="1"/>
  <c r="R192" i="13" l="1"/>
  <c r="BH60" i="19"/>
  <c r="AD203" i="19"/>
  <c r="AE186" i="19"/>
  <c r="AE195" i="19"/>
  <c r="AF194" i="19" s="1"/>
  <c r="AE189" i="19"/>
  <c r="AF188" i="19" s="1"/>
  <c r="AE194" i="19"/>
  <c r="AF193" i="19" s="1"/>
  <c r="AE196" i="19"/>
  <c r="AF195" i="19" s="1"/>
  <c r="AE190" i="19"/>
  <c r="AE191" i="19"/>
  <c r="AF190" i="19" s="1"/>
  <c r="AE187" i="19"/>
  <c r="AF186" i="19" s="1"/>
  <c r="AE192" i="19"/>
  <c r="AF191" i="19" s="1"/>
  <c r="AE193" i="19"/>
  <c r="AF192" i="19" s="1"/>
  <c r="AE188" i="19"/>
  <c r="AF187" i="19" s="1"/>
  <c r="AK65" i="19"/>
  <c r="AK67" i="19" s="1"/>
  <c r="AU65" i="19"/>
  <c r="AU67" i="19" s="1"/>
  <c r="AT68" i="19" s="1"/>
  <c r="AN65" i="19"/>
  <c r="AN67" i="19" s="1"/>
  <c r="AM68" i="19" s="1"/>
  <c r="AR65" i="19"/>
  <c r="AR67" i="19" s="1"/>
  <c r="AQ68" i="19" s="1"/>
  <c r="AQ65" i="19"/>
  <c r="AQ67" i="19" s="1"/>
  <c r="AT65" i="19"/>
  <c r="AT67" i="19" s="1"/>
  <c r="AS68" i="19" s="1"/>
  <c r="AO65" i="19"/>
  <c r="AO67" i="19" s="1"/>
  <c r="AN68" i="19" s="1"/>
  <c r="AW65" i="19"/>
  <c r="AW67" i="19" s="1"/>
  <c r="AV68" i="19" s="1"/>
  <c r="AV65" i="19"/>
  <c r="AV67" i="19" s="1"/>
  <c r="AU68" i="19" s="1"/>
  <c r="AX65" i="19"/>
  <c r="AX67" i="19" s="1"/>
  <c r="AW68" i="19" s="1"/>
  <c r="AY65" i="19"/>
  <c r="AY67" i="19" s="1"/>
  <c r="AX68" i="19" s="1"/>
  <c r="AY68" i="19" s="1"/>
  <c r="AP65" i="19"/>
  <c r="AP67" i="19" s="1"/>
  <c r="AO68" i="19" s="1"/>
  <c r="AL65" i="19"/>
  <c r="AL67" i="19" s="1"/>
  <c r="AK68" i="19" s="1"/>
  <c r="AS65" i="19"/>
  <c r="AS67" i="19" s="1"/>
  <c r="AR68" i="19" s="1"/>
  <c r="AM65" i="19"/>
  <c r="AM67" i="19" s="1"/>
  <c r="AL68" i="19" s="1"/>
  <c r="F74" i="14"/>
  <c r="H75" i="14"/>
  <c r="C472" i="19"/>
  <c r="C473" i="19"/>
  <c r="AU330" i="19" s="1"/>
  <c r="BY376" i="19"/>
  <c r="BZ375" i="19" s="1"/>
  <c r="BY385" i="19"/>
  <c r="BZ384" i="19" s="1"/>
  <c r="BY381" i="19"/>
  <c r="BZ380" i="19" s="1"/>
  <c r="BY380" i="19"/>
  <c r="BZ379" i="19" s="1"/>
  <c r="BY375" i="19"/>
  <c r="BX392" i="19"/>
  <c r="BY379" i="19"/>
  <c r="BY383" i="19"/>
  <c r="BZ382" i="19" s="1"/>
  <c r="BY382" i="19"/>
  <c r="BZ381" i="19" s="1"/>
  <c r="BY377" i="19"/>
  <c r="BZ376" i="19" s="1"/>
  <c r="BY378" i="19"/>
  <c r="BZ377" i="19" s="1"/>
  <c r="BY384" i="19"/>
  <c r="BZ383" i="19" s="1"/>
  <c r="DB68" i="19"/>
  <c r="CV70" i="19"/>
  <c r="CW70" i="19" s="1"/>
  <c r="C284" i="19"/>
  <c r="AU141" i="19" s="1"/>
  <c r="C283" i="19"/>
  <c r="BJ490" i="19"/>
  <c r="CO484" i="19"/>
  <c r="CO483" i="19"/>
  <c r="CP482" i="19" s="1"/>
  <c r="CO486" i="19"/>
  <c r="CP485" i="19" s="1"/>
  <c r="CO490" i="19"/>
  <c r="CP489" i="19" s="1"/>
  <c r="CO489" i="19"/>
  <c r="CP488" i="19" s="1"/>
  <c r="CO479" i="19"/>
  <c r="CO488" i="19"/>
  <c r="CP487" i="19" s="1"/>
  <c r="CO485" i="19"/>
  <c r="CP484" i="19" s="1"/>
  <c r="CO482" i="19"/>
  <c r="CP481" i="19" s="1"/>
  <c r="CO487" i="19"/>
  <c r="CP486" i="19" s="1"/>
  <c r="CO480" i="19"/>
  <c r="CP479" i="19" s="1"/>
  <c r="CO481" i="19"/>
  <c r="CP480" i="19" s="1"/>
  <c r="CO477" i="19"/>
  <c r="D189" i="19"/>
  <c r="C198" i="19"/>
  <c r="G329" i="4"/>
  <c r="G307" i="4" s="1"/>
  <c r="B24" i="19"/>
  <c r="F329" i="4" s="1"/>
  <c r="DB328" i="19"/>
  <c r="AL43" i="19"/>
  <c r="AK61" i="19"/>
  <c r="CB65" i="19"/>
  <c r="CB67" i="19" s="1"/>
  <c r="CC65" i="19"/>
  <c r="CC67" i="19" s="1"/>
  <c r="CB68" i="19" s="1"/>
  <c r="CK65" i="19"/>
  <c r="CK67" i="19" s="1"/>
  <c r="CJ68" i="19" s="1"/>
  <c r="CO65" i="19"/>
  <c r="CO67" i="19" s="1"/>
  <c r="CN68" i="19" s="1"/>
  <c r="CF65" i="19"/>
  <c r="CF67" i="19" s="1"/>
  <c r="CE68" i="19" s="1"/>
  <c r="CM65" i="19"/>
  <c r="CM67" i="19" s="1"/>
  <c r="CL68" i="19" s="1"/>
  <c r="CJ65" i="19"/>
  <c r="CJ67" i="19" s="1"/>
  <c r="CI68" i="19" s="1"/>
  <c r="CL65" i="19"/>
  <c r="CL67" i="19" s="1"/>
  <c r="CK68" i="19" s="1"/>
  <c r="CD65" i="19"/>
  <c r="CD67" i="19" s="1"/>
  <c r="CC68" i="19" s="1"/>
  <c r="CN65" i="19"/>
  <c r="CN67" i="19" s="1"/>
  <c r="CM68" i="19" s="1"/>
  <c r="CH65" i="19"/>
  <c r="CH67" i="19" s="1"/>
  <c r="CE65" i="19"/>
  <c r="CE67" i="19" s="1"/>
  <c r="CD68" i="19" s="1"/>
  <c r="CI65" i="19"/>
  <c r="CI67" i="19" s="1"/>
  <c r="CH68" i="19" s="1"/>
  <c r="CG65" i="19"/>
  <c r="CG67" i="19" s="1"/>
  <c r="CF68" i="19" s="1"/>
  <c r="DB139" i="19"/>
  <c r="DH106" i="19"/>
  <c r="DH118" i="19"/>
  <c r="DH111" i="19"/>
  <c r="DH116" i="19"/>
  <c r="DI115" i="19" s="1"/>
  <c r="DH112" i="19"/>
  <c r="DI111" i="19" s="1"/>
  <c r="DH107" i="19"/>
  <c r="DI106" i="19" s="1"/>
  <c r="DH117" i="19"/>
  <c r="DI116" i="19" s="1"/>
  <c r="DH108" i="19"/>
  <c r="DI107" i="19" s="1"/>
  <c r="DH113" i="19"/>
  <c r="DI112" i="19" s="1"/>
  <c r="DH109" i="19"/>
  <c r="DI108" i="19" s="1"/>
  <c r="DH115" i="19"/>
  <c r="DI114" i="19" s="1"/>
  <c r="DH110" i="19"/>
  <c r="DI109" i="19" s="1"/>
  <c r="DH114" i="19"/>
  <c r="DI113" i="19" s="1"/>
  <c r="DI84" i="19"/>
  <c r="DI99" i="19"/>
  <c r="D378" i="19"/>
  <c r="C387" i="19"/>
  <c r="B257" i="19"/>
  <c r="AG251" i="19"/>
  <c r="AG247" i="19"/>
  <c r="AH246" i="19" s="1"/>
  <c r="AG249" i="19"/>
  <c r="AH248" i="19" s="1"/>
  <c r="AG250" i="19"/>
  <c r="AH249" i="19" s="1"/>
  <c r="AG257" i="19"/>
  <c r="AH256" i="19" s="1"/>
  <c r="AG254" i="19"/>
  <c r="AH253" i="19" s="1"/>
  <c r="AG244" i="19"/>
  <c r="AG255" i="19"/>
  <c r="AH254" i="19" s="1"/>
  <c r="AG253" i="19"/>
  <c r="AH252" i="19" s="1"/>
  <c r="AG252" i="19"/>
  <c r="AH251" i="19" s="1"/>
  <c r="AG246" i="19"/>
  <c r="AG248" i="19"/>
  <c r="AH247" i="19" s="1"/>
  <c r="AG256" i="19"/>
  <c r="AH255" i="19" s="1"/>
  <c r="BL374" i="19"/>
  <c r="BK388" i="19"/>
  <c r="BR392" i="19"/>
  <c r="BR394" i="19" s="1"/>
  <c r="BQ395" i="19" s="1"/>
  <c r="BO392" i="19"/>
  <c r="BO394" i="19" s="1"/>
  <c r="BN392" i="19"/>
  <c r="BN394" i="19" s="1"/>
  <c r="BM395" i="19" s="1"/>
  <c r="BU392" i="19"/>
  <c r="BU394" i="19" s="1"/>
  <c r="BT395" i="19" s="1"/>
  <c r="BU395" i="19" s="1"/>
  <c r="BQ392" i="19"/>
  <c r="BQ394" i="19" s="1"/>
  <c r="BP395" i="19" s="1"/>
  <c r="BT392" i="19"/>
  <c r="BT394" i="19" s="1"/>
  <c r="BS395" i="19" s="1"/>
  <c r="BK392" i="19"/>
  <c r="BK394" i="19" s="1"/>
  <c r="BP392" i="19"/>
  <c r="BP394" i="19" s="1"/>
  <c r="BO395" i="19" s="1"/>
  <c r="BL392" i="19"/>
  <c r="BL394" i="19" s="1"/>
  <c r="BK395" i="19" s="1"/>
  <c r="BS392" i="19"/>
  <c r="BS394" i="19" s="1"/>
  <c r="BR395" i="19" s="1"/>
  <c r="BM392" i="19"/>
  <c r="BM394" i="19" s="1"/>
  <c r="BL395" i="19" s="1"/>
  <c r="BL189" i="19"/>
  <c r="BK198" i="19"/>
  <c r="B490" i="19"/>
  <c r="AG479" i="19"/>
  <c r="AG490" i="19"/>
  <c r="AH489" i="19" s="1"/>
  <c r="AG488" i="19"/>
  <c r="AH487" i="19" s="1"/>
  <c r="AG477" i="19"/>
  <c r="AG481" i="19"/>
  <c r="AH480" i="19" s="1"/>
  <c r="AG480" i="19"/>
  <c r="AH479" i="19" s="1"/>
  <c r="AG482" i="19"/>
  <c r="AH481" i="19" s="1"/>
  <c r="AG486" i="19"/>
  <c r="AH485" i="19" s="1"/>
  <c r="AG484" i="19"/>
  <c r="AG487" i="19"/>
  <c r="AH486" i="19" s="1"/>
  <c r="AG483" i="19"/>
  <c r="AH482" i="19" s="1"/>
  <c r="AG485" i="19"/>
  <c r="AH484" i="19" s="1"/>
  <c r="AG489" i="19"/>
  <c r="AH488" i="19" s="1"/>
  <c r="AH417" i="19"/>
  <c r="AH425" i="19" s="1"/>
  <c r="AG425" i="19"/>
  <c r="AG426" i="19" s="1"/>
  <c r="CV68" i="19"/>
  <c r="CV71" i="19"/>
  <c r="BJ468" i="19"/>
  <c r="CO462" i="19"/>
  <c r="CO461" i="19"/>
  <c r="CP460" i="19" s="1"/>
  <c r="CO468" i="19"/>
  <c r="CP467" i="19" s="1"/>
  <c r="CO460" i="19"/>
  <c r="CP459" i="19" s="1"/>
  <c r="CO458" i="19"/>
  <c r="CP457" i="19" s="1"/>
  <c r="CO464" i="19"/>
  <c r="CP463" i="19" s="1"/>
  <c r="CO466" i="19"/>
  <c r="CP465" i="19" s="1"/>
  <c r="CO463" i="19"/>
  <c r="CP462" i="19" s="1"/>
  <c r="CO457" i="19"/>
  <c r="CO467" i="19"/>
  <c r="CP466" i="19" s="1"/>
  <c r="CO465" i="19"/>
  <c r="CP464" i="19" s="1"/>
  <c r="CO455" i="19"/>
  <c r="CO459" i="19"/>
  <c r="CP458" i="19" s="1"/>
  <c r="BJ446" i="19"/>
  <c r="CO435" i="19"/>
  <c r="CO438" i="19"/>
  <c r="CP437" i="19" s="1"/>
  <c r="CO440" i="19"/>
  <c r="CO433" i="19"/>
  <c r="CO436" i="19"/>
  <c r="CP435" i="19" s="1"/>
  <c r="CO443" i="19"/>
  <c r="CP442" i="19" s="1"/>
  <c r="CO445" i="19"/>
  <c r="CP444" i="19" s="1"/>
  <c r="CO444" i="19"/>
  <c r="CP443" i="19" s="1"/>
  <c r="CO437" i="19"/>
  <c r="CP436" i="19" s="1"/>
  <c r="CO441" i="19"/>
  <c r="CP440" i="19" s="1"/>
  <c r="CO442" i="19"/>
  <c r="CP441" i="19" s="1"/>
  <c r="CO439" i="19"/>
  <c r="CP438" i="19" s="1"/>
  <c r="CO446" i="19"/>
  <c r="CP445" i="19" s="1"/>
  <c r="BS97" i="19"/>
  <c r="BS96" i="19"/>
  <c r="CC49" i="19"/>
  <c r="CB60" i="19"/>
  <c r="BK283" i="19"/>
  <c r="BK284" i="19"/>
  <c r="DC141" i="19" s="1"/>
  <c r="DI97" i="19"/>
  <c r="DI96" i="19"/>
  <c r="AR392" i="19"/>
  <c r="AS379" i="19"/>
  <c r="AS375" i="19"/>
  <c r="AS382" i="19"/>
  <c r="AT381" i="19" s="1"/>
  <c r="AS377" i="19"/>
  <c r="AT376" i="19" s="1"/>
  <c r="AS381" i="19"/>
  <c r="AT380" i="19" s="1"/>
  <c r="AS376" i="19"/>
  <c r="AT375" i="19" s="1"/>
  <c r="AS380" i="19"/>
  <c r="AT379" i="19" s="1"/>
  <c r="AS384" i="19"/>
  <c r="AT383" i="19" s="1"/>
  <c r="AS383" i="19"/>
  <c r="AT382" i="19" s="1"/>
  <c r="AS385" i="19"/>
  <c r="AT384" i="19" s="1"/>
  <c r="AS378" i="19"/>
  <c r="AT377" i="19" s="1"/>
  <c r="Q380" i="19"/>
  <c r="R379" i="19" s="1"/>
  <c r="Q383" i="19"/>
  <c r="R382" i="19" s="1"/>
  <c r="Q385" i="19"/>
  <c r="R384" i="19" s="1"/>
  <c r="Q377" i="19"/>
  <c r="R376" i="19" s="1"/>
  <c r="Q379" i="19"/>
  <c r="Q375" i="19"/>
  <c r="P392" i="19"/>
  <c r="Q384" i="19"/>
  <c r="R383" i="19" s="1"/>
  <c r="Q382" i="19"/>
  <c r="R381" i="19" s="1"/>
  <c r="Q376" i="19"/>
  <c r="R375" i="19" s="1"/>
  <c r="Q378" i="19"/>
  <c r="R377" i="19" s="1"/>
  <c r="Q381" i="19"/>
  <c r="R380" i="19" s="1"/>
  <c r="AH228" i="19"/>
  <c r="AH236" i="19" s="1"/>
  <c r="AG236" i="19"/>
  <c r="BY190" i="19"/>
  <c r="BX203" i="19"/>
  <c r="BY186" i="19"/>
  <c r="BY191" i="19"/>
  <c r="BZ190" i="19" s="1"/>
  <c r="BY193" i="19"/>
  <c r="BZ192" i="19" s="1"/>
  <c r="BY196" i="19"/>
  <c r="BZ195" i="19" s="1"/>
  <c r="BY195" i="19"/>
  <c r="BZ194" i="19" s="1"/>
  <c r="BY188" i="19"/>
  <c r="BZ187" i="19" s="1"/>
  <c r="BY187" i="19"/>
  <c r="BZ186" i="19" s="1"/>
  <c r="BY189" i="19"/>
  <c r="BZ188" i="19" s="1"/>
  <c r="BY192" i="19"/>
  <c r="BZ191" i="19" s="1"/>
  <c r="BY194" i="19"/>
  <c r="BZ193" i="19" s="1"/>
  <c r="BL185" i="19"/>
  <c r="BK199" i="19"/>
  <c r="AT139" i="19"/>
  <c r="J225" i="4"/>
  <c r="AS190" i="19"/>
  <c r="AS186" i="19"/>
  <c r="AS191" i="19"/>
  <c r="AT190" i="19" s="1"/>
  <c r="AS193" i="19"/>
  <c r="AT192" i="19" s="1"/>
  <c r="AR203" i="19"/>
  <c r="AS196" i="19"/>
  <c r="AT195" i="19" s="1"/>
  <c r="AS194" i="19"/>
  <c r="AT193" i="19" s="1"/>
  <c r="AS189" i="19"/>
  <c r="AT188" i="19" s="1"/>
  <c r="AS188" i="19"/>
  <c r="AT187" i="19" s="1"/>
  <c r="AS195" i="19"/>
  <c r="AT194" i="19" s="1"/>
  <c r="AS192" i="19"/>
  <c r="AT191" i="19" s="1"/>
  <c r="AS187" i="19"/>
  <c r="AT186" i="19" s="1"/>
  <c r="G203" i="19"/>
  <c r="G205" i="19" s="1"/>
  <c r="C203" i="19"/>
  <c r="C205" i="19" s="1"/>
  <c r="F203" i="19"/>
  <c r="F205" i="19" s="1"/>
  <c r="E206" i="19" s="1"/>
  <c r="J203" i="19"/>
  <c r="J205" i="19" s="1"/>
  <c r="I206" i="19" s="1"/>
  <c r="H203" i="19"/>
  <c r="H205" i="19" s="1"/>
  <c r="G206" i="19" s="1"/>
  <c r="I203" i="19"/>
  <c r="I205" i="19" s="1"/>
  <c r="H206" i="19" s="1"/>
  <c r="M203" i="19"/>
  <c r="M205" i="19" s="1"/>
  <c r="L206" i="19" s="1"/>
  <c r="M206" i="19" s="1"/>
  <c r="E203" i="19"/>
  <c r="E205" i="19" s="1"/>
  <c r="D206" i="19" s="1"/>
  <c r="K203" i="19"/>
  <c r="K205" i="19" s="1"/>
  <c r="J206" i="19" s="1"/>
  <c r="L203" i="19"/>
  <c r="L205" i="19" s="1"/>
  <c r="K206" i="19" s="1"/>
  <c r="D203" i="19"/>
  <c r="D205" i="19" s="1"/>
  <c r="C206" i="19" s="1"/>
  <c r="BK450" i="19"/>
  <c r="BK451" i="19"/>
  <c r="DC329" i="19" s="1"/>
  <c r="BK473" i="19"/>
  <c r="DC330" i="19" s="1"/>
  <c r="BK472" i="19"/>
  <c r="CP228" i="19"/>
  <c r="CP236" i="19" s="1"/>
  <c r="CO236" i="19"/>
  <c r="BJ279" i="19"/>
  <c r="CO273" i="19"/>
  <c r="CO277" i="19"/>
  <c r="CP276" i="19" s="1"/>
  <c r="CO272" i="19"/>
  <c r="CP271" i="19" s="1"/>
  <c r="CO278" i="19"/>
  <c r="CP277" i="19" s="1"/>
  <c r="CO271" i="19"/>
  <c r="CP270" i="19" s="1"/>
  <c r="CO269" i="19"/>
  <c r="CP268" i="19" s="1"/>
  <c r="CO266" i="19"/>
  <c r="CO268" i="19"/>
  <c r="CO276" i="19"/>
  <c r="CP275" i="19" s="1"/>
  <c r="CO279" i="19"/>
  <c r="CP278" i="19" s="1"/>
  <c r="CO274" i="19"/>
  <c r="CP273" i="19" s="1"/>
  <c r="CO275" i="19"/>
  <c r="CP274" i="19" s="1"/>
  <c r="CO270" i="19"/>
  <c r="CP269" i="19" s="1"/>
  <c r="BJ301" i="19"/>
  <c r="CO295" i="19"/>
  <c r="CO292" i="19"/>
  <c r="CP291" i="19" s="1"/>
  <c r="CO297" i="19"/>
  <c r="CP296" i="19" s="1"/>
  <c r="CO293" i="19"/>
  <c r="CP292" i="19" s="1"/>
  <c r="CO291" i="19"/>
  <c r="CP290" i="19" s="1"/>
  <c r="CO300" i="19"/>
  <c r="CP299" i="19" s="1"/>
  <c r="CO288" i="19"/>
  <c r="CO299" i="19"/>
  <c r="CP298" i="19" s="1"/>
  <c r="CO294" i="19"/>
  <c r="CP293" i="19" s="1"/>
  <c r="CO296" i="19"/>
  <c r="CP295" i="19" s="1"/>
  <c r="CO301" i="19"/>
  <c r="CP300" i="19" s="1"/>
  <c r="CO298" i="19"/>
  <c r="CP297" i="19" s="1"/>
  <c r="CO290" i="19"/>
  <c r="C59" i="13"/>
  <c r="G59" i="13" s="1"/>
  <c r="G58" i="13"/>
  <c r="CC43" i="19"/>
  <c r="CB61" i="19"/>
  <c r="BK261" i="19"/>
  <c r="BK262" i="19"/>
  <c r="DC140" i="19" s="1"/>
  <c r="G333" i="4"/>
  <c r="G309" i="4" s="1"/>
  <c r="B28" i="19"/>
  <c r="F333" i="4" s="1"/>
  <c r="AT328" i="19"/>
  <c r="DI89" i="19"/>
  <c r="DH99" i="19"/>
  <c r="D374" i="19"/>
  <c r="C388" i="19"/>
  <c r="B279" i="19"/>
  <c r="AG273" i="19"/>
  <c r="AG272" i="19"/>
  <c r="AH271" i="19" s="1"/>
  <c r="AG279" i="19"/>
  <c r="AH278" i="19" s="1"/>
  <c r="AG266" i="19"/>
  <c r="AG268" i="19"/>
  <c r="AG277" i="19"/>
  <c r="AH276" i="19" s="1"/>
  <c r="AG270" i="19"/>
  <c r="AH269" i="19" s="1"/>
  <c r="AG269" i="19"/>
  <c r="AH268" i="19" s="1"/>
  <c r="AG271" i="19"/>
  <c r="AH270" i="19" s="1"/>
  <c r="AG274" i="19"/>
  <c r="AH273" i="19" s="1"/>
  <c r="AG278" i="19"/>
  <c r="AH277" i="19" s="1"/>
  <c r="AG276" i="19"/>
  <c r="AH275" i="19" s="1"/>
  <c r="AG275" i="19"/>
  <c r="AH274" i="19" s="1"/>
  <c r="CM375" i="19"/>
  <c r="CM379" i="19"/>
  <c r="CM384" i="19"/>
  <c r="CN383" i="19" s="1"/>
  <c r="CM378" i="19"/>
  <c r="CN377" i="19" s="1"/>
  <c r="CM385" i="19"/>
  <c r="CN384" i="19" s="1"/>
  <c r="CL392" i="19"/>
  <c r="CM382" i="19"/>
  <c r="CN381" i="19" s="1"/>
  <c r="CM383" i="19"/>
  <c r="CN382" i="19" s="1"/>
  <c r="CM377" i="19"/>
  <c r="CN376" i="19" s="1"/>
  <c r="CM381" i="19"/>
  <c r="CN380" i="19" s="1"/>
  <c r="CM376" i="19"/>
  <c r="CN375" i="19" s="1"/>
  <c r="CM380" i="19"/>
  <c r="CN379" i="19" s="1"/>
  <c r="CM190" i="19"/>
  <c r="CL203" i="19"/>
  <c r="CM187" i="19"/>
  <c r="CN186" i="19" s="1"/>
  <c r="CM189" i="19"/>
  <c r="CN188" i="19" s="1"/>
  <c r="CM191" i="19"/>
  <c r="CN190" i="19" s="1"/>
  <c r="CM195" i="19"/>
  <c r="CN194" i="19" s="1"/>
  <c r="CM192" i="19"/>
  <c r="CN191" i="19" s="1"/>
  <c r="CM186" i="19"/>
  <c r="CM188" i="19"/>
  <c r="CN187" i="19" s="1"/>
  <c r="CM194" i="19"/>
  <c r="CN193" i="19" s="1"/>
  <c r="CM196" i="19"/>
  <c r="CN195" i="19" s="1"/>
  <c r="CM193" i="19"/>
  <c r="CN192" i="19" s="1"/>
  <c r="DA186" i="19"/>
  <c r="DA190" i="19"/>
  <c r="CZ203" i="19"/>
  <c r="DA191" i="19"/>
  <c r="DB190" i="19" s="1"/>
  <c r="DA194" i="19"/>
  <c r="DB193" i="19" s="1"/>
  <c r="DA189" i="19"/>
  <c r="DB188" i="19" s="1"/>
  <c r="DA192" i="19"/>
  <c r="DB191" i="19" s="1"/>
  <c r="DA193" i="19"/>
  <c r="DB192" i="19" s="1"/>
  <c r="DA188" i="19"/>
  <c r="DB187" i="19" s="1"/>
  <c r="DA187" i="19"/>
  <c r="DB186" i="19" s="1"/>
  <c r="DA196" i="19"/>
  <c r="DB195" i="19" s="1"/>
  <c r="DA195" i="19"/>
  <c r="DB194" i="19" s="1"/>
  <c r="F47" i="14"/>
  <c r="F48" i="14" s="1"/>
  <c r="F69" i="14" s="1"/>
  <c r="B468" i="19"/>
  <c r="AG462" i="19"/>
  <c r="AG466" i="19"/>
  <c r="AH465" i="19" s="1"/>
  <c r="AG458" i="19"/>
  <c r="AH457" i="19" s="1"/>
  <c r="AG465" i="19"/>
  <c r="AH464" i="19" s="1"/>
  <c r="AG461" i="19"/>
  <c r="AH460" i="19" s="1"/>
  <c r="AG467" i="19"/>
  <c r="AH466" i="19" s="1"/>
  <c r="AG464" i="19"/>
  <c r="AH463" i="19" s="1"/>
  <c r="AG463" i="19"/>
  <c r="AH462" i="19" s="1"/>
  <c r="AG468" i="19"/>
  <c r="AH467" i="19" s="1"/>
  <c r="AG460" i="19"/>
  <c r="AH459" i="19" s="1"/>
  <c r="AG457" i="19"/>
  <c r="AG459" i="19"/>
  <c r="AH458" i="19" s="1"/>
  <c r="AG455" i="19"/>
  <c r="BH61" i="19"/>
  <c r="C306" i="19"/>
  <c r="AU142" i="19" s="1"/>
  <c r="C305" i="19"/>
  <c r="CP417" i="19"/>
  <c r="CP425" i="19" s="1"/>
  <c r="CO425" i="19"/>
  <c r="CO426" i="19" s="1"/>
  <c r="BS89" i="19"/>
  <c r="BR99" i="19"/>
  <c r="AW103" i="19"/>
  <c r="AV85" i="19"/>
  <c r="AV90" i="19"/>
  <c r="AV97" i="19"/>
  <c r="AV93" i="19"/>
  <c r="AW92" i="19" s="1"/>
  <c r="AV86" i="19"/>
  <c r="AW85" i="19" s="1"/>
  <c r="AV94" i="19"/>
  <c r="AW93" i="19" s="1"/>
  <c r="AV89" i="19"/>
  <c r="AW88" i="19" s="1"/>
  <c r="AV92" i="19"/>
  <c r="AW91" i="19" s="1"/>
  <c r="AV96" i="19"/>
  <c r="AW95" i="19" s="1"/>
  <c r="AV87" i="19"/>
  <c r="AW86" i="19" s="1"/>
  <c r="AV88" i="19"/>
  <c r="AW87" i="19" s="1"/>
  <c r="AV95" i="19"/>
  <c r="AW94" i="19" s="1"/>
  <c r="AV91" i="19"/>
  <c r="AW90" i="19" s="1"/>
  <c r="Q190" i="19"/>
  <c r="Q186" i="19"/>
  <c r="P203" i="19"/>
  <c r="Q187" i="19"/>
  <c r="R186" i="19" s="1"/>
  <c r="Q193" i="19"/>
  <c r="R192" i="19" s="1"/>
  <c r="Q188" i="19"/>
  <c r="R187" i="19" s="1"/>
  <c r="Q192" i="19"/>
  <c r="R191" i="19" s="1"/>
  <c r="Q194" i="19"/>
  <c r="R193" i="19" s="1"/>
  <c r="Q195" i="19"/>
  <c r="R194" i="19" s="1"/>
  <c r="Q189" i="19"/>
  <c r="R188" i="19" s="1"/>
  <c r="Q196" i="19"/>
  <c r="R195" i="19" s="1"/>
  <c r="Q191" i="19"/>
  <c r="R190" i="19" s="1"/>
  <c r="D185" i="19"/>
  <c r="C199" i="19"/>
  <c r="BK495" i="19"/>
  <c r="DC331" i="19" s="1"/>
  <c r="BK494" i="19"/>
  <c r="BJ257" i="19"/>
  <c r="CO251" i="19"/>
  <c r="CO244" i="19"/>
  <c r="CO256" i="19"/>
  <c r="CP255" i="19" s="1"/>
  <c r="CO248" i="19"/>
  <c r="CP247" i="19" s="1"/>
  <c r="CO255" i="19"/>
  <c r="CP254" i="19" s="1"/>
  <c r="CO246" i="19"/>
  <c r="CO249" i="19"/>
  <c r="CP248" i="19" s="1"/>
  <c r="CO252" i="19"/>
  <c r="CP251" i="19" s="1"/>
  <c r="CO257" i="19"/>
  <c r="CP256" i="19" s="1"/>
  <c r="CO250" i="19"/>
  <c r="CP249" i="19" s="1"/>
  <c r="CO254" i="19"/>
  <c r="CP253" i="19" s="1"/>
  <c r="CO247" i="19"/>
  <c r="CP246" i="19" s="1"/>
  <c r="CO253" i="19"/>
  <c r="CP252" i="19" s="1"/>
  <c r="AL49" i="19"/>
  <c r="AK60" i="19"/>
  <c r="BL68" i="19"/>
  <c r="BF70" i="19"/>
  <c r="BF68" i="19"/>
  <c r="BF71" i="19"/>
  <c r="B316" i="4"/>
  <c r="I131" i="11"/>
  <c r="CN103" i="19"/>
  <c r="CM95" i="19"/>
  <c r="CN94" i="19" s="1"/>
  <c r="CM93" i="19"/>
  <c r="CN92" i="19" s="1"/>
  <c r="CM87" i="19"/>
  <c r="CN86" i="19" s="1"/>
  <c r="CM86" i="19"/>
  <c r="CN85" i="19" s="1"/>
  <c r="CM85" i="19"/>
  <c r="CM97" i="19"/>
  <c r="CM89" i="19"/>
  <c r="CN88" i="19" s="1"/>
  <c r="CM94" i="19"/>
  <c r="CN93" i="19" s="1"/>
  <c r="CM96" i="19"/>
  <c r="CN95" i="19" s="1"/>
  <c r="CM92" i="19"/>
  <c r="CN91" i="19" s="1"/>
  <c r="CM91" i="19"/>
  <c r="CN90" i="19" s="1"/>
  <c r="CM90" i="19"/>
  <c r="CM88" i="19"/>
  <c r="CN87" i="19" s="1"/>
  <c r="BK306" i="19"/>
  <c r="DC142" i="19" s="1"/>
  <c r="BK305" i="19"/>
  <c r="C494" i="19"/>
  <c r="C495" i="19"/>
  <c r="AU331" i="19" s="1"/>
  <c r="C450" i="19"/>
  <c r="C451" i="19"/>
  <c r="AU329" i="19" s="1"/>
  <c r="C392" i="19"/>
  <c r="C394" i="19" s="1"/>
  <c r="G392" i="19"/>
  <c r="G394" i="19" s="1"/>
  <c r="H392" i="19"/>
  <c r="H394" i="19" s="1"/>
  <c r="G395" i="19" s="1"/>
  <c r="L392" i="19"/>
  <c r="L394" i="19" s="1"/>
  <c r="K395" i="19" s="1"/>
  <c r="I392" i="19"/>
  <c r="I394" i="19" s="1"/>
  <c r="H395" i="19" s="1"/>
  <c r="F392" i="19"/>
  <c r="F394" i="19" s="1"/>
  <c r="E395" i="19" s="1"/>
  <c r="M392" i="19"/>
  <c r="M394" i="19" s="1"/>
  <c r="L395" i="19" s="1"/>
  <c r="M395" i="19" s="1"/>
  <c r="J392" i="19"/>
  <c r="J394" i="19" s="1"/>
  <c r="I395" i="19" s="1"/>
  <c r="D392" i="19"/>
  <c r="D394" i="19" s="1"/>
  <c r="C395" i="19" s="1"/>
  <c r="E392" i="19"/>
  <c r="E394" i="19" s="1"/>
  <c r="D395" i="19" s="1"/>
  <c r="K392" i="19"/>
  <c r="K394" i="19" s="1"/>
  <c r="J395" i="19" s="1"/>
  <c r="AE381" i="19"/>
  <c r="AF380" i="19" s="1"/>
  <c r="AE375" i="19"/>
  <c r="AE378" i="19"/>
  <c r="AF377" i="19" s="1"/>
  <c r="AE384" i="19"/>
  <c r="AF383" i="19" s="1"/>
  <c r="AE383" i="19"/>
  <c r="AF382" i="19" s="1"/>
  <c r="AE377" i="19"/>
  <c r="AF376" i="19" s="1"/>
  <c r="AE379" i="19"/>
  <c r="AE376" i="19"/>
  <c r="AF375" i="19" s="1"/>
  <c r="AE382" i="19"/>
  <c r="AF381" i="19" s="1"/>
  <c r="AE380" i="19"/>
  <c r="AF379" i="19" s="1"/>
  <c r="AD392" i="19"/>
  <c r="AE385" i="19"/>
  <c r="AF384" i="19" s="1"/>
  <c r="CX61" i="19"/>
  <c r="B301" i="19"/>
  <c r="AG288" i="19"/>
  <c r="AG293" i="19"/>
  <c r="AH292" i="19" s="1"/>
  <c r="AG299" i="19"/>
  <c r="AH298" i="19" s="1"/>
  <c r="AG292" i="19"/>
  <c r="AH291" i="19" s="1"/>
  <c r="AG301" i="19"/>
  <c r="AH300" i="19" s="1"/>
  <c r="AG291" i="19"/>
  <c r="AH290" i="19" s="1"/>
  <c r="AG298" i="19"/>
  <c r="AH297" i="19" s="1"/>
  <c r="AG296" i="19"/>
  <c r="AH295" i="19" s="1"/>
  <c r="AG300" i="19"/>
  <c r="AH299" i="19" s="1"/>
  <c r="AG294" i="19"/>
  <c r="AH293" i="19" s="1"/>
  <c r="AG297" i="19"/>
  <c r="AH296" i="19" s="1"/>
  <c r="AG295" i="19"/>
  <c r="AG290" i="19"/>
  <c r="BL378" i="19"/>
  <c r="BK387" i="19"/>
  <c r="DA379" i="19"/>
  <c r="CZ392" i="19"/>
  <c r="DA375" i="19"/>
  <c r="DA381" i="19"/>
  <c r="DB380" i="19" s="1"/>
  <c r="DA377" i="19"/>
  <c r="DB376" i="19" s="1"/>
  <c r="DA384" i="19"/>
  <c r="DB383" i="19" s="1"/>
  <c r="DA378" i="19"/>
  <c r="DB377" i="19" s="1"/>
  <c r="DA376" i="19"/>
  <c r="DB375" i="19" s="1"/>
  <c r="DA383" i="19"/>
  <c r="DB382" i="19" s="1"/>
  <c r="DA380" i="19"/>
  <c r="DB379" i="19" s="1"/>
  <c r="DA385" i="19"/>
  <c r="DB384" i="19" s="1"/>
  <c r="DA382" i="19"/>
  <c r="DB381" i="19" s="1"/>
  <c r="BK203" i="19"/>
  <c r="BK205" i="19" s="1"/>
  <c r="BP203" i="19"/>
  <c r="BP205" i="19" s="1"/>
  <c r="BO206" i="19" s="1"/>
  <c r="BL203" i="19"/>
  <c r="BL205" i="19" s="1"/>
  <c r="BK206" i="19" s="1"/>
  <c r="BS203" i="19"/>
  <c r="BS205" i="19" s="1"/>
  <c r="BR206" i="19" s="1"/>
  <c r="BQ203" i="19"/>
  <c r="BQ205" i="19" s="1"/>
  <c r="BP206" i="19" s="1"/>
  <c r="BO203" i="19"/>
  <c r="BO205" i="19" s="1"/>
  <c r="BU203" i="19"/>
  <c r="BU205" i="19" s="1"/>
  <c r="BT206" i="19" s="1"/>
  <c r="BU206" i="19" s="1"/>
  <c r="BR203" i="19"/>
  <c r="BR205" i="19" s="1"/>
  <c r="BQ206" i="19" s="1"/>
  <c r="BN203" i="19"/>
  <c r="BN205" i="19" s="1"/>
  <c r="BM206" i="19" s="1"/>
  <c r="BT203" i="19"/>
  <c r="BT205" i="19" s="1"/>
  <c r="BS206" i="19" s="1"/>
  <c r="BM203" i="19"/>
  <c r="BM205" i="19" s="1"/>
  <c r="BL206" i="19" s="1"/>
  <c r="B446" i="19"/>
  <c r="AG435" i="19"/>
  <c r="AG442" i="19"/>
  <c r="AH441" i="19" s="1"/>
  <c r="AG443" i="19"/>
  <c r="AH442" i="19" s="1"/>
  <c r="AG436" i="19"/>
  <c r="AH435" i="19" s="1"/>
  <c r="AG446" i="19"/>
  <c r="AH445" i="19" s="1"/>
  <c r="AG439" i="19"/>
  <c r="AH438" i="19" s="1"/>
  <c r="AG438" i="19"/>
  <c r="AH437" i="19" s="1"/>
  <c r="AG445" i="19"/>
  <c r="AH444" i="19" s="1"/>
  <c r="AG437" i="19"/>
  <c r="AH436" i="19" s="1"/>
  <c r="AG440" i="19"/>
  <c r="AG433" i="19"/>
  <c r="AG444" i="19"/>
  <c r="AH443" i="19" s="1"/>
  <c r="AG441" i="19"/>
  <c r="AH440" i="19" s="1"/>
  <c r="C261" i="19"/>
  <c r="C262" i="19"/>
  <c r="AU140" i="19" s="1"/>
  <c r="BR106" i="19"/>
  <c r="BR118" i="19"/>
  <c r="BR107" i="19"/>
  <c r="BS106" i="19" s="1"/>
  <c r="BR115" i="19"/>
  <c r="BS114" i="19" s="1"/>
  <c r="BR110" i="19"/>
  <c r="BS109" i="19" s="1"/>
  <c r="BR114" i="19"/>
  <c r="BS113" i="19" s="1"/>
  <c r="BR109" i="19"/>
  <c r="BS108" i="19" s="1"/>
  <c r="BR108" i="19"/>
  <c r="BS107" i="19" s="1"/>
  <c r="BR112" i="19"/>
  <c r="BS111" i="19" s="1"/>
  <c r="BR116" i="19"/>
  <c r="BS115" i="19" s="1"/>
  <c r="BR113" i="19"/>
  <c r="BS112" i="19" s="1"/>
  <c r="BR111" i="19"/>
  <c r="BR117" i="19"/>
  <c r="BS116" i="19" s="1"/>
  <c r="BS84" i="19"/>
  <c r="BS99" i="19"/>
  <c r="D198" i="19" l="1"/>
  <c r="BL387" i="19"/>
  <c r="BL388" i="19" s="1"/>
  <c r="BG70" i="19"/>
  <c r="BG73" i="19" s="1"/>
  <c r="BG72" i="19" s="1"/>
  <c r="DH100" i="19"/>
  <c r="DI100" i="19" s="1"/>
  <c r="AL60" i="19"/>
  <c r="AL61" i="19" s="1"/>
  <c r="D199" i="19"/>
  <c r="D200" i="19" s="1"/>
  <c r="AN139" i="19" s="1"/>
  <c r="CW73" i="19"/>
  <c r="CW72" i="19" s="1"/>
  <c r="AG237" i="19"/>
  <c r="AH237" i="19" s="1"/>
  <c r="BL198" i="19"/>
  <c r="BL199" i="19" s="1"/>
  <c r="AH426" i="19"/>
  <c r="B425" i="19" s="1"/>
  <c r="Q198" i="19"/>
  <c r="CO237" i="19"/>
  <c r="CP237" i="19" s="1"/>
  <c r="CQ237" i="19" s="1"/>
  <c r="CP426" i="19"/>
  <c r="CQ426" i="19" s="1"/>
  <c r="D387" i="19"/>
  <c r="D388" i="19" s="1"/>
  <c r="CN89" i="19"/>
  <c r="CM99" i="19"/>
  <c r="R185" i="19"/>
  <c r="Q199" i="19"/>
  <c r="AW97" i="19"/>
  <c r="AW96" i="19"/>
  <c r="AH461" i="19"/>
  <c r="AH469" i="19" s="1"/>
  <c r="AG469" i="19"/>
  <c r="AG470" i="19" s="1"/>
  <c r="DB329" i="19"/>
  <c r="J228" i="4"/>
  <c r="J229" i="4" s="1"/>
  <c r="F228" i="4"/>
  <c r="BZ189" i="19"/>
  <c r="BY198" i="19"/>
  <c r="AT374" i="19"/>
  <c r="AS388" i="19"/>
  <c r="BN395" i="19"/>
  <c r="BJ397" i="19"/>
  <c r="DI105" i="19"/>
  <c r="DI120" i="19"/>
  <c r="AT141" i="19"/>
  <c r="BS105" i="19"/>
  <c r="BS120" i="19"/>
  <c r="AT140" i="19"/>
  <c r="DB374" i="19"/>
  <c r="DA388" i="19"/>
  <c r="AT329" i="19"/>
  <c r="DB142" i="19"/>
  <c r="R189" i="19"/>
  <c r="AW89" i="19"/>
  <c r="AV99" i="19"/>
  <c r="BR100" i="19"/>
  <c r="BS100" i="19" s="1"/>
  <c r="AT142" i="19"/>
  <c r="DB189" i="19"/>
  <c r="DA198" i="19"/>
  <c r="DB198" i="19" s="1"/>
  <c r="CM203" i="19"/>
  <c r="CM205" i="19" s="1"/>
  <c r="CQ203" i="19"/>
  <c r="CQ205" i="19" s="1"/>
  <c r="CV203" i="19"/>
  <c r="CV205" i="19" s="1"/>
  <c r="CU206" i="19" s="1"/>
  <c r="CP203" i="19"/>
  <c r="CP205" i="19" s="1"/>
  <c r="CO206" i="19" s="1"/>
  <c r="CT203" i="19"/>
  <c r="CT205" i="19" s="1"/>
  <c r="CS206" i="19" s="1"/>
  <c r="CW203" i="19"/>
  <c r="CW205" i="19" s="1"/>
  <c r="CV206" i="19" s="1"/>
  <c r="CW206" i="19" s="1"/>
  <c r="CR203" i="19"/>
  <c r="CR205" i="19" s="1"/>
  <c r="CQ206" i="19" s="1"/>
  <c r="CO203" i="19"/>
  <c r="CO205" i="19" s="1"/>
  <c r="CN206" i="19" s="1"/>
  <c r="CU203" i="19"/>
  <c r="CU205" i="19" s="1"/>
  <c r="CT206" i="19" s="1"/>
  <c r="CN203" i="19"/>
  <c r="CN205" i="19" s="1"/>
  <c r="CM206" i="19" s="1"/>
  <c r="CS203" i="19"/>
  <c r="CS205" i="19" s="1"/>
  <c r="CR206" i="19" s="1"/>
  <c r="CU392" i="19"/>
  <c r="CU394" i="19" s="1"/>
  <c r="CT395" i="19" s="1"/>
  <c r="CW392" i="19"/>
  <c r="CW394" i="19" s="1"/>
  <c r="CV395" i="19" s="1"/>
  <c r="CW395" i="19" s="1"/>
  <c r="CP392" i="19"/>
  <c r="CP394" i="19" s="1"/>
  <c r="CO395" i="19" s="1"/>
  <c r="CS392" i="19"/>
  <c r="CS394" i="19" s="1"/>
  <c r="CR395" i="19" s="1"/>
  <c r="CV392" i="19"/>
  <c r="CV394" i="19" s="1"/>
  <c r="CU395" i="19" s="1"/>
  <c r="CN392" i="19"/>
  <c r="CN394" i="19" s="1"/>
  <c r="CM395" i="19" s="1"/>
  <c r="CT392" i="19"/>
  <c r="CT394" i="19" s="1"/>
  <c r="CS395" i="19" s="1"/>
  <c r="CR392" i="19"/>
  <c r="CR394" i="19" s="1"/>
  <c r="CQ395" i="19" s="1"/>
  <c r="CO392" i="19"/>
  <c r="CO394" i="19" s="1"/>
  <c r="CN395" i="19" s="1"/>
  <c r="CM392" i="19"/>
  <c r="CM394" i="19" s="1"/>
  <c r="CQ392" i="19"/>
  <c r="CQ394" i="19" s="1"/>
  <c r="CN378" i="19"/>
  <c r="CM387" i="19"/>
  <c r="CN387" i="19" s="1"/>
  <c r="CP272" i="19"/>
  <c r="CP280" i="19" s="1"/>
  <c r="CO280" i="19"/>
  <c r="DB330" i="19"/>
  <c r="R374" i="19"/>
  <c r="Q388" i="19"/>
  <c r="AT378" i="19"/>
  <c r="AS387" i="19"/>
  <c r="AT387" i="19" s="1"/>
  <c r="CP439" i="19"/>
  <c r="CP447" i="19" s="1"/>
  <c r="CO447" i="19"/>
  <c r="CO448" i="19" s="1"/>
  <c r="CP461" i="19"/>
  <c r="CP469" i="19" s="1"/>
  <c r="CO469" i="19"/>
  <c r="CO470" i="19" s="1"/>
  <c r="AH250" i="19"/>
  <c r="AH258" i="19" s="1"/>
  <c r="AG258" i="19"/>
  <c r="AF189" i="19"/>
  <c r="AE198" i="19"/>
  <c r="BS117" i="19"/>
  <c r="BS118" i="19"/>
  <c r="DA203" i="19"/>
  <c r="DA205" i="19" s="1"/>
  <c r="DE203" i="19"/>
  <c r="DE205" i="19" s="1"/>
  <c r="DH203" i="19"/>
  <c r="DH205" i="19" s="1"/>
  <c r="DG206" i="19" s="1"/>
  <c r="DG203" i="19"/>
  <c r="DG205" i="19" s="1"/>
  <c r="DF206" i="19" s="1"/>
  <c r="DB203" i="19"/>
  <c r="DB205" i="19" s="1"/>
  <c r="DA206" i="19" s="1"/>
  <c r="DI203" i="19"/>
  <c r="DI205" i="19" s="1"/>
  <c r="DH206" i="19" s="1"/>
  <c r="DK203" i="19"/>
  <c r="DK205" i="19" s="1"/>
  <c r="DJ206" i="19" s="1"/>
  <c r="DK206" i="19" s="1"/>
  <c r="DD203" i="19"/>
  <c r="DD205" i="19" s="1"/>
  <c r="DC206" i="19" s="1"/>
  <c r="DF203" i="19"/>
  <c r="DF205" i="19" s="1"/>
  <c r="DE206" i="19" s="1"/>
  <c r="DC203" i="19"/>
  <c r="DC205" i="19" s="1"/>
  <c r="DB206" i="19" s="1"/>
  <c r="DJ203" i="19"/>
  <c r="DJ205" i="19" s="1"/>
  <c r="DI206" i="19" s="1"/>
  <c r="CA68" i="19"/>
  <c r="CA71" i="19"/>
  <c r="BN206" i="19"/>
  <c r="BJ208" i="19"/>
  <c r="DA392" i="19"/>
  <c r="DA394" i="19" s="1"/>
  <c r="DK392" i="19"/>
  <c r="DK394" i="19" s="1"/>
  <c r="DJ395" i="19" s="1"/>
  <c r="DK395" i="19" s="1"/>
  <c r="DJ392" i="19"/>
  <c r="DJ394" i="19" s="1"/>
  <c r="DI395" i="19" s="1"/>
  <c r="DD392" i="19"/>
  <c r="DD394" i="19" s="1"/>
  <c r="DC395" i="19" s="1"/>
  <c r="DF392" i="19"/>
  <c r="DF394" i="19" s="1"/>
  <c r="DE395" i="19" s="1"/>
  <c r="DC392" i="19"/>
  <c r="DC394" i="19" s="1"/>
  <c r="DB395" i="19" s="1"/>
  <c r="DB392" i="19"/>
  <c r="DB394" i="19" s="1"/>
  <c r="DA395" i="19" s="1"/>
  <c r="DE392" i="19"/>
  <c r="DE394" i="19" s="1"/>
  <c r="DI392" i="19"/>
  <c r="DI394" i="19" s="1"/>
  <c r="DH395" i="19" s="1"/>
  <c r="DH392" i="19"/>
  <c r="DH394" i="19" s="1"/>
  <c r="DG395" i="19" s="1"/>
  <c r="DG392" i="19"/>
  <c r="DG394" i="19" s="1"/>
  <c r="DF395" i="19" s="1"/>
  <c r="AI392" i="19"/>
  <c r="AI394" i="19" s="1"/>
  <c r="AG392" i="19"/>
  <c r="AG394" i="19" s="1"/>
  <c r="AF395" i="19" s="1"/>
  <c r="AM392" i="19"/>
  <c r="AM394" i="19" s="1"/>
  <c r="AL395" i="19" s="1"/>
  <c r="AL392" i="19"/>
  <c r="AL394" i="19" s="1"/>
  <c r="AK395" i="19" s="1"/>
  <c r="AH392" i="19"/>
  <c r="AH394" i="19" s="1"/>
  <c r="AG395" i="19" s="1"/>
  <c r="AJ392" i="19"/>
  <c r="AJ394" i="19" s="1"/>
  <c r="AI395" i="19" s="1"/>
  <c r="AE392" i="19"/>
  <c r="AE394" i="19" s="1"/>
  <c r="AN392" i="19"/>
  <c r="AN394" i="19" s="1"/>
  <c r="AM395" i="19" s="1"/>
  <c r="AK392" i="19"/>
  <c r="AK394" i="19" s="1"/>
  <c r="AJ395" i="19" s="1"/>
  <c r="AF392" i="19"/>
  <c r="AF394" i="19" s="1"/>
  <c r="AE395" i="19" s="1"/>
  <c r="AO392" i="19"/>
  <c r="AO394" i="19" s="1"/>
  <c r="AN395" i="19" s="1"/>
  <c r="AO395" i="19" s="1"/>
  <c r="AF378" i="19"/>
  <c r="AE387" i="19"/>
  <c r="AF387" i="19" s="1"/>
  <c r="F395" i="19"/>
  <c r="B397" i="19"/>
  <c r="CN96" i="19"/>
  <c r="CN97" i="19"/>
  <c r="DB331" i="19"/>
  <c r="AW84" i="19"/>
  <c r="AW99" i="19"/>
  <c r="DB185" i="19"/>
  <c r="DA199" i="19"/>
  <c r="CN189" i="19"/>
  <c r="CM198" i="19"/>
  <c r="CN374" i="19"/>
  <c r="CM388" i="19"/>
  <c r="DB140" i="19"/>
  <c r="B206" i="19"/>
  <c r="B209" i="19"/>
  <c r="AT185" i="19"/>
  <c r="AS199" i="19"/>
  <c r="BZ185" i="19"/>
  <c r="BY199" i="19"/>
  <c r="R378" i="19"/>
  <c r="Q387" i="19"/>
  <c r="AV392" i="19"/>
  <c r="AV394" i="19" s="1"/>
  <c r="AU395" i="19" s="1"/>
  <c r="AY392" i="19"/>
  <c r="AY394" i="19" s="1"/>
  <c r="AX395" i="19" s="1"/>
  <c r="AS392" i="19"/>
  <c r="AS394" i="19" s="1"/>
  <c r="BA392" i="19"/>
  <c r="BA394" i="19" s="1"/>
  <c r="AZ395" i="19" s="1"/>
  <c r="AW392" i="19"/>
  <c r="AW394" i="19" s="1"/>
  <c r="BB392" i="19"/>
  <c r="BB394" i="19" s="1"/>
  <c r="BA395" i="19" s="1"/>
  <c r="BC392" i="19"/>
  <c r="BC394" i="19" s="1"/>
  <c r="BB395" i="19" s="1"/>
  <c r="BC395" i="19" s="1"/>
  <c r="AX392" i="19"/>
  <c r="AX394" i="19" s="1"/>
  <c r="AW395" i="19" s="1"/>
  <c r="AZ392" i="19"/>
  <c r="AZ394" i="19" s="1"/>
  <c r="AY395" i="19" s="1"/>
  <c r="AT392" i="19"/>
  <c r="AT394" i="19" s="1"/>
  <c r="AS395" i="19" s="1"/>
  <c r="AU392" i="19"/>
  <c r="AU394" i="19" s="1"/>
  <c r="AT395" i="19" s="1"/>
  <c r="DB141" i="19"/>
  <c r="DI110" i="19"/>
  <c r="DH120" i="19"/>
  <c r="CG68" i="19"/>
  <c r="CA70" i="19"/>
  <c r="CP483" i="19"/>
  <c r="CP491" i="19" s="1"/>
  <c r="CO491" i="19"/>
  <c r="CO492" i="19" s="1"/>
  <c r="BZ378" i="19"/>
  <c r="BY387" i="19"/>
  <c r="AT330" i="19"/>
  <c r="AF185" i="19"/>
  <c r="AE199" i="19"/>
  <c r="CY61" i="19"/>
  <c r="CY62" i="19" s="1"/>
  <c r="CX62" i="19"/>
  <c r="DD41" i="19" s="1"/>
  <c r="CK49" i="19" s="1"/>
  <c r="D23" i="19" s="1"/>
  <c r="H328" i="4" s="1"/>
  <c r="H306" i="4" s="1"/>
  <c r="CM118" i="19"/>
  <c r="CM106" i="19"/>
  <c r="CM111" i="19"/>
  <c r="CM115" i="19"/>
  <c r="CN114" i="19" s="1"/>
  <c r="CM117" i="19"/>
  <c r="CN116" i="19" s="1"/>
  <c r="CM114" i="19"/>
  <c r="CN113" i="19" s="1"/>
  <c r="CM113" i="19"/>
  <c r="CN112" i="19" s="1"/>
  <c r="CM116" i="19"/>
  <c r="CN115" i="19" s="1"/>
  <c r="CM107" i="19"/>
  <c r="CN106" i="19" s="1"/>
  <c r="CM108" i="19"/>
  <c r="CN107" i="19" s="1"/>
  <c r="CM112" i="19"/>
  <c r="CN111" i="19" s="1"/>
  <c r="CM110" i="19"/>
  <c r="CN109" i="19" s="1"/>
  <c r="CM109" i="19"/>
  <c r="CN108" i="19" s="1"/>
  <c r="CP250" i="19"/>
  <c r="CP258" i="19" s="1"/>
  <c r="CO258" i="19"/>
  <c r="Q392" i="19"/>
  <c r="Q394" i="19" s="1"/>
  <c r="U392" i="19"/>
  <c r="U394" i="19" s="1"/>
  <c r="Y392" i="19"/>
  <c r="Y394" i="19" s="1"/>
  <c r="X395" i="19" s="1"/>
  <c r="X392" i="19"/>
  <c r="X394" i="19" s="1"/>
  <c r="W395" i="19" s="1"/>
  <c r="Z392" i="19"/>
  <c r="Z394" i="19" s="1"/>
  <c r="Y395" i="19" s="1"/>
  <c r="T392" i="19"/>
  <c r="T394" i="19" s="1"/>
  <c r="S395" i="19" s="1"/>
  <c r="R392" i="19"/>
  <c r="R394" i="19" s="1"/>
  <c r="Q395" i="19" s="1"/>
  <c r="AA392" i="19"/>
  <c r="AA394" i="19" s="1"/>
  <c r="Z395" i="19" s="1"/>
  <c r="AA395" i="19" s="1"/>
  <c r="V392" i="19"/>
  <c r="V394" i="19" s="1"/>
  <c r="U395" i="19" s="1"/>
  <c r="W392" i="19"/>
  <c r="W394" i="19" s="1"/>
  <c r="V395" i="19" s="1"/>
  <c r="S392" i="19"/>
  <c r="S394" i="19" s="1"/>
  <c r="R395" i="19" s="1"/>
  <c r="BZ374" i="19"/>
  <c r="BY388" i="19"/>
  <c r="BS110" i="19"/>
  <c r="BR120" i="19"/>
  <c r="AH439" i="19"/>
  <c r="AH447" i="19" s="1"/>
  <c r="AG447" i="19"/>
  <c r="BJ206" i="19"/>
  <c r="BJ209" i="19"/>
  <c r="DB378" i="19"/>
  <c r="DA387" i="19"/>
  <c r="DB387" i="19" s="1"/>
  <c r="AH294" i="19"/>
  <c r="AH302" i="19" s="1"/>
  <c r="AG302" i="19"/>
  <c r="AF374" i="19"/>
  <c r="AE388" i="19"/>
  <c r="B395" i="19"/>
  <c r="B398" i="19"/>
  <c r="AT331" i="19"/>
  <c r="CN84" i="19"/>
  <c r="CN99" i="19"/>
  <c r="Q203" i="19"/>
  <c r="Q205" i="19" s="1"/>
  <c r="W203" i="19"/>
  <c r="W205" i="19" s="1"/>
  <c r="V206" i="19" s="1"/>
  <c r="V203" i="19"/>
  <c r="V205" i="19" s="1"/>
  <c r="U206" i="19" s="1"/>
  <c r="T203" i="19"/>
  <c r="T205" i="19" s="1"/>
  <c r="S206" i="19" s="1"/>
  <c r="AA203" i="19"/>
  <c r="AA205" i="19" s="1"/>
  <c r="Z206" i="19" s="1"/>
  <c r="AA206" i="19" s="1"/>
  <c r="Z203" i="19"/>
  <c r="Z205" i="19" s="1"/>
  <c r="Y206" i="19" s="1"/>
  <c r="S203" i="19"/>
  <c r="S205" i="19" s="1"/>
  <c r="R206" i="19" s="1"/>
  <c r="R203" i="19"/>
  <c r="R205" i="19" s="1"/>
  <c r="Q206" i="19" s="1"/>
  <c r="X203" i="19"/>
  <c r="X205" i="19" s="1"/>
  <c r="W206" i="19" s="1"/>
  <c r="Y203" i="19"/>
  <c r="Y205" i="19" s="1"/>
  <c r="X206" i="19" s="1"/>
  <c r="U203" i="19"/>
  <c r="U205" i="19" s="1"/>
  <c r="AV118" i="19"/>
  <c r="AV111" i="19"/>
  <c r="AV113" i="19"/>
  <c r="AW112" i="19" s="1"/>
  <c r="AV110" i="19"/>
  <c r="AW109" i="19" s="1"/>
  <c r="AV108" i="19"/>
  <c r="AW107" i="19" s="1"/>
  <c r="AV116" i="19"/>
  <c r="AW115" i="19" s="1"/>
  <c r="AV112" i="19"/>
  <c r="AW111" i="19" s="1"/>
  <c r="AV106" i="19"/>
  <c r="AV107" i="19"/>
  <c r="AW106" i="19" s="1"/>
  <c r="AV109" i="19"/>
  <c r="AW108" i="19" s="1"/>
  <c r="AV117" i="19"/>
  <c r="AW116" i="19" s="1"/>
  <c r="AV114" i="19"/>
  <c r="AW113" i="19" s="1"/>
  <c r="AV115" i="19"/>
  <c r="AW114" i="19" s="1"/>
  <c r="BI61" i="19"/>
  <c r="BI62" i="19" s="1"/>
  <c r="BH62" i="19"/>
  <c r="BM41" i="19" s="1"/>
  <c r="AT49" i="19" s="1"/>
  <c r="D27" i="19" s="1"/>
  <c r="H332" i="4" s="1"/>
  <c r="H308" i="4" s="1"/>
  <c r="CN185" i="19"/>
  <c r="CM199" i="19"/>
  <c r="AH272" i="19"/>
  <c r="AH280" i="19" s="1"/>
  <c r="AG280" i="19"/>
  <c r="CP294" i="19"/>
  <c r="CP302" i="19" s="1"/>
  <c r="CO302" i="19"/>
  <c r="CO303" i="19" s="1"/>
  <c r="F206" i="19"/>
  <c r="B208" i="19"/>
  <c r="AW203" i="19"/>
  <c r="AW205" i="19" s="1"/>
  <c r="AS203" i="19"/>
  <c r="AS205" i="19" s="1"/>
  <c r="AU203" i="19"/>
  <c r="AU205" i="19" s="1"/>
  <c r="AT206" i="19" s="1"/>
  <c r="AT203" i="19"/>
  <c r="AT205" i="19" s="1"/>
  <c r="AS206" i="19" s="1"/>
  <c r="AZ203" i="19"/>
  <c r="AZ205" i="19" s="1"/>
  <c r="AY206" i="19" s="1"/>
  <c r="AV203" i="19"/>
  <c r="AV205" i="19" s="1"/>
  <c r="AU206" i="19" s="1"/>
  <c r="BA203" i="19"/>
  <c r="BA205" i="19" s="1"/>
  <c r="AZ206" i="19" s="1"/>
  <c r="BB203" i="19"/>
  <c r="BB205" i="19" s="1"/>
  <c r="BA206" i="19" s="1"/>
  <c r="AY203" i="19"/>
  <c r="AY205" i="19" s="1"/>
  <c r="AX206" i="19" s="1"/>
  <c r="AX203" i="19"/>
  <c r="AX205" i="19" s="1"/>
  <c r="AW206" i="19" s="1"/>
  <c r="BC203" i="19"/>
  <c r="BC205" i="19" s="1"/>
  <c r="BB206" i="19" s="1"/>
  <c r="BC206" i="19" s="1"/>
  <c r="AT189" i="19"/>
  <c r="AS198" i="19"/>
  <c r="AT198" i="19" s="1"/>
  <c r="CC203" i="19"/>
  <c r="CC205" i="19" s="1"/>
  <c r="BY203" i="19"/>
  <c r="BY205" i="19" s="1"/>
  <c r="CH203" i="19"/>
  <c r="CH205" i="19" s="1"/>
  <c r="CG206" i="19" s="1"/>
  <c r="BZ203" i="19"/>
  <c r="BZ205" i="19" s="1"/>
  <c r="BY206" i="19" s="1"/>
  <c r="CD203" i="19"/>
  <c r="CD205" i="19" s="1"/>
  <c r="CC206" i="19" s="1"/>
  <c r="CE203" i="19"/>
  <c r="CE205" i="19" s="1"/>
  <c r="CD206" i="19" s="1"/>
  <c r="CA203" i="19"/>
  <c r="CA205" i="19" s="1"/>
  <c r="BZ206" i="19" s="1"/>
  <c r="CI203" i="19"/>
  <c r="CI205" i="19" s="1"/>
  <c r="CH206" i="19" s="1"/>
  <c r="CI206" i="19" s="1"/>
  <c r="CB203" i="19"/>
  <c r="CB205" i="19" s="1"/>
  <c r="CA206" i="19" s="1"/>
  <c r="CF203" i="19"/>
  <c r="CF205" i="19" s="1"/>
  <c r="CE206" i="19" s="1"/>
  <c r="CG203" i="19"/>
  <c r="CG205" i="19" s="1"/>
  <c r="CF206" i="19" s="1"/>
  <c r="CC60" i="19"/>
  <c r="CC61" i="19" s="1"/>
  <c r="AH483" i="19"/>
  <c r="AH491" i="19" s="1"/>
  <c r="AG491" i="19"/>
  <c r="AG492" i="19" s="1"/>
  <c r="BJ395" i="19"/>
  <c r="BJ398" i="19"/>
  <c r="DI118" i="19"/>
  <c r="DI117" i="19"/>
  <c r="CC392" i="19"/>
  <c r="CC394" i="19" s="1"/>
  <c r="BY392" i="19"/>
  <c r="BY394" i="19" s="1"/>
  <c r="CF392" i="19"/>
  <c r="CF394" i="19" s="1"/>
  <c r="CE395" i="19" s="1"/>
  <c r="CE392" i="19"/>
  <c r="CE394" i="19" s="1"/>
  <c r="CD395" i="19" s="1"/>
  <c r="CA392" i="19"/>
  <c r="CA394" i="19" s="1"/>
  <c r="BZ395" i="19" s="1"/>
  <c r="CI392" i="19"/>
  <c r="CI394" i="19" s="1"/>
  <c r="CH395" i="19" s="1"/>
  <c r="CI395" i="19" s="1"/>
  <c r="CG392" i="19"/>
  <c r="CG394" i="19" s="1"/>
  <c r="CF395" i="19" s="1"/>
  <c r="CB392" i="19"/>
  <c r="CB394" i="19" s="1"/>
  <c r="CA395" i="19" s="1"/>
  <c r="CH392" i="19"/>
  <c r="CH394" i="19" s="1"/>
  <c r="CG395" i="19" s="1"/>
  <c r="CD392" i="19"/>
  <c r="CD394" i="19" s="1"/>
  <c r="CC395" i="19" s="1"/>
  <c r="BZ392" i="19"/>
  <c r="BZ394" i="19" s="1"/>
  <c r="BY395" i="19" s="1"/>
  <c r="AP68" i="19"/>
  <c r="AJ70" i="19"/>
  <c r="AJ68" i="19"/>
  <c r="AJ71" i="19"/>
  <c r="AE203" i="19"/>
  <c r="AE205" i="19" s="1"/>
  <c r="AI203" i="19"/>
  <c r="AI205" i="19" s="1"/>
  <c r="AO203" i="19"/>
  <c r="AO205" i="19" s="1"/>
  <c r="AN206" i="19" s="1"/>
  <c r="AO206" i="19" s="1"/>
  <c r="AH203" i="19"/>
  <c r="AH205" i="19" s="1"/>
  <c r="AG206" i="19" s="1"/>
  <c r="AG203" i="19"/>
  <c r="AG205" i="19" s="1"/>
  <c r="AF206" i="19" s="1"/>
  <c r="AL203" i="19"/>
  <c r="AL205" i="19" s="1"/>
  <c r="AK206" i="19" s="1"/>
  <c r="AK203" i="19"/>
  <c r="AK205" i="19" s="1"/>
  <c r="AJ206" i="19" s="1"/>
  <c r="AJ203" i="19"/>
  <c r="AJ205" i="19" s="1"/>
  <c r="AI206" i="19" s="1"/>
  <c r="AM203" i="19"/>
  <c r="AM205" i="19" s="1"/>
  <c r="AL206" i="19" s="1"/>
  <c r="AN203" i="19"/>
  <c r="AN205" i="19" s="1"/>
  <c r="AM206" i="19" s="1"/>
  <c r="AF203" i="19"/>
  <c r="AF205" i="19" s="1"/>
  <c r="AE206" i="19" s="1"/>
  <c r="E199" i="19" l="1"/>
  <c r="E200" i="19" s="1"/>
  <c r="AO139" i="19" s="1"/>
  <c r="AG142" i="19" s="1"/>
  <c r="F145" i="19" s="1"/>
  <c r="E9" i="19" s="1"/>
  <c r="AG303" i="19"/>
  <c r="AH303" i="19" s="1"/>
  <c r="B302" i="19" s="1"/>
  <c r="R198" i="19"/>
  <c r="R199" i="19" s="1"/>
  <c r="R200" i="19" s="1"/>
  <c r="AN140" i="19" s="1"/>
  <c r="BL200" i="19"/>
  <c r="CV139" i="19" s="1"/>
  <c r="CN142" i="19" s="1"/>
  <c r="G145" i="19" s="1"/>
  <c r="D16" i="19" s="1"/>
  <c r="H321" i="4" s="1"/>
  <c r="BM199" i="19"/>
  <c r="BM200" i="19" s="1"/>
  <c r="CW139" i="19" s="1"/>
  <c r="CO142" i="19" s="1"/>
  <c r="H145" i="19" s="1"/>
  <c r="E16" i="19" s="1"/>
  <c r="AI237" i="19"/>
  <c r="B237" i="19" s="1"/>
  <c r="AN144" i="19"/>
  <c r="B236" i="19"/>
  <c r="AN333" i="19"/>
  <c r="AI426" i="19"/>
  <c r="C430" i="19" s="1"/>
  <c r="C208" i="19"/>
  <c r="C209" i="19" s="1"/>
  <c r="CV73" i="19"/>
  <c r="DE41" i="19" s="1"/>
  <c r="BR121" i="19"/>
  <c r="BS121" i="19" s="1"/>
  <c r="CN388" i="19"/>
  <c r="CN389" i="19" s="1"/>
  <c r="CV330" i="19" s="1"/>
  <c r="DB199" i="19"/>
  <c r="DC199" i="19" s="1"/>
  <c r="DC200" i="19" s="1"/>
  <c r="CW142" i="19" s="1"/>
  <c r="CO145" i="19" s="1"/>
  <c r="H148" i="19" s="1"/>
  <c r="E19" i="19" s="1"/>
  <c r="CV333" i="19"/>
  <c r="AK70" i="19"/>
  <c r="AK73" i="19" s="1"/>
  <c r="CO259" i="19"/>
  <c r="CP259" i="19" s="1"/>
  <c r="BK208" i="19"/>
  <c r="BK209" i="19" s="1"/>
  <c r="AG259" i="19"/>
  <c r="AH259" i="19" s="1"/>
  <c r="BJ425" i="19"/>
  <c r="BZ198" i="19"/>
  <c r="BZ199" i="19" s="1"/>
  <c r="CN198" i="19"/>
  <c r="CN199" i="19" s="1"/>
  <c r="AH492" i="19"/>
  <c r="B491" i="19" s="1"/>
  <c r="DH121" i="19"/>
  <c r="DI121" i="19" s="1"/>
  <c r="DJ103" i="19" s="1"/>
  <c r="CV144" i="19"/>
  <c r="BZ387" i="19"/>
  <c r="BZ388" i="19" s="1"/>
  <c r="CA388" i="19" s="1"/>
  <c r="CA389" i="19" s="1"/>
  <c r="CW329" i="19" s="1"/>
  <c r="CO332" i="19" s="1"/>
  <c r="H335" i="19" s="1"/>
  <c r="E40" i="19" s="1"/>
  <c r="AG281" i="19"/>
  <c r="AH281" i="19" s="1"/>
  <c r="BJ236" i="19"/>
  <c r="AH470" i="19"/>
  <c r="AI470" i="19" s="1"/>
  <c r="C474" i="19" s="1"/>
  <c r="AF198" i="19"/>
  <c r="AF199" i="19" s="1"/>
  <c r="AF388" i="19"/>
  <c r="AG388" i="19" s="1"/>
  <c r="AG389" i="19" s="1"/>
  <c r="AO330" i="19" s="1"/>
  <c r="AG333" i="19" s="1"/>
  <c r="F336" i="19" s="1"/>
  <c r="E34" i="19" s="1"/>
  <c r="CP492" i="19"/>
  <c r="CQ492" i="19" s="1"/>
  <c r="BK496" i="19" s="1"/>
  <c r="CM100" i="19"/>
  <c r="CN100" i="19" s="1"/>
  <c r="CP470" i="19"/>
  <c r="CQ470" i="19" s="1"/>
  <c r="CO281" i="19"/>
  <c r="CP281" i="19" s="1"/>
  <c r="BT82" i="19"/>
  <c r="BT100" i="19"/>
  <c r="BT83" i="19" s="1"/>
  <c r="CD61" i="19"/>
  <c r="CD62" i="19" s="1"/>
  <c r="CC62" i="19"/>
  <c r="CI41" i="19" s="1"/>
  <c r="CK50" i="19" s="1"/>
  <c r="D24" i="19" s="1"/>
  <c r="H329" i="4" s="1"/>
  <c r="H307" i="4" s="1"/>
  <c r="T395" i="19"/>
  <c r="P397" i="19"/>
  <c r="BX206" i="19"/>
  <c r="BX209" i="19"/>
  <c r="AV206" i="19"/>
  <c r="AR208" i="19"/>
  <c r="AS208" i="19" s="1"/>
  <c r="BM40" i="19"/>
  <c r="AU52" i="19" s="1"/>
  <c r="AU49" i="19" s="1"/>
  <c r="AW110" i="19"/>
  <c r="AV120" i="19"/>
  <c r="P206" i="19"/>
  <c r="P209" i="19"/>
  <c r="P395" i="19"/>
  <c r="P398" i="19"/>
  <c r="CN118" i="19"/>
  <c r="CN117" i="19"/>
  <c r="CB70" i="19"/>
  <c r="CB73" i="19" s="1"/>
  <c r="DJ100" i="19"/>
  <c r="DJ83" i="19" s="1"/>
  <c r="DJ82" i="19"/>
  <c r="AH395" i="19"/>
  <c r="AD397" i="19"/>
  <c r="AE397" i="19" s="1"/>
  <c r="DD395" i="19"/>
  <c r="CZ397" i="19"/>
  <c r="DA397" i="19" s="1"/>
  <c r="CZ206" i="19"/>
  <c r="CZ209" i="19"/>
  <c r="CP395" i="19"/>
  <c r="CL397" i="19"/>
  <c r="CM397" i="19" s="1"/>
  <c r="CP206" i="19"/>
  <c r="CL208" i="19"/>
  <c r="AV100" i="19"/>
  <c r="AW100" i="19" s="1"/>
  <c r="BF72" i="19"/>
  <c r="BN40" i="19" s="1"/>
  <c r="AD206" i="19"/>
  <c r="AD209" i="19"/>
  <c r="AR206" i="19"/>
  <c r="AR209" i="19"/>
  <c r="AR395" i="19"/>
  <c r="AR398" i="19"/>
  <c r="CZ395" i="19"/>
  <c r="CZ398" i="19"/>
  <c r="BX395" i="19"/>
  <c r="BX398" i="19"/>
  <c r="CP448" i="19"/>
  <c r="CB206" i="19"/>
  <c r="BX208" i="19"/>
  <c r="CP303" i="19"/>
  <c r="AW117" i="19"/>
  <c r="AW118" i="19"/>
  <c r="AG448" i="19"/>
  <c r="AH448" i="19" s="1"/>
  <c r="AV395" i="19"/>
  <c r="AR397" i="19"/>
  <c r="AS397" i="19" s="1"/>
  <c r="AM61" i="19"/>
  <c r="AM62" i="19" s="1"/>
  <c r="AL62" i="19"/>
  <c r="AR41" i="19" s="1"/>
  <c r="AT50" i="19" s="1"/>
  <c r="D28" i="19" s="1"/>
  <c r="H333" i="4" s="1"/>
  <c r="H309" i="4" s="1"/>
  <c r="E388" i="19"/>
  <c r="E389" i="19" s="1"/>
  <c r="AO328" i="19" s="1"/>
  <c r="D389" i="19"/>
  <c r="AN328" i="19" s="1"/>
  <c r="CL395" i="19"/>
  <c r="CL398" i="19"/>
  <c r="CL206" i="19"/>
  <c r="CL209" i="19"/>
  <c r="AT388" i="19"/>
  <c r="BJ426" i="19"/>
  <c r="CW333" i="19"/>
  <c r="BJ237" i="19"/>
  <c r="CW144" i="19"/>
  <c r="CV72" i="19"/>
  <c r="DE40" i="19" s="1"/>
  <c r="CN105" i="19"/>
  <c r="CN120" i="19"/>
  <c r="DD206" i="19"/>
  <c r="CZ208" i="19"/>
  <c r="DA208" i="19" s="1"/>
  <c r="BF73" i="19"/>
  <c r="AH206" i="19"/>
  <c r="AD208" i="19"/>
  <c r="CB395" i="19"/>
  <c r="BX397" i="19"/>
  <c r="AW105" i="19"/>
  <c r="AW120" i="19"/>
  <c r="T206" i="19"/>
  <c r="P208" i="19"/>
  <c r="CN110" i="19"/>
  <c r="CM120" i="19"/>
  <c r="DD40" i="19"/>
  <c r="CL52" i="19" s="1"/>
  <c r="CL49" i="19" s="1"/>
  <c r="BM388" i="19"/>
  <c r="BM389" i="19" s="1"/>
  <c r="CW328" i="19" s="1"/>
  <c r="BL389" i="19"/>
  <c r="CV328" i="19" s="1"/>
  <c r="R387" i="19"/>
  <c r="R388" i="19" s="1"/>
  <c r="AT199" i="19"/>
  <c r="C397" i="19"/>
  <c r="C398" i="19" s="1"/>
  <c r="AD395" i="19"/>
  <c r="AD398" i="19"/>
  <c r="DB388" i="19"/>
  <c r="BK397" i="19"/>
  <c r="BK398" i="19" s="1"/>
  <c r="F247" i="4"/>
  <c r="G247" i="4"/>
  <c r="AF142" i="19"/>
  <c r="E145" i="19" s="1"/>
  <c r="D9" i="19" s="1"/>
  <c r="H314" i="4" s="1"/>
  <c r="BK430" i="19"/>
  <c r="BK241" i="19"/>
  <c r="AN335" i="19" l="1"/>
  <c r="B469" i="19"/>
  <c r="CV335" i="19"/>
  <c r="Q208" i="19"/>
  <c r="AO144" i="19"/>
  <c r="AV139" i="19" s="1"/>
  <c r="AN145" i="19"/>
  <c r="B258" i="19"/>
  <c r="AI259" i="19"/>
  <c r="C263" i="19" s="1"/>
  <c r="DB200" i="19"/>
  <c r="CV142" i="19" s="1"/>
  <c r="CN145" i="19" s="1"/>
  <c r="G148" i="19" s="1"/>
  <c r="D19" i="19" s="1"/>
  <c r="H324" i="4" s="1"/>
  <c r="CO388" i="19"/>
  <c r="CO389" i="19" s="1"/>
  <c r="CW330" i="19" s="1"/>
  <c r="CO333" i="19" s="1"/>
  <c r="H336" i="19" s="1"/>
  <c r="E41" i="19" s="1"/>
  <c r="I346" i="4" s="1"/>
  <c r="C241" i="19"/>
  <c r="CV145" i="19"/>
  <c r="CQ259" i="19"/>
  <c r="BK263" i="19" s="1"/>
  <c r="BK210" i="19"/>
  <c r="BJ210" i="19" s="1"/>
  <c r="BJ211" i="19"/>
  <c r="BJ491" i="19"/>
  <c r="B426" i="19"/>
  <c r="U424" i="19" s="1"/>
  <c r="DD139" i="19"/>
  <c r="AN336" i="19"/>
  <c r="AO333" i="19"/>
  <c r="AR328" i="19" s="1"/>
  <c r="AN147" i="19"/>
  <c r="AI492" i="19"/>
  <c r="C496" i="19" s="1"/>
  <c r="AI303" i="19"/>
  <c r="C307" i="19" s="1"/>
  <c r="J247" i="4"/>
  <c r="E249" i="4" s="1"/>
  <c r="BY208" i="19"/>
  <c r="BY209" i="19" s="1"/>
  <c r="BJ258" i="19"/>
  <c r="CV336" i="19"/>
  <c r="S199" i="19"/>
  <c r="S200" i="19" s="1"/>
  <c r="AO140" i="19" s="1"/>
  <c r="AG143" i="19" s="1"/>
  <c r="F146" i="19" s="1"/>
  <c r="E10" i="19" s="1"/>
  <c r="F10" i="19" s="1"/>
  <c r="AE208" i="19"/>
  <c r="AE209" i="19" s="1"/>
  <c r="AE398" i="19"/>
  <c r="AE399" i="19" s="1"/>
  <c r="AD399" i="19" s="1"/>
  <c r="DJ121" i="19"/>
  <c r="DJ104" i="19" s="1"/>
  <c r="CZ81" i="19" s="1"/>
  <c r="BZ389" i="19"/>
  <c r="CV329" i="19" s="1"/>
  <c r="CN332" i="19" s="1"/>
  <c r="G335" i="19" s="1"/>
  <c r="D40" i="19" s="1"/>
  <c r="AF389" i="19"/>
  <c r="AN330" i="19" s="1"/>
  <c r="AF333" i="19" s="1"/>
  <c r="E336" i="19" s="1"/>
  <c r="D34" i="19" s="1"/>
  <c r="H339" i="4" s="1"/>
  <c r="AI281" i="19"/>
  <c r="C285" i="19" s="1"/>
  <c r="B280" i="19"/>
  <c r="AS209" i="19"/>
  <c r="AS210" i="19" s="1"/>
  <c r="BY397" i="19"/>
  <c r="BY398" i="19" s="1"/>
  <c r="CV146" i="19"/>
  <c r="BJ280" i="19"/>
  <c r="CM121" i="19"/>
  <c r="CN121" i="19" s="1"/>
  <c r="AN146" i="19"/>
  <c r="DA398" i="19"/>
  <c r="DA399" i="19" s="1"/>
  <c r="CQ281" i="19"/>
  <c r="BJ281" i="19" s="1"/>
  <c r="BJ469" i="19"/>
  <c r="CM398" i="19"/>
  <c r="CM399" i="19" s="1"/>
  <c r="CX81" i="19"/>
  <c r="CX73" i="19" s="1"/>
  <c r="BK474" i="19"/>
  <c r="BK399" i="19"/>
  <c r="BJ399" i="19" s="1"/>
  <c r="BJ400" i="19"/>
  <c r="S388" i="19"/>
  <c r="S389" i="19" s="1"/>
  <c r="AO329" i="19" s="1"/>
  <c r="AG332" i="19" s="1"/>
  <c r="F335" i="19" s="1"/>
  <c r="E33" i="19" s="1"/>
  <c r="R389" i="19"/>
  <c r="AN329" i="19" s="1"/>
  <c r="C399" i="19"/>
  <c r="B399" i="19" s="1"/>
  <c r="B400" i="19"/>
  <c r="AX82" i="19"/>
  <c r="AX100" i="19"/>
  <c r="AX83" i="19" s="1"/>
  <c r="AF331" i="19"/>
  <c r="E334" i="19" s="1"/>
  <c r="D32" i="19" s="1"/>
  <c r="H337" i="4" s="1"/>
  <c r="AV121" i="19"/>
  <c r="AW121" i="19" s="1"/>
  <c r="B447" i="19"/>
  <c r="AI448" i="19"/>
  <c r="C452" i="19" s="1"/>
  <c r="AN334" i="19"/>
  <c r="DB389" i="19"/>
  <c r="CV331" i="19" s="1"/>
  <c r="DC388" i="19"/>
  <c r="DC389" i="19" s="1"/>
  <c r="CW331" i="19" s="1"/>
  <c r="CO334" i="19" s="1"/>
  <c r="H337" i="19" s="1"/>
  <c r="E42" i="19" s="1"/>
  <c r="CO331" i="19"/>
  <c r="H334" i="19" s="1"/>
  <c r="CZ139" i="19"/>
  <c r="CE235" i="19"/>
  <c r="CC235" i="19"/>
  <c r="BU235" i="19"/>
  <c r="BX235" i="19"/>
  <c r="BZ235" i="19"/>
  <c r="BY235" i="19"/>
  <c r="BS235" i="19"/>
  <c r="BT235" i="19"/>
  <c r="BW235" i="19"/>
  <c r="BM235" i="19"/>
  <c r="BR235" i="19"/>
  <c r="CJ235" i="19"/>
  <c r="BP235" i="19"/>
  <c r="CB235" i="19"/>
  <c r="CH235" i="19"/>
  <c r="CK235" i="19"/>
  <c r="CA235" i="19"/>
  <c r="CL235" i="19"/>
  <c r="BO235" i="19"/>
  <c r="BN235" i="19"/>
  <c r="BQ235" i="19"/>
  <c r="BL235" i="19"/>
  <c r="CD235" i="19"/>
  <c r="CG235" i="19"/>
  <c r="BV235" i="19"/>
  <c r="CF235" i="19"/>
  <c r="CI235" i="19"/>
  <c r="AG331" i="19"/>
  <c r="F334" i="19" s="1"/>
  <c r="AF143" i="19"/>
  <c r="E146" i="19" s="1"/>
  <c r="D10" i="19" s="1"/>
  <c r="AS398" i="19"/>
  <c r="DB73" i="19"/>
  <c r="DD72" i="19" s="1"/>
  <c r="CH49" i="19" s="1"/>
  <c r="B470" i="19"/>
  <c r="AO335" i="19"/>
  <c r="Q397" i="19"/>
  <c r="Q398" i="19" s="1"/>
  <c r="BJ470" i="19"/>
  <c r="CW335" i="19"/>
  <c r="CI40" i="19"/>
  <c r="CL53" i="19" s="1"/>
  <c r="CL50" i="19" s="1"/>
  <c r="BT103" i="19"/>
  <c r="BH81" i="19" s="1"/>
  <c r="BT121" i="19"/>
  <c r="BT104" i="19" s="1"/>
  <c r="BJ81" i="19" s="1"/>
  <c r="I324" i="4"/>
  <c r="H19" i="19"/>
  <c r="L324" i="4" s="1"/>
  <c r="F19" i="19"/>
  <c r="J324" i="4" s="1"/>
  <c r="G19" i="19"/>
  <c r="K324" i="4" s="1"/>
  <c r="AT200" i="19"/>
  <c r="AN142" i="19" s="1"/>
  <c r="AU199" i="19"/>
  <c r="AU200" i="19" s="1"/>
  <c r="AO142" i="19" s="1"/>
  <c r="AG145" i="19" s="1"/>
  <c r="F148" i="19" s="1"/>
  <c r="E12" i="19" s="1"/>
  <c r="BL73" i="19"/>
  <c r="BN72" i="19" s="1"/>
  <c r="AQ49" i="19" s="1"/>
  <c r="AC9" i="19" s="1"/>
  <c r="BN41" i="19"/>
  <c r="G9" i="19"/>
  <c r="K314" i="4" s="1"/>
  <c r="I314" i="4"/>
  <c r="H9" i="19"/>
  <c r="L314" i="4" s="1"/>
  <c r="F9" i="19"/>
  <c r="J314" i="4" s="1"/>
  <c r="CO199" i="19"/>
  <c r="CO200" i="19" s="1"/>
  <c r="CW141" i="19" s="1"/>
  <c r="CO144" i="19" s="1"/>
  <c r="H147" i="19" s="1"/>
  <c r="E18" i="19" s="1"/>
  <c r="CN200" i="19"/>
  <c r="CV141" i="19" s="1"/>
  <c r="BJ447" i="19"/>
  <c r="CV334" i="19"/>
  <c r="CQ448" i="19"/>
  <c r="BK452" i="19" s="1"/>
  <c r="O235" i="19"/>
  <c r="L235" i="19"/>
  <c r="U235" i="19"/>
  <c r="AD235" i="19"/>
  <c r="T235" i="19"/>
  <c r="G235" i="19"/>
  <c r="W235" i="19"/>
  <c r="Z235" i="19"/>
  <c r="P235" i="19"/>
  <c r="K235" i="19"/>
  <c r="M235" i="19"/>
  <c r="Q235" i="19"/>
  <c r="AB235" i="19"/>
  <c r="Y235" i="19"/>
  <c r="D235" i="19"/>
  <c r="V235" i="19"/>
  <c r="N235" i="19"/>
  <c r="AA235" i="19"/>
  <c r="E235" i="19"/>
  <c r="AC235" i="19"/>
  <c r="F235" i="19"/>
  <c r="J235" i="19"/>
  <c r="R235" i="19"/>
  <c r="H235" i="19"/>
  <c r="X235" i="19"/>
  <c r="S235" i="19"/>
  <c r="I235" i="19"/>
  <c r="C210" i="19"/>
  <c r="B210" i="19" s="1"/>
  <c r="B211" i="19"/>
  <c r="Q209" i="19"/>
  <c r="AX49" i="19"/>
  <c r="AY49" i="19"/>
  <c r="H27" i="19" s="1"/>
  <c r="L332" i="4" s="1"/>
  <c r="L308" i="4" s="1"/>
  <c r="E27" i="19"/>
  <c r="I332" i="4" s="1"/>
  <c r="I308" i="4" s="1"/>
  <c r="AW49" i="19"/>
  <c r="F27" i="19" s="1"/>
  <c r="J332" i="4" s="1"/>
  <c r="J308" i="4" s="1"/>
  <c r="AJ73" i="19"/>
  <c r="AK72" i="19"/>
  <c r="BJ259" i="19"/>
  <c r="CW145" i="19"/>
  <c r="BJ492" i="19"/>
  <c r="CW336" i="19"/>
  <c r="CN331" i="19"/>
  <c r="G334" i="19" s="1"/>
  <c r="D39" i="19" s="1"/>
  <c r="H344" i="4" s="1"/>
  <c r="DD328" i="19"/>
  <c r="CZ328" i="19"/>
  <c r="H16" i="19"/>
  <c r="L321" i="4" s="1"/>
  <c r="I321" i="4"/>
  <c r="F16" i="19"/>
  <c r="J321" i="4" s="1"/>
  <c r="G16" i="19"/>
  <c r="K321" i="4" s="1"/>
  <c r="CB72" i="19"/>
  <c r="CA73" i="19"/>
  <c r="CP49" i="19"/>
  <c r="H23" i="19" s="1"/>
  <c r="L328" i="4" s="1"/>
  <c r="L306" i="4" s="1"/>
  <c r="CO49" i="19"/>
  <c r="E23" i="19"/>
  <c r="I328" i="4" s="1"/>
  <c r="I306" i="4" s="1"/>
  <c r="CN49" i="19"/>
  <c r="F23" i="19" s="1"/>
  <c r="J328" i="4" s="1"/>
  <c r="J306" i="4" s="1"/>
  <c r="CL424" i="19"/>
  <c r="BX424" i="19"/>
  <c r="CB424" i="19"/>
  <c r="BV424" i="19"/>
  <c r="CD424" i="19"/>
  <c r="CH424" i="19"/>
  <c r="CF424" i="19"/>
  <c r="BR424" i="19"/>
  <c r="CJ424" i="19"/>
  <c r="BS424" i="19"/>
  <c r="BU424" i="19"/>
  <c r="BT424" i="19"/>
  <c r="BY424" i="19"/>
  <c r="CA424" i="19"/>
  <c r="CI424" i="19"/>
  <c r="CG424" i="19"/>
  <c r="BP424" i="19"/>
  <c r="BO424" i="19"/>
  <c r="BM424" i="19"/>
  <c r="CK424" i="19"/>
  <c r="BL424" i="19"/>
  <c r="BZ424" i="19"/>
  <c r="CE424" i="19"/>
  <c r="BQ424" i="19"/>
  <c r="BN424" i="19"/>
  <c r="BW424" i="19"/>
  <c r="CC424" i="19"/>
  <c r="AU388" i="19"/>
  <c r="AU389" i="19" s="1"/>
  <c r="AO331" i="19" s="1"/>
  <c r="AG334" i="19" s="1"/>
  <c r="F337" i="19" s="1"/>
  <c r="E35" i="19" s="1"/>
  <c r="AT389" i="19"/>
  <c r="AN331" i="19" s="1"/>
  <c r="AR40" i="19"/>
  <c r="AU53" i="19" s="1"/>
  <c r="AU50" i="19" s="1"/>
  <c r="CN333" i="19"/>
  <c r="G336" i="19" s="1"/>
  <c r="D41" i="19" s="1"/>
  <c r="H346" i="4" s="1"/>
  <c r="G40" i="19"/>
  <c r="H40" i="19"/>
  <c r="F40" i="19"/>
  <c r="I345" i="4"/>
  <c r="CO82" i="19"/>
  <c r="CO100" i="19"/>
  <c r="CO83" i="19" s="1"/>
  <c r="BJ302" i="19"/>
  <c r="CQ303" i="19"/>
  <c r="BK307" i="19" s="1"/>
  <c r="CV147" i="19"/>
  <c r="F34" i="19"/>
  <c r="J339" i="4" s="1"/>
  <c r="I339" i="4"/>
  <c r="H34" i="19"/>
  <c r="L339" i="4" s="1"/>
  <c r="G34" i="19"/>
  <c r="K339" i="4" s="1"/>
  <c r="CM208" i="19"/>
  <c r="CM209" i="19" s="1"/>
  <c r="DA209" i="19"/>
  <c r="BZ200" i="19"/>
  <c r="CV140" i="19" s="1"/>
  <c r="CA199" i="19"/>
  <c r="CA200" i="19" s="1"/>
  <c r="CW140" i="19" s="1"/>
  <c r="AF200" i="19"/>
  <c r="AN141" i="19" s="1"/>
  <c r="AG199" i="19"/>
  <c r="AG200" i="19" s="1"/>
  <c r="AO141" i="19" s="1"/>
  <c r="AG144" i="19" s="1"/>
  <c r="F147" i="19" s="1"/>
  <c r="E11" i="19" s="1"/>
  <c r="E13" i="19" l="1"/>
  <c r="I318" i="4" s="1"/>
  <c r="I304" i="4" s="1"/>
  <c r="I302" i="4" s="1"/>
  <c r="AR139" i="19"/>
  <c r="AO336" i="19"/>
  <c r="AV331" i="19" s="1"/>
  <c r="CX80" i="19"/>
  <c r="CZ73" i="19" s="1"/>
  <c r="DB72" i="19" s="1"/>
  <c r="B492" i="19"/>
  <c r="AB490" i="19" s="1"/>
  <c r="DK82" i="19"/>
  <c r="F41" i="19"/>
  <c r="J346" i="4" s="1"/>
  <c r="AO145" i="19"/>
  <c r="AV140" i="19" s="1"/>
  <c r="B259" i="19"/>
  <c r="R257" i="19" s="1"/>
  <c r="D424" i="19"/>
  <c r="AO147" i="19"/>
  <c r="AR142" i="19" s="1"/>
  <c r="H41" i="19"/>
  <c r="L346" i="4" s="1"/>
  <c r="G41" i="19"/>
  <c r="K346" i="4" s="1"/>
  <c r="CW146" i="19"/>
  <c r="DD141" i="19" s="1"/>
  <c r="H10" i="19"/>
  <c r="L315" i="4" s="1"/>
  <c r="AV328" i="19"/>
  <c r="E43" i="19"/>
  <c r="I348" i="4" s="1"/>
  <c r="G10" i="19"/>
  <c r="K315" i="4" s="1"/>
  <c r="CZ330" i="19"/>
  <c r="BK285" i="19"/>
  <c r="CL399" i="19"/>
  <c r="CX139" i="19"/>
  <c r="B303" i="19"/>
  <c r="AC301" i="19" s="1"/>
  <c r="P424" i="19"/>
  <c r="Y424" i="19"/>
  <c r="K424" i="19"/>
  <c r="AA424" i="19"/>
  <c r="I424" i="19"/>
  <c r="AB424" i="19"/>
  <c r="Z424" i="19"/>
  <c r="CL400" i="19"/>
  <c r="CV338" i="19"/>
  <c r="BL426" i="19"/>
  <c r="BM426" i="19" s="1"/>
  <c r="CX333" i="19" s="1"/>
  <c r="T424" i="19"/>
  <c r="E424" i="19"/>
  <c r="H424" i="19"/>
  <c r="W424" i="19"/>
  <c r="F424" i="19"/>
  <c r="X424" i="19"/>
  <c r="D237" i="19"/>
  <c r="E237" i="19" s="1"/>
  <c r="AP144" i="19" s="1"/>
  <c r="M424" i="19"/>
  <c r="J424" i="19"/>
  <c r="V424" i="19"/>
  <c r="O424" i="19"/>
  <c r="N424" i="19"/>
  <c r="L424" i="19"/>
  <c r="AD400" i="19"/>
  <c r="AP330" i="19" s="1"/>
  <c r="AC424" i="19"/>
  <c r="G424" i="19"/>
  <c r="AD424" i="19"/>
  <c r="AO146" i="19"/>
  <c r="AV330" i="19"/>
  <c r="BL237" i="19"/>
  <c r="BM237" i="19" s="1"/>
  <c r="CX144" i="19" s="1"/>
  <c r="S424" i="19"/>
  <c r="R424" i="19"/>
  <c r="Q424" i="19"/>
  <c r="B281" i="19"/>
  <c r="S279" i="19" s="1"/>
  <c r="I315" i="4"/>
  <c r="DD330" i="19"/>
  <c r="CZ80" i="19"/>
  <c r="CZ72" i="19" s="1"/>
  <c r="CX72" i="19"/>
  <c r="AP328" i="19"/>
  <c r="CX328" i="19"/>
  <c r="AR210" i="19"/>
  <c r="CO121" i="19"/>
  <c r="CO104" i="19" s="1"/>
  <c r="CE81" i="19" s="1"/>
  <c r="CC72" i="19" s="1"/>
  <c r="CO103" i="19"/>
  <c r="CC81" i="19" s="1"/>
  <c r="AR330" i="19"/>
  <c r="AR211" i="19"/>
  <c r="CZ399" i="19"/>
  <c r="CM210" i="19"/>
  <c r="CL210" i="19" s="1"/>
  <c r="CL211" i="19"/>
  <c r="BU82" i="19"/>
  <c r="BH73" i="19"/>
  <c r="BH80" i="19"/>
  <c r="BJ73" i="19" s="1"/>
  <c r="BL72" i="19" s="1"/>
  <c r="CA72" i="19"/>
  <c r="CJ40" i="19" s="1"/>
  <c r="D43" i="19"/>
  <c r="H348" i="4" s="1"/>
  <c r="H345" i="4"/>
  <c r="AF332" i="19"/>
  <c r="E335" i="19" s="1"/>
  <c r="D33" i="19" s="1"/>
  <c r="CO143" i="19"/>
  <c r="H146" i="19" s="1"/>
  <c r="E17" i="19" s="1"/>
  <c r="CZ400" i="19"/>
  <c r="L345" i="4"/>
  <c r="H43" i="19"/>
  <c r="L348" i="4" s="1"/>
  <c r="I340" i="4"/>
  <c r="G35" i="19"/>
  <c r="K340" i="4" s="1"/>
  <c r="F35" i="19"/>
  <c r="J340" i="4" s="1"/>
  <c r="H35" i="19"/>
  <c r="L340" i="4" s="1"/>
  <c r="AX121" i="19"/>
  <c r="AX104" i="19" s="1"/>
  <c r="AN81" i="19" s="1"/>
  <c r="AX103" i="19"/>
  <c r="AL81" i="19" s="1"/>
  <c r="BH72" i="19"/>
  <c r="BJ80" i="19"/>
  <c r="BJ72" i="19" s="1"/>
  <c r="CL279" i="19"/>
  <c r="CB279" i="19"/>
  <c r="CE279" i="19"/>
  <c r="CC279" i="19"/>
  <c r="CD279" i="19"/>
  <c r="CF279" i="19"/>
  <c r="BS279" i="19"/>
  <c r="BW279" i="19"/>
  <c r="BY279" i="19"/>
  <c r="BV279" i="19"/>
  <c r="BT279" i="19"/>
  <c r="BU279" i="19"/>
  <c r="BL279" i="19"/>
  <c r="BR279" i="19"/>
  <c r="CH279" i="19"/>
  <c r="BM279" i="19"/>
  <c r="BZ279" i="19"/>
  <c r="CJ279" i="19"/>
  <c r="CI279" i="19"/>
  <c r="CK279" i="19"/>
  <c r="BX279" i="19"/>
  <c r="BO279" i="19"/>
  <c r="BN279" i="19"/>
  <c r="BQ279" i="19"/>
  <c r="BP279" i="19"/>
  <c r="CA279" i="19"/>
  <c r="CG279" i="19"/>
  <c r="BY210" i="19"/>
  <c r="BX210" i="19" s="1"/>
  <c r="BX211" i="19"/>
  <c r="AP139" i="19"/>
  <c r="AE210" i="19"/>
  <c r="AD210" i="19" s="1"/>
  <c r="AD211" i="19"/>
  <c r="J315" i="4"/>
  <c r="AF145" i="19"/>
  <c r="E148" i="19" s="1"/>
  <c r="D12" i="19" s="1"/>
  <c r="H317" i="4" s="1"/>
  <c r="AD9" i="19"/>
  <c r="AN338" i="19"/>
  <c r="F33" i="19"/>
  <c r="G33" i="19"/>
  <c r="H33" i="19"/>
  <c r="E36" i="19"/>
  <c r="I341" i="4" s="1"/>
  <c r="I338" i="4"/>
  <c r="AF144" i="19"/>
  <c r="E147" i="19" s="1"/>
  <c r="D11" i="19" s="1"/>
  <c r="H316" i="4" s="1"/>
  <c r="AN149" i="19"/>
  <c r="AF334" i="19"/>
  <c r="E337" i="19" s="1"/>
  <c r="D35" i="19" s="1"/>
  <c r="H340" i="4" s="1"/>
  <c r="AR331" i="19"/>
  <c r="AS41" i="19"/>
  <c r="F12" i="19"/>
  <c r="J317" i="4" s="1"/>
  <c r="G12" i="19"/>
  <c r="K317" i="4" s="1"/>
  <c r="H12" i="19"/>
  <c r="L317" i="4" s="1"/>
  <c r="I317" i="4"/>
  <c r="L468" i="19"/>
  <c r="I468" i="19"/>
  <c r="AB468" i="19"/>
  <c r="K468" i="19"/>
  <c r="H468" i="19"/>
  <c r="S468" i="19"/>
  <c r="D468" i="19"/>
  <c r="V468" i="19"/>
  <c r="Y468" i="19"/>
  <c r="AD468" i="19"/>
  <c r="J468" i="19"/>
  <c r="AC468" i="19"/>
  <c r="Z468" i="19"/>
  <c r="M468" i="19"/>
  <c r="P468" i="19"/>
  <c r="AA468" i="19"/>
  <c r="T468" i="19"/>
  <c r="G468" i="19"/>
  <c r="E468" i="19"/>
  <c r="U468" i="19"/>
  <c r="N468" i="19"/>
  <c r="Q468" i="19"/>
  <c r="W468" i="19"/>
  <c r="O468" i="19"/>
  <c r="F468" i="19"/>
  <c r="X468" i="19"/>
  <c r="R468" i="19"/>
  <c r="CN334" i="19"/>
  <c r="G337" i="19" s="1"/>
  <c r="D42" i="19" s="1"/>
  <c r="H347" i="4" s="1"/>
  <c r="CZ331" i="19"/>
  <c r="DD331" i="19"/>
  <c r="CW147" i="19"/>
  <c r="CZ142" i="19" s="1"/>
  <c r="BJ303" i="19"/>
  <c r="G43" i="19"/>
  <c r="K348" i="4" s="1"/>
  <c r="K345" i="4"/>
  <c r="CC490" i="19"/>
  <c r="CH490" i="19"/>
  <c r="BY490" i="19"/>
  <c r="BZ490" i="19"/>
  <c r="BL490" i="19"/>
  <c r="CF490" i="19"/>
  <c r="BV490" i="19"/>
  <c r="BR490" i="19"/>
  <c r="CE490" i="19"/>
  <c r="CD490" i="19"/>
  <c r="CI490" i="19"/>
  <c r="BX490" i="19"/>
  <c r="CJ490" i="19"/>
  <c r="BT490" i="19"/>
  <c r="CG490" i="19"/>
  <c r="BO490" i="19"/>
  <c r="CK490" i="19"/>
  <c r="BP490" i="19"/>
  <c r="BS490" i="19"/>
  <c r="BN490" i="19"/>
  <c r="CB490" i="19"/>
  <c r="BU490" i="19"/>
  <c r="CA490" i="19"/>
  <c r="CL490" i="19"/>
  <c r="BW490" i="19"/>
  <c r="BQ490" i="19"/>
  <c r="BM490" i="19"/>
  <c r="Q210" i="19"/>
  <c r="P210" i="19" s="1"/>
  <c r="P211" i="19"/>
  <c r="J290" i="4"/>
  <c r="M306" i="4" s="1"/>
  <c r="CN144" i="19"/>
  <c r="G147" i="19" s="1"/>
  <c r="D18" i="19" s="1"/>
  <c r="H323" i="4" s="1"/>
  <c r="E24" i="19"/>
  <c r="I329" i="4" s="1"/>
  <c r="I307" i="4" s="1"/>
  <c r="CN50" i="19"/>
  <c r="F24" i="19" s="1"/>
  <c r="J329" i="4" s="1"/>
  <c r="J307" i="4" s="1"/>
  <c r="CP50" i="19"/>
  <c r="H24" i="19" s="1"/>
  <c r="L329" i="4" s="1"/>
  <c r="L307" i="4" s="1"/>
  <c r="CO50" i="19"/>
  <c r="J345" i="4"/>
  <c r="BO468" i="19"/>
  <c r="BT468" i="19"/>
  <c r="CA468" i="19"/>
  <c r="BP468" i="19"/>
  <c r="BM468" i="19"/>
  <c r="BV468" i="19"/>
  <c r="CC468" i="19"/>
  <c r="BZ468" i="19"/>
  <c r="BS468" i="19"/>
  <c r="CH468" i="19"/>
  <c r="CK468" i="19"/>
  <c r="BN468" i="19"/>
  <c r="BY468" i="19"/>
  <c r="BW468" i="19"/>
  <c r="BR468" i="19"/>
  <c r="CL468" i="19"/>
  <c r="CJ468" i="19"/>
  <c r="CD468" i="19"/>
  <c r="CI468" i="19"/>
  <c r="BQ468" i="19"/>
  <c r="BL468" i="19"/>
  <c r="CF468" i="19"/>
  <c r="CG468" i="19"/>
  <c r="CE468" i="19"/>
  <c r="BX468" i="19"/>
  <c r="CB468" i="19"/>
  <c r="BU468" i="19"/>
  <c r="H315" i="4"/>
  <c r="CN143" i="19"/>
  <c r="G146" i="19" s="1"/>
  <c r="D17" i="19" s="1"/>
  <c r="CZ140" i="19"/>
  <c r="DD140" i="19"/>
  <c r="CV149" i="19"/>
  <c r="AW50" i="19"/>
  <c r="F28" i="19" s="1"/>
  <c r="J333" i="4" s="1"/>
  <c r="J309" i="4" s="1"/>
  <c r="AY50" i="19"/>
  <c r="H28" i="19" s="1"/>
  <c r="L333" i="4" s="1"/>
  <c r="L309" i="4" s="1"/>
  <c r="E28" i="19"/>
  <c r="I333" i="4" s="1"/>
  <c r="I309" i="4" s="1"/>
  <c r="AX50" i="19"/>
  <c r="H11" i="19"/>
  <c r="L316" i="4" s="1"/>
  <c r="G11" i="19"/>
  <c r="K316" i="4" s="1"/>
  <c r="I316" i="4"/>
  <c r="F11" i="19"/>
  <c r="J316" i="4" s="1"/>
  <c r="DA210" i="19"/>
  <c r="CZ210" i="19" s="1"/>
  <c r="CZ211" i="19"/>
  <c r="BY399" i="19"/>
  <c r="BX399" i="19" s="1"/>
  <c r="BX400" i="19"/>
  <c r="CJ41" i="19"/>
  <c r="BW257" i="19"/>
  <c r="BN257" i="19"/>
  <c r="CB257" i="19"/>
  <c r="CE257" i="19"/>
  <c r="CA257" i="19"/>
  <c r="BT257" i="19"/>
  <c r="BL257" i="19"/>
  <c r="BR257" i="19"/>
  <c r="CK257" i="19"/>
  <c r="BV257" i="19"/>
  <c r="BZ257" i="19"/>
  <c r="BY257" i="19"/>
  <c r="CD257" i="19"/>
  <c r="BO257" i="19"/>
  <c r="CL257" i="19"/>
  <c r="BM257" i="19"/>
  <c r="BP257" i="19"/>
  <c r="CF257" i="19"/>
  <c r="BQ257" i="19"/>
  <c r="BS257" i="19"/>
  <c r="CG257" i="19"/>
  <c r="CH257" i="19"/>
  <c r="CI257" i="19"/>
  <c r="BX257" i="19"/>
  <c r="BU257" i="19"/>
  <c r="CJ257" i="19"/>
  <c r="CC257" i="19"/>
  <c r="AJ72" i="19"/>
  <c r="AS40" i="19" s="1"/>
  <c r="Q399" i="19"/>
  <c r="P399" i="19" s="1"/>
  <c r="P400" i="19"/>
  <c r="BJ448" i="19"/>
  <c r="CW334" i="19"/>
  <c r="DD329" i="19" s="1"/>
  <c r="G18" i="19"/>
  <c r="K323" i="4" s="1"/>
  <c r="I323" i="4"/>
  <c r="H18" i="19"/>
  <c r="L323" i="4" s="1"/>
  <c r="F18" i="19"/>
  <c r="J323" i="4" s="1"/>
  <c r="AR400" i="19"/>
  <c r="AS399" i="19"/>
  <c r="AR399" i="19" s="1"/>
  <c r="F42" i="19"/>
  <c r="J347" i="4" s="1"/>
  <c r="H42" i="19"/>
  <c r="L347" i="4" s="1"/>
  <c r="I347" i="4"/>
  <c r="G42" i="19"/>
  <c r="K347" i="4" s="1"/>
  <c r="B448" i="19"/>
  <c r="AO334" i="19"/>
  <c r="AR329" i="19" s="1"/>
  <c r="K490" i="19" l="1"/>
  <c r="X490" i="19"/>
  <c r="Y490" i="19"/>
  <c r="Z490" i="19"/>
  <c r="L490" i="19"/>
  <c r="W490" i="19"/>
  <c r="H490" i="19"/>
  <c r="O490" i="19"/>
  <c r="P490" i="19"/>
  <c r="U490" i="19"/>
  <c r="I490" i="19"/>
  <c r="U301" i="19"/>
  <c r="AA490" i="19"/>
  <c r="AC490" i="19"/>
  <c r="Q490" i="19"/>
  <c r="J490" i="19"/>
  <c r="J257" i="19"/>
  <c r="I301" i="19"/>
  <c r="G490" i="19"/>
  <c r="AD490" i="19"/>
  <c r="F490" i="19"/>
  <c r="X257" i="19"/>
  <c r="Q301" i="19"/>
  <c r="R490" i="19"/>
  <c r="N490" i="19"/>
  <c r="S490" i="19"/>
  <c r="O257" i="19"/>
  <c r="H257" i="19"/>
  <c r="T257" i="19"/>
  <c r="P257" i="19"/>
  <c r="S257" i="19"/>
  <c r="W257" i="19"/>
  <c r="E257" i="19"/>
  <c r="AB257" i="19"/>
  <c r="J301" i="19"/>
  <c r="R301" i="19"/>
  <c r="AD257" i="19"/>
  <c r="V257" i="19"/>
  <c r="Z257" i="19"/>
  <c r="J279" i="19"/>
  <c r="F301" i="19"/>
  <c r="L279" i="19"/>
  <c r="V490" i="19"/>
  <c r="D490" i="19"/>
  <c r="M490" i="19"/>
  <c r="Y257" i="19"/>
  <c r="M257" i="19"/>
  <c r="L257" i="19"/>
  <c r="K257" i="19"/>
  <c r="I257" i="19"/>
  <c r="F257" i="19"/>
  <c r="D259" i="19" s="1"/>
  <c r="E259" i="19" s="1"/>
  <c r="AP145" i="19" s="1"/>
  <c r="AA257" i="19"/>
  <c r="Z279" i="19"/>
  <c r="G257" i="19"/>
  <c r="Q257" i="19"/>
  <c r="AC257" i="19"/>
  <c r="E490" i="19"/>
  <c r="T490" i="19"/>
  <c r="D257" i="19"/>
  <c r="N257" i="19"/>
  <c r="U257" i="19"/>
  <c r="AR140" i="19"/>
  <c r="AV142" i="19"/>
  <c r="CZ141" i="19"/>
  <c r="BL281" i="19"/>
  <c r="BM281" i="19" s="1"/>
  <c r="CX146" i="19" s="1"/>
  <c r="D426" i="19"/>
  <c r="E426" i="19" s="1"/>
  <c r="AP333" i="19" s="1"/>
  <c r="AT333" i="19" s="1"/>
  <c r="AI331" i="19" s="1"/>
  <c r="AB6" i="19" s="1"/>
  <c r="N301" i="19"/>
  <c r="T301" i="19"/>
  <c r="AA301" i="19"/>
  <c r="V301" i="19"/>
  <c r="W301" i="19"/>
  <c r="X301" i="19"/>
  <c r="S301" i="19"/>
  <c r="Z301" i="19"/>
  <c r="AO149" i="19"/>
  <c r="L301" i="19"/>
  <c r="DB144" i="19"/>
  <c r="CQ142" i="19" s="1"/>
  <c r="J145" i="19" s="1"/>
  <c r="E301" i="19"/>
  <c r="Y301" i="19"/>
  <c r="H301" i="19"/>
  <c r="O301" i="19"/>
  <c r="AD301" i="19"/>
  <c r="P301" i="19"/>
  <c r="M301" i="19"/>
  <c r="K301" i="19"/>
  <c r="D301" i="19"/>
  <c r="G301" i="19"/>
  <c r="AB301" i="19"/>
  <c r="AR141" i="19"/>
  <c r="H279" i="19"/>
  <c r="CX330" i="19"/>
  <c r="AA279" i="19"/>
  <c r="I279" i="19"/>
  <c r="F279" i="19"/>
  <c r="DB333" i="19"/>
  <c r="CQ331" i="19" s="1"/>
  <c r="AB10" i="19" s="1"/>
  <c r="Y279" i="19"/>
  <c r="G279" i="19"/>
  <c r="AC279" i="19"/>
  <c r="R279" i="19"/>
  <c r="AT144" i="19"/>
  <c r="AI142" i="19" s="1"/>
  <c r="AA6" i="19" s="1"/>
  <c r="BL492" i="19"/>
  <c r="BM492" i="19" s="1"/>
  <c r="CX336" i="19" s="1"/>
  <c r="F43" i="19"/>
  <c r="J348" i="4" s="1"/>
  <c r="H13" i="19"/>
  <c r="L318" i="4" s="1"/>
  <c r="L304" i="4" s="1"/>
  <c r="L302" i="4" s="1"/>
  <c r="BL259" i="19"/>
  <c r="BM259" i="19" s="1"/>
  <c r="CX145" i="19" s="1"/>
  <c r="AV141" i="19"/>
  <c r="AB279" i="19"/>
  <c r="W279" i="19"/>
  <c r="X279" i="19"/>
  <c r="U279" i="19"/>
  <c r="T279" i="19"/>
  <c r="K279" i="19"/>
  <c r="V279" i="19"/>
  <c r="D13" i="19"/>
  <c r="H318" i="4" s="1"/>
  <c r="H304" i="4" s="1"/>
  <c r="H302" i="4" s="1"/>
  <c r="J288" i="4" s="1"/>
  <c r="M305" i="4" s="1"/>
  <c r="BL470" i="19"/>
  <c r="BM470" i="19" s="1"/>
  <c r="CX335" i="19" s="1"/>
  <c r="P279" i="19"/>
  <c r="M279" i="19"/>
  <c r="O279" i="19"/>
  <c r="G13" i="19"/>
  <c r="G23" i="19" s="1"/>
  <c r="K328" i="4" s="1"/>
  <c r="K306" i="4" s="1"/>
  <c r="DD327" i="19"/>
  <c r="D470" i="19"/>
  <c r="E470" i="19" s="1"/>
  <c r="AP335" i="19" s="1"/>
  <c r="AT335" i="19" s="1"/>
  <c r="AI333" i="19" s="1"/>
  <c r="E279" i="19"/>
  <c r="Q279" i="19"/>
  <c r="D279" i="19"/>
  <c r="AP142" i="19"/>
  <c r="D492" i="19"/>
  <c r="E492" i="19" s="1"/>
  <c r="AP336" i="19" s="1"/>
  <c r="F13" i="19"/>
  <c r="J318" i="4" s="1"/>
  <c r="J304" i="4" s="1"/>
  <c r="J302" i="4" s="1"/>
  <c r="N279" i="19"/>
  <c r="AD279" i="19"/>
  <c r="CX331" i="19"/>
  <c r="AP141" i="19"/>
  <c r="CX141" i="19"/>
  <c r="CE80" i="19"/>
  <c r="CE72" i="19" s="1"/>
  <c r="AR327" i="19"/>
  <c r="AV329" i="19"/>
  <c r="AV327" i="19" s="1"/>
  <c r="AL72" i="19"/>
  <c r="AN80" i="19"/>
  <c r="AN72" i="19" s="1"/>
  <c r="CW149" i="19"/>
  <c r="CZ329" i="19"/>
  <c r="CZ327" i="19" s="1"/>
  <c r="BL446" i="19"/>
  <c r="CG446" i="19"/>
  <c r="CL446" i="19"/>
  <c r="CB446" i="19"/>
  <c r="CD446" i="19"/>
  <c r="BV446" i="19"/>
  <c r="CA446" i="19"/>
  <c r="BS446" i="19"/>
  <c r="CE446" i="19"/>
  <c r="BT446" i="19"/>
  <c r="BR446" i="19"/>
  <c r="BQ446" i="19"/>
  <c r="BM446" i="19"/>
  <c r="BN446" i="19"/>
  <c r="CJ446" i="19"/>
  <c r="BU446" i="19"/>
  <c r="CI446" i="19"/>
  <c r="CH446" i="19"/>
  <c r="CC446" i="19"/>
  <c r="CK446" i="19"/>
  <c r="BX446" i="19"/>
  <c r="BP446" i="19"/>
  <c r="BY446" i="19"/>
  <c r="BO446" i="19"/>
  <c r="CF446" i="19"/>
  <c r="BW446" i="19"/>
  <c r="BZ446" i="19"/>
  <c r="AP329" i="19"/>
  <c r="CX142" i="19"/>
  <c r="CZ138" i="19"/>
  <c r="CW338" i="19"/>
  <c r="AP140" i="19"/>
  <c r="AP73" i="19"/>
  <c r="AR72" i="19" s="1"/>
  <c r="AQ50" i="19" s="1"/>
  <c r="G36" i="19"/>
  <c r="K341" i="4" s="1"/>
  <c r="K338" i="4"/>
  <c r="DD142" i="19"/>
  <c r="DD138" i="19" s="1"/>
  <c r="CX140" i="19"/>
  <c r="G17" i="19"/>
  <c r="F17" i="19"/>
  <c r="I322" i="4"/>
  <c r="E20" i="19"/>
  <c r="I325" i="4" s="1"/>
  <c r="I305" i="4" s="1"/>
  <c r="H17" i="19"/>
  <c r="H36" i="19"/>
  <c r="L341" i="4" s="1"/>
  <c r="L338" i="4"/>
  <c r="CG73" i="19"/>
  <c r="CI72" i="19" s="1"/>
  <c r="CH50" i="19" s="1"/>
  <c r="H322" i="4"/>
  <c r="D20" i="19"/>
  <c r="H325" i="4" s="1"/>
  <c r="H305" i="4" s="1"/>
  <c r="AO338" i="19"/>
  <c r="F36" i="19"/>
  <c r="J341" i="4" s="1"/>
  <c r="J338" i="4"/>
  <c r="CC73" i="19"/>
  <c r="CP82" i="19"/>
  <c r="CC80" i="19"/>
  <c r="CE73" i="19" s="1"/>
  <c r="CG72" i="19" s="1"/>
  <c r="L446" i="19"/>
  <c r="F446" i="19"/>
  <c r="M446" i="19"/>
  <c r="AB446" i="19"/>
  <c r="J446" i="19"/>
  <c r="G446" i="19"/>
  <c r="T446" i="19"/>
  <c r="Z446" i="19"/>
  <c r="O446" i="19"/>
  <c r="AD446" i="19"/>
  <c r="S446" i="19"/>
  <c r="N446" i="19"/>
  <c r="I446" i="19"/>
  <c r="W446" i="19"/>
  <c r="D446" i="19"/>
  <c r="AC446" i="19"/>
  <c r="Y446" i="19"/>
  <c r="P446" i="19"/>
  <c r="E446" i="19"/>
  <c r="R446" i="19"/>
  <c r="U446" i="19"/>
  <c r="V446" i="19"/>
  <c r="Q446" i="19"/>
  <c r="X446" i="19"/>
  <c r="H446" i="19"/>
  <c r="K446" i="19"/>
  <c r="AA446" i="19"/>
  <c r="AP331" i="19"/>
  <c r="CX329" i="19"/>
  <c r="S284" i="4"/>
  <c r="G66" i="12" s="1"/>
  <c r="G64" i="12" s="1"/>
  <c r="P120" i="13" s="1"/>
  <c r="M132" i="4"/>
  <c r="C36" i="11"/>
  <c r="W280" i="4"/>
  <c r="J294" i="4"/>
  <c r="J293" i="4"/>
  <c r="E54" i="13" s="1"/>
  <c r="G54" i="13" s="1"/>
  <c r="C50" i="13"/>
  <c r="BQ301" i="19"/>
  <c r="BP301" i="19"/>
  <c r="BW301" i="19"/>
  <c r="BO301" i="19"/>
  <c r="CL301" i="19"/>
  <c r="BL301" i="19"/>
  <c r="BS301" i="19"/>
  <c r="BR301" i="19"/>
  <c r="CC301" i="19"/>
  <c r="CF301" i="19"/>
  <c r="BY301" i="19"/>
  <c r="BN301" i="19"/>
  <c r="CI301" i="19"/>
  <c r="CJ301" i="19"/>
  <c r="CK301" i="19"/>
  <c r="CB301" i="19"/>
  <c r="CE301" i="19"/>
  <c r="BU301" i="19"/>
  <c r="BT301" i="19"/>
  <c r="CG301" i="19"/>
  <c r="BV301" i="19"/>
  <c r="BX301" i="19"/>
  <c r="CD301" i="19"/>
  <c r="CA301" i="19"/>
  <c r="BM301" i="19"/>
  <c r="CH301" i="19"/>
  <c r="BZ301" i="19"/>
  <c r="AL73" i="19"/>
  <c r="AY82" i="19"/>
  <c r="AL80" i="19"/>
  <c r="AN73" i="19" s="1"/>
  <c r="AP72" i="19" s="1"/>
  <c r="D36" i="19"/>
  <c r="H341" i="4" s="1"/>
  <c r="H338" i="4"/>
  <c r="D303" i="19" l="1"/>
  <c r="E303" i="19" s="1"/>
  <c r="AP147" i="19" s="1"/>
  <c r="DB335" i="19"/>
  <c r="CQ333" i="19" s="1"/>
  <c r="AB12" i="19" s="1"/>
  <c r="AR138" i="19"/>
  <c r="DB146" i="19"/>
  <c r="CQ144" i="19" s="1"/>
  <c r="AA12" i="19" s="1"/>
  <c r="AV138" i="19"/>
  <c r="K318" i="4"/>
  <c r="K304" i="4" s="1"/>
  <c r="K302" i="4" s="1"/>
  <c r="Q304" i="4" s="1"/>
  <c r="I334" i="19"/>
  <c r="AA10" i="19"/>
  <c r="D281" i="19"/>
  <c r="E281" i="19" s="1"/>
  <c r="AP146" i="19" s="1"/>
  <c r="AT146" i="19" s="1"/>
  <c r="AI144" i="19" s="1"/>
  <c r="I147" i="19" s="1"/>
  <c r="AT336" i="19"/>
  <c r="AI334" i="19" s="1"/>
  <c r="I337" i="19" s="1"/>
  <c r="J334" i="19"/>
  <c r="M309" i="4"/>
  <c r="G27" i="19"/>
  <c r="K332" i="4" s="1"/>
  <c r="K308" i="4" s="1"/>
  <c r="AT147" i="19"/>
  <c r="AI145" i="19" s="1"/>
  <c r="AA9" i="19" s="1"/>
  <c r="DB336" i="19"/>
  <c r="CQ334" i="19" s="1"/>
  <c r="J337" i="19" s="1"/>
  <c r="I145" i="19"/>
  <c r="I336" i="19"/>
  <c r="AB8" i="19"/>
  <c r="D448" i="19"/>
  <c r="E448" i="19" s="1"/>
  <c r="AP334" i="19" s="1"/>
  <c r="AP332" i="19" s="1"/>
  <c r="BL448" i="19"/>
  <c r="BM448" i="19" s="1"/>
  <c r="CX334" i="19" s="1"/>
  <c r="CX332" i="19" s="1"/>
  <c r="BL303" i="19"/>
  <c r="BM303" i="19" s="1"/>
  <c r="CX147" i="19" s="1"/>
  <c r="CX143" i="19" s="1"/>
  <c r="CX327" i="19"/>
  <c r="AD10" i="19"/>
  <c r="CK46" i="19"/>
  <c r="X279" i="4"/>
  <c r="N284" i="4"/>
  <c r="L288" i="4" s="1"/>
  <c r="C133" i="11" s="1"/>
  <c r="DB145" i="19"/>
  <c r="CX138" i="19"/>
  <c r="K50" i="13"/>
  <c r="J292" i="4"/>
  <c r="G20" i="19"/>
  <c r="K322" i="4"/>
  <c r="J336" i="19"/>
  <c r="AT46" i="19"/>
  <c r="AC10" i="19"/>
  <c r="H20" i="19"/>
  <c r="L325" i="4" s="1"/>
  <c r="L305" i="4" s="1"/>
  <c r="L322" i="4"/>
  <c r="AP327" i="19"/>
  <c r="J147" i="19"/>
  <c r="F20" i="19"/>
  <c r="J325" i="4" s="1"/>
  <c r="J305" i="4" s="1"/>
  <c r="J322" i="4"/>
  <c r="AT145" i="19"/>
  <c r="AP138" i="19"/>
  <c r="Q341" i="4" l="1"/>
  <c r="Q313" i="4"/>
  <c r="Q324" i="4"/>
  <c r="Q333" i="4"/>
  <c r="Q340" i="4"/>
  <c r="Q320" i="4"/>
  <c r="Q338" i="4"/>
  <c r="Q301" i="4"/>
  <c r="Q335" i="4"/>
  <c r="Q315" i="4"/>
  <c r="Q326" i="4"/>
  <c r="Q348" i="4"/>
  <c r="Q353" i="4"/>
  <c r="Q310" i="4"/>
  <c r="Q318" i="4"/>
  <c r="Q316" i="4"/>
  <c r="Q325" i="4"/>
  <c r="Q331" i="4"/>
  <c r="Q312" i="4"/>
  <c r="M308" i="4"/>
  <c r="Q358" i="4"/>
  <c r="Q307" i="4"/>
  <c r="Q303" i="4"/>
  <c r="Q339" i="4"/>
  <c r="Q355" i="4"/>
  <c r="Q323" i="4"/>
  <c r="Q357" i="4"/>
  <c r="Q349" i="4"/>
  <c r="Q351" i="4"/>
  <c r="Q321" i="4"/>
  <c r="Q334" i="4"/>
  <c r="Q319" i="4"/>
  <c r="Q306" i="4"/>
  <c r="Q305" i="4"/>
  <c r="Q308" i="4"/>
  <c r="Q328" i="4"/>
  <c r="Q350" i="4"/>
  <c r="Q300" i="4"/>
  <c r="Q327" i="4"/>
  <c r="Q345" i="4"/>
  <c r="Q337" i="4"/>
  <c r="Q342" i="4"/>
  <c r="Q311" i="4"/>
  <c r="Q356" i="4"/>
  <c r="AP143" i="19"/>
  <c r="AP149" i="19" s="1"/>
  <c r="Q336" i="4"/>
  <c r="Q309" i="4"/>
  <c r="Q322" i="4"/>
  <c r="Q317" i="4"/>
  <c r="Q354" i="4"/>
  <c r="Q302" i="4"/>
  <c r="Q344" i="4"/>
  <c r="Q347" i="4"/>
  <c r="AB9" i="19"/>
  <c r="Q343" i="4"/>
  <c r="Q352" i="4"/>
  <c r="Q332" i="4"/>
  <c r="I148" i="19"/>
  <c r="AA8" i="19"/>
  <c r="AB13" i="19"/>
  <c r="DB334" i="19"/>
  <c r="DB332" i="19" s="1"/>
  <c r="CY338" i="19" s="1"/>
  <c r="AP338" i="19"/>
  <c r="CX149" i="19"/>
  <c r="DB147" i="19"/>
  <c r="CQ145" i="19" s="1"/>
  <c r="J148" i="19" s="1"/>
  <c r="AT334" i="19"/>
  <c r="AT332" i="19" s="1"/>
  <c r="AQ338" i="19" s="1"/>
  <c r="CX338" i="19"/>
  <c r="C135" i="11"/>
  <c r="B318" i="4"/>
  <c r="I133" i="11"/>
  <c r="Q189" i="13"/>
  <c r="K66" i="13"/>
  <c r="AT143" i="19"/>
  <c r="AQ149" i="19" s="1"/>
  <c r="AI143" i="19"/>
  <c r="I26" i="19"/>
  <c r="M331" i="4" s="1"/>
  <c r="I352" i="4" s="1"/>
  <c r="AC6" i="19"/>
  <c r="AC17" i="19" s="1"/>
  <c r="AB20" i="19" s="1"/>
  <c r="E50" i="13"/>
  <c r="G50" i="13" s="1"/>
  <c r="M307" i="4"/>
  <c r="G24" i="19"/>
  <c r="K329" i="4" s="1"/>
  <c r="K307" i="4" s="1"/>
  <c r="K325" i="4"/>
  <c r="K305" i="4" s="1"/>
  <c r="G28" i="19"/>
  <c r="K333" i="4" s="1"/>
  <c r="K309" i="4" s="1"/>
  <c r="CQ143" i="19"/>
  <c r="I22" i="19"/>
  <c r="M327" i="4" s="1"/>
  <c r="I351" i="4" s="1"/>
  <c r="AD6" i="19"/>
  <c r="AD17" i="19" s="1"/>
  <c r="AB21" i="19" s="1"/>
  <c r="AM149" i="19" l="1"/>
  <c r="AG146" i="19" s="1"/>
  <c r="F149" i="19" s="1"/>
  <c r="AA14" i="19" s="1"/>
  <c r="AM338" i="19"/>
  <c r="AG335" i="19" s="1"/>
  <c r="F338" i="19" s="1"/>
  <c r="AB14" i="19" s="1"/>
  <c r="CQ332" i="19"/>
  <c r="J335" i="19" s="1"/>
  <c r="AI332" i="19"/>
  <c r="AB7" i="19" s="1"/>
  <c r="AA13" i="19"/>
  <c r="DB143" i="19"/>
  <c r="CY149" i="19" s="1"/>
  <c r="CU149" i="19" s="1"/>
  <c r="CO146" i="19" s="1"/>
  <c r="H149" i="19" s="1"/>
  <c r="AA15" i="19" s="1"/>
  <c r="AA16" i="19" s="1"/>
  <c r="CU338" i="19"/>
  <c r="CO335" i="19" s="1"/>
  <c r="I38" i="19" s="1"/>
  <c r="M343" i="4" s="1"/>
  <c r="S189" i="13"/>
  <c r="I146" i="19"/>
  <c r="AA7" i="19"/>
  <c r="I136" i="11"/>
  <c r="B320" i="4"/>
  <c r="J146" i="19"/>
  <c r="AA11" i="19"/>
  <c r="P189" i="13"/>
  <c r="G66" i="13"/>
  <c r="C189" i="13" s="1"/>
  <c r="J189" i="13" s="1"/>
  <c r="C24" i="13"/>
  <c r="K104" i="13" s="1"/>
  <c r="I31" i="19" l="1"/>
  <c r="M336" i="4" s="1"/>
  <c r="J351" i="4" s="1"/>
  <c r="AB11" i="19"/>
  <c r="I8" i="19"/>
  <c r="I335" i="19"/>
  <c r="I15" i="19"/>
  <c r="M320" i="4" s="1"/>
  <c r="H338" i="19"/>
  <c r="AB15" i="19" s="1"/>
  <c r="AB16" i="19" s="1"/>
  <c r="C30" i="13"/>
  <c r="Q187" i="13"/>
  <c r="H24" i="13"/>
  <c r="G24" i="13"/>
  <c r="AA17" i="19"/>
  <c r="AB19" i="19" s="1"/>
  <c r="Q198" i="13"/>
  <c r="O198" i="13" s="1"/>
  <c r="J44" i="3"/>
  <c r="X11" i="12" s="1"/>
  <c r="Y11" i="12" s="1"/>
  <c r="Q204" i="13"/>
  <c r="R204" i="13" s="1"/>
  <c r="M24" i="13"/>
  <c r="L24" i="13"/>
  <c r="R189" i="13"/>
  <c r="C7" i="19" l="1"/>
  <c r="M313" i="4"/>
  <c r="J350" i="4" s="1"/>
  <c r="I350" i="4" s="1"/>
  <c r="I353" i="4" s="1"/>
  <c r="G312" i="4" s="1"/>
  <c r="M303" i="4" s="1"/>
  <c r="AB17" i="19"/>
  <c r="C157" i="13"/>
  <c r="E157" i="13" s="1"/>
  <c r="G157" i="13" s="1"/>
  <c r="K30" i="13"/>
  <c r="P187" i="13"/>
  <c r="G30" i="13"/>
  <c r="Q199" i="13"/>
  <c r="S187" i="13" l="1"/>
  <c r="K199" i="13"/>
  <c r="C137" i="11"/>
  <c r="B322" i="4" s="1"/>
  <c r="O181" i="13"/>
  <c r="E181" i="13" s="1"/>
  <c r="G181" i="13" s="1"/>
  <c r="P197" i="13" s="1"/>
  <c r="R187" i="13"/>
  <c r="C187" i="13"/>
  <c r="I138" i="11" l="1"/>
  <c r="C139" i="11"/>
  <c r="I140" i="11" s="1"/>
  <c r="G183" i="13"/>
  <c r="C192" i="13" s="1"/>
  <c r="J192" i="13" s="1"/>
  <c r="P199" i="13"/>
  <c r="O204" i="13"/>
  <c r="P204" i="13" s="1"/>
  <c r="L25" i="13"/>
  <c r="J43" i="3"/>
  <c r="M25" i="13"/>
  <c r="T13" i="11"/>
  <c r="I181" i="13"/>
  <c r="J187" i="13"/>
  <c r="O203" i="13"/>
  <c r="S199" i="13"/>
  <c r="R205" i="13" s="1"/>
  <c r="B324" i="4" l="1"/>
  <c r="C147" i="11"/>
  <c r="C115" i="11" s="1"/>
  <c r="K137" i="11"/>
  <c r="K141" i="11" s="1"/>
  <c r="L142" i="11" s="1"/>
  <c r="J40" i="3" s="1"/>
  <c r="O202" i="13"/>
  <c r="P202" i="13" s="1"/>
  <c r="J193" i="13"/>
  <c r="R199" i="13" s="1"/>
  <c r="Q205" i="13" s="1"/>
  <c r="C195" i="13"/>
  <c r="D197" i="13" s="1"/>
  <c r="F197" i="13" s="1"/>
  <c r="C193" i="13"/>
  <c r="R197" i="13"/>
  <c r="Q203" i="13"/>
  <c r="P203" i="13"/>
  <c r="M131" i="11" l="1"/>
  <c r="K131" i="11" s="1"/>
  <c r="B300" i="4"/>
  <c r="L130" i="11"/>
  <c r="M130" i="11"/>
  <c r="J51" i="3"/>
  <c r="J52" i="3" s="1"/>
  <c r="R8" i="11"/>
  <c r="Q202" i="13"/>
  <c r="R202" i="13" s="1"/>
  <c r="O205" i="13" s="1"/>
  <c r="J41" i="3" s="1"/>
  <c r="M3" i="13"/>
  <c r="I197" i="13"/>
  <c r="M4" i="13" s="1"/>
  <c r="R203" i="13"/>
  <c r="L131" i="11" l="1"/>
  <c r="K135" i="11"/>
  <c r="L135" i="11" s="1"/>
  <c r="E115" i="11" s="1"/>
  <c r="B87" i="11" s="1"/>
  <c r="I198" i="13"/>
  <c r="J197" i="13"/>
  <c r="T8" i="11"/>
  <c r="J4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tc={4A67963D-67F8-4D30-9FC1-0B19F06E5268}</author>
    <author>tc={F32AC3C5-91BF-4ECB-8EC5-AE00D519E00F}</author>
    <author>tc={869EF9A7-96F1-4152-9835-0C0A3859591A}</author>
    <author>tc={15152893-AA41-4DCA-8E97-118E89EA7939}</author>
    <author>tc={2E36FA41-E3BD-42ED-87EA-0ADB7FB80DDF}</author>
    <author>tc={8C754D3F-C32F-4409-99E9-FEE6D5669D4F}</author>
    <author>tc={37054DBF-40F2-4ACD-826B-280BDF6EB015}</author>
    <author>tc={987C27EB-7F65-4F9A-941E-1265DE228332}</author>
    <author>Jaimin</author>
  </authors>
  <commentList>
    <comment ref="D10" authorId="0" shapeId="0" xr:uid="{4A67963D-67F8-4D30-9FC1-0B19F06E5268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Master Dropdown</t>
      </text>
    </comment>
    <comment ref="D13" authorId="1" shapeId="0" xr:uid="{F32AC3C5-91BF-4ECB-8EC5-AE00D519E00F}">
      <text>
        <t>[Threaded comment]
Your version of Excel allows you to read this threaded comment; however, any edits to it will get removed if the file is opened in a newer version of Excel. Learn more: https://go.microsoft.com/fwlink/?linkid=870924
Comment:
    Mandatory Input</t>
      </text>
    </comment>
    <comment ref="D14" authorId="2" shapeId="0" xr:uid="{869EF9A7-96F1-4152-9835-0C0A3859591A}">
      <text>
        <t>[Threaded comment]
Your version of Excel allows you to read this threaded comment; however, any edits to it will get removed if the file is opened in a newer version of Excel. Learn more: https://go.microsoft.com/fwlink/?linkid=870924
Comment:
    Optional Input</t>
      </text>
    </comment>
    <comment ref="D16" authorId="3" shapeId="0" xr:uid="{15152893-AA41-4DCA-8E97-118E89EA7939}">
      <text>
        <t>[Threaded comment]
Your version of Excel allows you to read this threaded comment; however, any edits to it will get removed if the file is opened in a newer version of Excel. Learn more: https://go.microsoft.com/fwlink/?linkid=870924
Comment:
    Mandatory Input</t>
      </text>
    </comment>
    <comment ref="D17" authorId="4" shapeId="0" xr:uid="{2E36FA41-E3BD-42ED-87EA-0ADB7FB80DDF}">
      <text>
        <t>[Threaded comment]
Your version of Excel allows you to read this threaded comment; however, any edits to it will get removed if the file is opened in a newer version of Excel. Learn more: https://go.microsoft.com/fwlink/?linkid=870924
Comment:
    Mandatory Input</t>
      </text>
    </comment>
    <comment ref="B19" authorId="5" shapeId="0" xr:uid="{8C754D3F-C32F-4409-99E9-FEE6D5669D4F}">
      <text>
        <t>[Threaded comment]
Your version of Excel allows you to read this threaded comment; however, any edits to it will get removed if the file is opened in a newer version of Excel. Learn more: https://go.microsoft.com/fwlink/?linkid=870924
Comment:
    Above Floor Level Mandatory
Below Floor Level Optional</t>
      </text>
    </comment>
    <comment ref="B25" authorId="6" shapeId="0" xr:uid="{37054DBF-40F2-4ACD-826B-280BDF6EB015}">
      <text>
        <t>[Threaded comment]
Your version of Excel allows you to read this threaded comment; however, any edits to it will get removed if the file is opened in a newer version of Excel. Learn more: https://go.microsoft.com/fwlink/?linkid=870924
Comment:
    Duty Class is Master available?</t>
      </text>
    </comment>
    <comment ref="D46" authorId="7" shapeId="0" xr:uid="{987C27EB-7F65-4F9A-941E-1265DE228332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Master Dropdown</t>
      </text>
    </comment>
    <comment ref="C52" authorId="8" shapeId="0" xr:uid="{13BDE385-6A22-426D-A0AB-C24821F54DEE}">
      <text>
        <r>
          <rPr>
            <b/>
            <sz val="9"/>
            <color indexed="81"/>
            <rFont val="Tahoma"/>
            <charset val="1"/>
          </rPr>
          <t>Jaimin:</t>
        </r>
        <r>
          <rPr>
            <sz val="9"/>
            <color indexed="81"/>
            <rFont val="Tahoma"/>
            <charset val="1"/>
          </rPr>
          <t xml:space="preserve">
Motor Company</t>
        </r>
      </text>
    </comment>
    <comment ref="D52" authorId="8" shapeId="0" xr:uid="{64A46D3D-0ECB-4F87-BFD7-5BB1D174A9CF}">
      <text>
        <r>
          <rPr>
            <b/>
            <sz val="9"/>
            <color indexed="81"/>
            <rFont val="Tahoma"/>
            <charset val="1"/>
          </rPr>
          <t>Jaimin:</t>
        </r>
        <r>
          <rPr>
            <sz val="9"/>
            <color indexed="81"/>
            <rFont val="Tahoma"/>
            <charset val="1"/>
          </rPr>
          <t xml:space="preserve">
Motor Type</t>
        </r>
      </text>
    </comment>
    <comment ref="E52" authorId="8" shapeId="0" xr:uid="{132804AF-F1CE-46A7-9B5E-1131AFCAB72D}">
      <text>
        <r>
          <rPr>
            <b/>
            <sz val="9"/>
            <color indexed="81"/>
            <rFont val="Tahoma"/>
            <charset val="1"/>
          </rPr>
          <t>Jaimin:</t>
        </r>
        <r>
          <rPr>
            <sz val="9"/>
            <color indexed="81"/>
            <rFont val="Tahoma"/>
            <charset val="1"/>
          </rPr>
          <t xml:space="preserve">
Break Type</t>
        </r>
      </text>
    </comment>
    <comment ref="F52" authorId="8" shapeId="0" xr:uid="{E7494B53-B163-4FAE-A1FD-121410830026}">
      <text>
        <r>
          <rPr>
            <b/>
            <sz val="9"/>
            <color indexed="81"/>
            <rFont val="Tahoma"/>
            <charset val="1"/>
          </rPr>
          <t>Jaimin:</t>
        </r>
        <r>
          <rPr>
            <sz val="9"/>
            <color indexed="81"/>
            <rFont val="Tahoma"/>
            <charset val="1"/>
          </rPr>
          <t xml:space="preserve">
Break Company</t>
        </r>
      </text>
    </comment>
    <comment ref="G52" authorId="8" shapeId="0" xr:uid="{4F89183D-B4BB-41E6-9BD3-36865A3863BF}">
      <text>
        <r>
          <rPr>
            <b/>
            <sz val="9"/>
            <color indexed="81"/>
            <rFont val="Tahoma"/>
            <charset val="1"/>
          </rPr>
          <t>Jaimin:</t>
        </r>
        <r>
          <rPr>
            <sz val="9"/>
            <color indexed="81"/>
            <rFont val="Tahoma"/>
            <charset val="1"/>
          </rPr>
          <t xml:space="preserve">
Wire Rope</t>
        </r>
      </text>
    </comment>
    <comment ref="H52" authorId="8" shapeId="0" xr:uid="{4107B262-1A18-4609-9B75-4F31B3CE70ED}">
      <text>
        <r>
          <rPr>
            <b/>
            <sz val="9"/>
            <color indexed="81"/>
            <rFont val="Tahoma"/>
            <charset val="1"/>
          </rPr>
          <t>Jaimin:</t>
        </r>
        <r>
          <rPr>
            <sz val="9"/>
            <color indexed="81"/>
            <rFont val="Tahoma"/>
            <charset val="1"/>
          </rPr>
          <t xml:space="preserve">
Gear Company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ADChristian</author>
  </authors>
  <commentList>
    <comment ref="M45" authorId="0" shapeId="0" xr:uid="{14FEECDC-8FEF-4F4E-BD68-39F03F5155EB}">
      <text>
        <r>
          <rPr>
            <sz val="9"/>
            <color indexed="81"/>
            <rFont val="宋体"/>
            <charset val="134"/>
          </rPr>
          <t xml:space="preserve">
CALCULATED</t>
        </r>
      </text>
    </comment>
    <comment ref="M46" authorId="0" shapeId="0" xr:uid="{2B6113DE-5CF3-475E-AF9F-0F33F18CCC7A}">
      <text>
        <r>
          <rPr>
            <sz val="9"/>
            <color indexed="81"/>
            <rFont val="宋体"/>
            <charset val="134"/>
          </rPr>
          <t xml:space="preserve">
SELECT  FROM HERE ACTUL h/L  </t>
        </r>
      </text>
    </comment>
  </commentList>
</comments>
</file>

<file path=xl/sharedStrings.xml><?xml version="1.0" encoding="utf-8"?>
<sst xmlns="http://schemas.openxmlformats.org/spreadsheetml/2006/main" count="14266" uniqueCount="3968">
  <si>
    <t>FOR</t>
  </si>
  <si>
    <t>MANUFACTURER :</t>
  </si>
  <si>
    <t>CLIENT :</t>
  </si>
  <si>
    <t>REV. NO.</t>
  </si>
  <si>
    <t>INDEX</t>
  </si>
  <si>
    <t>INDIA</t>
  </si>
  <si>
    <t>EXPORT</t>
  </si>
  <si>
    <t>R00</t>
  </si>
  <si>
    <t>R01</t>
  </si>
  <si>
    <t>R02</t>
  </si>
  <si>
    <t>R03</t>
  </si>
  <si>
    <t>R04</t>
  </si>
  <si>
    <t>R05</t>
  </si>
  <si>
    <t>R06</t>
  </si>
  <si>
    <t>R07</t>
  </si>
  <si>
    <t>R08</t>
  </si>
  <si>
    <t>R09</t>
  </si>
  <si>
    <t>R10</t>
  </si>
  <si>
    <t>R11</t>
  </si>
  <si>
    <t>R12</t>
  </si>
  <si>
    <t>Gujarat</t>
  </si>
  <si>
    <t>Out of Guj</t>
  </si>
  <si>
    <t>New Delhi</t>
  </si>
  <si>
    <t>Mumbai</t>
  </si>
  <si>
    <t>Kolkata</t>
  </si>
  <si>
    <t>Chennai</t>
  </si>
  <si>
    <t>-</t>
  </si>
  <si>
    <t>SHEET NO : 3 OF 24</t>
  </si>
  <si>
    <t>Mechanical</t>
  </si>
  <si>
    <t>Electrical</t>
  </si>
  <si>
    <t>Class of Duty</t>
  </si>
  <si>
    <t xml:space="preserve">Equivalent Class as per IS 3177 </t>
  </si>
  <si>
    <t>REV NO</t>
  </si>
  <si>
    <t>Mech-I</t>
  </si>
  <si>
    <t>Ele-I</t>
  </si>
  <si>
    <t>I</t>
  </si>
  <si>
    <t>M3</t>
  </si>
  <si>
    <t>Mech-II</t>
  </si>
  <si>
    <t>Ele-II</t>
  </si>
  <si>
    <t>II</t>
  </si>
  <si>
    <t>M5</t>
  </si>
  <si>
    <t>Mech-III</t>
  </si>
  <si>
    <t>Ele-III</t>
  </si>
  <si>
    <t>III</t>
  </si>
  <si>
    <t>M7</t>
  </si>
  <si>
    <t>Mech-IV</t>
  </si>
  <si>
    <t>Ele-IV</t>
  </si>
  <si>
    <t>IV</t>
  </si>
  <si>
    <t>M8</t>
  </si>
  <si>
    <t>Ambient Temperature</t>
  </si>
  <si>
    <t>Deratng Factor Camb</t>
  </si>
  <si>
    <t>GBM</t>
  </si>
  <si>
    <t xml:space="preserve">At  50 © </t>
  </si>
  <si>
    <t>CAPACITY :</t>
  </si>
  <si>
    <t>MH  :-</t>
  </si>
  <si>
    <t>TON</t>
  </si>
  <si>
    <t xml:space="preserve">IC-Baur </t>
  </si>
  <si>
    <t>AH  :-</t>
  </si>
  <si>
    <t>ICW</t>
  </si>
  <si>
    <t>Siemens</t>
  </si>
  <si>
    <t>MTR.</t>
  </si>
  <si>
    <t>Actual</t>
  </si>
  <si>
    <t>AFL</t>
  </si>
  <si>
    <t>BFL</t>
  </si>
  <si>
    <t>IS</t>
  </si>
  <si>
    <t>IS 3177 -1999 &amp; IS 807/800</t>
  </si>
  <si>
    <t>IS 4137 -2015 &amp; IS 807/800</t>
  </si>
  <si>
    <t>Cdf</t>
  </si>
  <si>
    <t>Horizontal</t>
  </si>
  <si>
    <t>Vertical</t>
  </si>
  <si>
    <t xml:space="preserve">Group </t>
  </si>
  <si>
    <t>For mechanism</t>
  </si>
  <si>
    <t>For mechanism used for Vertical motion with People or while Handling Dangerous for Ex. Molten metal Highly Radio Active or Corrossive Product</t>
  </si>
  <si>
    <t xml:space="preserve">Classification </t>
  </si>
  <si>
    <t xml:space="preserve">used for </t>
  </si>
  <si>
    <t>of Mechanism</t>
  </si>
  <si>
    <t>Horizontal motion</t>
  </si>
  <si>
    <t>Vertical motion</t>
  </si>
  <si>
    <t>Shrouded Type DSL</t>
  </si>
  <si>
    <t>M1</t>
  </si>
  <si>
    <t>Indoor</t>
  </si>
  <si>
    <t>M2</t>
  </si>
  <si>
    <t>M4</t>
  </si>
  <si>
    <t>Deg. C</t>
  </si>
  <si>
    <t>For Hoisting Motion</t>
  </si>
  <si>
    <t>M6</t>
  </si>
  <si>
    <t>For CT &amp; LT Motion</t>
  </si>
  <si>
    <t>Speed (m/min) :</t>
  </si>
  <si>
    <t>VVVF</t>
  </si>
  <si>
    <t>CT  :-</t>
  </si>
  <si>
    <t>LT  :-</t>
  </si>
  <si>
    <t>Location</t>
  </si>
  <si>
    <t>Outdoor</t>
  </si>
  <si>
    <t xml:space="preserve"> </t>
  </si>
  <si>
    <t xml:space="preserve">PREPARED BY :  </t>
  </si>
  <si>
    <t>M Co</t>
  </si>
  <si>
    <t>Select</t>
  </si>
  <si>
    <t>IS 4137 - 2015 &amp; IS 807/800</t>
  </si>
  <si>
    <t xml:space="preserve">MS Angle </t>
  </si>
  <si>
    <t>Operation</t>
  </si>
  <si>
    <t>Type</t>
  </si>
  <si>
    <t>RRC (Joy Stick Type)</t>
  </si>
  <si>
    <t>RRC (Push Button Type)</t>
  </si>
  <si>
    <t>Open Cabin</t>
  </si>
  <si>
    <t>Close Cabin With AC</t>
  </si>
  <si>
    <t>Close Cabin (Without AC)</t>
  </si>
  <si>
    <t>If Other</t>
  </si>
  <si>
    <t>Sr No.</t>
  </si>
  <si>
    <t>Yes</t>
  </si>
  <si>
    <t>MECHANISM CALCULATION</t>
  </si>
  <si>
    <t>Sq. Cage 6 pole 150 star</t>
  </si>
  <si>
    <t>Weight in Kg</t>
  </si>
  <si>
    <t>Total Motor Price</t>
  </si>
  <si>
    <t>Only Motor Price</t>
  </si>
  <si>
    <t>Type Test</t>
  </si>
  <si>
    <t>Routine Test</t>
  </si>
  <si>
    <t>Thermistor</t>
  </si>
  <si>
    <t>Encoder Mounting</t>
  </si>
  <si>
    <t>Nothing</t>
  </si>
  <si>
    <t>Frame S</t>
  </si>
  <si>
    <t>At 40%</t>
  </si>
  <si>
    <t>RPM</t>
  </si>
  <si>
    <t xml:space="preserve">PROJECT :   </t>
  </si>
  <si>
    <t>SHEET NO : 4 OF 24</t>
  </si>
  <si>
    <t>VD80</t>
  </si>
  <si>
    <t>KS112M</t>
  </si>
  <si>
    <t>80 (1)</t>
  </si>
  <si>
    <t>REV NO   :-</t>
  </si>
  <si>
    <t>VD90S</t>
  </si>
  <si>
    <t>KS132MA</t>
  </si>
  <si>
    <t>80 (2)</t>
  </si>
  <si>
    <t>VD90L</t>
  </si>
  <si>
    <t>KS132MC</t>
  </si>
  <si>
    <t>90S</t>
  </si>
  <si>
    <t>VD100L</t>
  </si>
  <si>
    <t>KS160M1</t>
  </si>
  <si>
    <t>90L</t>
  </si>
  <si>
    <t>MAIN HOIST MOTOR SELECTION :-</t>
  </si>
  <si>
    <t>VD112M</t>
  </si>
  <si>
    <t>KS160M2</t>
  </si>
  <si>
    <t>100L</t>
  </si>
  <si>
    <t>VD132S</t>
  </si>
  <si>
    <t>KS160L1</t>
  </si>
  <si>
    <t>112M</t>
  </si>
  <si>
    <t>Hoisting Power Required P  =</t>
  </si>
  <si>
    <t>VD132M</t>
  </si>
  <si>
    <t>KS160L2</t>
  </si>
  <si>
    <t>132S</t>
  </si>
  <si>
    <t>6120 x E X Camb</t>
  </si>
  <si>
    <t>VD160M</t>
  </si>
  <si>
    <t>KS180L1</t>
  </si>
  <si>
    <t>132M</t>
  </si>
  <si>
    <t>M =</t>
  </si>
  <si>
    <t>Total mass of rated Load on hook plus weight of bottom pulley block &amp; wire rope</t>
  </si>
  <si>
    <t>= (Q + q + r)    in kg</t>
  </si>
  <si>
    <t>VD160L</t>
  </si>
  <si>
    <t>KS180L2</t>
  </si>
  <si>
    <t>160M</t>
  </si>
  <si>
    <t>Q =</t>
  </si>
  <si>
    <t xml:space="preserve">Load to be lifted in kg </t>
  </si>
  <si>
    <t>=</t>
  </si>
  <si>
    <t>VD160LX</t>
  </si>
  <si>
    <t>KS200L1</t>
  </si>
  <si>
    <t>160L</t>
  </si>
  <si>
    <t>q  =</t>
  </si>
  <si>
    <t>Weight of Bottom Pulley Block in kg + Hook Wt</t>
  </si>
  <si>
    <t>%</t>
  </si>
  <si>
    <t>VD180L</t>
  </si>
  <si>
    <t>KS200L2</t>
  </si>
  <si>
    <t>180L</t>
  </si>
  <si>
    <t xml:space="preserve">r = </t>
  </si>
  <si>
    <t>Weight of Wire rope in kg</t>
  </si>
  <si>
    <t xml:space="preserve">Actual Rope Weight :- </t>
  </si>
  <si>
    <t>VD200LA</t>
  </si>
  <si>
    <t>KS225SA</t>
  </si>
  <si>
    <t>200L (1)</t>
  </si>
  <si>
    <t>V  =</t>
  </si>
  <si>
    <t>Main Hoisting Speed in m/min</t>
  </si>
  <si>
    <t>VD200LB</t>
  </si>
  <si>
    <t>KS225SB</t>
  </si>
  <si>
    <t>200L (2)</t>
  </si>
  <si>
    <t>Qt. of Motor =</t>
  </si>
  <si>
    <t>VD225M</t>
  </si>
  <si>
    <t>KS225MA1</t>
  </si>
  <si>
    <t>225M</t>
  </si>
  <si>
    <t>MF =</t>
  </si>
  <si>
    <t xml:space="preserve">Multiplication factor for motor qty  </t>
  </si>
  <si>
    <t>VD250M</t>
  </si>
  <si>
    <t>KS225MA2</t>
  </si>
  <si>
    <t>250M</t>
  </si>
  <si>
    <t>Cv  =</t>
  </si>
  <si>
    <t>Service Factor for Vertival Motion depending upon type of Motor</t>
  </si>
  <si>
    <t>Sr No</t>
  </si>
  <si>
    <t>Value of Efficiwency E</t>
  </si>
  <si>
    <t>VD280S</t>
  </si>
  <si>
    <t>KS225MB</t>
  </si>
  <si>
    <t>280S</t>
  </si>
  <si>
    <t>(0.93)^n  X  (0.98)^m</t>
  </si>
  <si>
    <t>For Sleeve Bearing</t>
  </si>
  <si>
    <t>VD280M</t>
  </si>
  <si>
    <t>KS250S</t>
  </si>
  <si>
    <t>280M</t>
  </si>
  <si>
    <t xml:space="preserve">E= </t>
  </si>
  <si>
    <t>Combined Efficiency for Gears &amp; Sheaves</t>
  </si>
  <si>
    <t>For Antifriction Bearing</t>
  </si>
  <si>
    <t>(0.95)^n  X  (0.99)^m</t>
  </si>
  <si>
    <t>VD280MX</t>
  </si>
  <si>
    <t>KS250M</t>
  </si>
  <si>
    <t>315S</t>
  </si>
  <si>
    <t xml:space="preserve">^n  X  </t>
  </si>
  <si>
    <t xml:space="preserve">^m </t>
  </si>
  <si>
    <t>(0.985)^n  X  (0.99)^m</t>
  </si>
  <si>
    <t>For Hardened profile ground &amp; oil splashed Lubricator</t>
  </si>
  <si>
    <t>VD315S</t>
  </si>
  <si>
    <t>KS280S</t>
  </si>
  <si>
    <t>315M</t>
  </si>
  <si>
    <t>n = Nos of  pairs of Gears</t>
  </si>
  <si>
    <t>Value 1</t>
  </si>
  <si>
    <t>Value 2</t>
  </si>
  <si>
    <t>VD315M</t>
  </si>
  <si>
    <t>KS280M1</t>
  </si>
  <si>
    <t>315L  (1)</t>
  </si>
  <si>
    <t>m = Total number of Rotating Sheaves Passed over by</t>
  </si>
  <si>
    <t>VD315L</t>
  </si>
  <si>
    <t>KS280M2</t>
  </si>
  <si>
    <t>315L (2)</t>
  </si>
  <si>
    <t xml:space="preserve">       each part of the moving rope attached to the drum</t>
  </si>
  <si>
    <t>Anupam</t>
  </si>
  <si>
    <t>KS315SA</t>
  </si>
  <si>
    <t>355L (1)</t>
  </si>
  <si>
    <t>E = Combined Efficiency for Gears &amp; Sheaves</t>
  </si>
  <si>
    <t>Premium, Elcon</t>
  </si>
  <si>
    <t>VD355S</t>
  </si>
  <si>
    <t>KS315SB</t>
  </si>
  <si>
    <t>355L (2)</t>
  </si>
  <si>
    <t>Cdf =</t>
  </si>
  <si>
    <t xml:space="preserve">Duty Factor as per Class </t>
  </si>
  <si>
    <t>VD355MA</t>
  </si>
  <si>
    <t>KS315MA</t>
  </si>
  <si>
    <t>335L (3)</t>
  </si>
  <si>
    <t>Camb=</t>
  </si>
  <si>
    <t>VD355MB</t>
  </si>
  <si>
    <t>KS315MB</t>
  </si>
  <si>
    <t>Motor KW Rating Required  After temp. Derating)</t>
  </si>
  <si>
    <t>P =</t>
  </si>
  <si>
    <t>Mech kw</t>
  </si>
  <si>
    <t>VD355MC</t>
  </si>
  <si>
    <t>KS355S</t>
  </si>
  <si>
    <t>VD355LA</t>
  </si>
  <si>
    <t>KS355M</t>
  </si>
  <si>
    <t>Margin</t>
  </si>
  <si>
    <t>VD355LB</t>
  </si>
  <si>
    <t>KS355LA</t>
  </si>
  <si>
    <t>VD355LC</t>
  </si>
  <si>
    <t>KS355LB</t>
  </si>
  <si>
    <t>HENCE MOTOR SELECTED :</t>
  </si>
  <si>
    <t>VD355LE</t>
  </si>
  <si>
    <t>KS400L</t>
  </si>
  <si>
    <t>TYPE OF MOTOR</t>
  </si>
  <si>
    <t>Sq. Cage Motor</t>
  </si>
  <si>
    <t>MAKE</t>
  </si>
  <si>
    <t>MARATHON</t>
  </si>
  <si>
    <t>NO OF POLES OF MOTOR</t>
  </si>
  <si>
    <t>Slipring</t>
  </si>
  <si>
    <t>CDF OF MOTOR</t>
  </si>
  <si>
    <t>SIEMENS</t>
  </si>
  <si>
    <t>CGL</t>
  </si>
  <si>
    <t>ST/HR OF MOTOR</t>
  </si>
  <si>
    <t>FRAME SIZE</t>
  </si>
  <si>
    <t>ῼ</t>
  </si>
  <si>
    <t xml:space="preserve">KW RATING </t>
  </si>
  <si>
    <t>Kw</t>
  </si>
  <si>
    <t>KW</t>
  </si>
  <si>
    <t>RPM OF MOTOR</t>
  </si>
  <si>
    <t>Price</t>
  </si>
  <si>
    <t>Weight</t>
  </si>
  <si>
    <t>Kg</t>
  </si>
  <si>
    <t>INSULATION</t>
  </si>
  <si>
    <t>CLASS-F</t>
  </si>
  <si>
    <t>ENCLOSURE</t>
  </si>
  <si>
    <t>TEFC</t>
  </si>
  <si>
    <t>PROTECTION</t>
  </si>
  <si>
    <t>IP-55</t>
  </si>
  <si>
    <t>BRKE DCEM</t>
  </si>
  <si>
    <t>SHEET NO : 5 OF 24</t>
  </si>
  <si>
    <t>BRAKING TOURQUE IN KG-M</t>
  </si>
  <si>
    <t>DRUM DIAMETER IN MM</t>
  </si>
  <si>
    <t>WEIGHT</t>
  </si>
  <si>
    <t>PRICE</t>
  </si>
  <si>
    <t>BCH</t>
  </si>
  <si>
    <t>SOC</t>
  </si>
  <si>
    <t xml:space="preserve">KAKKU </t>
  </si>
  <si>
    <t>BCH 1B</t>
  </si>
  <si>
    <t>BCH 2B</t>
  </si>
  <si>
    <t>NOTHIING</t>
  </si>
  <si>
    <t>MAIN HOIST BRAKE CALCULATION :</t>
  </si>
  <si>
    <t xml:space="preserve">Braking Torque Required = </t>
  </si>
  <si>
    <t>975 x Mech Motor KW x Service Factor</t>
  </si>
  <si>
    <t>GALVI</t>
  </si>
  <si>
    <t>MOTOR RPM</t>
  </si>
  <si>
    <t>TQ.</t>
  </si>
  <si>
    <t>Uper-lower</t>
  </si>
  <si>
    <t>Name of Brake</t>
  </si>
  <si>
    <t>Where,</t>
  </si>
  <si>
    <t>NM</t>
  </si>
  <si>
    <t>Dia</t>
  </si>
  <si>
    <t>N(NV).</t>
  </si>
  <si>
    <t xml:space="preserve">Name </t>
  </si>
  <si>
    <t>Service Factor = (As per IS 3177-1999)=</t>
  </si>
  <si>
    <t>25-250</t>
  </si>
  <si>
    <t>Mechanical Motor KW (Without Cv,Cdf &amp; Camb) =</t>
  </si>
  <si>
    <t>29-310</t>
  </si>
  <si>
    <t xml:space="preserve">Motor RPM = </t>
  </si>
  <si>
    <t>29-400</t>
  </si>
  <si>
    <t>Selection</t>
  </si>
  <si>
    <t>If SOC</t>
  </si>
  <si>
    <t>IF GALVI</t>
  </si>
  <si>
    <t>43-330</t>
  </si>
  <si>
    <t>IF soc</t>
  </si>
  <si>
    <t>MAKE SOC EHT BRAKE SELECTION</t>
  </si>
  <si>
    <t>43-440</t>
  </si>
  <si>
    <t>Therefore,   Braking Torque Required =</t>
  </si>
  <si>
    <t>kg-m</t>
  </si>
  <si>
    <t>TOURRQUE RATING IN KGM</t>
  </si>
  <si>
    <t>TTHRUSTER CAPACITY</t>
  </si>
  <si>
    <t>DRUM DIAMETER</t>
  </si>
  <si>
    <t>Weight of brake</t>
  </si>
  <si>
    <t>Weight of B D Coupling</t>
  </si>
  <si>
    <t>Brake for SOC</t>
  </si>
  <si>
    <t>Lower Torque</t>
  </si>
  <si>
    <t>43-720</t>
  </si>
  <si>
    <t>Torque Rating</t>
  </si>
  <si>
    <t>95-520</t>
  </si>
  <si>
    <t>BRAKE SELECTED :-</t>
  </si>
  <si>
    <t>EHT</t>
  </si>
  <si>
    <t>DCEM</t>
  </si>
  <si>
    <t>EHT + DCEM</t>
  </si>
  <si>
    <t>Thrustor c</t>
  </si>
  <si>
    <t>95-870</t>
  </si>
  <si>
    <t>Type of Brake</t>
  </si>
  <si>
    <t>MDT 160-18</t>
  </si>
  <si>
    <t xml:space="preserve">Drum dia. in </t>
  </si>
  <si>
    <t>95-1550</t>
  </si>
  <si>
    <t>MDT 200-18</t>
  </si>
  <si>
    <t>Weight Of Brake</t>
  </si>
  <si>
    <t xml:space="preserve"> If  EHT Brake ↓</t>
  </si>
  <si>
    <t>250-860</t>
  </si>
  <si>
    <t>Make</t>
  </si>
  <si>
    <t>GALVI + SOC</t>
  </si>
  <si>
    <t>MDT 200-34</t>
  </si>
  <si>
    <t>Weight Of Coupling</t>
  </si>
  <si>
    <t>250-1620</t>
  </si>
  <si>
    <t>Torque Rating ,</t>
  </si>
  <si>
    <t>MDT 250-18</t>
  </si>
  <si>
    <t>Price Of Brake</t>
  </si>
  <si>
    <t>250-2670</t>
  </si>
  <si>
    <t>Thrustor capacity  kg</t>
  </si>
  <si>
    <t>MDT 250-34</t>
  </si>
  <si>
    <t>Price Of Coupling</t>
  </si>
  <si>
    <t xml:space="preserve"> If DCEM Brake ↓</t>
  </si>
  <si>
    <t>350-1600</t>
  </si>
  <si>
    <t>Drum dia. in mm</t>
  </si>
  <si>
    <t>MDT 300-34</t>
  </si>
  <si>
    <t>350-2910</t>
  </si>
  <si>
    <t>Name/Type OF Brake</t>
  </si>
  <si>
    <t>MDT 400-18</t>
  </si>
  <si>
    <t>350-5220</t>
  </si>
  <si>
    <t>MDT 400-46</t>
  </si>
  <si>
    <t>KAKKU</t>
  </si>
  <si>
    <t>540-3210</t>
  </si>
  <si>
    <t>Quntity Of  Brake</t>
  </si>
  <si>
    <t>MDT 400-68</t>
  </si>
  <si>
    <t>BD-Cou</t>
  </si>
  <si>
    <t>Wt.</t>
  </si>
  <si>
    <t>If EHT + DCEM Brake ↓</t>
  </si>
  <si>
    <t>1070-7700</t>
  </si>
  <si>
    <t>MDT 500-46</t>
  </si>
  <si>
    <t>SOC + BCH</t>
  </si>
  <si>
    <t>660-3620</t>
  </si>
  <si>
    <t>Wt of brake</t>
  </si>
  <si>
    <t>kg</t>
  </si>
  <si>
    <t>MDT 500-68</t>
  </si>
  <si>
    <t>GALVI + BCH</t>
  </si>
  <si>
    <t>870-5800</t>
  </si>
  <si>
    <t>Wt of BD Coupling</t>
  </si>
  <si>
    <t>MDT 600-68</t>
  </si>
  <si>
    <t>SOC + KAKKU</t>
  </si>
  <si>
    <t>1250-8700</t>
  </si>
  <si>
    <t>Pice of Brake</t>
  </si>
  <si>
    <t>Rs</t>
  </si>
  <si>
    <t>MDT 500-114</t>
  </si>
  <si>
    <t>GALVI + KAKKU</t>
  </si>
  <si>
    <t>Price of BD Coupling</t>
  </si>
  <si>
    <t>MDT 600-114</t>
  </si>
  <si>
    <t>SOC + SOC</t>
  </si>
  <si>
    <t>IF Steel Core</t>
  </si>
  <si>
    <t>Wire Rope Selection</t>
  </si>
  <si>
    <t>NN/mm^2</t>
  </si>
  <si>
    <t>KN</t>
  </si>
  <si>
    <t>Wire Type</t>
  </si>
  <si>
    <t>Diameter</t>
  </si>
  <si>
    <t>Mass</t>
  </si>
  <si>
    <t>Lower KN</t>
  </si>
  <si>
    <t xml:space="preserve">KN </t>
  </si>
  <si>
    <t>Steel Core</t>
  </si>
  <si>
    <t>SHEET NO : 6 OF 24</t>
  </si>
  <si>
    <t>Anyone..</t>
  </si>
  <si>
    <t>1770 N / MM2</t>
  </si>
  <si>
    <t>1960 N / MM2</t>
  </si>
  <si>
    <t>Approximate Mass</t>
  </si>
  <si>
    <t>Fiber core</t>
  </si>
  <si>
    <t>MAIN HOIST WIRE ROPE SELECTION CALCULATIONS</t>
  </si>
  <si>
    <t xml:space="preserve">     N</t>
  </si>
  <si>
    <t xml:space="preserve">Steel Core </t>
  </si>
  <si>
    <t>Lifted load in Ton</t>
  </si>
  <si>
    <t>Wsb =</t>
  </si>
  <si>
    <t>Weight of Snatch block in Ton</t>
  </si>
  <si>
    <t>r=</t>
  </si>
  <si>
    <t>N =</t>
  </si>
  <si>
    <t xml:space="preserve"> Number of falls</t>
  </si>
  <si>
    <t>Zp =</t>
  </si>
  <si>
    <t xml:space="preserve">Co-eficient of Utilisation for class  </t>
  </si>
  <si>
    <t>Cdf=</t>
  </si>
  <si>
    <t xml:space="preserve">Duty factor for horizontal &amp; Vertical for class </t>
  </si>
  <si>
    <t>Minimum Breaking Load of wire rope required (Ton) =</t>
  </si>
  <si>
    <t>S C1960</t>
  </si>
  <si>
    <t>SELECTED ROPE:</t>
  </si>
  <si>
    <t>Rope Type :</t>
  </si>
  <si>
    <t>Any Type</t>
  </si>
  <si>
    <t>Breaking Strength</t>
  </si>
  <si>
    <t>Dia(mm)</t>
  </si>
  <si>
    <t>Factor of safety</t>
  </si>
  <si>
    <t>=Zp*Cdf</t>
  </si>
  <si>
    <t>Construction</t>
  </si>
  <si>
    <t>6X36</t>
  </si>
  <si>
    <t>Actual Factor of safety</t>
  </si>
  <si>
    <t>Core</t>
  </si>
  <si>
    <t>Quality</t>
  </si>
  <si>
    <t>N/mm^2</t>
  </si>
  <si>
    <t>USHA MARTIN</t>
  </si>
  <si>
    <t>6X38</t>
  </si>
  <si>
    <t>Weight of Rope in kg/mtr</t>
  </si>
  <si>
    <t>kg/mtr</t>
  </si>
  <si>
    <t>6X24</t>
  </si>
  <si>
    <t>Steel Core 1960 N/mm^2</t>
  </si>
  <si>
    <t>Wire Rope Length= Lift*Fall*1.25=</t>
  </si>
  <si>
    <t>mtr</t>
  </si>
  <si>
    <t>6X19</t>
  </si>
  <si>
    <t>ROPE  WT</t>
  </si>
  <si>
    <t>KG</t>
  </si>
  <si>
    <t>18X7</t>
  </si>
  <si>
    <t>Discount</t>
  </si>
  <si>
    <t>SHEET NO : 7 OF 24</t>
  </si>
  <si>
    <t>Crr</t>
  </si>
  <si>
    <t>Fall</t>
  </si>
  <si>
    <t>MAIN HOIST DRUM SELECTION CALCULATIONS</t>
  </si>
  <si>
    <t>CONSTRU</t>
  </si>
  <si>
    <t>Crc</t>
  </si>
  <si>
    <t>&lt;=5</t>
  </si>
  <si>
    <t>6*36 &amp; 6*38</t>
  </si>
  <si>
    <t>6=&lt;=9</t>
  </si>
  <si>
    <t>Minimum Drum  Dia.   =</t>
  </si>
  <si>
    <t>12*d*Cdf*Crc</t>
  </si>
  <si>
    <t>6*24</t>
  </si>
  <si>
    <t>&gt;=10</t>
  </si>
  <si>
    <t>Rope Dia=</t>
  </si>
  <si>
    <t>mm</t>
  </si>
  <si>
    <t>6*19</t>
  </si>
  <si>
    <t>Seamless Tube</t>
  </si>
  <si>
    <t>Fabricated</t>
  </si>
  <si>
    <t>Where, Crc=</t>
  </si>
  <si>
    <t>Factor Dependent on Construction of Wire Rope (36*6)=</t>
  </si>
  <si>
    <t>Minimum Drum Diameter Required</t>
  </si>
  <si>
    <t>Hence,</t>
  </si>
  <si>
    <t>L / D &lt; 8</t>
  </si>
  <si>
    <t>SELECTED DRUM DIAMETER =</t>
  </si>
  <si>
    <t>&lt;</t>
  </si>
  <si>
    <t>PULLY</t>
  </si>
  <si>
    <t>If Seamless tube ↓</t>
  </si>
  <si>
    <t>FALL</t>
  </si>
  <si>
    <t>bearing</t>
  </si>
  <si>
    <t>EQ.Pully</t>
  </si>
  <si>
    <t>MAIN HOIST SHEAVE SELECTION CALCULATIONS</t>
  </si>
  <si>
    <t xml:space="preserve">Seamless Tube DRUM </t>
  </si>
  <si>
    <t xml:space="preserve"> Pully</t>
  </si>
  <si>
    <t>250X60</t>
  </si>
  <si>
    <t>160x60</t>
  </si>
  <si>
    <t>320X60</t>
  </si>
  <si>
    <t>200x60</t>
  </si>
  <si>
    <t>Minimum Sheave Dia.   =</t>
  </si>
  <si>
    <t>320X70</t>
  </si>
  <si>
    <t>200x70</t>
  </si>
  <si>
    <t>400X74</t>
  </si>
  <si>
    <t>Minimum Sheave  Dia . Required</t>
  </si>
  <si>
    <t>320X74</t>
  </si>
  <si>
    <t>250x70</t>
  </si>
  <si>
    <t>200x74</t>
  </si>
  <si>
    <t>SELECTED SHEAVE DIAMETER =</t>
  </si>
  <si>
    <t>320X82</t>
  </si>
  <si>
    <t>200x82</t>
  </si>
  <si>
    <t>Min Equiliser Sheave Dia. =</t>
  </si>
  <si>
    <t>250x74</t>
  </si>
  <si>
    <t>SELECTED EQUILISER SHEAVE DIAMETER =</t>
  </si>
  <si>
    <t>If Fabricated ↓</t>
  </si>
  <si>
    <t>500X82</t>
  </si>
  <si>
    <t>320x74</t>
  </si>
  <si>
    <t>DRUM LENGTH CALCULATION</t>
  </si>
  <si>
    <t>Upper</t>
  </si>
  <si>
    <t>320x82</t>
  </si>
  <si>
    <t>400x90</t>
  </si>
  <si>
    <t>NO OF ACTIVE GROOVE REQUIRED ON EACH SIDE =</t>
  </si>
  <si>
    <t>LIFT * FALLS</t>
  </si>
  <si>
    <t>Lower</t>
  </si>
  <si>
    <t>2 * ( 3.14 * P.C.D )</t>
  </si>
  <si>
    <t>630X100</t>
  </si>
  <si>
    <t>Lift =</t>
  </si>
  <si>
    <t>Height of lift in mtr</t>
  </si>
  <si>
    <t>400x94</t>
  </si>
  <si>
    <t>Falls =</t>
  </si>
  <si>
    <t xml:space="preserve">No of falls </t>
  </si>
  <si>
    <t>C Type</t>
  </si>
  <si>
    <t>P.C.D =</t>
  </si>
  <si>
    <t xml:space="preserve">Pitch circle Dia. of Rope drum in  mtr </t>
  </si>
  <si>
    <t>710X100</t>
  </si>
  <si>
    <t>Ramshorn Type</t>
  </si>
  <si>
    <t>Therefore,</t>
  </si>
  <si>
    <t>No of active groove required on each side =</t>
  </si>
  <si>
    <t>500x94</t>
  </si>
  <si>
    <t>No of spare groove on each side=</t>
  </si>
  <si>
    <t>Total No of groove on each side =</t>
  </si>
  <si>
    <t xml:space="preserve">Lenth of each rope drum = 2 * No of groove on each side * Pitch/ Qty  </t>
  </si>
  <si>
    <t xml:space="preserve">    + ULC + 2* ULE</t>
  </si>
  <si>
    <t>500x98</t>
  </si>
  <si>
    <t>Pitch =</t>
  </si>
  <si>
    <t>Pitch of groove in mm</t>
  </si>
  <si>
    <t>800X100</t>
  </si>
  <si>
    <t>630x98</t>
  </si>
  <si>
    <t>ULC =</t>
  </si>
  <si>
    <t>Ungrooved lenth at centre in mm</t>
  </si>
  <si>
    <t>ULE =</t>
  </si>
  <si>
    <t>Ungrooved lenth  &amp; flange thickness in mm</t>
  </si>
  <si>
    <t>QTY =</t>
  </si>
  <si>
    <t>Qty.of rope drum</t>
  </si>
  <si>
    <t>Lenth of each rope drum in mm=</t>
  </si>
  <si>
    <t>Selected Lenth of each rope drum in mm=</t>
  </si>
  <si>
    <t>L/D</t>
  </si>
  <si>
    <t>FCR=Max load on wire rope/(pitch*All Crushing stress)</t>
  </si>
  <si>
    <t>SHEET NO : 8 OF 24</t>
  </si>
  <si>
    <t>If Tube</t>
  </si>
  <si>
    <t>Thickness</t>
  </si>
  <si>
    <t xml:space="preserve">MINIMUM DRUM THICKNESS BELOW REQUIRED = </t>
  </si>
  <si>
    <t>MAX. LOAD ON WIRE ROPE</t>
  </si>
  <si>
    <t>PITCH * ALL CRUSHING STRESS</t>
  </si>
  <si>
    <t>Maximum load on wire rope in Kg=</t>
  </si>
  <si>
    <t>Febricated</t>
  </si>
  <si>
    <t>All crushing stress of rope drum in  Kg/mm^2 =</t>
  </si>
  <si>
    <t>Drum Dia</t>
  </si>
  <si>
    <t>t1=</t>
  </si>
  <si>
    <t>Minimum drum thickness below groove in mm =</t>
  </si>
  <si>
    <t>Depth of groove in mm (Rope Dia. X 0.3) =</t>
  </si>
  <si>
    <t>Machining allowance of Drum in mm =</t>
  </si>
  <si>
    <t>Actual Requirement</t>
  </si>
  <si>
    <t>Minimum drum thickness required , mm =</t>
  </si>
  <si>
    <t>Selected thickness of drum required , mm =</t>
  </si>
  <si>
    <t>a)        fc=</t>
  </si>
  <si>
    <t>Crushing Stress=</t>
  </si>
  <si>
    <t>Loads/Fall</t>
  </si>
  <si>
    <t>Pitch *( t1)</t>
  </si>
  <si>
    <t>Load/Fall=</t>
  </si>
  <si>
    <t>Max. Load on Wire Rope in Kg</t>
  </si>
  <si>
    <t>Pitch of Groove in mm</t>
  </si>
  <si>
    <t>cm</t>
  </si>
  <si>
    <t>t1= Thickness below groove in mm</t>
  </si>
  <si>
    <t>dg= 0.3 * d = Groove depth</t>
  </si>
  <si>
    <t>b)        fb=</t>
  </si>
  <si>
    <t>Compression stress due to bending</t>
  </si>
  <si>
    <t>Drum Dia bottom of groove, D1=</t>
  </si>
  <si>
    <t>Thickness Below groove, t1=</t>
  </si>
  <si>
    <t>Inside dia of Drum, D2=</t>
  </si>
  <si>
    <t>Modulas secrtion of Drum=Zxx   =</t>
  </si>
  <si>
    <t>32 x D1</t>
  </si>
  <si>
    <t>T/mtr UDL)</t>
  </si>
  <si>
    <t>T</t>
  </si>
  <si>
    <t>Self Weight OF Drum=</t>
  </si>
  <si>
    <t>T /mtr        =</t>
  </si>
  <si>
    <t>Max Bending Moment on Drum will occur when the Load is in the Higest position as shown</t>
  </si>
  <si>
    <t>Max. Bending Moment=</t>
  </si>
  <si>
    <t>195 )</t>
  </si>
  <si>
    <t>T .cm</t>
  </si>
  <si>
    <t xml:space="preserve">  Zxx</t>
  </si>
  <si>
    <t>SHEET NO : 9 OF 24</t>
  </si>
  <si>
    <t>c)</t>
  </si>
  <si>
    <t>Shear stress due to torsion</t>
  </si>
  <si>
    <t>PCD of Drum=</t>
  </si>
  <si>
    <t>Since there are two falls from drum=</t>
  </si>
  <si>
    <t>C=</t>
  </si>
  <si>
    <t xml:space="preserve">Torsion on Drum= </t>
  </si>
  <si>
    <t>2* 4619.6*78.2/2</t>
  </si>
  <si>
    <t>kgf.cm</t>
  </si>
  <si>
    <t>TYPE</t>
  </si>
  <si>
    <t>SIZE</t>
  </si>
  <si>
    <t>Input Shaft dia(mm)</t>
  </si>
  <si>
    <t>Output Shaft Dia(mm)</t>
  </si>
  <si>
    <t>CRS</t>
  </si>
  <si>
    <t>Width (mm)</t>
  </si>
  <si>
    <t>Zp=</t>
  </si>
  <si>
    <t>HNG</t>
  </si>
  <si>
    <t>HR400</t>
  </si>
  <si>
    <t>fTs=</t>
  </si>
  <si>
    <t>Torsional Shear Stress=</t>
  </si>
  <si>
    <t>HR475</t>
  </si>
  <si>
    <t>HR550</t>
  </si>
  <si>
    <t>HR650</t>
  </si>
  <si>
    <t>Equivalent Stress=</t>
  </si>
  <si>
    <t>As per</t>
  </si>
  <si>
    <t>HR775</t>
  </si>
  <si>
    <t>IS-800</t>
  </si>
  <si>
    <t>HR825</t>
  </si>
  <si>
    <t>HR950</t>
  </si>
  <si>
    <t>HR1100</t>
  </si>
  <si>
    <t>HR1250</t>
  </si>
  <si>
    <t>HR1450</t>
  </si>
  <si>
    <t>HR1650</t>
  </si>
  <si>
    <t>HENCE FOLLOWING SPECIFICATIONS OF DRUM AND SHEAVE ARE SELECTED :</t>
  </si>
  <si>
    <t>VCT</t>
  </si>
  <si>
    <t>VR400</t>
  </si>
  <si>
    <t>ROPE DRUM</t>
  </si>
  <si>
    <t>VR450</t>
  </si>
  <si>
    <t>Rope Drum dia., mm</t>
  </si>
  <si>
    <t>VR550</t>
  </si>
  <si>
    <t>Ungrooved length at Centre, mm</t>
  </si>
  <si>
    <t>VR650</t>
  </si>
  <si>
    <t>Ungrooved length at End with Flange, mm</t>
  </si>
  <si>
    <t>HNP</t>
  </si>
  <si>
    <t>Pitch , mm</t>
  </si>
  <si>
    <t>HR450</t>
  </si>
  <si>
    <t>Length , mm</t>
  </si>
  <si>
    <t>Drum Thickness, mm</t>
  </si>
  <si>
    <t>Qty</t>
  </si>
  <si>
    <t>SHEAVE</t>
  </si>
  <si>
    <t>Sheave dia., mm</t>
  </si>
  <si>
    <t>EQUILISING SHEAVE</t>
  </si>
  <si>
    <t>MAIN HOIST GEARBOX RATIO</t>
  </si>
  <si>
    <t xml:space="preserve">     V * N/2</t>
  </si>
  <si>
    <t>PCD =</t>
  </si>
  <si>
    <t>SlipRing</t>
  </si>
  <si>
    <t>Class</t>
  </si>
  <si>
    <t>Drum RPM</t>
  </si>
  <si>
    <t xml:space="preserve">Select </t>
  </si>
  <si>
    <t>RPM =</t>
  </si>
  <si>
    <t>Motor RPM</t>
  </si>
  <si>
    <t>Class I</t>
  </si>
  <si>
    <t>V =</t>
  </si>
  <si>
    <t>Hoist speed in mm/min</t>
  </si>
  <si>
    <t>Class II</t>
  </si>
  <si>
    <t>Selected Ratio</t>
  </si>
  <si>
    <t>Premium</t>
  </si>
  <si>
    <t>Number of falls</t>
  </si>
  <si>
    <t>Class III</t>
  </si>
  <si>
    <t>Actual Speed</t>
  </si>
  <si>
    <t>Elecon</t>
  </si>
  <si>
    <t>Difference</t>
  </si>
  <si>
    <t>Class IV</t>
  </si>
  <si>
    <t>Allowable Speed</t>
  </si>
  <si>
    <t>Gear ratio requied =</t>
  </si>
  <si>
    <t>:1</t>
  </si>
  <si>
    <t>Mechnical  HP</t>
  </si>
  <si>
    <t>Qty.  =</t>
  </si>
  <si>
    <t>Gear BOX Selected</t>
  </si>
  <si>
    <t>HENCE  GEAR BOX  SELECTED  RATIO:</t>
  </si>
  <si>
    <t>Size</t>
  </si>
  <si>
    <t>GB Out RPM</t>
  </si>
  <si>
    <t>Make  :</t>
  </si>
  <si>
    <t>Anupam ↓</t>
  </si>
  <si>
    <t>G B PRICE</t>
  </si>
  <si>
    <t>Coupling</t>
  </si>
  <si>
    <t>WT. x0.95</t>
  </si>
  <si>
    <t>3AH400</t>
  </si>
  <si>
    <t>3AH475</t>
  </si>
  <si>
    <t>Req. HP =Mech Kw x Formula</t>
  </si>
  <si>
    <t>3AH550</t>
  </si>
  <si>
    <t>3AH650</t>
  </si>
  <si>
    <t>Ratio</t>
  </si>
  <si>
    <t>3AH775</t>
  </si>
  <si>
    <t>3AH825</t>
  </si>
  <si>
    <t>Frame Size    :</t>
  </si>
  <si>
    <t>3AH950</t>
  </si>
  <si>
    <t>3AH1100</t>
  </si>
  <si>
    <t>GB Price  :</t>
  </si>
  <si>
    <t>Per Kg Price</t>
  </si>
  <si>
    <t>3AH1250</t>
  </si>
  <si>
    <t>Gear Coupling  :</t>
  </si>
  <si>
    <t>3AH1450</t>
  </si>
  <si>
    <t>GB Weight  :</t>
  </si>
  <si>
    <t>3AH1650</t>
  </si>
  <si>
    <t>Total Wt</t>
  </si>
  <si>
    <t>SCN 160</t>
  </si>
  <si>
    <t>SCN 180</t>
  </si>
  <si>
    <t>Premi 3 Stage↓</t>
  </si>
  <si>
    <t>PCD3 140</t>
  </si>
  <si>
    <t>PCD3 160</t>
  </si>
  <si>
    <t>PCD3 180</t>
  </si>
  <si>
    <t>PCD3 200</t>
  </si>
  <si>
    <t>PCD3 225</t>
  </si>
  <si>
    <t>PCD3 250</t>
  </si>
  <si>
    <t>PCD3 280</t>
  </si>
  <si>
    <t>H.P.</t>
  </si>
  <si>
    <t>Model</t>
  </si>
  <si>
    <t>PCD3 315</t>
  </si>
  <si>
    <t>PCD3 355</t>
  </si>
  <si>
    <t>PCD3 400</t>
  </si>
  <si>
    <t>PCD3 450</t>
  </si>
  <si>
    <t>PCD3 500</t>
  </si>
  <si>
    <t>PCD3 560</t>
  </si>
  <si>
    <t>Selected</t>
  </si>
  <si>
    <t>PCD2 125</t>
  </si>
  <si>
    <t>PCD2 140</t>
  </si>
  <si>
    <t>PCD2 160</t>
  </si>
  <si>
    <t>PCD2 180</t>
  </si>
  <si>
    <t>PCD2 200</t>
  </si>
  <si>
    <t>PCD2 225</t>
  </si>
  <si>
    <t>PCD2 250</t>
  </si>
  <si>
    <t>PCD2 280</t>
  </si>
  <si>
    <t>PCD2 315</t>
  </si>
  <si>
    <t>PCD2 355</t>
  </si>
  <si>
    <t>PCD2 400</t>
  </si>
  <si>
    <t>PCD2 450</t>
  </si>
  <si>
    <t>PCD2 500</t>
  </si>
  <si>
    <t>PCD2 560</t>
  </si>
  <si>
    <t>Seletced</t>
  </si>
  <si>
    <t>GB</t>
  </si>
  <si>
    <t>NOMINAL</t>
  </si>
  <si>
    <t>Class :- 1</t>
  </si>
  <si>
    <t>Class :- 2</t>
  </si>
  <si>
    <t>Class :- 3</t>
  </si>
  <si>
    <t>Class :- 4</t>
  </si>
  <si>
    <t>RATIO</t>
  </si>
  <si>
    <t>HP</t>
  </si>
  <si>
    <t>Required HP</t>
  </si>
  <si>
    <t>Check</t>
  </si>
  <si>
    <t>SHEET NO : 10 OF 24</t>
  </si>
  <si>
    <t>Auxilary Hoist MOTOR SELECTION :-</t>
  </si>
  <si>
    <t>Weight of Bottom Pulley Block in kg+Hook Wt</t>
  </si>
  <si>
    <t>Auxilary Hoisting Speed in m/min</t>
  </si>
  <si>
    <t>QTY. OF MOTOR</t>
  </si>
  <si>
    <t>Multiplication factor for motor qty.</t>
  </si>
  <si>
    <t>Cv =</t>
  </si>
  <si>
    <t>Service Factor</t>
  </si>
  <si>
    <t>Mech KW</t>
  </si>
  <si>
    <t>SHEET NO : 11 OF 24</t>
  </si>
  <si>
    <t>Auxilary Hoist BRAKE CALCULATION :</t>
  </si>
  <si>
    <t>Where</t>
  </si>
  <si>
    <t>Service Factor = (As per IS 3177-1999)</t>
  </si>
  <si>
    <t>Mechanical Motor KW(Without Cv,Cdf &amp; Camb)=</t>
  </si>
  <si>
    <t>H.P</t>
  </si>
  <si>
    <t>Therefore,  Braking Torque Required =</t>
  </si>
  <si>
    <t>SHEET NO : 12 OF 24</t>
  </si>
  <si>
    <t>Auxilary hoist WIRE ROPE SELECTION CALCULATIONS</t>
  </si>
  <si>
    <t>Lifted load in Ton,</t>
  </si>
  <si>
    <t>Weight of snatch block in Ton,</t>
  </si>
  <si>
    <t>Co-effcient of utilisation for class</t>
  </si>
  <si>
    <t>Duty factor for vetical motion for class</t>
  </si>
  <si>
    <t xml:space="preserve">MINIMUM BREAKING LOAD OF WIRE ROPE REQUIRED (Ton) </t>
  </si>
  <si>
    <t>THE WIRE ROPE IS SELECTED AS PER IS - 2266 - 1989</t>
  </si>
  <si>
    <t>SC 1960</t>
  </si>
  <si>
    <t>Rope Type  :</t>
  </si>
  <si>
    <t>Factor of safety=</t>
  </si>
  <si>
    <t>Wire Rope Length=  Lift*Fall*1.25  =</t>
  </si>
  <si>
    <t>ROPE WT</t>
  </si>
  <si>
    <t>SHEET NO : 13 OF 24</t>
  </si>
  <si>
    <t>Auxilary hosit DRUM SELECTION CALCULATIONS</t>
  </si>
  <si>
    <t>CONSTRU CTION</t>
  </si>
  <si>
    <t>&gt;=5</t>
  </si>
  <si>
    <t>Cdf      =</t>
  </si>
  <si>
    <t>Rope Dia   =</t>
  </si>
  <si>
    <t>Where Crc=</t>
  </si>
  <si>
    <t>Factor Dependent on Construction of Wire Rope (6*36)=</t>
  </si>
  <si>
    <t>Minimum Drum Dia . Required</t>
  </si>
  <si>
    <t>L / D &lt; 7</t>
  </si>
  <si>
    <t>AUXILARY HOISTSHEAVE SELECTION CALCULATIONS</t>
  </si>
  <si>
    <t xml:space="preserve">Where, </t>
  </si>
  <si>
    <t>Min Equiliser Sheave Dai. =</t>
  </si>
  <si>
    <t>Falls=</t>
  </si>
  <si>
    <t>Qty. of rope drum</t>
  </si>
  <si>
    <t>SHEET NO : 14 OF 24</t>
  </si>
  <si>
    <t>PITCH * ALL. CRUSHING STRESS</t>
  </si>
  <si>
    <t>T1=</t>
  </si>
  <si>
    <t>Considering Drum made from ASTM 106 Gr.B. Seamless Pipe</t>
  </si>
  <si>
    <t>Drum Dia bottom of groove= D1=</t>
  </si>
  <si>
    <t>Thickness Below groove t1=</t>
  </si>
  <si>
    <t>Inside dia of Drum D2= 760- (2*16.5)-(2*6.6) =</t>
  </si>
  <si>
    <t>SHEET NO : 15 OF 24</t>
  </si>
  <si>
    <t>AUXILARY HOIST GEARBOX RATIO</t>
  </si>
  <si>
    <t xml:space="preserve">            V * N/2</t>
  </si>
  <si>
    <t>Qty     =</t>
  </si>
  <si>
    <t>Speed/Rpm</t>
  </si>
  <si>
    <t>Size :</t>
  </si>
  <si>
    <t>Make :</t>
  </si>
  <si>
    <t>GB Price :</t>
  </si>
  <si>
    <t>Gear Coupling Price :</t>
  </si>
  <si>
    <t>SHEET NO : 16 OF 24</t>
  </si>
  <si>
    <t>CT MOTOR CALCULATION :</t>
  </si>
  <si>
    <t>* MF</t>
  </si>
  <si>
    <t xml:space="preserve">      6117 * T</t>
  </si>
  <si>
    <t>981 * E</t>
  </si>
  <si>
    <t xml:space="preserve"> Camb</t>
  </si>
  <si>
    <t>For</t>
  </si>
  <si>
    <t>Wind Load to be Consider.......?   →</t>
  </si>
  <si>
    <t>Rw =</t>
  </si>
  <si>
    <t>No</t>
  </si>
  <si>
    <t>My Speed</t>
  </si>
  <si>
    <t>Speed</t>
  </si>
  <si>
    <t>Acceleration</t>
  </si>
  <si>
    <t>Mass moved in tons.</t>
  </si>
  <si>
    <t>Wt of Crane + Lifted Capacity =</t>
  </si>
  <si>
    <t>Specified free runnig speed in  =</t>
  </si>
  <si>
    <t>FOR Class</t>
  </si>
  <si>
    <t>S=</t>
  </si>
  <si>
    <t>Service Factor for CT</t>
  </si>
  <si>
    <t>T =</t>
  </si>
  <si>
    <t>Torque Factor =</t>
  </si>
  <si>
    <t>F =</t>
  </si>
  <si>
    <t>Frictional Resistance , kgf/t  =</t>
  </si>
  <si>
    <t>a =</t>
  </si>
  <si>
    <t xml:space="preserve">Average Accelaration of crane in  cm/sq sec. </t>
  </si>
  <si>
    <t>MULTIPLICATION FACTOR FOR MOTOR QTY</t>
  </si>
  <si>
    <t>n =</t>
  </si>
  <si>
    <t>No of Stage of Gear box</t>
  </si>
  <si>
    <t>E =</t>
  </si>
  <si>
    <t>Mechanical Efficiency of Gearing</t>
  </si>
  <si>
    <t>Gearr Box type</t>
  </si>
  <si>
    <t>Hardened and ground Gear Box</t>
  </si>
  <si>
    <t>( PER STAGE OF GEARBOX)</t>
  </si>
  <si>
    <t xml:space="preserve">Camb = </t>
  </si>
  <si>
    <t xml:space="preserve">Derating factor at </t>
  </si>
  <si>
    <t>HENCE MOTOR SELECTED :-</t>
  </si>
  <si>
    <t>Motor Type</t>
  </si>
  <si>
    <t>Gear Brake Motor</t>
  </si>
  <si>
    <t>0 for GBM</t>
  </si>
  <si>
    <t>0 for Sq. Cage</t>
  </si>
  <si>
    <t xml:space="preserve">QTY. OF MOTOR </t>
  </si>
  <si>
    <t>KW RATING AT</t>
  </si>
  <si>
    <t>Motor Wt. for 1</t>
  </si>
  <si>
    <t>Motor Price for 1</t>
  </si>
  <si>
    <t xml:space="preserve">RPM </t>
  </si>
  <si>
    <t>SHEET NO. : 17 OF 24</t>
  </si>
  <si>
    <t>BRAKE CALCULATIONS FOR CT :</t>
  </si>
  <si>
    <t xml:space="preserve">  </t>
  </si>
  <si>
    <t>Mechanical Motor KW(Without S, Cdf&amp; Camb)=</t>
  </si>
  <si>
    <t>Motor RPM=</t>
  </si>
  <si>
    <t>Service Factor=</t>
  </si>
  <si>
    <t>BRAKING TORQUE REQUIRED IN kg.m =</t>
  </si>
  <si>
    <t>KGM</t>
  </si>
  <si>
    <t>HENCE WE HAVE SELECTED FOLLOWING BRAKE :</t>
  </si>
  <si>
    <t>QTY of Brake</t>
  </si>
  <si>
    <t>Spur and Helical Gear Box</t>
  </si>
  <si>
    <t>Motor type</t>
  </si>
  <si>
    <t>IC-BAURE</t>
  </si>
  <si>
    <t>S1-100</t>
  </si>
  <si>
    <t>Conventional Motor</t>
  </si>
  <si>
    <t>SHEET NO. : 21 OF 24</t>
  </si>
  <si>
    <t>C.T. MACHINERY:</t>
  </si>
  <si>
    <t>C.T WHEEL SIZING CALCULATIONS</t>
  </si>
  <si>
    <t xml:space="preserve">MAX. WHEEL LOAD ON C.T WHEEL = </t>
  </si>
  <si>
    <t>K1 * SWL</t>
  </si>
  <si>
    <t xml:space="preserve">+ CRAB WT </t>
  </si>
  <si>
    <t xml:space="preserve">NO OF CT WHEELS /2     </t>
  </si>
  <si>
    <t xml:space="preserve">  NO OF CT WHEELS</t>
  </si>
  <si>
    <t xml:space="preserve">Factor depending on </t>
  </si>
  <si>
    <t>RPM of Wheel Csp</t>
  </si>
  <si>
    <t>Where ,</t>
  </si>
  <si>
    <t>csp</t>
  </si>
  <si>
    <t>SWL =</t>
  </si>
  <si>
    <t>Safe working load in Tons,</t>
  </si>
  <si>
    <t>Crab Wt. in Tons =</t>
  </si>
  <si>
    <t>Rail Size</t>
  </si>
  <si>
    <t>Bhr</t>
  </si>
  <si>
    <t>No Of  CT  wheels  =</t>
  </si>
  <si>
    <t>60X50</t>
  </si>
  <si>
    <t>Cd</t>
  </si>
  <si>
    <t>K1 =</t>
  </si>
  <si>
    <t>% of load distributed on one side of crab=</t>
  </si>
  <si>
    <t xml:space="preserve">MAX. WHEEL LOAD ON C.T WHEEL </t>
  </si>
  <si>
    <t xml:space="preserve"> TONS</t>
  </si>
  <si>
    <t xml:space="preserve">MIN. WHEEL LOAD ON C.T WHEEL = </t>
  </si>
  <si>
    <t xml:space="preserve">CRAB WT              </t>
  </si>
  <si>
    <t>NO OF CT WHEELS</t>
  </si>
  <si>
    <t>MIN. WHEEL LOAD ON C.T WHEEL</t>
  </si>
  <si>
    <t>MEAN WHEEL LOAD IN TONS</t>
  </si>
  <si>
    <t>2 X Pmax +Pmin</t>
  </si>
  <si>
    <t>MINIMUM  WHEELTREAD DIA. REQUIRED</t>
  </si>
  <si>
    <t>W X Cdf X Csf</t>
  </si>
  <si>
    <t>Top width</t>
  </si>
  <si>
    <t>Wt-Kg/Mtr</t>
  </si>
  <si>
    <t>1.5 X a X Cbh X Csp</t>
  </si>
  <si>
    <t>40mm Sq. Bar</t>
  </si>
  <si>
    <t>50mm Sq. Bar</t>
  </si>
  <si>
    <t>W =</t>
  </si>
  <si>
    <t>Meam wheel load in newtons</t>
  </si>
  <si>
    <t>63mm Sq. Bar</t>
  </si>
  <si>
    <t>Duty factor for horizontal motion for class</t>
  </si>
  <si>
    <t>30 LBS</t>
  </si>
  <si>
    <t>Selected CT rail size</t>
  </si>
  <si>
    <t>60 LBS</t>
  </si>
  <si>
    <t>a=</t>
  </si>
  <si>
    <t>Useful rail top width (mm)</t>
  </si>
  <si>
    <t>90 LBS</t>
  </si>
  <si>
    <t>a= B-4r/3</t>
  </si>
  <si>
    <t>B= Total Width of Rail</t>
  </si>
  <si>
    <t>As per IS 3443</t>
  </si>
  <si>
    <t>105 LBS</t>
  </si>
  <si>
    <t>r= Corner radious of Rail</t>
  </si>
  <si>
    <t>CR-80</t>
  </si>
  <si>
    <t>Csf=</t>
  </si>
  <si>
    <t>Safety factor for wheel material used</t>
  </si>
  <si>
    <t>CR-100</t>
  </si>
  <si>
    <t>For Material Fe44 &amp; Fe 57 as per IS-3177(1999)</t>
  </si>
  <si>
    <t>CR-120</t>
  </si>
  <si>
    <t>Bhr =</t>
  </si>
  <si>
    <t>60X50mm bar</t>
  </si>
  <si>
    <t>Cbh=</t>
  </si>
  <si>
    <t xml:space="preserve">Hardness factor for wheel material as per  IS 3177-1999 </t>
  </si>
  <si>
    <t>Csp=</t>
  </si>
  <si>
    <t xml:space="preserve">Co-efficient depending on speed of rotation of wheel </t>
  </si>
  <si>
    <t>HENCE,</t>
  </si>
  <si>
    <t>Minimum Wheel Tread Dia. Required (mm)</t>
  </si>
  <si>
    <t>RPM ↓</t>
  </si>
  <si>
    <t>Selected Wheel Tread Dia. Required (mm)</t>
  </si>
  <si>
    <t>Rpm (N) = V / Pi*D</t>
  </si>
  <si>
    <t>V = Pi *D * N</t>
  </si>
  <si>
    <t>SHEET NO. : 22 OF 24</t>
  </si>
  <si>
    <t>CT GEARING</t>
  </si>
  <si>
    <t>WT.</t>
  </si>
  <si>
    <t>DRIVE :</t>
  </si>
  <si>
    <t>Central</t>
  </si>
  <si>
    <t>V * 1000</t>
  </si>
  <si>
    <t>Motor RPM =</t>
  </si>
  <si>
    <t>Wheel dia. in  mm =</t>
  </si>
  <si>
    <t>V=</t>
  </si>
  <si>
    <t>C.T Speed in m/min=</t>
  </si>
  <si>
    <t>Gear ratio required=</t>
  </si>
  <si>
    <t xml:space="preserve">Selected Ratio </t>
  </si>
  <si>
    <t>Mech kw : -</t>
  </si>
  <si>
    <t>(Mech Kw)</t>
  </si>
  <si>
    <t>x  ( Formula )</t>
  </si>
  <si>
    <t>GB Price</t>
  </si>
  <si>
    <t>GB Weight</t>
  </si>
  <si>
    <t>HARDNESS FACTOR FOR WHEEL MATERIAL AS PER IS 3177-1999   =</t>
  </si>
  <si>
    <t>BHw=</t>
  </si>
  <si>
    <t>1.3*Bhr*CL</t>
  </si>
  <si>
    <t>Cz *Cd</t>
  </si>
  <si>
    <t>BHr=</t>
  </si>
  <si>
    <t>As per Rail IS -3443</t>
  </si>
  <si>
    <t>CL=</t>
  </si>
  <si>
    <t>as per IS-3177-1999,Cl 8.6.3 For Span Lenght =</t>
  </si>
  <si>
    <t>Cz=</t>
  </si>
  <si>
    <t>as per IS-3177-1999,Cl. 8.6.3 For Z (Wheel/2)  =</t>
  </si>
  <si>
    <t>Cd=</t>
  </si>
  <si>
    <t xml:space="preserve">as per IS-3177-1999 , Cl. 8.6.3 For Diameter = </t>
  </si>
  <si>
    <t>Selected HP</t>
  </si>
  <si>
    <t>Bhw Range</t>
  </si>
  <si>
    <t>Required KW</t>
  </si>
  <si>
    <t>Selected KW</t>
  </si>
  <si>
    <t>Cbh Range</t>
  </si>
  <si>
    <t>Calculated Cbh =</t>
  </si>
  <si>
    <t>Down</t>
  </si>
  <si>
    <t>Uper</t>
  </si>
  <si>
    <t>Z  (Wheel/2)</t>
  </si>
  <si>
    <t>Length</t>
  </si>
  <si>
    <t>Bhw</t>
  </si>
  <si>
    <t>Fult</t>
  </si>
  <si>
    <t>Cbh</t>
  </si>
  <si>
    <t>SHEET NO. : 18 OF 24</t>
  </si>
  <si>
    <t>LT MOTOR CALCULATION :</t>
  </si>
  <si>
    <t>6117 * T</t>
  </si>
  <si>
    <t xml:space="preserve">    Camb</t>
  </si>
  <si>
    <t>Wind Load to be Consider.......?        →</t>
  </si>
  <si>
    <t>Wind Load Horizontally in Kg.</t>
  </si>
  <si>
    <t>Effective Area of Legs 2nos at front side in Sq .M</t>
  </si>
  <si>
    <t xml:space="preserve">Effective Area of  Trolley (WxHxF) in Sq M </t>
  </si>
  <si>
    <t xml:space="preserve">Effective Area of  End carriage at front side in Sq .M </t>
  </si>
  <si>
    <t>Area due to weight (1 sq m = 1T) in Sq. M</t>
  </si>
  <si>
    <t>Total Effective Area in m2</t>
  </si>
  <si>
    <t>Pressure due to  velocity</t>
  </si>
  <si>
    <t>Load  due to Wind effective</t>
  </si>
  <si>
    <t>Ton</t>
  </si>
  <si>
    <t>m/min</t>
  </si>
  <si>
    <t>Torque Factor=</t>
  </si>
  <si>
    <t xml:space="preserve">Average Accelaration of Crane cm/sq sec. </t>
  </si>
  <si>
    <t>MULTIPLICATION FACTOR FOR MOTOR QTY.</t>
  </si>
  <si>
    <t>n=</t>
  </si>
  <si>
    <t>Motor</t>
  </si>
  <si>
    <t>Height from Mid. Shaft to Lower</t>
  </si>
  <si>
    <t>R Height</t>
  </si>
  <si>
    <t xml:space="preserve">Derating factor at    </t>
  </si>
  <si>
    <t>BF06</t>
  </si>
  <si>
    <t>BF10</t>
  </si>
  <si>
    <t>BF20</t>
  </si>
  <si>
    <t>BF30</t>
  </si>
  <si>
    <t>BF40</t>
  </si>
  <si>
    <t>HENCE MOTOR SELECTED</t>
  </si>
  <si>
    <t>BF50</t>
  </si>
  <si>
    <t>BF60</t>
  </si>
  <si>
    <t>BF70</t>
  </si>
  <si>
    <t>BF80</t>
  </si>
  <si>
    <t>BF90</t>
  </si>
  <si>
    <t>NO. OF POLES OF MOTOR</t>
  </si>
  <si>
    <t>Wheel Dia</t>
  </si>
  <si>
    <t>If Diff. →</t>
  </si>
  <si>
    <t>Rail Height</t>
  </si>
  <si>
    <t>GBM Size</t>
  </si>
  <si>
    <t>G Clearence</t>
  </si>
  <si>
    <t xml:space="preserve">KW RATING AT </t>
  </si>
  <si>
    <t>RPM OF MOTOR(60Hz)</t>
  </si>
  <si>
    <t>SHEET NO. : 19 OF 24</t>
  </si>
  <si>
    <t>BRAKE CALCULATIONS FOR LT :</t>
  </si>
  <si>
    <t>MOTOR RPM=</t>
  </si>
  <si>
    <t>kgm</t>
  </si>
  <si>
    <t>Hooh Approch (m)</t>
  </si>
  <si>
    <t>IMPACT FACTOR</t>
  </si>
  <si>
    <t>SHEET NO. : 23 OF 24</t>
  </si>
  <si>
    <t>LT MACHINERY:</t>
  </si>
  <si>
    <t>LT WHEEL SIZING CALCULATIONS</t>
  </si>
  <si>
    <t xml:space="preserve">MAXIMUM WHEEL LOAD  = </t>
  </si>
  <si>
    <t>2*(S-A)*(CRAB WT. + SWL)</t>
  </si>
  <si>
    <t xml:space="preserve">)+ (CRANE WT - CRAB WT ) </t>
  </si>
  <si>
    <t>ON LT WHEEL</t>
  </si>
  <si>
    <t xml:space="preserve">   S * NO OF LT WHEELS /2     </t>
  </si>
  <si>
    <t xml:space="preserve">           NO OF LT WHEELS</t>
  </si>
  <si>
    <t>S =</t>
  </si>
  <si>
    <t>Span in mtr.</t>
  </si>
  <si>
    <t>A =</t>
  </si>
  <si>
    <t>Min. Hook approach in mtr.</t>
  </si>
  <si>
    <t>5-15T</t>
  </si>
  <si>
    <t>1  -  1.2</t>
  </si>
  <si>
    <t>15-30T</t>
  </si>
  <si>
    <t>1.4 -1.5</t>
  </si>
  <si>
    <t>Crab Wt. in Ton,</t>
  </si>
  <si>
    <t>30-50T</t>
  </si>
  <si>
    <t>1.5 - 1.7</t>
  </si>
  <si>
    <t>CraNe Wt. in Ton,</t>
  </si>
  <si>
    <t>50-100T</t>
  </si>
  <si>
    <t>1.6 - 2</t>
  </si>
  <si>
    <t>No of  LT Wheels</t>
  </si>
  <si>
    <t>MAX. WHEEL LOAD ON L.T WHEEL =</t>
  </si>
  <si>
    <t>MIN. WHEEL LOAD   =</t>
  </si>
  <si>
    <t>(A)*(CRAB WT)</t>
  </si>
  <si>
    <t>+ (CRANE WT - CRAB WT )</t>
  </si>
  <si>
    <t xml:space="preserve"> S*NO OF LT WHEELS /2     </t>
  </si>
  <si>
    <t xml:space="preserve">        NO OF LT WHEELS</t>
  </si>
  <si>
    <t>MIN. WHEEL LOAD ON L.T WHEEL =</t>
  </si>
  <si>
    <t>IN TONS</t>
  </si>
  <si>
    <t>MINIMUM  TREAD DIA. REQUIRED</t>
  </si>
  <si>
    <t>Mean wheel load in newtons</t>
  </si>
  <si>
    <t>Selected LT rail size</t>
  </si>
  <si>
    <t>Price/Kg</t>
  </si>
  <si>
    <t>Height</t>
  </si>
  <si>
    <t xml:space="preserve">a= </t>
  </si>
  <si>
    <t>B-4r/3</t>
  </si>
  <si>
    <t xml:space="preserve">Hardness factor for wheel material as per  IS 3177-1999  </t>
  </si>
  <si>
    <t>BAY Lenght</t>
  </si>
  <si>
    <t>Selected Rail Pr.</t>
  </si>
  <si>
    <t xml:space="preserve">Co-efficient depending on speed of rotation of wheel  </t>
  </si>
  <si>
    <t xml:space="preserve">Speed </t>
  </si>
  <si>
    <t>1) W &amp; R</t>
  </si>
  <si>
    <t>Price/M</t>
  </si>
  <si>
    <t>2 Side Rail</t>
  </si>
  <si>
    <t>Total R Price</t>
  </si>
  <si>
    <t>Wheel</t>
  </si>
  <si>
    <t xml:space="preserve">Kw </t>
  </si>
  <si>
    <t>LT Rail</t>
  </si>
  <si>
    <t>2) W &amp; R</t>
  </si>
  <si>
    <t>(1) -- (2)</t>
  </si>
  <si>
    <t>SHEET NO. : 24 OF 24</t>
  </si>
  <si>
    <t>Saving</t>
  </si>
  <si>
    <t xml:space="preserve">Lakh      </t>
  </si>
  <si>
    <t>LT GEARING</t>
  </si>
  <si>
    <t>Wheel Dia. in mm =</t>
  </si>
  <si>
    <t>LT Speed in mtr/min =</t>
  </si>
  <si>
    <t>Therefore</t>
  </si>
  <si>
    <t>GEAR RATIO REQUIRED =</t>
  </si>
  <si>
    <t>as per IS-3177-1999,Cl 8.6.3 For Bay Lenght =</t>
  </si>
  <si>
    <t>i96</t>
  </si>
  <si>
    <t>L95</t>
  </si>
  <si>
    <t xml:space="preserve">Aux Hoist </t>
  </si>
  <si>
    <t>Cross Head</t>
  </si>
  <si>
    <t>CH Price</t>
  </si>
  <si>
    <t>RDBB</t>
  </si>
  <si>
    <t>Rope Drum</t>
  </si>
  <si>
    <t>HOOK</t>
  </si>
  <si>
    <t>Hook Bearing</t>
  </si>
  <si>
    <t>Load</t>
  </si>
  <si>
    <t>RD Bearing</t>
  </si>
  <si>
    <t>Component</t>
  </si>
  <si>
    <t>MH</t>
  </si>
  <si>
    <t>AH</t>
  </si>
  <si>
    <t>MAIN pully</t>
  </si>
  <si>
    <t>Pully Wt.</t>
  </si>
  <si>
    <t>Bearing No.</t>
  </si>
  <si>
    <t>FAG Be. Price</t>
  </si>
  <si>
    <t>Bearing Price</t>
  </si>
  <si>
    <t>Capacity</t>
  </si>
  <si>
    <t>RDBB Price</t>
  </si>
  <si>
    <t>Required Hook Type</t>
  </si>
  <si>
    <t>Hook Price</t>
  </si>
  <si>
    <t>Ram Type</t>
  </si>
  <si>
    <t>U &amp; B Pulley Dia</t>
  </si>
  <si>
    <t>U &amp; B Pulley Price</t>
  </si>
  <si>
    <t>U &amp; B Pulley Wt</t>
  </si>
  <si>
    <t>RD Bearing Required</t>
  </si>
  <si>
    <t>RD Bearing Selected</t>
  </si>
  <si>
    <t>G Couppling</t>
  </si>
  <si>
    <t>RD Bea. Price</t>
  </si>
  <si>
    <t>HGC-101</t>
  </si>
  <si>
    <t>Hook Bearing Required</t>
  </si>
  <si>
    <t>HGC-102</t>
  </si>
  <si>
    <t>Hook Bearing Selected</t>
  </si>
  <si>
    <t>HGC-103</t>
  </si>
  <si>
    <t>Hook Bea. Price</t>
  </si>
  <si>
    <t>HGC-104</t>
  </si>
  <si>
    <t>HGC-105</t>
  </si>
  <si>
    <t>U &amp; B  Pulley Bearing Required</t>
  </si>
  <si>
    <t>HGC-106</t>
  </si>
  <si>
    <t>U &amp; B  Pulley Bearing Slected</t>
  </si>
  <si>
    <t>HGC-107</t>
  </si>
  <si>
    <t>U &amp; B  P Bea. Price</t>
  </si>
  <si>
    <t>CT Wheel</t>
  </si>
  <si>
    <t>LT Wheel</t>
  </si>
  <si>
    <t>No of  Wheel</t>
  </si>
  <si>
    <t>Bearing Size</t>
  </si>
  <si>
    <t>Price Wheel</t>
  </si>
  <si>
    <t>Wheel Weight</t>
  </si>
  <si>
    <t xml:space="preserve"> LT Wt./4wheel</t>
  </si>
  <si>
    <t>Baering</t>
  </si>
  <si>
    <t>Axle Box</t>
  </si>
  <si>
    <t>Rail</t>
  </si>
  <si>
    <t>Rail Code</t>
  </si>
  <si>
    <t xml:space="preserve">Price </t>
  </si>
  <si>
    <t>Bearing Required</t>
  </si>
  <si>
    <t>Bearing Selected</t>
  </si>
  <si>
    <t>CT</t>
  </si>
  <si>
    <t>Bearing</t>
  </si>
  <si>
    <t>If Less...?</t>
  </si>
  <si>
    <t>Price Axle</t>
  </si>
  <si>
    <t>LT</t>
  </si>
  <si>
    <t>R D Bearing</t>
  </si>
  <si>
    <t>Axle Size</t>
  </si>
  <si>
    <t>Geared coupling</t>
  </si>
  <si>
    <t>Geared coupling Pirce</t>
  </si>
  <si>
    <t>SAHARA</t>
  </si>
  <si>
    <t>Geared coupling Weight</t>
  </si>
  <si>
    <t>Buffer Type</t>
  </si>
  <si>
    <t>SPRING</t>
  </si>
  <si>
    <t>70X50</t>
  </si>
  <si>
    <t xml:space="preserve">CT </t>
  </si>
  <si>
    <t xml:space="preserve">LT </t>
  </si>
  <si>
    <t>No. Wheel</t>
  </si>
  <si>
    <t>Wt. Count Time</t>
  </si>
  <si>
    <t>CT wl P</t>
  </si>
  <si>
    <t>LT wl P</t>
  </si>
  <si>
    <t>CT wt</t>
  </si>
  <si>
    <t>LT  wt</t>
  </si>
  <si>
    <t>CT B</t>
  </si>
  <si>
    <t>LT B</t>
  </si>
  <si>
    <t>CT Axcle</t>
  </si>
  <si>
    <t>LT Axcle</t>
  </si>
  <si>
    <t>Pully Bearing</t>
  </si>
  <si>
    <t>Wheel Bearing</t>
  </si>
  <si>
    <t>CT Dia</t>
  </si>
  <si>
    <t>CT Rail</t>
  </si>
  <si>
    <t>CT Price</t>
  </si>
  <si>
    <t>CT Weight</t>
  </si>
  <si>
    <t>CT Bearing</t>
  </si>
  <si>
    <t>CT Axcle P</t>
  </si>
  <si>
    <t>Wheel Pr</t>
  </si>
  <si>
    <t>Axcle Price</t>
  </si>
  <si>
    <t>LT Dia</t>
  </si>
  <si>
    <t>LT Price</t>
  </si>
  <si>
    <t>LT Weight</t>
  </si>
  <si>
    <t>LT Bearing</t>
  </si>
  <si>
    <t>LT Axcle P</t>
  </si>
  <si>
    <t>60LBS</t>
  </si>
  <si>
    <t>90LBS</t>
  </si>
  <si>
    <t>105LBS</t>
  </si>
  <si>
    <t>Techanical Data Sheet</t>
  </si>
  <si>
    <t>DSL</t>
  </si>
  <si>
    <t>Techno-commercial</t>
  </si>
  <si>
    <t xml:space="preserve">WHEEL ASSEMBLY </t>
  </si>
  <si>
    <t>Client / OWNER:</t>
  </si>
  <si>
    <t>Customer</t>
  </si>
  <si>
    <t>Application</t>
  </si>
  <si>
    <t>Make List</t>
  </si>
  <si>
    <t>SR.NO.</t>
  </si>
  <si>
    <t>MODEL NO.</t>
  </si>
  <si>
    <t>BEARING</t>
  </si>
  <si>
    <t>AXLE BOX</t>
  </si>
  <si>
    <t>WHEEL</t>
  </si>
  <si>
    <t>RAIL</t>
  </si>
  <si>
    <t>Project            :</t>
  </si>
  <si>
    <t>Date:</t>
  </si>
  <si>
    <t>Company</t>
  </si>
  <si>
    <t>WAD-160-08-85-40 SQ.- A</t>
  </si>
  <si>
    <t>Ø80</t>
  </si>
  <si>
    <t>Ø160 X 95</t>
  </si>
  <si>
    <t>40 SQ.</t>
  </si>
  <si>
    <t>Qty                 :</t>
  </si>
  <si>
    <t>Capacity : MH/AH (T) :</t>
  </si>
  <si>
    <t>Crane Type</t>
  </si>
  <si>
    <t>WAD-160-08-85-30 lbs.- A</t>
  </si>
  <si>
    <t>(OD 80 X ID 40 X 23)</t>
  </si>
  <si>
    <t>30 lbs.</t>
  </si>
  <si>
    <t>Crane Type      :</t>
  </si>
  <si>
    <t>Height of Lift : MH/AH :</t>
  </si>
  <si>
    <t>Bay</t>
  </si>
  <si>
    <t>Crane Location</t>
  </si>
  <si>
    <t>:-</t>
  </si>
  <si>
    <t>Price Sheet</t>
  </si>
  <si>
    <t>Span               :</t>
  </si>
  <si>
    <t>Mtr</t>
  </si>
  <si>
    <t>Design Std                :</t>
  </si>
  <si>
    <t>Eff. Bay minus</t>
  </si>
  <si>
    <t>Capacity of M.H.</t>
  </si>
  <si>
    <t>Brake (MH) : -</t>
  </si>
  <si>
    <t>WAD-200-10-95-50 SQ- A</t>
  </si>
  <si>
    <t>Ø90</t>
  </si>
  <si>
    <t>Ø200 X 100</t>
  </si>
  <si>
    <t>50 SQ.</t>
  </si>
  <si>
    <t>Bay Length      :</t>
  </si>
  <si>
    <t>Temperature</t>
  </si>
  <si>
    <t>Material Cost</t>
  </si>
  <si>
    <t>Mark Up</t>
  </si>
  <si>
    <t>Quated Price</t>
  </si>
  <si>
    <t>Brake (CT) : -</t>
  </si>
  <si>
    <t>Class              :</t>
  </si>
  <si>
    <t>Crane</t>
  </si>
  <si>
    <t>Span</t>
  </si>
  <si>
    <t>Motor  : -</t>
  </si>
  <si>
    <t>WAD-200-10-95-40 SQ- A</t>
  </si>
  <si>
    <t>(OD 90 X ID 50 X 23)</t>
  </si>
  <si>
    <t>Amb Temp      :</t>
  </si>
  <si>
    <t xml:space="preserve">Independent T Track   :             </t>
  </si>
  <si>
    <t>YES</t>
  </si>
  <si>
    <t>M.H Height of Lift</t>
  </si>
  <si>
    <t>WAD-200-10-95-30 lbs.- A</t>
  </si>
  <si>
    <t>Wt of Crane     :</t>
  </si>
  <si>
    <t xml:space="preserve">T </t>
  </si>
  <si>
    <t xml:space="preserve">LT Drive                     :                </t>
  </si>
  <si>
    <t>Bay Lenght</t>
  </si>
  <si>
    <t>Rail Price/Mtr (2 side)</t>
  </si>
  <si>
    <t>Drage Chain : -</t>
  </si>
  <si>
    <t>Wt of Crab      :</t>
  </si>
  <si>
    <t xml:space="preserve">Location                    :                </t>
  </si>
  <si>
    <t>Design Standard</t>
  </si>
  <si>
    <t>VVVF Drive : -</t>
  </si>
  <si>
    <t>WAD-200-12-105-60 lbs.- A</t>
  </si>
  <si>
    <t>Ø100</t>
  </si>
  <si>
    <t>Ø200 X 120</t>
  </si>
  <si>
    <t>60 lbs.</t>
  </si>
  <si>
    <t xml:space="preserve">MH ---Cdf = </t>
  </si>
  <si>
    <t xml:space="preserve">E     =  </t>
  </si>
  <si>
    <t>Cdf (LT &amp;CT) =</t>
  </si>
  <si>
    <t xml:space="preserve">Duty Class of Crane </t>
  </si>
  <si>
    <t>Wire Rope : -</t>
  </si>
  <si>
    <t>WAD-200-12-105-90 lbs.- A</t>
  </si>
  <si>
    <t>(OD 110 X ID0 60 X 28)</t>
  </si>
  <si>
    <t>90 lbs.</t>
  </si>
  <si>
    <t xml:space="preserve">AH ---Cdf = </t>
  </si>
  <si>
    <t>S (LT &amp; CT) =</t>
  </si>
  <si>
    <t>S</t>
  </si>
  <si>
    <t xml:space="preserve">Ambient Temperature </t>
  </si>
  <si>
    <t>Hook  : -</t>
  </si>
  <si>
    <t>WAD-200-12-105-105 lbs.- A</t>
  </si>
  <si>
    <t>105 lbs.</t>
  </si>
  <si>
    <t>Perticulars</t>
  </si>
  <si>
    <t>Main Hoist</t>
  </si>
  <si>
    <t>Acceleration cm/sec2</t>
  </si>
  <si>
    <t>Qt  AH</t>
  </si>
  <si>
    <t>Main Power Supply</t>
  </si>
  <si>
    <t>AC 415V ±10%, 50Hz ± 5%, 3Phase</t>
  </si>
  <si>
    <t>Bearing  : -</t>
  </si>
  <si>
    <t>Qt  CT</t>
  </si>
  <si>
    <t>Control Voltage</t>
  </si>
  <si>
    <t>110V AC</t>
  </si>
  <si>
    <t>Coupling : -</t>
  </si>
  <si>
    <t>WAD-250-12-95-50 SQ.- A</t>
  </si>
  <si>
    <t>Ø110</t>
  </si>
  <si>
    <t xml:space="preserve">Ø250 X 100 </t>
  </si>
  <si>
    <t>Main Speed M/Min</t>
  </si>
  <si>
    <t>Qt  LT</t>
  </si>
  <si>
    <t xml:space="preserve">Travel Length </t>
  </si>
  <si>
    <t>Paint : -</t>
  </si>
  <si>
    <t>WAD-250-12-95-40 SQ. - A</t>
  </si>
  <si>
    <t>(OD 110 X ID 60 X 28)</t>
  </si>
  <si>
    <t>Limit Switch : -</t>
  </si>
  <si>
    <t>WAD-250-12-95-30 lbs.- A</t>
  </si>
  <si>
    <t>Mech KW PMech</t>
  </si>
  <si>
    <t>KW Reqd</t>
  </si>
  <si>
    <t>KW Rated</t>
  </si>
  <si>
    <t>WAD-250-14-105-40 SQ.- A</t>
  </si>
  <si>
    <t>Ø125</t>
  </si>
  <si>
    <t>Ø250 X 100</t>
  </si>
  <si>
    <t>FRAME Size</t>
  </si>
  <si>
    <t>WAD-250-14-105-50 SQ.- A</t>
  </si>
  <si>
    <t>(OD 125 X  ID 70 X 31)</t>
  </si>
  <si>
    <t>No of poles</t>
  </si>
  <si>
    <t xml:space="preserve">  MAIN HOIST</t>
  </si>
  <si>
    <t>CROSS  TRAVEL</t>
  </si>
  <si>
    <t>LONG TRAVEL</t>
  </si>
  <si>
    <t>Main Speed</t>
  </si>
  <si>
    <t>m/min.</t>
  </si>
  <si>
    <t>WAD-250-14-105-30 lbs.- A</t>
  </si>
  <si>
    <t>Enclousure</t>
  </si>
  <si>
    <t>WAD-250-14-105-60 lbs.- A</t>
  </si>
  <si>
    <t>Ø250 X 120</t>
  </si>
  <si>
    <t>Protection</t>
  </si>
  <si>
    <t>WAD-250-14-105-90 lbs.- A</t>
  </si>
  <si>
    <t>CDF% / St/Hr</t>
  </si>
  <si>
    <t>CDF%/St/Hr</t>
  </si>
  <si>
    <t>kW</t>
  </si>
  <si>
    <t>WAD-250-14-105-105 lbs.- A</t>
  </si>
  <si>
    <t>Brake</t>
  </si>
  <si>
    <t>No. of Poles</t>
  </si>
  <si>
    <t>Torque Reqd  in NM</t>
  </si>
  <si>
    <t>Speed (@ 50Hz)</t>
  </si>
  <si>
    <t>WAD–320-14-105- 40 SQ.- A</t>
  </si>
  <si>
    <t>Ø320 X 115 THK</t>
  </si>
  <si>
    <t>Torque Rated in NM</t>
  </si>
  <si>
    <t>Cyclic Duration  Factor</t>
  </si>
  <si>
    <t>WAD –320-14-105- 50 SQ.- A</t>
  </si>
  <si>
    <t>Qty.</t>
  </si>
  <si>
    <t>No. of Starts/ Hr.</t>
  </si>
  <si>
    <t>WAD–320-14-105- 30 lbs.- A</t>
  </si>
  <si>
    <t>Diameter in mm</t>
  </si>
  <si>
    <t>Dia in mm</t>
  </si>
  <si>
    <t>Insulation</t>
  </si>
  <si>
    <t>WAD–320-14-105- 60 lbs.- A</t>
  </si>
  <si>
    <t>Ø320 X 130 THK</t>
  </si>
  <si>
    <t>Gear Box</t>
  </si>
  <si>
    <t>Helical</t>
  </si>
  <si>
    <t>Enclosure</t>
  </si>
  <si>
    <t>WAD–320-14-105- 90 lbs. - A</t>
  </si>
  <si>
    <t>Degree of Protection</t>
  </si>
  <si>
    <t>WAD–320-14-105- 105 lbs.- A</t>
  </si>
  <si>
    <t>Selected ratio</t>
  </si>
  <si>
    <t>Number</t>
  </si>
  <si>
    <t>Head Room Calculation</t>
  </si>
  <si>
    <t>WAD–320-16-105- 40 SQ.- A</t>
  </si>
  <si>
    <t>Ø140</t>
  </si>
  <si>
    <t>LT Rail Ht.</t>
  </si>
  <si>
    <t>Stool</t>
  </si>
  <si>
    <t>WAD –320-16-105- 50 SQ.- A</t>
  </si>
  <si>
    <t>(O.D140XID80 X 33)</t>
  </si>
  <si>
    <t>Gear Box Ht.</t>
  </si>
  <si>
    <t>Mounting</t>
  </si>
  <si>
    <t>WAD–320-16-105- 30 lbs.- A</t>
  </si>
  <si>
    <t>No of Falls</t>
  </si>
  <si>
    <t>No of Wheel</t>
  </si>
  <si>
    <t>End Carriage</t>
  </si>
  <si>
    <t>Hand railing</t>
  </si>
  <si>
    <t>WAD–320-16-105- 60 lbs.- A</t>
  </si>
  <si>
    <t>Rope</t>
  </si>
  <si>
    <t>Wheel Type</t>
  </si>
  <si>
    <t>Forged</t>
  </si>
  <si>
    <t>Girder Ht.</t>
  </si>
  <si>
    <t>WAD–320-16-105- 90 lbs. - A</t>
  </si>
  <si>
    <t>Breaking T Req</t>
  </si>
  <si>
    <t>Wheel Load</t>
  </si>
  <si>
    <t>CT Rail Ht.</t>
  </si>
  <si>
    <t>WAD–320-16-105-105 lbs.- A</t>
  </si>
  <si>
    <t>Breaking T Rat</t>
  </si>
  <si>
    <t>Hook Approach</t>
  </si>
  <si>
    <t>Mean</t>
  </si>
  <si>
    <t>Dia of rope</t>
  </si>
  <si>
    <t>Max</t>
  </si>
  <si>
    <t xml:space="preserve">Size (Dia.) </t>
  </si>
  <si>
    <t>WAD-320-18-125-80 CR-A</t>
  </si>
  <si>
    <t>Ø160</t>
  </si>
  <si>
    <t>Ø320 X 150 THK</t>
  </si>
  <si>
    <t>80 CR.</t>
  </si>
  <si>
    <t>Rope Length</t>
  </si>
  <si>
    <t>in ,mtr</t>
  </si>
  <si>
    <t>Limit Switch</t>
  </si>
  <si>
    <t>WAD-320-18-125- 90 lbs. - A</t>
  </si>
  <si>
    <t>(O.D160XID90 X40)</t>
  </si>
  <si>
    <t>F.O.S (for Rope)</t>
  </si>
  <si>
    <t>WAD-320-18-125- 105 lbs. - A</t>
  </si>
  <si>
    <t>Hook Type</t>
  </si>
  <si>
    <t>Rail Top Width- mm</t>
  </si>
  <si>
    <t>Flexible Type</t>
  </si>
  <si>
    <t>WAD–400-16-115- 40 SQ.- A</t>
  </si>
  <si>
    <t>Ø400X 115 THK</t>
  </si>
  <si>
    <t xml:space="preserve">Type </t>
  </si>
  <si>
    <t>WAD–400-16-115- 50 SQ.- A</t>
  </si>
  <si>
    <t>(O.D140XID80 X33)</t>
  </si>
  <si>
    <t>Main Pulley</t>
  </si>
  <si>
    <t>Wheel Assy.</t>
  </si>
  <si>
    <t>WAD–400-16-115- 60lbs.- A</t>
  </si>
  <si>
    <t xml:space="preserve">Selected </t>
  </si>
  <si>
    <t>Wire Rope</t>
  </si>
  <si>
    <t>WAD–400-16-115- 90 lbs. - A</t>
  </si>
  <si>
    <t>Ø400 X 130 THK</t>
  </si>
  <si>
    <t>Dia.</t>
  </si>
  <si>
    <t>N.A</t>
  </si>
  <si>
    <t>WAD–400-16-115-105 lbs.- A</t>
  </si>
  <si>
    <t>Eq Pulley</t>
  </si>
  <si>
    <t>AxleBox</t>
  </si>
  <si>
    <t>No. of Falls</t>
  </si>
  <si>
    <t>WAD–400-18-115- 40 SQ.- A</t>
  </si>
  <si>
    <t>WAD–400-18-115- 50 SQ.- A</t>
  </si>
  <si>
    <t>Factor of Safety</t>
  </si>
  <si>
    <t>WAD–400-18-115- 60lbs.- A</t>
  </si>
  <si>
    <t>Factors for Wheel Tread dia. Calculation</t>
  </si>
  <si>
    <t>WAD–400-18-115- 90 lbs. - A</t>
  </si>
  <si>
    <t>Factors</t>
  </si>
  <si>
    <t>For CT</t>
  </si>
  <si>
    <t>For LT</t>
  </si>
  <si>
    <t>Travel</t>
  </si>
  <si>
    <t>WAD–400-18-115-105 lbs.- A</t>
  </si>
  <si>
    <t>Selected Dia</t>
  </si>
  <si>
    <t>Csf</t>
  </si>
  <si>
    <t>No. of Wheels</t>
  </si>
  <si>
    <t>Type :</t>
  </si>
  <si>
    <t>Wheel Dia.</t>
  </si>
  <si>
    <t>WAD-400-20-140- 80 CR. - A</t>
  </si>
  <si>
    <t>Ø180</t>
  </si>
  <si>
    <t>Ø400 X 150 THK</t>
  </si>
  <si>
    <t>Csp</t>
  </si>
  <si>
    <t>Wheel Material</t>
  </si>
  <si>
    <t>WAD-400-20-140- 90 lbs. - A</t>
  </si>
  <si>
    <t>(O.D180XID100 X46)</t>
  </si>
  <si>
    <t>Wheel Hardness</t>
  </si>
  <si>
    <t>BHN</t>
  </si>
  <si>
    <t>WAD-400-20-140-105 lbs-A</t>
  </si>
  <si>
    <t>L/D RATIO</t>
  </si>
  <si>
    <t>Shaft dia</t>
  </si>
  <si>
    <t>General</t>
  </si>
  <si>
    <t>SL No</t>
  </si>
  <si>
    <t>Additional Features</t>
  </si>
  <si>
    <t>Weight of Crane</t>
  </si>
  <si>
    <t>WAD-400-22-150-80 CR-A</t>
  </si>
  <si>
    <t>Ø200</t>
  </si>
  <si>
    <t>Platform</t>
  </si>
  <si>
    <t>Wheel Load (max) w/o impact</t>
  </si>
  <si>
    <t>Crane Light</t>
  </si>
  <si>
    <t>Platform/Walkway</t>
  </si>
  <si>
    <t>WAD-630-26-165- 80 CR. - A</t>
  </si>
  <si>
    <t>Ø230</t>
  </si>
  <si>
    <t>Ø630 X 160 THK</t>
  </si>
  <si>
    <t>Resistance Box</t>
  </si>
  <si>
    <t>Painting</t>
  </si>
  <si>
    <t>WAD-630-26-165-100 CR- A</t>
  </si>
  <si>
    <t>(O.D230XID130 X64)</t>
  </si>
  <si>
    <t>Ø630 X 180 THK</t>
  </si>
  <si>
    <t>100 CR.</t>
  </si>
  <si>
    <t>Plugging</t>
  </si>
  <si>
    <t>Lubrication</t>
  </si>
  <si>
    <t>Antidrop</t>
  </si>
  <si>
    <t>WAD-630-28-160- 60 lbs. - A</t>
  </si>
  <si>
    <t>Ø250</t>
  </si>
  <si>
    <t>Ø630 X 150THK</t>
  </si>
  <si>
    <t>Sand Blasting</t>
  </si>
  <si>
    <t>Cross Travel Power Feeding</t>
  </si>
  <si>
    <t>WAD-630-28-160- 90 lbs. - A</t>
  </si>
  <si>
    <t>(O.D250XID140 X68)</t>
  </si>
  <si>
    <t>Ø630 X 150 THK</t>
  </si>
  <si>
    <t>Two coat of epoxy primer &amp; two coat of epoxy paint</t>
  </si>
  <si>
    <t>Wheels &amp; Pulleys: Local point type; Gearboxes: Splash type</t>
  </si>
  <si>
    <t xml:space="preserve">Two Coat of Red Oxide &amp; Two coat of Synthetic Enamel </t>
  </si>
  <si>
    <t>WAD-710-28-165- 80 CR. - A</t>
  </si>
  <si>
    <t>Ø710 X 170THK</t>
  </si>
  <si>
    <t>Group grease Lubrication Manual with Hand operated grease gun</t>
  </si>
  <si>
    <t>Note:</t>
  </si>
  <si>
    <t>WAD-710-28-165- 100 CR- A</t>
  </si>
  <si>
    <t>Ø710 X 190THK</t>
  </si>
  <si>
    <t>Main Girder Section</t>
  </si>
  <si>
    <t>Width</t>
  </si>
  <si>
    <t>Top</t>
  </si>
  <si>
    <t>1) The technical data mentioned above are indicative only, which may change during detail design &amp; engineering.</t>
  </si>
  <si>
    <t>Depth</t>
  </si>
  <si>
    <t>Bottom</t>
  </si>
  <si>
    <t>Web</t>
  </si>
  <si>
    <t>Kg/ mtr</t>
  </si>
  <si>
    <t>DSL -</t>
  </si>
  <si>
    <t>Bay length</t>
  </si>
  <si>
    <t xml:space="preserve">CT Rail  </t>
  </si>
  <si>
    <t xml:space="preserve">Weight </t>
  </si>
  <si>
    <t>Kg/Mtr</t>
  </si>
  <si>
    <t xml:space="preserve">    Prepared By :</t>
  </si>
  <si>
    <t>1)</t>
  </si>
  <si>
    <t>2)</t>
  </si>
  <si>
    <t>Wind load</t>
  </si>
  <si>
    <t>3)</t>
  </si>
  <si>
    <t>4)</t>
  </si>
  <si>
    <t>Wheel Size</t>
  </si>
  <si>
    <t>5)</t>
  </si>
  <si>
    <t>Upper Pully</t>
  </si>
  <si>
    <t>Wh Selection</t>
  </si>
  <si>
    <t>6)</t>
  </si>
  <si>
    <t>EQ Pulley</t>
  </si>
  <si>
    <t>Hook &amp; B</t>
  </si>
  <si>
    <t>7)</t>
  </si>
  <si>
    <t>8)</t>
  </si>
  <si>
    <t>GB M RPM</t>
  </si>
  <si>
    <t>Mechanism :-</t>
  </si>
  <si>
    <t>9)</t>
  </si>
  <si>
    <t>GB Ratio</t>
  </si>
  <si>
    <t>10)</t>
  </si>
  <si>
    <t>11)</t>
  </si>
  <si>
    <t xml:space="preserve">Req  HP / KW </t>
  </si>
  <si>
    <t>12)</t>
  </si>
  <si>
    <t xml:space="preserve">Sel.  HP / KW </t>
  </si>
  <si>
    <t>13)</t>
  </si>
  <si>
    <t>14)</t>
  </si>
  <si>
    <t>Rev No:-</t>
  </si>
  <si>
    <t>GENERAL DATA:-</t>
  </si>
  <si>
    <t>Client:-</t>
  </si>
  <si>
    <t>MH Speed:-</t>
  </si>
  <si>
    <t>Crane Description</t>
  </si>
  <si>
    <t>LT Speed:-</t>
  </si>
  <si>
    <t>AS PER IS:807:2006</t>
  </si>
  <si>
    <t>Reference  No.: -</t>
  </si>
  <si>
    <t>Lift:-</t>
  </si>
  <si>
    <t>DUTY Factor</t>
  </si>
  <si>
    <t xml:space="preserve">Crane Span   :     </t>
  </si>
  <si>
    <t>Cm</t>
  </si>
  <si>
    <t>BPB</t>
  </si>
  <si>
    <t>Date:-</t>
  </si>
  <si>
    <t xml:space="preserve">Crane Capacity + BPB Wt. :      </t>
  </si>
  <si>
    <t>Duty factor according ..... :</t>
  </si>
  <si>
    <t xml:space="preserve">Crane Span.:     </t>
  </si>
  <si>
    <t>Impact factor for class :</t>
  </si>
  <si>
    <t>Assume</t>
  </si>
  <si>
    <t>Diff</t>
  </si>
  <si>
    <t xml:space="preserve">Crane Capacity.:      </t>
  </si>
  <si>
    <t>Weight of Crab :</t>
  </si>
  <si>
    <t>Duty factor according to IS:807:2006 for class</t>
  </si>
  <si>
    <t>Distance between crab wheels.:</t>
  </si>
  <si>
    <t>Impact factor for class.:</t>
  </si>
  <si>
    <t>No. of CT Wheels.:</t>
  </si>
  <si>
    <t>Nos</t>
  </si>
  <si>
    <t>Weight of Crab.:</t>
  </si>
  <si>
    <t>Minimum dist. Of hook from L.H.S.:</t>
  </si>
  <si>
    <t>C.T Rail Height</t>
  </si>
  <si>
    <t>NO OF Wheels.:</t>
  </si>
  <si>
    <t>No. of LT Wheels.:</t>
  </si>
  <si>
    <t>Minimum dist Of hook from LHS :</t>
  </si>
  <si>
    <t>H (cm)</t>
  </si>
  <si>
    <t>Top width(mm)</t>
  </si>
  <si>
    <t>C.T Rail Height.:</t>
  </si>
  <si>
    <t>Extra</t>
  </si>
  <si>
    <t>Panel</t>
  </si>
  <si>
    <t>LT M</t>
  </si>
  <si>
    <t>Misc Ass</t>
  </si>
  <si>
    <t>Tolal</t>
  </si>
  <si>
    <t>NO Of Wheels of LT:</t>
  </si>
  <si>
    <t>Weight of (Lt Mechanism, Control Panel &amp; accessorie)</t>
  </si>
  <si>
    <t>DEAD LOAD (D.L.).:</t>
  </si>
  <si>
    <t xml:space="preserve">Self Weight of Platform. = </t>
  </si>
  <si>
    <t>kg/m</t>
  </si>
  <si>
    <t>POINT LOAD</t>
  </si>
  <si>
    <t xml:space="preserve">Appliction </t>
  </si>
  <si>
    <t>Weight of Lt Mechanism, Control Panel &amp; accessories=</t>
  </si>
  <si>
    <t>CRANE LOADS</t>
  </si>
  <si>
    <t>Wt of crab =</t>
  </si>
  <si>
    <t>Lifted Load</t>
  </si>
  <si>
    <t>A-100</t>
  </si>
  <si>
    <t>A-120</t>
  </si>
  <si>
    <t>Min allow</t>
  </si>
  <si>
    <t>WIDTH</t>
  </si>
  <si>
    <t>Cm.</t>
  </si>
  <si>
    <t>A-75</t>
  </si>
  <si>
    <t>HEIGHT</t>
  </si>
  <si>
    <t>Y c</t>
  </si>
  <si>
    <t>TOP TH.</t>
  </si>
  <si>
    <t>L/H &lt;=18</t>
  </si>
  <si>
    <t>BO. TH</t>
  </si>
  <si>
    <t>L/B &lt;=60</t>
  </si>
  <si>
    <t>WEB TH.</t>
  </si>
  <si>
    <t>B/C &lt;=60</t>
  </si>
  <si>
    <t>37,41,49,61,71,74,82</t>
  </si>
  <si>
    <t>Y t</t>
  </si>
  <si>
    <t>WEB.HG.</t>
  </si>
  <si>
    <t>H/B &lt;=3.5</t>
  </si>
  <si>
    <t>74,99,122,125,150,180,210,250</t>
  </si>
  <si>
    <t>THK</t>
  </si>
  <si>
    <t>0.6,0.8,1.0,1.2,1.6,2,2.5,3.2</t>
  </si>
  <si>
    <t xml:space="preserve">Check Following Point for Box Girder </t>
  </si>
  <si>
    <t>Wt.with Ver.stiffner</t>
  </si>
  <si>
    <t>Dist bet.  centre line of Girder &amp; centre of platform</t>
  </si>
  <si>
    <t>L1 =</t>
  </si>
  <si>
    <t>Actual value</t>
  </si>
  <si>
    <t>END DIST</t>
  </si>
  <si>
    <t>MM</t>
  </si>
  <si>
    <t>Allowable value</t>
  </si>
  <si>
    <t>H/T &lt;=250</t>
  </si>
  <si>
    <t>RESULTS:</t>
  </si>
  <si>
    <t>C to Web&lt;=16</t>
  </si>
  <si>
    <t>Axial + Bending=</t>
  </si>
  <si>
    <t>kg/cm2</t>
  </si>
  <si>
    <t>DEFLECTION  =</t>
  </si>
  <si>
    <t>without self wt.</t>
  </si>
  <si>
    <t>Shear+Torsional  =</t>
  </si>
  <si>
    <t>&lt;1000</t>
  </si>
  <si>
    <t>MAXIMUM    =</t>
  </si>
  <si>
    <t>span/1000</t>
  </si>
  <si>
    <t>Combined        =</t>
  </si>
  <si>
    <t>&lt;2250</t>
  </si>
  <si>
    <t>ALLOWABLE  =</t>
  </si>
  <si>
    <t>WITH SELF WIT</t>
  </si>
  <si>
    <t>span/900</t>
  </si>
  <si>
    <t>span/750</t>
  </si>
  <si>
    <t>ESTIMATION    SHEET</t>
  </si>
  <si>
    <t>(c) End Carriage</t>
  </si>
  <si>
    <t>(c) Boggie + Tie</t>
  </si>
  <si>
    <t>CUSTOMER            :-</t>
  </si>
  <si>
    <t>Offer No &amp; Date:-</t>
  </si>
  <si>
    <t>Mark Up :-</t>
  </si>
  <si>
    <t>TYPE OF CRANE    :-</t>
  </si>
  <si>
    <t xml:space="preserve">SPEED OF CRANE:-           </t>
  </si>
  <si>
    <t>Main</t>
  </si>
  <si>
    <t>Creep</t>
  </si>
  <si>
    <t>CAPACITY- MH/AH  :-</t>
  </si>
  <si>
    <t>Tonnes</t>
  </si>
  <si>
    <t>Main hoist :-</t>
  </si>
  <si>
    <t>M/MIN</t>
  </si>
  <si>
    <t>SPAN OF CRANE    :-</t>
  </si>
  <si>
    <t>Auxilary Hoist :-</t>
  </si>
  <si>
    <t>HEIGHT OF Lift        :-</t>
  </si>
  <si>
    <t>CT .:-</t>
  </si>
  <si>
    <t>CLASS OF CRANE  :-</t>
  </si>
  <si>
    <t>LT :-</t>
  </si>
  <si>
    <t>LOCATION              :-</t>
  </si>
  <si>
    <t>CT Rail Size-Kg/Mtr  :-</t>
  </si>
  <si>
    <t>CRANE WEIGHT     :-</t>
  </si>
  <si>
    <t>Approx</t>
  </si>
  <si>
    <t>LT Rail Size-Kg/Mtr  : -</t>
  </si>
  <si>
    <t>CRAB WEIGHT     :-</t>
  </si>
  <si>
    <t>Bay Length  : -</t>
  </si>
  <si>
    <t>Metre</t>
  </si>
  <si>
    <t>BOX SECTION:-</t>
  </si>
  <si>
    <t>Box Size:-</t>
  </si>
  <si>
    <t>Thickness:-</t>
  </si>
  <si>
    <t xml:space="preserve">                                                   </t>
  </si>
  <si>
    <t>Widthb :-</t>
  </si>
  <si>
    <t>Top :-</t>
  </si>
  <si>
    <t>Depth :-</t>
  </si>
  <si>
    <t>Bottom :-</t>
  </si>
  <si>
    <t>Web :-</t>
  </si>
  <si>
    <t>Weight  :-</t>
  </si>
  <si>
    <t>CRANE STRUCTURE</t>
  </si>
  <si>
    <t>WEIGHT IN KG.</t>
  </si>
  <si>
    <t>PRICE (RS.)</t>
  </si>
  <si>
    <t>Steel</t>
  </si>
  <si>
    <t>Fab</t>
  </si>
  <si>
    <t>REMARK</t>
  </si>
  <si>
    <t>(a) Box</t>
  </si>
  <si>
    <t>(b) C.T.Rail</t>
  </si>
  <si>
    <t>Actual-Assume</t>
  </si>
  <si>
    <t>(d) TROLLEY STRUCTURE</t>
  </si>
  <si>
    <t>(e) Platform - Checkqurred Plate</t>
  </si>
  <si>
    <t>(f) "T" Track</t>
  </si>
  <si>
    <t>(g) Leg</t>
  </si>
  <si>
    <t>(h) Splice Joint  2 Nos/Girder</t>
  </si>
  <si>
    <t>(h) Mis</t>
  </si>
  <si>
    <t>DSL cage, guard, etc.</t>
  </si>
  <si>
    <t xml:space="preserve">SUB TOTAL </t>
  </si>
  <si>
    <t>LT MECHANISM</t>
  </si>
  <si>
    <t>DISCRIPTION -QTY</t>
  </si>
  <si>
    <t>REV</t>
  </si>
  <si>
    <t>Electrical Motor</t>
  </si>
  <si>
    <t xml:space="preserve">Gear Box / </t>
  </si>
  <si>
    <t>Open Pair</t>
  </si>
  <si>
    <t>Brake drum with coupling</t>
  </si>
  <si>
    <t>Wheel Assembly</t>
  </si>
  <si>
    <t>Forged steel</t>
  </si>
  <si>
    <t>Wheel dia</t>
  </si>
  <si>
    <t>Axle Box &amp; Side cover</t>
  </si>
  <si>
    <t>LT Shaft</t>
  </si>
  <si>
    <t>LT Shaft bearing</t>
  </si>
  <si>
    <t>SUB TOTAL :-</t>
  </si>
  <si>
    <t>MH MECHANISM</t>
  </si>
  <si>
    <t xml:space="preserve">Brake </t>
  </si>
  <si>
    <t>Gear Coupling</t>
  </si>
  <si>
    <t>Rope drum bearing block</t>
  </si>
  <si>
    <t xml:space="preserve">Rope drum bearing </t>
  </si>
  <si>
    <t>Rope drum Shaft</t>
  </si>
  <si>
    <t>Rope drum</t>
  </si>
  <si>
    <t>Rope drum M/C</t>
  </si>
  <si>
    <t>Hook &amp; Nut</t>
  </si>
  <si>
    <t>Hook  bearing</t>
  </si>
  <si>
    <t>Cross Head &amp; Side Cover</t>
  </si>
  <si>
    <t>Machining Remove</t>
  </si>
  <si>
    <t>AH MECHANISM</t>
  </si>
  <si>
    <t>Hook &amp; Nut bearing</t>
  </si>
  <si>
    <t xml:space="preserve">Upper pulley &amp; Bottom pulley </t>
  </si>
  <si>
    <t>Upper &amp; Bottom pulley Bearing</t>
  </si>
  <si>
    <t xml:space="preserve">CT  MECHANISM </t>
  </si>
  <si>
    <t xml:space="preserve">Wheel assembly </t>
  </si>
  <si>
    <t>Forged Steel</t>
  </si>
  <si>
    <t>Bearing size</t>
  </si>
  <si>
    <t>Axle Box &amp; side cover</t>
  </si>
  <si>
    <t>8*16</t>
  </si>
  <si>
    <t>C. T. Shaft</t>
  </si>
  <si>
    <t>CT Shaft bearing</t>
  </si>
  <si>
    <t>Pillow Block / PLUMBER BLOCK</t>
  </si>
  <si>
    <t>Comp- Twin</t>
  </si>
  <si>
    <t>CRAB Wt.=</t>
  </si>
  <si>
    <t>Assume Wt. in Ton</t>
  </si>
  <si>
    <t>Electrical Component</t>
  </si>
  <si>
    <t xml:space="preserve">   </t>
  </si>
  <si>
    <t>Motion</t>
  </si>
  <si>
    <t>Drive</t>
  </si>
  <si>
    <t>Compo</t>
  </si>
  <si>
    <t>Comp</t>
  </si>
  <si>
    <t>For Twin</t>
  </si>
  <si>
    <t>Selecteed</t>
  </si>
  <si>
    <t>Main hoist -KW</t>
  </si>
  <si>
    <t>Auxilary hoist-KW</t>
  </si>
  <si>
    <t>Cross travel-KW</t>
  </si>
  <si>
    <t>Long Travel -KW</t>
  </si>
  <si>
    <t>Main Panel KW</t>
  </si>
  <si>
    <t>Main Panel</t>
  </si>
  <si>
    <t>Panel AC</t>
  </si>
  <si>
    <t>1 No.</t>
  </si>
  <si>
    <t>Price : 1.5L</t>
  </si>
  <si>
    <t>Amp</t>
  </si>
  <si>
    <t>Quntity</t>
  </si>
  <si>
    <t>Electrical Cable</t>
  </si>
  <si>
    <t>Main hoist- KW</t>
  </si>
  <si>
    <t>Main P KW</t>
  </si>
  <si>
    <t>MISC</t>
  </si>
  <si>
    <t>Control cable for Limit switch &amp; P B</t>
  </si>
  <si>
    <t>PANEL</t>
  </si>
  <si>
    <t>Resistance box</t>
  </si>
  <si>
    <t>Main hoist-KW</t>
  </si>
  <si>
    <t>Motor Kw</t>
  </si>
  <si>
    <t>Auxilary Hoist-KW</t>
  </si>
  <si>
    <t>Limit Switch &amp; P.B</t>
  </si>
  <si>
    <t xml:space="preserve">Main hoist </t>
  </si>
  <si>
    <t>Rotary / Gravity</t>
  </si>
  <si>
    <t>SOC/KAKKU MAKE</t>
  </si>
  <si>
    <t xml:space="preserve">Auxilary hoist </t>
  </si>
  <si>
    <t>Cross travel</t>
  </si>
  <si>
    <t>Two way lever</t>
  </si>
  <si>
    <t xml:space="preserve">Long Travel </t>
  </si>
  <si>
    <t>Pandent Push Button</t>
  </si>
  <si>
    <t>Emergency push buttons at 4 corners of crane</t>
  </si>
  <si>
    <t>RRC (Joy Stick type)</t>
  </si>
  <si>
    <t>Safety switch</t>
  </si>
  <si>
    <t>Master Controller</t>
  </si>
  <si>
    <t>Pendant (Push Button type)</t>
  </si>
  <si>
    <t>Cabin</t>
  </si>
  <si>
    <t>Radio Remote Control</t>
  </si>
  <si>
    <t>ACROPOLISH MAKE</t>
  </si>
  <si>
    <t xml:space="preserve">Close Cabin </t>
  </si>
  <si>
    <t>Micro Speed (Planetary GB)</t>
  </si>
  <si>
    <t>Master controller</t>
  </si>
  <si>
    <t>=5500x No of Motion</t>
  </si>
  <si>
    <t xml:space="preserve"> VVVF</t>
  </si>
  <si>
    <t>Cross Travel -KW</t>
  </si>
  <si>
    <t>Other MISC Items</t>
  </si>
  <si>
    <t>4 Nos. HPSV Lamp UBL</t>
  </si>
  <si>
    <t>Paints, Oil, Hardware &amp; Misc</t>
  </si>
  <si>
    <t>Reputed Make</t>
  </si>
  <si>
    <t>Crane Lights</t>
  </si>
  <si>
    <t xml:space="preserve">Cable Trays </t>
  </si>
  <si>
    <t>Cable Trolley for MH &amp; AH</t>
  </si>
  <si>
    <t>Buffer for CT</t>
  </si>
  <si>
    <t>04 Nos</t>
  </si>
  <si>
    <t>Buffer for LT</t>
  </si>
  <si>
    <t>Sand Blasting / Shot Blasting</t>
  </si>
  <si>
    <t>Jacking pads for CT &amp; LT</t>
  </si>
  <si>
    <t>Drag Chain</t>
  </si>
  <si>
    <t>Anti collission switch</t>
  </si>
  <si>
    <t>Tandem Operation features</t>
  </si>
  <si>
    <t>Isolator Switch &amp; Cable</t>
  </si>
  <si>
    <t>Current Collector</t>
  </si>
  <si>
    <t>T Max Load</t>
  </si>
  <si>
    <t>Tools &amp; tackles</t>
  </si>
  <si>
    <t>Commisioning spares</t>
  </si>
  <si>
    <t>Splice joint Hardware</t>
  </si>
  <si>
    <t>Seaworthy Packing</t>
  </si>
  <si>
    <t>5% of M Cost</t>
  </si>
  <si>
    <t>Earthing /Packing /Inspection</t>
  </si>
  <si>
    <t>Misc</t>
  </si>
  <si>
    <t>ESTIMATION SHEET FOR PRICE</t>
  </si>
  <si>
    <t>Eel-Comp</t>
  </si>
  <si>
    <t>Ele-Cable</t>
  </si>
  <si>
    <t>Res-Box</t>
  </si>
  <si>
    <t>L-PPB-C</t>
  </si>
  <si>
    <t>Micro</t>
  </si>
  <si>
    <t>Total</t>
  </si>
  <si>
    <t>Steel/Misc</t>
  </si>
  <si>
    <t>LT Mech</t>
  </si>
  <si>
    <t>MH Mech</t>
  </si>
  <si>
    <t>AH Mech</t>
  </si>
  <si>
    <t>CT Mech</t>
  </si>
  <si>
    <t>BRAKE UP</t>
  </si>
  <si>
    <t>Grand Total</t>
  </si>
  <si>
    <t xml:space="preserve">Grand TOTAL :-     </t>
  </si>
  <si>
    <t>Crane Qt.</t>
  </si>
  <si>
    <t>Quoted Value:-</t>
  </si>
  <si>
    <t>Mark-up:</t>
  </si>
  <si>
    <t>Rs/KGM</t>
  </si>
  <si>
    <t>Total G P :-</t>
  </si>
  <si>
    <t>Crane Wts</t>
  </si>
  <si>
    <t>Assume Wt. In Ton.</t>
  </si>
  <si>
    <t>PREPARED BY :</t>
  </si>
  <si>
    <t>(A) Paint Area of Girder :</t>
  </si>
  <si>
    <t>(4 x Width x Span) + (4 x Height x Span) + (4 x width x height)</t>
  </si>
  <si>
    <t>Span =</t>
  </si>
  <si>
    <t>Total Area (A)</t>
  </si>
  <si>
    <t>Sq Mtr</t>
  </si>
  <si>
    <t>(B) Paint Area of Crab:</t>
  </si>
  <si>
    <t>[{(Length of rope drum)^2 +1000}*2]</t>
  </si>
  <si>
    <t>Length of rope drum:</t>
  </si>
  <si>
    <t>Total Area (B)</t>
  </si>
  <si>
    <t>(C) Paint Area of platform:</t>
  </si>
  <si>
    <t>Width of platform:</t>
  </si>
  <si>
    <t>Span:</t>
  </si>
  <si>
    <t>Total Area (C)</t>
  </si>
  <si>
    <t>(D) Paint area of end carriage:</t>
  </si>
  <si>
    <t>[(width x span/5 x 2) + (Height x span/5 x 2)] x 2</t>
  </si>
  <si>
    <t>Span=</t>
  </si>
  <si>
    <t xml:space="preserve">Wheel dia= </t>
  </si>
  <si>
    <t>Wheel width=</t>
  </si>
  <si>
    <t>Width=</t>
  </si>
  <si>
    <t>Height=</t>
  </si>
  <si>
    <t>Total Area (D)</t>
  </si>
  <si>
    <t>(E) Paint area of Leg both fixed &amp; pin joint slide &amp; bottom support &amp; tie support:</t>
  </si>
  <si>
    <t>Rs.</t>
  </si>
  <si>
    <t>SPRING BUFFER CALCALATION</t>
  </si>
  <si>
    <t>A</t>
  </si>
  <si>
    <t>CROSS TRAVEL ( Traverse)</t>
  </si>
  <si>
    <t>Total Weight of Trolley =</t>
  </si>
  <si>
    <t>Kg.</t>
  </si>
  <si>
    <t>M = SWL + Total weight of Trolley</t>
  </si>
  <si>
    <t xml:space="preserve">Rated Speed = </t>
  </si>
  <si>
    <t xml:space="preserve">Design Speed (50 % of Rated Speed) = </t>
  </si>
  <si>
    <t>V = Design Speed in m/sec. =</t>
  </si>
  <si>
    <t>m/sec.</t>
  </si>
  <si>
    <t>g = gravity force =</t>
  </si>
  <si>
    <t>m/sec^2.</t>
  </si>
  <si>
    <t xml:space="preserve">Hence Kinetic energy  to be absorbed = </t>
  </si>
  <si>
    <t>M * ( V )^2</t>
  </si>
  <si>
    <t>Catalog Code</t>
  </si>
  <si>
    <t>Kinetic Energy – Kg.m</t>
  </si>
  <si>
    <t>Compression Distance</t>
  </si>
  <si>
    <t>Area</t>
  </si>
  <si>
    <t>Price for Buffer</t>
  </si>
  <si>
    <t>2 * g</t>
  </si>
  <si>
    <t>Kg-m.</t>
  </si>
  <si>
    <t>RSB 1</t>
  </si>
  <si>
    <t>RSB 2</t>
  </si>
  <si>
    <t>This kinetic energy is absorbed by two buffer on each side, Hence buffer is selected for</t>
  </si>
  <si>
    <t>RSB 3</t>
  </si>
  <si>
    <t>RSB 4</t>
  </si>
  <si>
    <t>Kinetic Energy P =</t>
  </si>
  <si>
    <t>Kg-m</t>
  </si>
  <si>
    <t>RSB 5</t>
  </si>
  <si>
    <t>RSB 6</t>
  </si>
  <si>
    <t>Kg-Cm</t>
  </si>
  <si>
    <t>RSB 7</t>
  </si>
  <si>
    <t xml:space="preserve">Compression distance = </t>
  </si>
  <si>
    <t xml:space="preserve">Force on each Buffer = </t>
  </si>
  <si>
    <t>P</t>
  </si>
  <si>
    <t>Compression distance in mtr .</t>
  </si>
  <si>
    <t>ACTUAL</t>
  </si>
  <si>
    <t>REQUIRED</t>
  </si>
  <si>
    <t>Kg.m</t>
  </si>
  <si>
    <t>&gt;</t>
  </si>
  <si>
    <t>Price =</t>
  </si>
  <si>
    <t>Rs./ PCs</t>
  </si>
  <si>
    <t>B</t>
  </si>
  <si>
    <t>LONG TRAVEL ( Traveling)</t>
  </si>
  <si>
    <t>Total Weight of Crane =</t>
  </si>
  <si>
    <t>M = SWL + Total weight of Crane</t>
  </si>
  <si>
    <t>Compression distance in mtr</t>
  </si>
  <si>
    <t>STRUCTURAL DESIGN</t>
  </si>
  <si>
    <t>CALCULATION</t>
  </si>
  <si>
    <t>:</t>
  </si>
  <si>
    <t>Inquiry no</t>
  </si>
  <si>
    <t>Ref. No</t>
  </si>
  <si>
    <t>DATE:</t>
  </si>
  <si>
    <t>1. BASIS OF DESIGN</t>
  </si>
  <si>
    <t>2. BASIC DATA</t>
  </si>
  <si>
    <t>3. LOAD CALCULATIONS FOR MAIN GIRDER</t>
  </si>
  <si>
    <t>4. LOAD COMBINATIONS</t>
  </si>
  <si>
    <t>5. PHYSICAL PROPERTIES OF MAIN GIRDER</t>
  </si>
  <si>
    <t>6. ANALYSIS AND PROPERTIES  OF MAIN GIRDER.</t>
  </si>
  <si>
    <t>7. DEFLECTION CHECK</t>
  </si>
  <si>
    <t>8. CAMBER CALCULATION</t>
  </si>
  <si>
    <t>1.    BASIS OF DESIGN:</t>
  </si>
  <si>
    <t>1.1  IS:800-1984 CODE OF PRACTICE FOR GENERAL BUILDING IN STEEL</t>
  </si>
  <si>
    <t xml:space="preserve"> 1.2  IS:807-1976 CODE OF PRACTICE FOR DESIGN ,MANUFACTURE,ERECTION AND </t>
  </si>
  <si>
    <t xml:space="preserve">        TESTING(STRUCTURAL PORTION)</t>
  </si>
  <si>
    <t>1.3   STRUCTURAL MATERIAL IS 2062, st42, yst(typ)</t>
  </si>
  <si>
    <t xml:space="preserve">Reference  No      :  </t>
  </si>
  <si>
    <t xml:space="preserve">Crane Span          :     </t>
  </si>
  <si>
    <t xml:space="preserve">Crane Capacity:      </t>
  </si>
  <si>
    <t>Impact Factor for Class</t>
  </si>
  <si>
    <t>Weight of Crab:</t>
  </si>
  <si>
    <t>2.4.1</t>
  </si>
  <si>
    <t>NO . OF Wheels.:</t>
  </si>
  <si>
    <t>Minimum dist. Of hook from L.H.S. :</t>
  </si>
  <si>
    <t>NO Of Wheels of L.T.:</t>
  </si>
  <si>
    <t>2.1.0</t>
  </si>
  <si>
    <t>Structure Material , IS- 2062 / 226, St.- 42</t>
  </si>
  <si>
    <t>Permissible Stresses</t>
  </si>
  <si>
    <t xml:space="preserve">TENSION/COMP.        </t>
  </si>
  <si>
    <t xml:space="preserve">SHEAR   </t>
  </si>
  <si>
    <t xml:space="preserve">COMBINED </t>
  </si>
  <si>
    <t>LOAD CALCULATION FOR MAIN GIRDER:</t>
  </si>
  <si>
    <t xml:space="preserve"> DEAD LOAD (D.L.)</t>
  </si>
  <si>
    <t>3.1.1</t>
  </si>
  <si>
    <t xml:space="preserve">Self  Weight of Main Girder=  </t>
  </si>
  <si>
    <t>3.1.2</t>
  </si>
  <si>
    <t>3.1.3</t>
  </si>
  <si>
    <t>3.1.3.1</t>
  </si>
  <si>
    <t>3.2.1</t>
  </si>
  <si>
    <t>Load / Wheel =</t>
  </si>
  <si>
    <t>3.2.2</t>
  </si>
  <si>
    <t>3.2.2.1</t>
  </si>
  <si>
    <t xml:space="preserve">Without Impact </t>
  </si>
  <si>
    <t>Load/Wheel on drive side = 60 % of Lifted load/2 + Wt of crab /4</t>
  </si>
  <si>
    <t>Load/Wheel on non drive side = 40 % of Lifted load/2 + Wt of crab /4</t>
  </si>
  <si>
    <t>3.2.2.2</t>
  </si>
  <si>
    <t>With  Impact</t>
  </si>
  <si>
    <t>Impact factor</t>
  </si>
  <si>
    <t>Load/Wheel on drive side =</t>
  </si>
  <si>
    <t>Load/Wheel on non drive side =</t>
  </si>
  <si>
    <t>3.2.3</t>
  </si>
  <si>
    <t>Lateral Load</t>
  </si>
  <si>
    <t xml:space="preserve">5% of (Load lifted + Wt. Of crab)= </t>
  </si>
  <si>
    <t xml:space="preserve">Load/Wheel on drive side = 60 % of Lifted load/2 </t>
  </si>
  <si>
    <t xml:space="preserve">Load/Wheel on non drive side = 40 % of Lifted load/2 </t>
  </si>
  <si>
    <t>Torsional moment</t>
  </si>
  <si>
    <t>(Lateral load assumed to act at Top of rail)</t>
  </si>
  <si>
    <t>kgcm</t>
  </si>
  <si>
    <t>LOAD COMBINATIONS:</t>
  </si>
  <si>
    <t>L.C.1</t>
  </si>
  <si>
    <t>D.L(3.1 )+ C.L.Vertical (3.2.2.1) + C.L. Lateral (3.2.3)</t>
  </si>
  <si>
    <t>L.C.2</t>
  </si>
  <si>
    <t xml:space="preserve">D.L(3.1 )+ C.L.Vertical with impact (3.2.2.1) </t>
  </si>
  <si>
    <t>L.C.3</t>
  </si>
  <si>
    <t>D.L(3.1 )+ C.L.Vertical near to support(3.2.2.1) + C.L.Lateral(3.2.3)</t>
  </si>
  <si>
    <t>L.C.4</t>
  </si>
  <si>
    <t>D.L(3.1 )+ C.L.Vertical near to support with impact (3.2.2.2)</t>
  </si>
  <si>
    <t>Load combination L.C.1 &amp; L.C.2 are to generate max. force and moment in main girder</t>
  </si>
  <si>
    <t>Disposition of crane load 3.2.2.1,3.2.2.2, &amp; 3.2.3</t>
  </si>
  <si>
    <t>Load combination L.C.3 &amp; L.C.4 are to generate max. force and moment in End carriage</t>
  </si>
  <si>
    <t>I.e Crab is at minimun dist. From End carriage</t>
  </si>
  <si>
    <t xml:space="preserve">Crane loads are placed such that it generates max moment in main girder, </t>
  </si>
  <si>
    <t>using rolling load theory,( c.g of laod and c.g of main girder coincides)</t>
  </si>
  <si>
    <t xml:space="preserve">Forces in various members are found out &amp; Design is carried out for the maximum </t>
  </si>
  <si>
    <t xml:space="preserve">forces  in the member generated due to any one or combination of load cases as </t>
  </si>
  <si>
    <t>mentioned above .</t>
  </si>
  <si>
    <t>With Imp.</t>
  </si>
  <si>
    <t>Fig:</t>
  </si>
  <si>
    <t>Without Imp.</t>
  </si>
  <si>
    <t>R1</t>
  </si>
  <si>
    <t>C 3/2</t>
  </si>
  <si>
    <t>R2</t>
  </si>
  <si>
    <t>X</t>
  </si>
  <si>
    <t>C3</t>
  </si>
  <si>
    <t>X =</t>
  </si>
  <si>
    <t>L - C 3</t>
  </si>
  <si>
    <t>PHYSICAL PROPERTIES OF MAIN GIRDER</t>
  </si>
  <si>
    <t>AREA</t>
  </si>
  <si>
    <t>Y</t>
  </si>
  <si>
    <t>IXX</t>
  </si>
  <si>
    <t>IYY</t>
  </si>
  <si>
    <t>Zxx (ten)</t>
  </si>
  <si>
    <t>Zxx (com)</t>
  </si>
  <si>
    <t>ZYY</t>
  </si>
  <si>
    <t>kg./mtr.</t>
  </si>
  <si>
    <t>Yc</t>
  </si>
  <si>
    <t>Yt</t>
  </si>
  <si>
    <t xml:space="preserve">shear area </t>
  </si>
  <si>
    <t>It</t>
  </si>
  <si>
    <t>Zt</t>
  </si>
  <si>
    <t>CALCULATION  FOR PERMISSIBLE  BENDING STRESS FOR MAIN GIRDER</t>
  </si>
  <si>
    <t>(REF. : IS-800 -1984;CL.6.2)</t>
  </si>
  <si>
    <t>Fcb = k1 (X + k2Y)c2/c1</t>
  </si>
  <si>
    <t>X=Y * SQRT(1+1/20 (l * T/ ry * D)^2</t>
  </si>
  <si>
    <t>Y= 2650000/(l / ry)^2</t>
  </si>
  <si>
    <t>Effective Length l = 0.85*L =</t>
  </si>
  <si>
    <t>CM</t>
  </si>
  <si>
    <t>Y=</t>
  </si>
  <si>
    <t>N/mm2</t>
  </si>
  <si>
    <t>ry</t>
  </si>
  <si>
    <t>l/ry</t>
  </si>
  <si>
    <t>l*T/ry*D=</t>
  </si>
  <si>
    <t>X=</t>
  </si>
  <si>
    <t>c1=c2</t>
  </si>
  <si>
    <t>k1=</t>
  </si>
  <si>
    <t>k2=</t>
  </si>
  <si>
    <t>Fcb=</t>
  </si>
  <si>
    <t>Permissible bending stress =</t>
  </si>
  <si>
    <t>Pbc = 0.66*(Fcb*fy)/(Fcb)^1.4+(fy)^1.4)^1/1.4)</t>
  </si>
  <si>
    <t>ANALYSIS AND PROPERTIES  OF MAIN GIRDER.</t>
  </si>
  <si>
    <t>MAIN GIRDER PROPERTY</t>
  </si>
  <si>
    <t>Area =</t>
  </si>
  <si>
    <t>Shear area=</t>
  </si>
  <si>
    <t>Zxx(tens)=</t>
  </si>
  <si>
    <t>Zxx(comp)=</t>
  </si>
  <si>
    <t>Zyy</t>
  </si>
  <si>
    <t>Zt=</t>
  </si>
  <si>
    <t>ANALYSIS:</t>
  </si>
  <si>
    <t>RESULTS:-</t>
  </si>
  <si>
    <t>Max. Axial force  =</t>
  </si>
  <si>
    <t>Stresses  in kg/cm2</t>
  </si>
  <si>
    <t>Max. Shear force =</t>
  </si>
  <si>
    <t>Mxx=</t>
  </si>
  <si>
    <t>kg cm</t>
  </si>
  <si>
    <t>Axial + Bending  =</t>
  </si>
  <si>
    <t>Myy=</t>
  </si>
  <si>
    <t>Shear + Torsional =</t>
  </si>
  <si>
    <t>Mt=</t>
  </si>
  <si>
    <t>Combined          =</t>
  </si>
  <si>
    <t>DEFLECTION CHECK</t>
  </si>
  <si>
    <t>Permissible  deflection  = span/900</t>
  </si>
  <si>
    <t>Actual deflection due to  Live Load =</t>
  </si>
  <si>
    <t>(Lifted Load + Trolley Wt.)</t>
  </si>
  <si>
    <t xml:space="preserve">CAMBER CALCULATION </t>
  </si>
  <si>
    <t>Max. permissible camber = span / 1000 =</t>
  </si>
  <si>
    <t xml:space="preserve">Max. deflection due to dead load = </t>
  </si>
  <si>
    <t>Min . Camber required  =</t>
  </si>
  <si>
    <t>= 0.5 * defl. Due to live load + Defl. Due to dead load =</t>
  </si>
  <si>
    <t>Camber provided =</t>
  </si>
  <si>
    <t>CONCLUSION:</t>
  </si>
  <si>
    <t xml:space="preserve">Selected section   is safe in Stresses and Deflection </t>
  </si>
  <si>
    <t>PREPARED BY:</t>
  </si>
  <si>
    <t>Alpesh Patel</t>
  </si>
  <si>
    <t>CHECKED BY:</t>
  </si>
  <si>
    <t>Mr. K.K.Pathak</t>
  </si>
  <si>
    <t>SIGN:</t>
  </si>
  <si>
    <t>FORMULA</t>
  </si>
  <si>
    <t>RESULT</t>
  </si>
  <si>
    <t>SECTION PROPERTY</t>
  </si>
  <si>
    <t>shear area</t>
  </si>
  <si>
    <t>End reaction due to trolley wt. + Live load ( Without impact)</t>
  </si>
  <si>
    <t>W/O Imp.</t>
  </si>
  <si>
    <t>SPAN</t>
  </si>
  <si>
    <t>kg.</t>
  </si>
  <si>
    <t>TRLY.WH.BASE</t>
  </si>
  <si>
    <t>WH.LD 1</t>
  </si>
  <si>
    <t xml:space="preserve">WH.LD 2 </t>
  </si>
  <si>
    <t>HK.AP</t>
  </si>
  <si>
    <t>C</t>
  </si>
  <si>
    <t>End reaction due to trolley wt. + Live load ( With impact)</t>
  </si>
  <si>
    <t>D</t>
  </si>
  <si>
    <t>When trolley position with lifted load is at the centre of the span</t>
  </si>
  <si>
    <t>P1</t>
  </si>
  <si>
    <t>P2</t>
  </si>
  <si>
    <t>With impact</t>
  </si>
  <si>
    <t>W/o imoact</t>
  </si>
  <si>
    <t xml:space="preserve">           C3</t>
  </si>
  <si>
    <t>C.G. Dist. From drive wheel in cm</t>
  </si>
  <si>
    <t>C3=</t>
  </si>
  <si>
    <t>B.M. will be Max. when P1 &amp; P will be on either side from centre at equal dist.</t>
  </si>
  <si>
    <t>L- C 3               =</t>
  </si>
  <si>
    <t>Take moment about R2.</t>
  </si>
  <si>
    <t xml:space="preserve">R1*L=   </t>
  </si>
  <si>
    <t>N2(L-X)+N1(L-X-C1)</t>
  </si>
  <si>
    <t>WITH IMPACT</t>
  </si>
  <si>
    <t>W/O IMPACT</t>
  </si>
  <si>
    <t>R1  =</t>
  </si>
  <si>
    <t>R2  =</t>
  </si>
  <si>
    <t>R2 =</t>
  </si>
  <si>
    <t>Max. B.M =</t>
  </si>
  <si>
    <t>R1 * X</t>
  </si>
  <si>
    <t>Mxx  =</t>
  </si>
  <si>
    <t>kg.Cm.</t>
  </si>
  <si>
    <t xml:space="preserve">M xx = </t>
  </si>
  <si>
    <t>Myy =</t>
  </si>
  <si>
    <t>E</t>
  </si>
  <si>
    <t>End reaction due to Self wt. Of girder</t>
  </si>
  <si>
    <t>Self wt. Of main girder</t>
  </si>
  <si>
    <t>Self wt. Of platform</t>
  </si>
  <si>
    <t>kg./Cm.</t>
  </si>
  <si>
    <t xml:space="preserve">Weight of Lt Mechanism, </t>
  </si>
  <si>
    <t xml:space="preserve"> Control Panel &amp; accessories=</t>
  </si>
  <si>
    <t>End reaction due to  L.T mechanism</t>
  </si>
  <si>
    <t>R1=</t>
  </si>
  <si>
    <t>R2=</t>
  </si>
  <si>
    <t>F</t>
  </si>
  <si>
    <t>B.M Due to dead load  ( Self Wt. Of Girder)</t>
  </si>
  <si>
    <t>W * L * L</t>
  </si>
  <si>
    <t>Mxx =</t>
  </si>
  <si>
    <t>Myy  =</t>
  </si>
  <si>
    <t>G</t>
  </si>
  <si>
    <t>Torsion  Due to L.T Mech.  At the middle of span  M t m</t>
  </si>
  <si>
    <t xml:space="preserve">M t m = </t>
  </si>
  <si>
    <t>L1 * w*2</t>
  </si>
  <si>
    <t>H</t>
  </si>
  <si>
    <t>Torsion  Due to L.T Mech.  At the end of span  M t e</t>
  </si>
  <si>
    <t xml:space="preserve">M t e = </t>
  </si>
  <si>
    <t>L1 * w*1</t>
  </si>
  <si>
    <t>Torsion  Due to platform  At the middle of span  M t m</t>
  </si>
  <si>
    <t>J</t>
  </si>
  <si>
    <t>Torsion  Due to platform  At the end of span  M t e</t>
  </si>
  <si>
    <t>Torsional moment due to horizontal force at middle of the span</t>
  </si>
  <si>
    <t>M t m =</t>
  </si>
  <si>
    <t>Total torsional moment at the middle of span  M t m</t>
  </si>
  <si>
    <t>L</t>
  </si>
  <si>
    <t>Bending stress due to M xx =</t>
  </si>
  <si>
    <t>D,F</t>
  </si>
  <si>
    <t>Mxx/Zxxt</t>
  </si>
  <si>
    <t>M</t>
  </si>
  <si>
    <t>Bending Stress due to Myy =</t>
  </si>
  <si>
    <t>Myy/Zyy</t>
  </si>
  <si>
    <t>N</t>
  </si>
  <si>
    <t>Torsional Moment   M t m =</t>
  </si>
  <si>
    <t>Mtm/Zt</t>
  </si>
  <si>
    <t>K,I</t>
  </si>
  <si>
    <t>O</t>
  </si>
  <si>
    <t>Shear stress  =</t>
  </si>
  <si>
    <t xml:space="preserve">   =</t>
  </si>
  <si>
    <t>B,E</t>
  </si>
  <si>
    <t>AXIAL FORCE</t>
  </si>
  <si>
    <t>AXIAL STRESS</t>
  </si>
  <si>
    <t>Bending</t>
  </si>
  <si>
    <t>Axial + Bending</t>
  </si>
  <si>
    <t>Shear + Torsional</t>
  </si>
  <si>
    <t>Combined</t>
  </si>
  <si>
    <t>TORSION CONSTANT ( J )</t>
  </si>
  <si>
    <t xml:space="preserve">FOR CIRCULAR HOLLOW SECTION </t>
  </si>
  <si>
    <t>J = 2 *I</t>
  </si>
  <si>
    <t>FOR SQUARE AND RECTANGLE SECTION</t>
  </si>
  <si>
    <t xml:space="preserve">                                     J  =</t>
  </si>
  <si>
    <t xml:space="preserve"> +  2 * k * Ah</t>
  </si>
  <si>
    <t>cm4</t>
  </si>
  <si>
    <t>WHERE,</t>
  </si>
  <si>
    <t>I    IS THE SECOND MOMENT OF AREA.</t>
  </si>
  <si>
    <t>t    IS THE THICKNESS OF THE SECTION.</t>
  </si>
  <si>
    <t>h   IS THE MEAN PERIMETER = 2[(B - t) + (D - t)]</t>
  </si>
  <si>
    <t>Ah   IS THE AREA  ENCLOSED  BY MEAN PERIMETER = [(B - t)  (D - t)]</t>
  </si>
  <si>
    <t>cm2</t>
  </si>
  <si>
    <t>K = 2 Ah * t/h</t>
  </si>
  <si>
    <t>B  IS THE BREADTH OF THE  SECTION</t>
  </si>
  <si>
    <t>D  IS THE DEPTH OF SECTON</t>
  </si>
  <si>
    <t>Rc  IS THE AVERAGE OF INTERNAL AND EXTERNAL CORNER RADII.</t>
  </si>
  <si>
    <t>TORSION MODULUS CONSTANT  ( C )</t>
  </si>
  <si>
    <t>C = 2 * Z</t>
  </si>
  <si>
    <t>C = J / t + K/t</t>
  </si>
  <si>
    <t>cm3</t>
  </si>
  <si>
    <t>Z  = IS THE ELASTIC MODULUS</t>
  </si>
  <si>
    <t>DEFLECTION CALCULATION</t>
  </si>
  <si>
    <t>DEFLECTION DUE TO LIVE LOAD</t>
  </si>
  <si>
    <t>Defl</t>
  </si>
  <si>
    <t>PL3((3a/L)-4(a/L)3)</t>
  </si>
  <si>
    <t>48* E*I</t>
  </si>
  <si>
    <t xml:space="preserve">a = </t>
  </si>
  <si>
    <t xml:space="preserve"> I  =</t>
  </si>
  <si>
    <t>L  =</t>
  </si>
  <si>
    <t>(I)</t>
  </si>
  <si>
    <t>P  =</t>
  </si>
  <si>
    <t>(ii)</t>
  </si>
  <si>
    <t>Total of loads (I+ii)</t>
  </si>
  <si>
    <t>Deflection due to dead weight, d1   =  w  x     5L4</t>
  </si>
  <si>
    <t xml:space="preserve">                                                      EIxx  *  384</t>
  </si>
  <si>
    <t xml:space="preserve">   2</t>
  </si>
  <si>
    <t>Misc Items</t>
  </si>
  <si>
    <t>Head Room :</t>
  </si>
  <si>
    <t>Clearence   :</t>
  </si>
  <si>
    <t>CT WHEEL Dia  :</t>
  </si>
  <si>
    <t>GD Height/  3  :</t>
  </si>
  <si>
    <t>LT WHEEL Dia :</t>
  </si>
  <si>
    <t>CT Rail Height  :</t>
  </si>
  <si>
    <t xml:space="preserve">Required Ratio  :     </t>
  </si>
  <si>
    <t>Lower H.P.</t>
  </si>
  <si>
    <t>Lower Frame</t>
  </si>
  <si>
    <t>Pricr of Gear Box</t>
  </si>
  <si>
    <t>Weight OF GB</t>
  </si>
  <si>
    <t>Upper H.P.</t>
  </si>
  <si>
    <t>Upper Frame</t>
  </si>
  <si>
    <t xml:space="preserve">Premium Ratio  : </t>
  </si>
  <si>
    <t xml:space="preserve"> H.P.</t>
  </si>
  <si>
    <t xml:space="preserve"> Frame</t>
  </si>
  <si>
    <t>Gear Coupling (Acc. Anupam &amp; Class)</t>
  </si>
  <si>
    <t xml:space="preserve">Elecon Ratio  : </t>
  </si>
  <si>
    <t>Frame Size</t>
  </si>
  <si>
    <t>Req HP</t>
  </si>
  <si>
    <t>Req Ratio</t>
  </si>
  <si>
    <t>Frame</t>
  </si>
  <si>
    <t>WT</t>
  </si>
  <si>
    <t>Lower Ratio</t>
  </si>
  <si>
    <t>Uper Ratio</t>
  </si>
  <si>
    <t>PCD3 630</t>
  </si>
  <si>
    <t>Premi 4 Stage↓</t>
  </si>
  <si>
    <t>PCD4 140</t>
  </si>
  <si>
    <t>PCD4 160</t>
  </si>
  <si>
    <t>PCD4 180</t>
  </si>
  <si>
    <t>PCD4 200</t>
  </si>
  <si>
    <t>PCD4 225</t>
  </si>
  <si>
    <t>PCD4 250</t>
  </si>
  <si>
    <t>PCD4 280</t>
  </si>
  <si>
    <t>PCD4 315</t>
  </si>
  <si>
    <t>PCD4 355</t>
  </si>
  <si>
    <t>PCD4 400</t>
  </si>
  <si>
    <t>PCD4 450</t>
  </si>
  <si>
    <t>PCD4 500</t>
  </si>
  <si>
    <t>PCD4 560</t>
  </si>
  <si>
    <t>PCD4 630</t>
  </si>
  <si>
    <t>Elecon 3 Stage↓</t>
  </si>
  <si>
    <t>SCN 200</t>
  </si>
  <si>
    <t>SCN 225</t>
  </si>
  <si>
    <t>SCN 250</t>
  </si>
  <si>
    <t>SCN 280</t>
  </si>
  <si>
    <t>SCN 315</t>
  </si>
  <si>
    <t>SCN 355</t>
  </si>
  <si>
    <t>SCN 400</t>
  </si>
  <si>
    <t>SCN 450</t>
  </si>
  <si>
    <t>SCN 500</t>
  </si>
  <si>
    <t>SCN 560</t>
  </si>
  <si>
    <t>SCN 630</t>
  </si>
  <si>
    <t>SCN 710</t>
  </si>
  <si>
    <t>SCN 800</t>
  </si>
  <si>
    <t>Elecon 4 Stage↓</t>
  </si>
  <si>
    <t>SDN 225</t>
  </si>
  <si>
    <t>SDN 250</t>
  </si>
  <si>
    <t>SDN 280</t>
  </si>
  <si>
    <t>SDN 315</t>
  </si>
  <si>
    <t>SDN 355</t>
  </si>
  <si>
    <t>SDN 400</t>
  </si>
  <si>
    <t>SDN 450</t>
  </si>
  <si>
    <t>SDN 500</t>
  </si>
  <si>
    <t>SDN 560</t>
  </si>
  <si>
    <t>SDN 630</t>
  </si>
  <si>
    <t>SDN 710</t>
  </si>
  <si>
    <t>SDN 800</t>
  </si>
  <si>
    <t>H.P. :</t>
  </si>
  <si>
    <t>1st Selection</t>
  </si>
  <si>
    <t>Ratio :</t>
  </si>
  <si>
    <t>2nd Selection</t>
  </si>
  <si>
    <t>column= 27</t>
  </si>
  <si>
    <t>Aux Hoist</t>
  </si>
  <si>
    <t xml:space="preserve">Required HP      :     </t>
  </si>
  <si>
    <t>Premi 2 Stage↓</t>
  </si>
  <si>
    <t>Elecon 2 Stage↓</t>
  </si>
  <si>
    <t>SBN 110</t>
  </si>
  <si>
    <t>SBN 140</t>
  </si>
  <si>
    <t>SBN 160</t>
  </si>
  <si>
    <t>SBN 180</t>
  </si>
  <si>
    <t>SBN 200</t>
  </si>
  <si>
    <t>SBN 225</t>
  </si>
  <si>
    <t>SBN 250</t>
  </si>
  <si>
    <t>SBN 280</t>
  </si>
  <si>
    <t>SBN 315</t>
  </si>
  <si>
    <t>SBN 355</t>
  </si>
  <si>
    <t>SBN 400</t>
  </si>
  <si>
    <t>SBN 450</t>
  </si>
  <si>
    <t>SBN 500</t>
  </si>
  <si>
    <t>SBN 560</t>
  </si>
  <si>
    <t>SBN 630</t>
  </si>
  <si>
    <t>SBN 710</t>
  </si>
  <si>
    <t>SBN 800</t>
  </si>
  <si>
    <t>SBN 125</t>
  </si>
  <si>
    <t>Anupam : 3177</t>
  </si>
  <si>
    <t>Anupam : 4137</t>
  </si>
  <si>
    <t xml:space="preserve">A1 : MH </t>
  </si>
  <si>
    <t xml:space="preserve">DS1 : AH </t>
  </si>
  <si>
    <t>WH Dia</t>
  </si>
  <si>
    <t xml:space="preserve">Rail </t>
  </si>
  <si>
    <t>Req Ratio :</t>
  </si>
  <si>
    <t>Req H.P. :</t>
  </si>
  <si>
    <t>Selected Ratio :</t>
  </si>
  <si>
    <t>2 Stage</t>
  </si>
  <si>
    <t>3 Stage</t>
  </si>
  <si>
    <t>2AH275</t>
  </si>
  <si>
    <t>2AH300</t>
  </si>
  <si>
    <t>2AH350</t>
  </si>
  <si>
    <t>2AH400</t>
  </si>
  <si>
    <t>2AH450</t>
  </si>
  <si>
    <t>2AH500</t>
  </si>
  <si>
    <t>2AH600</t>
  </si>
  <si>
    <t>PCD2 630</t>
  </si>
  <si>
    <t>2AH750</t>
  </si>
  <si>
    <t>3AH450</t>
  </si>
  <si>
    <t>3AH600</t>
  </si>
  <si>
    <t>Max Load LT Wheel</t>
  </si>
  <si>
    <t>Kg/cm</t>
  </si>
  <si>
    <t>GB Calculation</t>
  </si>
  <si>
    <t>GB Selection</t>
  </si>
  <si>
    <t>Auto GB</t>
  </si>
  <si>
    <t>New</t>
  </si>
  <si>
    <t>Right</t>
  </si>
  <si>
    <t>A- 3171</t>
  </si>
  <si>
    <t>A-4177</t>
  </si>
  <si>
    <t>Gear Box Sheet</t>
  </si>
  <si>
    <t>F 1770</t>
  </si>
  <si>
    <t>S 1960</t>
  </si>
  <si>
    <t>F 1960</t>
  </si>
  <si>
    <t>S 1770</t>
  </si>
  <si>
    <t>lower</t>
  </si>
  <si>
    <t>CT Rail Gauge :</t>
  </si>
  <si>
    <t>Max Rope Drum</t>
  </si>
  <si>
    <t>160</t>
  </si>
  <si>
    <t>180</t>
  </si>
  <si>
    <t>200</t>
  </si>
  <si>
    <t>225</t>
  </si>
  <si>
    <t>250</t>
  </si>
  <si>
    <t>280</t>
  </si>
  <si>
    <t>315</t>
  </si>
  <si>
    <t>355</t>
  </si>
  <si>
    <t>400</t>
  </si>
  <si>
    <t>450</t>
  </si>
  <si>
    <t>500</t>
  </si>
  <si>
    <t>560</t>
  </si>
  <si>
    <t>630</t>
  </si>
  <si>
    <t>Gear Box Size</t>
  </si>
  <si>
    <t>Extra GB Side</t>
  </si>
  <si>
    <t>Extra other Side</t>
  </si>
  <si>
    <t>EXTRA</t>
  </si>
  <si>
    <t>TECHNICAL DATA SHEET</t>
  </si>
  <si>
    <t>15T CAPACITY D/G EOT CRANE</t>
  </si>
  <si>
    <t>Sr no.</t>
  </si>
  <si>
    <t>Description</t>
  </si>
  <si>
    <t>Specification</t>
  </si>
  <si>
    <t>No. of Units</t>
  </si>
  <si>
    <t>1 no.</t>
  </si>
  <si>
    <t>Type of crane</t>
  </si>
  <si>
    <t>Double Girder EOT crane</t>
  </si>
  <si>
    <t>Service Description</t>
  </si>
  <si>
    <t>Aux.Hoist</t>
  </si>
  <si>
    <t xml:space="preserve">Gantry Rail Size </t>
  </si>
  <si>
    <t>Long traveling length (m)</t>
  </si>
  <si>
    <t>Power supply to crane (DSL)</t>
  </si>
  <si>
    <t>Design Ambient Temperature</t>
  </si>
  <si>
    <t>Duty class</t>
  </si>
  <si>
    <t>Operating speed</t>
  </si>
  <si>
    <t>Aux. Hoist</t>
  </si>
  <si>
    <t>Long travel</t>
  </si>
  <si>
    <t>Creep speed for all drives</t>
  </si>
  <si>
    <t>Through VVVF drives</t>
  </si>
  <si>
    <t>Crane control</t>
  </si>
  <si>
    <t>Type of cabin</t>
  </si>
  <si>
    <t>Gantry Rail Height above ground level</t>
  </si>
  <si>
    <t>Hook Height of lift from ground level</t>
  </si>
  <si>
    <t>AFL / BFL</t>
  </si>
  <si>
    <t>Main hoist</t>
  </si>
  <si>
    <t>Main hoist Motor selection</t>
  </si>
  <si>
    <t>Motor kW</t>
  </si>
  <si>
    <t>Speed(syn.)</t>
  </si>
  <si>
    <t>Cyclic Duration Factor in %</t>
  </si>
  <si>
    <t>Quantity</t>
  </si>
  <si>
    <t>Aux.hoist Motor selection</t>
  </si>
  <si>
    <t>Cross travel Motor selection</t>
  </si>
  <si>
    <t>Long travel Motor selection</t>
  </si>
  <si>
    <t>Brakes</t>
  </si>
  <si>
    <t>Wire rope</t>
  </si>
  <si>
    <t>Wheels</t>
  </si>
  <si>
    <t>Wheel bearing block</t>
  </si>
  <si>
    <t>"L" type</t>
  </si>
  <si>
    <t>Wheel bearings</t>
  </si>
  <si>
    <t>Self aligning spherical roller bearing</t>
  </si>
  <si>
    <t>Buffer for Long travel &amp; Cross travel</t>
  </si>
  <si>
    <t>Cross travel rail</t>
  </si>
  <si>
    <t>Hooks</t>
  </si>
  <si>
    <t>Attachment Under hook</t>
  </si>
  <si>
    <t>Nil</t>
  </si>
  <si>
    <t>Gear boxes</t>
  </si>
  <si>
    <t>Hoisting</t>
  </si>
  <si>
    <t>Totally enclosed fabricated body, Stress reliving casing, Split type, Helical type with oil sump</t>
  </si>
  <si>
    <t>Travelling</t>
  </si>
  <si>
    <t>Limit switch</t>
  </si>
  <si>
    <t>Gravity + Rotary type</t>
  </si>
  <si>
    <t>Two way lever type</t>
  </si>
  <si>
    <t>Power supply</t>
  </si>
  <si>
    <t>415 V ±10%,50 Hz±3%,3 Phase</t>
  </si>
  <si>
    <t>Control supply</t>
  </si>
  <si>
    <t>110 V (AC)</t>
  </si>
  <si>
    <t>Weight of crane</t>
  </si>
  <si>
    <t>Weight of Crab (Trolley)</t>
  </si>
  <si>
    <t>Maximum wheel load with out impact</t>
  </si>
  <si>
    <t>Paint</t>
  </si>
  <si>
    <t>Two coat of Epoxy primer &amp; two coat of Epoxy finish coat each of 30 micron.</t>
  </si>
  <si>
    <t>4 nos. 250 watts high pressure sodium vapour flood lights</t>
  </si>
  <si>
    <t>Lubrication System: Manually operated grease lubrication system; Gearboxes - Splash type</t>
  </si>
  <si>
    <t>Spring Buffers for Trolley &amp; Crane</t>
  </si>
  <si>
    <t>Barrel coupling will be provided between Gear Box Output Shaft &amp; Rope Drum</t>
  </si>
  <si>
    <t>Hardened &amp; Ground Gear &amp; Pinions Material - En19 / En24</t>
  </si>
  <si>
    <t>First Fill of Lubricants</t>
  </si>
  <si>
    <t>4 Nos. Emergency Corner Switches</t>
  </si>
  <si>
    <t>Safety cover for pulley &amp; all rotating parts like couplings, etc.</t>
  </si>
  <si>
    <t>Standalone type VVVF drive with DBR will be provided for all motions. All VVVF drives will be with panel Air conditioning system.</t>
  </si>
  <si>
    <t xml:space="preserve">Encoder for Hoisting motor for fault detection/Feedback </t>
  </si>
  <si>
    <t>Overload relays and HRC fuses for motors protection</t>
  </si>
  <si>
    <t>Derailment guard along with jacking pad for wheel maintenance</t>
  </si>
  <si>
    <t>Full length platform with hand railing &amp; toe guards on both sides of girder.</t>
  </si>
  <si>
    <t>Rope drum shall be Seamless pipe/fabricated from MS plate duly stress relieved</t>
  </si>
  <si>
    <t>All Panel system will be placed in Air conditioning E-House (except protective panel)</t>
  </si>
  <si>
    <t>Limit Switches to avoid/prevent over hoisting &amp; lowering and over travel &amp; traverse.</t>
  </si>
  <si>
    <t>Festooning system will be provided for power supply to trolley.</t>
  </si>
  <si>
    <t>All Sheave pulley shall be closed type. The cover shall be made from 8/10 MM sheet.</t>
  </si>
  <si>
    <t xml:space="preserve">All input motor couplings shall be geared coupling &amp; out put coupling shall be half geared. </t>
  </si>
  <si>
    <t>Misc: Flash lighting &amp; horn for overload and horn for crane travel etc. shall be provided</t>
  </si>
  <si>
    <t>High tension black bolt &amp; nut of appropriate grade for girder to end carriage connection</t>
  </si>
  <si>
    <t>Set of maintenance tools</t>
  </si>
  <si>
    <t>Operation &amp; Maintenance Manual and electro-mechanical drawings, except proprietary nature.</t>
  </si>
  <si>
    <t>The technical data mentioned above are indicative only, which may change during detail design &amp; engineering.</t>
  </si>
  <si>
    <t>The crane/s shall be assembled and tested at NO LOAD condition at our works. Final load / overload testing shall be performed at site after final commissioning.</t>
  </si>
  <si>
    <t>AUX HOIST</t>
  </si>
  <si>
    <t>Location of E-Room #######</t>
  </si>
  <si>
    <t>On Girder platform######</t>
  </si>
  <si>
    <t>Required NM</t>
  </si>
  <si>
    <t>Required kg.m</t>
  </si>
  <si>
    <t>Brake Type</t>
  </si>
  <si>
    <t>Thruster Size</t>
  </si>
  <si>
    <t>Torque range NM</t>
  </si>
  <si>
    <t>50-300</t>
  </si>
  <si>
    <t>85-400</t>
  </si>
  <si>
    <t>40-325</t>
  </si>
  <si>
    <t>40-450</t>
  </si>
  <si>
    <t>100-850</t>
  </si>
  <si>
    <t>70-420</t>
  </si>
  <si>
    <t>70-550</t>
  </si>
  <si>
    <t>75-1050</t>
  </si>
  <si>
    <t>90-1700</t>
  </si>
  <si>
    <t>80-575</t>
  </si>
  <si>
    <t>100-1100</t>
  </si>
  <si>
    <t>100-1800</t>
  </si>
  <si>
    <t>125-2750</t>
  </si>
  <si>
    <t>200-1400</t>
  </si>
  <si>
    <t>200-2200</t>
  </si>
  <si>
    <t>200-3400</t>
  </si>
  <si>
    <t>200-5400</t>
  </si>
  <si>
    <t>500-3300</t>
  </si>
  <si>
    <t>500-5500</t>
  </si>
  <si>
    <t>500-8200</t>
  </si>
  <si>
    <t>500-3800</t>
  </si>
  <si>
    <t>500-6300</t>
  </si>
  <si>
    <t>500-9400</t>
  </si>
  <si>
    <t>TE 200 (10)</t>
  </si>
  <si>
    <t>TE 200 (20)</t>
  </si>
  <si>
    <t>TE 250 (10)</t>
  </si>
  <si>
    <t>TE 250 (20)</t>
  </si>
  <si>
    <t>TE 250 (30)</t>
  </si>
  <si>
    <t>TE 315 (10)</t>
  </si>
  <si>
    <t>TE 315 (20)</t>
  </si>
  <si>
    <t>TE 315 (30)</t>
  </si>
  <si>
    <t>TE 315 (40)</t>
  </si>
  <si>
    <t>TE 400 (20)</t>
  </si>
  <si>
    <t>TE 400 (30)</t>
  </si>
  <si>
    <t>TE 400 (40)</t>
  </si>
  <si>
    <t>TE 400 (50)</t>
  </si>
  <si>
    <t>TE 500 (30)</t>
  </si>
  <si>
    <t>TE 500 (40)</t>
  </si>
  <si>
    <t>TE 500 (50)</t>
  </si>
  <si>
    <t>TE 500 (60)</t>
  </si>
  <si>
    <t>TE 630 (50)</t>
  </si>
  <si>
    <t>TE 630 (60)</t>
  </si>
  <si>
    <t>TE 630 (70)</t>
  </si>
  <si>
    <t>Te 710 (50)</t>
  </si>
  <si>
    <t>Te 710 (60)</t>
  </si>
  <si>
    <t>Te 710 (70)</t>
  </si>
  <si>
    <t>if Sibre…</t>
  </si>
  <si>
    <t>SIBRE</t>
  </si>
  <si>
    <t>Available :</t>
  </si>
  <si>
    <t>Space :</t>
  </si>
  <si>
    <t>Head R+ Gr. Clearence</t>
  </si>
  <si>
    <t>On KW</t>
  </si>
  <si>
    <t>TRAVEL MOTION</t>
  </si>
  <si>
    <t>PANNEL PRICE</t>
  </si>
  <si>
    <t>SCHNEIDER</t>
  </si>
  <si>
    <t xml:space="preserve">PANNEL PRICE </t>
  </si>
  <si>
    <t>RATING</t>
  </si>
  <si>
    <t>FLC</t>
  </si>
  <si>
    <t>Pr. Drive</t>
  </si>
  <si>
    <t>YASHKAWA</t>
  </si>
  <si>
    <t>M.H</t>
  </si>
  <si>
    <t>A.H</t>
  </si>
  <si>
    <t>C.T</t>
  </si>
  <si>
    <t>L.T</t>
  </si>
  <si>
    <t>SIEMENS DRIVE</t>
  </si>
  <si>
    <t>YASHAKAWA PRICE (F7)</t>
  </si>
  <si>
    <t>YASHAKAWA PRICE (G7)</t>
  </si>
  <si>
    <t>On Motor</t>
  </si>
  <si>
    <t>BARREL COUPLING SELECTION CALCULATION : -</t>
  </si>
  <si>
    <t>Q =LIFTED LOAD IN TON</t>
  </si>
  <si>
    <t>G =WEIGHT OF SNATCK BLOCK &amp; wire rope</t>
  </si>
  <si>
    <t>No of falls =</t>
  </si>
  <si>
    <t>No of falls leaving the drum =</t>
  </si>
  <si>
    <t>n = Total number of Rotating Sheaves Passed over by each part of the  moving rope attached to the drum(Tackle ratio)</t>
  </si>
  <si>
    <t>D = PITCH CIRCLE DIA. OF ROPE DRUM IN MTR = P.C.D.</t>
  </si>
  <si>
    <t>FOR M6=</t>
  </si>
  <si>
    <t>T = REQUIRED TORQUE IN (N.m )</t>
  </si>
  <si>
    <t>=Fp x (D/2) x K1</t>
  </si>
  <si>
    <t xml:space="preserve">T =SELECTED TORQUE (N.m)– </t>
  </si>
  <si>
    <t>Selected standard model no.</t>
  </si>
  <si>
    <t>TCBR-500</t>
  </si>
  <si>
    <t>Make =</t>
  </si>
  <si>
    <t>JAURE</t>
  </si>
  <si>
    <t>Req. kW</t>
  </si>
  <si>
    <t>Lower kW</t>
  </si>
  <si>
    <t>Select kW</t>
  </si>
  <si>
    <t>Weight.</t>
  </si>
  <si>
    <t>At 60%</t>
  </si>
  <si>
    <t>VD315L (2)</t>
  </si>
  <si>
    <t>Lower 40%</t>
  </si>
  <si>
    <t>Lower 60%</t>
  </si>
  <si>
    <t>Discount :</t>
  </si>
  <si>
    <t>CDF :</t>
  </si>
  <si>
    <t>As PO</t>
  </si>
  <si>
    <t>Sq. Cage 6 pole 150 /300 star</t>
  </si>
  <si>
    <t xml:space="preserve">SQ Marathon </t>
  </si>
  <si>
    <t xml:space="preserve">Slipring Marathon </t>
  </si>
  <si>
    <t>CDF</t>
  </si>
  <si>
    <t>Siemens H/F</t>
  </si>
  <si>
    <t>Siemens F/B</t>
  </si>
  <si>
    <t>Input</t>
  </si>
  <si>
    <t>40%</t>
  </si>
  <si>
    <t>New Sheet</t>
  </si>
  <si>
    <t>Total motor price</t>
  </si>
  <si>
    <t>Wire rope Weight</t>
  </si>
  <si>
    <t>As PO Sch..F</t>
  </si>
  <si>
    <t xml:space="preserve">Cbh= </t>
  </si>
  <si>
    <t>HYD.023/05</t>
  </si>
  <si>
    <t>HYD.030/05</t>
  </si>
  <si>
    <t>HYD.050/06</t>
  </si>
  <si>
    <t>HYD.080/06</t>
  </si>
  <si>
    <t>HYD.121/06</t>
  </si>
  <si>
    <t>HYD.201/06</t>
  </si>
  <si>
    <t>HYD.301/06</t>
  </si>
  <si>
    <t>Outdoor Crane Guards</t>
  </si>
  <si>
    <t>Storm Anchoring</t>
  </si>
  <si>
    <t>Annemometer</t>
  </si>
  <si>
    <t>Human Sensor</t>
  </si>
  <si>
    <t>Hooter + Siren</t>
  </si>
  <si>
    <t>2 Nos.</t>
  </si>
  <si>
    <t>Lighting surge Arrester + Cables</t>
  </si>
  <si>
    <t>Drive + Panel</t>
  </si>
  <si>
    <t xml:space="preserve"> STRUCTURE</t>
  </si>
  <si>
    <t xml:space="preserve"> Cable</t>
  </si>
  <si>
    <t>Trolly</t>
  </si>
  <si>
    <t xml:space="preserve">Total </t>
  </si>
  <si>
    <t>Min</t>
  </si>
  <si>
    <t>Crabe</t>
  </si>
  <si>
    <t>Normal</t>
  </si>
  <si>
    <t>JSW</t>
  </si>
  <si>
    <t>DISCRIPTION</t>
  </si>
  <si>
    <t>AC</t>
  </si>
  <si>
    <t>=30000x No of Motion</t>
  </si>
  <si>
    <t>Wrong :</t>
  </si>
  <si>
    <t>Discount on BCH</t>
  </si>
  <si>
    <t>Pannel</t>
  </si>
  <si>
    <t>20-40000</t>
  </si>
  <si>
    <t>50-80000</t>
  </si>
  <si>
    <t>12000/1</t>
  </si>
  <si>
    <t>15000/1</t>
  </si>
  <si>
    <t>4500-5000</t>
  </si>
  <si>
    <t>12K/30K</t>
  </si>
  <si>
    <t>15K/40K</t>
  </si>
  <si>
    <t>2200-3000</t>
  </si>
  <si>
    <t>Price Increas</t>
  </si>
  <si>
    <t>As per this sheet</t>
  </si>
  <si>
    <t>Taking Bearing</t>
  </si>
  <si>
    <t>Ex. Price %</t>
  </si>
  <si>
    <t>Actual Remove</t>
  </si>
  <si>
    <t>Divide by fall+Display</t>
  </si>
  <si>
    <t>(Ex. Price %)</t>
  </si>
  <si>
    <t>General Spect</t>
  </si>
  <si>
    <t xml:space="preserve">Selection kW % </t>
  </si>
  <si>
    <t>H/F</t>
  </si>
  <si>
    <t>F/B</t>
  </si>
  <si>
    <t>Application/ Location :</t>
  </si>
  <si>
    <t>#######$$$$$$$$$$$$$$$$$$$@@</t>
  </si>
  <si>
    <t xml:space="preserve">Height of Rail :  </t>
  </si>
  <si>
    <t xml:space="preserve">Total Lift : </t>
  </si>
  <si>
    <t>Ambient Temp. :</t>
  </si>
  <si>
    <t>Derating Factor :</t>
  </si>
  <si>
    <t>MH no of Falls :</t>
  </si>
  <si>
    <t>AH no of Falls :</t>
  </si>
  <si>
    <t>Crane Weight :</t>
  </si>
  <si>
    <t>Crab Weight :</t>
  </si>
  <si>
    <t>Operation :</t>
  </si>
  <si>
    <t>REV NO. :</t>
  </si>
  <si>
    <t>Company Name :</t>
  </si>
  <si>
    <t>Type of Crane :</t>
  </si>
  <si>
    <t>SPAN :</t>
  </si>
  <si>
    <t>Bay Length :</t>
  </si>
  <si>
    <t>Duty Class :</t>
  </si>
  <si>
    <t>DSL Type :</t>
  </si>
  <si>
    <t>Location :</t>
  </si>
  <si>
    <t>Design Standard :</t>
  </si>
  <si>
    <t>Close Cabin With Fan</t>
  </si>
  <si>
    <t>Project Name/ Location :</t>
  </si>
  <si>
    <t>{Total Brake in LT}</t>
  </si>
  <si>
    <t xml:space="preserve"> Size Less?</t>
  </si>
  <si>
    <t>Axis</t>
  </si>
  <si>
    <t>Total Motor</t>
  </si>
  <si>
    <t xml:space="preserve"> Price</t>
  </si>
  <si>
    <t>Selected on</t>
  </si>
  <si>
    <t>(CDF)</t>
  </si>
  <si>
    <t xml:space="preserve">                </t>
  </si>
  <si>
    <t xml:space="preserve">Please Select : </t>
  </si>
  <si>
    <t>Drive kW</t>
  </si>
  <si>
    <t>From Hoist</t>
  </si>
  <si>
    <t>From Travel</t>
  </si>
  <si>
    <t xml:space="preserve">  Total Painting Cost: </t>
  </si>
  <si>
    <t>Liter</t>
  </si>
  <si>
    <t xml:space="preserve">                   p= Price of Red oxide/ltr</t>
  </si>
  <si>
    <t xml:space="preserve">                  Cost of Redoxide coat =   </t>
  </si>
  <si>
    <t xml:space="preserve">                 P = Price of Paint/ltr</t>
  </si>
  <si>
    <t xml:space="preserve">                  Cost of Paint coat =   </t>
  </si>
  <si>
    <t xml:space="preserve">   =   </t>
  </si>
  <si>
    <t xml:space="preserve">                 N = No of Paint coat</t>
  </si>
  <si>
    <t xml:space="preserve">                   n= No of Coat</t>
  </si>
  <si>
    <t xml:space="preserve">       Total Labour Cost</t>
  </si>
  <si>
    <t xml:space="preserve">= Total Sq Mtr x Labour cost/ Sq Mtr x  Total No. of Coat </t>
  </si>
  <si>
    <t>Leg to be Consider…?</t>
  </si>
  <si>
    <t xml:space="preserve">                  Rc= Redoxide Use for Total Sq Area/ Coat </t>
  </si>
  <si>
    <t xml:space="preserve">                 Pc= Paint Use for Total Sq Area/ Coat  </t>
  </si>
  <si>
    <t xml:space="preserve">= Paint Use for Total Sq Area/ Coat x  Price of Paint/ltr  x  No of Paint coat </t>
  </si>
  <si>
    <t>=  Cost of Red oxide Coat   +  Cost of paint Coat  +  Total Labour Cost</t>
  </si>
  <si>
    <t>Total Sq Mtr  x  L  x  Tc</t>
  </si>
  <si>
    <t xml:space="preserve">                Tc= Total No. of Coat </t>
  </si>
  <si>
    <t xml:space="preserve">                 L= Labour cost/ Sq Mtr </t>
  </si>
  <si>
    <t xml:space="preserve"> Total Labour Cost =   </t>
  </si>
  <si>
    <t>Area Calculation</t>
  </si>
  <si>
    <t>Cost Calculation</t>
  </si>
  <si>
    <t>As New</t>
  </si>
  <si>
    <t xml:space="preserve">   Rc  x  p  </t>
  </si>
  <si>
    <t xml:space="preserve">   Pc  x  P  </t>
  </si>
  <si>
    <t xml:space="preserve">Hence, Total Paint Area Of Crane = </t>
  </si>
  <si>
    <t xml:space="preserve">                                   (Per 2 Coat)</t>
  </si>
  <si>
    <t xml:space="preserve">                                   (Per 3 Coat)</t>
  </si>
  <si>
    <t>If number of coat increase price increase auto</t>
  </si>
  <si>
    <t>As Per taken previously</t>
  </si>
  <si>
    <t>Box Girder Width =</t>
  </si>
  <si>
    <t>Box Girder Height =</t>
  </si>
  <si>
    <t xml:space="preserve">    Paint Area of Structure = </t>
  </si>
  <si>
    <t>±</t>
  </si>
  <si>
    <t>Wt of Crab + Lifted Capacity =</t>
  </si>
  <si>
    <t xml:space="preserve">Forged Steel (C55Mn75) </t>
  </si>
  <si>
    <t>Clamp</t>
  </si>
  <si>
    <t>70X50mm bar</t>
  </si>
  <si>
    <t>70X60</t>
  </si>
  <si>
    <t>70X60mm bar</t>
  </si>
  <si>
    <t>Find Difference</t>
  </si>
  <si>
    <t>WIDTH(Top)</t>
  </si>
  <si>
    <t>WIDTH(Botom)</t>
  </si>
  <si>
    <t>BOTOM. TH</t>
  </si>
  <si>
    <t>WEB TH (Left)</t>
  </si>
  <si>
    <t>WEB TH (Right)</t>
  </si>
  <si>
    <t>Pendant Push Button (Fixed Type)</t>
  </si>
  <si>
    <t>Pitch circle Dia. of Rope drum in  mtr  = Rope Dia + Drum Dia</t>
  </si>
  <si>
    <t xml:space="preserve">Crane Capacity.: </t>
  </si>
  <si>
    <t xml:space="preserve">Weight of Crab.: </t>
  </si>
  <si>
    <t>Input : Girder Section</t>
  </si>
  <si>
    <t>FEM</t>
  </si>
  <si>
    <t>C1</t>
  </si>
  <si>
    <t>Group Mech</t>
  </si>
  <si>
    <t>C2</t>
  </si>
  <si>
    <t>.</t>
  </si>
  <si>
    <t>Brk Per Motor</t>
  </si>
  <si>
    <t>Pl. Chek in EST.</t>
  </si>
  <si>
    <t>{Total Brake in CT}</t>
  </si>
  <si>
    <t>TCBR-……</t>
  </si>
  <si>
    <t xml:space="preserve">D/G EOT CRANE  </t>
  </si>
  <si>
    <t xml:space="preserve">D/G GANTRY CRANE  </t>
  </si>
  <si>
    <t>Elite</t>
  </si>
  <si>
    <t>Capacity of Main Hoist</t>
  </si>
  <si>
    <t>Capacity of Auxiliary Hoist</t>
  </si>
  <si>
    <t xml:space="preserve">Span </t>
  </si>
  <si>
    <t>Main Hoist Height of Lift</t>
  </si>
  <si>
    <t>Auxiliary Hoist Height of Lift</t>
  </si>
  <si>
    <t>Main Power Power / Control Voltage</t>
  </si>
  <si>
    <t>AC 415V, 3Phase, 50Hz / 110 V, 1Phase , 50HZ ± 10%</t>
  </si>
  <si>
    <t>Main Hoist Speed</t>
  </si>
  <si>
    <t>Auxiliary Hoist Speed</t>
  </si>
  <si>
    <t>Cross Travel Speed</t>
  </si>
  <si>
    <t>Long Travel Speed</t>
  </si>
  <si>
    <t>Main Hoist Motor Rating</t>
  </si>
  <si>
    <t>Auxiliary Hoist Motor Rating</t>
  </si>
  <si>
    <t>Cross Travel Motor Rating</t>
  </si>
  <si>
    <t>Long Travel Motor Rating</t>
  </si>
  <si>
    <t>Main Hoist Brake Type</t>
  </si>
  <si>
    <t>Auxiliary Hoist Brake Type</t>
  </si>
  <si>
    <t>Cross Travel Brake Type</t>
  </si>
  <si>
    <t>Long Travel Brake Type</t>
  </si>
  <si>
    <t>Main Hoist Gear Box Ratio</t>
  </si>
  <si>
    <t>Auxiliary Hoist Gear Box Ratio</t>
  </si>
  <si>
    <t>Cross Travel Gear Box Ratio</t>
  </si>
  <si>
    <t>Long Travel Gear Box Ratio</t>
  </si>
  <si>
    <t>Gear Box Type</t>
  </si>
  <si>
    <t>Main Hoist Wire Rope Diameter</t>
  </si>
  <si>
    <t>Auxiliary Hoist Wire Rope Diameter</t>
  </si>
  <si>
    <t>Main Hoist Number of Falls</t>
  </si>
  <si>
    <t>Auxiliary Hoist Number of Falls</t>
  </si>
  <si>
    <t>Wire Rope Construction</t>
  </si>
  <si>
    <t>Main Hoist Hook</t>
  </si>
  <si>
    <t>Auxiliary Hoist Hook</t>
  </si>
  <si>
    <t>Cross Travel Wheel Diameter</t>
  </si>
  <si>
    <t>200 dia X 4 nos</t>
  </si>
  <si>
    <t>Long Travel Wheel Diameter</t>
  </si>
  <si>
    <t>Wheel Hardness BHN</t>
  </si>
  <si>
    <t>Cross Travel Rail</t>
  </si>
  <si>
    <t>Long Travel Rail</t>
  </si>
  <si>
    <t>Weight of Crab</t>
  </si>
  <si>
    <t>VVVF Drive</t>
  </si>
  <si>
    <t>Stand alone type VVVF drive + Non-AC Panel Enclosures will be provided</t>
  </si>
  <si>
    <t>Limit switch for Hoisting</t>
  </si>
  <si>
    <t>Limit switch for Travelling</t>
  </si>
  <si>
    <t>Cross Travel Power Feeding type</t>
  </si>
  <si>
    <t>Through Festooning System</t>
  </si>
  <si>
    <t>Long Travel Power Supply</t>
  </si>
  <si>
    <t>Through Shrouded Type DSL System</t>
  </si>
  <si>
    <t>Anti-collision Device</t>
  </si>
  <si>
    <t>Provided</t>
  </si>
  <si>
    <t>Tandem Mode</t>
  </si>
  <si>
    <t xml:space="preserve"> Features of eliteMHE make cranes included in Scope :-</t>
  </si>
  <si>
    <t>Lubrication System for Wheels &amp; Pulleys: Local point type lubrication &amp; for Gearbox: Splash type</t>
  </si>
  <si>
    <t>Hook with safety Latch Will be provide</t>
  </si>
  <si>
    <t>For Elite Industries Ltd.</t>
  </si>
  <si>
    <t xml:space="preserve">Bhavesh Amipara ( Director ) </t>
  </si>
  <si>
    <t>280 to 300</t>
  </si>
  <si>
    <r>
      <t>Considering Drum made from</t>
    </r>
    <r>
      <rPr>
        <sz val="11"/>
        <color indexed="10"/>
        <rFont val="Calibri"/>
        <family val="2"/>
        <scheme val="minor"/>
      </rPr>
      <t xml:space="preserve"> ASTM 106 Gr.B. Seamless Pipe</t>
    </r>
  </si>
  <si>
    <r>
      <t xml:space="preserve">M  x V x </t>
    </r>
    <r>
      <rPr>
        <u/>
        <sz val="11"/>
        <color indexed="10"/>
        <rFont val="Calibri"/>
        <family val="2"/>
        <scheme val="minor"/>
      </rPr>
      <t>Cv X Cdf  x MF</t>
    </r>
  </si>
  <si>
    <r>
      <t xml:space="preserve">Ambient Temperature derating factor for </t>
    </r>
    <r>
      <rPr>
        <vertAlign val="superscript"/>
        <sz val="11"/>
        <rFont val="Calibri"/>
        <family val="2"/>
        <scheme val="minor"/>
      </rPr>
      <t>O</t>
    </r>
    <r>
      <rPr>
        <sz val="11"/>
        <rFont val="Calibri"/>
        <family val="2"/>
        <scheme val="minor"/>
      </rPr>
      <t xml:space="preserve"> c</t>
    </r>
  </si>
  <si>
    <r>
      <t xml:space="preserve">THE MINIMUM BREAKING LOAD OF THE WIRE ROPE  =  </t>
    </r>
    <r>
      <rPr>
        <u/>
        <sz val="11"/>
        <rFont val="Calibri"/>
        <family val="2"/>
        <scheme val="minor"/>
      </rPr>
      <t>( Q + Wsb + r ) * Zp *  Cdf</t>
    </r>
  </si>
  <si>
    <r>
      <t>kgf/cm</t>
    </r>
    <r>
      <rPr>
        <vertAlign val="superscript"/>
        <sz val="11"/>
        <rFont val="Calibri"/>
        <family val="2"/>
        <scheme val="minor"/>
      </rPr>
      <t>2</t>
    </r>
  </si>
  <si>
    <r>
      <t>3.14 x (D1</t>
    </r>
    <r>
      <rPr>
        <u/>
        <vertAlign val="superscript"/>
        <sz val="11"/>
        <rFont val="Calibri"/>
        <family val="2"/>
        <scheme val="minor"/>
      </rPr>
      <t>4</t>
    </r>
    <r>
      <rPr>
        <u/>
        <sz val="11"/>
        <rFont val="Calibri"/>
        <family val="2"/>
        <scheme val="minor"/>
      </rPr>
      <t xml:space="preserve"> -D2 </t>
    </r>
    <r>
      <rPr>
        <u/>
        <vertAlign val="superscript"/>
        <sz val="11"/>
        <rFont val="Calibri"/>
        <family val="2"/>
        <scheme val="minor"/>
      </rPr>
      <t>4</t>
    </r>
    <r>
      <rPr>
        <u/>
        <sz val="11"/>
        <rFont val="Calibri"/>
        <family val="2"/>
        <scheme val="minor"/>
      </rPr>
      <t>)</t>
    </r>
  </si>
  <si>
    <r>
      <t>cm</t>
    </r>
    <r>
      <rPr>
        <vertAlign val="superscript"/>
        <sz val="11"/>
        <rFont val="Calibri"/>
        <family val="2"/>
        <scheme val="minor"/>
      </rPr>
      <t>3</t>
    </r>
  </si>
  <si>
    <r>
      <t>(4.8 x 195 ) - (1.8</t>
    </r>
    <r>
      <rPr>
        <u/>
        <sz val="11"/>
        <rFont val="Calibri"/>
        <family val="2"/>
        <scheme val="minor"/>
      </rPr>
      <t>*195 X</t>
    </r>
  </si>
  <si>
    <r>
      <t>f b= Compression Stress=</t>
    </r>
    <r>
      <rPr>
        <u/>
        <sz val="11"/>
        <rFont val="Calibri"/>
        <family val="2"/>
        <scheme val="minor"/>
      </rPr>
      <t>BM</t>
    </r>
  </si>
  <si>
    <r>
      <t>T/cm</t>
    </r>
    <r>
      <rPr>
        <vertAlign val="superscript"/>
        <sz val="11"/>
        <rFont val="Calibri"/>
        <family val="2"/>
        <scheme val="minor"/>
      </rPr>
      <t>2</t>
    </r>
  </si>
  <si>
    <r>
      <t xml:space="preserve">Torsion section Modulas=  3.14/16  x  (D1 </t>
    </r>
    <r>
      <rPr>
        <vertAlign val="superscript"/>
        <sz val="11"/>
        <rFont val="Calibri"/>
        <family val="2"/>
        <scheme val="minor"/>
      </rPr>
      <t>4</t>
    </r>
    <r>
      <rPr>
        <sz val="11"/>
        <rFont val="Calibri"/>
        <family val="2"/>
        <scheme val="minor"/>
      </rPr>
      <t xml:space="preserve">- D2 </t>
    </r>
    <r>
      <rPr>
        <vertAlign val="superscript"/>
        <sz val="11"/>
        <rFont val="Calibri"/>
        <family val="2"/>
        <scheme val="minor"/>
      </rPr>
      <t>4</t>
    </r>
    <r>
      <rPr>
        <sz val="11"/>
        <rFont val="Calibri"/>
        <family val="2"/>
        <scheme val="minor"/>
      </rPr>
      <t>)/D1</t>
    </r>
  </si>
  <si>
    <r>
      <t>3.14/16x (76</t>
    </r>
    <r>
      <rPr>
        <vertAlign val="superscript"/>
        <sz val="11"/>
        <rFont val="Calibri"/>
        <family val="2"/>
        <scheme val="minor"/>
      </rPr>
      <t>4</t>
    </r>
    <r>
      <rPr>
        <sz val="11"/>
        <rFont val="Calibri"/>
        <family val="2"/>
        <scheme val="minor"/>
      </rPr>
      <t>-71.4</t>
    </r>
    <r>
      <rPr>
        <vertAlign val="superscript"/>
        <sz val="11"/>
        <rFont val="Calibri"/>
        <family val="2"/>
        <scheme val="minor"/>
      </rPr>
      <t>4</t>
    </r>
    <r>
      <rPr>
        <sz val="11"/>
        <rFont val="Calibri"/>
        <family val="2"/>
        <scheme val="minor"/>
      </rPr>
      <t>)/76</t>
    </r>
  </si>
  <si>
    <r>
      <t>(fc)</t>
    </r>
    <r>
      <rPr>
        <vertAlign val="superscript"/>
        <sz val="11"/>
        <rFont val="Calibri"/>
        <family val="2"/>
        <scheme val="minor"/>
      </rPr>
      <t>2</t>
    </r>
    <r>
      <rPr>
        <sz val="11"/>
        <rFont val="Calibri"/>
        <family val="2"/>
        <scheme val="minor"/>
      </rPr>
      <t>+ (f b)</t>
    </r>
    <r>
      <rPr>
        <vertAlign val="superscript"/>
        <sz val="11"/>
        <rFont val="Calibri"/>
        <family val="2"/>
        <scheme val="minor"/>
      </rPr>
      <t>2</t>
    </r>
    <r>
      <rPr>
        <sz val="11"/>
        <rFont val="Calibri"/>
        <family val="2"/>
        <scheme val="minor"/>
      </rPr>
      <t>+ ( f cr x f b)+(3 x (fTs.)</t>
    </r>
    <r>
      <rPr>
        <vertAlign val="superscript"/>
        <sz val="11"/>
        <rFont val="Calibri"/>
        <family val="2"/>
        <scheme val="minor"/>
      </rPr>
      <t>2</t>
    </r>
  </si>
  <si>
    <r>
      <t>kgf/cm</t>
    </r>
    <r>
      <rPr>
        <b/>
        <vertAlign val="superscript"/>
        <sz val="11"/>
        <rFont val="Calibri"/>
        <family val="2"/>
        <scheme val="minor"/>
      </rPr>
      <t>2</t>
    </r>
  </si>
  <si>
    <r>
      <t xml:space="preserve">For </t>
    </r>
    <r>
      <rPr>
        <b/>
        <sz val="11"/>
        <color indexed="10"/>
        <rFont val="Calibri"/>
        <family val="2"/>
        <scheme val="minor"/>
      </rPr>
      <t xml:space="preserve">Fabricated / Seamless Pipe </t>
    </r>
    <r>
      <rPr>
        <b/>
        <sz val="11"/>
        <rFont val="Calibri"/>
        <family val="2"/>
        <scheme val="minor"/>
      </rPr>
      <t>Rope Drum Combined Permissible Stress as per Redenko is 1400 kgf/cm</t>
    </r>
    <r>
      <rPr>
        <b/>
        <vertAlign val="superscript"/>
        <sz val="11"/>
        <rFont val="Calibri"/>
        <family val="2"/>
        <scheme val="minor"/>
      </rPr>
      <t>2</t>
    </r>
  </si>
  <si>
    <r>
      <t>I</t>
    </r>
    <r>
      <rPr>
        <vertAlign val="subscript"/>
        <sz val="11"/>
        <rFont val="Calibri"/>
        <family val="2"/>
        <scheme val="minor"/>
      </rPr>
      <t>R</t>
    </r>
    <r>
      <rPr>
        <sz val="11"/>
        <rFont val="Calibri"/>
        <family val="2"/>
        <scheme val="minor"/>
      </rPr>
      <t xml:space="preserve"> =Transmission ratio = Total no of falls / No of falls leaving the drum</t>
    </r>
  </si>
  <si>
    <r>
      <t>K</t>
    </r>
    <r>
      <rPr>
        <vertAlign val="subscript"/>
        <sz val="11"/>
        <rFont val="Calibri"/>
        <family val="2"/>
        <scheme val="minor"/>
      </rPr>
      <t>2</t>
    </r>
    <r>
      <rPr>
        <sz val="11"/>
        <rFont val="Calibri"/>
        <family val="2"/>
        <scheme val="minor"/>
      </rPr>
      <t xml:space="preserve">= EFFICIENCY </t>
    </r>
  </si>
  <si>
    <r>
      <t>(0.99)</t>
    </r>
    <r>
      <rPr>
        <vertAlign val="superscript"/>
        <sz val="11"/>
        <rFont val="Calibri"/>
        <family val="2"/>
        <scheme val="minor"/>
      </rPr>
      <t>n</t>
    </r>
  </si>
  <si>
    <r>
      <t xml:space="preserve">GEAR RATIO REQUIRED = </t>
    </r>
    <r>
      <rPr>
        <u/>
        <sz val="11"/>
        <rFont val="Calibri"/>
        <family val="2"/>
        <scheme val="minor"/>
      </rPr>
      <t>( 3.1416 * PCD * RPM )</t>
    </r>
  </si>
  <si>
    <r>
      <t>STATIC ROPE TENSION (F</t>
    </r>
    <r>
      <rPr>
        <b/>
        <vertAlign val="subscript"/>
        <sz val="11"/>
        <rFont val="Calibri"/>
        <family val="2"/>
        <scheme val="minor"/>
      </rPr>
      <t>P</t>
    </r>
    <r>
      <rPr>
        <b/>
        <sz val="11"/>
        <rFont val="Calibri"/>
        <family val="2"/>
        <scheme val="minor"/>
      </rPr>
      <t>) =</t>
    </r>
  </si>
  <si>
    <r>
      <t xml:space="preserve"> ={(Q+G) / '(I</t>
    </r>
    <r>
      <rPr>
        <b/>
        <vertAlign val="subscript"/>
        <sz val="11"/>
        <rFont val="Calibri"/>
        <family val="2"/>
        <scheme val="minor"/>
      </rPr>
      <t>r</t>
    </r>
    <r>
      <rPr>
        <b/>
        <sz val="11"/>
        <rFont val="Calibri"/>
        <family val="2"/>
        <scheme val="minor"/>
      </rPr>
      <t xml:space="preserve"> X K</t>
    </r>
    <r>
      <rPr>
        <b/>
        <vertAlign val="subscript"/>
        <sz val="11"/>
        <rFont val="Calibri"/>
        <family val="2"/>
        <scheme val="minor"/>
      </rPr>
      <t>2</t>
    </r>
    <r>
      <rPr>
        <b/>
        <sz val="11"/>
        <rFont val="Calibri"/>
        <family val="2"/>
        <scheme val="minor"/>
      </rPr>
      <t>)} x 9810</t>
    </r>
  </si>
  <si>
    <r>
      <t>K</t>
    </r>
    <r>
      <rPr>
        <vertAlign val="subscript"/>
        <sz val="11"/>
        <rFont val="Calibri"/>
        <family val="2"/>
        <scheme val="minor"/>
      </rPr>
      <t xml:space="preserve">1 </t>
    </r>
    <r>
      <rPr>
        <sz val="11"/>
        <rFont val="Calibri"/>
        <family val="2"/>
        <scheme val="minor"/>
      </rPr>
      <t>= SERVICE FACTOR ( AS PER CLASS OF CRANE)=</t>
    </r>
  </si>
  <si>
    <t>THE MINIMUM BREAKING LOAD OF THE WIRE ROPE  =  ( Q + Wsb+ r ) * Zp *  Cdf</t>
  </si>
  <si>
    <r>
      <t xml:space="preserve">Ambient Temperature derating factor for </t>
    </r>
    <r>
      <rPr>
        <vertAlign val="superscript"/>
        <sz val="11"/>
        <rFont val="Calibri"/>
        <family val="2"/>
        <scheme val="minor"/>
      </rPr>
      <t>O</t>
    </r>
    <r>
      <rPr>
        <sz val="11"/>
        <rFont val="Calibri"/>
        <family val="2"/>
        <scheme val="minor"/>
      </rPr>
      <t xml:space="preserve"> C</t>
    </r>
  </si>
  <si>
    <r>
      <t xml:space="preserve">For </t>
    </r>
    <r>
      <rPr>
        <b/>
        <sz val="11"/>
        <color indexed="10"/>
        <rFont val="Calibri"/>
        <family val="2"/>
        <scheme val="minor"/>
      </rPr>
      <t xml:space="preserve">Fabricated / Seamless Pipe Rope Drum </t>
    </r>
    <r>
      <rPr>
        <b/>
        <sz val="11"/>
        <rFont val="Calibri"/>
        <family val="2"/>
        <scheme val="minor"/>
      </rPr>
      <t>Combined Permissible Stress as per Redenko(page no. 67) is 1400 kgf/cm</t>
    </r>
    <r>
      <rPr>
        <b/>
        <vertAlign val="superscript"/>
        <sz val="11"/>
        <rFont val="Calibri"/>
        <family val="2"/>
        <scheme val="minor"/>
      </rPr>
      <t>2</t>
    </r>
  </si>
  <si>
    <r>
      <t xml:space="preserve">KW REQUIRED =    </t>
    </r>
    <r>
      <rPr>
        <u/>
        <sz val="11"/>
        <rFont val="Calibri"/>
        <family val="2"/>
        <scheme val="minor"/>
      </rPr>
      <t>M * V*Cdf *S</t>
    </r>
    <r>
      <rPr>
        <sz val="11"/>
        <rFont val="Calibri"/>
        <family val="2"/>
        <scheme val="minor"/>
      </rPr>
      <t xml:space="preserve"> *( F + </t>
    </r>
    <r>
      <rPr>
        <u/>
        <sz val="11"/>
        <rFont val="Calibri"/>
        <family val="2"/>
        <scheme val="minor"/>
      </rPr>
      <t>1100 * a</t>
    </r>
    <r>
      <rPr>
        <sz val="11"/>
        <rFont val="Calibri"/>
        <family val="2"/>
        <scheme val="minor"/>
      </rPr>
      <t xml:space="preserve">  )  </t>
    </r>
  </si>
  <si>
    <r>
      <t xml:space="preserve">THEREFORE , </t>
    </r>
    <r>
      <rPr>
        <b/>
        <sz val="11"/>
        <rFont val="Calibri"/>
        <family val="2"/>
        <scheme val="minor"/>
      </rPr>
      <t>KW</t>
    </r>
    <r>
      <rPr>
        <sz val="11"/>
        <rFont val="Calibri"/>
        <family val="2"/>
        <scheme val="minor"/>
      </rPr>
      <t xml:space="preserve"> POWER REQUIRED</t>
    </r>
  </si>
  <si>
    <r>
      <t xml:space="preserve">GEAR RATIO REQUIRED =  </t>
    </r>
    <r>
      <rPr>
        <u/>
        <sz val="11"/>
        <rFont val="Calibri"/>
        <family val="2"/>
        <scheme val="minor"/>
      </rPr>
      <t>3.1416 * WHEEL DIA * RPM</t>
    </r>
    <r>
      <rPr>
        <sz val="11"/>
        <rFont val="Calibri"/>
        <family val="2"/>
        <scheme val="minor"/>
      </rPr>
      <t xml:space="preserve">     =</t>
    </r>
  </si>
  <si>
    <t>Cz</t>
  </si>
  <si>
    <t>C L</t>
  </si>
  <si>
    <r>
      <t xml:space="preserve">KW REQUIRED =     </t>
    </r>
    <r>
      <rPr>
        <u/>
        <sz val="11"/>
        <rFont val="Calibri"/>
        <family val="2"/>
        <scheme val="minor"/>
      </rPr>
      <t>M*V*Cdf *S</t>
    </r>
    <r>
      <rPr>
        <sz val="11"/>
        <rFont val="Calibri"/>
        <family val="2"/>
        <scheme val="minor"/>
      </rPr>
      <t xml:space="preserve">*  (F+ </t>
    </r>
    <r>
      <rPr>
        <u/>
        <sz val="11"/>
        <rFont val="Calibri"/>
        <family val="2"/>
        <scheme val="minor"/>
      </rPr>
      <t>1100*a )</t>
    </r>
    <r>
      <rPr>
        <sz val="11"/>
        <rFont val="Calibri"/>
        <family val="2"/>
        <scheme val="minor"/>
      </rPr>
      <t xml:space="preserve"> *   MF    </t>
    </r>
  </si>
  <si>
    <r>
      <t xml:space="preserve">Effective Area of Main Girder </t>
    </r>
    <r>
      <rPr>
        <b/>
        <sz val="11"/>
        <rFont val="Calibri"/>
        <family val="2"/>
        <scheme val="minor"/>
      </rPr>
      <t>(Front Girder)</t>
    </r>
  </si>
  <si>
    <r>
      <t xml:space="preserve">Effective Area of Main Girder </t>
    </r>
    <r>
      <rPr>
        <b/>
        <sz val="11"/>
        <rFont val="Calibri"/>
        <family val="2"/>
        <scheme val="minor"/>
      </rPr>
      <t>(Back Girder)</t>
    </r>
  </si>
  <si>
    <r>
      <t>Gear Box</t>
    </r>
    <r>
      <rPr>
        <b/>
        <sz val="11"/>
        <rFont val="Calibri"/>
        <family val="2"/>
        <scheme val="minor"/>
      </rPr>
      <t xml:space="preserve"> : -</t>
    </r>
  </si>
  <si>
    <r>
      <rPr>
        <b/>
        <u/>
        <sz val="11"/>
        <rFont val="Calibri"/>
        <family val="2"/>
        <scheme val="minor"/>
      </rPr>
      <t>MECHANISM  SPECIFICATION</t>
    </r>
    <r>
      <rPr>
        <b/>
        <sz val="11"/>
        <rFont val="Calibri"/>
        <family val="2"/>
        <scheme val="minor"/>
      </rPr>
      <t>:</t>
    </r>
  </si>
  <si>
    <r>
      <rPr>
        <sz val="11"/>
        <rFont val="Calibri"/>
        <family val="2"/>
        <scheme val="minor"/>
      </rPr>
      <t xml:space="preserve">Rating </t>
    </r>
    <r>
      <rPr>
        <b/>
        <u/>
        <sz val="11"/>
        <color indexed="30"/>
        <rFont val="Calibri"/>
        <family val="2"/>
        <scheme val="minor"/>
      </rPr>
      <t>(Mechanical)</t>
    </r>
  </si>
  <si>
    <r>
      <t xml:space="preserve">Ratio  </t>
    </r>
    <r>
      <rPr>
        <b/>
        <sz val="11"/>
        <rFont val="Calibri"/>
        <family val="2"/>
        <scheme val="minor"/>
      </rPr>
      <t>MH- HP</t>
    </r>
  </si>
  <si>
    <r>
      <t xml:space="preserve">Ratio </t>
    </r>
    <r>
      <rPr>
        <b/>
        <sz val="11"/>
        <rFont val="Calibri"/>
        <family val="2"/>
        <scheme val="minor"/>
      </rPr>
      <t>CT HP</t>
    </r>
  </si>
  <si>
    <r>
      <t xml:space="preserve">Size   </t>
    </r>
    <r>
      <rPr>
        <b/>
        <sz val="11"/>
        <rFont val="Calibri"/>
        <family val="2"/>
        <scheme val="minor"/>
      </rPr>
      <t>AH - HP</t>
    </r>
  </si>
  <si>
    <r>
      <t xml:space="preserve">Size  </t>
    </r>
    <r>
      <rPr>
        <b/>
        <sz val="11"/>
        <rFont val="Calibri"/>
        <family val="2"/>
        <scheme val="minor"/>
      </rPr>
      <t>LT HP</t>
    </r>
  </si>
  <si>
    <r>
      <t>Width of platform x Span X</t>
    </r>
    <r>
      <rPr>
        <b/>
        <sz val="11"/>
        <color rgb="FF0101FF"/>
        <rFont val="Calibri"/>
        <family val="2"/>
        <scheme val="minor"/>
      </rPr>
      <t xml:space="preserve"> 3</t>
    </r>
  </si>
  <si>
    <r>
      <rPr>
        <b/>
        <sz val="11"/>
        <rFont val="Calibri"/>
        <family val="2"/>
        <scheme val="minor"/>
      </rPr>
      <t xml:space="preserve">                        </t>
    </r>
    <r>
      <rPr>
        <b/>
        <u/>
        <sz val="11"/>
        <rFont val="Calibri"/>
        <family val="2"/>
        <scheme val="minor"/>
      </rPr>
      <t>Calculation for Paint Area of D/G EOT Crane</t>
    </r>
  </si>
  <si>
    <r>
      <t xml:space="preserve">   </t>
    </r>
    <r>
      <rPr>
        <b/>
        <sz val="11"/>
        <rFont val="Calibri"/>
        <family val="2"/>
        <scheme val="minor"/>
      </rPr>
      <t xml:space="preserve"> Cost of Redoxide coat </t>
    </r>
    <r>
      <rPr>
        <sz val="11"/>
        <rFont val="Calibri"/>
        <family val="2"/>
        <scheme val="minor"/>
      </rPr>
      <t>=  Redoxide Use for Total Sq Area/ Coat  x Price of Red oxide/ltr  x No of Coat</t>
    </r>
  </si>
  <si>
    <r>
      <t xml:space="preserve">     </t>
    </r>
    <r>
      <rPr>
        <b/>
        <sz val="11"/>
        <rFont val="Calibri"/>
        <family val="2"/>
        <scheme val="minor"/>
      </rPr>
      <t>Cost of Paint Coat</t>
    </r>
    <r>
      <rPr>
        <sz val="11"/>
        <rFont val="Calibri"/>
        <family val="2"/>
        <scheme val="minor"/>
      </rPr>
      <t xml:space="preserve"> </t>
    </r>
  </si>
  <si>
    <r>
      <t xml:space="preserve">      </t>
    </r>
    <r>
      <rPr>
        <b/>
        <sz val="11"/>
        <rFont val="Calibri"/>
        <family val="2"/>
        <scheme val="minor"/>
      </rPr>
      <t xml:space="preserve">Total Painting Cost  </t>
    </r>
  </si>
  <si>
    <t xml:space="preserve">A1 : Upper </t>
  </si>
  <si>
    <r>
      <t>kg/cm</t>
    </r>
    <r>
      <rPr>
        <vertAlign val="superscript"/>
        <sz val="11"/>
        <rFont val="Calibri"/>
        <family val="2"/>
        <scheme val="minor"/>
      </rPr>
      <t>2</t>
    </r>
  </si>
  <si>
    <r>
      <t>Cm.</t>
    </r>
    <r>
      <rPr>
        <vertAlign val="superscript"/>
        <sz val="11"/>
        <rFont val="Calibri"/>
        <family val="2"/>
        <scheme val="minor"/>
      </rPr>
      <t>2</t>
    </r>
  </si>
  <si>
    <r>
      <t>Cm.</t>
    </r>
    <r>
      <rPr>
        <vertAlign val="superscript"/>
        <sz val="11"/>
        <rFont val="Calibri"/>
        <family val="2"/>
        <scheme val="minor"/>
      </rPr>
      <t>4</t>
    </r>
  </si>
  <si>
    <r>
      <t>Cm.</t>
    </r>
    <r>
      <rPr>
        <vertAlign val="superscript"/>
        <sz val="11"/>
        <rFont val="Calibri"/>
        <family val="2"/>
        <scheme val="minor"/>
      </rPr>
      <t>3</t>
    </r>
  </si>
  <si>
    <r>
      <t>r</t>
    </r>
    <r>
      <rPr>
        <vertAlign val="subscript"/>
        <sz val="11"/>
        <rFont val="Calibri"/>
        <family val="2"/>
        <scheme val="minor"/>
      </rPr>
      <t>yy</t>
    </r>
  </si>
  <si>
    <r>
      <t>cm</t>
    </r>
    <r>
      <rPr>
        <vertAlign val="superscript"/>
        <sz val="11"/>
        <rFont val="Calibri"/>
        <family val="2"/>
        <scheme val="minor"/>
      </rPr>
      <t>2</t>
    </r>
  </si>
  <si>
    <r>
      <t>N/mm</t>
    </r>
    <r>
      <rPr>
        <vertAlign val="superscript"/>
        <sz val="11"/>
        <rFont val="Calibri"/>
        <family val="2"/>
        <scheme val="minor"/>
      </rPr>
      <t>2</t>
    </r>
  </si>
  <si>
    <r>
      <t>R</t>
    </r>
    <r>
      <rPr>
        <vertAlign val="subscript"/>
        <sz val="11"/>
        <rFont val="Calibri"/>
        <family val="2"/>
        <scheme val="minor"/>
      </rPr>
      <t>A</t>
    </r>
  </si>
  <si>
    <r>
      <t>R</t>
    </r>
    <r>
      <rPr>
        <vertAlign val="subscript"/>
        <sz val="11"/>
        <rFont val="Calibri"/>
        <family val="2"/>
        <scheme val="minor"/>
      </rPr>
      <t>B</t>
    </r>
  </si>
  <si>
    <r>
      <t>R</t>
    </r>
    <r>
      <rPr>
        <vertAlign val="subscript"/>
        <sz val="11"/>
        <rFont val="Calibri"/>
        <family val="2"/>
        <scheme val="minor"/>
      </rPr>
      <t>A=</t>
    </r>
  </si>
  <si>
    <r>
      <t>R</t>
    </r>
    <r>
      <rPr>
        <vertAlign val="subscript"/>
        <sz val="11"/>
        <rFont val="Calibri"/>
        <family val="2"/>
        <scheme val="minor"/>
      </rPr>
      <t>B=</t>
    </r>
  </si>
  <si>
    <r>
      <t>kg./Cm</t>
    </r>
    <r>
      <rPr>
        <vertAlign val="superscript"/>
        <sz val="11"/>
        <rFont val="Calibri"/>
        <family val="2"/>
        <scheme val="minor"/>
      </rPr>
      <t>2</t>
    </r>
  </si>
  <si>
    <r>
      <t>Stresses in kg./Cm</t>
    </r>
    <r>
      <rPr>
        <vertAlign val="superscript"/>
        <sz val="11"/>
        <rFont val="Calibri"/>
        <family val="2"/>
        <scheme val="minor"/>
      </rPr>
      <t>2</t>
    </r>
  </si>
  <si>
    <r>
      <t>t</t>
    </r>
    <r>
      <rPr>
        <vertAlign val="superscript"/>
        <sz val="11"/>
        <rFont val="Calibri"/>
        <family val="2"/>
        <scheme val="minor"/>
      </rPr>
      <t>3</t>
    </r>
    <r>
      <rPr>
        <sz val="11"/>
        <rFont val="Calibri"/>
        <family val="2"/>
        <scheme val="minor"/>
      </rPr>
      <t xml:space="preserve"> * h  </t>
    </r>
  </si>
  <si>
    <r>
      <t xml:space="preserve"> Camber reqd.                        =  Deflection due to dead wt. +  </t>
    </r>
    <r>
      <rPr>
        <u/>
        <sz val="11"/>
        <rFont val="Calibri"/>
        <family val="2"/>
        <scheme val="minor"/>
      </rPr>
      <t>1</t>
    </r>
    <r>
      <rPr>
        <sz val="11"/>
        <color indexed="8"/>
        <rFont val="Calibri"/>
        <family val="2"/>
        <scheme val="minor"/>
      </rPr>
      <t xml:space="preserve">  Deflection of Live Load</t>
    </r>
  </si>
  <si>
    <t xml:space="preserve">  &lt; 7</t>
  </si>
  <si>
    <t>Pendant Push Button (Movable Type)</t>
  </si>
  <si>
    <t>RRC (Joy Stick Type) &amp; Pendant Push Button (Movable Type)</t>
  </si>
  <si>
    <t>RRC (Push Button Type) &amp; Pendant Push Button (Movable Type)</t>
  </si>
  <si>
    <t xml:space="preserve"> &lt; 7</t>
  </si>
  <si>
    <t>Elite ↓</t>
  </si>
  <si>
    <t>Gear Coupling (Acc. Elite &amp; Class)</t>
  </si>
  <si>
    <t>Elite INDUSTRIES LIMITED</t>
  </si>
  <si>
    <t>Elite  2stage ↓</t>
  </si>
  <si>
    <t>Features of Elite make cranes included in Scope</t>
  </si>
  <si>
    <t>Elite INDUSTRIES LTD</t>
  </si>
  <si>
    <t>PBL</t>
  </si>
  <si>
    <t>Full length platform on Drive side and Two short corners on the other side of girder</t>
  </si>
  <si>
    <t>MDT 400-34</t>
  </si>
  <si>
    <t xml:space="preserve">S/G EOT CRANE  </t>
  </si>
  <si>
    <t xml:space="preserve">S/G GANTRY CRANE  </t>
  </si>
  <si>
    <t>Elite : 3177</t>
  </si>
  <si>
    <t>Elite : 4137</t>
  </si>
  <si>
    <t>Jib Crane</t>
  </si>
  <si>
    <t>Electric Hoist</t>
  </si>
  <si>
    <t>Semi Gantry</t>
  </si>
  <si>
    <t>Page 9</t>
  </si>
  <si>
    <t>Page 16</t>
  </si>
  <si>
    <t>Page 29</t>
  </si>
  <si>
    <t>BBL</t>
  </si>
  <si>
    <t>CG</t>
  </si>
  <si>
    <t>Dis30%</t>
  </si>
  <si>
    <t>LC
Price</t>
  </si>
  <si>
    <t>BCH
PRICE</t>
  </si>
  <si>
    <t>SOC
PRICE</t>
  </si>
  <si>
    <t>(GALVENISED </t>
  </si>
  <si>
    <t>Un GALVENISED </t>
  </si>
  <si>
    <t>GB Price kg/rs</t>
  </si>
  <si>
    <t>Select After Round Up</t>
  </si>
  <si>
    <t xml:space="preserve">Gear Box </t>
  </si>
  <si>
    <t>Upper Bottom Pulley</t>
  </si>
  <si>
    <t>Upper Bottom Pulley Bearing</t>
  </si>
  <si>
    <t>Hook &amp; Nut (Smriti Forging)</t>
  </si>
  <si>
    <t>THRUSTER CAPACITY</t>
  </si>
  <si>
    <t>P.O.R</t>
  </si>
  <si>
    <t>Srive</t>
  </si>
  <si>
    <t>ATV 320</t>
  </si>
  <si>
    <t>ATV340)</t>
  </si>
  <si>
    <t>INPUT</t>
  </si>
  <si>
    <t>GIRDER SECTION</t>
  </si>
  <si>
    <t>CT Rail Guage</t>
  </si>
  <si>
    <r>
      <rPr>
        <sz val="10"/>
        <color indexed="10"/>
        <rFont val="Tahoma"/>
        <family val="2"/>
        <charset val="134"/>
      </rPr>
      <t>cm</t>
    </r>
    <r>
      <rPr>
        <sz val="10"/>
        <rFont val="Tahoma"/>
        <family val="2"/>
        <charset val="134"/>
      </rPr>
      <t xml:space="preserve"> (</t>
    </r>
    <r>
      <rPr>
        <sz val="10"/>
        <color indexed="10"/>
        <rFont val="Tahoma"/>
        <family val="2"/>
        <charset val="134"/>
      </rPr>
      <t>Input</t>
    </r>
    <r>
      <rPr>
        <sz val="10"/>
        <rFont val="Tahoma"/>
        <family val="2"/>
        <charset val="134"/>
      </rPr>
      <t>)</t>
    </r>
  </si>
  <si>
    <t>RESULTS</t>
  </si>
  <si>
    <t>Span/wheel base</t>
  </si>
  <si>
    <t>(Crane area)</t>
  </si>
  <si>
    <t>ALLOW.</t>
  </si>
  <si>
    <t>Side force const.</t>
  </si>
  <si>
    <t>(As per graph)</t>
  </si>
  <si>
    <t>(Input)</t>
  </si>
  <si>
    <t>(CITY/COUNTRY) " MHPL Site</t>
  </si>
  <si>
    <t>mtr.</t>
  </si>
  <si>
    <t>Crane type</t>
  </si>
  <si>
    <t>Location-</t>
  </si>
  <si>
    <t>OUTDOOR</t>
  </si>
  <si>
    <t>DUTY FACTOR</t>
  </si>
  <si>
    <t>ANS</t>
  </si>
  <si>
    <t>Run Date:-</t>
  </si>
  <si>
    <t xml:space="preserve">Seismic </t>
  </si>
  <si>
    <t>Zone IV</t>
  </si>
  <si>
    <t>MCE</t>
  </si>
  <si>
    <t>CI- I</t>
  </si>
  <si>
    <t>Kg/m</t>
  </si>
  <si>
    <t>Run by:-</t>
  </si>
  <si>
    <t>DBE</t>
  </si>
  <si>
    <t>TOP</t>
  </si>
  <si>
    <t>BASE</t>
  </si>
  <si>
    <t>WT./M</t>
  </si>
  <si>
    <t>00</t>
  </si>
  <si>
    <r>
      <rPr>
        <sz val="9"/>
        <rFont val="Tahoma"/>
        <family val="2"/>
        <charset val="134"/>
      </rPr>
      <t xml:space="preserve">Design Standard:- </t>
    </r>
    <r>
      <rPr>
        <b/>
        <sz val="9"/>
        <rFont val="Tahoma"/>
        <family val="2"/>
        <charset val="134"/>
      </rPr>
      <t>IS 807:2006</t>
    </r>
  </si>
  <si>
    <t>40SQ..</t>
  </si>
  <si>
    <t>(No Corrosion Allowance consider)</t>
  </si>
  <si>
    <t>50SQ.</t>
  </si>
  <si>
    <t>CI-II</t>
  </si>
  <si>
    <t>30 lbs</t>
  </si>
  <si>
    <t>with BPB</t>
  </si>
  <si>
    <t>60 lbs</t>
  </si>
  <si>
    <t>2.2.1</t>
  </si>
  <si>
    <t>CI-III</t>
  </si>
  <si>
    <t>90 lbs</t>
  </si>
  <si>
    <t>Impact factor for class</t>
  </si>
  <si>
    <t>CI-IV</t>
  </si>
  <si>
    <t>105 lbs</t>
  </si>
  <si>
    <t>without BPB</t>
  </si>
  <si>
    <t>63SQ.</t>
  </si>
  <si>
    <t>DEAD LOAD (D.L.)</t>
  </si>
  <si>
    <t>kg (No E Room &amp; Canopy on panel)</t>
  </si>
  <si>
    <t>For Girder Proportion refer AIST-6,2005</t>
  </si>
  <si>
    <t>l/b =</t>
  </si>
  <si>
    <t>Min allow.section</t>
  </si>
  <si>
    <t>l/d =</t>
  </si>
  <si>
    <t>Wc/t =</t>
  </si>
  <si>
    <t>Kl/ryy =</t>
  </si>
  <si>
    <t>Load Distribution=</t>
  </si>
  <si>
    <t>Ht/tw =</t>
  </si>
  <si>
    <t>L/H &lt;=25</t>
  </si>
  <si>
    <t>* Provide one horizontal stiffner when H/T &lt; 250</t>
  </si>
  <si>
    <t>or *</t>
  </si>
  <si>
    <t xml:space="preserve">   Provide two horizotal stiffner when 400&gt; H/T &gt;250</t>
  </si>
  <si>
    <t>B/C &lt;=38</t>
  </si>
  <si>
    <t>H/T &lt;=400 *</t>
  </si>
  <si>
    <t>Kg/mtr(With All stiffeners)</t>
  </si>
  <si>
    <t>H/T &lt;=250 *</t>
  </si>
  <si>
    <t xml:space="preserve">Select girder plate material </t>
  </si>
  <si>
    <t>ST-42</t>
  </si>
  <si>
    <r>
      <rPr>
        <sz val="9"/>
        <rFont val="Tahoma"/>
        <family val="2"/>
        <charset val="134"/>
      </rPr>
      <t>N/mm</t>
    </r>
    <r>
      <rPr>
        <vertAlign val="superscript"/>
        <sz val="9"/>
        <rFont val="Tahoma"/>
        <family val="2"/>
        <charset val="134"/>
      </rPr>
      <t>2</t>
    </r>
  </si>
  <si>
    <t>Iy/Ix</t>
  </si>
  <si>
    <t>M1 to M5 =  0.08 to 0.10</t>
  </si>
  <si>
    <t>M6 to M8 =  0.12 to 0.14</t>
  </si>
  <si>
    <t>Table:-1</t>
  </si>
  <si>
    <t>Consider Flange Stiffener (Flat) size:-</t>
  </si>
  <si>
    <t>(Selection)</t>
  </si>
  <si>
    <t>Total weight of one Girder with CT Rail =</t>
  </si>
  <si>
    <r>
      <rPr>
        <b/>
        <sz val="9"/>
        <rFont val="Tahoma"/>
        <family val="2"/>
        <charset val="134"/>
      </rPr>
      <t>Kg (</t>
    </r>
    <r>
      <rPr>
        <b/>
        <sz val="9"/>
        <rFont val="Calibri"/>
        <family val="2"/>
        <charset val="134"/>
      </rPr>
      <t>~</t>
    </r>
    <r>
      <rPr>
        <b/>
        <sz val="9"/>
        <rFont val="Tahoma"/>
        <family val="2"/>
        <charset val="134"/>
      </rPr>
      <t>)</t>
    </r>
  </si>
  <si>
    <t>h =</t>
  </si>
  <si>
    <t>Not Req.</t>
  </si>
  <si>
    <t>Allowable stress</t>
  </si>
  <si>
    <t>(w/o Rail clamp,Splice joint &amp; End connection with Fastners)</t>
  </si>
  <si>
    <t>t =</t>
  </si>
  <si>
    <t xml:space="preserve"> Bending(Comp.)=</t>
  </si>
  <si>
    <t>Dimension is :-</t>
  </si>
  <si>
    <t xml:space="preserve"> Bending(Tens.)=</t>
  </si>
  <si>
    <t>Note:- Table 1 is valid only if B/C &gt;= 38</t>
  </si>
  <si>
    <t>Shear+Torsion=</t>
  </si>
  <si>
    <t>Without Dead wt.</t>
  </si>
  <si>
    <t>Damping Time:-(Sec.)</t>
  </si>
  <si>
    <t>With Dead wt.</t>
  </si>
  <si>
    <t>Fatigue stress range :-      (Kg/cm^2)</t>
  </si>
  <si>
    <t>Bearing Plate -</t>
  </si>
  <si>
    <t>Web Stiffener:-</t>
  </si>
  <si>
    <t>Diaphragm thk.</t>
  </si>
  <si>
    <t>NOTE :</t>
  </si>
  <si>
    <t>Short Diaph. Depth:-</t>
  </si>
  <si>
    <t>Thick.</t>
  </si>
  <si>
    <t>Damping Time Calculated :</t>
  </si>
  <si>
    <t>Damping Time Selected :</t>
  </si>
  <si>
    <t>FL 50 X 6</t>
  </si>
  <si>
    <t>Wind :</t>
  </si>
  <si>
    <t>b/c ratio</t>
  </si>
  <si>
    <t>FL 50 X 8</t>
  </si>
  <si>
    <t>Stiffener 1st:</t>
  </si>
  <si>
    <t>FL 50 X 10</t>
  </si>
  <si>
    <t>Stiffener 2nd:</t>
  </si>
  <si>
    <t>FL 75 X 6</t>
  </si>
  <si>
    <t>Plate :</t>
  </si>
  <si>
    <t>wt of girder</t>
  </si>
  <si>
    <t>FL 75 X 8</t>
  </si>
  <si>
    <t>74,91,99,122,125,150,180,210,250</t>
  </si>
  <si>
    <t>BASED ON SECTION WEIGHT ONLY</t>
  </si>
  <si>
    <t>FL 75 X 10</t>
  </si>
  <si>
    <t>Rate/kg (Rs.)=</t>
  </si>
  <si>
    <t>For E250 GR:Br</t>
  </si>
  <si>
    <t>FL 100 X 6</t>
  </si>
  <si>
    <t>Plate thk.</t>
  </si>
  <si>
    <t>ST-52</t>
  </si>
  <si>
    <t>FL 100 X 8</t>
  </si>
  <si>
    <t>&lt; 20 mm</t>
  </si>
  <si>
    <t>Appx cost (Rs.)=</t>
  </si>
  <si>
    <t>(2 Nos.Girder)</t>
  </si>
  <si>
    <t>FL 100 X 10</t>
  </si>
  <si>
    <t>20-40 mm</t>
  </si>
  <si>
    <t>FL 100 X 12</t>
  </si>
  <si>
    <t>&gt; 40 mm</t>
  </si>
  <si>
    <t>For E350 GR:Br</t>
  </si>
  <si>
    <t>FL 125 X 6</t>
  </si>
  <si>
    <t>FL 125 X 8</t>
  </si>
  <si>
    <t>E250 IS 2062 GR:BR</t>
  </si>
  <si>
    <t>FL 125 X 10</t>
  </si>
  <si>
    <t>E350 IS 2062 GR:BR</t>
  </si>
  <si>
    <t>FL 150 X 6</t>
  </si>
  <si>
    <t>FL 150 X 8</t>
  </si>
  <si>
    <t>FL 150 X 10</t>
  </si>
  <si>
    <t>FL 150 X 12</t>
  </si>
  <si>
    <t>FL 65 X 6</t>
  </si>
  <si>
    <t>clr</t>
  </si>
  <si>
    <t>X  (cm)</t>
  </si>
  <si>
    <t>Y(cm)</t>
  </si>
  <si>
    <t>C.G.</t>
  </si>
  <si>
    <t>WIDTH(T)</t>
  </si>
  <si>
    <t>WIDTH(B)</t>
  </si>
  <si>
    <r>
      <rPr>
        <sz val="10"/>
        <rFont val="Arial"/>
        <family val="2"/>
        <charset val="134"/>
      </rPr>
      <t>Cm.</t>
    </r>
    <r>
      <rPr>
        <vertAlign val="superscript"/>
        <sz val="10"/>
        <rFont val="Arial"/>
        <family val="2"/>
        <charset val="134"/>
      </rPr>
      <t>2</t>
    </r>
  </si>
  <si>
    <t>WEB TH (L).</t>
  </si>
  <si>
    <r>
      <rPr>
        <sz val="10"/>
        <rFont val="Arial"/>
        <family val="2"/>
        <charset val="134"/>
      </rPr>
      <t>Cm.</t>
    </r>
    <r>
      <rPr>
        <vertAlign val="superscript"/>
        <sz val="10"/>
        <rFont val="Arial"/>
        <family val="2"/>
        <charset val="134"/>
      </rPr>
      <t>4</t>
    </r>
  </si>
  <si>
    <t>WEB TH (R).</t>
  </si>
  <si>
    <r>
      <rPr>
        <sz val="10"/>
        <rFont val="Arial"/>
        <family val="2"/>
        <charset val="134"/>
      </rPr>
      <t>Cm.</t>
    </r>
    <r>
      <rPr>
        <vertAlign val="superscript"/>
        <sz val="10"/>
        <rFont val="Arial"/>
        <family val="2"/>
        <charset val="134"/>
      </rPr>
      <t>3</t>
    </r>
  </si>
  <si>
    <t>WEB.C/C</t>
  </si>
  <si>
    <t>Flange c/c</t>
  </si>
  <si>
    <t>Web dist./2</t>
  </si>
  <si>
    <r>
      <rPr>
        <sz val="10"/>
        <rFont val="Arial"/>
        <family val="2"/>
        <charset val="134"/>
      </rPr>
      <t>r</t>
    </r>
    <r>
      <rPr>
        <vertAlign val="subscript"/>
        <sz val="10"/>
        <rFont val="Arial"/>
        <family val="2"/>
        <charset val="134"/>
      </rPr>
      <t>yy</t>
    </r>
  </si>
  <si>
    <t>Shear Area</t>
  </si>
  <si>
    <r>
      <rPr>
        <sz val="10"/>
        <rFont val="Arial"/>
        <family val="2"/>
        <charset val="134"/>
      </rPr>
      <t>cm</t>
    </r>
    <r>
      <rPr>
        <vertAlign val="superscript"/>
        <sz val="10"/>
        <rFont val="Arial"/>
        <family val="2"/>
        <charset val="134"/>
      </rPr>
      <t>2</t>
    </r>
  </si>
  <si>
    <t xml:space="preserve"> It</t>
  </si>
  <si>
    <t>Shear(neck)</t>
  </si>
  <si>
    <r>
      <rPr>
        <sz val="10"/>
        <rFont val="Arial"/>
        <family val="2"/>
        <charset val="134"/>
      </rPr>
      <t>R</t>
    </r>
    <r>
      <rPr>
        <vertAlign val="subscript"/>
        <sz val="10"/>
        <rFont val="Arial"/>
        <family val="2"/>
        <charset val="134"/>
      </rPr>
      <t>A</t>
    </r>
  </si>
  <si>
    <r>
      <rPr>
        <sz val="10"/>
        <rFont val="Arial"/>
        <family val="2"/>
        <charset val="134"/>
      </rPr>
      <t>R</t>
    </r>
    <r>
      <rPr>
        <vertAlign val="subscript"/>
        <sz val="10"/>
        <rFont val="Arial"/>
        <family val="2"/>
        <charset val="134"/>
      </rPr>
      <t>B</t>
    </r>
  </si>
  <si>
    <r>
      <rPr>
        <sz val="10"/>
        <rFont val="Arial"/>
        <family val="2"/>
        <charset val="134"/>
      </rPr>
      <t>R</t>
    </r>
    <r>
      <rPr>
        <vertAlign val="subscript"/>
        <sz val="10"/>
        <rFont val="Arial"/>
        <family val="2"/>
        <charset val="134"/>
      </rPr>
      <t>A=</t>
    </r>
  </si>
  <si>
    <r>
      <rPr>
        <sz val="10"/>
        <rFont val="Arial"/>
        <family val="2"/>
        <charset val="134"/>
      </rPr>
      <t>R</t>
    </r>
    <r>
      <rPr>
        <vertAlign val="subscript"/>
        <sz val="10"/>
        <rFont val="Arial"/>
        <family val="2"/>
        <charset val="134"/>
      </rPr>
      <t>B=</t>
    </r>
  </si>
  <si>
    <t>kg./mtr</t>
  </si>
  <si>
    <t>BENDING MOMENT DUE TO SKEW FORCE(With duty factor)</t>
  </si>
  <si>
    <t>-------Eq.no.(2)</t>
  </si>
  <si>
    <t>Since,</t>
  </si>
  <si>
    <t>Refer AIST Cl.no.-2.2.4</t>
  </si>
  <si>
    <t>Force factor = 0.2 x No.of driven wheel /Total no.of LT wheels</t>
  </si>
  <si>
    <t>RL= Force factor*[(trolley wt.(t)+cap.(t))*(1-(hook app.(m)/span(m))+(0.5*crane wt.(t))]</t>
  </si>
  <si>
    <t>RL =</t>
  </si>
  <si>
    <t>RR= Force factor*[(trolley wt.(t)+cap.(t))*(hook app.(m)/span(m))+(0.5*crane wt.(t))]</t>
  </si>
  <si>
    <t>RR =</t>
  </si>
  <si>
    <t xml:space="preserve">Fs = </t>
  </si>
  <si>
    <t>(RL-RR)/2</t>
  </si>
  <si>
    <t>Trolley wt.-</t>
  </si>
  <si>
    <t>t</t>
  </si>
  <si>
    <t>T(W/o Ampl.coeff.)</t>
  </si>
  <si>
    <t>Cap.</t>
  </si>
  <si>
    <t>T(With Ampl.coeff.)</t>
  </si>
  <si>
    <t>Hook app.-</t>
  </si>
  <si>
    <t>m</t>
  </si>
  <si>
    <t>Hs= (Fs * crane span(mm)/lt wheel base(mm)</t>
  </si>
  <si>
    <t>Span-</t>
  </si>
  <si>
    <t>Hs =</t>
  </si>
  <si>
    <t>Crane wt.-</t>
  </si>
  <si>
    <t>Wheel base</t>
  </si>
  <si>
    <t>Corner moment (M)= (Fs * crane span(m))/4</t>
  </si>
  <si>
    <t>TM</t>
  </si>
  <si>
    <t>Corner moment when trolley is at center of girder,M1</t>
  </si>
  <si>
    <t>M1 =</t>
  </si>
  <si>
    <t>T-Cm (With Duty factor)</t>
  </si>
  <si>
    <t>Kg-Cm (With Duty factor)</t>
  </si>
  <si>
    <t xml:space="preserve">MAX.HORIZONTAL B.M DUE TO WIND LOAD </t>
  </si>
  <si>
    <t>As per IS 807:2006 Cl.7.1.3</t>
  </si>
  <si>
    <t xml:space="preserve">Forces which directly exerted on components of crane </t>
  </si>
  <si>
    <t>P = A.q.c</t>
  </si>
  <si>
    <t xml:space="preserve">Forces which directly exerted on Behind located components of crane </t>
  </si>
  <si>
    <r>
      <rPr>
        <b/>
        <sz val="11"/>
        <color indexed="8"/>
        <rFont val="Calibri"/>
        <family val="2"/>
        <charset val="134"/>
      </rPr>
      <t xml:space="preserve">P = </t>
    </r>
    <r>
      <rPr>
        <b/>
        <sz val="11"/>
        <color indexed="8"/>
        <rFont val="Calibri"/>
        <family val="2"/>
        <charset val="134"/>
      </rPr>
      <t>η.</t>
    </r>
    <r>
      <rPr>
        <b/>
        <sz val="11"/>
        <color indexed="8"/>
        <rFont val="Calibri"/>
        <family val="2"/>
        <charset val="134"/>
      </rPr>
      <t>A.q.c</t>
    </r>
  </si>
  <si>
    <t>Total torsional moment at the End of span  M t m</t>
  </si>
  <si>
    <t>A = Area of components(m2)</t>
  </si>
  <si>
    <t>M t e =</t>
  </si>
  <si>
    <t>P =Resultant load(Kgf)</t>
  </si>
  <si>
    <t>q =Aerodynamic pressure(Kgf/m2)-(Refer Table 9)  =</t>
  </si>
  <si>
    <t>Kgf/m2</t>
  </si>
  <si>
    <t xml:space="preserve">C = Aerodynamic coeff.(Refer Table 10) = </t>
  </si>
  <si>
    <t xml:space="preserve"> In Tension</t>
  </si>
  <si>
    <t xml:space="preserve"> In Compression</t>
  </si>
  <si>
    <t>η =Reducing coeff.depend on A/Ac and b and h(Refer Table 11)</t>
  </si>
  <si>
    <t>b =Dist.between surface of components facing each other</t>
  </si>
  <si>
    <t>Mxx/Zxxc</t>
  </si>
  <si>
    <t xml:space="preserve">h = depth of girder </t>
  </si>
  <si>
    <t>TENSION</t>
  </si>
  <si>
    <t>COMP.</t>
  </si>
  <si>
    <t>Area of components:-</t>
  </si>
  <si>
    <t>1) Vertical Girder area =</t>
  </si>
  <si>
    <t>m2</t>
  </si>
  <si>
    <r>
      <rPr>
        <sz val="10"/>
        <rFont val="Arial"/>
        <family val="2"/>
        <charset val="134"/>
      </rPr>
      <t>2) Girder located behind(</t>
    </r>
    <r>
      <rPr>
        <sz val="11"/>
        <color indexed="8"/>
        <rFont val="Calibri"/>
        <family val="2"/>
        <charset val="134"/>
      </rPr>
      <t>η*girder area)</t>
    </r>
    <r>
      <rPr>
        <sz val="10"/>
        <rFont val="Arial"/>
        <family val="2"/>
        <charset val="134"/>
      </rPr>
      <t xml:space="preserve"> =</t>
    </r>
  </si>
  <si>
    <r>
      <rPr>
        <sz val="10"/>
        <rFont val="Arial"/>
        <family val="2"/>
        <charset val="134"/>
      </rPr>
      <t>kg./Cm</t>
    </r>
    <r>
      <rPr>
        <vertAlign val="superscript"/>
        <sz val="10"/>
        <rFont val="Arial"/>
        <family val="2"/>
        <charset val="134"/>
      </rPr>
      <t>2</t>
    </r>
  </si>
  <si>
    <t>3) Trolley with Canopy area =</t>
  </si>
  <si>
    <t>4) Wind area of SWL = 0.5*175 =</t>
  </si>
  <si>
    <t>Upto 5t = 1m^2/t</t>
  </si>
  <si>
    <t>Above 5t = 0.5m^2/t</t>
  </si>
  <si>
    <t>Thus, Resultant load for above Area(Kgf)</t>
  </si>
  <si>
    <t>1) P  =</t>
  </si>
  <si>
    <t>Kgf</t>
  </si>
  <si>
    <t>2) P  =</t>
  </si>
  <si>
    <t>3) P  =</t>
  </si>
  <si>
    <t>4) P  =</t>
  </si>
  <si>
    <t>Total p =</t>
  </si>
  <si>
    <t>Moment due to wind load,MyyW = p*Span/8</t>
  </si>
  <si>
    <t>MyyW =</t>
  </si>
  <si>
    <t>Kgf-m</t>
  </si>
  <si>
    <t>At Middle</t>
  </si>
  <si>
    <t>At End</t>
  </si>
  <si>
    <t>t-cm</t>
  </si>
  <si>
    <t>Mte/Zt</t>
  </si>
  <si>
    <t>MAX.HORIZONTAL B.M DUE TO ACCELERATION AND DECELERATION</t>
  </si>
  <si>
    <t>For Dead load,</t>
  </si>
  <si>
    <r>
      <rPr>
        <sz val="10"/>
        <rFont val="Arial"/>
        <family val="2"/>
        <charset val="134"/>
      </rPr>
      <t>kg/Cm</t>
    </r>
    <r>
      <rPr>
        <vertAlign val="superscript"/>
        <sz val="10"/>
        <rFont val="Arial"/>
        <family val="2"/>
        <charset val="134"/>
      </rPr>
      <t>2</t>
    </r>
  </si>
  <si>
    <t>Horiz.moment on Girder,Myyd=</t>
  </si>
  <si>
    <t>β x W1 x L/8</t>
  </si>
  <si>
    <t>For Lifted load,</t>
  </si>
  <si>
    <t>Horiz.moment on Girder,Myyl=</t>
  </si>
  <si>
    <t>β x (W2+W3)/2 x L/8</t>
  </si>
  <si>
    <t>Shear stress at center =</t>
  </si>
  <si>
    <t>Shear stress at neck =</t>
  </si>
  <si>
    <t>For transverse and travel motion</t>
  </si>
  <si>
    <t>β =</t>
  </si>
  <si>
    <t>0.01*V^0.5</t>
  </si>
  <si>
    <t>As per IS 807:2006,Cl.6.1.3.1</t>
  </si>
  <si>
    <t>v =</t>
  </si>
  <si>
    <t>Speed for respective motion,m/min.</t>
  </si>
  <si>
    <t>Due to LT motion</t>
  </si>
  <si>
    <t>W1 =</t>
  </si>
  <si>
    <t>Weight of Girder including mech.and electrical equip.,t =</t>
  </si>
  <si>
    <t>W2 =</t>
  </si>
  <si>
    <t>Weight of trolley,t =</t>
  </si>
  <si>
    <t>W3 =</t>
  </si>
  <si>
    <t>SWL with BPB and attachement,t =</t>
  </si>
  <si>
    <t xml:space="preserve">L = </t>
  </si>
  <si>
    <t>Crane span,cm =</t>
  </si>
  <si>
    <t>Thus,</t>
  </si>
  <si>
    <t>Horiz.moment on Girder considering fix end,Myyd = β x W1/3 x L/8</t>
  </si>
  <si>
    <t>Myyd =</t>
  </si>
  <si>
    <r>
      <rPr>
        <sz val="10"/>
        <rFont val="Arial"/>
        <family val="2"/>
        <charset val="134"/>
      </rPr>
      <t>Stresses in kg./Cm</t>
    </r>
    <r>
      <rPr>
        <vertAlign val="superscript"/>
        <sz val="10"/>
        <rFont val="Arial"/>
        <family val="2"/>
        <charset val="134"/>
      </rPr>
      <t>2</t>
    </r>
  </si>
  <si>
    <t>Kg-cm</t>
  </si>
  <si>
    <t>Horiz.moment on Girder considering fix end,Myyl = β x ((W2+W3)/2)/2 x L/8</t>
  </si>
  <si>
    <t>Myyl =</t>
  </si>
  <si>
    <t>(w/o Duty)</t>
  </si>
  <si>
    <t xml:space="preserve"> Bending</t>
  </si>
  <si>
    <t>Shear + Torsional(neck)</t>
  </si>
  <si>
    <r>
      <rPr>
        <sz val="10"/>
        <rFont val="Arial"/>
        <family val="2"/>
        <charset val="134"/>
      </rPr>
      <t>t</t>
    </r>
    <r>
      <rPr>
        <vertAlign val="superscript"/>
        <sz val="10"/>
        <rFont val="Arial"/>
        <family val="2"/>
        <charset val="134"/>
      </rPr>
      <t>3</t>
    </r>
    <r>
      <rPr>
        <sz val="10"/>
        <rFont val="Arial"/>
        <family val="2"/>
        <charset val="134"/>
      </rPr>
      <t xml:space="preserve"> * h  </t>
    </r>
  </si>
  <si>
    <t>C = J /( t + K/t)</t>
  </si>
  <si>
    <r>
      <rPr>
        <sz val="12"/>
        <rFont val="Arial"/>
        <family val="2"/>
        <charset val="134"/>
      </rPr>
      <t>PL</t>
    </r>
    <r>
      <rPr>
        <vertAlign val="superscript"/>
        <sz val="12"/>
        <rFont val="Arial"/>
        <family val="2"/>
        <charset val="134"/>
      </rPr>
      <t>3</t>
    </r>
    <r>
      <rPr>
        <sz val="12"/>
        <rFont val="Arial"/>
        <family val="2"/>
        <charset val="134"/>
      </rPr>
      <t>((3a/L)-4(a/L)</t>
    </r>
    <r>
      <rPr>
        <vertAlign val="superscript"/>
        <sz val="12"/>
        <rFont val="Arial"/>
        <family val="2"/>
        <charset val="134"/>
      </rPr>
      <t>3</t>
    </r>
    <r>
      <rPr>
        <sz val="12"/>
        <rFont val="Arial"/>
        <family val="2"/>
        <charset val="134"/>
      </rPr>
      <t>)</t>
    </r>
  </si>
  <si>
    <r>
      <rPr>
        <sz val="10"/>
        <rFont val="Arial"/>
        <family val="2"/>
        <charset val="134"/>
      </rPr>
      <t xml:space="preserve">Deflection due to dead weight, d1   =  </t>
    </r>
    <r>
      <rPr>
        <u/>
        <sz val="10"/>
        <rFont val="Arial"/>
        <family val="2"/>
        <charset val="134"/>
      </rPr>
      <t>w  x     5L</t>
    </r>
    <r>
      <rPr>
        <sz val="10"/>
        <rFont val="Arial"/>
        <family val="2"/>
        <charset val="134"/>
      </rPr>
      <t>4</t>
    </r>
  </si>
  <si>
    <r>
      <rPr>
        <sz val="10"/>
        <rFont val="Arial"/>
        <family val="2"/>
        <charset val="134"/>
      </rPr>
      <t xml:space="preserve"> Camber reqd.                        =  Deflection due to dead wt. +  </t>
    </r>
    <r>
      <rPr>
        <u/>
        <sz val="10"/>
        <rFont val="Arial"/>
        <family val="2"/>
        <charset val="134"/>
      </rPr>
      <t>1</t>
    </r>
    <r>
      <rPr>
        <sz val="10"/>
        <rFont val="Arial"/>
        <family val="2"/>
        <charset val="134"/>
      </rPr>
      <t xml:space="preserve">  Deflection of Live Load</t>
    </r>
  </si>
  <si>
    <t>CHECKING GIRDER IN FATIGUE</t>
  </si>
  <si>
    <t>Since weight of unloaded trolley =</t>
  </si>
  <si>
    <t>Hook app. =</t>
  </si>
  <si>
    <t>VBM at center due to unloaded trolley =</t>
  </si>
  <si>
    <t>VBM at center due to dead load =</t>
  </si>
  <si>
    <t>c,d</t>
  </si>
  <si>
    <t>Total =</t>
  </si>
  <si>
    <t>a,b</t>
  </si>
  <si>
    <t>Min.compressive stress(Fmin.) =</t>
  </si>
  <si>
    <t>Kg/cm^2</t>
  </si>
  <si>
    <t>Fmax.(compression) =</t>
  </si>
  <si>
    <t>Min.Tensile stress(Fmin.) =</t>
  </si>
  <si>
    <t>Fmax.(Tension) =</t>
  </si>
  <si>
    <t>As per IS 807:2006,Cl.no.9.4.4&amp;9.4.5</t>
  </si>
  <si>
    <t>Fmax.-Fmin.(Comp.) =</t>
  </si>
  <si>
    <r>
      <rPr>
        <sz val="10"/>
        <rFont val="Arial"/>
        <family val="2"/>
        <charset val="134"/>
      </rPr>
      <t xml:space="preserve">Fj x Fl x </t>
    </r>
    <r>
      <rPr>
        <sz val="10"/>
        <rFont val="Calibri"/>
        <family val="2"/>
        <charset val="134"/>
      </rPr>
      <t>σ</t>
    </r>
    <r>
      <rPr>
        <sz val="10"/>
        <rFont val="Arial"/>
        <family val="2"/>
        <charset val="134"/>
      </rPr>
      <t>d</t>
    </r>
  </si>
  <si>
    <t>Fmax.-Fmin.(Tension.) =</t>
  </si>
  <si>
    <t>R)</t>
  </si>
  <si>
    <t xml:space="preserve"> Calculation of Stiffened plate in compression</t>
  </si>
  <si>
    <t>For one longitudinal stiffener at center of compression plate</t>
  </si>
  <si>
    <t>Moment of inertia of the stiffener</t>
  </si>
  <si>
    <t>Io(s) = (b*t^3)/3</t>
  </si>
  <si>
    <t>b =</t>
  </si>
  <si>
    <t>Height of stiffener</t>
  </si>
  <si>
    <t>Thickness of stiffener</t>
  </si>
  <si>
    <t>in</t>
  </si>
  <si>
    <t>Please don’t remove this value</t>
  </si>
  <si>
    <t>Shall be no less than:</t>
  </si>
  <si>
    <t>Io = [0.6*(a/b)+0.2*(a/b)^2+3*((As*a)/(b^2*t))]*(b*t^3)</t>
  </si>
  <si>
    <t>Shall be no greater than:</t>
  </si>
  <si>
    <t>Io = [2.2+10.3*(As/b*t)*{1+(As/b*t)}]*(b*t^3)</t>
  </si>
  <si>
    <t xml:space="preserve">  a   =</t>
  </si>
  <si>
    <t>Longitudinal dist.between diaphragm(in)</t>
  </si>
  <si>
    <t>in  (Input)</t>
  </si>
  <si>
    <t>As  =</t>
  </si>
  <si>
    <t>Area of stiffener (in^2)</t>
  </si>
  <si>
    <t>in^2</t>
  </si>
  <si>
    <t xml:space="preserve"> t   =</t>
  </si>
  <si>
    <t>Thickness of stiffened plate(in)</t>
  </si>
  <si>
    <t>b   =</t>
  </si>
  <si>
    <t>Distance between web plate(in)</t>
  </si>
  <si>
    <t>S)</t>
  </si>
  <si>
    <t xml:space="preserve">Design for transverse Diaphragm </t>
  </si>
  <si>
    <t>CASE</t>
  </si>
  <si>
    <t>As per IS:800-2007,Cl.8.7.2.4</t>
  </si>
  <si>
    <t>i)</t>
  </si>
  <si>
    <r>
      <rPr>
        <sz val="10"/>
        <rFont val="Arial"/>
        <family val="2"/>
        <charset val="134"/>
      </rPr>
      <t xml:space="preserve">If c/d </t>
    </r>
    <r>
      <rPr>
        <sz val="10"/>
        <rFont val="Calibri"/>
        <family val="2"/>
        <charset val="134"/>
      </rPr>
      <t>≥ 2^0.5, Is ≥ 0.75*d*tw^3</t>
    </r>
  </si>
  <si>
    <t>ii)</t>
  </si>
  <si>
    <r>
      <rPr>
        <sz val="10"/>
        <rFont val="Arial"/>
        <family val="2"/>
        <charset val="134"/>
      </rPr>
      <t xml:space="preserve">If c/d &lt; </t>
    </r>
    <r>
      <rPr>
        <sz val="10"/>
        <rFont val="Calibri"/>
        <family val="2"/>
        <charset val="134"/>
      </rPr>
      <t>2^0.5, Is ≥ (1.5*d^3*tw^3)/c^2</t>
    </r>
  </si>
  <si>
    <t>d = Depth of Web plate                     =</t>
  </si>
  <si>
    <t>tw = Thickness of web plate               =</t>
  </si>
  <si>
    <t>c = Spacing between diaphragm         =</t>
  </si>
  <si>
    <t>t = Thickness of diaphragm                =</t>
  </si>
  <si>
    <t>Case i</t>
  </si>
  <si>
    <r>
      <rPr>
        <sz val="10"/>
        <rFont val="Arial"/>
        <family val="2"/>
        <charset val="134"/>
      </rPr>
      <t>Is</t>
    </r>
    <r>
      <rPr>
        <sz val="10"/>
        <rFont val="Calibri"/>
        <family val="2"/>
        <charset val="134"/>
      </rPr>
      <t>≥</t>
    </r>
    <r>
      <rPr>
        <sz val="10"/>
        <rFont val="Arial"/>
        <family val="2"/>
        <charset val="134"/>
      </rPr>
      <t>0.75*d*tw^3</t>
    </r>
  </si>
  <si>
    <t>L = Depth of diaphragm                     =</t>
  </si>
  <si>
    <t>Case ii</t>
  </si>
  <si>
    <r>
      <rPr>
        <sz val="10"/>
        <rFont val="Arial"/>
        <family val="2"/>
        <charset val="134"/>
      </rPr>
      <t>Is</t>
    </r>
    <r>
      <rPr>
        <sz val="10"/>
        <rFont val="Calibri"/>
        <family val="2"/>
        <charset val="134"/>
      </rPr>
      <t>≥1.5</t>
    </r>
    <r>
      <rPr>
        <sz val="10"/>
        <rFont val="Arial"/>
        <family val="2"/>
        <charset val="134"/>
      </rPr>
      <t>*d^3*tw^3/c^2</t>
    </r>
  </si>
  <si>
    <t>Is = Moment of inertia of Diaphragm    =</t>
  </si>
  <si>
    <t>cm^4</t>
  </si>
  <si>
    <t>c/d =</t>
  </si>
  <si>
    <t>T)</t>
  </si>
  <si>
    <t>Design for Bearing load</t>
  </si>
  <si>
    <t>Bearing pressure =CT wheel load with impact/(Bearing width * t)</t>
  </si>
  <si>
    <t>Wheel load =</t>
  </si>
  <si>
    <t>Bearing width = CT rail width  + (2*Top flange thickness)</t>
  </si>
  <si>
    <t>CT rail width =</t>
  </si>
  <si>
    <t>Top flange thk. =</t>
  </si>
  <si>
    <t>Bearing width =</t>
  </si>
  <si>
    <t>Bearing Load =</t>
  </si>
  <si>
    <t>Allowable Bearing load =</t>
  </si>
  <si>
    <t>U)</t>
  </si>
  <si>
    <t>FREQUENCY OF GIRDER</t>
  </si>
  <si>
    <t>a)</t>
  </si>
  <si>
    <t>Vertical Natural Frequency</t>
  </si>
  <si>
    <t>Fv(Hz) =</t>
  </si>
  <si>
    <r>
      <rPr>
        <sz val="10"/>
        <rFont val="Arial"/>
        <family val="2"/>
        <charset val="134"/>
      </rPr>
      <t>1/2</t>
    </r>
    <r>
      <rPr>
        <sz val="11"/>
        <color indexed="8"/>
        <rFont val="Calibri"/>
        <family val="2"/>
        <charset val="134"/>
      </rPr>
      <t>π((Ksc*E*Ixx)/(S^3*(Mc+Mh+Kmg*Mg)))^0.5</t>
    </r>
  </si>
  <si>
    <t>Horizontal Natural Frequency</t>
  </si>
  <si>
    <t>Fh(Hz) =</t>
  </si>
  <si>
    <r>
      <rPr>
        <sz val="10"/>
        <rFont val="Arial"/>
        <family val="2"/>
        <charset val="134"/>
      </rPr>
      <t>1/2</t>
    </r>
    <r>
      <rPr>
        <sz val="11"/>
        <color indexed="8"/>
        <rFont val="Calibri"/>
        <family val="2"/>
        <charset val="134"/>
      </rPr>
      <t>π((Ksc*E*Iyy)/(S^3*(Mc+Kmg*Mg)))^0.5</t>
    </r>
  </si>
  <si>
    <t>Mc =Live load =</t>
  </si>
  <si>
    <t>Mh = Hoist load =</t>
  </si>
  <si>
    <t>Mg = Girder Weight =</t>
  </si>
  <si>
    <t>E = Modulus of elasticty =</t>
  </si>
  <si>
    <t>2.11 x 10^11</t>
  </si>
  <si>
    <t>N/m^2</t>
  </si>
  <si>
    <t>S = Crane Span =</t>
  </si>
  <si>
    <t>Kmg =</t>
  </si>
  <si>
    <t>Ksc =</t>
  </si>
  <si>
    <t>Ixx =</t>
  </si>
  <si>
    <t>m^4</t>
  </si>
  <si>
    <t>Iyy =</t>
  </si>
  <si>
    <t>Fv =</t>
  </si>
  <si>
    <t>Hz</t>
  </si>
  <si>
    <t>Fh =</t>
  </si>
  <si>
    <t>Cat ''c''</t>
  </si>
  <si>
    <t>Fj</t>
  </si>
  <si>
    <t>Fl</t>
  </si>
  <si>
    <t>Allow.</t>
  </si>
  <si>
    <t>Cat ''b''</t>
  </si>
  <si>
    <t>SAFE in Cat."c"</t>
  </si>
  <si>
    <t>SAFE in Cat."b"</t>
  </si>
  <si>
    <t>UNSAFE</t>
  </si>
  <si>
    <t>eliteMHE INDUSTRIES LTD</t>
  </si>
  <si>
    <r>
      <rPr>
        <sz val="12"/>
        <rFont val="Tahoma"/>
        <family val="2"/>
        <charset val="134"/>
      </rPr>
      <t>kg/cm</t>
    </r>
    <r>
      <rPr>
        <vertAlign val="superscript"/>
        <sz val="12"/>
        <rFont val="Tahoma"/>
        <family val="2"/>
        <charset val="134"/>
      </rPr>
      <t>2</t>
    </r>
  </si>
  <si>
    <t>Load/Wheel on drive side = Max. % of Lifted load/2 + Wt of crab /4</t>
  </si>
  <si>
    <t>Load/Wheel on non drive side = Min.% of Lifted load/2 + Wt of crab /4</t>
  </si>
  <si>
    <t xml:space="preserve">Load/Wheel on drive side = Max. % of Lifted load/2 </t>
  </si>
  <si>
    <t xml:space="preserve">Load/Wheel on non drive side = Min. % of Lifted load/2 </t>
  </si>
  <si>
    <r>
      <rPr>
        <sz val="14"/>
        <rFont val="Tahoma"/>
        <family val="2"/>
        <charset val="134"/>
      </rPr>
      <t>Cm.</t>
    </r>
    <r>
      <rPr>
        <vertAlign val="superscript"/>
        <sz val="14"/>
        <rFont val="Tahoma"/>
        <family val="2"/>
        <charset val="134"/>
      </rPr>
      <t>2</t>
    </r>
  </si>
  <si>
    <r>
      <rPr>
        <sz val="14"/>
        <rFont val="Tahoma"/>
        <family val="2"/>
        <charset val="134"/>
      </rPr>
      <t>Cm.</t>
    </r>
    <r>
      <rPr>
        <vertAlign val="superscript"/>
        <sz val="14"/>
        <rFont val="Tahoma"/>
        <family val="2"/>
        <charset val="134"/>
      </rPr>
      <t>4</t>
    </r>
  </si>
  <si>
    <r>
      <rPr>
        <sz val="14"/>
        <rFont val="Tahoma"/>
        <family val="2"/>
        <charset val="134"/>
      </rPr>
      <t>Cm.</t>
    </r>
    <r>
      <rPr>
        <vertAlign val="superscript"/>
        <sz val="14"/>
        <rFont val="Tahoma"/>
        <family val="2"/>
        <charset val="134"/>
      </rPr>
      <t>3</t>
    </r>
  </si>
  <si>
    <r>
      <rPr>
        <sz val="14"/>
        <rFont val="Tahoma"/>
        <family val="2"/>
        <charset val="134"/>
      </rPr>
      <t>r</t>
    </r>
    <r>
      <rPr>
        <vertAlign val="subscript"/>
        <sz val="14"/>
        <rFont val="Tahoma"/>
        <family val="2"/>
        <charset val="134"/>
      </rPr>
      <t>yy</t>
    </r>
  </si>
  <si>
    <r>
      <rPr>
        <sz val="14"/>
        <rFont val="Tahoma"/>
        <family val="2"/>
        <charset val="134"/>
      </rPr>
      <t>cm</t>
    </r>
    <r>
      <rPr>
        <vertAlign val="superscript"/>
        <sz val="14"/>
        <rFont val="Tahoma"/>
        <family val="2"/>
        <charset val="134"/>
      </rPr>
      <t>2</t>
    </r>
  </si>
  <si>
    <t>C2/C1</t>
  </si>
  <si>
    <t>c1 =</t>
  </si>
  <si>
    <t>c2 =</t>
  </si>
  <si>
    <t>Permissible bending stress in  compression =</t>
  </si>
  <si>
    <r>
      <rPr>
        <sz val="12"/>
        <rFont val="Tahoma"/>
        <family val="2"/>
        <charset val="134"/>
      </rPr>
      <t>N/mm</t>
    </r>
    <r>
      <rPr>
        <vertAlign val="superscript"/>
        <sz val="12"/>
        <rFont val="Tahoma"/>
        <family val="2"/>
        <charset val="134"/>
      </rPr>
      <t>2</t>
    </r>
  </si>
  <si>
    <r>
      <rPr>
        <sz val="14"/>
        <rFont val="Tahoma"/>
        <family val="2"/>
        <charset val="134"/>
      </rPr>
      <t>kg/cm</t>
    </r>
    <r>
      <rPr>
        <vertAlign val="superscript"/>
        <sz val="14"/>
        <rFont val="Tahoma"/>
        <family val="2"/>
        <charset val="134"/>
      </rPr>
      <t>2</t>
    </r>
  </si>
  <si>
    <r>
      <rPr>
        <sz val="12"/>
        <rFont val="Tahoma"/>
        <family val="2"/>
        <charset val="134"/>
      </rPr>
      <t>cm</t>
    </r>
    <r>
      <rPr>
        <vertAlign val="superscript"/>
        <sz val="12"/>
        <rFont val="Tahoma"/>
        <family val="2"/>
        <charset val="134"/>
      </rPr>
      <t>2</t>
    </r>
  </si>
  <si>
    <r>
      <rPr>
        <sz val="12"/>
        <rFont val="Tahoma"/>
        <family val="2"/>
        <charset val="134"/>
      </rPr>
      <t>cm</t>
    </r>
    <r>
      <rPr>
        <vertAlign val="superscript"/>
        <sz val="12"/>
        <rFont val="Tahoma"/>
        <family val="2"/>
        <charset val="134"/>
      </rPr>
      <t>3</t>
    </r>
  </si>
  <si>
    <t>IS 807</t>
  </si>
  <si>
    <t>E250</t>
  </si>
  <si>
    <t>E350</t>
  </si>
  <si>
    <t xml:space="preserve"> Bending(Comp.)  =</t>
  </si>
  <si>
    <t>Comp.</t>
  </si>
  <si>
    <t xml:space="preserve"> Bending(Ten.)  =</t>
  </si>
  <si>
    <t>Tension</t>
  </si>
  <si>
    <t>Shear</t>
  </si>
  <si>
    <t>Shear+Tor.(neck) =</t>
  </si>
  <si>
    <t>DAMPING CALCULATION OF  CRANE</t>
  </si>
  <si>
    <t>Vibration  of crane  girder</t>
  </si>
  <si>
    <t>&lt;ref.  Stability  of  web plate of box girders&gt;</t>
  </si>
  <si>
    <t xml:space="preserve">Damping Time, </t>
  </si>
  <si>
    <r>
      <rPr>
        <b/>
        <sz val="11"/>
        <color indexed="8"/>
        <rFont val="Calibri"/>
        <family val="2"/>
        <charset val="134"/>
      </rPr>
      <t xml:space="preserve">t </t>
    </r>
    <r>
      <rPr>
        <b/>
        <sz val="10"/>
        <color indexed="8"/>
        <rFont val="Calibri"/>
        <family val="2"/>
        <charset val="134"/>
      </rPr>
      <t>damp</t>
    </r>
  </si>
  <si>
    <t>ln.(2fcm)</t>
  </si>
  <si>
    <t>sec.</t>
  </si>
  <si>
    <t>P.δ</t>
  </si>
  <si>
    <t>where,</t>
  </si>
  <si>
    <t>fcm.</t>
  </si>
  <si>
    <t>Deflection due to lifted load,mm</t>
  </si>
  <si>
    <t>(from girder calcu.)</t>
  </si>
  <si>
    <t>Ko</t>
  </si>
  <si>
    <r>
      <rPr>
        <sz val="11"/>
        <color indexed="8"/>
        <rFont val="Calibri"/>
        <family val="2"/>
        <charset val="134"/>
      </rPr>
      <t>2</t>
    </r>
    <r>
      <rPr>
        <sz val="9"/>
        <color indexed="8"/>
        <rFont val="Calibri"/>
        <family val="2"/>
        <charset val="134"/>
      </rPr>
      <t>∏</t>
    </r>
  </si>
  <si>
    <t>m1</t>
  </si>
  <si>
    <t>cycle/sec</t>
  </si>
  <si>
    <t xml:space="preserve"> Frequency   of vibration </t>
  </si>
  <si>
    <t>48EIxx</t>
  </si>
  <si>
    <t>kg/cm</t>
  </si>
  <si>
    <r>
      <rPr>
        <sz val="11"/>
        <color indexed="8"/>
        <rFont val="Calibri"/>
        <family val="2"/>
        <charset val="134"/>
      </rPr>
      <t>L</t>
    </r>
    <r>
      <rPr>
        <vertAlign val="superscript"/>
        <sz val="11"/>
        <color indexed="8"/>
        <rFont val="Calibri"/>
        <family val="2"/>
        <charset val="134"/>
      </rPr>
      <t>3</t>
    </r>
  </si>
  <si>
    <t>Rigidity  of girder</t>
  </si>
  <si>
    <r>
      <rPr>
        <sz val="11"/>
        <color indexed="8"/>
        <rFont val="Calibri"/>
        <family val="2"/>
        <charset val="134"/>
      </rPr>
      <t>cm</t>
    </r>
    <r>
      <rPr>
        <vertAlign val="superscript"/>
        <sz val="11"/>
        <color indexed="8"/>
        <rFont val="Calibri"/>
        <family val="2"/>
        <charset val="134"/>
      </rPr>
      <t>4</t>
    </r>
  </si>
  <si>
    <t>(Moment of  innertia)</t>
  </si>
  <si>
    <r>
      <rPr>
        <sz val="11"/>
        <color indexed="8"/>
        <rFont val="Calibri"/>
        <family val="2"/>
        <charset val="134"/>
      </rPr>
      <t>2.1*10</t>
    </r>
    <r>
      <rPr>
        <vertAlign val="superscript"/>
        <sz val="11"/>
        <color indexed="8"/>
        <rFont val="Calibri"/>
        <family val="2"/>
        <charset val="134"/>
      </rPr>
      <t>6</t>
    </r>
  </si>
  <si>
    <r>
      <rPr>
        <sz val="11"/>
        <color indexed="8"/>
        <rFont val="Calibri"/>
        <family val="2"/>
        <charset val="134"/>
      </rPr>
      <t>kg/cm</t>
    </r>
    <r>
      <rPr>
        <vertAlign val="superscript"/>
        <sz val="11"/>
        <color indexed="8"/>
        <rFont val="Calibri"/>
        <family val="2"/>
        <charset val="134"/>
      </rPr>
      <t>2</t>
    </r>
  </si>
  <si>
    <t>(Modulas of elasticity)</t>
  </si>
  <si>
    <t>cm.</t>
  </si>
  <si>
    <t>(span)</t>
  </si>
  <si>
    <t xml:space="preserve">G        </t>
  </si>
  <si>
    <t>+</t>
  </si>
  <si>
    <r>
      <rPr>
        <sz val="11"/>
        <color indexed="8"/>
        <rFont val="Calibri"/>
        <family val="2"/>
        <charset val="134"/>
      </rPr>
      <t>G</t>
    </r>
    <r>
      <rPr>
        <vertAlign val="subscript"/>
        <sz val="11"/>
        <color indexed="8"/>
        <rFont val="Calibri"/>
        <family val="2"/>
        <charset val="134"/>
      </rPr>
      <t>(Tr.+L.L)</t>
    </r>
  </si>
  <si>
    <r>
      <rPr>
        <sz val="11"/>
        <color indexed="8"/>
        <rFont val="Calibri"/>
        <family val="2"/>
        <charset val="134"/>
      </rPr>
      <t>kg sec</t>
    </r>
    <r>
      <rPr>
        <vertAlign val="superscript"/>
        <sz val="11"/>
        <color indexed="8"/>
        <rFont val="Calibri"/>
        <family val="2"/>
        <charset val="134"/>
      </rPr>
      <t>2</t>
    </r>
    <r>
      <rPr>
        <sz val="11"/>
        <color indexed="8"/>
        <rFont val="Calibri"/>
        <family val="2"/>
        <charset val="134"/>
      </rPr>
      <t>/cm.</t>
    </r>
  </si>
  <si>
    <t>g</t>
  </si>
  <si>
    <t>2g</t>
  </si>
  <si>
    <t>Girder  wt. in</t>
  </si>
  <si>
    <t>Trolley wt.</t>
  </si>
  <si>
    <t>Trolley wt.+ lifted load</t>
  </si>
  <si>
    <r>
      <rPr>
        <sz val="11"/>
        <color indexed="8"/>
        <rFont val="Calibri"/>
        <family val="2"/>
        <charset val="134"/>
      </rPr>
      <t>kg. sec</t>
    </r>
    <r>
      <rPr>
        <vertAlign val="superscript"/>
        <sz val="11"/>
        <color indexed="8"/>
        <rFont val="Calibri"/>
        <family val="2"/>
        <charset val="134"/>
      </rPr>
      <t>2</t>
    </r>
    <r>
      <rPr>
        <sz val="10"/>
        <rFont val="Arial"/>
        <family val="2"/>
        <charset val="134"/>
      </rPr>
      <t>/cm</t>
    </r>
  </si>
  <si>
    <t>δ</t>
  </si>
  <si>
    <t>L/h</t>
  </si>
  <si>
    <t>cm/sec</t>
  </si>
  <si>
    <t>CALCULATED</t>
  </si>
  <si>
    <t>h/L</t>
  </si>
  <si>
    <t>height of box section/span</t>
  </si>
  <si>
    <t>Height of box section/span</t>
  </si>
  <si>
    <t>SELECTED</t>
  </si>
  <si>
    <t>δ=</t>
  </si>
  <si>
    <t>Logarithmic decrement of damping  of vibration</t>
  </si>
  <si>
    <t>≤</t>
  </si>
  <si>
    <t>Allowable  damping  time</t>
  </si>
  <si>
    <t>For  ladle cranes</t>
  </si>
  <si>
    <t>8 to 10 sec.</t>
  </si>
  <si>
    <t>Foe general  purpose cranes=</t>
  </si>
  <si>
    <t>12 to 15 sec.</t>
  </si>
  <si>
    <t>For light  duty  cranes =</t>
  </si>
  <si>
    <t>20 to 22 sec</t>
  </si>
  <si>
    <t>Note)   For crane span over 30m, girder sizing to be finalized considering vibration / damping effect and web buckling.  Thickness of web may have to be kept more than 8 mm due to above reason.</t>
  </si>
  <si>
    <t>CALCULATION FOR LOCAL BUCKLING &amp; PROVISION OF LONGITUDINAL STIFFENER IN WEB PLATE</t>
  </si>
  <si>
    <t>SECTIONAL PROPERTY OF GIRDER</t>
  </si>
  <si>
    <r>
      <rPr>
        <sz val="10"/>
        <rFont val="Arial"/>
        <family val="2"/>
        <charset val="134"/>
      </rPr>
      <t>Top flange width,</t>
    </r>
    <r>
      <rPr>
        <b/>
        <sz val="10"/>
        <rFont val="Arial"/>
        <family val="2"/>
        <charset val="134"/>
      </rPr>
      <t>Fw1 =</t>
    </r>
  </si>
  <si>
    <r>
      <rPr>
        <sz val="10"/>
        <rFont val="Arial"/>
        <family val="2"/>
        <charset val="134"/>
      </rPr>
      <t>Botm flange width,</t>
    </r>
    <r>
      <rPr>
        <b/>
        <sz val="10"/>
        <rFont val="Arial"/>
        <family val="2"/>
        <charset val="134"/>
      </rPr>
      <t>Fw2 =</t>
    </r>
  </si>
  <si>
    <r>
      <rPr>
        <sz val="10"/>
        <rFont val="Arial"/>
        <family val="2"/>
        <charset val="134"/>
      </rPr>
      <t>Web depth,</t>
    </r>
    <r>
      <rPr>
        <b/>
        <sz val="10"/>
        <rFont val="Arial"/>
        <family val="2"/>
        <charset val="134"/>
      </rPr>
      <t>Wd =</t>
    </r>
  </si>
  <si>
    <r>
      <rPr>
        <sz val="10"/>
        <rFont val="Arial"/>
        <family val="2"/>
        <charset val="134"/>
      </rPr>
      <t>Top flange thickness,</t>
    </r>
    <r>
      <rPr>
        <b/>
        <sz val="10"/>
        <rFont val="Arial"/>
        <family val="2"/>
        <charset val="134"/>
      </rPr>
      <t>Ft1 =</t>
    </r>
  </si>
  <si>
    <r>
      <rPr>
        <sz val="10"/>
        <rFont val="Arial"/>
        <family val="2"/>
        <charset val="134"/>
      </rPr>
      <t>Botm flange thickness,</t>
    </r>
    <r>
      <rPr>
        <b/>
        <sz val="10"/>
        <rFont val="Arial"/>
        <family val="2"/>
        <charset val="134"/>
      </rPr>
      <t>Ft2 =</t>
    </r>
  </si>
  <si>
    <r>
      <rPr>
        <sz val="10"/>
        <rFont val="Arial"/>
        <family val="2"/>
        <charset val="134"/>
      </rPr>
      <t>Web thickness left,</t>
    </r>
    <r>
      <rPr>
        <b/>
        <sz val="10"/>
        <rFont val="Arial"/>
        <family val="2"/>
        <charset val="134"/>
      </rPr>
      <t>Wt1 =</t>
    </r>
  </si>
  <si>
    <r>
      <rPr>
        <sz val="10"/>
        <rFont val="Arial"/>
        <family val="2"/>
        <charset val="134"/>
      </rPr>
      <t>Web thickness right,</t>
    </r>
    <r>
      <rPr>
        <b/>
        <sz val="10"/>
        <rFont val="Arial"/>
        <family val="2"/>
        <charset val="134"/>
      </rPr>
      <t>Wt2 =</t>
    </r>
  </si>
  <si>
    <r>
      <rPr>
        <sz val="10"/>
        <rFont val="Arial"/>
        <family val="2"/>
        <charset val="134"/>
      </rPr>
      <t>Top flange area,</t>
    </r>
    <r>
      <rPr>
        <b/>
        <sz val="10"/>
        <rFont val="Arial"/>
        <family val="2"/>
        <charset val="134"/>
      </rPr>
      <t>A1 =</t>
    </r>
  </si>
  <si>
    <r>
      <rPr>
        <sz val="11"/>
        <color indexed="8"/>
        <rFont val="Calibri"/>
        <family val="2"/>
        <charset val="134"/>
      </rPr>
      <t>cm</t>
    </r>
    <r>
      <rPr>
        <vertAlign val="superscript"/>
        <sz val="10"/>
        <rFont val="Arial"/>
        <family val="2"/>
        <charset val="134"/>
      </rPr>
      <t>2</t>
    </r>
  </si>
  <si>
    <r>
      <rPr>
        <sz val="10"/>
        <rFont val="Arial"/>
        <family val="2"/>
        <charset val="134"/>
      </rPr>
      <t>Botm flange area,</t>
    </r>
    <r>
      <rPr>
        <b/>
        <sz val="10"/>
        <rFont val="Arial"/>
        <family val="2"/>
        <charset val="134"/>
      </rPr>
      <t>A2 =</t>
    </r>
  </si>
  <si>
    <r>
      <rPr>
        <sz val="11"/>
        <color indexed="8"/>
        <rFont val="Calibri"/>
        <family val="2"/>
        <charset val="134"/>
      </rPr>
      <t>cm</t>
    </r>
    <r>
      <rPr>
        <vertAlign val="superscript"/>
        <sz val="10"/>
        <color indexed="8"/>
        <rFont val="Arial"/>
        <family val="2"/>
        <charset val="134"/>
      </rPr>
      <t>2</t>
    </r>
  </si>
  <si>
    <r>
      <rPr>
        <sz val="10"/>
        <rFont val="Arial"/>
        <family val="2"/>
        <charset val="134"/>
      </rPr>
      <t>Web area left,</t>
    </r>
    <r>
      <rPr>
        <b/>
        <sz val="10"/>
        <rFont val="Arial"/>
        <family val="2"/>
        <charset val="134"/>
      </rPr>
      <t>A3 =</t>
    </r>
  </si>
  <si>
    <r>
      <rPr>
        <sz val="10"/>
        <rFont val="Arial"/>
        <family val="2"/>
        <charset val="134"/>
      </rPr>
      <t>Web area right,</t>
    </r>
    <r>
      <rPr>
        <b/>
        <sz val="10"/>
        <rFont val="Arial"/>
        <family val="2"/>
        <charset val="134"/>
      </rPr>
      <t>A4 =</t>
    </r>
  </si>
  <si>
    <r>
      <rPr>
        <sz val="10"/>
        <rFont val="Arial"/>
        <family val="2"/>
        <charset val="134"/>
      </rPr>
      <t>C/C of Web,</t>
    </r>
    <r>
      <rPr>
        <b/>
        <sz val="10"/>
        <rFont val="Arial"/>
        <family val="2"/>
        <charset val="134"/>
      </rPr>
      <t>Wc =</t>
    </r>
  </si>
  <si>
    <r>
      <rPr>
        <sz val="10"/>
        <rFont val="Arial"/>
        <family val="2"/>
        <charset val="134"/>
      </rPr>
      <t>Sectional area,</t>
    </r>
    <r>
      <rPr>
        <b/>
        <sz val="10"/>
        <rFont val="Arial"/>
        <family val="2"/>
        <charset val="134"/>
      </rPr>
      <t>A  =</t>
    </r>
  </si>
  <si>
    <r>
      <rPr>
        <sz val="10"/>
        <rFont val="Arial"/>
        <family val="2"/>
        <charset val="134"/>
      </rPr>
      <t>C.G  from top,</t>
    </r>
    <r>
      <rPr>
        <b/>
        <sz val="10"/>
        <rFont val="Arial"/>
        <family val="2"/>
        <charset val="134"/>
      </rPr>
      <t>Yt =</t>
    </r>
  </si>
  <si>
    <r>
      <rPr>
        <sz val="10"/>
        <rFont val="Arial"/>
        <family val="2"/>
        <charset val="134"/>
      </rPr>
      <t>C.G  from bottom,</t>
    </r>
    <r>
      <rPr>
        <b/>
        <sz val="10"/>
        <rFont val="Arial"/>
        <family val="2"/>
        <charset val="134"/>
      </rPr>
      <t>Yb =</t>
    </r>
  </si>
  <si>
    <t>STIFFENER AXIS (S.A) =</t>
  </si>
  <si>
    <t>NEUTRAL AXIS =</t>
  </si>
  <si>
    <r>
      <rPr>
        <sz val="11"/>
        <color indexed="8"/>
        <rFont val="Calibri"/>
        <family val="2"/>
        <charset val="134"/>
      </rPr>
      <t>Width of panel(</t>
    </r>
    <r>
      <rPr>
        <b/>
        <sz val="10"/>
        <rFont val="Arial"/>
        <family val="2"/>
        <charset val="134"/>
      </rPr>
      <t>b</t>
    </r>
    <r>
      <rPr>
        <sz val="10"/>
        <rFont val="Arial"/>
        <family val="2"/>
        <charset val="134"/>
      </rPr>
      <t>) =</t>
    </r>
  </si>
  <si>
    <r>
      <rPr>
        <sz val="11"/>
        <color indexed="8"/>
        <rFont val="Calibri"/>
        <family val="2"/>
        <charset val="134"/>
      </rPr>
      <t>Length of panel(</t>
    </r>
    <r>
      <rPr>
        <b/>
        <sz val="10"/>
        <rFont val="Arial"/>
        <family val="2"/>
        <charset val="134"/>
      </rPr>
      <t>a</t>
    </r>
    <r>
      <rPr>
        <sz val="10"/>
        <rFont val="Arial"/>
        <family val="2"/>
        <charset val="134"/>
      </rPr>
      <t>) =</t>
    </r>
  </si>
  <si>
    <r>
      <rPr>
        <sz val="11"/>
        <color indexed="8"/>
        <rFont val="Calibri"/>
        <family val="2"/>
        <charset val="134"/>
      </rPr>
      <t>Width of panel(</t>
    </r>
    <r>
      <rPr>
        <b/>
        <sz val="10"/>
        <rFont val="Arial"/>
        <family val="2"/>
        <charset val="134"/>
      </rPr>
      <t>b1</t>
    </r>
    <r>
      <rPr>
        <sz val="10"/>
        <rFont val="Arial"/>
        <family val="2"/>
        <charset val="134"/>
      </rPr>
      <t>) =</t>
    </r>
  </si>
  <si>
    <r>
      <rPr>
        <sz val="11"/>
        <color indexed="8"/>
        <rFont val="Calibri"/>
        <family val="2"/>
        <charset val="134"/>
      </rPr>
      <t>Length of panel(</t>
    </r>
    <r>
      <rPr>
        <b/>
        <sz val="10"/>
        <rFont val="Arial"/>
        <family val="2"/>
        <charset val="134"/>
      </rPr>
      <t>a1</t>
    </r>
    <r>
      <rPr>
        <sz val="10"/>
        <rFont val="Arial"/>
        <family val="2"/>
        <charset val="134"/>
      </rPr>
      <t>) =</t>
    </r>
  </si>
  <si>
    <r>
      <rPr>
        <sz val="11"/>
        <color indexed="8"/>
        <rFont val="Calibri"/>
        <family val="2"/>
        <charset val="134"/>
      </rPr>
      <t>Width of panel(</t>
    </r>
    <r>
      <rPr>
        <b/>
        <sz val="10"/>
        <rFont val="Arial"/>
        <family val="2"/>
        <charset val="134"/>
      </rPr>
      <t>b2</t>
    </r>
    <r>
      <rPr>
        <sz val="10"/>
        <rFont val="Arial"/>
        <family val="2"/>
        <charset val="134"/>
      </rPr>
      <t>) =</t>
    </r>
  </si>
  <si>
    <t>a = Length of stiffener between two Short diaphragm</t>
  </si>
  <si>
    <t>a1= Length of stiffener between two Long diaphragm</t>
  </si>
  <si>
    <r>
      <rPr>
        <sz val="10"/>
        <rFont val="Arial"/>
        <family val="2"/>
        <charset val="134"/>
      </rPr>
      <t>b = width of stiffener from bottom of comp. flange to top of 1</t>
    </r>
    <r>
      <rPr>
        <vertAlign val="superscript"/>
        <sz val="10"/>
        <rFont val="Arial"/>
        <family val="2"/>
        <charset val="134"/>
      </rPr>
      <t>st</t>
    </r>
    <r>
      <rPr>
        <sz val="10"/>
        <rFont val="Arial"/>
        <family val="2"/>
        <charset val="134"/>
      </rPr>
      <t xml:space="preserve"> stiffener </t>
    </r>
  </si>
  <si>
    <r>
      <rPr>
        <sz val="10"/>
        <rFont val="Arial"/>
        <family val="2"/>
        <charset val="134"/>
      </rPr>
      <t>b1 = width of stiffener from bottom of 1</t>
    </r>
    <r>
      <rPr>
        <vertAlign val="superscript"/>
        <sz val="10"/>
        <rFont val="Arial"/>
        <family val="2"/>
        <charset val="134"/>
      </rPr>
      <t>st</t>
    </r>
    <r>
      <rPr>
        <sz val="10"/>
        <rFont val="Arial"/>
        <family val="2"/>
        <charset val="134"/>
      </rPr>
      <t xml:space="preserve"> stiffener to top of 2</t>
    </r>
    <r>
      <rPr>
        <vertAlign val="superscript"/>
        <sz val="10"/>
        <rFont val="Arial"/>
        <family val="2"/>
        <charset val="134"/>
      </rPr>
      <t>nd</t>
    </r>
    <r>
      <rPr>
        <sz val="10"/>
        <rFont val="Arial"/>
        <family val="2"/>
        <charset val="134"/>
      </rPr>
      <t xml:space="preserve"> stiffener</t>
    </r>
  </si>
  <si>
    <t>b2 = width of stiffener from bottom of 2nd stiffener to top of tension flange</t>
  </si>
  <si>
    <t>CHECKING FOR ADEQUACY OF WEB THICKNESS</t>
  </si>
  <si>
    <t>As per IS 800:1984,Cl.no.-6.7.4.1</t>
  </si>
  <si>
    <t>If a &gt; b,then a &lt; 270 t &amp; b &lt; 180 t</t>
  </si>
  <si>
    <t>Where,t is Web thickness</t>
  </si>
  <si>
    <t>270 t =</t>
  </si>
  <si>
    <t>180 t =</t>
  </si>
  <si>
    <t>If a1 &gt; b1,then a1 &lt; 270 t &amp; b1 &lt; 180 t</t>
  </si>
  <si>
    <t>a1 =</t>
  </si>
  <si>
    <t>b1 =</t>
  </si>
  <si>
    <t>If b2 &gt; a1,then a1 &lt; 180 t &amp; b2 &lt; 270 t</t>
  </si>
  <si>
    <t>b2 =</t>
  </si>
  <si>
    <t>Designation</t>
  </si>
  <si>
    <t>Weight per Meter  W in KG.</t>
  </si>
  <si>
    <r>
      <rPr>
        <b/>
        <sz val="10"/>
        <rFont val="Arial"/>
        <family val="2"/>
        <charset val="134"/>
      </rPr>
      <t>Sectional Area  A IN CM</t>
    </r>
    <r>
      <rPr>
        <b/>
        <vertAlign val="superscript"/>
        <sz val="10"/>
        <rFont val="Arial"/>
        <family val="2"/>
        <charset val="134"/>
      </rPr>
      <t>2</t>
    </r>
  </si>
  <si>
    <t>Depth of Section  h IN mm</t>
  </si>
  <si>
    <t>Width of Flange  b in mm</t>
  </si>
  <si>
    <r>
      <rPr>
        <b/>
        <sz val="10"/>
        <rFont val="Arial"/>
        <family val="2"/>
        <charset val="134"/>
      </rPr>
      <t>Thickness of Flange t</t>
    </r>
    <r>
      <rPr>
        <b/>
        <vertAlign val="subscript"/>
        <sz val="10"/>
        <rFont val="Arial"/>
        <family val="2"/>
        <charset val="134"/>
      </rPr>
      <t>f</t>
    </r>
    <r>
      <rPr>
        <b/>
        <sz val="10"/>
        <rFont val="Arial"/>
        <family val="2"/>
        <charset val="134"/>
      </rPr>
      <t xml:space="preserve"> in mm</t>
    </r>
  </si>
  <si>
    <r>
      <rPr>
        <b/>
        <sz val="10"/>
        <rFont val="Arial"/>
        <family val="2"/>
        <charset val="134"/>
      </rPr>
      <t>Thickness of Web t</t>
    </r>
    <r>
      <rPr>
        <b/>
        <vertAlign val="subscript"/>
        <sz val="10"/>
        <rFont val="Arial"/>
        <family val="2"/>
        <charset val="134"/>
      </rPr>
      <t>w</t>
    </r>
    <r>
      <rPr>
        <b/>
        <sz val="10"/>
        <rFont val="Arial"/>
        <family val="2"/>
        <charset val="134"/>
      </rPr>
      <t xml:space="preserve"> in mm</t>
    </r>
  </si>
  <si>
    <r>
      <rPr>
        <b/>
        <sz val="10"/>
        <rFont val="Arial"/>
        <family val="2"/>
        <charset val="134"/>
      </rPr>
      <t>Centre of Gravity c</t>
    </r>
    <r>
      <rPr>
        <b/>
        <vertAlign val="subscript"/>
        <sz val="10"/>
        <rFont val="Arial"/>
        <family val="2"/>
        <charset val="134"/>
      </rPr>
      <t>yy</t>
    </r>
    <r>
      <rPr>
        <b/>
        <sz val="10"/>
        <rFont val="Arial"/>
        <family val="2"/>
        <charset val="134"/>
      </rPr>
      <t xml:space="preserve"> in cm</t>
    </r>
  </si>
  <si>
    <r>
      <rPr>
        <b/>
        <sz val="10"/>
        <rFont val="Arial"/>
        <family val="2"/>
        <charset val="134"/>
      </rPr>
      <t>Moment of Inertia in cm</t>
    </r>
    <r>
      <rPr>
        <b/>
        <vertAlign val="superscript"/>
        <sz val="10"/>
        <rFont val="Arial"/>
        <family val="2"/>
        <charset val="134"/>
      </rPr>
      <t>4</t>
    </r>
  </si>
  <si>
    <t>SELECTION OF STIFFENER</t>
  </si>
  <si>
    <r>
      <rPr>
        <b/>
        <sz val="10"/>
        <rFont val="Arial"/>
        <family val="2"/>
        <charset val="134"/>
      </rPr>
      <t>I</t>
    </r>
    <r>
      <rPr>
        <b/>
        <vertAlign val="subscript"/>
        <sz val="10"/>
        <rFont val="Arial"/>
        <family val="2"/>
        <charset val="134"/>
      </rPr>
      <t>xx</t>
    </r>
  </si>
  <si>
    <r>
      <rPr>
        <b/>
        <sz val="10"/>
        <rFont val="Arial"/>
        <family val="2"/>
        <charset val="134"/>
      </rPr>
      <t>I</t>
    </r>
    <r>
      <rPr>
        <b/>
        <vertAlign val="subscript"/>
        <sz val="10"/>
        <rFont val="Arial"/>
        <family val="2"/>
        <charset val="134"/>
      </rPr>
      <t>yy</t>
    </r>
  </si>
  <si>
    <t>(1)</t>
  </si>
  <si>
    <t xml:space="preserve">Consider, </t>
  </si>
  <si>
    <t>ISMC 125 x 65</t>
  </si>
  <si>
    <t>For Ist Stiffener</t>
  </si>
  <si>
    <t>NOT REQ.</t>
  </si>
  <si>
    <t>ISMC 075 x 40</t>
  </si>
  <si>
    <r>
      <rPr>
        <b/>
        <sz val="11"/>
        <color indexed="8"/>
        <rFont val="Calibri"/>
        <family val="2"/>
        <charset val="134"/>
      </rPr>
      <t xml:space="preserve">Is </t>
    </r>
    <r>
      <rPr>
        <b/>
        <sz val="11"/>
        <color indexed="8"/>
        <rFont val="Calibri"/>
        <family val="2"/>
        <charset val="134"/>
      </rPr>
      <t>≥ 4Ctw^3</t>
    </r>
  </si>
  <si>
    <t>Refer IS 800:1984,Cl.no.-6.7.4.3</t>
  </si>
  <si>
    <t>ISMC 100 x 50</t>
  </si>
  <si>
    <t>Is  =</t>
  </si>
  <si>
    <t>Iyy + Area of Channel x (Flange width-C.G)^2</t>
  </si>
  <si>
    <t>ISMC 150 x 75</t>
  </si>
  <si>
    <t>Refer IS 808 Rolled Steel Channel section</t>
  </si>
  <si>
    <t>Width of channel =</t>
  </si>
  <si>
    <t>ISMC 200 x 75</t>
  </si>
  <si>
    <t>Cm^4</t>
  </si>
  <si>
    <t>Height of channel =</t>
  </si>
  <si>
    <t>ISMC 250 x 80</t>
  </si>
  <si>
    <t>ISMC 300 x 90</t>
  </si>
  <si>
    <t>C =</t>
  </si>
  <si>
    <t>Actual Dist.b/w Vertical stiffener</t>
  </si>
  <si>
    <t>ISMC 350 x 100</t>
  </si>
  <si>
    <t>ISMC 400 x 100</t>
  </si>
  <si>
    <t>tw =</t>
  </si>
  <si>
    <t>Minimum required thickness of Web</t>
  </si>
  <si>
    <t>4Ctw^3 =</t>
  </si>
  <si>
    <t>Considered 1st Stiffener is</t>
  </si>
  <si>
    <t>(2)</t>
  </si>
  <si>
    <t>For 2nd Stiffener</t>
  </si>
  <si>
    <r>
      <rPr>
        <b/>
        <sz val="11"/>
        <color indexed="8"/>
        <rFont val="Calibri"/>
        <family val="2"/>
        <charset val="134"/>
      </rPr>
      <t xml:space="preserve">Is </t>
    </r>
    <r>
      <rPr>
        <b/>
        <sz val="11"/>
        <color indexed="8"/>
        <rFont val="Calibri"/>
        <family val="2"/>
        <charset val="134"/>
      </rPr>
      <t>≥ d2tw^3</t>
    </r>
  </si>
  <si>
    <t>d2 =</t>
  </si>
  <si>
    <t>2 x Distance from bottom of compression flange to N.A.</t>
  </si>
  <si>
    <t>Total weight  =</t>
  </si>
  <si>
    <t>Kg/mtr</t>
  </si>
  <si>
    <t>d2tw^3 =</t>
  </si>
  <si>
    <t>Considered 2nd Stiffener is</t>
  </si>
  <si>
    <t>(3)</t>
  </si>
  <si>
    <t>For longitudinal stiffener at center of compression plate</t>
  </si>
  <si>
    <t>NOTE:-</t>
  </si>
  <si>
    <t>Refer AIST Cl.no.-2.3.7.4.4</t>
  </si>
  <si>
    <t>Io(s) = (t*H^3)/3</t>
  </si>
  <si>
    <t>H = Height of Stiffener =</t>
  </si>
  <si>
    <t>t = Thickness of stiffener =</t>
  </si>
  <si>
    <t>Io(s) =</t>
  </si>
  <si>
    <t>in^4</t>
  </si>
  <si>
    <t>Io(s) Shall be no less than:</t>
  </si>
  <si>
    <t>Io = [0.6*(a/Wc1)+0.2*(a/Wc1)^2+3*((As*a)/(Wc1^2*Ft1))]*(Wc1*Ft1^3)</t>
  </si>
  <si>
    <t>Io(s) Shall be no greater than:</t>
  </si>
  <si>
    <t>Io = [2.2+10.3*(As/Wc1*Ft1)*{1+(As/Wc1*Ft1)}]*(Wc1*Ft1^3)</t>
  </si>
  <si>
    <t>i.e(50 x .394)</t>
  </si>
  <si>
    <t>Area of stiffener,(H*t) (in^2)</t>
  </si>
  <si>
    <t xml:space="preserve"> Ft1   =</t>
  </si>
  <si>
    <t>Thickness of Top flange(in)</t>
  </si>
  <si>
    <t>i.e(1.6 x .394)</t>
  </si>
  <si>
    <t>Wc1   =</t>
  </si>
  <si>
    <t>i.e(68 x .394)</t>
  </si>
  <si>
    <t>Weight of flange stiffener =</t>
  </si>
  <si>
    <t xml:space="preserve">Consider, Flat size </t>
  </si>
  <si>
    <t>CHECKING GIRDER WEB FOR BUCKLING</t>
  </si>
  <si>
    <r>
      <rPr>
        <sz val="11"/>
        <color indexed="8"/>
        <rFont val="Calibri"/>
        <family val="2"/>
        <charset val="134"/>
      </rPr>
      <t>Actual value of max.compressive Stress(</t>
    </r>
    <r>
      <rPr>
        <sz val="11"/>
        <color indexed="8"/>
        <rFont val="Calibri"/>
        <family val="2"/>
        <charset val="134"/>
      </rPr>
      <t>σ)</t>
    </r>
    <r>
      <rPr>
        <sz val="10"/>
        <rFont val="Arial"/>
        <family val="2"/>
        <charset val="134"/>
      </rPr>
      <t xml:space="preserve"> =</t>
    </r>
  </si>
  <si>
    <t>Kg/cm2</t>
  </si>
  <si>
    <t>(Refer Girder Calc sheet)</t>
  </si>
  <si>
    <r>
      <rPr>
        <sz val="11"/>
        <color indexed="8"/>
        <rFont val="Calibri"/>
        <family val="2"/>
        <charset val="134"/>
      </rPr>
      <t>Actual value of Shear Stress(</t>
    </r>
    <r>
      <rPr>
        <sz val="11"/>
        <color indexed="8"/>
        <rFont val="Calibri"/>
        <family val="2"/>
        <charset val="134"/>
      </rPr>
      <t>τ) at center</t>
    </r>
    <r>
      <rPr>
        <sz val="10"/>
        <rFont val="Arial"/>
        <family val="2"/>
        <charset val="134"/>
      </rPr>
      <t xml:space="preserve"> =</t>
    </r>
  </si>
  <si>
    <r>
      <rPr>
        <sz val="11"/>
        <color indexed="8"/>
        <rFont val="Calibri"/>
        <family val="2"/>
        <charset val="134"/>
      </rPr>
      <t>Max.compressive Stress on Inner surface of Top flange                   (</t>
    </r>
    <r>
      <rPr>
        <sz val="11"/>
        <color indexed="8"/>
        <rFont val="Calibri"/>
        <family val="2"/>
        <charset val="134"/>
      </rPr>
      <t>σ1)</t>
    </r>
    <r>
      <rPr>
        <sz val="10"/>
        <rFont val="Arial"/>
        <family val="2"/>
        <charset val="134"/>
      </rPr>
      <t xml:space="preserve"> =</t>
    </r>
  </si>
  <si>
    <t>σ2 =</t>
  </si>
  <si>
    <t>σ1 =</t>
  </si>
  <si>
    <r>
      <rPr>
        <sz val="11"/>
        <color indexed="8"/>
        <rFont val="Calibri"/>
        <family val="2"/>
        <charset val="134"/>
      </rPr>
      <t>Max.compressive Stress on Top of Ist Stiffener                                            (</t>
    </r>
    <r>
      <rPr>
        <sz val="11"/>
        <color indexed="8"/>
        <rFont val="Calibri"/>
        <family val="2"/>
        <charset val="134"/>
      </rPr>
      <t>σ2)</t>
    </r>
    <r>
      <rPr>
        <sz val="10"/>
        <rFont val="Arial"/>
        <family val="2"/>
        <charset val="134"/>
      </rPr>
      <t xml:space="preserve"> =</t>
    </r>
  </si>
  <si>
    <r>
      <rPr>
        <sz val="11"/>
        <color indexed="8"/>
        <rFont val="Calibri"/>
        <family val="2"/>
        <charset val="134"/>
      </rPr>
      <t>Max.compressive Stress on Bottom of Ist Stiffener                                            (</t>
    </r>
    <r>
      <rPr>
        <sz val="11"/>
        <color indexed="8"/>
        <rFont val="Calibri"/>
        <family val="2"/>
        <charset val="134"/>
      </rPr>
      <t>σ3)</t>
    </r>
    <r>
      <rPr>
        <sz val="10"/>
        <rFont val="Arial"/>
        <family val="2"/>
        <charset val="134"/>
      </rPr>
      <t xml:space="preserve"> =</t>
    </r>
  </si>
  <si>
    <t>σ3 =</t>
  </si>
  <si>
    <r>
      <rPr>
        <sz val="11"/>
        <color indexed="8"/>
        <rFont val="Calibri"/>
        <family val="2"/>
        <charset val="134"/>
      </rPr>
      <t>Max.compressive Stress on Top of 2nd Stiffener                                              (</t>
    </r>
    <r>
      <rPr>
        <sz val="11"/>
        <color indexed="8"/>
        <rFont val="Calibri"/>
        <family val="2"/>
        <charset val="134"/>
      </rPr>
      <t>σ4)</t>
    </r>
    <r>
      <rPr>
        <sz val="10"/>
        <rFont val="Arial"/>
        <family val="2"/>
        <charset val="134"/>
      </rPr>
      <t xml:space="preserve"> =</t>
    </r>
  </si>
  <si>
    <t>σ4 =</t>
  </si>
  <si>
    <t>FOR Ist STIFFENER</t>
  </si>
  <si>
    <r>
      <rPr>
        <sz val="11"/>
        <color indexed="8"/>
        <rFont val="Calibri"/>
        <family val="2"/>
        <charset val="134"/>
      </rPr>
      <t>Stress Ratio(</t>
    </r>
    <r>
      <rPr>
        <b/>
        <sz val="12"/>
        <rFont val="Symbol"/>
        <family val="1"/>
        <charset val="2"/>
      </rPr>
      <t>y</t>
    </r>
    <r>
      <rPr>
        <sz val="12"/>
        <rFont val="Symbol"/>
        <family val="1"/>
        <charset val="2"/>
      </rPr>
      <t xml:space="preserve">) </t>
    </r>
    <r>
      <rPr>
        <sz val="10"/>
        <rFont val="Arial"/>
        <family val="2"/>
        <charset val="1"/>
      </rPr>
      <t>=</t>
    </r>
  </si>
  <si>
    <r>
      <rPr>
        <sz val="11"/>
        <color indexed="8"/>
        <rFont val="Calibri"/>
        <family val="2"/>
        <charset val="134"/>
      </rPr>
      <t>(i.e,</t>
    </r>
    <r>
      <rPr>
        <sz val="11"/>
        <color indexed="8"/>
        <rFont val="Calibri"/>
        <family val="2"/>
        <charset val="134"/>
      </rPr>
      <t>σ2/σ1)</t>
    </r>
  </si>
  <si>
    <r>
      <rPr>
        <sz val="10"/>
        <rFont val="Arial"/>
        <family val="2"/>
        <charset val="1"/>
      </rPr>
      <t>(</t>
    </r>
    <r>
      <rPr>
        <b/>
        <sz val="11"/>
        <rFont val="Symbol"/>
        <family val="1"/>
        <charset val="2"/>
      </rPr>
      <t>a</t>
    </r>
    <r>
      <rPr>
        <sz val="10"/>
        <rFont val="Symbol"/>
        <family val="1"/>
        <charset val="2"/>
      </rPr>
      <t>)</t>
    </r>
    <r>
      <rPr>
        <sz val="10"/>
        <rFont val="Arial"/>
        <family val="2"/>
        <charset val="1"/>
      </rPr>
      <t xml:space="preserve">  =</t>
    </r>
  </si>
  <si>
    <t>(i.e,a/b)</t>
  </si>
  <si>
    <t>Now,</t>
  </si>
  <si>
    <t>As per FEM,Table A.3.4.1 (Buckling factor  K)</t>
  </si>
  <si>
    <r>
      <rPr>
        <sz val="11"/>
        <color indexed="8"/>
        <rFont val="Calibri"/>
        <family val="2"/>
        <charset val="134"/>
      </rPr>
      <t>From (</t>
    </r>
    <r>
      <rPr>
        <sz val="11"/>
        <color indexed="8"/>
        <rFont val="Calibri"/>
        <family val="2"/>
        <charset val="134"/>
      </rPr>
      <t>Ψ &amp; α value)</t>
    </r>
  </si>
  <si>
    <t>Loading condition will be</t>
  </si>
  <si>
    <t>Non uniform compression</t>
  </si>
  <si>
    <t>i.e</t>
  </si>
  <si>
    <r>
      <rPr>
        <sz val="11"/>
        <color indexed="8"/>
        <rFont val="Calibri"/>
        <family val="2"/>
        <charset val="134"/>
      </rPr>
      <t xml:space="preserve">0 </t>
    </r>
    <r>
      <rPr>
        <b/>
        <sz val="11"/>
        <rFont val="Calibri"/>
        <family val="2"/>
        <charset val="134"/>
      </rPr>
      <t xml:space="preserve">&lt; </t>
    </r>
    <r>
      <rPr>
        <b/>
        <sz val="11"/>
        <rFont val="Symbol"/>
        <family val="1"/>
        <charset val="2"/>
      </rPr>
      <t xml:space="preserve">y </t>
    </r>
    <r>
      <rPr>
        <b/>
        <sz val="11"/>
        <rFont val="Calibri"/>
        <family val="2"/>
        <charset val="134"/>
      </rPr>
      <t>≤</t>
    </r>
    <r>
      <rPr>
        <b/>
        <sz val="11"/>
        <rFont val="Symbol"/>
        <family val="1"/>
        <charset val="2"/>
      </rPr>
      <t xml:space="preserve"> 1</t>
    </r>
  </si>
  <si>
    <t>Applicable range will be</t>
  </si>
  <si>
    <t>a  1</t>
  </si>
  <si>
    <r>
      <rPr>
        <b/>
        <sz val="11"/>
        <rFont val="Symbol"/>
        <family val="1"/>
        <charset val="2"/>
      </rPr>
      <t xml:space="preserve">a </t>
    </r>
    <r>
      <rPr>
        <b/>
        <sz val="11"/>
        <rFont val="Calibri"/>
        <family val="2"/>
        <charset val="134"/>
      </rPr>
      <t>≤</t>
    </r>
    <r>
      <rPr>
        <b/>
        <sz val="11"/>
        <rFont val="Symbol"/>
        <family val="1"/>
        <charset val="2"/>
      </rPr>
      <t xml:space="preserve"> 1</t>
    </r>
  </si>
  <si>
    <r>
      <rPr>
        <sz val="11"/>
        <color indexed="8"/>
        <rFont val="Calibri"/>
        <family val="2"/>
        <charset val="134"/>
      </rPr>
      <t>Buckling Coefficient Compression (K</t>
    </r>
    <r>
      <rPr>
        <sz val="11"/>
        <color indexed="8"/>
        <rFont val="Calibri"/>
        <family val="2"/>
        <charset val="134"/>
      </rPr>
      <t>σ</t>
    </r>
    <r>
      <rPr>
        <sz val="10"/>
        <rFont val="Arial"/>
        <family val="2"/>
        <charset val="134"/>
      </rPr>
      <t>)   =</t>
    </r>
  </si>
  <si>
    <r>
      <rPr>
        <b/>
        <sz val="10"/>
        <rFont val="Arial"/>
        <family val="2"/>
        <charset val="134"/>
      </rPr>
      <t>K</t>
    </r>
    <r>
      <rPr>
        <b/>
        <sz val="10"/>
        <rFont val="Calibri"/>
        <family val="2"/>
        <charset val="134"/>
      </rPr>
      <t>σ</t>
    </r>
    <r>
      <rPr>
        <b/>
        <sz val="10"/>
        <rFont val="Arial"/>
        <family val="2"/>
        <charset val="134"/>
      </rPr>
      <t xml:space="preserve"> = 8.4/(</t>
    </r>
    <r>
      <rPr>
        <b/>
        <sz val="10"/>
        <rFont val="Symbol"/>
        <family val="1"/>
        <charset val="2"/>
      </rPr>
      <t>y+1.1)</t>
    </r>
  </si>
  <si>
    <r>
      <rPr>
        <b/>
        <sz val="10"/>
        <rFont val="Arial"/>
        <family val="2"/>
        <charset val="134"/>
      </rPr>
      <t>K</t>
    </r>
    <r>
      <rPr>
        <b/>
        <sz val="10"/>
        <rFont val="Calibri"/>
        <family val="2"/>
        <charset val="134"/>
      </rPr>
      <t>σ</t>
    </r>
    <r>
      <rPr>
        <b/>
        <sz val="10"/>
        <rFont val="Arial"/>
        <family val="2"/>
        <charset val="134"/>
      </rPr>
      <t xml:space="preserve"> = 2.1*(</t>
    </r>
    <r>
      <rPr>
        <b/>
        <sz val="10"/>
        <rFont val="Calibri"/>
        <family val="2"/>
        <charset val="134"/>
      </rPr>
      <t>α</t>
    </r>
    <r>
      <rPr>
        <b/>
        <sz val="10"/>
        <rFont val="Arial"/>
        <family val="2"/>
        <charset val="134"/>
      </rPr>
      <t>+1/</t>
    </r>
    <r>
      <rPr>
        <b/>
        <sz val="10"/>
        <rFont val="Calibri"/>
        <family val="2"/>
        <charset val="134"/>
      </rPr>
      <t>α</t>
    </r>
    <r>
      <rPr>
        <b/>
        <sz val="10"/>
        <rFont val="Arial"/>
        <family val="2"/>
        <charset val="134"/>
      </rPr>
      <t>)^2/(</t>
    </r>
    <r>
      <rPr>
        <b/>
        <sz val="10"/>
        <rFont val="Calibri"/>
        <family val="2"/>
        <charset val="134"/>
      </rPr>
      <t>Ψ</t>
    </r>
    <r>
      <rPr>
        <b/>
        <sz val="10"/>
        <rFont val="Symbol"/>
        <family val="1"/>
        <charset val="2"/>
      </rPr>
      <t>+1.1)</t>
    </r>
  </si>
  <si>
    <r>
      <rPr>
        <b/>
        <sz val="11"/>
        <color indexed="8"/>
        <rFont val="Calibri"/>
        <family val="2"/>
        <charset val="134"/>
      </rPr>
      <t>K</t>
    </r>
    <r>
      <rPr>
        <b/>
        <sz val="11"/>
        <color indexed="8"/>
        <rFont val="Calibri"/>
        <family val="2"/>
        <charset val="134"/>
      </rPr>
      <t>σ</t>
    </r>
    <r>
      <rPr>
        <b/>
        <sz val="11"/>
        <color indexed="8"/>
        <rFont val="Calibri"/>
        <family val="2"/>
        <charset val="134"/>
      </rPr>
      <t xml:space="preserve"> =</t>
    </r>
  </si>
  <si>
    <r>
      <rPr>
        <sz val="11"/>
        <color indexed="8"/>
        <rFont val="Calibri"/>
        <family val="2"/>
        <charset val="134"/>
      </rPr>
      <t>Buckling Coefficient for Shear (K</t>
    </r>
    <r>
      <rPr>
        <sz val="11"/>
        <color indexed="8"/>
        <rFont val="Calibri"/>
        <family val="2"/>
        <charset val="134"/>
      </rPr>
      <t>τ</t>
    </r>
    <r>
      <rPr>
        <sz val="10"/>
        <rFont val="Arial"/>
        <family val="2"/>
        <charset val="134"/>
      </rPr>
      <t>)   =</t>
    </r>
  </si>
  <si>
    <r>
      <rPr>
        <b/>
        <sz val="10"/>
        <rFont val="Arial"/>
        <family val="2"/>
        <charset val="134"/>
      </rPr>
      <t>K</t>
    </r>
    <r>
      <rPr>
        <b/>
        <sz val="10"/>
        <rFont val="Calibri"/>
        <family val="2"/>
        <charset val="134"/>
      </rPr>
      <t>τ</t>
    </r>
    <r>
      <rPr>
        <b/>
        <sz val="10"/>
        <rFont val="Arial"/>
        <family val="2"/>
        <charset val="134"/>
      </rPr>
      <t xml:space="preserve"> = 5.34+(4/</t>
    </r>
    <r>
      <rPr>
        <b/>
        <sz val="10"/>
        <rFont val="Calibri"/>
        <family val="2"/>
        <charset val="134"/>
      </rPr>
      <t>α</t>
    </r>
    <r>
      <rPr>
        <b/>
        <sz val="10"/>
        <rFont val="Arial"/>
        <family val="2"/>
        <charset val="134"/>
      </rPr>
      <t>^2)</t>
    </r>
  </si>
  <si>
    <r>
      <rPr>
        <b/>
        <sz val="10"/>
        <rFont val="Arial"/>
        <family val="2"/>
        <charset val="134"/>
      </rPr>
      <t>K</t>
    </r>
    <r>
      <rPr>
        <b/>
        <sz val="10"/>
        <rFont val="Calibri"/>
        <family val="2"/>
        <charset val="134"/>
      </rPr>
      <t>τ</t>
    </r>
    <r>
      <rPr>
        <b/>
        <sz val="10"/>
        <rFont val="Arial"/>
        <family val="2"/>
        <charset val="134"/>
      </rPr>
      <t xml:space="preserve"> = 4+(5.34/</t>
    </r>
    <r>
      <rPr>
        <b/>
        <sz val="10"/>
        <rFont val="Calibri"/>
        <family val="2"/>
        <charset val="134"/>
      </rPr>
      <t>α</t>
    </r>
    <r>
      <rPr>
        <b/>
        <sz val="10"/>
        <rFont val="Arial"/>
        <family val="2"/>
        <charset val="134"/>
      </rPr>
      <t>^2)</t>
    </r>
  </si>
  <si>
    <r>
      <rPr>
        <b/>
        <sz val="11"/>
        <color indexed="8"/>
        <rFont val="Calibri"/>
        <family val="2"/>
        <charset val="134"/>
      </rPr>
      <t>K</t>
    </r>
    <r>
      <rPr>
        <b/>
        <sz val="11"/>
        <color indexed="8"/>
        <rFont val="Calibri"/>
        <family val="2"/>
        <charset val="134"/>
      </rPr>
      <t>τ</t>
    </r>
    <r>
      <rPr>
        <b/>
        <sz val="11"/>
        <color indexed="8"/>
        <rFont val="Calibri"/>
        <family val="2"/>
        <charset val="134"/>
      </rPr>
      <t xml:space="preserve"> =</t>
    </r>
  </si>
  <si>
    <r>
      <rPr>
        <b/>
        <sz val="10"/>
        <rFont val="Arial"/>
        <family val="2"/>
        <charset val="134"/>
      </rPr>
      <t xml:space="preserve">Critical Buckling Stress compression </t>
    </r>
    <r>
      <rPr>
        <b/>
        <sz val="11"/>
        <rFont val="Arial"/>
        <family val="2"/>
        <charset val="134"/>
      </rPr>
      <t>(</t>
    </r>
    <r>
      <rPr>
        <b/>
        <sz val="11"/>
        <rFont val="Symbol"/>
        <family val="1"/>
        <charset val="2"/>
      </rPr>
      <t>s</t>
    </r>
    <r>
      <rPr>
        <b/>
        <sz val="11"/>
        <rFont val="Arial"/>
        <family val="2"/>
        <charset val="1"/>
      </rPr>
      <t xml:space="preserve">vcr) = </t>
    </r>
  </si>
  <si>
    <t>Buckling coeff.compression x Euler stress</t>
  </si>
  <si>
    <r>
      <rPr>
        <b/>
        <sz val="10"/>
        <rFont val="Arial"/>
        <family val="2"/>
        <charset val="134"/>
      </rPr>
      <t xml:space="preserve">Critical Buckling Stress Shear </t>
    </r>
    <r>
      <rPr>
        <b/>
        <sz val="11"/>
        <rFont val="Arial"/>
        <family val="2"/>
        <charset val="134"/>
      </rPr>
      <t>(</t>
    </r>
    <r>
      <rPr>
        <b/>
        <sz val="11"/>
        <rFont val="Calibri"/>
        <family val="2"/>
        <charset val="134"/>
      </rPr>
      <t>τ</t>
    </r>
    <r>
      <rPr>
        <b/>
        <sz val="11"/>
        <rFont val="Arial"/>
        <family val="2"/>
        <charset val="1"/>
      </rPr>
      <t xml:space="preserve">vcr) = </t>
    </r>
  </si>
  <si>
    <t>Buckling coeff.Shear x Euler stress</t>
  </si>
  <si>
    <r>
      <rPr>
        <b/>
        <sz val="11"/>
        <color indexed="8"/>
        <rFont val="Calibri"/>
        <family val="2"/>
        <charset val="134"/>
      </rPr>
      <t>Euler stress(</t>
    </r>
    <r>
      <rPr>
        <b/>
        <sz val="11"/>
        <color indexed="8"/>
        <rFont val="Calibri"/>
        <family val="2"/>
        <charset val="134"/>
      </rPr>
      <t>σEr)</t>
    </r>
    <r>
      <rPr>
        <b/>
        <sz val="11"/>
        <color indexed="8"/>
        <rFont val="Calibri"/>
        <family val="2"/>
        <charset val="134"/>
      </rPr>
      <t xml:space="preserve"> = </t>
    </r>
  </si>
  <si>
    <t>189800 x (t/b)^2</t>
  </si>
  <si>
    <t>Web thickness(mm)   =</t>
  </si>
  <si>
    <t>b=</t>
  </si>
  <si>
    <t>Width of Panel(mm)   =</t>
  </si>
  <si>
    <t>Kg/Cm^2</t>
  </si>
  <si>
    <r>
      <rPr>
        <b/>
        <sz val="11"/>
        <rFont val="Symbol"/>
        <family val="1"/>
        <charset val="2"/>
      </rPr>
      <t>s</t>
    </r>
    <r>
      <rPr>
        <b/>
        <sz val="11"/>
        <rFont val="Arial"/>
        <family val="2"/>
        <charset val="1"/>
      </rPr>
      <t xml:space="preserve">vcr = </t>
    </r>
  </si>
  <si>
    <r>
      <rPr>
        <b/>
        <sz val="11"/>
        <rFont val="Calibri"/>
        <family val="2"/>
        <charset val="134"/>
      </rPr>
      <t>τ</t>
    </r>
    <r>
      <rPr>
        <b/>
        <sz val="11"/>
        <rFont val="Arial"/>
        <family val="2"/>
        <charset val="1"/>
      </rPr>
      <t xml:space="preserve">vcr = </t>
    </r>
  </si>
  <si>
    <t>When Compression and Shear stress occur simultaneously then,</t>
  </si>
  <si>
    <t>σvcrc =</t>
  </si>
  <si>
    <t>(σ1^2+3*τ^2)^0.5</t>
  </si>
  <si>
    <r>
      <rPr>
        <sz val="11"/>
        <color indexed="8"/>
        <rFont val="Calibri"/>
        <family val="2"/>
        <charset val="134"/>
      </rPr>
      <t>((1+</t>
    </r>
    <r>
      <rPr>
        <sz val="11"/>
        <color indexed="8"/>
        <rFont val="Calibri"/>
        <family val="2"/>
        <charset val="134"/>
      </rPr>
      <t>Ψ)/4)*(σ1</t>
    </r>
    <r>
      <rPr>
        <sz val="10"/>
        <rFont val="Arial"/>
        <family val="2"/>
        <charset val="134"/>
      </rPr>
      <t>/</t>
    </r>
    <r>
      <rPr>
        <sz val="11"/>
        <color indexed="8"/>
        <rFont val="Calibri"/>
        <family val="2"/>
        <charset val="134"/>
      </rPr>
      <t>σvcr)*[{((3-Ψ</t>
    </r>
    <r>
      <rPr>
        <sz val="10"/>
        <rFont val="Arial"/>
        <family val="2"/>
        <charset val="134"/>
      </rPr>
      <t>)/4)*(</t>
    </r>
    <r>
      <rPr>
        <sz val="11"/>
        <color indexed="8"/>
        <rFont val="Calibri"/>
        <family val="2"/>
        <charset val="134"/>
      </rPr>
      <t>σ1/σ</t>
    </r>
    <r>
      <rPr>
        <sz val="10"/>
        <rFont val="Arial"/>
        <family val="2"/>
        <charset val="134"/>
      </rPr>
      <t>vcr)}^2+(</t>
    </r>
    <r>
      <rPr>
        <sz val="11"/>
        <color indexed="8"/>
        <rFont val="Calibri"/>
        <family val="2"/>
        <charset val="134"/>
      </rPr>
      <t>τ/τ</t>
    </r>
    <r>
      <rPr>
        <sz val="10"/>
        <rFont val="Arial"/>
        <family val="2"/>
        <charset val="134"/>
      </rPr>
      <t>vcr)^2]^0.5</t>
    </r>
  </si>
  <si>
    <t>σvcrc=</t>
  </si>
  <si>
    <t>Ideal Combined stress</t>
  </si>
  <si>
    <t>Proportional limit of Material(E250 IS2062,GR:BR) =</t>
  </si>
  <si>
    <r>
      <rPr>
        <sz val="11"/>
        <color indexed="8"/>
        <rFont val="Calibri"/>
        <family val="2"/>
        <charset val="134"/>
      </rPr>
      <t>Ideal combined stress,</t>
    </r>
    <r>
      <rPr>
        <sz val="11"/>
        <color indexed="8"/>
        <rFont val="Calibri"/>
        <family val="2"/>
        <charset val="134"/>
      </rPr>
      <t>σvcrc value exceed the Proportional limit of material</t>
    </r>
  </si>
  <si>
    <t>Determined Reduce combined stress and relate with actual combined stress</t>
  </si>
  <si>
    <t>i.e.</t>
  </si>
  <si>
    <t>σcp = (σ1^2+3*τ^2)^0.5   ≤</t>
  </si>
  <si>
    <t>σvk/S</t>
  </si>
  <si>
    <t xml:space="preserve">σcp = </t>
  </si>
  <si>
    <t>Combined stress(Kg/cm^2)</t>
  </si>
  <si>
    <t xml:space="preserve">σvk = </t>
  </si>
  <si>
    <t>Reduced combined stress(N/mm^2)</t>
  </si>
  <si>
    <t>Refer FEM,Table T.A.3.4.2 for material ST37</t>
  </si>
  <si>
    <t>Strength factor against Local buckling</t>
  </si>
  <si>
    <t>Refer IS 807:2006 Table 22,Case I(Buckling of partial panel)</t>
  </si>
  <si>
    <r>
      <rPr>
        <sz val="11"/>
        <color indexed="8"/>
        <rFont val="Calibri"/>
        <family val="2"/>
        <charset val="134"/>
      </rPr>
      <t>1.5+0.075(</t>
    </r>
    <r>
      <rPr>
        <sz val="11"/>
        <color indexed="8"/>
        <rFont val="Calibri"/>
        <family val="2"/>
        <charset val="134"/>
      </rPr>
      <t>Ψ-1)</t>
    </r>
  </si>
  <si>
    <t>CASE I</t>
  </si>
  <si>
    <t>σvk/S =</t>
  </si>
  <si>
    <t>σcp      ≤</t>
  </si>
  <si>
    <t>FOR 2nd STIFFENER</t>
  </si>
  <si>
    <r>
      <rPr>
        <sz val="11"/>
        <color indexed="8"/>
        <rFont val="Calibri"/>
        <family val="2"/>
        <charset val="134"/>
      </rPr>
      <t>(i.e,</t>
    </r>
    <r>
      <rPr>
        <sz val="11"/>
        <color indexed="8"/>
        <rFont val="Calibri"/>
        <family val="2"/>
        <charset val="134"/>
      </rPr>
      <t>σ4/σ3)</t>
    </r>
  </si>
  <si>
    <r>
      <rPr>
        <sz val="10"/>
        <rFont val="Arial"/>
        <family val="2"/>
        <charset val="1"/>
      </rPr>
      <t>(</t>
    </r>
    <r>
      <rPr>
        <b/>
        <sz val="11"/>
        <rFont val="Symbol"/>
        <family val="1"/>
        <charset val="2"/>
      </rPr>
      <t>a</t>
    </r>
    <r>
      <rPr>
        <sz val="10"/>
        <rFont val="Symbol"/>
        <family val="1"/>
        <charset val="2"/>
      </rPr>
      <t>)</t>
    </r>
    <r>
      <rPr>
        <sz val="10"/>
        <rFont val="Arial"/>
        <family val="2"/>
        <charset val="1"/>
      </rPr>
      <t xml:space="preserve">   =</t>
    </r>
  </si>
  <si>
    <t>(i.e,a/b1)</t>
  </si>
  <si>
    <r>
      <rPr>
        <sz val="11"/>
        <color indexed="8"/>
        <rFont val="Calibri"/>
        <family val="2"/>
        <charset val="134"/>
      </rPr>
      <t xml:space="preserve">0 </t>
    </r>
    <r>
      <rPr>
        <b/>
        <sz val="11"/>
        <rFont val="Symbol"/>
        <family val="1"/>
        <charset val="2"/>
      </rPr>
      <t> y &lt; 1</t>
    </r>
  </si>
  <si>
    <t>189800 x (t/b1)^2</t>
  </si>
  <si>
    <t>b1=</t>
  </si>
  <si>
    <r>
      <rPr>
        <b/>
        <sz val="11"/>
        <color indexed="8"/>
        <rFont val="Calibri"/>
        <family val="2"/>
        <charset val="134"/>
      </rPr>
      <t>Euler stress(</t>
    </r>
    <r>
      <rPr>
        <b/>
        <sz val="11"/>
        <color indexed="8"/>
        <rFont val="Calibri"/>
        <family val="2"/>
        <charset val="134"/>
      </rPr>
      <t>σe)</t>
    </r>
    <r>
      <rPr>
        <b/>
        <sz val="11"/>
        <color indexed="8"/>
        <rFont val="Calibri"/>
        <family val="2"/>
        <charset val="134"/>
      </rPr>
      <t xml:space="preserve"> = </t>
    </r>
  </si>
  <si>
    <t>(σ3^2+3*τ^2)^0.5</t>
  </si>
  <si>
    <r>
      <rPr>
        <sz val="11"/>
        <color indexed="8"/>
        <rFont val="Calibri"/>
        <family val="2"/>
        <charset val="134"/>
      </rPr>
      <t>((1+</t>
    </r>
    <r>
      <rPr>
        <sz val="11"/>
        <color indexed="8"/>
        <rFont val="Calibri"/>
        <family val="2"/>
        <charset val="134"/>
      </rPr>
      <t>Ψ)/4)*(σ3</t>
    </r>
    <r>
      <rPr>
        <sz val="10"/>
        <rFont val="Arial"/>
        <family val="2"/>
        <charset val="134"/>
      </rPr>
      <t>/</t>
    </r>
    <r>
      <rPr>
        <sz val="11"/>
        <color indexed="8"/>
        <rFont val="Calibri"/>
        <family val="2"/>
        <charset val="134"/>
      </rPr>
      <t>σvcr)*[{((3-Ψ</t>
    </r>
    <r>
      <rPr>
        <sz val="10"/>
        <rFont val="Arial"/>
        <family val="2"/>
        <charset val="134"/>
      </rPr>
      <t>)/4)*(</t>
    </r>
    <r>
      <rPr>
        <sz val="11"/>
        <color indexed="8"/>
        <rFont val="Calibri"/>
        <family val="2"/>
        <charset val="134"/>
      </rPr>
      <t>σ3/σ</t>
    </r>
    <r>
      <rPr>
        <sz val="10"/>
        <rFont val="Arial"/>
        <family val="2"/>
        <charset val="134"/>
      </rPr>
      <t>vcr)}^2+(</t>
    </r>
    <r>
      <rPr>
        <sz val="11"/>
        <color indexed="8"/>
        <rFont val="Calibri"/>
        <family val="2"/>
        <charset val="134"/>
      </rPr>
      <t>τ/τ</t>
    </r>
    <r>
      <rPr>
        <sz val="10"/>
        <rFont val="Arial"/>
        <family val="2"/>
        <charset val="134"/>
      </rPr>
      <t>vcr)^2]^0.5</t>
    </r>
  </si>
  <si>
    <t>σcp = (σ3^2+3*τ^2)^0.5   ≤</t>
  </si>
  <si>
    <t>CHECKING GIRDER TOP FLANGE FOR BUCKLING</t>
  </si>
  <si>
    <r>
      <rPr>
        <sz val="11"/>
        <color indexed="8"/>
        <rFont val="Calibri"/>
        <family val="2"/>
        <charset val="134"/>
      </rPr>
      <t>Width of panel(</t>
    </r>
    <r>
      <rPr>
        <b/>
        <sz val="10"/>
        <rFont val="Arial"/>
        <family val="2"/>
        <charset val="134"/>
      </rPr>
      <t>b'</t>
    </r>
    <r>
      <rPr>
        <sz val="10"/>
        <rFont val="Arial"/>
        <family val="2"/>
        <charset val="134"/>
      </rPr>
      <t>) =</t>
    </r>
  </si>
  <si>
    <t>Where,b' is Distance between Web center to Girder center</t>
  </si>
  <si>
    <r>
      <rPr>
        <sz val="10"/>
        <rFont val="Arial"/>
        <family val="2"/>
        <charset val="1"/>
      </rPr>
      <t>(</t>
    </r>
    <r>
      <rPr>
        <b/>
        <sz val="11"/>
        <rFont val="Symbol"/>
        <family val="1"/>
        <charset val="2"/>
      </rPr>
      <t>a</t>
    </r>
    <r>
      <rPr>
        <sz val="10"/>
        <rFont val="Symbol"/>
        <family val="1"/>
        <charset val="2"/>
      </rPr>
      <t>)</t>
    </r>
    <r>
      <rPr>
        <sz val="10"/>
        <rFont val="Arial"/>
        <family val="2"/>
        <charset val="1"/>
      </rPr>
      <t xml:space="preserve">     =</t>
    </r>
  </si>
  <si>
    <t>(i.e,a/b')</t>
  </si>
  <si>
    <t>Equally distributed Compressive stress</t>
  </si>
  <si>
    <t xml:space="preserve"> y =1</t>
  </si>
  <si>
    <r>
      <rPr>
        <sz val="11"/>
        <color indexed="8"/>
        <rFont val="Calibri"/>
        <family val="2"/>
        <charset val="134"/>
      </rPr>
      <t xml:space="preserve">Buckling Coefficient Compression </t>
    </r>
    <r>
      <rPr>
        <b/>
        <sz val="11"/>
        <color indexed="8"/>
        <rFont val="Calibri"/>
        <family val="2"/>
        <charset val="134"/>
      </rPr>
      <t>(K)</t>
    </r>
    <r>
      <rPr>
        <sz val="10"/>
        <rFont val="Arial"/>
        <family val="2"/>
        <charset val="134"/>
      </rPr>
      <t xml:space="preserve">   =</t>
    </r>
  </si>
  <si>
    <r>
      <rPr>
        <b/>
        <sz val="10"/>
        <rFont val="Arial"/>
        <family val="2"/>
        <charset val="134"/>
      </rPr>
      <t xml:space="preserve">Critical Buckling Stress compression </t>
    </r>
    <r>
      <rPr>
        <b/>
        <sz val="11"/>
        <rFont val="Arial"/>
        <family val="2"/>
        <charset val="134"/>
      </rPr>
      <t>(</t>
    </r>
    <r>
      <rPr>
        <b/>
        <sz val="11"/>
        <rFont val="Symbol"/>
        <family val="1"/>
        <charset val="2"/>
      </rPr>
      <t>s</t>
    </r>
    <r>
      <rPr>
        <b/>
        <sz val="11"/>
        <rFont val="Arial"/>
        <family val="2"/>
        <charset val="1"/>
      </rPr>
      <t xml:space="preserve">k) = </t>
    </r>
  </si>
  <si>
    <t>(431 x t/b')^2</t>
  </si>
  <si>
    <t>Flange thickness(mm)</t>
  </si>
  <si>
    <t>b'=</t>
  </si>
  <si>
    <t>Width of Panel(mm)</t>
  </si>
  <si>
    <r>
      <rPr>
        <b/>
        <sz val="11"/>
        <rFont val="Symbol"/>
        <family val="1"/>
        <charset val="2"/>
      </rPr>
      <t>s</t>
    </r>
    <r>
      <rPr>
        <b/>
        <sz val="11"/>
        <rFont val="Arial"/>
        <family val="2"/>
        <charset val="1"/>
      </rPr>
      <t xml:space="preserve">k = </t>
    </r>
  </si>
  <si>
    <t>When Compression stress occur separetly then,</t>
  </si>
  <si>
    <t>σ     ≤</t>
  </si>
  <si>
    <t>σk/S</t>
  </si>
  <si>
    <t>σk/S =</t>
  </si>
  <si>
    <t>σ =</t>
  </si>
  <si>
    <t>(Actual compressive stress at center of Girder )</t>
  </si>
  <si>
    <t>σ      ≤</t>
  </si>
  <si>
    <t>DESIGN FOR TRANSVERSE DIAPHRAGM SPACING OF GIRDER</t>
  </si>
  <si>
    <t>As per AIST-6,Cl.no.-2.3.7.4.1</t>
  </si>
  <si>
    <t>The spacing of Transverse diaphragm when required shall not exceed the lesser of</t>
  </si>
  <si>
    <t>320*t</t>
  </si>
  <si>
    <t>or</t>
  </si>
  <si>
    <t>500*t</t>
  </si>
  <si>
    <t>(fv)^0.5</t>
  </si>
  <si>
    <t>(Fy)^0.5</t>
  </si>
  <si>
    <t>Nor shall it exceed the unsupported depth(h) of web plate</t>
  </si>
  <si>
    <t>Web thickness(in)</t>
  </si>
  <si>
    <t>fv  =</t>
  </si>
  <si>
    <t>Computed shear stress(ksi)</t>
  </si>
  <si>
    <t>Fy  =</t>
  </si>
  <si>
    <t>Specified yield stress(ksi)</t>
  </si>
  <si>
    <t>mm,      Where,  h is depth of unsupported web plate</t>
  </si>
  <si>
    <t>Modii in^3</t>
  </si>
  <si>
    <t>(Please refer Buckling calc.sheet)</t>
  </si>
  <si>
    <t>fv =</t>
  </si>
  <si>
    <t>Where, fv = Computed Shear stress at full depth section</t>
  </si>
  <si>
    <t>(Please refer Girder calc.sheet)</t>
  </si>
  <si>
    <t>Ksi</t>
  </si>
  <si>
    <t>Fy =</t>
  </si>
  <si>
    <t>Wher,Fy = Min.yield stress of material</t>
  </si>
  <si>
    <t>mm (Lesser value)</t>
  </si>
  <si>
    <t>Considering Actual Spacing of Transverse Diaphragm =</t>
  </si>
  <si>
    <t xml:space="preserve">&lt; </t>
  </si>
  <si>
    <t>Considered Spacing of Transverse Diaphragm is SAFE</t>
  </si>
  <si>
    <t>DESIGN FOR TRANSVERSE DIAPHRAGM THICKNESS OF GIRDER</t>
  </si>
  <si>
    <r>
      <rPr>
        <b/>
        <sz val="10"/>
        <rFont val="Arial"/>
        <family val="2"/>
        <charset val="134"/>
      </rPr>
      <t xml:space="preserve">If c/d </t>
    </r>
    <r>
      <rPr>
        <b/>
        <sz val="10"/>
        <rFont val="Calibri"/>
        <family val="2"/>
        <charset val="134"/>
      </rPr>
      <t>≥ 2^0.5(1.414), Is ≥ 0.75*d*tw^3</t>
    </r>
  </si>
  <si>
    <r>
      <rPr>
        <b/>
        <sz val="10"/>
        <rFont val="Arial"/>
        <family val="2"/>
        <charset val="134"/>
      </rPr>
      <t xml:space="preserve">If c/d &lt; </t>
    </r>
    <r>
      <rPr>
        <b/>
        <sz val="10"/>
        <rFont val="Calibri"/>
        <family val="2"/>
        <charset val="134"/>
      </rPr>
      <t>2^0.5(1.414), Is ≥ (1.5*d^3*tw^3)/c^2</t>
    </r>
  </si>
  <si>
    <t>d = Depth of Web plate                   =</t>
  </si>
  <si>
    <t>Weight of Long Diaphragm</t>
  </si>
  <si>
    <t>c = Spacing between diaphragm      =</t>
  </si>
  <si>
    <t>t1 = Thickness of diaphragm        =</t>
  </si>
  <si>
    <t>w = Half of Width of diaphragm        =</t>
  </si>
  <si>
    <t>Weight of Short Diaphragm</t>
  </si>
  <si>
    <t>As per IS 800:2007,Cl.-8.2.1</t>
  </si>
  <si>
    <r>
      <rPr>
        <sz val="11"/>
        <rFont val="Arial"/>
        <family val="2"/>
        <charset val="134"/>
      </rPr>
      <t>d/tw &gt; 67</t>
    </r>
    <r>
      <rPr>
        <sz val="10"/>
        <rFont val="Calibri"/>
        <family val="2"/>
        <charset val="134"/>
      </rPr>
      <t>є*(Kv/5.35)^0.5     for a web with stiffener</t>
    </r>
  </si>
  <si>
    <t>є =</t>
  </si>
  <si>
    <t>(250/fy)^0.5 = 1</t>
  </si>
  <si>
    <t>Kg/Mtr.</t>
  </si>
  <si>
    <t>Kv = Shear buckling coeffecient (refer IS 800:2007,Cl.8.2.2)</t>
  </si>
  <si>
    <t xml:space="preserve">Kv = </t>
  </si>
  <si>
    <r>
      <rPr>
        <sz val="10"/>
        <rFont val="Arial"/>
        <family val="2"/>
        <charset val="134"/>
      </rPr>
      <t xml:space="preserve">4+5.35/(c/d)^2    for c/d </t>
    </r>
    <r>
      <rPr>
        <sz val="10"/>
        <rFont val="Calibri"/>
        <family val="2"/>
        <charset val="134"/>
      </rPr>
      <t xml:space="preserve">≤ </t>
    </r>
    <r>
      <rPr>
        <sz val="11.5"/>
        <rFont val="Arial"/>
        <family val="2"/>
        <charset val="134"/>
      </rPr>
      <t>1</t>
    </r>
  </si>
  <si>
    <t>d/tw &gt;</t>
  </si>
  <si>
    <t xml:space="preserve">tw = Min.required web thickness </t>
  </si>
  <si>
    <t xml:space="preserve">Is = </t>
  </si>
  <si>
    <t>Moment of Inertia of half width of Diaphragm about face of web</t>
  </si>
  <si>
    <t>(1/3) x t1 x w^3</t>
  </si>
  <si>
    <t>&lt;        1.414</t>
  </si>
  <si>
    <t>Case(ii) applied</t>
  </si>
  <si>
    <r>
      <rPr>
        <sz val="10"/>
        <rFont val="Arial"/>
        <family val="2"/>
        <charset val="134"/>
      </rPr>
      <t xml:space="preserve">As per case ii),  Is </t>
    </r>
    <r>
      <rPr>
        <sz val="10"/>
        <rFont val="Calibri"/>
        <family val="2"/>
        <charset val="134"/>
      </rPr>
      <t>≥</t>
    </r>
    <r>
      <rPr>
        <sz val="10"/>
        <rFont val="Arial"/>
        <family val="2"/>
        <charset val="134"/>
      </rPr>
      <t xml:space="preserve"> (1.5*d^3*tw^3)/c^2</t>
    </r>
  </si>
  <si>
    <t>(1.5*d^3*tw^3)/c^2  =</t>
  </si>
  <si>
    <r>
      <rPr>
        <b/>
        <sz val="12"/>
        <rFont val="Arial"/>
        <family val="2"/>
        <charset val="134"/>
      </rPr>
      <t xml:space="preserve"> </t>
    </r>
    <r>
      <rPr>
        <b/>
        <sz val="12"/>
        <rFont val="Calibri"/>
        <family val="2"/>
        <charset val="134"/>
      </rPr>
      <t>≥</t>
    </r>
    <r>
      <rPr>
        <b/>
        <sz val="12"/>
        <rFont val="Arial"/>
        <family val="2"/>
        <charset val="134"/>
      </rPr>
      <t xml:space="preserve"> </t>
    </r>
  </si>
  <si>
    <t>Thus, Provided Thickness of Diaphragm</t>
  </si>
  <si>
    <t>mm is SAFE</t>
  </si>
  <si>
    <t>DESIGN FOR CHECKING BEARING PRESSURE &amp; ADDITIONAL BEARING PLATE FOR DIAPHRAGM</t>
  </si>
  <si>
    <t>Bearing pressure,fp =</t>
  </si>
  <si>
    <t>Wheel load with impact</t>
  </si>
  <si>
    <t>CT Rail base width =</t>
  </si>
  <si>
    <t>Bearing width x t</t>
  </si>
  <si>
    <t>Top flange thickness=</t>
  </si>
  <si>
    <t>Sole plate thickness =</t>
  </si>
  <si>
    <t>t  =</t>
  </si>
  <si>
    <t>Required thickness to resist Bearing pressure ,mm</t>
  </si>
  <si>
    <t>Allow.Bearing pressure,fb =</t>
  </si>
  <si>
    <t>i.e 0.75 Fy,where (Fy = 250*9.81) (As per IS 800:1984 Cl.-6.3)</t>
  </si>
  <si>
    <t>fb =</t>
  </si>
  <si>
    <t>ksi</t>
  </si>
  <si>
    <t>Since, 1 ksi = 70 Kg/cm^2</t>
  </si>
  <si>
    <t>Weight of add.plate=</t>
  </si>
  <si>
    <t>Wheel load with impact =</t>
  </si>
  <si>
    <t>(Please refer CT Wheel sizing calc.)</t>
  </si>
  <si>
    <t>Kips</t>
  </si>
  <si>
    <t>Since, 1 kips = 453.59 Kg</t>
  </si>
  <si>
    <t>T (ACTUAL CT WHEEL LOAD)</t>
  </si>
  <si>
    <t>Bearing width(tw) =</t>
  </si>
  <si>
    <t>CT Rail base width(w) + 2 x Top flange thickness(tf)</t>
  </si>
  <si>
    <t>Actual thickness(t') should be greater than Required thickness,(t)</t>
  </si>
  <si>
    <t>Consider,</t>
  </si>
  <si>
    <t>Actual thickness,t' = t1+t2</t>
  </si>
  <si>
    <t>t' =</t>
  </si>
  <si>
    <t>t1 =</t>
  </si>
  <si>
    <t>Bearing Plate</t>
  </si>
  <si>
    <t>t1 = Provided thickness of diaphragm/web</t>
  </si>
  <si>
    <t xml:space="preserve">mm     </t>
  </si>
  <si>
    <t>t2 =</t>
  </si>
  <si>
    <t>mm (Consider)</t>
  </si>
  <si>
    <t>t2 = Additional bearing plate thickness req.</t>
  </si>
  <si>
    <t>FOR SIDE RAIL</t>
  </si>
  <si>
    <t>Checking Additional plate width if required</t>
  </si>
  <si>
    <t>Now,Checking Bearing pressure against Actual thickness</t>
  </si>
  <si>
    <r>
      <rPr>
        <sz val="11"/>
        <color indexed="8"/>
        <rFont val="Calibri"/>
        <family val="2"/>
        <charset val="134"/>
      </rPr>
      <t>Width at 45</t>
    </r>
    <r>
      <rPr>
        <sz val="11"/>
        <color indexed="8"/>
        <rFont val="Calibri"/>
        <family val="2"/>
        <charset val="134"/>
      </rPr>
      <t>° =</t>
    </r>
  </si>
  <si>
    <r>
      <rPr>
        <sz val="11"/>
        <color indexed="8"/>
        <rFont val="Calibri"/>
        <family val="2"/>
        <charset val="134"/>
      </rPr>
      <t>Bearing stress at 45</t>
    </r>
    <r>
      <rPr>
        <sz val="11"/>
        <color indexed="8"/>
        <rFont val="Calibri"/>
        <family val="2"/>
        <charset val="134"/>
      </rPr>
      <t>°=</t>
    </r>
  </si>
  <si>
    <t xml:space="preserve">For checking of Web plate depth after Wd= </t>
  </si>
  <si>
    <r>
      <rPr>
        <sz val="10"/>
        <rFont val="Arial"/>
        <family val="2"/>
        <charset val="134"/>
      </rPr>
      <t>As per Diagram (Load angle distribution 45</t>
    </r>
    <r>
      <rPr>
        <sz val="11"/>
        <color indexed="8"/>
        <rFont val="Calibri"/>
        <family val="2"/>
        <charset val="134"/>
      </rPr>
      <t>°)</t>
    </r>
  </si>
  <si>
    <t>Required ht. of additional plate =</t>
  </si>
  <si>
    <t>Total Bearing width X1 = 2*(H+T1+Wd)</t>
  </si>
  <si>
    <t>(Min.)</t>
  </si>
  <si>
    <t>X1 =</t>
  </si>
  <si>
    <t>≈</t>
  </si>
  <si>
    <t>fp &lt; fb</t>
  </si>
  <si>
    <t>Req.Additional Plate Height =</t>
  </si>
  <si>
    <t>mm(Consd.)</t>
  </si>
  <si>
    <t>Req.Additional Plate width =</t>
  </si>
  <si>
    <t>Req.Additional Plate thick. =</t>
  </si>
  <si>
    <t>Checking of stress for Web below tongue plate</t>
  </si>
  <si>
    <t>Bearing Stress,fs  =</t>
  </si>
  <si>
    <t>DESIGN FOR MINIMUM DEPTH OF SHORT DIAPHRAGM</t>
  </si>
  <si>
    <t>t/cm^2</t>
  </si>
  <si>
    <t>Max.bending moment on internal diaphragm</t>
  </si>
  <si>
    <t>As per AIST-6,Pageno.48</t>
  </si>
  <si>
    <t>Md =</t>
  </si>
  <si>
    <t>Kips-in</t>
  </si>
  <si>
    <t>Wt.=</t>
  </si>
  <si>
    <r>
      <rPr>
        <sz val="11"/>
        <color indexed="8"/>
        <rFont val="Calibri"/>
        <family val="2"/>
        <charset val="134"/>
      </rPr>
      <t xml:space="preserve">Md/Sx </t>
    </r>
    <r>
      <rPr>
        <sz val="11"/>
        <color indexed="8"/>
        <rFont val="Calibri"/>
        <family val="2"/>
        <charset val="134"/>
      </rPr>
      <t>≤ Permissible tensile stress(ksi)</t>
    </r>
  </si>
  <si>
    <t xml:space="preserve"> Permissible tensile stress =</t>
  </si>
  <si>
    <t>solving for Sx yeild</t>
  </si>
  <si>
    <t>Sx =</t>
  </si>
  <si>
    <t>in^3</t>
  </si>
  <si>
    <t>t x d^2/6</t>
  </si>
  <si>
    <t>Where, d is Required Depth of short diaphragm(inch) &amp; t is Thickness of Diaphragm(inch)</t>
  </si>
  <si>
    <t>Hence,    t =</t>
  </si>
  <si>
    <t>in  (Please refer Girder calc.sheet)</t>
  </si>
  <si>
    <t>d =</t>
  </si>
  <si>
    <t>(6 x Sx/t)^0.5</t>
  </si>
  <si>
    <t xml:space="preserve">Required Depth of Short diaphragm = </t>
  </si>
  <si>
    <t xml:space="preserve">Provided Depth of Short diaphragm = </t>
  </si>
  <si>
    <t>DESIGN FOR BEARING STRESS OF WEB UNDER CT RAIL FOR MAIN GIRDER</t>
  </si>
  <si>
    <t>Bearing Stress,fs =Max.CT wheel load( with impact),W/(Bearing width * t)</t>
  </si>
  <si>
    <t>CT Wheel load (with impact)=</t>
  </si>
  <si>
    <t>(Refer Girder calculation pg.no.-5 of 46)</t>
  </si>
  <si>
    <t>Thickness of Web plate,t =</t>
  </si>
  <si>
    <t>SAFE</t>
  </si>
  <si>
    <t>H =</t>
  </si>
  <si>
    <t>Height of CT Rail with sole plate</t>
  </si>
  <si>
    <t>T1 =</t>
  </si>
  <si>
    <t>Top Flange thickness</t>
  </si>
  <si>
    <t>Distribution Angle</t>
  </si>
  <si>
    <r>
      <rPr>
        <sz val="10"/>
        <rFont val="Arial"/>
        <family val="2"/>
        <charset val="134"/>
      </rPr>
      <t>45</t>
    </r>
    <r>
      <rPr>
        <sz val="11"/>
        <color indexed="8"/>
        <rFont val="Calibri"/>
        <family val="2"/>
        <charset val="134"/>
      </rPr>
      <t>˚</t>
    </r>
  </si>
  <si>
    <t>Bearing width,X =</t>
  </si>
  <si>
    <t>Horizontal seismic factor =</t>
  </si>
  <si>
    <t>As per IS 1893(part 1) : 2002</t>
  </si>
  <si>
    <t>Vertical seismic factor =</t>
  </si>
  <si>
    <t>For UK,Zone IV</t>
  </si>
  <si>
    <t>Horizontal Seismic Coefficient:-</t>
  </si>
  <si>
    <t>Ah =</t>
  </si>
  <si>
    <t>Z x l x Sa</t>
  </si>
  <si>
    <t>Ref IS:1893(Part 1):2002(clause no.6.4.2)</t>
  </si>
  <si>
    <t>Trolley wt. =</t>
  </si>
  <si>
    <t>2 x R X g</t>
  </si>
  <si>
    <t>Page no.14</t>
  </si>
  <si>
    <t>Dead wt.of Girder,plfm etc. =</t>
  </si>
  <si>
    <t>Z =</t>
  </si>
  <si>
    <t>Zone factor(For Zone V)</t>
  </si>
  <si>
    <t>ZONE</t>
  </si>
  <si>
    <t>Z</t>
  </si>
  <si>
    <t>Lifted load =</t>
  </si>
  <si>
    <t>I =</t>
  </si>
  <si>
    <t>Importance factor(For power station)</t>
  </si>
  <si>
    <t>Zone II</t>
  </si>
  <si>
    <t>Wheel load without impact (W1)=</t>
  </si>
  <si>
    <t>R =</t>
  </si>
  <si>
    <t>Response reduction factor for steel frame</t>
  </si>
  <si>
    <t>Zone III</t>
  </si>
  <si>
    <t>Wheel load without impact (W2)=</t>
  </si>
  <si>
    <t>Sa/g =</t>
  </si>
  <si>
    <t>Corresponding to period of natural frequency of Girder</t>
  </si>
  <si>
    <t>Dist.b/w hoist wheel =</t>
  </si>
  <si>
    <t>Zone V</t>
  </si>
  <si>
    <t>-------(43)</t>
  </si>
  <si>
    <t>1) Horizontal Bending moment under Seismic consideration = BM Hs</t>
  </si>
  <si>
    <t>Horizontal seismic force to be Resisted =</t>
  </si>
  <si>
    <t>Horizontal seismic factor x Wmg</t>
  </si>
  <si>
    <t>Vertical Seismic Coefficient:-</t>
  </si>
  <si>
    <t>Hsf  =</t>
  </si>
  <si>
    <t>As per Ref IS 1893(Part 1):2002(clause no.6.4.5),The design accn. Spectrum</t>
  </si>
  <si>
    <t xml:space="preserve">for Vertical motion,when reqd.may be taken as two-third of the design </t>
  </si>
  <si>
    <t>Wmg =</t>
  </si>
  <si>
    <t>Dead weight of girder+Platform wt.+panels etc.</t>
  </si>
  <si>
    <t>Horizontal accn. Spectrum specified in 6.4.2</t>
  </si>
  <si>
    <t>Av =</t>
  </si>
  <si>
    <t>2/3*Ah</t>
  </si>
  <si>
    <t>Horizontal seismic factor x Wml</t>
  </si>
  <si>
    <t>Hvf  =</t>
  </si>
  <si>
    <t>-------(44)</t>
  </si>
  <si>
    <t>Wml =</t>
  </si>
  <si>
    <t>Trolley weight/2</t>
  </si>
  <si>
    <t>BM Hs =</t>
  </si>
  <si>
    <t>(Hsf*Span/8)+(Hvf*Span/4)</t>
  </si>
  <si>
    <t>Kgcm</t>
  </si>
  <si>
    <t>2) Total vertical Bending moment under Sesmic consideration = BM Vs</t>
  </si>
  <si>
    <t>Vertical seismic force to be Resisted =</t>
  </si>
  <si>
    <t>Vertical seismic factor x Dead weight of girder,Plfm.etc.</t>
  </si>
  <si>
    <t>Vsf   =</t>
  </si>
  <si>
    <t>Vertical seismic factor x ((Trolley wt.+Lifted load(w/o impact))/2).</t>
  </si>
  <si>
    <t>Vvf   =</t>
  </si>
  <si>
    <t>Total vertical load including seismic force  =</t>
  </si>
  <si>
    <t>Vsf + Dead weight of girder,Plfm,panel etc.</t>
  </si>
  <si>
    <t>Tvs</t>
  </si>
  <si>
    <t>Vvf + ((Trolley wt.+Lifted load(w/o impact))/2).</t>
  </si>
  <si>
    <t>Tv v</t>
  </si>
  <si>
    <t>Vertical seismic force at W1=</t>
  </si>
  <si>
    <t>Vertical seismic factor x W1(w/o impact)</t>
  </si>
  <si>
    <t>W1vs</t>
  </si>
  <si>
    <t>Vertical seismic force at W2=</t>
  </si>
  <si>
    <t>Vertical seismic factor x W2(w/o impact)</t>
  </si>
  <si>
    <t>W2vs</t>
  </si>
  <si>
    <t>Total vertical load at W1 including seismic force  = W1vs+W1(without impact)</t>
  </si>
  <si>
    <t>Total vertical load at W2 including seismic force  = W2vs+W2(without impact)</t>
  </si>
  <si>
    <t>W1</t>
  </si>
  <si>
    <t>W2</t>
  </si>
  <si>
    <t>Ra</t>
  </si>
  <si>
    <t>Rb</t>
  </si>
  <si>
    <t>Take moment about B</t>
  </si>
  <si>
    <t>Ra  =</t>
  </si>
  <si>
    <t>C1 =</t>
  </si>
  <si>
    <t>Rb  =</t>
  </si>
  <si>
    <t>Vertical Bending moment at point C  =</t>
  </si>
  <si>
    <t>Vertical Bending moment at point C due to udl  =</t>
  </si>
  <si>
    <t>Total BM =</t>
  </si>
  <si>
    <t>BM Vs =</t>
  </si>
  <si>
    <t>Compressive stress due to vertical bending moment under sesmic consideration</t>
  </si>
  <si>
    <t>BM Vs</t>
  </si>
  <si>
    <t>BM Hs</t>
  </si>
  <si>
    <t>Zxx©</t>
  </si>
  <si>
    <t>Kg/cm2   &lt;</t>
  </si>
  <si>
    <t>Kg/cm2   (1.33 x Allowable)</t>
  </si>
  <si>
    <t>Tensile stress due to vertical bending moment under sesmic consideration</t>
  </si>
  <si>
    <t>Zxx(t)</t>
  </si>
  <si>
    <t>Note:-</t>
  </si>
  <si>
    <t xml:space="preserve">fbcxx,fbtxx   </t>
  </si>
  <si>
    <t xml:space="preserve">fbcyy,fbtyy      </t>
  </si>
  <si>
    <t>&lt;=     1</t>
  </si>
  <si>
    <t>Allw. Fbc,Fbt</t>
  </si>
  <si>
    <t>Allw. Fbt</t>
  </si>
  <si>
    <t>&lt;=  1</t>
  </si>
  <si>
    <t>BSES 5 ton semi gantry</t>
  </si>
  <si>
    <t>Enter</t>
  </si>
  <si>
    <t xml:space="preserve">HOIST  Wt </t>
  </si>
  <si>
    <t>ISMB500</t>
  </si>
  <si>
    <t>No. of wheels</t>
  </si>
  <si>
    <t>Nos.</t>
  </si>
  <si>
    <t>ISMC300</t>
  </si>
  <si>
    <t>Zxxt</t>
  </si>
  <si>
    <t>Cm4</t>
  </si>
  <si>
    <t>Wt of beam/ channel</t>
  </si>
  <si>
    <t>Impact Factor</t>
  </si>
  <si>
    <t>C.T. Wheel Base</t>
  </si>
  <si>
    <t>C.T. Wheel Load(max)</t>
  </si>
  <si>
    <t>without  impact</t>
  </si>
  <si>
    <t>with impact</t>
  </si>
  <si>
    <t>CT.WHEEL BASE</t>
  </si>
  <si>
    <t>Stress</t>
  </si>
  <si>
    <r>
      <rPr>
        <b/>
        <sz val="10"/>
        <rFont val="Arial"/>
        <family val="2"/>
        <charset val="134"/>
      </rPr>
      <t>Kg/cm</t>
    </r>
    <r>
      <rPr>
        <b/>
        <vertAlign val="superscript"/>
        <sz val="10"/>
        <rFont val="Arial"/>
        <family val="2"/>
        <charset val="134"/>
      </rPr>
      <t>2</t>
    </r>
    <r>
      <rPr>
        <b/>
        <sz val="10"/>
        <rFont val="Arial"/>
        <family val="2"/>
        <charset val="134"/>
      </rPr>
      <t xml:space="preserve"> </t>
    </r>
  </si>
  <si>
    <t>&lt;1250</t>
  </si>
  <si>
    <t xml:space="preserve">     A</t>
  </si>
  <si>
    <t xml:space="preserve">        A</t>
  </si>
  <si>
    <t>Deflection</t>
  </si>
  <si>
    <t>IXX req.</t>
  </si>
  <si>
    <t>WEIGHT OF CRAB</t>
  </si>
  <si>
    <t>CAPACITY</t>
  </si>
  <si>
    <t xml:space="preserve">Sr. </t>
  </si>
  <si>
    <t>Whee Dia.</t>
  </si>
  <si>
    <t xml:space="preserve">               Plate  Size</t>
  </si>
  <si>
    <t xml:space="preserve">Weight in </t>
  </si>
  <si>
    <t xml:space="preserve">Bearing </t>
  </si>
  <si>
    <t xml:space="preserve">mm </t>
  </si>
  <si>
    <t xml:space="preserve">Web  </t>
  </si>
  <si>
    <t xml:space="preserve"> Bottom </t>
  </si>
  <si>
    <t>kgs/ mtr.</t>
  </si>
  <si>
    <t>Plate Kgs.</t>
  </si>
  <si>
    <t>(A)</t>
  </si>
  <si>
    <t>(B)</t>
  </si>
  <si>
    <t>(C)</t>
  </si>
  <si>
    <t>WHEEL DIA</t>
  </si>
  <si>
    <t>B &amp; c</t>
  </si>
  <si>
    <t>box</t>
  </si>
  <si>
    <t>platform</t>
  </si>
  <si>
    <t>t-track</t>
  </si>
  <si>
    <t>end cariage</t>
  </si>
  <si>
    <t>crab</t>
  </si>
  <si>
    <t>misc.</t>
  </si>
  <si>
    <t>TOTAL</t>
  </si>
  <si>
    <t>NPCIL10/1 ton gantry girder</t>
  </si>
  <si>
    <t>Total Wt of Crane</t>
  </si>
  <si>
    <t>Total Wt of Trolley</t>
  </si>
  <si>
    <t>Hook Approch</t>
  </si>
  <si>
    <t xml:space="preserve">SELECT </t>
  </si>
  <si>
    <t>C to C Dist.</t>
  </si>
  <si>
    <t>ISMB-300 + ISMC-250</t>
  </si>
  <si>
    <t>IXX= 12944 cm4</t>
  </si>
  <si>
    <t>Bogie Wheels dist.</t>
  </si>
  <si>
    <t>L.T. Wheel Base</t>
  </si>
  <si>
    <t>L.T. Wheel Load(max)</t>
  </si>
  <si>
    <t>Case 1</t>
  </si>
  <si>
    <t>If bogie a1</t>
  </si>
  <si>
    <t>Case 2</t>
  </si>
  <si>
    <t>STRESS</t>
  </si>
  <si>
    <t>L.T.WHEEL BASE</t>
  </si>
  <si>
    <t xml:space="preserve">Case 1 </t>
  </si>
  <si>
    <t>if 4 wheel</t>
  </si>
  <si>
    <t>&lt;1575</t>
  </si>
  <si>
    <t>if 8 wheel</t>
  </si>
  <si>
    <t>DEFLECTION</t>
  </si>
  <si>
    <t>span/500</t>
  </si>
  <si>
    <t>Castelated 600 and ismc400 + Plate at Bottom</t>
  </si>
  <si>
    <t xml:space="preserve">calculation for gantry girder </t>
  </si>
  <si>
    <t>PLATE THICKNESS</t>
  </si>
  <si>
    <t>properites</t>
  </si>
  <si>
    <t>flange</t>
  </si>
  <si>
    <t>from base</t>
  </si>
  <si>
    <t>size</t>
  </si>
  <si>
    <t>area(cm2)</t>
  </si>
  <si>
    <t>height(cm)</t>
  </si>
  <si>
    <t>Ixx(cm4)</t>
  </si>
  <si>
    <t>Iyy(cm4)</t>
  </si>
  <si>
    <t>weight</t>
  </si>
  <si>
    <t>cyy(cm</t>
  </si>
  <si>
    <t xml:space="preserve">y </t>
  </si>
  <si>
    <t>th of flange</t>
  </si>
  <si>
    <t>beam</t>
  </si>
  <si>
    <t>channel</t>
  </si>
  <si>
    <t>Plate</t>
  </si>
  <si>
    <t>COMB</t>
  </si>
  <si>
    <t>500+300</t>
  </si>
  <si>
    <t>yt</t>
  </si>
  <si>
    <t xml:space="preserve"> from bottom</t>
  </si>
  <si>
    <t>yc</t>
  </si>
  <si>
    <t>from top</t>
  </si>
  <si>
    <t>x</t>
  </si>
  <si>
    <t>Ixx(comb)</t>
  </si>
  <si>
    <t>Iyy(comb)</t>
  </si>
  <si>
    <t>Zxxc</t>
  </si>
  <si>
    <t>depth</t>
  </si>
  <si>
    <t>thickness</t>
  </si>
  <si>
    <t>D/T</t>
  </si>
  <si>
    <t>Axx</t>
  </si>
  <si>
    <t>Ryy</t>
  </si>
  <si>
    <t>600+400</t>
  </si>
  <si>
    <t>Drum Shaft</t>
  </si>
  <si>
    <t>Btm Block</t>
  </si>
  <si>
    <t>Falls</t>
  </si>
  <si>
    <t>shear Stress</t>
  </si>
  <si>
    <t>kgcm^2</t>
  </si>
  <si>
    <t>Load/fall</t>
  </si>
  <si>
    <t>Distance</t>
  </si>
  <si>
    <t>Shear Check</t>
  </si>
  <si>
    <t>Bending  Check</t>
  </si>
  <si>
    <t>Pulley shaft</t>
  </si>
  <si>
    <t>DESIGN CALCULATION FOR GANTRY GIRDER</t>
  </si>
  <si>
    <t xml:space="preserve">           436</t>
  </si>
  <si>
    <t>cm^2</t>
  </si>
  <si>
    <t>cm^3</t>
  </si>
  <si>
    <t>a</t>
  </si>
  <si>
    <t xml:space="preserve">  c    </t>
  </si>
  <si>
    <t xml:space="preserve">Wheel Load </t>
  </si>
  <si>
    <t>No of Wheels</t>
  </si>
  <si>
    <t>nos.</t>
  </si>
  <si>
    <t>Distance between two  support</t>
  </si>
  <si>
    <t>Bending Moment M byz=</t>
  </si>
  <si>
    <r>
      <rPr>
        <sz val="10"/>
        <rFont val="Arial"/>
        <family val="2"/>
        <charset val="134"/>
      </rPr>
      <t>P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  <charset val="134"/>
      </rPr>
      <t>l</t>
    </r>
  </si>
  <si>
    <t>ql^2</t>
  </si>
  <si>
    <t>kg -cm</t>
  </si>
  <si>
    <r>
      <rPr>
        <sz val="10"/>
        <rFont val="Arial"/>
        <family val="2"/>
        <charset val="134"/>
      </rPr>
      <t xml:space="preserve">Bending Stress </t>
    </r>
    <r>
      <rPr>
        <sz val="16"/>
        <rFont val="Symbol"/>
        <family val="1"/>
        <charset val="2"/>
      </rPr>
      <t>s</t>
    </r>
    <r>
      <rPr>
        <sz val="10"/>
        <rFont val="Arial"/>
        <family val="2"/>
        <charset val="134"/>
      </rPr>
      <t>yb     =</t>
    </r>
  </si>
  <si>
    <t>Mbyz</t>
  </si>
  <si>
    <t>kg/cm^2</t>
  </si>
  <si>
    <t>b)</t>
  </si>
  <si>
    <t>The stress resulting from local bending in the root section can be estimated in plane xy by</t>
  </si>
  <si>
    <r>
      <rPr>
        <sz val="16"/>
        <rFont val="Symbol"/>
        <family val="1"/>
        <charset val="2"/>
      </rPr>
      <t xml:space="preserve">    s</t>
    </r>
    <r>
      <rPr>
        <sz val="10"/>
        <rFont val="Arial"/>
        <family val="2"/>
        <charset val="134"/>
      </rPr>
      <t>x        =</t>
    </r>
  </si>
  <si>
    <t>K1 P</t>
  </si>
  <si>
    <t>t^2</t>
  </si>
  <si>
    <t>c</t>
  </si>
  <si>
    <t>K1</t>
  </si>
  <si>
    <t>K2</t>
  </si>
  <si>
    <t>and in plane yz by</t>
  </si>
  <si>
    <t>K3</t>
  </si>
  <si>
    <r>
      <rPr>
        <sz val="16"/>
        <rFont val="Symbol"/>
        <family val="1"/>
        <charset val="2"/>
      </rPr>
      <t xml:space="preserve">    s</t>
    </r>
    <r>
      <rPr>
        <sz val="10"/>
        <rFont val="Arial"/>
        <family val="2"/>
        <charset val="134"/>
      </rPr>
      <t>y        =</t>
    </r>
  </si>
  <si>
    <t>K2 P</t>
  </si>
  <si>
    <t>Stresses along the free end of flange</t>
  </si>
  <si>
    <r>
      <rPr>
        <sz val="16"/>
        <rFont val="Symbol"/>
        <family val="1"/>
        <charset val="2"/>
      </rPr>
      <t xml:space="preserve">    s</t>
    </r>
    <r>
      <rPr>
        <sz val="10"/>
        <rFont val="Arial"/>
        <family val="2"/>
        <charset val="134"/>
      </rPr>
      <t>y free  =</t>
    </r>
  </si>
  <si>
    <t>K3 P</t>
  </si>
  <si>
    <t>The modified stress at point B</t>
  </si>
  <si>
    <r>
      <rPr>
        <sz val="16"/>
        <rFont val="Symbol"/>
        <family val="1"/>
        <charset val="2"/>
      </rPr>
      <t xml:space="preserve">    s</t>
    </r>
    <r>
      <rPr>
        <sz val="10"/>
        <rFont val="Arial"/>
        <family val="2"/>
        <charset val="134"/>
      </rPr>
      <t>B</t>
    </r>
    <r>
      <rPr>
        <sz val="10"/>
        <rFont val="Arial"/>
        <family val="2"/>
        <charset val="134"/>
      </rPr>
      <t xml:space="preserve">       =</t>
    </r>
  </si>
  <si>
    <r>
      <rPr>
        <sz val="16"/>
        <rFont val="Symbol"/>
        <family val="1"/>
        <charset val="2"/>
      </rPr>
      <t>s</t>
    </r>
    <r>
      <rPr>
        <sz val="10"/>
        <rFont val="Arial"/>
        <family val="2"/>
        <charset val="134"/>
      </rPr>
      <t xml:space="preserve">y free + </t>
    </r>
    <r>
      <rPr>
        <sz val="16"/>
        <rFont val="Symbol"/>
        <family val="1"/>
        <charset val="2"/>
      </rPr>
      <t>s</t>
    </r>
    <r>
      <rPr>
        <sz val="10"/>
        <rFont val="Arial"/>
        <family val="2"/>
        <charset val="134"/>
      </rPr>
      <t>yb</t>
    </r>
  </si>
  <si>
    <t>£</t>
  </si>
  <si>
    <t>d)</t>
  </si>
  <si>
    <t>The modified stress at point A</t>
  </si>
  <si>
    <r>
      <rPr>
        <sz val="16"/>
        <rFont val="Symbol"/>
        <family val="1"/>
        <charset val="2"/>
      </rPr>
      <t xml:space="preserve">    s</t>
    </r>
    <r>
      <rPr>
        <sz val="10"/>
        <rFont val="Arial"/>
        <family val="2"/>
        <charset val="134"/>
      </rPr>
      <t>A</t>
    </r>
    <r>
      <rPr>
        <sz val="10"/>
        <rFont val="Arial"/>
        <family val="2"/>
        <charset val="134"/>
      </rPr>
      <t xml:space="preserve">       =</t>
    </r>
  </si>
  <si>
    <r>
      <rPr>
        <sz val="16"/>
        <rFont val="Symbol"/>
        <family val="1"/>
        <charset val="2"/>
      </rPr>
      <t>(s</t>
    </r>
    <r>
      <rPr>
        <sz val="10"/>
        <rFont val="Arial"/>
        <family val="2"/>
        <charset val="134"/>
      </rPr>
      <t>x</t>
    </r>
    <r>
      <rPr>
        <vertAlign val="superscript"/>
        <sz val="10"/>
        <rFont val="Arial"/>
        <family val="2"/>
        <charset val="134"/>
      </rPr>
      <t>2</t>
    </r>
    <r>
      <rPr>
        <sz val="10"/>
        <rFont val="Arial"/>
        <family val="2"/>
        <charset val="134"/>
      </rPr>
      <t xml:space="preserve"> + (</t>
    </r>
    <r>
      <rPr>
        <sz val="16"/>
        <rFont val="Symbol"/>
        <family val="1"/>
        <charset val="2"/>
      </rPr>
      <t>s</t>
    </r>
    <r>
      <rPr>
        <sz val="10"/>
        <rFont val="Arial"/>
        <family val="2"/>
        <charset val="134"/>
      </rPr>
      <t xml:space="preserve">y + </t>
    </r>
    <r>
      <rPr>
        <sz val="16"/>
        <rFont val="Symbol"/>
        <family val="1"/>
        <charset val="2"/>
      </rPr>
      <t>s</t>
    </r>
    <r>
      <rPr>
        <sz val="10"/>
        <rFont val="Arial"/>
        <family val="2"/>
        <charset val="134"/>
      </rPr>
      <t>yb)</t>
    </r>
    <r>
      <rPr>
        <vertAlign val="superscript"/>
        <sz val="10"/>
        <rFont val="Arial"/>
        <family val="2"/>
        <charset val="134"/>
      </rPr>
      <t>2</t>
    </r>
  </si>
  <si>
    <r>
      <rPr>
        <sz val="16"/>
        <rFont val="Symbol"/>
        <family val="1"/>
        <charset val="2"/>
      </rPr>
      <t>s</t>
    </r>
    <r>
      <rPr>
        <sz val="10"/>
        <rFont val="Arial"/>
        <family val="2"/>
        <charset val="134"/>
      </rPr>
      <t>x (</t>
    </r>
    <r>
      <rPr>
        <sz val="16"/>
        <rFont val="Symbol"/>
        <family val="1"/>
        <charset val="2"/>
      </rPr>
      <t>s</t>
    </r>
    <r>
      <rPr>
        <sz val="10"/>
        <rFont val="Arial"/>
        <family val="2"/>
        <charset val="134"/>
      </rPr>
      <t xml:space="preserve">y + </t>
    </r>
    <r>
      <rPr>
        <sz val="16"/>
        <rFont val="Symbol"/>
        <family val="1"/>
        <charset val="2"/>
      </rPr>
      <t>s</t>
    </r>
    <r>
      <rPr>
        <sz val="10"/>
        <rFont val="Arial"/>
        <family val="2"/>
        <charset val="134"/>
      </rPr>
      <t>yb)</t>
    </r>
    <r>
      <rPr>
        <sz val="14"/>
        <rFont val="Arial"/>
        <family val="2"/>
        <charset val="134"/>
      </rPr>
      <t>)</t>
    </r>
    <r>
      <rPr>
        <vertAlign val="superscript"/>
        <sz val="10"/>
        <rFont val="Arial"/>
        <family val="2"/>
        <charset val="134"/>
      </rPr>
      <t>(1/2)</t>
    </r>
  </si>
  <si>
    <t>HR500+150</t>
  </si>
  <si>
    <t>PINION</t>
  </si>
  <si>
    <t>GEAR</t>
  </si>
  <si>
    <t>Pair</t>
  </si>
  <si>
    <t>NO. OF</t>
  </si>
  <si>
    <t>DIA</t>
  </si>
  <si>
    <t>LENGH</t>
  </si>
  <si>
    <t>TEETH</t>
  </si>
  <si>
    <t>O/p shaft</t>
  </si>
  <si>
    <t>Gear ring</t>
  </si>
  <si>
    <t xml:space="preserve">Rs. </t>
  </si>
  <si>
    <t>/-</t>
  </si>
  <si>
    <t>VR 400</t>
  </si>
  <si>
    <t>SEL 20 ton gantry girder</t>
  </si>
  <si>
    <t>ISMB600 and ismc400 + Plate at Bottom</t>
  </si>
  <si>
    <t>MOTOR SHFT DIA</t>
  </si>
  <si>
    <t>SLIPRING</t>
  </si>
  <si>
    <t>GEC</t>
  </si>
  <si>
    <t>SQCAGE</t>
  </si>
  <si>
    <t>KS 112M</t>
  </si>
  <si>
    <t>KS132M</t>
  </si>
  <si>
    <t>KS160M</t>
  </si>
  <si>
    <t>KS160L</t>
  </si>
  <si>
    <t>KS180L</t>
  </si>
  <si>
    <t>KS200L</t>
  </si>
  <si>
    <t>KS225S</t>
  </si>
  <si>
    <t>KS225M</t>
  </si>
  <si>
    <t>SAME FOR BRAKE MOTOR</t>
  </si>
  <si>
    <t>KS280M</t>
  </si>
  <si>
    <t>KS315S</t>
  </si>
  <si>
    <t>KS315M</t>
  </si>
  <si>
    <t>Comb.</t>
  </si>
  <si>
    <t>Top Flange width (Wt)=</t>
  </si>
  <si>
    <t>Top flange thk.(Fwt) =</t>
  </si>
  <si>
    <t>Botm. Flange width (Wb)=</t>
  </si>
  <si>
    <t>Bottm.flange thk.(Fwb) =</t>
  </si>
  <si>
    <t>Web Depth(Ht) =</t>
  </si>
  <si>
    <t>Web thk.l(twl) =</t>
  </si>
  <si>
    <t>Web thk.r(twr) =</t>
  </si>
  <si>
    <t>Girder total height(H) =</t>
  </si>
  <si>
    <t>Web C/C (Wc) =</t>
  </si>
  <si>
    <t>Flange C/C (Fc) =</t>
  </si>
  <si>
    <t>Flange end to web center(a) =</t>
  </si>
  <si>
    <t>Web 2 Web inside dist.(b) =</t>
  </si>
  <si>
    <t>DETAIL SECTIONAL PROPERTY OF GIRDER</t>
  </si>
  <si>
    <r>
      <rPr>
        <b/>
        <sz val="10"/>
        <rFont val="Arial"/>
        <family val="2"/>
        <charset val="134"/>
      </rPr>
      <t xml:space="preserve">Top Flange area, </t>
    </r>
    <r>
      <rPr>
        <sz val="10"/>
        <color indexed="10"/>
        <rFont val="Arial"/>
        <family val="2"/>
        <charset val="134"/>
      </rPr>
      <t xml:space="preserve">A1 </t>
    </r>
    <r>
      <rPr>
        <b/>
        <sz val="10"/>
        <rFont val="Arial"/>
        <family val="2"/>
        <charset val="134"/>
      </rPr>
      <t xml:space="preserve"> =</t>
    </r>
  </si>
  <si>
    <r>
      <rPr>
        <b/>
        <sz val="10"/>
        <rFont val="Arial"/>
        <family val="2"/>
        <charset val="134"/>
      </rPr>
      <t xml:space="preserve">Bottm Flange area, </t>
    </r>
    <r>
      <rPr>
        <sz val="10"/>
        <color indexed="10"/>
        <rFont val="Arial"/>
        <family val="2"/>
        <charset val="134"/>
      </rPr>
      <t xml:space="preserve">A2 </t>
    </r>
    <r>
      <rPr>
        <b/>
        <sz val="10"/>
        <rFont val="Arial"/>
        <family val="2"/>
        <charset val="134"/>
      </rPr>
      <t>=</t>
    </r>
  </si>
  <si>
    <r>
      <rPr>
        <b/>
        <sz val="10"/>
        <rFont val="Arial"/>
        <family val="2"/>
        <charset val="134"/>
      </rPr>
      <t xml:space="preserve">Right Web  area, </t>
    </r>
    <r>
      <rPr>
        <sz val="10"/>
        <color indexed="10"/>
        <rFont val="Arial"/>
        <family val="2"/>
        <charset val="134"/>
      </rPr>
      <t xml:space="preserve">A3 </t>
    </r>
    <r>
      <rPr>
        <b/>
        <sz val="10"/>
        <rFont val="Arial"/>
        <family val="2"/>
        <charset val="134"/>
      </rPr>
      <t xml:space="preserve"> =</t>
    </r>
  </si>
  <si>
    <r>
      <rPr>
        <b/>
        <sz val="10"/>
        <rFont val="Arial"/>
        <family val="2"/>
        <charset val="134"/>
      </rPr>
      <t xml:space="preserve">Left Web  area, </t>
    </r>
    <r>
      <rPr>
        <sz val="10"/>
        <color indexed="10"/>
        <rFont val="Arial"/>
        <family val="2"/>
        <charset val="134"/>
      </rPr>
      <t xml:space="preserve">A4 </t>
    </r>
    <r>
      <rPr>
        <b/>
        <sz val="10"/>
        <rFont val="Arial"/>
        <family val="2"/>
        <charset val="134"/>
      </rPr>
      <t>=</t>
    </r>
  </si>
  <si>
    <t>Tot.Area,A =</t>
  </si>
  <si>
    <t>C.G,Yc =</t>
  </si>
  <si>
    <t>Yc =</t>
  </si>
  <si>
    <t>Yt =</t>
  </si>
  <si>
    <t>C.G,X =</t>
  </si>
  <si>
    <t>Xr =</t>
  </si>
  <si>
    <t>Xl =</t>
  </si>
  <si>
    <t>M.I,Ixx =</t>
  </si>
  <si>
    <t>M.I,Iyy =</t>
  </si>
  <si>
    <t>S.M,Zxx =</t>
  </si>
  <si>
    <t>Zxxc =</t>
  </si>
  <si>
    <t>Zxxt =</t>
  </si>
  <si>
    <t>S.M,Zyy =</t>
  </si>
  <si>
    <t>Zyyr =</t>
  </si>
  <si>
    <t>Zyyl =</t>
  </si>
  <si>
    <t xml:space="preserve">G </t>
  </si>
  <si>
    <t>Estimation</t>
  </si>
  <si>
    <t>ELITEMHE INDUSTRIES LIMITED</t>
  </si>
  <si>
    <t>1-15T</t>
  </si>
  <si>
    <t>20T-80T</t>
  </si>
  <si>
    <t>80T-120T</t>
  </si>
  <si>
    <t>Pendant Push Button (Movable Type) + RRC (Push Button Type)</t>
  </si>
  <si>
    <t>CT WHEEL</t>
  </si>
  <si>
    <t>LT WHEEL</t>
  </si>
  <si>
    <t>80</t>
  </si>
  <si>
    <t>200L</t>
  </si>
  <si>
    <t>315L</t>
  </si>
  <si>
    <t>355L</t>
  </si>
  <si>
    <t>70X40</t>
  </si>
  <si>
    <t>70X40mm bar</t>
  </si>
  <si>
    <t>Manish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</si>
</sst>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43" formatCode="_ * #,##0.00_ ;_ * \-#,##0.00_ ;_ * &quot;-&quot;??_ ;_ @_ 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m/d"/>
    <numFmt numFmtId="167" formatCode="0.000"/>
    <numFmt numFmtId="168" formatCode="d\-mmm\-yyyy"/>
    <numFmt numFmtId="169" formatCode="_(* #,##0_);_(* \(#,##0\);_(* &quot;-&quot;??_);_(@_)"/>
    <numFmt numFmtId="170" formatCode="0.0"/>
    <numFmt numFmtId="171" formatCode="0.00000"/>
    <numFmt numFmtId="172" formatCode="0.00000_ "/>
    <numFmt numFmtId="173" formatCode="0_ "/>
    <numFmt numFmtId="174" formatCode="0.00_ "/>
    <numFmt numFmtId="175" formatCode="_ * #,##0_ ;_ * \-#,##0_ ;_ * &quot;-&quot;??_ ;_ @_ "/>
    <numFmt numFmtId="176" formatCode="0.0000_ "/>
    <numFmt numFmtId="177" formatCode="0.0_ "/>
    <numFmt numFmtId="178" formatCode="0.0000"/>
    <numFmt numFmtId="179" formatCode="0.000_ "/>
    <numFmt numFmtId="180" formatCode="###0;###0"/>
    <numFmt numFmtId="181" formatCode="###0;[Red]###0"/>
    <numFmt numFmtId="182" formatCode="###0.0;###0.0"/>
    <numFmt numFmtId="183" formatCode="###0.00;###0.00"/>
    <numFmt numFmtId="184" formatCode="0.0%"/>
    <numFmt numFmtId="185" formatCode="0;[Red]0"/>
    <numFmt numFmtId="186" formatCode="[$-409]d\-mmm\-yy;@"/>
    <numFmt numFmtId="187" formatCode="0.00000000000"/>
    <numFmt numFmtId="188" formatCode="0.000000"/>
    <numFmt numFmtId="189" formatCode="0_);[Red]\(0\)"/>
  </numFmts>
  <fonts count="249">
    <font>
      <sz val="10"/>
      <name val="Arial"/>
      <family val="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38"/>
    </font>
    <font>
      <sz val="10"/>
      <name val="Times New Roman"/>
      <family val="22"/>
    </font>
    <font>
      <u/>
      <sz val="10"/>
      <color indexed="12"/>
      <name val="Arial"/>
      <family val="38"/>
    </font>
    <font>
      <sz val="10"/>
      <name val="Arial"/>
      <family val="38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color rgb="FFFF0000"/>
      <name val="Calibri"/>
      <family val="2"/>
      <scheme val="minor"/>
    </font>
    <font>
      <b/>
      <u/>
      <sz val="11"/>
      <color rgb="FF3333FF"/>
      <name val="Calibri"/>
      <family val="2"/>
      <scheme val="minor"/>
    </font>
    <font>
      <u/>
      <sz val="10"/>
      <color indexed="12"/>
      <name val="Arial"/>
      <family val="2"/>
    </font>
    <font>
      <sz val="11"/>
      <color rgb="FF0000FF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Times New Roman"/>
      <family val="1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indexed="53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color indexed="10"/>
      <name val="Calibri"/>
      <family val="2"/>
      <scheme val="minor"/>
    </font>
    <font>
      <b/>
      <sz val="11"/>
      <color indexed="16"/>
      <name val="Calibri"/>
      <family val="2"/>
      <scheme val="minor"/>
    </font>
    <font>
      <b/>
      <sz val="11"/>
      <color rgb="FF0101FF"/>
      <name val="Calibri"/>
      <family val="2"/>
      <scheme val="minor"/>
    </font>
    <font>
      <b/>
      <sz val="11"/>
      <color indexed="17"/>
      <name val="Calibri"/>
      <family val="2"/>
      <scheme val="minor"/>
    </font>
    <font>
      <u/>
      <sz val="11"/>
      <color indexed="12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101FF"/>
      <name val="Calibri"/>
      <family val="2"/>
      <scheme val="minor"/>
    </font>
    <font>
      <sz val="11"/>
      <color rgb="FF99FFCC"/>
      <name val="Calibri"/>
      <family val="2"/>
      <scheme val="minor"/>
    </font>
    <font>
      <sz val="11"/>
      <color rgb="FFFFFF00"/>
      <name val="Calibri"/>
      <family val="2"/>
      <scheme val="minor"/>
    </font>
    <font>
      <u/>
      <sz val="11"/>
      <color rgb="FFFFFF00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rgb="FF000000"/>
      <name val="Calibri"/>
      <family val="2"/>
      <scheme val="minor"/>
    </font>
    <font>
      <u/>
      <sz val="11"/>
      <color indexed="20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u/>
      <sz val="11"/>
      <color rgb="FF002060"/>
      <name val="Calibri"/>
      <family val="2"/>
      <scheme val="minor"/>
    </font>
    <font>
      <u/>
      <sz val="11"/>
      <color indexed="10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1"/>
      <color indexed="12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u/>
      <sz val="11"/>
      <color indexed="10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color indexed="53"/>
      <name val="Calibri"/>
      <family val="2"/>
      <scheme val="minor"/>
    </font>
    <font>
      <sz val="11"/>
      <color indexed="12"/>
      <name val="Calibri"/>
      <family val="2"/>
      <scheme val="minor"/>
    </font>
    <font>
      <sz val="11"/>
      <color indexed="10"/>
      <name val="Calibri"/>
      <family val="2"/>
      <scheme val="minor"/>
    </font>
    <font>
      <sz val="11"/>
      <color indexed="16"/>
      <name val="Calibri"/>
      <family val="2"/>
      <scheme val="minor"/>
    </font>
    <font>
      <u/>
      <sz val="11"/>
      <color rgb="FFC00000"/>
      <name val="Calibri"/>
      <family val="2"/>
      <scheme val="minor"/>
    </font>
    <font>
      <sz val="11"/>
      <color indexed="17"/>
      <name val="Calibri"/>
      <family val="2"/>
      <scheme val="minor"/>
    </font>
    <font>
      <i/>
      <u val="double"/>
      <sz val="11"/>
      <color rgb="FFADF5FD"/>
      <name val="Calibri"/>
      <family val="2"/>
      <scheme val="minor"/>
    </font>
    <font>
      <sz val="11"/>
      <color indexed="50"/>
      <name val="Calibri"/>
      <family val="2"/>
      <scheme val="minor"/>
    </font>
    <font>
      <b/>
      <i/>
      <u/>
      <sz val="11"/>
      <color rgb="FFFF0000"/>
      <name val="Calibri"/>
      <family val="2"/>
      <scheme val="minor"/>
    </font>
    <font>
      <sz val="11"/>
      <color indexed="9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indexed="43"/>
      <name val="Calibri"/>
      <family val="2"/>
      <scheme val="minor"/>
    </font>
    <font>
      <sz val="11"/>
      <color indexed="13"/>
      <name val="Calibri"/>
      <family val="2"/>
      <scheme val="minor"/>
    </font>
    <font>
      <b/>
      <sz val="11"/>
      <color indexed="11"/>
      <name val="Calibri"/>
      <family val="2"/>
      <scheme val="minor"/>
    </font>
    <font>
      <vertAlign val="superscript"/>
      <sz val="11"/>
      <name val="Calibri"/>
      <family val="2"/>
      <scheme val="minor"/>
    </font>
    <font>
      <b/>
      <sz val="11"/>
      <color rgb="FF0E7909"/>
      <name val="Calibri"/>
      <family val="2"/>
      <scheme val="minor"/>
    </font>
    <font>
      <b/>
      <sz val="11"/>
      <color indexed="60"/>
      <name val="Calibri"/>
      <family val="2"/>
      <scheme val="minor"/>
    </font>
    <font>
      <b/>
      <sz val="11"/>
      <color indexed="9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u/>
      <sz val="11"/>
      <color indexed="8"/>
      <name val="Calibri"/>
      <family val="2"/>
      <scheme val="minor"/>
    </font>
    <font>
      <sz val="11"/>
      <color indexed="22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u/>
      <sz val="11"/>
      <color indexed="8"/>
      <name val="Calibri"/>
      <family val="2"/>
      <scheme val="minor"/>
    </font>
    <font>
      <sz val="11"/>
      <color indexed="60"/>
      <name val="Calibri"/>
      <family val="2"/>
      <scheme val="minor"/>
    </font>
    <font>
      <b/>
      <sz val="11"/>
      <color indexed="48"/>
      <name val="Calibri"/>
      <family val="2"/>
      <scheme val="minor"/>
    </font>
    <font>
      <i/>
      <sz val="11"/>
      <color indexed="8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indexed="51"/>
      <name val="Calibri"/>
      <family val="2"/>
      <scheme val="minor"/>
    </font>
    <font>
      <b/>
      <sz val="11"/>
      <color indexed="43"/>
      <name val="Calibri"/>
      <family val="2"/>
      <scheme val="minor"/>
    </font>
    <font>
      <b/>
      <sz val="11"/>
      <color indexed="21"/>
      <name val="Calibri"/>
      <family val="2"/>
      <scheme val="minor"/>
    </font>
    <font>
      <b/>
      <u/>
      <sz val="11"/>
      <color indexed="48"/>
      <name val="Calibri"/>
      <family val="2"/>
      <scheme val="minor"/>
    </font>
    <font>
      <b/>
      <i/>
      <sz val="11"/>
      <color indexed="60"/>
      <name val="Calibri"/>
      <family val="2"/>
      <scheme val="minor"/>
    </font>
    <font>
      <sz val="11"/>
      <color indexed="14"/>
      <name val="Calibri"/>
      <family val="2"/>
      <scheme val="minor"/>
    </font>
    <font>
      <sz val="11"/>
      <color indexed="56"/>
      <name val="Calibri"/>
      <family val="2"/>
      <scheme val="minor"/>
    </font>
    <font>
      <b/>
      <i/>
      <sz val="11"/>
      <color indexed="9"/>
      <name val="Calibri"/>
      <family val="2"/>
      <scheme val="minor"/>
    </font>
    <font>
      <sz val="11"/>
      <color indexed="48"/>
      <name val="Calibri"/>
      <family val="2"/>
      <scheme val="minor"/>
    </font>
    <font>
      <u/>
      <vertAlign val="superscript"/>
      <sz val="11"/>
      <name val="Calibri"/>
      <family val="2"/>
      <scheme val="minor"/>
    </font>
    <font>
      <b/>
      <vertAlign val="superscript"/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b/>
      <vertAlign val="subscript"/>
      <sz val="11"/>
      <name val="Calibri"/>
      <family val="2"/>
      <scheme val="minor"/>
    </font>
    <font>
      <sz val="11"/>
      <color rgb="FF008000"/>
      <name val="Calibri"/>
      <family val="2"/>
      <scheme val="minor"/>
    </font>
    <font>
      <u/>
      <sz val="11"/>
      <color rgb="FF53FBFB"/>
      <name val="Calibri"/>
      <family val="2"/>
      <scheme val="minor"/>
    </font>
    <font>
      <b/>
      <i/>
      <u/>
      <sz val="11"/>
      <color rgb="FF99FFCC"/>
      <name val="Calibri"/>
      <family val="2"/>
      <scheme val="minor"/>
    </font>
    <font>
      <b/>
      <u/>
      <sz val="11"/>
      <color indexed="60"/>
      <name val="Calibri"/>
      <family val="2"/>
      <scheme val="minor"/>
    </font>
    <font>
      <b/>
      <u/>
      <sz val="11"/>
      <color rgb="FF1D9323"/>
      <name val="Calibri"/>
      <family val="2"/>
      <scheme val="minor"/>
    </font>
    <font>
      <b/>
      <sz val="11"/>
      <color indexed="56"/>
      <name val="Calibri"/>
      <family val="2"/>
      <scheme val="minor"/>
    </font>
    <font>
      <b/>
      <u/>
      <sz val="11"/>
      <color rgb="FF0101FF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indexed="18"/>
      <name val="Calibri"/>
      <family val="2"/>
      <scheme val="minor"/>
    </font>
    <font>
      <u/>
      <sz val="11"/>
      <color theme="7" tint="-0.499984740745262"/>
      <name val="Calibri"/>
      <family val="2"/>
      <scheme val="minor"/>
    </font>
    <font>
      <b/>
      <u/>
      <sz val="11"/>
      <color rgb="FF99FFCC"/>
      <name val="Calibri"/>
      <family val="2"/>
      <scheme val="minor"/>
    </font>
    <font>
      <b/>
      <u/>
      <sz val="11"/>
      <color theme="6" tint="0.59999389629810485"/>
      <name val="Calibri"/>
      <family val="2"/>
      <scheme val="minor"/>
    </font>
    <font>
      <b/>
      <sz val="11"/>
      <color rgb="FF008000"/>
      <name val="Calibri"/>
      <family val="2"/>
      <scheme val="minor"/>
    </font>
    <font>
      <sz val="11"/>
      <color rgb="FF53FBFB"/>
      <name val="Calibri"/>
      <family val="2"/>
      <scheme val="minor"/>
    </font>
    <font>
      <sz val="11"/>
      <color indexed="0"/>
      <name val="Calibri"/>
      <family val="2"/>
      <scheme val="minor"/>
    </font>
    <font>
      <b/>
      <i/>
      <sz val="11"/>
      <color theme="9" tint="-0.499984740745262"/>
      <name val="Calibri"/>
      <family val="2"/>
      <scheme val="minor"/>
    </font>
    <font>
      <b/>
      <u/>
      <sz val="11"/>
      <color rgb="FF53FBFB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i/>
      <u/>
      <sz val="11"/>
      <color indexed="8"/>
      <name val="Calibri"/>
      <family val="2"/>
      <scheme val="minor"/>
    </font>
    <font>
      <b/>
      <u/>
      <sz val="11"/>
      <color indexed="53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b/>
      <sz val="11"/>
      <color rgb="FF009218"/>
      <name val="Calibri"/>
      <family val="2"/>
      <scheme val="minor"/>
    </font>
    <font>
      <b/>
      <i/>
      <u/>
      <sz val="11"/>
      <color indexed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indexed="3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b/>
      <u/>
      <sz val="11"/>
      <color rgb="FFCCFFCC"/>
      <name val="Calibri"/>
      <family val="2"/>
      <scheme val="minor"/>
    </font>
    <font>
      <b/>
      <sz val="11"/>
      <color indexed="51"/>
      <name val="Calibri"/>
      <family val="2"/>
      <scheme val="minor"/>
    </font>
    <font>
      <b/>
      <sz val="11"/>
      <color indexed="62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indexed="14"/>
      <name val="Calibri"/>
      <family val="2"/>
      <scheme val="minor"/>
    </font>
    <font>
      <b/>
      <sz val="11"/>
      <color indexed="13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theme="9" tint="-0.499984740745262"/>
      <name val="Calibri"/>
      <family val="2"/>
      <scheme val="minor"/>
    </font>
    <font>
      <sz val="11"/>
      <color rgb="FFCCFFCC"/>
      <name val="Calibri"/>
      <family val="2"/>
      <scheme val="minor"/>
    </font>
    <font>
      <sz val="11"/>
      <color rgb="FF6600CC"/>
      <name val="Calibri"/>
      <family val="2"/>
      <scheme val="minor"/>
    </font>
    <font>
      <sz val="11"/>
      <color rgb="FF009218"/>
      <name val="Calibri"/>
      <family val="2"/>
      <scheme val="minor"/>
    </font>
    <font>
      <u val="double"/>
      <sz val="11"/>
      <color rgb="FFFF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u/>
      <sz val="11"/>
      <color rgb="FF993300"/>
      <name val="Calibri"/>
      <family val="2"/>
      <scheme val="minor"/>
    </font>
    <font>
      <b/>
      <i/>
      <u/>
      <sz val="11"/>
      <color rgb="FFFFFFFF"/>
      <name val="Calibri"/>
      <family val="2"/>
      <scheme val="minor"/>
    </font>
    <font>
      <sz val="10"/>
      <name val="Arial"/>
      <family val="2"/>
    </font>
    <font>
      <sz val="9"/>
      <name val="Tahoma"/>
      <family val="2"/>
      <charset val="134"/>
    </font>
    <font>
      <b/>
      <sz val="9"/>
      <name val="Tahoma"/>
      <family val="2"/>
      <charset val="134"/>
    </font>
    <font>
      <sz val="10"/>
      <name val="Tahoma"/>
      <family val="2"/>
      <charset val="134"/>
    </font>
    <font>
      <sz val="10"/>
      <color indexed="10"/>
      <name val="Tahoma"/>
      <family val="2"/>
      <charset val="134"/>
    </font>
    <font>
      <b/>
      <sz val="11"/>
      <name val="Tahoma"/>
      <family val="2"/>
      <charset val="134"/>
    </font>
    <font>
      <b/>
      <sz val="10"/>
      <name val="Tahoma"/>
      <family val="2"/>
      <charset val="134"/>
    </font>
    <font>
      <sz val="11"/>
      <name val="Tahoma"/>
      <family val="2"/>
      <charset val="134"/>
    </font>
    <font>
      <sz val="10"/>
      <name val="Arial"/>
      <family val="2"/>
      <charset val="134"/>
    </font>
    <font>
      <sz val="10"/>
      <name val="Arial"/>
      <family val="38"/>
      <charset val="134"/>
    </font>
    <font>
      <b/>
      <sz val="11"/>
      <color indexed="25"/>
      <name val="Tahoma"/>
      <family val="2"/>
      <charset val="134"/>
    </font>
    <font>
      <sz val="10"/>
      <color indexed="25"/>
      <name val="Tahoma"/>
      <family val="2"/>
      <charset val="134"/>
    </font>
    <font>
      <b/>
      <sz val="10"/>
      <color indexed="60"/>
      <name val="Tahoma"/>
      <family val="2"/>
      <charset val="134"/>
    </font>
    <font>
      <b/>
      <sz val="10"/>
      <color indexed="62"/>
      <name val="Tahoma"/>
      <family val="2"/>
      <charset val="134"/>
    </font>
    <font>
      <b/>
      <sz val="10"/>
      <color indexed="56"/>
      <name val="Tahoma"/>
      <family val="2"/>
      <charset val="134"/>
    </font>
    <font>
      <sz val="10"/>
      <color indexed="56"/>
      <name val="Tahoma"/>
      <family val="2"/>
      <charset val="134"/>
    </font>
    <font>
      <b/>
      <sz val="11"/>
      <color indexed="60"/>
      <name val="Tahoma"/>
      <family val="2"/>
      <charset val="134"/>
    </font>
    <font>
      <sz val="10"/>
      <color indexed="62"/>
      <name val="Tahoma"/>
      <family val="2"/>
      <charset val="134"/>
    </font>
    <font>
      <b/>
      <sz val="12"/>
      <color indexed="10"/>
      <name val="Tahoma"/>
      <family val="2"/>
      <charset val="134"/>
    </font>
    <font>
      <b/>
      <sz val="11"/>
      <color indexed="62"/>
      <name val="Tahoma"/>
      <family val="2"/>
      <charset val="134"/>
    </font>
    <font>
      <b/>
      <sz val="11"/>
      <color indexed="8"/>
      <name val="Calibri"/>
      <family val="2"/>
      <charset val="134"/>
    </font>
    <font>
      <sz val="11"/>
      <color indexed="58"/>
      <name val="Tahoma"/>
      <family val="2"/>
      <charset val="134"/>
    </font>
    <font>
      <b/>
      <sz val="10"/>
      <color indexed="20"/>
      <name val="Tahoma"/>
      <family val="2"/>
      <charset val="134"/>
    </font>
    <font>
      <sz val="10"/>
      <color indexed="60"/>
      <name val="Tahoma"/>
      <family val="2"/>
      <charset val="134"/>
    </font>
    <font>
      <vertAlign val="superscript"/>
      <sz val="9"/>
      <name val="Tahoma"/>
      <family val="2"/>
      <charset val="134"/>
    </font>
    <font>
      <b/>
      <sz val="10"/>
      <color indexed="30"/>
      <name val="Tahoma"/>
      <family val="2"/>
      <charset val="134"/>
    </font>
    <font>
      <sz val="10"/>
      <color indexed="30"/>
      <name val="Tahoma"/>
      <family val="2"/>
      <charset val="134"/>
    </font>
    <font>
      <sz val="8"/>
      <name val="Tahoma"/>
      <family val="2"/>
      <charset val="134"/>
    </font>
    <font>
      <b/>
      <sz val="9"/>
      <color indexed="59"/>
      <name val="Tahoma"/>
      <family val="2"/>
      <charset val="134"/>
    </font>
    <font>
      <b/>
      <sz val="9"/>
      <name val="Calibri"/>
      <family val="2"/>
      <charset val="134"/>
    </font>
    <font>
      <b/>
      <sz val="9"/>
      <color indexed="10"/>
      <name val="Tahoma"/>
      <family val="2"/>
      <charset val="134"/>
    </font>
    <font>
      <b/>
      <sz val="10"/>
      <color indexed="10"/>
      <name val="Tahoma"/>
      <family val="2"/>
      <charset val="134"/>
    </font>
    <font>
      <sz val="9"/>
      <color indexed="10"/>
      <name val="Tahoma"/>
      <family val="2"/>
      <charset val="134"/>
    </font>
    <font>
      <sz val="9"/>
      <color indexed="14"/>
      <name val="Tahoma"/>
      <family val="2"/>
      <charset val="134"/>
    </font>
    <font>
      <sz val="10"/>
      <color indexed="9"/>
      <name val="Tahoma"/>
      <family val="2"/>
      <charset val="134"/>
    </font>
    <font>
      <sz val="11"/>
      <color indexed="9"/>
      <name val="Tahoma"/>
      <family val="2"/>
      <charset val="134"/>
    </font>
    <font>
      <sz val="9"/>
      <color indexed="17"/>
      <name val="Tahoma"/>
      <family val="2"/>
      <charset val="134"/>
    </font>
    <font>
      <b/>
      <sz val="10"/>
      <color indexed="17"/>
      <name val="Tahoma"/>
      <family val="2"/>
      <charset val="134"/>
    </font>
    <font>
      <sz val="10"/>
      <name val="Tahoma"/>
      <family val="38"/>
    </font>
    <font>
      <b/>
      <sz val="8"/>
      <name val="Arial"/>
      <family val="2"/>
      <charset val="134"/>
    </font>
    <font>
      <sz val="11"/>
      <color indexed="8"/>
      <name val="Calibri"/>
      <family val="2"/>
      <charset val="134"/>
    </font>
    <font>
      <sz val="10"/>
      <name val="Tahoma"/>
      <family val="38"/>
      <charset val="134"/>
    </font>
    <font>
      <b/>
      <sz val="10"/>
      <color indexed="25"/>
      <name val="Tahoma"/>
      <family val="2"/>
      <charset val="134"/>
    </font>
    <font>
      <sz val="10"/>
      <color indexed="9"/>
      <name val="Arial"/>
      <family val="2"/>
      <charset val="134"/>
    </font>
    <font>
      <sz val="8"/>
      <name val="Arial"/>
      <family val="2"/>
      <charset val="134"/>
    </font>
    <font>
      <b/>
      <sz val="10"/>
      <name val="Arial"/>
      <family val="2"/>
      <charset val="134"/>
    </font>
    <font>
      <vertAlign val="superscript"/>
      <sz val="10"/>
      <name val="Arial"/>
      <family val="2"/>
      <charset val="134"/>
    </font>
    <font>
      <vertAlign val="subscript"/>
      <sz val="10"/>
      <name val="Arial"/>
      <family val="2"/>
      <charset val="134"/>
    </font>
    <font>
      <sz val="12"/>
      <name val="Tahoma"/>
      <family val="2"/>
      <charset val="134"/>
    </font>
    <font>
      <u/>
      <sz val="10"/>
      <name val="Arial"/>
      <family val="2"/>
      <charset val="134"/>
    </font>
    <font>
      <sz val="10"/>
      <color indexed="10"/>
      <name val="Arial"/>
      <family val="2"/>
      <charset val="134"/>
    </font>
    <font>
      <sz val="11"/>
      <color indexed="10"/>
      <name val="Calibri"/>
      <family val="2"/>
      <charset val="134"/>
    </font>
    <font>
      <b/>
      <u/>
      <sz val="11"/>
      <color indexed="8"/>
      <name val="Calibri"/>
      <family val="2"/>
      <charset val="134"/>
    </font>
    <font>
      <sz val="12"/>
      <name val="Arial"/>
      <family val="2"/>
      <charset val="134"/>
    </font>
    <font>
      <vertAlign val="superscript"/>
      <sz val="12"/>
      <name val="Arial"/>
      <family val="2"/>
      <charset val="134"/>
    </font>
    <font>
      <sz val="10"/>
      <name val="Calibri"/>
      <family val="2"/>
      <charset val="134"/>
    </font>
    <font>
      <b/>
      <sz val="12"/>
      <name val="Arial"/>
      <family val="2"/>
      <charset val="134"/>
    </font>
    <font>
      <sz val="5"/>
      <color indexed="10"/>
      <name val="Arial"/>
      <family val="2"/>
      <charset val="134"/>
    </font>
    <font>
      <b/>
      <sz val="11"/>
      <name val="Arial"/>
      <family val="2"/>
      <charset val="134"/>
    </font>
    <font>
      <b/>
      <sz val="20"/>
      <name val="Arial"/>
      <family val="2"/>
      <charset val="134"/>
    </font>
    <font>
      <sz val="16"/>
      <name val="Arial"/>
      <family val="2"/>
      <charset val="134"/>
    </font>
    <font>
      <b/>
      <sz val="16"/>
      <name val="Arial"/>
      <family val="2"/>
      <charset val="134"/>
    </font>
    <font>
      <b/>
      <sz val="14"/>
      <name val="Tahoma"/>
      <family val="2"/>
      <charset val="134"/>
    </font>
    <font>
      <b/>
      <sz val="14"/>
      <name val="Arial"/>
      <family val="2"/>
      <charset val="134"/>
    </font>
    <font>
      <sz val="14"/>
      <name val="Tahoma"/>
      <family val="2"/>
      <charset val="134"/>
    </font>
    <font>
      <sz val="10"/>
      <name val="Times New Roman"/>
      <family val="1"/>
      <charset val="134"/>
    </font>
    <font>
      <vertAlign val="superscript"/>
      <sz val="12"/>
      <name val="Tahoma"/>
      <family val="2"/>
      <charset val="134"/>
    </font>
    <font>
      <sz val="14"/>
      <name val="Arial"/>
      <family val="2"/>
      <charset val="134"/>
    </font>
    <font>
      <sz val="16"/>
      <name val="Tahoma"/>
      <family val="2"/>
      <charset val="134"/>
    </font>
    <font>
      <b/>
      <sz val="16"/>
      <name val="Tahoma"/>
      <family val="2"/>
      <charset val="134"/>
    </font>
    <font>
      <u/>
      <sz val="10"/>
      <name val="Tahoma"/>
      <family val="2"/>
      <charset val="134"/>
    </font>
    <font>
      <vertAlign val="superscript"/>
      <sz val="14"/>
      <name val="Tahoma"/>
      <family val="2"/>
      <charset val="134"/>
    </font>
    <font>
      <vertAlign val="subscript"/>
      <sz val="14"/>
      <name val="Tahoma"/>
      <family val="2"/>
      <charset val="134"/>
    </font>
    <font>
      <b/>
      <sz val="14"/>
      <color indexed="8"/>
      <name val="Calibri"/>
      <family val="2"/>
      <charset val="134"/>
    </font>
    <font>
      <b/>
      <sz val="16"/>
      <color indexed="8"/>
      <name val="Calibri"/>
      <family val="2"/>
      <charset val="134"/>
    </font>
    <font>
      <b/>
      <sz val="10"/>
      <color indexed="8"/>
      <name val="Calibri"/>
      <family val="2"/>
      <charset val="134"/>
    </font>
    <font>
      <sz val="9"/>
      <color indexed="8"/>
      <name val="Calibri"/>
      <family val="2"/>
      <charset val="134"/>
    </font>
    <font>
      <vertAlign val="superscript"/>
      <sz val="11"/>
      <color indexed="8"/>
      <name val="Calibri"/>
      <family val="2"/>
      <charset val="134"/>
    </font>
    <font>
      <sz val="10"/>
      <name val="Verdana"/>
      <family val="2"/>
      <charset val="134"/>
    </font>
    <font>
      <vertAlign val="subscript"/>
      <sz val="11"/>
      <color indexed="8"/>
      <name val="Calibri"/>
      <family val="2"/>
      <charset val="134"/>
    </font>
    <font>
      <sz val="8"/>
      <color indexed="8"/>
      <name val="Calibri"/>
      <family val="2"/>
      <charset val="134"/>
    </font>
    <font>
      <sz val="11"/>
      <color indexed="13"/>
      <name val="Calibri"/>
      <family val="2"/>
      <charset val="134"/>
    </font>
    <font>
      <sz val="10"/>
      <color indexed="8"/>
      <name val="Calibri"/>
      <family val="2"/>
      <charset val="134"/>
    </font>
    <font>
      <sz val="12"/>
      <name val="Times New Roman"/>
      <family val="1"/>
      <charset val="134"/>
    </font>
    <font>
      <sz val="9"/>
      <color indexed="81"/>
      <name val="宋体"/>
      <charset val="134"/>
    </font>
    <font>
      <vertAlign val="superscript"/>
      <sz val="10"/>
      <color indexed="8"/>
      <name val="Arial"/>
      <family val="2"/>
      <charset val="134"/>
    </font>
    <font>
      <b/>
      <sz val="10"/>
      <color indexed="10"/>
      <name val="Arial"/>
      <family val="2"/>
      <charset val="134"/>
    </font>
    <font>
      <b/>
      <vertAlign val="superscript"/>
      <sz val="10"/>
      <name val="Arial"/>
      <family val="2"/>
      <charset val="134"/>
    </font>
    <font>
      <b/>
      <vertAlign val="subscript"/>
      <sz val="10"/>
      <name val="Arial"/>
      <family val="2"/>
      <charset val="134"/>
    </font>
    <font>
      <b/>
      <sz val="12"/>
      <name val="Symbol"/>
      <family val="1"/>
      <charset val="2"/>
    </font>
    <font>
      <sz val="12"/>
      <name val="Symbol"/>
      <family val="1"/>
      <charset val="2"/>
    </font>
    <font>
      <sz val="10"/>
      <name val="Arial"/>
      <family val="2"/>
      <charset val="1"/>
    </font>
    <font>
      <b/>
      <sz val="11"/>
      <name val="Symbol"/>
      <family val="1"/>
      <charset val="2"/>
    </font>
    <font>
      <sz val="10"/>
      <name val="Symbol"/>
      <family val="1"/>
      <charset val="2"/>
    </font>
    <font>
      <b/>
      <sz val="11"/>
      <name val="Calibri"/>
      <family val="2"/>
      <charset val="134"/>
    </font>
    <font>
      <b/>
      <sz val="10"/>
      <name val="Calibri"/>
      <family val="2"/>
      <charset val="134"/>
    </font>
    <font>
      <b/>
      <sz val="10"/>
      <name val="Symbol"/>
      <family val="1"/>
      <charset val="2"/>
    </font>
    <font>
      <b/>
      <sz val="11"/>
      <name val="Arial"/>
      <family val="2"/>
      <charset val="1"/>
    </font>
    <font>
      <sz val="9"/>
      <name val="Arial"/>
      <family val="2"/>
      <charset val="134"/>
    </font>
    <font>
      <b/>
      <u/>
      <sz val="10"/>
      <name val="Arial"/>
      <family val="2"/>
      <charset val="134"/>
    </font>
    <font>
      <b/>
      <sz val="9"/>
      <name val="Arial"/>
      <family val="2"/>
      <charset val="134"/>
    </font>
    <font>
      <sz val="11"/>
      <name val="Arial"/>
      <family val="2"/>
      <charset val="134"/>
    </font>
    <font>
      <sz val="11.5"/>
      <name val="Arial"/>
      <family val="2"/>
      <charset val="134"/>
    </font>
    <font>
      <b/>
      <sz val="12"/>
      <name val="Calibri"/>
      <family val="2"/>
      <charset val="134"/>
    </font>
    <font>
      <u/>
      <sz val="11"/>
      <color indexed="8"/>
      <name val="Calibri"/>
      <family val="2"/>
      <charset val="134"/>
    </font>
    <font>
      <sz val="10"/>
      <color indexed="8"/>
      <name val="Arial"/>
      <family val="2"/>
      <charset val="134"/>
    </font>
    <font>
      <b/>
      <sz val="10"/>
      <color indexed="59"/>
      <name val="Arial"/>
      <family val="2"/>
      <charset val="134"/>
    </font>
    <font>
      <sz val="16"/>
      <name val="Symbol"/>
      <family val="1"/>
      <charset val="2"/>
    </font>
    <font>
      <b/>
      <sz val="12"/>
      <color indexed="8"/>
      <name val="Calibri"/>
      <family val="2"/>
      <charset val="134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9933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BC1EA"/>
        <bgColor indexed="64"/>
      </patternFill>
    </fill>
    <fill>
      <patternFill patternType="solid">
        <fgColor rgb="FFFFB13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101FF"/>
        <bgColor indexed="64"/>
      </patternFill>
    </fill>
    <fill>
      <patternFill patternType="solid">
        <fgColor rgb="FFD9F9FF"/>
        <bgColor indexed="64"/>
      </patternFill>
    </fill>
    <fill>
      <patternFill patternType="solid">
        <fgColor rgb="FFE9FFD9"/>
        <bgColor indexed="64"/>
      </patternFill>
    </fill>
    <fill>
      <patternFill patternType="solid">
        <fgColor rgb="FFFBF1DD"/>
        <bgColor indexed="64"/>
      </patternFill>
    </fill>
    <fill>
      <patternFill patternType="solid">
        <fgColor rgb="FFFFE1E7"/>
        <bgColor indexed="64"/>
      </patternFill>
    </fill>
    <fill>
      <patternFill patternType="solid">
        <fgColor rgb="FFFFF3F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35"/>
      </patternFill>
    </fill>
    <fill>
      <patternFill patternType="solid">
        <fgColor indexed="47"/>
        <bgColor indexed="31"/>
      </patternFill>
    </fill>
    <fill>
      <patternFill patternType="solid">
        <fgColor indexed="47"/>
        <bgColor indexed="50"/>
      </patternFill>
    </fill>
    <fill>
      <patternFill patternType="solid">
        <fgColor indexed="13"/>
        <bgColor indexed="34"/>
      </patternFill>
    </fill>
    <fill>
      <patternFill patternType="solid">
        <fgColor indexed="47"/>
        <bgColor indexed="34"/>
      </patternFill>
    </fill>
    <fill>
      <patternFill patternType="solid">
        <fgColor indexed="15"/>
        <bgColor indexed="35"/>
      </patternFill>
    </fill>
  </fills>
  <borders count="1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64"/>
      </right>
      <top/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thin">
        <color indexed="64"/>
      </right>
      <top style="hair">
        <color indexed="8"/>
      </top>
      <bottom/>
      <diagonal/>
    </border>
    <border>
      <left style="thin">
        <color indexed="64"/>
      </left>
      <right style="hair">
        <color indexed="8"/>
      </right>
      <top style="thin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8"/>
      </right>
      <top style="hair">
        <color indexed="8"/>
      </top>
      <bottom/>
      <diagonal/>
    </border>
    <border>
      <left style="medium">
        <color indexed="64"/>
      </left>
      <right style="hair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</borders>
  <cellStyleXfs count="31">
    <xf numFmtId="0" fontId="0" fillId="0" borderId="0">
      <alignment vertical="center"/>
    </xf>
    <xf numFmtId="43" fontId="11" fillId="0" borderId="0" applyFont="0" applyFill="0" applyBorder="0" applyAlignment="0" applyProtection="0">
      <alignment vertical="center"/>
    </xf>
    <xf numFmtId="0" fontId="11" fillId="0" borderId="0">
      <alignment vertical="center"/>
    </xf>
    <xf numFmtId="164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8" fillId="0" borderId="0">
      <alignment vertical="center"/>
    </xf>
    <xf numFmtId="0" fontId="7" fillId="0" borderId="0"/>
    <xf numFmtId="9" fontId="7" fillId="0" borderId="0" applyFont="0" applyFill="0" applyBorder="0" applyAlignment="0" applyProtection="0"/>
    <xf numFmtId="0" fontId="14" fillId="0" borderId="0">
      <alignment vertical="center"/>
    </xf>
    <xf numFmtId="165" fontId="7" fillId="0" borderId="0" applyFont="0" applyFill="0" applyBorder="0" applyAlignment="0" applyProtection="0"/>
    <xf numFmtId="0" fontId="1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/>
    <xf numFmtId="0" fontId="14" fillId="0" borderId="0"/>
    <xf numFmtId="0" fontId="138" fillId="0" borderId="0">
      <alignment vertical="center"/>
    </xf>
    <xf numFmtId="0" fontId="146" fillId="0" borderId="0">
      <alignment vertical="center"/>
    </xf>
    <xf numFmtId="0" fontId="178" fillId="0" borderId="0">
      <alignment vertical="center"/>
    </xf>
    <xf numFmtId="9" fontId="14" fillId="0" borderId="0" applyFont="0" applyFill="0" applyBorder="0" applyAlignment="0" applyProtection="0">
      <alignment vertical="center"/>
    </xf>
    <xf numFmtId="0" fontId="178" fillId="0" borderId="0">
      <alignment vertical="center"/>
    </xf>
    <xf numFmtId="0" fontId="178" fillId="0" borderId="0">
      <alignment vertical="center"/>
    </xf>
    <xf numFmtId="0" fontId="146" fillId="0" borderId="0">
      <alignment vertical="center"/>
    </xf>
    <xf numFmtId="0" fontId="178" fillId="0" borderId="0">
      <alignment vertical="center"/>
    </xf>
    <xf numFmtId="1" fontId="146" fillId="0" borderId="0">
      <alignment vertical="center"/>
    </xf>
    <xf numFmtId="0" fontId="178" fillId="0" borderId="0">
      <alignment vertical="center"/>
    </xf>
    <xf numFmtId="0" fontId="1" fillId="0" borderId="0"/>
  </cellStyleXfs>
  <cellXfs count="4745">
    <xf numFmtId="0" fontId="0" fillId="0" borderId="0" xfId="0">
      <alignment vertical="center"/>
    </xf>
    <xf numFmtId="0" fontId="12" fillId="0" borderId="0" xfId="12" applyFont="1" applyAlignment="1">
      <alignment horizontal="center" vertical="center"/>
    </xf>
    <xf numFmtId="0" fontId="15" fillId="0" borderId="0" xfId="12" applyFont="1" applyAlignment="1">
      <alignment vertical="center"/>
    </xf>
    <xf numFmtId="0" fontId="15" fillId="0" borderId="0" xfId="12" applyFont="1" applyAlignment="1">
      <alignment horizontal="left" vertical="center"/>
    </xf>
    <xf numFmtId="0" fontId="13" fillId="22" borderId="9" xfId="12" applyFont="1" applyFill="1" applyBorder="1" applyAlignment="1">
      <alignment horizontal="center" vertical="center"/>
    </xf>
    <xf numFmtId="0" fontId="16" fillId="21" borderId="0" xfId="12" applyFont="1" applyFill="1" applyAlignment="1">
      <alignment horizontal="center" vertical="center"/>
    </xf>
    <xf numFmtId="0" fontId="12" fillId="0" borderId="9" xfId="12" applyFont="1" applyBorder="1" applyAlignment="1">
      <alignment vertical="center"/>
    </xf>
    <xf numFmtId="0" fontId="12" fillId="17" borderId="9" xfId="2" applyFont="1" applyFill="1" applyBorder="1" applyAlignment="1">
      <alignment horizontal="center" vertical="center"/>
    </xf>
    <xf numFmtId="0" fontId="18" fillId="0" borderId="0" xfId="12" applyFont="1" applyAlignment="1">
      <alignment horizontal="center" vertical="center"/>
    </xf>
    <xf numFmtId="10" fontId="18" fillId="0" borderId="0" xfId="13" applyNumberFormat="1" applyFont="1" applyAlignment="1" applyProtection="1">
      <alignment horizontal="center" vertical="center"/>
    </xf>
    <xf numFmtId="0" fontId="12" fillId="28" borderId="0" xfId="12" applyFont="1" applyFill="1" applyAlignment="1">
      <alignment horizontal="center" vertical="center"/>
    </xf>
    <xf numFmtId="10" fontId="18" fillId="0" borderId="0" xfId="13" applyNumberFormat="1" applyFont="1" applyAlignment="1">
      <alignment horizontal="center" vertical="center"/>
    </xf>
    <xf numFmtId="0" fontId="18" fillId="17" borderId="0" xfId="12" applyFont="1" applyFill="1" applyAlignment="1">
      <alignment horizontal="center" vertical="center"/>
    </xf>
    <xf numFmtId="0" fontId="19" fillId="0" borderId="0" xfId="12" applyFont="1" applyAlignment="1">
      <alignment horizontal="center" vertical="center"/>
    </xf>
    <xf numFmtId="0" fontId="12" fillId="19" borderId="0" xfId="12" applyFont="1" applyFill="1" applyAlignment="1">
      <alignment horizontal="center" vertical="center"/>
    </xf>
    <xf numFmtId="0" fontId="20" fillId="0" borderId="9" xfId="12" applyFont="1" applyBorder="1" applyAlignment="1">
      <alignment horizontal="center" vertical="center"/>
    </xf>
    <xf numFmtId="0" fontId="12" fillId="40" borderId="0" xfId="12" applyFont="1" applyFill="1" applyAlignment="1">
      <alignment horizontal="center" vertical="center"/>
    </xf>
    <xf numFmtId="0" fontId="24" fillId="0" borderId="0" xfId="0" applyFont="1" applyAlignment="1"/>
    <xf numFmtId="0" fontId="13" fillId="7" borderId="0" xfId="2" applyFont="1" applyFill="1" applyAlignment="1">
      <alignment horizontal="center"/>
    </xf>
    <xf numFmtId="0" fontId="13" fillId="0" borderId="0" xfId="2" applyFont="1" applyAlignment="1">
      <alignment horizontal="center"/>
    </xf>
    <xf numFmtId="0" fontId="13" fillId="0" borderId="0" xfId="2" applyFont="1" applyAlignment="1"/>
    <xf numFmtId="0" fontId="13" fillId="3" borderId="0" xfId="2" applyFont="1" applyFill="1">
      <alignment vertical="center"/>
    </xf>
    <xf numFmtId="0" fontId="13" fillId="0" borderId="0" xfId="0" applyFont="1">
      <alignment vertical="center"/>
    </xf>
    <xf numFmtId="14" fontId="13" fillId="0" borderId="0" xfId="0" applyNumberFormat="1" applyFont="1">
      <alignment vertical="center"/>
    </xf>
    <xf numFmtId="0" fontId="13" fillId="2" borderId="0" xfId="2" applyFont="1" applyFill="1" applyAlignment="1">
      <alignment horizontal="center"/>
    </xf>
    <xf numFmtId="1" fontId="13" fillId="0" borderId="0" xfId="2" applyNumberFormat="1" applyFont="1" applyAlignment="1"/>
    <xf numFmtId="0" fontId="13" fillId="0" borderId="0" xfId="2" quotePrefix="1" applyFont="1" applyAlignment="1"/>
    <xf numFmtId="0" fontId="25" fillId="0" borderId="2" xfId="0" applyFont="1" applyBorder="1" applyAlignment="1"/>
    <xf numFmtId="0" fontId="23" fillId="0" borderId="29" xfId="2" applyFont="1" applyBorder="1" applyAlignment="1"/>
    <xf numFmtId="0" fontId="13" fillId="0" borderId="9" xfId="2" applyFont="1" applyBorder="1" applyAlignment="1">
      <alignment horizontal="center" vertical="center"/>
    </xf>
    <xf numFmtId="0" fontId="13" fillId="0" borderId="9" xfId="2" applyFont="1" applyBorder="1" applyAlignment="1">
      <alignment horizontal="center" vertical="center" wrapText="1"/>
    </xf>
    <xf numFmtId="0" fontId="13" fillId="0" borderId="0" xfId="2" applyFont="1">
      <alignment vertical="center"/>
    </xf>
    <xf numFmtId="0" fontId="13" fillId="0" borderId="94" xfId="2" applyFont="1" applyBorder="1" applyAlignment="1">
      <alignment horizontal="center" vertical="center"/>
    </xf>
    <xf numFmtId="0" fontId="13" fillId="0" borderId="82" xfId="2" applyFont="1" applyBorder="1" applyAlignment="1">
      <alignment horizontal="center" vertical="center"/>
    </xf>
    <xf numFmtId="0" fontId="13" fillId="0" borderId="39" xfId="2" applyFont="1" applyBorder="1" applyAlignment="1"/>
    <xf numFmtId="0" fontId="13" fillId="0" borderId="56" xfId="2" applyFont="1" applyBorder="1" applyAlignment="1"/>
    <xf numFmtId="0" fontId="13" fillId="0" borderId="26" xfId="2" applyFont="1" applyBorder="1" applyAlignment="1"/>
    <xf numFmtId="0" fontId="13" fillId="0" borderId="15" xfId="2" applyFont="1" applyBorder="1" applyAlignment="1"/>
    <xf numFmtId="0" fontId="13" fillId="0" borderId="57" xfId="2" applyFont="1" applyBorder="1" applyAlignment="1"/>
    <xf numFmtId="0" fontId="13" fillId="0" borderId="91" xfId="2" applyFont="1" applyBorder="1" applyAlignment="1">
      <alignment horizontal="center" vertical="center"/>
    </xf>
    <xf numFmtId="0" fontId="13" fillId="0" borderId="85" xfId="2" applyFont="1" applyBorder="1" applyAlignment="1">
      <alignment horizontal="center" vertical="center"/>
    </xf>
    <xf numFmtId="0" fontId="13" fillId="0" borderId="42" xfId="2" applyFont="1" applyBorder="1" applyAlignment="1"/>
    <xf numFmtId="0" fontId="13" fillId="0" borderId="51" xfId="2" applyFont="1" applyBorder="1" applyAlignment="1"/>
    <xf numFmtId="0" fontId="13" fillId="0" borderId="0" xfId="2" applyFont="1" applyAlignment="1">
      <alignment horizontal="right" vertical="center"/>
    </xf>
    <xf numFmtId="168" fontId="13" fillId="0" borderId="0" xfId="2" applyNumberFormat="1" applyFont="1" applyAlignment="1"/>
    <xf numFmtId="0" fontId="13" fillId="0" borderId="95" xfId="2" applyFont="1" applyBorder="1" applyAlignment="1">
      <alignment horizontal="center" vertical="center"/>
    </xf>
    <xf numFmtId="0" fontId="13" fillId="0" borderId="86" xfId="2" applyFont="1" applyBorder="1" applyAlignment="1">
      <alignment horizontal="center" vertical="center"/>
    </xf>
    <xf numFmtId="0" fontId="13" fillId="0" borderId="72" xfId="2" applyFont="1" applyBorder="1" applyAlignment="1"/>
    <xf numFmtId="0" fontId="13" fillId="0" borderId="13" xfId="2" applyFont="1" applyBorder="1" applyAlignment="1"/>
    <xf numFmtId="0" fontId="13" fillId="7" borderId="0" xfId="2" applyFont="1" applyFill="1">
      <alignment vertical="center"/>
    </xf>
    <xf numFmtId="0" fontId="13" fillId="12" borderId="0" xfId="2" applyFont="1" applyFill="1" applyAlignment="1">
      <alignment horizontal="center"/>
    </xf>
    <xf numFmtId="0" fontId="23" fillId="0" borderId="0" xfId="2" applyFont="1" applyAlignment="1">
      <alignment horizontal="center"/>
    </xf>
    <xf numFmtId="14" fontId="13" fillId="0" borderId="0" xfId="2" applyNumberFormat="1" applyFont="1" applyAlignment="1"/>
    <xf numFmtId="0" fontId="13" fillId="0" borderId="0" xfId="0" applyFont="1" applyAlignment="1">
      <alignment horizontal="center" vertical="center"/>
    </xf>
    <xf numFmtId="2" fontId="13" fillId="0" borderId="0" xfId="2" applyNumberFormat="1" applyFont="1" applyAlignment="1"/>
    <xf numFmtId="0" fontId="13" fillId="0" borderId="0" xfId="0" applyFont="1" applyAlignment="1">
      <alignment horizontal="right" vertical="center"/>
    </xf>
    <xf numFmtId="0" fontId="13" fillId="12" borderId="30" xfId="2" applyFont="1" applyFill="1" applyBorder="1" applyAlignment="1">
      <alignment horizontal="center" vertical="center" wrapText="1"/>
    </xf>
    <xf numFmtId="0" fontId="13" fillId="12" borderId="48" xfId="2" applyFont="1" applyFill="1" applyBorder="1" applyAlignment="1">
      <alignment horizontal="center" vertical="center" wrapText="1"/>
    </xf>
    <xf numFmtId="0" fontId="23" fillId="0" borderId="0" xfId="2" applyFont="1" applyAlignment="1">
      <alignment horizontal="right" vertical="center"/>
    </xf>
    <xf numFmtId="0" fontId="13" fillId="0" borderId="0" xfId="2" applyFont="1" applyAlignment="1">
      <alignment horizontal="center" vertical="center"/>
    </xf>
    <xf numFmtId="0" fontId="27" fillId="7" borderId="0" xfId="2" applyFont="1" applyFill="1" applyAlignment="1">
      <alignment horizontal="center" vertical="center"/>
    </xf>
    <xf numFmtId="0" fontId="13" fillId="0" borderId="39" xfId="2" applyFont="1" applyBorder="1" applyAlignment="1">
      <alignment horizontal="center" vertical="center" wrapText="1"/>
    </xf>
    <xf numFmtId="0" fontId="13" fillId="0" borderId="56" xfId="2" applyFont="1" applyBorder="1" applyAlignment="1">
      <alignment horizontal="center" vertical="center" wrapText="1"/>
    </xf>
    <xf numFmtId="0" fontId="13" fillId="0" borderId="56" xfId="2" applyFont="1" applyBorder="1" applyAlignment="1">
      <alignment horizontal="center" vertical="center"/>
    </xf>
    <xf numFmtId="0" fontId="13" fillId="0" borderId="42" xfId="2" applyFont="1" applyBorder="1" applyAlignment="1">
      <alignment horizontal="center" vertical="center" wrapText="1"/>
    </xf>
    <xf numFmtId="0" fontId="13" fillId="0" borderId="51" xfId="2" applyFont="1" applyBorder="1" applyAlignment="1">
      <alignment horizontal="center" vertical="center" wrapText="1"/>
    </xf>
    <xf numFmtId="0" fontId="13" fillId="0" borderId="51" xfId="2" applyFont="1" applyBorder="1" applyAlignment="1">
      <alignment horizontal="center" vertical="center"/>
    </xf>
    <xf numFmtId="0" fontId="13" fillId="0" borderId="0" xfId="2" applyFont="1" applyAlignment="1">
      <alignment horizontal="right"/>
    </xf>
    <xf numFmtId="0" fontId="13" fillId="8" borderId="0" xfId="2" applyFont="1" applyFill="1" applyAlignment="1">
      <alignment horizontal="left"/>
    </xf>
    <xf numFmtId="0" fontId="13" fillId="0" borderId="72" xfId="2" applyFont="1" applyBorder="1" applyAlignment="1">
      <alignment horizontal="center" vertical="center" wrapText="1"/>
    </xf>
    <xf numFmtId="0" fontId="13" fillId="3" borderId="13" xfId="2" applyFont="1" applyFill="1" applyBorder="1" applyAlignment="1">
      <alignment horizontal="center" vertical="center" wrapText="1"/>
    </xf>
    <xf numFmtId="0" fontId="13" fillId="0" borderId="13" xfId="2" applyFont="1" applyBorder="1" applyAlignment="1">
      <alignment horizontal="center" vertical="center"/>
    </xf>
    <xf numFmtId="0" fontId="23" fillId="7" borderId="0" xfId="2" applyFont="1" applyFill="1" applyAlignment="1">
      <alignment horizontal="center" vertical="center"/>
    </xf>
    <xf numFmtId="0" fontId="13" fillId="0" borderId="30" xfId="0" applyFont="1" applyBorder="1" applyAlignment="1">
      <alignment horizontal="center" vertical="center"/>
    </xf>
    <xf numFmtId="0" fontId="13" fillId="0" borderId="73" xfId="0" applyFont="1" applyBorder="1" applyAlignment="1">
      <alignment horizontal="left" vertical="center"/>
    </xf>
    <xf numFmtId="0" fontId="13" fillId="0" borderId="74" xfId="0" applyFont="1" applyBorder="1" applyAlignment="1">
      <alignment horizontal="center" vertical="center"/>
    </xf>
    <xf numFmtId="0" fontId="13" fillId="8" borderId="32" xfId="2" applyFont="1" applyFill="1" applyBorder="1" applyAlignment="1">
      <alignment horizontal="center" vertical="center"/>
    </xf>
    <xf numFmtId="0" fontId="13" fillId="0" borderId="72" xfId="0" applyFont="1" applyBorder="1" applyAlignment="1">
      <alignment horizontal="left" vertical="center"/>
    </xf>
    <xf numFmtId="0" fontId="24" fillId="0" borderId="13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3" fillId="12" borderId="48" xfId="2" applyFont="1" applyFill="1" applyBorder="1" applyAlignment="1">
      <alignment horizontal="center"/>
    </xf>
    <xf numFmtId="0" fontId="13" fillId="12" borderId="0" xfId="2" applyFont="1" applyFill="1" applyAlignment="1"/>
    <xf numFmtId="0" fontId="13" fillId="8" borderId="0" xfId="2" applyFont="1" applyFill="1" applyAlignment="1">
      <alignment horizontal="center" vertical="center"/>
    </xf>
    <xf numFmtId="0" fontId="13" fillId="0" borderId="79" xfId="2" applyFont="1" applyBorder="1" applyAlignment="1">
      <alignment horizontal="left"/>
    </xf>
    <xf numFmtId="0" fontId="13" fillId="0" borderId="23" xfId="2" applyFont="1" applyBorder="1" applyAlignment="1">
      <alignment horizontal="left"/>
    </xf>
    <xf numFmtId="0" fontId="13" fillId="0" borderId="61" xfId="2" applyFont="1" applyBorder="1" applyAlignment="1">
      <alignment horizontal="left"/>
    </xf>
    <xf numFmtId="0" fontId="13" fillId="0" borderId="0" xfId="2" applyFont="1" applyAlignment="1">
      <alignment vertical="top" wrapText="1"/>
    </xf>
    <xf numFmtId="0" fontId="13" fillId="0" borderId="0" xfId="2" applyFont="1" applyAlignment="1">
      <alignment horizontal="left"/>
    </xf>
    <xf numFmtId="0" fontId="13" fillId="0" borderId="46" xfId="2" applyFont="1" applyBorder="1" applyAlignment="1">
      <alignment horizontal="left"/>
    </xf>
    <xf numFmtId="0" fontId="31" fillId="0" borderId="0" xfId="2" applyFont="1" applyAlignment="1">
      <alignment horizontal="center" vertical="center"/>
    </xf>
    <xf numFmtId="0" fontId="13" fillId="0" borderId="63" xfId="2" applyFont="1" applyBorder="1" applyAlignment="1">
      <alignment horizontal="left"/>
    </xf>
    <xf numFmtId="0" fontId="13" fillId="10" borderId="25" xfId="2" applyFont="1" applyFill="1" applyBorder="1" applyAlignment="1">
      <alignment horizontal="left"/>
    </xf>
    <xf numFmtId="0" fontId="13" fillId="10" borderId="81" xfId="2" applyFont="1" applyFill="1" applyBorder="1" applyAlignment="1">
      <alignment horizontal="left"/>
    </xf>
    <xf numFmtId="0" fontId="13" fillId="8" borderId="39" xfId="2" applyFont="1" applyFill="1" applyBorder="1" applyAlignment="1">
      <alignment horizontal="center"/>
    </xf>
    <xf numFmtId="0" fontId="13" fillId="8" borderId="40" xfId="2" applyFont="1" applyFill="1" applyBorder="1" applyAlignment="1">
      <alignment horizontal="center"/>
    </xf>
    <xf numFmtId="0" fontId="13" fillId="8" borderId="56" xfId="2" applyFont="1" applyFill="1" applyBorder="1" applyAlignment="1">
      <alignment horizontal="center"/>
    </xf>
    <xf numFmtId="174" fontId="13" fillId="0" borderId="0" xfId="2" applyNumberFormat="1" applyFont="1">
      <alignment vertical="center"/>
    </xf>
    <xf numFmtId="0" fontId="32" fillId="0" borderId="0" xfId="7" applyFont="1" applyAlignment="1">
      <alignment horizontal="center" vertical="center"/>
    </xf>
    <xf numFmtId="0" fontId="13" fillId="8" borderId="42" xfId="2" applyFont="1" applyFill="1" applyBorder="1" applyAlignment="1">
      <alignment horizontal="center"/>
    </xf>
    <xf numFmtId="0" fontId="13" fillId="8" borderId="9" xfId="2" applyFont="1" applyFill="1" applyBorder="1" applyAlignment="1">
      <alignment horizontal="center"/>
    </xf>
    <xf numFmtId="0" fontId="13" fillId="8" borderId="51" xfId="2" applyFont="1" applyFill="1" applyBorder="1" applyAlignment="1">
      <alignment horizontal="center"/>
    </xf>
    <xf numFmtId="0" fontId="27" fillId="0" borderId="0" xfId="2" applyFont="1" applyAlignment="1">
      <alignment horizontal="center" vertical="center"/>
    </xf>
    <xf numFmtId="0" fontId="13" fillId="8" borderId="44" xfId="2" applyFont="1" applyFill="1" applyBorder="1" applyAlignment="1">
      <alignment horizontal="center"/>
    </xf>
    <xf numFmtId="0" fontId="13" fillId="8" borderId="12" xfId="2" applyFont="1" applyFill="1" applyBorder="1" applyAlignment="1">
      <alignment horizontal="center"/>
    </xf>
    <xf numFmtId="0" fontId="13" fillId="8" borderId="55" xfId="2" applyFont="1" applyFill="1" applyBorder="1" applyAlignment="1">
      <alignment horizontal="center"/>
    </xf>
    <xf numFmtId="0" fontId="18" fillId="0" borderId="0" xfId="0" applyFont="1">
      <alignment vertical="center"/>
    </xf>
    <xf numFmtId="0" fontId="13" fillId="0" borderId="48" xfId="0" applyFont="1" applyBorder="1" applyAlignment="1">
      <alignment horizontal="center" vertical="center"/>
    </xf>
    <xf numFmtId="0" fontId="23" fillId="0" borderId="0" xfId="2" applyFont="1" applyAlignment="1">
      <alignment horizontal="center" vertical="center"/>
    </xf>
    <xf numFmtId="0" fontId="13" fillId="0" borderId="75" xfId="0" applyFont="1" applyBorder="1" applyAlignment="1">
      <alignment horizontal="center" vertical="center"/>
    </xf>
    <xf numFmtId="0" fontId="13" fillId="0" borderId="6" xfId="2" applyFont="1" applyBorder="1" applyAlignment="1">
      <alignment horizontal="center" vertical="center"/>
    </xf>
    <xf numFmtId="0" fontId="13" fillId="0" borderId="72" xfId="0" applyFont="1" applyBorder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0" fontId="34" fillId="0" borderId="0" xfId="0" applyFont="1" applyAlignment="1">
      <alignment horizontal="left" vertical="center"/>
    </xf>
    <xf numFmtId="0" fontId="35" fillId="0" borderId="0" xfId="2" applyFont="1" applyAlignment="1"/>
    <xf numFmtId="0" fontId="27" fillId="0" borderId="0" xfId="2" applyFont="1" applyAlignment="1"/>
    <xf numFmtId="0" fontId="36" fillId="0" borderId="0" xfId="2" applyFont="1" applyAlignment="1">
      <alignment horizontal="left"/>
    </xf>
    <xf numFmtId="174" fontId="13" fillId="10" borderId="87" xfId="2" applyNumberFormat="1" applyFont="1" applyFill="1" applyBorder="1" applyAlignment="1">
      <alignment horizontal="center" vertical="center"/>
    </xf>
    <xf numFmtId="0" fontId="13" fillId="0" borderId="0" xfId="2" applyFont="1" applyAlignment="1">
      <alignment horizontal="left" vertical="center"/>
    </xf>
    <xf numFmtId="174" fontId="13" fillId="10" borderId="65" xfId="2" applyNumberFormat="1" applyFont="1" applyFill="1" applyBorder="1" applyAlignment="1">
      <alignment horizontal="center" vertical="center"/>
    </xf>
    <xf numFmtId="174" fontId="13" fillId="10" borderId="32" xfId="2" applyNumberFormat="1" applyFont="1" applyFill="1" applyBorder="1" applyAlignment="1">
      <alignment horizontal="center" vertical="center"/>
    </xf>
    <xf numFmtId="0" fontId="13" fillId="0" borderId="25" xfId="0" applyFont="1" applyBorder="1">
      <alignment vertical="center"/>
    </xf>
    <xf numFmtId="0" fontId="13" fillId="0" borderId="28" xfId="2" applyFont="1" applyBorder="1">
      <alignment vertical="center"/>
    </xf>
    <xf numFmtId="0" fontId="13" fillId="0" borderId="0" xfId="0" applyFont="1" applyAlignment="1">
      <alignment horizontal="center"/>
    </xf>
    <xf numFmtId="0" fontId="37" fillId="0" borderId="0" xfId="0" applyFont="1" applyAlignment="1">
      <alignment horizontal="right"/>
    </xf>
    <xf numFmtId="0" fontId="37" fillId="0" borderId="23" xfId="0" applyFont="1" applyBorder="1" applyAlignment="1"/>
    <xf numFmtId="0" fontId="37" fillId="0" borderId="23" xfId="0" applyFont="1" applyBorder="1" applyAlignment="1">
      <alignment horizontal="center"/>
    </xf>
    <xf numFmtId="175" fontId="39" fillId="0" borderId="30" xfId="1" applyNumberFormat="1" applyFont="1" applyBorder="1" applyAlignment="1"/>
    <xf numFmtId="9" fontId="24" fillId="0" borderId="48" xfId="4" applyFont="1" applyBorder="1" applyAlignment="1">
      <alignment horizontal="center"/>
    </xf>
    <xf numFmtId="0" fontId="13" fillId="0" borderId="27" xfId="2" applyFont="1" applyBorder="1">
      <alignment vertical="center"/>
    </xf>
    <xf numFmtId="0" fontId="13" fillId="0" borderId="24" xfId="2" applyFont="1" applyBorder="1" applyAlignment="1">
      <alignment horizontal="center"/>
    </xf>
    <xf numFmtId="0" fontId="13" fillId="0" borderId="9" xfId="0" applyFont="1" applyBorder="1">
      <alignment vertical="center"/>
    </xf>
    <xf numFmtId="0" fontId="13" fillId="0" borderId="9" xfId="2" applyFont="1" applyBorder="1" applyAlignment="1">
      <alignment horizontal="right" vertical="center"/>
    </xf>
    <xf numFmtId="0" fontId="34" fillId="7" borderId="9" xfId="2" applyFont="1" applyFill="1" applyBorder="1">
      <alignment vertical="center"/>
    </xf>
    <xf numFmtId="0" fontId="13" fillId="7" borderId="25" xfId="2" applyFont="1" applyFill="1" applyBorder="1">
      <alignment vertical="center"/>
    </xf>
    <xf numFmtId="0" fontId="13" fillId="0" borderId="25" xfId="2" applyFont="1" applyBorder="1" applyAlignment="1"/>
    <xf numFmtId="0" fontId="13" fillId="0" borderId="28" xfId="2" applyFont="1" applyBorder="1" applyAlignment="1"/>
    <xf numFmtId="0" fontId="13" fillId="8" borderId="0" xfId="2" applyFont="1" applyFill="1" applyAlignment="1"/>
    <xf numFmtId="14" fontId="13" fillId="0" borderId="0" xfId="2" applyNumberFormat="1" applyFont="1" applyAlignment="1">
      <alignment horizontal="center" vertical="center"/>
    </xf>
    <xf numFmtId="0" fontId="32" fillId="0" borderId="45" xfId="7" applyFont="1" applyBorder="1" applyAlignment="1">
      <alignment horizontal="center" vertical="center"/>
    </xf>
    <xf numFmtId="0" fontId="32" fillId="0" borderId="9" xfId="7" applyFont="1" applyBorder="1" applyAlignment="1">
      <alignment horizontal="center" vertical="center"/>
    </xf>
    <xf numFmtId="0" fontId="32" fillId="0" borderId="9" xfId="7" applyFont="1" applyBorder="1" applyAlignment="1">
      <alignment horizontal="left" vertical="center"/>
    </xf>
    <xf numFmtId="0" fontId="40" fillId="0" borderId="9" xfId="2" applyFont="1" applyBorder="1" applyAlignment="1">
      <alignment horizontal="center" vertical="center"/>
    </xf>
    <xf numFmtId="0" fontId="13" fillId="8" borderId="9" xfId="2" applyFont="1" applyFill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13" fillId="0" borderId="43" xfId="0" applyFont="1" applyBorder="1">
      <alignment vertical="center"/>
    </xf>
    <xf numFmtId="0" fontId="13" fillId="0" borderId="50" xfId="0" applyFont="1" applyBorder="1" applyAlignment="1">
      <alignment horizontal="center" vertical="center"/>
    </xf>
    <xf numFmtId="0" fontId="13" fillId="0" borderId="50" xfId="0" applyFont="1" applyBorder="1">
      <alignment vertical="center"/>
    </xf>
    <xf numFmtId="0" fontId="13" fillId="0" borderId="8" xfId="0" applyFont="1" applyBorder="1">
      <alignment vertical="center"/>
    </xf>
    <xf numFmtId="0" fontId="13" fillId="0" borderId="17" xfId="0" applyFont="1" applyBorder="1">
      <alignment vertical="center"/>
    </xf>
    <xf numFmtId="0" fontId="13" fillId="0" borderId="9" xfId="0" applyFont="1" applyBorder="1" applyAlignment="1">
      <alignment vertical="center" wrapText="1"/>
    </xf>
    <xf numFmtId="0" fontId="13" fillId="0" borderId="19" xfId="0" applyFont="1" applyBorder="1">
      <alignment vertical="center"/>
    </xf>
    <xf numFmtId="0" fontId="40" fillId="0" borderId="9" xfId="0" applyFont="1" applyBorder="1">
      <alignment vertical="center"/>
    </xf>
    <xf numFmtId="0" fontId="42" fillId="0" borderId="0" xfId="7" applyFont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4" fillId="0" borderId="0" xfId="7" applyFont="1" applyBorder="1" applyAlignment="1">
      <alignment horizontal="center" vertical="center"/>
    </xf>
    <xf numFmtId="0" fontId="45" fillId="0" borderId="0" xfId="7" applyFont="1" applyAlignment="1">
      <alignment horizontal="center" vertical="center"/>
    </xf>
    <xf numFmtId="0" fontId="13" fillId="0" borderId="9" xfId="0" applyFont="1" applyBorder="1" applyAlignment="1">
      <alignment horizontal="left" vertical="center"/>
    </xf>
    <xf numFmtId="0" fontId="13" fillId="0" borderId="9" xfId="2" applyFont="1" applyBorder="1" applyAlignment="1">
      <alignment horizontal="left"/>
    </xf>
    <xf numFmtId="0" fontId="13" fillId="0" borderId="9" xfId="2" applyFont="1" applyBorder="1" applyAlignment="1">
      <alignment horizontal="left" vertical="center"/>
    </xf>
    <xf numFmtId="0" fontId="13" fillId="0" borderId="45" xfId="0" applyFont="1" applyBorder="1" applyAlignment="1">
      <alignment horizontal="left" vertical="center"/>
    </xf>
    <xf numFmtId="0" fontId="13" fillId="0" borderId="45" xfId="0" applyFont="1" applyBorder="1">
      <alignment vertical="center"/>
    </xf>
    <xf numFmtId="0" fontId="46" fillId="10" borderId="45" xfId="0" applyFont="1" applyFill="1" applyBorder="1" applyAlignment="1">
      <alignment horizontal="center"/>
    </xf>
    <xf numFmtId="0" fontId="46" fillId="10" borderId="45" xfId="0" applyFont="1" applyFill="1" applyBorder="1" applyAlignment="1">
      <alignment horizontal="center" vertical="center"/>
    </xf>
    <xf numFmtId="0" fontId="42" fillId="0" borderId="0" xfId="7" applyFont="1" applyBorder="1" applyAlignment="1"/>
    <xf numFmtId="0" fontId="13" fillId="0" borderId="40" xfId="0" applyFont="1" applyBorder="1" applyAlignment="1">
      <alignment horizontal="center" vertical="center"/>
    </xf>
    <xf numFmtId="0" fontId="13" fillId="0" borderId="70" xfId="2" applyFont="1" applyBorder="1" applyAlignment="1">
      <alignment horizontal="center" vertical="center"/>
    </xf>
    <xf numFmtId="0" fontId="13" fillId="21" borderId="9" xfId="0" applyFont="1" applyFill="1" applyBorder="1" applyAlignment="1">
      <alignment horizontal="left" vertical="center"/>
    </xf>
    <xf numFmtId="0" fontId="13" fillId="0" borderId="41" xfId="2" applyFont="1" applyBorder="1" applyAlignment="1">
      <alignment horizontal="center" vertical="center"/>
    </xf>
    <xf numFmtId="0" fontId="13" fillId="0" borderId="43" xfId="2" applyFont="1" applyBorder="1" applyAlignment="1">
      <alignment horizontal="center" vertical="center"/>
    </xf>
    <xf numFmtId="0" fontId="13" fillId="8" borderId="68" xfId="2" applyFont="1" applyFill="1" applyBorder="1" applyAlignment="1">
      <alignment horizontal="center" vertical="center"/>
    </xf>
    <xf numFmtId="0" fontId="13" fillId="0" borderId="43" xfId="0" applyFont="1" applyBorder="1" applyAlignment="1">
      <alignment horizontal="center" vertical="center"/>
    </xf>
    <xf numFmtId="0" fontId="36" fillId="0" borderId="9" xfId="0" applyFont="1" applyBorder="1">
      <alignment vertical="center"/>
    </xf>
    <xf numFmtId="0" fontId="36" fillId="0" borderId="9" xfId="0" applyFont="1" applyBorder="1" applyAlignment="1">
      <alignment horizontal="center" vertical="center"/>
    </xf>
    <xf numFmtId="0" fontId="36" fillId="21" borderId="9" xfId="0" applyFont="1" applyFill="1" applyBorder="1" applyAlignment="1">
      <alignment horizontal="left" vertical="center"/>
    </xf>
    <xf numFmtId="0" fontId="24" fillId="0" borderId="43" xfId="0" applyFont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45" fillId="0" borderId="0" xfId="7" applyFont="1">
      <alignment vertical="center"/>
    </xf>
    <xf numFmtId="0" fontId="25" fillId="0" borderId="0" xfId="0" applyFont="1" applyAlignment="1"/>
    <xf numFmtId="0" fontId="23" fillId="0" borderId="0" xfId="2" applyFont="1" applyAlignment="1"/>
    <xf numFmtId="0" fontId="23" fillId="0" borderId="26" xfId="2" applyFont="1" applyBorder="1" applyAlignment="1"/>
    <xf numFmtId="0" fontId="23" fillId="0" borderId="15" xfId="2" applyFont="1" applyBorder="1" applyAlignment="1"/>
    <xf numFmtId="0" fontId="23" fillId="0" borderId="91" xfId="2" applyFont="1" applyBorder="1" applyAlignment="1">
      <alignment horizontal="center" vertical="center"/>
    </xf>
    <xf numFmtId="0" fontId="23" fillId="0" borderId="0" xfId="2" applyFont="1">
      <alignment vertical="center"/>
    </xf>
    <xf numFmtId="0" fontId="23" fillId="0" borderId="0" xfId="0" applyFont="1" applyAlignment="1">
      <alignment horizontal="center" vertical="center"/>
    </xf>
    <xf numFmtId="0" fontId="23" fillId="12" borderId="48" xfId="2" applyFont="1" applyFill="1" applyBorder="1" applyAlignment="1">
      <alignment horizontal="center" vertical="center" wrapText="1"/>
    </xf>
    <xf numFmtId="0" fontId="23" fillId="0" borderId="0" xfId="2" applyFont="1" applyAlignment="1">
      <alignment horizontal="right"/>
    </xf>
    <xf numFmtId="0" fontId="23" fillId="0" borderId="0" xfId="0" applyFont="1" applyAlignment="1">
      <alignment horizontal="left" vertical="center"/>
    </xf>
    <xf numFmtId="0" fontId="23" fillId="12" borderId="48" xfId="2" applyFont="1" applyFill="1" applyBorder="1" applyAlignment="1">
      <alignment horizontal="center"/>
    </xf>
    <xf numFmtId="0" fontId="23" fillId="8" borderId="0" xfId="2" applyFont="1" applyFill="1" applyAlignment="1">
      <alignment horizontal="center" vertical="center"/>
    </xf>
    <xf numFmtId="0" fontId="23" fillId="0" borderId="0" xfId="2" applyFont="1" applyAlignment="1">
      <alignment horizontal="left"/>
    </xf>
    <xf numFmtId="0" fontId="23" fillId="0" borderId="48" xfId="0" applyFont="1" applyBorder="1" applyAlignment="1">
      <alignment horizontal="center" vertical="center"/>
    </xf>
    <xf numFmtId="0" fontId="23" fillId="0" borderId="0" xfId="2" applyFont="1" applyAlignment="1">
      <alignment horizontal="left" vertical="center"/>
    </xf>
    <xf numFmtId="0" fontId="23" fillId="8" borderId="0" xfId="2" applyFont="1" applyFill="1" applyAlignment="1"/>
    <xf numFmtId="0" fontId="23" fillId="0" borderId="9" xfId="0" applyFont="1" applyBorder="1" applyAlignment="1">
      <alignment horizontal="center" vertical="center"/>
    </xf>
    <xf numFmtId="0" fontId="24" fillId="0" borderId="2" xfId="0" applyFont="1" applyBorder="1" applyAlignment="1"/>
    <xf numFmtId="0" fontId="13" fillId="0" borderId="29" xfId="2" applyFont="1" applyBorder="1" applyAlignment="1"/>
    <xf numFmtId="0" fontId="13" fillId="12" borderId="30" xfId="2" applyFont="1" applyFill="1" applyBorder="1" applyAlignment="1">
      <alignment horizontal="left" vertical="center" wrapText="1"/>
    </xf>
    <xf numFmtId="0" fontId="13" fillId="12" borderId="48" xfId="2" applyFont="1" applyFill="1" applyBorder="1" applyAlignment="1">
      <alignment vertical="center" wrapText="1"/>
    </xf>
    <xf numFmtId="0" fontId="13" fillId="2" borderId="0" xfId="2" quotePrefix="1" applyFont="1" applyFill="1" applyAlignment="1">
      <alignment horizontal="center" vertical="center"/>
    </xf>
    <xf numFmtId="0" fontId="55" fillId="0" borderId="0" xfId="0" applyFont="1">
      <alignment vertical="center"/>
    </xf>
    <xf numFmtId="0" fontId="56" fillId="10" borderId="0" xfId="2" applyFont="1" applyFill="1" applyAlignment="1">
      <alignment horizontal="center" vertical="center"/>
    </xf>
    <xf numFmtId="0" fontId="13" fillId="7" borderId="0" xfId="2" applyFont="1" applyFill="1" applyAlignment="1">
      <alignment horizontal="center" vertical="center"/>
    </xf>
    <xf numFmtId="0" fontId="24" fillId="17" borderId="0" xfId="2" applyFont="1" applyFill="1" applyAlignment="1">
      <alignment horizontal="center" vertical="center"/>
    </xf>
    <xf numFmtId="0" fontId="58" fillId="0" borderId="0" xfId="2" applyFont="1" applyAlignment="1">
      <alignment horizontal="center" vertical="center"/>
    </xf>
    <xf numFmtId="0" fontId="55" fillId="0" borderId="0" xfId="2" applyFont="1">
      <alignment vertical="center"/>
    </xf>
    <xf numFmtId="0" fontId="54" fillId="0" borderId="0" xfId="2" applyFont="1" applyAlignment="1">
      <alignment horizontal="center" vertical="center"/>
    </xf>
    <xf numFmtId="0" fontId="19" fillId="0" borderId="0" xfId="2" applyFont="1" applyAlignment="1">
      <alignment horizontal="left"/>
    </xf>
    <xf numFmtId="0" fontId="54" fillId="0" borderId="0" xfId="2" applyFont="1" applyAlignment="1"/>
    <xf numFmtId="0" fontId="13" fillId="0" borderId="24" xfId="2" applyFont="1" applyBorder="1" applyAlignment="1">
      <alignment horizontal="center" vertical="center"/>
    </xf>
    <xf numFmtId="175" fontId="13" fillId="0" borderId="2" xfId="1" applyNumberFormat="1" applyFont="1" applyBorder="1">
      <alignment vertical="center"/>
    </xf>
    <xf numFmtId="0" fontId="59" fillId="0" borderId="0" xfId="2" applyFont="1" applyAlignment="1">
      <alignment horizontal="left"/>
    </xf>
    <xf numFmtId="0" fontId="37" fillId="0" borderId="1" xfId="2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4" fillId="0" borderId="0" xfId="0" applyFont="1" applyAlignment="1">
      <alignment horizontal="right"/>
    </xf>
    <xf numFmtId="0" fontId="24" fillId="0" borderId="0" xfId="0" applyFont="1" applyAlignment="1">
      <alignment horizontal="left"/>
    </xf>
    <xf numFmtId="0" fontId="60" fillId="0" borderId="0" xfId="0" applyFont="1" applyAlignment="1">
      <alignment horizontal="center"/>
    </xf>
    <xf numFmtId="174" fontId="31" fillId="0" borderId="9" xfId="2" applyNumberFormat="1" applyFont="1" applyBorder="1" applyAlignment="1">
      <alignment horizontal="center"/>
    </xf>
    <xf numFmtId="0" fontId="61" fillId="0" borderId="0" xfId="0" applyFont="1" applyAlignment="1">
      <alignment wrapText="1"/>
    </xf>
    <xf numFmtId="0" fontId="24" fillId="0" borderId="25" xfId="0" applyFont="1" applyBorder="1" applyAlignment="1"/>
    <xf numFmtId="0" fontId="24" fillId="0" borderId="15" xfId="0" applyFont="1" applyBorder="1" applyAlignment="1"/>
    <xf numFmtId="0" fontId="24" fillId="0" borderId="15" xfId="0" applyFont="1" applyBorder="1">
      <alignment vertical="center"/>
    </xf>
    <xf numFmtId="0" fontId="24" fillId="0" borderId="18" xfId="0" applyFont="1" applyBorder="1" applyAlignment="1"/>
    <xf numFmtId="0" fontId="24" fillId="0" borderId="19" xfId="0" applyFont="1" applyBorder="1" applyAlignment="1"/>
    <xf numFmtId="0" fontId="24" fillId="0" borderId="20" xfId="0" applyFont="1" applyBorder="1" applyAlignment="1"/>
    <xf numFmtId="0" fontId="24" fillId="0" borderId="9" xfId="0" applyFont="1" applyBorder="1" applyAlignment="1"/>
    <xf numFmtId="9" fontId="37" fillId="0" borderId="0" xfId="4" applyFont="1" applyBorder="1" applyAlignment="1">
      <alignment horizontal="center"/>
    </xf>
    <xf numFmtId="0" fontId="24" fillId="0" borderId="45" xfId="0" applyFont="1" applyBorder="1" applyAlignment="1"/>
    <xf numFmtId="174" fontId="24" fillId="0" borderId="9" xfId="0" applyNumberFormat="1" applyFont="1" applyBorder="1" applyAlignment="1"/>
    <xf numFmtId="0" fontId="60" fillId="0" borderId="9" xfId="0" applyFont="1" applyBorder="1" applyAlignment="1">
      <alignment horizontal="center" vertical="center"/>
    </xf>
    <xf numFmtId="2" fontId="24" fillId="0" borderId="9" xfId="0" applyNumberFormat="1" applyFont="1" applyBorder="1" applyAlignment="1"/>
    <xf numFmtId="174" fontId="24" fillId="0" borderId="45" xfId="0" applyNumberFormat="1" applyFont="1" applyBorder="1" applyAlignment="1"/>
    <xf numFmtId="0" fontId="24" fillId="0" borderId="9" xfId="0" applyFont="1" applyBorder="1" applyAlignment="1">
      <alignment horizontal="center"/>
    </xf>
    <xf numFmtId="0" fontId="24" fillId="10" borderId="9" xfId="0" applyFont="1" applyFill="1" applyBorder="1" applyAlignment="1"/>
    <xf numFmtId="0" fontId="25" fillId="12" borderId="9" xfId="0" applyFont="1" applyFill="1" applyBorder="1" applyAlignment="1"/>
    <xf numFmtId="0" fontId="25" fillId="12" borderId="9" xfId="2" applyFont="1" applyFill="1" applyBorder="1" applyAlignment="1"/>
    <xf numFmtId="0" fontId="24" fillId="0" borderId="9" xfId="0" applyFont="1" applyBorder="1" applyAlignment="1">
      <alignment vertical="center" wrapText="1"/>
    </xf>
    <xf numFmtId="0" fontId="62" fillId="0" borderId="9" xfId="0" applyFont="1" applyBorder="1" applyAlignment="1">
      <alignment horizontal="center"/>
    </xf>
    <xf numFmtId="0" fontId="24" fillId="0" borderId="9" xfId="0" applyFont="1" applyBorder="1" applyAlignment="1">
      <alignment horizontal="left" vertical="center"/>
    </xf>
    <xf numFmtId="0" fontId="62" fillId="0" borderId="9" xfId="0" applyFont="1" applyBorder="1" applyAlignment="1">
      <alignment horizontal="center" vertical="center"/>
    </xf>
    <xf numFmtId="0" fontId="24" fillId="0" borderId="9" xfId="0" applyFont="1" applyBorder="1" applyAlignment="1">
      <alignment horizontal="center" wrapText="1"/>
    </xf>
    <xf numFmtId="0" fontId="63" fillId="0" borderId="0" xfId="0" applyFont="1" applyAlignment="1">
      <alignment horizontal="center" vertical="center"/>
    </xf>
    <xf numFmtId="0" fontId="23" fillId="0" borderId="9" xfId="2" applyFont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24" fillId="0" borderId="14" xfId="0" applyFont="1" applyBorder="1" applyAlignment="1"/>
    <xf numFmtId="0" fontId="24" fillId="0" borderId="22" xfId="0" applyFont="1" applyBorder="1" applyAlignment="1"/>
    <xf numFmtId="0" fontId="24" fillId="0" borderId="42" xfId="0" applyFont="1" applyBorder="1" applyAlignment="1">
      <alignment horizontal="center"/>
    </xf>
    <xf numFmtId="0" fontId="24" fillId="0" borderId="61" xfId="0" applyFont="1" applyBorder="1" applyAlignment="1"/>
    <xf numFmtId="0" fontId="24" fillId="3" borderId="56" xfId="0" applyFont="1" applyFill="1" applyBorder="1" applyAlignment="1">
      <alignment horizontal="center"/>
    </xf>
    <xf numFmtId="0" fontId="24" fillId="3" borderId="42" xfId="0" applyFont="1" applyFill="1" applyBorder="1" applyAlignment="1">
      <alignment horizontal="center"/>
    </xf>
    <xf numFmtId="0" fontId="24" fillId="0" borderId="51" xfId="0" applyFont="1" applyBorder="1" applyAlignment="1">
      <alignment horizontal="center"/>
    </xf>
    <xf numFmtId="0" fontId="58" fillId="0" borderId="9" xfId="0" applyFont="1" applyBorder="1" applyAlignment="1">
      <alignment horizontal="center"/>
    </xf>
    <xf numFmtId="0" fontId="30" fillId="0" borderId="0" xfId="0" applyFont="1" applyAlignment="1"/>
    <xf numFmtId="0" fontId="24" fillId="0" borderId="72" xfId="0" applyFont="1" applyBorder="1" applyAlignment="1">
      <alignment horizontal="center"/>
    </xf>
    <xf numFmtId="0" fontId="24" fillId="0" borderId="13" xfId="0" applyFont="1" applyBorder="1" applyAlignment="1">
      <alignment horizontal="center"/>
    </xf>
    <xf numFmtId="0" fontId="24" fillId="0" borderId="39" xfId="0" applyFont="1" applyBorder="1" applyAlignment="1">
      <alignment horizontal="center"/>
    </xf>
    <xf numFmtId="0" fontId="24" fillId="3" borderId="9" xfId="0" applyFont="1" applyFill="1" applyBorder="1" applyAlignment="1"/>
    <xf numFmtId="0" fontId="24" fillId="0" borderId="63" xfId="0" applyFont="1" applyBorder="1" applyAlignment="1">
      <alignment horizontal="center"/>
    </xf>
    <xf numFmtId="0" fontId="28" fillId="8" borderId="32" xfId="2" applyFont="1" applyFill="1" applyBorder="1" applyAlignment="1">
      <alignment horizontal="center" vertical="center"/>
    </xf>
    <xf numFmtId="0" fontId="64" fillId="0" borderId="0" xfId="0" applyFont="1" applyAlignment="1"/>
    <xf numFmtId="0" fontId="54" fillId="0" borderId="1" xfId="0" applyFont="1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2" fontId="27" fillId="2" borderId="0" xfId="2" applyNumberFormat="1" applyFont="1" applyFill="1" applyAlignment="1">
      <alignment horizontal="center" vertical="center"/>
    </xf>
    <xf numFmtId="0" fontId="64" fillId="0" borderId="0" xfId="2" applyFont="1" applyAlignment="1">
      <alignment horizontal="center" vertical="center"/>
    </xf>
    <xf numFmtId="0" fontId="24" fillId="0" borderId="12" xfId="0" applyFont="1" applyBorder="1" applyAlignment="1"/>
    <xf numFmtId="0" fontId="54" fillId="0" borderId="34" xfId="0" applyFont="1" applyBorder="1" applyAlignment="1"/>
    <xf numFmtId="173" fontId="29" fillId="0" borderId="0" xfId="2" applyNumberFormat="1" applyFont="1" applyAlignment="1">
      <alignment horizontal="center"/>
    </xf>
    <xf numFmtId="0" fontId="23" fillId="8" borderId="43" xfId="2" applyFont="1" applyFill="1" applyBorder="1" applyAlignment="1">
      <alignment horizontal="center"/>
    </xf>
    <xf numFmtId="0" fontId="23" fillId="0" borderId="48" xfId="2" applyFont="1" applyBorder="1" applyAlignment="1">
      <alignment horizontal="center"/>
    </xf>
    <xf numFmtId="179" fontId="24" fillId="0" borderId="75" xfId="0" applyNumberFormat="1" applyFont="1" applyBorder="1" applyAlignment="1">
      <alignment horizontal="center"/>
    </xf>
    <xf numFmtId="0" fontId="23" fillId="0" borderId="89" xfId="2" applyFont="1" applyBorder="1" applyAlignment="1">
      <alignment horizontal="center" vertical="center"/>
    </xf>
    <xf numFmtId="0" fontId="23" fillId="0" borderId="90" xfId="2" applyFont="1" applyBorder="1" applyAlignment="1">
      <alignment horizontal="center" vertical="center"/>
    </xf>
    <xf numFmtId="0" fontId="6" fillId="17" borderId="9" xfId="12" applyFont="1" applyFill="1" applyBorder="1" applyAlignment="1">
      <alignment horizontal="center" vertical="center"/>
    </xf>
    <xf numFmtId="0" fontId="26" fillId="7" borderId="0" xfId="2" applyFont="1" applyFill="1" applyAlignment="1">
      <alignment horizontal="center" vertical="center"/>
    </xf>
    <xf numFmtId="0" fontId="6" fillId="0" borderId="0" xfId="12" applyFont="1" applyAlignment="1">
      <alignment horizontal="center" vertical="center"/>
    </xf>
    <xf numFmtId="0" fontId="6" fillId="21" borderId="9" xfId="12" applyFont="1" applyFill="1" applyBorder="1" applyAlignment="1">
      <alignment horizontal="center" vertical="center"/>
    </xf>
    <xf numFmtId="0" fontId="28" fillId="8" borderId="9" xfId="2" applyFont="1" applyFill="1" applyBorder="1" applyAlignment="1">
      <alignment horizontal="center" vertical="center"/>
    </xf>
    <xf numFmtId="0" fontId="6" fillId="0" borderId="9" xfId="12" applyFont="1" applyBorder="1" applyAlignment="1">
      <alignment horizontal="center" vertical="center"/>
    </xf>
    <xf numFmtId="0" fontId="6" fillId="0" borderId="0" xfId="12" applyFont="1"/>
    <xf numFmtId="0" fontId="6" fillId="17" borderId="8" xfId="12" applyFont="1" applyFill="1" applyBorder="1" applyAlignment="1">
      <alignment horizontal="center" vertical="center"/>
    </xf>
    <xf numFmtId="0" fontId="13" fillId="8" borderId="9" xfId="14" applyFont="1" applyFill="1" applyBorder="1" applyAlignment="1">
      <alignment horizontal="center" vertical="center" wrapText="1"/>
    </xf>
    <xf numFmtId="0" fontId="13" fillId="8" borderId="9" xfId="14" applyFont="1" applyFill="1" applyBorder="1" applyAlignment="1">
      <alignment horizontal="center" vertical="center"/>
    </xf>
    <xf numFmtId="0" fontId="13" fillId="17" borderId="9" xfId="14" applyFont="1" applyFill="1" applyBorder="1" applyAlignment="1">
      <alignment horizontal="center" vertical="center"/>
    </xf>
    <xf numFmtId="0" fontId="6" fillId="17" borderId="0" xfId="12" applyFont="1" applyFill="1" applyAlignment="1">
      <alignment horizontal="center" vertical="center"/>
    </xf>
    <xf numFmtId="0" fontId="54" fillId="3" borderId="0" xfId="2" applyFont="1" applyFill="1" applyAlignment="1">
      <alignment horizontal="center" vertical="center" wrapText="1"/>
    </xf>
    <xf numFmtId="0" fontId="65" fillId="3" borderId="0" xfId="2" applyFont="1" applyFill="1" applyAlignment="1">
      <alignment horizontal="center" vertical="center" wrapText="1"/>
    </xf>
    <xf numFmtId="9" fontId="13" fillId="12" borderId="0" xfId="2" applyNumberFormat="1" applyFont="1" applyFill="1" applyAlignment="1">
      <alignment horizontal="center" vertical="center"/>
    </xf>
    <xf numFmtId="0" fontId="65" fillId="10" borderId="0" xfId="2" applyFont="1" applyFill="1" applyAlignment="1">
      <alignment horizontal="center" vertical="center"/>
    </xf>
    <xf numFmtId="9" fontId="65" fillId="12" borderId="0" xfId="2" applyNumberFormat="1" applyFont="1" applyFill="1" applyAlignment="1">
      <alignment horizontal="center"/>
    </xf>
    <xf numFmtId="0" fontId="65" fillId="8" borderId="0" xfId="2" applyFont="1" applyFill="1" applyAlignment="1">
      <alignment wrapText="1"/>
    </xf>
    <xf numFmtId="0" fontId="60" fillId="3" borderId="0" xfId="2" applyFont="1" applyFill="1" applyAlignment="1">
      <alignment horizontal="center" vertical="center"/>
    </xf>
    <xf numFmtId="0" fontId="65" fillId="0" borderId="0" xfId="2" applyFont="1" applyAlignment="1">
      <alignment horizontal="center"/>
    </xf>
    <xf numFmtId="173" fontId="65" fillId="0" borderId="0" xfId="2" applyNumberFormat="1" applyFont="1" applyAlignment="1">
      <alignment horizontal="center"/>
    </xf>
    <xf numFmtId="0" fontId="13" fillId="0" borderId="26" xfId="2" applyFont="1" applyBorder="1" applyAlignment="1">
      <alignment horizontal="left"/>
    </xf>
    <xf numFmtId="14" fontId="13" fillId="0" borderId="0" xfId="2" applyNumberFormat="1" applyFont="1" applyAlignment="1">
      <alignment horizontal="center"/>
    </xf>
    <xf numFmtId="0" fontId="60" fillId="0" borderId="0" xfId="2" applyFont="1" applyAlignment="1">
      <alignment horizontal="center"/>
    </xf>
    <xf numFmtId="0" fontId="60" fillId="0" borderId="0" xfId="0" applyFont="1" applyAlignment="1">
      <alignment horizontal="center" vertical="center"/>
    </xf>
    <xf numFmtId="0" fontId="13" fillId="0" borderId="77" xfId="2" applyFont="1" applyBorder="1" applyAlignment="1"/>
    <xf numFmtId="0" fontId="13" fillId="0" borderId="15" xfId="2" applyFont="1" applyBorder="1" applyAlignment="1">
      <alignment horizontal="center"/>
    </xf>
    <xf numFmtId="2" fontId="13" fillId="0" borderId="0" xfId="2" applyNumberFormat="1" applyFont="1" applyAlignment="1">
      <alignment horizontal="center"/>
    </xf>
    <xf numFmtId="0" fontId="60" fillId="3" borderId="0" xfId="2" applyFont="1" applyFill="1" applyAlignment="1">
      <alignment horizontal="center"/>
    </xf>
    <xf numFmtId="0" fontId="13" fillId="0" borderId="27" xfId="2" applyFont="1" applyBorder="1" applyAlignment="1"/>
    <xf numFmtId="0" fontId="23" fillId="0" borderId="26" xfId="2" applyFont="1" applyBorder="1" applyAlignment="1">
      <alignment horizontal="center"/>
    </xf>
    <xf numFmtId="0" fontId="46" fillId="0" borderId="0" xfId="2" applyFont="1" applyAlignment="1"/>
    <xf numFmtId="0" fontId="13" fillId="0" borderId="27" xfId="2" applyFont="1" applyBorder="1" applyAlignment="1">
      <alignment horizontal="right"/>
    </xf>
    <xf numFmtId="0" fontId="46" fillId="0" borderId="0" xfId="2" applyFont="1" applyAlignment="1">
      <alignment horizontal="right"/>
    </xf>
    <xf numFmtId="0" fontId="46" fillId="0" borderId="0" xfId="2" applyFont="1" applyAlignment="1">
      <alignment horizontal="left"/>
    </xf>
    <xf numFmtId="0" fontId="55" fillId="0" borderId="0" xfId="2" applyFont="1" applyAlignment="1"/>
    <xf numFmtId="0" fontId="13" fillId="0" borderId="9" xfId="2" applyFont="1" applyBorder="1" applyAlignment="1">
      <alignment horizontal="center"/>
    </xf>
    <xf numFmtId="0" fontId="13" fillId="0" borderId="9" xfId="0" applyFont="1" applyBorder="1" applyAlignment="1">
      <alignment horizontal="right" vertical="center"/>
    </xf>
    <xf numFmtId="0" fontId="13" fillId="0" borderId="26" xfId="2" applyFont="1" applyBorder="1" applyAlignment="1">
      <alignment horizontal="center"/>
    </xf>
    <xf numFmtId="0" fontId="27" fillId="0" borderId="0" xfId="2" applyFont="1" applyAlignment="1">
      <alignment horizontal="right"/>
    </xf>
    <xf numFmtId="173" fontId="13" fillId="7" borderId="0" xfId="2" applyNumberFormat="1" applyFont="1" applyFill="1" applyAlignment="1">
      <alignment horizontal="center"/>
    </xf>
    <xf numFmtId="177" fontId="13" fillId="0" borderId="9" xfId="2" applyNumberFormat="1" applyFont="1" applyBorder="1" applyAlignment="1">
      <alignment horizontal="center" vertical="center"/>
    </xf>
    <xf numFmtId="170" fontId="13" fillId="0" borderId="9" xfId="0" applyNumberFormat="1" applyFont="1" applyBorder="1" applyAlignment="1">
      <alignment horizontal="center" vertical="center"/>
    </xf>
    <xf numFmtId="1" fontId="13" fillId="0" borderId="27" xfId="2" applyNumberFormat="1" applyFont="1" applyBorder="1" applyAlignment="1"/>
    <xf numFmtId="0" fontId="25" fillId="0" borderId="9" xfId="2" applyFont="1" applyBorder="1" applyAlignment="1">
      <alignment horizontal="center" vertical="center"/>
    </xf>
    <xf numFmtId="20" fontId="13" fillId="0" borderId="0" xfId="0" applyNumberFormat="1" applyFont="1">
      <alignment vertical="center"/>
    </xf>
    <xf numFmtId="0" fontId="13" fillId="10" borderId="9" xfId="2" applyFont="1" applyFill="1" applyBorder="1" applyAlignment="1">
      <alignment horizontal="left"/>
    </xf>
    <xf numFmtId="0" fontId="13" fillId="10" borderId="9" xfId="2" applyFont="1" applyFill="1" applyBorder="1" applyAlignment="1">
      <alignment horizontal="center"/>
    </xf>
    <xf numFmtId="0" fontId="13" fillId="10" borderId="9" xfId="2" applyFont="1" applyFill="1" applyBorder="1" applyAlignment="1">
      <alignment horizontal="center" vertical="center"/>
    </xf>
    <xf numFmtId="0" fontId="13" fillId="0" borderId="8" xfId="2" applyFont="1" applyBorder="1" applyAlignment="1">
      <alignment horizontal="center"/>
    </xf>
    <xf numFmtId="174" fontId="13" fillId="0" borderId="9" xfId="2" applyNumberFormat="1" applyFont="1" applyBorder="1" applyAlignment="1">
      <alignment horizontal="center"/>
    </xf>
    <xf numFmtId="0" fontId="13" fillId="0" borderId="27" xfId="0" applyFont="1" applyBorder="1">
      <alignment vertical="center"/>
    </xf>
    <xf numFmtId="0" fontId="27" fillId="2" borderId="0" xfId="2" applyFont="1" applyFill="1" applyAlignment="1">
      <alignment horizontal="right" vertical="center"/>
    </xf>
    <xf numFmtId="0" fontId="54" fillId="2" borderId="0" xfId="2" applyFont="1" applyFill="1" applyAlignment="1">
      <alignment horizontal="center" vertical="center"/>
    </xf>
    <xf numFmtId="0" fontId="54" fillId="2" borderId="0" xfId="2" applyFont="1" applyFill="1" applyAlignment="1">
      <alignment horizontal="left" vertical="center"/>
    </xf>
    <xf numFmtId="179" fontId="13" fillId="0" borderId="9" xfId="2" applyNumberFormat="1" applyFont="1" applyBorder="1" applyAlignment="1">
      <alignment horizontal="center"/>
    </xf>
    <xf numFmtId="0" fontId="66" fillId="0" borderId="0" xfId="2" applyFont="1" applyAlignment="1">
      <alignment vertical="top" wrapText="1"/>
    </xf>
    <xf numFmtId="0" fontId="28" fillId="0" borderId="0" xfId="2" applyFont="1" applyAlignment="1">
      <alignment horizontal="center" vertical="center"/>
    </xf>
    <xf numFmtId="0" fontId="13" fillId="8" borderId="0" xfId="2" applyFont="1" applyFill="1" applyAlignment="1">
      <alignment horizontal="center"/>
    </xf>
    <xf numFmtId="0" fontId="13" fillId="3" borderId="0" xfId="2" applyFont="1" applyFill="1" applyAlignment="1">
      <alignment horizontal="center"/>
    </xf>
    <xf numFmtId="0" fontId="28" fillId="0" borderId="0" xfId="2" applyFont="1" applyAlignment="1">
      <alignment horizontal="left" vertical="top" wrapText="1"/>
    </xf>
    <xf numFmtId="2" fontId="13" fillId="0" borderId="27" xfId="2" applyNumberFormat="1" applyFont="1" applyBorder="1" applyAlignment="1">
      <alignment horizontal="right"/>
    </xf>
    <xf numFmtId="0" fontId="13" fillId="0" borderId="0" xfId="2" quotePrefix="1" applyFont="1" applyAlignment="1">
      <alignment horizontal="center"/>
    </xf>
    <xf numFmtId="0" fontId="13" fillId="0" borderId="51" xfId="2" applyFont="1" applyBorder="1" applyAlignment="1">
      <alignment horizontal="center"/>
    </xf>
    <xf numFmtId="2" fontId="13" fillId="0" borderId="27" xfId="2" applyNumberFormat="1" applyFont="1" applyBorder="1" applyAlignment="1"/>
    <xf numFmtId="9" fontId="13" fillId="0" borderId="0" xfId="0" applyNumberFormat="1" applyFont="1">
      <alignment vertical="center"/>
    </xf>
    <xf numFmtId="9" fontId="13" fillId="0" borderId="0" xfId="2" applyNumberFormat="1" applyFont="1" applyAlignment="1">
      <alignment horizontal="center"/>
    </xf>
    <xf numFmtId="2" fontId="23" fillId="0" borderId="0" xfId="2" applyNumberFormat="1" applyFont="1" applyAlignment="1">
      <alignment horizontal="center"/>
    </xf>
    <xf numFmtId="0" fontId="68" fillId="0" borderId="8" xfId="2" applyFont="1" applyBorder="1" applyAlignment="1">
      <alignment horizontal="center" vertical="center"/>
    </xf>
    <xf numFmtId="0" fontId="60" fillId="0" borderId="0" xfId="2" applyFont="1" applyAlignment="1">
      <alignment horizontal="center" vertical="center"/>
    </xf>
    <xf numFmtId="173" fontId="13" fillId="0" borderId="0" xfId="2" applyNumberFormat="1" applyFont="1" applyAlignment="1">
      <alignment horizontal="center"/>
    </xf>
    <xf numFmtId="0" fontId="28" fillId="0" borderId="0" xfId="2" applyFont="1" applyAlignment="1"/>
    <xf numFmtId="0" fontId="13" fillId="8" borderId="9" xfId="2" applyFont="1" applyFill="1" applyBorder="1" applyAlignment="1">
      <alignment horizontal="right" vertical="center"/>
    </xf>
    <xf numFmtId="9" fontId="55" fillId="0" borderId="8" xfId="2" applyNumberFormat="1" applyFont="1" applyBorder="1" applyAlignment="1">
      <alignment horizontal="center" vertical="center"/>
    </xf>
    <xf numFmtId="2" fontId="69" fillId="0" borderId="8" xfId="2" applyNumberFormat="1" applyFont="1" applyBorder="1" applyAlignment="1">
      <alignment horizontal="center"/>
    </xf>
    <xf numFmtId="179" fontId="28" fillId="0" borderId="0" xfId="2" applyNumberFormat="1" applyFont="1" applyAlignment="1">
      <alignment horizontal="center"/>
    </xf>
    <xf numFmtId="0" fontId="32" fillId="0" borderId="0" xfId="7" applyFont="1" applyBorder="1">
      <alignment vertical="center"/>
    </xf>
    <xf numFmtId="0" fontId="70" fillId="0" borderId="0" xfId="2" applyFont="1" applyAlignment="1"/>
    <xf numFmtId="2" fontId="26" fillId="0" borderId="0" xfId="2" applyNumberFormat="1" applyFont="1" applyAlignment="1"/>
    <xf numFmtId="2" fontId="28" fillId="0" borderId="0" xfId="2" applyNumberFormat="1" applyFont="1" applyAlignment="1"/>
    <xf numFmtId="0" fontId="32" fillId="0" borderId="0" xfId="7" applyFont="1">
      <alignment vertical="center"/>
    </xf>
    <xf numFmtId="10" fontId="13" fillId="0" borderId="0" xfId="2" applyNumberFormat="1" applyFont="1" applyAlignment="1">
      <alignment horizontal="center"/>
    </xf>
    <xf numFmtId="0" fontId="25" fillId="0" borderId="0" xfId="2" applyFont="1" applyAlignment="1"/>
    <xf numFmtId="0" fontId="24" fillId="0" borderId="0" xfId="2" applyFont="1" applyAlignment="1"/>
    <xf numFmtId="0" fontId="13" fillId="33" borderId="8" xfId="0" applyFont="1" applyFill="1" applyBorder="1">
      <alignment vertical="center"/>
    </xf>
    <xf numFmtId="0" fontId="13" fillId="33" borderId="40" xfId="0" applyFont="1" applyFill="1" applyBorder="1" applyAlignment="1">
      <alignment horizontal="center" vertical="center"/>
    </xf>
    <xf numFmtId="0" fontId="13" fillId="33" borderId="9" xfId="0" applyFont="1" applyFill="1" applyBorder="1" applyAlignment="1">
      <alignment horizontal="center" vertical="center"/>
    </xf>
    <xf numFmtId="10" fontId="13" fillId="0" borderId="9" xfId="4" applyNumberFormat="1" applyFont="1" applyBorder="1" applyAlignment="1">
      <alignment horizontal="center" vertical="center"/>
    </xf>
    <xf numFmtId="0" fontId="13" fillId="33" borderId="19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left" vertical="center"/>
    </xf>
    <xf numFmtId="0" fontId="24" fillId="0" borderId="0" xfId="2" applyFont="1">
      <alignment vertical="center"/>
    </xf>
    <xf numFmtId="0" fontId="13" fillId="0" borderId="8" xfId="0" applyFont="1" applyBorder="1" applyAlignment="1">
      <alignment horizontal="center" vertical="center"/>
    </xf>
    <xf numFmtId="10" fontId="13" fillId="0" borderId="9" xfId="4" applyNumberFormat="1" applyFont="1" applyBorder="1">
      <alignment vertical="center"/>
    </xf>
    <xf numFmtId="0" fontId="13" fillId="0" borderId="45" xfId="0" applyFont="1" applyBorder="1" applyAlignment="1">
      <alignment horizontal="left"/>
    </xf>
    <xf numFmtId="0" fontId="13" fillId="0" borderId="45" xfId="2" applyFont="1" applyBorder="1" applyAlignment="1">
      <alignment horizontal="left"/>
    </xf>
    <xf numFmtId="0" fontId="55" fillId="0" borderId="9" xfId="0" applyFont="1" applyBorder="1" applyAlignment="1">
      <alignment horizontal="left"/>
    </xf>
    <xf numFmtId="0" fontId="13" fillId="21" borderId="8" xfId="0" applyFont="1" applyFill="1" applyBorder="1" applyAlignment="1">
      <alignment horizontal="left" vertical="center"/>
    </xf>
    <xf numFmtId="0" fontId="13" fillId="21" borderId="9" xfId="0" applyFont="1" applyFill="1" applyBorder="1" applyAlignment="1">
      <alignment horizontal="right" vertical="center"/>
    </xf>
    <xf numFmtId="1" fontId="13" fillId="21" borderId="9" xfId="0" applyNumberFormat="1" applyFont="1" applyFill="1" applyBorder="1" applyAlignment="1">
      <alignment horizontal="right" vertical="center"/>
    </xf>
    <xf numFmtId="10" fontId="13" fillId="21" borderId="9" xfId="4" applyNumberFormat="1" applyFont="1" applyFill="1" applyBorder="1" applyAlignment="1">
      <alignment horizontal="right" vertical="center"/>
    </xf>
    <xf numFmtId="0" fontId="54" fillId="0" borderId="9" xfId="2" applyFont="1" applyBorder="1" applyAlignment="1">
      <alignment horizontal="center" vertical="center"/>
    </xf>
    <xf numFmtId="2" fontId="25" fillId="8" borderId="0" xfId="2" applyNumberFormat="1" applyFont="1" applyFill="1" applyAlignment="1">
      <alignment horizontal="center" vertical="center"/>
    </xf>
    <xf numFmtId="1" fontId="24" fillId="0" borderId="40" xfId="2" applyNumberFormat="1" applyFont="1" applyBorder="1" applyAlignment="1">
      <alignment horizontal="center" vertical="center"/>
    </xf>
    <xf numFmtId="9" fontId="13" fillId="0" borderId="9" xfId="2" quotePrefix="1" applyNumberFormat="1" applyFont="1" applyBorder="1" applyAlignment="1">
      <alignment horizontal="center" vertical="center"/>
    </xf>
    <xf numFmtId="0" fontId="24" fillId="0" borderId="0" xfId="2" applyFont="1" applyAlignment="1">
      <alignment horizontal="left" vertical="center"/>
    </xf>
    <xf numFmtId="1" fontId="13" fillId="0" borderId="45" xfId="2" applyNumberFormat="1" applyFont="1" applyBorder="1" applyAlignment="1">
      <alignment horizontal="center" vertical="center"/>
    </xf>
    <xf numFmtId="0" fontId="38" fillId="36" borderId="9" xfId="0" applyFont="1" applyFill="1" applyBorder="1" applyAlignment="1">
      <alignment horizontal="center" vertical="center"/>
    </xf>
    <xf numFmtId="0" fontId="13" fillId="33" borderId="9" xfId="0" applyFont="1" applyFill="1" applyBorder="1" applyAlignment="1">
      <alignment horizontal="left" vertical="center"/>
    </xf>
    <xf numFmtId="0" fontId="24" fillId="0" borderId="0" xfId="2" applyFont="1" applyAlignment="1">
      <alignment horizontal="left"/>
    </xf>
    <xf numFmtId="184" fontId="13" fillId="0" borderId="8" xfId="4" applyNumberFormat="1" applyFont="1" applyBorder="1" applyAlignment="1">
      <alignment horizontal="center" vertical="center"/>
    </xf>
    <xf numFmtId="173" fontId="13" fillId="0" borderId="9" xfId="2" applyNumberFormat="1" applyFont="1" applyBorder="1" applyAlignment="1">
      <alignment horizontal="center"/>
    </xf>
    <xf numFmtId="0" fontId="63" fillId="0" borderId="0" xfId="0" applyFont="1">
      <alignment vertical="center"/>
    </xf>
    <xf numFmtId="0" fontId="24" fillId="0" borderId="0" xfId="2" quotePrefix="1" applyFont="1" applyAlignment="1">
      <alignment horizontal="left"/>
    </xf>
    <xf numFmtId="0" fontId="46" fillId="0" borderId="0" xfId="2" applyFont="1" applyAlignment="1">
      <alignment horizontal="center"/>
    </xf>
    <xf numFmtId="0" fontId="24" fillId="0" borderId="27" xfId="2" applyFont="1" applyBorder="1" applyAlignment="1">
      <alignment horizontal="center" vertical="center"/>
    </xf>
    <xf numFmtId="2" fontId="24" fillId="0" borderId="9" xfId="2" applyNumberFormat="1" applyFont="1" applyBorder="1" applyAlignment="1">
      <alignment horizontal="center" vertical="center"/>
    </xf>
    <xf numFmtId="0" fontId="32" fillId="0" borderId="0" xfId="7" applyFont="1" applyBorder="1" applyAlignment="1">
      <alignment horizontal="center" vertical="center"/>
    </xf>
    <xf numFmtId="0" fontId="25" fillId="0" borderId="45" xfId="2" applyFont="1" applyBorder="1" applyAlignment="1">
      <alignment horizontal="center" vertical="center"/>
    </xf>
    <xf numFmtId="0" fontId="23" fillId="8" borderId="0" xfId="2" applyFont="1" applyFill="1" applyAlignment="1">
      <alignment horizontal="center"/>
    </xf>
    <xf numFmtId="0" fontId="13" fillId="0" borderId="24" xfId="2" applyFont="1" applyBorder="1" applyAlignment="1"/>
    <xf numFmtId="0" fontId="13" fillId="0" borderId="28" xfId="0" applyFont="1" applyBorder="1">
      <alignment vertical="center"/>
    </xf>
    <xf numFmtId="0" fontId="71" fillId="0" borderId="0" xfId="0" applyFont="1">
      <alignment vertical="center"/>
    </xf>
    <xf numFmtId="0" fontId="32" fillId="0" borderId="0" xfId="7" applyFont="1" applyBorder="1" applyAlignment="1">
      <alignment horizontal="left" vertical="center"/>
    </xf>
    <xf numFmtId="0" fontId="13" fillId="0" borderId="17" xfId="2" applyFont="1" applyBorder="1" applyAlignment="1">
      <alignment horizontal="center"/>
    </xf>
    <xf numFmtId="0" fontId="13" fillId="0" borderId="15" xfId="0" applyFont="1" applyBorder="1">
      <alignment vertical="center"/>
    </xf>
    <xf numFmtId="0" fontId="13" fillId="0" borderId="15" xfId="2" applyFont="1" applyBorder="1">
      <alignment vertical="center"/>
    </xf>
    <xf numFmtId="0" fontId="13" fillId="12" borderId="15" xfId="2" applyFont="1" applyFill="1" applyBorder="1">
      <alignment vertical="center"/>
    </xf>
    <xf numFmtId="0" fontId="13" fillId="0" borderId="18" xfId="2" applyFont="1" applyBorder="1" applyAlignment="1"/>
    <xf numFmtId="0" fontId="36" fillId="3" borderId="19" xfId="2" applyFont="1" applyFill="1" applyBorder="1" applyAlignment="1">
      <alignment horizontal="center"/>
    </xf>
    <xf numFmtId="0" fontId="24" fillId="0" borderId="77" xfId="0" applyFont="1" applyBorder="1">
      <alignment vertical="center"/>
    </xf>
    <xf numFmtId="0" fontId="13" fillId="0" borderId="20" xfId="2" applyFont="1" applyBorder="1" applyAlignment="1"/>
    <xf numFmtId="0" fontId="13" fillId="0" borderId="49" xfId="2" applyFont="1" applyBorder="1" applyAlignment="1">
      <alignment horizontal="center"/>
    </xf>
    <xf numFmtId="0" fontId="13" fillId="0" borderId="14" xfId="2" applyFont="1" applyBorder="1" applyAlignment="1">
      <alignment horizontal="center"/>
    </xf>
    <xf numFmtId="14" fontId="13" fillId="0" borderId="14" xfId="2" applyNumberFormat="1" applyFont="1" applyBorder="1" applyAlignment="1">
      <alignment horizontal="center"/>
    </xf>
    <xf numFmtId="0" fontId="34" fillId="17" borderId="0" xfId="2" applyFont="1" applyFill="1" applyAlignment="1">
      <alignment horizontal="center"/>
    </xf>
    <xf numFmtId="0" fontId="13" fillId="0" borderId="45" xfId="2" applyFont="1" applyBorder="1" applyAlignment="1">
      <alignment horizontal="center"/>
    </xf>
    <xf numFmtId="0" fontId="13" fillId="0" borderId="18" xfId="2" applyFont="1" applyBorder="1" applyAlignment="1">
      <alignment horizontal="center"/>
    </xf>
    <xf numFmtId="0" fontId="72" fillId="0" borderId="19" xfId="0" applyFont="1" applyBorder="1" applyAlignment="1">
      <alignment horizontal="right"/>
    </xf>
    <xf numFmtId="0" fontId="27" fillId="8" borderId="0" xfId="2" applyFont="1" applyFill="1" applyAlignment="1">
      <alignment horizontal="right" vertical="center"/>
    </xf>
    <xf numFmtId="0" fontId="72" fillId="0" borderId="0" xfId="0" applyFont="1" applyAlignment="1">
      <alignment horizontal="right"/>
    </xf>
    <xf numFmtId="0" fontId="13" fillId="10" borderId="9" xfId="0" applyFont="1" applyFill="1" applyBorder="1" applyAlignment="1">
      <alignment horizontal="center"/>
    </xf>
    <xf numFmtId="0" fontId="13" fillId="0" borderId="9" xfId="2" applyFont="1" applyBorder="1" applyAlignment="1"/>
    <xf numFmtId="0" fontId="13" fillId="0" borderId="9" xfId="2" applyFont="1" applyBorder="1">
      <alignment vertical="center"/>
    </xf>
    <xf numFmtId="0" fontId="24" fillId="0" borderId="9" xfId="0" applyFont="1" applyBorder="1">
      <alignment vertical="center"/>
    </xf>
    <xf numFmtId="0" fontId="13" fillId="0" borderId="9" xfId="2" applyFont="1" applyBorder="1" applyAlignment="1">
      <alignment vertical="center" wrapText="1"/>
    </xf>
    <xf numFmtId="0" fontId="28" fillId="0" borderId="9" xfId="2" applyFont="1" applyBorder="1" applyAlignment="1">
      <alignment horizontal="center"/>
    </xf>
    <xf numFmtId="0" fontId="23" fillId="0" borderId="9" xfId="2" applyFont="1" applyBorder="1" applyAlignment="1"/>
    <xf numFmtId="0" fontId="23" fillId="0" borderId="0" xfId="2" applyFont="1" applyAlignment="1">
      <alignment horizontal="center" vertical="center" wrapText="1"/>
    </xf>
    <xf numFmtId="0" fontId="23" fillId="0" borderId="9" xfId="2" applyFont="1" applyBorder="1" applyAlignment="1">
      <alignment vertical="center" wrapText="1"/>
    </xf>
    <xf numFmtId="164" fontId="13" fillId="12" borderId="9" xfId="3" applyFont="1" applyFill="1" applyBorder="1" applyAlignment="1"/>
    <xf numFmtId="0" fontId="23" fillId="12" borderId="9" xfId="2" applyFont="1" applyFill="1" applyBorder="1" applyAlignment="1">
      <alignment vertical="center" wrapText="1"/>
    </xf>
    <xf numFmtId="0" fontId="13" fillId="0" borderId="43" xfId="2" applyFont="1" applyBorder="1" applyAlignment="1"/>
    <xf numFmtId="9" fontId="13" fillId="0" borderId="9" xfId="2" applyNumberFormat="1" applyFont="1" applyBorder="1" applyAlignment="1">
      <alignment horizontal="center" vertical="center"/>
    </xf>
    <xf numFmtId="2" fontId="23" fillId="0" borderId="9" xfId="2" applyNumberFormat="1" applyFont="1" applyBorder="1" applyAlignment="1">
      <alignment horizontal="center" vertical="center"/>
    </xf>
    <xf numFmtId="0" fontId="32" fillId="0" borderId="19" xfId="7" applyFont="1" applyBorder="1" applyAlignment="1">
      <alignment horizontal="center" vertical="center"/>
    </xf>
    <xf numFmtId="0" fontId="13" fillId="12" borderId="9" xfId="2" applyFont="1" applyFill="1" applyBorder="1" applyAlignment="1">
      <alignment horizontal="center"/>
    </xf>
    <xf numFmtId="0" fontId="13" fillId="12" borderId="9" xfId="2" applyFont="1" applyFill="1" applyBorder="1" applyAlignment="1">
      <alignment horizontal="center" wrapText="1"/>
    </xf>
    <xf numFmtId="0" fontId="13" fillId="0" borderId="18" xfId="0" applyFont="1" applyBorder="1">
      <alignment vertical="center"/>
    </xf>
    <xf numFmtId="0" fontId="46" fillId="0" borderId="9" xfId="2" applyFont="1" applyBorder="1" applyAlignment="1">
      <alignment horizontal="center"/>
    </xf>
    <xf numFmtId="0" fontId="24" fillId="0" borderId="0" xfId="2" applyFont="1" applyAlignment="1">
      <alignment horizontal="center" vertical="center"/>
    </xf>
    <xf numFmtId="0" fontId="25" fillId="5" borderId="0" xfId="2" applyFont="1" applyFill="1" applyAlignment="1">
      <alignment horizontal="center" vertical="center"/>
    </xf>
    <xf numFmtId="0" fontId="73" fillId="5" borderId="9" xfId="2" applyFont="1" applyFill="1" applyBorder="1" applyAlignment="1">
      <alignment horizontal="center" vertical="center"/>
    </xf>
    <xf numFmtId="0" fontId="13" fillId="0" borderId="20" xfId="0" applyFont="1" applyBorder="1">
      <alignment vertical="center"/>
    </xf>
    <xf numFmtId="0" fontId="74" fillId="0" borderId="9" xfId="2" applyFont="1" applyBorder="1" applyAlignment="1">
      <alignment horizontal="center"/>
    </xf>
    <xf numFmtId="0" fontId="62" fillId="0" borderId="9" xfId="2" applyFont="1" applyBorder="1" applyAlignment="1">
      <alignment horizontal="center" vertical="center"/>
    </xf>
    <xf numFmtId="0" fontId="75" fillId="0" borderId="0" xfId="0" applyFont="1">
      <alignment vertical="center"/>
    </xf>
    <xf numFmtId="0" fontId="76" fillId="0" borderId="0" xfId="2" applyFont="1" applyAlignment="1"/>
    <xf numFmtId="0" fontId="31" fillId="5" borderId="40" xfId="2" applyFont="1" applyFill="1" applyBorder="1" applyAlignment="1">
      <alignment horizontal="center" vertical="center" wrapText="1"/>
    </xf>
    <xf numFmtId="0" fontId="23" fillId="5" borderId="0" xfId="2" applyFont="1" applyFill="1" applyAlignment="1">
      <alignment horizontal="center" vertical="center"/>
    </xf>
    <xf numFmtId="0" fontId="52" fillId="5" borderId="0" xfId="2" applyFont="1" applyFill="1" applyAlignment="1">
      <alignment horizontal="center" vertical="center"/>
    </xf>
    <xf numFmtId="0" fontId="54" fillId="0" borderId="9" xfId="2" applyFont="1" applyBorder="1" applyAlignment="1">
      <alignment horizontal="center"/>
    </xf>
    <xf numFmtId="0" fontId="23" fillId="0" borderId="9" xfId="2" applyFont="1" applyBorder="1" applyAlignment="1">
      <alignment horizontal="center"/>
    </xf>
    <xf numFmtId="0" fontId="13" fillId="0" borderId="0" xfId="0" applyFont="1" applyAlignment="1">
      <alignment horizontal="center" vertical="center" wrapText="1"/>
    </xf>
    <xf numFmtId="0" fontId="24" fillId="0" borderId="0" xfId="2" applyFont="1" applyAlignment="1">
      <alignment horizontal="center" vertical="center" wrapText="1"/>
    </xf>
    <xf numFmtId="0" fontId="13" fillId="0" borderId="9" xfId="0" applyFont="1" applyBorder="1" applyAlignment="1">
      <alignment horizontal="left"/>
    </xf>
    <xf numFmtId="0" fontId="13" fillId="0" borderId="9" xfId="0" applyFont="1" applyBorder="1" applyAlignment="1">
      <alignment horizontal="left" vertical="center" wrapText="1"/>
    </xf>
    <xf numFmtId="0" fontId="74" fillId="0" borderId="9" xfId="2" applyFont="1" applyBorder="1" applyAlignment="1">
      <alignment horizontal="center" vertical="center"/>
    </xf>
    <xf numFmtId="0" fontId="23" fillId="7" borderId="0" xfId="2" quotePrefix="1" applyFont="1" applyFill="1" applyAlignment="1">
      <alignment horizontal="center" vertical="center"/>
    </xf>
    <xf numFmtId="0" fontId="25" fillId="0" borderId="0" xfId="2" applyFont="1">
      <alignment vertical="center"/>
    </xf>
    <xf numFmtId="1" fontId="24" fillId="0" borderId="0" xfId="2" applyNumberFormat="1" applyFont="1" applyAlignment="1">
      <alignment horizontal="center" vertical="center"/>
    </xf>
    <xf numFmtId="0" fontId="13" fillId="0" borderId="22" xfId="0" applyFont="1" applyBorder="1">
      <alignment vertical="center"/>
    </xf>
    <xf numFmtId="0" fontId="13" fillId="0" borderId="14" xfId="0" applyFont="1" applyBorder="1">
      <alignment vertical="center"/>
    </xf>
    <xf numFmtId="173" fontId="13" fillId="0" borderId="14" xfId="2" applyNumberFormat="1" applyFont="1" applyBorder="1" applyAlignment="1">
      <alignment horizontal="center"/>
    </xf>
    <xf numFmtId="0" fontId="13" fillId="0" borderId="14" xfId="0" applyFont="1" applyBorder="1" applyAlignment="1"/>
    <xf numFmtId="0" fontId="13" fillId="0" borderId="14" xfId="2" applyFont="1" applyBorder="1" applyAlignment="1"/>
    <xf numFmtId="0" fontId="13" fillId="0" borderId="22" xfId="2" applyFont="1" applyBorder="1" applyAlignment="1"/>
    <xf numFmtId="0" fontId="13" fillId="0" borderId="21" xfId="0" applyFont="1" applyBorder="1">
      <alignment vertical="center"/>
    </xf>
    <xf numFmtId="0" fontId="13" fillId="0" borderId="0" xfId="0" applyFont="1" applyAlignment="1"/>
    <xf numFmtId="0" fontId="42" fillId="0" borderId="0" xfId="7" applyFont="1" applyAlignment="1">
      <alignment horizontal="center"/>
    </xf>
    <xf numFmtId="0" fontId="13" fillId="0" borderId="61" xfId="2" applyFont="1" applyBorder="1" applyAlignment="1">
      <alignment horizontal="center"/>
    </xf>
    <xf numFmtId="0" fontId="13" fillId="10" borderId="51" xfId="2" applyFont="1" applyFill="1" applyBorder="1" applyAlignment="1">
      <alignment horizontal="center"/>
    </xf>
    <xf numFmtId="0" fontId="13" fillId="0" borderId="63" xfId="2" applyFont="1" applyBorder="1" applyAlignment="1">
      <alignment horizontal="center"/>
    </xf>
    <xf numFmtId="169" fontId="13" fillId="0" borderId="0" xfId="1" applyNumberFormat="1" applyFont="1" applyBorder="1" applyAlignment="1">
      <alignment horizontal="center" vertical="center"/>
    </xf>
    <xf numFmtId="0" fontId="13" fillId="0" borderId="27" xfId="2" applyFont="1" applyBorder="1" applyAlignment="1">
      <alignment horizontal="center" vertical="center"/>
    </xf>
    <xf numFmtId="173" fontId="13" fillId="9" borderId="9" xfId="2" applyNumberFormat="1" applyFont="1" applyFill="1" applyBorder="1" applyAlignment="1">
      <alignment horizontal="center" vertical="center"/>
    </xf>
    <xf numFmtId="2" fontId="77" fillId="0" borderId="9" xfId="2" applyNumberFormat="1" applyFont="1" applyBorder="1" applyAlignment="1">
      <alignment horizontal="center" vertical="center"/>
    </xf>
    <xf numFmtId="0" fontId="52" fillId="0" borderId="0" xfId="2" applyFont="1" applyAlignment="1"/>
    <xf numFmtId="0" fontId="65" fillId="8" borderId="9" xfId="2" applyFont="1" applyFill="1" applyBorder="1" applyAlignment="1">
      <alignment horizontal="center"/>
    </xf>
    <xf numFmtId="0" fontId="78" fillId="0" borderId="0" xfId="0" applyFont="1" applyAlignment="1">
      <alignment horizontal="center" vertical="center"/>
    </xf>
    <xf numFmtId="0" fontId="58" fillId="0" borderId="9" xfId="2" applyFont="1" applyBorder="1" applyAlignment="1">
      <alignment horizontal="center" vertical="center"/>
    </xf>
    <xf numFmtId="0" fontId="58" fillId="0" borderId="9" xfId="2" applyFont="1" applyBorder="1" applyAlignment="1">
      <alignment horizontal="center"/>
    </xf>
    <xf numFmtId="0" fontId="27" fillId="10" borderId="9" xfId="2" applyFont="1" applyFill="1" applyBorder="1" applyAlignment="1">
      <alignment horizontal="center" vertical="center"/>
    </xf>
    <xf numFmtId="178" fontId="13" fillId="0" borderId="0" xfId="2" applyNumberFormat="1" applyFont="1" applyAlignment="1">
      <alignment horizontal="center" vertical="center"/>
    </xf>
    <xf numFmtId="0" fontId="27" fillId="3" borderId="0" xfId="2" applyFont="1" applyFill="1" applyAlignment="1">
      <alignment horizontal="center" vertical="center"/>
    </xf>
    <xf numFmtId="0" fontId="36" fillId="0" borderId="48" xfId="0" applyFont="1" applyBorder="1" applyAlignment="1">
      <alignment horizontal="center" vertical="center"/>
    </xf>
    <xf numFmtId="0" fontId="65" fillId="0" borderId="9" xfId="2" applyFont="1" applyBorder="1" applyAlignment="1">
      <alignment horizontal="center"/>
    </xf>
    <xf numFmtId="1" fontId="13" fillId="0" borderId="0" xfId="2" applyNumberFormat="1" applyFont="1" applyAlignment="1">
      <alignment horizontal="center" vertical="center"/>
    </xf>
    <xf numFmtId="1" fontId="23" fillId="8" borderId="9" xfId="2" applyNumberFormat="1" applyFont="1" applyFill="1" applyBorder="1" applyAlignment="1">
      <alignment horizontal="center" vertical="center"/>
    </xf>
    <xf numFmtId="173" fontId="13" fillId="8" borderId="9" xfId="2" applyNumberFormat="1" applyFont="1" applyFill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52" fillId="0" borderId="0" xfId="2" applyFont="1">
      <alignment vertical="center"/>
    </xf>
    <xf numFmtId="0" fontId="13" fillId="0" borderId="40" xfId="0" applyFont="1" applyBorder="1">
      <alignment vertical="center"/>
    </xf>
    <xf numFmtId="0" fontId="13" fillId="0" borderId="0" xfId="2" quotePrefix="1" applyFont="1">
      <alignment vertical="center"/>
    </xf>
    <xf numFmtId="2" fontId="54" fillId="0" borderId="9" xfId="2" applyNumberFormat="1" applyFont="1" applyBorder="1" applyAlignment="1">
      <alignment horizontal="center" vertical="center"/>
    </xf>
    <xf numFmtId="0" fontId="32" fillId="0" borderId="0" xfId="7" applyFont="1" applyAlignment="1">
      <alignment horizontal="left" vertical="center"/>
    </xf>
    <xf numFmtId="2" fontId="13" fillId="8" borderId="0" xfId="2" applyNumberFormat="1" applyFont="1" applyFill="1" applyAlignment="1">
      <alignment horizontal="center" vertical="center"/>
    </xf>
    <xf numFmtId="0" fontId="69" fillId="0" borderId="0" xfId="2" applyFont="1" applyAlignment="1">
      <alignment horizontal="center" vertical="center"/>
    </xf>
    <xf numFmtId="0" fontId="13" fillId="0" borderId="48" xfId="2" applyFont="1" applyBorder="1" applyAlignment="1">
      <alignment horizontal="center" vertical="center"/>
    </xf>
    <xf numFmtId="0" fontId="49" fillId="0" borderId="0" xfId="2" applyFont="1" applyAlignment="1"/>
    <xf numFmtId="0" fontId="39" fillId="0" borderId="0" xfId="0" applyFont="1" applyAlignment="1">
      <alignment horizontal="center"/>
    </xf>
    <xf numFmtId="0" fontId="39" fillId="0" borderId="0" xfId="2" applyFont="1" applyAlignment="1">
      <alignment horizontal="center"/>
    </xf>
    <xf numFmtId="0" fontId="79" fillId="0" borderId="0" xfId="0" applyFont="1" applyAlignment="1">
      <alignment horizontal="center"/>
    </xf>
    <xf numFmtId="0" fontId="13" fillId="0" borderId="67" xfId="2" applyFont="1" applyBorder="1" applyAlignment="1">
      <alignment horizontal="center" vertical="center"/>
    </xf>
    <xf numFmtId="0" fontId="13" fillId="0" borderId="7" xfId="2" applyFont="1" applyBorder="1" applyAlignment="1">
      <alignment horizontal="center" vertical="center"/>
    </xf>
    <xf numFmtId="0" fontId="26" fillId="0" borderId="0" xfId="2" applyFont="1" applyAlignment="1">
      <alignment horizontal="center" vertical="center"/>
    </xf>
    <xf numFmtId="0" fontId="32" fillId="0" borderId="0" xfId="7" applyFont="1" applyBorder="1" applyAlignment="1"/>
    <xf numFmtId="0" fontId="13" fillId="8" borderId="10" xfId="2" applyFont="1" applyFill="1" applyBorder="1" applyAlignment="1">
      <alignment horizontal="center" vertical="center"/>
    </xf>
    <xf numFmtId="1" fontId="29" fillId="8" borderId="0" xfId="2" applyNumberFormat="1" applyFont="1" applyFill="1" applyAlignment="1">
      <alignment horizontal="center" vertical="center"/>
    </xf>
    <xf numFmtId="0" fontId="13" fillId="8" borderId="7" xfId="2" applyFont="1" applyFill="1" applyBorder="1" applyAlignment="1">
      <alignment horizontal="center" vertical="center"/>
    </xf>
    <xf numFmtId="1" fontId="69" fillId="0" borderId="0" xfId="2" applyNumberFormat="1" applyFont="1" applyAlignment="1">
      <alignment horizontal="center" vertical="center"/>
    </xf>
    <xf numFmtId="9" fontId="26" fillId="0" borderId="9" xfId="2" applyNumberFormat="1" applyFont="1" applyBorder="1" applyAlignment="1">
      <alignment horizontal="center" vertical="center"/>
    </xf>
    <xf numFmtId="0" fontId="27" fillId="0" borderId="9" xfId="2" applyFont="1" applyBorder="1" applyAlignment="1">
      <alignment horizontal="center" vertical="center"/>
    </xf>
    <xf numFmtId="0" fontId="13" fillId="0" borderId="27" xfId="2" applyFont="1" applyBorder="1" applyAlignment="1">
      <alignment horizontal="left" vertical="center"/>
    </xf>
    <xf numFmtId="0" fontId="80" fillId="0" borderId="0" xfId="2" applyFont="1" applyAlignment="1">
      <alignment horizontal="center"/>
    </xf>
    <xf numFmtId="0" fontId="13" fillId="8" borderId="13" xfId="2" applyFont="1" applyFill="1" applyBorder="1" applyAlignment="1">
      <alignment horizontal="center"/>
    </xf>
    <xf numFmtId="0" fontId="81" fillId="8" borderId="0" xfId="2" applyFont="1" applyFill="1" applyAlignment="1">
      <alignment horizontal="center"/>
    </xf>
    <xf numFmtId="0" fontId="65" fillId="8" borderId="0" xfId="2" applyFont="1" applyFill="1" applyAlignment="1">
      <alignment horizontal="center"/>
    </xf>
    <xf numFmtId="0" fontId="13" fillId="0" borderId="42" xfId="2" applyFont="1" applyBorder="1" applyAlignment="1">
      <alignment horizontal="center"/>
    </xf>
    <xf numFmtId="0" fontId="23" fillId="10" borderId="9" xfId="2" applyFont="1" applyFill="1" applyBorder="1" applyAlignment="1">
      <alignment horizontal="center" vertical="center"/>
    </xf>
    <xf numFmtId="0" fontId="13" fillId="0" borderId="44" xfId="2" applyFont="1" applyBorder="1" applyAlignment="1">
      <alignment horizontal="center"/>
    </xf>
    <xf numFmtId="0" fontId="13" fillId="0" borderId="55" xfId="2" applyFont="1" applyBorder="1" applyAlignment="1">
      <alignment horizontal="center"/>
    </xf>
    <xf numFmtId="0" fontId="27" fillId="0" borderId="0" xfId="2" applyFont="1" applyAlignment="1">
      <alignment horizontal="left"/>
    </xf>
    <xf numFmtId="0" fontId="13" fillId="0" borderId="30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1" fontId="25" fillId="0" borderId="0" xfId="2" applyNumberFormat="1" applyFont="1" applyAlignment="1">
      <alignment horizontal="center" vertical="center"/>
    </xf>
    <xf numFmtId="0" fontId="54" fillId="0" borderId="87" xfId="2" applyFont="1" applyBorder="1" applyAlignment="1">
      <alignment horizontal="center"/>
    </xf>
    <xf numFmtId="0" fontId="26" fillId="0" borderId="0" xfId="2" applyFont="1">
      <alignment vertical="center"/>
    </xf>
    <xf numFmtId="0" fontId="78" fillId="3" borderId="48" xfId="2" applyFont="1" applyFill="1" applyBorder="1" applyAlignment="1">
      <alignment horizontal="center" vertical="center"/>
    </xf>
    <xf numFmtId="177" fontId="82" fillId="0" borderId="65" xfId="2" applyNumberFormat="1" applyFont="1" applyBorder="1" applyAlignment="1">
      <alignment horizontal="center"/>
    </xf>
    <xf numFmtId="0" fontId="39" fillId="0" borderId="48" xfId="0" applyFont="1" applyBorder="1" applyAlignment="1">
      <alignment horizontal="center"/>
    </xf>
    <xf numFmtId="0" fontId="39" fillId="0" borderId="33" xfId="0" applyFont="1" applyBorder="1" applyAlignment="1">
      <alignment horizontal="center"/>
    </xf>
    <xf numFmtId="0" fontId="13" fillId="12" borderId="44" xfId="2" applyFont="1" applyFill="1" applyBorder="1" applyAlignment="1">
      <alignment horizontal="center" vertical="center"/>
    </xf>
    <xf numFmtId="0" fontId="13" fillId="12" borderId="9" xfId="2" applyFont="1" applyFill="1" applyBorder="1" applyAlignment="1">
      <alignment horizontal="center" vertical="center"/>
    </xf>
    <xf numFmtId="0" fontId="73" fillId="0" borderId="0" xfId="2" applyFont="1" applyAlignment="1"/>
    <xf numFmtId="0" fontId="62" fillId="0" borderId="0" xfId="2" applyFont="1" applyAlignment="1"/>
    <xf numFmtId="0" fontId="47" fillId="0" borderId="0" xfId="2" applyFont="1" applyAlignment="1"/>
    <xf numFmtId="0" fontId="62" fillId="0" borderId="0" xfId="2" applyFont="1" applyAlignment="1">
      <alignment horizontal="center"/>
    </xf>
    <xf numFmtId="0" fontId="23" fillId="12" borderId="48" xfId="2" applyFont="1" applyFill="1" applyBorder="1" applyAlignment="1">
      <alignment vertical="center" wrapText="1"/>
    </xf>
    <xf numFmtId="0" fontId="13" fillId="0" borderId="33" xfId="0" applyFont="1" applyBorder="1" applyAlignment="1">
      <alignment horizontal="center"/>
    </xf>
    <xf numFmtId="0" fontId="55" fillId="8" borderId="42" xfId="2" applyFont="1" applyFill="1" applyBorder="1" applyAlignment="1">
      <alignment horizontal="center"/>
    </xf>
    <xf numFmtId="0" fontId="55" fillId="8" borderId="22" xfId="2" applyFont="1" applyFill="1" applyBorder="1" applyAlignment="1">
      <alignment horizontal="center"/>
    </xf>
    <xf numFmtId="0" fontId="70" fillId="0" borderId="39" xfId="2" applyFont="1" applyBorder="1" applyAlignment="1">
      <alignment horizontal="center"/>
    </xf>
    <xf numFmtId="0" fontId="23" fillId="0" borderId="56" xfId="2" applyFont="1" applyBorder="1" applyAlignment="1">
      <alignment horizontal="center"/>
    </xf>
    <xf numFmtId="0" fontId="13" fillId="0" borderId="33" xfId="2" applyFont="1" applyBorder="1" applyAlignment="1">
      <alignment horizontal="center" vertical="center"/>
    </xf>
    <xf numFmtId="0" fontId="55" fillId="8" borderId="39" xfId="2" applyFont="1" applyFill="1" applyBorder="1" applyAlignment="1">
      <alignment horizontal="center"/>
    </xf>
    <xf numFmtId="0" fontId="55" fillId="8" borderId="9" xfId="2" applyFont="1" applyFill="1" applyBorder="1" applyAlignment="1">
      <alignment horizontal="center"/>
    </xf>
    <xf numFmtId="0" fontId="31" fillId="0" borderId="0" xfId="0" applyFont="1" applyAlignment="1">
      <alignment horizontal="center"/>
    </xf>
    <xf numFmtId="0" fontId="24" fillId="0" borderId="0" xfId="2" applyFont="1" applyAlignment="1">
      <alignment horizontal="center"/>
    </xf>
    <xf numFmtId="0" fontId="70" fillId="8" borderId="0" xfId="2" applyFont="1" applyFill="1" applyAlignment="1">
      <alignment horizontal="center"/>
    </xf>
    <xf numFmtId="0" fontId="62" fillId="0" borderId="33" xfId="2" applyFont="1" applyBorder="1" applyAlignment="1">
      <alignment horizontal="center" vertical="center"/>
    </xf>
    <xf numFmtId="0" fontId="62" fillId="8" borderId="0" xfId="2" applyFont="1" applyFill="1">
      <alignment vertical="center"/>
    </xf>
    <xf numFmtId="0" fontId="70" fillId="0" borderId="42" xfId="2" applyFont="1" applyBorder="1" applyAlignment="1">
      <alignment horizontal="center"/>
    </xf>
    <xf numFmtId="0" fontId="23" fillId="0" borderId="51" xfId="2" applyFont="1" applyBorder="1" applyAlignment="1">
      <alignment horizontal="center"/>
    </xf>
    <xf numFmtId="0" fontId="24" fillId="0" borderId="0" xfId="2" applyFont="1" applyAlignment="1">
      <alignment horizontal="right"/>
    </xf>
    <xf numFmtId="0" fontId="24" fillId="8" borderId="0" xfId="2" applyFont="1" applyFill="1" applyAlignment="1">
      <alignment horizontal="center" vertical="center"/>
    </xf>
    <xf numFmtId="0" fontId="65" fillId="8" borderId="0" xfId="2" applyFont="1" applyFill="1" applyAlignment="1">
      <alignment horizontal="center" vertical="center"/>
    </xf>
    <xf numFmtId="0" fontId="23" fillId="0" borderId="27" xfId="2" applyFont="1" applyBorder="1" applyAlignment="1">
      <alignment horizontal="center"/>
    </xf>
    <xf numFmtId="0" fontId="27" fillId="0" borderId="27" xfId="2" applyFont="1" applyBorder="1" applyAlignment="1">
      <alignment horizontal="center" vertical="top"/>
    </xf>
    <xf numFmtId="0" fontId="54" fillId="8" borderId="0" xfId="2" applyFont="1" applyFill="1">
      <alignment vertical="center"/>
    </xf>
    <xf numFmtId="0" fontId="26" fillId="0" borderId="27" xfId="2" applyFont="1" applyBorder="1" applyAlignment="1">
      <alignment horizontal="center" vertical="center"/>
    </xf>
    <xf numFmtId="0" fontId="55" fillId="0" borderId="0" xfId="2" applyFont="1" applyAlignment="1">
      <alignment horizontal="center"/>
    </xf>
    <xf numFmtId="0" fontId="25" fillId="0" borderId="0" xfId="2" applyFont="1" applyAlignment="1">
      <alignment horizontal="center"/>
    </xf>
    <xf numFmtId="0" fontId="13" fillId="0" borderId="27" xfId="2" applyFont="1" applyBorder="1" applyAlignment="1">
      <alignment horizontal="center"/>
    </xf>
    <xf numFmtId="0" fontId="54" fillId="8" borderId="42" xfId="2" applyFont="1" applyFill="1" applyBorder="1" applyAlignment="1">
      <alignment horizontal="center"/>
    </xf>
    <xf numFmtId="0" fontId="54" fillId="8" borderId="9" xfId="2" applyFont="1" applyFill="1" applyBorder="1" applyAlignment="1">
      <alignment horizontal="center"/>
    </xf>
    <xf numFmtId="0" fontId="83" fillId="0" borderId="27" xfId="2" applyFont="1" applyBorder="1" applyAlignment="1">
      <alignment horizontal="center"/>
    </xf>
    <xf numFmtId="0" fontId="62" fillId="0" borderId="42" xfId="2" applyFont="1" applyBorder="1" applyAlignment="1">
      <alignment horizontal="center"/>
    </xf>
    <xf numFmtId="0" fontId="62" fillId="0" borderId="27" xfId="2" applyFont="1" applyBorder="1" applyAlignment="1">
      <alignment horizontal="center"/>
    </xf>
    <xf numFmtId="0" fontId="62" fillId="0" borderId="44" xfId="2" applyFont="1" applyBorder="1" applyAlignment="1">
      <alignment horizontal="center"/>
    </xf>
    <xf numFmtId="0" fontId="84" fillId="0" borderId="75" xfId="2" applyFont="1" applyBorder="1" applyAlignment="1">
      <alignment horizontal="center" vertical="center"/>
    </xf>
    <xf numFmtId="0" fontId="47" fillId="13" borderId="6" xfId="2" applyFont="1" applyFill="1" applyBorder="1" applyAlignment="1">
      <alignment horizontal="center" vertical="center"/>
    </xf>
    <xf numFmtId="0" fontId="85" fillId="0" borderId="72" xfId="2" applyFont="1" applyBorder="1" applyAlignment="1">
      <alignment horizontal="center" vertical="center"/>
    </xf>
    <xf numFmtId="0" fontId="47" fillId="13" borderId="13" xfId="2" applyFont="1" applyFill="1" applyBorder="1" applyAlignment="1">
      <alignment horizontal="center" vertical="center"/>
    </xf>
    <xf numFmtId="0" fontId="85" fillId="0" borderId="39" xfId="2" applyFont="1" applyBorder="1" applyAlignment="1">
      <alignment horizontal="center" vertical="center"/>
    </xf>
    <xf numFmtId="0" fontId="85" fillId="0" borderId="56" xfId="2" applyFont="1" applyBorder="1" applyAlignment="1">
      <alignment horizontal="center" vertical="center"/>
    </xf>
    <xf numFmtId="0" fontId="84" fillId="0" borderId="42" xfId="2" applyFont="1" applyBorder="1" applyAlignment="1">
      <alignment horizontal="center" vertical="center"/>
    </xf>
    <xf numFmtId="0" fontId="47" fillId="0" borderId="51" xfId="2" applyFont="1" applyBorder="1" applyAlignment="1">
      <alignment horizontal="center" vertical="center"/>
    </xf>
    <xf numFmtId="0" fontId="85" fillId="0" borderId="2" xfId="2" applyFont="1" applyBorder="1" applyAlignment="1">
      <alignment horizontal="center" vertical="center"/>
    </xf>
    <xf numFmtId="0" fontId="85" fillId="0" borderId="42" xfId="2" applyFont="1" applyBorder="1" applyAlignment="1">
      <alignment horizontal="center" vertical="center"/>
    </xf>
    <xf numFmtId="0" fontId="85" fillId="0" borderId="51" xfId="2" applyFont="1" applyBorder="1" applyAlignment="1">
      <alignment horizontal="center" vertical="center"/>
    </xf>
    <xf numFmtId="0" fontId="84" fillId="0" borderId="48" xfId="2" applyFont="1" applyBorder="1" applyAlignment="1">
      <alignment horizontal="center" vertical="center"/>
    </xf>
    <xf numFmtId="0" fontId="84" fillId="0" borderId="72" xfId="2" applyFont="1" applyBorder="1" applyAlignment="1">
      <alignment horizontal="center" vertical="center"/>
    </xf>
    <xf numFmtId="1" fontId="13" fillId="0" borderId="0" xfId="2" applyNumberFormat="1" applyFont="1" applyAlignment="1">
      <alignment horizontal="center"/>
    </xf>
    <xf numFmtId="167" fontId="13" fillId="0" borderId="0" xfId="2" applyNumberFormat="1" applyFont="1" applyAlignment="1">
      <alignment horizontal="center"/>
    </xf>
    <xf numFmtId="0" fontId="13" fillId="0" borderId="34" xfId="0" applyFont="1" applyBorder="1" applyAlignment="1">
      <alignment horizontal="center"/>
    </xf>
    <xf numFmtId="0" fontId="86" fillId="8" borderId="42" xfId="2" applyFont="1" applyFill="1" applyBorder="1" applyAlignment="1">
      <alignment horizontal="center"/>
    </xf>
    <xf numFmtId="0" fontId="86" fillId="8" borderId="9" xfId="2" applyFont="1" applyFill="1" applyBorder="1" applyAlignment="1">
      <alignment horizontal="center"/>
    </xf>
    <xf numFmtId="0" fontId="87" fillId="0" borderId="0" xfId="2" applyFont="1" applyAlignment="1">
      <alignment horizontal="center"/>
    </xf>
    <xf numFmtId="1" fontId="13" fillId="2" borderId="0" xfId="2" applyNumberFormat="1" applyFont="1" applyFill="1" applyAlignment="1">
      <alignment horizontal="center"/>
    </xf>
    <xf numFmtId="0" fontId="13" fillId="0" borderId="48" xfId="0" applyFont="1" applyBorder="1" applyAlignment="1">
      <alignment horizontal="center"/>
    </xf>
    <xf numFmtId="0" fontId="13" fillId="0" borderId="93" xfId="2" applyFont="1" applyBorder="1" applyAlignment="1">
      <alignment horizontal="center" vertical="center"/>
    </xf>
    <xf numFmtId="0" fontId="13" fillId="0" borderId="84" xfId="2" applyFont="1" applyBorder="1" applyAlignment="1">
      <alignment horizontal="center" vertical="center"/>
    </xf>
    <xf numFmtId="0" fontId="86" fillId="8" borderId="72" xfId="2" applyFont="1" applyFill="1" applyBorder="1" applyAlignment="1">
      <alignment horizontal="center"/>
    </xf>
    <xf numFmtId="0" fontId="86" fillId="8" borderId="12" xfId="2" applyFont="1" applyFill="1" applyBorder="1" applyAlignment="1">
      <alignment horizontal="center"/>
    </xf>
    <xf numFmtId="1" fontId="13" fillId="2" borderId="0" xfId="2" applyNumberFormat="1" applyFont="1" applyFill="1" applyAlignment="1">
      <alignment horizontal="center" vertical="center"/>
    </xf>
    <xf numFmtId="1" fontId="28" fillId="0" borderId="0" xfId="2" applyNumberFormat="1" applyFont="1" applyAlignment="1">
      <alignment horizontal="center" vertical="center"/>
    </xf>
    <xf numFmtId="1" fontId="28" fillId="3" borderId="0" xfId="2" applyNumberFormat="1" applyFont="1" applyFill="1" applyAlignment="1">
      <alignment horizontal="center"/>
    </xf>
    <xf numFmtId="170" fontId="27" fillId="0" borderId="8" xfId="2" applyNumberFormat="1" applyFont="1" applyBorder="1" applyAlignment="1">
      <alignment horizontal="center"/>
    </xf>
    <xf numFmtId="0" fontId="27" fillId="0" borderId="9" xfId="2" applyFont="1" applyBorder="1" applyAlignment="1">
      <alignment horizontal="center"/>
    </xf>
    <xf numFmtId="0" fontId="26" fillId="0" borderId="27" xfId="2" applyFont="1" applyBorder="1">
      <alignment vertical="center"/>
    </xf>
    <xf numFmtId="0" fontId="49" fillId="8" borderId="1" xfId="2" applyFont="1" applyFill="1" applyBorder="1" applyAlignment="1">
      <alignment horizontal="center" vertical="center"/>
    </xf>
    <xf numFmtId="0" fontId="27" fillId="0" borderId="0" xfId="0" applyFont="1" applyAlignment="1">
      <alignment horizontal="right" vertical="center"/>
    </xf>
    <xf numFmtId="0" fontId="88" fillId="8" borderId="5" xfId="2" applyFont="1" applyFill="1" applyBorder="1" applyAlignment="1">
      <alignment horizontal="center" vertical="center"/>
    </xf>
    <xf numFmtId="0" fontId="49" fillId="0" borderId="6" xfId="2" applyFont="1" applyBorder="1" applyAlignment="1">
      <alignment horizontal="center" vertical="center"/>
    </xf>
    <xf numFmtId="0" fontId="54" fillId="0" borderId="0" xfId="0" applyFont="1">
      <alignment vertical="center"/>
    </xf>
    <xf numFmtId="0" fontId="13" fillId="0" borderId="15" xfId="2" applyFont="1" applyBorder="1" applyAlignment="1">
      <alignment horizontal="right"/>
    </xf>
    <xf numFmtId="1" fontId="13" fillId="0" borderId="15" xfId="2" applyNumberFormat="1" applyFont="1" applyBorder="1" applyAlignment="1"/>
    <xf numFmtId="0" fontId="13" fillId="0" borderId="42" xfId="0" applyFont="1" applyBorder="1" applyAlignment="1">
      <alignment horizontal="center" vertical="center"/>
    </xf>
    <xf numFmtId="0" fontId="88" fillId="0" borderId="9" xfId="2" applyFont="1" applyBorder="1" applyAlignment="1">
      <alignment horizontal="center" vertical="center"/>
    </xf>
    <xf numFmtId="0" fontId="49" fillId="0" borderId="51" xfId="2" applyFont="1" applyBorder="1" applyAlignment="1">
      <alignment horizontal="center" vertical="center"/>
    </xf>
    <xf numFmtId="0" fontId="62" fillId="0" borderId="0" xfId="2" applyFont="1" applyAlignment="1">
      <alignment horizontal="right"/>
    </xf>
    <xf numFmtId="0" fontId="13" fillId="0" borderId="42" xfId="2" applyFont="1" applyBorder="1" applyAlignment="1">
      <alignment horizontal="center" vertical="center"/>
    </xf>
    <xf numFmtId="0" fontId="89" fillId="0" borderId="72" xfId="2" applyFont="1" applyBorder="1" applyAlignment="1">
      <alignment horizontal="center" vertical="center"/>
    </xf>
    <xf numFmtId="0" fontId="88" fillId="0" borderId="12" xfId="2" applyFont="1" applyBorder="1" applyAlignment="1">
      <alignment horizontal="center" vertical="center"/>
    </xf>
    <xf numFmtId="0" fontId="49" fillId="0" borderId="13" xfId="2" applyFont="1" applyBorder="1" applyAlignment="1">
      <alignment horizontal="center" vertical="center"/>
    </xf>
    <xf numFmtId="0" fontId="54" fillId="0" borderId="1" xfId="2" applyFont="1" applyBorder="1" applyAlignment="1">
      <alignment horizontal="center"/>
    </xf>
    <xf numFmtId="0" fontId="13" fillId="0" borderId="48" xfId="0" applyFont="1" applyBorder="1">
      <alignment vertical="center"/>
    </xf>
    <xf numFmtId="0" fontId="13" fillId="0" borderId="39" xfId="2" applyFont="1" applyBorder="1" applyAlignment="1">
      <alignment horizontal="center" vertical="center"/>
    </xf>
    <xf numFmtId="0" fontId="88" fillId="0" borderId="40" xfId="2" applyFont="1" applyBorder="1" applyAlignment="1">
      <alignment horizontal="center" vertical="center"/>
    </xf>
    <xf numFmtId="0" fontId="49" fillId="0" borderId="56" xfId="2" applyFont="1" applyBorder="1" applyAlignment="1">
      <alignment horizontal="center" vertical="center"/>
    </xf>
    <xf numFmtId="0" fontId="13" fillId="0" borderId="3" xfId="2" applyFont="1" applyBorder="1" applyAlignment="1">
      <alignment horizontal="center"/>
    </xf>
    <xf numFmtId="0" fontId="13" fillId="0" borderId="67" xfId="2" applyFont="1" applyBorder="1" applyAlignment="1">
      <alignment horizontal="center"/>
    </xf>
    <xf numFmtId="0" fontId="13" fillId="0" borderId="29" xfId="2" applyFont="1" applyBorder="1" applyAlignment="1">
      <alignment horizontal="center"/>
    </xf>
    <xf numFmtId="0" fontId="13" fillId="0" borderId="7" xfId="2" applyFont="1" applyBorder="1" applyAlignment="1">
      <alignment horizontal="center"/>
    </xf>
    <xf numFmtId="170" fontId="13" fillId="0" borderId="0" xfId="2" applyNumberFormat="1" applyFont="1" applyAlignment="1">
      <alignment horizontal="center"/>
    </xf>
    <xf numFmtId="0" fontId="27" fillId="10" borderId="29" xfId="2" applyFont="1" applyFill="1" applyBorder="1" applyAlignment="1">
      <alignment horizontal="center" vertical="center"/>
    </xf>
    <xf numFmtId="0" fontId="49" fillId="0" borderId="27" xfId="2" applyFont="1" applyBorder="1" applyAlignment="1">
      <alignment horizontal="center"/>
    </xf>
    <xf numFmtId="0" fontId="13" fillId="10" borderId="32" xfId="2" applyFont="1" applyFill="1" applyBorder="1" applyAlignment="1">
      <alignment horizontal="center"/>
    </xf>
    <xf numFmtId="170" fontId="27" fillId="2" borderId="0" xfId="2" applyNumberFormat="1" applyFont="1" applyFill="1" applyAlignment="1">
      <alignment horizontal="center" vertical="center"/>
    </xf>
    <xf numFmtId="0" fontId="89" fillId="0" borderId="42" xfId="2" applyFont="1" applyBorder="1" applyAlignment="1">
      <alignment horizontal="center" vertical="center"/>
    </xf>
    <xf numFmtId="0" fontId="13" fillId="0" borderId="32" xfId="2" applyFont="1" applyBorder="1" applyAlignment="1">
      <alignment horizontal="left"/>
    </xf>
    <xf numFmtId="174" fontId="24" fillId="10" borderId="0" xfId="2" applyNumberFormat="1" applyFont="1" applyFill="1" applyAlignment="1">
      <alignment horizontal="center" vertical="center"/>
    </xf>
    <xf numFmtId="170" fontId="13" fillId="0" borderId="58" xfId="2" applyNumberFormat="1" applyFont="1" applyBorder="1" applyAlignment="1">
      <alignment horizontal="center"/>
    </xf>
    <xf numFmtId="0" fontId="27" fillId="3" borderId="48" xfId="2" applyFont="1" applyFill="1" applyBorder="1" applyAlignment="1">
      <alignment horizontal="center" vertical="center"/>
    </xf>
    <xf numFmtId="9" fontId="13" fillId="0" borderId="52" xfId="4" applyFont="1" applyFill="1" applyBorder="1" applyAlignment="1">
      <alignment horizontal="center" vertical="center"/>
    </xf>
    <xf numFmtId="2" fontId="13" fillId="0" borderId="65" xfId="2" applyNumberFormat="1" applyFont="1" applyBorder="1" applyAlignment="1">
      <alignment horizontal="center"/>
    </xf>
    <xf numFmtId="0" fontId="13" fillId="0" borderId="44" xfId="2" applyFont="1" applyBorder="1" applyAlignment="1">
      <alignment horizontal="center" vertical="center"/>
    </xf>
    <xf numFmtId="0" fontId="88" fillId="0" borderId="45" xfId="2" applyFont="1" applyBorder="1" applyAlignment="1">
      <alignment horizontal="center" vertical="center"/>
    </xf>
    <xf numFmtId="0" fontId="49" fillId="0" borderId="55" xfId="2" applyFont="1" applyBorder="1" applyAlignment="1">
      <alignment horizontal="center" vertical="center"/>
    </xf>
    <xf numFmtId="170" fontId="13" fillId="0" borderId="0" xfId="2" applyNumberFormat="1" applyFont="1" applyAlignment="1"/>
    <xf numFmtId="0" fontId="13" fillId="0" borderId="75" xfId="2" applyFont="1" applyBorder="1" applyAlignment="1">
      <alignment horizontal="center" vertical="center"/>
    </xf>
    <xf numFmtId="0" fontId="88" fillId="0" borderId="5" xfId="2" applyFont="1" applyBorder="1" applyAlignment="1">
      <alignment horizontal="center" vertical="center"/>
    </xf>
    <xf numFmtId="0" fontId="13" fillId="0" borderId="72" xfId="2" applyFont="1" applyBorder="1" applyAlignment="1">
      <alignment horizontal="center" vertical="center"/>
    </xf>
    <xf numFmtId="0" fontId="13" fillId="0" borderId="66" xfId="2" applyFont="1" applyBorder="1" applyAlignment="1">
      <alignment horizontal="center"/>
    </xf>
    <xf numFmtId="0" fontId="13" fillId="0" borderId="6" xfId="0" applyFont="1" applyBorder="1" applyAlignment="1">
      <alignment horizontal="center" vertical="center"/>
    </xf>
    <xf numFmtId="0" fontId="54" fillId="0" borderId="13" xfId="2" applyFont="1" applyBorder="1" applyAlignment="1">
      <alignment horizontal="center" vertical="center"/>
    </xf>
    <xf numFmtId="167" fontId="13" fillId="0" borderId="0" xfId="2" applyNumberFormat="1" applyFont="1" applyAlignment="1"/>
    <xf numFmtId="0" fontId="13" fillId="0" borderId="12" xfId="2" applyFont="1" applyBorder="1" applyAlignment="1"/>
    <xf numFmtId="0" fontId="13" fillId="0" borderId="12" xfId="2" applyFont="1" applyBorder="1" applyAlignment="1">
      <alignment horizontal="center"/>
    </xf>
    <xf numFmtId="0" fontId="13" fillId="10" borderId="13" xfId="2" applyFont="1" applyFill="1" applyBorder="1" applyAlignment="1">
      <alignment horizontal="center"/>
    </xf>
    <xf numFmtId="1" fontId="13" fillId="0" borderId="0" xfId="2" applyNumberFormat="1" applyFont="1" applyAlignment="1">
      <alignment horizontal="center" vertical="top"/>
    </xf>
    <xf numFmtId="170" fontId="46" fillId="0" borderId="0" xfId="2" applyNumberFormat="1" applyFont="1" applyAlignment="1"/>
    <xf numFmtId="178" fontId="13" fillId="0" borderId="0" xfId="2" applyNumberFormat="1" applyFont="1" applyAlignment="1"/>
    <xf numFmtId="170" fontId="13" fillId="0" borderId="0" xfId="2" applyNumberFormat="1" applyFont="1" applyAlignment="1">
      <alignment horizontal="center" vertical="center"/>
    </xf>
    <xf numFmtId="0" fontId="49" fillId="0" borderId="42" xfId="2" applyFont="1" applyBorder="1" applyAlignment="1">
      <alignment horizontal="center" vertical="center"/>
    </xf>
    <xf numFmtId="14" fontId="13" fillId="0" borderId="0" xfId="2" applyNumberFormat="1" applyFont="1" applyAlignment="1">
      <alignment horizontal="right"/>
    </xf>
    <xf numFmtId="0" fontId="13" fillId="0" borderId="75" xfId="2" applyFont="1" applyBorder="1" applyAlignment="1">
      <alignment horizontal="center"/>
    </xf>
    <xf numFmtId="0" fontId="13" fillId="0" borderId="5" xfId="2" applyFont="1" applyBorder="1" applyAlignment="1">
      <alignment horizontal="center"/>
    </xf>
    <xf numFmtId="170" fontId="46" fillId="0" borderId="0" xfId="2" applyNumberFormat="1" applyFont="1" applyAlignment="1">
      <alignment horizontal="center"/>
    </xf>
    <xf numFmtId="2" fontId="13" fillId="0" borderId="0" xfId="2" applyNumberFormat="1" applyFont="1" applyAlignment="1">
      <alignment horizontal="center" vertical="center"/>
    </xf>
    <xf numFmtId="14" fontId="13" fillId="0" borderId="0" xfId="2" applyNumberFormat="1" applyFont="1" applyAlignment="1">
      <alignment horizontal="left"/>
    </xf>
    <xf numFmtId="0" fontId="49" fillId="0" borderId="72" xfId="2" applyFont="1" applyBorder="1" applyAlignment="1">
      <alignment horizontal="center" vertical="center"/>
    </xf>
    <xf numFmtId="0" fontId="70" fillId="0" borderId="0" xfId="2" applyFont="1" applyAlignment="1">
      <alignment horizontal="center"/>
    </xf>
    <xf numFmtId="0" fontId="62" fillId="0" borderId="0" xfId="2" applyFont="1" applyAlignment="1">
      <alignment horizontal="center" vertical="center"/>
    </xf>
    <xf numFmtId="0" fontId="13" fillId="0" borderId="72" xfId="2" applyFont="1" applyBorder="1" applyAlignment="1">
      <alignment horizontal="center"/>
    </xf>
    <xf numFmtId="0" fontId="52" fillId="19" borderId="1" xfId="0" applyFont="1" applyFill="1" applyBorder="1" applyAlignment="1"/>
    <xf numFmtId="0" fontId="13" fillId="19" borderId="23" xfId="0" applyFont="1" applyFill="1" applyBorder="1" applyAlignment="1"/>
    <xf numFmtId="0" fontId="13" fillId="0" borderId="23" xfId="0" applyFont="1" applyBorder="1" applyAlignment="1"/>
    <xf numFmtId="2" fontId="13" fillId="0" borderId="29" xfId="0" applyNumberFormat="1" applyFont="1" applyBorder="1" applyAlignment="1"/>
    <xf numFmtId="0" fontId="13" fillId="0" borderId="26" xfId="0" applyFont="1" applyBorder="1" applyAlignment="1">
      <alignment horizontal="left"/>
    </xf>
    <xf numFmtId="2" fontId="13" fillId="0" borderId="27" xfId="0" applyNumberFormat="1" applyFont="1" applyBorder="1" applyAlignment="1"/>
    <xf numFmtId="0" fontId="64" fillId="0" borderId="0" xfId="2" applyFont="1" applyAlignment="1"/>
    <xf numFmtId="0" fontId="64" fillId="0" borderId="27" xfId="2" applyFont="1" applyBorder="1" applyAlignment="1"/>
    <xf numFmtId="0" fontId="77" fillId="0" borderId="24" xfId="2" applyFont="1" applyBorder="1" applyAlignment="1">
      <alignment horizontal="center" vertical="center"/>
    </xf>
    <xf numFmtId="0" fontId="13" fillId="0" borderId="0" xfId="0" applyFont="1" applyAlignment="1">
      <alignment horizontal="right"/>
    </xf>
    <xf numFmtId="0" fontId="13" fillId="0" borderId="26" xfId="0" applyFont="1" applyBorder="1" applyAlignment="1"/>
    <xf numFmtId="0" fontId="55" fillId="0" borderId="2" xfId="0" applyFont="1" applyBorder="1" applyAlignment="1">
      <alignment horizontal="center" vertical="center"/>
    </xf>
    <xf numFmtId="0" fontId="23" fillId="0" borderId="26" xfId="0" applyFont="1" applyBorder="1" applyAlignment="1"/>
    <xf numFmtId="0" fontId="23" fillId="0" borderId="0" xfId="0" applyFont="1" applyAlignment="1"/>
    <xf numFmtId="2" fontId="23" fillId="0" borderId="27" xfId="0" applyNumberFormat="1" applyFont="1" applyBorder="1" applyAlignment="1"/>
    <xf numFmtId="0" fontId="13" fillId="0" borderId="30" xfId="0" applyFont="1" applyBorder="1">
      <alignment vertical="center"/>
    </xf>
    <xf numFmtId="0" fontId="55" fillId="0" borderId="27" xfId="2" applyFont="1" applyBorder="1" applyAlignment="1"/>
    <xf numFmtId="0" fontId="94" fillId="3" borderId="31" xfId="0" applyFont="1" applyFill="1" applyBorder="1" applyAlignment="1">
      <alignment horizontal="center" vertical="center"/>
    </xf>
    <xf numFmtId="0" fontId="13" fillId="0" borderId="26" xfId="0" applyFont="1" applyBorder="1" applyAlignment="1">
      <alignment horizontal="left" vertical="center"/>
    </xf>
    <xf numFmtId="0" fontId="13" fillId="0" borderId="27" xfId="0" applyFont="1" applyBorder="1" applyAlignment="1">
      <alignment horizontal="center" vertical="center"/>
    </xf>
    <xf numFmtId="174" fontId="13" fillId="8" borderId="5" xfId="2" applyNumberFormat="1" applyFont="1" applyFill="1" applyBorder="1" applyAlignment="1">
      <alignment horizontal="center"/>
    </xf>
    <xf numFmtId="0" fontId="13" fillId="0" borderId="6" xfId="2" applyFont="1" applyBorder="1" applyAlignment="1">
      <alignment horizontal="center"/>
    </xf>
    <xf numFmtId="0" fontId="13" fillId="0" borderId="43" xfId="2" applyFont="1" applyBorder="1" applyAlignment="1">
      <alignment horizontal="center"/>
    </xf>
    <xf numFmtId="167" fontId="13" fillId="0" borderId="27" xfId="0" applyNumberFormat="1" applyFont="1" applyBorder="1" applyAlignment="1"/>
    <xf numFmtId="0" fontId="13" fillId="0" borderId="28" xfId="0" applyFont="1" applyBorder="1" applyAlignment="1">
      <alignment horizontal="center" vertical="center"/>
    </xf>
    <xf numFmtId="0" fontId="13" fillId="0" borderId="67" xfId="0" applyFont="1" applyBorder="1" applyAlignment="1">
      <alignment horizontal="center" vertical="center"/>
    </xf>
    <xf numFmtId="2" fontId="13" fillId="8" borderId="9" xfId="2" applyNumberFormat="1" applyFont="1" applyFill="1" applyBorder="1" applyAlignment="1">
      <alignment horizontal="center"/>
    </xf>
    <xf numFmtId="1" fontId="13" fillId="0" borderId="27" xfId="0" applyNumberFormat="1" applyFont="1" applyBorder="1" applyAlignment="1">
      <alignment horizontal="right"/>
    </xf>
    <xf numFmtId="0" fontId="13" fillId="0" borderId="10" xfId="2" applyFont="1" applyBorder="1" applyAlignment="1">
      <alignment horizontal="center" vertical="center"/>
    </xf>
    <xf numFmtId="0" fontId="23" fillId="0" borderId="26" xfId="0" applyFont="1" applyBorder="1" applyAlignment="1">
      <alignment horizontal="left"/>
    </xf>
    <xf numFmtId="0" fontId="23" fillId="0" borderId="0" xfId="0" quotePrefix="1" applyFont="1" applyAlignment="1"/>
    <xf numFmtId="1" fontId="23" fillId="0" borderId="27" xfId="0" applyNumberFormat="1" applyFont="1" applyBorder="1" applyAlignment="1">
      <alignment horizontal="right"/>
    </xf>
    <xf numFmtId="9" fontId="13" fillId="0" borderId="0" xfId="4" applyFont="1" applyBorder="1" applyAlignment="1">
      <alignment horizontal="center"/>
    </xf>
    <xf numFmtId="0" fontId="13" fillId="0" borderId="2" xfId="4" applyNumberFormat="1" applyFont="1" applyBorder="1" applyAlignment="1">
      <alignment horizontal="center"/>
    </xf>
    <xf numFmtId="9" fontId="13" fillId="0" borderId="29" xfId="4" applyFont="1" applyBorder="1" applyAlignment="1">
      <alignment horizontal="center"/>
    </xf>
    <xf numFmtId="9" fontId="13" fillId="0" borderId="0" xfId="4" applyFont="1" applyAlignment="1">
      <alignment horizontal="center" vertical="center"/>
    </xf>
    <xf numFmtId="0" fontId="13" fillId="0" borderId="21" xfId="2" applyFont="1" applyBorder="1" applyAlignment="1">
      <alignment horizontal="center"/>
    </xf>
    <xf numFmtId="2" fontId="23" fillId="0" borderId="0" xfId="2" applyNumberFormat="1" applyFont="1" applyAlignment="1">
      <alignment horizontal="center" vertical="center"/>
    </xf>
    <xf numFmtId="0" fontId="58" fillId="0" borderId="0" xfId="0" applyFont="1" applyAlignment="1">
      <alignment horizontal="center" vertical="center"/>
    </xf>
    <xf numFmtId="9" fontId="13" fillId="0" borderId="71" xfId="4" applyFont="1" applyBorder="1" applyAlignment="1">
      <alignment horizontal="center"/>
    </xf>
    <xf numFmtId="174" fontId="13" fillId="0" borderId="6" xfId="2" applyNumberFormat="1" applyFont="1" applyBorder="1" applyAlignment="1">
      <alignment horizontal="center"/>
    </xf>
    <xf numFmtId="0" fontId="23" fillId="0" borderId="12" xfId="2" applyFont="1" applyBorder="1" applyAlignment="1">
      <alignment horizontal="center"/>
    </xf>
    <xf numFmtId="0" fontId="13" fillId="0" borderId="13" xfId="2" applyFont="1" applyBorder="1" applyAlignment="1">
      <alignment horizontal="center"/>
    </xf>
    <xf numFmtId="2" fontId="13" fillId="0" borderId="0" xfId="0" applyNumberFormat="1" applyFont="1" applyAlignment="1">
      <alignment horizontal="center"/>
    </xf>
    <xf numFmtId="2" fontId="13" fillId="0" borderId="48" xfId="0" applyNumberFormat="1" applyFont="1" applyBorder="1" applyAlignment="1">
      <alignment horizontal="right"/>
    </xf>
    <xf numFmtId="10" fontId="95" fillId="0" borderId="48" xfId="4" applyNumberFormat="1" applyFont="1" applyBorder="1" applyAlignment="1">
      <alignment horizontal="center" vertical="center"/>
    </xf>
    <xf numFmtId="0" fontId="13" fillId="0" borderId="65" xfId="2" applyFont="1" applyBorder="1" applyAlignment="1">
      <alignment horizontal="center"/>
    </xf>
    <xf numFmtId="9" fontId="13" fillId="0" borderId="15" xfId="4" applyFont="1" applyBorder="1" applyAlignment="1">
      <alignment horizontal="center"/>
    </xf>
    <xf numFmtId="174" fontId="13" fillId="0" borderId="55" xfId="2" applyNumberFormat="1" applyFont="1" applyBorder="1" applyAlignment="1">
      <alignment horizontal="center"/>
    </xf>
    <xf numFmtId="0" fontId="13" fillId="0" borderId="81" xfId="2" applyFont="1" applyBorder="1" applyAlignment="1">
      <alignment horizontal="center"/>
    </xf>
    <xf numFmtId="0" fontId="13" fillId="0" borderId="88" xfId="2" applyFont="1" applyBorder="1" applyAlignment="1">
      <alignment horizontal="center"/>
    </xf>
    <xf numFmtId="0" fontId="13" fillId="0" borderId="24" xfId="0" applyFont="1" applyBorder="1" applyAlignment="1"/>
    <xf numFmtId="0" fontId="13" fillId="0" borderId="25" xfId="0" applyFont="1" applyBorder="1" applyAlignment="1"/>
    <xf numFmtId="2" fontId="13" fillId="0" borderId="28" xfId="0" applyNumberFormat="1" applyFont="1" applyBorder="1" applyAlignment="1">
      <alignment horizontal="right"/>
    </xf>
    <xf numFmtId="0" fontId="30" fillId="0" borderId="9" xfId="0" applyFont="1" applyBorder="1" applyAlignment="1">
      <alignment horizontal="center" vertical="center"/>
    </xf>
    <xf numFmtId="0" fontId="30" fillId="0" borderId="9" xfId="0" applyFont="1" applyBorder="1" applyAlignment="1">
      <alignment horizontal="center"/>
    </xf>
    <xf numFmtId="170" fontId="26" fillId="0" borderId="9" xfId="2" applyNumberFormat="1" applyFont="1" applyBorder="1" applyAlignment="1">
      <alignment horizontal="center" vertical="center"/>
    </xf>
    <xf numFmtId="2" fontId="13" fillId="0" borderId="37" xfId="2" applyNumberFormat="1" applyFont="1" applyBorder="1" applyAlignment="1">
      <alignment horizontal="center" vertical="center"/>
    </xf>
    <xf numFmtId="2" fontId="13" fillId="0" borderId="32" xfId="2" applyNumberFormat="1" applyFont="1" applyBorder="1" applyAlignment="1">
      <alignment horizontal="center" vertical="center"/>
    </xf>
    <xf numFmtId="0" fontId="13" fillId="0" borderId="34" xfId="2" applyFont="1" applyBorder="1" applyAlignment="1">
      <alignment horizontal="center"/>
    </xf>
    <xf numFmtId="0" fontId="94" fillId="0" borderId="0" xfId="0" applyFont="1" applyAlignment="1">
      <alignment horizontal="center"/>
    </xf>
    <xf numFmtId="0" fontId="23" fillId="8" borderId="0" xfId="2" applyFont="1" applyFill="1" applyAlignment="1">
      <alignment horizontal="left" vertical="center"/>
    </xf>
    <xf numFmtId="20" fontId="23" fillId="10" borderId="0" xfId="2" applyNumberFormat="1" applyFont="1" applyFill="1" applyAlignment="1">
      <alignment horizontal="center" vertical="center"/>
    </xf>
    <xf numFmtId="0" fontId="23" fillId="12" borderId="0" xfId="2" applyFont="1" applyFill="1" applyAlignment="1">
      <alignment horizontal="center" vertical="center"/>
    </xf>
    <xf numFmtId="0" fontId="27" fillId="0" borderId="0" xfId="2" applyFont="1" applyAlignment="1">
      <alignment horizontal="center"/>
    </xf>
    <xf numFmtId="0" fontId="94" fillId="3" borderId="48" xfId="0" applyFont="1" applyFill="1" applyBorder="1" applyAlignment="1">
      <alignment horizontal="center" vertical="center"/>
    </xf>
    <xf numFmtId="169" fontId="13" fillId="0" borderId="0" xfId="1" applyNumberFormat="1" applyFont="1" applyBorder="1" applyAlignment="1">
      <alignment horizontal="right"/>
    </xf>
    <xf numFmtId="0" fontId="13" fillId="0" borderId="1" xfId="0" applyFont="1" applyBorder="1">
      <alignment vertical="center"/>
    </xf>
    <xf numFmtId="174" fontId="13" fillId="0" borderId="29" xfId="0" applyNumberFormat="1" applyFont="1" applyBorder="1">
      <alignment vertical="center"/>
    </xf>
    <xf numFmtId="0" fontId="13" fillId="21" borderId="9" xfId="2" applyFont="1" applyFill="1" applyBorder="1" applyAlignment="1">
      <alignment horizontal="center" vertical="center"/>
    </xf>
    <xf numFmtId="0" fontId="23" fillId="21" borderId="9" xfId="2" applyFont="1" applyFill="1" applyBorder="1" applyAlignment="1">
      <alignment horizontal="center" vertical="center"/>
    </xf>
    <xf numFmtId="0" fontId="13" fillId="0" borderId="0" xfId="0" quotePrefix="1" applyFont="1">
      <alignment vertical="center"/>
    </xf>
    <xf numFmtId="0" fontId="13" fillId="0" borderId="26" xfId="0" applyFont="1" applyBorder="1">
      <alignment vertical="center"/>
    </xf>
    <xf numFmtId="174" fontId="13" fillId="0" borderId="27" xfId="0" applyNumberFormat="1" applyFont="1" applyBorder="1">
      <alignment vertical="center"/>
    </xf>
    <xf numFmtId="169" fontId="13" fillId="17" borderId="9" xfId="15" applyNumberFormat="1" applyFont="1" applyFill="1" applyBorder="1" applyAlignment="1">
      <alignment horizontal="center" vertical="center"/>
    </xf>
    <xf numFmtId="0" fontId="13" fillId="17" borderId="9" xfId="2" applyFont="1" applyFill="1" applyBorder="1" applyAlignment="1">
      <alignment horizontal="center" vertical="center"/>
    </xf>
    <xf numFmtId="0" fontId="62" fillId="17" borderId="9" xfId="2" applyFont="1" applyFill="1" applyBorder="1" applyAlignment="1">
      <alignment horizontal="center" vertical="center"/>
    </xf>
    <xf numFmtId="174" fontId="23" fillId="0" borderId="0" xfId="2" applyNumberFormat="1" applyFont="1" applyAlignment="1">
      <alignment horizontal="center" vertical="center"/>
    </xf>
    <xf numFmtId="0" fontId="13" fillId="0" borderId="24" xfId="0" applyFont="1" applyBorder="1">
      <alignment vertical="center"/>
    </xf>
    <xf numFmtId="2" fontId="13" fillId="0" borderId="28" xfId="0" applyNumberFormat="1" applyFont="1" applyBorder="1">
      <alignment vertical="center"/>
    </xf>
    <xf numFmtId="0" fontId="13" fillId="17" borderId="9" xfId="12" applyFont="1" applyFill="1" applyBorder="1" applyAlignment="1">
      <alignment horizontal="center" wrapText="1"/>
    </xf>
    <xf numFmtId="2" fontId="13" fillId="0" borderId="0" xfId="0" applyNumberFormat="1" applyFont="1">
      <alignment vertical="center"/>
    </xf>
    <xf numFmtId="2" fontId="13" fillId="0" borderId="29" xfId="0" applyNumberFormat="1" applyFont="1" applyBorder="1">
      <alignment vertical="center"/>
    </xf>
    <xf numFmtId="20" fontId="13" fillId="0" borderId="24" xfId="0" applyNumberFormat="1" applyFont="1" applyBorder="1">
      <alignment vertical="center"/>
    </xf>
    <xf numFmtId="0" fontId="55" fillId="8" borderId="0" xfId="2" applyFont="1" applyFill="1" applyAlignment="1">
      <alignment horizontal="center"/>
    </xf>
    <xf numFmtId="0" fontId="36" fillId="32" borderId="0" xfId="0" applyFont="1" applyFill="1" applyAlignment="1">
      <alignment horizontal="center" vertical="center"/>
    </xf>
    <xf numFmtId="0" fontId="27" fillId="0" borderId="48" xfId="0" applyFont="1" applyBorder="1" applyAlignment="1">
      <alignment horizontal="center" vertical="center"/>
    </xf>
    <xf numFmtId="173" fontId="54" fillId="0" borderId="0" xfId="2" applyNumberFormat="1" applyFont="1" applyAlignment="1">
      <alignment horizontal="center" vertical="center"/>
    </xf>
    <xf numFmtId="0" fontId="62" fillId="17" borderId="9" xfId="12" applyFont="1" applyFill="1" applyBorder="1" applyAlignment="1">
      <alignment horizontal="center" vertical="center"/>
    </xf>
    <xf numFmtId="0" fontId="13" fillId="21" borderId="9" xfId="12" applyFont="1" applyFill="1" applyBorder="1" applyAlignment="1">
      <alignment horizontal="center" vertical="center" wrapText="1"/>
    </xf>
    <xf numFmtId="0" fontId="29" fillId="21" borderId="9" xfId="12" applyFont="1" applyFill="1" applyBorder="1" applyAlignment="1">
      <alignment horizontal="center" vertical="center"/>
    </xf>
    <xf numFmtId="0" fontId="13" fillId="21" borderId="9" xfId="2" applyFont="1" applyFill="1" applyBorder="1" applyAlignment="1">
      <alignment horizontal="center" vertical="center" wrapText="1"/>
    </xf>
    <xf numFmtId="0" fontId="96" fillId="0" borderId="0" xfId="0" applyFont="1" applyAlignment="1">
      <alignment horizontal="left" vertical="center"/>
    </xf>
    <xf numFmtId="0" fontId="38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46" fillId="0" borderId="0" xfId="0" applyFont="1" applyAlignment="1">
      <alignment horizontal="left" vertical="center"/>
    </xf>
    <xf numFmtId="0" fontId="65" fillId="8" borderId="9" xfId="2" applyFont="1" applyFill="1" applyBorder="1" applyAlignment="1">
      <alignment horizontal="center" vertical="center"/>
    </xf>
    <xf numFmtId="0" fontId="23" fillId="0" borderId="8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23" fillId="21" borderId="9" xfId="14" applyFont="1" applyFill="1" applyBorder="1" applyAlignment="1">
      <alignment horizontal="center" vertical="center" wrapText="1"/>
    </xf>
    <xf numFmtId="0" fontId="29" fillId="17" borderId="9" xfId="14" applyFont="1" applyFill="1" applyBorder="1" applyAlignment="1">
      <alignment horizontal="center" vertical="center" wrapText="1"/>
    </xf>
    <xf numFmtId="0" fontId="29" fillId="17" borderId="9" xfId="14" applyFont="1" applyFill="1" applyBorder="1" applyAlignment="1">
      <alignment horizontal="center" vertical="center"/>
    </xf>
    <xf numFmtId="0" fontId="29" fillId="17" borderId="9" xfId="14" applyFont="1" applyFill="1" applyBorder="1" applyAlignment="1">
      <alignment horizontal="left" vertical="center"/>
    </xf>
    <xf numFmtId="0" fontId="13" fillId="0" borderId="92" xfId="2" applyFont="1" applyBorder="1" applyAlignment="1">
      <alignment horizontal="center" vertical="center"/>
    </xf>
    <xf numFmtId="0" fontId="13" fillId="0" borderId="83" xfId="2" applyFont="1" applyBorder="1" applyAlignment="1">
      <alignment horizontal="center" vertical="center"/>
    </xf>
    <xf numFmtId="0" fontId="54" fillId="0" borderId="35" xfId="0" applyFont="1" applyBorder="1" applyAlignment="1">
      <alignment horizontal="center" vertical="center"/>
    </xf>
    <xf numFmtId="0" fontId="27" fillId="0" borderId="36" xfId="0" applyFont="1" applyBorder="1" applyAlignment="1">
      <alignment horizontal="center" vertical="center"/>
    </xf>
    <xf numFmtId="0" fontId="18" fillId="8" borderId="9" xfId="14" applyFont="1" applyFill="1" applyBorder="1" applyAlignment="1">
      <alignment horizontal="center" vertical="center" wrapText="1"/>
    </xf>
    <xf numFmtId="0" fontId="29" fillId="17" borderId="9" xfId="14" applyFont="1" applyFill="1" applyBorder="1" applyAlignment="1">
      <alignment horizontal="left" vertical="center" wrapText="1"/>
    </xf>
    <xf numFmtId="0" fontId="23" fillId="17" borderId="43" xfId="12" applyFont="1" applyFill="1" applyBorder="1" applyAlignment="1">
      <alignment horizontal="center" wrapText="1"/>
    </xf>
    <xf numFmtId="0" fontId="50" fillId="17" borderId="9" xfId="14" applyFont="1" applyFill="1" applyBorder="1" applyAlignment="1">
      <alignment horizontal="center" vertical="center" wrapText="1"/>
    </xf>
    <xf numFmtId="0" fontId="62" fillId="17" borderId="40" xfId="12" applyFont="1" applyFill="1" applyBorder="1" applyAlignment="1">
      <alignment horizontal="center" vertical="center"/>
    </xf>
    <xf numFmtId="0" fontId="62" fillId="21" borderId="9" xfId="12" applyFont="1" applyFill="1" applyBorder="1" applyAlignment="1">
      <alignment horizontal="center" vertical="center"/>
    </xf>
    <xf numFmtId="0" fontId="15" fillId="27" borderId="9" xfId="14" applyFont="1" applyFill="1" applyBorder="1" applyAlignment="1">
      <alignment horizontal="center" vertical="center" wrapText="1"/>
    </xf>
    <xf numFmtId="0" fontId="29" fillId="27" borderId="9" xfId="14" applyFont="1" applyFill="1" applyBorder="1" applyAlignment="1">
      <alignment horizontal="center" vertical="center" wrapText="1"/>
    </xf>
    <xf numFmtId="0" fontId="29" fillId="27" borderId="9" xfId="14" applyFont="1" applyFill="1" applyBorder="1" applyAlignment="1">
      <alignment horizontal="center" vertical="center"/>
    </xf>
    <xf numFmtId="0" fontId="18" fillId="8" borderId="9" xfId="14" applyFont="1" applyFill="1" applyBorder="1" applyAlignment="1">
      <alignment horizontal="center" vertical="center"/>
    </xf>
    <xf numFmtId="20" fontId="36" fillId="0" borderId="0" xfId="0" applyNumberFormat="1" applyFont="1">
      <alignment vertical="center"/>
    </xf>
    <xf numFmtId="0" fontId="36" fillId="0" borderId="0" xfId="0" applyFont="1">
      <alignment vertical="center"/>
    </xf>
    <xf numFmtId="9" fontId="13" fillId="0" borderId="0" xfId="0" applyNumberFormat="1" applyFont="1" applyAlignment="1"/>
    <xf numFmtId="0" fontId="24" fillId="0" borderId="27" xfId="0" applyFont="1" applyBorder="1" applyAlignment="1"/>
    <xf numFmtId="20" fontId="24" fillId="0" borderId="0" xfId="0" applyNumberFormat="1" applyFont="1" applyAlignment="1"/>
    <xf numFmtId="0" fontId="24" fillId="0" borderId="6" xfId="0" applyFont="1" applyBorder="1" applyAlignment="1"/>
    <xf numFmtId="0" fontId="24" fillId="8" borderId="56" xfId="0" applyFont="1" applyFill="1" applyBorder="1" applyAlignment="1">
      <alignment horizontal="center"/>
    </xf>
    <xf numFmtId="0" fontId="24" fillId="8" borderId="42" xfId="0" applyFont="1" applyFill="1" applyBorder="1" applyAlignment="1">
      <alignment horizontal="center"/>
    </xf>
    <xf numFmtId="0" fontId="24" fillId="0" borderId="40" xfId="0" applyFont="1" applyBorder="1" applyAlignment="1"/>
    <xf numFmtId="2" fontId="13" fillId="10" borderId="0" xfId="2" applyNumberFormat="1" applyFont="1" applyFill="1" applyAlignment="1">
      <alignment horizontal="center"/>
    </xf>
    <xf numFmtId="0" fontId="25" fillId="0" borderId="33" xfId="2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4" fillId="0" borderId="0" xfId="0" applyFont="1" applyAlignment="1">
      <alignment wrapText="1"/>
    </xf>
    <xf numFmtId="2" fontId="53" fillId="2" borderId="0" xfId="2" applyNumberFormat="1" applyFont="1" applyFill="1" applyAlignment="1">
      <alignment horizontal="center"/>
    </xf>
    <xf numFmtId="0" fontId="24" fillId="0" borderId="79" xfId="0" applyFont="1" applyBorder="1" applyAlignment="1"/>
    <xf numFmtId="0" fontId="29" fillId="0" borderId="0" xfId="2" applyFont="1" applyAlignment="1">
      <alignment horizontal="center" vertical="center"/>
    </xf>
    <xf numFmtId="0" fontId="13" fillId="7" borderId="27" xfId="2" applyFont="1" applyFill="1" applyBorder="1" applyAlignment="1">
      <alignment horizontal="center" vertical="center"/>
    </xf>
    <xf numFmtId="0" fontId="27" fillId="0" borderId="0" xfId="2" applyFont="1" applyAlignment="1">
      <alignment horizontal="right" vertical="center"/>
    </xf>
    <xf numFmtId="173" fontId="13" fillId="7" borderId="0" xfId="2" applyNumberFormat="1" applyFont="1" applyFill="1" applyAlignment="1">
      <alignment horizontal="center" vertical="center"/>
    </xf>
    <xf numFmtId="173" fontId="13" fillId="0" borderId="9" xfId="2" applyNumberFormat="1" applyFont="1" applyBorder="1" applyAlignment="1">
      <alignment horizontal="center" vertical="center"/>
    </xf>
    <xf numFmtId="172" fontId="13" fillId="0" borderId="0" xfId="2" applyNumberFormat="1" applyFont="1" applyAlignment="1"/>
    <xf numFmtId="176" fontId="13" fillId="0" borderId="0" xfId="2" applyNumberFormat="1" applyFont="1" applyAlignment="1"/>
    <xf numFmtId="9" fontId="55" fillId="0" borderId="9" xfId="2" applyNumberFormat="1" applyFont="1" applyBorder="1" applyAlignment="1">
      <alignment horizontal="center" vertical="center"/>
    </xf>
    <xf numFmtId="0" fontId="53" fillId="0" borderId="0" xfId="2" applyFont="1" applyAlignment="1"/>
    <xf numFmtId="0" fontId="28" fillId="0" borderId="48" xfId="2" applyFont="1" applyBorder="1" applyAlignment="1">
      <alignment horizontal="center" vertical="center"/>
    </xf>
    <xf numFmtId="2" fontId="70" fillId="0" borderId="27" xfId="2" applyNumberFormat="1" applyFont="1" applyBorder="1" applyAlignment="1"/>
    <xf numFmtId="0" fontId="13" fillId="33" borderId="9" xfId="0" applyFont="1" applyFill="1" applyBorder="1">
      <alignment vertical="center"/>
    </xf>
    <xf numFmtId="2" fontId="25" fillId="8" borderId="27" xfId="2" applyNumberFormat="1" applyFont="1" applyFill="1" applyBorder="1" applyAlignment="1">
      <alignment horizontal="center" vertical="center"/>
    </xf>
    <xf numFmtId="1" fontId="13" fillId="0" borderId="9" xfId="2" applyNumberFormat="1" applyFont="1" applyBorder="1" applyAlignment="1">
      <alignment horizontal="center" vertical="center"/>
    </xf>
    <xf numFmtId="2" fontId="23" fillId="0" borderId="0" xfId="2" applyNumberFormat="1" applyFont="1" applyAlignment="1"/>
    <xf numFmtId="184" fontId="13" fillId="0" borderId="9" xfId="4" applyNumberFormat="1" applyFont="1" applyBorder="1" applyAlignment="1">
      <alignment horizontal="center" vertical="center"/>
    </xf>
    <xf numFmtId="0" fontId="71" fillId="0" borderId="0" xfId="2" applyFont="1" applyAlignment="1">
      <alignment horizontal="center"/>
    </xf>
    <xf numFmtId="0" fontId="13" fillId="8" borderId="15" xfId="2" applyFont="1" applyFill="1" applyBorder="1" applyAlignment="1">
      <alignment horizontal="center"/>
    </xf>
    <xf numFmtId="2" fontId="24" fillId="0" borderId="0" xfId="2" applyNumberFormat="1" applyFont="1" applyAlignment="1">
      <alignment horizontal="center"/>
    </xf>
    <xf numFmtId="9" fontId="13" fillId="0" borderId="0" xfId="2" applyNumberFormat="1" applyFont="1" applyAlignment="1">
      <alignment horizontal="center" vertical="center"/>
    </xf>
    <xf numFmtId="2" fontId="23" fillId="10" borderId="0" xfId="2" applyNumberFormat="1" applyFont="1" applyFill="1" applyAlignment="1">
      <alignment horizontal="center" vertical="center"/>
    </xf>
    <xf numFmtId="174" fontId="23" fillId="8" borderId="0" xfId="2" applyNumberFormat="1" applyFont="1" applyFill="1" applyAlignment="1">
      <alignment horizontal="center"/>
    </xf>
    <xf numFmtId="0" fontId="46" fillId="10" borderId="9" xfId="0" applyFont="1" applyFill="1" applyBorder="1" applyAlignment="1">
      <alignment horizontal="center"/>
    </xf>
    <xf numFmtId="0" fontId="46" fillId="10" borderId="9" xfId="0" applyFont="1" applyFill="1" applyBorder="1" applyAlignment="1">
      <alignment horizontal="center" vertical="center"/>
    </xf>
    <xf numFmtId="0" fontId="73" fillId="5" borderId="0" xfId="2" applyFont="1" applyFill="1" applyAlignment="1">
      <alignment horizontal="center" vertical="center"/>
    </xf>
    <xf numFmtId="0" fontId="31" fillId="5" borderId="9" xfId="2" applyFont="1" applyFill="1" applyBorder="1" applyAlignment="1">
      <alignment wrapText="1"/>
    </xf>
    <xf numFmtId="0" fontId="31" fillId="5" borderId="9" xfId="2" applyFont="1" applyFill="1" applyBorder="1" applyAlignment="1">
      <alignment horizontal="center"/>
    </xf>
    <xf numFmtId="0" fontId="13" fillId="0" borderId="75" xfId="2" applyFont="1" applyBorder="1" applyAlignment="1"/>
    <xf numFmtId="0" fontId="13" fillId="0" borderId="6" xfId="2" applyFont="1" applyBorder="1" applyAlignment="1"/>
    <xf numFmtId="0" fontId="13" fillId="0" borderId="38" xfId="2" applyFont="1" applyBorder="1" applyAlignment="1">
      <alignment horizontal="center"/>
    </xf>
    <xf numFmtId="0" fontId="13" fillId="0" borderId="36" xfId="2" applyFont="1" applyBorder="1" applyAlignment="1">
      <alignment horizontal="center" vertical="center"/>
    </xf>
    <xf numFmtId="0" fontId="13" fillId="10" borderId="56" xfId="2" applyFont="1" applyFill="1" applyBorder="1" applyAlignment="1">
      <alignment horizontal="center"/>
    </xf>
    <xf numFmtId="0" fontId="13" fillId="8" borderId="22" xfId="2" applyFont="1" applyFill="1" applyBorder="1" applyAlignment="1">
      <alignment horizontal="center"/>
    </xf>
    <xf numFmtId="0" fontId="13" fillId="0" borderId="40" xfId="2" applyFont="1" applyBorder="1" applyAlignment="1"/>
    <xf numFmtId="0" fontId="13" fillId="8" borderId="8" xfId="2" applyFont="1" applyFill="1" applyBorder="1" applyAlignment="1">
      <alignment horizontal="center"/>
    </xf>
    <xf numFmtId="167" fontId="13" fillId="0" borderId="0" xfId="2" applyNumberFormat="1" applyFont="1" applyAlignment="1">
      <alignment horizontal="center" vertical="center"/>
    </xf>
    <xf numFmtId="170" fontId="23" fillId="10" borderId="0" xfId="2" applyNumberFormat="1" applyFont="1" applyFill="1" applyAlignment="1">
      <alignment horizontal="center" vertical="center"/>
    </xf>
    <xf numFmtId="0" fontId="13" fillId="0" borderId="45" xfId="0" applyFont="1" applyBorder="1" applyAlignment="1">
      <alignment horizontal="center" vertical="center"/>
    </xf>
    <xf numFmtId="174" fontId="13" fillId="8" borderId="0" xfId="2" applyNumberFormat="1" applyFont="1" applyFill="1" applyAlignment="1">
      <alignment horizontal="center"/>
    </xf>
    <xf numFmtId="0" fontId="13" fillId="8" borderId="0" xfId="0" applyFont="1" applyFill="1" applyAlignment="1">
      <alignment horizontal="center"/>
    </xf>
    <xf numFmtId="0" fontId="13" fillId="8" borderId="11" xfId="2" applyFont="1" applyFill="1" applyBorder="1" applyAlignment="1">
      <alignment horizontal="center"/>
    </xf>
    <xf numFmtId="0" fontId="23" fillId="7" borderId="48" xfId="2" applyFont="1" applyFill="1" applyBorder="1" applyAlignment="1">
      <alignment horizontal="center" vertical="center"/>
    </xf>
    <xf numFmtId="0" fontId="13" fillId="8" borderId="0" xfId="0" applyFont="1" applyFill="1" applyAlignment="1">
      <alignment horizontal="left"/>
    </xf>
    <xf numFmtId="0" fontId="13" fillId="0" borderId="31" xfId="0" applyFont="1" applyBorder="1" applyAlignment="1">
      <alignment horizontal="center"/>
    </xf>
    <xf numFmtId="0" fontId="23" fillId="0" borderId="77" xfId="2" applyFont="1" applyBorder="1" applyAlignment="1">
      <alignment horizontal="center"/>
    </xf>
    <xf numFmtId="0" fontId="13" fillId="0" borderId="15" xfId="2" applyFont="1" applyBorder="1" applyAlignment="1">
      <alignment horizontal="left"/>
    </xf>
    <xf numFmtId="0" fontId="28" fillId="0" borderId="0" xfId="2" applyFont="1" applyAlignment="1">
      <alignment horizontal="center"/>
    </xf>
    <xf numFmtId="0" fontId="23" fillId="12" borderId="32" xfId="2" applyFont="1" applyFill="1" applyBorder="1" applyAlignment="1">
      <alignment horizontal="center"/>
    </xf>
    <xf numFmtId="0" fontId="99" fillId="10" borderId="9" xfId="2" applyFont="1" applyFill="1" applyBorder="1" applyAlignment="1">
      <alignment horizontal="center" vertical="center"/>
    </xf>
    <xf numFmtId="0" fontId="13" fillId="0" borderId="39" xfId="2" applyFont="1" applyBorder="1" applyAlignment="1">
      <alignment horizontal="center"/>
    </xf>
    <xf numFmtId="0" fontId="13" fillId="0" borderId="56" xfId="2" applyFont="1" applyBorder="1" applyAlignment="1">
      <alignment horizontal="center"/>
    </xf>
    <xf numFmtId="1" fontId="23" fillId="0" borderId="27" xfId="2" applyNumberFormat="1" applyFont="1" applyBorder="1" applyAlignment="1">
      <alignment horizontal="left" indent="1"/>
    </xf>
    <xf numFmtId="0" fontId="26" fillId="0" borderId="0" xfId="2" applyFont="1" applyAlignment="1"/>
    <xf numFmtId="1" fontId="13" fillId="0" borderId="27" xfId="2" applyNumberFormat="1" applyFont="1" applyBorder="1" applyAlignment="1">
      <alignment horizontal="center"/>
    </xf>
    <xf numFmtId="0" fontId="31" fillId="0" borderId="0" xfId="0" applyFont="1" applyAlignment="1">
      <alignment horizontal="right"/>
    </xf>
    <xf numFmtId="0" fontId="65" fillId="8" borderId="0" xfId="2" applyFont="1" applyFill="1" applyAlignment="1">
      <alignment horizontal="left" vertical="center"/>
    </xf>
    <xf numFmtId="170" fontId="25" fillId="0" borderId="0" xfId="2" applyNumberFormat="1" applyFont="1" applyAlignment="1">
      <alignment horizontal="center" vertical="center"/>
    </xf>
    <xf numFmtId="0" fontId="26" fillId="0" borderId="27" xfId="2" applyFont="1" applyBorder="1" applyAlignment="1">
      <alignment horizontal="center"/>
    </xf>
    <xf numFmtId="0" fontId="25" fillId="0" borderId="0" xfId="2" applyFont="1" applyAlignment="1">
      <alignment horizontal="center" vertical="center"/>
    </xf>
    <xf numFmtId="0" fontId="27" fillId="0" borderId="27" xfId="2" applyFont="1" applyBorder="1" applyAlignment="1">
      <alignment horizontal="center" vertical="center"/>
    </xf>
    <xf numFmtId="173" fontId="53" fillId="0" borderId="0" xfId="2" applyNumberFormat="1" applyFont="1" applyAlignment="1">
      <alignment horizontal="center" vertical="center"/>
    </xf>
    <xf numFmtId="0" fontId="85" fillId="0" borderId="75" xfId="2" applyFont="1" applyBorder="1" applyAlignment="1">
      <alignment horizontal="center" vertical="center"/>
    </xf>
    <xf numFmtId="0" fontId="84" fillId="0" borderId="6" xfId="2" applyFont="1" applyBorder="1" applyAlignment="1">
      <alignment horizontal="center" vertical="center"/>
    </xf>
    <xf numFmtId="0" fontId="83" fillId="0" borderId="27" xfId="2" applyFont="1" applyBorder="1" applyAlignment="1">
      <alignment horizontal="center" vertical="center" wrapText="1"/>
    </xf>
    <xf numFmtId="0" fontId="85" fillId="0" borderId="44" xfId="2" applyFont="1" applyBorder="1" applyAlignment="1">
      <alignment horizontal="center" vertical="center"/>
    </xf>
    <xf numFmtId="0" fontId="47" fillId="13" borderId="55" xfId="2" applyFont="1" applyFill="1" applyBorder="1" applyAlignment="1">
      <alignment horizontal="center" vertical="center"/>
    </xf>
    <xf numFmtId="0" fontId="85" fillId="0" borderId="6" xfId="2" applyFont="1" applyBorder="1" applyAlignment="1">
      <alignment horizontal="center" vertical="center"/>
    </xf>
    <xf numFmtId="1" fontId="28" fillId="7" borderId="0" xfId="2" applyNumberFormat="1" applyFont="1" applyFill="1" applyAlignment="1">
      <alignment horizontal="center"/>
    </xf>
    <xf numFmtId="1" fontId="13" fillId="8" borderId="0" xfId="2" applyNumberFormat="1" applyFont="1" applyFill="1" applyAlignment="1">
      <alignment horizontal="center"/>
    </xf>
    <xf numFmtId="170" fontId="78" fillId="0" borderId="8" xfId="2" applyNumberFormat="1" applyFont="1" applyBorder="1" applyAlignment="1">
      <alignment horizontal="center"/>
    </xf>
    <xf numFmtId="0" fontId="78" fillId="0" borderId="9" xfId="2" applyFont="1" applyBorder="1" applyAlignment="1">
      <alignment horizontal="center"/>
    </xf>
    <xf numFmtId="1" fontId="13" fillId="3" borderId="0" xfId="2" applyNumberFormat="1" applyFont="1" applyFill="1" applyAlignment="1">
      <alignment horizontal="center"/>
    </xf>
    <xf numFmtId="0" fontId="62" fillId="0" borderId="27" xfId="2" applyFont="1" applyBorder="1" applyAlignment="1"/>
    <xf numFmtId="170" fontId="28" fillId="2" borderId="0" xfId="2" applyNumberFormat="1" applyFont="1" applyFill="1" applyAlignment="1">
      <alignment horizontal="center"/>
    </xf>
    <xf numFmtId="9" fontId="13" fillId="0" borderId="52" xfId="4" applyFont="1" applyBorder="1" applyAlignment="1">
      <alignment horizontal="center"/>
    </xf>
    <xf numFmtId="174" fontId="13" fillId="0" borderId="65" xfId="2" applyNumberFormat="1" applyFont="1" applyBorder="1" applyAlignment="1">
      <alignment horizontal="center"/>
    </xf>
    <xf numFmtId="2" fontId="100" fillId="0" borderId="27" xfId="0" applyNumberFormat="1" applyFont="1" applyBorder="1" applyAlignment="1"/>
    <xf numFmtId="0" fontId="55" fillId="0" borderId="48" xfId="2" applyFont="1" applyBorder="1" applyAlignment="1">
      <alignment horizontal="center"/>
    </xf>
    <xf numFmtId="0" fontId="13" fillId="0" borderId="34" xfId="0" applyFont="1" applyBorder="1">
      <alignment vertical="center"/>
    </xf>
    <xf numFmtId="2" fontId="13" fillId="0" borderId="80" xfId="0" applyNumberFormat="1" applyFont="1" applyBorder="1" applyAlignment="1"/>
    <xf numFmtId="0" fontId="13" fillId="0" borderId="27" xfId="0" applyFont="1" applyBorder="1" applyAlignment="1">
      <alignment horizontal="left" vertical="center"/>
    </xf>
    <xf numFmtId="0" fontId="54" fillId="0" borderId="27" xfId="2" applyFont="1" applyBorder="1" applyAlignment="1">
      <alignment vertical="top" wrapText="1"/>
    </xf>
    <xf numFmtId="0" fontId="13" fillId="0" borderId="24" xfId="0" applyFont="1" applyBorder="1" applyAlignment="1">
      <alignment horizontal="left" vertical="center"/>
    </xf>
    <xf numFmtId="0" fontId="13" fillId="0" borderId="28" xfId="0" applyFont="1" applyBorder="1" applyAlignment="1">
      <alignment horizontal="left" vertical="center"/>
    </xf>
    <xf numFmtId="9" fontId="13" fillId="0" borderId="32" xfId="4" applyFont="1" applyBorder="1" applyAlignment="1">
      <alignment horizontal="center"/>
    </xf>
    <xf numFmtId="9" fontId="13" fillId="0" borderId="22" xfId="4" applyFont="1" applyBorder="1" applyAlignment="1">
      <alignment horizontal="center"/>
    </xf>
    <xf numFmtId="174" fontId="13" fillId="0" borderId="6" xfId="0" applyNumberFormat="1" applyFont="1" applyBorder="1" applyAlignment="1">
      <alignment horizontal="center" vertical="center"/>
    </xf>
    <xf numFmtId="9" fontId="13" fillId="0" borderId="11" xfId="4" applyFont="1" applyBorder="1" applyAlignment="1">
      <alignment horizontal="center"/>
    </xf>
    <xf numFmtId="174" fontId="13" fillId="0" borderId="13" xfId="0" applyNumberFormat="1" applyFont="1" applyBorder="1" applyAlignment="1">
      <alignment horizontal="center" vertical="center"/>
    </xf>
    <xf numFmtId="0" fontId="26" fillId="0" borderId="0" xfId="2" applyFont="1" applyAlignment="1">
      <alignment horizontal="center"/>
    </xf>
    <xf numFmtId="2" fontId="13" fillId="0" borderId="39" xfId="2" applyNumberFormat="1" applyFont="1" applyBorder="1" applyAlignment="1">
      <alignment horizontal="center" vertical="center"/>
    </xf>
    <xf numFmtId="2" fontId="13" fillId="0" borderId="36" xfId="2" applyNumberFormat="1" applyFont="1" applyBorder="1" applyAlignment="1">
      <alignment horizontal="center" vertical="center"/>
    </xf>
    <xf numFmtId="0" fontId="25" fillId="0" borderId="0" xfId="2" applyFont="1" applyAlignment="1">
      <alignment horizontal="left"/>
    </xf>
    <xf numFmtId="0" fontId="13" fillId="0" borderId="29" xfId="0" applyFont="1" applyBorder="1">
      <alignment vertical="center"/>
    </xf>
    <xf numFmtId="0" fontId="89" fillId="0" borderId="0" xfId="2" applyFont="1" applyAlignment="1">
      <alignment horizontal="center" vertical="center"/>
    </xf>
    <xf numFmtId="0" fontId="36" fillId="0" borderId="0" xfId="0" applyFont="1" applyAlignment="1">
      <alignment horizontal="right" vertical="center"/>
    </xf>
    <xf numFmtId="173" fontId="89" fillId="0" borderId="0" xfId="2" applyNumberFormat="1" applyFont="1" applyAlignment="1">
      <alignment horizontal="center" vertical="center"/>
    </xf>
    <xf numFmtId="0" fontId="29" fillId="27" borderId="9" xfId="14" applyFont="1" applyFill="1" applyBorder="1" applyAlignment="1">
      <alignment horizontal="left" vertical="center" wrapText="1"/>
    </xf>
    <xf numFmtId="0" fontId="29" fillId="27" borderId="9" xfId="14" applyFont="1" applyFill="1" applyBorder="1" applyAlignment="1">
      <alignment horizontal="left" vertical="center"/>
    </xf>
    <xf numFmtId="0" fontId="18" fillId="0" borderId="9" xfId="12" applyFont="1" applyBorder="1" applyAlignment="1">
      <alignment horizontal="center" vertical="center"/>
    </xf>
    <xf numFmtId="0" fontId="18" fillId="17" borderId="9" xfId="14" applyFont="1" applyFill="1" applyBorder="1" applyAlignment="1">
      <alignment horizontal="center" vertical="center"/>
    </xf>
    <xf numFmtId="0" fontId="75" fillId="17" borderId="9" xfId="14" applyFont="1" applyFill="1" applyBorder="1" applyAlignment="1">
      <alignment horizontal="center" vertical="center"/>
    </xf>
    <xf numFmtId="0" fontId="18" fillId="17" borderId="9" xfId="12" applyFont="1" applyFill="1" applyBorder="1" applyAlignment="1">
      <alignment horizontal="center" vertical="center"/>
    </xf>
    <xf numFmtId="0" fontId="23" fillId="21" borderId="45" xfId="14" applyFont="1" applyFill="1" applyBorder="1" applyAlignment="1">
      <alignment horizontal="center" vertical="center" wrapText="1"/>
    </xf>
    <xf numFmtId="0" fontId="29" fillId="27" borderId="45" xfId="14" applyFont="1" applyFill="1" applyBorder="1" applyAlignment="1">
      <alignment horizontal="left" vertical="center" wrapText="1"/>
    </xf>
    <xf numFmtId="0" fontId="29" fillId="27" borderId="45" xfId="14" applyFont="1" applyFill="1" applyBorder="1" applyAlignment="1">
      <alignment horizontal="left" vertical="center"/>
    </xf>
    <xf numFmtId="0" fontId="101" fillId="25" borderId="9" xfId="14" applyFont="1" applyFill="1" applyBorder="1" applyAlignment="1">
      <alignment horizontal="center" vertical="center" wrapText="1"/>
    </xf>
    <xf numFmtId="169" fontId="13" fillId="17" borderId="0" xfId="15" applyNumberFormat="1" applyFont="1" applyFill="1" applyBorder="1" applyAlignment="1">
      <alignment horizontal="center" vertical="center"/>
    </xf>
    <xf numFmtId="0" fontId="24" fillId="0" borderId="29" xfId="0" applyFont="1" applyBorder="1" applyAlignment="1">
      <alignment horizontal="center" vertical="center"/>
    </xf>
    <xf numFmtId="0" fontId="26" fillId="10" borderId="29" xfId="2" applyFont="1" applyFill="1" applyBorder="1" applyAlignment="1">
      <alignment horizontal="center" vertical="center"/>
    </xf>
    <xf numFmtId="0" fontId="24" fillId="0" borderId="4" xfId="0" applyFont="1" applyBorder="1" applyAlignment="1">
      <alignment horizontal="left"/>
    </xf>
    <xf numFmtId="0" fontId="24" fillId="0" borderId="25" xfId="0" applyFont="1" applyBorder="1" applyAlignment="1">
      <alignment horizontal="left"/>
    </xf>
    <xf numFmtId="2" fontId="13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13" fillId="0" borderId="27" xfId="0" applyFont="1" applyBorder="1" applyAlignment="1"/>
    <xf numFmtId="0" fontId="13" fillId="0" borderId="51" xfId="0" applyFont="1" applyBorder="1" applyAlignment="1">
      <alignment horizontal="center" vertical="center"/>
    </xf>
    <xf numFmtId="0" fontId="23" fillId="0" borderId="26" xfId="0" applyFont="1" applyBorder="1" applyAlignment="1">
      <alignment horizontal="center"/>
    </xf>
    <xf numFmtId="0" fontId="46" fillId="0" borderId="0" xfId="0" applyFont="1" applyAlignment="1"/>
    <xf numFmtId="0" fontId="13" fillId="0" borderId="0" xfId="0" applyFont="1" applyAlignment="1">
      <alignment horizontal="left"/>
    </xf>
    <xf numFmtId="0" fontId="13" fillId="0" borderId="0" xfId="0" applyFont="1" applyAlignment="1">
      <alignment vertical="top"/>
    </xf>
    <xf numFmtId="0" fontId="23" fillId="0" borderId="0" xfId="0" applyFont="1">
      <alignment vertical="center"/>
    </xf>
    <xf numFmtId="0" fontId="23" fillId="0" borderId="0" xfId="0" applyFont="1" applyAlignment="1">
      <alignment horizontal="center"/>
    </xf>
    <xf numFmtId="170" fontId="23" fillId="0" borderId="0" xfId="0" applyNumberFormat="1" applyFont="1" applyAlignment="1">
      <alignment horizontal="center" vertical="center"/>
    </xf>
    <xf numFmtId="0" fontId="62" fillId="0" borderId="0" xfId="2" applyFont="1">
      <alignment vertical="center"/>
    </xf>
    <xf numFmtId="0" fontId="13" fillId="7" borderId="0" xfId="0" applyFont="1" applyFill="1" applyAlignment="1">
      <alignment horizontal="center" vertical="center"/>
    </xf>
    <xf numFmtId="0" fontId="26" fillId="10" borderId="30" xfId="2" applyFont="1" applyFill="1" applyBorder="1" applyAlignment="1">
      <alignment horizontal="center" vertical="center"/>
    </xf>
    <xf numFmtId="0" fontId="13" fillId="8" borderId="2" xfId="2" applyFont="1" applyFill="1" applyBorder="1" applyAlignment="1">
      <alignment horizontal="center" vertical="center"/>
    </xf>
    <xf numFmtId="0" fontId="62" fillId="8" borderId="48" xfId="2" applyFont="1" applyFill="1" applyBorder="1" applyAlignment="1">
      <alignment horizontal="center" vertical="center"/>
    </xf>
    <xf numFmtId="0" fontId="13" fillId="8" borderId="25" xfId="2" applyFont="1" applyFill="1" applyBorder="1" applyAlignment="1">
      <alignment horizontal="center" vertical="center"/>
    </xf>
    <xf numFmtId="0" fontId="13" fillId="0" borderId="2" xfId="2" applyFont="1" applyBorder="1" applyAlignment="1">
      <alignment horizontal="center" vertical="center"/>
    </xf>
    <xf numFmtId="0" fontId="74" fillId="8" borderId="7" xfId="2" applyFont="1" applyFill="1" applyBorder="1" applyAlignment="1">
      <alignment horizontal="center" vertical="center"/>
    </xf>
    <xf numFmtId="0" fontId="13" fillId="8" borderId="14" xfId="2" applyFont="1" applyFill="1" applyBorder="1" applyAlignment="1">
      <alignment horizontal="center" vertical="center"/>
    </xf>
    <xf numFmtId="0" fontId="23" fillId="0" borderId="0" xfId="0" applyFont="1" applyAlignment="1">
      <alignment horizontal="right"/>
    </xf>
    <xf numFmtId="0" fontId="13" fillId="8" borderId="50" xfId="2" applyFont="1" applyFill="1" applyBorder="1" applyAlignment="1">
      <alignment horizontal="center" vertical="center"/>
    </xf>
    <xf numFmtId="0" fontId="13" fillId="8" borderId="0" xfId="0" applyFont="1" applyFill="1">
      <alignment vertical="center"/>
    </xf>
    <xf numFmtId="0" fontId="13" fillId="8" borderId="69" xfId="2" applyFont="1" applyFill="1" applyBorder="1" applyAlignment="1">
      <alignment horizontal="center" vertical="center"/>
    </xf>
    <xf numFmtId="0" fontId="13" fillId="0" borderId="27" xfId="0" applyFont="1" applyBorder="1" applyAlignment="1">
      <alignment horizontal="right"/>
    </xf>
    <xf numFmtId="0" fontId="102" fillId="8" borderId="10" xfId="2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173" fontId="13" fillId="0" borderId="0" xfId="2" applyNumberFormat="1" applyFont="1" applyAlignment="1">
      <alignment horizontal="center" vertical="center"/>
    </xf>
    <xf numFmtId="0" fontId="23" fillId="0" borderId="0" xfId="0" quotePrefix="1" applyFont="1" applyAlignment="1">
      <alignment horizontal="right"/>
    </xf>
    <xf numFmtId="0" fontId="54" fillId="0" borderId="0" xfId="0" applyFont="1" applyAlignment="1">
      <alignment horizontal="right"/>
    </xf>
    <xf numFmtId="167" fontId="13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right" vertical="center"/>
    </xf>
    <xf numFmtId="174" fontId="31" fillId="0" borderId="56" xfId="2" applyNumberFormat="1" applyFont="1" applyBorder="1" applyAlignment="1">
      <alignment horizontal="center" vertical="center"/>
    </xf>
    <xf numFmtId="2" fontId="13" fillId="0" borderId="0" xfId="0" applyNumberFormat="1" applyFont="1" applyAlignment="1"/>
    <xf numFmtId="2" fontId="13" fillId="8" borderId="9" xfId="0" applyNumberFormat="1" applyFont="1" applyFill="1" applyBorder="1">
      <alignment vertical="center"/>
    </xf>
    <xf numFmtId="9" fontId="55" fillId="0" borderId="8" xfId="0" applyNumberFormat="1" applyFont="1" applyBorder="1" applyAlignment="1">
      <alignment horizontal="center" vertical="center"/>
    </xf>
    <xf numFmtId="2" fontId="29" fillId="0" borderId="8" xfId="0" applyNumberFormat="1" applyFont="1" applyBorder="1" applyAlignment="1">
      <alignment horizontal="center"/>
    </xf>
    <xf numFmtId="174" fontId="28" fillId="0" borderId="27" xfId="2" applyNumberFormat="1" applyFont="1" applyBorder="1" applyAlignment="1">
      <alignment horizontal="center"/>
    </xf>
    <xf numFmtId="0" fontId="52" fillId="0" borderId="0" xfId="0" applyFont="1" applyAlignment="1"/>
    <xf numFmtId="173" fontId="13" fillId="0" borderId="0" xfId="0" applyNumberFormat="1" applyFont="1" applyAlignment="1">
      <alignment horizontal="center" vertical="center"/>
    </xf>
    <xf numFmtId="0" fontId="23" fillId="8" borderId="0" xfId="0" applyFont="1" applyFill="1">
      <alignment vertical="center"/>
    </xf>
    <xf numFmtId="0" fontId="23" fillId="8" borderId="0" xfId="0" applyFont="1" applyFill="1" applyAlignment="1">
      <alignment horizontal="center" vertical="center"/>
    </xf>
    <xf numFmtId="0" fontId="28" fillId="0" borderId="48" xfId="2" applyFont="1" applyBorder="1" applyAlignment="1">
      <alignment horizontal="center" vertical="center" wrapText="1"/>
    </xf>
    <xf numFmtId="49" fontId="13" fillId="8" borderId="0" xfId="2" applyNumberFormat="1" applyFont="1" applyFill="1" applyAlignment="1">
      <alignment horizontal="center"/>
    </xf>
    <xf numFmtId="2" fontId="28" fillId="0" borderId="27" xfId="2" applyNumberFormat="1" applyFont="1" applyBorder="1" applyAlignment="1">
      <alignment horizontal="center" vertical="center"/>
    </xf>
    <xf numFmtId="0" fontId="103" fillId="8" borderId="0" xfId="7" applyFont="1" applyFill="1" applyBorder="1" applyAlignment="1">
      <alignment horizontal="center"/>
    </xf>
    <xf numFmtId="9" fontId="13" fillId="0" borderId="9" xfId="0" applyNumberFormat="1" applyFont="1" applyBorder="1">
      <alignment vertical="center"/>
    </xf>
    <xf numFmtId="0" fontId="27" fillId="2" borderId="9" xfId="0" applyFont="1" applyFill="1" applyBorder="1" applyAlignment="1">
      <alignment horizontal="center" vertical="center"/>
    </xf>
    <xf numFmtId="173" fontId="13" fillId="21" borderId="9" xfId="0" applyNumberFormat="1" applyFont="1" applyFill="1" applyBorder="1" applyAlignment="1">
      <alignment horizontal="right" vertical="center"/>
    </xf>
    <xf numFmtId="0" fontId="19" fillId="0" borderId="0" xfId="0" applyFont="1" applyAlignment="1">
      <alignment vertical="center" wrapText="1"/>
    </xf>
    <xf numFmtId="9" fontId="26" fillId="0" borderId="9" xfId="4" applyFont="1" applyFill="1" applyBorder="1" applyAlignment="1">
      <alignment horizontal="center" vertical="center"/>
    </xf>
    <xf numFmtId="1" fontId="27" fillId="0" borderId="8" xfId="0" applyNumberFormat="1" applyFont="1" applyBorder="1" applyAlignment="1">
      <alignment horizontal="center" vertical="center"/>
    </xf>
    <xf numFmtId="0" fontId="23" fillId="0" borderId="27" xfId="0" applyFont="1" applyBorder="1" applyAlignment="1">
      <alignment horizontal="center" vertical="center"/>
    </xf>
    <xf numFmtId="0" fontId="103" fillId="0" borderId="0" xfId="7" applyFont="1" applyBorder="1" applyAlignment="1">
      <alignment horizontal="left" vertical="center"/>
    </xf>
    <xf numFmtId="0" fontId="13" fillId="0" borderId="25" xfId="2" applyFont="1" applyBorder="1" applyAlignment="1">
      <alignment horizontal="center"/>
    </xf>
    <xf numFmtId="0" fontId="13" fillId="0" borderId="28" xfId="0" applyFont="1" applyBorder="1" applyAlignment="1">
      <alignment horizontal="center"/>
    </xf>
    <xf numFmtId="0" fontId="13" fillId="10" borderId="48" xfId="2" applyFont="1" applyFill="1" applyBorder="1" applyAlignment="1">
      <alignment horizontal="center" vertical="center" wrapText="1"/>
    </xf>
    <xf numFmtId="179" fontId="13" fillId="0" borderId="3" xfId="2" applyNumberFormat="1" applyFont="1" applyBorder="1" applyAlignment="1">
      <alignment horizontal="center"/>
    </xf>
    <xf numFmtId="179" fontId="23" fillId="0" borderId="34" xfId="2" applyNumberFormat="1" applyFont="1" applyBorder="1" applyAlignment="1">
      <alignment horizontal="center"/>
    </xf>
    <xf numFmtId="179" fontId="13" fillId="0" borderId="10" xfId="2" applyNumberFormat="1" applyFont="1" applyBorder="1" applyAlignment="1">
      <alignment horizontal="center"/>
    </xf>
    <xf numFmtId="14" fontId="13" fillId="0" borderId="25" xfId="2" applyNumberFormat="1" applyFont="1" applyBorder="1" applyAlignment="1">
      <alignment horizontal="center"/>
    </xf>
    <xf numFmtId="0" fontId="23" fillId="0" borderId="1" xfId="2" applyFont="1" applyBorder="1" applyAlignment="1">
      <alignment horizontal="center"/>
    </xf>
    <xf numFmtId="0" fontId="23" fillId="0" borderId="23" xfId="2" applyFont="1" applyBorder="1" applyAlignment="1"/>
    <xf numFmtId="0" fontId="13" fillId="0" borderId="23" xfId="2" applyFont="1" applyBorder="1" applyAlignment="1"/>
    <xf numFmtId="0" fontId="46" fillId="0" borderId="0" xfId="2" applyFont="1">
      <alignment vertical="center"/>
    </xf>
    <xf numFmtId="0" fontId="23" fillId="0" borderId="27" xfId="2" applyFont="1" applyBorder="1" applyAlignment="1"/>
    <xf numFmtId="2" fontId="13" fillId="10" borderId="9" xfId="2" applyNumberFormat="1" applyFont="1" applyFill="1" applyBorder="1" applyAlignment="1">
      <alignment horizontal="center"/>
    </xf>
    <xf numFmtId="0" fontId="13" fillId="5" borderId="0" xfId="2" applyFont="1" applyFill="1" applyAlignment="1">
      <alignment horizontal="center" vertical="center"/>
    </xf>
    <xf numFmtId="0" fontId="36" fillId="3" borderId="0" xfId="2" applyFont="1" applyFill="1" applyAlignment="1">
      <alignment horizontal="center"/>
    </xf>
    <xf numFmtId="0" fontId="15" fillId="0" borderId="27" xfId="2" applyFont="1" applyBorder="1" applyAlignment="1">
      <alignment horizontal="center" vertical="top"/>
    </xf>
    <xf numFmtId="0" fontId="23" fillId="0" borderId="0" xfId="2" applyFont="1" applyAlignment="1">
      <alignment wrapText="1"/>
    </xf>
    <xf numFmtId="0" fontId="26" fillId="8" borderId="0" xfId="2" applyFont="1" applyFill="1" applyAlignment="1">
      <alignment horizontal="center" vertical="center"/>
    </xf>
    <xf numFmtId="0" fontId="24" fillId="0" borderId="0" xfId="0" applyFont="1" applyAlignment="1">
      <alignment horizontal="left" vertical="center"/>
    </xf>
    <xf numFmtId="0" fontId="6" fillId="21" borderId="9" xfId="2" applyFont="1" applyFill="1" applyBorder="1" applyAlignment="1">
      <alignment horizontal="center" vertical="center"/>
    </xf>
    <xf numFmtId="0" fontId="6" fillId="17" borderId="9" xfId="2" applyFont="1" applyFill="1" applyBorder="1" applyAlignment="1">
      <alignment horizontal="center" vertical="center"/>
    </xf>
    <xf numFmtId="169" fontId="6" fillId="17" borderId="9" xfId="15" applyNumberFormat="1" applyFont="1" applyFill="1" applyBorder="1" applyAlignment="1">
      <alignment horizontal="center" vertical="center"/>
    </xf>
    <xf numFmtId="0" fontId="69" fillId="35" borderId="9" xfId="2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6" fillId="17" borderId="8" xfId="2" applyFont="1" applyFill="1" applyBorder="1" applyAlignment="1">
      <alignment horizontal="center" vertical="center"/>
    </xf>
    <xf numFmtId="0" fontId="13" fillId="8" borderId="0" xfId="2" applyFont="1" applyFill="1" applyAlignment="1">
      <alignment horizontal="left" vertical="center"/>
    </xf>
    <xf numFmtId="0" fontId="23" fillId="8" borderId="0" xfId="2" applyFont="1" applyFill="1" applyAlignment="1">
      <alignment horizontal="center" vertical="center" wrapText="1"/>
    </xf>
    <xf numFmtId="0" fontId="6" fillId="0" borderId="9" xfId="12" applyFont="1" applyBorder="1" applyAlignment="1">
      <alignment vertical="center"/>
    </xf>
    <xf numFmtId="0" fontId="6" fillId="8" borderId="9" xfId="2" applyFont="1" applyFill="1" applyBorder="1" applyAlignment="1">
      <alignment horizontal="center"/>
    </xf>
    <xf numFmtId="2" fontId="13" fillId="10" borderId="25" xfId="0" applyNumberFormat="1" applyFont="1" applyFill="1" applyBorder="1" applyAlignment="1">
      <alignment horizontal="center"/>
    </xf>
    <xf numFmtId="0" fontId="6" fillId="21" borderId="0" xfId="2" applyFont="1" applyFill="1" applyAlignment="1">
      <alignment horizontal="center" vertical="center"/>
    </xf>
    <xf numFmtId="0" fontId="6" fillId="17" borderId="0" xfId="2" applyFont="1" applyFill="1" applyAlignment="1">
      <alignment horizontal="center" vertical="center"/>
    </xf>
    <xf numFmtId="1" fontId="6" fillId="0" borderId="9" xfId="12" applyNumberFormat="1" applyFont="1" applyBorder="1" applyAlignment="1">
      <alignment horizontal="center" vertical="center"/>
    </xf>
    <xf numFmtId="0" fontId="24" fillId="0" borderId="75" xfId="0" applyFont="1" applyBorder="1" applyAlignment="1"/>
    <xf numFmtId="0" fontId="24" fillId="0" borderId="72" xfId="0" applyFont="1" applyBorder="1" applyAlignment="1"/>
    <xf numFmtId="0" fontId="24" fillId="0" borderId="13" xfId="0" applyFont="1" applyBorder="1" applyAlignment="1"/>
    <xf numFmtId="0" fontId="25" fillId="0" borderId="35" xfId="0" applyFont="1" applyBorder="1" applyAlignment="1"/>
    <xf numFmtId="0" fontId="24" fillId="0" borderId="56" xfId="0" applyFont="1" applyBorder="1" applyAlignment="1"/>
    <xf numFmtId="0" fontId="24" fillId="0" borderId="51" xfId="0" applyFont="1" applyBorder="1" applyAlignment="1"/>
    <xf numFmtId="0" fontId="24" fillId="0" borderId="55" xfId="0" applyFont="1" applyBorder="1" applyAlignment="1"/>
    <xf numFmtId="1" fontId="6" fillId="17" borderId="9" xfId="2" applyNumberFormat="1" applyFont="1" applyFill="1" applyBorder="1" applyAlignment="1">
      <alignment horizontal="center" vertical="center"/>
    </xf>
    <xf numFmtId="0" fontId="52" fillId="0" borderId="0" xfId="2" quotePrefix="1" applyFont="1" applyAlignment="1"/>
    <xf numFmtId="0" fontId="13" fillId="0" borderId="2" xfId="2" applyFont="1" applyBorder="1" applyAlignment="1"/>
    <xf numFmtId="0" fontId="23" fillId="12" borderId="32" xfId="2" applyFont="1" applyFill="1" applyBorder="1" applyAlignment="1">
      <alignment horizontal="center" vertical="center"/>
    </xf>
    <xf numFmtId="0" fontId="13" fillId="12" borderId="29" xfId="2" applyFont="1" applyFill="1" applyBorder="1" applyAlignment="1">
      <alignment horizontal="center" vertical="center"/>
    </xf>
    <xf numFmtId="0" fontId="13" fillId="0" borderId="48" xfId="2" applyFont="1" applyBorder="1" applyAlignment="1"/>
    <xf numFmtId="0" fontId="23" fillId="12" borderId="25" xfId="2" applyFont="1" applyFill="1" applyBorder="1" applyAlignment="1">
      <alignment horizontal="center" vertical="center"/>
    </xf>
    <xf numFmtId="0" fontId="13" fillId="12" borderId="2" xfId="2" applyFont="1" applyFill="1" applyBorder="1" applyAlignment="1">
      <alignment horizontal="center" vertical="center"/>
    </xf>
    <xf numFmtId="0" fontId="23" fillId="12" borderId="24" xfId="2" applyFont="1" applyFill="1" applyBorder="1" applyAlignment="1">
      <alignment horizontal="center" vertical="center"/>
    </xf>
    <xf numFmtId="0" fontId="23" fillId="12" borderId="48" xfId="2" applyFont="1" applyFill="1" applyBorder="1" applyAlignment="1">
      <alignment horizontal="center" vertical="center"/>
    </xf>
    <xf numFmtId="0" fontId="74" fillId="8" borderId="39" xfId="2" applyFont="1" applyFill="1" applyBorder="1" applyAlignment="1">
      <alignment horizontal="center" vertical="center"/>
    </xf>
    <xf numFmtId="0" fontId="13" fillId="8" borderId="39" xfId="2" applyFont="1" applyFill="1" applyBorder="1" applyAlignment="1">
      <alignment horizontal="center" vertical="center"/>
    </xf>
    <xf numFmtId="0" fontId="13" fillId="8" borderId="56" xfId="2" applyFont="1" applyFill="1" applyBorder="1" applyAlignment="1">
      <alignment horizontal="center" vertical="center"/>
    </xf>
    <xf numFmtId="173" fontId="13" fillId="0" borderId="75" xfId="0" applyNumberFormat="1" applyFont="1" applyBorder="1" applyAlignment="1">
      <alignment horizontal="center" vertical="center"/>
    </xf>
    <xf numFmtId="0" fontId="74" fillId="8" borderId="42" xfId="2" applyFont="1" applyFill="1" applyBorder="1" applyAlignment="1">
      <alignment horizontal="center" vertical="center"/>
    </xf>
    <xf numFmtId="0" fontId="13" fillId="8" borderId="42" xfId="2" applyFont="1" applyFill="1" applyBorder="1" applyAlignment="1">
      <alignment horizontal="center" vertical="center"/>
    </xf>
    <xf numFmtId="0" fontId="13" fillId="8" borderId="51" xfId="2" applyFont="1" applyFill="1" applyBorder="1" applyAlignment="1">
      <alignment horizontal="center" vertical="center"/>
    </xf>
    <xf numFmtId="0" fontId="13" fillId="0" borderId="44" xfId="0" applyFont="1" applyBorder="1" applyAlignment="1">
      <alignment horizontal="center" vertical="center"/>
    </xf>
    <xf numFmtId="0" fontId="55" fillId="0" borderId="55" xfId="0" applyFont="1" applyBorder="1" applyAlignment="1">
      <alignment horizontal="center" vertical="center"/>
    </xf>
    <xf numFmtId="0" fontId="13" fillId="0" borderId="56" xfId="0" applyFont="1" applyBorder="1" applyAlignment="1">
      <alignment horizontal="center"/>
    </xf>
    <xf numFmtId="0" fontId="13" fillId="0" borderId="35" xfId="2" applyFont="1" applyBorder="1" applyAlignment="1">
      <alignment horizontal="center" vertical="center"/>
    </xf>
    <xf numFmtId="0" fontId="69" fillId="8" borderId="0" xfId="2" applyFont="1" applyFill="1" applyAlignment="1">
      <alignment horizontal="center" vertical="center"/>
    </xf>
    <xf numFmtId="0" fontId="13" fillId="0" borderId="51" xfId="0" applyFont="1" applyBorder="1" applyAlignment="1">
      <alignment horizontal="center"/>
    </xf>
    <xf numFmtId="167" fontId="23" fillId="0" borderId="0" xfId="2" applyNumberFormat="1" applyFont="1" applyAlignment="1">
      <alignment horizontal="center" vertical="center"/>
    </xf>
    <xf numFmtId="0" fontId="23" fillId="0" borderId="30" xfId="2" applyFont="1" applyBorder="1" applyAlignment="1">
      <alignment horizontal="center"/>
    </xf>
    <xf numFmtId="0" fontId="23" fillId="0" borderId="32" xfId="2" applyFont="1" applyBorder="1" applyAlignment="1">
      <alignment horizontal="center"/>
    </xf>
    <xf numFmtId="0" fontId="23" fillId="17" borderId="30" xfId="2" applyFont="1" applyFill="1" applyBorder="1" applyAlignment="1">
      <alignment horizontal="center"/>
    </xf>
    <xf numFmtId="0" fontId="23" fillId="17" borderId="32" xfId="2" applyFont="1" applyFill="1" applyBorder="1" applyAlignment="1">
      <alignment horizontal="center"/>
    </xf>
    <xf numFmtId="0" fontId="13" fillId="0" borderId="55" xfId="0" applyFont="1" applyBorder="1" applyAlignment="1">
      <alignment horizontal="center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167" fontId="23" fillId="10" borderId="0" xfId="2" applyNumberFormat="1" applyFont="1" applyFill="1" applyAlignment="1">
      <alignment horizontal="center" vertical="center"/>
    </xf>
    <xf numFmtId="0" fontId="13" fillId="0" borderId="48" xfId="2" applyFont="1" applyBorder="1" applyAlignment="1">
      <alignment horizontal="center"/>
    </xf>
    <xf numFmtId="0" fontId="13" fillId="0" borderId="33" xfId="2" applyFont="1" applyBorder="1" applyAlignment="1">
      <alignment horizontal="center"/>
    </xf>
    <xf numFmtId="0" fontId="13" fillId="8" borderId="27" xfId="2" applyFont="1" applyFill="1" applyBorder="1" applyAlignment="1">
      <alignment horizontal="center"/>
    </xf>
    <xf numFmtId="0" fontId="13" fillId="0" borderId="1" xfId="2" applyFont="1" applyBorder="1" applyAlignment="1">
      <alignment horizontal="center" vertical="center"/>
    </xf>
    <xf numFmtId="0" fontId="13" fillId="0" borderId="29" xfId="2" applyFont="1" applyBorder="1" applyAlignment="1">
      <alignment horizontal="center" vertical="center"/>
    </xf>
    <xf numFmtId="0" fontId="69" fillId="8" borderId="27" xfId="2" applyFont="1" applyFill="1" applyBorder="1" applyAlignment="1">
      <alignment horizontal="center" vertical="center"/>
    </xf>
    <xf numFmtId="0" fontId="13" fillId="0" borderId="26" xfId="2" applyFont="1" applyBorder="1" applyAlignment="1">
      <alignment horizontal="center" vertical="center"/>
    </xf>
    <xf numFmtId="0" fontId="27" fillId="8" borderId="0" xfId="2" applyFont="1" applyFill="1">
      <alignment vertical="center"/>
    </xf>
    <xf numFmtId="0" fontId="26" fillId="8" borderId="0" xfId="2" applyFont="1" applyFill="1" applyAlignment="1"/>
    <xf numFmtId="0" fontId="26" fillId="8" borderId="0" xfId="2" applyFont="1" applyFill="1" applyAlignment="1">
      <alignment horizontal="right"/>
    </xf>
    <xf numFmtId="0" fontId="23" fillId="8" borderId="0" xfId="2" applyFont="1" applyFill="1" applyAlignment="1">
      <alignment horizontal="right" vertical="center"/>
    </xf>
    <xf numFmtId="0" fontId="13" fillId="8" borderId="0" xfId="2" applyFont="1" applyFill="1" applyAlignment="1">
      <alignment horizontal="right" vertical="center"/>
    </xf>
    <xf numFmtId="0" fontId="74" fillId="8" borderId="44" xfId="2" applyFont="1" applyFill="1" applyBorder="1" applyAlignment="1">
      <alignment horizontal="center" vertical="center"/>
    </xf>
    <xf numFmtId="0" fontId="13" fillId="8" borderId="44" xfId="2" applyFont="1" applyFill="1" applyBorder="1" applyAlignment="1">
      <alignment horizontal="center" vertical="center"/>
    </xf>
    <xf numFmtId="0" fontId="13" fillId="8" borderId="55" xfId="2" applyFont="1" applyFill="1" applyBorder="1" applyAlignment="1">
      <alignment horizontal="center" vertical="center"/>
    </xf>
    <xf numFmtId="0" fontId="13" fillId="0" borderId="76" xfId="0" applyFont="1" applyBorder="1" applyAlignment="1">
      <alignment horizontal="center" vertical="center"/>
    </xf>
    <xf numFmtId="0" fontId="78" fillId="8" borderId="48" xfId="2" applyFont="1" applyFill="1" applyBorder="1" applyAlignment="1">
      <alignment horizontal="center" vertical="center"/>
    </xf>
    <xf numFmtId="0" fontId="13" fillId="0" borderId="33" xfId="0" applyFont="1" applyBorder="1">
      <alignment vertical="center"/>
    </xf>
    <xf numFmtId="0" fontId="13" fillId="8" borderId="72" xfId="2" applyFont="1" applyFill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8" borderId="88" xfId="2" applyFont="1" applyFill="1" applyBorder="1" applyAlignment="1">
      <alignment horizontal="center" vertical="center"/>
    </xf>
    <xf numFmtId="2" fontId="78" fillId="10" borderId="0" xfId="2" applyNumberFormat="1" applyFont="1" applyFill="1" applyAlignment="1">
      <alignment horizontal="center" vertical="center"/>
    </xf>
    <xf numFmtId="0" fontId="104" fillId="8" borderId="0" xfId="2" applyFont="1" applyFill="1" applyAlignment="1">
      <alignment horizontal="center"/>
    </xf>
    <xf numFmtId="0" fontId="69" fillId="0" borderId="9" xfId="0" applyFont="1" applyBorder="1" applyAlignment="1">
      <alignment horizontal="center" vertical="center"/>
    </xf>
    <xf numFmtId="0" fontId="105" fillId="0" borderId="0" xfId="0" applyFont="1" applyAlignment="1">
      <alignment horizontal="center" vertical="center"/>
    </xf>
    <xf numFmtId="0" fontId="13" fillId="0" borderId="25" xfId="2" applyFont="1" applyBorder="1" applyAlignment="1">
      <alignment horizontal="right"/>
    </xf>
    <xf numFmtId="1" fontId="13" fillId="8" borderId="28" xfId="2" applyNumberFormat="1" applyFont="1" applyFill="1" applyBorder="1" applyAlignment="1">
      <alignment horizontal="center" vertical="center"/>
    </xf>
    <xf numFmtId="0" fontId="95" fillId="0" borderId="0" xfId="0" applyFont="1">
      <alignment vertical="center"/>
    </xf>
    <xf numFmtId="0" fontId="13" fillId="0" borderId="1" xfId="2" applyFont="1" applyBorder="1" applyAlignment="1"/>
    <xf numFmtId="0" fontId="13" fillId="0" borderId="23" xfId="2" applyFont="1" applyBorder="1" applyAlignment="1">
      <alignment horizontal="right"/>
    </xf>
    <xf numFmtId="0" fontId="23" fillId="0" borderId="0" xfId="0" applyFont="1" applyAlignment="1">
      <alignment horizontal="right" vertical="center"/>
    </xf>
    <xf numFmtId="174" fontId="13" fillId="0" borderId="0" xfId="2" applyNumberFormat="1" applyFont="1" applyAlignment="1">
      <alignment horizontal="center"/>
    </xf>
    <xf numFmtId="9" fontId="13" fillId="0" borderId="2" xfId="4" applyFont="1" applyBorder="1" applyAlignment="1">
      <alignment horizontal="center"/>
    </xf>
    <xf numFmtId="10" fontId="95" fillId="0" borderId="32" xfId="4" applyNumberFormat="1" applyFont="1" applyBorder="1" applyAlignment="1">
      <alignment horizontal="center" vertical="center"/>
    </xf>
    <xf numFmtId="170" fontId="106" fillId="35" borderId="9" xfId="2" applyNumberFormat="1" applyFont="1" applyFill="1" applyBorder="1" applyAlignment="1">
      <alignment horizontal="center" vertical="center"/>
    </xf>
    <xf numFmtId="0" fontId="13" fillId="0" borderId="34" xfId="2" applyFont="1" applyBorder="1" applyAlignment="1">
      <alignment horizontal="center" vertical="center"/>
    </xf>
    <xf numFmtId="170" fontId="107" fillId="0" borderId="0" xfId="0" applyNumberFormat="1" applyFont="1" applyAlignment="1">
      <alignment horizontal="center"/>
    </xf>
    <xf numFmtId="0" fontId="107" fillId="0" borderId="0" xfId="0" applyFont="1" applyAlignment="1">
      <alignment horizontal="center"/>
    </xf>
    <xf numFmtId="0" fontId="107" fillId="8" borderId="0" xfId="2" applyFont="1" applyFill="1" applyAlignment="1">
      <alignment horizontal="center"/>
    </xf>
    <xf numFmtId="174" fontId="13" fillId="0" borderId="23" xfId="0" applyNumberFormat="1" applyFont="1" applyBorder="1">
      <alignment vertical="center"/>
    </xf>
    <xf numFmtId="0" fontId="13" fillId="21" borderId="0" xfId="2" applyFont="1" applyFill="1" applyAlignment="1">
      <alignment horizontal="center" vertical="center"/>
    </xf>
    <xf numFmtId="0" fontId="13" fillId="8" borderId="27" xfId="2" applyFont="1" applyFill="1" applyBorder="1" applyAlignment="1">
      <alignment horizontal="left" vertical="center"/>
    </xf>
    <xf numFmtId="174" fontId="13" fillId="0" borderId="0" xfId="0" applyNumberFormat="1" applyFont="1">
      <alignment vertical="center"/>
    </xf>
    <xf numFmtId="0" fontId="62" fillId="17" borderId="0" xfId="2" applyFont="1" applyFill="1" applyAlignment="1">
      <alignment horizontal="center" vertical="center"/>
    </xf>
    <xf numFmtId="174" fontId="13" fillId="0" borderId="25" xfId="0" applyNumberFormat="1" applyFont="1" applyBorder="1">
      <alignment vertical="center"/>
    </xf>
    <xf numFmtId="2" fontId="13" fillId="0" borderId="30" xfId="0" applyNumberFormat="1" applyFont="1" applyBorder="1">
      <alignment vertical="center"/>
    </xf>
    <xf numFmtId="0" fontId="106" fillId="35" borderId="9" xfId="2" applyFont="1" applyFill="1" applyBorder="1" applyAlignment="1">
      <alignment horizontal="center" vertical="center"/>
    </xf>
    <xf numFmtId="0" fontId="13" fillId="9" borderId="0" xfId="2" applyFont="1" applyFill="1" applyAlignment="1">
      <alignment horizontal="center" vertical="center"/>
    </xf>
    <xf numFmtId="174" fontId="13" fillId="0" borderId="27" xfId="2" applyNumberFormat="1" applyFont="1" applyBorder="1" applyAlignment="1"/>
    <xf numFmtId="174" fontId="94" fillId="0" borderId="0" xfId="2" applyNumberFormat="1" applyFont="1" applyAlignment="1">
      <alignment horizontal="center" vertical="center"/>
    </xf>
    <xf numFmtId="0" fontId="27" fillId="0" borderId="32" xfId="0" applyFont="1" applyBorder="1" applyAlignment="1">
      <alignment horizontal="center" vertical="center"/>
    </xf>
    <xf numFmtId="0" fontId="94" fillId="3" borderId="0" xfId="0" applyFont="1" applyFill="1" applyAlignment="1">
      <alignment horizontal="center" vertical="center"/>
    </xf>
    <xf numFmtId="0" fontId="65" fillId="3" borderId="0" xfId="2" applyFont="1" applyFill="1" applyAlignment="1">
      <alignment horizontal="center"/>
    </xf>
    <xf numFmtId="0" fontId="13" fillId="0" borderId="1" xfId="0" applyFont="1" applyBorder="1" applyAlignment="1">
      <alignment horizontal="right"/>
    </xf>
    <xf numFmtId="0" fontId="13" fillId="0" borderId="23" xfId="0" applyFont="1" applyBorder="1" applyAlignment="1">
      <alignment horizontal="right"/>
    </xf>
    <xf numFmtId="0" fontId="13" fillId="0" borderId="23" xfId="0" applyFont="1" applyBorder="1">
      <alignment vertical="center"/>
    </xf>
    <xf numFmtId="0" fontId="13" fillId="21" borderId="9" xfId="12" applyFont="1" applyFill="1" applyBorder="1" applyAlignment="1">
      <alignment horizontal="center" vertical="center"/>
    </xf>
    <xf numFmtId="0" fontId="62" fillId="21" borderId="0" xfId="12" applyFont="1" applyFill="1" applyAlignment="1">
      <alignment horizontal="center" vertical="center"/>
    </xf>
    <xf numFmtId="0" fontId="13" fillId="0" borderId="9" xfId="0" applyFont="1" applyBorder="1" applyAlignment="1">
      <alignment horizontal="center"/>
    </xf>
    <xf numFmtId="0" fontId="13" fillId="17" borderId="9" xfId="2" applyFont="1" applyFill="1" applyBorder="1">
      <alignment vertical="center"/>
    </xf>
    <xf numFmtId="0" fontId="13" fillId="0" borderId="17" xfId="0" applyFont="1" applyBorder="1" applyAlignment="1"/>
    <xf numFmtId="0" fontId="46" fillId="0" borderId="15" xfId="0" applyFont="1" applyBorder="1" applyAlignment="1"/>
    <xf numFmtId="0" fontId="13" fillId="0" borderId="18" xfId="0" applyFont="1" applyBorder="1" applyAlignment="1">
      <alignment horizontal="left" vertical="center"/>
    </xf>
    <xf numFmtId="0" fontId="13" fillId="0" borderId="21" xfId="0" applyFont="1" applyBorder="1" applyAlignment="1"/>
    <xf numFmtId="0" fontId="13" fillId="0" borderId="14" xfId="0" applyFont="1" applyBorder="1" applyAlignment="1">
      <alignment horizontal="left" vertical="center"/>
    </xf>
    <xf numFmtId="0" fontId="13" fillId="8" borderId="0" xfId="0" applyFont="1" applyFill="1" applyAlignment="1">
      <alignment horizontal="right"/>
    </xf>
    <xf numFmtId="0" fontId="13" fillId="8" borderId="0" xfId="0" applyFont="1" applyFill="1" applyAlignment="1"/>
    <xf numFmtId="174" fontId="13" fillId="0" borderId="0" xfId="0" applyNumberFormat="1" applyFont="1" applyAlignment="1">
      <alignment horizontal="center" vertical="center"/>
    </xf>
    <xf numFmtId="0" fontId="13" fillId="10" borderId="27" xfId="2" applyFont="1" applyFill="1" applyBorder="1" applyAlignment="1">
      <alignment horizontal="center" vertical="center"/>
    </xf>
    <xf numFmtId="0" fontId="64" fillId="0" borderId="26" xfId="0" applyFont="1" applyBorder="1" applyAlignment="1"/>
    <xf numFmtId="0" fontId="13" fillId="0" borderId="26" xfId="0" applyFont="1" applyBorder="1" applyAlignment="1">
      <alignment horizontal="center" vertical="center"/>
    </xf>
    <xf numFmtId="2" fontId="13" fillId="10" borderId="0" xfId="0" applyNumberFormat="1" applyFont="1" applyFill="1" applyAlignment="1">
      <alignment horizontal="center" vertical="center"/>
    </xf>
    <xf numFmtId="0" fontId="46" fillId="0" borderId="0" xfId="2" applyFont="1" applyAlignment="1">
      <alignment horizontal="left" vertical="center"/>
    </xf>
    <xf numFmtId="0" fontId="13" fillId="0" borderId="1" xfId="2" applyFont="1" applyBorder="1" applyAlignment="1">
      <alignment horizontal="center"/>
    </xf>
    <xf numFmtId="0" fontId="13" fillId="0" borderId="30" xfId="2" applyFont="1" applyBorder="1" applyAlignment="1">
      <alignment horizontal="center" vertical="center"/>
    </xf>
    <xf numFmtId="0" fontId="13" fillId="8" borderId="48" xfId="2" applyFont="1" applyFill="1" applyBorder="1" applyAlignment="1">
      <alignment horizontal="center" vertical="center"/>
    </xf>
    <xf numFmtId="0" fontId="13" fillId="0" borderId="25" xfId="2" applyFont="1" applyBorder="1" applyAlignment="1">
      <alignment horizontal="right" vertical="center"/>
    </xf>
    <xf numFmtId="0" fontId="24" fillId="0" borderId="0" xfId="0" applyFont="1" applyAlignment="1">
      <alignment horizontal="justify"/>
    </xf>
    <xf numFmtId="0" fontId="13" fillId="0" borderId="46" xfId="0" applyFont="1" applyBorder="1" applyAlignment="1">
      <alignment horizontal="center"/>
    </xf>
    <xf numFmtId="0" fontId="13" fillId="8" borderId="75" xfId="2" applyFont="1" applyFill="1" applyBorder="1" applyAlignment="1">
      <alignment horizontal="center"/>
    </xf>
    <xf numFmtId="0" fontId="13" fillId="8" borderId="5" xfId="2" applyFont="1" applyFill="1" applyBorder="1" applyAlignment="1">
      <alignment horizontal="center"/>
    </xf>
    <xf numFmtId="0" fontId="13" fillId="8" borderId="6" xfId="2" applyFont="1" applyFill="1" applyBorder="1" applyAlignment="1">
      <alignment horizontal="center"/>
    </xf>
    <xf numFmtId="0" fontId="13" fillId="0" borderId="48" xfId="2" applyFont="1" applyBorder="1" applyAlignment="1">
      <alignment horizontal="center" wrapText="1"/>
    </xf>
    <xf numFmtId="0" fontId="13" fillId="0" borderId="32" xfId="2" applyFont="1" applyBorder="1" applyAlignment="1">
      <alignment horizontal="center"/>
    </xf>
    <xf numFmtId="0" fontId="62" fillId="17" borderId="0" xfId="12" applyFont="1" applyFill="1" applyAlignment="1">
      <alignment horizontal="center" vertical="center"/>
    </xf>
    <xf numFmtId="0" fontId="13" fillId="8" borderId="72" xfId="2" applyFont="1" applyFill="1" applyBorder="1" applyAlignment="1">
      <alignment horizontal="center"/>
    </xf>
    <xf numFmtId="0" fontId="13" fillId="12" borderId="39" xfId="2" applyFont="1" applyFill="1" applyBorder="1" applyAlignment="1">
      <alignment horizontal="center"/>
    </xf>
    <xf numFmtId="0" fontId="13" fillId="12" borderId="81" xfId="2" applyFont="1" applyFill="1" applyBorder="1" applyAlignment="1">
      <alignment horizontal="center"/>
    </xf>
    <xf numFmtId="0" fontId="13" fillId="12" borderId="88" xfId="2" applyFont="1" applyFill="1" applyBorder="1" applyAlignment="1">
      <alignment horizontal="center"/>
    </xf>
    <xf numFmtId="0" fontId="74" fillId="9" borderId="39" xfId="2" applyFont="1" applyFill="1" applyBorder="1" applyAlignment="1">
      <alignment horizontal="center"/>
    </xf>
    <xf numFmtId="0" fontId="74" fillId="9" borderId="42" xfId="2" applyFont="1" applyFill="1" applyBorder="1" applyAlignment="1">
      <alignment horizontal="center"/>
    </xf>
    <xf numFmtId="0" fontId="13" fillId="0" borderId="28" xfId="2" applyFont="1" applyBorder="1" applyAlignment="1">
      <alignment horizontal="center"/>
    </xf>
    <xf numFmtId="0" fontId="62" fillId="0" borderId="0" xfId="0" applyFont="1">
      <alignment vertical="center"/>
    </xf>
    <xf numFmtId="0" fontId="13" fillId="0" borderId="28" xfId="2" applyFont="1" applyBorder="1" applyAlignment="1">
      <alignment horizontal="center" vertical="center"/>
    </xf>
    <xf numFmtId="0" fontId="13" fillId="0" borderId="5" xfId="0" applyFont="1" applyBorder="1" applyAlignment="1"/>
    <xf numFmtId="174" fontId="32" fillId="0" borderId="32" xfId="2" applyNumberFormat="1" applyFont="1" applyBorder="1" applyAlignment="1">
      <alignment horizontal="center" vertical="center"/>
    </xf>
    <xf numFmtId="174" fontId="23" fillId="0" borderId="38" xfId="2" applyNumberFormat="1" applyFont="1" applyBorder="1" applyAlignment="1"/>
    <xf numFmtId="0" fontId="25" fillId="0" borderId="36" xfId="0" applyFont="1" applyBorder="1" applyAlignment="1">
      <alignment horizontal="center"/>
    </xf>
    <xf numFmtId="0" fontId="74" fillId="9" borderId="72" xfId="2" applyFont="1" applyFill="1" applyBorder="1" applyAlignment="1">
      <alignment horizontal="center"/>
    </xf>
    <xf numFmtId="0" fontId="13" fillId="0" borderId="9" xfId="2" applyFont="1" applyBorder="1" applyAlignment="1">
      <alignment horizontal="right"/>
    </xf>
    <xf numFmtId="0" fontId="13" fillId="0" borderId="49" xfId="0" applyFont="1" applyBorder="1" applyAlignment="1">
      <alignment horizontal="center" vertical="center"/>
    </xf>
    <xf numFmtId="0" fontId="13" fillId="0" borderId="68" xfId="2" applyFont="1" applyBorder="1" applyAlignment="1">
      <alignment horizontal="center" vertical="center"/>
    </xf>
    <xf numFmtId="0" fontId="13" fillId="0" borderId="12" xfId="0" applyFont="1" applyBorder="1">
      <alignment vertical="center"/>
    </xf>
    <xf numFmtId="0" fontId="76" fillId="0" borderId="0" xfId="0" applyFont="1" applyAlignment="1"/>
    <xf numFmtId="0" fontId="26" fillId="10" borderId="27" xfId="2" applyFont="1" applyFill="1" applyBorder="1" applyAlignment="1">
      <alignment horizontal="center" vertical="center"/>
    </xf>
    <xf numFmtId="0" fontId="23" fillId="0" borderId="36" xfId="0" applyFont="1" applyBorder="1" applyAlignment="1">
      <alignment horizontal="center" vertical="center"/>
    </xf>
    <xf numFmtId="0" fontId="27" fillId="0" borderId="0" xfId="0" applyFont="1" applyAlignment="1">
      <alignment horizontal="center"/>
    </xf>
    <xf numFmtId="0" fontId="108" fillId="0" borderId="0" xfId="0" applyFont="1" applyAlignment="1"/>
    <xf numFmtId="0" fontId="28" fillId="0" borderId="0" xfId="0" applyFont="1" applyAlignment="1">
      <alignment horizontal="center"/>
    </xf>
    <xf numFmtId="0" fontId="13" fillId="0" borderId="29" xfId="0" applyFont="1" applyBorder="1" applyAlignment="1"/>
    <xf numFmtId="0" fontId="13" fillId="0" borderId="26" xfId="0" applyFont="1" applyBorder="1" applyAlignment="1">
      <alignment horizontal="center"/>
    </xf>
    <xf numFmtId="0" fontId="13" fillId="5" borderId="0" xfId="0" applyFont="1" applyFill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2" fontId="13" fillId="7" borderId="0" xfId="0" applyNumberFormat="1" applyFont="1" applyFill="1" applyAlignment="1">
      <alignment horizontal="center" vertical="center"/>
    </xf>
    <xf numFmtId="1" fontId="13" fillId="7" borderId="0" xfId="0" applyNumberFormat="1" applyFont="1" applyFill="1" applyAlignment="1">
      <alignment horizontal="center" vertical="center"/>
    </xf>
    <xf numFmtId="0" fontId="23" fillId="0" borderId="35" xfId="0" applyFont="1" applyBorder="1" applyAlignment="1">
      <alignment horizontal="center" vertical="center"/>
    </xf>
    <xf numFmtId="0" fontId="13" fillId="10" borderId="0" xfId="2" applyFont="1" applyFill="1">
      <alignment vertical="center"/>
    </xf>
    <xf numFmtId="0" fontId="13" fillId="12" borderId="0" xfId="2" applyFont="1" applyFill="1" applyAlignment="1">
      <alignment vertical="center" wrapText="1"/>
    </xf>
    <xf numFmtId="0" fontId="13" fillId="10" borderId="0" xfId="2" applyFont="1" applyFill="1" applyAlignment="1">
      <alignment vertical="center" wrapText="1"/>
    </xf>
    <xf numFmtId="1" fontId="13" fillId="0" borderId="0" xfId="0" applyNumberFormat="1" applyFont="1" applyAlignment="1">
      <alignment horizontal="center"/>
    </xf>
    <xf numFmtId="0" fontId="28" fillId="0" borderId="26" xfId="2" applyFont="1" applyBorder="1" applyAlignment="1">
      <alignment wrapText="1"/>
    </xf>
    <xf numFmtId="2" fontId="23" fillId="0" borderId="0" xfId="0" applyNumberFormat="1" applyFont="1" applyAlignment="1">
      <alignment horizontal="right"/>
    </xf>
    <xf numFmtId="2" fontId="13" fillId="0" borderId="0" xfId="0" applyNumberFormat="1" applyFont="1" applyAlignment="1">
      <alignment horizontal="right"/>
    </xf>
    <xf numFmtId="0" fontId="26" fillId="0" borderId="0" xfId="0" applyFont="1" applyAlignment="1">
      <alignment horizontal="left" vertical="center"/>
    </xf>
    <xf numFmtId="0" fontId="109" fillId="0" borderId="0" xfId="0" applyFont="1">
      <alignment vertical="center"/>
    </xf>
    <xf numFmtId="174" fontId="31" fillId="0" borderId="56" xfId="2" applyNumberFormat="1" applyFont="1" applyBorder="1" applyAlignment="1">
      <alignment horizontal="center"/>
    </xf>
    <xf numFmtId="174" fontId="13" fillId="0" borderId="0" xfId="2" applyNumberFormat="1" applyFont="1" applyAlignment="1"/>
    <xf numFmtId="2" fontId="29" fillId="0" borderId="8" xfId="0" applyNumberFormat="1" applyFont="1" applyBorder="1" applyAlignment="1">
      <alignment horizontal="center" vertical="center"/>
    </xf>
    <xf numFmtId="174" fontId="13" fillId="8" borderId="0" xfId="2" applyNumberFormat="1" applyFont="1" applyFill="1" applyAlignment="1"/>
    <xf numFmtId="0" fontId="28" fillId="0" borderId="26" xfId="2" applyFont="1" applyBorder="1" applyAlignment="1"/>
    <xf numFmtId="2" fontId="28" fillId="0" borderId="27" xfId="0" applyNumberFormat="1" applyFont="1" applyBorder="1" applyAlignment="1">
      <alignment horizontal="center"/>
    </xf>
    <xf numFmtId="2" fontId="28" fillId="8" borderId="0" xfId="0" applyNumberFormat="1" applyFont="1" applyFill="1" applyAlignment="1"/>
    <xf numFmtId="10" fontId="28" fillId="0" borderId="0" xfId="0" applyNumberFormat="1" applyFont="1" applyAlignment="1"/>
    <xf numFmtId="2" fontId="23" fillId="0" borderId="0" xfId="0" applyNumberFormat="1" applyFont="1" applyAlignment="1">
      <alignment horizontal="center"/>
    </xf>
    <xf numFmtId="9" fontId="23" fillId="0" borderId="9" xfId="0" applyNumberFormat="1" applyFont="1" applyBorder="1" applyAlignment="1">
      <alignment horizontal="center" vertical="center"/>
    </xf>
    <xf numFmtId="2" fontId="28" fillId="0" borderId="0" xfId="2" applyNumberFormat="1" applyFont="1" applyAlignment="1">
      <alignment horizontal="center" vertical="center"/>
    </xf>
    <xf numFmtId="0" fontId="23" fillId="8" borderId="0" xfId="0" applyFont="1" applyFill="1" applyAlignment="1"/>
    <xf numFmtId="0" fontId="23" fillId="0" borderId="0" xfId="0" applyFont="1" applyAlignment="1">
      <alignment horizontal="left"/>
    </xf>
    <xf numFmtId="0" fontId="13" fillId="8" borderId="26" xfId="0" applyFont="1" applyFill="1" applyBorder="1" applyAlignment="1"/>
    <xf numFmtId="1" fontId="13" fillId="7" borderId="9" xfId="2" applyNumberFormat="1" applyFont="1" applyFill="1" applyBorder="1" applyAlignment="1">
      <alignment horizontal="center"/>
    </xf>
    <xf numFmtId="1" fontId="27" fillId="0" borderId="9" xfId="0" applyNumberFormat="1" applyFont="1" applyBorder="1" applyAlignment="1">
      <alignment horizontal="center" vertical="center"/>
    </xf>
    <xf numFmtId="9" fontId="23" fillId="0" borderId="0" xfId="4" applyFont="1" applyFill="1" applyBorder="1" applyAlignment="1">
      <alignment horizontal="center" vertical="center"/>
    </xf>
    <xf numFmtId="0" fontId="13" fillId="10" borderId="48" xfId="2" applyFont="1" applyFill="1" applyBorder="1" applyAlignment="1">
      <alignment horizontal="center"/>
    </xf>
    <xf numFmtId="179" fontId="13" fillId="0" borderId="34" xfId="2" applyNumberFormat="1" applyFont="1" applyBorder="1" applyAlignment="1">
      <alignment horizontal="center"/>
    </xf>
    <xf numFmtId="9" fontId="13" fillId="0" borderId="0" xfId="2" applyNumberFormat="1" applyFont="1" applyAlignment="1"/>
    <xf numFmtId="0" fontId="15" fillId="0" borderId="27" xfId="2" applyFont="1" applyBorder="1" applyAlignment="1">
      <alignment horizontal="center" vertical="center"/>
    </xf>
    <xf numFmtId="0" fontId="23" fillId="0" borderId="27" xfId="2" applyFont="1" applyBorder="1" applyAlignment="1">
      <alignment horizontal="right"/>
    </xf>
    <xf numFmtId="0" fontId="13" fillId="0" borderId="25" xfId="2" applyFont="1" applyBorder="1" applyAlignment="1">
      <alignment horizontal="center" vertical="center"/>
    </xf>
    <xf numFmtId="0" fontId="23" fillId="0" borderId="28" xfId="2" applyFont="1" applyBorder="1" applyAlignment="1">
      <alignment horizontal="right"/>
    </xf>
    <xf numFmtId="0" fontId="13" fillId="0" borderId="73" xfId="0" applyFont="1" applyBorder="1" applyAlignment="1">
      <alignment horizontal="center" vertical="center"/>
    </xf>
    <xf numFmtId="0" fontId="13" fillId="0" borderId="61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39" xfId="0" applyFont="1" applyBorder="1" applyAlignment="1">
      <alignment horizontal="center" vertical="center"/>
    </xf>
    <xf numFmtId="0" fontId="13" fillId="0" borderId="40" xfId="0" applyFont="1" applyBorder="1" applyAlignment="1">
      <alignment horizontal="left" vertical="center"/>
    </xf>
    <xf numFmtId="0" fontId="13" fillId="0" borderId="56" xfId="0" applyFont="1" applyBorder="1" applyAlignment="1">
      <alignment horizontal="center" vertical="center"/>
    </xf>
    <xf numFmtId="0" fontId="13" fillId="0" borderId="75" xfId="0" applyFont="1" applyBorder="1" applyAlignment="1">
      <alignment horizontal="left" vertical="center"/>
    </xf>
    <xf numFmtId="0" fontId="23" fillId="8" borderId="0" xfId="2" applyFont="1" applyFill="1">
      <alignment vertical="center"/>
    </xf>
    <xf numFmtId="174" fontId="69" fillId="14" borderId="10" xfId="2" applyNumberFormat="1" applyFont="1" applyFill="1" applyBorder="1" applyAlignment="1">
      <alignment horizontal="center" vertical="center"/>
    </xf>
    <xf numFmtId="173" fontId="24" fillId="0" borderId="33" xfId="0" applyNumberFormat="1" applyFont="1" applyBorder="1" applyAlignment="1"/>
    <xf numFmtId="0" fontId="31" fillId="15" borderId="48" xfId="0" applyFont="1" applyFill="1" applyBorder="1" applyAlignment="1">
      <alignment horizontal="center" vertical="center"/>
    </xf>
    <xf numFmtId="0" fontId="23" fillId="8" borderId="23" xfId="2" applyFont="1" applyFill="1" applyBorder="1" applyAlignment="1"/>
    <xf numFmtId="173" fontId="13" fillId="0" borderId="48" xfId="0" applyNumberFormat="1" applyFont="1" applyBorder="1" applyAlignment="1">
      <alignment horizontal="center" vertical="center"/>
    </xf>
    <xf numFmtId="173" fontId="24" fillId="0" borderId="33" xfId="0" applyNumberFormat="1" applyFont="1" applyBorder="1" applyAlignment="1">
      <alignment horizontal="right"/>
    </xf>
    <xf numFmtId="0" fontId="24" fillId="0" borderId="29" xfId="0" applyFont="1" applyBorder="1" applyAlignment="1">
      <alignment horizontal="right"/>
    </xf>
    <xf numFmtId="0" fontId="13" fillId="8" borderId="0" xfId="2" applyFont="1" applyFill="1" applyAlignment="1">
      <alignment horizontal="right"/>
    </xf>
    <xf numFmtId="0" fontId="23" fillId="19" borderId="9" xfId="16" applyFont="1" applyFill="1" applyBorder="1" applyAlignment="1">
      <alignment horizontal="center" vertical="center"/>
    </xf>
    <xf numFmtId="0" fontId="6" fillId="0" borderId="9" xfId="2" applyFont="1" applyBorder="1" applyAlignment="1">
      <alignment horizontal="center" vertical="center"/>
    </xf>
    <xf numFmtId="0" fontId="23" fillId="0" borderId="39" xfId="2" applyFont="1" applyBorder="1" applyAlignment="1">
      <alignment horizontal="center"/>
    </xf>
    <xf numFmtId="0" fontId="13" fillId="8" borderId="22" xfId="2" applyFont="1" applyFill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23" fillId="0" borderId="19" xfId="2" applyFont="1" applyBorder="1" applyAlignment="1"/>
    <xf numFmtId="0" fontId="23" fillId="0" borderId="26" xfId="2" applyFont="1" applyBorder="1" applyAlignment="1">
      <alignment horizontal="center" vertical="center"/>
    </xf>
    <xf numFmtId="0" fontId="13" fillId="0" borderId="26" xfId="2" applyFont="1" applyBorder="1">
      <alignment vertical="center"/>
    </xf>
    <xf numFmtId="0" fontId="54" fillId="0" borderId="56" xfId="0" applyFont="1" applyBorder="1" applyAlignment="1">
      <alignment horizontal="center" vertical="center"/>
    </xf>
    <xf numFmtId="0" fontId="13" fillId="0" borderId="27" xfId="2" applyFont="1" applyBorder="1" applyAlignment="1">
      <alignment horizontal="right" vertical="center"/>
    </xf>
    <xf numFmtId="0" fontId="13" fillId="8" borderId="4" xfId="2" applyFont="1" applyFill="1" applyBorder="1" applyAlignment="1">
      <alignment horizontal="center" vertical="center"/>
    </xf>
    <xf numFmtId="0" fontId="13" fillId="8" borderId="6" xfId="2" applyFont="1" applyFill="1" applyBorder="1" applyAlignment="1">
      <alignment horizontal="center" vertical="center"/>
    </xf>
    <xf numFmtId="0" fontId="13" fillId="8" borderId="8" xfId="2" applyFont="1" applyFill="1" applyBorder="1" applyAlignment="1">
      <alignment horizontal="center" vertical="center"/>
    </xf>
    <xf numFmtId="0" fontId="23" fillId="12" borderId="2" xfId="2" applyFont="1" applyFill="1" applyBorder="1" applyAlignment="1">
      <alignment horizontal="center" vertical="center"/>
    </xf>
    <xf numFmtId="0" fontId="13" fillId="0" borderId="30" xfId="2" applyFont="1" applyBorder="1" applyAlignment="1"/>
    <xf numFmtId="0" fontId="23" fillId="12" borderId="30" xfId="2" applyFont="1" applyFill="1" applyBorder="1" applyAlignment="1">
      <alignment horizontal="center" vertical="center"/>
    </xf>
    <xf numFmtId="0" fontId="13" fillId="12" borderId="48" xfId="2" applyFont="1" applyFill="1" applyBorder="1" applyAlignment="1">
      <alignment horizontal="center" vertical="center"/>
    </xf>
    <xf numFmtId="0" fontId="13" fillId="8" borderId="11" xfId="2" applyFont="1" applyFill="1" applyBorder="1" applyAlignment="1">
      <alignment horizontal="center" vertical="center"/>
    </xf>
    <xf numFmtId="0" fontId="13" fillId="8" borderId="13" xfId="2" applyFont="1" applyFill="1" applyBorder="1" applyAlignment="1">
      <alignment horizontal="center" vertical="center"/>
    </xf>
    <xf numFmtId="0" fontId="23" fillId="12" borderId="34" xfId="2" applyFont="1" applyFill="1" applyBorder="1" applyAlignment="1">
      <alignment horizontal="center" vertical="center"/>
    </xf>
    <xf numFmtId="2" fontId="23" fillId="0" borderId="27" xfId="2" applyNumberFormat="1" applyFont="1" applyBorder="1" applyAlignment="1">
      <alignment horizontal="right" vertical="center"/>
    </xf>
    <xf numFmtId="0" fontId="52" fillId="0" borderId="0" xfId="2" quotePrefix="1" applyFont="1">
      <alignment vertical="center"/>
    </xf>
    <xf numFmtId="0" fontId="13" fillId="10" borderId="30" xfId="2" applyFont="1" applyFill="1" applyBorder="1" applyAlignment="1">
      <alignment horizontal="center" vertical="center"/>
    </xf>
    <xf numFmtId="0" fontId="23" fillId="12" borderId="31" xfId="2" applyFont="1" applyFill="1" applyBorder="1" applyAlignment="1">
      <alignment horizontal="center" vertical="center"/>
    </xf>
    <xf numFmtId="0" fontId="23" fillId="0" borderId="27" xfId="2" applyFont="1" applyBorder="1">
      <alignment vertical="center"/>
    </xf>
    <xf numFmtId="0" fontId="13" fillId="8" borderId="26" xfId="2" applyFont="1" applyFill="1" applyBorder="1" applyAlignment="1">
      <alignment horizontal="center"/>
    </xf>
    <xf numFmtId="0" fontId="13" fillId="8" borderId="27" xfId="2" applyFont="1" applyFill="1" applyBorder="1" applyAlignment="1">
      <alignment horizontal="center" vertical="center"/>
    </xf>
    <xf numFmtId="174" fontId="13" fillId="8" borderId="27" xfId="2" applyNumberFormat="1" applyFont="1" applyFill="1" applyBorder="1" applyAlignment="1">
      <alignment horizontal="center" vertical="center"/>
    </xf>
    <xf numFmtId="2" fontId="69" fillId="10" borderId="0" xfId="2" applyNumberFormat="1" applyFont="1" applyFill="1" applyAlignment="1">
      <alignment horizontal="center" vertical="center"/>
    </xf>
    <xf numFmtId="0" fontId="13" fillId="8" borderId="0" xfId="2" applyFont="1" applyFill="1">
      <alignment vertical="center"/>
    </xf>
    <xf numFmtId="0" fontId="13" fillId="19" borderId="0" xfId="0" applyFont="1" applyFill="1" applyAlignment="1">
      <alignment horizontal="center" vertical="center"/>
    </xf>
    <xf numFmtId="1" fontId="13" fillId="8" borderId="0" xfId="2" applyNumberFormat="1" applyFont="1" applyFill="1" applyAlignment="1">
      <alignment horizontal="center" vertical="center"/>
    </xf>
    <xf numFmtId="177" fontId="13" fillId="0" borderId="0" xfId="0" applyNumberFormat="1" applyFont="1">
      <alignment vertical="center"/>
    </xf>
    <xf numFmtId="0" fontId="69" fillId="8" borderId="27" xfId="2" applyFont="1" applyFill="1" applyBorder="1" applyAlignment="1">
      <alignment horizontal="left" vertical="center"/>
    </xf>
    <xf numFmtId="0" fontId="23" fillId="0" borderId="30" xfId="2" applyFont="1" applyBorder="1" applyAlignment="1">
      <alignment horizontal="left" vertical="center"/>
    </xf>
    <xf numFmtId="0" fontId="23" fillId="0" borderId="48" xfId="2" applyFont="1" applyBorder="1" applyAlignment="1">
      <alignment horizontal="center" vertical="center"/>
    </xf>
    <xf numFmtId="0" fontId="13" fillId="0" borderId="2" xfId="0" applyFont="1" applyBorder="1">
      <alignment vertical="center"/>
    </xf>
    <xf numFmtId="0" fontId="13" fillId="8" borderId="30" xfId="2" applyFont="1" applyFill="1" applyBorder="1" applyAlignment="1">
      <alignment horizontal="center"/>
    </xf>
    <xf numFmtId="0" fontId="23" fillId="8" borderId="31" xfId="2" applyFont="1" applyFill="1" applyBorder="1" applyAlignment="1">
      <alignment horizontal="center" vertical="center"/>
    </xf>
    <xf numFmtId="174" fontId="13" fillId="8" borderId="31" xfId="2" applyNumberFormat="1" applyFont="1" applyFill="1" applyBorder="1" applyAlignment="1">
      <alignment horizontal="center" vertical="center"/>
    </xf>
    <xf numFmtId="174" fontId="13" fillId="0" borderId="0" xfId="2" applyNumberFormat="1" applyFont="1" applyAlignment="1">
      <alignment horizontal="center" vertical="center"/>
    </xf>
    <xf numFmtId="0" fontId="23" fillId="0" borderId="30" xfId="2" applyFont="1" applyBorder="1">
      <alignment vertical="center"/>
    </xf>
    <xf numFmtId="2" fontId="54" fillId="0" borderId="48" xfId="2" applyNumberFormat="1" applyFont="1" applyBorder="1" applyAlignment="1">
      <alignment horizontal="center" vertical="center"/>
    </xf>
    <xf numFmtId="0" fontId="23" fillId="0" borderId="30" xfId="0" applyFont="1" applyBorder="1">
      <alignment vertical="center"/>
    </xf>
    <xf numFmtId="2" fontId="27" fillId="0" borderId="0" xfId="2" applyNumberFormat="1" applyFont="1" applyAlignment="1">
      <alignment horizontal="center" vertical="center"/>
    </xf>
    <xf numFmtId="0" fontId="23" fillId="10" borderId="30" xfId="2" applyFont="1" applyFill="1" applyBorder="1" applyAlignment="1">
      <alignment horizontal="center" vertical="center"/>
    </xf>
    <xf numFmtId="0" fontId="23" fillId="0" borderId="31" xfId="0" applyFont="1" applyBorder="1" applyAlignment="1">
      <alignment horizontal="center" vertical="center"/>
    </xf>
    <xf numFmtId="0" fontId="23" fillId="0" borderId="48" xfId="0" applyFont="1" applyBorder="1" applyAlignment="1">
      <alignment horizontal="left" vertical="center"/>
    </xf>
    <xf numFmtId="0" fontId="23" fillId="0" borderId="25" xfId="2" applyFont="1" applyBorder="1" applyAlignment="1">
      <alignment horizontal="left" vertical="center"/>
    </xf>
    <xf numFmtId="0" fontId="23" fillId="0" borderId="34" xfId="2" applyFont="1" applyBorder="1">
      <alignment vertical="center"/>
    </xf>
    <xf numFmtId="0" fontId="89" fillId="0" borderId="30" xfId="2" applyFont="1" applyBorder="1" applyAlignment="1">
      <alignment horizontal="center" vertical="center"/>
    </xf>
    <xf numFmtId="0" fontId="78" fillId="0" borderId="32" xfId="2" applyFont="1" applyBorder="1" applyAlignment="1">
      <alignment horizontal="center" vertical="center"/>
    </xf>
    <xf numFmtId="174" fontId="54" fillId="0" borderId="48" xfId="2" applyNumberFormat="1" applyFont="1" applyBorder="1" applyAlignment="1">
      <alignment horizontal="center" vertical="center"/>
    </xf>
    <xf numFmtId="0" fontId="13" fillId="0" borderId="33" xfId="0" applyFont="1" applyBorder="1" applyAlignment="1">
      <alignment horizontal="center" vertical="center"/>
    </xf>
    <xf numFmtId="173" fontId="13" fillId="0" borderId="33" xfId="0" applyNumberFormat="1" applyFont="1" applyBorder="1" applyAlignment="1">
      <alignment horizontal="center" vertical="center"/>
    </xf>
    <xf numFmtId="173" fontId="13" fillId="0" borderId="0" xfId="2" applyNumberFormat="1" applyFont="1">
      <alignment vertical="center"/>
    </xf>
    <xf numFmtId="173" fontId="13" fillId="0" borderId="33" xfId="2" applyNumberFormat="1" applyFont="1" applyBorder="1">
      <alignment vertical="center"/>
    </xf>
    <xf numFmtId="1" fontId="23" fillId="0" borderId="0" xfId="2" applyNumberFormat="1" applyFont="1" applyAlignment="1">
      <alignment horizontal="center" vertical="center"/>
    </xf>
    <xf numFmtId="0" fontId="69" fillId="0" borderId="28" xfId="0" applyFont="1" applyBorder="1" applyAlignment="1">
      <alignment horizontal="center" vertical="center"/>
    </xf>
    <xf numFmtId="174" fontId="13" fillId="0" borderId="48" xfId="2" applyNumberFormat="1" applyFont="1" applyBorder="1" applyAlignment="1">
      <alignment horizontal="center" vertical="center"/>
    </xf>
    <xf numFmtId="0" fontId="30" fillId="0" borderId="0" xfId="0" applyFont="1">
      <alignment vertical="center"/>
    </xf>
    <xf numFmtId="0" fontId="13" fillId="8" borderId="26" xfId="2" applyFont="1" applyFill="1" applyBorder="1">
      <alignment vertical="center"/>
    </xf>
    <xf numFmtId="0" fontId="23" fillId="8" borderId="27" xfId="2" applyFont="1" applyFill="1" applyBorder="1" applyAlignment="1">
      <alignment horizontal="center" vertical="center"/>
    </xf>
    <xf numFmtId="174" fontId="13" fillId="0" borderId="2" xfId="2" applyNumberFormat="1" applyFont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1" fontId="13" fillId="8" borderId="27" xfId="2" applyNumberFormat="1" applyFont="1" applyFill="1" applyBorder="1" applyAlignment="1">
      <alignment horizontal="center" vertical="center"/>
    </xf>
    <xf numFmtId="0" fontId="110" fillId="0" borderId="0" xfId="0" applyFont="1">
      <alignment vertical="center"/>
    </xf>
    <xf numFmtId="0" fontId="23" fillId="8" borderId="3" xfId="2" applyFont="1" applyFill="1" applyBorder="1" applyAlignment="1">
      <alignment horizontal="center" vertical="center"/>
    </xf>
    <xf numFmtId="0" fontId="13" fillId="0" borderId="67" xfId="0" applyFont="1" applyBorder="1">
      <alignment vertical="center"/>
    </xf>
    <xf numFmtId="1" fontId="13" fillId="0" borderId="58" xfId="0" applyNumberFormat="1" applyFont="1" applyBorder="1" applyAlignment="1">
      <alignment horizontal="center" vertical="center"/>
    </xf>
    <xf numFmtId="0" fontId="13" fillId="0" borderId="66" xfId="0" applyFont="1" applyBorder="1">
      <alignment vertical="center"/>
    </xf>
    <xf numFmtId="173" fontId="13" fillId="0" borderId="57" xfId="0" applyNumberFormat="1" applyFont="1" applyBorder="1" applyAlignment="1">
      <alignment horizontal="center" vertical="center"/>
    </xf>
    <xf numFmtId="174" fontId="13" fillId="8" borderId="3" xfId="2" applyNumberFormat="1" applyFont="1" applyFill="1" applyBorder="1" applyAlignment="1">
      <alignment horizontal="center" vertical="center"/>
    </xf>
    <xf numFmtId="0" fontId="31" fillId="0" borderId="32" xfId="0" applyFont="1" applyBorder="1" applyAlignment="1">
      <alignment horizontal="center" vertical="center"/>
    </xf>
    <xf numFmtId="174" fontId="13" fillId="8" borderId="10" xfId="2" applyNumberFormat="1" applyFont="1" applyFill="1" applyBorder="1" applyAlignment="1">
      <alignment horizontal="center" vertical="center"/>
    </xf>
    <xf numFmtId="0" fontId="13" fillId="0" borderId="39" xfId="0" applyFont="1" applyBorder="1">
      <alignment vertical="center"/>
    </xf>
    <xf numFmtId="0" fontId="13" fillId="0" borderId="58" xfId="0" applyFont="1" applyBorder="1" applyAlignment="1">
      <alignment horizontal="center" vertical="center"/>
    </xf>
    <xf numFmtId="14" fontId="13" fillId="8" borderId="0" xfId="2" applyNumberFormat="1" applyFont="1" applyFill="1" applyAlignment="1">
      <alignment horizontal="center"/>
    </xf>
    <xf numFmtId="0" fontId="13" fillId="0" borderId="72" xfId="0" applyFont="1" applyBorder="1">
      <alignment vertical="center"/>
    </xf>
    <xf numFmtId="0" fontId="13" fillId="0" borderId="57" xfId="0" applyFont="1" applyBorder="1" applyAlignment="1">
      <alignment horizontal="center" vertical="center"/>
    </xf>
    <xf numFmtId="0" fontId="13" fillId="8" borderId="1" xfId="2" applyFont="1" applyFill="1" applyBorder="1" applyAlignment="1"/>
    <xf numFmtId="0" fontId="13" fillId="8" borderId="23" xfId="2" applyFont="1" applyFill="1" applyBorder="1" applyAlignment="1"/>
    <xf numFmtId="0" fontId="13" fillId="8" borderId="29" xfId="2" applyFont="1" applyFill="1" applyBorder="1" applyAlignment="1"/>
    <xf numFmtId="0" fontId="55" fillId="0" borderId="48" xfId="0" applyFont="1" applyBorder="1" applyAlignment="1">
      <alignment horizontal="center" vertical="center"/>
    </xf>
    <xf numFmtId="0" fontId="13" fillId="15" borderId="1" xfId="0" applyFont="1" applyFill="1" applyBorder="1" applyAlignment="1">
      <alignment horizontal="center" vertical="center"/>
    </xf>
    <xf numFmtId="0" fontId="13" fillId="8" borderId="26" xfId="2" applyFont="1" applyFill="1" applyBorder="1" applyAlignment="1"/>
    <xf numFmtId="0" fontId="13" fillId="8" borderId="27" xfId="2" applyFont="1" applyFill="1" applyBorder="1" applyAlignment="1"/>
    <xf numFmtId="173" fontId="13" fillId="0" borderId="2" xfId="0" applyNumberFormat="1" applyFont="1" applyBorder="1" applyAlignment="1">
      <alignment horizontal="center" vertical="center"/>
    </xf>
    <xf numFmtId="173" fontId="13" fillId="0" borderId="27" xfId="0" applyNumberFormat="1" applyFont="1" applyBorder="1" applyAlignment="1">
      <alignment horizontal="center" vertical="center"/>
    </xf>
    <xf numFmtId="174" fontId="13" fillId="0" borderId="31" xfId="0" applyNumberFormat="1" applyFont="1" applyBorder="1">
      <alignment vertical="center"/>
    </xf>
    <xf numFmtId="2" fontId="13" fillId="8" borderId="27" xfId="2" applyNumberFormat="1" applyFont="1" applyFill="1" applyBorder="1" applyAlignment="1">
      <alignment horizontal="center" vertical="center"/>
    </xf>
    <xf numFmtId="174" fontId="13" fillId="8" borderId="2" xfId="2" applyNumberFormat="1" applyFont="1" applyFill="1" applyBorder="1" applyAlignment="1">
      <alignment horizontal="center" vertical="center"/>
    </xf>
    <xf numFmtId="0" fontId="13" fillId="0" borderId="23" xfId="0" applyFont="1" applyBorder="1" applyAlignment="1">
      <alignment horizontal="center" vertical="center"/>
    </xf>
    <xf numFmtId="173" fontId="13" fillId="0" borderId="1" xfId="0" applyNumberFormat="1" applyFont="1" applyBorder="1" applyAlignment="1">
      <alignment horizontal="center" vertical="center"/>
    </xf>
    <xf numFmtId="173" fontId="13" fillId="0" borderId="1" xfId="2" applyNumberFormat="1" applyFont="1" applyBorder="1" applyAlignment="1">
      <alignment horizontal="center" vertical="center"/>
    </xf>
    <xf numFmtId="173" fontId="13" fillId="0" borderId="2" xfId="2" applyNumberFormat="1" applyFont="1" applyBorder="1">
      <alignment vertical="center"/>
    </xf>
    <xf numFmtId="173" fontId="13" fillId="8" borderId="0" xfId="2" applyNumberFormat="1" applyFont="1" applyFill="1" applyAlignment="1">
      <alignment horizontal="center"/>
    </xf>
    <xf numFmtId="174" fontId="13" fillId="0" borderId="30" xfId="0" applyNumberFormat="1" applyFont="1" applyBorder="1" applyAlignment="1">
      <alignment horizontal="center" vertical="center"/>
    </xf>
    <xf numFmtId="173" fontId="13" fillId="0" borderId="48" xfId="2" applyNumberFormat="1" applyFont="1" applyBorder="1">
      <alignment vertical="center"/>
    </xf>
    <xf numFmtId="0" fontId="13" fillId="0" borderId="32" xfId="0" applyFont="1" applyBorder="1" applyAlignment="1">
      <alignment horizontal="right" vertical="center"/>
    </xf>
    <xf numFmtId="0" fontId="95" fillId="0" borderId="32" xfId="4" applyNumberFormat="1" applyFont="1" applyBorder="1" applyAlignment="1">
      <alignment horizontal="center" vertical="center"/>
    </xf>
    <xf numFmtId="0" fontId="13" fillId="19" borderId="9" xfId="16" applyFont="1" applyFill="1" applyBorder="1" applyAlignment="1">
      <alignment horizontal="center" vertical="center"/>
    </xf>
    <xf numFmtId="0" fontId="13" fillId="8" borderId="26" xfId="2" applyFont="1" applyFill="1" applyBorder="1" applyAlignment="1">
      <alignment horizontal="left"/>
    </xf>
    <xf numFmtId="2" fontId="13" fillId="0" borderId="3" xfId="2" applyNumberFormat="1" applyFont="1" applyBorder="1" applyAlignment="1">
      <alignment horizontal="center" vertical="center"/>
    </xf>
    <xf numFmtId="0" fontId="64" fillId="3" borderId="0" xfId="0" applyFont="1" applyFill="1" applyAlignment="1">
      <alignment horizontal="center" vertical="center"/>
    </xf>
    <xf numFmtId="2" fontId="23" fillId="8" borderId="0" xfId="2" applyNumberFormat="1" applyFont="1" applyFill="1" applyAlignment="1"/>
    <xf numFmtId="1" fontId="107" fillId="0" borderId="0" xfId="0" applyNumberFormat="1" applyFont="1" applyAlignment="1">
      <alignment horizontal="center"/>
    </xf>
    <xf numFmtId="174" fontId="94" fillId="0" borderId="0" xfId="2" applyNumberFormat="1" applyFont="1" applyAlignment="1">
      <alignment horizontal="right" vertical="center"/>
    </xf>
    <xf numFmtId="0" fontId="94" fillId="0" borderId="0" xfId="0" applyFont="1" applyAlignment="1">
      <alignment horizontal="right" vertical="center"/>
    </xf>
    <xf numFmtId="2" fontId="23" fillId="10" borderId="0" xfId="0" applyNumberFormat="1" applyFont="1" applyFill="1" applyAlignment="1">
      <alignment horizontal="center" vertical="center"/>
    </xf>
    <xf numFmtId="0" fontId="13" fillId="19" borderId="45" xfId="14" applyFont="1" applyFill="1" applyBorder="1">
      <alignment vertical="center"/>
    </xf>
    <xf numFmtId="0" fontId="58" fillId="0" borderId="0" xfId="0" applyFont="1" applyAlignment="1">
      <alignment horizontal="center"/>
    </xf>
    <xf numFmtId="0" fontId="24" fillId="0" borderId="26" xfId="0" applyFont="1" applyBorder="1" applyAlignment="1" applyProtection="1">
      <protection locked="0"/>
    </xf>
    <xf numFmtId="0" fontId="24" fillId="0" borderId="0" xfId="0" applyFont="1" applyAlignment="1" applyProtection="1">
      <protection locked="0"/>
    </xf>
    <xf numFmtId="0" fontId="24" fillId="0" borderId="27" xfId="0" applyFont="1" applyBorder="1" applyAlignment="1" applyProtection="1">
      <protection locked="0"/>
    </xf>
    <xf numFmtId="0" fontId="24" fillId="0" borderId="29" xfId="0" applyFont="1" applyBorder="1" applyAlignment="1"/>
    <xf numFmtId="0" fontId="24" fillId="12" borderId="9" xfId="0" applyFont="1" applyFill="1" applyBorder="1" applyAlignment="1">
      <alignment horizontal="center" vertical="center"/>
    </xf>
    <xf numFmtId="0" fontId="27" fillId="0" borderId="26" xfId="0" applyFont="1" applyBorder="1" applyAlignment="1" applyProtection="1">
      <alignment horizontal="center"/>
      <protection locked="0"/>
    </xf>
    <xf numFmtId="0" fontId="24" fillId="0" borderId="42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/>
    </xf>
    <xf numFmtId="0" fontId="28" fillId="0" borderId="0" xfId="2" applyFont="1" applyProtection="1">
      <alignment vertical="center"/>
      <protection locked="0"/>
    </xf>
    <xf numFmtId="0" fontId="28" fillId="0" borderId="27" xfId="2" applyFont="1" applyBorder="1" applyProtection="1">
      <alignment vertical="center"/>
      <protection locked="0"/>
    </xf>
    <xf numFmtId="0" fontId="13" fillId="0" borderId="0" xfId="2" applyFont="1" applyAlignment="1" applyProtection="1">
      <alignment horizontal="left" vertical="center" wrapText="1"/>
      <protection locked="0"/>
    </xf>
    <xf numFmtId="0" fontId="111" fillId="0" borderId="0" xfId="2" applyFont="1" applyAlignment="1">
      <alignment horizontal="left" vertical="center"/>
    </xf>
    <xf numFmtId="0" fontId="13" fillId="8" borderId="0" xfId="2" applyFont="1" applyFill="1" applyAlignment="1" applyProtection="1">
      <alignment horizontal="left" vertical="center" wrapText="1"/>
      <protection locked="0"/>
    </xf>
    <xf numFmtId="0" fontId="27" fillId="0" borderId="26" xfId="0" applyFont="1" applyBorder="1" applyAlignment="1" applyProtection="1">
      <alignment horizontal="center" vertical="center"/>
      <protection locked="0"/>
    </xf>
    <xf numFmtId="0" fontId="13" fillId="8" borderId="0" xfId="2" applyFont="1" applyFill="1" applyAlignment="1" applyProtection="1">
      <alignment horizontal="center" vertical="center"/>
      <protection locked="0"/>
    </xf>
    <xf numFmtId="0" fontId="13" fillId="0" borderId="9" xfId="2" applyFont="1" applyBorder="1" applyAlignment="1" applyProtection="1">
      <alignment horizontal="left" vertical="center" wrapText="1"/>
      <protection locked="0"/>
    </xf>
    <xf numFmtId="0" fontId="13" fillId="0" borderId="40" xfId="2" applyFont="1" applyBorder="1" applyAlignment="1" applyProtection="1">
      <alignment horizontal="left" vertical="center" wrapText="1"/>
      <protection locked="0"/>
    </xf>
    <xf numFmtId="0" fontId="24" fillId="0" borderId="42" xfId="0" applyFont="1" applyBorder="1" applyAlignment="1"/>
    <xf numFmtId="0" fontId="24" fillId="0" borderId="0" xfId="0" applyFont="1">
      <alignment vertical="center"/>
    </xf>
    <xf numFmtId="0" fontId="24" fillId="0" borderId="0" xfId="0" applyFont="1" applyAlignment="1" applyProtection="1">
      <alignment horizontal="center" vertical="center"/>
      <protection locked="0"/>
    </xf>
    <xf numFmtId="0" fontId="24" fillId="0" borderId="27" xfId="0" applyFont="1" applyBorder="1" applyAlignment="1" applyProtection="1">
      <alignment vertical="center" wrapText="1"/>
      <protection locked="0"/>
    </xf>
    <xf numFmtId="0" fontId="24" fillId="0" borderId="39" xfId="0" applyFont="1" applyBorder="1" applyAlignment="1">
      <alignment horizontal="center" vertical="center"/>
    </xf>
    <xf numFmtId="0" fontId="24" fillId="0" borderId="56" xfId="0" applyFont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4" fillId="8" borderId="0" xfId="0" applyFont="1" applyFill="1" applyAlignment="1" applyProtection="1">
      <alignment horizontal="center" vertical="center"/>
      <protection locked="0"/>
    </xf>
    <xf numFmtId="0" fontId="24" fillId="0" borderId="44" xfId="0" applyFont="1" applyBorder="1" applyAlignment="1">
      <alignment horizontal="center" vertical="center"/>
    </xf>
    <xf numFmtId="0" fontId="24" fillId="0" borderId="48" xfId="0" applyFont="1" applyBorder="1" applyAlignment="1"/>
    <xf numFmtId="0" fontId="24" fillId="0" borderId="1" xfId="0" applyFont="1" applyBorder="1" applyAlignment="1"/>
    <xf numFmtId="0" fontId="27" fillId="0" borderId="33" xfId="0" applyFont="1" applyBorder="1" applyAlignment="1">
      <alignment horizontal="center"/>
    </xf>
    <xf numFmtId="0" fontId="24" fillId="0" borderId="6" xfId="0" applyFont="1" applyBorder="1" applyAlignment="1">
      <alignment horizontal="right"/>
    </xf>
    <xf numFmtId="0" fontId="25" fillId="0" borderId="0" xfId="0" applyFont="1" applyAlignment="1" applyProtection="1">
      <alignment horizontal="center" vertical="center"/>
      <protection locked="0"/>
    </xf>
    <xf numFmtId="0" fontId="24" fillId="0" borderId="31" xfId="0" applyFont="1" applyBorder="1" applyAlignment="1"/>
    <xf numFmtId="0" fontId="13" fillId="2" borderId="27" xfId="0" applyFont="1" applyFill="1" applyBorder="1" applyAlignment="1" applyProtection="1">
      <alignment horizontal="center" vertical="center"/>
      <protection locked="0"/>
    </xf>
    <xf numFmtId="0" fontId="13" fillId="8" borderId="9" xfId="2" applyFont="1" applyFill="1" applyBorder="1" applyAlignment="1" applyProtection="1">
      <alignment horizontal="left" vertical="center"/>
      <protection locked="0"/>
    </xf>
    <xf numFmtId="0" fontId="24" fillId="0" borderId="24" xfId="0" applyFont="1" applyBorder="1" applyAlignment="1" applyProtection="1">
      <protection locked="0"/>
    </xf>
    <xf numFmtId="0" fontId="24" fillId="0" borderId="25" xfId="0" applyFont="1" applyBorder="1" applyAlignment="1" applyProtection="1">
      <protection locked="0"/>
    </xf>
    <xf numFmtId="0" fontId="24" fillId="0" borderId="28" xfId="0" applyFont="1" applyBorder="1" applyAlignment="1" applyProtection="1">
      <protection locked="0"/>
    </xf>
    <xf numFmtId="0" fontId="13" fillId="10" borderId="38" xfId="0" applyFont="1" applyFill="1" applyBorder="1" applyAlignment="1">
      <alignment horizontal="center" vertical="center"/>
    </xf>
    <xf numFmtId="0" fontId="13" fillId="10" borderId="47" xfId="0" applyFont="1" applyFill="1" applyBorder="1" applyAlignment="1">
      <alignment horizontal="center" vertical="center"/>
    </xf>
    <xf numFmtId="0" fontId="24" fillId="10" borderId="5" xfId="0" applyFont="1" applyFill="1" applyBorder="1" applyAlignment="1">
      <alignment horizontal="center" vertical="center"/>
    </xf>
    <xf numFmtId="0" fontId="24" fillId="10" borderId="76" xfId="0" applyFont="1" applyFill="1" applyBorder="1" applyAlignment="1">
      <alignment horizontal="center" vertical="center"/>
    </xf>
    <xf numFmtId="0" fontId="24" fillId="0" borderId="12" xfId="0" applyFont="1" applyBorder="1" applyAlignment="1">
      <alignment horizontal="center"/>
    </xf>
    <xf numFmtId="0" fontId="24" fillId="0" borderId="59" xfId="0" applyFont="1" applyBorder="1" applyAlignment="1">
      <alignment horizontal="center"/>
    </xf>
    <xf numFmtId="0" fontId="24" fillId="0" borderId="35" xfId="0" applyFont="1" applyBorder="1" applyAlignment="1">
      <alignment horizontal="center" vertical="center"/>
    </xf>
    <xf numFmtId="0" fontId="24" fillId="10" borderId="38" xfId="0" applyFont="1" applyFill="1" applyBorder="1" applyAlignment="1">
      <alignment horizontal="center" vertical="center"/>
    </xf>
    <xf numFmtId="0" fontId="24" fillId="10" borderId="47" xfId="0" applyFont="1" applyFill="1" applyBorder="1" applyAlignment="1">
      <alignment horizontal="center" vertical="center"/>
    </xf>
    <xf numFmtId="0" fontId="24" fillId="0" borderId="40" xfId="0" applyFont="1" applyBorder="1" applyAlignment="1">
      <alignment horizontal="center" vertical="center"/>
    </xf>
    <xf numFmtId="0" fontId="24" fillId="0" borderId="21" xfId="0" applyFont="1" applyBorder="1" applyAlignment="1">
      <alignment horizontal="center" vertical="center"/>
    </xf>
    <xf numFmtId="0" fontId="76" fillId="0" borderId="9" xfId="0" applyFont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112" fillId="2" borderId="31" xfId="0" applyFont="1" applyFill="1" applyBorder="1" applyAlignment="1">
      <alignment horizontal="center" vertical="center"/>
    </xf>
    <xf numFmtId="0" fontId="112" fillId="2" borderId="30" xfId="0" applyFont="1" applyFill="1" applyBorder="1" applyAlignment="1">
      <alignment horizontal="center" vertical="center"/>
    </xf>
    <xf numFmtId="0" fontId="24" fillId="0" borderId="22" xfId="0" applyFont="1" applyBorder="1" applyAlignment="1">
      <alignment horizontal="center" vertical="center"/>
    </xf>
    <xf numFmtId="0" fontId="24" fillId="0" borderId="75" xfId="0" applyFont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0" fontId="24" fillId="0" borderId="63" xfId="0" applyFont="1" applyBorder="1" applyAlignment="1">
      <alignment horizontal="center" vertical="center"/>
    </xf>
    <xf numFmtId="0" fontId="24" fillId="0" borderId="81" xfId="0" applyFont="1" applyBorder="1" applyAlignment="1">
      <alignment horizontal="center" vertical="center"/>
    </xf>
    <xf numFmtId="0" fontId="24" fillId="0" borderId="76" xfId="0" applyFont="1" applyBorder="1" applyAlignment="1">
      <alignment horizontal="center" vertical="center"/>
    </xf>
    <xf numFmtId="0" fontId="112" fillId="10" borderId="5" xfId="0" applyFont="1" applyFill="1" applyBorder="1" applyAlignment="1">
      <alignment horizontal="center" vertical="center"/>
    </xf>
    <xf numFmtId="0" fontId="112" fillId="10" borderId="76" xfId="0" applyFont="1" applyFill="1" applyBorder="1" applyAlignment="1">
      <alignment horizontal="center" vertical="center"/>
    </xf>
    <xf numFmtId="0" fontId="112" fillId="0" borderId="12" xfId="0" applyFont="1" applyBorder="1" applyAlignment="1">
      <alignment horizontal="center"/>
    </xf>
    <xf numFmtId="0" fontId="112" fillId="0" borderId="59" xfId="0" applyFont="1" applyBorder="1" applyAlignment="1">
      <alignment horizontal="center"/>
    </xf>
    <xf numFmtId="0" fontId="13" fillId="0" borderId="32" xfId="2" applyFont="1" applyBorder="1" applyAlignment="1">
      <alignment horizontal="center" vertical="center"/>
    </xf>
    <xf numFmtId="0" fontId="13" fillId="10" borderId="58" xfId="2" applyFont="1" applyFill="1" applyBorder="1" applyAlignment="1">
      <alignment horizontal="center" vertical="center"/>
    </xf>
    <xf numFmtId="1" fontId="13" fillId="0" borderId="65" xfId="2" applyNumberFormat="1" applyFont="1" applyBorder="1" applyAlignment="1">
      <alignment horizontal="center" vertical="center"/>
    </xf>
    <xf numFmtId="0" fontId="13" fillId="0" borderId="49" xfId="2" applyFont="1" applyBorder="1" applyAlignment="1" applyProtection="1">
      <alignment horizontal="center"/>
      <protection locked="0"/>
    </xf>
    <xf numFmtId="0" fontId="13" fillId="0" borderId="14" xfId="2" applyFont="1" applyBorder="1" applyAlignment="1" applyProtection="1">
      <alignment horizontal="center"/>
      <protection locked="0"/>
    </xf>
    <xf numFmtId="0" fontId="24" fillId="0" borderId="0" xfId="0" applyFont="1" applyAlignment="1" applyProtection="1">
      <alignment horizontal="left" vertical="center" wrapText="1"/>
      <protection locked="0"/>
    </xf>
    <xf numFmtId="0" fontId="13" fillId="44" borderId="9" xfId="0" applyFont="1" applyFill="1" applyBorder="1" applyAlignment="1" applyProtection="1">
      <alignment horizontal="center" vertical="center"/>
      <protection locked="0"/>
    </xf>
    <xf numFmtId="0" fontId="23" fillId="44" borderId="9" xfId="2" applyFont="1" applyFill="1" applyBorder="1" applyAlignment="1" applyProtection="1">
      <alignment horizontal="center" vertical="center" wrapText="1"/>
      <protection locked="0"/>
    </xf>
    <xf numFmtId="0" fontId="23" fillId="44" borderId="9" xfId="2" applyFont="1" applyFill="1" applyBorder="1" applyAlignment="1" applyProtection="1">
      <alignment horizontal="center" vertical="center"/>
      <protection locked="0"/>
    </xf>
    <xf numFmtId="0" fontId="113" fillId="0" borderId="0" xfId="2" applyFont="1" applyAlignment="1" applyProtection="1">
      <alignment horizontal="left" vertical="center"/>
      <protection locked="0"/>
    </xf>
    <xf numFmtId="0" fontId="113" fillId="0" borderId="0" xfId="2" applyFont="1" applyAlignment="1" applyProtection="1">
      <alignment horizontal="center" vertical="center"/>
      <protection locked="0"/>
    </xf>
    <xf numFmtId="0" fontId="13" fillId="8" borderId="43" xfId="2" applyFont="1" applyFill="1" applyBorder="1" applyAlignment="1">
      <alignment horizontal="center" vertical="center"/>
    </xf>
    <xf numFmtId="0" fontId="13" fillId="0" borderId="0" xfId="0" applyFont="1" applyProtection="1">
      <alignment vertical="center"/>
      <protection locked="0"/>
    </xf>
    <xf numFmtId="0" fontId="13" fillId="8" borderId="9" xfId="2" applyFont="1" applyFill="1" applyBorder="1" applyAlignment="1" applyProtection="1">
      <alignment horizontal="left" vertical="center" wrapText="1"/>
      <protection locked="0"/>
    </xf>
    <xf numFmtId="0" fontId="114" fillId="35" borderId="9" xfId="2" applyFont="1" applyFill="1" applyBorder="1" applyAlignment="1" applyProtection="1">
      <alignment horizontal="center" vertical="center"/>
      <protection locked="0"/>
    </xf>
    <xf numFmtId="0" fontId="30" fillId="35" borderId="9" xfId="0" applyFont="1" applyFill="1" applyBorder="1" applyAlignment="1" applyProtection="1">
      <alignment horizontal="center" vertical="center"/>
      <protection locked="0"/>
    </xf>
    <xf numFmtId="0" fontId="32" fillId="2" borderId="0" xfId="7" applyFont="1" applyFill="1" applyBorder="1" applyAlignment="1" applyProtection="1">
      <alignment horizontal="center" vertical="center"/>
      <protection locked="0"/>
    </xf>
    <xf numFmtId="0" fontId="65" fillId="0" borderId="9" xfId="0" applyFont="1" applyBorder="1" applyAlignment="1">
      <alignment horizontal="center" vertical="center"/>
    </xf>
    <xf numFmtId="0" fontId="13" fillId="0" borderId="27" xfId="0" applyFont="1" applyBorder="1" applyProtection="1">
      <alignment vertical="center"/>
      <protection locked="0"/>
    </xf>
    <xf numFmtId="0" fontId="32" fillId="2" borderId="0" xfId="7" applyFont="1" applyFill="1" applyBorder="1" applyAlignment="1">
      <alignment horizontal="center"/>
    </xf>
    <xf numFmtId="0" fontId="13" fillId="0" borderId="12" xfId="2" applyFont="1" applyBorder="1" applyAlignment="1">
      <alignment horizontal="center" vertical="center"/>
    </xf>
    <xf numFmtId="0" fontId="65" fillId="0" borderId="45" xfId="0" applyFont="1" applyBorder="1" applyAlignment="1">
      <alignment horizontal="center" vertical="center"/>
    </xf>
    <xf numFmtId="0" fontId="13" fillId="21" borderId="43" xfId="2" applyFont="1" applyFill="1" applyBorder="1" applyAlignment="1" applyProtection="1">
      <alignment horizontal="center" vertical="center"/>
      <protection locked="0"/>
    </xf>
    <xf numFmtId="0" fontId="13" fillId="21" borderId="9" xfId="2" applyFont="1" applyFill="1" applyBorder="1" applyAlignment="1" applyProtection="1">
      <alignment horizontal="center" vertical="center"/>
      <protection locked="0"/>
    </xf>
    <xf numFmtId="0" fontId="115" fillId="0" borderId="9" xfId="0" applyFont="1" applyBorder="1" applyAlignment="1">
      <alignment horizontal="center" vertical="center" wrapText="1"/>
    </xf>
    <xf numFmtId="0" fontId="13" fillId="8" borderId="40" xfId="2" applyFont="1" applyFill="1" applyBorder="1" applyAlignment="1" applyProtection="1">
      <alignment horizontal="center" vertical="center"/>
      <protection locked="0"/>
    </xf>
    <xf numFmtId="0" fontId="13" fillId="0" borderId="0" xfId="0" applyFont="1" applyAlignment="1" applyProtection="1">
      <alignment horizontal="right" vertical="top"/>
      <protection locked="0"/>
    </xf>
    <xf numFmtId="0" fontId="30" fillId="5" borderId="9" xfId="0" applyFont="1" applyFill="1" applyBorder="1" applyAlignment="1" applyProtection="1">
      <alignment horizontal="center" vertical="center"/>
      <protection locked="0"/>
    </xf>
    <xf numFmtId="9" fontId="30" fillId="5" borderId="9" xfId="4" applyFont="1" applyFill="1" applyBorder="1" applyAlignment="1" applyProtection="1">
      <alignment horizontal="center" vertical="center"/>
      <protection locked="0"/>
    </xf>
    <xf numFmtId="0" fontId="23" fillId="0" borderId="0" xfId="2" applyFont="1" applyAlignment="1" applyProtection="1">
      <alignment horizontal="center" vertical="center"/>
      <protection locked="0"/>
    </xf>
    <xf numFmtId="0" fontId="23" fillId="0" borderId="27" xfId="2" applyFont="1" applyBorder="1" applyAlignment="1" applyProtection="1">
      <alignment horizontal="center" vertical="center"/>
      <protection locked="0"/>
    </xf>
    <xf numFmtId="0" fontId="54" fillId="0" borderId="0" xfId="0" applyFont="1" applyAlignment="1" applyProtection="1">
      <alignment horizontal="center" vertical="center"/>
      <protection locked="0"/>
    </xf>
    <xf numFmtId="0" fontId="29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 applyProtection="1">
      <alignment horizontal="center" vertical="center"/>
      <protection locked="0"/>
    </xf>
    <xf numFmtId="0" fontId="24" fillId="0" borderId="0" xfId="0" applyFont="1" applyAlignment="1">
      <alignment horizontal="left" vertical="center" wrapText="1"/>
    </xf>
    <xf numFmtId="0" fontId="27" fillId="0" borderId="9" xfId="0" applyFont="1" applyBorder="1" applyAlignment="1">
      <alignment horizontal="left" vertical="center"/>
    </xf>
    <xf numFmtId="0" fontId="13" fillId="0" borderId="9" xfId="2" applyFont="1" applyBorder="1" applyAlignment="1" applyProtection="1">
      <alignment vertical="center" wrapText="1"/>
      <protection locked="0"/>
    </xf>
    <xf numFmtId="0" fontId="116" fillId="0" borderId="9" xfId="2" applyFont="1" applyBorder="1" applyAlignment="1" applyProtection="1">
      <alignment horizontal="center" vertical="center"/>
      <protection locked="0"/>
    </xf>
    <xf numFmtId="0" fontId="13" fillId="0" borderId="26" xfId="0" applyFont="1" applyBorder="1" applyProtection="1">
      <alignment vertical="center"/>
      <protection locked="0"/>
    </xf>
    <xf numFmtId="0" fontId="23" fillId="21" borderId="9" xfId="0" applyFont="1" applyFill="1" applyBorder="1" applyAlignment="1" applyProtection="1">
      <alignment horizontal="center" vertical="center"/>
      <protection locked="0"/>
    </xf>
    <xf numFmtId="0" fontId="13" fillId="8" borderId="0" xfId="2" applyFont="1" applyFill="1" applyAlignment="1" applyProtection="1">
      <alignment vertical="center" wrapText="1"/>
      <protection locked="0"/>
    </xf>
    <xf numFmtId="0" fontId="29" fillId="17" borderId="9" xfId="0" applyFont="1" applyFill="1" applyBorder="1" applyAlignment="1" applyProtection="1">
      <alignment horizontal="center" vertical="center"/>
      <protection locked="0"/>
    </xf>
    <xf numFmtId="0" fontId="13" fillId="0" borderId="75" xfId="0" applyFont="1" applyBorder="1">
      <alignment vertical="center"/>
    </xf>
    <xf numFmtId="0" fontId="13" fillId="0" borderId="5" xfId="0" applyFont="1" applyBorder="1">
      <alignment vertical="center"/>
    </xf>
    <xf numFmtId="0" fontId="13" fillId="0" borderId="25" xfId="0" applyFont="1" applyBorder="1" applyProtection="1">
      <alignment vertical="center"/>
      <protection locked="0"/>
    </xf>
    <xf numFmtId="0" fontId="13" fillId="0" borderId="32" xfId="0" applyFont="1" applyBorder="1">
      <alignment vertical="center"/>
    </xf>
    <xf numFmtId="0" fontId="13" fillId="0" borderId="75" xfId="2" applyFont="1" applyBorder="1" applyAlignment="1">
      <alignment horizontal="left" vertical="center"/>
    </xf>
    <xf numFmtId="0" fontId="13" fillId="10" borderId="35" xfId="0" applyFont="1" applyFill="1" applyBorder="1" applyAlignment="1">
      <alignment horizontal="center" vertical="center"/>
    </xf>
    <xf numFmtId="0" fontId="13" fillId="10" borderId="37" xfId="0" applyFont="1" applyFill="1" applyBorder="1" applyAlignment="1">
      <alignment horizontal="center" vertical="center"/>
    </xf>
    <xf numFmtId="0" fontId="64" fillId="0" borderId="31" xfId="0" applyFont="1" applyBorder="1" applyAlignment="1">
      <alignment horizontal="center" vertical="center"/>
    </xf>
    <xf numFmtId="0" fontId="64" fillId="0" borderId="32" xfId="0" applyFont="1" applyBorder="1" applyAlignment="1">
      <alignment horizontal="center" vertical="center"/>
    </xf>
    <xf numFmtId="0" fontId="13" fillId="10" borderId="73" xfId="0" applyFont="1" applyFill="1" applyBorder="1" applyAlignment="1">
      <alignment horizontal="center" vertical="center"/>
    </xf>
    <xf numFmtId="0" fontId="13" fillId="0" borderId="45" xfId="2" applyFont="1" applyBorder="1" applyAlignment="1">
      <alignment horizontal="center" vertical="center"/>
    </xf>
    <xf numFmtId="0" fontId="13" fillId="0" borderId="52" xfId="2" applyFont="1" applyBorder="1" applyAlignment="1">
      <alignment horizontal="center" vertical="center"/>
    </xf>
    <xf numFmtId="0" fontId="13" fillId="8" borderId="0" xfId="0" applyFont="1" applyFill="1" applyAlignment="1">
      <alignment horizontal="left" vertical="center"/>
    </xf>
    <xf numFmtId="0" fontId="12" fillId="0" borderId="40" xfId="0" applyFont="1" applyBorder="1">
      <alignment vertical="center"/>
    </xf>
    <xf numFmtId="0" fontId="12" fillId="0" borderId="9" xfId="0" applyFont="1" applyBorder="1" applyAlignment="1">
      <alignment horizontal="center" vertical="center"/>
    </xf>
    <xf numFmtId="0" fontId="12" fillId="0" borderId="9" xfId="0" applyFont="1" applyBorder="1">
      <alignment vertical="center"/>
    </xf>
    <xf numFmtId="0" fontId="12" fillId="0" borderId="9" xfId="0" applyFont="1" applyBorder="1" applyAlignment="1">
      <alignment horizontal="left" vertical="center"/>
    </xf>
    <xf numFmtId="0" fontId="6" fillId="0" borderId="9" xfId="0" applyFont="1" applyBorder="1" applyAlignment="1">
      <alignment horizontal="left" vertical="center"/>
    </xf>
    <xf numFmtId="0" fontId="6" fillId="0" borderId="9" xfId="0" applyFont="1" applyBorder="1" applyAlignment="1">
      <alignment horizontal="left" vertical="center" wrapText="1"/>
    </xf>
    <xf numFmtId="0" fontId="28" fillId="0" borderId="0" xfId="2" applyFont="1" applyAlignment="1">
      <alignment horizontal="left" vertical="center"/>
    </xf>
    <xf numFmtId="0" fontId="28" fillId="8" borderId="0" xfId="2" applyFont="1" applyFill="1" applyAlignment="1">
      <alignment horizontal="left" vertical="center"/>
    </xf>
    <xf numFmtId="0" fontId="6" fillId="17" borderId="9" xfId="0" applyFont="1" applyFill="1" applyBorder="1" applyAlignment="1">
      <alignment horizontal="left" vertical="center"/>
    </xf>
    <xf numFmtId="0" fontId="6" fillId="0" borderId="9" xfId="0" applyFont="1" applyBorder="1">
      <alignment vertical="center"/>
    </xf>
    <xf numFmtId="0" fontId="23" fillId="8" borderId="40" xfId="2" applyFont="1" applyFill="1" applyBorder="1" applyAlignment="1">
      <alignment horizontal="center" vertical="center"/>
    </xf>
    <xf numFmtId="0" fontId="23" fillId="8" borderId="56" xfId="2" applyFont="1" applyFill="1" applyBorder="1" applyAlignment="1">
      <alignment horizontal="center" vertical="center"/>
    </xf>
    <xf numFmtId="0" fontId="24" fillId="0" borderId="26" xfId="0" quotePrefix="1" applyFont="1" applyBorder="1" applyAlignment="1"/>
    <xf numFmtId="0" fontId="24" fillId="0" borderId="26" xfId="0" applyFont="1" applyBorder="1" applyAlignment="1"/>
    <xf numFmtId="0" fontId="6" fillId="0" borderId="9" xfId="0" applyFont="1" applyBorder="1" applyAlignment="1">
      <alignment vertical="center" wrapText="1"/>
    </xf>
    <xf numFmtId="174" fontId="24" fillId="0" borderId="9" xfId="0" applyNumberFormat="1" applyFont="1" applyBorder="1" applyAlignment="1">
      <alignment horizontal="center"/>
    </xf>
    <xf numFmtId="9" fontId="24" fillId="0" borderId="9" xfId="4" applyFont="1" applyBorder="1" applyAlignment="1">
      <alignment horizontal="center" vertical="center"/>
    </xf>
    <xf numFmtId="9" fontId="24" fillId="0" borderId="9" xfId="0" applyNumberFormat="1" applyFont="1" applyBorder="1" applyAlignment="1">
      <alignment horizontal="center" vertical="center"/>
    </xf>
    <xf numFmtId="0" fontId="23" fillId="0" borderId="9" xfId="0" applyFont="1" applyBorder="1">
      <alignment vertical="center"/>
    </xf>
    <xf numFmtId="0" fontId="18" fillId="0" borderId="9" xfId="0" applyFont="1" applyBorder="1">
      <alignment vertical="center"/>
    </xf>
    <xf numFmtId="2" fontId="6" fillId="0" borderId="9" xfId="0" applyNumberFormat="1" applyFont="1" applyBorder="1" applyAlignment="1">
      <alignment horizontal="left" vertical="center"/>
    </xf>
    <xf numFmtId="1" fontId="6" fillId="0" borderId="9" xfId="0" quotePrefix="1" applyNumberFormat="1" applyFont="1" applyBorder="1" applyAlignment="1">
      <alignment horizontal="left" vertical="center"/>
    </xf>
    <xf numFmtId="0" fontId="13" fillId="8" borderId="41" xfId="2" applyFont="1" applyFill="1" applyBorder="1">
      <alignment vertical="center"/>
    </xf>
    <xf numFmtId="0" fontId="24" fillId="0" borderId="0" xfId="0" quotePrefix="1" applyFont="1" applyAlignment="1"/>
    <xf numFmtId="0" fontId="24" fillId="0" borderId="0" xfId="0" applyFont="1" applyAlignment="1">
      <alignment horizontal="center" vertical="center" wrapText="1"/>
    </xf>
    <xf numFmtId="0" fontId="6" fillId="0" borderId="9" xfId="4" applyNumberFormat="1" applyFont="1" applyBorder="1" applyAlignment="1">
      <alignment horizontal="left" vertical="center"/>
    </xf>
    <xf numFmtId="0" fontId="24" fillId="8" borderId="0" xfId="0" applyFont="1" applyFill="1" applyAlignment="1"/>
    <xf numFmtId="0" fontId="23" fillId="8" borderId="0" xfId="8" applyFont="1" applyFill="1">
      <alignment vertical="center"/>
    </xf>
    <xf numFmtId="0" fontId="13" fillId="8" borderId="40" xfId="2" applyFont="1" applyFill="1" applyBorder="1" applyAlignment="1">
      <alignment horizontal="center" vertical="center"/>
    </xf>
    <xf numFmtId="0" fontId="13" fillId="8" borderId="46" xfId="2" applyFont="1" applyFill="1" applyBorder="1" applyAlignment="1">
      <alignment horizontal="center" vertical="center"/>
    </xf>
    <xf numFmtId="0" fontId="25" fillId="8" borderId="0" xfId="9" applyFont="1" applyFill="1">
      <alignment vertical="center"/>
    </xf>
    <xf numFmtId="2" fontId="13" fillId="8" borderId="46" xfId="2" applyNumberFormat="1" applyFont="1" applyFill="1" applyBorder="1" applyAlignment="1">
      <alignment horizontal="center" vertical="center"/>
    </xf>
    <xf numFmtId="0" fontId="23" fillId="8" borderId="0" xfId="9" applyFont="1" applyFill="1">
      <alignment vertical="center"/>
    </xf>
    <xf numFmtId="0" fontId="24" fillId="0" borderId="43" xfId="0" applyFont="1" applyBorder="1" applyAlignment="1"/>
    <xf numFmtId="9" fontId="6" fillId="0" borderId="9" xfId="0" applyNumberFormat="1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24" fillId="0" borderId="24" xfId="0" applyFont="1" applyBorder="1" applyAlignment="1"/>
    <xf numFmtId="0" fontId="13" fillId="41" borderId="9" xfId="2" applyFont="1" applyFill="1" applyBorder="1">
      <alignment vertical="center"/>
    </xf>
    <xf numFmtId="0" fontId="12" fillId="0" borderId="9" xfId="0" applyFont="1" applyBorder="1" applyAlignment="1">
      <alignment vertical="center" wrapText="1"/>
    </xf>
    <xf numFmtId="0" fontId="25" fillId="0" borderId="9" xfId="0" applyFont="1" applyBorder="1" applyAlignment="1">
      <alignment horizontal="left" vertical="center" wrapText="1"/>
    </xf>
    <xf numFmtId="1" fontId="23" fillId="17" borderId="9" xfId="2" applyNumberFormat="1" applyFont="1" applyFill="1" applyBorder="1" applyAlignment="1">
      <alignment horizontal="center" vertical="center"/>
    </xf>
    <xf numFmtId="1" fontId="30" fillId="17" borderId="9" xfId="0" applyNumberFormat="1" applyFont="1" applyFill="1" applyBorder="1" applyAlignment="1" applyProtection="1">
      <alignment horizontal="center" vertical="center"/>
      <protection hidden="1"/>
    </xf>
    <xf numFmtId="0" fontId="12" fillId="17" borderId="9" xfId="0" applyFont="1" applyFill="1" applyBorder="1">
      <alignment vertical="center"/>
    </xf>
    <xf numFmtId="0" fontId="12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12" fillId="0" borderId="0" xfId="0" applyFont="1">
      <alignment vertical="center"/>
    </xf>
    <xf numFmtId="0" fontId="12" fillId="17" borderId="9" xfId="0" applyFont="1" applyFill="1" applyBorder="1" applyAlignment="1">
      <alignment horizontal="center" vertical="center"/>
    </xf>
    <xf numFmtId="0" fontId="6" fillId="17" borderId="43" xfId="0" applyFont="1" applyFill="1" applyBorder="1">
      <alignment vertical="center"/>
    </xf>
    <xf numFmtId="0" fontId="6" fillId="17" borderId="8" xfId="0" applyFont="1" applyFill="1" applyBorder="1">
      <alignment vertical="center"/>
    </xf>
    <xf numFmtId="0" fontId="13" fillId="17" borderId="43" xfId="0" applyFont="1" applyFill="1" applyBorder="1">
      <alignment vertical="center"/>
    </xf>
    <xf numFmtId="0" fontId="6" fillId="0" borderId="43" xfId="0" applyFont="1" applyBorder="1">
      <alignment vertical="center"/>
    </xf>
    <xf numFmtId="0" fontId="6" fillId="17" borderId="8" xfId="0" applyFont="1" applyFill="1" applyBorder="1" applyAlignment="1">
      <alignment vertical="center" wrapText="1"/>
    </xf>
    <xf numFmtId="0" fontId="6" fillId="17" borderId="50" xfId="0" applyFont="1" applyFill="1" applyBorder="1">
      <alignment vertical="center"/>
    </xf>
    <xf numFmtId="0" fontId="12" fillId="17" borderId="0" xfId="0" applyFont="1" applyFill="1" applyAlignment="1">
      <alignment horizontal="center" vertical="center"/>
    </xf>
    <xf numFmtId="0" fontId="6" fillId="17" borderId="0" xfId="0" applyFont="1" applyFill="1" applyAlignment="1">
      <alignment vertical="center" wrapText="1"/>
    </xf>
    <xf numFmtId="0" fontId="52" fillId="17" borderId="0" xfId="18" applyFont="1" applyFill="1" applyAlignment="1">
      <alignment vertical="center"/>
    </xf>
    <xf numFmtId="0" fontId="6" fillId="17" borderId="0" xfId="0" applyFont="1" applyFill="1" applyAlignment="1"/>
    <xf numFmtId="0" fontId="13" fillId="17" borderId="0" xfId="18" applyFont="1" applyFill="1" applyAlignment="1">
      <alignment horizontal="justify" vertical="center" wrapText="1"/>
    </xf>
    <xf numFmtId="0" fontId="23" fillId="17" borderId="0" xfId="18" applyFont="1" applyFill="1" applyAlignment="1">
      <alignment horizontal="center" vertical="center"/>
    </xf>
    <xf numFmtId="0" fontId="13" fillId="17" borderId="0" xfId="18" applyFont="1" applyFill="1" applyAlignment="1">
      <alignment vertical="center"/>
    </xf>
    <xf numFmtId="0" fontId="23" fillId="17" borderId="0" xfId="18" applyFont="1" applyFill="1" applyAlignment="1">
      <alignment horizontal="center" vertical="top"/>
    </xf>
    <xf numFmtId="0" fontId="23" fillId="17" borderId="0" xfId="18" applyFont="1" applyFill="1" applyAlignment="1">
      <alignment vertical="center"/>
    </xf>
    <xf numFmtId="0" fontId="13" fillId="17" borderId="0" xfId="18" applyFont="1" applyFill="1"/>
    <xf numFmtId="0" fontId="23" fillId="17" borderId="0" xfId="19" applyFont="1" applyFill="1"/>
    <xf numFmtId="0" fontId="13" fillId="17" borderId="0" xfId="19" applyFont="1" applyFill="1"/>
    <xf numFmtId="0" fontId="112" fillId="0" borderId="23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3" fillId="8" borderId="1" xfId="2" applyFont="1" applyFill="1" applyBorder="1">
      <alignment vertical="center"/>
    </xf>
    <xf numFmtId="0" fontId="23" fillId="8" borderId="61" xfId="2" applyFont="1" applyFill="1" applyBorder="1" applyAlignment="1">
      <alignment horizontal="center" vertical="center"/>
    </xf>
    <xf numFmtId="0" fontId="13" fillId="8" borderId="23" xfId="2" applyFont="1" applyFill="1" applyBorder="1">
      <alignment vertical="center"/>
    </xf>
    <xf numFmtId="16" fontId="28" fillId="0" borderId="62" xfId="2" applyNumberFormat="1" applyFont="1" applyBorder="1">
      <alignment vertical="center"/>
    </xf>
    <xf numFmtId="0" fontId="28" fillId="0" borderId="23" xfId="2" applyFont="1" applyBorder="1">
      <alignment vertical="center"/>
    </xf>
    <xf numFmtId="0" fontId="13" fillId="0" borderId="21" xfId="0" applyFont="1" applyBorder="1" applyAlignment="1">
      <alignment horizontal="center" vertical="center"/>
    </xf>
    <xf numFmtId="0" fontId="13" fillId="8" borderId="24" xfId="2" applyFont="1" applyFill="1" applyBorder="1">
      <alignment vertical="center"/>
    </xf>
    <xf numFmtId="0" fontId="13" fillId="8" borderId="25" xfId="2" applyFont="1" applyFill="1" applyBorder="1">
      <alignment vertical="center"/>
    </xf>
    <xf numFmtId="0" fontId="13" fillId="8" borderId="25" xfId="2" applyFont="1" applyFill="1" applyBorder="1" applyAlignment="1">
      <alignment horizontal="center" vertical="center" wrapText="1"/>
    </xf>
    <xf numFmtId="0" fontId="13" fillId="8" borderId="28" xfId="2" applyFont="1" applyFill="1" applyBorder="1" applyAlignment="1">
      <alignment horizontal="center" vertical="center"/>
    </xf>
    <xf numFmtId="0" fontId="46" fillId="8" borderId="0" xfId="2" applyFont="1" applyFill="1" applyAlignment="1">
      <alignment horizontal="center" vertical="center"/>
    </xf>
    <xf numFmtId="0" fontId="13" fillId="8" borderId="0" xfId="2" applyFont="1" applyFill="1" applyAlignment="1">
      <alignment vertical="center" wrapText="1"/>
    </xf>
    <xf numFmtId="0" fontId="23" fillId="12" borderId="32" xfId="2" applyFont="1" applyFill="1" applyBorder="1" applyAlignment="1">
      <alignment horizontal="center" vertical="center" wrapText="1"/>
    </xf>
    <xf numFmtId="0" fontId="23" fillId="8" borderId="9" xfId="2" applyFont="1" applyFill="1" applyBorder="1" applyAlignment="1">
      <alignment horizontal="center" vertical="center" wrapText="1"/>
    </xf>
    <xf numFmtId="14" fontId="13" fillId="0" borderId="43" xfId="2" applyNumberFormat="1" applyFont="1" applyBorder="1" applyAlignment="1">
      <alignment horizontal="center" vertical="center"/>
    </xf>
    <xf numFmtId="14" fontId="13" fillId="8" borderId="43" xfId="2" applyNumberFormat="1" applyFont="1" applyFill="1" applyBorder="1" applyAlignment="1">
      <alignment horizontal="left" vertical="center"/>
    </xf>
    <xf numFmtId="0" fontId="13" fillId="8" borderId="19" xfId="0" applyFont="1" applyFill="1" applyBorder="1" applyAlignment="1">
      <alignment horizontal="center" vertical="center"/>
    </xf>
    <xf numFmtId="0" fontId="23" fillId="0" borderId="26" xfId="0" applyFont="1" applyBorder="1">
      <alignment vertical="center"/>
    </xf>
    <xf numFmtId="0" fontId="13" fillId="8" borderId="35" xfId="2" applyFont="1" applyFill="1" applyBorder="1">
      <alignment vertical="center"/>
    </xf>
    <xf numFmtId="0" fontId="13" fillId="0" borderId="31" xfId="0" applyFont="1" applyBorder="1">
      <alignment vertical="center"/>
    </xf>
    <xf numFmtId="0" fontId="13" fillId="8" borderId="31" xfId="2" applyFont="1" applyFill="1" applyBorder="1" applyAlignment="1">
      <alignment horizontal="center" vertical="center"/>
    </xf>
    <xf numFmtId="0" fontId="13" fillId="0" borderId="2" xfId="2" applyFont="1" applyBorder="1" applyAlignment="1">
      <alignment vertical="center" wrapText="1"/>
    </xf>
    <xf numFmtId="0" fontId="13" fillId="0" borderId="28" xfId="2" applyFont="1" applyBorder="1" applyAlignment="1">
      <alignment horizontal="center" vertical="center" wrapText="1"/>
    </xf>
    <xf numFmtId="0" fontId="13" fillId="0" borderId="28" xfId="2" applyFont="1" applyBorder="1" applyAlignment="1">
      <alignment horizontal="left" vertical="center" wrapText="1"/>
    </xf>
    <xf numFmtId="0" fontId="13" fillId="0" borderId="27" xfId="2" applyFont="1" applyBorder="1" applyAlignment="1">
      <alignment horizontal="center" vertical="center" wrapText="1"/>
    </xf>
    <xf numFmtId="0" fontId="13" fillId="0" borderId="2" xfId="2" applyFont="1" applyBorder="1" applyAlignment="1">
      <alignment horizontal="center" vertical="center" wrapText="1"/>
    </xf>
    <xf numFmtId="0" fontId="23" fillId="10" borderId="40" xfId="2" applyFont="1" applyFill="1" applyBorder="1" applyAlignment="1">
      <alignment horizontal="center" vertical="center"/>
    </xf>
    <xf numFmtId="0" fontId="23" fillId="10" borderId="21" xfId="2" applyFont="1" applyFill="1" applyBorder="1" applyAlignment="1">
      <alignment horizontal="center" vertical="center"/>
    </xf>
    <xf numFmtId="0" fontId="13" fillId="0" borderId="19" xfId="0" applyFont="1" applyBorder="1" applyAlignment="1">
      <alignment horizontal="center" vertical="center"/>
    </xf>
    <xf numFmtId="0" fontId="13" fillId="0" borderId="33" xfId="2" applyFont="1" applyBorder="1" applyAlignment="1">
      <alignment vertical="center" wrapText="1"/>
    </xf>
    <xf numFmtId="0" fontId="13" fillId="0" borderId="34" xfId="2" applyFont="1" applyBorder="1" applyAlignment="1">
      <alignment horizontal="center" vertical="center" wrapText="1"/>
    </xf>
    <xf numFmtId="0" fontId="23" fillId="0" borderId="40" xfId="2" applyFont="1" applyBorder="1" applyAlignment="1">
      <alignment horizontal="left" vertical="center"/>
    </xf>
    <xf numFmtId="0" fontId="23" fillId="8" borderId="19" xfId="2" applyFont="1" applyFill="1" applyBorder="1" applyAlignment="1">
      <alignment horizontal="left" vertical="center"/>
    </xf>
    <xf numFmtId="0" fontId="23" fillId="2" borderId="45" xfId="2" applyFont="1" applyFill="1" applyBorder="1" applyAlignment="1">
      <alignment horizontal="center" vertical="center"/>
    </xf>
    <xf numFmtId="0" fontId="23" fillId="2" borderId="17" xfId="2" applyFont="1" applyFill="1" applyBorder="1" applyAlignment="1">
      <alignment horizontal="center" vertical="center"/>
    </xf>
    <xf numFmtId="0" fontId="13" fillId="8" borderId="26" xfId="6" applyFont="1" applyFill="1" applyBorder="1" applyAlignment="1">
      <alignment horizontal="left"/>
    </xf>
    <xf numFmtId="0" fontId="13" fillId="8" borderId="0" xfId="6" applyFont="1" applyFill="1" applyAlignment="1">
      <alignment horizontal="right"/>
    </xf>
    <xf numFmtId="0" fontId="13" fillId="8" borderId="0" xfId="6" applyFont="1" applyFill="1" applyAlignment="1">
      <alignment horizontal="left"/>
    </xf>
    <xf numFmtId="0" fontId="52" fillId="8" borderId="1" xfId="6" applyFont="1" applyFill="1" applyBorder="1" applyAlignment="1">
      <alignment horizontal="left" vertical="center"/>
    </xf>
    <xf numFmtId="0" fontId="13" fillId="0" borderId="24" xfId="2" applyFont="1" applyBorder="1" applyAlignment="1">
      <alignment horizontal="center" vertical="center" wrapText="1"/>
    </xf>
    <xf numFmtId="0" fontId="13" fillId="0" borderId="25" xfId="2" applyFont="1" applyBorder="1" applyAlignment="1">
      <alignment horizontal="center" vertical="center" wrapText="1"/>
    </xf>
    <xf numFmtId="0" fontId="23" fillId="0" borderId="45" xfId="2" applyFont="1" applyBorder="1" applyAlignment="1">
      <alignment horizontal="center" vertical="center"/>
    </xf>
    <xf numFmtId="0" fontId="13" fillId="8" borderId="26" xfId="6" applyFont="1" applyFill="1" applyBorder="1" applyAlignment="1"/>
    <xf numFmtId="0" fontId="13" fillId="8" borderId="26" xfId="6" applyFont="1" applyFill="1" applyBorder="1" applyAlignment="1">
      <alignment horizontal="center" vertical="center"/>
    </xf>
    <xf numFmtId="0" fontId="13" fillId="8" borderId="2" xfId="6" applyFont="1" applyFill="1" applyBorder="1" applyAlignment="1">
      <alignment horizontal="center" vertical="center"/>
    </xf>
    <xf numFmtId="0" fontId="13" fillId="8" borderId="27" xfId="6" applyFont="1" applyFill="1" applyBorder="1" applyAlignment="1">
      <alignment horizontal="center" vertical="center"/>
    </xf>
    <xf numFmtId="0" fontId="13" fillId="0" borderId="33" xfId="2" applyFont="1" applyBorder="1" applyAlignment="1">
      <alignment horizontal="center" vertical="center" wrapText="1"/>
    </xf>
    <xf numFmtId="0" fontId="23" fillId="0" borderId="21" xfId="2" applyFont="1" applyBorder="1" applyAlignment="1">
      <alignment horizontal="center" vertical="center" wrapText="1" shrinkToFit="1"/>
    </xf>
    <xf numFmtId="0" fontId="23" fillId="0" borderId="43" xfId="2" applyFont="1" applyBorder="1" applyAlignment="1">
      <alignment horizontal="center" vertical="center" wrapText="1" shrinkToFit="1"/>
    </xf>
    <xf numFmtId="0" fontId="23" fillId="0" borderId="43" xfId="2" applyFont="1" applyBorder="1" applyAlignment="1">
      <alignment horizontal="center" vertical="center"/>
    </xf>
    <xf numFmtId="0" fontId="13" fillId="8" borderId="43" xfId="2" applyFont="1" applyFill="1" applyBorder="1">
      <alignment vertical="center"/>
    </xf>
    <xf numFmtId="0" fontId="55" fillId="0" borderId="19" xfId="0" applyFont="1" applyBorder="1" applyAlignment="1">
      <alignment horizontal="center" vertical="center"/>
    </xf>
    <xf numFmtId="175" fontId="23" fillId="0" borderId="48" xfId="1" applyNumberFormat="1" applyFont="1" applyBorder="1" applyAlignment="1">
      <alignment horizontal="center" vertical="center"/>
    </xf>
    <xf numFmtId="0" fontId="54" fillId="0" borderId="34" xfId="0" applyFont="1" applyBorder="1" applyAlignment="1">
      <alignment horizontal="center" vertical="center"/>
    </xf>
    <xf numFmtId="175" fontId="13" fillId="0" borderId="48" xfId="1" applyNumberFormat="1" applyFont="1" applyBorder="1" applyAlignment="1">
      <alignment horizontal="center" vertical="center"/>
    </xf>
    <xf numFmtId="0" fontId="23" fillId="0" borderId="9" xfId="2" applyFont="1" applyBorder="1">
      <alignment vertical="center"/>
    </xf>
    <xf numFmtId="0" fontId="55" fillId="8" borderId="27" xfId="2" applyFont="1" applyFill="1" applyBorder="1" applyAlignment="1">
      <alignment horizontal="center" vertical="center"/>
    </xf>
    <xf numFmtId="0" fontId="13" fillId="0" borderId="19" xfId="0" applyFont="1" applyBorder="1" applyAlignment="1">
      <alignment horizontal="center" vertical="center" wrapText="1"/>
    </xf>
    <xf numFmtId="0" fontId="13" fillId="8" borderId="0" xfId="6" applyFont="1" applyFill="1" applyAlignment="1"/>
    <xf numFmtId="0" fontId="13" fillId="8" borderId="27" xfId="2" applyFont="1" applyFill="1" applyBorder="1" applyAlignment="1">
      <alignment vertical="center" wrapText="1"/>
    </xf>
    <xf numFmtId="0" fontId="13" fillId="0" borderId="30" xfId="2" applyFont="1" applyBorder="1" applyAlignment="1">
      <alignment horizontal="center" vertical="center" wrapText="1"/>
    </xf>
    <xf numFmtId="0" fontId="13" fillId="0" borderId="31" xfId="2" applyFont="1" applyBorder="1" applyAlignment="1">
      <alignment horizontal="center" vertical="center" wrapText="1"/>
    </xf>
    <xf numFmtId="0" fontId="13" fillId="0" borderId="32" xfId="2" applyFont="1" applyBorder="1" applyAlignment="1">
      <alignment horizontal="center" vertical="center" wrapText="1"/>
    </xf>
    <xf numFmtId="0" fontId="23" fillId="10" borderId="45" xfId="2" applyFont="1" applyFill="1" applyBorder="1" applyAlignment="1">
      <alignment horizontal="center" vertical="center"/>
    </xf>
    <xf numFmtId="0" fontId="23" fillId="8" borderId="30" xfId="2" applyFont="1" applyFill="1" applyBorder="1">
      <alignment vertical="center"/>
    </xf>
    <xf numFmtId="0" fontId="23" fillId="8" borderId="30" xfId="2" applyFont="1" applyFill="1" applyBorder="1" applyAlignment="1">
      <alignment horizontal="right" vertical="center"/>
    </xf>
    <xf numFmtId="167" fontId="23" fillId="8" borderId="30" xfId="2" applyNumberFormat="1" applyFont="1" applyFill="1" applyBorder="1" applyAlignment="1">
      <alignment horizontal="center" vertical="center"/>
    </xf>
    <xf numFmtId="0" fontId="23" fillId="8" borderId="48" xfId="2" applyFont="1" applyFill="1" applyBorder="1">
      <alignment vertical="center"/>
    </xf>
    <xf numFmtId="2" fontId="23" fillId="0" borderId="48" xfId="2" applyNumberFormat="1" applyFont="1" applyBorder="1" applyAlignment="1">
      <alignment horizontal="center" vertical="center"/>
    </xf>
    <xf numFmtId="0" fontId="13" fillId="8" borderId="0" xfId="6" applyFont="1" applyFill="1" applyAlignment="1">
      <alignment horizontal="center" vertical="center"/>
    </xf>
    <xf numFmtId="0" fontId="54" fillId="0" borderId="48" xfId="0" applyFont="1" applyBorder="1" applyAlignment="1">
      <alignment horizontal="center" vertical="center"/>
    </xf>
    <xf numFmtId="173" fontId="13" fillId="8" borderId="27" xfId="2" applyNumberFormat="1" applyFont="1" applyFill="1" applyBorder="1" applyAlignment="1">
      <alignment horizontal="center" vertical="center"/>
    </xf>
    <xf numFmtId="0" fontId="28" fillId="3" borderId="9" xfId="2" applyFont="1" applyFill="1" applyBorder="1" applyAlignment="1">
      <alignment horizontal="center" vertical="center"/>
    </xf>
    <xf numFmtId="0" fontId="28" fillId="3" borderId="52" xfId="2" applyFont="1" applyFill="1" applyBorder="1" applyAlignment="1">
      <alignment horizontal="center" vertical="center"/>
    </xf>
    <xf numFmtId="0" fontId="13" fillId="8" borderId="24" xfId="6" applyFont="1" applyFill="1" applyBorder="1" applyAlignment="1">
      <alignment horizontal="center" vertical="center"/>
    </xf>
    <xf numFmtId="0" fontId="13" fillId="8" borderId="25" xfId="6" applyFont="1" applyFill="1" applyBorder="1" applyAlignment="1">
      <alignment horizontal="center" vertical="center"/>
    </xf>
    <xf numFmtId="0" fontId="23" fillId="8" borderId="44" xfId="2" applyFont="1" applyFill="1" applyBorder="1">
      <alignment vertical="center"/>
    </xf>
    <xf numFmtId="0" fontId="13" fillId="8" borderId="15" xfId="2" applyFont="1" applyFill="1" applyBorder="1" applyAlignment="1">
      <alignment horizontal="center" vertical="center"/>
    </xf>
    <xf numFmtId="0" fontId="23" fillId="8" borderId="45" xfId="2" applyFont="1" applyFill="1" applyBorder="1" applyAlignment="1">
      <alignment horizontal="center" vertical="center"/>
    </xf>
    <xf numFmtId="0" fontId="23" fillId="8" borderId="45" xfId="2" applyFont="1" applyFill="1" applyBorder="1">
      <alignment vertical="center"/>
    </xf>
    <xf numFmtId="0" fontId="13" fillId="8" borderId="17" xfId="2" applyFont="1" applyFill="1" applyBorder="1" applyAlignment="1">
      <alignment horizontal="center" vertical="center"/>
    </xf>
    <xf numFmtId="0" fontId="23" fillId="8" borderId="57" xfId="2" applyFont="1" applyFill="1" applyBorder="1" applyAlignment="1">
      <alignment horizontal="center" vertical="center"/>
    </xf>
    <xf numFmtId="0" fontId="121" fillId="0" borderId="0" xfId="2" applyFont="1" applyAlignment="1">
      <alignment horizontal="center" wrapText="1"/>
    </xf>
    <xf numFmtId="0" fontId="13" fillId="0" borderId="24" xfId="2" applyFont="1" applyBorder="1" applyAlignment="1">
      <alignment vertical="top"/>
    </xf>
    <xf numFmtId="0" fontId="13" fillId="8" borderId="28" xfId="2" applyFont="1" applyFill="1" applyBorder="1" applyAlignment="1"/>
    <xf numFmtId="0" fontId="13" fillId="8" borderId="79" xfId="2" applyFont="1" applyFill="1" applyBorder="1">
      <alignment vertical="center"/>
    </xf>
    <xf numFmtId="2" fontId="13" fillId="10" borderId="46" xfId="2" applyNumberFormat="1" applyFont="1" applyFill="1" applyBorder="1" applyAlignment="1">
      <alignment horizontal="center" vertical="center"/>
    </xf>
    <xf numFmtId="0" fontId="13" fillId="8" borderId="46" xfId="2" applyFont="1" applyFill="1" applyBorder="1">
      <alignment vertical="center"/>
    </xf>
    <xf numFmtId="2" fontId="24" fillId="10" borderId="46" xfId="2" applyNumberFormat="1" applyFont="1" applyFill="1" applyBorder="1" applyAlignment="1">
      <alignment horizontal="center" vertical="center"/>
    </xf>
    <xf numFmtId="2" fontId="24" fillId="10" borderId="27" xfId="2" applyNumberFormat="1" applyFont="1" applyFill="1" applyBorder="1" applyAlignment="1">
      <alignment horizontal="center" vertical="center"/>
    </xf>
    <xf numFmtId="0" fontId="13" fillId="8" borderId="0" xfId="5" applyNumberFormat="1" applyFont="1" applyFill="1" applyBorder="1" applyAlignment="1">
      <alignment horizontal="center" vertical="center"/>
    </xf>
    <xf numFmtId="2" fontId="13" fillId="8" borderId="20" xfId="2" applyNumberFormat="1" applyFont="1" applyFill="1" applyBorder="1" applyAlignment="1">
      <alignment horizontal="center" vertical="center"/>
    </xf>
    <xf numFmtId="2" fontId="24" fillId="8" borderId="46" xfId="2" applyNumberFormat="1" applyFont="1" applyFill="1" applyBorder="1" applyAlignment="1">
      <alignment horizontal="center" vertical="center"/>
    </xf>
    <xf numFmtId="2" fontId="24" fillId="8" borderId="27" xfId="2" applyNumberFormat="1" applyFont="1" applyFill="1" applyBorder="1" applyAlignment="1">
      <alignment horizontal="center" vertical="center"/>
    </xf>
    <xf numFmtId="0" fontId="13" fillId="0" borderId="26" xfId="2" applyFont="1" applyBorder="1" applyAlignment="1">
      <alignment horizontal="center" vertical="center" wrapText="1"/>
    </xf>
    <xf numFmtId="0" fontId="13" fillId="0" borderId="0" xfId="2" applyFont="1" applyAlignment="1">
      <alignment horizontal="center" vertical="center" wrapText="1"/>
    </xf>
    <xf numFmtId="10" fontId="28" fillId="3" borderId="9" xfId="5" applyNumberFormat="1" applyFont="1" applyFill="1" applyBorder="1" applyAlignment="1">
      <alignment horizontal="center" vertical="center"/>
    </xf>
    <xf numFmtId="2" fontId="23" fillId="8" borderId="20" xfId="2" applyNumberFormat="1" applyFont="1" applyFill="1" applyBorder="1" applyAlignment="1">
      <alignment horizontal="center" vertical="center"/>
    </xf>
    <xf numFmtId="0" fontId="13" fillId="8" borderId="19" xfId="2" applyFont="1" applyFill="1" applyBorder="1">
      <alignment vertical="center"/>
    </xf>
    <xf numFmtId="10" fontId="28" fillId="3" borderId="9" xfId="2" applyNumberFormat="1" applyFont="1" applyFill="1" applyBorder="1" applyAlignment="1">
      <alignment horizontal="center" vertical="center"/>
    </xf>
    <xf numFmtId="2" fontId="23" fillId="8" borderId="27" xfId="2" applyNumberFormat="1" applyFont="1" applyFill="1" applyBorder="1" applyAlignment="1">
      <alignment horizontal="center" vertical="center"/>
    </xf>
    <xf numFmtId="0" fontId="13" fillId="8" borderId="79" xfId="2" applyFont="1" applyFill="1" applyBorder="1" applyAlignment="1">
      <alignment horizontal="left" vertical="center"/>
    </xf>
    <xf numFmtId="9" fontId="55" fillId="0" borderId="0" xfId="2" applyNumberFormat="1" applyFont="1" applyAlignment="1">
      <alignment horizontal="center" vertical="center"/>
    </xf>
    <xf numFmtId="2" fontId="23" fillId="8" borderId="46" xfId="2" applyNumberFormat="1" applyFont="1" applyFill="1" applyBorder="1" applyAlignment="1">
      <alignment horizontal="center" vertical="center"/>
    </xf>
    <xf numFmtId="0" fontId="13" fillId="8" borderId="46" xfId="2" applyFont="1" applyFill="1" applyBorder="1" applyAlignment="1">
      <alignment horizontal="left" vertical="center"/>
    </xf>
    <xf numFmtId="9" fontId="13" fillId="8" borderId="0" xfId="2" applyNumberFormat="1" applyFont="1" applyFill="1" applyAlignment="1">
      <alignment horizontal="center" vertical="center"/>
    </xf>
    <xf numFmtId="2" fontId="23" fillId="8" borderId="46" xfId="2" applyNumberFormat="1" applyFont="1" applyFill="1" applyBorder="1" applyAlignment="1">
      <alignment horizontal="center" vertical="center" wrapText="1"/>
    </xf>
    <xf numFmtId="2" fontId="23" fillId="8" borderId="27" xfId="2" applyNumberFormat="1" applyFont="1" applyFill="1" applyBorder="1" applyAlignment="1">
      <alignment horizontal="center" vertical="center" wrapText="1"/>
    </xf>
    <xf numFmtId="9" fontId="55" fillId="0" borderId="0" xfId="2" applyNumberFormat="1" applyFont="1">
      <alignment vertical="center"/>
    </xf>
    <xf numFmtId="1" fontId="23" fillId="8" borderId="46" xfId="2" applyNumberFormat="1" applyFont="1" applyFill="1" applyBorder="1" applyAlignment="1">
      <alignment horizontal="center" vertical="center"/>
    </xf>
    <xf numFmtId="1" fontId="23" fillId="8" borderId="20" xfId="2" applyNumberFormat="1" applyFont="1" applyFill="1" applyBorder="1" applyAlignment="1">
      <alignment horizontal="center" vertical="center"/>
    </xf>
    <xf numFmtId="1" fontId="23" fillId="8" borderId="46" xfId="2" applyNumberFormat="1" applyFont="1" applyFill="1" applyBorder="1" applyAlignment="1">
      <alignment horizontal="center" vertical="center" wrapText="1"/>
    </xf>
    <xf numFmtId="1" fontId="23" fillId="8" borderId="27" xfId="2" applyNumberFormat="1" applyFont="1" applyFill="1" applyBorder="1" applyAlignment="1">
      <alignment horizontal="center" vertical="center" wrapText="1"/>
    </xf>
    <xf numFmtId="0" fontId="13" fillId="8" borderId="20" xfId="2" applyFont="1" applyFill="1" applyBorder="1" applyAlignment="1">
      <alignment horizontal="center" vertical="center"/>
    </xf>
    <xf numFmtId="166" fontId="13" fillId="8" borderId="19" xfId="2" applyNumberFormat="1" applyFont="1" applyFill="1" applyBorder="1">
      <alignment vertical="center"/>
    </xf>
    <xf numFmtId="0" fontId="13" fillId="8" borderId="19" xfId="2" applyFont="1" applyFill="1" applyBorder="1" applyAlignment="1">
      <alignment horizontal="center" vertical="center"/>
    </xf>
    <xf numFmtId="0" fontId="13" fillId="8" borderId="18" xfId="2" applyFont="1" applyFill="1" applyBorder="1" applyAlignment="1">
      <alignment horizontal="center" vertical="center"/>
    </xf>
    <xf numFmtId="0" fontId="23" fillId="10" borderId="0" xfId="2" applyFont="1" applyFill="1" applyAlignment="1">
      <alignment horizontal="center" vertical="center"/>
    </xf>
    <xf numFmtId="0" fontId="23" fillId="8" borderId="18" xfId="2" applyFont="1" applyFill="1" applyBorder="1">
      <alignment vertical="center"/>
    </xf>
    <xf numFmtId="0" fontId="23" fillId="8" borderId="46" xfId="2" applyFont="1" applyFill="1" applyBorder="1" applyAlignment="1">
      <alignment horizontal="center" vertical="center"/>
    </xf>
    <xf numFmtId="170" fontId="13" fillId="8" borderId="0" xfId="2" applyNumberFormat="1" applyFont="1" applyFill="1" applyAlignment="1">
      <alignment horizontal="center" vertical="center"/>
    </xf>
    <xf numFmtId="170" fontId="13" fillId="8" borderId="46" xfId="2" applyNumberFormat="1" applyFont="1" applyFill="1" applyBorder="1" applyAlignment="1">
      <alignment horizontal="center" vertical="center"/>
    </xf>
    <xf numFmtId="0" fontId="13" fillId="8" borderId="20" xfId="2" applyFont="1" applyFill="1" applyBorder="1">
      <alignment vertical="center"/>
    </xf>
    <xf numFmtId="0" fontId="13" fillId="8" borderId="20" xfId="2" applyFont="1" applyFill="1" applyBorder="1" applyAlignment="1">
      <alignment vertical="center" wrapText="1"/>
    </xf>
    <xf numFmtId="0" fontId="13" fillId="8" borderId="39" xfId="2" applyFont="1" applyFill="1" applyBorder="1">
      <alignment vertical="center"/>
    </xf>
    <xf numFmtId="0" fontId="23" fillId="8" borderId="14" xfId="2" applyFont="1" applyFill="1" applyBorder="1" applyAlignment="1">
      <alignment horizontal="center" vertical="center"/>
    </xf>
    <xf numFmtId="0" fontId="13" fillId="8" borderId="22" xfId="2" applyFont="1" applyFill="1" applyBorder="1">
      <alignment vertical="center"/>
    </xf>
    <xf numFmtId="0" fontId="23" fillId="8" borderId="77" xfId="2" applyFont="1" applyFill="1" applyBorder="1">
      <alignment vertical="center"/>
    </xf>
    <xf numFmtId="0" fontId="23" fillId="8" borderId="15" xfId="2" applyFont="1" applyFill="1" applyBorder="1">
      <alignment vertical="center"/>
    </xf>
    <xf numFmtId="0" fontId="13" fillId="8" borderId="45" xfId="2" applyFont="1" applyFill="1" applyBorder="1" applyAlignment="1">
      <alignment horizontal="center" vertical="center"/>
    </xf>
    <xf numFmtId="0" fontId="18" fillId="0" borderId="0" xfId="0" applyFont="1" applyAlignment="1"/>
    <xf numFmtId="170" fontId="23" fillId="8" borderId="43" xfId="2" applyNumberFormat="1" applyFont="1" applyFill="1" applyBorder="1" applyAlignment="1">
      <alignment horizontal="center" vertical="center"/>
    </xf>
    <xf numFmtId="170" fontId="23" fillId="8" borderId="9" xfId="2" applyNumberFormat="1" applyFont="1" applyFill="1" applyBorder="1" applyAlignment="1">
      <alignment horizontal="center" vertical="center"/>
    </xf>
    <xf numFmtId="170" fontId="13" fillId="8" borderId="20" xfId="2" applyNumberFormat="1" applyFont="1" applyFill="1" applyBorder="1" applyAlignment="1">
      <alignment horizontal="center" vertical="center"/>
    </xf>
    <xf numFmtId="170" fontId="13" fillId="8" borderId="27" xfId="2" applyNumberFormat="1" applyFont="1" applyFill="1" applyBorder="1" applyAlignment="1">
      <alignment horizontal="center" vertical="center"/>
    </xf>
    <xf numFmtId="170" fontId="23" fillId="8" borderId="19" xfId="2" applyNumberFormat="1" applyFont="1" applyFill="1" applyBorder="1">
      <alignment vertical="center"/>
    </xf>
    <xf numFmtId="0" fontId="23" fillId="2" borderId="46" xfId="2" applyFont="1" applyFill="1" applyBorder="1" applyAlignment="1">
      <alignment horizontal="center" vertical="center"/>
    </xf>
    <xf numFmtId="0" fontId="23" fillId="8" borderId="20" xfId="2" applyFont="1" applyFill="1" applyBorder="1" applyAlignment="1">
      <alignment horizontal="center" vertical="center"/>
    </xf>
    <xf numFmtId="0" fontId="13" fillId="8" borderId="15" xfId="2" applyFont="1" applyFill="1" applyBorder="1">
      <alignment vertical="center"/>
    </xf>
    <xf numFmtId="0" fontId="13" fillId="8" borderId="18" xfId="2" applyFont="1" applyFill="1" applyBorder="1">
      <alignment vertical="center"/>
    </xf>
    <xf numFmtId="0" fontId="23" fillId="8" borderId="27" xfId="2" applyFont="1" applyFill="1" applyBorder="1" applyAlignment="1"/>
    <xf numFmtId="0" fontId="13" fillId="8" borderId="9" xfId="6" applyFont="1" applyFill="1" applyBorder="1" applyAlignment="1">
      <alignment horizontal="center"/>
    </xf>
    <xf numFmtId="0" fontId="13" fillId="8" borderId="49" xfId="2" applyFont="1" applyFill="1" applyBorder="1">
      <alignment vertical="center"/>
    </xf>
    <xf numFmtId="0" fontId="13" fillId="8" borderId="21" xfId="2" applyFont="1" applyFill="1" applyBorder="1">
      <alignment vertical="center"/>
    </xf>
    <xf numFmtId="0" fontId="13" fillId="8" borderId="14" xfId="2" applyFont="1" applyFill="1" applyBorder="1">
      <alignment vertical="center"/>
    </xf>
    <xf numFmtId="0" fontId="13" fillId="8" borderId="40" xfId="2" applyFont="1" applyFill="1" applyBorder="1">
      <alignment vertical="center"/>
    </xf>
    <xf numFmtId="0" fontId="13" fillId="8" borderId="8" xfId="2" applyFont="1" applyFill="1" applyBorder="1">
      <alignment vertical="center"/>
    </xf>
    <xf numFmtId="0" fontId="13" fillId="10" borderId="8" xfId="2" applyFont="1" applyFill="1" applyBorder="1" applyAlignment="1">
      <alignment horizontal="center" vertical="center"/>
    </xf>
    <xf numFmtId="0" fontId="23" fillId="0" borderId="18" xfId="2" applyFont="1" applyBorder="1" applyAlignment="1">
      <alignment horizontal="center" vertical="center"/>
    </xf>
    <xf numFmtId="0" fontId="55" fillId="8" borderId="20" xfId="2" applyFont="1" applyFill="1" applyBorder="1">
      <alignment vertical="center"/>
    </xf>
    <xf numFmtId="0" fontId="13" fillId="8" borderId="9" xfId="2" applyFont="1" applyFill="1" applyBorder="1" applyAlignment="1">
      <alignment horizontal="left" vertical="center"/>
    </xf>
    <xf numFmtId="0" fontId="13" fillId="0" borderId="0" xfId="2" applyFont="1" applyAlignment="1">
      <alignment vertical="center" wrapText="1"/>
    </xf>
    <xf numFmtId="0" fontId="13" fillId="0" borderId="48" xfId="2" applyFont="1" applyBorder="1" applyAlignment="1">
      <alignment horizontal="center" vertical="center" wrapText="1"/>
    </xf>
    <xf numFmtId="1" fontId="13" fillId="8" borderId="20" xfId="2" applyNumberFormat="1" applyFont="1" applyFill="1" applyBorder="1" applyAlignment="1">
      <alignment horizontal="center" vertical="center"/>
    </xf>
    <xf numFmtId="170" fontId="13" fillId="8" borderId="0" xfId="2" applyNumberFormat="1" applyFont="1" applyFill="1">
      <alignment vertical="center"/>
    </xf>
    <xf numFmtId="0" fontId="23" fillId="0" borderId="24" xfId="2" applyFont="1" applyBorder="1" applyAlignment="1">
      <alignment horizontal="center" vertical="center" wrapText="1"/>
    </xf>
    <xf numFmtId="0" fontId="23" fillId="0" borderId="31" xfId="2" applyFont="1" applyBorder="1" applyAlignment="1">
      <alignment horizontal="center" vertical="center" wrapText="1"/>
    </xf>
    <xf numFmtId="0" fontId="23" fillId="0" borderId="32" xfId="2" applyFont="1" applyBorder="1" applyAlignment="1">
      <alignment horizontal="center" vertical="center" wrapText="1"/>
    </xf>
    <xf numFmtId="2" fontId="13" fillId="8" borderId="22" xfId="2" applyNumberFormat="1" applyFont="1" applyFill="1" applyBorder="1" applyAlignment="1">
      <alignment horizontal="center" vertical="center"/>
    </xf>
    <xf numFmtId="2" fontId="13" fillId="8" borderId="58" xfId="2" applyNumberFormat="1" applyFont="1" applyFill="1" applyBorder="1" applyAlignment="1">
      <alignment horizontal="center" vertical="center"/>
    </xf>
    <xf numFmtId="1" fontId="13" fillId="8" borderId="22" xfId="2" applyNumberFormat="1" applyFont="1" applyFill="1" applyBorder="1" applyAlignment="1">
      <alignment horizontal="center" vertical="center"/>
    </xf>
    <xf numFmtId="2" fontId="13" fillId="8" borderId="15" xfId="2" applyNumberFormat="1" applyFont="1" applyFill="1" applyBorder="1" applyAlignment="1">
      <alignment horizontal="center" vertical="center"/>
    </xf>
    <xf numFmtId="0" fontId="13" fillId="8" borderId="57" xfId="2" applyFont="1" applyFill="1" applyBorder="1" applyAlignment="1">
      <alignment horizontal="center" vertical="center"/>
    </xf>
    <xf numFmtId="0" fontId="13" fillId="8" borderId="21" xfId="2" applyFont="1" applyFill="1" applyBorder="1" applyAlignment="1">
      <alignment horizontal="center" vertical="center"/>
    </xf>
    <xf numFmtId="1" fontId="13" fillId="8" borderId="14" xfId="2" applyNumberFormat="1" applyFont="1" applyFill="1" applyBorder="1" applyAlignment="1">
      <alignment horizontal="center" vertical="center"/>
    </xf>
    <xf numFmtId="0" fontId="13" fillId="8" borderId="0" xfId="2" applyFont="1" applyFill="1" applyAlignment="1">
      <alignment wrapText="1"/>
    </xf>
    <xf numFmtId="0" fontId="13" fillId="2" borderId="9" xfId="2" applyFont="1" applyFill="1" applyBorder="1" applyAlignment="1">
      <alignment horizontal="center" vertical="center"/>
    </xf>
    <xf numFmtId="0" fontId="13" fillId="8" borderId="17" xfId="2" applyFont="1" applyFill="1" applyBorder="1">
      <alignment vertical="center"/>
    </xf>
    <xf numFmtId="0" fontId="13" fillId="2" borderId="51" xfId="2" applyFont="1" applyFill="1" applyBorder="1" applyAlignment="1">
      <alignment horizontal="center" vertical="center"/>
    </xf>
    <xf numFmtId="0" fontId="23" fillId="8" borderId="42" xfId="2" applyFont="1" applyFill="1" applyBorder="1">
      <alignment vertical="center"/>
    </xf>
    <xf numFmtId="0" fontId="13" fillId="8" borderId="9" xfId="2" applyFont="1" applyFill="1" applyBorder="1">
      <alignment vertical="center"/>
    </xf>
    <xf numFmtId="2" fontId="13" fillId="8" borderId="80" xfId="2" applyNumberFormat="1" applyFont="1" applyFill="1" applyBorder="1" applyAlignment="1">
      <alignment horizontal="center" vertical="center"/>
    </xf>
    <xf numFmtId="0" fontId="23" fillId="8" borderId="26" xfId="2" applyFont="1" applyFill="1" applyBorder="1">
      <alignment vertical="center"/>
    </xf>
    <xf numFmtId="2" fontId="13" fillId="8" borderId="57" xfId="2" applyNumberFormat="1" applyFont="1" applyFill="1" applyBorder="1" applyAlignment="1">
      <alignment horizontal="center" vertical="center"/>
    </xf>
    <xf numFmtId="0" fontId="13" fillId="0" borderId="33" xfId="2" applyFont="1" applyBorder="1" applyAlignment="1">
      <alignment vertical="top" wrapText="1"/>
    </xf>
    <xf numFmtId="1" fontId="13" fillId="8" borderId="45" xfId="2" applyNumberFormat="1" applyFont="1" applyFill="1" applyBorder="1" applyAlignment="1">
      <alignment horizontal="center" vertical="center"/>
    </xf>
    <xf numFmtId="0" fontId="23" fillId="8" borderId="9" xfId="2" applyFont="1" applyFill="1" applyBorder="1">
      <alignment vertical="center"/>
    </xf>
    <xf numFmtId="2" fontId="13" fillId="8" borderId="40" xfId="2" applyNumberFormat="1" applyFont="1" applyFill="1" applyBorder="1" applyAlignment="1">
      <alignment horizontal="center" vertical="center"/>
    </xf>
    <xf numFmtId="2" fontId="13" fillId="8" borderId="56" xfId="2" applyNumberFormat="1" applyFont="1" applyFill="1" applyBorder="1" applyAlignment="1">
      <alignment horizontal="center" vertical="center"/>
    </xf>
    <xf numFmtId="0" fontId="23" fillId="8" borderId="0" xfId="0" applyFont="1" applyFill="1" applyAlignment="1">
      <alignment horizontal="left" vertical="center"/>
    </xf>
    <xf numFmtId="0" fontId="13" fillId="8" borderId="45" xfId="2" applyFont="1" applyFill="1" applyBorder="1">
      <alignment vertical="center"/>
    </xf>
    <xf numFmtId="1" fontId="13" fillId="8" borderId="57" xfId="2" applyNumberFormat="1" applyFont="1" applyFill="1" applyBorder="1" applyAlignment="1">
      <alignment horizontal="center" vertical="center"/>
    </xf>
    <xf numFmtId="0" fontId="23" fillId="2" borderId="27" xfId="2" applyFont="1" applyFill="1" applyBorder="1" applyAlignment="1">
      <alignment horizontal="center" vertical="center"/>
    </xf>
    <xf numFmtId="1" fontId="13" fillId="8" borderId="18" xfId="2" applyNumberFormat="1" applyFont="1" applyFill="1" applyBorder="1" applyAlignment="1">
      <alignment horizontal="center" vertical="center"/>
    </xf>
    <xf numFmtId="0" fontId="13" fillId="8" borderId="40" xfId="2" applyFont="1" applyFill="1" applyBorder="1" applyAlignment="1">
      <alignment horizontal="left" vertical="center"/>
    </xf>
    <xf numFmtId="0" fontId="23" fillId="8" borderId="43" xfId="2" applyFont="1" applyFill="1" applyBorder="1" applyAlignment="1">
      <alignment horizontal="center" vertical="center"/>
    </xf>
    <xf numFmtId="0" fontId="13" fillId="8" borderId="27" xfId="2" applyFont="1" applyFill="1" applyBorder="1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/>
    <xf numFmtId="0" fontId="23" fillId="8" borderId="55" xfId="2" applyFont="1" applyFill="1" applyBorder="1" applyAlignment="1">
      <alignment horizontal="center" vertical="center"/>
    </xf>
    <xf numFmtId="0" fontId="23" fillId="8" borderId="17" xfId="2" applyFont="1" applyFill="1" applyBorder="1" applyAlignment="1">
      <alignment horizontal="center" vertical="center"/>
    </xf>
    <xf numFmtId="174" fontId="13" fillId="8" borderId="17" xfId="2" applyNumberFormat="1" applyFont="1" applyFill="1" applyBorder="1" applyAlignment="1">
      <alignment horizontal="center" vertical="center"/>
    </xf>
    <xf numFmtId="174" fontId="13" fillId="8" borderId="57" xfId="2" applyNumberFormat="1" applyFont="1" applyFill="1" applyBorder="1" applyAlignment="1">
      <alignment horizontal="center" vertical="center"/>
    </xf>
    <xf numFmtId="0" fontId="13" fillId="8" borderId="52" xfId="2" applyFont="1" applyFill="1" applyBorder="1" applyAlignment="1">
      <alignment horizontal="center" vertical="center"/>
    </xf>
    <xf numFmtId="0" fontId="13" fillId="0" borderId="26" xfId="2" applyFont="1" applyBorder="1" applyAlignment="1">
      <alignment vertical="center" wrapText="1"/>
    </xf>
    <xf numFmtId="0" fontId="13" fillId="0" borderId="25" xfId="2" applyFont="1" applyBorder="1" applyAlignment="1">
      <alignment horizontal="left" vertical="center" wrapText="1"/>
    </xf>
    <xf numFmtId="0" fontId="13" fillId="8" borderId="81" xfId="2" applyFont="1" applyFill="1" applyBorder="1">
      <alignment vertical="center"/>
    </xf>
    <xf numFmtId="0" fontId="13" fillId="8" borderId="0" xfId="9" applyFont="1" applyFill="1">
      <alignment vertical="center"/>
    </xf>
    <xf numFmtId="0" fontId="23" fillId="8" borderId="70" xfId="2" applyFont="1" applyFill="1" applyBorder="1" applyAlignment="1">
      <alignment horizontal="center" vertical="center"/>
    </xf>
    <xf numFmtId="0" fontId="23" fillId="8" borderId="71" xfId="2" applyFont="1" applyFill="1" applyBorder="1" applyAlignment="1">
      <alignment horizontal="left" vertical="center"/>
    </xf>
    <xf numFmtId="0" fontId="13" fillId="8" borderId="71" xfId="2" applyFont="1" applyFill="1" applyBorder="1" applyAlignment="1">
      <alignment horizontal="center" vertical="center"/>
    </xf>
    <xf numFmtId="0" fontId="13" fillId="8" borderId="62" xfId="2" applyFont="1" applyFill="1" applyBorder="1" applyAlignment="1">
      <alignment horizontal="center" vertical="center"/>
    </xf>
    <xf numFmtId="0" fontId="13" fillId="8" borderId="23" xfId="2" applyFont="1" applyFill="1" applyBorder="1" applyAlignment="1">
      <alignment horizontal="center" vertical="center"/>
    </xf>
    <xf numFmtId="0" fontId="13" fillId="8" borderId="29" xfId="2" applyFont="1" applyFill="1" applyBorder="1" applyAlignment="1">
      <alignment horizontal="center" vertical="center"/>
    </xf>
    <xf numFmtId="0" fontId="13" fillId="0" borderId="2" xfId="2" applyFont="1" applyBorder="1" applyAlignment="1">
      <alignment vertical="top" wrapText="1"/>
    </xf>
    <xf numFmtId="0" fontId="13" fillId="8" borderId="79" xfId="2" applyFont="1" applyFill="1" applyBorder="1" applyAlignment="1">
      <alignment horizontal="center" vertical="center"/>
    </xf>
    <xf numFmtId="0" fontId="13" fillId="0" borderId="32" xfId="2" applyFont="1" applyBorder="1" applyAlignment="1">
      <alignment horizontal="left" vertical="center" wrapText="1"/>
    </xf>
    <xf numFmtId="0" fontId="13" fillId="0" borderId="29" xfId="2" applyFont="1" applyBorder="1" applyAlignment="1">
      <alignment horizontal="center" vertical="center" wrapText="1"/>
    </xf>
    <xf numFmtId="0" fontId="13" fillId="0" borderId="46" xfId="2" applyFont="1" applyBorder="1" applyAlignment="1">
      <alignment horizontal="left" vertical="center" wrapText="1"/>
    </xf>
    <xf numFmtId="0" fontId="13" fillId="0" borderId="45" xfId="2" applyFont="1" applyBorder="1" applyAlignment="1">
      <alignment horizontal="left" vertical="center" wrapText="1"/>
    </xf>
    <xf numFmtId="0" fontId="13" fillId="0" borderId="9" xfId="2" applyFont="1" applyBorder="1" applyAlignment="1">
      <alignment horizontal="left" vertical="center" wrapText="1"/>
    </xf>
    <xf numFmtId="0" fontId="13" fillId="7" borderId="0" xfId="2" applyFont="1" applyFill="1" applyAlignment="1">
      <alignment vertical="center" wrapText="1"/>
    </xf>
    <xf numFmtId="0" fontId="13" fillId="8" borderId="30" xfId="2" applyFont="1" applyFill="1" applyBorder="1" applyAlignment="1"/>
    <xf numFmtId="0" fontId="13" fillId="8" borderId="31" xfId="2" applyFont="1" applyFill="1" applyBorder="1" applyAlignment="1"/>
    <xf numFmtId="0" fontId="13" fillId="8" borderId="31" xfId="2" applyFont="1" applyFill="1" applyBorder="1" applyAlignment="1">
      <alignment horizontal="center"/>
    </xf>
    <xf numFmtId="0" fontId="13" fillId="8" borderId="32" xfId="2" applyFont="1" applyFill="1" applyBorder="1" applyAlignment="1">
      <alignment horizontal="center"/>
    </xf>
    <xf numFmtId="1" fontId="23" fillId="8" borderId="25" xfId="2" applyNumberFormat="1" applyFont="1" applyFill="1" applyBorder="1" applyAlignment="1">
      <alignment horizontal="center" vertical="center"/>
    </xf>
    <xf numFmtId="0" fontId="13" fillId="8" borderId="25" xfId="2" applyFont="1" applyFill="1" applyBorder="1" applyAlignment="1">
      <alignment horizontal="left" vertical="center"/>
    </xf>
    <xf numFmtId="0" fontId="28" fillId="8" borderId="0" xfId="2" applyFont="1" applyFill="1" applyAlignment="1">
      <alignment horizontal="center" vertical="center"/>
    </xf>
    <xf numFmtId="0" fontId="13" fillId="8" borderId="25" xfId="6" applyFont="1" applyFill="1" applyBorder="1" applyAlignment="1"/>
    <xf numFmtId="0" fontId="13" fillId="8" borderId="24" xfId="2" applyFont="1" applyFill="1" applyBorder="1" applyAlignment="1"/>
    <xf numFmtId="170" fontId="13" fillId="8" borderId="25" xfId="2" applyNumberFormat="1" applyFont="1" applyFill="1" applyBorder="1" applyAlignment="1">
      <alignment horizontal="center" vertical="center"/>
    </xf>
    <xf numFmtId="0" fontId="13" fillId="8" borderId="25" xfId="2" applyFont="1" applyFill="1" applyBorder="1" applyAlignment="1">
      <alignment horizontal="center"/>
    </xf>
    <xf numFmtId="0" fontId="13" fillId="8" borderId="28" xfId="2" applyFont="1" applyFill="1" applyBorder="1" applyAlignment="1">
      <alignment horizontal="center"/>
    </xf>
    <xf numFmtId="0" fontId="13" fillId="8" borderId="23" xfId="2" applyFont="1" applyFill="1" applyBorder="1" applyAlignment="1">
      <alignment horizontal="center"/>
    </xf>
    <xf numFmtId="0" fontId="13" fillId="8" borderId="29" xfId="2" applyFont="1" applyFill="1" applyBorder="1" applyAlignment="1">
      <alignment horizontal="center"/>
    </xf>
    <xf numFmtId="0" fontId="13" fillId="8" borderId="23" xfId="2" applyFont="1" applyFill="1" applyBorder="1" applyAlignment="1">
      <alignment horizontal="left" vertical="center"/>
    </xf>
    <xf numFmtId="0" fontId="13" fillId="8" borderId="29" xfId="2" applyFont="1" applyFill="1" applyBorder="1" applyAlignment="1">
      <alignment horizontal="left"/>
    </xf>
    <xf numFmtId="0" fontId="13" fillId="8" borderId="24" xfId="2" applyFont="1" applyFill="1" applyBorder="1" applyAlignment="1">
      <alignment horizontal="left"/>
    </xf>
    <xf numFmtId="14" fontId="13" fillId="8" borderId="25" xfId="2" applyNumberFormat="1" applyFont="1" applyFill="1" applyBorder="1" applyAlignment="1">
      <alignment horizontal="center"/>
    </xf>
    <xf numFmtId="0" fontId="13" fillId="8" borderId="25" xfId="2" applyFont="1" applyFill="1" applyBorder="1" applyAlignment="1">
      <alignment horizontal="left"/>
    </xf>
    <xf numFmtId="14" fontId="13" fillId="8" borderId="25" xfId="2" applyNumberFormat="1" applyFont="1" applyFill="1" applyBorder="1" applyAlignment="1"/>
    <xf numFmtId="0" fontId="13" fillId="8" borderId="28" xfId="2" applyFont="1" applyFill="1" applyBorder="1" applyAlignment="1">
      <alignment horizontal="left"/>
    </xf>
    <xf numFmtId="1" fontId="26" fillId="17" borderId="0" xfId="2" applyNumberFormat="1" applyFont="1" applyFill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170" fontId="13" fillId="17" borderId="9" xfId="2" applyNumberFormat="1" applyFont="1" applyFill="1" applyBorder="1" applyAlignment="1">
      <alignment horizontal="center" vertical="center"/>
    </xf>
    <xf numFmtId="0" fontId="117" fillId="0" borderId="0" xfId="0" applyFont="1" applyAlignment="1">
      <alignment horizontal="center" vertical="center"/>
    </xf>
    <xf numFmtId="0" fontId="36" fillId="3" borderId="0" xfId="0" applyFont="1" applyFill="1" applyAlignment="1">
      <alignment horizontal="center" vertical="center"/>
    </xf>
    <xf numFmtId="0" fontId="64" fillId="3" borderId="0" xfId="0" applyFont="1" applyFill="1">
      <alignment vertical="center"/>
    </xf>
    <xf numFmtId="0" fontId="97" fillId="3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122" fillId="0" borderId="0" xfId="0" applyFont="1" applyAlignment="1">
      <alignment horizontal="center" vertical="center"/>
    </xf>
    <xf numFmtId="0" fontId="64" fillId="0" borderId="0" xfId="0" applyFont="1" applyAlignment="1">
      <alignment horizontal="center" vertical="center"/>
    </xf>
    <xf numFmtId="0" fontId="23" fillId="0" borderId="0" xfId="2" applyFont="1" applyAlignment="1">
      <alignment horizontal="center" wrapText="1"/>
    </xf>
    <xf numFmtId="0" fontId="26" fillId="7" borderId="9" xfId="2" applyFont="1" applyFill="1" applyBorder="1" applyAlignment="1">
      <alignment horizontal="center" vertical="center"/>
    </xf>
    <xf numFmtId="170" fontId="26" fillId="7" borderId="9" xfId="2" applyNumberFormat="1" applyFont="1" applyFill="1" applyBorder="1" applyAlignment="1">
      <alignment horizontal="center" vertical="center"/>
    </xf>
    <xf numFmtId="1" fontId="27" fillId="3" borderId="9" xfId="2" applyNumberFormat="1" applyFont="1" applyFill="1" applyBorder="1" applyAlignment="1">
      <alignment horizontal="center" vertical="center"/>
    </xf>
    <xf numFmtId="1" fontId="24" fillId="0" borderId="0" xfId="0" applyNumberFormat="1" applyFont="1" applyAlignment="1"/>
    <xf numFmtId="1" fontId="23" fillId="4" borderId="9" xfId="0" applyNumberFormat="1" applyFont="1" applyFill="1" applyBorder="1" applyAlignment="1" applyProtection="1">
      <alignment horizontal="center" vertical="center"/>
      <protection hidden="1"/>
    </xf>
    <xf numFmtId="0" fontId="27" fillId="3" borderId="14" xfId="2" applyFont="1" applyFill="1" applyBorder="1" applyAlignment="1">
      <alignment horizontal="center"/>
    </xf>
    <xf numFmtId="0" fontId="69" fillId="0" borderId="0" xfId="2" applyFont="1" applyAlignment="1"/>
    <xf numFmtId="0" fontId="123" fillId="0" borderId="0" xfId="2" applyFont="1" applyAlignment="1"/>
    <xf numFmtId="0" fontId="65" fillId="0" borderId="0" xfId="2" applyFont="1" applyAlignment="1">
      <alignment horizontal="left"/>
    </xf>
    <xf numFmtId="0" fontId="13" fillId="7" borderId="27" xfId="0" applyFont="1" applyFill="1" applyBorder="1" applyAlignment="1">
      <alignment horizontal="center" vertical="center"/>
    </xf>
    <xf numFmtId="0" fontId="13" fillId="7" borderId="0" xfId="2" applyFont="1" applyFill="1" applyAlignment="1"/>
    <xf numFmtId="0" fontId="13" fillId="10" borderId="0" xfId="2" applyFont="1" applyFill="1" applyAlignment="1">
      <alignment horizontal="center"/>
    </xf>
    <xf numFmtId="14" fontId="65" fillId="0" borderId="0" xfId="2" applyNumberFormat="1" applyFont="1" applyAlignment="1">
      <alignment horizontal="left" vertical="center"/>
    </xf>
    <xf numFmtId="14" fontId="13" fillId="0" borderId="0" xfId="2" applyNumberFormat="1" applyFont="1">
      <alignment vertical="center"/>
    </xf>
    <xf numFmtId="0" fontId="13" fillId="10" borderId="27" xfId="2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5" fillId="0" borderId="0" xfId="2" applyFont="1" applyAlignment="1">
      <alignment horizontal="center" vertical="center"/>
    </xf>
    <xf numFmtId="0" fontId="13" fillId="0" borderId="27" xfId="0" applyFont="1" applyBorder="1" applyAlignment="1" applyProtection="1">
      <alignment horizontal="left"/>
      <protection hidden="1"/>
    </xf>
    <xf numFmtId="173" fontId="26" fillId="10" borderId="0" xfId="2" applyNumberFormat="1" applyFont="1" applyFill="1" applyAlignment="1">
      <alignment horizontal="center" vertical="center"/>
    </xf>
    <xf numFmtId="0" fontId="54" fillId="0" borderId="27" xfId="2" applyFont="1" applyBorder="1" applyAlignment="1">
      <alignment horizontal="right"/>
    </xf>
    <xf numFmtId="0" fontId="13" fillId="10" borderId="0" xfId="2" applyFont="1" applyFill="1" applyAlignment="1">
      <alignment horizontal="center" vertical="center"/>
    </xf>
    <xf numFmtId="0" fontId="13" fillId="0" borderId="26" xfId="2" applyFont="1" applyBorder="1" applyAlignment="1">
      <alignment horizontal="left" vertical="center"/>
    </xf>
    <xf numFmtId="0" fontId="13" fillId="10" borderId="0" xfId="2" applyFont="1" applyFill="1" applyAlignment="1">
      <alignment horizontal="center" vertical="center" wrapText="1"/>
    </xf>
    <xf numFmtId="0" fontId="13" fillId="0" borderId="0" xfId="2" applyFont="1" applyAlignment="1">
      <alignment horizontal="left" vertical="center" wrapText="1"/>
    </xf>
    <xf numFmtId="0" fontId="13" fillId="0" borderId="35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0" fontId="13" fillId="0" borderId="36" xfId="0" applyFont="1" applyBorder="1" applyAlignment="1">
      <alignment horizontal="center" vertical="center"/>
    </xf>
    <xf numFmtId="0" fontId="13" fillId="0" borderId="39" xfId="0" applyFont="1" applyBorder="1" applyAlignment="1">
      <alignment horizontal="left" vertical="center"/>
    </xf>
    <xf numFmtId="0" fontId="54" fillId="0" borderId="27" xfId="0" applyFont="1" applyBorder="1" applyAlignment="1">
      <alignment horizontal="right" vertical="center"/>
    </xf>
    <xf numFmtId="0" fontId="13" fillId="0" borderId="42" xfId="0" applyFont="1" applyBorder="1" applyAlignment="1">
      <alignment horizontal="left" vertical="center"/>
    </xf>
    <xf numFmtId="0" fontId="54" fillId="0" borderId="27" xfId="2" applyFont="1" applyBorder="1" applyAlignment="1">
      <alignment horizontal="right" vertical="center"/>
    </xf>
    <xf numFmtId="0" fontId="65" fillId="0" borderId="0" xfId="0" applyFont="1" applyAlignment="1">
      <alignment horizontal="left" vertical="center"/>
    </xf>
    <xf numFmtId="0" fontId="13" fillId="8" borderId="42" xfId="2" applyFont="1" applyFill="1" applyBorder="1" applyAlignment="1">
      <alignment horizontal="left"/>
    </xf>
    <xf numFmtId="1" fontId="26" fillId="7" borderId="0" xfId="2" applyNumberFormat="1" applyFont="1" applyFill="1" applyAlignment="1">
      <alignment horizontal="center" vertical="center"/>
    </xf>
    <xf numFmtId="2" fontId="13" fillId="12" borderId="27" xfId="2" applyNumberFormat="1" applyFont="1" applyFill="1" applyBorder="1" applyAlignment="1">
      <alignment horizontal="center" vertical="center"/>
    </xf>
    <xf numFmtId="0" fontId="123" fillId="0" borderId="0" xfId="2" applyFont="1" applyAlignment="1">
      <alignment horizontal="center" vertical="center"/>
    </xf>
    <xf numFmtId="2" fontId="13" fillId="17" borderId="27" xfId="2" applyNumberFormat="1" applyFont="1" applyFill="1" applyBorder="1" applyAlignment="1">
      <alignment horizontal="center" vertical="center"/>
    </xf>
    <xf numFmtId="0" fontId="13" fillId="0" borderId="55" xfId="0" applyFont="1" applyBorder="1" applyAlignment="1">
      <alignment horizontal="center" vertical="center"/>
    </xf>
    <xf numFmtId="0" fontId="13" fillId="0" borderId="0" xfId="2" applyFont="1" applyAlignment="1">
      <alignment horizontal="center" textRotation="90"/>
    </xf>
    <xf numFmtId="0" fontId="13" fillId="0" borderId="0" xfId="2" applyFont="1" applyAlignment="1">
      <alignment horizontal="center" vertical="top" textRotation="90"/>
    </xf>
    <xf numFmtId="0" fontId="13" fillId="0" borderId="73" xfId="0" applyFont="1" applyBorder="1" applyAlignment="1">
      <alignment horizontal="left"/>
    </xf>
    <xf numFmtId="170" fontId="13" fillId="10" borderId="9" xfId="2" applyNumberFormat="1" applyFont="1" applyFill="1" applyBorder="1" applyAlignment="1">
      <alignment horizontal="center" vertical="center"/>
    </xf>
    <xf numFmtId="0" fontId="13" fillId="0" borderId="42" xfId="0" applyFont="1" applyBorder="1" applyAlignment="1">
      <alignment horizontal="left"/>
    </xf>
    <xf numFmtId="0" fontId="13" fillId="0" borderId="50" xfId="0" applyFont="1" applyBorder="1" applyAlignment="1"/>
    <xf numFmtId="0" fontId="13" fillId="0" borderId="52" xfId="0" applyFont="1" applyBorder="1" applyAlignment="1"/>
    <xf numFmtId="0" fontId="13" fillId="0" borderId="63" xfId="0" applyFont="1" applyBorder="1" applyAlignment="1">
      <alignment horizontal="left"/>
    </xf>
    <xf numFmtId="0" fontId="13" fillId="0" borderId="28" xfId="0" applyFont="1" applyBorder="1" applyAlignment="1"/>
    <xf numFmtId="170" fontId="54" fillId="0" borderId="0" xfId="2" applyNumberFormat="1" applyFont="1" applyAlignment="1">
      <alignment horizontal="center"/>
    </xf>
    <xf numFmtId="0" fontId="54" fillId="0" borderId="0" xfId="2" applyFont="1" applyAlignment="1">
      <alignment horizontal="center"/>
    </xf>
    <xf numFmtId="0" fontId="13" fillId="0" borderId="33" xfId="2" applyFont="1" applyBorder="1" applyAlignment="1"/>
    <xf numFmtId="0" fontId="13" fillId="0" borderId="17" xfId="2" applyFont="1" applyBorder="1" applyAlignment="1"/>
    <xf numFmtId="0" fontId="13" fillId="0" borderId="19" xfId="2" applyFont="1" applyBorder="1" applyAlignment="1">
      <alignment horizontal="right"/>
    </xf>
    <xf numFmtId="0" fontId="13" fillId="0" borderId="21" xfId="2" applyFont="1" applyBorder="1" applyAlignment="1"/>
    <xf numFmtId="0" fontId="13" fillId="10" borderId="14" xfId="2" applyFont="1" applyFill="1" applyBorder="1" applyAlignment="1">
      <alignment horizontal="center"/>
    </xf>
    <xf numFmtId="2" fontId="54" fillId="0" borderId="0" xfId="2" applyNumberFormat="1" applyFont="1" applyAlignment="1">
      <alignment horizontal="center"/>
    </xf>
    <xf numFmtId="0" fontId="25" fillId="0" borderId="25" xfId="2" applyFont="1" applyBorder="1" applyAlignment="1">
      <alignment horizontal="center" vertical="center"/>
    </xf>
    <xf numFmtId="170" fontId="54" fillId="0" borderId="25" xfId="2" applyNumberFormat="1" applyFont="1" applyBorder="1" applyAlignment="1">
      <alignment horizontal="center" vertical="center"/>
    </xf>
    <xf numFmtId="0" fontId="54" fillId="0" borderId="25" xfId="2" applyFont="1" applyBorder="1" applyAlignment="1">
      <alignment horizontal="center" vertical="center"/>
    </xf>
    <xf numFmtId="0" fontId="13" fillId="0" borderId="34" xfId="2" applyFont="1" applyBorder="1">
      <alignment vertical="center"/>
    </xf>
    <xf numFmtId="0" fontId="69" fillId="0" borderId="1" xfId="2" applyFont="1" applyBorder="1" applyAlignment="1">
      <alignment horizontal="left" vertical="center"/>
    </xf>
    <xf numFmtId="0" fontId="28" fillId="0" borderId="23" xfId="2" applyFont="1" applyBorder="1" applyAlignment="1">
      <alignment horizontal="right" vertical="center"/>
    </xf>
    <xf numFmtId="1" fontId="13" fillId="10" borderId="75" xfId="2" applyNumberFormat="1" applyFont="1" applyFill="1" applyBorder="1" applyAlignment="1">
      <alignment horizontal="center" vertical="center"/>
    </xf>
    <xf numFmtId="1" fontId="13" fillId="5" borderId="6" xfId="2" applyNumberFormat="1" applyFont="1" applyFill="1" applyBorder="1" applyAlignment="1">
      <alignment horizontal="center" vertical="center"/>
    </xf>
    <xf numFmtId="0" fontId="23" fillId="0" borderId="29" xfId="2" applyFont="1" applyBorder="1">
      <alignment vertical="center"/>
    </xf>
    <xf numFmtId="0" fontId="28" fillId="0" borderId="26" xfId="2" applyFont="1" applyBorder="1">
      <alignment vertical="center"/>
    </xf>
    <xf numFmtId="0" fontId="28" fillId="0" borderId="0" xfId="2" applyFont="1" applyAlignment="1">
      <alignment horizontal="right" vertical="center"/>
    </xf>
    <xf numFmtId="1" fontId="13" fillId="8" borderId="42" xfId="2" applyNumberFormat="1" applyFont="1" applyFill="1" applyBorder="1">
      <alignment vertical="center"/>
    </xf>
    <xf numFmtId="1" fontId="13" fillId="8" borderId="51" xfId="2" applyNumberFormat="1" applyFont="1" applyFill="1" applyBorder="1" applyAlignment="1">
      <alignment horizontal="left" vertical="center"/>
    </xf>
    <xf numFmtId="0" fontId="23" fillId="0" borderId="26" xfId="2" applyFont="1" applyBorder="1">
      <alignment vertical="center"/>
    </xf>
    <xf numFmtId="0" fontId="69" fillId="0" borderId="26" xfId="2" applyFont="1" applyBorder="1" applyAlignment="1">
      <alignment horizontal="left" vertical="center"/>
    </xf>
    <xf numFmtId="1" fontId="13" fillId="10" borderId="42" xfId="2" applyNumberFormat="1" applyFont="1" applyFill="1" applyBorder="1" applyAlignment="1">
      <alignment horizontal="center" vertical="center"/>
    </xf>
    <xf numFmtId="0" fontId="13" fillId="5" borderId="51" xfId="2" applyFont="1" applyFill="1" applyBorder="1" applyAlignment="1">
      <alignment horizontal="center" vertical="center"/>
    </xf>
    <xf numFmtId="2" fontId="23" fillId="10" borderId="48" xfId="2" applyNumberFormat="1" applyFont="1" applyFill="1" applyBorder="1" applyAlignment="1">
      <alignment horizontal="center" vertical="center"/>
    </xf>
    <xf numFmtId="0" fontId="28" fillId="0" borderId="0" xfId="2" applyFont="1">
      <alignment vertical="center"/>
    </xf>
    <xf numFmtId="0" fontId="23" fillId="0" borderId="26" xfId="2" applyFont="1" applyBorder="1" applyAlignment="1">
      <alignment horizontal="left" vertical="center"/>
    </xf>
    <xf numFmtId="2" fontId="13" fillId="0" borderId="0" xfId="2" applyNumberFormat="1" applyFont="1">
      <alignment vertical="center"/>
    </xf>
    <xf numFmtId="0" fontId="69" fillId="0" borderId="24" xfId="2" applyFont="1" applyBorder="1" applyAlignment="1">
      <alignment horizontal="left" vertical="center"/>
    </xf>
    <xf numFmtId="0" fontId="28" fillId="0" borderId="25" xfId="2" applyFont="1" applyBorder="1" applyAlignment="1">
      <alignment horizontal="right" vertical="center"/>
    </xf>
    <xf numFmtId="1" fontId="13" fillId="10" borderId="72" xfId="2" applyNumberFormat="1" applyFont="1" applyFill="1" applyBorder="1" applyAlignment="1">
      <alignment horizontal="center" vertical="center"/>
    </xf>
    <xf numFmtId="0" fontId="13" fillId="5" borderId="13" xfId="2" applyFont="1" applyFill="1" applyBorder="1" applyAlignment="1">
      <alignment horizontal="center" vertical="center"/>
    </xf>
    <xf numFmtId="0" fontId="23" fillId="0" borderId="28" xfId="2" applyFont="1" applyBorder="1">
      <alignment vertical="center"/>
    </xf>
    <xf numFmtId="2" fontId="23" fillId="5" borderId="48" xfId="2" applyNumberFormat="1" applyFont="1" applyFill="1" applyBorder="1" applyAlignment="1">
      <alignment horizontal="center" vertical="center"/>
    </xf>
    <xf numFmtId="0" fontId="23" fillId="0" borderId="25" xfId="2" applyFont="1" applyBorder="1">
      <alignment vertical="center"/>
    </xf>
    <xf numFmtId="0" fontId="13" fillId="0" borderId="56" xfId="2" applyFont="1" applyBorder="1">
      <alignment vertical="center"/>
    </xf>
    <xf numFmtId="0" fontId="13" fillId="0" borderId="24" xfId="2" applyFont="1" applyBorder="1">
      <alignment vertical="center"/>
    </xf>
    <xf numFmtId="0" fontId="13" fillId="0" borderId="25" xfId="2" applyFont="1" applyBorder="1">
      <alignment vertical="center"/>
    </xf>
    <xf numFmtId="1" fontId="13" fillId="0" borderId="9" xfId="0" applyNumberFormat="1" applyFont="1" applyBorder="1">
      <alignment vertical="center"/>
    </xf>
    <xf numFmtId="2" fontId="13" fillId="0" borderId="9" xfId="0" applyNumberFormat="1" applyFont="1" applyBorder="1">
      <alignment vertical="center"/>
    </xf>
    <xf numFmtId="0" fontId="52" fillId="0" borderId="0" xfId="0" applyFont="1" applyAlignment="1">
      <alignment horizontal="center" vertical="center"/>
    </xf>
    <xf numFmtId="0" fontId="46" fillId="0" borderId="9" xfId="0" applyFont="1" applyBorder="1">
      <alignment vertical="center"/>
    </xf>
    <xf numFmtId="0" fontId="98" fillId="16" borderId="9" xfId="0" applyFont="1" applyFill="1" applyBorder="1">
      <alignment vertical="center"/>
    </xf>
    <xf numFmtId="0" fontId="33" fillId="0" borderId="9" xfId="0" applyFont="1" applyBorder="1">
      <alignment vertical="center"/>
    </xf>
    <xf numFmtId="1" fontId="33" fillId="0" borderId="9" xfId="0" applyNumberFormat="1" applyFont="1" applyBorder="1">
      <alignment vertical="center"/>
    </xf>
    <xf numFmtId="0" fontId="114" fillId="0" borderId="9" xfId="0" applyFont="1" applyBorder="1">
      <alignment vertical="center"/>
    </xf>
    <xf numFmtId="0" fontId="22" fillId="0" borderId="9" xfId="0" applyFont="1" applyBorder="1">
      <alignment vertical="center"/>
    </xf>
    <xf numFmtId="170" fontId="13" fillId="0" borderId="9" xfId="0" applyNumberFormat="1" applyFont="1" applyBorder="1">
      <alignment vertical="center"/>
    </xf>
    <xf numFmtId="0" fontId="46" fillId="0" borderId="0" xfId="0" applyFont="1">
      <alignment vertical="center"/>
    </xf>
    <xf numFmtId="0" fontId="13" fillId="0" borderId="8" xfId="2" applyFont="1" applyBorder="1" applyAlignment="1">
      <alignment horizontal="center" vertical="center" wrapText="1"/>
    </xf>
    <xf numFmtId="1" fontId="26" fillId="45" borderId="9" xfId="2" applyNumberFormat="1" applyFont="1" applyFill="1" applyBorder="1" applyAlignment="1">
      <alignment horizontal="center" vertical="center" wrapText="1"/>
    </xf>
    <xf numFmtId="170" fontId="13" fillId="0" borderId="9" xfId="2" applyNumberFormat="1" applyFont="1" applyBorder="1" applyAlignment="1">
      <alignment horizontal="center" vertical="center" wrapText="1"/>
    </xf>
    <xf numFmtId="0" fontId="25" fillId="0" borderId="0" xfId="0" applyFont="1">
      <alignment vertical="center"/>
    </xf>
    <xf numFmtId="1" fontId="13" fillId="11" borderId="2" xfId="2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center"/>
    </xf>
    <xf numFmtId="0" fontId="62" fillId="0" borderId="0" xfId="0" applyFont="1" applyAlignment="1">
      <alignment horizontal="center" vertical="center"/>
    </xf>
    <xf numFmtId="1" fontId="24" fillId="0" borderId="9" xfId="0" applyNumberFormat="1" applyFont="1" applyBorder="1" applyAlignment="1">
      <alignment horizontal="center" vertical="center"/>
    </xf>
    <xf numFmtId="0" fontId="24" fillId="0" borderId="17" xfId="0" applyFont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116" fillId="0" borderId="0" xfId="0" applyFont="1" applyAlignment="1">
      <alignment horizontal="left"/>
    </xf>
    <xf numFmtId="0" fontId="24" fillId="0" borderId="19" xfId="0" applyFont="1" applyBorder="1" applyAlignment="1">
      <alignment horizontal="center"/>
    </xf>
    <xf numFmtId="0" fontId="48" fillId="0" borderId="0" xfId="0" applyFont="1" applyAlignment="1">
      <alignment horizontal="left"/>
    </xf>
    <xf numFmtId="0" fontId="13" fillId="11" borderId="29" xfId="2" applyFont="1" applyFill="1" applyBorder="1" applyAlignment="1">
      <alignment horizontal="center" vertical="center"/>
    </xf>
    <xf numFmtId="0" fontId="42" fillId="0" borderId="0" xfId="7" applyFont="1" applyBorder="1" applyAlignment="1">
      <alignment horizontal="left" vertical="center"/>
    </xf>
    <xf numFmtId="0" fontId="13" fillId="11" borderId="27" xfId="2" applyFont="1" applyFill="1" applyBorder="1" applyAlignment="1">
      <alignment horizontal="center" vertical="center"/>
    </xf>
    <xf numFmtId="0" fontId="13" fillId="0" borderId="4" xfId="2" applyFont="1" applyBorder="1" applyAlignment="1"/>
    <xf numFmtId="169" fontId="13" fillId="10" borderId="6" xfId="1" applyNumberFormat="1" applyFont="1" applyFill="1" applyBorder="1" applyAlignment="1"/>
    <xf numFmtId="0" fontId="23" fillId="0" borderId="27" xfId="2" applyFont="1" applyBorder="1" applyAlignment="1">
      <alignment horizontal="center" vertical="center"/>
    </xf>
    <xf numFmtId="0" fontId="13" fillId="0" borderId="8" xfId="2" applyFont="1" applyBorder="1" applyAlignment="1"/>
    <xf numFmtId="169" fontId="13" fillId="10" borderId="51" xfId="1" applyNumberFormat="1" applyFont="1" applyFill="1" applyBorder="1" applyAlignment="1"/>
    <xf numFmtId="0" fontId="26" fillId="11" borderId="0" xfId="2" applyFont="1" applyFill="1" applyAlignment="1">
      <alignment horizontal="center" vertical="center"/>
    </xf>
    <xf numFmtId="0" fontId="23" fillId="9" borderId="27" xfId="2" applyFont="1" applyFill="1" applyBorder="1" applyAlignment="1">
      <alignment horizontal="center" vertical="center"/>
    </xf>
    <xf numFmtId="0" fontId="13" fillId="0" borderId="11" xfId="2" applyFont="1" applyBorder="1">
      <alignment vertical="center"/>
    </xf>
    <xf numFmtId="9" fontId="13" fillId="10" borderId="13" xfId="4" applyFont="1" applyFill="1" applyBorder="1" applyAlignment="1">
      <alignment horizontal="center" vertical="center"/>
    </xf>
    <xf numFmtId="0" fontId="13" fillId="10" borderId="26" xfId="2" applyFont="1" applyFill="1" applyBorder="1" applyAlignment="1">
      <alignment horizontal="center" vertical="center"/>
    </xf>
    <xf numFmtId="0" fontId="53" fillId="0" borderId="0" xfId="2" applyFont="1" applyAlignment="1">
      <alignment horizontal="center" vertical="center"/>
    </xf>
    <xf numFmtId="0" fontId="13" fillId="0" borderId="2" xfId="2" applyFont="1" applyBorder="1" applyAlignment="1">
      <alignment horizontal="left" vertical="center"/>
    </xf>
    <xf numFmtId="0" fontId="13" fillId="0" borderId="23" xfId="2" applyFont="1" applyBorder="1" applyAlignment="1">
      <alignment horizontal="center" vertical="center"/>
    </xf>
    <xf numFmtId="0" fontId="13" fillId="0" borderId="29" xfId="2" applyFont="1" applyBorder="1" applyAlignment="1">
      <alignment horizontal="left" vertical="center"/>
    </xf>
    <xf numFmtId="0" fontId="13" fillId="0" borderId="33" xfId="2" applyFont="1" applyBorder="1" applyAlignment="1">
      <alignment horizontal="left" vertical="center"/>
    </xf>
    <xf numFmtId="0" fontId="13" fillId="0" borderId="34" xfId="2" applyFont="1" applyBorder="1" applyAlignment="1">
      <alignment horizontal="left" vertical="center"/>
    </xf>
    <xf numFmtId="1" fontId="13" fillId="5" borderId="25" xfId="2" applyNumberFormat="1" applyFont="1" applyFill="1" applyBorder="1" applyAlignment="1">
      <alignment horizontal="center" vertical="center"/>
    </xf>
    <xf numFmtId="0" fontId="23" fillId="8" borderId="26" xfId="2" applyFont="1" applyFill="1" applyBorder="1" applyAlignment="1">
      <alignment horizontal="left" vertical="center"/>
    </xf>
    <xf numFmtId="172" fontId="13" fillId="8" borderId="0" xfId="2" applyNumberFormat="1" applyFont="1" applyFill="1" applyAlignment="1">
      <alignment horizontal="center" vertical="center"/>
    </xf>
    <xf numFmtId="0" fontId="23" fillId="8" borderId="26" xfId="2" applyFont="1" applyFill="1" applyBorder="1" applyAlignment="1">
      <alignment horizontal="center" vertical="center"/>
    </xf>
    <xf numFmtId="0" fontId="23" fillId="0" borderId="38" xfId="2" applyFont="1" applyBorder="1" applyAlignment="1">
      <alignment horizontal="center" vertical="center"/>
    </xf>
    <xf numFmtId="0" fontId="28" fillId="7" borderId="22" xfId="2" applyFont="1" applyFill="1" applyBorder="1" applyAlignment="1">
      <alignment horizontal="center" vertical="center"/>
    </xf>
    <xf numFmtId="0" fontId="28" fillId="7" borderId="40" xfId="2" applyFont="1" applyFill="1" applyBorder="1" applyAlignment="1">
      <alignment horizontal="center" vertical="center"/>
    </xf>
    <xf numFmtId="0" fontId="13" fillId="0" borderId="40" xfId="2" applyFont="1" applyBorder="1" applyAlignment="1">
      <alignment horizontal="center" vertical="center"/>
    </xf>
    <xf numFmtId="0" fontId="28" fillId="0" borderId="9" xfId="2" applyFont="1" applyBorder="1" applyAlignment="1">
      <alignment horizontal="center" vertical="center"/>
    </xf>
    <xf numFmtId="0" fontId="13" fillId="11" borderId="27" xfId="2" applyFont="1" applyFill="1" applyBorder="1" applyAlignment="1">
      <alignment vertical="center" wrapText="1"/>
    </xf>
    <xf numFmtId="0" fontId="29" fillId="0" borderId="0" xfId="2" applyFont="1" applyAlignment="1">
      <alignment horizontal="center" vertical="center" wrapText="1"/>
    </xf>
    <xf numFmtId="0" fontId="58" fillId="0" borderId="0" xfId="0" applyFont="1">
      <alignment vertical="center"/>
    </xf>
    <xf numFmtId="0" fontId="58" fillId="0" borderId="0" xfId="2" applyFont="1">
      <alignment vertical="center"/>
    </xf>
    <xf numFmtId="1" fontId="55" fillId="0" borderId="0" xfId="2" applyNumberFormat="1" applyFont="1" applyAlignment="1">
      <alignment horizontal="center" vertical="center"/>
    </xf>
    <xf numFmtId="173" fontId="54" fillId="0" borderId="0" xfId="2" applyNumberFormat="1" applyFont="1" applyAlignment="1">
      <alignment horizontal="left" vertical="center"/>
    </xf>
    <xf numFmtId="0" fontId="13" fillId="11" borderId="27" xfId="2" applyFont="1" applyFill="1" applyBorder="1" applyAlignment="1">
      <alignment horizontal="left" vertical="center"/>
    </xf>
    <xf numFmtId="1" fontId="13" fillId="0" borderId="0" xfId="2" applyNumberFormat="1" applyFont="1">
      <alignment vertical="center"/>
    </xf>
    <xf numFmtId="0" fontId="28" fillId="0" borderId="45" xfId="2" applyFont="1" applyBorder="1" applyAlignment="1">
      <alignment horizontal="center" vertical="center"/>
    </xf>
    <xf numFmtId="0" fontId="13" fillId="0" borderId="46" xfId="2" applyFont="1" applyBorder="1" applyAlignment="1">
      <alignment horizontal="center" vertical="center"/>
    </xf>
    <xf numFmtId="0" fontId="23" fillId="11" borderId="27" xfId="2" applyFont="1" applyFill="1" applyBorder="1" applyAlignment="1">
      <alignment horizontal="center" vertical="center"/>
    </xf>
    <xf numFmtId="1" fontId="28" fillId="10" borderId="32" xfId="2" applyNumberFormat="1" applyFont="1" applyFill="1" applyBorder="1" applyAlignment="1">
      <alignment horizontal="center" vertical="center"/>
    </xf>
    <xf numFmtId="173" fontId="23" fillId="0" borderId="0" xfId="2" applyNumberFormat="1" applyFont="1">
      <alignment vertical="center"/>
    </xf>
    <xf numFmtId="0" fontId="31" fillId="11" borderId="48" xfId="2" applyFont="1" applyFill="1" applyBorder="1" applyAlignment="1">
      <alignment horizontal="center" vertical="center"/>
    </xf>
    <xf numFmtId="1" fontId="13" fillId="0" borderId="0" xfId="2" applyNumberFormat="1" applyFont="1" applyAlignment="1">
      <alignment horizontal="center" vertical="center" wrapText="1"/>
    </xf>
    <xf numFmtId="0" fontId="13" fillId="0" borderId="0" xfId="2" applyFont="1" applyAlignment="1">
      <alignment wrapText="1"/>
    </xf>
    <xf numFmtId="0" fontId="13" fillId="0" borderId="0" xfId="2" applyFont="1" applyAlignment="1">
      <alignment horizontal="center" wrapText="1"/>
    </xf>
    <xf numFmtId="9" fontId="23" fillId="0" borderId="0" xfId="2" applyNumberFormat="1" applyFont="1" applyAlignment="1">
      <alignment horizontal="left" vertical="center"/>
    </xf>
    <xf numFmtId="173" fontId="23" fillId="0" borderId="0" xfId="2" applyNumberFormat="1" applyFont="1" applyAlignment="1">
      <alignment horizontal="right" vertical="center"/>
    </xf>
    <xf numFmtId="0" fontId="13" fillId="0" borderId="0" xfId="2" applyFont="1" applyAlignment="1">
      <alignment horizontal="right" wrapText="1"/>
    </xf>
    <xf numFmtId="0" fontId="13" fillId="8" borderId="9" xfId="2" applyFont="1" applyFill="1" applyBorder="1" applyAlignment="1">
      <alignment horizontal="center" vertical="center" wrapText="1"/>
    </xf>
    <xf numFmtId="1" fontId="13" fillId="8" borderId="0" xfId="2" applyNumberFormat="1" applyFont="1" applyFill="1" applyAlignment="1">
      <alignment horizontal="center" vertical="center" wrapText="1"/>
    </xf>
    <xf numFmtId="1" fontId="23" fillId="8" borderId="0" xfId="2" applyNumberFormat="1" applyFont="1" applyFill="1" applyAlignment="1">
      <alignment horizontal="center" vertical="center" wrapText="1"/>
    </xf>
    <xf numFmtId="0" fontId="25" fillId="0" borderId="0" xfId="2" applyFont="1" applyAlignment="1">
      <alignment horizontal="center" vertical="center" wrapText="1"/>
    </xf>
    <xf numFmtId="1" fontId="126" fillId="10" borderId="32" xfId="2" applyNumberFormat="1" applyFont="1" applyFill="1" applyBorder="1" applyAlignment="1">
      <alignment horizontal="center" vertical="center"/>
    </xf>
    <xf numFmtId="0" fontId="23" fillId="0" borderId="0" xfId="2" applyFont="1" applyAlignment="1">
      <alignment vertical="center" wrapText="1"/>
    </xf>
    <xf numFmtId="2" fontId="13" fillId="0" borderId="40" xfId="2" applyNumberFormat="1" applyFont="1" applyBorder="1" applyAlignment="1">
      <alignment horizontal="center" vertical="center" wrapText="1"/>
    </xf>
    <xf numFmtId="0" fontId="13" fillId="0" borderId="22" xfId="2" applyFont="1" applyBorder="1" applyAlignment="1">
      <alignment horizontal="center" vertical="center"/>
    </xf>
    <xf numFmtId="0" fontId="24" fillId="2" borderId="27" xfId="2" applyFont="1" applyFill="1" applyBorder="1" applyAlignment="1">
      <alignment horizontal="center" vertical="center"/>
    </xf>
    <xf numFmtId="0" fontId="13" fillId="0" borderId="8" xfId="2" applyFont="1" applyBorder="1" applyAlignment="1">
      <alignment horizontal="center" vertical="center"/>
    </xf>
    <xf numFmtId="173" fontId="24" fillId="2" borderId="27" xfId="2" applyNumberFormat="1" applyFont="1" applyFill="1" applyBorder="1" applyAlignment="1">
      <alignment horizontal="center" vertical="center"/>
    </xf>
    <xf numFmtId="1" fontId="13" fillId="0" borderId="0" xfId="2" applyNumberFormat="1" applyFont="1" applyAlignment="1">
      <alignment horizontal="right" vertical="center"/>
    </xf>
    <xf numFmtId="0" fontId="13" fillId="0" borderId="40" xfId="2" applyFont="1" applyBorder="1" applyAlignment="1">
      <alignment horizontal="center" vertical="center" wrapText="1"/>
    </xf>
    <xf numFmtId="0" fontId="24" fillId="11" borderId="27" xfId="2" applyFont="1" applyFill="1" applyBorder="1" applyAlignment="1">
      <alignment horizontal="center" vertical="center"/>
    </xf>
    <xf numFmtId="0" fontId="13" fillId="8" borderId="8" xfId="2" applyFont="1" applyFill="1" applyBorder="1" applyAlignment="1">
      <alignment horizontal="center" vertical="center" wrapText="1"/>
    </xf>
    <xf numFmtId="1" fontId="24" fillId="2" borderId="27" xfId="2" applyNumberFormat="1" applyFont="1" applyFill="1" applyBorder="1" applyAlignment="1">
      <alignment horizontal="center" vertical="center"/>
    </xf>
    <xf numFmtId="0" fontId="53" fillId="7" borderId="27" xfId="2" applyFont="1" applyFill="1" applyBorder="1" applyAlignment="1">
      <alignment horizontal="center" vertical="center"/>
    </xf>
    <xf numFmtId="0" fontId="13" fillId="8" borderId="0" xfId="2" applyFont="1" applyFill="1" applyAlignment="1">
      <alignment horizontal="right" vertical="center" wrapText="1"/>
    </xf>
    <xf numFmtId="1" fontId="13" fillId="0" borderId="9" xfId="2" applyNumberFormat="1" applyFont="1" applyBorder="1" applyAlignment="1">
      <alignment horizontal="center" vertical="center" wrapText="1"/>
    </xf>
    <xf numFmtId="1" fontId="24" fillId="11" borderId="27" xfId="2" applyNumberFormat="1" applyFont="1" applyFill="1" applyBorder="1" applyAlignment="1">
      <alignment horizontal="center" vertical="center"/>
    </xf>
    <xf numFmtId="173" fontId="13" fillId="0" borderId="0" xfId="2" applyNumberFormat="1" applyFont="1" applyAlignment="1">
      <alignment horizontal="right" vertical="center"/>
    </xf>
    <xf numFmtId="0" fontId="13" fillId="0" borderId="42" xfId="2" applyFont="1" applyBorder="1" applyAlignment="1">
      <alignment horizontal="left" vertical="center" wrapText="1"/>
    </xf>
    <xf numFmtId="1" fontId="13" fillId="0" borderId="8" xfId="2" applyNumberFormat="1" applyFont="1" applyBorder="1" applyAlignment="1">
      <alignment horizontal="center" vertical="center" wrapText="1"/>
    </xf>
    <xf numFmtId="0" fontId="26" fillId="8" borderId="0" xfId="2" applyFont="1" applyFill="1" applyAlignment="1">
      <alignment horizontal="center" vertical="center" wrapText="1"/>
    </xf>
    <xf numFmtId="0" fontId="127" fillId="8" borderId="0" xfId="2" applyFont="1" applyFill="1" applyAlignment="1">
      <alignment horizontal="center" vertical="center" wrapText="1"/>
    </xf>
    <xf numFmtId="0" fontId="13" fillId="0" borderId="45" xfId="2" applyFont="1" applyBorder="1" applyAlignment="1">
      <alignment horizontal="center" vertical="center" wrapText="1"/>
    </xf>
    <xf numFmtId="0" fontId="13" fillId="0" borderId="18" xfId="2" applyFont="1" applyBorder="1" applyAlignment="1">
      <alignment horizontal="center" vertical="center" wrapText="1"/>
    </xf>
    <xf numFmtId="0" fontId="24" fillId="7" borderId="27" xfId="2" applyFont="1" applyFill="1" applyBorder="1" applyAlignment="1">
      <alignment horizontal="center" vertical="center"/>
    </xf>
    <xf numFmtId="9" fontId="23" fillId="10" borderId="0" xfId="4" applyFont="1" applyFill="1" applyAlignment="1">
      <alignment horizontal="center" vertical="center"/>
    </xf>
    <xf numFmtId="1" fontId="126" fillId="10" borderId="48" xfId="2" applyNumberFormat="1" applyFont="1" applyFill="1" applyBorder="1" applyAlignment="1">
      <alignment horizontal="center" vertical="center"/>
    </xf>
    <xf numFmtId="9" fontId="27" fillId="10" borderId="0" xfId="4" applyFont="1" applyFill="1" applyAlignment="1">
      <alignment horizontal="center" vertical="center"/>
    </xf>
    <xf numFmtId="0" fontId="13" fillId="0" borderId="22" xfId="2" applyFont="1" applyBorder="1" applyAlignment="1">
      <alignment horizontal="center" vertical="center" wrapText="1"/>
    </xf>
    <xf numFmtId="1" fontId="13" fillId="11" borderId="33" xfId="2" applyNumberFormat="1" applyFont="1" applyFill="1" applyBorder="1" applyAlignment="1">
      <alignment horizontal="center" vertical="center"/>
    </xf>
    <xf numFmtId="173" fontId="13" fillId="11" borderId="33" xfId="2" applyNumberFormat="1" applyFont="1" applyFill="1" applyBorder="1" applyAlignment="1">
      <alignment horizontal="center" vertical="center"/>
    </xf>
    <xf numFmtId="0" fontId="13" fillId="11" borderId="33" xfId="2" applyFont="1" applyFill="1" applyBorder="1" applyAlignment="1">
      <alignment horizontal="center" vertical="center"/>
    </xf>
    <xf numFmtId="0" fontId="13" fillId="7" borderId="33" xfId="2" applyFont="1" applyFill="1" applyBorder="1" applyAlignment="1">
      <alignment horizontal="center" vertical="center"/>
    </xf>
    <xf numFmtId="0" fontId="13" fillId="0" borderId="0" xfId="2" applyFont="1" applyAlignment="1">
      <alignment horizontal="left" indent="2"/>
    </xf>
    <xf numFmtId="0" fontId="87" fillId="0" borderId="0" xfId="2" applyFont="1" applyAlignment="1">
      <alignment horizontal="left" indent="2"/>
    </xf>
    <xf numFmtId="1" fontId="13" fillId="2" borderId="33" xfId="2" applyNumberFormat="1" applyFont="1" applyFill="1" applyBorder="1" applyAlignment="1">
      <alignment horizontal="center" vertical="center"/>
    </xf>
    <xf numFmtId="0" fontId="128" fillId="0" borderId="0" xfId="0" applyFont="1" applyAlignment="1">
      <alignment horizontal="center" vertical="center"/>
    </xf>
    <xf numFmtId="1" fontId="51" fillId="0" borderId="0" xfId="2" applyNumberFormat="1" applyFont="1">
      <alignment vertical="center"/>
    </xf>
    <xf numFmtId="0" fontId="128" fillId="0" borderId="0" xfId="0" applyFont="1" applyAlignment="1">
      <alignment horizontal="left" vertical="center"/>
    </xf>
    <xf numFmtId="0" fontId="37" fillId="0" borderId="0" xfId="0" applyFont="1">
      <alignment vertical="center"/>
    </xf>
    <xf numFmtId="0" fontId="129" fillId="0" borderId="0" xfId="0" applyFont="1" applyAlignment="1">
      <alignment horizontal="left" vertical="center"/>
    </xf>
    <xf numFmtId="9" fontId="100" fillId="0" borderId="9" xfId="4" applyFont="1" applyFill="1" applyBorder="1" applyAlignment="1">
      <alignment horizontal="center" vertical="center"/>
    </xf>
    <xf numFmtId="0" fontId="100" fillId="0" borderId="0" xfId="0" applyFont="1" applyAlignment="1">
      <alignment horizontal="left" vertical="center"/>
    </xf>
    <xf numFmtId="0" fontId="37" fillId="0" borderId="0" xfId="0" applyFont="1" applyAlignment="1">
      <alignment horizontal="center" vertical="center"/>
    </xf>
    <xf numFmtId="182" fontId="41" fillId="0" borderId="9" xfId="0" applyNumberFormat="1" applyFont="1" applyBorder="1" applyAlignment="1">
      <alignment horizontal="center" vertical="center" wrapText="1"/>
    </xf>
    <xf numFmtId="0" fontId="46" fillId="0" borderId="9" xfId="0" applyFont="1" applyBorder="1" applyAlignment="1">
      <alignment horizontal="center" vertical="center"/>
    </xf>
    <xf numFmtId="0" fontId="128" fillId="0" borderId="9" xfId="0" applyFont="1" applyBorder="1" applyAlignment="1">
      <alignment horizontal="center" vertical="center" wrapText="1"/>
    </xf>
    <xf numFmtId="2" fontId="130" fillId="0" borderId="0" xfId="0" applyNumberFormat="1" applyFont="1" applyAlignment="1">
      <alignment horizontal="center" vertical="center"/>
    </xf>
    <xf numFmtId="0" fontId="13" fillId="8" borderId="29" xfId="2" applyFont="1" applyFill="1" applyBorder="1">
      <alignment vertical="center"/>
    </xf>
    <xf numFmtId="1" fontId="69" fillId="10" borderId="48" xfId="2" applyNumberFormat="1" applyFont="1" applyFill="1" applyBorder="1" applyAlignment="1">
      <alignment horizontal="center" vertical="center"/>
    </xf>
    <xf numFmtId="0" fontId="80" fillId="0" borderId="0" xfId="2" applyFont="1" applyAlignment="1">
      <alignment horizontal="center" vertical="center"/>
    </xf>
    <xf numFmtId="0" fontId="37" fillId="0" borderId="0" xfId="0" applyFont="1" applyAlignment="1">
      <alignment horizontal="right" vertical="center"/>
    </xf>
    <xf numFmtId="1" fontId="69" fillId="17" borderId="0" xfId="2" applyNumberFormat="1" applyFont="1" applyFill="1" applyAlignment="1">
      <alignment horizontal="center" vertical="center"/>
    </xf>
    <xf numFmtId="9" fontId="30" fillId="0" borderId="0" xfId="4" applyFont="1" applyAlignment="1">
      <alignment horizontal="center" vertical="center"/>
    </xf>
    <xf numFmtId="0" fontId="41" fillId="0" borderId="9" xfId="0" applyFont="1" applyBorder="1" applyAlignment="1">
      <alignment horizontal="center" vertical="center" wrapText="1"/>
    </xf>
    <xf numFmtId="2" fontId="13" fillId="10" borderId="40" xfId="2" applyNumberFormat="1" applyFont="1" applyFill="1" applyBorder="1" applyAlignment="1">
      <alignment horizontal="center" vertical="center" wrapText="1"/>
    </xf>
    <xf numFmtId="1" fontId="13" fillId="35" borderId="9" xfId="2" applyNumberFormat="1" applyFont="1" applyFill="1" applyBorder="1" applyAlignment="1">
      <alignment horizontal="center" vertical="center" wrapText="1"/>
    </xf>
    <xf numFmtId="0" fontId="15" fillId="11" borderId="33" xfId="2" applyFont="1" applyFill="1" applyBorder="1" applyAlignment="1">
      <alignment vertical="center" wrapText="1"/>
    </xf>
    <xf numFmtId="0" fontId="131" fillId="0" borderId="0" xfId="0" applyFont="1" applyAlignment="1">
      <alignment horizontal="center" vertical="center"/>
    </xf>
    <xf numFmtId="182" fontId="128" fillId="35" borderId="9" xfId="0" applyNumberFormat="1" applyFont="1" applyFill="1" applyBorder="1" applyAlignment="1">
      <alignment horizontal="center" vertical="center" wrapText="1"/>
    </xf>
    <xf numFmtId="2" fontId="13" fillId="8" borderId="9" xfId="2" applyNumberFormat="1" applyFont="1" applyFill="1" applyBorder="1" applyAlignment="1">
      <alignment horizontal="center" vertical="center" wrapText="1"/>
    </xf>
    <xf numFmtId="2" fontId="13" fillId="10" borderId="9" xfId="2" applyNumberFormat="1" applyFont="1" applyFill="1" applyBorder="1" applyAlignment="1">
      <alignment horizontal="center" vertical="center" wrapText="1"/>
    </xf>
    <xf numFmtId="0" fontId="37" fillId="0" borderId="0" xfId="0" applyFont="1" applyAlignment="1">
      <alignment horizontal="left" vertical="center"/>
    </xf>
    <xf numFmtId="170" fontId="13" fillId="10" borderId="9" xfId="2" applyNumberFormat="1" applyFont="1" applyFill="1" applyBorder="1" applyAlignment="1">
      <alignment horizontal="center" vertical="center" wrapText="1"/>
    </xf>
    <xf numFmtId="0" fontId="23" fillId="0" borderId="45" xfId="2" applyFont="1" applyBorder="1" applyAlignment="1">
      <alignment horizontal="center" vertical="center" wrapText="1"/>
    </xf>
    <xf numFmtId="0" fontId="44" fillId="0" borderId="0" xfId="7" applyFont="1" applyBorder="1" applyAlignment="1">
      <alignment horizontal="left" vertical="center"/>
    </xf>
    <xf numFmtId="0" fontId="23" fillId="11" borderId="33" xfId="2" applyFont="1" applyFill="1" applyBorder="1">
      <alignment vertical="center"/>
    </xf>
    <xf numFmtId="0" fontId="13" fillId="0" borderId="21" xfId="2" applyFont="1" applyBorder="1" applyAlignment="1">
      <alignment horizontal="center" vertical="center" wrapText="1"/>
    </xf>
    <xf numFmtId="2" fontId="13" fillId="0" borderId="43" xfId="2" applyNumberFormat="1" applyFont="1" applyBorder="1" applyAlignment="1">
      <alignment horizontal="center" vertical="center" wrapText="1"/>
    </xf>
    <xf numFmtId="2" fontId="13" fillId="0" borderId="9" xfId="2" applyNumberFormat="1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/>
    </xf>
    <xf numFmtId="0" fontId="13" fillId="0" borderId="46" xfId="0" applyFont="1" applyBorder="1" applyAlignment="1">
      <alignment horizontal="center" vertical="center"/>
    </xf>
    <xf numFmtId="0" fontId="13" fillId="0" borderId="43" xfId="2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/>
    </xf>
    <xf numFmtId="0" fontId="13" fillId="0" borderId="22" xfId="0" applyFont="1" applyBorder="1" applyAlignment="1">
      <alignment horizontal="center" vertical="center"/>
    </xf>
    <xf numFmtId="0" fontId="13" fillId="11" borderId="34" xfId="2" applyFont="1" applyFill="1" applyBorder="1" applyAlignment="1">
      <alignment horizontal="center" vertical="center"/>
    </xf>
    <xf numFmtId="2" fontId="13" fillId="0" borderId="45" xfId="0" applyNumberFormat="1" applyFont="1" applyBorder="1" applyAlignment="1">
      <alignment horizontal="center" vertical="center"/>
    </xf>
    <xf numFmtId="0" fontId="78" fillId="0" borderId="0" xfId="2" applyFont="1" applyAlignment="1">
      <alignment horizontal="center" vertical="center"/>
    </xf>
    <xf numFmtId="0" fontId="28" fillId="7" borderId="34" xfId="2" applyFont="1" applyFill="1" applyBorder="1" applyAlignment="1">
      <alignment horizontal="center" vertical="center"/>
    </xf>
    <xf numFmtId="2" fontId="13" fillId="0" borderId="46" xfId="0" applyNumberFormat="1" applyFont="1" applyBorder="1" applyAlignment="1">
      <alignment horizontal="center" vertical="center"/>
    </xf>
    <xf numFmtId="170" fontId="23" fillId="0" borderId="0" xfId="2" applyNumberFormat="1" applyFont="1" applyAlignment="1">
      <alignment horizontal="center" vertical="center"/>
    </xf>
    <xf numFmtId="0" fontId="23" fillId="8" borderId="27" xfId="2" applyFont="1" applyFill="1" applyBorder="1">
      <alignment vertical="center"/>
    </xf>
    <xf numFmtId="2" fontId="13" fillId="0" borderId="40" xfId="0" applyNumberFormat="1" applyFont="1" applyBorder="1" applyAlignment="1">
      <alignment horizontal="center" vertical="center"/>
    </xf>
    <xf numFmtId="0" fontId="23" fillId="11" borderId="34" xfId="2" applyFont="1" applyFill="1" applyBorder="1" applyAlignment="1">
      <alignment horizontal="center" vertical="center"/>
    </xf>
    <xf numFmtId="0" fontId="13" fillId="11" borderId="27" xfId="2" applyFont="1" applyFill="1" applyBorder="1">
      <alignment vertical="center"/>
    </xf>
    <xf numFmtId="0" fontId="13" fillId="10" borderId="9" xfId="2" applyFont="1" applyFill="1" applyBorder="1" applyAlignment="1">
      <alignment vertical="center" wrapText="1"/>
    </xf>
    <xf numFmtId="0" fontId="13" fillId="0" borderId="9" xfId="0" quotePrefix="1" applyFont="1" applyBorder="1">
      <alignment vertical="center"/>
    </xf>
    <xf numFmtId="0" fontId="28" fillId="7" borderId="32" xfId="2" applyFont="1" applyFill="1" applyBorder="1" applyAlignment="1">
      <alignment horizontal="center" vertical="center"/>
    </xf>
    <xf numFmtId="0" fontId="13" fillId="11" borderId="2" xfId="2" applyFont="1" applyFill="1" applyBorder="1" applyAlignment="1">
      <alignment horizontal="center" vertical="center"/>
    </xf>
    <xf numFmtId="0" fontId="77" fillId="0" borderId="0" xfId="2" applyFont="1" applyAlignment="1">
      <alignment horizontal="center" vertical="center"/>
    </xf>
    <xf numFmtId="0" fontId="13" fillId="0" borderId="9" xfId="0" quotePrefix="1" applyFont="1" applyBorder="1" applyAlignment="1">
      <alignment horizontal="left" vertical="center"/>
    </xf>
    <xf numFmtId="0" fontId="13" fillId="8" borderId="0" xfId="2" applyFont="1" applyFill="1" applyAlignment="1">
      <alignment horizontal="center" vertical="center" wrapText="1"/>
    </xf>
    <xf numFmtId="1" fontId="24" fillId="0" borderId="40" xfId="2" applyNumberFormat="1" applyFont="1" applyBorder="1" applyAlignment="1">
      <alignment horizontal="center" vertical="center" wrapText="1"/>
    </xf>
    <xf numFmtId="1" fontId="24" fillId="43" borderId="40" xfId="2" applyNumberFormat="1" applyFont="1" applyFill="1" applyBorder="1" applyAlignment="1">
      <alignment horizontal="center" vertical="center" wrapText="1"/>
    </xf>
    <xf numFmtId="0" fontId="13" fillId="35" borderId="9" xfId="2" applyFont="1" applyFill="1" applyBorder="1" applyAlignment="1">
      <alignment horizontal="center" vertical="center" wrapText="1"/>
    </xf>
    <xf numFmtId="0" fontId="13" fillId="41" borderId="9" xfId="2" applyFont="1" applyFill="1" applyBorder="1" applyAlignment="1">
      <alignment vertical="center" wrapText="1"/>
    </xf>
    <xf numFmtId="1" fontId="13" fillId="41" borderId="9" xfId="2" applyNumberFormat="1" applyFont="1" applyFill="1" applyBorder="1" applyAlignment="1">
      <alignment horizontal="center" vertical="center" wrapText="1"/>
    </xf>
    <xf numFmtId="0" fontId="13" fillId="17" borderId="9" xfId="2" applyFont="1" applyFill="1" applyBorder="1" applyAlignment="1">
      <alignment horizontal="center" vertical="center" wrapText="1"/>
    </xf>
    <xf numFmtId="0" fontId="13" fillId="11" borderId="26" xfId="2" applyFont="1" applyFill="1" applyBorder="1" applyAlignment="1">
      <alignment horizontal="center" vertical="center"/>
    </xf>
    <xf numFmtId="0" fontId="13" fillId="0" borderId="43" xfId="2" applyFont="1" applyBorder="1" applyAlignment="1">
      <alignment horizontal="left" vertical="center" wrapText="1"/>
    </xf>
    <xf numFmtId="0" fontId="34" fillId="0" borderId="42" xfId="2" applyFont="1" applyBorder="1" applyAlignment="1">
      <alignment horizontal="left" vertical="center" wrapText="1"/>
    </xf>
    <xf numFmtId="1" fontId="13" fillId="8" borderId="9" xfId="2" applyNumberFormat="1" applyFont="1" applyFill="1" applyBorder="1" applyAlignment="1">
      <alignment horizontal="center" vertical="center" wrapText="1"/>
    </xf>
    <xf numFmtId="0" fontId="23" fillId="11" borderId="33" xfId="2" applyFont="1" applyFill="1" applyBorder="1" applyAlignment="1">
      <alignment horizontal="center" vertical="center"/>
    </xf>
    <xf numFmtId="1" fontId="13" fillId="17" borderId="9" xfId="2" applyNumberFormat="1" applyFont="1" applyFill="1" applyBorder="1" applyAlignment="1">
      <alignment horizontal="center" vertical="center" wrapText="1"/>
    </xf>
    <xf numFmtId="0" fontId="13" fillId="11" borderId="33" xfId="2" applyFont="1" applyFill="1" applyBorder="1" applyAlignment="1">
      <alignment vertical="center" wrapText="1"/>
    </xf>
    <xf numFmtId="0" fontId="13" fillId="17" borderId="8" xfId="2" applyFont="1" applyFill="1" applyBorder="1" applyAlignment="1">
      <alignment horizontal="center" vertical="center" wrapText="1"/>
    </xf>
    <xf numFmtId="0" fontId="13" fillId="11" borderId="33" xfId="2" applyFont="1" applyFill="1" applyBorder="1" applyAlignment="1">
      <alignment horizontal="center" vertical="center" wrapText="1"/>
    </xf>
    <xf numFmtId="0" fontId="13" fillId="43" borderId="9" xfId="2" applyFont="1" applyFill="1" applyBorder="1" applyAlignment="1">
      <alignment horizontal="center" vertical="center" wrapText="1"/>
    </xf>
    <xf numFmtId="0" fontId="13" fillId="0" borderId="42" xfId="2" applyFont="1" applyBorder="1" applyAlignment="1">
      <alignment horizontal="left" vertical="center"/>
    </xf>
    <xf numFmtId="1" fontId="13" fillId="0" borderId="9" xfId="0" applyNumberFormat="1" applyFont="1" applyBorder="1" applyAlignment="1">
      <alignment horizontal="center" vertical="center"/>
    </xf>
    <xf numFmtId="0" fontId="13" fillId="0" borderId="1" xfId="2" applyFont="1" applyBorder="1">
      <alignment vertical="center"/>
    </xf>
    <xf numFmtId="0" fontId="13" fillId="0" borderId="23" xfId="2" applyFont="1" applyBorder="1">
      <alignment vertical="center"/>
    </xf>
    <xf numFmtId="0" fontId="13" fillId="0" borderId="67" xfId="2" applyFont="1" applyBorder="1">
      <alignment vertical="center"/>
    </xf>
    <xf numFmtId="0" fontId="23" fillId="0" borderId="58" xfId="2" applyFont="1" applyBorder="1" applyAlignment="1">
      <alignment horizontal="center" vertical="center"/>
    </xf>
    <xf numFmtId="0" fontId="23" fillId="0" borderId="49" xfId="2" applyFont="1" applyBorder="1" applyAlignment="1">
      <alignment horizontal="center" vertical="center"/>
    </xf>
    <xf numFmtId="0" fontId="23" fillId="0" borderId="67" xfId="2" applyFont="1" applyBorder="1" applyAlignment="1">
      <alignment horizontal="center" vertical="center"/>
    </xf>
    <xf numFmtId="0" fontId="23" fillId="0" borderId="14" xfId="2" applyFont="1" applyBorder="1" applyAlignment="1">
      <alignment horizontal="center" vertical="center"/>
    </xf>
    <xf numFmtId="1" fontId="13" fillId="0" borderId="50" xfId="2" applyNumberFormat="1" applyFont="1" applyBorder="1" applyAlignment="1">
      <alignment horizontal="center" vertical="center"/>
    </xf>
    <xf numFmtId="1" fontId="13" fillId="0" borderId="7" xfId="2" applyNumberFormat="1" applyFont="1" applyBorder="1" applyAlignment="1">
      <alignment horizontal="center" vertical="center"/>
    </xf>
    <xf numFmtId="1" fontId="13" fillId="0" borderId="52" xfId="2" applyNumberFormat="1" applyFont="1" applyBorder="1" applyAlignment="1">
      <alignment horizontal="center" vertical="center"/>
    </xf>
    <xf numFmtId="0" fontId="13" fillId="0" borderId="50" xfId="2" applyFont="1" applyBorder="1" applyAlignment="1">
      <alignment horizontal="center" vertical="center"/>
    </xf>
    <xf numFmtId="1" fontId="13" fillId="0" borderId="41" xfId="2" applyNumberFormat="1" applyFont="1" applyBorder="1" applyAlignment="1">
      <alignment horizontal="center" vertical="center"/>
    </xf>
    <xf numFmtId="0" fontId="13" fillId="0" borderId="77" xfId="2" applyFont="1" applyBorder="1" applyAlignment="1">
      <alignment horizontal="center" vertical="center"/>
    </xf>
    <xf numFmtId="0" fontId="13" fillId="0" borderId="57" xfId="2" applyFont="1" applyBorder="1" applyAlignment="1">
      <alignment horizontal="center" vertical="center"/>
    </xf>
    <xf numFmtId="1" fontId="13" fillId="0" borderId="10" xfId="2" applyNumberFormat="1" applyFont="1" applyBorder="1" applyAlignment="1">
      <alignment horizontal="center" vertical="center"/>
    </xf>
    <xf numFmtId="1" fontId="13" fillId="0" borderId="57" xfId="2" applyNumberFormat="1" applyFont="1" applyBorder="1" applyAlignment="1">
      <alignment horizontal="center" vertical="center"/>
    </xf>
    <xf numFmtId="1" fontId="13" fillId="0" borderId="77" xfId="2" applyNumberFormat="1" applyFont="1" applyBorder="1" applyAlignment="1">
      <alignment horizontal="center" vertical="center"/>
    </xf>
    <xf numFmtId="1" fontId="13" fillId="0" borderId="66" xfId="2" applyNumberFormat="1" applyFont="1" applyBorder="1" applyAlignment="1">
      <alignment horizontal="center" vertical="center"/>
    </xf>
    <xf numFmtId="1" fontId="13" fillId="0" borderId="15" xfId="2" applyNumberFormat="1" applyFont="1" applyBorder="1" applyAlignment="1">
      <alignment horizontal="center" vertical="center"/>
    </xf>
    <xf numFmtId="1" fontId="23" fillId="0" borderId="66" xfId="2" applyNumberFormat="1" applyFont="1" applyBorder="1" applyAlignment="1">
      <alignment horizontal="center" vertical="center"/>
    </xf>
    <xf numFmtId="1" fontId="13" fillId="0" borderId="0" xfId="2" applyNumberFormat="1" applyFont="1" applyAlignment="1">
      <alignment horizontal="left" vertical="center"/>
    </xf>
    <xf numFmtId="173" fontId="13" fillId="0" borderId="9" xfId="2" applyNumberFormat="1" applyFont="1" applyBorder="1" applyAlignment="1">
      <alignment horizontal="right" vertical="center"/>
    </xf>
    <xf numFmtId="1" fontId="23" fillId="0" borderId="1" xfId="2" applyNumberFormat="1" applyFont="1" applyBorder="1" applyAlignment="1">
      <alignment horizontal="center" vertical="center"/>
    </xf>
    <xf numFmtId="169" fontId="23" fillId="10" borderId="48" xfId="1" applyNumberFormat="1" applyFont="1" applyFill="1" applyBorder="1" applyAlignment="1">
      <alignment horizontal="center" vertical="center"/>
    </xf>
    <xf numFmtId="1" fontId="23" fillId="0" borderId="48" xfId="2" applyNumberFormat="1" applyFont="1" applyBorder="1" applyAlignment="1">
      <alignment horizontal="center" vertical="center"/>
    </xf>
    <xf numFmtId="1" fontId="23" fillId="0" borderId="2" xfId="2" applyNumberFormat="1" applyFont="1" applyBorder="1" applyAlignment="1">
      <alignment horizontal="center" vertical="center"/>
    </xf>
    <xf numFmtId="169" fontId="23" fillId="10" borderId="2" xfId="1" applyNumberFormat="1" applyFont="1" applyFill="1" applyBorder="1" applyAlignment="1">
      <alignment horizontal="center" vertical="center"/>
    </xf>
    <xf numFmtId="173" fontId="13" fillId="0" borderId="9" xfId="2" applyNumberFormat="1" applyFont="1" applyBorder="1" applyAlignment="1">
      <alignment horizontal="left" vertical="center"/>
    </xf>
    <xf numFmtId="9" fontId="23" fillId="7" borderId="28" xfId="2" applyNumberFormat="1" applyFont="1" applyFill="1" applyBorder="1" applyAlignment="1">
      <alignment horizontal="center" vertical="center"/>
    </xf>
    <xf numFmtId="0" fontId="23" fillId="7" borderId="25" xfId="2" applyFont="1" applyFill="1" applyBorder="1" applyAlignment="1">
      <alignment horizontal="center" vertical="center"/>
    </xf>
    <xf numFmtId="9" fontId="23" fillId="0" borderId="30" xfId="5" applyFont="1" applyFill="1" applyBorder="1" applyAlignment="1">
      <alignment horizontal="center" vertical="center"/>
    </xf>
    <xf numFmtId="9" fontId="23" fillId="0" borderId="1" xfId="5" applyFont="1" applyFill="1" applyBorder="1" applyAlignment="1">
      <alignment horizontal="center" vertical="center"/>
    </xf>
    <xf numFmtId="0" fontId="132" fillId="0" borderId="9" xfId="0" applyFont="1" applyBorder="1" applyAlignment="1">
      <alignment horizontal="center" vertical="center"/>
    </xf>
    <xf numFmtId="0" fontId="34" fillId="0" borderId="9" xfId="0" applyFont="1" applyBorder="1" applyAlignment="1">
      <alignment horizontal="center" vertical="center"/>
    </xf>
    <xf numFmtId="1" fontId="23" fillId="0" borderId="0" xfId="2" applyNumberFormat="1" applyFont="1">
      <alignment vertical="center"/>
    </xf>
    <xf numFmtId="0" fontId="23" fillId="0" borderId="23" xfId="2" applyFont="1" applyBorder="1" applyAlignment="1">
      <alignment horizontal="center" vertical="center"/>
    </xf>
    <xf numFmtId="173" fontId="23" fillId="0" borderId="23" xfId="2" applyNumberFormat="1" applyFont="1" applyBorder="1" applyAlignment="1">
      <alignment horizontal="center" vertical="center"/>
    </xf>
    <xf numFmtId="1" fontId="101" fillId="10" borderId="27" xfId="2" applyNumberFormat="1" applyFont="1" applyFill="1" applyBorder="1" applyAlignment="1">
      <alignment horizontal="center" vertical="center"/>
    </xf>
    <xf numFmtId="0" fontId="63" fillId="0" borderId="0" xfId="2" applyFont="1" applyAlignment="1">
      <alignment horizontal="center" vertical="center"/>
    </xf>
    <xf numFmtId="0" fontId="101" fillId="0" borderId="9" xfId="0" applyFont="1" applyBorder="1" applyAlignment="1">
      <alignment horizontal="center" vertical="center"/>
    </xf>
    <xf numFmtId="14" fontId="23" fillId="0" borderId="25" xfId="2" applyNumberFormat="1" applyFont="1" applyBorder="1" applyAlignment="1">
      <alignment horizontal="center" vertical="center"/>
    </xf>
    <xf numFmtId="0" fontId="13" fillId="11" borderId="28" xfId="2" applyFont="1" applyFill="1" applyBorder="1" applyAlignment="1">
      <alignment horizontal="center" vertical="center"/>
    </xf>
    <xf numFmtId="0" fontId="34" fillId="0" borderId="0" xfId="2" applyFont="1">
      <alignment vertical="center"/>
    </xf>
    <xf numFmtId="0" fontId="58" fillId="0" borderId="45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58" fillId="0" borderId="46" xfId="0" applyFont="1" applyBorder="1" applyAlignment="1">
      <alignment horizontal="center" vertical="center"/>
    </xf>
    <xf numFmtId="173" fontId="13" fillId="0" borderId="21" xfId="0" applyNumberFormat="1" applyFont="1" applyBorder="1" applyAlignment="1">
      <alignment horizontal="center" vertical="center"/>
    </xf>
    <xf numFmtId="0" fontId="58" fillId="0" borderId="9" xfId="0" applyFont="1" applyBorder="1" applyAlignment="1">
      <alignment horizontal="center" vertical="center"/>
    </xf>
    <xf numFmtId="173" fontId="13" fillId="0" borderId="14" xfId="0" applyNumberFormat="1" applyFont="1" applyBorder="1" applyAlignment="1">
      <alignment horizontal="center" vertical="center"/>
    </xf>
    <xf numFmtId="0" fontId="58" fillId="0" borderId="40" xfId="0" applyFont="1" applyBorder="1" applyAlignment="1">
      <alignment horizontal="center" vertical="center"/>
    </xf>
    <xf numFmtId="0" fontId="36" fillId="0" borderId="40" xfId="0" applyFont="1" applyBorder="1" applyAlignment="1">
      <alignment horizontal="right" vertical="center"/>
    </xf>
    <xf numFmtId="0" fontId="26" fillId="42" borderId="0" xfId="2" applyFont="1" applyFill="1" applyAlignment="1">
      <alignment shrinkToFit="1"/>
    </xf>
    <xf numFmtId="0" fontId="133" fillId="0" borderId="0" xfId="0" applyFont="1" applyAlignment="1">
      <alignment horizontal="center" vertical="center"/>
    </xf>
    <xf numFmtId="0" fontId="52" fillId="0" borderId="0" xfId="2" applyFont="1" applyAlignment="1">
      <alignment horizontal="left"/>
    </xf>
    <xf numFmtId="0" fontId="13" fillId="0" borderId="0" xfId="2" applyFont="1" applyAlignment="1">
      <alignment horizontal="left" shrinkToFit="1"/>
    </xf>
    <xf numFmtId="0" fontId="13" fillId="0" borderId="0" xfId="2" applyFont="1" applyAlignment="1">
      <alignment shrinkToFit="1"/>
    </xf>
    <xf numFmtId="0" fontId="100" fillId="0" borderId="0" xfId="2" applyFont="1" applyAlignment="1">
      <alignment horizontal="center" vertical="top"/>
    </xf>
    <xf numFmtId="0" fontId="23" fillId="0" borderId="17" xfId="2" applyFont="1" applyBorder="1" applyAlignment="1"/>
    <xf numFmtId="0" fontId="13" fillId="0" borderId="15" xfId="2" applyFont="1" applyBorder="1" applyAlignment="1">
      <alignment shrinkToFit="1"/>
    </xf>
    <xf numFmtId="0" fontId="13" fillId="0" borderId="19" xfId="2" applyFont="1" applyBorder="1" applyAlignment="1">
      <alignment shrinkToFit="1"/>
    </xf>
    <xf numFmtId="0" fontId="13" fillId="0" borderId="20" xfId="2" applyFont="1" applyBorder="1" applyAlignment="1">
      <alignment shrinkToFit="1"/>
    </xf>
    <xf numFmtId="0" fontId="13" fillId="0" borderId="19" xfId="2" applyFont="1" applyBorder="1" applyAlignment="1"/>
    <xf numFmtId="0" fontId="23" fillId="0" borderId="0" xfId="2" applyFont="1" applyAlignment="1">
      <alignment shrinkToFit="1"/>
    </xf>
    <xf numFmtId="0" fontId="23" fillId="0" borderId="14" xfId="2" applyFont="1" applyBorder="1" applyAlignment="1">
      <alignment shrinkToFit="1"/>
    </xf>
    <xf numFmtId="1" fontId="23" fillId="41" borderId="14" xfId="2" applyNumberFormat="1" applyFont="1" applyFill="1" applyBorder="1" applyAlignment="1">
      <alignment shrinkToFit="1"/>
    </xf>
    <xf numFmtId="0" fontId="23" fillId="0" borderId="22" xfId="2" applyFont="1" applyBorder="1" applyAlignment="1">
      <alignment shrinkToFit="1"/>
    </xf>
    <xf numFmtId="1" fontId="13" fillId="0" borderId="0" xfId="2" applyNumberFormat="1" applyFont="1" applyAlignment="1">
      <alignment shrinkToFit="1"/>
    </xf>
    <xf numFmtId="0" fontId="23" fillId="0" borderId="14" xfId="2" applyFont="1" applyBorder="1" applyAlignment="1"/>
    <xf numFmtId="1" fontId="23" fillId="41" borderId="14" xfId="2" applyNumberFormat="1" applyFont="1" applyFill="1" applyBorder="1" applyAlignment="1"/>
    <xf numFmtId="0" fontId="23" fillId="0" borderId="22" xfId="2" applyFont="1" applyBorder="1" applyAlignment="1"/>
    <xf numFmtId="0" fontId="13" fillId="0" borderId="19" xfId="2" applyFont="1" applyBorder="1" applyAlignment="1">
      <alignment wrapText="1" shrinkToFit="1"/>
    </xf>
    <xf numFmtId="0" fontId="13" fillId="0" borderId="0" xfId="2" applyFont="1" applyAlignment="1">
      <alignment wrapText="1" shrinkToFit="1"/>
    </xf>
    <xf numFmtId="0" fontId="13" fillId="17" borderId="0" xfId="2" applyFont="1" applyFill="1" applyAlignment="1">
      <alignment shrinkToFit="1"/>
    </xf>
    <xf numFmtId="1" fontId="23" fillId="0" borderId="15" xfId="2" applyNumberFormat="1" applyFont="1" applyBorder="1" applyAlignment="1"/>
    <xf numFmtId="0" fontId="23" fillId="0" borderId="18" xfId="2" applyFont="1" applyBorder="1" applyAlignment="1"/>
    <xf numFmtId="0" fontId="34" fillId="0" borderId="0" xfId="0" applyFont="1">
      <alignment vertical="center"/>
    </xf>
    <xf numFmtId="0" fontId="23" fillId="0" borderId="0" xfId="2" applyFont="1" applyAlignment="1">
      <alignment wrapText="1" shrinkToFit="1"/>
    </xf>
    <xf numFmtId="0" fontId="23" fillId="0" borderId="19" xfId="2" applyFont="1" applyBorder="1" applyAlignment="1">
      <alignment wrapText="1" shrinkToFit="1"/>
    </xf>
    <xf numFmtId="0" fontId="23" fillId="42" borderId="14" xfId="2" applyFont="1" applyFill="1" applyBorder="1" applyAlignment="1">
      <alignment shrinkToFit="1"/>
    </xf>
    <xf numFmtId="0" fontId="30" fillId="0" borderId="0" xfId="2" applyFont="1" applyAlignment="1">
      <alignment horizontal="center"/>
    </xf>
    <xf numFmtId="1" fontId="13" fillId="0" borderId="0" xfId="0" applyNumberFormat="1" applyFont="1">
      <alignment vertical="center"/>
    </xf>
    <xf numFmtId="1" fontId="23" fillId="41" borderId="0" xfId="2" applyNumberFormat="1" applyFont="1" applyFill="1" applyAlignment="1">
      <alignment horizontal="right" vertical="center"/>
    </xf>
    <xf numFmtId="1" fontId="13" fillId="0" borderId="8" xfId="2" applyNumberFormat="1" applyFont="1" applyBorder="1" applyAlignment="1">
      <alignment horizontal="center"/>
    </xf>
    <xf numFmtId="1" fontId="13" fillId="0" borderId="8" xfId="2" applyNumberFormat="1" applyFont="1" applyBorder="1" applyAlignment="1">
      <alignment horizontal="center" vertical="center"/>
    </xf>
    <xf numFmtId="0" fontId="13" fillId="42" borderId="0" xfId="2" applyFont="1" applyFill="1" applyAlignment="1"/>
    <xf numFmtId="0" fontId="13" fillId="34" borderId="0" xfId="2" applyFont="1" applyFill="1" applyAlignment="1"/>
    <xf numFmtId="1" fontId="13" fillId="34" borderId="0" xfId="2" applyNumberFormat="1" applyFont="1" applyFill="1" applyAlignment="1"/>
    <xf numFmtId="1" fontId="13" fillId="41" borderId="0" xfId="2" applyNumberFormat="1" applyFont="1" applyFill="1" applyAlignment="1">
      <alignment horizontal="center"/>
    </xf>
    <xf numFmtId="0" fontId="13" fillId="0" borderId="14" xfId="0" applyFont="1" applyBorder="1" applyAlignment="1">
      <alignment horizontal="right" vertical="center"/>
    </xf>
    <xf numFmtId="1" fontId="13" fillId="41" borderId="14" xfId="2" applyNumberFormat="1" applyFont="1" applyFill="1" applyBorder="1" applyAlignment="1"/>
    <xf numFmtId="1" fontId="13" fillId="41" borderId="0" xfId="2" applyNumberFormat="1" applyFont="1" applyFill="1" applyAlignment="1">
      <alignment horizontal="left"/>
    </xf>
    <xf numFmtId="0" fontId="13" fillId="42" borderId="0" xfId="2" applyFont="1" applyFill="1" applyAlignment="1">
      <alignment shrinkToFit="1"/>
    </xf>
    <xf numFmtId="0" fontId="13" fillId="42" borderId="0" xfId="0" applyFont="1" applyFill="1">
      <alignment vertical="center"/>
    </xf>
    <xf numFmtId="0" fontId="13" fillId="34" borderId="0" xfId="0" quotePrefix="1" applyFont="1" applyFill="1">
      <alignment vertical="center"/>
    </xf>
    <xf numFmtId="0" fontId="23" fillId="0" borderId="21" xfId="2" applyFont="1" applyBorder="1" applyAlignment="1"/>
    <xf numFmtId="0" fontId="23" fillId="0" borderId="14" xfId="0" applyFont="1" applyBorder="1">
      <alignment vertical="center"/>
    </xf>
    <xf numFmtId="1" fontId="30" fillId="19" borderId="0" xfId="2" applyNumberFormat="1" applyFont="1" applyFill="1" applyAlignment="1">
      <alignment horizontal="center"/>
    </xf>
    <xf numFmtId="0" fontId="23" fillId="17" borderId="0" xfId="2" applyFont="1" applyFill="1" applyAlignment="1"/>
    <xf numFmtId="10" fontId="13" fillId="0" borderId="0" xfId="4" applyNumberFormat="1" applyFont="1" applyAlignment="1">
      <alignment horizontal="center"/>
    </xf>
    <xf numFmtId="0" fontId="25" fillId="0" borderId="9" xfId="0" applyFont="1" applyBorder="1" applyAlignment="1">
      <alignment horizontal="center"/>
    </xf>
    <xf numFmtId="0" fontId="24" fillId="19" borderId="0" xfId="0" applyFont="1" applyFill="1" applyAlignment="1"/>
    <xf numFmtId="0" fontId="13" fillId="25" borderId="0" xfId="0" applyFont="1" applyFill="1" applyAlignment="1"/>
    <xf numFmtId="1" fontId="54" fillId="0" borderId="0" xfId="2" applyNumberFormat="1" applyFont="1" applyAlignment="1">
      <alignment horizontal="center" vertical="center"/>
    </xf>
    <xf numFmtId="0" fontId="24" fillId="25" borderId="0" xfId="0" applyFont="1" applyFill="1" applyAlignment="1"/>
    <xf numFmtId="2" fontId="53" fillId="0" borderId="0" xfId="2" applyNumberFormat="1" applyFont="1" applyAlignment="1">
      <alignment horizontal="center" vertical="center"/>
    </xf>
    <xf numFmtId="1" fontId="53" fillId="0" borderId="0" xfId="2" applyNumberFormat="1" applyFont="1" applyAlignment="1">
      <alignment horizontal="center" vertical="center"/>
    </xf>
    <xf numFmtId="174" fontId="31" fillId="0" borderId="0" xfId="2" applyNumberFormat="1" applyFont="1" applyAlignment="1">
      <alignment horizontal="center"/>
    </xf>
    <xf numFmtId="0" fontId="13" fillId="0" borderId="9" xfId="0" applyFont="1" applyBorder="1" applyAlignment="1">
      <alignment horizontal="center" vertical="center" wrapText="1"/>
    </xf>
    <xf numFmtId="0" fontId="13" fillId="0" borderId="96" xfId="0" applyFont="1" applyBorder="1" applyAlignment="1">
      <alignment horizontal="left" vertical="center"/>
    </xf>
    <xf numFmtId="0" fontId="128" fillId="0" borderId="9" xfId="0" applyFont="1" applyBorder="1" applyAlignment="1">
      <alignment horizontal="left" vertical="center"/>
    </xf>
    <xf numFmtId="0" fontId="13" fillId="0" borderId="97" xfId="0" applyFont="1" applyBorder="1" applyAlignment="1">
      <alignment horizontal="left" vertical="center"/>
    </xf>
    <xf numFmtId="0" fontId="13" fillId="0" borderId="98" xfId="0" applyFont="1" applyBorder="1" applyAlignment="1">
      <alignment horizontal="left" vertical="center"/>
    </xf>
    <xf numFmtId="0" fontId="13" fillId="0" borderId="96" xfId="0" applyFont="1" applyBorder="1" applyAlignment="1">
      <alignment horizontal="center" vertical="center"/>
    </xf>
    <xf numFmtId="0" fontId="128" fillId="0" borderId="96" xfId="0" applyFont="1" applyBorder="1" applyAlignment="1">
      <alignment horizontal="left" vertical="center"/>
    </xf>
    <xf numFmtId="0" fontId="128" fillId="0" borderId="19" xfId="0" applyFont="1" applyBorder="1" applyAlignment="1">
      <alignment horizontal="center" vertical="center"/>
    </xf>
    <xf numFmtId="0" fontId="13" fillId="0" borderId="43" xfId="0" applyFont="1" applyBorder="1" applyAlignment="1">
      <alignment horizontal="left" vertical="center"/>
    </xf>
    <xf numFmtId="0" fontId="128" fillId="0" borderId="8" xfId="0" applyFont="1" applyBorder="1" applyAlignment="1">
      <alignment horizontal="center" vertical="center"/>
    </xf>
    <xf numFmtId="0" fontId="128" fillId="0" borderId="9" xfId="0" applyFont="1" applyBorder="1" applyAlignment="1">
      <alignment horizontal="center" vertical="center"/>
    </xf>
    <xf numFmtId="180" fontId="128" fillId="0" borderId="0" xfId="0" applyNumberFormat="1" applyFont="1" applyAlignment="1">
      <alignment horizontal="center" vertical="center"/>
    </xf>
    <xf numFmtId="180" fontId="13" fillId="0" borderId="0" xfId="0" applyNumberFormat="1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80" fontId="128" fillId="0" borderId="9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right" vertical="center"/>
    </xf>
    <xf numFmtId="0" fontId="52" fillId="0" borderId="9" xfId="2" applyFont="1" applyBorder="1" applyAlignment="1">
      <alignment horizontal="center" vertical="center"/>
    </xf>
    <xf numFmtId="180" fontId="52" fillId="0" borderId="9" xfId="0" applyNumberFormat="1" applyFont="1" applyBorder="1" applyAlignment="1">
      <alignment horizontal="center" vertical="center"/>
    </xf>
    <xf numFmtId="0" fontId="128" fillId="17" borderId="9" xfId="0" applyFont="1" applyFill="1" applyBorder="1" applyAlignment="1">
      <alignment horizontal="center" vertical="center"/>
    </xf>
    <xf numFmtId="0" fontId="71" fillId="0" borderId="0" xfId="0" applyFont="1" applyAlignment="1">
      <alignment horizontal="left" vertical="center"/>
    </xf>
    <xf numFmtId="0" fontId="128" fillId="0" borderId="14" xfId="0" applyFont="1" applyBorder="1" applyAlignment="1">
      <alignment horizontal="center" vertical="center"/>
    </xf>
    <xf numFmtId="0" fontId="13" fillId="19" borderId="0" xfId="0" applyFont="1" applyFill="1">
      <alignment vertical="center"/>
    </xf>
    <xf numFmtId="0" fontId="128" fillId="19" borderId="0" xfId="0" applyFont="1" applyFill="1" applyAlignment="1">
      <alignment horizontal="center" vertical="center"/>
    </xf>
    <xf numFmtId="0" fontId="13" fillId="35" borderId="0" xfId="0" applyFont="1" applyFill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75" fillId="36" borderId="9" xfId="0" applyFont="1" applyFill="1" applyBorder="1" applyAlignment="1">
      <alignment horizontal="left" vertical="center"/>
    </xf>
    <xf numFmtId="0" fontId="13" fillId="0" borderId="19" xfId="0" applyFont="1" applyBorder="1" applyAlignment="1">
      <alignment horizontal="right" vertical="center"/>
    </xf>
    <xf numFmtId="0" fontId="13" fillId="21" borderId="9" xfId="0" applyFont="1" applyFill="1" applyBorder="1" applyAlignment="1">
      <alignment horizontal="center" vertical="center"/>
    </xf>
    <xf numFmtId="182" fontId="13" fillId="0" borderId="9" xfId="0" applyNumberFormat="1" applyFont="1" applyBorder="1" applyAlignment="1">
      <alignment horizontal="center" vertical="center"/>
    </xf>
    <xf numFmtId="0" fontId="52" fillId="21" borderId="0" xfId="0" applyFont="1" applyFill="1" applyAlignment="1">
      <alignment horizontal="left" vertical="center"/>
    </xf>
    <xf numFmtId="0" fontId="13" fillId="17" borderId="9" xfId="2" applyFont="1" applyFill="1" applyBorder="1" applyAlignment="1"/>
    <xf numFmtId="0" fontId="13" fillId="25" borderId="0" xfId="2" applyFont="1" applyFill="1" applyAlignment="1"/>
    <xf numFmtId="173" fontId="13" fillId="0" borderId="9" xfId="2" applyNumberFormat="1" applyFont="1" applyBorder="1" applyAlignment="1">
      <alignment horizontal="right"/>
    </xf>
    <xf numFmtId="0" fontId="13" fillId="34" borderId="9" xfId="2" applyFont="1" applyFill="1" applyBorder="1" applyAlignment="1"/>
    <xf numFmtId="0" fontId="13" fillId="39" borderId="9" xfId="2" applyFont="1" applyFill="1" applyBorder="1" applyAlignment="1"/>
    <xf numFmtId="182" fontId="13" fillId="0" borderId="0" xfId="2" applyNumberFormat="1" applyFont="1" applyAlignment="1">
      <alignment horizontal="center"/>
    </xf>
    <xf numFmtId="2" fontId="70" fillId="0" borderId="0" xfId="2" applyNumberFormat="1" applyFont="1" applyAlignment="1"/>
    <xf numFmtId="9" fontId="13" fillId="0" borderId="9" xfId="0" applyNumberFormat="1" applyFont="1" applyBorder="1" applyAlignment="1">
      <alignment horizontal="center" vertical="center"/>
    </xf>
    <xf numFmtId="0" fontId="128" fillId="0" borderId="40" xfId="0" applyFont="1" applyBorder="1" applyAlignment="1">
      <alignment horizontal="center" vertical="center"/>
    </xf>
    <xf numFmtId="0" fontId="13" fillId="0" borderId="0" xfId="2" quotePrefix="1" applyFont="1" applyAlignment="1">
      <alignment horizontal="center" vertical="center"/>
    </xf>
    <xf numFmtId="0" fontId="13" fillId="34" borderId="9" xfId="2" applyFont="1" applyFill="1" applyBorder="1" applyAlignment="1">
      <alignment horizontal="center" vertical="center"/>
    </xf>
    <xf numFmtId="0" fontId="13" fillId="34" borderId="9" xfId="2" applyFont="1" applyFill="1" applyBorder="1" applyAlignment="1">
      <alignment horizontal="center"/>
    </xf>
    <xf numFmtId="179" fontId="13" fillId="0" borderId="0" xfId="2" applyNumberFormat="1" applyFont="1" applyAlignment="1">
      <alignment horizontal="center"/>
    </xf>
    <xf numFmtId="2" fontId="69" fillId="0" borderId="0" xfId="2" applyNumberFormat="1" applyFont="1" applyAlignment="1">
      <alignment horizontal="center"/>
    </xf>
    <xf numFmtId="9" fontId="13" fillId="0" borderId="0" xfId="0" applyNumberFormat="1" applyFont="1" applyAlignment="1">
      <alignment horizontal="center" vertical="center"/>
    </xf>
    <xf numFmtId="9" fontId="13" fillId="0" borderId="40" xfId="0" applyNumberFormat="1" applyFont="1" applyBorder="1" applyAlignment="1">
      <alignment horizontal="center" vertical="center"/>
    </xf>
    <xf numFmtId="0" fontId="13" fillId="17" borderId="9" xfId="0" applyFont="1" applyFill="1" applyBorder="1" applyAlignment="1">
      <alignment horizontal="left" vertical="center"/>
    </xf>
    <xf numFmtId="2" fontId="13" fillId="0" borderId="9" xfId="0" applyNumberFormat="1" applyFont="1" applyBorder="1" applyAlignment="1">
      <alignment horizontal="center" vertical="center"/>
    </xf>
    <xf numFmtId="0" fontId="12" fillId="28" borderId="0" xfId="12" applyFont="1" applyFill="1" applyAlignment="1" applyProtection="1">
      <alignment horizontal="center" vertical="center"/>
      <protection locked="0"/>
    </xf>
    <xf numFmtId="0" fontId="6" fillId="28" borderId="0" xfId="12" applyFont="1" applyFill="1" applyAlignment="1">
      <alignment horizontal="center" vertical="center"/>
    </xf>
    <xf numFmtId="0" fontId="6" fillId="25" borderId="0" xfId="12" applyFont="1" applyFill="1" applyAlignment="1">
      <alignment horizontal="center" vertical="center"/>
    </xf>
    <xf numFmtId="0" fontId="6" fillId="29" borderId="0" xfId="12" applyFont="1" applyFill="1" applyAlignment="1">
      <alignment horizontal="center" vertical="center"/>
    </xf>
    <xf numFmtId="0" fontId="6" fillId="29" borderId="0" xfId="12" applyFont="1" applyFill="1" applyAlignment="1" applyProtection="1">
      <alignment horizontal="center" vertical="center"/>
      <protection locked="0"/>
    </xf>
    <xf numFmtId="0" fontId="6" fillId="18" borderId="0" xfId="12" applyFont="1" applyFill="1" applyAlignment="1">
      <alignment horizontal="center" vertical="center"/>
    </xf>
    <xf numFmtId="0" fontId="6" fillId="19" borderId="0" xfId="12" applyFont="1" applyFill="1" applyAlignment="1" applyProtection="1">
      <alignment horizontal="center" vertical="center"/>
      <protection locked="0"/>
    </xf>
    <xf numFmtId="0" fontId="6" fillId="19" borderId="0" xfId="12" applyFont="1" applyFill="1" applyAlignment="1">
      <alignment horizontal="center" vertical="center"/>
    </xf>
    <xf numFmtId="0" fontId="12" fillId="8" borderId="0" xfId="12" applyFont="1" applyFill="1" applyAlignment="1">
      <alignment vertical="center"/>
    </xf>
    <xf numFmtId="0" fontId="6" fillId="8" borderId="0" xfId="12" applyFont="1" applyFill="1" applyAlignment="1">
      <alignment vertical="center"/>
    </xf>
    <xf numFmtId="0" fontId="6" fillId="0" borderId="0" xfId="12" applyFont="1" applyAlignment="1">
      <alignment vertical="center"/>
    </xf>
    <xf numFmtId="0" fontId="12" fillId="8" borderId="0" xfId="12" applyFont="1" applyFill="1" applyAlignment="1">
      <alignment horizontal="center" vertical="center"/>
    </xf>
    <xf numFmtId="2" fontId="114" fillId="19" borderId="9" xfId="12" applyNumberFormat="1" applyFont="1" applyFill="1" applyBorder="1" applyAlignment="1" applyProtection="1">
      <alignment horizontal="center" vertical="center"/>
      <protection locked="0"/>
    </xf>
    <xf numFmtId="0" fontId="6" fillId="0" borderId="0" xfId="12" applyFont="1" applyProtection="1">
      <protection locked="0"/>
    </xf>
    <xf numFmtId="2" fontId="6" fillId="0" borderId="0" xfId="12" applyNumberFormat="1" applyFont="1" applyAlignment="1" applyProtection="1">
      <alignment horizontal="center"/>
      <protection locked="0"/>
    </xf>
    <xf numFmtId="0" fontId="52" fillId="8" borderId="9" xfId="12" applyFont="1" applyFill="1" applyBorder="1" applyAlignment="1">
      <alignment horizontal="center" wrapText="1"/>
    </xf>
    <xf numFmtId="0" fontId="120" fillId="0" borderId="9" xfId="12" applyFont="1" applyBorder="1" applyAlignment="1">
      <alignment horizontal="center" vertical="center"/>
    </xf>
    <xf numFmtId="0" fontId="6" fillId="19" borderId="9" xfId="12" applyFont="1" applyFill="1" applyBorder="1" applyAlignment="1">
      <alignment horizontal="center" vertical="center"/>
    </xf>
    <xf numFmtId="0" fontId="13" fillId="19" borderId="9" xfId="12" applyFont="1" applyFill="1" applyBorder="1" applyAlignment="1">
      <alignment horizontal="center" wrapText="1"/>
    </xf>
    <xf numFmtId="0" fontId="52" fillId="8" borderId="45" xfId="12" applyFont="1" applyFill="1" applyBorder="1" applyAlignment="1">
      <alignment horizontal="center" wrapText="1"/>
    </xf>
    <xf numFmtId="0" fontId="120" fillId="0" borderId="9" xfId="12" applyFont="1" applyBorder="1" applyAlignment="1">
      <alignment horizontal="center" vertical="center" wrapText="1"/>
    </xf>
    <xf numFmtId="0" fontId="52" fillId="20" borderId="9" xfId="12" applyFont="1" applyFill="1" applyBorder="1" applyAlignment="1">
      <alignment horizontal="center" wrapText="1"/>
    </xf>
    <xf numFmtId="2" fontId="6" fillId="0" borderId="0" xfId="12" applyNumberFormat="1" applyFont="1" applyProtection="1">
      <protection locked="0"/>
    </xf>
    <xf numFmtId="0" fontId="6" fillId="34" borderId="0" xfId="12" applyFont="1" applyFill="1" applyAlignment="1">
      <alignment horizontal="center" vertical="center"/>
    </xf>
    <xf numFmtId="0" fontId="23" fillId="8" borderId="43" xfId="12" applyFont="1" applyFill="1" applyBorder="1" applyAlignment="1">
      <alignment horizontal="center" wrapText="1"/>
    </xf>
    <xf numFmtId="0" fontId="6" fillId="8" borderId="9" xfId="12" applyFont="1" applyFill="1" applyBorder="1" applyAlignment="1">
      <alignment horizontal="center" wrapText="1"/>
    </xf>
    <xf numFmtId="0" fontId="6" fillId="0" borderId="9" xfId="12" applyFont="1" applyBorder="1" applyAlignment="1">
      <alignment horizontal="center" wrapText="1"/>
    </xf>
    <xf numFmtId="0" fontId="6" fillId="17" borderId="9" xfId="12" applyFont="1" applyFill="1" applyBorder="1" applyAlignment="1">
      <alignment horizontal="center" wrapText="1"/>
    </xf>
    <xf numFmtId="0" fontId="6" fillId="21" borderId="0" xfId="12" applyFont="1" applyFill="1" applyAlignment="1">
      <alignment horizontal="center" vertical="center"/>
    </xf>
    <xf numFmtId="0" fontId="13" fillId="25" borderId="9" xfId="12" applyFont="1" applyFill="1" applyBorder="1" applyAlignment="1">
      <alignment horizontal="center" wrapText="1"/>
    </xf>
    <xf numFmtId="0" fontId="23" fillId="25" borderId="43" xfId="12" applyFont="1" applyFill="1" applyBorder="1" applyAlignment="1">
      <alignment horizontal="center" wrapText="1"/>
    </xf>
    <xf numFmtId="0" fontId="6" fillId="25" borderId="9" xfId="12" applyFont="1" applyFill="1" applyBorder="1" applyAlignment="1">
      <alignment horizontal="center" wrapText="1"/>
    </xf>
    <xf numFmtId="0" fontId="6" fillId="25" borderId="9" xfId="12" applyFont="1" applyFill="1" applyBorder="1" applyAlignment="1">
      <alignment horizontal="center" vertical="center"/>
    </xf>
    <xf numFmtId="20" fontId="6" fillId="0" borderId="0" xfId="12" applyNumberFormat="1" applyFont="1" applyAlignment="1">
      <alignment horizontal="center" vertical="center"/>
    </xf>
    <xf numFmtId="0" fontId="23" fillId="8" borderId="9" xfId="12" applyFont="1" applyFill="1" applyBorder="1" applyAlignment="1">
      <alignment horizontal="center" wrapText="1"/>
    </xf>
    <xf numFmtId="0" fontId="12" fillId="0" borderId="9" xfId="12" applyFont="1" applyBorder="1" applyAlignment="1">
      <alignment horizontal="center" vertical="center"/>
    </xf>
    <xf numFmtId="0" fontId="23" fillId="19" borderId="43" xfId="12" applyFont="1" applyFill="1" applyBorder="1" applyAlignment="1">
      <alignment horizontal="center" wrapText="1"/>
    </xf>
    <xf numFmtId="0" fontId="6" fillId="19" borderId="8" xfId="12" applyFont="1" applyFill="1" applyBorder="1" applyAlignment="1">
      <alignment horizontal="center" vertical="center"/>
    </xf>
    <xf numFmtId="0" fontId="6" fillId="8" borderId="0" xfId="12" applyFont="1" applyFill="1" applyAlignment="1">
      <alignment horizontal="center" vertical="center"/>
    </xf>
    <xf numFmtId="0" fontId="12" fillId="8" borderId="9" xfId="12" applyFont="1" applyFill="1" applyBorder="1" applyAlignment="1">
      <alignment horizontal="center" vertical="center"/>
    </xf>
    <xf numFmtId="0" fontId="6" fillId="0" borderId="0" xfId="12" applyFont="1" applyAlignment="1">
      <alignment horizontal="right" vertical="center"/>
    </xf>
    <xf numFmtId="0" fontId="6" fillId="17" borderId="0" xfId="12" applyFont="1" applyFill="1" applyAlignment="1">
      <alignment vertical="center"/>
    </xf>
    <xf numFmtId="0" fontId="6" fillId="22" borderId="9" xfId="12" applyFont="1" applyFill="1" applyBorder="1" applyAlignment="1">
      <alignment horizontal="center" vertical="center"/>
    </xf>
    <xf numFmtId="2" fontId="6" fillId="23" borderId="0" xfId="12" applyNumberFormat="1" applyFont="1" applyFill="1" applyAlignment="1">
      <alignment horizontal="center" vertical="center"/>
    </xf>
    <xf numFmtId="2" fontId="6" fillId="24" borderId="0" xfId="12" applyNumberFormat="1" applyFont="1" applyFill="1" applyAlignment="1">
      <alignment horizontal="center" vertical="center"/>
    </xf>
    <xf numFmtId="0" fontId="6" fillId="8" borderId="9" xfId="12" applyFont="1" applyFill="1" applyBorder="1" applyAlignment="1">
      <alignment horizontal="center" vertical="center"/>
    </xf>
    <xf numFmtId="0" fontId="6" fillId="8" borderId="0" xfId="12" applyFont="1" applyFill="1" applyAlignment="1">
      <alignment horizontal="right" vertical="center"/>
    </xf>
    <xf numFmtId="0" fontId="136" fillId="21" borderId="0" xfId="12" applyFont="1" applyFill="1" applyAlignment="1">
      <alignment vertical="center"/>
    </xf>
    <xf numFmtId="0" fontId="6" fillId="19" borderId="48" xfId="12" applyFont="1" applyFill="1" applyBorder="1" applyAlignment="1">
      <alignment horizontal="center" vertical="center"/>
    </xf>
    <xf numFmtId="0" fontId="6" fillId="0" borderId="9" xfId="12" applyFont="1" applyBorder="1" applyAlignment="1">
      <alignment horizontal="left" vertical="center"/>
    </xf>
    <xf numFmtId="0" fontId="54" fillId="8" borderId="9" xfId="12" applyFont="1" applyFill="1" applyBorder="1" applyAlignment="1">
      <alignment horizontal="center" vertical="center"/>
    </xf>
    <xf numFmtId="0" fontId="12" fillId="8" borderId="30" xfId="12" applyFont="1" applyFill="1" applyBorder="1" applyAlignment="1">
      <alignment vertical="center"/>
    </xf>
    <xf numFmtId="0" fontId="6" fillId="8" borderId="31" xfId="12" applyFont="1" applyFill="1" applyBorder="1" applyAlignment="1">
      <alignment vertical="center"/>
    </xf>
    <xf numFmtId="0" fontId="6" fillId="8" borderId="32" xfId="12" applyFont="1" applyFill="1" applyBorder="1" applyAlignment="1">
      <alignment vertical="center"/>
    </xf>
    <xf numFmtId="0" fontId="12" fillId="8" borderId="30" xfId="12" applyFont="1" applyFill="1" applyBorder="1" applyAlignment="1">
      <alignment horizontal="center" vertical="center"/>
    </xf>
    <xf numFmtId="0" fontId="6" fillId="8" borderId="31" xfId="12" applyFont="1" applyFill="1" applyBorder="1" applyAlignment="1">
      <alignment horizontal="center" vertical="center"/>
    </xf>
    <xf numFmtId="0" fontId="6" fillId="8" borderId="32" xfId="12" applyFont="1" applyFill="1" applyBorder="1" applyAlignment="1">
      <alignment horizontal="center" vertical="center"/>
    </xf>
    <xf numFmtId="0" fontId="12" fillId="0" borderId="9" xfId="2" applyFont="1" applyBorder="1" applyAlignment="1">
      <alignment horizontal="center"/>
    </xf>
    <xf numFmtId="0" fontId="6" fillId="0" borderId="9" xfId="2" applyFont="1" applyBorder="1" applyAlignment="1">
      <alignment horizontal="center"/>
    </xf>
    <xf numFmtId="0" fontId="12" fillId="0" borderId="0" xfId="12" applyFont="1" applyAlignment="1">
      <alignment vertical="center"/>
    </xf>
    <xf numFmtId="0" fontId="23" fillId="0" borderId="0" xfId="12" applyFont="1" applyAlignment="1">
      <alignment horizontal="left" vertical="center"/>
    </xf>
    <xf numFmtId="0" fontId="23" fillId="0" borderId="0" xfId="12" applyFont="1" applyAlignment="1">
      <alignment horizontal="center" vertical="center"/>
    </xf>
    <xf numFmtId="0" fontId="6" fillId="0" borderId="0" xfId="12" applyFont="1" applyAlignment="1">
      <alignment horizontal="center"/>
    </xf>
    <xf numFmtId="0" fontId="6" fillId="26" borderId="0" xfId="12" applyFont="1" applyFill="1" applyAlignment="1">
      <alignment horizontal="center" vertical="center"/>
    </xf>
    <xf numFmtId="0" fontId="12" fillId="26" borderId="0" xfId="12" applyFont="1" applyFill="1" applyAlignment="1">
      <alignment horizontal="center" vertical="center"/>
    </xf>
    <xf numFmtId="0" fontId="6" fillId="26" borderId="0" xfId="12" applyFont="1" applyFill="1" applyAlignment="1">
      <alignment horizontal="center"/>
    </xf>
    <xf numFmtId="0" fontId="6" fillId="19" borderId="0" xfId="12" applyFont="1" applyFill="1" applyAlignment="1">
      <alignment horizontal="center"/>
    </xf>
    <xf numFmtId="0" fontId="12" fillId="17" borderId="0" xfId="12" applyFont="1" applyFill="1" applyAlignment="1">
      <alignment horizontal="center" vertical="center"/>
    </xf>
    <xf numFmtId="0" fontId="6" fillId="0" borderId="43" xfId="12" applyFont="1" applyBorder="1" applyAlignment="1">
      <alignment vertical="center"/>
    </xf>
    <xf numFmtId="0" fontId="6" fillId="0" borderId="5" xfId="12" applyFont="1" applyBorder="1" applyAlignment="1">
      <alignment horizontal="center" vertical="center"/>
    </xf>
    <xf numFmtId="0" fontId="6" fillId="0" borderId="6" xfId="12" applyFont="1" applyBorder="1" applyAlignment="1">
      <alignment horizontal="center" vertical="center"/>
    </xf>
    <xf numFmtId="0" fontId="6" fillId="0" borderId="51" xfId="12" applyFont="1" applyBorder="1" applyAlignment="1">
      <alignment horizontal="center" vertical="center"/>
    </xf>
    <xf numFmtId="0" fontId="6" fillId="0" borderId="12" xfId="12" applyFont="1" applyBorder="1" applyAlignment="1">
      <alignment horizontal="center" vertical="center"/>
    </xf>
    <xf numFmtId="0" fontId="6" fillId="0" borderId="13" xfId="12" applyFont="1" applyBorder="1" applyAlignment="1">
      <alignment horizontal="center" vertical="center"/>
    </xf>
    <xf numFmtId="0" fontId="6" fillId="0" borderId="45" xfId="12" applyFont="1" applyBorder="1" applyAlignment="1">
      <alignment vertical="center"/>
    </xf>
    <xf numFmtId="0" fontId="6" fillId="17" borderId="9" xfId="12" applyFont="1" applyFill="1" applyBorder="1" applyAlignment="1">
      <alignment vertical="center"/>
    </xf>
    <xf numFmtId="0" fontId="6" fillId="0" borderId="40" xfId="12" applyFont="1" applyBorder="1" applyAlignment="1">
      <alignment vertical="center"/>
    </xf>
    <xf numFmtId="0" fontId="6" fillId="0" borderId="17" xfId="12" applyFont="1" applyBorder="1" applyAlignment="1">
      <alignment vertical="center"/>
    </xf>
    <xf numFmtId="0" fontId="12" fillId="18" borderId="0" xfId="12" applyFont="1" applyFill="1" applyAlignment="1">
      <alignment horizontal="center" vertical="center"/>
    </xf>
    <xf numFmtId="0" fontId="13" fillId="8" borderId="9" xfId="14" applyFont="1" applyFill="1" applyBorder="1" applyAlignment="1" applyProtection="1">
      <alignment horizontal="center" vertical="center" wrapText="1"/>
      <protection locked="0"/>
    </xf>
    <xf numFmtId="0" fontId="6" fillId="0" borderId="9" xfId="12" applyFont="1" applyBorder="1" applyAlignment="1">
      <alignment horizontal="right" vertical="center"/>
    </xf>
    <xf numFmtId="0" fontId="13" fillId="8" borderId="0" xfId="14" applyFont="1" applyFill="1">
      <alignment vertical="center"/>
    </xf>
    <xf numFmtId="0" fontId="13" fillId="8" borderId="0" xfId="14" applyFont="1" applyFill="1" applyAlignment="1">
      <alignment horizontal="center" vertical="center"/>
    </xf>
    <xf numFmtId="0" fontId="137" fillId="0" borderId="0" xfId="0" applyFont="1" applyAlignment="1">
      <alignment horizontal="center" vertical="center"/>
    </xf>
    <xf numFmtId="0" fontId="23" fillId="0" borderId="0" xfId="12" applyFont="1" applyAlignment="1">
      <alignment vertical="center"/>
    </xf>
    <xf numFmtId="0" fontId="54" fillId="0" borderId="9" xfId="12" applyFont="1" applyBorder="1" applyAlignment="1">
      <alignment vertical="center"/>
    </xf>
    <xf numFmtId="174" fontId="23" fillId="0" borderId="9" xfId="12" applyNumberFormat="1" applyFont="1" applyBorder="1" applyAlignment="1">
      <alignment vertical="center"/>
    </xf>
    <xf numFmtId="0" fontId="23" fillId="0" borderId="43" xfId="12" applyFont="1" applyBorder="1" applyAlignment="1">
      <alignment vertical="center"/>
    </xf>
    <xf numFmtId="0" fontId="54" fillId="17" borderId="9" xfId="12" applyFont="1" applyFill="1" applyBorder="1" applyAlignment="1">
      <alignment horizontal="center" vertical="center"/>
    </xf>
    <xf numFmtId="0" fontId="23" fillId="17" borderId="9" xfId="2" applyFont="1" applyFill="1" applyBorder="1" applyAlignment="1">
      <alignment horizontal="center" vertical="center"/>
    </xf>
    <xf numFmtId="0" fontId="23" fillId="19" borderId="0" xfId="2" applyFont="1" applyFill="1" applyAlignment="1">
      <alignment horizontal="center" vertical="center"/>
    </xf>
    <xf numFmtId="0" fontId="23" fillId="17" borderId="73" xfId="2" applyFont="1" applyFill="1" applyBorder="1" applyAlignment="1">
      <alignment horizontal="center" vertical="center"/>
    </xf>
    <xf numFmtId="0" fontId="23" fillId="0" borderId="61" xfId="2" applyFont="1" applyBorder="1" applyAlignment="1">
      <alignment horizontal="center" vertical="center"/>
    </xf>
    <xf numFmtId="0" fontId="23" fillId="0" borderId="74" xfId="2" applyFont="1" applyBorder="1" applyAlignment="1">
      <alignment horizontal="center" vertical="center"/>
    </xf>
    <xf numFmtId="0" fontId="13" fillId="17" borderId="40" xfId="2" applyFont="1" applyFill="1" applyBorder="1" applyAlignment="1">
      <alignment horizontal="center" vertical="center"/>
    </xf>
    <xf numFmtId="0" fontId="13" fillId="17" borderId="75" xfId="2" applyFont="1" applyFill="1" applyBorder="1" applyAlignment="1">
      <alignment horizontal="center" vertical="center"/>
    </xf>
    <xf numFmtId="0" fontId="13" fillId="0" borderId="5" xfId="2" applyFont="1" applyBorder="1" applyAlignment="1">
      <alignment horizontal="center" vertical="center"/>
    </xf>
    <xf numFmtId="0" fontId="13" fillId="17" borderId="42" xfId="2" applyFont="1" applyFill="1" applyBorder="1" applyAlignment="1">
      <alignment horizontal="center" vertical="center"/>
    </xf>
    <xf numFmtId="0" fontId="13" fillId="17" borderId="72" xfId="2" applyFont="1" applyFill="1" applyBorder="1" applyAlignment="1">
      <alignment horizontal="center" vertical="center"/>
    </xf>
    <xf numFmtId="0" fontId="28" fillId="0" borderId="9" xfId="12" applyFont="1" applyBorder="1" applyAlignment="1">
      <alignment vertical="center"/>
    </xf>
    <xf numFmtId="0" fontId="23" fillId="0" borderId="9" xfId="12" applyFont="1" applyBorder="1" applyAlignment="1">
      <alignment vertical="center"/>
    </xf>
    <xf numFmtId="0" fontId="54" fillId="0" borderId="9" xfId="12" applyFont="1" applyBorder="1" applyAlignment="1">
      <alignment horizontal="center" vertical="center"/>
    </xf>
    <xf numFmtId="0" fontId="23" fillId="0" borderId="9" xfId="12" applyFont="1" applyBorder="1" applyAlignment="1">
      <alignment horizontal="center" vertical="center"/>
    </xf>
    <xf numFmtId="0" fontId="23" fillId="0" borderId="61" xfId="12" applyFont="1" applyBorder="1" applyAlignment="1">
      <alignment horizontal="center" vertical="center"/>
    </xf>
    <xf numFmtId="0" fontId="23" fillId="0" borderId="74" xfId="12" applyFont="1" applyBorder="1" applyAlignment="1">
      <alignment horizontal="center" vertical="center"/>
    </xf>
    <xf numFmtId="1" fontId="13" fillId="17" borderId="9" xfId="2" applyNumberFormat="1" applyFont="1" applyFill="1" applyBorder="1" applyAlignment="1">
      <alignment horizontal="center" vertical="center"/>
    </xf>
    <xf numFmtId="0" fontId="13" fillId="0" borderId="0" xfId="14" applyFont="1">
      <alignment vertical="center"/>
    </xf>
    <xf numFmtId="0" fontId="13" fillId="19" borderId="0" xfId="14" applyFont="1" applyFill="1">
      <alignment vertical="center"/>
    </xf>
    <xf numFmtId="0" fontId="13" fillId="25" borderId="0" xfId="14" applyFont="1" applyFill="1">
      <alignment vertical="center"/>
    </xf>
    <xf numFmtId="0" fontId="13" fillId="17" borderId="0" xfId="14" applyFont="1" applyFill="1">
      <alignment vertical="center"/>
    </xf>
    <xf numFmtId="0" fontId="13" fillId="8" borderId="30" xfId="14" applyFont="1" applyFill="1" applyBorder="1">
      <alignment vertical="center"/>
    </xf>
    <xf numFmtId="0" fontId="13" fillId="0" borderId="35" xfId="16" applyFont="1" applyBorder="1" applyAlignment="1">
      <alignment horizontal="center"/>
    </xf>
    <xf numFmtId="0" fontId="13" fillId="0" borderId="38" xfId="16" applyFont="1" applyBorder="1" applyAlignment="1">
      <alignment horizontal="center"/>
    </xf>
    <xf numFmtId="0" fontId="13" fillId="0" borderId="36" xfId="16" applyFont="1" applyBorder="1" applyAlignment="1">
      <alignment horizontal="center"/>
    </xf>
    <xf numFmtId="0" fontId="13" fillId="8" borderId="32" xfId="14" applyFont="1" applyFill="1" applyBorder="1">
      <alignment vertical="center"/>
    </xf>
    <xf numFmtId="0" fontId="13" fillId="0" borderId="48" xfId="14" applyFont="1" applyBorder="1" applyAlignment="1">
      <alignment horizontal="center" vertical="center"/>
    </xf>
    <xf numFmtId="0" fontId="13" fillId="0" borderId="37" xfId="16" applyFont="1" applyBorder="1" applyAlignment="1">
      <alignment horizontal="center"/>
    </xf>
    <xf numFmtId="0" fontId="13" fillId="0" borderId="32" xfId="14" applyFont="1" applyBorder="1" applyAlignment="1">
      <alignment horizontal="center" vertical="center"/>
    </xf>
    <xf numFmtId="0" fontId="32" fillId="8" borderId="0" xfId="17" applyFont="1" applyFill="1">
      <alignment vertical="center"/>
    </xf>
    <xf numFmtId="0" fontId="13" fillId="0" borderId="39" xfId="16" applyFont="1" applyBorder="1" applyAlignment="1">
      <alignment horizontal="center"/>
    </xf>
    <xf numFmtId="0" fontId="13" fillId="0" borderId="40" xfId="16" applyFont="1" applyBorder="1" applyAlignment="1">
      <alignment horizontal="center"/>
    </xf>
    <xf numFmtId="0" fontId="13" fillId="0" borderId="56" xfId="16" applyFont="1" applyBorder="1" applyAlignment="1">
      <alignment horizontal="center"/>
    </xf>
    <xf numFmtId="0" fontId="13" fillId="0" borderId="42" xfId="16" applyFont="1" applyBorder="1" applyAlignment="1">
      <alignment horizontal="center"/>
    </xf>
    <xf numFmtId="0" fontId="13" fillId="0" borderId="9" xfId="16" applyFont="1" applyBorder="1" applyAlignment="1">
      <alignment horizontal="center"/>
    </xf>
    <xf numFmtId="0" fontId="13" fillId="0" borderId="51" xfId="16" applyFont="1" applyBorder="1" applyAlignment="1">
      <alignment horizontal="center"/>
    </xf>
    <xf numFmtId="0" fontId="69" fillId="8" borderId="30" xfId="14" applyFont="1" applyFill="1" applyBorder="1" applyAlignment="1">
      <alignment vertical="center" wrapText="1"/>
    </xf>
    <xf numFmtId="2" fontId="13" fillId="7" borderId="48" xfId="14" applyNumberFormat="1" applyFont="1" applyFill="1" applyBorder="1" applyAlignment="1">
      <alignment horizontal="center" vertical="center"/>
    </xf>
    <xf numFmtId="0" fontId="29" fillId="10" borderId="73" xfId="14" applyFont="1" applyFill="1" applyBorder="1" applyAlignment="1">
      <alignment horizontal="center" vertical="center" wrapText="1"/>
    </xf>
    <xf numFmtId="0" fontId="29" fillId="10" borderId="74" xfId="14" applyFont="1" applyFill="1" applyBorder="1" applyAlignment="1">
      <alignment horizontal="center" vertical="center"/>
    </xf>
    <xf numFmtId="0" fontId="42" fillId="8" borderId="0" xfId="17" applyFont="1" applyFill="1" applyAlignment="1" applyProtection="1">
      <alignment horizontal="center" vertical="center"/>
    </xf>
    <xf numFmtId="0" fontId="54" fillId="8" borderId="75" xfId="14" applyFont="1" applyFill="1" applyBorder="1" applyAlignment="1">
      <alignment horizontal="center" vertical="center"/>
    </xf>
    <xf numFmtId="0" fontId="54" fillId="8" borderId="6" xfId="14" applyFont="1" applyFill="1" applyBorder="1" applyAlignment="1">
      <alignment horizontal="center" vertical="center"/>
    </xf>
    <xf numFmtId="0" fontId="13" fillId="0" borderId="44" xfId="16" applyFont="1" applyBorder="1" applyAlignment="1">
      <alignment horizontal="center"/>
    </xf>
    <xf numFmtId="0" fontId="13" fillId="0" borderId="45" xfId="16" applyFont="1" applyBorder="1" applyAlignment="1">
      <alignment horizontal="center"/>
    </xf>
    <xf numFmtId="0" fontId="13" fillId="0" borderId="55" xfId="16" applyFont="1" applyBorder="1" applyAlignment="1">
      <alignment horizontal="center"/>
    </xf>
    <xf numFmtId="0" fontId="13" fillId="0" borderId="72" xfId="16" applyFont="1" applyBorder="1" applyAlignment="1">
      <alignment horizontal="center"/>
    </xf>
    <xf numFmtId="0" fontId="13" fillId="0" borderId="13" xfId="16" applyFont="1" applyBorder="1" applyAlignment="1">
      <alignment horizontal="center"/>
    </xf>
    <xf numFmtId="0" fontId="54" fillId="8" borderId="39" xfId="14" applyFont="1" applyFill="1" applyBorder="1" applyAlignment="1">
      <alignment horizontal="center" vertical="center"/>
    </xf>
    <xf numFmtId="0" fontId="54" fillId="8" borderId="56" xfId="14" applyFont="1" applyFill="1" applyBorder="1" applyAlignment="1">
      <alignment horizontal="center" vertical="center"/>
    </xf>
    <xf numFmtId="0" fontId="13" fillId="0" borderId="32" xfId="14" applyFont="1" applyBorder="1">
      <alignment vertical="center"/>
    </xf>
    <xf numFmtId="0" fontId="29" fillId="10" borderId="48" xfId="14" applyFont="1" applyFill="1" applyBorder="1" applyAlignment="1">
      <alignment vertical="center" wrapText="1"/>
    </xf>
    <xf numFmtId="0" fontId="29" fillId="10" borderId="37" xfId="14" applyFont="1" applyFill="1" applyBorder="1" applyAlignment="1">
      <alignment horizontal="center" vertical="center" wrapText="1"/>
    </xf>
    <xf numFmtId="0" fontId="29" fillId="10" borderId="38" xfId="14" applyFont="1" applyFill="1" applyBorder="1" applyAlignment="1">
      <alignment horizontal="center" vertical="center"/>
    </xf>
    <xf numFmtId="0" fontId="29" fillId="10" borderId="38" xfId="14" applyFont="1" applyFill="1" applyBorder="1" applyAlignment="1">
      <alignment horizontal="center" vertical="center" wrapText="1"/>
    </xf>
    <xf numFmtId="0" fontId="29" fillId="10" borderId="36" xfId="14" applyFont="1" applyFill="1" applyBorder="1" applyAlignment="1">
      <alignment horizontal="center" vertical="center" wrapText="1"/>
    </xf>
    <xf numFmtId="0" fontId="13" fillId="8" borderId="67" xfId="14" applyFont="1" applyFill="1" applyBorder="1" applyAlignment="1">
      <alignment horizontal="center" vertical="center"/>
    </xf>
    <xf numFmtId="0" fontId="23" fillId="8" borderId="67" xfId="14" applyFont="1" applyFill="1" applyBorder="1" applyAlignment="1">
      <alignment horizontal="center" vertical="center" wrapText="1"/>
    </xf>
    <xf numFmtId="0" fontId="54" fillId="8" borderId="22" xfId="14" applyFont="1" applyFill="1" applyBorder="1" applyAlignment="1">
      <alignment horizontal="center" vertical="center"/>
    </xf>
    <xf numFmtId="0" fontId="54" fillId="8" borderId="40" xfId="14" applyFont="1" applyFill="1" applyBorder="1" applyAlignment="1">
      <alignment horizontal="center" vertical="center"/>
    </xf>
    <xf numFmtId="0" fontId="54" fillId="8" borderId="63" xfId="14" applyFont="1" applyFill="1" applyBorder="1" applyAlignment="1">
      <alignment horizontal="center" vertical="center"/>
    </xf>
    <xf numFmtId="0" fontId="54" fillId="8" borderId="88" xfId="14" applyFont="1" applyFill="1" applyBorder="1" applyAlignment="1">
      <alignment horizontal="center" vertical="center"/>
    </xf>
    <xf numFmtId="0" fontId="13" fillId="8" borderId="7" xfId="14" applyFont="1" applyFill="1" applyBorder="1" applyAlignment="1">
      <alignment horizontal="center" vertical="center"/>
    </xf>
    <xf numFmtId="0" fontId="23" fillId="8" borderId="7" xfId="14" applyFont="1" applyFill="1" applyBorder="1" applyAlignment="1">
      <alignment horizontal="center" vertical="center" wrapText="1"/>
    </xf>
    <xf numFmtId="0" fontId="54" fillId="8" borderId="9" xfId="14" applyFont="1" applyFill="1" applyBorder="1" applyAlignment="1">
      <alignment horizontal="center" vertical="center"/>
    </xf>
    <xf numFmtId="0" fontId="29" fillId="10" borderId="34" xfId="14" applyFont="1" applyFill="1" applyBorder="1" applyAlignment="1">
      <alignment horizontal="center" vertical="center"/>
    </xf>
    <xf numFmtId="0" fontId="13" fillId="0" borderId="12" xfId="16" applyFont="1" applyBorder="1" applyAlignment="1">
      <alignment horizontal="center"/>
    </xf>
    <xf numFmtId="0" fontId="13" fillId="8" borderId="10" xfId="14" applyFont="1" applyFill="1" applyBorder="1" applyAlignment="1">
      <alignment horizontal="center" vertical="center"/>
    </xf>
    <xf numFmtId="0" fontId="23" fillId="8" borderId="10" xfId="14" applyFont="1" applyFill="1" applyBorder="1" applyAlignment="1">
      <alignment horizontal="center" vertical="center" wrapText="1"/>
    </xf>
    <xf numFmtId="0" fontId="54" fillId="8" borderId="11" xfId="14" applyFont="1" applyFill="1" applyBorder="1" applyAlignment="1">
      <alignment horizontal="center" vertical="center"/>
    </xf>
    <xf numFmtId="0" fontId="54" fillId="8" borderId="12" xfId="14" applyFont="1" applyFill="1" applyBorder="1" applyAlignment="1">
      <alignment horizontal="center" vertical="center"/>
    </xf>
    <xf numFmtId="0" fontId="42" fillId="0" borderId="0" xfId="17" applyFont="1" applyBorder="1" applyAlignment="1" applyProtection="1">
      <alignment horizontal="center" vertical="center"/>
    </xf>
    <xf numFmtId="0" fontId="52" fillId="8" borderId="34" xfId="14" applyFont="1" applyFill="1" applyBorder="1" applyAlignment="1">
      <alignment horizontal="center" vertical="center"/>
    </xf>
    <xf numFmtId="0" fontId="23" fillId="0" borderId="0" xfId="14" applyFont="1">
      <alignment vertical="center"/>
    </xf>
    <xf numFmtId="0" fontId="13" fillId="8" borderId="0" xfId="14" applyFont="1" applyFill="1" applyProtection="1">
      <alignment vertical="center"/>
      <protection locked="0"/>
    </xf>
    <xf numFmtId="0" fontId="23" fillId="8" borderId="9" xfId="14" applyFont="1" applyFill="1" applyBorder="1" applyAlignment="1">
      <alignment horizontal="center" wrapText="1"/>
    </xf>
    <xf numFmtId="0" fontId="13" fillId="8" borderId="9" xfId="14" applyFont="1" applyFill="1" applyBorder="1" applyAlignment="1">
      <alignment wrapText="1"/>
    </xf>
    <xf numFmtId="0" fontId="13" fillId="8" borderId="9" xfId="14" applyFont="1" applyFill="1" applyBorder="1">
      <alignment vertical="center"/>
    </xf>
    <xf numFmtId="0" fontId="13" fillId="8" borderId="9" xfId="14" applyFont="1" applyFill="1" applyBorder="1" applyAlignment="1">
      <alignment horizontal="center" wrapText="1"/>
    </xf>
    <xf numFmtId="0" fontId="13" fillId="0" borderId="9" xfId="14" applyFont="1" applyBorder="1" applyAlignment="1">
      <alignment horizontal="center" wrapText="1"/>
    </xf>
    <xf numFmtId="0" fontId="13" fillId="39" borderId="9" xfId="14" applyFont="1" applyFill="1" applyBorder="1" applyAlignment="1">
      <alignment horizontal="center" wrapText="1"/>
    </xf>
    <xf numFmtId="0" fontId="54" fillId="19" borderId="35" xfId="12" applyFont="1" applyFill="1" applyBorder="1" applyAlignment="1">
      <alignment horizontal="center" vertical="center"/>
    </xf>
    <xf numFmtId="0" fontId="27" fillId="19" borderId="36" xfId="12" applyFont="1" applyFill="1" applyBorder="1" applyAlignment="1">
      <alignment horizontal="center" vertical="center"/>
    </xf>
    <xf numFmtId="0" fontId="13" fillId="8" borderId="31" xfId="14" applyFont="1" applyFill="1" applyBorder="1">
      <alignment vertical="center"/>
    </xf>
    <xf numFmtId="0" fontId="23" fillId="0" borderId="0" xfId="14" applyFont="1" applyAlignment="1">
      <alignment horizontal="left" vertical="center"/>
    </xf>
    <xf numFmtId="0" fontId="13" fillId="26" borderId="0" xfId="14" applyFont="1" applyFill="1">
      <alignment vertical="center"/>
    </xf>
    <xf numFmtId="0" fontId="23" fillId="8" borderId="45" xfId="14" applyFont="1" applyFill="1" applyBorder="1" applyAlignment="1">
      <alignment horizontal="center" wrapText="1"/>
    </xf>
    <xf numFmtId="0" fontId="23" fillId="8" borderId="43" xfId="14" applyFont="1" applyFill="1" applyBorder="1" applyAlignment="1">
      <alignment horizontal="center" wrapText="1"/>
    </xf>
    <xf numFmtId="0" fontId="13" fillId="0" borderId="9" xfId="14" applyFont="1" applyBorder="1">
      <alignment vertical="center"/>
    </xf>
    <xf numFmtId="0" fontId="13" fillId="0" borderId="8" xfId="14" applyFont="1" applyBorder="1">
      <alignment vertical="center"/>
    </xf>
    <xf numFmtId="0" fontId="23" fillId="8" borderId="17" xfId="14" applyFont="1" applyFill="1" applyBorder="1" applyAlignment="1">
      <alignment horizontal="center" wrapText="1"/>
    </xf>
    <xf numFmtId="0" fontId="13" fillId="18" borderId="0" xfId="14" applyFont="1" applyFill="1">
      <alignment vertical="center"/>
    </xf>
    <xf numFmtId="0" fontId="6" fillId="40" borderId="0" xfId="12" applyFont="1" applyFill="1" applyAlignment="1">
      <alignment horizontal="center" vertical="center"/>
    </xf>
    <xf numFmtId="0" fontId="6" fillId="30" borderId="9" xfId="12" applyFont="1" applyFill="1" applyBorder="1" applyAlignment="1">
      <alignment horizontal="center" wrapText="1"/>
    </xf>
    <xf numFmtId="0" fontId="6" fillId="30" borderId="9" xfId="12" applyFont="1" applyFill="1" applyBorder="1" applyAlignment="1">
      <alignment horizontal="center" vertical="center"/>
    </xf>
    <xf numFmtId="0" fontId="6" fillId="17" borderId="9" xfId="0" applyFont="1" applyFill="1" applyBorder="1" applyAlignment="1">
      <alignment horizontal="center" vertical="center" wrapText="1"/>
    </xf>
    <xf numFmtId="0" fontId="12" fillId="40" borderId="0" xfId="12" applyFont="1" applyFill="1" applyAlignment="1" applyProtection="1">
      <alignment horizontal="center" vertical="center"/>
      <protection locked="0"/>
    </xf>
    <xf numFmtId="0" fontId="13" fillId="0" borderId="9" xfId="12" applyFont="1" applyBorder="1" applyAlignment="1">
      <alignment horizontal="center" vertical="center"/>
    </xf>
    <xf numFmtId="0" fontId="13" fillId="30" borderId="9" xfId="12" applyFont="1" applyFill="1" applyBorder="1" applyAlignment="1">
      <alignment horizontal="center" wrapText="1"/>
    </xf>
    <xf numFmtId="0" fontId="23" fillId="30" borderId="43" xfId="12" applyFont="1" applyFill="1" applyBorder="1" applyAlignment="1">
      <alignment horizontal="center" wrapText="1"/>
    </xf>
    <xf numFmtId="0" fontId="137" fillId="0" borderId="0" xfId="2" applyFont="1" applyAlignment="1">
      <alignment horizontal="center" vertical="center"/>
    </xf>
    <xf numFmtId="2" fontId="6" fillId="22" borderId="9" xfId="12" applyNumberFormat="1" applyFont="1" applyFill="1" applyBorder="1" applyAlignment="1">
      <alignment horizontal="center" vertical="center"/>
    </xf>
    <xf numFmtId="169" fontId="13" fillId="17" borderId="9" xfId="15" applyNumberFormat="1" applyFont="1" applyFill="1" applyBorder="1" applyAlignment="1">
      <alignment vertical="center"/>
    </xf>
    <xf numFmtId="0" fontId="62" fillId="17" borderId="9" xfId="2" applyFont="1" applyFill="1" applyBorder="1">
      <alignment vertical="center"/>
    </xf>
    <xf numFmtId="0" fontId="13" fillId="17" borderId="9" xfId="0" applyFont="1" applyFill="1" applyBorder="1" applyAlignment="1">
      <alignment horizontal="center" vertical="center"/>
    </xf>
    <xf numFmtId="0" fontId="29" fillId="10" borderId="60" xfId="14" applyFont="1" applyFill="1" applyBorder="1" applyAlignment="1">
      <alignment horizontal="center" vertical="center" wrapText="1"/>
    </xf>
    <xf numFmtId="0" fontId="6" fillId="8" borderId="0" xfId="14" applyFont="1" applyFill="1" applyAlignment="1">
      <alignment horizontal="center" vertical="center"/>
    </xf>
    <xf numFmtId="0" fontId="13" fillId="34" borderId="0" xfId="14" applyFont="1" applyFill="1" applyAlignment="1">
      <alignment horizontal="center" vertical="center"/>
    </xf>
    <xf numFmtId="2" fontId="54" fillId="17" borderId="22" xfId="14" applyNumberFormat="1" applyFont="1" applyFill="1" applyBorder="1" applyAlignment="1">
      <alignment horizontal="center" vertical="center"/>
    </xf>
    <xf numFmtId="0" fontId="13" fillId="8" borderId="45" xfId="14" applyFont="1" applyFill="1" applyBorder="1" applyAlignment="1">
      <alignment horizontal="center" vertical="center"/>
    </xf>
    <xf numFmtId="0" fontId="13" fillId="8" borderId="18" xfId="14" applyFont="1" applyFill="1" applyBorder="1" applyAlignment="1">
      <alignment horizontal="center" vertical="center"/>
    </xf>
    <xf numFmtId="0" fontId="13" fillId="8" borderId="8" xfId="14" applyFont="1" applyFill="1" applyBorder="1" applyAlignment="1">
      <alignment horizontal="center" vertical="center"/>
    </xf>
    <xf numFmtId="0" fontId="29" fillId="17" borderId="34" xfId="14" applyFont="1" applyFill="1" applyBorder="1" applyAlignment="1">
      <alignment horizontal="center" vertical="center"/>
    </xf>
    <xf numFmtId="0" fontId="6" fillId="17" borderId="0" xfId="0" applyFont="1" applyFill="1" applyAlignment="1">
      <alignment horizontal="center" vertical="center"/>
    </xf>
    <xf numFmtId="0" fontId="6" fillId="17" borderId="0" xfId="0" applyFont="1" applyFill="1" applyAlignment="1">
      <alignment horizontal="center" vertical="center" wrapText="1"/>
    </xf>
    <xf numFmtId="0" fontId="15" fillId="19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12" fillId="17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2" fontId="6" fillId="31" borderId="0" xfId="0" applyNumberFormat="1" applyFont="1" applyFill="1" applyAlignment="1">
      <alignment horizontal="center" vertical="center"/>
    </xf>
    <xf numFmtId="0" fontId="23" fillId="0" borderId="0" xfId="14" applyFont="1" applyAlignment="1">
      <alignment horizontal="center" vertical="center"/>
    </xf>
    <xf numFmtId="0" fontId="6" fillId="31" borderId="0" xfId="0" applyFont="1" applyFill="1" applyAlignment="1">
      <alignment horizontal="center" vertical="center"/>
    </xf>
    <xf numFmtId="0" fontId="13" fillId="0" borderId="0" xfId="14" applyFont="1" applyAlignment="1">
      <alignment horizontal="center" vertical="center"/>
    </xf>
    <xf numFmtId="2" fontId="13" fillId="8" borderId="9" xfId="14" applyNumberFormat="1" applyFont="1" applyFill="1" applyBorder="1" applyAlignment="1">
      <alignment horizontal="center" vertical="center"/>
    </xf>
    <xf numFmtId="0" fontId="13" fillId="8" borderId="30" xfId="14" applyFont="1" applyFill="1" applyBorder="1" applyAlignment="1">
      <alignment horizontal="center" vertical="center"/>
    </xf>
    <xf numFmtId="0" fontId="13" fillId="8" borderId="31" xfId="14" applyFont="1" applyFill="1" applyBorder="1" applyAlignment="1">
      <alignment horizontal="center" vertical="center"/>
    </xf>
    <xf numFmtId="0" fontId="13" fillId="8" borderId="32" xfId="14" applyFont="1" applyFill="1" applyBorder="1" applyAlignment="1">
      <alignment horizontal="center" vertical="center"/>
    </xf>
    <xf numFmtId="0" fontId="42" fillId="8" borderId="1" xfId="17" applyFont="1" applyFill="1" applyBorder="1" applyAlignment="1" applyProtection="1">
      <alignment horizontal="center" vertical="center" wrapText="1"/>
    </xf>
    <xf numFmtId="0" fontId="42" fillId="8" borderId="23" xfId="17" applyFont="1" applyFill="1" applyBorder="1" applyAlignment="1" applyProtection="1">
      <alignment horizontal="center" vertical="center" wrapText="1"/>
    </xf>
    <xf numFmtId="0" fontId="42" fillId="8" borderId="29" xfId="17" applyFont="1" applyFill="1" applyBorder="1" applyAlignment="1" applyProtection="1">
      <alignment horizontal="center" vertical="center" wrapText="1"/>
    </xf>
    <xf numFmtId="0" fontId="29" fillId="10" borderId="9" xfId="14" applyFont="1" applyFill="1" applyBorder="1" applyAlignment="1">
      <alignment horizontal="center" vertical="center" wrapText="1"/>
    </xf>
    <xf numFmtId="0" fontId="29" fillId="10" borderId="9" xfId="14" applyFont="1" applyFill="1" applyBorder="1" applyAlignment="1">
      <alignment horizontal="center" vertical="center"/>
    </xf>
    <xf numFmtId="0" fontId="23" fillId="19" borderId="9" xfId="16" applyFont="1" applyFill="1" applyBorder="1" applyAlignment="1">
      <alignment horizontal="center"/>
    </xf>
    <xf numFmtId="0" fontId="69" fillId="8" borderId="30" xfId="14" applyFont="1" applyFill="1" applyBorder="1" applyAlignment="1">
      <alignment horizontal="center" vertical="center" wrapText="1"/>
    </xf>
    <xf numFmtId="0" fontId="28" fillId="8" borderId="9" xfId="14" applyFont="1" applyFill="1" applyBorder="1" applyAlignment="1">
      <alignment horizontal="center" vertical="center" wrapText="1"/>
    </xf>
    <xf numFmtId="0" fontId="29" fillId="10" borderId="35" xfId="14" applyFont="1" applyFill="1" applyBorder="1" applyAlignment="1">
      <alignment horizontal="center" vertical="center" wrapText="1"/>
    </xf>
    <xf numFmtId="0" fontId="23" fillId="8" borderId="75" xfId="14" applyFont="1" applyFill="1" applyBorder="1" applyAlignment="1">
      <alignment horizontal="center" vertical="center" wrapText="1"/>
    </xf>
    <xf numFmtId="0" fontId="23" fillId="8" borderId="76" xfId="14" applyFont="1" applyFill="1" applyBorder="1" applyAlignment="1">
      <alignment horizontal="center" vertical="center" wrapText="1"/>
    </xf>
    <xf numFmtId="0" fontId="23" fillId="8" borderId="42" xfId="14" applyFont="1" applyFill="1" applyBorder="1" applyAlignment="1">
      <alignment horizontal="center" vertical="center" wrapText="1"/>
    </xf>
    <xf numFmtId="0" fontId="23" fillId="8" borderId="43" xfId="14" applyFont="1" applyFill="1" applyBorder="1" applyAlignment="1">
      <alignment horizontal="center" vertical="center" wrapText="1"/>
    </xf>
    <xf numFmtId="0" fontId="23" fillId="8" borderId="72" xfId="14" applyFont="1" applyFill="1" applyBorder="1" applyAlignment="1">
      <alignment horizontal="center" vertical="center" wrapText="1"/>
    </xf>
    <xf numFmtId="0" fontId="23" fillId="8" borderId="59" xfId="14" applyFont="1" applyFill="1" applyBorder="1" applyAlignment="1">
      <alignment horizontal="center" vertical="center" wrapText="1"/>
    </xf>
    <xf numFmtId="0" fontId="12" fillId="29" borderId="0" xfId="12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/>
    </xf>
    <xf numFmtId="0" fontId="23" fillId="8" borderId="0" xfId="0" applyFont="1" applyFill="1" applyAlignment="1">
      <alignment horizontal="center"/>
    </xf>
    <xf numFmtId="167" fontId="23" fillId="8" borderId="0" xfId="0" applyNumberFormat="1" applyFont="1" applyFill="1" applyAlignment="1">
      <alignment horizontal="center"/>
    </xf>
    <xf numFmtId="9" fontId="24" fillId="0" borderId="0" xfId="4" applyFont="1" applyBorder="1" applyAlignment="1">
      <alignment horizontal="center"/>
    </xf>
    <xf numFmtId="0" fontId="13" fillId="8" borderId="0" xfId="0" applyFont="1" applyFill="1" applyAlignment="1">
      <alignment horizontal="center" vertical="center"/>
    </xf>
    <xf numFmtId="0" fontId="46" fillId="8" borderId="0" xfId="0" applyFont="1" applyFill="1" applyAlignment="1">
      <alignment horizontal="center"/>
    </xf>
    <xf numFmtId="171" fontId="13" fillId="8" borderId="0" xfId="0" applyNumberFormat="1" applyFont="1" applyFill="1" applyAlignment="1">
      <alignment horizontal="center"/>
    </xf>
    <xf numFmtId="170" fontId="13" fillId="8" borderId="0" xfId="0" applyNumberFormat="1" applyFont="1" applyFill="1" applyAlignment="1">
      <alignment horizontal="center"/>
    </xf>
    <xf numFmtId="167" fontId="13" fillId="8" borderId="0" xfId="0" applyNumberFormat="1" applyFont="1" applyFill="1" applyAlignment="1">
      <alignment horizontal="center"/>
    </xf>
    <xf numFmtId="1" fontId="23" fillId="8" borderId="0" xfId="0" applyNumberFormat="1" applyFont="1" applyFill="1" applyAlignment="1">
      <alignment horizontal="center"/>
    </xf>
    <xf numFmtId="0" fontId="13" fillId="0" borderId="16" xfId="0" applyFont="1" applyBorder="1" applyAlignment="1">
      <alignment horizontal="center"/>
    </xf>
    <xf numFmtId="170" fontId="13" fillId="0" borderId="0" xfId="0" applyNumberFormat="1" applyFont="1" applyAlignment="1">
      <alignment horizontal="center"/>
    </xf>
    <xf numFmtId="0" fontId="55" fillId="3" borderId="0" xfId="0" applyFont="1" applyFill="1" applyAlignment="1">
      <alignment horizontal="center"/>
    </xf>
    <xf numFmtId="0" fontId="13" fillId="8" borderId="14" xfId="0" applyFont="1" applyFill="1" applyBorder="1" applyAlignment="1">
      <alignment horizontal="center"/>
    </xf>
    <xf numFmtId="0" fontId="46" fillId="8" borderId="15" xfId="0" applyFont="1" applyFill="1" applyBorder="1" applyAlignment="1">
      <alignment horizontal="center"/>
    </xf>
    <xf numFmtId="0" fontId="13" fillId="8" borderId="15" xfId="0" applyFont="1" applyFill="1" applyBorder="1" applyAlignment="1">
      <alignment horizontal="center" vertical="center"/>
    </xf>
    <xf numFmtId="0" fontId="13" fillId="8" borderId="15" xfId="0" applyFont="1" applyFill="1" applyBorder="1" applyAlignment="1">
      <alignment horizontal="center"/>
    </xf>
    <xf numFmtId="1" fontId="23" fillId="0" borderId="0" xfId="2" applyNumberFormat="1" applyFont="1" applyAlignment="1">
      <alignment horizontal="left"/>
    </xf>
    <xf numFmtId="14" fontId="23" fillId="0" borderId="0" xfId="2" applyNumberFormat="1" applyFont="1" applyAlignment="1">
      <alignment horizontal="center"/>
    </xf>
    <xf numFmtId="2" fontId="13" fillId="0" borderId="0" xfId="2" applyNumberFormat="1" applyFont="1" applyAlignment="1">
      <alignment horizontal="right"/>
    </xf>
    <xf numFmtId="1" fontId="13" fillId="0" borderId="0" xfId="2" applyNumberFormat="1" applyFont="1" applyAlignment="1">
      <alignment horizontal="right"/>
    </xf>
    <xf numFmtId="170" fontId="13" fillId="0" borderId="0" xfId="5" applyNumberFormat="1" applyFont="1" applyAlignment="1"/>
    <xf numFmtId="1" fontId="13" fillId="0" borderId="0" xfId="2" applyNumberFormat="1" applyFont="1" applyAlignment="1">
      <alignment horizontal="left"/>
    </xf>
    <xf numFmtId="1" fontId="13" fillId="7" borderId="0" xfId="2" applyNumberFormat="1" applyFont="1" applyFill="1" applyAlignment="1"/>
    <xf numFmtId="170" fontId="13" fillId="7" borderId="0" xfId="2" applyNumberFormat="1" applyFont="1" applyFill="1" applyAlignment="1"/>
    <xf numFmtId="167" fontId="13" fillId="0" borderId="0" xfId="2" applyNumberFormat="1" applyFont="1" applyAlignment="1">
      <alignment horizontal="right"/>
    </xf>
    <xf numFmtId="0" fontId="13" fillId="7" borderId="0" xfId="2" applyFont="1" applyFill="1" applyAlignment="1">
      <alignment horizontal="left"/>
    </xf>
    <xf numFmtId="0" fontId="13" fillId="2" borderId="0" xfId="2" applyFont="1" applyFill="1" applyAlignment="1"/>
    <xf numFmtId="0" fontId="13" fillId="4" borderId="0" xfId="2" applyFont="1" applyFill="1" applyAlignment="1"/>
    <xf numFmtId="170" fontId="13" fillId="2" borderId="0" xfId="2" applyNumberFormat="1" applyFont="1" applyFill="1" applyAlignment="1"/>
    <xf numFmtId="2" fontId="13" fillId="2" borderId="0" xfId="2" applyNumberFormat="1" applyFont="1" applyFill="1" applyAlignment="1"/>
    <xf numFmtId="1" fontId="13" fillId="2" borderId="0" xfId="2" applyNumberFormat="1" applyFont="1" applyFill="1" applyAlignment="1"/>
    <xf numFmtId="1" fontId="13" fillId="2" borderId="0" xfId="2" applyNumberFormat="1" applyFont="1" applyFill="1" applyAlignment="1">
      <alignment horizontal="right"/>
    </xf>
    <xf numFmtId="0" fontId="13" fillId="3" borderId="0" xfId="2" applyFont="1" applyFill="1" applyAlignment="1">
      <alignment horizontal="center" vertical="center"/>
    </xf>
    <xf numFmtId="170" fontId="13" fillId="0" borderId="0" xfId="2" applyNumberFormat="1" applyFont="1" applyAlignment="1">
      <alignment horizontal="right"/>
    </xf>
    <xf numFmtId="170" fontId="13" fillId="0" borderId="0" xfId="2" applyNumberFormat="1" applyFont="1" applyAlignment="1">
      <alignment horizontal="left"/>
    </xf>
    <xf numFmtId="170" fontId="13" fillId="2" borderId="0" xfId="2" applyNumberFormat="1" applyFont="1" applyFill="1" applyAlignment="1">
      <alignment horizontal="left"/>
    </xf>
    <xf numFmtId="1" fontId="13" fillId="2" borderId="0" xfId="2" applyNumberFormat="1" applyFont="1" applyFill="1" applyAlignment="1">
      <alignment horizontal="left"/>
    </xf>
    <xf numFmtId="0" fontId="13" fillId="2" borderId="0" xfId="2" applyFont="1" applyFill="1" applyAlignment="1">
      <alignment horizontal="left"/>
    </xf>
    <xf numFmtId="0" fontId="13" fillId="3" borderId="0" xfId="2" applyFont="1" applyFill="1" applyAlignment="1"/>
    <xf numFmtId="1" fontId="13" fillId="3" borderId="0" xfId="2" applyNumberFormat="1" applyFont="1" applyFill="1" applyAlignment="1"/>
    <xf numFmtId="1" fontId="46" fillId="0" borderId="0" xfId="2" applyNumberFormat="1" applyFont="1" applyAlignment="1">
      <alignment horizontal="center"/>
    </xf>
    <xf numFmtId="1" fontId="13" fillId="2" borderId="14" xfId="2" applyNumberFormat="1" applyFont="1" applyFill="1" applyBorder="1" applyAlignment="1"/>
    <xf numFmtId="1" fontId="13" fillId="4" borderId="0" xfId="2" applyNumberFormat="1" applyFont="1" applyFill="1" applyAlignment="1">
      <alignment horizontal="left"/>
    </xf>
    <xf numFmtId="1" fontId="46" fillId="2" borderId="0" xfId="2" applyNumberFormat="1" applyFont="1" applyFill="1" applyAlignment="1"/>
    <xf numFmtId="1" fontId="13" fillId="4" borderId="0" xfId="2" applyNumberFormat="1" applyFont="1" applyFill="1" applyAlignment="1"/>
    <xf numFmtId="167" fontId="13" fillId="2" borderId="0" xfId="2" applyNumberFormat="1" applyFont="1" applyFill="1" applyAlignment="1"/>
    <xf numFmtId="167" fontId="13" fillId="5" borderId="0" xfId="2" applyNumberFormat="1" applyFont="1" applyFill="1" applyAlignment="1"/>
    <xf numFmtId="2" fontId="13" fillId="6" borderId="0" xfId="2" applyNumberFormat="1" applyFont="1" applyFill="1" applyAlignment="1"/>
    <xf numFmtId="0" fontId="13" fillId="0" borderId="0" xfId="2" quotePrefix="1" applyFont="1" applyAlignment="1">
      <alignment horizontal="left"/>
    </xf>
    <xf numFmtId="1" fontId="13" fillId="0" borderId="0" xfId="2" quotePrefix="1" applyNumberFormat="1" applyFont="1" applyAlignment="1">
      <alignment horizontal="center" vertical="center"/>
    </xf>
    <xf numFmtId="171" fontId="13" fillId="0" borderId="0" xfId="0" applyNumberFormat="1" applyFont="1" applyAlignment="1">
      <alignment horizontal="center" vertical="center"/>
    </xf>
    <xf numFmtId="0" fontId="13" fillId="12" borderId="0" xfId="2" applyFont="1" applyFill="1" applyAlignment="1">
      <alignment horizontal="center" vertical="center"/>
    </xf>
    <xf numFmtId="0" fontId="6" fillId="8" borderId="9" xfId="2" applyFont="1" applyFill="1" applyBorder="1" applyAlignment="1">
      <alignment horizontal="center" vertical="center"/>
    </xf>
    <xf numFmtId="0" fontId="13" fillId="0" borderId="19" xfId="2" applyFont="1" applyBorder="1" applyAlignment="1">
      <alignment horizontal="center"/>
    </xf>
    <xf numFmtId="0" fontId="13" fillId="0" borderId="14" xfId="2" applyFont="1" applyBorder="1" applyAlignment="1">
      <alignment horizontal="center" vertical="center"/>
    </xf>
    <xf numFmtId="0" fontId="23" fillId="0" borderId="19" xfId="2" applyFont="1" applyBorder="1" applyAlignment="1">
      <alignment horizontal="center"/>
    </xf>
    <xf numFmtId="14" fontId="13" fillId="0" borderId="9" xfId="2" applyNumberFormat="1" applyFont="1" applyBorder="1" applyAlignment="1">
      <alignment horizontal="center"/>
    </xf>
    <xf numFmtId="0" fontId="13" fillId="0" borderId="20" xfId="2" applyFont="1" applyBorder="1" applyAlignment="1">
      <alignment horizontal="right"/>
    </xf>
    <xf numFmtId="165" fontId="13" fillId="7" borderId="20" xfId="1" applyNumberFormat="1" applyFont="1" applyFill="1" applyBorder="1" applyAlignment="1">
      <alignment horizontal="left" vertical="center"/>
    </xf>
    <xf numFmtId="1" fontId="13" fillId="0" borderId="20" xfId="2" applyNumberFormat="1" applyFont="1" applyBorder="1" applyAlignment="1"/>
    <xf numFmtId="0" fontId="66" fillId="0" borderId="19" xfId="2" applyFont="1" applyBorder="1" applyAlignment="1">
      <alignment vertical="top" wrapText="1"/>
    </xf>
    <xf numFmtId="0" fontId="28" fillId="0" borderId="19" xfId="2" applyFont="1" applyBorder="1" applyAlignment="1">
      <alignment horizontal="left" vertical="top" wrapText="1"/>
    </xf>
    <xf numFmtId="2" fontId="13" fillId="0" borderId="20" xfId="2" applyNumberFormat="1" applyFont="1" applyBorder="1" applyAlignment="1">
      <alignment horizontal="right"/>
    </xf>
    <xf numFmtId="2" fontId="13" fillId="0" borderId="20" xfId="2" applyNumberFormat="1" applyFont="1" applyBorder="1" applyAlignment="1"/>
    <xf numFmtId="2" fontId="70" fillId="0" borderId="20" xfId="2" applyNumberFormat="1" applyFont="1" applyBorder="1" applyAlignment="1"/>
    <xf numFmtId="0" fontId="24" fillId="0" borderId="20" xfId="2" applyFont="1" applyBorder="1" applyAlignment="1"/>
    <xf numFmtId="0" fontId="24" fillId="0" borderId="20" xfId="2" applyFont="1" applyBorder="1" applyAlignment="1">
      <alignment horizontal="center" vertical="center"/>
    </xf>
    <xf numFmtId="2" fontId="24" fillId="0" borderId="20" xfId="2" applyNumberFormat="1" applyFont="1" applyBorder="1" applyAlignment="1">
      <alignment horizontal="left"/>
    </xf>
    <xf numFmtId="0" fontId="13" fillId="8" borderId="14" xfId="2" applyFont="1" applyFill="1" applyBorder="1" applyAlignment="1">
      <alignment horizontal="center"/>
    </xf>
    <xf numFmtId="0" fontId="15" fillId="19" borderId="0" xfId="2" applyFont="1" applyFill="1" applyAlignment="1">
      <alignment horizontal="center" vertical="center"/>
    </xf>
    <xf numFmtId="0" fontId="19" fillId="19" borderId="0" xfId="2" applyFont="1" applyFill="1" applyAlignment="1"/>
    <xf numFmtId="0" fontId="53" fillId="19" borderId="0" xfId="2" applyFont="1" applyFill="1" applyAlignment="1">
      <alignment horizontal="center" vertical="center"/>
    </xf>
    <xf numFmtId="168" fontId="13" fillId="19" borderId="0" xfId="2" applyNumberFormat="1" applyFont="1" applyFill="1" applyAlignment="1">
      <alignment horizontal="center" vertical="center"/>
    </xf>
    <xf numFmtId="0" fontId="13" fillId="19" borderId="0" xfId="2" applyFont="1" applyFill="1">
      <alignment vertical="center"/>
    </xf>
    <xf numFmtId="0" fontId="54" fillId="19" borderId="0" xfId="2" applyFont="1" applyFill="1" applyAlignment="1">
      <alignment horizontal="center" vertical="center"/>
    </xf>
    <xf numFmtId="0" fontId="13" fillId="19" borderId="0" xfId="2" applyFont="1" applyFill="1" applyAlignment="1">
      <alignment horizontal="center" vertical="center"/>
    </xf>
    <xf numFmtId="0" fontId="24" fillId="19" borderId="0" xfId="2" applyFont="1" applyFill="1" applyAlignment="1">
      <alignment horizontal="center" vertical="center"/>
    </xf>
    <xf numFmtId="0" fontId="56" fillId="19" borderId="0" xfId="2" applyFont="1" applyFill="1" applyAlignment="1">
      <alignment horizontal="center" vertical="center"/>
    </xf>
    <xf numFmtId="0" fontId="34" fillId="19" borderId="0" xfId="2" applyFont="1" applyFill="1" applyAlignment="1">
      <alignment horizontal="center" vertical="center"/>
    </xf>
    <xf numFmtId="0" fontId="55" fillId="19" borderId="0" xfId="2" applyFont="1" applyFill="1" applyAlignment="1">
      <alignment horizontal="center" vertical="center"/>
    </xf>
    <xf numFmtId="173" fontId="23" fillId="19" borderId="48" xfId="2" applyNumberFormat="1" applyFont="1" applyFill="1" applyBorder="1" applyAlignment="1">
      <alignment horizontal="center" vertical="center"/>
    </xf>
    <xf numFmtId="0" fontId="12" fillId="17" borderId="48" xfId="2" applyFont="1" applyFill="1" applyBorder="1" applyAlignment="1">
      <alignment horizontal="center" vertical="center"/>
    </xf>
    <xf numFmtId="2" fontId="5" fillId="17" borderId="40" xfId="2" applyNumberFormat="1" applyFont="1" applyFill="1" applyBorder="1" applyAlignment="1">
      <alignment horizontal="center" vertical="center" wrapText="1"/>
    </xf>
    <xf numFmtId="0" fontId="5" fillId="17" borderId="40" xfId="2" applyFont="1" applyFill="1" applyBorder="1" applyAlignment="1">
      <alignment horizontal="center" vertical="center" wrapText="1"/>
    </xf>
    <xf numFmtId="0" fontId="5" fillId="17" borderId="27" xfId="2" applyFont="1" applyFill="1" applyBorder="1" applyAlignment="1">
      <alignment horizontal="center" vertical="center" wrapText="1"/>
    </xf>
    <xf numFmtId="2" fontId="5" fillId="17" borderId="9" xfId="2" applyNumberFormat="1" applyFont="1" applyFill="1" applyBorder="1" applyAlignment="1">
      <alignment horizontal="center" vertical="center" wrapText="1"/>
    </xf>
    <xf numFmtId="0" fontId="5" fillId="17" borderId="9" xfId="2" applyFont="1" applyFill="1" applyBorder="1" applyAlignment="1">
      <alignment horizontal="center" vertical="center" wrapText="1"/>
    </xf>
    <xf numFmtId="0" fontId="5" fillId="17" borderId="27" xfId="2" applyFont="1" applyFill="1" applyBorder="1" applyAlignment="1">
      <alignment horizontal="center" vertical="center"/>
    </xf>
    <xf numFmtId="1" fontId="5" fillId="17" borderId="9" xfId="2" applyNumberFormat="1" applyFont="1" applyFill="1" applyBorder="1" applyAlignment="1">
      <alignment horizontal="center" vertical="center" wrapText="1"/>
    </xf>
    <xf numFmtId="1" fontId="5" fillId="17" borderId="40" xfId="2" applyNumberFormat="1" applyFont="1" applyFill="1" applyBorder="1" applyAlignment="1">
      <alignment horizontal="center" vertical="center" wrapText="1"/>
    </xf>
    <xf numFmtId="1" fontId="5" fillId="17" borderId="22" xfId="2" applyNumberFormat="1" applyFont="1" applyFill="1" applyBorder="1" applyAlignment="1">
      <alignment horizontal="center" vertical="center" wrapText="1"/>
    </xf>
    <xf numFmtId="0" fontId="12" fillId="17" borderId="9" xfId="2" applyFont="1" applyFill="1" applyBorder="1" applyAlignment="1">
      <alignment horizontal="center" vertical="center" wrapText="1"/>
    </xf>
    <xf numFmtId="0" fontId="12" fillId="17" borderId="8" xfId="2" applyFont="1" applyFill="1" applyBorder="1" applyAlignment="1">
      <alignment horizontal="center" vertical="center" wrapText="1"/>
    </xf>
    <xf numFmtId="1" fontId="5" fillId="17" borderId="27" xfId="2" applyNumberFormat="1" applyFont="1" applyFill="1" applyBorder="1" applyAlignment="1">
      <alignment horizontal="center" vertical="center" wrapText="1"/>
    </xf>
    <xf numFmtId="0" fontId="5" fillId="17" borderId="9" xfId="2" applyFont="1" applyFill="1" applyBorder="1" applyAlignment="1">
      <alignment horizontal="left" vertical="center" wrapText="1"/>
    </xf>
    <xf numFmtId="0" fontId="5" fillId="17" borderId="45" xfId="2" applyFont="1" applyFill="1" applyBorder="1" applyAlignment="1">
      <alignment horizontal="center" vertical="center" wrapText="1"/>
    </xf>
    <xf numFmtId="0" fontId="5" fillId="17" borderId="0" xfId="2" applyFont="1" applyFill="1" applyAlignment="1">
      <alignment horizontal="center" vertical="center" wrapText="1"/>
    </xf>
    <xf numFmtId="0" fontId="5" fillId="17" borderId="33" xfId="2" applyFont="1" applyFill="1" applyBorder="1" applyAlignment="1">
      <alignment horizontal="center" vertical="center"/>
    </xf>
    <xf numFmtId="173" fontId="5" fillId="17" borderId="33" xfId="2" applyNumberFormat="1" applyFont="1" applyFill="1" applyBorder="1" applyAlignment="1">
      <alignment horizontal="center" vertical="center"/>
    </xf>
    <xf numFmtId="0" fontId="5" fillId="17" borderId="43" xfId="2" applyFont="1" applyFill="1" applyBorder="1" applyAlignment="1">
      <alignment horizontal="center" vertical="center" wrapText="1"/>
    </xf>
    <xf numFmtId="0" fontId="5" fillId="17" borderId="9" xfId="2" applyFont="1" applyFill="1" applyBorder="1" applyAlignment="1">
      <alignment horizontal="center" vertical="center"/>
    </xf>
    <xf numFmtId="1" fontId="5" fillId="17" borderId="33" xfId="2" applyNumberFormat="1" applyFont="1" applyFill="1" applyBorder="1" applyAlignment="1">
      <alignment horizontal="center" vertical="center"/>
    </xf>
    <xf numFmtId="0" fontId="5" fillId="17" borderId="33" xfId="2" applyFont="1" applyFill="1" applyBorder="1" applyAlignment="1">
      <alignment horizontal="center" vertical="center" wrapText="1"/>
    </xf>
    <xf numFmtId="0" fontId="12" fillId="17" borderId="45" xfId="2" applyFont="1" applyFill="1" applyBorder="1" applyAlignment="1">
      <alignment horizontal="center" vertical="center" wrapText="1"/>
    </xf>
    <xf numFmtId="0" fontId="10" fillId="0" borderId="0" xfId="7" applyBorder="1" applyAlignment="1">
      <alignment horizontal="center" vertical="center"/>
    </xf>
    <xf numFmtId="0" fontId="61" fillId="0" borderId="0" xfId="0" applyFont="1" applyAlignment="1">
      <alignment vertical="center" wrapText="1"/>
    </xf>
    <xf numFmtId="0" fontId="61" fillId="0" borderId="20" xfId="0" applyFont="1" applyBorder="1" applyAlignment="1">
      <alignment vertical="center" wrapText="1"/>
    </xf>
    <xf numFmtId="0" fontId="10" fillId="2" borderId="0" xfId="7" applyFill="1" applyBorder="1" applyAlignment="1">
      <alignment horizontal="center"/>
    </xf>
    <xf numFmtId="0" fontId="10" fillId="0" borderId="0" xfId="7">
      <alignment vertical="center"/>
    </xf>
    <xf numFmtId="0" fontId="13" fillId="0" borderId="8" xfId="2" applyFont="1" applyBorder="1" applyAlignment="1">
      <alignment horizontal="left"/>
    </xf>
    <xf numFmtId="0" fontId="13" fillId="0" borderId="8" xfId="2" applyFont="1" applyBorder="1">
      <alignment vertical="center"/>
    </xf>
    <xf numFmtId="0" fontId="12" fillId="46" borderId="9" xfId="2" applyFont="1" applyFill="1" applyBorder="1" applyAlignment="1">
      <alignment vertical="center" wrapText="1"/>
    </xf>
    <xf numFmtId="164" fontId="12" fillId="46" borderId="9" xfId="3" applyFont="1" applyFill="1" applyBorder="1" applyAlignment="1"/>
    <xf numFmtId="9" fontId="12" fillId="46" borderId="9" xfId="2" applyNumberFormat="1" applyFont="1" applyFill="1" applyBorder="1" applyAlignment="1">
      <alignment horizontal="center" vertical="center" wrapText="1"/>
    </xf>
    <xf numFmtId="0" fontId="12" fillId="46" borderId="9" xfId="2" applyFont="1" applyFill="1" applyBorder="1" applyAlignment="1">
      <alignment horizontal="center" vertical="center" wrapText="1"/>
    </xf>
    <xf numFmtId="0" fontId="12" fillId="46" borderId="9" xfId="2" applyFont="1" applyFill="1" applyBorder="1" applyAlignment="1">
      <alignment horizontal="center" vertical="center"/>
    </xf>
    <xf numFmtId="0" fontId="12" fillId="46" borderId="9" xfId="0" applyFont="1" applyFill="1" applyBorder="1" applyAlignment="1">
      <alignment horizontal="center" vertical="center"/>
    </xf>
    <xf numFmtId="0" fontId="12" fillId="46" borderId="9" xfId="2" applyFont="1" applyFill="1" applyBorder="1" applyAlignment="1">
      <alignment horizontal="center"/>
    </xf>
    <xf numFmtId="0" fontId="12" fillId="46" borderId="9" xfId="0" applyFont="1" applyFill="1" applyBorder="1">
      <alignment vertical="center"/>
    </xf>
    <xf numFmtId="0" fontId="12" fillId="0" borderId="9" xfId="2" applyFont="1" applyBorder="1" applyAlignment="1">
      <alignment horizontal="center" vertical="center"/>
    </xf>
    <xf numFmtId="0" fontId="12" fillId="0" borderId="9" xfId="0" applyFont="1" applyBorder="1" applyAlignment="1">
      <alignment horizontal="center"/>
    </xf>
    <xf numFmtId="0" fontId="4" fillId="46" borderId="9" xfId="0" applyFont="1" applyFill="1" applyBorder="1">
      <alignment vertical="center"/>
    </xf>
    <xf numFmtId="0" fontId="4" fillId="46" borderId="9" xfId="2" applyFont="1" applyFill="1" applyBorder="1" applyAlignment="1">
      <alignment horizontal="center" vertical="center"/>
    </xf>
    <xf numFmtId="173" fontId="4" fillId="46" borderId="9" xfId="2" applyNumberFormat="1" applyFont="1" applyFill="1" applyBorder="1" applyAlignment="1">
      <alignment horizontal="center" vertical="center"/>
    </xf>
    <xf numFmtId="9" fontId="118" fillId="46" borderId="9" xfId="4" applyFont="1" applyFill="1" applyBorder="1" applyAlignment="1">
      <alignment horizontal="center" vertical="center"/>
    </xf>
    <xf numFmtId="1" fontId="12" fillId="46" borderId="9" xfId="0" applyNumberFormat="1" applyFont="1" applyFill="1" applyBorder="1" applyAlignment="1">
      <alignment horizontal="center" vertical="center"/>
    </xf>
    <xf numFmtId="1" fontId="12" fillId="46" borderId="9" xfId="2" applyNumberFormat="1" applyFont="1" applyFill="1" applyBorder="1" applyAlignment="1">
      <alignment horizontal="center" vertical="center"/>
    </xf>
    <xf numFmtId="0" fontId="23" fillId="0" borderId="9" xfId="0" applyFont="1" applyBorder="1" applyAlignment="1">
      <alignment horizontal="center"/>
    </xf>
    <xf numFmtId="0" fontId="23" fillId="39" borderId="9" xfId="0" applyFont="1" applyFill="1" applyBorder="1" applyAlignment="1">
      <alignment horizontal="center"/>
    </xf>
    <xf numFmtId="185" fontId="12" fillId="17" borderId="9" xfId="0" applyNumberFormat="1" applyFont="1" applyFill="1" applyBorder="1" applyAlignment="1">
      <alignment horizontal="center" vertical="center" shrinkToFit="1"/>
    </xf>
    <xf numFmtId="169" fontId="23" fillId="0" borderId="9" xfId="1" applyNumberFormat="1" applyFont="1" applyBorder="1" applyAlignment="1">
      <alignment horizontal="center"/>
    </xf>
    <xf numFmtId="0" fontId="23" fillId="39" borderId="9" xfId="0" applyFont="1" applyFill="1" applyBorder="1" applyAlignment="1">
      <alignment horizontal="center" vertical="center"/>
    </xf>
    <xf numFmtId="169" fontId="23" fillId="0" borderId="9" xfId="1" applyNumberFormat="1" applyFont="1" applyBorder="1" applyAlignment="1">
      <alignment horizontal="center" vertical="center"/>
    </xf>
    <xf numFmtId="169" fontId="48" fillId="17" borderId="9" xfId="1" applyNumberFormat="1" applyFont="1" applyFill="1" applyBorder="1" applyAlignment="1">
      <alignment horizontal="center" vertical="center"/>
    </xf>
    <xf numFmtId="0" fontId="23" fillId="39" borderId="0" xfId="0" applyFont="1" applyFill="1" applyAlignment="1">
      <alignment horizontal="center" vertical="center"/>
    </xf>
    <xf numFmtId="169" fontId="48" fillId="17" borderId="0" xfId="1" applyNumberFormat="1" applyFont="1" applyFill="1" applyBorder="1" applyAlignment="1">
      <alignment horizontal="center" vertical="center"/>
    </xf>
    <xf numFmtId="169" fontId="48" fillId="17" borderId="9" xfId="1" applyNumberFormat="1" applyFont="1" applyFill="1" applyBorder="1" applyAlignment="1">
      <alignment horizontal="center"/>
    </xf>
    <xf numFmtId="0" fontId="4" fillId="34" borderId="0" xfId="2" applyFont="1" applyFill="1" applyAlignment="1"/>
    <xf numFmtId="0" fontId="23" fillId="17" borderId="8" xfId="2" applyFont="1" applyFill="1" applyBorder="1" applyAlignment="1">
      <alignment horizontal="center" vertical="center"/>
    </xf>
    <xf numFmtId="169" fontId="23" fillId="17" borderId="9" xfId="15" applyNumberFormat="1" applyFont="1" applyFill="1" applyBorder="1" applyAlignment="1">
      <alignment horizontal="center" vertical="center"/>
    </xf>
    <xf numFmtId="0" fontId="70" fillId="17" borderId="9" xfId="2" applyFont="1" applyFill="1" applyBorder="1" applyAlignment="1">
      <alignment horizontal="center" vertical="center"/>
    </xf>
    <xf numFmtId="0" fontId="23" fillId="21" borderId="8" xfId="2" applyFont="1" applyFill="1" applyBorder="1" applyAlignment="1">
      <alignment horizontal="center" vertical="center"/>
    </xf>
    <xf numFmtId="2" fontId="15" fillId="17" borderId="9" xfId="2" applyNumberFormat="1" applyFont="1" applyFill="1" applyBorder="1" applyAlignment="1">
      <alignment horizontal="center" vertical="center"/>
    </xf>
    <xf numFmtId="0" fontId="23" fillId="12" borderId="9" xfId="2" applyFont="1" applyFill="1" applyBorder="1" applyAlignment="1">
      <alignment horizontal="center"/>
    </xf>
    <xf numFmtId="0" fontId="24" fillId="12" borderId="9" xfId="2" applyFont="1" applyFill="1" applyBorder="1" applyAlignment="1">
      <alignment horizontal="center" vertical="center"/>
    </xf>
    <xf numFmtId="0" fontId="25" fillId="12" borderId="9" xfId="2" applyFont="1" applyFill="1" applyBorder="1" applyAlignment="1">
      <alignment horizontal="center"/>
    </xf>
    <xf numFmtId="0" fontId="24" fillId="0" borderId="9" xfId="2" applyFont="1" applyBorder="1" applyAlignment="1">
      <alignment horizontal="center"/>
    </xf>
    <xf numFmtId="0" fontId="23" fillId="12" borderId="9" xfId="2" applyFont="1" applyFill="1" applyBorder="1" applyAlignment="1">
      <alignment horizontal="center" vertical="center"/>
    </xf>
    <xf numFmtId="0" fontId="74" fillId="8" borderId="9" xfId="2" applyFont="1" applyFill="1" applyBorder="1" applyAlignment="1">
      <alignment horizontal="center" vertical="center"/>
    </xf>
    <xf numFmtId="0" fontId="78" fillId="8" borderId="9" xfId="2" applyFont="1" applyFill="1" applyBorder="1" applyAlignment="1">
      <alignment horizontal="center" vertical="center"/>
    </xf>
    <xf numFmtId="0" fontId="3" fillId="17" borderId="9" xfId="2" applyFont="1" applyFill="1" applyBorder="1" applyAlignment="1"/>
    <xf numFmtId="0" fontId="3" fillId="17" borderId="9" xfId="2" applyFont="1" applyFill="1" applyBorder="1" applyAlignment="1">
      <alignment horizontal="center" vertical="center"/>
    </xf>
    <xf numFmtId="0" fontId="3" fillId="17" borderId="9" xfId="0" applyFont="1" applyFill="1" applyBorder="1" applyAlignment="1">
      <alignment horizontal="center" vertical="center"/>
    </xf>
    <xf numFmtId="173" fontId="13" fillId="0" borderId="9" xfId="0" applyNumberFormat="1" applyFont="1" applyBorder="1" applyAlignment="1">
      <alignment horizontal="center" vertical="center"/>
    </xf>
    <xf numFmtId="0" fontId="55" fillId="0" borderId="9" xfId="0" applyFont="1" applyBorder="1" applyAlignment="1">
      <alignment horizontal="center" vertical="center"/>
    </xf>
    <xf numFmtId="0" fontId="24" fillId="0" borderId="9" xfId="2" applyFont="1" applyBorder="1" applyAlignment="1">
      <alignment horizontal="center" vertical="center"/>
    </xf>
    <xf numFmtId="0" fontId="89" fillId="0" borderId="9" xfId="2" applyFont="1" applyBorder="1" applyAlignment="1">
      <alignment horizontal="center" vertical="center"/>
    </xf>
    <xf numFmtId="0" fontId="78" fillId="0" borderId="9" xfId="2" applyFont="1" applyBorder="1" applyAlignment="1">
      <alignment horizontal="center" vertical="center"/>
    </xf>
    <xf numFmtId="179" fontId="3" fillId="17" borderId="9" xfId="2" applyNumberFormat="1" applyFont="1" applyFill="1" applyBorder="1" applyAlignment="1">
      <alignment horizontal="center" vertical="center"/>
    </xf>
    <xf numFmtId="174" fontId="3" fillId="17" borderId="9" xfId="2" applyNumberFormat="1" applyFont="1" applyFill="1" applyBorder="1" applyAlignment="1">
      <alignment horizontal="center" vertical="center"/>
    </xf>
    <xf numFmtId="0" fontId="3" fillId="17" borderId="9" xfId="2" applyFont="1" applyFill="1" applyBorder="1" applyAlignment="1">
      <alignment horizontal="center"/>
    </xf>
    <xf numFmtId="0" fontId="36" fillId="0" borderId="30" xfId="0" applyFont="1" applyBorder="1" applyAlignment="1">
      <alignment horizontal="center" vertical="center"/>
    </xf>
    <xf numFmtId="174" fontId="13" fillId="0" borderId="9" xfId="0" applyNumberFormat="1" applyFont="1" applyBorder="1" applyAlignment="1">
      <alignment horizontal="center" vertical="center"/>
    </xf>
    <xf numFmtId="20" fontId="13" fillId="0" borderId="9" xfId="0" applyNumberFormat="1" applyFont="1" applyBorder="1" applyAlignment="1">
      <alignment horizontal="center" vertical="center"/>
    </xf>
    <xf numFmtId="0" fontId="76" fillId="0" borderId="9" xfId="0" applyFont="1" applyBorder="1" applyAlignment="1">
      <alignment horizontal="center"/>
    </xf>
    <xf numFmtId="0" fontId="13" fillId="10" borderId="30" xfId="0" applyFont="1" applyFill="1" applyBorder="1" applyAlignment="1">
      <alignment horizontal="center" vertical="center"/>
    </xf>
    <xf numFmtId="0" fontId="24" fillId="0" borderId="59" xfId="0" applyFont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0" fontId="24" fillId="0" borderId="64" xfId="0" applyFont="1" applyBorder="1" applyAlignment="1">
      <alignment horizontal="center" vertical="center"/>
    </xf>
    <xf numFmtId="0" fontId="24" fillId="0" borderId="70" xfId="0" applyFont="1" applyBorder="1" applyAlignment="1">
      <alignment horizontal="center" vertical="center"/>
    </xf>
    <xf numFmtId="0" fontId="24" fillId="0" borderId="68" xfId="0" applyFont="1" applyBorder="1" applyAlignment="1">
      <alignment horizontal="center"/>
    </xf>
    <xf numFmtId="0" fontId="13" fillId="12" borderId="9" xfId="2" applyFont="1" applyFill="1" applyBorder="1" applyAlignment="1">
      <alignment horizontal="center" vertical="center" wrapText="1"/>
    </xf>
    <xf numFmtId="0" fontId="73" fillId="0" borderId="9" xfId="0" applyFont="1" applyBorder="1" applyAlignment="1">
      <alignment horizontal="center" vertical="center"/>
    </xf>
    <xf numFmtId="0" fontId="120" fillId="0" borderId="9" xfId="0" applyFont="1" applyBorder="1" applyAlignment="1">
      <alignment horizontal="center" vertical="center"/>
    </xf>
    <xf numFmtId="0" fontId="120" fillId="0" borderId="9" xfId="2" applyFont="1" applyBorder="1" applyAlignment="1">
      <alignment horizontal="center" vertical="center"/>
    </xf>
    <xf numFmtId="1" fontId="30" fillId="42" borderId="9" xfId="2" applyNumberFormat="1" applyFont="1" applyFill="1" applyBorder="1" applyAlignment="1" applyProtection="1">
      <alignment horizontal="center" vertical="center" wrapText="1"/>
      <protection locked="0"/>
    </xf>
    <xf numFmtId="0" fontId="23" fillId="12" borderId="9" xfId="2" applyFont="1" applyFill="1" applyBorder="1" applyAlignment="1">
      <alignment horizontal="center" vertical="center" wrapText="1"/>
    </xf>
    <xf numFmtId="0" fontId="13" fillId="9" borderId="9" xfId="2" applyFont="1" applyFill="1" applyBorder="1" applyAlignment="1">
      <alignment horizontal="center" vertical="center"/>
    </xf>
    <xf numFmtId="0" fontId="13" fillId="0" borderId="9" xfId="2" applyFont="1" applyBorder="1" applyAlignment="1" applyProtection="1">
      <alignment horizontal="center" vertical="center"/>
      <protection locked="0"/>
    </xf>
    <xf numFmtId="0" fontId="13" fillId="12" borderId="9" xfId="0" applyFont="1" applyFill="1" applyBorder="1" applyAlignment="1">
      <alignment horizontal="center" vertical="center" wrapText="1"/>
    </xf>
    <xf numFmtId="0" fontId="24" fillId="13" borderId="9" xfId="0" applyFont="1" applyFill="1" applyBorder="1" applyAlignment="1">
      <alignment horizontal="center" vertical="center" wrapText="1"/>
    </xf>
    <xf numFmtId="0" fontId="24" fillId="12" borderId="9" xfId="0" applyFont="1" applyFill="1" applyBorder="1" applyAlignment="1">
      <alignment horizontal="center" vertical="center" wrapText="1"/>
    </xf>
    <xf numFmtId="0" fontId="102" fillId="42" borderId="9" xfId="2" applyFont="1" applyFill="1" applyBorder="1" applyAlignment="1" applyProtection="1">
      <alignment horizontal="center" vertical="center"/>
      <protection locked="0"/>
    </xf>
    <xf numFmtId="0" fontId="25" fillId="0" borderId="9" xfId="0" applyFont="1" applyBorder="1" applyAlignment="1">
      <alignment horizontal="center" vertical="center"/>
    </xf>
    <xf numFmtId="1" fontId="13" fillId="8" borderId="9" xfId="2" applyNumberFormat="1" applyFont="1" applyFill="1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1" fontId="24" fillId="8" borderId="9" xfId="0" applyNumberFormat="1" applyFont="1" applyFill="1" applyBorder="1" applyAlignment="1" applyProtection="1">
      <alignment horizontal="center" vertical="center"/>
      <protection locked="0"/>
    </xf>
    <xf numFmtId="1" fontId="13" fillId="8" borderId="40" xfId="2" applyNumberFormat="1" applyFont="1" applyFill="1" applyBorder="1" applyAlignment="1" applyProtection="1">
      <alignment horizontal="center" vertical="center"/>
      <protection locked="0"/>
    </xf>
    <xf numFmtId="173" fontId="13" fillId="7" borderId="9" xfId="2" applyNumberFormat="1" applyFont="1" applyFill="1" applyBorder="1" applyAlignment="1">
      <alignment horizontal="center"/>
    </xf>
    <xf numFmtId="173" fontId="13" fillId="7" borderId="9" xfId="2" applyNumberFormat="1" applyFont="1" applyFill="1" applyBorder="1" applyAlignment="1">
      <alignment horizontal="center" vertical="center"/>
    </xf>
    <xf numFmtId="2" fontId="27" fillId="35" borderId="9" xfId="2" applyNumberFormat="1" applyFont="1" applyFill="1" applyBorder="1" applyAlignment="1">
      <alignment horizontal="center" vertical="center"/>
    </xf>
    <xf numFmtId="0" fontId="52" fillId="17" borderId="9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180" fontId="128" fillId="0" borderId="98" xfId="0" applyNumberFormat="1" applyFont="1" applyBorder="1" applyAlignment="1">
      <alignment horizontal="center" vertical="center"/>
    </xf>
    <xf numFmtId="0" fontId="13" fillId="0" borderId="98" xfId="0" applyFont="1" applyBorder="1" applyAlignment="1">
      <alignment horizontal="center" vertical="center"/>
    </xf>
    <xf numFmtId="0" fontId="13" fillId="0" borderId="97" xfId="0" applyFont="1" applyBorder="1" applyAlignment="1">
      <alignment horizontal="center" vertical="center"/>
    </xf>
    <xf numFmtId="0" fontId="128" fillId="0" borderId="98" xfId="0" applyFont="1" applyBorder="1" applyAlignment="1">
      <alignment horizontal="center" vertical="center"/>
    </xf>
    <xf numFmtId="0" fontId="13" fillId="0" borderId="99" xfId="0" applyFont="1" applyBorder="1" applyAlignment="1">
      <alignment horizontal="center" vertical="center"/>
    </xf>
    <xf numFmtId="182" fontId="128" fillId="0" borderId="9" xfId="0" applyNumberFormat="1" applyFont="1" applyBorder="1" applyAlignment="1">
      <alignment horizontal="center" vertical="center"/>
    </xf>
    <xf numFmtId="0" fontId="128" fillId="0" borderId="99" xfId="0" applyFont="1" applyBorder="1" applyAlignment="1">
      <alignment horizontal="center" vertical="center"/>
    </xf>
    <xf numFmtId="180" fontId="128" fillId="0" borderId="99" xfId="0" applyNumberFormat="1" applyFont="1" applyBorder="1" applyAlignment="1">
      <alignment horizontal="center" vertical="center"/>
    </xf>
    <xf numFmtId="183" fontId="128" fillId="0" borderId="99" xfId="0" applyNumberFormat="1" applyFont="1" applyBorder="1" applyAlignment="1">
      <alignment horizontal="center" vertical="center"/>
    </xf>
    <xf numFmtId="182" fontId="128" fillId="0" borderId="98" xfId="0" applyNumberFormat="1" applyFont="1" applyBorder="1" applyAlignment="1">
      <alignment horizontal="center" vertical="center"/>
    </xf>
    <xf numFmtId="182" fontId="128" fillId="0" borderId="96" xfId="0" applyNumberFormat="1" applyFont="1" applyBorder="1" applyAlignment="1">
      <alignment horizontal="center" vertical="center"/>
    </xf>
    <xf numFmtId="183" fontId="128" fillId="0" borderId="98" xfId="0" applyNumberFormat="1" applyFont="1" applyBorder="1" applyAlignment="1">
      <alignment horizontal="center" vertical="center"/>
    </xf>
    <xf numFmtId="182" fontId="128" fillId="0" borderId="99" xfId="0" applyNumberFormat="1" applyFont="1" applyBorder="1" applyAlignment="1">
      <alignment horizontal="center" vertical="center"/>
    </xf>
    <xf numFmtId="180" fontId="128" fillId="0" borderId="96" xfId="0" applyNumberFormat="1" applyFont="1" applyBorder="1" applyAlignment="1">
      <alignment horizontal="center" vertical="center"/>
    </xf>
    <xf numFmtId="181" fontId="13" fillId="0" borderId="99" xfId="0" applyNumberFormat="1" applyFont="1" applyBorder="1" applyAlignment="1">
      <alignment horizontal="center" vertical="center"/>
    </xf>
    <xf numFmtId="2" fontId="19" fillId="0" borderId="0" xfId="2" applyNumberFormat="1" applyFont="1" applyAlignment="1">
      <alignment horizontal="center" vertical="center"/>
    </xf>
    <xf numFmtId="0" fontId="52" fillId="37" borderId="0" xfId="0" applyFont="1" applyFill="1">
      <alignment vertical="center"/>
    </xf>
    <xf numFmtId="10" fontId="13" fillId="35" borderId="0" xfId="4" applyNumberFormat="1" applyFont="1" applyFill="1" applyAlignment="1">
      <alignment vertical="center"/>
    </xf>
    <xf numFmtId="182" fontId="128" fillId="0" borderId="0" xfId="0" applyNumberFormat="1" applyFont="1" applyAlignment="1">
      <alignment horizontal="center" vertical="center"/>
    </xf>
    <xf numFmtId="0" fontId="36" fillId="0" borderId="20" xfId="0" applyFont="1" applyBorder="1">
      <alignment vertical="center"/>
    </xf>
    <xf numFmtId="0" fontId="19" fillId="38" borderId="0" xfId="0" applyFont="1" applyFill="1">
      <alignment vertical="center"/>
    </xf>
    <xf numFmtId="0" fontId="13" fillId="25" borderId="0" xfId="0" applyFont="1" applyFill="1">
      <alignment vertical="center"/>
    </xf>
    <xf numFmtId="0" fontId="13" fillId="21" borderId="0" xfId="0" applyFont="1" applyFill="1">
      <alignment vertical="center"/>
    </xf>
    <xf numFmtId="0" fontId="13" fillId="33" borderId="0" xfId="0" applyFont="1" applyFill="1">
      <alignment vertical="center"/>
    </xf>
    <xf numFmtId="0" fontId="13" fillId="25" borderId="0" xfId="2" applyFont="1" applyFill="1" applyAlignment="1">
      <alignment horizontal="center" vertical="center"/>
    </xf>
    <xf numFmtId="0" fontId="32" fillId="0" borderId="0" xfId="7" applyFont="1" applyAlignment="1">
      <alignment vertical="center"/>
    </xf>
    <xf numFmtId="182" fontId="128" fillId="19" borderId="0" xfId="0" applyNumberFormat="1" applyFont="1" applyFill="1" applyAlignment="1">
      <alignment horizontal="center" vertical="center"/>
    </xf>
    <xf numFmtId="0" fontId="135" fillId="0" borderId="0" xfId="0" applyFont="1">
      <alignment vertical="center"/>
    </xf>
    <xf numFmtId="0" fontId="139" fillId="0" borderId="1" xfId="20" applyFont="1" applyBorder="1" applyAlignment="1" applyProtection="1">
      <protection hidden="1"/>
    </xf>
    <xf numFmtId="0" fontId="139" fillId="0" borderId="23" xfId="20" applyFont="1" applyBorder="1" applyAlignment="1" applyProtection="1">
      <protection hidden="1"/>
    </xf>
    <xf numFmtId="0" fontId="139" fillId="7" borderId="23" xfId="20" applyFont="1" applyFill="1" applyBorder="1" applyAlignment="1" applyProtection="1">
      <protection hidden="1"/>
    </xf>
    <xf numFmtId="0" fontId="141" fillId="0" borderId="23" xfId="20" applyFont="1" applyBorder="1" applyAlignment="1" applyProtection="1">
      <protection hidden="1"/>
    </xf>
    <xf numFmtId="0" fontId="141" fillId="0" borderId="62" xfId="20" applyFont="1" applyBorder="1" applyAlignment="1" applyProtection="1">
      <protection hidden="1"/>
    </xf>
    <xf numFmtId="0" fontId="141" fillId="7" borderId="5" xfId="20" applyFont="1" applyFill="1" applyBorder="1" applyAlignment="1" applyProtection="1">
      <alignment horizontal="center" vertical="center"/>
      <protection locked="0" hidden="1"/>
    </xf>
    <xf numFmtId="0" fontId="141" fillId="0" borderId="60" xfId="20" applyFont="1" applyBorder="1" applyAlignment="1" applyProtection="1">
      <protection hidden="1"/>
    </xf>
    <xf numFmtId="0" fontId="141" fillId="0" borderId="29" xfId="20" applyFont="1" applyBorder="1" applyAlignment="1" applyProtection="1">
      <protection hidden="1"/>
    </xf>
    <xf numFmtId="0" fontId="141" fillId="0" borderId="0" xfId="20" applyFont="1" applyAlignment="1" applyProtection="1">
      <protection hidden="1"/>
    </xf>
    <xf numFmtId="0" fontId="139" fillId="0" borderId="26" xfId="20" applyFont="1" applyBorder="1" applyAlignment="1" applyProtection="1">
      <alignment horizontal="left" indent="1"/>
      <protection hidden="1"/>
    </xf>
    <xf numFmtId="0" fontId="139" fillId="0" borderId="0" xfId="20" applyFont="1" applyAlignment="1" applyProtection="1">
      <protection hidden="1"/>
    </xf>
    <xf numFmtId="0" fontId="139" fillId="3" borderId="0" xfId="20" applyFont="1" applyFill="1" applyAlignment="1" applyProtection="1">
      <protection hidden="1"/>
    </xf>
    <xf numFmtId="0" fontId="139" fillId="0" borderId="9" xfId="20" applyFont="1" applyBorder="1" applyAlignment="1" applyProtection="1">
      <protection hidden="1"/>
    </xf>
    <xf numFmtId="0" fontId="139" fillId="7" borderId="9" xfId="20" applyFont="1" applyFill="1" applyBorder="1" applyAlignment="1" applyProtection="1">
      <alignment horizontal="center"/>
      <protection hidden="1"/>
    </xf>
    <xf numFmtId="0" fontId="139" fillId="0" borderId="57" xfId="20" applyFont="1" applyBorder="1" applyAlignment="1" applyProtection="1">
      <protection hidden="1"/>
    </xf>
    <xf numFmtId="0" fontId="141" fillId="0" borderId="19" xfId="20" applyFont="1" applyBorder="1" applyAlignment="1" applyProtection="1">
      <protection hidden="1"/>
    </xf>
    <xf numFmtId="170" fontId="141" fillId="3" borderId="9" xfId="20" applyNumberFormat="1" applyFont="1" applyFill="1" applyBorder="1" applyAlignment="1" applyProtection="1">
      <alignment horizontal="center"/>
      <protection hidden="1"/>
    </xf>
    <xf numFmtId="0" fontId="141" fillId="0" borderId="20" xfId="20" applyFont="1" applyBorder="1" applyAlignment="1" applyProtection="1">
      <protection hidden="1"/>
    </xf>
    <xf numFmtId="0" fontId="141" fillId="0" borderId="27" xfId="20" applyFont="1" applyBorder="1" applyAlignment="1" applyProtection="1">
      <protection hidden="1"/>
    </xf>
    <xf numFmtId="0" fontId="140" fillId="0" borderId="0" xfId="20" applyFont="1" applyAlignment="1" applyProtection="1">
      <alignment horizontal="center" vertical="center"/>
      <protection hidden="1"/>
    </xf>
    <xf numFmtId="0" fontId="139" fillId="6" borderId="0" xfId="20" applyFont="1" applyFill="1" applyAlignment="1" applyProtection="1">
      <protection hidden="1"/>
    </xf>
    <xf numFmtId="0" fontId="139" fillId="0" borderId="27" xfId="20" applyFont="1" applyBorder="1" applyAlignment="1" applyProtection="1">
      <protection hidden="1"/>
    </xf>
    <xf numFmtId="0" fontId="141" fillId="0" borderId="21" xfId="20" applyFont="1" applyBorder="1" applyAlignment="1" applyProtection="1">
      <protection hidden="1"/>
    </xf>
    <xf numFmtId="0" fontId="141" fillId="0" borderId="14" xfId="20" applyFont="1" applyBorder="1" applyAlignment="1" applyProtection="1">
      <protection hidden="1"/>
    </xf>
    <xf numFmtId="0" fontId="141" fillId="7" borderId="9" xfId="20" applyFont="1" applyFill="1" applyBorder="1" applyAlignment="1" applyProtection="1">
      <alignment horizontal="center" vertical="center"/>
      <protection locked="0" hidden="1"/>
    </xf>
    <xf numFmtId="0" fontId="141" fillId="0" borderId="22" xfId="20" applyFont="1" applyBorder="1" applyAlignment="1" applyProtection="1">
      <protection hidden="1"/>
    </xf>
    <xf numFmtId="0" fontId="142" fillId="0" borderId="27" xfId="20" applyFont="1" applyBorder="1" applyAlignment="1" applyProtection="1">
      <protection hidden="1"/>
    </xf>
    <xf numFmtId="0" fontId="139" fillId="0" borderId="0" xfId="20" applyFont="1" applyAlignment="1" applyProtection="1">
      <alignment horizontal="center"/>
      <protection hidden="1"/>
    </xf>
    <xf numFmtId="0" fontId="141" fillId="0" borderId="9" xfId="20" applyFont="1" applyBorder="1" applyAlignment="1" applyProtection="1">
      <alignment horizontal="left"/>
      <protection hidden="1"/>
    </xf>
    <xf numFmtId="0" fontId="139" fillId="0" borderId="58" xfId="20" applyFont="1" applyBorder="1" applyAlignment="1" applyProtection="1">
      <protection hidden="1"/>
    </xf>
    <xf numFmtId="0" fontId="139" fillId="0" borderId="0" xfId="20" applyFont="1" applyAlignment="1" applyProtection="1">
      <alignment horizontal="right"/>
      <protection hidden="1"/>
    </xf>
    <xf numFmtId="0" fontId="141" fillId="0" borderId="0" xfId="20" applyFont="1" applyAlignment="1" applyProtection="1">
      <alignment horizontal="left"/>
      <protection hidden="1"/>
    </xf>
    <xf numFmtId="0" fontId="141" fillId="0" borderId="45" xfId="20" applyFont="1" applyBorder="1" applyProtection="1">
      <alignment vertical="center"/>
      <protection hidden="1"/>
    </xf>
    <xf numFmtId="0" fontId="141" fillId="0" borderId="45" xfId="20" applyFont="1" applyBorder="1" applyAlignment="1" applyProtection="1">
      <alignment horizontal="center" vertical="center" wrapText="1"/>
      <protection hidden="1"/>
    </xf>
    <xf numFmtId="0" fontId="141" fillId="0" borderId="0" xfId="20" applyFont="1" applyAlignment="1" applyProtection="1">
      <alignment horizontal="right"/>
      <protection hidden="1"/>
    </xf>
    <xf numFmtId="0" fontId="141" fillId="0" borderId="9" xfId="20" applyFont="1" applyBorder="1" applyAlignment="1" applyProtection="1">
      <alignment horizontal="center"/>
      <protection hidden="1"/>
    </xf>
    <xf numFmtId="0" fontId="140" fillId="0" borderId="0" xfId="20" applyFont="1" applyAlignment="1" applyProtection="1">
      <alignment horizontal="right"/>
      <protection hidden="1"/>
    </xf>
    <xf numFmtId="0" fontId="140" fillId="0" borderId="9" xfId="20" applyFont="1" applyBorder="1" applyAlignment="1" applyProtection="1">
      <alignment horizontal="center"/>
      <protection hidden="1"/>
    </xf>
    <xf numFmtId="0" fontId="139" fillId="0" borderId="9" xfId="20" applyFont="1" applyBorder="1" applyAlignment="1" applyProtection="1">
      <alignment horizontal="center"/>
      <protection hidden="1"/>
    </xf>
    <xf numFmtId="0" fontId="149" fillId="0" borderId="9" xfId="21" applyFont="1" applyBorder="1" applyAlignment="1" applyProtection="1">
      <alignment horizontal="left" vertical="center" indent="1"/>
      <protection hidden="1"/>
    </xf>
    <xf numFmtId="2" fontId="149" fillId="0" borderId="9" xfId="21" applyNumberFormat="1" applyFont="1" applyBorder="1" applyAlignment="1" applyProtection="1">
      <alignment horizontal="right" vertical="center" indent="1"/>
      <protection hidden="1"/>
    </xf>
    <xf numFmtId="2" fontId="149" fillId="0" borderId="9" xfId="21" applyNumberFormat="1" applyFont="1" applyBorder="1" applyAlignment="1" applyProtection="1">
      <alignment horizontal="center" vertical="center" indent="1"/>
      <protection hidden="1"/>
    </xf>
    <xf numFmtId="14" fontId="139" fillId="0" borderId="0" xfId="20" applyNumberFormat="1" applyFont="1" applyAlignment="1" applyProtection="1">
      <alignment horizontal="center"/>
      <protection hidden="1"/>
    </xf>
    <xf numFmtId="0" fontId="150" fillId="0" borderId="9" xfId="21" applyFont="1" applyBorder="1" applyAlignment="1" applyProtection="1">
      <alignment horizontal="center" vertical="center"/>
      <protection hidden="1"/>
    </xf>
    <xf numFmtId="2" fontId="150" fillId="0" borderId="9" xfId="21" applyNumberFormat="1" applyFont="1" applyBorder="1" applyAlignment="1" applyProtection="1">
      <alignment horizontal="center" vertical="center"/>
      <protection hidden="1"/>
    </xf>
    <xf numFmtId="0" fontId="151" fillId="47" borderId="9" xfId="21" applyFont="1" applyFill="1" applyBorder="1" applyAlignment="1" applyProtection="1">
      <alignment horizontal="left" vertical="center" indent="1"/>
      <protection hidden="1"/>
    </xf>
    <xf numFmtId="2" fontId="152" fillId="47" borderId="9" xfId="21" applyNumberFormat="1" applyFont="1" applyFill="1" applyBorder="1" applyAlignment="1" applyProtection="1">
      <alignment horizontal="right" vertical="center" indent="1"/>
      <protection hidden="1"/>
    </xf>
    <xf numFmtId="2" fontId="152" fillId="47" borderId="9" xfId="21" applyNumberFormat="1" applyFont="1" applyFill="1" applyBorder="1" applyAlignment="1" applyProtection="1">
      <alignment horizontal="center" vertical="center" indent="1"/>
      <protection hidden="1"/>
    </xf>
    <xf numFmtId="0" fontId="141" fillId="0" borderId="9" xfId="21" applyFont="1" applyBorder="1" applyAlignment="1" applyProtection="1">
      <alignment horizontal="left" vertical="center" indent="1"/>
      <protection hidden="1"/>
    </xf>
    <xf numFmtId="0" fontId="141" fillId="0" borderId="9" xfId="21" applyFont="1" applyBorder="1" applyAlignment="1" applyProtection="1">
      <alignment horizontal="right" vertical="center" indent="1"/>
      <protection hidden="1"/>
    </xf>
    <xf numFmtId="2" fontId="141" fillId="0" borderId="9" xfId="21" applyNumberFormat="1" applyFont="1" applyBorder="1" applyAlignment="1" applyProtection="1">
      <alignment horizontal="right" vertical="center" indent="1"/>
      <protection hidden="1"/>
    </xf>
    <xf numFmtId="1" fontId="141" fillId="0" borderId="9" xfId="21" applyNumberFormat="1" applyFont="1" applyBorder="1" applyAlignment="1" applyProtection="1">
      <alignment horizontal="right" vertical="center" indent="1"/>
      <protection hidden="1"/>
    </xf>
    <xf numFmtId="0" fontId="141" fillId="0" borderId="26" xfId="20" applyFont="1" applyBorder="1" applyAlignment="1" applyProtection="1">
      <alignment horizontal="left" indent="1"/>
      <protection hidden="1"/>
    </xf>
    <xf numFmtId="0" fontId="145" fillId="0" borderId="0" xfId="20" applyFont="1" applyAlignment="1" applyProtection="1">
      <alignment horizontal="left"/>
      <protection hidden="1"/>
    </xf>
    <xf numFmtId="0" fontId="139" fillId="0" borderId="0" xfId="20" applyFont="1" applyAlignment="1" applyProtection="1">
      <alignment horizontal="left"/>
      <protection hidden="1"/>
    </xf>
    <xf numFmtId="170" fontId="139" fillId="0" borderId="0" xfId="20" applyNumberFormat="1" applyFont="1" applyAlignment="1" applyProtection="1">
      <alignment horizontal="center"/>
      <protection hidden="1"/>
    </xf>
    <xf numFmtId="2" fontId="153" fillId="0" borderId="9" xfId="21" applyNumberFormat="1" applyFont="1" applyBorder="1" applyAlignment="1" applyProtection="1">
      <alignment horizontal="right" vertical="center" indent="1"/>
      <protection hidden="1"/>
    </xf>
    <xf numFmtId="2" fontId="153" fillId="0" borderId="9" xfId="21" applyNumberFormat="1" applyFont="1" applyBorder="1" applyAlignment="1" applyProtection="1">
      <alignment horizontal="center" vertical="center" indent="1"/>
      <protection hidden="1"/>
    </xf>
    <xf numFmtId="0" fontId="145" fillId="7" borderId="9" xfId="20" applyFont="1" applyFill="1" applyBorder="1" applyAlignment="1" applyProtection="1">
      <alignment horizontal="right" indent="1"/>
      <protection locked="0" hidden="1"/>
    </xf>
    <xf numFmtId="0" fontId="155" fillId="0" borderId="9" xfId="21" applyFont="1" applyBorder="1" applyAlignment="1" applyProtection="1">
      <alignment horizontal="left" vertical="center" indent="1"/>
      <protection hidden="1"/>
    </xf>
    <xf numFmtId="3" fontId="145" fillId="7" borderId="9" xfId="20" applyNumberFormat="1" applyFont="1" applyFill="1" applyBorder="1" applyAlignment="1" applyProtection="1">
      <alignment horizontal="right" indent="1"/>
      <protection locked="0" hidden="1"/>
    </xf>
    <xf numFmtId="0" fontId="145" fillId="7" borderId="9" xfId="20" applyFont="1" applyFill="1" applyBorder="1" applyAlignment="1" applyProtection="1">
      <alignment horizontal="center"/>
      <protection locked="0" hidden="1"/>
    </xf>
    <xf numFmtId="2" fontId="145" fillId="3" borderId="9" xfId="20" applyNumberFormat="1" applyFont="1" applyFill="1" applyBorder="1" applyAlignment="1" applyProtection="1">
      <alignment horizontal="right" indent="1"/>
      <protection hidden="1"/>
    </xf>
    <xf numFmtId="0" fontId="139" fillId="0" borderId="27" xfId="20" applyFont="1" applyBorder="1" applyAlignment="1" applyProtection="1">
      <alignment horizontal="center"/>
      <protection hidden="1"/>
    </xf>
    <xf numFmtId="0" fontId="157" fillId="0" borderId="9" xfId="21" applyFont="1" applyBorder="1" applyAlignment="1" applyProtection="1">
      <alignment horizontal="center" vertical="center" indent="1"/>
      <protection hidden="1"/>
    </xf>
    <xf numFmtId="0" fontId="143" fillId="0" borderId="9" xfId="21" applyFont="1" applyBorder="1" applyAlignment="1" applyProtection="1">
      <alignment horizontal="center" vertical="center" indent="1"/>
      <protection hidden="1"/>
    </xf>
    <xf numFmtId="0" fontId="141" fillId="0" borderId="9" xfId="21" applyFont="1" applyBorder="1" applyAlignment="1" applyProtection="1">
      <alignment horizontal="center" vertical="center"/>
      <protection hidden="1"/>
    </xf>
    <xf numFmtId="0" fontId="144" fillId="0" borderId="9" xfId="21" applyFont="1" applyBorder="1" applyAlignment="1" applyProtection="1">
      <alignment horizontal="center" vertical="center"/>
      <protection hidden="1"/>
    </xf>
    <xf numFmtId="2" fontId="144" fillId="0" borderId="9" xfId="21" applyNumberFormat="1" applyFont="1" applyBorder="1" applyAlignment="1" applyProtection="1">
      <alignment horizontal="center" vertical="center"/>
      <protection hidden="1"/>
    </xf>
    <xf numFmtId="170" fontId="141" fillId="0" borderId="9" xfId="21" applyNumberFormat="1" applyFont="1" applyBorder="1" applyAlignment="1" applyProtection="1">
      <alignment horizontal="right" vertical="center" indent="1"/>
      <protection hidden="1"/>
    </xf>
    <xf numFmtId="0" fontId="144" fillId="0" borderId="26" xfId="20" applyFont="1" applyBorder="1" applyAlignment="1" applyProtection="1">
      <alignment horizontal="left" indent="1"/>
      <protection hidden="1"/>
    </xf>
    <xf numFmtId="0" fontId="143" fillId="0" borderId="0" xfId="20" applyFont="1" applyAlignment="1" applyProtection="1">
      <alignment horizontal="left"/>
      <protection hidden="1"/>
    </xf>
    <xf numFmtId="0" fontId="145" fillId="0" borderId="0" xfId="20" applyFont="1" applyAlignment="1" applyProtection="1">
      <alignment horizontal="right" indent="1"/>
      <protection locked="0" hidden="1"/>
    </xf>
    <xf numFmtId="0" fontId="141" fillId="47" borderId="9" xfId="21" applyFont="1" applyFill="1" applyBorder="1" applyAlignment="1" applyProtection="1">
      <alignment horizontal="center" vertical="center"/>
      <protection hidden="1"/>
    </xf>
    <xf numFmtId="0" fontId="144" fillId="47" borderId="9" xfId="21" applyFont="1" applyFill="1" applyBorder="1" applyAlignment="1" applyProtection="1">
      <alignment horizontal="center" vertical="center"/>
      <protection hidden="1"/>
    </xf>
    <xf numFmtId="2" fontId="144" fillId="47" borderId="9" xfId="21" applyNumberFormat="1" applyFont="1" applyFill="1" applyBorder="1" applyAlignment="1" applyProtection="1">
      <alignment horizontal="center" vertical="center"/>
      <protection hidden="1"/>
    </xf>
    <xf numFmtId="0" fontId="145" fillId="0" borderId="0" xfId="20" applyFont="1" applyAlignment="1" applyProtection="1">
      <alignment horizontal="right" indent="1"/>
      <protection hidden="1"/>
    </xf>
    <xf numFmtId="0" fontId="140" fillId="0" borderId="0" xfId="20" applyFont="1" applyAlignment="1" applyProtection="1">
      <alignment horizontal="left"/>
      <protection hidden="1"/>
    </xf>
    <xf numFmtId="0" fontId="145" fillId="3" borderId="9" xfId="20" applyFont="1" applyFill="1" applyBorder="1" applyAlignment="1" applyProtection="1">
      <alignment horizontal="right" indent="1"/>
      <protection hidden="1"/>
    </xf>
    <xf numFmtId="0" fontId="138" fillId="0" borderId="18" xfId="20" applyBorder="1" applyAlignment="1"/>
    <xf numFmtId="0" fontId="140" fillId="0" borderId="0" xfId="20" applyFont="1" applyAlignment="1" applyProtection="1">
      <alignment vertical="top"/>
      <protection hidden="1"/>
    </xf>
    <xf numFmtId="3" fontId="145" fillId="3" borderId="9" xfId="20" applyNumberFormat="1" applyFont="1" applyFill="1" applyBorder="1" applyAlignment="1" applyProtection="1">
      <alignment horizontal="right" indent="1"/>
      <protection hidden="1"/>
    </xf>
    <xf numFmtId="0" fontId="143" fillId="0" borderId="27" xfId="21" applyFont="1" applyBorder="1" applyAlignment="1" applyProtection="1">
      <alignment horizontal="center" vertical="center"/>
      <protection hidden="1"/>
    </xf>
    <xf numFmtId="0" fontId="138" fillId="0" borderId="8" xfId="20" applyBorder="1" applyAlignment="1">
      <alignment horizontal="center"/>
    </xf>
    <xf numFmtId="0" fontId="138" fillId="0" borderId="9" xfId="20" applyBorder="1" applyAlignment="1">
      <alignment horizontal="center"/>
    </xf>
    <xf numFmtId="0" fontId="138" fillId="47" borderId="9" xfId="20" applyFill="1" applyBorder="1" applyAlignment="1">
      <alignment horizontal="center"/>
    </xf>
    <xf numFmtId="0" fontId="139" fillId="0" borderId="26" xfId="20" applyFont="1" applyBorder="1" applyAlignment="1" applyProtection="1">
      <protection hidden="1"/>
    </xf>
    <xf numFmtId="0" fontId="139" fillId="0" borderId="0" xfId="20" applyFont="1" applyAlignment="1" applyProtection="1">
      <alignment horizontal="center" vertical="center"/>
      <protection hidden="1"/>
    </xf>
    <xf numFmtId="0" fontId="139" fillId="0" borderId="9" xfId="20" applyFont="1" applyBorder="1" applyAlignment="1" applyProtection="1">
      <alignment horizontal="left" vertical="center"/>
      <protection hidden="1"/>
    </xf>
    <xf numFmtId="170" fontId="145" fillId="7" borderId="9" xfId="20" applyNumberFormat="1" applyFont="1" applyFill="1" applyBorder="1" applyAlignment="1" applyProtection="1">
      <alignment horizontal="right" vertical="center" indent="1"/>
      <protection locked="0" hidden="1"/>
    </xf>
    <xf numFmtId="170" fontId="139" fillId="6" borderId="0" xfId="20" applyNumberFormat="1" applyFont="1" applyFill="1" applyAlignment="1" applyProtection="1">
      <alignment horizontal="center"/>
      <protection hidden="1"/>
    </xf>
    <xf numFmtId="2" fontId="141" fillId="8" borderId="0" xfId="20" applyNumberFormat="1" applyFont="1" applyFill="1" applyAlignment="1" applyProtection="1">
      <protection hidden="1"/>
    </xf>
    <xf numFmtId="0" fontId="142" fillId="0" borderId="0" xfId="20" applyFont="1" applyAlignment="1" applyProtection="1">
      <alignment horizontal="center"/>
      <protection hidden="1"/>
    </xf>
    <xf numFmtId="170" fontId="159" fillId="7" borderId="9" xfId="20" applyNumberFormat="1" applyFont="1" applyFill="1" applyBorder="1" applyAlignment="1" applyProtection="1">
      <alignment horizontal="right" vertical="center" indent="1"/>
      <protection locked="0" hidden="1"/>
    </xf>
    <xf numFmtId="1" fontId="139" fillId="6" borderId="0" xfId="20" applyNumberFormat="1" applyFont="1" applyFill="1" applyAlignment="1" applyProtection="1">
      <alignment horizontal="center"/>
      <protection hidden="1"/>
    </xf>
    <xf numFmtId="0" fontId="139" fillId="0" borderId="0" xfId="20" applyFont="1" applyAlignment="1" applyProtection="1">
      <alignment horizontal="left" indent="1"/>
      <protection hidden="1"/>
    </xf>
    <xf numFmtId="2" fontId="139" fillId="6" borderId="0" xfId="20" applyNumberFormat="1" applyFont="1" applyFill="1" applyAlignment="1" applyProtection="1">
      <alignment horizontal="center"/>
      <protection hidden="1"/>
    </xf>
    <xf numFmtId="0" fontId="143" fillId="0" borderId="0" xfId="21" applyFont="1" applyProtection="1">
      <alignment vertical="center"/>
      <protection hidden="1"/>
    </xf>
    <xf numFmtId="0" fontId="143" fillId="0" borderId="0" xfId="21" applyFont="1" applyAlignment="1" applyProtection="1">
      <alignment horizontal="center" vertical="center"/>
      <protection hidden="1"/>
    </xf>
    <xf numFmtId="0" fontId="139" fillId="0" borderId="0" xfId="20" applyFont="1" applyAlignment="1" applyProtection="1">
      <alignment horizontal="center" textRotation="49"/>
      <protection hidden="1"/>
    </xf>
    <xf numFmtId="0" fontId="139" fillId="0" borderId="0" xfId="20" applyFont="1" applyAlignment="1" applyProtection="1">
      <alignment horizontal="center" textRotation="90"/>
      <protection hidden="1"/>
    </xf>
    <xf numFmtId="0" fontId="139" fillId="0" borderId="0" xfId="20" applyFont="1" applyProtection="1">
      <alignment vertical="center"/>
      <protection hidden="1"/>
    </xf>
    <xf numFmtId="2" fontId="139" fillId="0" borderId="0" xfId="20" applyNumberFormat="1" applyFont="1" applyAlignment="1" applyProtection="1">
      <protection hidden="1"/>
    </xf>
    <xf numFmtId="0" fontId="160" fillId="0" borderId="9" xfId="21" applyFont="1" applyBorder="1" applyAlignment="1" applyProtection="1">
      <alignment horizontal="center"/>
      <protection hidden="1"/>
    </xf>
    <xf numFmtId="170" fontId="150" fillId="0" borderId="9" xfId="21" applyNumberFormat="1" applyFont="1" applyBorder="1" applyAlignment="1" applyProtection="1">
      <alignment horizontal="center"/>
      <protection hidden="1"/>
    </xf>
    <xf numFmtId="0" fontId="141" fillId="0" borderId="9" xfId="21" applyFont="1" applyBorder="1" applyAlignment="1" applyProtection="1">
      <alignment horizontal="center"/>
      <protection hidden="1"/>
    </xf>
    <xf numFmtId="0" fontId="161" fillId="0" borderId="51" xfId="21" applyFont="1" applyBorder="1" applyAlignment="1" applyProtection="1">
      <alignment horizontal="center"/>
      <protection hidden="1"/>
    </xf>
    <xf numFmtId="2" fontId="139" fillId="6" borderId="27" xfId="20" applyNumberFormat="1" applyFont="1" applyFill="1" applyBorder="1" applyAlignment="1" applyProtection="1">
      <alignment horizontal="center"/>
      <protection hidden="1"/>
    </xf>
    <xf numFmtId="1" fontId="139" fillId="0" borderId="0" xfId="20" applyNumberFormat="1" applyFont="1" applyAlignment="1" applyProtection="1">
      <alignment horizontal="right" indent="1"/>
      <protection hidden="1"/>
    </xf>
    <xf numFmtId="0" fontId="139" fillId="3" borderId="9" xfId="20" applyFont="1" applyFill="1" applyBorder="1" applyAlignment="1" applyProtection="1">
      <alignment horizontal="right" vertical="center" indent="1"/>
      <protection hidden="1"/>
    </xf>
    <xf numFmtId="0" fontId="144" fillId="0" borderId="0" xfId="20" applyFont="1" applyAlignment="1" applyProtection="1">
      <protection hidden="1"/>
    </xf>
    <xf numFmtId="2" fontId="150" fillId="0" borderId="9" xfId="21" applyNumberFormat="1" applyFont="1" applyBorder="1" applyAlignment="1" applyProtection="1">
      <alignment horizontal="center"/>
      <protection hidden="1"/>
    </xf>
    <xf numFmtId="170" fontId="141" fillId="0" borderId="0" xfId="20" applyNumberFormat="1" applyFont="1" applyAlignment="1" applyProtection="1">
      <protection hidden="1"/>
    </xf>
    <xf numFmtId="0" fontId="139" fillId="0" borderId="0" xfId="20" applyFont="1" applyAlignment="1" applyProtection="1">
      <alignment horizontal="right" vertical="center"/>
      <protection hidden="1"/>
    </xf>
    <xf numFmtId="1" fontId="139" fillId="3" borderId="9" xfId="20" applyNumberFormat="1" applyFont="1" applyFill="1" applyBorder="1" applyAlignment="1" applyProtection="1">
      <alignment horizontal="center" vertical="center"/>
      <protection hidden="1"/>
    </xf>
    <xf numFmtId="0" fontId="160" fillId="0" borderId="9" xfId="21" applyFont="1" applyBorder="1" applyAlignment="1" applyProtection="1">
      <alignment horizontal="center" vertical="center"/>
      <protection hidden="1"/>
    </xf>
    <xf numFmtId="170" fontId="150" fillId="0" borderId="9" xfId="21" applyNumberFormat="1" applyFont="1" applyBorder="1" applyAlignment="1" applyProtection="1">
      <alignment horizontal="center" vertical="center"/>
      <protection hidden="1"/>
    </xf>
    <xf numFmtId="0" fontId="161" fillId="0" borderId="51" xfId="21" applyFont="1" applyBorder="1" applyAlignment="1" applyProtection="1">
      <alignment horizontal="center" vertical="center"/>
      <protection hidden="1"/>
    </xf>
    <xf numFmtId="1" fontId="143" fillId="4" borderId="45" xfId="20" applyNumberFormat="1" applyFont="1" applyFill="1" applyBorder="1" applyAlignment="1" applyProtection="1">
      <alignment horizontal="center" vertical="center"/>
      <protection hidden="1"/>
    </xf>
    <xf numFmtId="0" fontId="141" fillId="0" borderId="17" xfId="20" applyFont="1" applyBorder="1" applyAlignment="1" applyProtection="1">
      <protection hidden="1"/>
    </xf>
    <xf numFmtId="0" fontId="141" fillId="0" borderId="18" xfId="20" applyFont="1" applyBorder="1" applyAlignment="1" applyProtection="1">
      <protection hidden="1"/>
    </xf>
    <xf numFmtId="0" fontId="145" fillId="0" borderId="45" xfId="20" applyFont="1" applyBorder="1" applyAlignment="1" applyProtection="1">
      <alignment horizontal="center"/>
      <protection hidden="1"/>
    </xf>
    <xf numFmtId="174" fontId="143" fillId="48" borderId="9" xfId="20" applyNumberFormat="1" applyFont="1" applyFill="1" applyBorder="1" applyAlignment="1" applyProtection="1">
      <alignment horizontal="center"/>
      <protection hidden="1"/>
    </xf>
    <xf numFmtId="0" fontId="144" fillId="0" borderId="9" xfId="20" applyFont="1" applyBorder="1" applyAlignment="1" applyProtection="1">
      <alignment horizontal="center"/>
      <protection hidden="1"/>
    </xf>
    <xf numFmtId="0" fontId="163" fillId="3" borderId="0" xfId="20" applyFont="1" applyFill="1" applyAlignment="1" applyProtection="1">
      <protection hidden="1"/>
    </xf>
    <xf numFmtId="0" fontId="164" fillId="3" borderId="0" xfId="20" applyFont="1" applyFill="1" applyAlignment="1" applyProtection="1">
      <protection hidden="1"/>
    </xf>
    <xf numFmtId="0" fontId="139" fillId="0" borderId="17" xfId="20" applyFont="1" applyBorder="1" applyAlignment="1" applyProtection="1">
      <protection hidden="1"/>
    </xf>
    <xf numFmtId="0" fontId="139" fillId="0" borderId="15" xfId="20" applyFont="1" applyBorder="1" applyAlignment="1" applyProtection="1">
      <protection hidden="1"/>
    </xf>
    <xf numFmtId="0" fontId="139" fillId="0" borderId="20" xfId="20" applyFont="1" applyBorder="1" applyAlignment="1" applyProtection="1">
      <protection hidden="1"/>
    </xf>
    <xf numFmtId="0" fontId="141" fillId="0" borderId="0" xfId="20" applyFont="1" applyAlignment="1" applyProtection="1">
      <alignment horizontal="center"/>
      <protection hidden="1"/>
    </xf>
    <xf numFmtId="0" fontId="139" fillId="0" borderId="19" xfId="20" applyFont="1" applyBorder="1" applyAlignment="1" applyProtection="1">
      <alignment horizontal="left"/>
      <protection hidden="1"/>
    </xf>
    <xf numFmtId="0" fontId="139" fillId="3" borderId="9" xfId="20" applyFont="1" applyFill="1" applyBorder="1" applyAlignment="1" applyProtection="1">
      <alignment horizontal="center"/>
      <protection hidden="1"/>
    </xf>
    <xf numFmtId="0" fontId="165" fillId="0" borderId="0" xfId="20" applyFont="1" applyAlignment="1" applyProtection="1">
      <protection hidden="1"/>
    </xf>
    <xf numFmtId="0" fontId="139" fillId="0" borderId="21" xfId="20" applyFont="1" applyBorder="1" applyAlignment="1" applyProtection="1">
      <protection hidden="1"/>
    </xf>
    <xf numFmtId="0" fontId="166" fillId="7" borderId="9" xfId="20" applyFont="1" applyFill="1" applyBorder="1" applyAlignment="1" applyProtection="1">
      <alignment horizontal="center"/>
      <protection locked="0" hidden="1"/>
    </xf>
    <xf numFmtId="0" fontId="139" fillId="0" borderId="14" xfId="20" applyFont="1" applyBorder="1" applyAlignment="1" applyProtection="1">
      <protection hidden="1"/>
    </xf>
    <xf numFmtId="0" fontId="139" fillId="0" borderId="22" xfId="20" applyFont="1" applyBorder="1" applyAlignment="1" applyProtection="1">
      <protection hidden="1"/>
    </xf>
    <xf numFmtId="1" fontId="143" fillId="4" borderId="9" xfId="20" applyNumberFormat="1" applyFont="1" applyFill="1" applyBorder="1" applyAlignment="1" applyProtection="1">
      <alignment horizontal="center"/>
      <protection hidden="1"/>
    </xf>
    <xf numFmtId="0" fontId="140" fillId="0" borderId="0" xfId="20" applyFont="1" applyAlignment="1" applyProtection="1">
      <protection hidden="1"/>
    </xf>
    <xf numFmtId="0" fontId="144" fillId="0" borderId="9" xfId="20" applyFont="1" applyBorder="1" applyAlignment="1" applyProtection="1">
      <alignment horizontal="right"/>
      <protection hidden="1"/>
    </xf>
    <xf numFmtId="170" fontId="145" fillId="9" borderId="9" xfId="20" applyNumberFormat="1" applyFont="1" applyFill="1" applyBorder="1" applyAlignment="1" applyProtection="1">
      <alignment horizontal="center" vertical="center"/>
      <protection locked="0" hidden="1"/>
    </xf>
    <xf numFmtId="0" fontId="141" fillId="0" borderId="9" xfId="20" applyFont="1" applyBorder="1" applyAlignment="1" applyProtection="1">
      <protection hidden="1"/>
    </xf>
    <xf numFmtId="1" fontId="145" fillId="3" borderId="32" xfId="20" applyNumberFormat="1" applyFont="1" applyFill="1" applyBorder="1" applyAlignment="1" applyProtection="1">
      <alignment horizontal="center" vertical="center"/>
      <protection hidden="1"/>
    </xf>
    <xf numFmtId="187" fontId="145" fillId="6" borderId="32" xfId="20" applyNumberFormat="1" applyFont="1" applyFill="1" applyBorder="1" applyAlignment="1" applyProtection="1">
      <alignment horizontal="left" vertical="center"/>
      <protection hidden="1"/>
    </xf>
    <xf numFmtId="0" fontId="140" fillId="0" borderId="29" xfId="20" applyFont="1" applyBorder="1" applyProtection="1">
      <alignment vertical="center"/>
      <protection hidden="1"/>
    </xf>
    <xf numFmtId="0" fontId="169" fillId="0" borderId="30" xfId="20" applyFont="1" applyBorder="1" applyProtection="1">
      <alignment vertical="center"/>
      <protection hidden="1"/>
    </xf>
    <xf numFmtId="0" fontId="139" fillId="0" borderId="31" xfId="20" applyFont="1" applyBorder="1" applyAlignment="1" applyProtection="1">
      <protection hidden="1"/>
    </xf>
    <xf numFmtId="0" fontId="139" fillId="0" borderId="32" xfId="20" applyFont="1" applyBorder="1" applyAlignment="1" applyProtection="1">
      <protection hidden="1"/>
    </xf>
    <xf numFmtId="0" fontId="139" fillId="0" borderId="29" xfId="20" applyFont="1" applyBorder="1" applyAlignment="1" applyProtection="1">
      <protection hidden="1"/>
    </xf>
    <xf numFmtId="1" fontId="141" fillId="0" borderId="0" xfId="20" applyNumberFormat="1" applyFont="1" applyAlignment="1" applyProtection="1">
      <protection hidden="1"/>
    </xf>
    <xf numFmtId="1" fontId="145" fillId="6" borderId="32" xfId="20" applyNumberFormat="1" applyFont="1" applyFill="1" applyBorder="1" applyAlignment="1" applyProtection="1">
      <alignment horizontal="left" vertical="center"/>
      <protection hidden="1"/>
    </xf>
    <xf numFmtId="0" fontId="170" fillId="0" borderId="27" xfId="20" applyFont="1" applyBorder="1" applyAlignment="1" applyProtection="1">
      <protection hidden="1"/>
    </xf>
    <xf numFmtId="0" fontId="140" fillId="0" borderId="27" xfId="20" applyFont="1" applyBorder="1" applyProtection="1">
      <alignment vertical="center"/>
      <protection hidden="1"/>
    </xf>
    <xf numFmtId="2" fontId="140" fillId="3" borderId="32" xfId="20" applyNumberFormat="1" applyFont="1" applyFill="1" applyBorder="1" applyAlignment="1" applyProtection="1">
      <alignment horizontal="center" vertical="center"/>
      <protection hidden="1"/>
    </xf>
    <xf numFmtId="0" fontId="168" fillId="0" borderId="0" xfId="20" applyFont="1" applyProtection="1">
      <alignment vertical="center"/>
      <protection hidden="1"/>
    </xf>
    <xf numFmtId="0" fontId="140" fillId="12" borderId="48" xfId="20" applyFont="1" applyFill="1" applyBorder="1" applyAlignment="1" applyProtection="1">
      <alignment horizontal="center" vertical="center"/>
      <protection hidden="1"/>
    </xf>
    <xf numFmtId="0" fontId="168" fillId="0" borderId="27" xfId="20" applyFont="1" applyBorder="1" applyAlignment="1" applyProtection="1">
      <protection hidden="1"/>
    </xf>
    <xf numFmtId="170" fontId="144" fillId="7" borderId="8" xfId="20" applyNumberFormat="1" applyFont="1" applyFill="1" applyBorder="1" applyAlignment="1" applyProtection="1">
      <alignment horizontal="center" vertical="center"/>
      <protection locked="0" hidden="1"/>
    </xf>
    <xf numFmtId="0" fontId="141" fillId="0" borderId="15" xfId="20" applyFont="1" applyBorder="1" applyAlignment="1" applyProtection="1">
      <protection hidden="1"/>
    </xf>
    <xf numFmtId="0" fontId="141" fillId="0" borderId="57" xfId="20" applyFont="1" applyBorder="1" applyAlignment="1" applyProtection="1">
      <protection hidden="1"/>
    </xf>
    <xf numFmtId="0" fontId="171" fillId="0" borderId="30" xfId="20" applyFont="1" applyBorder="1" applyAlignment="1" applyProtection="1">
      <alignment horizontal="center" vertical="center"/>
      <protection hidden="1"/>
    </xf>
    <xf numFmtId="0" fontId="168" fillId="0" borderId="80" xfId="20" applyFont="1" applyBorder="1" applyAlignment="1" applyProtection="1">
      <protection hidden="1"/>
    </xf>
    <xf numFmtId="0" fontId="172" fillId="0" borderId="0" xfId="20" applyFont="1" applyAlignment="1" applyProtection="1">
      <protection hidden="1"/>
    </xf>
    <xf numFmtId="0" fontId="140" fillId="0" borderId="28" xfId="20" applyFont="1" applyBorder="1" applyProtection="1">
      <alignment vertical="center"/>
      <protection hidden="1"/>
    </xf>
    <xf numFmtId="2" fontId="140" fillId="12" borderId="32" xfId="20" applyNumberFormat="1" applyFont="1" applyFill="1" applyBorder="1" applyAlignment="1" applyProtection="1">
      <alignment horizontal="center" vertical="center"/>
      <protection hidden="1"/>
    </xf>
    <xf numFmtId="0" fontId="168" fillId="0" borderId="25" xfId="20" applyFont="1" applyBorder="1" applyProtection="1">
      <alignment vertical="center"/>
      <protection hidden="1"/>
    </xf>
    <xf numFmtId="2" fontId="140" fillId="12" borderId="30" xfId="20" applyNumberFormat="1" applyFont="1" applyFill="1" applyBorder="1" applyAlignment="1" applyProtection="1">
      <alignment horizontal="center" vertical="center"/>
      <protection hidden="1"/>
    </xf>
    <xf numFmtId="0" fontId="168" fillId="0" borderId="88" xfId="20" applyFont="1" applyBorder="1" applyAlignment="1" applyProtection="1">
      <protection hidden="1"/>
    </xf>
    <xf numFmtId="1" fontId="144" fillId="7" borderId="8" xfId="20" applyNumberFormat="1" applyFont="1" applyFill="1" applyBorder="1" applyAlignment="1" applyProtection="1">
      <alignment horizontal="center" vertical="center"/>
      <protection locked="0" hidden="1"/>
    </xf>
    <xf numFmtId="0" fontId="144" fillId="0" borderId="0" xfId="20" applyFont="1" applyProtection="1">
      <alignment vertical="center"/>
      <protection hidden="1"/>
    </xf>
    <xf numFmtId="0" fontId="171" fillId="0" borderId="34" xfId="20" applyFont="1" applyBorder="1" applyAlignment="1" applyProtection="1">
      <alignment horizontal="center" vertical="center"/>
      <protection hidden="1"/>
    </xf>
    <xf numFmtId="0" fontId="173" fillId="0" borderId="0" xfId="20" applyFont="1" applyAlignment="1" applyProtection="1">
      <protection hidden="1"/>
    </xf>
    <xf numFmtId="0" fontId="141" fillId="0" borderId="26" xfId="20" applyFont="1" applyBorder="1" applyAlignment="1" applyProtection="1">
      <protection hidden="1"/>
    </xf>
    <xf numFmtId="0" fontId="174" fillId="0" borderId="24" xfId="20" applyFont="1" applyBorder="1" applyAlignment="1" applyProtection="1">
      <alignment horizontal="right" vertical="center"/>
      <protection hidden="1"/>
    </xf>
    <xf numFmtId="0" fontId="175" fillId="0" borderId="25" xfId="20" applyFont="1" applyBorder="1" applyProtection="1">
      <alignment vertical="center"/>
      <protection hidden="1"/>
    </xf>
    <xf numFmtId="0" fontId="165" fillId="0" borderId="25" xfId="20" applyFont="1" applyBorder="1" applyAlignment="1" applyProtection="1">
      <protection hidden="1"/>
    </xf>
    <xf numFmtId="0" fontId="165" fillId="0" borderId="28" xfId="20" applyFont="1" applyBorder="1" applyAlignment="1" applyProtection="1">
      <protection hidden="1"/>
    </xf>
    <xf numFmtId="0" fontId="141" fillId="0" borderId="25" xfId="20" applyFont="1" applyBorder="1" applyAlignment="1" applyProtection="1">
      <protection hidden="1"/>
    </xf>
    <xf numFmtId="170" fontId="144" fillId="7" borderId="37" xfId="20" applyNumberFormat="1" applyFont="1" applyFill="1" applyBorder="1" applyAlignment="1" applyProtection="1">
      <alignment horizontal="center" vertical="center"/>
      <protection locked="0" hidden="1"/>
    </xf>
    <xf numFmtId="0" fontId="141" fillId="0" borderId="28" xfId="20" applyFont="1" applyBorder="1" applyAlignment="1" applyProtection="1">
      <protection hidden="1"/>
    </xf>
    <xf numFmtId="179" fontId="139" fillId="0" borderId="0" xfId="20" applyNumberFormat="1" applyFont="1" applyAlignment="1" applyProtection="1">
      <protection hidden="1"/>
    </xf>
    <xf numFmtId="0" fontId="176" fillId="0" borderId="73" xfId="20" applyFont="1" applyBorder="1" applyAlignment="1">
      <alignment horizontal="left"/>
    </xf>
    <xf numFmtId="0" fontId="176" fillId="0" borderId="23" xfId="20" applyFont="1" applyBorder="1" applyAlignment="1"/>
    <xf numFmtId="0" fontId="176" fillId="0" borderId="29" xfId="20" applyFont="1" applyBorder="1" applyAlignment="1"/>
    <xf numFmtId="0" fontId="176" fillId="0" borderId="42" xfId="20" applyFont="1" applyBorder="1" applyAlignment="1">
      <alignment horizontal="left"/>
    </xf>
    <xf numFmtId="0" fontId="176" fillId="0" borderId="50" xfId="20" applyFont="1" applyBorder="1" applyAlignment="1"/>
    <xf numFmtId="0" fontId="176" fillId="0" borderId="52" xfId="20" applyFont="1" applyBorder="1" applyAlignment="1"/>
    <xf numFmtId="0" fontId="177" fillId="0" borderId="9" xfId="20" applyFont="1" applyBorder="1" applyAlignment="1">
      <alignment horizontal="center" vertical="center"/>
    </xf>
    <xf numFmtId="1" fontId="178" fillId="0" borderId="9" xfId="22" applyNumberFormat="1" applyBorder="1" applyAlignment="1">
      <alignment horizontal="center"/>
    </xf>
    <xf numFmtId="0" fontId="178" fillId="0" borderId="9" xfId="22" applyBorder="1" applyAlignment="1">
      <alignment horizontal="center"/>
    </xf>
    <xf numFmtId="0" fontId="176" fillId="0" borderId="63" xfId="20" applyFont="1" applyBorder="1" applyAlignment="1">
      <alignment horizontal="left"/>
    </xf>
    <xf numFmtId="0" fontId="176" fillId="0" borderId="25" xfId="20" applyFont="1" applyBorder="1" applyAlignment="1"/>
    <xf numFmtId="0" fontId="176" fillId="0" borderId="28" xfId="20" applyFont="1" applyBorder="1" applyAlignment="1"/>
    <xf numFmtId="0" fontId="141" fillId="0" borderId="30" xfId="20" applyFont="1" applyBorder="1" applyAlignment="1" applyProtection="1">
      <protection hidden="1"/>
    </xf>
    <xf numFmtId="2" fontId="141" fillId="0" borderId="48" xfId="20" applyNumberFormat="1" applyFont="1" applyBorder="1" applyAlignment="1" applyProtection="1">
      <alignment horizontal="center"/>
      <protection hidden="1"/>
    </xf>
    <xf numFmtId="0" fontId="179" fillId="0" borderId="107" xfId="21" applyFont="1" applyBorder="1" applyAlignment="1">
      <alignment horizontal="left"/>
    </xf>
    <xf numFmtId="0" fontId="179" fillId="0" borderId="108" xfId="21" applyFont="1" applyBorder="1" applyAlignment="1"/>
    <xf numFmtId="0" fontId="179" fillId="0" borderId="109" xfId="21" applyFont="1" applyBorder="1" applyAlignment="1"/>
    <xf numFmtId="0" fontId="179" fillId="0" borderId="110" xfId="21" applyFont="1" applyBorder="1" applyAlignment="1">
      <alignment horizontal="left"/>
    </xf>
    <xf numFmtId="0" fontId="179" fillId="0" borderId="111" xfId="21" applyFont="1" applyBorder="1" applyAlignment="1"/>
    <xf numFmtId="0" fontId="179" fillId="0" borderId="112" xfId="21" applyFont="1" applyBorder="1" applyAlignment="1"/>
    <xf numFmtId="0" fontId="179" fillId="0" borderId="113" xfId="21" applyFont="1" applyBorder="1" applyAlignment="1">
      <alignment horizontal="left"/>
    </xf>
    <xf numFmtId="0" fontId="179" fillId="0" borderId="114" xfId="21" applyFont="1" applyBorder="1" applyAlignment="1"/>
    <xf numFmtId="0" fontId="179" fillId="0" borderId="115" xfId="21" applyFont="1" applyBorder="1" applyAlignment="1"/>
    <xf numFmtId="0" fontId="163" fillId="3" borderId="8" xfId="20" applyFont="1" applyFill="1" applyBorder="1" applyAlignment="1" applyProtection="1">
      <alignment horizontal="center"/>
      <protection hidden="1"/>
    </xf>
    <xf numFmtId="0" fontId="149" fillId="0" borderId="0" xfId="20" applyFont="1" applyAlignment="1" applyProtection="1">
      <protection hidden="1"/>
    </xf>
    <xf numFmtId="0" fontId="138" fillId="0" borderId="40" xfId="20" applyBorder="1" applyAlignment="1">
      <alignment horizontal="center"/>
    </xf>
    <xf numFmtId="3" fontId="140" fillId="9" borderId="9" xfId="20" applyNumberFormat="1" applyFont="1" applyFill="1" applyBorder="1" applyAlignment="1" applyProtection="1">
      <alignment horizontal="center" vertical="center"/>
      <protection hidden="1"/>
    </xf>
    <xf numFmtId="0" fontId="163" fillId="3" borderId="8" xfId="20" applyFont="1" applyFill="1" applyBorder="1" applyAlignment="1" applyProtection="1">
      <alignment horizontal="center" vertical="center"/>
      <protection hidden="1"/>
    </xf>
    <xf numFmtId="0" fontId="138" fillId="0" borderId="0" xfId="20" applyAlignment="1"/>
    <xf numFmtId="0" fontId="138" fillId="2" borderId="0" xfId="20" applyFill="1" applyAlignment="1"/>
    <xf numFmtId="0" fontId="181" fillId="8" borderId="8" xfId="20" applyFont="1" applyFill="1" applyBorder="1" applyAlignment="1">
      <alignment horizontal="right"/>
    </xf>
    <xf numFmtId="0" fontId="181" fillId="8" borderId="9" xfId="20" applyFont="1" applyFill="1" applyBorder="1" applyAlignment="1">
      <alignment horizontal="center"/>
    </xf>
    <xf numFmtId="0" fontId="138" fillId="4" borderId="0" xfId="20" applyFill="1" applyAlignment="1"/>
    <xf numFmtId="0" fontId="146" fillId="0" borderId="9" xfId="20" applyFont="1" applyBorder="1" applyAlignment="1">
      <alignment horizontal="center"/>
    </xf>
    <xf numFmtId="2" fontId="138" fillId="0" borderId="9" xfId="20" applyNumberFormat="1" applyBorder="1" applyAlignment="1">
      <alignment horizontal="center"/>
    </xf>
    <xf numFmtId="170" fontId="138" fillId="0" borderId="9" xfId="20" applyNumberFormat="1" applyBorder="1" applyAlignment="1">
      <alignment horizontal="center"/>
    </xf>
    <xf numFmtId="1" fontId="138" fillId="0" borderId="0" xfId="20" applyNumberFormat="1" applyAlignment="1"/>
    <xf numFmtId="0" fontId="138" fillId="0" borderId="0" xfId="20" applyAlignment="1">
      <alignment horizontal="left"/>
    </xf>
    <xf numFmtId="0" fontId="138" fillId="0" borderId="0" xfId="20" applyAlignment="1">
      <alignment horizontal="left" indent="1"/>
    </xf>
    <xf numFmtId="170" fontId="138" fillId="2" borderId="9" xfId="20" applyNumberFormat="1" applyFill="1" applyBorder="1" applyAlignment="1">
      <alignment horizontal="center"/>
    </xf>
    <xf numFmtId="0" fontId="182" fillId="0" borderId="0" xfId="20" applyFont="1" applyAlignment="1"/>
    <xf numFmtId="0" fontId="146" fillId="0" borderId="0" xfId="20" applyFont="1" applyAlignment="1">
      <alignment horizontal="left" indent="1"/>
    </xf>
    <xf numFmtId="0" fontId="183" fillId="0" borderId="0" xfId="20" applyFont="1" applyAlignment="1"/>
    <xf numFmtId="2" fontId="138" fillId="0" borderId="0" xfId="20" applyNumberFormat="1" applyAlignment="1"/>
    <xf numFmtId="0" fontId="138" fillId="0" borderId="0" xfId="20" applyAlignment="1">
      <alignment horizontal="right"/>
    </xf>
    <xf numFmtId="170" fontId="138" fillId="0" borderId="0" xfId="20" applyNumberFormat="1" applyAlignment="1">
      <alignment horizontal="center"/>
    </xf>
    <xf numFmtId="0" fontId="138" fillId="0" borderId="0" xfId="20" applyAlignment="1">
      <alignment horizontal="center"/>
    </xf>
    <xf numFmtId="170" fontId="138" fillId="2" borderId="9" xfId="20" applyNumberFormat="1" applyFill="1" applyBorder="1" applyAlignment="1">
      <alignment horizontal="right" indent="1"/>
    </xf>
    <xf numFmtId="0" fontId="138" fillId="0" borderId="0" xfId="20" applyAlignment="1">
      <alignment horizontal="left" textRotation="90"/>
    </xf>
    <xf numFmtId="0" fontId="138" fillId="0" borderId="0" xfId="20" applyAlignment="1">
      <alignment horizontal="left" vertical="center" indent="1"/>
    </xf>
    <xf numFmtId="170" fontId="138" fillId="2" borderId="9" xfId="20" applyNumberFormat="1" applyFill="1" applyBorder="1" applyAlignment="1">
      <alignment horizontal="center" vertical="center"/>
    </xf>
    <xf numFmtId="0" fontId="182" fillId="0" borderId="0" xfId="20" applyFont="1" applyAlignment="1">
      <alignment horizontal="left" vertical="center"/>
    </xf>
    <xf numFmtId="0" fontId="138" fillId="0" borderId="0" xfId="20" applyAlignment="1">
      <alignment horizontal="left" vertical="center"/>
    </xf>
    <xf numFmtId="0" fontId="138" fillId="0" borderId="0" xfId="20">
      <alignment vertical="center"/>
    </xf>
    <xf numFmtId="0" fontId="138" fillId="0" borderId="0" xfId="20" applyAlignment="1">
      <alignment horizontal="right" indent="1"/>
    </xf>
    <xf numFmtId="170" fontId="146" fillId="0" borderId="0" xfId="20" applyNumberFormat="1" applyFont="1" applyAlignment="1"/>
    <xf numFmtId="0" fontId="146" fillId="0" borderId="0" xfId="20" applyFont="1" applyAlignment="1"/>
    <xf numFmtId="1" fontId="146" fillId="0" borderId="0" xfId="20" applyNumberFormat="1" applyFont="1" applyAlignment="1">
      <alignment horizontal="center"/>
    </xf>
    <xf numFmtId="0" fontId="138" fillId="0" borderId="0" xfId="20" applyAlignment="1">
      <alignment horizontal="right" vertical="center"/>
    </xf>
    <xf numFmtId="0" fontId="138" fillId="3" borderId="0" xfId="20" applyFill="1" applyAlignment="1">
      <alignment horizontal="center"/>
    </xf>
    <xf numFmtId="170" fontId="138" fillId="3" borderId="0" xfId="20" applyNumberFormat="1" applyFill="1" applyAlignment="1">
      <alignment horizontal="center"/>
    </xf>
    <xf numFmtId="0" fontId="183" fillId="0" borderId="0" xfId="20" applyFont="1">
      <alignment vertical="center"/>
    </xf>
    <xf numFmtId="0" fontId="146" fillId="0" borderId="0" xfId="20" applyFont="1">
      <alignment vertical="center"/>
    </xf>
    <xf numFmtId="170" fontId="138" fillId="0" borderId="0" xfId="20" applyNumberFormat="1" applyAlignment="1"/>
    <xf numFmtId="0" fontId="186" fillId="0" borderId="0" xfId="20" applyFont="1" applyAlignment="1"/>
    <xf numFmtId="1" fontId="138" fillId="0" borderId="0" xfId="20" applyNumberFormat="1" applyAlignment="1">
      <alignment horizontal="center"/>
    </xf>
    <xf numFmtId="1" fontId="138" fillId="2" borderId="0" xfId="20" applyNumberFormat="1" applyFill="1" applyAlignment="1">
      <alignment horizontal="center"/>
    </xf>
    <xf numFmtId="1" fontId="138" fillId="2" borderId="0" xfId="20" applyNumberFormat="1" applyFill="1" applyAlignment="1"/>
    <xf numFmtId="170" fontId="138" fillId="0" borderId="0" xfId="20" applyNumberFormat="1" applyAlignment="1">
      <alignment horizontal="right"/>
    </xf>
    <xf numFmtId="170" fontId="138" fillId="0" borderId="0" xfId="20" applyNumberFormat="1" applyAlignment="1">
      <alignment horizontal="left"/>
    </xf>
    <xf numFmtId="170" fontId="138" fillId="2" borderId="0" xfId="20" applyNumberFormat="1" applyFill="1" applyAlignment="1">
      <alignment horizontal="left"/>
    </xf>
    <xf numFmtId="1" fontId="138" fillId="2" borderId="0" xfId="20" applyNumberFormat="1" applyFill="1" applyAlignment="1">
      <alignment horizontal="left"/>
    </xf>
    <xf numFmtId="1" fontId="138" fillId="0" borderId="0" xfId="20" applyNumberFormat="1" applyAlignment="1">
      <alignment horizontal="left"/>
    </xf>
    <xf numFmtId="1" fontId="138" fillId="2" borderId="48" xfId="20" applyNumberFormat="1" applyFill="1" applyBorder="1" applyAlignment="1"/>
    <xf numFmtId="1" fontId="138" fillId="2" borderId="0" xfId="20" applyNumberFormat="1" applyFill="1" applyAlignment="1">
      <alignment horizontal="right"/>
    </xf>
    <xf numFmtId="2" fontId="138" fillId="2" borderId="0" xfId="20" applyNumberFormat="1" applyFill="1" applyAlignment="1"/>
    <xf numFmtId="170" fontId="183" fillId="0" borderId="9" xfId="20" applyNumberFormat="1" applyFont="1" applyBorder="1" applyAlignment="1">
      <alignment horizontal="center"/>
    </xf>
    <xf numFmtId="1" fontId="187" fillId="0" borderId="0" xfId="20" applyNumberFormat="1" applyFont="1" applyAlignment="1">
      <alignment horizontal="center"/>
    </xf>
    <xf numFmtId="1" fontId="138" fillId="2" borderId="48" xfId="20" applyNumberFormat="1" applyFill="1" applyBorder="1" applyAlignment="1">
      <alignment horizontal="left"/>
    </xf>
    <xf numFmtId="0" fontId="187" fillId="0" borderId="0" xfId="20" applyFont="1" applyAlignment="1">
      <alignment horizontal="center"/>
    </xf>
    <xf numFmtId="0" fontId="158" fillId="0" borderId="17" xfId="20" applyFont="1" applyBorder="1" applyAlignment="1"/>
    <xf numFmtId="0" fontId="138" fillId="0" borderId="15" xfId="20" applyBorder="1" applyAlignment="1"/>
    <xf numFmtId="0" fontId="138" fillId="0" borderId="19" xfId="20" applyBorder="1" applyAlignment="1"/>
    <xf numFmtId="0" fontId="158" fillId="0" borderId="0" xfId="20" applyFont="1" applyAlignment="1"/>
    <xf numFmtId="0" fontId="138" fillId="0" borderId="20" xfId="20" applyBorder="1" applyAlignment="1"/>
    <xf numFmtId="0" fontId="138" fillId="0" borderId="19" xfId="20" applyBorder="1" applyAlignment="1">
      <alignment horizontal="right"/>
    </xf>
    <xf numFmtId="0" fontId="188" fillId="0" borderId="0" xfId="20" applyFont="1" applyAlignment="1"/>
    <xf numFmtId="0" fontId="138" fillId="0" borderId="43" xfId="20" applyBorder="1" applyAlignment="1">
      <alignment horizontal="right"/>
    </xf>
    <xf numFmtId="2" fontId="138" fillId="0" borderId="50" xfId="20" applyNumberFormat="1" applyBorder="1" applyAlignment="1">
      <alignment horizontal="center"/>
    </xf>
    <xf numFmtId="0" fontId="138" fillId="0" borderId="8" xfId="20" applyBorder="1" applyAlignment="1"/>
    <xf numFmtId="0" fontId="146" fillId="0" borderId="9" xfId="20" applyFont="1" applyBorder="1" applyAlignment="1"/>
    <xf numFmtId="2" fontId="138" fillId="0" borderId="8" xfId="20" applyNumberFormat="1" applyBorder="1" applyAlignment="1">
      <alignment horizontal="center"/>
    </xf>
    <xf numFmtId="0" fontId="183" fillId="3" borderId="9" xfId="20" applyFont="1" applyFill="1" applyBorder="1" applyAlignment="1">
      <alignment horizontal="center"/>
    </xf>
    <xf numFmtId="0" fontId="183" fillId="0" borderId="9" xfId="20" applyFont="1" applyBorder="1" applyAlignment="1">
      <alignment horizontal="center"/>
    </xf>
    <xf numFmtId="0" fontId="138" fillId="0" borderId="0" xfId="20" applyAlignment="1">
      <alignment wrapText="1"/>
    </xf>
    <xf numFmtId="0" fontId="138" fillId="0" borderId="14" xfId="20" applyBorder="1" applyAlignment="1">
      <alignment horizontal="left"/>
    </xf>
    <xf numFmtId="0" fontId="138" fillId="0" borderId="45" xfId="20" applyBorder="1" applyAlignment="1">
      <alignment horizontal="center"/>
    </xf>
    <xf numFmtId="0" fontId="138" fillId="0" borderId="9" xfId="20" applyBorder="1" applyAlignment="1"/>
    <xf numFmtId="0" fontId="138" fillId="9" borderId="9" xfId="20" applyFill="1" applyBorder="1" applyAlignment="1">
      <alignment horizontal="center"/>
    </xf>
    <xf numFmtId="0" fontId="146" fillId="0" borderId="14" xfId="20" applyFont="1" applyBorder="1" applyAlignment="1"/>
    <xf numFmtId="0" fontId="138" fillId="0" borderId="14" xfId="20" applyBorder="1" applyAlignment="1"/>
    <xf numFmtId="0" fontId="138" fillId="0" borderId="22" xfId="20" applyBorder="1" applyAlignment="1"/>
    <xf numFmtId="0" fontId="138" fillId="0" borderId="17" xfId="20" applyBorder="1" applyAlignment="1"/>
    <xf numFmtId="0" fontId="158" fillId="0" borderId="0" xfId="20" applyFont="1" applyAlignment="1">
      <alignment horizontal="center" vertical="center"/>
    </xf>
    <xf numFmtId="0" fontId="138" fillId="3" borderId="9" xfId="20" applyFill="1" applyBorder="1" applyAlignment="1">
      <alignment horizontal="center"/>
    </xf>
    <xf numFmtId="0" fontId="146" fillId="0" borderId="0" xfId="20" applyFont="1" applyAlignment="1">
      <alignment horizontal="center"/>
    </xf>
    <xf numFmtId="1" fontId="138" fillId="2" borderId="14" xfId="20" applyNumberFormat="1" applyFill="1" applyBorder="1" applyAlignment="1">
      <alignment horizontal="center"/>
    </xf>
    <xf numFmtId="1" fontId="138" fillId="0" borderId="14" xfId="20" applyNumberFormat="1" applyBorder="1" applyAlignment="1">
      <alignment horizontal="center"/>
    </xf>
    <xf numFmtId="1" fontId="138" fillId="0" borderId="9" xfId="20" applyNumberFormat="1" applyBorder="1" applyAlignment="1"/>
    <xf numFmtId="1" fontId="146" fillId="2" borderId="0" xfId="20" applyNumberFormat="1" applyFont="1" applyFill="1" applyAlignment="1">
      <alignment horizontal="center"/>
    </xf>
    <xf numFmtId="170" fontId="138" fillId="0" borderId="9" xfId="20" applyNumberFormat="1" applyBorder="1" applyAlignment="1"/>
    <xf numFmtId="0" fontId="138" fillId="8" borderId="9" xfId="20" applyFill="1" applyBorder="1" applyAlignment="1">
      <alignment horizontal="center"/>
    </xf>
    <xf numFmtId="1" fontId="138" fillId="4" borderId="48" xfId="20" applyNumberFormat="1" applyFill="1" applyBorder="1" applyAlignment="1">
      <alignment horizontal="center"/>
    </xf>
    <xf numFmtId="0" fontId="138" fillId="0" borderId="21" xfId="20" applyBorder="1" applyAlignment="1"/>
    <xf numFmtId="0" fontId="146" fillId="0" borderId="14" xfId="20" applyFont="1" applyBorder="1" applyAlignment="1">
      <alignment horizontal="right"/>
    </xf>
    <xf numFmtId="0" fontId="146" fillId="0" borderId="14" xfId="20" applyFont="1" applyBorder="1" applyAlignment="1">
      <alignment horizontal="center" wrapText="1"/>
    </xf>
    <xf numFmtId="0" fontId="146" fillId="0" borderId="14" xfId="20" applyFont="1" applyBorder="1" applyAlignment="1">
      <alignment horizontal="left"/>
    </xf>
    <xf numFmtId="0" fontId="189" fillId="0" borderId="14" xfId="20" applyFont="1" applyBorder="1" applyAlignment="1">
      <alignment horizontal="center"/>
    </xf>
    <xf numFmtId="1" fontId="138" fillId="4" borderId="48" xfId="20" applyNumberFormat="1" applyFill="1" applyBorder="1" applyAlignment="1">
      <alignment horizontal="left"/>
    </xf>
    <xf numFmtId="1" fontId="138" fillId="4" borderId="36" xfId="20" applyNumberFormat="1" applyFill="1" applyBorder="1" applyAlignment="1">
      <alignment horizontal="left"/>
    </xf>
    <xf numFmtId="0" fontId="146" fillId="0" borderId="0" xfId="20" applyFont="1" applyAlignment="1">
      <alignment horizontal="right"/>
    </xf>
    <xf numFmtId="0" fontId="146" fillId="0" borderId="9" xfId="20" applyFont="1" applyBorder="1" applyAlignment="1">
      <alignment horizontal="center" wrapText="1"/>
    </xf>
    <xf numFmtId="0" fontId="146" fillId="0" borderId="0" xfId="20" applyFont="1" applyAlignment="1">
      <alignment horizontal="left"/>
    </xf>
    <xf numFmtId="0" fontId="189" fillId="0" borderId="0" xfId="20" applyFont="1" applyAlignment="1">
      <alignment horizontal="center"/>
    </xf>
    <xf numFmtId="0" fontId="146" fillId="0" borderId="0" xfId="20" applyFont="1" applyAlignment="1">
      <alignment horizontal="center" wrapText="1"/>
    </xf>
    <xf numFmtId="0" fontId="183" fillId="0" borderId="9" xfId="20" applyFont="1" applyBorder="1" applyAlignment="1">
      <alignment horizontal="right"/>
    </xf>
    <xf numFmtId="0" fontId="183" fillId="0" borderId="9" xfId="20" applyFont="1" applyBorder="1" applyAlignment="1">
      <alignment horizontal="center" wrapText="1"/>
    </xf>
    <xf numFmtId="1" fontId="187" fillId="2" borderId="0" xfId="20" applyNumberFormat="1" applyFont="1" applyFill="1" applyAlignment="1">
      <alignment horizontal="center"/>
    </xf>
    <xf numFmtId="0" fontId="190" fillId="0" borderId="0" xfId="20" applyFont="1" applyAlignment="1"/>
    <xf numFmtId="0" fontId="146" fillId="0" borderId="0" xfId="20" applyFont="1" applyAlignment="1">
      <alignment horizontal="left" wrapText="1"/>
    </xf>
    <xf numFmtId="1" fontId="138" fillId="4" borderId="9" xfId="20" applyNumberFormat="1" applyFill="1" applyBorder="1" applyAlignment="1">
      <alignment horizontal="center"/>
    </xf>
    <xf numFmtId="0" fontId="138" fillId="4" borderId="9" xfId="20" applyFill="1" applyBorder="1" applyAlignment="1">
      <alignment horizontal="center"/>
    </xf>
    <xf numFmtId="0" fontId="183" fillId="0" borderId="0" xfId="20" applyFont="1" applyAlignment="1">
      <alignment horizontal="left"/>
    </xf>
    <xf numFmtId="0" fontId="183" fillId="0" borderId="0" xfId="20" applyFont="1" applyAlignment="1">
      <alignment horizontal="center"/>
    </xf>
    <xf numFmtId="170" fontId="138" fillId="2" borderId="0" xfId="20" applyNumberFormat="1" applyFill="1" applyAlignment="1">
      <alignment horizontal="center"/>
    </xf>
    <xf numFmtId="1" fontId="138" fillId="4" borderId="0" xfId="20" applyNumberFormat="1" applyFill="1" applyAlignment="1">
      <alignment horizontal="center"/>
    </xf>
    <xf numFmtId="170" fontId="146" fillId="9" borderId="9" xfId="20" applyNumberFormat="1" applyFont="1" applyFill="1" applyBorder="1" applyAlignment="1">
      <alignment horizontal="center" wrapText="1"/>
    </xf>
    <xf numFmtId="0" fontId="146" fillId="9" borderId="9" xfId="20" applyFont="1" applyFill="1" applyBorder="1" applyAlignment="1">
      <alignment horizontal="center"/>
    </xf>
    <xf numFmtId="0" fontId="183" fillId="9" borderId="9" xfId="20" applyFont="1" applyFill="1" applyBorder="1" applyAlignment="1">
      <alignment horizontal="center"/>
    </xf>
    <xf numFmtId="0" fontId="146" fillId="0" borderId="9" xfId="20" applyFont="1" applyBorder="1" applyAlignment="1">
      <alignment horizontal="left"/>
    </xf>
    <xf numFmtId="1" fontId="138" fillId="4" borderId="36" xfId="20" applyNumberFormat="1" applyFill="1" applyBorder="1" applyAlignment="1"/>
    <xf numFmtId="1" fontId="188" fillId="0" borderId="0" xfId="20" applyNumberFormat="1" applyFont="1" applyAlignment="1">
      <alignment horizontal="center"/>
    </xf>
    <xf numFmtId="0" fontId="146" fillId="0" borderId="14" xfId="20" applyFont="1" applyBorder="1" applyAlignment="1">
      <alignment horizontal="center"/>
    </xf>
    <xf numFmtId="1" fontId="138" fillId="2" borderId="9" xfId="20" applyNumberFormat="1" applyFill="1" applyBorder="1" applyAlignment="1"/>
    <xf numFmtId="0" fontId="138" fillId="2" borderId="9" xfId="20" applyFill="1" applyBorder="1" applyAlignment="1"/>
    <xf numFmtId="170" fontId="138" fillId="2" borderId="9" xfId="20" applyNumberFormat="1" applyFill="1" applyBorder="1" applyAlignment="1"/>
    <xf numFmtId="0" fontId="191" fillId="0" borderId="0" xfId="20" applyFont="1" applyAlignment="1"/>
    <xf numFmtId="0" fontId="191" fillId="0" borderId="14" xfId="20" applyFont="1" applyBorder="1" applyAlignment="1"/>
    <xf numFmtId="167" fontId="138" fillId="2" borderId="9" xfId="20" applyNumberFormat="1" applyFill="1" applyBorder="1" applyAlignment="1"/>
    <xf numFmtId="167" fontId="138" fillId="5" borderId="9" xfId="20" applyNumberFormat="1" applyFill="1" applyBorder="1" applyAlignment="1"/>
    <xf numFmtId="2" fontId="138" fillId="6" borderId="9" xfId="20" applyNumberFormat="1" applyFill="1" applyBorder="1" applyAlignment="1"/>
    <xf numFmtId="0" fontId="138" fillId="0" borderId="0" xfId="20" quotePrefix="1" applyAlignment="1">
      <alignment horizontal="right" indent="1"/>
    </xf>
    <xf numFmtId="0" fontId="183" fillId="0" borderId="15" xfId="20" applyFont="1" applyBorder="1" applyAlignment="1"/>
    <xf numFmtId="2" fontId="138" fillId="0" borderId="15" xfId="20" applyNumberFormat="1" applyBorder="1" applyAlignment="1"/>
    <xf numFmtId="1" fontId="138" fillId="9" borderId="9" xfId="20" applyNumberFormat="1" applyFill="1" applyBorder="1" applyAlignment="1">
      <alignment horizontal="center"/>
    </xf>
    <xf numFmtId="1" fontId="183" fillId="9" borderId="9" xfId="20" applyNumberFormat="1" applyFont="1" applyFill="1" applyBorder="1" applyAlignment="1">
      <alignment horizontal="center"/>
    </xf>
    <xf numFmtId="170" fontId="138" fillId="9" borderId="9" xfId="20" applyNumberFormat="1" applyFill="1" applyBorder="1" applyAlignment="1">
      <alignment horizontal="center"/>
    </xf>
    <xf numFmtId="2" fontId="138" fillId="0" borderId="14" xfId="20" applyNumberFormat="1" applyBorder="1" applyAlignment="1"/>
    <xf numFmtId="0" fontId="194" fillId="0" borderId="0" xfId="20" applyFont="1" applyAlignment="1"/>
    <xf numFmtId="2" fontId="138" fillId="47" borderId="9" xfId="20" applyNumberFormat="1" applyFill="1" applyBorder="1" applyAlignment="1">
      <alignment horizontal="center"/>
    </xf>
    <xf numFmtId="0" fontId="183" fillId="4" borderId="9" xfId="20" applyFont="1" applyFill="1" applyBorder="1" applyAlignment="1">
      <alignment horizontal="center"/>
    </xf>
    <xf numFmtId="0" fontId="144" fillId="0" borderId="0" xfId="20" applyFont="1" applyAlignment="1" applyProtection="1">
      <alignment horizontal="right"/>
      <protection hidden="1"/>
    </xf>
    <xf numFmtId="0" fontId="141" fillId="9" borderId="9" xfId="20" applyFont="1" applyFill="1" applyBorder="1" applyAlignment="1" applyProtection="1">
      <alignment horizontal="center"/>
      <protection hidden="1"/>
    </xf>
    <xf numFmtId="0" fontId="138" fillId="0" borderId="50" xfId="20" applyBorder="1" applyAlignment="1">
      <alignment horizontal="center"/>
    </xf>
    <xf numFmtId="167" fontId="138" fillId="0" borderId="9" xfId="20" applyNumberFormat="1" applyBorder="1" applyAlignment="1">
      <alignment horizontal="center"/>
    </xf>
    <xf numFmtId="167" fontId="138" fillId="47" borderId="9" xfId="20" applyNumberFormat="1" applyFill="1" applyBorder="1" applyAlignment="1">
      <alignment horizontal="center"/>
    </xf>
    <xf numFmtId="167" fontId="138" fillId="3" borderId="9" xfId="20" applyNumberFormat="1" applyFill="1" applyBorder="1" applyAlignment="1">
      <alignment horizontal="center"/>
    </xf>
    <xf numFmtId="2" fontId="138" fillId="9" borderId="9" xfId="20" applyNumberFormat="1" applyFill="1" applyBorder="1" applyAlignment="1">
      <alignment horizontal="center"/>
    </xf>
    <xf numFmtId="0" fontId="195" fillId="0" borderId="17" xfId="20" applyFont="1" applyBorder="1" applyAlignment="1"/>
    <xf numFmtId="0" fontId="146" fillId="0" borderId="15" xfId="20" applyFont="1" applyBorder="1" applyAlignment="1"/>
    <xf numFmtId="178" fontId="138" fillId="0" borderId="0" xfId="20" applyNumberFormat="1" applyAlignment="1">
      <alignment horizontal="center"/>
    </xf>
    <xf numFmtId="0" fontId="146" fillId="0" borderId="19" xfId="20" applyFont="1" applyBorder="1" applyAlignment="1">
      <alignment horizontal="center"/>
    </xf>
    <xf numFmtId="0" fontId="146" fillId="0" borderId="21" xfId="20" applyFont="1" applyBorder="1" applyAlignment="1">
      <alignment horizontal="center"/>
    </xf>
    <xf numFmtId="0" fontId="138" fillId="9" borderId="9" xfId="20" applyFill="1" applyBorder="1" applyAlignment="1"/>
    <xf numFmtId="167" fontId="138" fillId="0" borderId="9" xfId="20" applyNumberFormat="1" applyBorder="1" applyAlignment="1"/>
    <xf numFmtId="0" fontId="138" fillId="3" borderId="9" xfId="20" applyFill="1" applyBorder="1" applyAlignment="1"/>
    <xf numFmtId="2" fontId="138" fillId="0" borderId="9" xfId="20" applyNumberFormat="1" applyBorder="1" applyAlignment="1"/>
    <xf numFmtId="2" fontId="138" fillId="9" borderId="9" xfId="20" applyNumberFormat="1" applyFill="1" applyBorder="1" applyAlignment="1">
      <alignment horizontal="right"/>
    </xf>
    <xf numFmtId="167" fontId="138" fillId="9" borderId="9" xfId="20" applyNumberFormat="1" applyFill="1" applyBorder="1" applyAlignment="1"/>
    <xf numFmtId="0" fontId="183" fillId="4" borderId="9" xfId="20" applyFont="1" applyFill="1" applyBorder="1" applyAlignment="1"/>
    <xf numFmtId="2" fontId="138" fillId="47" borderId="9" xfId="20" applyNumberFormat="1" applyFill="1" applyBorder="1" applyAlignment="1">
      <alignment horizontal="right"/>
    </xf>
    <xf numFmtId="0" fontId="138" fillId="5" borderId="9" xfId="20" applyFill="1" applyBorder="1" applyAlignment="1"/>
    <xf numFmtId="3" fontId="138" fillId="0" borderId="9" xfId="20" applyNumberFormat="1" applyBorder="1" applyAlignment="1">
      <alignment horizontal="center"/>
    </xf>
    <xf numFmtId="1" fontId="138" fillId="0" borderId="9" xfId="20" applyNumberFormat="1" applyBorder="1" applyAlignment="1">
      <alignment horizontal="center"/>
    </xf>
    <xf numFmtId="0" fontId="178" fillId="0" borderId="9" xfId="20" applyFont="1" applyBorder="1" applyAlignment="1">
      <alignment horizontal="center"/>
    </xf>
    <xf numFmtId="188" fontId="138" fillId="0" borderId="9" xfId="20" applyNumberFormat="1" applyBorder="1" applyAlignment="1">
      <alignment horizontal="center"/>
    </xf>
    <xf numFmtId="0" fontId="145" fillId="0" borderId="43" xfId="20" applyFont="1" applyBorder="1" applyAlignment="1" applyProtection="1">
      <protection hidden="1"/>
    </xf>
    <xf numFmtId="0" fontId="145" fillId="0" borderId="50" xfId="20" applyFont="1" applyBorder="1" applyAlignment="1" applyProtection="1">
      <protection hidden="1"/>
    </xf>
    <xf numFmtId="0" fontId="145" fillId="0" borderId="8" xfId="20" applyFont="1" applyBorder="1" applyAlignment="1" applyProtection="1">
      <protection hidden="1"/>
    </xf>
    <xf numFmtId="0" fontId="141" fillId="0" borderId="45" xfId="20" applyFont="1" applyBorder="1" applyAlignment="1" applyProtection="1">
      <alignment horizontal="center" vertical="center"/>
      <protection hidden="1"/>
    </xf>
    <xf numFmtId="0" fontId="139" fillId="0" borderId="45" xfId="20" applyFont="1" applyBorder="1" applyAlignment="1" applyProtection="1">
      <alignment horizontal="center" wrapText="1"/>
      <protection hidden="1"/>
    </xf>
    <xf numFmtId="0" fontId="149" fillId="0" borderId="9" xfId="21" applyFont="1" applyBorder="1" applyAlignment="1" applyProtection="1">
      <alignment horizontal="center" vertical="center"/>
      <protection hidden="1"/>
    </xf>
    <xf numFmtId="2" fontId="149" fillId="0" borderId="9" xfId="21" applyNumberFormat="1" applyFont="1" applyBorder="1" applyAlignment="1" applyProtection="1">
      <alignment horizontal="center" vertical="center"/>
      <protection hidden="1"/>
    </xf>
    <xf numFmtId="2" fontId="153" fillId="0" borderId="9" xfId="21" applyNumberFormat="1" applyFont="1" applyBorder="1" applyAlignment="1" applyProtection="1">
      <alignment horizontal="center" vertical="center"/>
      <protection hidden="1"/>
    </xf>
    <xf numFmtId="0" fontId="161" fillId="0" borderId="9" xfId="21" applyFont="1" applyBorder="1" applyAlignment="1" applyProtection="1">
      <alignment horizontal="center" vertical="center"/>
      <protection hidden="1"/>
    </xf>
    <xf numFmtId="2" fontId="161" fillId="0" borderId="9" xfId="21" applyNumberFormat="1" applyFont="1" applyBorder="1" applyAlignment="1" applyProtection="1">
      <alignment horizontal="center" vertical="center"/>
      <protection hidden="1"/>
    </xf>
    <xf numFmtId="0" fontId="155" fillId="0" borderId="9" xfId="21" applyFont="1" applyBorder="1" applyAlignment="1" applyProtection="1">
      <alignment horizontal="center" vertical="center"/>
      <protection hidden="1"/>
    </xf>
    <xf numFmtId="2" fontId="141" fillId="47" borderId="9" xfId="21" applyNumberFormat="1" applyFont="1" applyFill="1" applyBorder="1" applyAlignment="1" applyProtection="1">
      <alignment horizontal="center" vertical="center"/>
      <protection hidden="1"/>
    </xf>
    <xf numFmtId="0" fontId="138" fillId="0" borderId="17" xfId="20" applyBorder="1" applyAlignment="1">
      <alignment horizontal="left"/>
    </xf>
    <xf numFmtId="0" fontId="138" fillId="0" borderId="15" xfId="20" applyBorder="1" applyAlignment="1">
      <alignment horizontal="left"/>
    </xf>
    <xf numFmtId="0" fontId="138" fillId="0" borderId="15" xfId="20" applyBorder="1" applyAlignment="1">
      <alignment horizontal="right"/>
    </xf>
    <xf numFmtId="0" fontId="138" fillId="0" borderId="15" xfId="20" applyBorder="1" applyAlignment="1">
      <alignment horizontal="center"/>
    </xf>
    <xf numFmtId="0" fontId="138" fillId="0" borderId="19" xfId="20" applyBorder="1" applyAlignment="1">
      <alignment horizontal="left"/>
    </xf>
    <xf numFmtId="0" fontId="138" fillId="0" borderId="20" xfId="20" applyBorder="1" applyAlignment="1">
      <alignment horizontal="center"/>
    </xf>
    <xf numFmtId="0" fontId="198" fillId="0" borderId="0" xfId="20" applyFont="1" applyAlignment="1">
      <alignment horizontal="center"/>
    </xf>
    <xf numFmtId="0" fontId="199" fillId="0" borderId="0" xfId="20" applyFont="1" applyAlignment="1">
      <alignment horizontal="center"/>
    </xf>
    <xf numFmtId="0" fontId="198" fillId="0" borderId="0" xfId="20" applyFont="1" applyAlignment="1">
      <alignment horizontal="left"/>
    </xf>
    <xf numFmtId="0" fontId="199" fillId="0" borderId="0" xfId="20" applyFont="1" applyAlignment="1">
      <alignment horizontal="left"/>
    </xf>
    <xf numFmtId="0" fontId="199" fillId="0" borderId="0" xfId="20" applyFont="1" applyAlignment="1">
      <alignment horizontal="right"/>
    </xf>
    <xf numFmtId="0" fontId="201" fillId="0" borderId="0" xfId="20" applyFont="1" applyAlignment="1"/>
    <xf numFmtId="0" fontId="201" fillId="0" borderId="0" xfId="20" applyFont="1" applyAlignment="1">
      <alignment horizontal="center"/>
    </xf>
    <xf numFmtId="1" fontId="201" fillId="0" borderId="0" xfId="20" applyNumberFormat="1" applyFont="1" applyAlignment="1">
      <alignment horizontal="left"/>
    </xf>
    <xf numFmtId="1" fontId="201" fillId="0" borderId="0" xfId="20" quotePrefix="1" applyNumberFormat="1" applyFont="1" applyAlignment="1">
      <alignment horizontal="left"/>
    </xf>
    <xf numFmtId="14" fontId="201" fillId="0" borderId="0" xfId="20" applyNumberFormat="1" applyFont="1" applyAlignment="1">
      <alignment horizontal="center"/>
    </xf>
    <xf numFmtId="0" fontId="138" fillId="0" borderId="21" xfId="20" applyBorder="1" applyAlignment="1">
      <alignment horizontal="left"/>
    </xf>
    <xf numFmtId="0" fontId="138" fillId="0" borderId="14" xfId="20" applyBorder="1" applyAlignment="1">
      <alignment horizontal="right"/>
    </xf>
    <xf numFmtId="0" fontId="138" fillId="0" borderId="14" xfId="20" applyBorder="1" applyAlignment="1">
      <alignment horizontal="center"/>
    </xf>
    <xf numFmtId="0" fontId="202" fillId="0" borderId="0" xfId="20" applyFont="1" applyAlignment="1">
      <alignment horizontal="left"/>
    </xf>
    <xf numFmtId="0" fontId="203" fillId="0" borderId="0" xfId="20" applyFont="1" applyAlignment="1"/>
    <xf numFmtId="0" fontId="201" fillId="0" borderId="0" xfId="20" applyFont="1" applyAlignment="1">
      <alignment horizontal="left"/>
    </xf>
    <xf numFmtId="0" fontId="191" fillId="0" borderId="0" xfId="20" applyFont="1" applyAlignment="1">
      <alignment horizontal="left"/>
    </xf>
    <xf numFmtId="0" fontId="186" fillId="0" borderId="0" xfId="20" applyFont="1" applyAlignment="1">
      <alignment horizontal="left"/>
    </xf>
    <xf numFmtId="0" fontId="186" fillId="0" borderId="0" xfId="20" applyFont="1" applyAlignment="1">
      <alignment horizontal="right"/>
    </xf>
    <xf numFmtId="0" fontId="186" fillId="0" borderId="0" xfId="20" applyFont="1" applyAlignment="1">
      <alignment horizontal="center"/>
    </xf>
    <xf numFmtId="3" fontId="186" fillId="0" borderId="0" xfId="20" applyNumberFormat="1" applyFont="1" applyAlignment="1">
      <alignment horizontal="right"/>
    </xf>
    <xf numFmtId="0" fontId="205" fillId="0" borderId="0" xfId="20" applyFont="1" applyAlignment="1">
      <alignment horizontal="left"/>
    </xf>
    <xf numFmtId="0" fontId="206" fillId="0" borderId="0" xfId="20" applyFont="1" applyAlignment="1">
      <alignment horizontal="left"/>
    </xf>
    <xf numFmtId="1" fontId="186" fillId="0" borderId="0" xfId="20" applyNumberFormat="1" applyFont="1" applyAlignment="1">
      <alignment horizontal="right"/>
    </xf>
    <xf numFmtId="0" fontId="191" fillId="0" borderId="0" xfId="20" applyFont="1" applyAlignment="1">
      <alignment horizontal="center"/>
    </xf>
    <xf numFmtId="2" fontId="186" fillId="0" borderId="0" xfId="23" applyNumberFormat="1" applyFont="1" applyAlignment="1"/>
    <xf numFmtId="0" fontId="145" fillId="0" borderId="0" xfId="20" applyFont="1" applyAlignment="1">
      <alignment horizontal="left"/>
    </xf>
    <xf numFmtId="0" fontId="141" fillId="0" borderId="0" xfId="20" applyFont="1" applyAlignment="1">
      <alignment horizontal="left"/>
    </xf>
    <xf numFmtId="0" fontId="141" fillId="0" borderId="0" xfId="20" applyFont="1" applyAlignment="1"/>
    <xf numFmtId="0" fontId="141" fillId="0" borderId="0" xfId="20" applyFont="1" applyAlignment="1">
      <alignment horizontal="right"/>
    </xf>
    <xf numFmtId="0" fontId="141" fillId="0" borderId="0" xfId="20" applyFont="1" applyAlignment="1">
      <alignment horizontal="center"/>
    </xf>
    <xf numFmtId="0" fontId="207" fillId="0" borderId="0" xfId="20" applyFont="1" applyAlignment="1">
      <alignment horizontal="left"/>
    </xf>
    <xf numFmtId="0" fontId="139" fillId="0" borderId="0" xfId="20" applyFont="1" applyAlignment="1">
      <alignment horizontal="right"/>
    </xf>
    <xf numFmtId="170" fontId="208" fillId="0" borderId="0" xfId="20" applyNumberFormat="1" applyFont="1" applyAlignment="1"/>
    <xf numFmtId="1" fontId="141" fillId="0" borderId="0" xfId="20" applyNumberFormat="1" applyFont="1" applyAlignment="1">
      <alignment horizontal="left"/>
    </xf>
    <xf numFmtId="170" fontId="141" fillId="0" borderId="0" xfId="20" applyNumberFormat="1" applyFont="1" applyAlignment="1"/>
    <xf numFmtId="0" fontId="202" fillId="0" borderId="0" xfId="20" applyFont="1" applyAlignment="1"/>
    <xf numFmtId="0" fontId="202" fillId="0" borderId="0" xfId="20" applyFont="1" applyAlignment="1">
      <alignment horizontal="right"/>
    </xf>
    <xf numFmtId="1" fontId="202" fillId="7" borderId="0" xfId="20" applyNumberFormat="1" applyFont="1" applyFill="1" applyAlignment="1"/>
    <xf numFmtId="170" fontId="202" fillId="7" borderId="0" xfId="20" applyNumberFormat="1" applyFont="1" applyFill="1" applyAlignment="1"/>
    <xf numFmtId="0" fontId="141" fillId="0" borderId="0" xfId="20" applyFont="1" applyAlignment="1">
      <alignment horizontal="center" textRotation="45"/>
    </xf>
    <xf numFmtId="0" fontId="141" fillId="0" borderId="0" xfId="20" applyFont="1" applyAlignment="1">
      <alignment horizontal="right" vertical="top" indent="1"/>
    </xf>
    <xf numFmtId="0" fontId="141" fillId="0" borderId="0" xfId="20" applyFont="1" applyAlignment="1">
      <alignment horizontal="center" vertical="top"/>
    </xf>
    <xf numFmtId="0" fontId="202" fillId="7" borderId="0" xfId="20" applyFont="1" applyFill="1" applyAlignment="1"/>
    <xf numFmtId="0" fontId="205" fillId="0" borderId="0" xfId="20" applyFont="1" applyAlignment="1">
      <alignment horizontal="right"/>
    </xf>
    <xf numFmtId="1" fontId="202" fillId="0" borderId="0" xfId="20" applyNumberFormat="1" applyFont="1" applyAlignment="1"/>
    <xf numFmtId="2" fontId="186" fillId="0" borderId="0" xfId="20" applyNumberFormat="1" applyFont="1" applyAlignment="1">
      <alignment horizontal="right"/>
    </xf>
    <xf numFmtId="167" fontId="186" fillId="0" borderId="0" xfId="20" applyNumberFormat="1" applyFont="1" applyAlignment="1">
      <alignment horizontal="right"/>
    </xf>
    <xf numFmtId="2" fontId="186" fillId="0" borderId="0" xfId="20" applyNumberFormat="1" applyFont="1" applyAlignment="1"/>
    <xf numFmtId="170" fontId="186" fillId="0" borderId="0" xfId="20" applyNumberFormat="1" applyFont="1" applyAlignment="1"/>
    <xf numFmtId="170" fontId="202" fillId="47" borderId="9" xfId="20" applyNumberFormat="1" applyFont="1" applyFill="1" applyBorder="1" applyAlignment="1"/>
    <xf numFmtId="1" fontId="186" fillId="0" borderId="0" xfId="20" applyNumberFormat="1" applyFont="1" applyAlignment="1"/>
    <xf numFmtId="0" fontId="206" fillId="0" borderId="0" xfId="20" applyFont="1" applyAlignment="1"/>
    <xf numFmtId="1" fontId="186" fillId="7" borderId="9" xfId="20" applyNumberFormat="1" applyFont="1" applyFill="1" applyBorder="1" applyAlignment="1">
      <alignment horizontal="center"/>
    </xf>
    <xf numFmtId="1" fontId="186" fillId="9" borderId="9" xfId="20" applyNumberFormat="1" applyFont="1" applyFill="1" applyBorder="1" applyAlignment="1">
      <alignment horizontal="center"/>
    </xf>
    <xf numFmtId="0" fontId="186" fillId="9" borderId="9" xfId="20" applyFont="1" applyFill="1" applyBorder="1" applyAlignment="1">
      <alignment horizontal="center"/>
    </xf>
    <xf numFmtId="2" fontId="138" fillId="0" borderId="0" xfId="20" applyNumberFormat="1" applyAlignment="1">
      <alignment horizontal="center"/>
    </xf>
    <xf numFmtId="0" fontId="145" fillId="0" borderId="0" xfId="20" applyFont="1" applyAlignment="1"/>
    <xf numFmtId="0" fontId="186" fillId="7" borderId="0" xfId="20" applyFont="1" applyFill="1" applyAlignment="1">
      <alignment horizontal="left"/>
    </xf>
    <xf numFmtId="0" fontId="186" fillId="7" borderId="0" xfId="20" applyFont="1" applyFill="1" applyAlignment="1"/>
    <xf numFmtId="14" fontId="186" fillId="0" borderId="0" xfId="20" applyNumberFormat="1" applyFont="1" applyAlignment="1">
      <alignment horizontal="left"/>
    </xf>
    <xf numFmtId="0" fontId="211" fillId="12" borderId="0" xfId="24" applyFont="1" applyFill="1">
      <alignment vertical="center"/>
    </xf>
    <xf numFmtId="0" fontId="178" fillId="0" borderId="0" xfId="24" applyAlignment="1"/>
    <xf numFmtId="0" fontId="212" fillId="49" borderId="0" xfId="24" applyFont="1" applyFill="1" applyAlignment="1"/>
    <xf numFmtId="0" fontId="178" fillId="0" borderId="0" xfId="24" applyAlignment="1">
      <alignment horizontal="center"/>
    </xf>
    <xf numFmtId="0" fontId="178" fillId="0" borderId="27" xfId="24" applyBorder="1" applyAlignment="1"/>
    <xf numFmtId="0" fontId="178" fillId="0" borderId="26" xfId="24" applyBorder="1" applyAlignment="1"/>
    <xf numFmtId="0" fontId="158" fillId="0" borderId="26" xfId="24" applyFont="1" applyBorder="1" applyAlignment="1"/>
    <xf numFmtId="0" fontId="158" fillId="0" borderId="0" xfId="24" applyFont="1" applyAlignment="1"/>
    <xf numFmtId="0" fontId="178" fillId="0" borderId="23" xfId="24" applyBorder="1" applyAlignment="1"/>
    <xf numFmtId="0" fontId="178" fillId="0" borderId="71" xfId="24" applyBorder="1" applyAlignment="1"/>
    <xf numFmtId="0" fontId="178" fillId="0" borderId="29" xfId="24" applyBorder="1" applyAlignment="1"/>
    <xf numFmtId="0" fontId="178" fillId="0" borderId="25" xfId="24" applyBorder="1" applyAlignment="1"/>
    <xf numFmtId="0" fontId="178" fillId="0" borderId="25" xfId="24" applyBorder="1" applyAlignment="1">
      <alignment horizontal="center"/>
    </xf>
    <xf numFmtId="0" fontId="178" fillId="0" borderId="28" xfId="24" applyBorder="1" applyAlignment="1"/>
    <xf numFmtId="2" fontId="178" fillId="0" borderId="0" xfId="24" applyNumberFormat="1" applyAlignment="1">
      <alignment horizontal="center" vertical="center"/>
    </xf>
    <xf numFmtId="0" fontId="158" fillId="3" borderId="30" xfId="24" applyFont="1" applyFill="1" applyBorder="1" applyAlignment="1"/>
    <xf numFmtId="0" fontId="178" fillId="3" borderId="31" xfId="24" applyFill="1" applyBorder="1" applyAlignment="1"/>
    <xf numFmtId="2" fontId="178" fillId="3" borderId="32" xfId="24" applyNumberFormat="1" applyFill="1" applyBorder="1" applyAlignment="1">
      <alignment horizontal="center" vertical="center"/>
    </xf>
    <xf numFmtId="0" fontId="178" fillId="0" borderId="71" xfId="24" applyBorder="1" applyAlignment="1">
      <alignment horizontal="center"/>
    </xf>
    <xf numFmtId="0" fontId="178" fillId="0" borderId="71" xfId="24" applyBorder="1" applyAlignment="1">
      <alignment horizontal="right"/>
    </xf>
    <xf numFmtId="0" fontId="178" fillId="0" borderId="0" xfId="24" applyAlignment="1">
      <alignment horizontal="right"/>
    </xf>
    <xf numFmtId="0" fontId="178" fillId="0" borderId="24" xfId="24" applyBorder="1" applyAlignment="1"/>
    <xf numFmtId="0" fontId="158" fillId="0" borderId="0" xfId="24" applyFont="1" applyAlignment="1">
      <alignment horizontal="left" vertical="center"/>
    </xf>
    <xf numFmtId="0" fontId="158" fillId="0" borderId="1" xfId="24" applyFont="1" applyBorder="1" applyAlignment="1"/>
    <xf numFmtId="0" fontId="178" fillId="0" borderId="87" xfId="24" applyBorder="1" applyAlignment="1">
      <alignment horizontal="center"/>
    </xf>
    <xf numFmtId="0" fontId="178" fillId="0" borderId="28" xfId="24" applyBorder="1" applyAlignment="1">
      <alignment horizontal="center"/>
    </xf>
    <xf numFmtId="0" fontId="178" fillId="0" borderId="0" xfId="24" applyAlignment="1">
      <alignment horizontal="center" vertical="center"/>
    </xf>
    <xf numFmtId="0" fontId="216" fillId="0" borderId="0" xfId="24" applyFont="1" applyAlignment="1" applyProtection="1">
      <alignment horizontal="right"/>
      <protection locked="0"/>
    </xf>
    <xf numFmtId="0" fontId="178" fillId="3" borderId="30" xfId="24" applyFill="1" applyBorder="1" applyAlignment="1"/>
    <xf numFmtId="0" fontId="178" fillId="3" borderId="32" xfId="24" applyFill="1" applyBorder="1" applyAlignment="1">
      <alignment horizontal="center" vertical="center"/>
    </xf>
    <xf numFmtId="0" fontId="178" fillId="0" borderId="71" xfId="24" applyBorder="1" applyAlignment="1">
      <alignment horizontal="center" vertical="center"/>
    </xf>
    <xf numFmtId="0" fontId="178" fillId="0" borderId="87" xfId="24" applyBorder="1" applyAlignment="1">
      <alignment horizontal="center" vertical="center"/>
    </xf>
    <xf numFmtId="0" fontId="178" fillId="0" borderId="25" xfId="24" applyBorder="1" applyAlignment="1">
      <alignment horizontal="center" vertical="center"/>
    </xf>
    <xf numFmtId="0" fontId="178" fillId="0" borderId="28" xfId="24" applyBorder="1" applyAlignment="1">
      <alignment horizontal="center" vertical="center"/>
    </xf>
    <xf numFmtId="0" fontId="218" fillId="0" borderId="0" xfId="24" applyFont="1" applyAlignment="1"/>
    <xf numFmtId="0" fontId="178" fillId="0" borderId="0" xfId="24" applyAlignment="1">
      <alignment horizontal="left" vertical="center"/>
    </xf>
    <xf numFmtId="3" fontId="178" fillId="0" borderId="0" xfId="24" applyNumberFormat="1" applyAlignment="1">
      <alignment horizontal="center" vertical="center"/>
    </xf>
    <xf numFmtId="0" fontId="158" fillId="3" borderId="30" xfId="24" applyFont="1" applyFill="1" applyBorder="1" applyAlignment="1">
      <alignment horizontal="left" vertical="center"/>
    </xf>
    <xf numFmtId="0" fontId="178" fillId="0" borderId="14" xfId="24" applyBorder="1" applyAlignment="1">
      <alignment horizontal="center"/>
    </xf>
    <xf numFmtId="0" fontId="178" fillId="0" borderId="14" xfId="24" applyBorder="1" applyAlignment="1">
      <alignment horizontal="right"/>
    </xf>
    <xf numFmtId="2" fontId="178" fillId="0" borderId="0" xfId="24" applyNumberFormat="1" applyAlignment="1">
      <alignment horizontal="right"/>
    </xf>
    <xf numFmtId="167" fontId="178" fillId="0" borderId="48" xfId="24" applyNumberFormat="1" applyBorder="1" applyAlignment="1"/>
    <xf numFmtId="0" fontId="178" fillId="0" borderId="48" xfId="24" applyBorder="1" applyAlignment="1">
      <alignment horizontal="center" vertical="center"/>
    </xf>
    <xf numFmtId="2" fontId="178" fillId="0" borderId="14" xfId="24" applyNumberFormat="1" applyBorder="1" applyAlignment="1">
      <alignment horizontal="center" vertical="center"/>
    </xf>
    <xf numFmtId="2" fontId="178" fillId="0" borderId="48" xfId="24" applyNumberFormat="1" applyBorder="1" applyAlignment="1"/>
    <xf numFmtId="0" fontId="178" fillId="0" borderId="48" xfId="24" applyBorder="1" applyAlignment="1"/>
    <xf numFmtId="0" fontId="218" fillId="0" borderId="48" xfId="24" applyFont="1" applyBorder="1" applyAlignment="1"/>
    <xf numFmtId="0" fontId="178" fillId="0" borderId="30" xfId="24" applyBorder="1" applyAlignment="1"/>
    <xf numFmtId="0" fontId="178" fillId="0" borderId="31" xfId="24" applyBorder="1" applyAlignment="1"/>
    <xf numFmtId="0" fontId="178" fillId="0" borderId="32" xfId="24" applyBorder="1" applyAlignment="1"/>
    <xf numFmtId="167" fontId="219" fillId="0" borderId="48" xfId="24" applyNumberFormat="1" applyFont="1" applyBorder="1" applyAlignment="1"/>
    <xf numFmtId="0" fontId="178" fillId="0" borderId="34" xfId="24" applyBorder="1" applyAlignment="1">
      <alignment horizontal="center" vertical="center"/>
    </xf>
    <xf numFmtId="167" fontId="178" fillId="0" borderId="0" xfId="24" applyNumberFormat="1" applyAlignment="1">
      <alignment horizontal="center" vertical="center"/>
    </xf>
    <xf numFmtId="0" fontId="191" fillId="0" borderId="0" xfId="21" applyFont="1" applyAlignment="1">
      <alignment horizontal="center"/>
    </xf>
    <xf numFmtId="167" fontId="178" fillId="0" borderId="0" xfId="24" applyNumberFormat="1" applyAlignment="1"/>
    <xf numFmtId="0" fontId="178" fillId="0" borderId="2" xfId="24" applyBorder="1" applyAlignment="1"/>
    <xf numFmtId="0" fontId="178" fillId="0" borderId="27" xfId="24" applyBorder="1" applyAlignment="1">
      <alignment horizontal="center" vertical="center"/>
    </xf>
    <xf numFmtId="0" fontId="178" fillId="3" borderId="30" xfId="24" applyFill="1" applyBorder="1" applyAlignment="1">
      <alignment horizontal="left" vertical="center"/>
    </xf>
    <xf numFmtId="2" fontId="178" fillId="3" borderId="48" xfId="24" applyNumberFormat="1" applyFill="1" applyBorder="1" applyAlignment="1">
      <alignment horizontal="center" vertical="center"/>
    </xf>
    <xf numFmtId="0" fontId="220" fillId="0" borderId="0" xfId="24" applyFont="1" applyAlignment="1"/>
    <xf numFmtId="0" fontId="214" fillId="0" borderId="0" xfId="24" applyFont="1" applyAlignment="1"/>
    <xf numFmtId="0" fontId="158" fillId="49" borderId="26" xfId="24" applyFont="1" applyFill="1" applyBorder="1" applyAlignment="1"/>
    <xf numFmtId="0" fontId="158" fillId="49" borderId="0" xfId="24" applyFont="1" applyFill="1" applyAlignment="1"/>
    <xf numFmtId="0" fontId="158" fillId="3" borderId="31" xfId="24" applyFont="1" applyFill="1" applyBorder="1" applyAlignment="1"/>
    <xf numFmtId="170" fontId="158" fillId="3" borderId="32" xfId="24" applyNumberFormat="1" applyFont="1" applyFill="1" applyBorder="1" applyAlignment="1"/>
    <xf numFmtId="0" fontId="211" fillId="49" borderId="0" xfId="24" applyFont="1" applyFill="1" applyAlignment="1"/>
    <xf numFmtId="0" fontId="158" fillId="49" borderId="27" xfId="24" applyFont="1" applyFill="1" applyBorder="1" applyAlignment="1"/>
    <xf numFmtId="16" fontId="178" fillId="0" borderId="0" xfId="24" applyNumberFormat="1" applyAlignment="1"/>
    <xf numFmtId="0" fontId="178" fillId="0" borderId="17" xfId="22" applyBorder="1" applyAlignment="1"/>
    <xf numFmtId="0" fontId="178" fillId="0" borderId="15" xfId="22" applyBorder="1" applyAlignment="1"/>
    <xf numFmtId="0" fontId="178" fillId="0" borderId="18" xfId="22" applyBorder="1" applyAlignment="1"/>
    <xf numFmtId="0" fontId="178" fillId="0" borderId="0" xfId="22" applyAlignment="1"/>
    <xf numFmtId="0" fontId="178" fillId="0" borderId="19" xfId="22" applyBorder="1" applyAlignment="1"/>
    <xf numFmtId="0" fontId="190" fillId="0" borderId="0" xfId="22" applyFont="1" applyAlignment="1"/>
    <xf numFmtId="0" fontId="178" fillId="0" borderId="20" xfId="22" applyBorder="1" applyAlignment="1"/>
    <xf numFmtId="0" fontId="146" fillId="0" borderId="19" xfId="22" applyFont="1" applyBorder="1" applyAlignment="1">
      <alignment horizontal="center"/>
    </xf>
    <xf numFmtId="0" fontId="146" fillId="0" borderId="0" xfId="22" applyFont="1" applyAlignment="1"/>
    <xf numFmtId="0" fontId="178" fillId="50" borderId="40" xfId="22" applyFill="1" applyBorder="1" applyAlignment="1">
      <alignment horizontal="center"/>
    </xf>
    <xf numFmtId="0" fontId="178" fillId="50" borderId="9" xfId="22" applyFill="1" applyBorder="1" applyAlignment="1">
      <alignment horizontal="center"/>
    </xf>
    <xf numFmtId="0" fontId="178" fillId="0" borderId="19" xfId="22" applyBorder="1" applyAlignment="1">
      <alignment horizontal="center"/>
    </xf>
    <xf numFmtId="0" fontId="183" fillId="50" borderId="9" xfId="22" applyFont="1" applyFill="1" applyBorder="1" applyAlignment="1">
      <alignment horizontal="center"/>
    </xf>
    <xf numFmtId="2" fontId="178" fillId="51" borderId="9" xfId="22" applyNumberFormat="1" applyFill="1" applyBorder="1" applyAlignment="1">
      <alignment horizontal="center"/>
    </xf>
    <xf numFmtId="2" fontId="178" fillId="50" borderId="9" xfId="22" applyNumberFormat="1" applyFill="1" applyBorder="1" applyAlignment="1">
      <alignment horizontal="center"/>
    </xf>
    <xf numFmtId="0" fontId="224" fillId="0" borderId="0" xfId="22" applyFont="1" applyAlignment="1"/>
    <xf numFmtId="170" fontId="183" fillId="52" borderId="9" xfId="22" applyNumberFormat="1" applyFont="1" applyFill="1" applyBorder="1" applyAlignment="1">
      <alignment horizontal="center"/>
    </xf>
    <xf numFmtId="0" fontId="178" fillId="53" borderId="9" xfId="22" applyFill="1" applyBorder="1" applyAlignment="1">
      <alignment horizontal="center"/>
    </xf>
    <xf numFmtId="0" fontId="178" fillId="0" borderId="0" xfId="22" applyAlignment="1">
      <alignment horizontal="right"/>
    </xf>
    <xf numFmtId="170" fontId="178" fillId="54" borderId="9" xfId="22" applyNumberFormat="1" applyFill="1" applyBorder="1" applyAlignment="1">
      <alignment horizontal="center"/>
    </xf>
    <xf numFmtId="0" fontId="178" fillId="0" borderId="0" xfId="22" applyAlignment="1">
      <alignment horizontal="left"/>
    </xf>
    <xf numFmtId="0" fontId="188" fillId="0" borderId="0" xfId="22" applyFont="1" applyAlignment="1"/>
    <xf numFmtId="0" fontId="178" fillId="0" borderId="21" xfId="22" applyBorder="1" applyAlignment="1"/>
    <xf numFmtId="0" fontId="178" fillId="0" borderId="14" xfId="22" applyBorder="1" applyAlignment="1"/>
    <xf numFmtId="0" fontId="146" fillId="0" borderId="14" xfId="22" applyFont="1" applyBorder="1" applyAlignment="1"/>
    <xf numFmtId="0" fontId="178" fillId="0" borderId="22" xfId="22" applyBorder="1" applyAlignment="1"/>
    <xf numFmtId="0" fontId="158" fillId="0" borderId="43" xfId="22" applyFont="1" applyBorder="1" applyAlignment="1">
      <alignment horizontal="center"/>
    </xf>
    <xf numFmtId="0" fontId="158" fillId="0" borderId="0" xfId="22" applyFont="1" applyAlignment="1"/>
    <xf numFmtId="0" fontId="178" fillId="0" borderId="0" xfId="22" applyAlignment="1">
      <alignment horizontal="center"/>
    </xf>
    <xf numFmtId="0" fontId="178" fillId="9" borderId="9" xfId="22" applyFill="1" applyBorder="1" applyAlignment="1">
      <alignment horizontal="center"/>
    </xf>
    <xf numFmtId="170" fontId="178" fillId="9" borderId="9" xfId="22" applyNumberFormat="1" applyFill="1" applyBorder="1" applyAlignment="1">
      <alignment horizontal="center"/>
    </xf>
    <xf numFmtId="0" fontId="178" fillId="47" borderId="9" xfId="22" applyFill="1" applyBorder="1" applyAlignment="1">
      <alignment horizontal="center"/>
    </xf>
    <xf numFmtId="0" fontId="183" fillId="0" borderId="9" xfId="22" applyFont="1" applyBorder="1" applyAlignment="1">
      <alignment horizontal="center" vertical="center" wrapText="1"/>
    </xf>
    <xf numFmtId="0" fontId="158" fillId="0" borderId="9" xfId="22" applyFont="1" applyBorder="1" applyAlignment="1">
      <alignment horizontal="center"/>
    </xf>
    <xf numFmtId="0" fontId="183" fillId="0" borderId="9" xfId="22" applyFont="1" applyBorder="1" applyAlignment="1">
      <alignment horizontal="center"/>
    </xf>
    <xf numFmtId="0" fontId="178" fillId="0" borderId="19" xfId="22" quotePrefix="1" applyBorder="1" applyAlignment="1">
      <alignment horizontal="center"/>
    </xf>
    <xf numFmtId="0" fontId="146" fillId="0" borderId="0" xfId="22" applyFont="1" applyAlignment="1">
      <alignment horizontal="right"/>
    </xf>
    <xf numFmtId="0" fontId="158" fillId="53" borderId="40" xfId="22" applyFont="1" applyFill="1" applyBorder="1" applyAlignment="1">
      <alignment horizontal="center"/>
    </xf>
    <xf numFmtId="0" fontId="183" fillId="12" borderId="9" xfId="22" applyFont="1" applyFill="1" applyBorder="1" applyAlignment="1">
      <alignment horizontal="center" vertical="center"/>
    </xf>
    <xf numFmtId="0" fontId="183" fillId="0" borderId="40" xfId="22" applyFont="1" applyBorder="1" applyAlignment="1">
      <alignment horizontal="center" vertical="center"/>
    </xf>
    <xf numFmtId="0" fontId="183" fillId="9" borderId="9" xfId="22" applyFont="1" applyFill="1" applyBorder="1" applyAlignment="1">
      <alignment horizontal="center" vertical="center"/>
    </xf>
    <xf numFmtId="0" fontId="183" fillId="0" borderId="9" xfId="22" applyFont="1" applyBorder="1" applyAlignment="1">
      <alignment horizontal="center" vertical="center"/>
    </xf>
    <xf numFmtId="0" fontId="178" fillId="0" borderId="9" xfId="22" applyBorder="1" applyAlignment="1">
      <alignment horizontal="left"/>
    </xf>
    <xf numFmtId="0" fontId="183" fillId="9" borderId="0" xfId="22" applyFont="1" applyFill="1" applyAlignment="1">
      <alignment horizontal="center" vertical="center"/>
    </xf>
    <xf numFmtId="0" fontId="183" fillId="0" borderId="0" xfId="22" applyFont="1" applyAlignment="1">
      <alignment horizontal="center" vertical="center"/>
    </xf>
    <xf numFmtId="0" fontId="158" fillId="53" borderId="9" xfId="22" applyFont="1" applyFill="1" applyBorder="1" applyAlignment="1">
      <alignment horizontal="center"/>
    </xf>
    <xf numFmtId="0" fontId="158" fillId="0" borderId="9" xfId="22" applyFont="1" applyBorder="1" applyAlignment="1"/>
    <xf numFmtId="0" fontId="178" fillId="0" borderId="9" xfId="22" applyBorder="1" applyAlignment="1"/>
    <xf numFmtId="2" fontId="178" fillId="9" borderId="9" xfId="22" applyNumberFormat="1" applyFill="1" applyBorder="1" applyAlignment="1">
      <alignment horizontal="center"/>
    </xf>
    <xf numFmtId="0" fontId="158" fillId="0" borderId="14" xfId="22" applyFont="1" applyBorder="1" applyAlignment="1">
      <alignment horizontal="center"/>
    </xf>
    <xf numFmtId="0" fontId="178" fillId="0" borderId="17" xfId="22" quotePrefix="1" applyBorder="1" applyAlignment="1">
      <alignment horizontal="center"/>
    </xf>
    <xf numFmtId="0" fontId="146" fillId="0" borderId="15" xfId="22" applyFont="1" applyBorder="1" applyAlignment="1">
      <alignment horizontal="right"/>
    </xf>
    <xf numFmtId="0" fontId="158" fillId="0" borderId="0" xfId="22" applyFont="1" applyAlignment="1">
      <alignment horizontal="center"/>
    </xf>
    <xf numFmtId="0" fontId="146" fillId="0" borderId="0" xfId="22" applyFont="1" applyAlignment="1">
      <alignment horizontal="left"/>
    </xf>
    <xf numFmtId="0" fontId="183" fillId="0" borderId="9" xfId="22" applyFont="1" applyBorder="1" applyAlignment="1"/>
    <xf numFmtId="2" fontId="183" fillId="9" borderId="9" xfId="22" applyNumberFormat="1" applyFont="1" applyFill="1" applyBorder="1" applyAlignment="1">
      <alignment horizontal="center"/>
    </xf>
    <xf numFmtId="2" fontId="158" fillId="9" borderId="9" xfId="22" applyNumberFormat="1" applyFont="1" applyFill="1" applyBorder="1" applyAlignment="1">
      <alignment horizontal="center"/>
    </xf>
    <xf numFmtId="0" fontId="146" fillId="0" borderId="50" xfId="22" applyFont="1" applyBorder="1" applyAlignment="1"/>
    <xf numFmtId="0" fontId="178" fillId="8" borderId="0" xfId="22" applyFill="1" applyAlignment="1"/>
    <xf numFmtId="0" fontId="146" fillId="0" borderId="0" xfId="22" applyFont="1" applyAlignment="1">
      <alignment horizontal="center"/>
    </xf>
    <xf numFmtId="167" fontId="178" fillId="9" borderId="9" xfId="22" applyNumberFormat="1" applyFill="1" applyBorder="1" applyAlignment="1">
      <alignment horizontal="center"/>
    </xf>
    <xf numFmtId="170" fontId="178" fillId="50" borderId="9" xfId="22" applyNumberFormat="1" applyFill="1" applyBorder="1" applyAlignment="1">
      <alignment horizontal="center"/>
    </xf>
    <xf numFmtId="0" fontId="146" fillId="0" borderId="19" xfId="22" applyFont="1" applyBorder="1" applyAlignment="1">
      <alignment horizontal="left" wrapText="1"/>
    </xf>
    <xf numFmtId="0" fontId="146" fillId="0" borderId="21" xfId="22" applyFont="1" applyBorder="1" applyAlignment="1">
      <alignment horizontal="left" wrapText="1"/>
    </xf>
    <xf numFmtId="0" fontId="158" fillId="0" borderId="15" xfId="22" applyFont="1" applyBorder="1" applyAlignment="1"/>
    <xf numFmtId="2" fontId="178" fillId="55" borderId="9" xfId="22" applyNumberFormat="1" applyFill="1" applyBorder="1" applyAlignment="1">
      <alignment horizontal="center"/>
    </xf>
    <xf numFmtId="0" fontId="229" fillId="0" borderId="0" xfId="22" applyFont="1" applyAlignment="1">
      <alignment horizontal="left" indent="1"/>
    </xf>
    <xf numFmtId="0" fontId="230" fillId="8" borderId="9" xfId="22" applyFont="1" applyFill="1" applyBorder="1" applyAlignment="1">
      <alignment horizontal="center"/>
    </xf>
    <xf numFmtId="0" fontId="183" fillId="8" borderId="9" xfId="22" applyFont="1" applyFill="1" applyBorder="1" applyAlignment="1">
      <alignment horizontal="center"/>
    </xf>
    <xf numFmtId="0" fontId="183" fillId="8" borderId="20" xfId="22" applyFont="1" applyFill="1" applyBorder="1" applyAlignment="1"/>
    <xf numFmtId="0" fontId="158" fillId="0" borderId="40" xfId="22" applyFont="1" applyBorder="1" applyAlignment="1">
      <alignment horizontal="center"/>
    </xf>
    <xf numFmtId="0" fontId="178" fillId="0" borderId="40" xfId="22" applyBorder="1" applyAlignment="1">
      <alignment horizontal="center"/>
    </xf>
    <xf numFmtId="0" fontId="183" fillId="0" borderId="0" xfId="22" applyFont="1" applyAlignment="1"/>
    <xf numFmtId="1" fontId="178" fillId="9" borderId="9" xfId="22" applyNumberFormat="1" applyFill="1" applyBorder="1" applyAlignment="1">
      <alignment horizontal="center"/>
    </xf>
    <xf numFmtId="0" fontId="196" fillId="0" borderId="0" xfId="22" applyFont="1" applyAlignment="1">
      <alignment horizontal="center"/>
    </xf>
    <xf numFmtId="0" fontId="196" fillId="0" borderId="17" xfId="22" applyFont="1" applyBorder="1" applyAlignment="1">
      <alignment horizontal="center"/>
    </xf>
    <xf numFmtId="0" fontId="146" fillId="0" borderId="15" xfId="22" applyFont="1" applyBorder="1" applyAlignment="1">
      <alignment horizontal="left"/>
    </xf>
    <xf numFmtId="0" fontId="196" fillId="0" borderId="9" xfId="22" applyFont="1" applyBorder="1" applyAlignment="1">
      <alignment horizontal="center"/>
    </xf>
    <xf numFmtId="2" fontId="146" fillId="9" borderId="9" xfId="22" applyNumberFormat="1" applyFont="1" applyFill="1" applyBorder="1" applyAlignment="1">
      <alignment horizontal="center"/>
    </xf>
    <xf numFmtId="0" fontId="196" fillId="0" borderId="19" xfId="22" applyFont="1" applyBorder="1" applyAlignment="1">
      <alignment horizontal="center"/>
    </xf>
    <xf numFmtId="0" fontId="178" fillId="0" borderId="14" xfId="22" applyBorder="1" applyAlignment="1">
      <alignment horizontal="center"/>
    </xf>
    <xf numFmtId="0" fontId="158" fillId="0" borderId="0" xfId="22" applyFont="1" applyAlignment="1">
      <alignment horizontal="left"/>
    </xf>
    <xf numFmtId="0" fontId="189" fillId="0" borderId="15" xfId="22" applyFont="1" applyBorder="1" applyAlignment="1"/>
    <xf numFmtId="0" fontId="189" fillId="0" borderId="0" xfId="22" applyFont="1" applyAlignment="1"/>
    <xf numFmtId="2" fontId="178" fillId="0" borderId="14" xfId="22" applyNumberFormat="1" applyBorder="1" applyAlignment="1">
      <alignment horizontal="center"/>
    </xf>
    <xf numFmtId="0" fontId="178" fillId="0" borderId="17" xfId="22" applyBorder="1" applyAlignment="1">
      <alignment horizontal="center"/>
    </xf>
    <xf numFmtId="2" fontId="178" fillId="0" borderId="50" xfId="22" applyNumberFormat="1" applyBorder="1" applyAlignment="1">
      <alignment horizontal="center"/>
    </xf>
    <xf numFmtId="188" fontId="178" fillId="0" borderId="0" xfId="22" applyNumberFormat="1" applyAlignment="1">
      <alignment horizontal="center"/>
    </xf>
    <xf numFmtId="2" fontId="178" fillId="0" borderId="0" xfId="22" applyNumberFormat="1" applyAlignment="1">
      <alignment horizontal="center"/>
    </xf>
    <xf numFmtId="0" fontId="178" fillId="0" borderId="19" xfId="22" applyBorder="1" applyAlignment="1">
      <alignment horizontal="right"/>
    </xf>
    <xf numFmtId="0" fontId="178" fillId="3" borderId="9" xfId="22" applyFill="1" applyBorder="1" applyAlignment="1">
      <alignment horizontal="center"/>
    </xf>
    <xf numFmtId="0" fontId="158" fillId="47" borderId="9" xfId="22" applyFont="1" applyFill="1" applyBorder="1" applyAlignment="1">
      <alignment horizontal="center"/>
    </xf>
    <xf numFmtId="0" fontId="189" fillId="0" borderId="15" xfId="22" applyFont="1" applyBorder="1" applyAlignment="1">
      <alignment wrapText="1"/>
    </xf>
    <xf numFmtId="0" fontId="189" fillId="0" borderId="0" xfId="22" applyFont="1" applyAlignment="1">
      <alignment wrapText="1"/>
    </xf>
    <xf numFmtId="0" fontId="178" fillId="54" borderId="9" xfId="22" applyFill="1" applyBorder="1" applyAlignment="1">
      <alignment horizontal="center"/>
    </xf>
    <xf numFmtId="1" fontId="178" fillId="55" borderId="9" xfId="22" applyNumberFormat="1" applyFill="1" applyBorder="1" applyAlignment="1">
      <alignment horizontal="center"/>
    </xf>
    <xf numFmtId="0" fontId="229" fillId="0" borderId="0" xfId="22" applyFont="1" applyAlignment="1"/>
    <xf numFmtId="0" fontId="230" fillId="0" borderId="40" xfId="22" applyFont="1" applyBorder="1" applyAlignment="1">
      <alignment horizontal="center"/>
    </xf>
    <xf numFmtId="170" fontId="158" fillId="0" borderId="9" xfId="22" applyNumberFormat="1" applyFont="1" applyBorder="1" applyAlignment="1">
      <alignment horizontal="center"/>
    </xf>
    <xf numFmtId="0" fontId="183" fillId="0" borderId="0" xfId="22" applyFont="1" applyAlignment="1">
      <alignment horizontal="center"/>
    </xf>
    <xf numFmtId="0" fontId="236" fillId="0" borderId="0" xfId="22" applyFont="1" applyAlignment="1">
      <alignment horizontal="center" vertical="center" wrapText="1"/>
    </xf>
    <xf numFmtId="0" fontId="183" fillId="0" borderId="0" xfId="22" applyFont="1" applyAlignment="1">
      <alignment horizontal="left" vertical="center"/>
    </xf>
    <xf numFmtId="0" fontId="183" fillId="0" borderId="0" xfId="22" applyFont="1">
      <alignment vertical="center"/>
    </xf>
    <xf numFmtId="0" fontId="237" fillId="0" borderId="15" xfId="22" applyFont="1" applyBorder="1" applyAlignment="1"/>
    <xf numFmtId="0" fontId="183" fillId="0" borderId="15" xfId="22" applyFont="1" applyBorder="1" applyAlignment="1">
      <alignment horizontal="left" vertical="center"/>
    </xf>
    <xf numFmtId="0" fontId="183" fillId="0" borderId="15" xfId="22" applyFont="1" applyBorder="1" applyAlignment="1">
      <alignment horizontal="center" vertical="center"/>
    </xf>
    <xf numFmtId="0" fontId="183" fillId="0" borderId="15" xfId="22" applyFont="1" applyBorder="1">
      <alignment vertical="center"/>
    </xf>
    <xf numFmtId="0" fontId="183" fillId="0" borderId="18" xfId="22" applyFont="1" applyBorder="1" applyAlignment="1">
      <alignment horizontal="center" vertical="center"/>
    </xf>
    <xf numFmtId="0" fontId="183" fillId="0" borderId="19" xfId="22" applyFont="1" applyBorder="1" applyAlignment="1">
      <alignment horizontal="center"/>
    </xf>
    <xf numFmtId="0" fontId="183" fillId="0" borderId="20" xfId="22" applyFont="1" applyBorder="1" applyAlignment="1">
      <alignment horizontal="center" vertical="center"/>
    </xf>
    <xf numFmtId="0" fontId="183" fillId="0" borderId="19" xfId="22" applyFont="1" applyBorder="1" applyAlignment="1">
      <alignment horizontal="left" vertical="center"/>
    </xf>
    <xf numFmtId="0" fontId="146" fillId="0" borderId="15" xfId="22" applyFont="1" applyBorder="1" applyAlignment="1"/>
    <xf numFmtId="0" fontId="146" fillId="0" borderId="0" xfId="22" applyFont="1" applyAlignment="1">
      <alignment horizontal="center" vertical="center"/>
    </xf>
    <xf numFmtId="0" fontId="146" fillId="0" borderId="14" xfId="22" applyFont="1" applyBorder="1" applyAlignment="1">
      <alignment horizontal="center"/>
    </xf>
    <xf numFmtId="0" fontId="146" fillId="0" borderId="0" xfId="22" applyFont="1" applyAlignment="1">
      <alignment horizontal="left" vertical="center"/>
    </xf>
    <xf numFmtId="0" fontId="183" fillId="9" borderId="9" xfId="22" applyFont="1" applyFill="1" applyBorder="1" applyAlignment="1">
      <alignment horizontal="center"/>
    </xf>
    <xf numFmtId="0" fontId="236" fillId="0" borderId="0" xfId="22" applyFont="1" applyAlignment="1">
      <alignment horizontal="left" vertical="center"/>
    </xf>
    <xf numFmtId="2" fontId="150" fillId="0" borderId="9" xfId="21" applyNumberFormat="1" applyFont="1" applyBorder="1" applyAlignment="1" applyProtection="1">
      <alignment horizontal="left" vertical="center"/>
      <protection hidden="1"/>
    </xf>
    <xf numFmtId="2" fontId="141" fillId="0" borderId="9" xfId="21" applyNumberFormat="1" applyFont="1" applyBorder="1" applyAlignment="1" applyProtection="1">
      <alignment horizontal="center" vertical="center"/>
      <protection hidden="1"/>
    </xf>
    <xf numFmtId="0" fontId="146" fillId="9" borderId="9" xfId="22" applyFont="1" applyFill="1" applyBorder="1" applyAlignment="1">
      <alignment horizontal="center"/>
    </xf>
    <xf numFmtId="0" fontId="236" fillId="0" borderId="0" xfId="22" applyFont="1" applyAlignment="1">
      <alignment horizontal="left" vertical="center" wrapText="1"/>
    </xf>
    <xf numFmtId="0" fontId="146" fillId="0" borderId="9" xfId="22" applyFont="1" applyBorder="1" applyAlignment="1">
      <alignment horizontal="center"/>
    </xf>
    <xf numFmtId="167" fontId="146" fillId="9" borderId="9" xfId="22" applyNumberFormat="1" applyFont="1" applyFill="1" applyBorder="1" applyAlignment="1">
      <alignment horizontal="center"/>
    </xf>
    <xf numFmtId="2" fontId="178" fillId="0" borderId="9" xfId="22" applyNumberFormat="1" applyBorder="1" applyAlignment="1">
      <alignment horizontal="center"/>
    </xf>
    <xf numFmtId="0" fontId="146" fillId="0" borderId="0" xfId="22" applyFont="1" applyAlignment="1">
      <alignment horizontal="right" vertical="center"/>
    </xf>
    <xf numFmtId="0" fontId="146" fillId="0" borderId="14" xfId="22" applyFont="1" applyBorder="1" applyAlignment="1">
      <alignment horizontal="center" vertical="center"/>
    </xf>
    <xf numFmtId="0" fontId="146" fillId="0" borderId="20" xfId="22" applyFont="1" applyBorder="1" applyAlignment="1">
      <alignment horizontal="left" vertical="center"/>
    </xf>
    <xf numFmtId="2" fontId="183" fillId="9" borderId="9" xfId="22" applyNumberFormat="1" applyFont="1" applyFill="1" applyBorder="1" applyAlignment="1">
      <alignment horizontal="center" vertical="center"/>
    </xf>
    <xf numFmtId="0" fontId="183" fillId="3" borderId="9" xfId="22" applyFont="1" applyFill="1" applyBorder="1" applyAlignment="1">
      <alignment horizontal="center" vertical="center"/>
    </xf>
    <xf numFmtId="0" fontId="236" fillId="0" borderId="9" xfId="22" applyFont="1" applyBorder="1" applyAlignment="1">
      <alignment horizontal="center" vertical="center" wrapText="1"/>
    </xf>
    <xf numFmtId="2" fontId="183" fillId="0" borderId="9" xfId="22" applyNumberFormat="1" applyFont="1" applyBorder="1" applyAlignment="1">
      <alignment horizontal="center" vertical="center"/>
    </xf>
    <xf numFmtId="0" fontId="238" fillId="47" borderId="9" xfId="22" applyFont="1" applyFill="1" applyBorder="1" applyAlignment="1">
      <alignment horizontal="center" vertical="center"/>
    </xf>
    <xf numFmtId="170" fontId="183" fillId="0" borderId="9" xfId="22" applyNumberFormat="1" applyFont="1" applyBorder="1" applyAlignment="1">
      <alignment horizontal="center" vertical="center"/>
    </xf>
    <xf numFmtId="0" fontId="183" fillId="0" borderId="21" xfId="22" applyFont="1" applyBorder="1" applyAlignment="1">
      <alignment horizontal="left" vertical="center"/>
    </xf>
    <xf numFmtId="0" fontId="146" fillId="0" borderId="14" xfId="22" applyFont="1" applyBorder="1" applyAlignment="1">
      <alignment horizontal="left"/>
    </xf>
    <xf numFmtId="0" fontId="183" fillId="0" borderId="14" xfId="22" applyFont="1" applyBorder="1" applyAlignment="1">
      <alignment horizontal="left"/>
    </xf>
    <xf numFmtId="0" fontId="236" fillId="0" borderId="14" xfId="22" applyFont="1" applyBorder="1" applyAlignment="1">
      <alignment horizontal="left" vertical="center" wrapText="1"/>
    </xf>
    <xf numFmtId="0" fontId="146" fillId="0" borderId="14" xfId="22" applyFont="1" applyBorder="1" applyAlignment="1">
      <alignment horizontal="left" vertical="center"/>
    </xf>
    <xf numFmtId="0" fontId="146" fillId="0" borderId="22" xfId="22" applyFont="1" applyBorder="1" applyAlignment="1">
      <alignment horizontal="left" vertical="center"/>
    </xf>
    <xf numFmtId="0" fontId="183" fillId="0" borderId="17" xfId="22" applyFont="1" applyBorder="1" applyAlignment="1">
      <alignment horizontal="center"/>
    </xf>
    <xf numFmtId="0" fontId="183" fillId="0" borderId="15" xfId="22" applyFont="1" applyBorder="1" applyAlignment="1">
      <alignment horizontal="center"/>
    </xf>
    <xf numFmtId="0" fontId="236" fillId="0" borderId="15" xfId="22" applyFont="1" applyBorder="1" applyAlignment="1">
      <alignment horizontal="center" vertical="center" wrapText="1"/>
    </xf>
    <xf numFmtId="0" fontId="237" fillId="0" borderId="0" xfId="22" applyFont="1" applyAlignment="1"/>
    <xf numFmtId="178" fontId="178" fillId="0" borderId="0" xfId="22" applyNumberFormat="1" applyAlignment="1">
      <alignment horizontal="left"/>
    </xf>
    <xf numFmtId="0" fontId="188" fillId="0" borderId="9" xfId="22" applyFont="1" applyBorder="1" applyAlignment="1">
      <alignment horizontal="center"/>
    </xf>
    <xf numFmtId="178" fontId="178" fillId="0" borderId="0" xfId="22" applyNumberFormat="1" applyAlignment="1">
      <alignment horizontal="center"/>
    </xf>
    <xf numFmtId="0" fontId="183" fillId="0" borderId="0" xfId="22" applyFont="1" applyAlignment="1">
      <alignment horizontal="left"/>
    </xf>
    <xf numFmtId="0" fontId="183" fillId="3" borderId="9" xfId="22" applyFont="1" applyFill="1" applyBorder="1" applyAlignment="1">
      <alignment horizontal="center"/>
    </xf>
    <xf numFmtId="0" fontId="239" fillId="0" borderId="0" xfId="22" applyFont="1" applyAlignment="1"/>
    <xf numFmtId="0" fontId="232" fillId="0" borderId="0" xfId="22" applyFont="1" applyAlignment="1">
      <alignment horizontal="center"/>
    </xf>
    <xf numFmtId="1" fontId="178" fillId="0" borderId="0" xfId="22" applyNumberFormat="1" applyAlignment="1">
      <alignment horizontal="center"/>
    </xf>
    <xf numFmtId="0" fontId="183" fillId="0" borderId="9" xfId="22" applyFont="1" applyBorder="1" applyAlignment="1">
      <alignment horizontal="right"/>
    </xf>
    <xf numFmtId="0" fontId="158" fillId="9" borderId="9" xfId="22" applyFont="1" applyFill="1" applyBorder="1" applyAlignment="1">
      <alignment horizontal="center"/>
    </xf>
    <xf numFmtId="0" fontId="178" fillId="9" borderId="9" xfId="22" applyFill="1" applyBorder="1" applyAlignment="1"/>
    <xf numFmtId="178" fontId="183" fillId="0" borderId="0" xfId="22" applyNumberFormat="1" applyFont="1" applyAlignment="1">
      <alignment horizontal="left"/>
    </xf>
    <xf numFmtId="0" fontId="194" fillId="0" borderId="0" xfId="22" applyFont="1" applyAlignment="1">
      <alignment horizontal="center"/>
    </xf>
    <xf numFmtId="0" fontId="178" fillId="0" borderId="43" xfId="22" applyBorder="1" applyAlignment="1"/>
    <xf numFmtId="0" fontId="178" fillId="0" borderId="50" xfId="22" applyBorder="1" applyAlignment="1"/>
    <xf numFmtId="0" fontId="158" fillId="0" borderId="8" xfId="22" applyFont="1" applyBorder="1" applyAlignment="1"/>
    <xf numFmtId="0" fontId="178" fillId="0" borderId="8" xfId="22" applyBorder="1" applyAlignment="1"/>
    <xf numFmtId="0" fontId="158" fillId="0" borderId="14" xfId="22" applyFont="1" applyBorder="1" applyAlignment="1"/>
    <xf numFmtId="0" fontId="183" fillId="0" borderId="14" xfId="22" applyFont="1" applyBorder="1">
      <alignment vertical="center"/>
    </xf>
    <xf numFmtId="0" fontId="183" fillId="0" borderId="22" xfId="22" applyFont="1" applyBorder="1" applyAlignment="1">
      <alignment horizontal="center" vertical="center"/>
    </xf>
    <xf numFmtId="0" fontId="146" fillId="0" borderId="0" xfId="22" applyFont="1">
      <alignment vertical="center"/>
    </xf>
    <xf numFmtId="0" fontId="146" fillId="0" borderId="20" xfId="22" applyFont="1" applyBorder="1" applyAlignment="1">
      <alignment horizontal="center" vertical="center"/>
    </xf>
    <xf numFmtId="0" fontId="178" fillId="0" borderId="0" xfId="22" applyAlignment="1">
      <alignment horizontal="right" indent="1"/>
    </xf>
    <xf numFmtId="2" fontId="178" fillId="3" borderId="9" xfId="22" applyNumberFormat="1" applyFill="1" applyBorder="1" applyAlignment="1">
      <alignment horizontal="center"/>
    </xf>
    <xf numFmtId="0" fontId="178" fillId="9" borderId="9" xfId="22" applyFill="1" applyBorder="1" applyAlignment="1">
      <alignment horizontal="left"/>
    </xf>
    <xf numFmtId="0" fontId="178" fillId="0" borderId="0" xfId="22" applyAlignment="1">
      <alignment horizontal="left" indent="6"/>
    </xf>
    <xf numFmtId="0" fontId="178" fillId="9" borderId="45" xfId="22" applyFill="1" applyBorder="1" applyAlignment="1">
      <alignment horizontal="center"/>
    </xf>
    <xf numFmtId="0" fontId="178" fillId="0" borderId="45" xfId="22" applyBorder="1" applyAlignment="1">
      <alignment horizontal="center"/>
    </xf>
    <xf numFmtId="0" fontId="146" fillId="0" borderId="17" xfId="20" applyFont="1" applyBorder="1" applyAlignment="1">
      <alignment horizontal="left" wrapText="1"/>
    </xf>
    <xf numFmtId="0" fontId="146" fillId="0" borderId="15" xfId="20" applyFont="1" applyBorder="1" applyAlignment="1">
      <alignment horizontal="left" wrapText="1"/>
    </xf>
    <xf numFmtId="0" fontId="178" fillId="0" borderId="19" xfId="25" applyBorder="1" applyAlignment="1"/>
    <xf numFmtId="0" fontId="178" fillId="0" borderId="0" xfId="25" applyAlignment="1"/>
    <xf numFmtId="2" fontId="158" fillId="9" borderId="9" xfId="25" applyNumberFormat="1" applyFont="1" applyFill="1" applyBorder="1" applyAlignment="1">
      <alignment horizontal="center"/>
    </xf>
    <xf numFmtId="0" fontId="0" fillId="0" borderId="19" xfId="25" applyFont="1" applyBorder="1" applyAlignment="1"/>
    <xf numFmtId="0" fontId="178" fillId="3" borderId="9" xfId="25" applyFill="1" applyBorder="1" applyAlignment="1">
      <alignment horizontal="center"/>
    </xf>
    <xf numFmtId="1" fontId="178" fillId="0" borderId="14" xfId="22" applyNumberFormat="1" applyBorder="1" applyAlignment="1">
      <alignment horizontal="center"/>
    </xf>
    <xf numFmtId="0" fontId="146" fillId="47" borderId="9" xfId="22" applyFont="1" applyFill="1" applyBorder="1" applyAlignment="1">
      <alignment horizontal="center" vertical="center"/>
    </xf>
    <xf numFmtId="0" fontId="178" fillId="0" borderId="0" xfId="22" applyAlignment="1">
      <alignment horizontal="right" vertical="center"/>
    </xf>
    <xf numFmtId="0" fontId="0" fillId="0" borderId="19" xfId="25" applyFont="1" applyBorder="1" applyAlignment="1">
      <alignment horizontal="center"/>
    </xf>
    <xf numFmtId="0" fontId="158" fillId="0" borderId="9" xfId="25" applyFont="1" applyBorder="1" applyAlignment="1">
      <alignment horizontal="center"/>
    </xf>
    <xf numFmtId="170" fontId="183" fillId="9" borderId="9" xfId="20" applyNumberFormat="1" applyFont="1" applyFill="1" applyBorder="1" applyAlignment="1">
      <alignment horizontal="center" wrapText="1"/>
    </xf>
    <xf numFmtId="0" fontId="158" fillId="3" borderId="9" xfId="22" applyFont="1" applyFill="1" applyBorder="1" applyAlignment="1">
      <alignment horizontal="center"/>
    </xf>
    <xf numFmtId="0" fontId="178" fillId="0" borderId="14" xfId="22" applyBorder="1" applyAlignment="1">
      <alignment horizontal="right"/>
    </xf>
    <xf numFmtId="0" fontId="146" fillId="0" borderId="14" xfId="22" applyFont="1" applyBorder="1">
      <alignment vertical="center"/>
    </xf>
    <xf numFmtId="0" fontId="146" fillId="0" borderId="22" xfId="22" applyFont="1" applyBorder="1" applyAlignment="1">
      <alignment horizontal="center" vertical="center"/>
    </xf>
    <xf numFmtId="0" fontId="189" fillId="0" borderId="9" xfId="22" applyFont="1" applyBorder="1" applyAlignment="1">
      <alignment horizontal="center"/>
    </xf>
    <xf numFmtId="0" fontId="146" fillId="0" borderId="15" xfId="22" applyFont="1" applyBorder="1">
      <alignment vertical="center"/>
    </xf>
    <xf numFmtId="0" fontId="146" fillId="0" borderId="18" xfId="22" applyFont="1" applyBorder="1" applyAlignment="1">
      <alignment horizontal="center" vertical="center"/>
    </xf>
    <xf numFmtId="0" fontId="183" fillId="0" borderId="14" xfId="20" applyFont="1" applyBorder="1" applyAlignment="1">
      <alignment horizontal="center" wrapText="1"/>
    </xf>
    <xf numFmtId="0" fontId="178" fillId="0" borderId="14" xfId="25" applyBorder="1" applyAlignment="1"/>
    <xf numFmtId="0" fontId="189" fillId="0" borderId="0" xfId="22" applyFont="1" applyAlignment="1">
      <alignment horizontal="left"/>
    </xf>
    <xf numFmtId="0" fontId="189" fillId="0" borderId="0" xfId="22" applyFont="1" applyAlignment="1">
      <alignment horizontal="center"/>
    </xf>
    <xf numFmtId="0" fontId="189" fillId="0" borderId="0" xfId="22" applyFont="1" applyAlignment="1">
      <alignment horizontal="right"/>
    </xf>
    <xf numFmtId="0" fontId="189" fillId="0" borderId="9" xfId="22" applyFont="1" applyBorder="1" applyAlignment="1">
      <alignment horizontal="left"/>
    </xf>
    <xf numFmtId="0" fontId="183" fillId="0" borderId="17" xfId="20" applyFont="1" applyBorder="1" applyAlignment="1">
      <alignment horizontal="center"/>
    </xf>
    <xf numFmtId="0" fontId="146" fillId="9" borderId="9" xfId="20" applyFont="1" applyFill="1" applyBorder="1" applyAlignment="1">
      <alignment horizontal="center" wrapText="1"/>
    </xf>
    <xf numFmtId="2" fontId="138" fillId="3" borderId="9" xfId="20" applyNumberFormat="1" applyFill="1" applyBorder="1" applyAlignment="1">
      <alignment horizontal="center"/>
    </xf>
    <xf numFmtId="0" fontId="178" fillId="0" borderId="20" xfId="25" applyBorder="1" applyAlignment="1"/>
    <xf numFmtId="0" fontId="178" fillId="0" borderId="21" xfId="25" applyBorder="1" applyAlignment="1"/>
    <xf numFmtId="0" fontId="146" fillId="0" borderId="14" xfId="20" applyFont="1" applyBorder="1" applyAlignment="1">
      <alignment horizontal="left" wrapText="1"/>
    </xf>
    <xf numFmtId="0" fontId="178" fillId="0" borderId="22" xfId="25" applyBorder="1" applyAlignment="1"/>
    <xf numFmtId="0" fontId="146" fillId="0" borderId="0" xfId="26" applyAlignment="1"/>
    <xf numFmtId="0" fontId="146" fillId="0" borderId="9" xfId="26" applyBorder="1" applyAlignment="1">
      <alignment horizontal="center"/>
    </xf>
    <xf numFmtId="167" fontId="146" fillId="9" borderId="9" xfId="26" applyNumberFormat="1" applyFill="1" applyBorder="1" applyAlignment="1">
      <alignment horizontal="center"/>
    </xf>
    <xf numFmtId="0" fontId="146" fillId="0" borderId="15" xfId="26" applyBorder="1" applyAlignment="1"/>
    <xf numFmtId="0" fontId="146" fillId="0" borderId="18" xfId="26" applyBorder="1" applyAlignment="1"/>
    <xf numFmtId="0" fontId="146" fillId="0" borderId="20" xfId="26" applyBorder="1" applyAlignment="1"/>
    <xf numFmtId="0" fontId="146" fillId="0" borderId="19" xfId="26" applyBorder="1" applyAlignment="1">
      <alignment horizontal="center"/>
    </xf>
    <xf numFmtId="0" fontId="146" fillId="0" borderId="0" xfId="26" applyAlignment="1">
      <alignment horizontal="center"/>
    </xf>
    <xf numFmtId="0" fontId="146" fillId="0" borderId="19" xfId="26" applyBorder="1" applyAlignment="1"/>
    <xf numFmtId="0" fontId="146" fillId="0" borderId="0" xfId="26" applyAlignment="1">
      <alignment horizontal="left"/>
    </xf>
    <xf numFmtId="0" fontId="146" fillId="3" borderId="9" xfId="26" applyFill="1" applyBorder="1" applyAlignment="1">
      <alignment horizontal="center"/>
    </xf>
    <xf numFmtId="0" fontId="138" fillId="0" borderId="19" xfId="20" applyBorder="1" applyAlignment="1">
      <alignment horizontal="center"/>
    </xf>
    <xf numFmtId="0" fontId="242" fillId="0" borderId="0" xfId="20" applyFont="1" applyAlignment="1">
      <alignment horizontal="center"/>
    </xf>
    <xf numFmtId="0" fontId="138" fillId="0" borderId="0" xfId="20" applyAlignment="1">
      <alignment horizontal="center" vertical="top"/>
    </xf>
    <xf numFmtId="0" fontId="146" fillId="0" borderId="0" xfId="26" applyAlignment="1">
      <alignment horizontal="left" wrapText="1"/>
    </xf>
    <xf numFmtId="1" fontId="146" fillId="3" borderId="9" xfId="26" applyNumberFormat="1" applyFill="1" applyBorder="1" applyAlignment="1">
      <alignment horizontal="center"/>
    </xf>
    <xf numFmtId="3" fontId="146" fillId="3" borderId="9" xfId="26" applyNumberFormat="1" applyFill="1" applyBorder="1" applyAlignment="1">
      <alignment horizontal="center"/>
    </xf>
    <xf numFmtId="0" fontId="236" fillId="0" borderId="19" xfId="26" applyFont="1" applyBorder="1" applyAlignment="1">
      <alignment horizontal="left"/>
    </xf>
    <xf numFmtId="0" fontId="146" fillId="0" borderId="19" xfId="26" applyBorder="1" applyAlignment="1">
      <alignment horizontal="left"/>
    </xf>
    <xf numFmtId="2" fontId="138" fillId="0" borderId="0" xfId="20" quotePrefix="1" applyNumberFormat="1" applyAlignment="1"/>
    <xf numFmtId="0" fontId="183" fillId="0" borderId="19" xfId="26" applyFont="1" applyBorder="1" applyAlignment="1"/>
    <xf numFmtId="0" fontId="188" fillId="0" borderId="19" xfId="26" applyFont="1" applyBorder="1" applyAlignment="1"/>
    <xf numFmtId="0" fontId="146" fillId="0" borderId="0" xfId="26" applyAlignment="1">
      <alignment horizontal="right"/>
    </xf>
    <xf numFmtId="2" fontId="146" fillId="9" borderId="9" xfId="26" applyNumberFormat="1" applyFill="1" applyBorder="1" applyAlignment="1">
      <alignment horizontal="center"/>
    </xf>
    <xf numFmtId="1" fontId="146" fillId="9" borderId="9" xfId="26" applyNumberFormat="1" applyFill="1" applyBorder="1" applyAlignment="1">
      <alignment horizontal="center"/>
    </xf>
    <xf numFmtId="2" fontId="138" fillId="0" borderId="14" xfId="20" quotePrefix="1" applyNumberFormat="1" applyBorder="1" applyAlignment="1"/>
    <xf numFmtId="0" fontId="146" fillId="9" borderId="9" xfId="26" applyFill="1" applyBorder="1" applyAlignment="1">
      <alignment horizontal="center"/>
    </xf>
    <xf numFmtId="0" fontId="183" fillId="9" borderId="9" xfId="26" applyFont="1" applyFill="1" applyBorder="1" applyAlignment="1">
      <alignment horizontal="center"/>
    </xf>
    <xf numFmtId="170" fontId="146" fillId="9" borderId="9" xfId="26" applyNumberFormat="1" applyFill="1" applyBorder="1" applyAlignment="1">
      <alignment horizontal="center"/>
    </xf>
    <xf numFmtId="0" fontId="146" fillId="0" borderId="0" xfId="26" applyAlignment="1">
      <alignment vertical="top"/>
    </xf>
    <xf numFmtId="1" fontId="146" fillId="0" borderId="0" xfId="26" applyNumberFormat="1" applyAlignment="1">
      <alignment horizontal="center"/>
    </xf>
    <xf numFmtId="2" fontId="146" fillId="0" borderId="0" xfId="26" applyNumberFormat="1" applyAlignment="1">
      <alignment horizontal="center"/>
    </xf>
    <xf numFmtId="0" fontId="146" fillId="0" borderId="0" xfId="26" applyAlignment="1">
      <alignment horizontal="left" indent="1"/>
    </xf>
    <xf numFmtId="170" fontId="146" fillId="0" borderId="0" xfId="26" applyNumberFormat="1" applyAlignment="1">
      <alignment horizontal="right"/>
    </xf>
    <xf numFmtId="170" fontId="146" fillId="0" borderId="0" xfId="26" applyNumberFormat="1" applyAlignment="1"/>
    <xf numFmtId="0" fontId="146" fillId="0" borderId="19" xfId="26" applyBorder="1" applyAlignment="1">
      <alignment horizontal="right"/>
    </xf>
    <xf numFmtId="0" fontId="146" fillId="0" borderId="21" xfId="26" applyBorder="1" applyAlignment="1"/>
    <xf numFmtId="0" fontId="146" fillId="0" borderId="14" xfId="26" applyBorder="1" applyAlignment="1"/>
    <xf numFmtId="0" fontId="146" fillId="0" borderId="22" xfId="26" applyBorder="1" applyAlignment="1"/>
    <xf numFmtId="0" fontId="146" fillId="0" borderId="17" xfId="26" applyBorder="1" applyAlignment="1"/>
    <xf numFmtId="170" fontId="146" fillId="0" borderId="9" xfId="26" applyNumberFormat="1" applyBorder="1" applyAlignment="1">
      <alignment horizontal="center"/>
    </xf>
    <xf numFmtId="0" fontId="146" fillId="9" borderId="9" xfId="26" applyFill="1" applyBorder="1" applyAlignment="1"/>
    <xf numFmtId="0" fontId="183" fillId="0" borderId="9" xfId="26" applyFont="1" applyBorder="1" applyAlignment="1"/>
    <xf numFmtId="0" fontId="183" fillId="9" borderId="9" xfId="26" applyFont="1" applyFill="1" applyBorder="1" applyAlignment="1">
      <alignment horizontal="center" vertical="top"/>
    </xf>
    <xf numFmtId="0" fontId="146" fillId="0" borderId="14" xfId="26" applyBorder="1" applyAlignment="1">
      <alignment horizontal="center"/>
    </xf>
    <xf numFmtId="0" fontId="183" fillId="0" borderId="0" xfId="26" applyFont="1" applyAlignment="1">
      <alignment horizontal="center" vertical="center" wrapText="1"/>
    </xf>
    <xf numFmtId="2" fontId="146" fillId="0" borderId="9" xfId="26" applyNumberFormat="1" applyBorder="1" applyAlignment="1">
      <alignment horizontal="center"/>
    </xf>
    <xf numFmtId="2" fontId="183" fillId="9" borderId="9" xfId="26" applyNumberFormat="1" applyFont="1" applyFill="1" applyBorder="1" applyAlignment="1">
      <alignment horizontal="center"/>
    </xf>
    <xf numFmtId="170" fontId="183" fillId="12" borderId="9" xfId="26" applyNumberFormat="1" applyFont="1" applyFill="1" applyBorder="1" applyAlignment="1">
      <alignment horizontal="center"/>
    </xf>
    <xf numFmtId="0" fontId="146" fillId="47" borderId="9" xfId="26" applyFill="1" applyBorder="1" applyAlignment="1">
      <alignment horizontal="center"/>
    </xf>
    <xf numFmtId="1" fontId="146" fillId="0" borderId="0" xfId="26" applyNumberFormat="1" applyAlignment="1"/>
    <xf numFmtId="0" fontId="146" fillId="0" borderId="19" xfId="27" applyFont="1" applyBorder="1" applyAlignment="1">
      <alignment horizontal="left"/>
    </xf>
    <xf numFmtId="0" fontId="243" fillId="0" borderId="18" xfId="27" applyFont="1" applyBorder="1" applyAlignment="1"/>
    <xf numFmtId="0" fontId="243" fillId="0" borderId="19" xfId="27" applyFont="1" applyBorder="1" applyAlignment="1"/>
    <xf numFmtId="0" fontId="243" fillId="0" borderId="22" xfId="27" applyFont="1" applyBorder="1" applyAlignment="1"/>
    <xf numFmtId="0" fontId="146" fillId="0" borderId="19" xfId="27" applyFont="1" applyBorder="1" applyAlignment="1"/>
    <xf numFmtId="0" fontId="243" fillId="0" borderId="0" xfId="27" applyFont="1" applyAlignment="1"/>
    <xf numFmtId="0" fontId="183" fillId="0" borderId="17" xfId="27" applyFont="1" applyBorder="1" applyAlignment="1">
      <alignment horizontal="center"/>
    </xf>
    <xf numFmtId="2" fontId="146" fillId="0" borderId="50" xfId="27" applyNumberFormat="1" applyFont="1" applyBorder="1" applyAlignment="1">
      <alignment horizontal="center" vertical="top"/>
    </xf>
    <xf numFmtId="0" fontId="146" fillId="0" borderId="15" xfId="27" applyFont="1" applyBorder="1" applyAlignment="1">
      <alignment horizontal="center"/>
    </xf>
    <xf numFmtId="2" fontId="146" fillId="0" borderId="8" xfId="27" applyNumberFormat="1" applyFont="1" applyBorder="1" applyAlignment="1">
      <alignment horizontal="center" vertical="top"/>
    </xf>
    <xf numFmtId="170" fontId="146" fillId="0" borderId="0" xfId="27" applyNumberFormat="1" applyFont="1" applyAlignment="1">
      <alignment horizontal="center" vertical="top"/>
    </xf>
    <xf numFmtId="170" fontId="146" fillId="0" borderId="20" xfId="27" applyNumberFormat="1" applyFont="1" applyBorder="1" applyAlignment="1">
      <alignment horizontal="center" vertical="top"/>
    </xf>
    <xf numFmtId="0" fontId="146" fillId="0" borderId="21" xfId="27" applyFont="1" applyBorder="1" applyAlignment="1">
      <alignment horizontal="right"/>
    </xf>
    <xf numFmtId="2" fontId="146" fillId="9" borderId="9" xfId="27" applyNumberFormat="1" applyFont="1" applyFill="1" applyBorder="1" applyAlignment="1">
      <alignment horizontal="center"/>
    </xf>
    <xf numFmtId="0" fontId="146" fillId="0" borderId="14" xfId="27" applyFont="1" applyBorder="1" applyAlignment="1"/>
    <xf numFmtId="0" fontId="146" fillId="47" borderId="9" xfId="27" applyFont="1" applyFill="1" applyBorder="1" applyAlignment="1">
      <alignment horizontal="center"/>
    </xf>
    <xf numFmtId="0" fontId="183" fillId="0" borderId="21" xfId="27" applyFont="1" applyBorder="1" applyAlignment="1">
      <alignment horizontal="right"/>
    </xf>
    <xf numFmtId="1" fontId="146" fillId="0" borderId="0" xfId="28" applyAlignment="1"/>
    <xf numFmtId="1" fontId="183" fillId="0" borderId="9" xfId="28" applyFont="1" applyBorder="1" applyAlignment="1"/>
    <xf numFmtId="2" fontId="183" fillId="0" borderId="9" xfId="28" applyNumberFormat="1" applyFont="1" applyBorder="1" applyAlignment="1">
      <alignment horizontal="center"/>
    </xf>
    <xf numFmtId="1" fontId="183" fillId="0" borderId="9" xfId="28" applyFont="1" applyBorder="1" applyAlignment="1">
      <alignment horizontal="left"/>
    </xf>
    <xf numFmtId="1" fontId="183" fillId="0" borderId="43" xfId="28" applyFont="1" applyBorder="1" applyAlignment="1">
      <alignment horizontal="left"/>
    </xf>
    <xf numFmtId="1" fontId="183" fillId="0" borderId="8" xfId="28" applyFont="1" applyBorder="1" applyAlignment="1">
      <alignment horizontal="left"/>
    </xf>
    <xf numFmtId="1" fontId="183" fillId="0" borderId="9" xfId="28" applyFont="1" applyBorder="1" applyAlignment="1">
      <alignment horizontal="center"/>
    </xf>
    <xf numFmtId="1" fontId="183" fillId="0" borderId="19" xfId="28" applyFont="1" applyBorder="1" applyAlignment="1">
      <alignment horizontal="left"/>
    </xf>
    <xf numFmtId="1" fontId="183" fillId="0" borderId="20" xfId="28" applyFont="1" applyBorder="1" applyAlignment="1">
      <alignment horizontal="left"/>
    </xf>
    <xf numFmtId="2" fontId="224" fillId="0" borderId="9" xfId="28" applyNumberFormat="1" applyFont="1" applyBorder="1" applyAlignment="1">
      <alignment horizontal="center"/>
    </xf>
    <xf numFmtId="1" fontId="224" fillId="0" borderId="9" xfId="28" applyFont="1" applyBorder="1" applyAlignment="1"/>
    <xf numFmtId="189" fontId="146" fillId="0" borderId="0" xfId="28" applyNumberFormat="1" applyAlignment="1"/>
    <xf numFmtId="1" fontId="182" fillId="0" borderId="0" xfId="28" applyFont="1" applyAlignment="1"/>
    <xf numFmtId="1" fontId="146" fillId="0" borderId="0" xfId="28" applyAlignment="1">
      <alignment horizontal="left"/>
    </xf>
    <xf numFmtId="1" fontId="183" fillId="0" borderId="0" xfId="28" applyFont="1" applyAlignment="1"/>
    <xf numFmtId="1" fontId="183" fillId="2" borderId="45" xfId="28" applyFont="1" applyFill="1" applyBorder="1" applyAlignment="1"/>
    <xf numFmtId="1" fontId="224" fillId="2" borderId="45" xfId="28" applyFont="1" applyFill="1" applyBorder="1" applyAlignment="1"/>
    <xf numFmtId="1" fontId="146" fillId="0" borderId="0" xfId="28" applyAlignment="1">
      <alignment horizontal="center"/>
    </xf>
    <xf numFmtId="1" fontId="183" fillId="2" borderId="9" xfId="28" applyFont="1" applyFill="1" applyBorder="1" applyAlignment="1"/>
    <xf numFmtId="2" fontId="183" fillId="2" borderId="9" xfId="28" applyNumberFormat="1" applyFont="1" applyFill="1" applyBorder="1" applyAlignment="1"/>
    <xf numFmtId="1" fontId="224" fillId="0" borderId="0" xfId="28" applyFont="1" applyAlignment="1"/>
    <xf numFmtId="1" fontId="183" fillId="0" borderId="0" xfId="28" applyFont="1" applyAlignment="1">
      <alignment horizontal="center"/>
    </xf>
    <xf numFmtId="1" fontId="224" fillId="2" borderId="9" xfId="28" applyFont="1" applyFill="1" applyBorder="1" applyAlignment="1"/>
    <xf numFmtId="167" fontId="146" fillId="0" borderId="0" xfId="28" applyNumberFormat="1" applyAlignment="1"/>
    <xf numFmtId="0" fontId="138" fillId="0" borderId="45" xfId="20" applyBorder="1" applyAlignment="1"/>
    <xf numFmtId="0" fontId="138" fillId="0" borderId="46" xfId="20" applyBorder="1" applyAlignment="1">
      <alignment horizontal="center"/>
    </xf>
    <xf numFmtId="1" fontId="183" fillId="0" borderId="43" xfId="28" applyFont="1" applyBorder="1" applyAlignment="1"/>
    <xf numFmtId="1" fontId="146" fillId="0" borderId="8" xfId="28" applyBorder="1" applyAlignment="1"/>
    <xf numFmtId="2" fontId="224" fillId="0" borderId="8" xfId="28" applyNumberFormat="1" applyFont="1" applyBorder="1" applyAlignment="1">
      <alignment horizontal="center"/>
    </xf>
    <xf numFmtId="1" fontId="194" fillId="0" borderId="9" xfId="28" applyFont="1" applyBorder="1" applyAlignment="1"/>
    <xf numFmtId="2" fontId="224" fillId="0" borderId="9" xfId="28" applyNumberFormat="1" applyFont="1" applyBorder="1" applyAlignment="1"/>
    <xf numFmtId="1" fontId="224" fillId="0" borderId="8" xfId="28" applyFont="1" applyBorder="1" applyAlignment="1"/>
    <xf numFmtId="1" fontId="194" fillId="0" borderId="0" xfId="28" applyFont="1" applyAlignment="1"/>
    <xf numFmtId="1" fontId="188" fillId="0" borderId="0" xfId="28" applyFont="1" applyAlignment="1"/>
    <xf numFmtId="0" fontId="138" fillId="0" borderId="30" xfId="20" applyBorder="1" applyAlignment="1"/>
    <xf numFmtId="0" fontId="138" fillId="0" borderId="32" xfId="20" applyBorder="1" applyAlignment="1"/>
    <xf numFmtId="170" fontId="138" fillId="0" borderId="48" xfId="20" applyNumberFormat="1" applyBorder="1" applyAlignment="1">
      <alignment horizontal="center"/>
    </xf>
    <xf numFmtId="0" fontId="183" fillId="0" borderId="9" xfId="20" applyFont="1" applyBorder="1" applyAlignment="1">
      <alignment horizontal="left"/>
    </xf>
    <xf numFmtId="0" fontId="183" fillId="0" borderId="9" xfId="20" applyFont="1" applyBorder="1" applyAlignment="1"/>
    <xf numFmtId="0" fontId="138" fillId="3" borderId="9" xfId="20" applyFill="1" applyBorder="1" applyAlignment="1">
      <alignment horizontal="left"/>
    </xf>
    <xf numFmtId="0" fontId="138" fillId="0" borderId="9" xfId="20" applyBorder="1" applyAlignment="1">
      <alignment horizontal="left"/>
    </xf>
    <xf numFmtId="0" fontId="188" fillId="0" borderId="9" xfId="20" applyFont="1" applyBorder="1" applyAlignment="1">
      <alignment horizontal="left"/>
    </xf>
    <xf numFmtId="0" fontId="188" fillId="3" borderId="9" xfId="20" applyFont="1" applyFill="1" applyBorder="1" applyAlignment="1">
      <alignment horizontal="left"/>
    </xf>
    <xf numFmtId="2" fontId="188" fillId="0" borderId="9" xfId="20" applyNumberFormat="1" applyFont="1" applyBorder="1" applyAlignment="1">
      <alignment horizontal="left"/>
    </xf>
    <xf numFmtId="170" fontId="188" fillId="0" borderId="9" xfId="20" applyNumberFormat="1" applyFont="1" applyBorder="1" applyAlignment="1">
      <alignment horizontal="left"/>
    </xf>
    <xf numFmtId="0" fontId="188" fillId="0" borderId="9" xfId="20" applyFont="1" applyBorder="1" applyAlignment="1"/>
    <xf numFmtId="0" fontId="138" fillId="0" borderId="40" xfId="20" applyBorder="1" applyAlignment="1">
      <alignment horizontal="left"/>
    </xf>
    <xf numFmtId="2" fontId="188" fillId="0" borderId="9" xfId="20" applyNumberFormat="1" applyFont="1" applyBorder="1" applyAlignment="1"/>
    <xf numFmtId="170" fontId="188" fillId="0" borderId="9" xfId="20" applyNumberFormat="1" applyFont="1" applyBorder="1" applyAlignment="1"/>
    <xf numFmtId="2" fontId="138" fillId="0" borderId="0" xfId="20" applyNumberFormat="1" applyAlignment="1">
      <alignment horizontal="left"/>
    </xf>
    <xf numFmtId="1" fontId="224" fillId="6" borderId="9" xfId="20" applyNumberFormat="1" applyFont="1" applyFill="1" applyBorder="1" applyAlignment="1">
      <alignment horizontal="right"/>
    </xf>
    <xf numFmtId="1" fontId="188" fillId="0" borderId="9" xfId="20" applyNumberFormat="1" applyFont="1" applyBorder="1" applyAlignment="1"/>
    <xf numFmtId="170" fontId="224" fillId="6" borderId="9" xfId="20" applyNumberFormat="1" applyFont="1" applyFill="1" applyBorder="1" applyAlignment="1"/>
    <xf numFmtId="170" fontId="224" fillId="0" borderId="9" xfId="20" applyNumberFormat="1" applyFont="1" applyBorder="1" applyAlignment="1"/>
    <xf numFmtId="0" fontId="138" fillId="0" borderId="1" xfId="20" applyBorder="1" applyAlignment="1"/>
    <xf numFmtId="0" fontId="138" fillId="0" borderId="23" xfId="20" applyBorder="1" applyAlignment="1"/>
    <xf numFmtId="0" fontId="138" fillId="0" borderId="29" xfId="20" applyBorder="1" applyAlignment="1"/>
    <xf numFmtId="0" fontId="244" fillId="0" borderId="26" xfId="20" applyFont="1" applyBorder="1" applyAlignment="1"/>
    <xf numFmtId="0" fontId="138" fillId="0" borderId="27" xfId="20" applyBorder="1" applyAlignment="1"/>
    <xf numFmtId="0" fontId="138" fillId="0" borderId="26" xfId="20" applyBorder="1" applyAlignment="1"/>
    <xf numFmtId="0" fontId="188" fillId="0" borderId="0" xfId="20" applyFont="1" applyAlignment="1">
      <alignment horizontal="center"/>
    </xf>
    <xf numFmtId="0" fontId="138" fillId="0" borderId="31" xfId="20" applyBorder="1" applyAlignment="1"/>
    <xf numFmtId="2" fontId="188" fillId="0" borderId="23" xfId="20" applyNumberFormat="1" applyFont="1" applyBorder="1" applyAlignment="1">
      <alignment horizontal="center"/>
    </xf>
    <xf numFmtId="0" fontId="138" fillId="0" borderId="24" xfId="20" applyBorder="1" applyAlignment="1"/>
    <xf numFmtId="170" fontId="188" fillId="0" borderId="25" xfId="20" applyNumberFormat="1" applyFont="1" applyBorder="1" applyAlignment="1">
      <alignment horizontal="center"/>
    </xf>
    <xf numFmtId="0" fontId="138" fillId="0" borderId="28" xfId="20" applyBorder="1" applyAlignment="1"/>
    <xf numFmtId="0" fontId="138" fillId="0" borderId="25" xfId="20" applyBorder="1" applyAlignment="1"/>
    <xf numFmtId="0" fontId="183" fillId="0" borderId="26" xfId="20" applyFont="1" applyBorder="1" applyAlignment="1"/>
    <xf numFmtId="0" fontId="146" fillId="0" borderId="31" xfId="20" applyFont="1" applyBorder="1" applyAlignment="1">
      <alignment horizontal="center"/>
    </xf>
    <xf numFmtId="2" fontId="138" fillId="0" borderId="23" xfId="20" applyNumberFormat="1" applyBorder="1" applyAlignment="1">
      <alignment horizontal="center"/>
    </xf>
    <xf numFmtId="0" fontId="138" fillId="0" borderId="2" xfId="20" applyBorder="1" applyAlignment="1"/>
    <xf numFmtId="0" fontId="138" fillId="0" borderId="33" xfId="20" applyBorder="1" applyAlignment="1"/>
    <xf numFmtId="0" fontId="146" fillId="0" borderId="20" xfId="20" applyFont="1" applyBorder="1" applyAlignment="1"/>
    <xf numFmtId="0" fontId="138" fillId="0" borderId="34" xfId="20" applyBorder="1" applyAlignment="1"/>
    <xf numFmtId="0" fontId="138" fillId="0" borderId="78" xfId="20" applyBorder="1" applyAlignment="1"/>
    <xf numFmtId="0" fontId="138" fillId="0" borderId="58" xfId="20" applyBorder="1" applyAlignment="1"/>
    <xf numFmtId="0" fontId="231" fillId="0" borderId="0" xfId="20" applyFont="1" applyAlignment="1"/>
    <xf numFmtId="0" fontId="245" fillId="0" borderId="0" xfId="20" applyFont="1" applyAlignment="1"/>
    <xf numFmtId="0" fontId="227" fillId="0" borderId="0" xfId="20" applyFont="1" applyAlignment="1">
      <alignment horizontal="center"/>
    </xf>
    <xf numFmtId="0" fontId="138" fillId="0" borderId="73" xfId="20" applyBorder="1" applyAlignment="1"/>
    <xf numFmtId="0" fontId="138" fillId="0" borderId="60" xfId="20" applyBorder="1" applyAlignment="1"/>
    <xf numFmtId="0" fontId="138" fillId="0" borderId="62" xfId="20" applyBorder="1" applyAlignment="1"/>
    <xf numFmtId="0" fontId="138" fillId="0" borderId="61" xfId="20" applyBorder="1" applyAlignment="1"/>
    <xf numFmtId="0" fontId="138" fillId="0" borderId="79" xfId="20" applyBorder="1" applyAlignment="1"/>
    <xf numFmtId="0" fontId="138" fillId="0" borderId="46" xfId="20" applyBorder="1" applyAlignment="1"/>
    <xf numFmtId="0" fontId="138" fillId="0" borderId="63" xfId="20" applyBorder="1" applyAlignment="1"/>
    <xf numFmtId="0" fontId="138" fillId="0" borderId="64" xfId="20" applyBorder="1" applyAlignment="1"/>
    <xf numFmtId="0" fontId="138" fillId="0" borderId="81" xfId="20" applyBorder="1" applyAlignment="1"/>
    <xf numFmtId="0" fontId="138" fillId="3" borderId="48" xfId="20" applyFill="1" applyBorder="1" applyAlignment="1"/>
    <xf numFmtId="0" fontId="138" fillId="0" borderId="25" xfId="20" applyBorder="1" applyAlignment="1">
      <alignment horizontal="right"/>
    </xf>
    <xf numFmtId="0" fontId="138" fillId="3" borderId="59" xfId="20" applyFill="1" applyBorder="1" applyAlignment="1"/>
    <xf numFmtId="0" fontId="138" fillId="0" borderId="11" xfId="20" quotePrefix="1" applyBorder="1" applyAlignment="1"/>
    <xf numFmtId="1" fontId="183" fillId="0" borderId="0" xfId="20" applyNumberFormat="1" applyFont="1" applyAlignment="1"/>
    <xf numFmtId="0" fontId="178" fillId="0" borderId="0" xfId="29" applyAlignment="1"/>
    <xf numFmtId="0" fontId="178" fillId="0" borderId="19" xfId="29" applyBorder="1" applyAlignment="1"/>
    <xf numFmtId="0" fontId="178" fillId="0" borderId="19" xfId="29" applyBorder="1" applyAlignment="1">
      <alignment horizontal="center"/>
    </xf>
    <xf numFmtId="0" fontId="158" fillId="3" borderId="40" xfId="29" applyFont="1" applyFill="1" applyBorder="1" applyAlignment="1">
      <alignment horizontal="center"/>
    </xf>
    <xf numFmtId="0" fontId="178" fillId="0" borderId="20" xfId="29" applyBorder="1" applyAlignment="1"/>
    <xf numFmtId="0" fontId="158" fillId="3" borderId="9" xfId="29" applyFont="1" applyFill="1" applyBorder="1" applyAlignment="1">
      <alignment horizontal="center"/>
    </xf>
    <xf numFmtId="0" fontId="178" fillId="9" borderId="9" xfId="29" applyFill="1" applyBorder="1" applyAlignment="1">
      <alignment horizontal="center"/>
    </xf>
    <xf numFmtId="0" fontId="178" fillId="0" borderId="22" xfId="29" applyBorder="1" applyAlignment="1"/>
    <xf numFmtId="0" fontId="178" fillId="0" borderId="17" xfId="29" applyBorder="1" applyAlignment="1"/>
    <xf numFmtId="0" fontId="178" fillId="0" borderId="18" xfId="29" applyBorder="1" applyAlignment="1"/>
    <xf numFmtId="0" fontId="178" fillId="0" borderId="21" xfId="29" applyBorder="1" applyAlignment="1"/>
    <xf numFmtId="0" fontId="178" fillId="0" borderId="14" xfId="29" applyBorder="1" applyAlignment="1"/>
    <xf numFmtId="0" fontId="237" fillId="0" borderId="0" xfId="29" applyFont="1" applyAlignment="1"/>
    <xf numFmtId="0" fontId="178" fillId="0" borderId="9" xfId="29" applyBorder="1" applyAlignment="1">
      <alignment horizontal="center"/>
    </xf>
    <xf numFmtId="0" fontId="158" fillId="0" borderId="9" xfId="29" applyFont="1" applyBorder="1" applyAlignment="1">
      <alignment horizontal="center"/>
    </xf>
    <xf numFmtId="0" fontId="178" fillId="0" borderId="9" xfId="29" applyBorder="1" applyAlignment="1"/>
    <xf numFmtId="0" fontId="158" fillId="9" borderId="9" xfId="29" applyFont="1" applyFill="1" applyBorder="1" applyAlignment="1">
      <alignment horizontal="center"/>
    </xf>
    <xf numFmtId="0" fontId="183" fillId="0" borderId="9" xfId="29" applyFont="1" applyBorder="1" applyAlignment="1">
      <alignment horizontal="center"/>
    </xf>
    <xf numFmtId="0" fontId="178" fillId="0" borderId="0" xfId="29" applyAlignment="1">
      <alignment horizontal="center"/>
    </xf>
    <xf numFmtId="170" fontId="178" fillId="9" borderId="9" xfId="29" applyNumberFormat="1" applyFill="1" applyBorder="1" applyAlignment="1">
      <alignment horizontal="center"/>
    </xf>
    <xf numFmtId="0" fontId="178" fillId="0" borderId="19" xfId="29" applyBorder="1" applyAlignment="1">
      <alignment horizontal="center" vertical="center"/>
    </xf>
    <xf numFmtId="0" fontId="178" fillId="0" borderId="0" xfId="29" applyAlignment="1">
      <alignment horizontal="left" wrapText="1"/>
    </xf>
    <xf numFmtId="17" fontId="13" fillId="0" borderId="0" xfId="0" quotePrefix="1" applyNumberFormat="1" applyFont="1">
      <alignment vertical="center"/>
    </xf>
    <xf numFmtId="1" fontId="27" fillId="0" borderId="9" xfId="2" applyNumberFormat="1" applyFont="1" applyBorder="1" applyAlignment="1">
      <alignment horizontal="center" vertical="center"/>
    </xf>
    <xf numFmtId="0" fontId="23" fillId="12" borderId="48" xfId="2" applyFont="1" applyFill="1" applyBorder="1">
      <alignment vertical="center"/>
    </xf>
    <xf numFmtId="16" fontId="24" fillId="0" borderId="0" xfId="0" applyNumberFormat="1" applyFont="1" applyAlignment="1"/>
    <xf numFmtId="0" fontId="15" fillId="27" borderId="9" xfId="14" applyFont="1" applyFill="1" applyBorder="1" applyAlignment="1">
      <alignment horizontal="center" vertical="center"/>
    </xf>
    <xf numFmtId="0" fontId="13" fillId="19" borderId="45" xfId="14" applyFont="1" applyFill="1" applyBorder="1" applyAlignment="1">
      <alignment horizontal="center" vertical="center"/>
    </xf>
    <xf numFmtId="0" fontId="13" fillId="31" borderId="9" xfId="0" applyFont="1" applyFill="1" applyBorder="1" applyAlignment="1">
      <alignment horizontal="center" vertical="center"/>
    </xf>
    <xf numFmtId="182" fontId="128" fillId="31" borderId="9" xfId="0" applyNumberFormat="1" applyFont="1" applyFill="1" applyBorder="1" applyAlignment="1">
      <alignment horizontal="center" vertical="center"/>
    </xf>
    <xf numFmtId="0" fontId="19" fillId="31" borderId="0" xfId="0" applyFont="1" applyFill="1" applyAlignment="1">
      <alignment horizontal="center" vertical="center"/>
    </xf>
    <xf numFmtId="0" fontId="13" fillId="31" borderId="9" xfId="0" applyFont="1" applyFill="1" applyBorder="1">
      <alignment vertical="center"/>
    </xf>
    <xf numFmtId="180" fontId="128" fillId="31" borderId="99" xfId="0" applyNumberFormat="1" applyFont="1" applyFill="1" applyBorder="1" applyAlignment="1">
      <alignment horizontal="center" vertical="center"/>
    </xf>
    <xf numFmtId="2" fontId="13" fillId="31" borderId="9" xfId="2" applyNumberFormat="1" applyFont="1" applyFill="1" applyBorder="1" applyAlignment="1">
      <alignment horizontal="center" vertical="center"/>
    </xf>
    <xf numFmtId="0" fontId="128" fillId="31" borderId="0" xfId="0" applyFont="1" applyFill="1" applyAlignment="1">
      <alignment horizontal="center" vertical="center"/>
    </xf>
    <xf numFmtId="0" fontId="128" fillId="31" borderId="9" xfId="0" applyFont="1" applyFill="1" applyBorder="1" applyAlignment="1">
      <alignment horizontal="center" vertical="center"/>
    </xf>
    <xf numFmtId="0" fontId="128" fillId="31" borderId="98" xfId="0" applyFont="1" applyFill="1" applyBorder="1" applyAlignment="1">
      <alignment horizontal="center" vertical="center"/>
    </xf>
    <xf numFmtId="0" fontId="128" fillId="31" borderId="97" xfId="0" applyFont="1" applyFill="1" applyBorder="1" applyAlignment="1">
      <alignment horizontal="center" vertical="center"/>
    </xf>
    <xf numFmtId="0" fontId="103" fillId="31" borderId="0" xfId="7" applyFont="1" applyFill="1" applyBorder="1" applyAlignment="1">
      <alignment horizontal="left" vertical="center"/>
    </xf>
    <xf numFmtId="0" fontId="44" fillId="31" borderId="0" xfId="7" applyFont="1" applyFill="1" applyBorder="1" applyAlignment="1">
      <alignment horizontal="left" vertical="center"/>
    </xf>
    <xf numFmtId="0" fontId="13" fillId="31" borderId="9" xfId="2" applyFont="1" applyFill="1" applyBorder="1" applyAlignment="1">
      <alignment horizontal="center" vertical="center"/>
    </xf>
    <xf numFmtId="9" fontId="13" fillId="31" borderId="0" xfId="0" applyNumberFormat="1" applyFont="1" applyFill="1" applyAlignment="1">
      <alignment horizontal="center" vertical="center"/>
    </xf>
    <xf numFmtId="0" fontId="13" fillId="31" borderId="0" xfId="0" applyFont="1" applyFill="1" applyAlignment="1">
      <alignment horizontal="center" vertical="center"/>
    </xf>
    <xf numFmtId="10" fontId="13" fillId="31" borderId="0" xfId="0" applyNumberFormat="1" applyFont="1" applyFill="1">
      <alignment vertical="center"/>
    </xf>
    <xf numFmtId="0" fontId="13" fillId="31" borderId="15" xfId="0" applyFont="1" applyFill="1" applyBorder="1" applyAlignment="1">
      <alignment horizontal="center" vertical="center"/>
    </xf>
    <xf numFmtId="1" fontId="13" fillId="31" borderId="9" xfId="0" applyNumberFormat="1" applyFont="1" applyFill="1" applyBorder="1" applyAlignment="1">
      <alignment horizontal="center" vertical="center"/>
    </xf>
    <xf numFmtId="10" fontId="13" fillId="31" borderId="0" xfId="0" applyNumberFormat="1" applyFont="1" applyFill="1" applyAlignment="1">
      <alignment horizontal="center" vertical="center"/>
    </xf>
    <xf numFmtId="182" fontId="13" fillId="31" borderId="9" xfId="0" applyNumberFormat="1" applyFont="1" applyFill="1" applyBorder="1" applyAlignment="1">
      <alignment horizontal="center" vertical="center"/>
    </xf>
    <xf numFmtId="0" fontId="13" fillId="31" borderId="9" xfId="0" applyFont="1" applyFill="1" applyBorder="1" applyAlignment="1">
      <alignment horizontal="right" vertical="center"/>
    </xf>
    <xf numFmtId="1" fontId="13" fillId="31" borderId="9" xfId="0" applyNumberFormat="1" applyFont="1" applyFill="1" applyBorder="1" applyAlignment="1">
      <alignment horizontal="right" vertical="center"/>
    </xf>
    <xf numFmtId="10" fontId="13" fillId="31" borderId="9" xfId="0" applyNumberFormat="1" applyFont="1" applyFill="1" applyBorder="1">
      <alignment vertical="center"/>
    </xf>
    <xf numFmtId="173" fontId="13" fillId="31" borderId="9" xfId="2" applyNumberFormat="1" applyFont="1" applyFill="1" applyBorder="1" applyAlignment="1">
      <alignment horizontal="center"/>
    </xf>
    <xf numFmtId="182" fontId="13" fillId="31" borderId="0" xfId="0" applyNumberFormat="1" applyFont="1" applyFill="1" applyAlignment="1">
      <alignment horizontal="center" vertical="center"/>
    </xf>
    <xf numFmtId="182" fontId="13" fillId="31" borderId="0" xfId="0" applyNumberFormat="1" applyFont="1" applyFill="1">
      <alignment vertical="center"/>
    </xf>
    <xf numFmtId="10" fontId="134" fillId="31" borderId="0" xfId="0" applyNumberFormat="1" applyFont="1" applyFill="1" applyAlignment="1">
      <alignment horizontal="center" vertical="center"/>
    </xf>
    <xf numFmtId="0" fontId="13" fillId="31" borderId="9" xfId="2" applyFont="1" applyFill="1" applyBorder="1" applyAlignment="1">
      <alignment horizontal="center"/>
    </xf>
    <xf numFmtId="0" fontId="52" fillId="31" borderId="0" xfId="0" applyFont="1" applyFill="1" applyAlignment="1">
      <alignment horizontal="center" vertical="center"/>
    </xf>
    <xf numFmtId="0" fontId="13" fillId="31" borderId="0" xfId="0" applyFont="1" applyFill="1">
      <alignment vertical="center"/>
    </xf>
    <xf numFmtId="0" fontId="13" fillId="31" borderId="9" xfId="2" applyFont="1" applyFill="1" applyBorder="1" applyAlignment="1"/>
    <xf numFmtId="0" fontId="100" fillId="31" borderId="0" xfId="0" applyFont="1" applyFill="1">
      <alignment vertical="center"/>
    </xf>
    <xf numFmtId="0" fontId="24" fillId="31" borderId="9" xfId="0" applyFont="1" applyFill="1" applyBorder="1" applyAlignment="1">
      <alignment horizontal="center"/>
    </xf>
    <xf numFmtId="182" fontId="13" fillId="31" borderId="0" xfId="2" applyNumberFormat="1" applyFont="1" applyFill="1" applyAlignment="1">
      <alignment horizontal="center"/>
    </xf>
    <xf numFmtId="0" fontId="13" fillId="31" borderId="0" xfId="2" applyFont="1" applyFill="1" applyAlignment="1">
      <alignment horizontal="center"/>
    </xf>
    <xf numFmtId="2" fontId="13" fillId="31" borderId="9" xfId="0" applyNumberFormat="1" applyFont="1" applyFill="1" applyBorder="1" applyAlignment="1">
      <alignment horizontal="center" vertical="center"/>
    </xf>
    <xf numFmtId="173" fontId="13" fillId="31" borderId="0" xfId="0" applyNumberFormat="1" applyFont="1" applyFill="1">
      <alignment vertical="center"/>
    </xf>
    <xf numFmtId="182" fontId="13" fillId="31" borderId="9" xfId="2" applyNumberFormat="1" applyFont="1" applyFill="1" applyBorder="1" applyAlignment="1">
      <alignment horizontal="center"/>
    </xf>
    <xf numFmtId="0" fontId="103" fillId="31" borderId="0" xfId="7" applyFont="1" applyFill="1" applyBorder="1" applyAlignment="1">
      <alignment horizontal="center" vertical="center"/>
    </xf>
    <xf numFmtId="0" fontId="2" fillId="17" borderId="9" xfId="0" applyFont="1" applyFill="1" applyBorder="1" applyAlignment="1">
      <alignment horizontal="center" vertical="center" wrapText="1"/>
    </xf>
    <xf numFmtId="2" fontId="2" fillId="17" borderId="9" xfId="0" applyNumberFormat="1" applyFont="1" applyFill="1" applyBorder="1" applyAlignment="1">
      <alignment horizontal="center" vertical="center" shrinkToFit="1"/>
    </xf>
    <xf numFmtId="170" fontId="2" fillId="17" borderId="9" xfId="0" applyNumberFormat="1" applyFont="1" applyFill="1" applyBorder="1" applyAlignment="1">
      <alignment horizontal="center" vertical="center" shrinkToFit="1"/>
    </xf>
    <xf numFmtId="1" fontId="2" fillId="17" borderId="9" xfId="0" applyNumberFormat="1" applyFont="1" applyFill="1" applyBorder="1" applyAlignment="1">
      <alignment horizontal="center" vertical="center" shrinkToFit="1"/>
    </xf>
    <xf numFmtId="0" fontId="2" fillId="46" borderId="0" xfId="0" applyFont="1" applyFill="1" applyAlignment="1">
      <alignment horizontal="center" vertical="center" wrapText="1"/>
    </xf>
    <xf numFmtId="174" fontId="13" fillId="7" borderId="9" xfId="2" applyNumberFormat="1" applyFont="1" applyFill="1" applyBorder="1" applyAlignment="1">
      <alignment horizontal="center"/>
    </xf>
    <xf numFmtId="177" fontId="13" fillId="7" borderId="9" xfId="2" applyNumberFormat="1" applyFont="1" applyFill="1" applyBorder="1" applyAlignment="1">
      <alignment horizontal="center" vertical="center"/>
    </xf>
    <xf numFmtId="0" fontId="23" fillId="17" borderId="9" xfId="2" applyFont="1" applyFill="1" applyBorder="1" applyAlignment="1"/>
    <xf numFmtId="0" fontId="13" fillId="17" borderId="0" xfId="2" applyFont="1" applyFill="1" applyAlignment="1">
      <alignment horizontal="left" vertical="center" wrapText="1"/>
    </xf>
    <xf numFmtId="0" fontId="22" fillId="17" borderId="40" xfId="2" applyFont="1" applyFill="1" applyBorder="1" applyAlignment="1">
      <alignment horizontal="center" vertical="center"/>
    </xf>
    <xf numFmtId="0" fontId="20" fillId="17" borderId="9" xfId="2" applyFont="1" applyFill="1" applyBorder="1" applyAlignment="1">
      <alignment horizontal="center" vertical="center"/>
    </xf>
    <xf numFmtId="0" fontId="22" fillId="17" borderId="18" xfId="2" applyFont="1" applyFill="1" applyBorder="1" applyAlignment="1">
      <alignment horizontal="center" vertical="center"/>
    </xf>
    <xf numFmtId="2" fontId="20" fillId="17" borderId="20" xfId="2" applyNumberFormat="1" applyFont="1" applyFill="1" applyBorder="1" applyAlignment="1">
      <alignment horizontal="center" vertical="center"/>
    </xf>
    <xf numFmtId="2" fontId="22" fillId="17" borderId="20" xfId="2" applyNumberFormat="1" applyFont="1" applyFill="1" applyBorder="1" applyAlignment="1">
      <alignment horizontal="center" vertical="center"/>
    </xf>
    <xf numFmtId="1" fontId="22" fillId="17" borderId="20" xfId="2" applyNumberFormat="1" applyFont="1" applyFill="1" applyBorder="1" applyAlignment="1">
      <alignment horizontal="center" vertical="center"/>
    </xf>
    <xf numFmtId="0" fontId="20" fillId="17" borderId="20" xfId="2" applyFont="1" applyFill="1" applyBorder="1" applyAlignment="1">
      <alignment horizontal="center" vertical="center"/>
    </xf>
    <xf numFmtId="0" fontId="22" fillId="17" borderId="45" xfId="2" applyFont="1" applyFill="1" applyBorder="1" applyAlignment="1">
      <alignment horizontal="center" vertical="center"/>
    </xf>
    <xf numFmtId="170" fontId="20" fillId="17" borderId="46" xfId="2" applyNumberFormat="1" applyFont="1" applyFill="1" applyBorder="1" applyAlignment="1">
      <alignment horizontal="center" vertical="center"/>
    </xf>
    <xf numFmtId="0" fontId="20" fillId="17" borderId="46" xfId="2" applyFont="1" applyFill="1" applyBorder="1" applyAlignment="1">
      <alignment horizontal="center" vertical="center"/>
    </xf>
    <xf numFmtId="0" fontId="22" fillId="17" borderId="46" xfId="2" applyFont="1" applyFill="1" applyBorder="1" applyAlignment="1">
      <alignment horizontal="center" vertical="center"/>
    </xf>
    <xf numFmtId="2" fontId="22" fillId="17" borderId="46" xfId="2" applyNumberFormat="1" applyFont="1" applyFill="1" applyBorder="1" applyAlignment="1">
      <alignment horizontal="center" vertical="center"/>
    </xf>
    <xf numFmtId="0" fontId="20" fillId="17" borderId="40" xfId="2" applyFont="1" applyFill="1" applyBorder="1" applyAlignment="1">
      <alignment horizontal="center" vertical="center"/>
    </xf>
    <xf numFmtId="0" fontId="20" fillId="17" borderId="8" xfId="2" applyFont="1" applyFill="1" applyBorder="1" applyAlignment="1">
      <alignment horizontal="center" vertical="center"/>
    </xf>
    <xf numFmtId="170" fontId="20" fillId="17" borderId="20" xfId="2" applyNumberFormat="1" applyFont="1" applyFill="1" applyBorder="1" applyAlignment="1">
      <alignment horizontal="center" vertical="center"/>
    </xf>
    <xf numFmtId="1" fontId="20" fillId="17" borderId="20" xfId="2" applyNumberFormat="1" applyFont="1" applyFill="1" applyBorder="1" applyAlignment="1">
      <alignment horizontal="center" vertical="center"/>
    </xf>
    <xf numFmtId="1" fontId="20" fillId="17" borderId="22" xfId="2" applyNumberFormat="1" applyFont="1" applyFill="1" applyBorder="1" applyAlignment="1">
      <alignment horizontal="center" vertical="center"/>
    </xf>
    <xf numFmtId="2" fontId="20" fillId="17" borderId="22" xfId="2" applyNumberFormat="1" applyFont="1" applyFill="1" applyBorder="1" applyAlignment="1">
      <alignment horizontal="center" vertical="center"/>
    </xf>
    <xf numFmtId="0" fontId="22" fillId="17" borderId="0" xfId="2" applyFont="1" applyFill="1" applyAlignment="1">
      <alignment horizontal="center" vertical="center"/>
    </xf>
    <xf numFmtId="1" fontId="20" fillId="17" borderId="45" xfId="2" applyNumberFormat="1" applyFont="1" applyFill="1" applyBorder="1" applyAlignment="1">
      <alignment horizontal="center" vertical="center"/>
    </xf>
    <xf numFmtId="1" fontId="20" fillId="17" borderId="18" xfId="2" applyNumberFormat="1" applyFont="1" applyFill="1" applyBorder="1" applyAlignment="1">
      <alignment horizontal="center" vertical="center"/>
    </xf>
    <xf numFmtId="0" fontId="22" fillId="17" borderId="20" xfId="2" applyFont="1" applyFill="1" applyBorder="1" applyAlignment="1">
      <alignment horizontal="center" vertical="center"/>
    </xf>
    <xf numFmtId="0" fontId="20" fillId="17" borderId="22" xfId="2" applyFont="1" applyFill="1" applyBorder="1" applyAlignment="1">
      <alignment horizontal="center" vertical="center"/>
    </xf>
    <xf numFmtId="2" fontId="20" fillId="17" borderId="46" xfId="2" applyNumberFormat="1" applyFont="1" applyFill="1" applyBorder="1" applyAlignment="1">
      <alignment horizontal="center" vertical="center"/>
    </xf>
    <xf numFmtId="0" fontId="20" fillId="17" borderId="81" xfId="2" applyFont="1" applyFill="1" applyBorder="1" applyAlignment="1">
      <alignment horizontal="center" vertical="center"/>
    </xf>
    <xf numFmtId="0" fontId="22" fillId="17" borderId="57" xfId="2" applyFont="1" applyFill="1" applyBorder="1" applyAlignment="1">
      <alignment horizontal="center" vertical="center"/>
    </xf>
    <xf numFmtId="2" fontId="20" fillId="17" borderId="27" xfId="2" applyNumberFormat="1" applyFont="1" applyFill="1" applyBorder="1" applyAlignment="1">
      <alignment horizontal="center" vertical="center"/>
    </xf>
    <xf numFmtId="0" fontId="20" fillId="17" borderId="27" xfId="2" applyFont="1" applyFill="1" applyBorder="1" applyAlignment="1">
      <alignment horizontal="center" vertical="center"/>
    </xf>
    <xf numFmtId="0" fontId="22" fillId="17" borderId="22" xfId="2" applyFont="1" applyFill="1" applyBorder="1" applyAlignment="1">
      <alignment horizontal="center" vertical="center"/>
    </xf>
    <xf numFmtId="0" fontId="22" fillId="17" borderId="58" xfId="2" applyFont="1" applyFill="1" applyBorder="1" applyAlignment="1">
      <alignment horizontal="center" vertical="center"/>
    </xf>
    <xf numFmtId="170" fontId="20" fillId="17" borderId="27" xfId="2" applyNumberFormat="1" applyFont="1" applyFill="1" applyBorder="1" applyAlignment="1">
      <alignment horizontal="center" vertical="center"/>
    </xf>
    <xf numFmtId="0" fontId="22" fillId="17" borderId="27" xfId="2" applyFont="1" applyFill="1" applyBorder="1" applyAlignment="1">
      <alignment horizontal="center" vertical="center"/>
    </xf>
    <xf numFmtId="0" fontId="20" fillId="17" borderId="56" xfId="2" applyFont="1" applyFill="1" applyBorder="1" applyAlignment="1">
      <alignment horizontal="center" vertical="center"/>
    </xf>
    <xf numFmtId="0" fontId="13" fillId="19" borderId="9" xfId="14" applyFont="1" applyFill="1" applyBorder="1" applyAlignment="1" applyProtection="1">
      <alignment horizontal="center" vertical="center" wrapText="1"/>
      <protection locked="0"/>
    </xf>
    <xf numFmtId="0" fontId="19" fillId="19" borderId="0" xfId="12" applyFont="1" applyFill="1" applyAlignment="1">
      <alignment horizontal="center" vertical="center"/>
    </xf>
    <xf numFmtId="2" fontId="6" fillId="19" borderId="0" xfId="12" applyNumberFormat="1" applyFont="1" applyFill="1" applyAlignment="1" applyProtection="1">
      <alignment horizontal="center"/>
      <protection locked="0"/>
    </xf>
    <xf numFmtId="2" fontId="6" fillId="19" borderId="0" xfId="12" applyNumberFormat="1" applyFont="1" applyFill="1" applyAlignment="1">
      <alignment horizontal="center"/>
    </xf>
    <xf numFmtId="0" fontId="98" fillId="19" borderId="0" xfId="0" applyFont="1" applyFill="1" applyAlignment="1">
      <alignment horizontal="center" vertical="center"/>
    </xf>
    <xf numFmtId="0" fontId="13" fillId="19" borderId="0" xfId="14" applyFont="1" applyFill="1" applyAlignment="1">
      <alignment horizontal="center" vertical="center"/>
    </xf>
    <xf numFmtId="0" fontId="15" fillId="19" borderId="0" xfId="12" applyFont="1" applyFill="1" applyAlignment="1">
      <alignment horizontal="left" vertical="center"/>
    </xf>
    <xf numFmtId="0" fontId="13" fillId="19" borderId="9" xfId="14" applyFont="1" applyFill="1" applyBorder="1" applyAlignment="1">
      <alignment horizontal="center" vertical="center"/>
    </xf>
    <xf numFmtId="10" fontId="18" fillId="19" borderId="0" xfId="13" applyNumberFormat="1" applyFont="1" applyFill="1" applyAlignment="1" applyProtection="1">
      <alignment horizontal="center" vertical="center"/>
    </xf>
    <xf numFmtId="0" fontId="18" fillId="19" borderId="9" xfId="14" applyFont="1" applyFill="1" applyBorder="1" applyAlignment="1">
      <alignment horizontal="center" vertical="center"/>
    </xf>
    <xf numFmtId="0" fontId="23" fillId="19" borderId="9" xfId="14" applyFont="1" applyFill="1" applyBorder="1" applyAlignment="1">
      <alignment horizontal="center" vertical="center" wrapText="1"/>
    </xf>
    <xf numFmtId="0" fontId="15" fillId="19" borderId="0" xfId="12" applyFont="1" applyFill="1" applyAlignment="1">
      <alignment vertical="center"/>
    </xf>
    <xf numFmtId="10" fontId="18" fillId="19" borderId="0" xfId="13" applyNumberFormat="1" applyFont="1" applyFill="1" applyAlignment="1">
      <alignment horizontal="center" vertical="center"/>
    </xf>
    <xf numFmtId="20" fontId="6" fillId="19" borderId="0" xfId="12" applyNumberFormat="1" applyFont="1" applyFill="1" applyAlignment="1">
      <alignment horizontal="center" vertical="center"/>
    </xf>
    <xf numFmtId="0" fontId="16" fillId="19" borderId="0" xfId="12" applyFont="1" applyFill="1" applyAlignment="1">
      <alignment horizontal="center" vertical="center"/>
    </xf>
    <xf numFmtId="0" fontId="6" fillId="19" borderId="0" xfId="12" applyFont="1" applyFill="1" applyAlignment="1">
      <alignment vertical="center"/>
    </xf>
    <xf numFmtId="0" fontId="13" fillId="19" borderId="9" xfId="12" applyFont="1" applyFill="1" applyBorder="1" applyAlignment="1">
      <alignment horizontal="center" vertical="center"/>
    </xf>
    <xf numFmtId="2" fontId="6" fillId="19" borderId="0" xfId="12" applyNumberFormat="1" applyFont="1" applyFill="1" applyAlignment="1">
      <alignment horizontal="center" vertical="center"/>
    </xf>
    <xf numFmtId="0" fontId="54" fillId="19" borderId="9" xfId="12" applyFont="1" applyFill="1" applyBorder="1" applyAlignment="1">
      <alignment horizontal="center" vertical="center"/>
    </xf>
    <xf numFmtId="0" fontId="6" fillId="19" borderId="31" xfId="12" applyFont="1" applyFill="1" applyBorder="1" applyAlignment="1">
      <alignment vertical="center"/>
    </xf>
    <xf numFmtId="0" fontId="6" fillId="19" borderId="32" xfId="12" applyFont="1" applyFill="1" applyBorder="1" applyAlignment="1">
      <alignment vertical="center"/>
    </xf>
    <xf numFmtId="0" fontId="6" fillId="19" borderId="31" xfId="12" applyFont="1" applyFill="1" applyBorder="1" applyAlignment="1">
      <alignment horizontal="center" vertical="center"/>
    </xf>
    <xf numFmtId="0" fontId="6" fillId="19" borderId="32" xfId="12" applyFont="1" applyFill="1" applyBorder="1" applyAlignment="1">
      <alignment horizontal="center" vertical="center"/>
    </xf>
    <xf numFmtId="0" fontId="12" fillId="19" borderId="9" xfId="2" applyFont="1" applyFill="1" applyBorder="1" applyAlignment="1">
      <alignment horizontal="center"/>
    </xf>
    <xf numFmtId="0" fontId="13" fillId="19" borderId="9" xfId="2" applyFont="1" applyFill="1" applyBorder="1" applyAlignment="1">
      <alignment horizontal="center"/>
    </xf>
    <xf numFmtId="0" fontId="6" fillId="19" borderId="9" xfId="2" applyFont="1" applyFill="1" applyBorder="1" applyAlignment="1">
      <alignment horizontal="center"/>
    </xf>
    <xf numFmtId="0" fontId="29" fillId="19" borderId="9" xfId="12" applyFont="1" applyFill="1" applyBorder="1" applyAlignment="1">
      <alignment horizontal="center" vertical="center"/>
    </xf>
    <xf numFmtId="0" fontId="23" fillId="19" borderId="0" xfId="12" applyFont="1" applyFill="1" applyAlignment="1">
      <alignment horizontal="left" vertical="center"/>
    </xf>
    <xf numFmtId="0" fontId="23" fillId="19" borderId="0" xfId="12" applyFont="1" applyFill="1" applyAlignment="1">
      <alignment horizontal="center" vertical="center"/>
    </xf>
    <xf numFmtId="0" fontId="23" fillId="19" borderId="0" xfId="12" applyFont="1" applyFill="1" applyAlignment="1">
      <alignment vertical="center"/>
    </xf>
    <xf numFmtId="0" fontId="13" fillId="19" borderId="9" xfId="2" applyFont="1" applyFill="1" applyBorder="1" applyAlignment="1">
      <alignment horizontal="center" vertical="center"/>
    </xf>
    <xf numFmtId="169" fontId="13" fillId="19" borderId="9" xfId="15" applyNumberFormat="1" applyFont="1" applyFill="1" applyBorder="1" applyAlignment="1">
      <alignment horizontal="center" vertical="center"/>
    </xf>
    <xf numFmtId="1" fontId="6" fillId="19" borderId="9" xfId="12" applyNumberFormat="1" applyFont="1" applyFill="1" applyBorder="1" applyAlignment="1">
      <alignment horizontal="center" vertical="center"/>
    </xf>
    <xf numFmtId="0" fontId="54" fillId="19" borderId="9" xfId="12" applyFont="1" applyFill="1" applyBorder="1" applyAlignment="1">
      <alignment vertical="center"/>
    </xf>
    <xf numFmtId="174" fontId="23" fillId="19" borderId="9" xfId="12" applyNumberFormat="1" applyFont="1" applyFill="1" applyBorder="1" applyAlignment="1">
      <alignment vertical="center"/>
    </xf>
    <xf numFmtId="0" fontId="23" fillId="19" borderId="43" xfId="12" applyFont="1" applyFill="1" applyBorder="1" applyAlignment="1">
      <alignment vertical="center"/>
    </xf>
    <xf numFmtId="0" fontId="6" fillId="19" borderId="9" xfId="12" applyFont="1" applyFill="1" applyBorder="1" applyAlignment="1">
      <alignment vertical="center"/>
    </xf>
    <xf numFmtId="0" fontId="6" fillId="19" borderId="45" xfId="12" applyFont="1" applyFill="1" applyBorder="1" applyAlignment="1">
      <alignment vertical="center"/>
    </xf>
    <xf numFmtId="0" fontId="6" fillId="19" borderId="40" xfId="12" applyFont="1" applyFill="1" applyBorder="1" applyAlignment="1">
      <alignment vertical="center"/>
    </xf>
    <xf numFmtId="0" fontId="28" fillId="19" borderId="9" xfId="12" applyFont="1" applyFill="1" applyBorder="1" applyAlignment="1">
      <alignment vertical="center"/>
    </xf>
    <xf numFmtId="0" fontId="23" fillId="19" borderId="9" xfId="12" applyFont="1" applyFill="1" applyBorder="1" applyAlignment="1">
      <alignment vertical="center"/>
    </xf>
    <xf numFmtId="0" fontId="6" fillId="19" borderId="43" xfId="12" applyFont="1" applyFill="1" applyBorder="1" applyAlignment="1">
      <alignment vertical="center"/>
    </xf>
    <xf numFmtId="0" fontId="6" fillId="19" borderId="17" xfId="12" applyFont="1" applyFill="1" applyBorder="1" applyAlignment="1">
      <alignment vertical="center"/>
    </xf>
    <xf numFmtId="0" fontId="13" fillId="19" borderId="32" xfId="14" applyFont="1" applyFill="1" applyBorder="1" applyAlignment="1">
      <alignment horizontal="center" vertical="center"/>
    </xf>
    <xf numFmtId="0" fontId="32" fillId="19" borderId="0" xfId="17" applyFont="1" applyFill="1">
      <alignment vertical="center"/>
    </xf>
    <xf numFmtId="0" fontId="13" fillId="19" borderId="40" xfId="16" applyFont="1" applyFill="1" applyBorder="1" applyAlignment="1">
      <alignment horizontal="center"/>
    </xf>
    <xf numFmtId="0" fontId="13" fillId="19" borderId="56" xfId="16" applyFont="1" applyFill="1" applyBorder="1" applyAlignment="1">
      <alignment horizontal="center"/>
    </xf>
    <xf numFmtId="0" fontId="13" fillId="19" borderId="9" xfId="16" applyFont="1" applyFill="1" applyBorder="1" applyAlignment="1">
      <alignment horizontal="center"/>
    </xf>
    <xf numFmtId="0" fontId="13" fillId="19" borderId="51" xfId="16" applyFont="1" applyFill="1" applyBorder="1" applyAlignment="1">
      <alignment horizontal="center"/>
    </xf>
    <xf numFmtId="0" fontId="13" fillId="19" borderId="45" xfId="16" applyFont="1" applyFill="1" applyBorder="1" applyAlignment="1">
      <alignment horizontal="center"/>
    </xf>
    <xf numFmtId="0" fontId="13" fillId="19" borderId="55" xfId="16" applyFont="1" applyFill="1" applyBorder="1" applyAlignment="1">
      <alignment horizontal="center"/>
    </xf>
    <xf numFmtId="0" fontId="13" fillId="19" borderId="13" xfId="16" applyFont="1" applyFill="1" applyBorder="1" applyAlignment="1">
      <alignment horizontal="center"/>
    </xf>
    <xf numFmtId="2" fontId="13" fillId="19" borderId="48" xfId="14" applyNumberFormat="1" applyFont="1" applyFill="1" applyBorder="1" applyAlignment="1">
      <alignment horizontal="center" vertical="center"/>
    </xf>
    <xf numFmtId="0" fontId="13" fillId="19" borderId="48" xfId="14" applyFont="1" applyFill="1" applyBorder="1" applyAlignment="1">
      <alignment horizontal="center" vertical="center"/>
    </xf>
    <xf numFmtId="0" fontId="13" fillId="19" borderId="32" xfId="14" applyFont="1" applyFill="1" applyBorder="1">
      <alignment vertical="center"/>
    </xf>
    <xf numFmtId="0" fontId="13" fillId="19" borderId="12" xfId="16" applyFont="1" applyFill="1" applyBorder="1" applyAlignment="1">
      <alignment horizontal="center"/>
    </xf>
    <xf numFmtId="0" fontId="54" fillId="19" borderId="75" xfId="14" applyFont="1" applyFill="1" applyBorder="1" applyAlignment="1">
      <alignment horizontal="center" vertical="center"/>
    </xf>
    <xf numFmtId="0" fontId="54" fillId="19" borderId="39" xfId="14" applyFont="1" applyFill="1" applyBorder="1" applyAlignment="1">
      <alignment horizontal="center" vertical="center"/>
    </xf>
    <xf numFmtId="0" fontId="54" fillId="19" borderId="63" xfId="14" applyFont="1" applyFill="1" applyBorder="1" applyAlignment="1">
      <alignment horizontal="center" vertical="center"/>
    </xf>
    <xf numFmtId="0" fontId="42" fillId="19" borderId="0" xfId="17" applyFont="1" applyFill="1" applyAlignment="1" applyProtection="1">
      <alignment horizontal="center" vertical="center"/>
    </xf>
    <xf numFmtId="0" fontId="89" fillId="19" borderId="0" xfId="14" applyFont="1" applyFill="1" applyAlignment="1">
      <alignment horizontal="left" vertical="center"/>
    </xf>
    <xf numFmtId="0" fontId="54" fillId="19" borderId="6" xfId="14" applyFont="1" applyFill="1" applyBorder="1" applyAlignment="1">
      <alignment horizontal="center" vertical="center"/>
    </xf>
    <xf numFmtId="0" fontId="54" fillId="19" borderId="56" xfId="14" applyFont="1" applyFill="1" applyBorder="1" applyAlignment="1">
      <alignment horizontal="center" vertical="center"/>
    </xf>
    <xf numFmtId="0" fontId="54" fillId="19" borderId="88" xfId="14" applyFont="1" applyFill="1" applyBorder="1" applyAlignment="1">
      <alignment horizontal="center" vertical="center"/>
    </xf>
    <xf numFmtId="0" fontId="29" fillId="19" borderId="34" xfId="14" applyFont="1" applyFill="1" applyBorder="1" applyAlignment="1">
      <alignment horizontal="center" vertical="center"/>
    </xf>
    <xf numFmtId="0" fontId="13" fillId="19" borderId="67" xfId="14" applyFont="1" applyFill="1" applyBorder="1" applyAlignment="1">
      <alignment horizontal="center" vertical="center"/>
    </xf>
    <xf numFmtId="0" fontId="13" fillId="19" borderId="7" xfId="14" applyFont="1" applyFill="1" applyBorder="1" applyAlignment="1">
      <alignment horizontal="center" vertical="center"/>
    </xf>
    <xf numFmtId="0" fontId="13" fillId="19" borderId="10" xfId="14" applyFont="1" applyFill="1" applyBorder="1" applyAlignment="1">
      <alignment horizontal="center" vertical="center"/>
    </xf>
    <xf numFmtId="0" fontId="54" fillId="19" borderId="22" xfId="14" applyFont="1" applyFill="1" applyBorder="1" applyAlignment="1">
      <alignment horizontal="center" vertical="center"/>
    </xf>
    <xf numFmtId="0" fontId="54" fillId="19" borderId="8" xfId="14" applyFont="1" applyFill="1" applyBorder="1" applyAlignment="1">
      <alignment horizontal="center" vertical="center"/>
    </xf>
    <xf numFmtId="0" fontId="54" fillId="19" borderId="11" xfId="14" applyFont="1" applyFill="1" applyBorder="1" applyAlignment="1">
      <alignment horizontal="center" vertical="center"/>
    </xf>
    <xf numFmtId="0" fontId="54" fillId="19" borderId="40" xfId="14" applyFont="1" applyFill="1" applyBorder="1" applyAlignment="1">
      <alignment horizontal="center" vertical="center"/>
    </xf>
    <xf numFmtId="0" fontId="54" fillId="19" borderId="9" xfId="14" applyFont="1" applyFill="1" applyBorder="1" applyAlignment="1">
      <alignment horizontal="center" vertical="center"/>
    </xf>
    <xf numFmtId="0" fontId="54" fillId="19" borderId="12" xfId="14" applyFont="1" applyFill="1" applyBorder="1" applyAlignment="1">
      <alignment horizontal="center" vertical="center"/>
    </xf>
    <xf numFmtId="0" fontId="52" fillId="19" borderId="34" xfId="14" applyFont="1" applyFill="1" applyBorder="1" applyAlignment="1">
      <alignment horizontal="center" vertical="center"/>
    </xf>
    <xf numFmtId="0" fontId="54" fillId="19" borderId="51" xfId="14" applyFont="1" applyFill="1" applyBorder="1" applyAlignment="1">
      <alignment horizontal="center" vertical="center"/>
    </xf>
    <xf numFmtId="0" fontId="54" fillId="19" borderId="13" xfId="14" applyFont="1" applyFill="1" applyBorder="1" applyAlignment="1">
      <alignment horizontal="center" vertical="center"/>
    </xf>
    <xf numFmtId="0" fontId="23" fillId="19" borderId="0" xfId="14" applyFont="1" applyFill="1">
      <alignment vertical="center"/>
    </xf>
    <xf numFmtId="0" fontId="13" fillId="19" borderId="31" xfId="14" applyFont="1" applyFill="1" applyBorder="1">
      <alignment vertical="center"/>
    </xf>
    <xf numFmtId="0" fontId="23" fillId="19" borderId="0" xfId="14" applyFont="1" applyFill="1" applyAlignment="1">
      <alignment horizontal="left" vertical="center"/>
    </xf>
    <xf numFmtId="0" fontId="13" fillId="19" borderId="9" xfId="14" applyFont="1" applyFill="1" applyBorder="1">
      <alignment vertical="center"/>
    </xf>
    <xf numFmtId="0" fontId="13" fillId="0" borderId="0" xfId="2" applyFont="1" applyAlignment="1">
      <alignment horizontal="right" vertical="center"/>
    </xf>
    <xf numFmtId="0" fontId="13" fillId="0" borderId="0" xfId="2" applyFont="1" applyAlignment="1">
      <alignment horizontal="center"/>
    </xf>
    <xf numFmtId="0" fontId="13" fillId="0" borderId="9" xfId="2" applyFont="1" applyBorder="1" applyAlignment="1">
      <alignment horizontal="center" vertical="center"/>
    </xf>
    <xf numFmtId="0" fontId="13" fillId="0" borderId="9" xfId="2" applyFont="1" applyBorder="1" applyAlignment="1">
      <alignment horizontal="left"/>
    </xf>
    <xf numFmtId="0" fontId="13" fillId="0" borderId="9" xfId="2" applyFont="1" applyBorder="1" applyAlignment="1">
      <alignment horizontal="center"/>
    </xf>
    <xf numFmtId="0" fontId="13" fillId="8" borderId="9" xfId="2" applyFont="1" applyFill="1" applyBorder="1" applyAlignment="1">
      <alignment horizontal="center" wrapText="1"/>
    </xf>
    <xf numFmtId="0" fontId="13" fillId="0" borderId="9" xfId="2" applyFont="1" applyBorder="1" applyAlignment="1">
      <alignment horizontal="center" vertical="center" wrapText="1"/>
    </xf>
    <xf numFmtId="0" fontId="13" fillId="19" borderId="0" xfId="2" applyFont="1" applyFill="1" applyAlignment="1">
      <alignment horizontal="left" vertical="center"/>
    </xf>
    <xf numFmtId="0" fontId="13" fillId="19" borderId="0" xfId="2" applyFont="1" applyFill="1" applyAlignment="1">
      <alignment horizontal="center" vertical="center"/>
    </xf>
    <xf numFmtId="0" fontId="13" fillId="12" borderId="70" xfId="2" applyFont="1" applyFill="1" applyBorder="1" applyAlignment="1">
      <alignment horizontal="center" vertical="center" wrapText="1"/>
    </xf>
    <xf numFmtId="0" fontId="13" fillId="12" borderId="68" xfId="2" applyFont="1" applyFill="1" applyBorder="1" applyAlignment="1">
      <alignment horizontal="center" vertical="center" wrapText="1"/>
    </xf>
    <xf numFmtId="0" fontId="13" fillId="0" borderId="58" xfId="2" applyFont="1" applyBorder="1" applyAlignment="1">
      <alignment horizontal="center" vertical="top" wrapText="1"/>
    </xf>
    <xf numFmtId="0" fontId="13" fillId="0" borderId="52" xfId="2" applyFont="1" applyBorder="1" applyAlignment="1">
      <alignment horizontal="center" vertical="top" wrapText="1"/>
    </xf>
    <xf numFmtId="0" fontId="13" fillId="0" borderId="65" xfId="2" applyFont="1" applyBorder="1" applyAlignment="1">
      <alignment horizontal="center" vertical="top" wrapText="1"/>
    </xf>
    <xf numFmtId="0" fontId="13" fillId="12" borderId="3" xfId="2" applyFont="1" applyFill="1" applyBorder="1" applyAlignment="1">
      <alignment horizontal="center" vertical="center" wrapText="1"/>
    </xf>
    <xf numFmtId="0" fontId="13" fillId="12" borderId="10" xfId="2" applyFont="1" applyFill="1" applyBorder="1" applyAlignment="1">
      <alignment horizontal="center" vertical="center" wrapText="1"/>
    </xf>
    <xf numFmtId="0" fontId="13" fillId="19" borderId="0" xfId="2" applyFont="1" applyFill="1" applyAlignment="1">
      <alignment horizontal="left" vertical="center" wrapText="1"/>
    </xf>
    <xf numFmtId="0" fontId="57" fillId="8" borderId="0" xfId="2" applyFont="1" applyFill="1" applyAlignment="1">
      <alignment horizontal="center"/>
    </xf>
    <xf numFmtId="0" fontId="13" fillId="0" borderId="0" xfId="0" applyFont="1" applyAlignment="1">
      <alignment horizontal="center" vertical="center"/>
    </xf>
    <xf numFmtId="0" fontId="13" fillId="12" borderId="0" xfId="2" applyFont="1" applyFill="1" applyAlignment="1">
      <alignment horizontal="center" vertical="center" wrapText="1"/>
    </xf>
    <xf numFmtId="0" fontId="13" fillId="10" borderId="0" xfId="2" applyFont="1" applyFill="1" applyAlignment="1">
      <alignment horizontal="center" vertical="center" wrapText="1"/>
    </xf>
    <xf numFmtId="0" fontId="13" fillId="10" borderId="0" xfId="2" applyFont="1" applyFill="1" applyAlignment="1">
      <alignment horizontal="center" vertical="center"/>
    </xf>
    <xf numFmtId="0" fontId="58" fillId="0" borderId="9" xfId="2" applyFont="1" applyBorder="1" applyAlignment="1">
      <alignment horizontal="center" vertical="center" wrapText="1"/>
    </xf>
    <xf numFmtId="0" fontId="13" fillId="0" borderId="30" xfId="2" applyFont="1" applyBorder="1" applyAlignment="1">
      <alignment horizontal="center"/>
    </xf>
    <xf numFmtId="0" fontId="24" fillId="0" borderId="0" xfId="0" applyFont="1" applyAlignment="1"/>
    <xf numFmtId="0" fontId="28" fillId="0" borderId="20" xfId="2" applyFont="1" applyBorder="1" applyAlignment="1">
      <alignment horizontal="center" wrapText="1"/>
    </xf>
    <xf numFmtId="0" fontId="13" fillId="12" borderId="9" xfId="2" applyFont="1" applyFill="1" applyBorder="1" applyAlignment="1">
      <alignment horizontal="center" vertical="center"/>
    </xf>
    <xf numFmtId="0" fontId="12" fillId="46" borderId="9" xfId="0" applyFont="1" applyFill="1" applyBorder="1" applyAlignment="1">
      <alignment horizontal="center" vertical="center" wrapText="1"/>
    </xf>
    <xf numFmtId="0" fontId="12" fillId="46" borderId="9" xfId="0" applyFont="1" applyFill="1" applyBorder="1" applyAlignment="1">
      <alignment horizontal="center" vertical="center"/>
    </xf>
    <xf numFmtId="0" fontId="13" fillId="0" borderId="0" xfId="2" applyFont="1" applyAlignment="1"/>
    <xf numFmtId="0" fontId="13" fillId="0" borderId="35" xfId="2" applyFont="1" applyBorder="1" applyAlignment="1">
      <alignment horizontal="center"/>
    </xf>
    <xf numFmtId="0" fontId="13" fillId="0" borderId="38" xfId="2" applyFont="1" applyBorder="1" applyAlignment="1">
      <alignment horizontal="center"/>
    </xf>
    <xf numFmtId="0" fontId="13" fillId="0" borderId="38" xfId="0" applyFont="1" applyBorder="1" applyAlignment="1">
      <alignment horizontal="center"/>
    </xf>
    <xf numFmtId="0" fontId="13" fillId="0" borderId="36" xfId="2" applyFont="1" applyBorder="1" applyAlignment="1">
      <alignment horizontal="center"/>
    </xf>
    <xf numFmtId="0" fontId="13" fillId="0" borderId="0" xfId="2" applyFont="1" applyAlignment="1">
      <alignment wrapText="1"/>
    </xf>
    <xf numFmtId="0" fontId="12" fillId="46" borderId="9" xfId="2" applyFont="1" applyFill="1" applyBorder="1" applyAlignment="1">
      <alignment horizontal="center" vertical="center" wrapText="1"/>
    </xf>
    <xf numFmtId="0" fontId="120" fillId="46" borderId="9" xfId="2" applyFont="1" applyFill="1" applyBorder="1" applyAlignment="1">
      <alignment horizontal="center" vertical="center"/>
    </xf>
    <xf numFmtId="0" fontId="12" fillId="46" borderId="9" xfId="2" applyFont="1" applyFill="1" applyBorder="1" applyAlignment="1">
      <alignment horizontal="center" vertical="center"/>
    </xf>
    <xf numFmtId="0" fontId="23" fillId="17" borderId="30" xfId="2" applyFont="1" applyFill="1" applyBorder="1" applyAlignment="1">
      <alignment horizontal="center"/>
    </xf>
    <xf numFmtId="0" fontId="23" fillId="17" borderId="32" xfId="2" applyFont="1" applyFill="1" applyBorder="1" applyAlignment="1">
      <alignment horizontal="center"/>
    </xf>
    <xf numFmtId="0" fontId="23" fillId="8" borderId="0" xfId="2" applyFont="1" applyFill="1" applyAlignment="1">
      <alignment horizontal="center"/>
    </xf>
    <xf numFmtId="0" fontId="23" fillId="0" borderId="62" xfId="2" applyFont="1" applyBorder="1" applyAlignment="1">
      <alignment horizontal="center"/>
    </xf>
    <xf numFmtId="0" fontId="23" fillId="0" borderId="23" xfId="2" applyFont="1" applyBorder="1" applyAlignment="1">
      <alignment horizontal="center"/>
    </xf>
    <xf numFmtId="0" fontId="23" fillId="0" borderId="60" xfId="2" applyFont="1" applyBorder="1" applyAlignment="1">
      <alignment horizontal="center"/>
    </xf>
    <xf numFmtId="0" fontId="13" fillId="0" borderId="62" xfId="2" applyFont="1" applyBorder="1" applyAlignment="1">
      <alignment horizontal="center" vertical="center"/>
    </xf>
    <xf numFmtId="0" fontId="13" fillId="0" borderId="23" xfId="2" applyFont="1" applyBorder="1" applyAlignment="1">
      <alignment horizontal="center" vertical="center"/>
    </xf>
    <xf numFmtId="0" fontId="13" fillId="0" borderId="29" xfId="2" applyFont="1" applyBorder="1" applyAlignment="1">
      <alignment horizontal="center" vertical="center"/>
    </xf>
    <xf numFmtId="0" fontId="23" fillId="0" borderId="49" xfId="2" applyFont="1" applyBorder="1" applyAlignment="1">
      <alignment horizontal="center"/>
    </xf>
    <xf numFmtId="0" fontId="23" fillId="0" borderId="14" xfId="2" applyFont="1" applyBorder="1" applyAlignment="1">
      <alignment horizontal="center"/>
    </xf>
    <xf numFmtId="0" fontId="23" fillId="0" borderId="22" xfId="2" applyFont="1" applyBorder="1" applyAlignment="1">
      <alignment horizontal="center"/>
    </xf>
    <xf numFmtId="0" fontId="13" fillId="0" borderId="19" xfId="2" applyFont="1" applyBorder="1" applyAlignment="1">
      <alignment horizontal="center"/>
    </xf>
    <xf numFmtId="0" fontId="13" fillId="0" borderId="20" xfId="2" applyFont="1" applyBorder="1" applyAlignment="1">
      <alignment horizontal="center"/>
    </xf>
    <xf numFmtId="0" fontId="23" fillId="0" borderId="21" xfId="2" applyFont="1" applyBorder="1" applyAlignment="1">
      <alignment horizontal="center" vertical="center"/>
    </xf>
    <xf numFmtId="0" fontId="23" fillId="0" borderId="14" xfId="2" applyFont="1" applyBorder="1" applyAlignment="1">
      <alignment horizontal="center" vertical="center"/>
    </xf>
    <xf numFmtId="0" fontId="23" fillId="0" borderId="58" xfId="2" applyFont="1" applyBorder="1" applyAlignment="1">
      <alignment horizontal="center" vertical="center"/>
    </xf>
    <xf numFmtId="0" fontId="26" fillId="0" borderId="0" xfId="2" applyFont="1" applyAlignment="1">
      <alignment horizontal="center" vertical="center"/>
    </xf>
    <xf numFmtId="0" fontId="13" fillId="0" borderId="17" xfId="2" applyFont="1" applyBorder="1" applyAlignment="1">
      <alignment horizontal="center" vertical="center"/>
    </xf>
    <xf numFmtId="0" fontId="13" fillId="0" borderId="15" xfId="2" applyFont="1" applyBorder="1" applyAlignment="1">
      <alignment horizontal="center" vertical="center"/>
    </xf>
    <xf numFmtId="0" fontId="13" fillId="0" borderId="57" xfId="2" applyFont="1" applyBorder="1" applyAlignment="1">
      <alignment horizontal="center" vertical="center"/>
    </xf>
    <xf numFmtId="0" fontId="13" fillId="0" borderId="21" xfId="2" applyFont="1" applyBorder="1" applyAlignment="1">
      <alignment horizontal="center" vertical="center"/>
    </xf>
    <xf numFmtId="0" fontId="13" fillId="0" borderId="14" xfId="2" applyFont="1" applyBorder="1" applyAlignment="1">
      <alignment horizontal="center" vertical="center"/>
    </xf>
    <xf numFmtId="0" fontId="13" fillId="0" borderId="58" xfId="2" applyFont="1" applyBorder="1" applyAlignment="1">
      <alignment horizontal="center" vertical="center"/>
    </xf>
    <xf numFmtId="0" fontId="13" fillId="0" borderId="77" xfId="2" applyFont="1" applyBorder="1" applyAlignment="1">
      <alignment horizontal="left"/>
    </xf>
    <xf numFmtId="0" fontId="13" fillId="0" borderId="15" xfId="2" applyFont="1" applyBorder="1" applyAlignment="1">
      <alignment horizontal="left"/>
    </xf>
    <xf numFmtId="0" fontId="13" fillId="0" borderId="18" xfId="2" applyFont="1" applyBorder="1" applyAlignment="1">
      <alignment horizontal="left"/>
    </xf>
    <xf numFmtId="0" fontId="13" fillId="0" borderId="17" xfId="2" applyFont="1" applyBorder="1" applyAlignment="1">
      <alignment horizontal="center"/>
    </xf>
    <xf numFmtId="0" fontId="13" fillId="0" borderId="15" xfId="2" applyFont="1" applyBorder="1" applyAlignment="1">
      <alignment horizontal="center"/>
    </xf>
    <xf numFmtId="0" fontId="13" fillId="0" borderId="18" xfId="2" applyFont="1" applyBorder="1" applyAlignment="1">
      <alignment horizontal="center"/>
    </xf>
    <xf numFmtId="0" fontId="23" fillId="0" borderId="21" xfId="2" applyFont="1" applyBorder="1" applyAlignment="1">
      <alignment horizontal="center"/>
    </xf>
    <xf numFmtId="0" fontId="13" fillId="0" borderId="77" xfId="2" applyFont="1" applyBorder="1" applyAlignment="1">
      <alignment horizontal="center"/>
    </xf>
    <xf numFmtId="0" fontId="23" fillId="0" borderId="0" xfId="2" applyFont="1" applyAlignment="1">
      <alignment horizontal="left" vertical="top" wrapText="1"/>
    </xf>
    <xf numFmtId="0" fontId="23" fillId="0" borderId="0" xfId="2" applyFont="1" applyAlignment="1">
      <alignment horizontal="left"/>
    </xf>
    <xf numFmtId="0" fontId="13" fillId="8" borderId="75" xfId="2" applyFont="1" applyFill="1" applyBorder="1" applyAlignment="1">
      <alignment horizontal="center"/>
    </xf>
    <xf numFmtId="0" fontId="13" fillId="0" borderId="63" xfId="2" applyFont="1" applyBorder="1" applyAlignment="1">
      <alignment horizontal="center"/>
    </xf>
    <xf numFmtId="0" fontId="23" fillId="12" borderId="75" xfId="2" applyFont="1" applyFill="1" applyBorder="1" applyAlignment="1">
      <alignment horizontal="center" vertical="center"/>
    </xf>
    <xf numFmtId="0" fontId="13" fillId="0" borderId="1" xfId="2" applyFont="1" applyBorder="1" applyAlignment="1">
      <alignment horizontal="center"/>
    </xf>
    <xf numFmtId="0" fontId="13" fillId="0" borderId="23" xfId="2" applyFont="1" applyBorder="1" applyAlignment="1">
      <alignment horizontal="center"/>
    </xf>
    <xf numFmtId="0" fontId="13" fillId="0" borderId="60" xfId="2" applyFont="1" applyBorder="1" applyAlignment="1">
      <alignment horizontal="center"/>
    </xf>
    <xf numFmtId="0" fontId="13" fillId="12" borderId="61" xfId="2" applyFont="1" applyFill="1" applyBorder="1" applyAlignment="1">
      <alignment horizontal="center" wrapText="1"/>
    </xf>
    <xf numFmtId="0" fontId="13" fillId="12" borderId="81" xfId="2" applyFont="1" applyFill="1" applyBorder="1" applyAlignment="1">
      <alignment horizontal="center" wrapText="1"/>
    </xf>
    <xf numFmtId="0" fontId="13" fillId="12" borderId="61" xfId="2" applyFont="1" applyFill="1" applyBorder="1" applyAlignment="1">
      <alignment horizontal="center" vertical="center" wrapText="1"/>
    </xf>
    <xf numFmtId="0" fontId="13" fillId="12" borderId="81" xfId="2" applyFont="1" applyFill="1" applyBorder="1" applyAlignment="1">
      <alignment horizontal="center" vertical="center" wrapText="1"/>
    </xf>
    <xf numFmtId="0" fontId="24" fillId="0" borderId="9" xfId="0" applyFont="1" applyBorder="1" applyAlignment="1"/>
    <xf numFmtId="0" fontId="13" fillId="12" borderId="73" xfId="2" applyFont="1" applyFill="1" applyBorder="1" applyAlignment="1">
      <alignment horizontal="center" vertical="center"/>
    </xf>
    <xf numFmtId="0" fontId="13" fillId="12" borderId="63" xfId="2" applyFont="1" applyFill="1" applyBorder="1" applyAlignment="1">
      <alignment horizontal="center" vertical="center"/>
    </xf>
    <xf numFmtId="0" fontId="13" fillId="12" borderId="61" xfId="2" applyFont="1" applyFill="1" applyBorder="1" applyAlignment="1">
      <alignment horizontal="center" vertical="center"/>
    </xf>
    <xf numFmtId="0" fontId="13" fillId="12" borderId="81" xfId="2" applyFont="1" applyFill="1" applyBorder="1" applyAlignment="1">
      <alignment horizontal="center" vertical="center"/>
    </xf>
    <xf numFmtId="0" fontId="13" fillId="19" borderId="0" xfId="2" applyFont="1" applyFill="1" applyAlignment="1">
      <alignment horizontal="left" vertical="center" indent="1"/>
    </xf>
    <xf numFmtId="0" fontId="24" fillId="0" borderId="0" xfId="2" applyFont="1" applyAlignment="1">
      <alignment horizontal="left" vertical="top" wrapText="1"/>
    </xf>
    <xf numFmtId="0" fontId="46" fillId="0" borderId="0" xfId="2" applyFont="1" applyAlignment="1">
      <alignment horizontal="center"/>
    </xf>
    <xf numFmtId="0" fontId="23" fillId="0" borderId="30" xfId="2" applyFont="1" applyBorder="1" applyAlignment="1">
      <alignment horizontal="center"/>
    </xf>
    <xf numFmtId="0" fontId="23" fillId="0" borderId="32" xfId="2" applyFont="1" applyBorder="1" applyAlignment="1">
      <alignment horizontal="center"/>
    </xf>
    <xf numFmtId="0" fontId="19" fillId="0" borderId="20" xfId="2" applyFont="1" applyBorder="1" applyAlignment="1">
      <alignment horizontal="center" vertical="center" wrapText="1"/>
    </xf>
    <xf numFmtId="0" fontId="13" fillId="8" borderId="42" xfId="2" applyFont="1" applyFill="1" applyBorder="1" applyAlignment="1">
      <alignment horizontal="center"/>
    </xf>
    <xf numFmtId="0" fontId="13" fillId="0" borderId="42" xfId="2" applyFont="1" applyBorder="1" applyAlignment="1">
      <alignment horizontal="center"/>
    </xf>
    <xf numFmtId="0" fontId="13" fillId="0" borderId="72" xfId="2" applyFont="1" applyBorder="1" applyAlignment="1">
      <alignment horizontal="center"/>
    </xf>
    <xf numFmtId="0" fontId="23" fillId="0" borderId="19" xfId="2" applyFont="1" applyBorder="1" applyAlignment="1">
      <alignment horizontal="center"/>
    </xf>
    <xf numFmtId="0" fontId="23" fillId="0" borderId="0" xfId="2" applyFont="1" applyAlignment="1">
      <alignment horizontal="center"/>
    </xf>
    <xf numFmtId="0" fontId="23" fillId="0" borderId="20" xfId="2" applyFont="1" applyBorder="1" applyAlignment="1">
      <alignment horizontal="center"/>
    </xf>
    <xf numFmtId="2" fontId="19" fillId="8" borderId="27" xfId="2" applyNumberFormat="1" applyFont="1" applyFill="1" applyBorder="1" applyAlignment="1">
      <alignment horizontal="center" vertical="center" wrapText="1"/>
    </xf>
    <xf numFmtId="0" fontId="28" fillId="0" borderId="0" xfId="2" applyFont="1" applyAlignment="1">
      <alignment horizontal="center" wrapText="1"/>
    </xf>
    <xf numFmtId="0" fontId="13" fillId="0" borderId="61" xfId="2" applyFont="1" applyBorder="1" applyAlignment="1">
      <alignment horizontal="center"/>
    </xf>
    <xf numFmtId="0" fontId="13" fillId="10" borderId="0" xfId="2" applyFont="1" applyFill="1" applyAlignment="1">
      <alignment horizontal="left" vertical="center"/>
    </xf>
    <xf numFmtId="0" fontId="52" fillId="0" borderId="0" xfId="2" applyFont="1" applyAlignment="1"/>
    <xf numFmtId="0" fontId="13" fillId="0" borderId="19" xfId="2" applyFont="1" applyBorder="1" applyAlignment="1">
      <alignment horizontal="center" vertical="center"/>
    </xf>
    <xf numFmtId="0" fontId="13" fillId="0" borderId="0" xfId="2" applyFont="1" applyAlignment="1">
      <alignment horizontal="center" vertical="center"/>
    </xf>
    <xf numFmtId="0" fontId="13" fillId="0" borderId="27" xfId="2" applyFont="1" applyBorder="1" applyAlignment="1">
      <alignment horizontal="center" vertical="center"/>
    </xf>
    <xf numFmtId="0" fontId="13" fillId="8" borderId="0" xfId="2" applyFont="1" applyFill="1" applyAlignment="1">
      <alignment horizontal="center"/>
    </xf>
    <xf numFmtId="0" fontId="24" fillId="0" borderId="0" xfId="2" applyFont="1" applyAlignment="1">
      <alignment horizontal="center" vertical="top" wrapText="1"/>
    </xf>
    <xf numFmtId="0" fontId="13" fillId="0" borderId="77" xfId="2" applyFont="1" applyBorder="1" applyAlignment="1">
      <alignment horizontal="center" vertical="center"/>
    </xf>
    <xf numFmtId="0" fontId="13" fillId="0" borderId="18" xfId="2" applyFont="1" applyBorder="1" applyAlignment="1">
      <alignment horizontal="center" vertical="center"/>
    </xf>
    <xf numFmtId="0" fontId="23" fillId="0" borderId="70" xfId="2" applyFont="1" applyBorder="1" applyAlignment="1">
      <alignment horizontal="center"/>
    </xf>
    <xf numFmtId="0" fontId="23" fillId="0" borderId="71" xfId="2" applyFont="1" applyBorder="1" applyAlignment="1">
      <alignment horizontal="center"/>
    </xf>
    <xf numFmtId="0" fontId="23" fillId="0" borderId="4" xfId="2" applyFont="1" applyBorder="1" applyAlignment="1">
      <alignment horizontal="center"/>
    </xf>
    <xf numFmtId="0" fontId="13" fillId="0" borderId="62" xfId="2" applyFont="1" applyBorder="1" applyAlignment="1">
      <alignment horizontal="center"/>
    </xf>
    <xf numFmtId="0" fontId="23" fillId="0" borderId="62" xfId="2" applyFont="1" applyBorder="1" applyAlignment="1">
      <alignment horizontal="center" vertical="center"/>
    </xf>
    <xf numFmtId="0" fontId="23" fillId="0" borderId="23" xfId="2" applyFont="1" applyBorder="1" applyAlignment="1">
      <alignment horizontal="center" vertical="center"/>
    </xf>
    <xf numFmtId="0" fontId="23" fillId="0" borderId="29" xfId="2" applyFont="1" applyBorder="1" applyAlignment="1">
      <alignment horizontal="center" vertical="center"/>
    </xf>
    <xf numFmtId="0" fontId="13" fillId="10" borderId="0" xfId="0" applyFont="1" applyFill="1" applyAlignment="1">
      <alignment horizontal="center" vertical="center"/>
    </xf>
    <xf numFmtId="0" fontId="13" fillId="0" borderId="51" xfId="2" applyFont="1" applyBorder="1" applyAlignment="1">
      <alignment horizontal="center" vertical="center"/>
    </xf>
    <xf numFmtId="0" fontId="58" fillId="0" borderId="9" xfId="0" applyFont="1" applyBorder="1" applyAlignment="1">
      <alignment horizontal="center"/>
    </xf>
    <xf numFmtId="0" fontId="58" fillId="0" borderId="9" xfId="2" applyFont="1" applyBorder="1" applyAlignment="1">
      <alignment horizontal="center"/>
    </xf>
    <xf numFmtId="0" fontId="13" fillId="0" borderId="60" xfId="2" applyFont="1" applyBorder="1" applyAlignment="1">
      <alignment horizontal="center" vertical="center" wrapText="1"/>
    </xf>
    <xf numFmtId="0" fontId="13" fillId="0" borderId="74" xfId="2" applyFont="1" applyBorder="1" applyAlignment="1">
      <alignment horizontal="center" vertical="center" wrapText="1"/>
    </xf>
    <xf numFmtId="0" fontId="13" fillId="0" borderId="11" xfId="2" applyFont="1" applyBorder="1" applyAlignment="1">
      <alignment horizontal="center" vertical="center" wrapText="1"/>
    </xf>
    <xf numFmtId="0" fontId="13" fillId="0" borderId="13" xfId="2" applyFont="1" applyBorder="1" applyAlignment="1">
      <alignment horizontal="center" vertical="center" wrapText="1"/>
    </xf>
    <xf numFmtId="0" fontId="28" fillId="0" borderId="26" xfId="2" applyFont="1" applyBorder="1" applyAlignment="1">
      <alignment wrapText="1"/>
    </xf>
    <xf numFmtId="0" fontId="13" fillId="0" borderId="0" xfId="0" applyFont="1" applyAlignment="1">
      <alignment horizontal="center" vertical="center" wrapText="1"/>
    </xf>
    <xf numFmtId="0" fontId="13" fillId="0" borderId="64" xfId="2" applyFont="1" applyBorder="1" applyAlignment="1">
      <alignment horizontal="center" vertical="center"/>
    </xf>
    <xf numFmtId="0" fontId="13" fillId="0" borderId="25" xfId="2" applyFont="1" applyBorder="1" applyAlignment="1">
      <alignment horizontal="center" vertical="center"/>
    </xf>
    <xf numFmtId="0" fontId="13" fillId="0" borderId="28" xfId="2" applyFont="1" applyBorder="1" applyAlignment="1">
      <alignment horizontal="center" vertical="center"/>
    </xf>
    <xf numFmtId="0" fontId="23" fillId="0" borderId="64" xfId="2" applyFont="1" applyBorder="1" applyAlignment="1">
      <alignment horizontal="center" wrapText="1"/>
    </xf>
    <xf numFmtId="0" fontId="23" fillId="0" borderId="25" xfId="2" applyFont="1" applyBorder="1" applyAlignment="1">
      <alignment horizontal="center" wrapText="1"/>
    </xf>
    <xf numFmtId="0" fontId="23" fillId="0" borderId="78" xfId="2" applyFont="1" applyBorder="1" applyAlignment="1">
      <alignment horizontal="center" wrapText="1"/>
    </xf>
    <xf numFmtId="0" fontId="23" fillId="0" borderId="49" xfId="2" applyFont="1" applyBorder="1" applyAlignment="1">
      <alignment horizontal="center" wrapText="1"/>
    </xf>
    <xf numFmtId="0" fontId="23" fillId="0" borderId="14" xfId="2" applyFont="1" applyBorder="1" applyAlignment="1">
      <alignment horizontal="center" wrapText="1"/>
    </xf>
    <xf numFmtId="0" fontId="23" fillId="0" borderId="22" xfId="2" applyFont="1" applyBorder="1" applyAlignment="1">
      <alignment horizontal="center" wrapText="1"/>
    </xf>
    <xf numFmtId="0" fontId="13" fillId="0" borderId="21" xfId="2" applyFont="1" applyBorder="1" applyAlignment="1">
      <alignment horizontal="center"/>
    </xf>
    <xf numFmtId="0" fontId="13" fillId="0" borderId="14" xfId="2" applyFont="1" applyBorder="1" applyAlignment="1">
      <alignment horizontal="center"/>
    </xf>
    <xf numFmtId="0" fontId="13" fillId="0" borderId="22" xfId="2" applyFont="1" applyBorder="1" applyAlignment="1">
      <alignment horizontal="center"/>
    </xf>
    <xf numFmtId="0" fontId="23" fillId="0" borderId="21" xfId="2" applyFont="1" applyBorder="1" applyAlignment="1">
      <alignment horizontal="center" vertical="center" wrapText="1"/>
    </xf>
    <xf numFmtId="0" fontId="23" fillId="0" borderId="14" xfId="2" applyFont="1" applyBorder="1" applyAlignment="1">
      <alignment horizontal="center" vertical="center" wrapText="1"/>
    </xf>
    <xf numFmtId="0" fontId="23" fillId="0" borderId="58" xfId="2" applyFont="1" applyBorder="1" applyAlignment="1">
      <alignment horizontal="center" vertical="center" wrapText="1"/>
    </xf>
    <xf numFmtId="0" fontId="13" fillId="0" borderId="75" xfId="0" applyFont="1" applyBorder="1" applyAlignment="1">
      <alignment horizontal="center"/>
    </xf>
    <xf numFmtId="0" fontId="13" fillId="0" borderId="5" xfId="2" applyFont="1" applyBorder="1" applyAlignment="1">
      <alignment horizontal="center"/>
    </xf>
    <xf numFmtId="0" fontId="13" fillId="0" borderId="76" xfId="2" applyFont="1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13" fillId="0" borderId="76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9" fillId="0" borderId="19" xfId="0" applyFont="1" applyBorder="1" applyAlignment="1">
      <alignment horizontal="center" vertical="center" wrapText="1"/>
    </xf>
    <xf numFmtId="0" fontId="13" fillId="0" borderId="1" xfId="2" applyFont="1" applyBorder="1" applyAlignment="1">
      <alignment horizontal="left"/>
    </xf>
    <xf numFmtId="0" fontId="13" fillId="0" borderId="23" xfId="2" applyFont="1" applyBorder="1" applyAlignment="1">
      <alignment horizontal="left"/>
    </xf>
    <xf numFmtId="0" fontId="13" fillId="0" borderId="60" xfId="2" applyFont="1" applyBorder="1" applyAlignment="1">
      <alignment horizontal="left"/>
    </xf>
    <xf numFmtId="0" fontId="13" fillId="0" borderId="26" xfId="2" applyFont="1" applyBorder="1" applyAlignment="1">
      <alignment horizontal="center"/>
    </xf>
    <xf numFmtId="0" fontId="23" fillId="0" borderId="26" xfId="2" applyFont="1" applyBorder="1" applyAlignment="1">
      <alignment horizontal="center"/>
    </xf>
    <xf numFmtId="0" fontId="23" fillId="0" borderId="24" xfId="2" applyFont="1" applyBorder="1" applyAlignment="1">
      <alignment horizontal="center" vertical="center"/>
    </xf>
    <xf numFmtId="0" fontId="23" fillId="0" borderId="25" xfId="2" applyFont="1" applyBorder="1" applyAlignment="1">
      <alignment horizontal="center" vertical="center"/>
    </xf>
    <xf numFmtId="0" fontId="23" fillId="0" borderId="28" xfId="2" applyFont="1" applyBorder="1" applyAlignment="1">
      <alignment horizontal="center" vertical="center"/>
    </xf>
    <xf numFmtId="0" fontId="23" fillId="0" borderId="49" xfId="2" applyFont="1" applyBorder="1" applyAlignment="1">
      <alignment horizontal="center" vertical="center"/>
    </xf>
    <xf numFmtId="0" fontId="23" fillId="0" borderId="22" xfId="2" applyFont="1" applyBorder="1" applyAlignment="1">
      <alignment horizontal="center" vertical="center"/>
    </xf>
    <xf numFmtId="0" fontId="23" fillId="0" borderId="0" xfId="2" applyFont="1" applyAlignment="1"/>
    <xf numFmtId="0" fontId="13" fillId="0" borderId="26" xfId="2" applyFont="1" applyBorder="1" applyAlignment="1">
      <alignment horizontal="center" vertical="center"/>
    </xf>
    <xf numFmtId="0" fontId="13" fillId="0" borderId="0" xfId="0" applyFont="1">
      <alignment vertical="center"/>
    </xf>
    <xf numFmtId="0" fontId="13" fillId="0" borderId="73" xfId="0" applyFont="1" applyBorder="1" applyAlignment="1">
      <alignment horizontal="center" vertical="center"/>
    </xf>
    <xf numFmtId="0" fontId="13" fillId="0" borderId="61" xfId="0" applyFont="1" applyBorder="1" applyAlignment="1">
      <alignment horizontal="center" vertical="center"/>
    </xf>
    <xf numFmtId="0" fontId="13" fillId="0" borderId="74" xfId="0" applyFont="1" applyBorder="1" applyAlignment="1">
      <alignment horizontal="center" vertical="center"/>
    </xf>
    <xf numFmtId="14" fontId="13" fillId="0" borderId="0" xfId="2" applyNumberFormat="1" applyFont="1" applyAlignment="1">
      <alignment horizontal="center" vertical="center"/>
    </xf>
    <xf numFmtId="0" fontId="124" fillId="0" borderId="24" xfId="2" applyFont="1" applyBorder="1" applyAlignment="1">
      <alignment horizontal="center" vertical="center"/>
    </xf>
    <xf numFmtId="0" fontId="124" fillId="0" borderId="25" xfId="2" applyFont="1" applyBorder="1" applyAlignment="1">
      <alignment horizontal="center" vertical="center"/>
    </xf>
    <xf numFmtId="0" fontId="13" fillId="0" borderId="0" xfId="2" applyFont="1" applyAlignment="1">
      <alignment horizontal="center" vertical="top" textRotation="90"/>
    </xf>
    <xf numFmtId="0" fontId="124" fillId="0" borderId="1" xfId="2" applyFont="1" applyBorder="1" applyAlignment="1">
      <alignment horizontal="center" vertical="center"/>
    </xf>
    <xf numFmtId="0" fontId="124" fillId="0" borderId="29" xfId="2" applyFont="1" applyBorder="1" applyAlignment="1">
      <alignment horizontal="center" vertical="center"/>
    </xf>
    <xf numFmtId="0" fontId="26" fillId="0" borderId="30" xfId="2" applyFont="1" applyBorder="1" applyAlignment="1">
      <alignment horizontal="center" vertical="center"/>
    </xf>
    <xf numFmtId="0" fontId="26" fillId="0" borderId="31" xfId="2" applyFont="1" applyBorder="1" applyAlignment="1">
      <alignment horizontal="center" vertical="center"/>
    </xf>
    <xf numFmtId="0" fontId="26" fillId="0" borderId="32" xfId="2" applyFont="1" applyBorder="1" applyAlignment="1">
      <alignment horizontal="center" vertical="center"/>
    </xf>
    <xf numFmtId="0" fontId="124" fillId="0" borderId="26" xfId="2" applyFont="1" applyBorder="1" applyAlignment="1">
      <alignment horizontal="center" vertical="center"/>
    </xf>
    <xf numFmtId="0" fontId="124" fillId="0" borderId="0" xfId="2" applyFont="1" applyAlignment="1">
      <alignment horizontal="center" vertical="center"/>
    </xf>
    <xf numFmtId="0" fontId="154" fillId="0" borderId="9" xfId="21" applyFont="1" applyBorder="1" applyAlignment="1" applyProtection="1">
      <alignment horizontal="center" vertical="center"/>
      <protection hidden="1"/>
    </xf>
    <xf numFmtId="0" fontId="156" fillId="0" borderId="30" xfId="20" applyFont="1" applyBorder="1" applyAlignment="1" applyProtection="1">
      <alignment horizontal="center" vertical="center"/>
      <protection hidden="1"/>
    </xf>
    <xf numFmtId="0" fontId="156" fillId="0" borderId="32" xfId="20" applyFont="1" applyBorder="1" applyAlignment="1" applyProtection="1">
      <alignment horizontal="center" vertical="center"/>
      <protection hidden="1"/>
    </xf>
    <xf numFmtId="0" fontId="140" fillId="0" borderId="76" xfId="20" applyFont="1" applyBorder="1" applyAlignment="1" applyProtection="1">
      <alignment horizontal="center" vertical="center"/>
      <protection hidden="1"/>
    </xf>
    <xf numFmtId="0" fontId="140" fillId="0" borderId="71" xfId="20" applyFont="1" applyBorder="1" applyAlignment="1" applyProtection="1">
      <alignment horizontal="center" vertical="center"/>
      <protection hidden="1"/>
    </xf>
    <xf numFmtId="0" fontId="140" fillId="0" borderId="87" xfId="20" applyFont="1" applyBorder="1" applyAlignment="1" applyProtection="1">
      <alignment horizontal="center" vertical="center"/>
      <protection hidden="1"/>
    </xf>
    <xf numFmtId="0" fontId="143" fillId="0" borderId="9" xfId="20" applyFont="1" applyBorder="1" applyAlignment="1" applyProtection="1">
      <alignment horizontal="center"/>
      <protection hidden="1"/>
    </xf>
    <xf numFmtId="0" fontId="144" fillId="0" borderId="43" xfId="20" applyFont="1" applyBorder="1" applyAlignment="1" applyProtection="1">
      <alignment horizontal="center" vertical="center"/>
      <protection hidden="1"/>
    </xf>
    <xf numFmtId="0" fontId="144" fillId="0" borderId="8" xfId="20" applyFont="1" applyBorder="1" applyAlignment="1" applyProtection="1">
      <alignment horizontal="center" vertical="center"/>
      <protection hidden="1"/>
    </xf>
    <xf numFmtId="0" fontId="145" fillId="0" borderId="43" xfId="20" applyFont="1" applyBorder="1" applyAlignment="1" applyProtection="1">
      <alignment horizontal="center" vertical="center"/>
      <protection hidden="1"/>
    </xf>
    <xf numFmtId="0" fontId="145" fillId="0" borderId="8" xfId="20" applyFont="1" applyBorder="1" applyAlignment="1" applyProtection="1">
      <alignment horizontal="center" vertical="center"/>
      <protection hidden="1"/>
    </xf>
    <xf numFmtId="0" fontId="147" fillId="7" borderId="43" xfId="21" applyFont="1" applyFill="1" applyBorder="1" applyAlignment="1">
      <alignment horizontal="center" vertical="center"/>
    </xf>
    <xf numFmtId="0" fontId="147" fillId="7" borderId="8" xfId="21" applyFont="1" applyFill="1" applyBorder="1" applyAlignment="1">
      <alignment horizontal="center" vertical="center"/>
    </xf>
    <xf numFmtId="0" fontId="145" fillId="0" borderId="9" xfId="20" applyFont="1" applyBorder="1" applyAlignment="1" applyProtection="1">
      <alignment horizontal="center"/>
      <protection hidden="1"/>
    </xf>
    <xf numFmtId="186" fontId="140" fillId="7" borderId="9" xfId="20" applyNumberFormat="1" applyFont="1" applyFill="1" applyBorder="1" applyAlignment="1" applyProtection="1">
      <alignment horizontal="center"/>
      <protection locked="0" hidden="1"/>
    </xf>
    <xf numFmtId="0" fontId="148" fillId="0" borderId="9" xfId="21" applyFont="1" applyBorder="1" applyAlignment="1" applyProtection="1">
      <alignment horizontal="center" vertical="center"/>
      <protection hidden="1"/>
    </xf>
    <xf numFmtId="14" fontId="140" fillId="7" borderId="9" xfId="20" applyNumberFormat="1" applyFont="1" applyFill="1" applyBorder="1" applyAlignment="1" applyProtection="1">
      <alignment horizontal="center"/>
      <protection locked="0" hidden="1"/>
    </xf>
    <xf numFmtId="0" fontId="145" fillId="0" borderId="43" xfId="20" applyFont="1" applyBorder="1" applyAlignment="1" applyProtection="1">
      <alignment horizontal="center"/>
      <protection hidden="1"/>
    </xf>
    <xf numFmtId="0" fontId="145" fillId="0" borderId="8" xfId="20" applyFont="1" applyBorder="1" applyAlignment="1" applyProtection="1">
      <alignment horizontal="center"/>
      <protection hidden="1"/>
    </xf>
    <xf numFmtId="14" fontId="140" fillId="7" borderId="9" xfId="20" quotePrefix="1" applyNumberFormat="1" applyFont="1" applyFill="1" applyBorder="1" applyAlignment="1" applyProtection="1">
      <alignment horizontal="center"/>
      <protection locked="0" hidden="1"/>
    </xf>
    <xf numFmtId="0" fontId="158" fillId="0" borderId="15" xfId="20" applyFont="1" applyBorder="1" applyAlignment="1">
      <alignment horizontal="center"/>
    </xf>
    <xf numFmtId="0" fontId="140" fillId="0" borderId="43" xfId="20" applyFont="1" applyBorder="1" applyAlignment="1" applyProtection="1">
      <alignment horizontal="center"/>
      <protection hidden="1"/>
    </xf>
    <xf numFmtId="0" fontId="140" fillId="0" borderId="50" xfId="20" applyFont="1" applyBorder="1" applyAlignment="1" applyProtection="1">
      <alignment horizontal="center"/>
      <protection hidden="1"/>
    </xf>
    <xf numFmtId="0" fontId="144" fillId="0" borderId="9" xfId="20" applyFont="1" applyBorder="1" applyAlignment="1" applyProtection="1">
      <alignment horizontal="center"/>
      <protection hidden="1"/>
    </xf>
    <xf numFmtId="0" fontId="140" fillId="0" borderId="0" xfId="20" applyFont="1" applyAlignment="1" applyProtection="1">
      <alignment horizontal="right"/>
      <protection hidden="1"/>
    </xf>
    <xf numFmtId="0" fontId="140" fillId="0" borderId="20" xfId="20" applyFont="1" applyBorder="1" applyAlignment="1" applyProtection="1">
      <alignment horizontal="right"/>
      <protection hidden="1"/>
    </xf>
    <xf numFmtId="170" fontId="144" fillId="7" borderId="45" xfId="20" applyNumberFormat="1" applyFont="1" applyFill="1" applyBorder="1" applyAlignment="1" applyProtection="1">
      <alignment horizontal="center" vertical="center"/>
      <protection locked="0" hidden="1"/>
    </xf>
    <xf numFmtId="170" fontId="144" fillId="7" borderId="40" xfId="20" applyNumberFormat="1" applyFont="1" applyFill="1" applyBorder="1" applyAlignment="1" applyProtection="1">
      <alignment horizontal="center" vertical="center"/>
      <protection locked="0" hidden="1"/>
    </xf>
    <xf numFmtId="0" fontId="168" fillId="0" borderId="30" xfId="20" applyFont="1" applyBorder="1" applyAlignment="1" applyProtection="1">
      <alignment horizontal="center"/>
      <protection hidden="1"/>
    </xf>
    <xf numFmtId="0" fontId="168" fillId="0" borderId="32" xfId="20" applyFont="1" applyBorder="1" applyAlignment="1" applyProtection="1">
      <alignment horizontal="center"/>
      <protection hidden="1"/>
    </xf>
    <xf numFmtId="0" fontId="169" fillId="0" borderId="75" xfId="20" applyFont="1" applyBorder="1" applyAlignment="1" applyProtection="1">
      <alignment horizontal="center" vertical="center"/>
      <protection hidden="1"/>
    </xf>
    <xf numFmtId="0" fontId="169" fillId="0" borderId="5" xfId="20" applyFont="1" applyBorder="1" applyAlignment="1" applyProtection="1">
      <alignment horizontal="center" vertical="center"/>
      <protection hidden="1"/>
    </xf>
    <xf numFmtId="0" fontId="168" fillId="0" borderId="31" xfId="20" applyFont="1" applyBorder="1" applyAlignment="1" applyProtection="1">
      <alignment horizontal="center"/>
      <protection hidden="1"/>
    </xf>
    <xf numFmtId="0" fontId="144" fillId="0" borderId="9" xfId="20" applyFont="1" applyBorder="1" applyAlignment="1" applyProtection="1">
      <alignment horizontal="center" vertical="center"/>
      <protection hidden="1"/>
    </xf>
    <xf numFmtId="0" fontId="144" fillId="9" borderId="9" xfId="20" applyFont="1" applyFill="1" applyBorder="1" applyAlignment="1" applyProtection="1">
      <alignment horizontal="center" vertical="center"/>
      <protection hidden="1"/>
    </xf>
    <xf numFmtId="0" fontId="169" fillId="0" borderId="42" xfId="20" applyFont="1" applyBorder="1" applyAlignment="1" applyProtection="1">
      <alignment horizontal="center" vertical="center"/>
      <protection hidden="1"/>
    </xf>
    <xf numFmtId="0" fontId="169" fillId="0" borderId="9" xfId="20" applyFont="1" applyBorder="1" applyAlignment="1" applyProtection="1">
      <alignment horizontal="center" vertical="center"/>
      <protection hidden="1"/>
    </xf>
    <xf numFmtId="0" fontId="142" fillId="0" borderId="43" xfId="20" applyFont="1" applyBorder="1" applyAlignment="1" applyProtection="1">
      <alignment horizontal="center"/>
      <protection hidden="1"/>
    </xf>
    <xf numFmtId="0" fontId="142" fillId="0" borderId="50" xfId="20" applyFont="1" applyBorder="1" applyAlignment="1" applyProtection="1">
      <alignment horizontal="center"/>
      <protection hidden="1"/>
    </xf>
    <xf numFmtId="0" fontId="142" fillId="0" borderId="8" xfId="20" applyFont="1" applyBorder="1" applyAlignment="1" applyProtection="1">
      <alignment horizontal="center"/>
      <protection hidden="1"/>
    </xf>
    <xf numFmtId="0" fontId="168" fillId="0" borderId="75" xfId="20" applyFont="1" applyBorder="1" applyAlignment="1" applyProtection="1">
      <alignment horizontal="center"/>
      <protection hidden="1"/>
    </xf>
    <xf numFmtId="0" fontId="168" fillId="0" borderId="6" xfId="20" applyFont="1" applyBorder="1" applyAlignment="1" applyProtection="1">
      <alignment horizontal="center"/>
      <protection hidden="1"/>
    </xf>
    <xf numFmtId="1" fontId="152" fillId="0" borderId="9" xfId="20" applyNumberFormat="1" applyFont="1" applyBorder="1" applyAlignment="1" applyProtection="1">
      <alignment horizontal="center" vertical="center" wrapText="1"/>
      <protection hidden="1"/>
    </xf>
    <xf numFmtId="0" fontId="168" fillId="0" borderId="42" xfId="20" applyFont="1" applyBorder="1" applyAlignment="1" applyProtection="1">
      <alignment horizontal="center"/>
      <protection hidden="1"/>
    </xf>
    <xf numFmtId="0" fontId="168" fillId="0" borderId="51" xfId="20" applyFont="1" applyBorder="1" applyAlignment="1" applyProtection="1">
      <alignment horizontal="center"/>
      <protection hidden="1"/>
    </xf>
    <xf numFmtId="1" fontId="141" fillId="0" borderId="0" xfId="20" applyNumberFormat="1" applyFont="1" applyAlignment="1" applyProtection="1">
      <alignment horizontal="center"/>
      <protection hidden="1"/>
    </xf>
    <xf numFmtId="0" fontId="180" fillId="0" borderId="9" xfId="20" applyFont="1" applyBorder="1" applyAlignment="1" applyProtection="1">
      <alignment horizontal="center" vertical="top"/>
      <protection hidden="1"/>
    </xf>
    <xf numFmtId="0" fontId="169" fillId="0" borderId="72" xfId="20" applyFont="1" applyBorder="1" applyAlignment="1" applyProtection="1">
      <alignment horizontal="center" vertical="center"/>
      <protection hidden="1"/>
    </xf>
    <xf numFmtId="0" fontId="169" fillId="0" borderId="12" xfId="20" applyFont="1" applyBorder="1" applyAlignment="1" applyProtection="1">
      <alignment horizontal="center" vertical="center"/>
      <protection hidden="1"/>
    </xf>
    <xf numFmtId="0" fontId="168" fillId="0" borderId="24" xfId="20" applyFont="1" applyBorder="1" applyAlignment="1" applyProtection="1">
      <alignment horizontal="center"/>
      <protection hidden="1"/>
    </xf>
    <xf numFmtId="0" fontId="168" fillId="0" borderId="28" xfId="20" applyFont="1" applyBorder="1" applyAlignment="1" applyProtection="1">
      <alignment horizontal="center"/>
      <protection hidden="1"/>
    </xf>
    <xf numFmtId="0" fontId="152" fillId="0" borderId="17" xfId="20" applyFont="1" applyBorder="1" applyAlignment="1" applyProtection="1">
      <alignment horizontal="center" vertical="center" wrapText="1"/>
      <protection hidden="1"/>
    </xf>
    <xf numFmtId="0" fontId="138" fillId="0" borderId="18" xfId="20" applyBorder="1">
      <alignment vertical="center"/>
    </xf>
    <xf numFmtId="0" fontId="138" fillId="0" borderId="21" xfId="20" applyBorder="1">
      <alignment vertical="center"/>
    </xf>
    <xf numFmtId="0" fontId="138" fillId="0" borderId="22" xfId="20" applyBorder="1">
      <alignment vertical="center"/>
    </xf>
    <xf numFmtId="0" fontId="152" fillId="0" borderId="9" xfId="20" applyFont="1" applyBorder="1" applyAlignment="1" applyProtection="1">
      <alignment horizontal="center"/>
      <protection hidden="1"/>
    </xf>
    <xf numFmtId="170" fontId="144" fillId="7" borderId="50" xfId="20" applyNumberFormat="1" applyFont="1" applyFill="1" applyBorder="1" applyAlignment="1" applyProtection="1">
      <alignment horizontal="center" vertical="center"/>
      <protection locked="0" hidden="1"/>
    </xf>
    <xf numFmtId="170" fontId="144" fillId="7" borderId="8" xfId="20" applyNumberFormat="1" applyFont="1" applyFill="1" applyBorder="1" applyAlignment="1" applyProtection="1">
      <alignment horizontal="center" vertical="center"/>
      <protection locked="0" hidden="1"/>
    </xf>
    <xf numFmtId="0" fontId="152" fillId="0" borderId="12" xfId="20" applyFont="1" applyBorder="1" applyAlignment="1" applyProtection="1">
      <alignment horizontal="center"/>
      <protection hidden="1"/>
    </xf>
    <xf numFmtId="170" fontId="144" fillId="7" borderId="69" xfId="20" applyNumberFormat="1" applyFont="1" applyFill="1" applyBorder="1" applyAlignment="1" applyProtection="1">
      <alignment horizontal="center" vertical="center"/>
      <protection locked="0" hidden="1"/>
    </xf>
    <xf numFmtId="170" fontId="144" fillId="7" borderId="11" xfId="20" applyNumberFormat="1" applyFont="1" applyFill="1" applyBorder="1" applyAlignment="1" applyProtection="1">
      <alignment horizontal="center" vertical="center"/>
      <protection locked="0" hidden="1"/>
    </xf>
    <xf numFmtId="0" fontId="152" fillId="0" borderId="30" xfId="20" applyFont="1" applyBorder="1" applyAlignment="1" applyProtection="1">
      <alignment horizontal="center"/>
      <protection hidden="1"/>
    </xf>
    <xf numFmtId="0" fontId="152" fillId="0" borderId="31" xfId="20" applyFont="1" applyBorder="1" applyAlignment="1" applyProtection="1">
      <alignment horizontal="center"/>
      <protection hidden="1"/>
    </xf>
    <xf numFmtId="0" fontId="152" fillId="0" borderId="32" xfId="20" applyFont="1" applyBorder="1" applyAlignment="1" applyProtection="1">
      <alignment horizontal="center"/>
      <protection hidden="1"/>
    </xf>
    <xf numFmtId="0" fontId="141" fillId="0" borderId="43" xfId="20" applyFont="1" applyBorder="1" applyAlignment="1" applyProtection="1">
      <alignment horizontal="center"/>
      <protection hidden="1"/>
    </xf>
    <xf numFmtId="0" fontId="141" fillId="0" borderId="50" xfId="20" applyFont="1" applyBorder="1" applyAlignment="1" applyProtection="1">
      <alignment horizontal="center"/>
      <protection hidden="1"/>
    </xf>
    <xf numFmtId="0" fontId="141" fillId="0" borderId="8" xfId="20" applyFont="1" applyBorder="1" applyAlignment="1" applyProtection="1">
      <alignment horizontal="center"/>
      <protection hidden="1"/>
    </xf>
    <xf numFmtId="0" fontId="180" fillId="0" borderId="43" xfId="20" applyFont="1" applyBorder="1" applyAlignment="1" applyProtection="1">
      <alignment horizontal="center"/>
      <protection hidden="1"/>
    </xf>
    <xf numFmtId="0" fontId="180" fillId="0" borderId="8" xfId="20" applyFont="1" applyBorder="1" applyAlignment="1" applyProtection="1">
      <alignment horizontal="center"/>
      <protection hidden="1"/>
    </xf>
    <xf numFmtId="0" fontId="180" fillId="0" borderId="43" xfId="20" applyFont="1" applyBorder="1" applyAlignment="1" applyProtection="1">
      <alignment horizontal="center" vertical="center"/>
      <protection hidden="1"/>
    </xf>
    <xf numFmtId="0" fontId="180" fillId="0" borderId="8" xfId="20" applyFont="1" applyBorder="1" applyAlignment="1" applyProtection="1">
      <alignment horizontal="center" vertical="center"/>
      <protection hidden="1"/>
    </xf>
    <xf numFmtId="0" fontId="140" fillId="0" borderId="8" xfId="20" applyFont="1" applyBorder="1" applyAlignment="1" applyProtection="1">
      <alignment horizontal="center"/>
      <protection hidden="1"/>
    </xf>
    <xf numFmtId="0" fontId="23" fillId="0" borderId="35" xfId="2" applyFont="1" applyBorder="1" applyAlignment="1">
      <alignment horizontal="center" vertical="center"/>
    </xf>
    <xf numFmtId="0" fontId="23" fillId="0" borderId="48" xfId="2" applyFont="1" applyBorder="1" applyAlignment="1">
      <alignment horizontal="center" vertical="center"/>
    </xf>
    <xf numFmtId="0" fontId="23" fillId="44" borderId="43" xfId="2" applyFont="1" applyFill="1" applyBorder="1" applyAlignment="1" applyProtection="1">
      <alignment horizontal="center" vertical="center"/>
      <protection locked="0"/>
    </xf>
    <xf numFmtId="0" fontId="23" fillId="44" borderId="8" xfId="2" applyFont="1" applyFill="1" applyBorder="1" applyAlignment="1" applyProtection="1">
      <alignment horizontal="center" vertical="center"/>
      <protection locked="0"/>
    </xf>
    <xf numFmtId="0" fontId="13" fillId="0" borderId="1" xfId="2" applyFont="1" applyBorder="1" applyAlignment="1" applyProtection="1">
      <alignment horizontal="center"/>
      <protection locked="0"/>
    </xf>
    <xf numFmtId="0" fontId="13" fillId="0" borderId="23" xfId="2" applyFont="1" applyBorder="1" applyAlignment="1" applyProtection="1">
      <alignment horizontal="center"/>
      <protection locked="0"/>
    </xf>
    <xf numFmtId="0" fontId="23" fillId="0" borderId="62" xfId="2" applyFont="1" applyBorder="1" applyAlignment="1" applyProtection="1">
      <alignment horizontal="center"/>
      <protection locked="0"/>
    </xf>
    <xf numFmtId="0" fontId="23" fillId="0" borderId="23" xfId="2" applyFont="1" applyBorder="1" applyAlignment="1" applyProtection="1">
      <alignment horizontal="center"/>
      <protection locked="0"/>
    </xf>
    <xf numFmtId="0" fontId="13" fillId="0" borderId="74" xfId="2" applyFont="1" applyBorder="1" applyAlignment="1" applyProtection="1">
      <alignment horizontal="center" vertical="center"/>
      <protection locked="0"/>
    </xf>
    <xf numFmtId="0" fontId="13" fillId="0" borderId="74" xfId="2" applyFont="1" applyBorder="1" applyProtection="1">
      <alignment vertical="center"/>
      <protection locked="0"/>
    </xf>
    <xf numFmtId="0" fontId="23" fillId="0" borderId="49" xfId="2" applyFont="1" applyBorder="1" applyAlignment="1" applyProtection="1">
      <alignment horizontal="center"/>
      <protection locked="0"/>
    </xf>
    <xf numFmtId="0" fontId="23" fillId="0" borderId="14" xfId="2" applyFont="1" applyBorder="1" applyAlignment="1" applyProtection="1">
      <alignment horizontal="center"/>
      <protection locked="0"/>
    </xf>
    <xf numFmtId="0" fontId="13" fillId="0" borderId="19" xfId="2" applyFont="1" applyBorder="1" applyAlignment="1" applyProtection="1">
      <alignment horizontal="center"/>
      <protection locked="0"/>
    </xf>
    <xf numFmtId="0" fontId="13" fillId="0" borderId="0" xfId="2" applyFont="1" applyAlignment="1" applyProtection="1">
      <alignment horizontal="center"/>
      <protection locked="0"/>
    </xf>
    <xf numFmtId="0" fontId="23" fillId="0" borderId="21" xfId="2" applyFont="1" applyBorder="1" applyAlignment="1" applyProtection="1">
      <alignment horizontal="left" vertical="center"/>
      <protection locked="0"/>
    </xf>
    <xf numFmtId="0" fontId="23" fillId="0" borderId="58" xfId="2" applyFont="1" applyBorder="1" applyAlignment="1" applyProtection="1">
      <alignment horizontal="left" vertical="center"/>
      <protection locked="0"/>
    </xf>
    <xf numFmtId="0" fontId="13" fillId="0" borderId="26" xfId="2" applyFont="1" applyBorder="1" applyAlignment="1" applyProtection="1">
      <alignment horizontal="center"/>
      <protection locked="0"/>
    </xf>
    <xf numFmtId="0" fontId="13" fillId="0" borderId="17" xfId="2" applyFont="1" applyBorder="1" applyAlignment="1" applyProtection="1">
      <alignment horizontal="center"/>
      <protection locked="0"/>
    </xf>
    <xf numFmtId="0" fontId="13" fillId="0" borderId="15" xfId="2" applyFont="1" applyBorder="1" applyAlignment="1" applyProtection="1">
      <alignment horizontal="center"/>
      <protection locked="0"/>
    </xf>
    <xf numFmtId="0" fontId="13" fillId="8" borderId="0" xfId="2" applyFont="1" applyFill="1" applyAlignment="1" applyProtection="1">
      <alignment horizontal="center" vertical="center"/>
      <protection locked="0"/>
    </xf>
    <xf numFmtId="0" fontId="13" fillId="8" borderId="27" xfId="2" applyFont="1" applyFill="1" applyBorder="1" applyAlignment="1" applyProtection="1">
      <alignment horizontal="center" vertical="center"/>
      <protection locked="0"/>
    </xf>
    <xf numFmtId="0" fontId="13" fillId="12" borderId="9" xfId="2" applyFont="1" applyFill="1" applyBorder="1" applyAlignment="1">
      <alignment horizontal="center" vertical="center" wrapText="1"/>
    </xf>
    <xf numFmtId="0" fontId="23" fillId="12" borderId="9" xfId="2" applyFont="1" applyFill="1" applyBorder="1" applyAlignment="1">
      <alignment horizontal="center" vertical="center"/>
    </xf>
    <xf numFmtId="0" fontId="23" fillId="0" borderId="21" xfId="2" applyFont="1" applyBorder="1" applyAlignment="1" applyProtection="1">
      <alignment horizontal="center"/>
      <protection locked="0"/>
    </xf>
    <xf numFmtId="0" fontId="13" fillId="0" borderId="17" xfId="2" applyFont="1" applyBorder="1" applyAlignment="1" applyProtection="1">
      <alignment horizontal="center" vertical="center"/>
      <protection locked="0"/>
    </xf>
    <xf numFmtId="0" fontId="13" fillId="0" borderId="57" xfId="2" applyFont="1" applyBorder="1" applyAlignment="1" applyProtection="1">
      <alignment horizontal="center" vertical="center"/>
      <protection locked="0"/>
    </xf>
    <xf numFmtId="0" fontId="13" fillId="0" borderId="21" xfId="2" applyFont="1" applyBorder="1" applyAlignment="1" applyProtection="1">
      <alignment horizontal="center" vertical="center"/>
      <protection locked="0"/>
    </xf>
    <xf numFmtId="0" fontId="13" fillId="0" borderId="58" xfId="2" applyFont="1" applyBorder="1" applyAlignment="1" applyProtection="1">
      <alignment horizontal="center" vertical="center"/>
      <protection locked="0"/>
    </xf>
    <xf numFmtId="0" fontId="31" fillId="0" borderId="17" xfId="0" applyFont="1" applyBorder="1" applyAlignment="1">
      <alignment horizontal="center" vertical="center" wrapText="1"/>
    </xf>
    <xf numFmtId="0" fontId="31" fillId="0" borderId="18" xfId="0" applyFont="1" applyBorder="1" applyAlignment="1">
      <alignment horizontal="center" vertical="center" wrapText="1"/>
    </xf>
    <xf numFmtId="0" fontId="117" fillId="0" borderId="9" xfId="0" applyFont="1" applyBorder="1" applyAlignment="1">
      <alignment horizontal="center" vertical="center"/>
    </xf>
    <xf numFmtId="0" fontId="23" fillId="0" borderId="64" xfId="2" applyFont="1" applyBorder="1" applyAlignment="1">
      <alignment horizontal="center"/>
    </xf>
    <xf numFmtId="0" fontId="23" fillId="0" borderId="25" xfId="2" applyFont="1" applyBorder="1" applyAlignment="1">
      <alignment horizontal="center"/>
    </xf>
    <xf numFmtId="0" fontId="13" fillId="0" borderId="12" xfId="2" applyFont="1" applyBorder="1" applyAlignment="1">
      <alignment horizontal="center" vertical="center"/>
    </xf>
    <xf numFmtId="0" fontId="13" fillId="0" borderId="13" xfId="2" applyFont="1" applyBorder="1" applyAlignment="1">
      <alignment horizontal="center" vertical="center"/>
    </xf>
    <xf numFmtId="0" fontId="13" fillId="0" borderId="5" xfId="2" applyFont="1" applyBorder="1" applyAlignment="1">
      <alignment horizontal="center" vertical="center"/>
    </xf>
    <xf numFmtId="0" fontId="13" fillId="0" borderId="6" xfId="2" applyFont="1" applyBorder="1" applyAlignment="1">
      <alignment horizontal="center" vertical="center"/>
    </xf>
    <xf numFmtId="0" fontId="23" fillId="0" borderId="45" xfId="2" applyFont="1" applyBorder="1" applyAlignment="1">
      <alignment horizontal="center" vertical="center"/>
    </xf>
    <xf numFmtId="0" fontId="23" fillId="0" borderId="55" xfId="2" applyFont="1" applyBorder="1" applyAlignment="1">
      <alignment horizontal="center" vertical="center"/>
    </xf>
    <xf numFmtId="0" fontId="13" fillId="0" borderId="39" xfId="0" applyFont="1" applyBorder="1" applyAlignment="1">
      <alignment horizontal="center"/>
    </xf>
    <xf numFmtId="0" fontId="13" fillId="0" borderId="40" xfId="2" applyFont="1" applyBorder="1" applyAlignment="1">
      <alignment horizontal="center"/>
    </xf>
    <xf numFmtId="0" fontId="13" fillId="0" borderId="56" xfId="2" applyFont="1" applyBorder="1" applyAlignment="1">
      <alignment horizontal="center"/>
    </xf>
    <xf numFmtId="0" fontId="23" fillId="0" borderId="19" xfId="2" applyFont="1" applyBorder="1" applyAlignment="1">
      <alignment horizontal="center" vertical="center" wrapText="1"/>
    </xf>
    <xf numFmtId="0" fontId="23" fillId="0" borderId="0" xfId="2" applyFont="1" applyAlignment="1">
      <alignment horizontal="center" vertical="center" wrapText="1"/>
    </xf>
    <xf numFmtId="0" fontId="23" fillId="0" borderId="27" xfId="2" applyFont="1" applyBorder="1" applyAlignment="1">
      <alignment horizontal="center" vertical="center" wrapText="1"/>
    </xf>
    <xf numFmtId="0" fontId="23" fillId="0" borderId="19" xfId="2" applyFont="1" applyBorder="1" applyAlignment="1">
      <alignment horizontal="center" wrapText="1"/>
    </xf>
    <xf numFmtId="0" fontId="23" fillId="0" borderId="0" xfId="2" applyFont="1" applyAlignment="1">
      <alignment horizontal="center" wrapText="1"/>
    </xf>
    <xf numFmtId="0" fontId="13" fillId="0" borderId="45" xfId="2" applyFont="1" applyBorder="1" applyAlignment="1">
      <alignment horizontal="center" vertical="center"/>
    </xf>
    <xf numFmtId="0" fontId="13" fillId="0" borderId="55" xfId="2" applyFont="1" applyBorder="1" applyAlignment="1">
      <alignment horizontal="center" vertical="center"/>
    </xf>
    <xf numFmtId="0" fontId="23" fillId="12" borderId="23" xfId="2" applyFont="1" applyFill="1" applyBorder="1" applyAlignment="1">
      <alignment horizontal="center" vertical="center"/>
    </xf>
    <xf numFmtId="0" fontId="23" fillId="12" borderId="2" xfId="2" applyFont="1" applyFill="1" applyBorder="1" applyAlignment="1">
      <alignment horizontal="center" vertical="center"/>
    </xf>
    <xf numFmtId="0" fontId="13" fillId="8" borderId="1" xfId="2" applyFont="1" applyFill="1" applyBorder="1" applyAlignment="1">
      <alignment horizontal="center"/>
    </xf>
    <xf numFmtId="0" fontId="13" fillId="8" borderId="23" xfId="2" applyFont="1" applyFill="1" applyBorder="1" applyAlignment="1">
      <alignment horizontal="center"/>
    </xf>
    <xf numFmtId="0" fontId="13" fillId="8" borderId="60" xfId="2" applyFont="1" applyFill="1" applyBorder="1" applyAlignment="1">
      <alignment horizontal="center"/>
    </xf>
    <xf numFmtId="0" fontId="23" fillId="8" borderId="62" xfId="2" applyFont="1" applyFill="1" applyBorder="1" applyAlignment="1">
      <alignment horizontal="center"/>
    </xf>
    <xf numFmtId="0" fontId="23" fillId="8" borderId="23" xfId="2" applyFont="1" applyFill="1" applyBorder="1" applyAlignment="1">
      <alignment horizontal="center"/>
    </xf>
    <xf numFmtId="0" fontId="13" fillId="8" borderId="62" xfId="2" applyFont="1" applyFill="1" applyBorder="1" applyAlignment="1">
      <alignment horizontal="center" vertical="center"/>
    </xf>
    <xf numFmtId="0" fontId="13" fillId="8" borderId="23" xfId="2" applyFont="1" applyFill="1" applyBorder="1" applyAlignment="1">
      <alignment horizontal="center" vertical="center"/>
    </xf>
    <xf numFmtId="0" fontId="13" fillId="8" borderId="29" xfId="2" applyFont="1" applyFill="1" applyBorder="1" applyAlignment="1">
      <alignment horizontal="center" vertical="center"/>
    </xf>
    <xf numFmtId="0" fontId="23" fillId="8" borderId="49" xfId="2" applyFont="1" applyFill="1" applyBorder="1" applyAlignment="1">
      <alignment horizontal="left"/>
    </xf>
    <xf numFmtId="0" fontId="23" fillId="8" borderId="14" xfId="2" applyFont="1" applyFill="1" applyBorder="1" applyAlignment="1">
      <alignment horizontal="left"/>
    </xf>
    <xf numFmtId="0" fontId="23" fillId="8" borderId="22" xfId="2" applyFont="1" applyFill="1" applyBorder="1" applyAlignment="1">
      <alignment horizontal="left"/>
    </xf>
    <xf numFmtId="0" fontId="13" fillId="8" borderId="19" xfId="2" applyFont="1" applyFill="1" applyBorder="1" applyAlignment="1">
      <alignment horizontal="center"/>
    </xf>
    <xf numFmtId="0" fontId="23" fillId="8" borderId="21" xfId="2" applyFont="1" applyFill="1" applyBorder="1" applyAlignment="1">
      <alignment horizontal="center" vertical="center"/>
    </xf>
    <xf numFmtId="0" fontId="23" fillId="8" borderId="14" xfId="2" applyFont="1" applyFill="1" applyBorder="1" applyAlignment="1">
      <alignment horizontal="center" vertical="center"/>
    </xf>
    <xf numFmtId="0" fontId="23" fillId="8" borderId="58" xfId="2" applyFont="1" applyFill="1" applyBorder="1" applyAlignment="1">
      <alignment horizontal="center" vertical="center"/>
    </xf>
    <xf numFmtId="0" fontId="13" fillId="8" borderId="17" xfId="2" applyFont="1" applyFill="1" applyBorder="1" applyAlignment="1">
      <alignment horizontal="center" vertical="center"/>
    </xf>
    <xf numFmtId="0" fontId="13" fillId="8" borderId="0" xfId="2" applyFont="1" applyFill="1" applyAlignment="1">
      <alignment horizontal="center" vertical="center"/>
    </xf>
    <xf numFmtId="0" fontId="13" fillId="8" borderId="27" xfId="2" applyFont="1" applyFill="1" applyBorder="1" applyAlignment="1">
      <alignment horizontal="center" vertical="center"/>
    </xf>
    <xf numFmtId="0" fontId="13" fillId="8" borderId="19" xfId="2" applyFont="1" applyFill="1" applyBorder="1" applyAlignment="1">
      <alignment horizontal="center" vertical="center"/>
    </xf>
    <xf numFmtId="0" fontId="13" fillId="8" borderId="77" xfId="2" applyFont="1" applyFill="1" applyBorder="1" applyAlignment="1">
      <alignment horizontal="left"/>
    </xf>
    <xf numFmtId="0" fontId="13" fillId="8" borderId="15" xfId="2" applyFont="1" applyFill="1" applyBorder="1" applyAlignment="1">
      <alignment horizontal="left"/>
    </xf>
    <xf numFmtId="0" fontId="13" fillId="8" borderId="18" xfId="2" applyFont="1" applyFill="1" applyBorder="1" applyAlignment="1">
      <alignment horizontal="left"/>
    </xf>
    <xf numFmtId="0" fontId="13" fillId="8" borderId="17" xfId="2" applyFont="1" applyFill="1" applyBorder="1" applyAlignment="1">
      <alignment horizontal="center"/>
    </xf>
    <xf numFmtId="0" fontId="13" fillId="8" borderId="15" xfId="2" applyFont="1" applyFill="1" applyBorder="1" applyAlignment="1">
      <alignment horizontal="center"/>
    </xf>
    <xf numFmtId="0" fontId="13" fillId="8" borderId="18" xfId="2" applyFont="1" applyFill="1" applyBorder="1" applyAlignment="1">
      <alignment horizontal="center"/>
    </xf>
    <xf numFmtId="0" fontId="23" fillId="12" borderId="35" xfId="2" applyFont="1" applyFill="1" applyBorder="1" applyAlignment="1">
      <alignment horizontal="center" vertical="center"/>
    </xf>
    <xf numFmtId="0" fontId="23" fillId="12" borderId="37" xfId="2" applyFont="1" applyFill="1" applyBorder="1" applyAlignment="1">
      <alignment horizontal="center" vertical="center"/>
    </xf>
    <xf numFmtId="0" fontId="23" fillId="12" borderId="32" xfId="2" applyFont="1" applyFill="1" applyBorder="1" applyAlignment="1">
      <alignment horizontal="center" vertical="center"/>
    </xf>
    <xf numFmtId="0" fontId="23" fillId="0" borderId="49" xfId="2" applyFont="1" applyBorder="1" applyAlignment="1">
      <alignment horizontal="left"/>
    </xf>
    <xf numFmtId="0" fontId="23" fillId="0" borderId="14" xfId="2" applyFont="1" applyBorder="1" applyAlignment="1">
      <alignment horizontal="left"/>
    </xf>
    <xf numFmtId="0" fontId="23" fillId="0" borderId="22" xfId="2" applyFont="1" applyBorder="1" applyAlignment="1">
      <alignment horizontal="left"/>
    </xf>
    <xf numFmtId="0" fontId="13" fillId="0" borderId="43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8" borderId="0" xfId="2" applyFont="1" applyFill="1" applyAlignment="1">
      <alignment horizontal="left" vertical="center"/>
    </xf>
    <xf numFmtId="0" fontId="23" fillId="8" borderId="0" xfId="2" applyFont="1" applyFill="1" applyAlignment="1">
      <alignment horizontal="center" vertical="center"/>
    </xf>
    <xf numFmtId="0" fontId="23" fillId="8" borderId="19" xfId="2" applyFont="1" applyFill="1" applyBorder="1" applyAlignment="1">
      <alignment horizontal="center"/>
    </xf>
    <xf numFmtId="0" fontId="23" fillId="8" borderId="20" xfId="2" applyFont="1" applyFill="1" applyBorder="1" applyAlignment="1">
      <alignment horizontal="center"/>
    </xf>
    <xf numFmtId="0" fontId="23" fillId="8" borderId="0" xfId="2" applyFont="1" applyFill="1" applyAlignment="1">
      <alignment horizontal="center" vertical="center" wrapText="1"/>
    </xf>
    <xf numFmtId="0" fontId="69" fillId="8" borderId="43" xfId="2" applyFont="1" applyFill="1" applyBorder="1" applyAlignment="1">
      <alignment horizontal="center" vertical="center"/>
    </xf>
    <xf numFmtId="0" fontId="69" fillId="8" borderId="8" xfId="2" applyFont="1" applyFill="1" applyBorder="1" applyAlignment="1">
      <alignment horizontal="left" vertical="center"/>
    </xf>
    <xf numFmtId="0" fontId="28" fillId="8" borderId="9" xfId="2" applyFont="1" applyFill="1" applyBorder="1" applyAlignment="1">
      <alignment horizontal="center" vertical="center"/>
    </xf>
    <xf numFmtId="0" fontId="28" fillId="8" borderId="51" xfId="2" applyFont="1" applyFill="1" applyBorder="1" applyAlignment="1">
      <alignment horizontal="center" vertical="center"/>
    </xf>
    <xf numFmtId="0" fontId="13" fillId="8" borderId="19" xfId="2" applyFont="1" applyFill="1" applyBorder="1">
      <alignment vertical="center"/>
    </xf>
    <xf numFmtId="0" fontId="13" fillId="8" borderId="0" xfId="2" applyFont="1" applyFill="1">
      <alignment vertical="center"/>
    </xf>
    <xf numFmtId="0" fontId="52" fillId="8" borderId="1" xfId="2" applyFont="1" applyFill="1" applyBorder="1" applyAlignment="1">
      <alignment horizontal="center" vertical="center"/>
    </xf>
    <xf numFmtId="0" fontId="52" fillId="8" borderId="23" xfId="2" applyFont="1" applyFill="1" applyBorder="1" applyAlignment="1">
      <alignment horizontal="center" vertical="center"/>
    </xf>
    <xf numFmtId="0" fontId="52" fillId="8" borderId="29" xfId="2" applyFont="1" applyFill="1" applyBorder="1" applyAlignment="1">
      <alignment horizontal="center" vertical="center"/>
    </xf>
    <xf numFmtId="0" fontId="23" fillId="0" borderId="17" xfId="0" applyFont="1" applyBorder="1" applyAlignment="1">
      <alignment horizontal="center" vertical="center"/>
    </xf>
    <xf numFmtId="0" fontId="23" fillId="0" borderId="15" xfId="0" applyFont="1" applyBorder="1" applyAlignment="1">
      <alignment horizontal="center" vertical="center"/>
    </xf>
    <xf numFmtId="0" fontId="23" fillId="12" borderId="30" xfId="2" applyFont="1" applyFill="1" applyBorder="1" applyAlignment="1">
      <alignment horizontal="center" vertical="center"/>
    </xf>
    <xf numFmtId="0" fontId="23" fillId="12" borderId="31" xfId="2" applyFont="1" applyFill="1" applyBorder="1" applyAlignment="1">
      <alignment horizontal="center" vertical="center"/>
    </xf>
    <xf numFmtId="0" fontId="23" fillId="8" borderId="5" xfId="2" applyFont="1" applyFill="1" applyBorder="1" applyAlignment="1">
      <alignment vertical="center" wrapText="1"/>
    </xf>
    <xf numFmtId="0" fontId="23" fillId="8" borderId="9" xfId="2" applyFont="1" applyFill="1" applyBorder="1" applyAlignment="1">
      <alignment horizontal="left" vertical="center" wrapText="1"/>
    </xf>
    <xf numFmtId="14" fontId="28" fillId="0" borderId="48" xfId="2" applyNumberFormat="1" applyFont="1" applyBorder="1" applyAlignment="1">
      <alignment horizontal="center" vertical="center" wrapText="1"/>
    </xf>
    <xf numFmtId="0" fontId="120" fillId="0" borderId="43" xfId="0" applyFont="1" applyBorder="1" applyAlignment="1">
      <alignment horizontal="center" vertical="center" wrapText="1"/>
    </xf>
    <xf numFmtId="0" fontId="118" fillId="0" borderId="50" xfId="0" applyFont="1" applyBorder="1" applyAlignment="1">
      <alignment vertical="center" wrapText="1"/>
    </xf>
    <xf numFmtId="0" fontId="118" fillId="0" borderId="8" xfId="0" applyFont="1" applyBorder="1" applyAlignment="1">
      <alignment vertical="center" wrapText="1"/>
    </xf>
    <xf numFmtId="0" fontId="120" fillId="17" borderId="21" xfId="0" applyFont="1" applyFill="1" applyBorder="1" applyAlignment="1">
      <alignment horizontal="center" vertical="center" wrapText="1"/>
    </xf>
    <xf numFmtId="0" fontId="13" fillId="0" borderId="14" xfId="0" applyFont="1" applyBorder="1" applyAlignment="1">
      <alignment vertical="center" wrapText="1"/>
    </xf>
    <xf numFmtId="0" fontId="13" fillId="0" borderId="22" xfId="0" applyFont="1" applyBorder="1" applyAlignment="1">
      <alignment vertical="center" wrapText="1"/>
    </xf>
    <xf numFmtId="0" fontId="23" fillId="8" borderId="39" xfId="2" applyFont="1" applyFill="1" applyBorder="1" applyAlignment="1">
      <alignment horizontal="center" vertical="center"/>
    </xf>
    <xf numFmtId="0" fontId="23" fillId="8" borderId="40" xfId="2" applyFont="1" applyFill="1" applyBorder="1" applyAlignment="1">
      <alignment horizontal="center" vertical="center"/>
    </xf>
    <xf numFmtId="0" fontId="23" fillId="8" borderId="42" xfId="2" applyFont="1" applyFill="1" applyBorder="1" applyAlignment="1">
      <alignment horizontal="center" vertical="center"/>
    </xf>
    <xf numFmtId="0" fontId="23" fillId="8" borderId="9" xfId="2" applyFont="1" applyFill="1" applyBorder="1" applyAlignment="1">
      <alignment horizontal="center" vertical="center"/>
    </xf>
    <xf numFmtId="0" fontId="23" fillId="8" borderId="19" xfId="2" applyFont="1" applyFill="1" applyBorder="1" applyAlignment="1">
      <alignment horizontal="center" vertical="center"/>
    </xf>
    <xf numFmtId="0" fontId="23" fillId="8" borderId="20" xfId="2" applyFont="1" applyFill="1" applyBorder="1" applyAlignment="1">
      <alignment horizontal="center" vertical="center"/>
    </xf>
    <xf numFmtId="0" fontId="23" fillId="8" borderId="22" xfId="2" applyFont="1" applyFill="1" applyBorder="1" applyAlignment="1">
      <alignment horizontal="center" vertical="center"/>
    </xf>
    <xf numFmtId="0" fontId="23" fillId="0" borderId="30" xfId="2" applyFont="1" applyBorder="1" applyAlignment="1">
      <alignment horizontal="left" vertical="center"/>
    </xf>
    <xf numFmtId="0" fontId="23" fillId="0" borderId="31" xfId="2" applyFont="1" applyBorder="1" applyAlignment="1">
      <alignment horizontal="left" vertical="center"/>
    </xf>
    <xf numFmtId="0" fontId="23" fillId="0" borderId="32" xfId="2" applyFont="1" applyBorder="1" applyAlignment="1">
      <alignment horizontal="left" vertical="center"/>
    </xf>
    <xf numFmtId="0" fontId="24" fillId="0" borderId="26" xfId="0" applyFont="1" applyBorder="1" applyAlignment="1"/>
    <xf numFmtId="0" fontId="23" fillId="8" borderId="41" xfId="2" applyFont="1" applyFill="1" applyBorder="1" applyAlignment="1">
      <alignment horizontal="left" vertical="center"/>
    </xf>
    <xf numFmtId="0" fontId="23" fillId="8" borderId="8" xfId="2" applyFont="1" applyFill="1" applyBorder="1" applyAlignment="1">
      <alignment horizontal="left" vertical="center"/>
    </xf>
    <xf numFmtId="0" fontId="13" fillId="8" borderId="43" xfId="2" applyFont="1" applyFill="1" applyBorder="1" applyAlignment="1">
      <alignment horizontal="left" vertical="center"/>
    </xf>
    <xf numFmtId="0" fontId="13" fillId="8" borderId="8" xfId="2" applyFont="1" applyFill="1" applyBorder="1" applyAlignment="1">
      <alignment horizontal="left" vertical="center"/>
    </xf>
    <xf numFmtId="0" fontId="13" fillId="8" borderId="41" xfId="2" applyFont="1" applyFill="1" applyBorder="1">
      <alignment vertical="center"/>
    </xf>
    <xf numFmtId="0" fontId="13" fillId="8" borderId="8" xfId="2" applyFont="1" applyFill="1" applyBorder="1">
      <alignment vertical="center"/>
    </xf>
    <xf numFmtId="0" fontId="23" fillId="8" borderId="41" xfId="2" applyFont="1" applyFill="1" applyBorder="1">
      <alignment vertical="center"/>
    </xf>
    <xf numFmtId="0" fontId="23" fillId="8" borderId="8" xfId="2" applyFont="1" applyFill="1" applyBorder="1">
      <alignment vertical="center"/>
    </xf>
    <xf numFmtId="0" fontId="13" fillId="0" borderId="25" xfId="2" applyFont="1" applyBorder="1">
      <alignment vertical="center"/>
    </xf>
    <xf numFmtId="0" fontId="13" fillId="0" borderId="28" xfId="2" applyFont="1" applyBorder="1">
      <alignment vertical="center"/>
    </xf>
    <xf numFmtId="0" fontId="6" fillId="17" borderId="43" xfId="0" applyFont="1" applyFill="1" applyBorder="1" applyAlignment="1">
      <alignment horizontal="left" vertical="center" wrapText="1"/>
    </xf>
    <xf numFmtId="0" fontId="6" fillId="17" borderId="8" xfId="0" applyFont="1" applyFill="1" applyBorder="1" applyAlignment="1">
      <alignment horizontal="left" vertical="center" wrapText="1"/>
    </xf>
    <xf numFmtId="0" fontId="6" fillId="17" borderId="43" xfId="0" applyFont="1" applyFill="1" applyBorder="1" applyAlignment="1">
      <alignment vertical="center" wrapText="1"/>
    </xf>
    <xf numFmtId="0" fontId="6" fillId="17" borderId="8" xfId="0" applyFont="1" applyFill="1" applyBorder="1" applyAlignment="1">
      <alignment vertical="center" wrapText="1"/>
    </xf>
    <xf numFmtId="0" fontId="13" fillId="17" borderId="0" xfId="18" applyFont="1" applyFill="1" applyAlignment="1">
      <alignment horizontal="left" vertical="top" wrapText="1"/>
    </xf>
    <xf numFmtId="0" fontId="13" fillId="0" borderId="24" xfId="2" applyFont="1" applyBorder="1" applyAlignment="1">
      <alignment horizontal="center" vertical="center" wrapText="1"/>
    </xf>
    <xf numFmtId="0" fontId="13" fillId="0" borderId="25" xfId="2" applyFont="1" applyBorder="1" applyAlignment="1">
      <alignment horizontal="center" vertical="center" wrapText="1"/>
    </xf>
    <xf numFmtId="0" fontId="13" fillId="0" borderId="28" xfId="2" applyFont="1" applyBorder="1" applyAlignment="1">
      <alignment horizontal="center" vertical="center" wrapText="1"/>
    </xf>
    <xf numFmtId="0" fontId="13" fillId="8" borderId="24" xfId="2" applyFont="1" applyFill="1" applyBorder="1" applyAlignment="1">
      <alignment horizontal="center"/>
    </xf>
    <xf numFmtId="0" fontId="13" fillId="8" borderId="25" xfId="2" applyFont="1" applyFill="1" applyBorder="1" applyAlignment="1">
      <alignment horizontal="center"/>
    </xf>
    <xf numFmtId="0" fontId="13" fillId="8" borderId="28" xfId="2" applyFont="1" applyFill="1" applyBorder="1" applyAlignment="1">
      <alignment horizontal="center"/>
    </xf>
    <xf numFmtId="0" fontId="120" fillId="19" borderId="0" xfId="0" applyFont="1" applyFill="1" applyAlignment="1">
      <alignment horizontal="center" vertical="center"/>
    </xf>
    <xf numFmtId="0" fontId="13" fillId="0" borderId="8" xfId="0" applyFont="1" applyBorder="1" applyAlignment="1">
      <alignment vertical="center" wrapText="1"/>
    </xf>
    <xf numFmtId="0" fontId="6" fillId="17" borderId="50" xfId="0" applyFont="1" applyFill="1" applyBorder="1" applyAlignment="1">
      <alignment vertical="center" wrapText="1"/>
    </xf>
    <xf numFmtId="0" fontId="6" fillId="0" borderId="9" xfId="0" applyFont="1" applyBorder="1" applyAlignment="1">
      <alignment horizontal="left"/>
    </xf>
    <xf numFmtId="0" fontId="6" fillId="0" borderId="43" xfId="0" applyFont="1" applyBorder="1" applyAlignment="1">
      <alignment horizontal="left"/>
    </xf>
    <xf numFmtId="0" fontId="6" fillId="0" borderId="50" xfId="0" applyFont="1" applyBorder="1" applyAlignment="1">
      <alignment horizontal="left"/>
    </xf>
    <xf numFmtId="0" fontId="6" fillId="0" borderId="8" xfId="0" applyFont="1" applyBorder="1" applyAlignment="1">
      <alignment horizontal="left"/>
    </xf>
    <xf numFmtId="0" fontId="13" fillId="21" borderId="43" xfId="2" applyFont="1" applyFill="1" applyBorder="1">
      <alignment vertical="center"/>
    </xf>
    <xf numFmtId="0" fontId="13" fillId="21" borderId="50" xfId="2" applyFont="1" applyFill="1" applyBorder="1">
      <alignment vertical="center"/>
    </xf>
    <xf numFmtId="0" fontId="13" fillId="21" borderId="52" xfId="2" applyFont="1" applyFill="1" applyBorder="1">
      <alignment vertical="center"/>
    </xf>
    <xf numFmtId="0" fontId="13" fillId="21" borderId="9" xfId="2" applyFont="1" applyFill="1" applyBorder="1" applyAlignment="1">
      <alignment horizontal="left" vertical="center"/>
    </xf>
    <xf numFmtId="0" fontId="13" fillId="21" borderId="59" xfId="2" applyFont="1" applyFill="1" applyBorder="1">
      <alignment vertical="center"/>
    </xf>
    <xf numFmtId="0" fontId="13" fillId="21" borderId="69" xfId="2" applyFont="1" applyFill="1" applyBorder="1">
      <alignment vertical="center"/>
    </xf>
    <xf numFmtId="0" fontId="13" fillId="21" borderId="65" xfId="2" applyFont="1" applyFill="1" applyBorder="1">
      <alignment vertical="center"/>
    </xf>
    <xf numFmtId="0" fontId="13" fillId="21" borderId="9" xfId="2" applyFont="1" applyFill="1" applyBorder="1" applyAlignment="1">
      <alignment horizontal="left" vertical="center" wrapText="1"/>
    </xf>
    <xf numFmtId="0" fontId="24" fillId="0" borderId="9" xfId="0" applyFont="1" applyBorder="1" applyAlignment="1">
      <alignment horizontal="left"/>
    </xf>
    <xf numFmtId="0" fontId="24" fillId="0" borderId="0" xfId="0" applyFont="1" applyAlignment="1">
      <alignment horizontal="center"/>
    </xf>
    <xf numFmtId="0" fontId="24" fillId="0" borderId="45" xfId="0" applyFont="1" applyBorder="1" applyAlignment="1">
      <alignment horizontal="center" vertical="center"/>
    </xf>
    <xf numFmtId="0" fontId="24" fillId="0" borderId="46" xfId="0" applyFont="1" applyBorder="1" applyAlignment="1">
      <alignment horizontal="center" vertical="center"/>
    </xf>
    <xf numFmtId="0" fontId="24" fillId="0" borderId="40" xfId="0" applyFont="1" applyBorder="1" applyAlignment="1">
      <alignment horizontal="center" vertical="center"/>
    </xf>
    <xf numFmtId="0" fontId="24" fillId="0" borderId="43" xfId="0" applyFont="1" applyBorder="1" applyAlignment="1">
      <alignment horizontal="left"/>
    </xf>
    <xf numFmtId="0" fontId="24" fillId="0" borderId="17" xfId="0" applyFont="1" applyBorder="1" applyAlignment="1">
      <alignment horizontal="center" vertical="center"/>
    </xf>
    <xf numFmtId="0" fontId="24" fillId="0" borderId="19" xfId="0" applyFont="1" applyBorder="1" applyAlignment="1">
      <alignment horizontal="center" vertical="center"/>
    </xf>
    <xf numFmtId="0" fontId="24" fillId="0" borderId="21" xfId="0" applyFont="1" applyBorder="1" applyAlignment="1">
      <alignment horizontal="center" vertical="center"/>
    </xf>
    <xf numFmtId="0" fontId="24" fillId="0" borderId="9" xfId="0" applyFont="1" applyBorder="1" applyAlignment="1">
      <alignment horizontal="left" wrapText="1"/>
    </xf>
    <xf numFmtId="0" fontId="19" fillId="19" borderId="17" xfId="0" applyFont="1" applyFill="1" applyBorder="1" applyAlignment="1">
      <alignment horizontal="center" wrapText="1"/>
    </xf>
    <xf numFmtId="0" fontId="19" fillId="19" borderId="15" xfId="0" applyFont="1" applyFill="1" applyBorder="1" applyAlignment="1">
      <alignment horizontal="center" wrapText="1"/>
    </xf>
    <xf numFmtId="0" fontId="19" fillId="19" borderId="19" xfId="0" applyFont="1" applyFill="1" applyBorder="1" applyAlignment="1">
      <alignment horizontal="center" wrapText="1"/>
    </xf>
    <xf numFmtId="0" fontId="19" fillId="19" borderId="0" xfId="0" applyFont="1" applyFill="1" applyAlignment="1">
      <alignment horizontal="center" wrapText="1"/>
    </xf>
    <xf numFmtId="0" fontId="6" fillId="0" borderId="43" xfId="0" applyFont="1" applyBorder="1" applyAlignment="1">
      <alignment horizontal="left" vertical="center"/>
    </xf>
    <xf numFmtId="0" fontId="6" fillId="0" borderId="50" xfId="0" applyFont="1" applyBorder="1" applyAlignment="1">
      <alignment horizontal="left" vertical="center"/>
    </xf>
    <xf numFmtId="0" fontId="6" fillId="0" borderId="8" xfId="0" applyFont="1" applyBorder="1" applyAlignment="1">
      <alignment horizontal="left" vertical="center"/>
    </xf>
    <xf numFmtId="0" fontId="6" fillId="0" borderId="9" xfId="0" applyFont="1" applyBorder="1" applyAlignment="1">
      <alignment horizontal="left" wrapText="1"/>
    </xf>
    <xf numFmtId="2" fontId="6" fillId="0" borderId="43" xfId="0" applyNumberFormat="1" applyFont="1" applyBorder="1" applyAlignment="1">
      <alignment horizontal="left"/>
    </xf>
    <xf numFmtId="0" fontId="6" fillId="0" borderId="0" xfId="0" applyFont="1" applyAlignment="1">
      <alignment horizontal="center" vertical="center"/>
    </xf>
    <xf numFmtId="0" fontId="6" fillId="0" borderId="43" xfId="0" applyFont="1" applyBorder="1" applyAlignment="1">
      <alignment horizontal="left" wrapText="1"/>
    </xf>
    <xf numFmtId="0" fontId="6" fillId="0" borderId="50" xfId="0" applyFont="1" applyBorder="1" applyAlignment="1">
      <alignment horizontal="left" wrapText="1"/>
    </xf>
    <xf numFmtId="0" fontId="6" fillId="0" borderId="8" xfId="0" applyFont="1" applyBorder="1" applyAlignment="1">
      <alignment horizontal="left" wrapText="1"/>
    </xf>
    <xf numFmtId="0" fontId="23" fillId="0" borderId="26" xfId="2" applyFont="1" applyBorder="1" applyAlignment="1">
      <alignment horizontal="left" vertical="center"/>
    </xf>
    <xf numFmtId="0" fontId="23" fillId="0" borderId="0" xfId="2" applyFont="1" applyAlignment="1">
      <alignment horizontal="left" vertical="center"/>
    </xf>
    <xf numFmtId="0" fontId="23" fillId="0" borderId="27" xfId="2" applyFont="1" applyBorder="1" applyAlignment="1">
      <alignment horizontal="left" vertical="center"/>
    </xf>
    <xf numFmtId="0" fontId="13" fillId="0" borderId="0" xfId="2" applyFont="1">
      <alignment vertical="center"/>
    </xf>
    <xf numFmtId="0" fontId="13" fillId="0" borderId="0" xfId="2" applyFont="1" applyAlignment="1">
      <alignment vertical="center" wrapText="1"/>
    </xf>
    <xf numFmtId="0" fontId="23" fillId="0" borderId="30" xfId="2" applyFont="1" applyBorder="1" applyAlignment="1">
      <alignment horizontal="center" vertical="center"/>
    </xf>
    <xf numFmtId="0" fontId="23" fillId="0" borderId="31" xfId="2" applyFont="1" applyBorder="1" applyAlignment="1">
      <alignment horizontal="center" vertical="center"/>
    </xf>
    <xf numFmtId="0" fontId="23" fillId="0" borderId="32" xfId="2" applyFont="1" applyBorder="1" applyAlignment="1">
      <alignment horizontal="center" vertical="center"/>
    </xf>
    <xf numFmtId="0" fontId="23" fillId="0" borderId="36" xfId="2" applyFont="1" applyBorder="1" applyAlignment="1">
      <alignment horizontal="center" vertical="center"/>
    </xf>
    <xf numFmtId="0" fontId="23" fillId="0" borderId="37" xfId="2" applyFont="1" applyBorder="1" applyAlignment="1">
      <alignment horizontal="center" vertical="center"/>
    </xf>
    <xf numFmtId="0" fontId="23" fillId="0" borderId="38" xfId="2" applyFont="1" applyBorder="1" applyAlignment="1">
      <alignment horizontal="center" vertical="center"/>
    </xf>
    <xf numFmtId="0" fontId="13" fillId="0" borderId="39" xfId="2" applyFont="1" applyBorder="1" applyAlignment="1">
      <alignment horizontal="left" vertical="center"/>
    </xf>
    <xf numFmtId="0" fontId="13" fillId="0" borderId="21" xfId="2" applyFont="1" applyBorder="1" applyAlignment="1">
      <alignment horizontal="left" vertical="center"/>
    </xf>
    <xf numFmtId="1" fontId="23" fillId="0" borderId="40" xfId="2" applyNumberFormat="1" applyFont="1" applyBorder="1" applyAlignment="1">
      <alignment horizontal="center" vertical="center"/>
    </xf>
    <xf numFmtId="0" fontId="28" fillId="0" borderId="43" xfId="2" applyFont="1" applyBorder="1" applyAlignment="1">
      <alignment horizontal="center" vertical="center" wrapText="1"/>
    </xf>
    <xf numFmtId="0" fontId="28" fillId="0" borderId="52" xfId="2" applyFont="1" applyBorder="1" applyAlignment="1">
      <alignment horizontal="center" vertical="center" wrapText="1"/>
    </xf>
    <xf numFmtId="0" fontId="13" fillId="0" borderId="41" xfId="2" applyFont="1" applyBorder="1" applyAlignment="1">
      <alignment horizontal="left" vertical="center"/>
    </xf>
    <xf numFmtId="0" fontId="13" fillId="0" borderId="8" xfId="2" applyFont="1" applyBorder="1" applyAlignment="1">
      <alignment horizontal="left" vertical="center"/>
    </xf>
    <xf numFmtId="1" fontId="23" fillId="8" borderId="9" xfId="2" applyNumberFormat="1" applyFont="1" applyFill="1" applyBorder="1" applyAlignment="1">
      <alignment horizontal="center" vertical="center"/>
    </xf>
    <xf numFmtId="0" fontId="13" fillId="0" borderId="43" xfId="2" applyFont="1" applyBorder="1" applyAlignment="1">
      <alignment horizontal="center" vertical="center"/>
    </xf>
    <xf numFmtId="0" fontId="13" fillId="0" borderId="52" xfId="2" applyFont="1" applyBorder="1" applyAlignment="1">
      <alignment horizontal="center" vertical="center"/>
    </xf>
    <xf numFmtId="0" fontId="13" fillId="0" borderId="41" xfId="2" applyFont="1" applyBorder="1" applyAlignment="1">
      <alignment horizontal="left" vertical="center" wrapText="1"/>
    </xf>
    <xf numFmtId="0" fontId="13" fillId="0" borderId="8" xfId="2" applyFont="1" applyBorder="1" applyAlignment="1">
      <alignment horizontal="left" vertical="center" wrapText="1"/>
    </xf>
    <xf numFmtId="1" fontId="23" fillId="7" borderId="40" xfId="2" applyNumberFormat="1" applyFont="1" applyFill="1" applyBorder="1" applyAlignment="1">
      <alignment horizontal="center" vertical="center"/>
    </xf>
    <xf numFmtId="0" fontId="13" fillId="7" borderId="43" xfId="2" applyFont="1" applyFill="1" applyBorder="1" applyAlignment="1">
      <alignment horizontal="center" vertical="center" wrapText="1"/>
    </xf>
    <xf numFmtId="0" fontId="13" fillId="7" borderId="51" xfId="2" applyFont="1" applyFill="1" applyBorder="1" applyAlignment="1">
      <alignment horizontal="center" vertical="center" wrapText="1"/>
    </xf>
    <xf numFmtId="0" fontId="13" fillId="0" borderId="42" xfId="2" applyFont="1" applyBorder="1" applyAlignment="1">
      <alignment horizontal="left" vertical="center"/>
    </xf>
    <xf numFmtId="0" fontId="13" fillId="0" borderId="9" xfId="2" applyFont="1" applyBorder="1" applyAlignment="1">
      <alignment horizontal="left" vertical="center"/>
    </xf>
    <xf numFmtId="1" fontId="23" fillId="0" borderId="43" xfId="2" applyNumberFormat="1" applyFont="1" applyBorder="1" applyAlignment="1">
      <alignment horizontal="center" vertical="center"/>
    </xf>
    <xf numFmtId="1" fontId="23" fillId="0" borderId="8" xfId="2" applyNumberFormat="1" applyFont="1" applyBorder="1" applyAlignment="1">
      <alignment horizontal="center" vertical="center"/>
    </xf>
    <xf numFmtId="0" fontId="13" fillId="0" borderId="43" xfId="2" applyFont="1" applyBorder="1" applyAlignment="1">
      <alignment horizontal="center" vertical="center" wrapText="1"/>
    </xf>
    <xf numFmtId="0" fontId="13" fillId="0" borderId="52" xfId="2" applyFont="1" applyBorder="1" applyAlignment="1">
      <alignment horizontal="center" vertical="center" wrapText="1"/>
    </xf>
    <xf numFmtId="1" fontId="23" fillId="7" borderId="43" xfId="2" applyNumberFormat="1" applyFont="1" applyFill="1" applyBorder="1" applyAlignment="1">
      <alignment horizontal="center" vertical="center"/>
    </xf>
    <xf numFmtId="1" fontId="23" fillId="7" borderId="8" xfId="2" applyNumberFormat="1" applyFont="1" applyFill="1" applyBorder="1" applyAlignment="1">
      <alignment horizontal="center" vertical="center"/>
    </xf>
    <xf numFmtId="0" fontId="30" fillId="0" borderId="43" xfId="2" applyFont="1" applyBorder="1" applyAlignment="1">
      <alignment horizontal="center" vertical="center" wrapText="1"/>
    </xf>
    <xf numFmtId="0" fontId="30" fillId="0" borderId="52" xfId="2" applyFont="1" applyBorder="1" applyAlignment="1">
      <alignment horizontal="center" vertical="center" wrapText="1"/>
    </xf>
    <xf numFmtId="0" fontId="125" fillId="0" borderId="9" xfId="2" applyFont="1" applyBorder="1" applyAlignment="1">
      <alignment horizontal="center" vertical="center" wrapText="1"/>
    </xf>
    <xf numFmtId="0" fontId="125" fillId="0" borderId="51" xfId="2" applyFont="1" applyBorder="1" applyAlignment="1">
      <alignment horizontal="center" vertical="center" wrapText="1"/>
    </xf>
    <xf numFmtId="0" fontId="13" fillId="0" borderId="42" xfId="2" applyFont="1" applyBorder="1" applyAlignment="1">
      <alignment horizontal="left" vertical="center" wrapText="1"/>
    </xf>
    <xf numFmtId="1" fontId="23" fillId="8" borderId="43" xfId="2" applyNumberFormat="1" applyFont="1" applyFill="1" applyBorder="1" applyAlignment="1">
      <alignment horizontal="center" vertical="center"/>
    </xf>
    <xf numFmtId="1" fontId="23" fillId="8" borderId="8" xfId="2" applyNumberFormat="1" applyFont="1" applyFill="1" applyBorder="1" applyAlignment="1">
      <alignment horizontal="center" vertical="center"/>
    </xf>
    <xf numFmtId="0" fontId="23" fillId="0" borderId="53" xfId="2" applyFont="1" applyBorder="1" applyAlignment="1">
      <alignment horizontal="center" vertical="center" wrapText="1"/>
    </xf>
    <xf numFmtId="0" fontId="23" fillId="0" borderId="54" xfId="2" applyFont="1" applyBorder="1" applyAlignment="1">
      <alignment horizontal="center" vertical="center" wrapText="1"/>
    </xf>
    <xf numFmtId="0" fontId="13" fillId="0" borderId="44" xfId="2" applyFont="1" applyBorder="1" applyAlignment="1">
      <alignment horizontal="left" vertical="center"/>
    </xf>
    <xf numFmtId="0" fontId="13" fillId="0" borderId="45" xfId="2" applyFont="1" applyBorder="1" applyAlignment="1">
      <alignment horizontal="left" vertical="center"/>
    </xf>
    <xf numFmtId="0" fontId="23" fillId="7" borderId="45" xfId="2" applyFont="1" applyFill="1" applyBorder="1" applyAlignment="1">
      <alignment horizontal="center" vertical="center"/>
    </xf>
    <xf numFmtId="0" fontId="13" fillId="8" borderId="45" xfId="2" applyFont="1" applyFill="1" applyBorder="1" applyAlignment="1">
      <alignment horizontal="center" vertical="center"/>
    </xf>
    <xf numFmtId="0" fontId="13" fillId="8" borderId="55" xfId="2" applyFont="1" applyFill="1" applyBorder="1" applyAlignment="1">
      <alignment horizontal="center" vertical="center"/>
    </xf>
    <xf numFmtId="1" fontId="23" fillId="0" borderId="38" xfId="2" applyNumberFormat="1" applyFont="1" applyBorder="1" applyAlignment="1">
      <alignment horizontal="center" vertical="center"/>
    </xf>
    <xf numFmtId="0" fontId="23" fillId="0" borderId="47" xfId="2" applyFont="1" applyBorder="1" applyAlignment="1">
      <alignment horizontal="center" vertical="center"/>
    </xf>
    <xf numFmtId="1" fontId="126" fillId="8" borderId="30" xfId="2" applyNumberFormat="1" applyFont="1" applyFill="1" applyBorder="1" applyAlignment="1">
      <alignment horizontal="center" vertical="center"/>
    </xf>
    <xf numFmtId="1" fontId="126" fillId="8" borderId="32" xfId="2" applyNumberFormat="1" applyFont="1" applyFill="1" applyBorder="1" applyAlignment="1">
      <alignment horizontal="center" vertical="center"/>
    </xf>
    <xf numFmtId="1" fontId="23" fillId="0" borderId="37" xfId="2" applyNumberFormat="1" applyFont="1" applyBorder="1" applyAlignment="1">
      <alignment horizontal="left" vertical="center"/>
    </xf>
    <xf numFmtId="1" fontId="23" fillId="0" borderId="36" xfId="2" applyNumberFormat="1" applyFont="1" applyBorder="1" applyAlignment="1">
      <alignment horizontal="left" vertical="center"/>
    </xf>
    <xf numFmtId="0" fontId="12" fillId="17" borderId="48" xfId="2" applyFont="1" applyFill="1" applyBorder="1" applyAlignment="1">
      <alignment horizontal="center" vertical="center"/>
    </xf>
    <xf numFmtId="0" fontId="5" fillId="17" borderId="48" xfId="2" applyFont="1" applyFill="1" applyBorder="1" applyAlignment="1">
      <alignment horizontal="center" vertical="center"/>
    </xf>
    <xf numFmtId="0" fontId="12" fillId="17" borderId="37" xfId="2" applyFont="1" applyFill="1" applyBorder="1" applyAlignment="1">
      <alignment horizontal="center" vertical="center"/>
    </xf>
    <xf numFmtId="0" fontId="12" fillId="17" borderId="36" xfId="2" applyFont="1" applyFill="1" applyBorder="1" applyAlignment="1">
      <alignment horizontal="center" vertical="center"/>
    </xf>
    <xf numFmtId="0" fontId="5" fillId="17" borderId="49" xfId="2" applyFont="1" applyFill="1" applyBorder="1" applyAlignment="1">
      <alignment horizontal="left" vertical="center" wrapText="1"/>
    </xf>
    <xf numFmtId="0" fontId="5" fillId="17" borderId="22" xfId="2" applyFont="1" applyFill="1" applyBorder="1" applyAlignment="1">
      <alignment horizontal="left" vertical="center" wrapText="1"/>
    </xf>
    <xf numFmtId="1" fontId="5" fillId="17" borderId="40" xfId="2" applyNumberFormat="1" applyFont="1" applyFill="1" applyBorder="1" applyAlignment="1">
      <alignment horizontal="center" vertical="center" wrapText="1"/>
    </xf>
    <xf numFmtId="1" fontId="5" fillId="17" borderId="21" xfId="2" applyNumberFormat="1" applyFont="1" applyFill="1" applyBorder="1" applyAlignment="1">
      <alignment horizontal="center" vertical="center" wrapText="1"/>
    </xf>
    <xf numFmtId="1" fontId="5" fillId="17" borderId="22" xfId="2" applyNumberFormat="1" applyFont="1" applyFill="1" applyBorder="1" applyAlignment="1">
      <alignment horizontal="center" vertical="center" wrapText="1"/>
    </xf>
    <xf numFmtId="0" fontId="12" fillId="17" borderId="40" xfId="2" applyFont="1" applyFill="1" applyBorder="1" applyAlignment="1">
      <alignment horizontal="center" vertical="center" wrapText="1"/>
    </xf>
    <xf numFmtId="0" fontId="12" fillId="17" borderId="56" xfId="2" applyFont="1" applyFill="1" applyBorder="1" applyAlignment="1">
      <alignment horizontal="center" vertical="center" wrapText="1"/>
    </xf>
    <xf numFmtId="0" fontId="5" fillId="17" borderId="41" xfId="2" applyFont="1" applyFill="1" applyBorder="1" applyAlignment="1">
      <alignment horizontal="left" vertical="center" wrapText="1"/>
    </xf>
    <xf numFmtId="0" fontId="5" fillId="17" borderId="8" xfId="2" applyFont="1" applyFill="1" applyBorder="1" applyAlignment="1">
      <alignment horizontal="left" vertical="center" wrapText="1"/>
    </xf>
    <xf numFmtId="1" fontId="5" fillId="17" borderId="43" xfId="2" applyNumberFormat="1" applyFont="1" applyFill="1" applyBorder="1" applyAlignment="1">
      <alignment horizontal="center" vertical="center" wrapText="1"/>
    </xf>
    <xf numFmtId="1" fontId="5" fillId="17" borderId="8" xfId="2" applyNumberFormat="1" applyFont="1" applyFill="1" applyBorder="1" applyAlignment="1">
      <alignment horizontal="center" vertical="center" wrapText="1"/>
    </xf>
    <xf numFmtId="0" fontId="12" fillId="17" borderId="43" xfId="2" applyFont="1" applyFill="1" applyBorder="1" applyAlignment="1">
      <alignment horizontal="center" vertical="center" wrapText="1"/>
    </xf>
    <xf numFmtId="0" fontId="12" fillId="17" borderId="52" xfId="2" applyFont="1" applyFill="1" applyBorder="1" applyAlignment="1">
      <alignment horizontal="center" vertical="center" wrapText="1"/>
    </xf>
    <xf numFmtId="0" fontId="12" fillId="17" borderId="9" xfId="2" applyFont="1" applyFill="1" applyBorder="1" applyAlignment="1">
      <alignment horizontal="center" vertical="center" wrapText="1"/>
    </xf>
    <xf numFmtId="0" fontId="12" fillId="17" borderId="51" xfId="2" applyFont="1" applyFill="1" applyBorder="1" applyAlignment="1">
      <alignment horizontal="center" vertical="center" wrapText="1"/>
    </xf>
    <xf numFmtId="1" fontId="5" fillId="17" borderId="9" xfId="2" applyNumberFormat="1" applyFont="1" applyFill="1" applyBorder="1" applyAlignment="1">
      <alignment horizontal="center" vertical="center" wrapText="1"/>
    </xf>
    <xf numFmtId="0" fontId="118" fillId="17" borderId="41" xfId="2" applyFont="1" applyFill="1" applyBorder="1" applyAlignment="1">
      <alignment horizontal="left" vertical="center" wrapText="1"/>
    </xf>
    <xf numFmtId="0" fontId="118" fillId="17" borderId="8" xfId="2" applyFont="1" applyFill="1" applyBorder="1" applyAlignment="1">
      <alignment horizontal="left" vertical="center" wrapText="1"/>
    </xf>
    <xf numFmtId="0" fontId="5" fillId="17" borderId="43" xfId="2" applyFont="1" applyFill="1" applyBorder="1" applyAlignment="1">
      <alignment vertical="center" wrapText="1"/>
    </xf>
    <xf numFmtId="0" fontId="5" fillId="17" borderId="50" xfId="2" applyFont="1" applyFill="1" applyBorder="1" applyAlignment="1">
      <alignment vertical="center" wrapText="1"/>
    </xf>
    <xf numFmtId="0" fontId="5" fillId="17" borderId="52" xfId="2" applyFont="1" applyFill="1" applyBorder="1" applyAlignment="1">
      <alignment vertical="center" wrapText="1"/>
    </xf>
    <xf numFmtId="0" fontId="5" fillId="17" borderId="42" xfId="2" applyFont="1" applyFill="1" applyBorder="1" applyAlignment="1">
      <alignment horizontal="left" vertical="center" wrapText="1"/>
    </xf>
    <xf numFmtId="0" fontId="5" fillId="17" borderId="9" xfId="2" applyFont="1" applyFill="1" applyBorder="1" applyAlignment="1">
      <alignment horizontal="left" vertical="center" wrapText="1"/>
    </xf>
    <xf numFmtId="1" fontId="5" fillId="17" borderId="17" xfId="2" applyNumberFormat="1" applyFont="1" applyFill="1" applyBorder="1" applyAlignment="1">
      <alignment horizontal="center" vertical="center" wrapText="1"/>
    </xf>
    <xf numFmtId="1" fontId="5" fillId="17" borderId="18" xfId="2" applyNumberFormat="1" applyFont="1" applyFill="1" applyBorder="1" applyAlignment="1">
      <alignment horizontal="center" vertical="center" wrapText="1"/>
    </xf>
    <xf numFmtId="0" fontId="12" fillId="17" borderId="19" xfId="2" applyFont="1" applyFill="1" applyBorder="1" applyAlignment="1">
      <alignment horizontal="center" vertical="center" wrapText="1"/>
    </xf>
    <xf numFmtId="0" fontId="12" fillId="17" borderId="27" xfId="2" applyFont="1" applyFill="1" applyBorder="1" applyAlignment="1">
      <alignment horizontal="center" vertical="center" wrapText="1"/>
    </xf>
    <xf numFmtId="1" fontId="5" fillId="17" borderId="14" xfId="2" applyNumberFormat="1" applyFont="1" applyFill="1" applyBorder="1" applyAlignment="1">
      <alignment horizontal="center" vertical="center" wrapText="1"/>
    </xf>
    <xf numFmtId="0" fontId="12" fillId="17" borderId="14" xfId="2" applyFont="1" applyFill="1" applyBorder="1" applyAlignment="1">
      <alignment horizontal="center" vertical="center" wrapText="1"/>
    </xf>
    <xf numFmtId="0" fontId="12" fillId="17" borderId="58" xfId="2" applyFont="1" applyFill="1" applyBorder="1" applyAlignment="1">
      <alignment horizontal="center" vertical="center" wrapText="1"/>
    </xf>
    <xf numFmtId="0" fontId="5" fillId="17" borderId="9" xfId="2" applyFont="1" applyFill="1" applyBorder="1" applyAlignment="1">
      <alignment horizontal="center" vertical="center" wrapText="1"/>
    </xf>
    <xf numFmtId="1" fontId="23" fillId="8" borderId="0" xfId="2" applyNumberFormat="1" applyFont="1" applyFill="1" applyAlignment="1">
      <alignment horizontal="center" vertical="center" wrapText="1"/>
    </xf>
    <xf numFmtId="0" fontId="5" fillId="17" borderId="26" xfId="2" applyFont="1" applyFill="1" applyBorder="1" applyAlignment="1">
      <alignment horizontal="left" vertical="center" wrapText="1"/>
    </xf>
    <xf numFmtId="0" fontId="5" fillId="17" borderId="20" xfId="2" applyFont="1" applyFill="1" applyBorder="1" applyAlignment="1">
      <alignment horizontal="left" vertical="center" wrapText="1"/>
    </xf>
    <xf numFmtId="0" fontId="12" fillId="17" borderId="17" xfId="2" applyFont="1" applyFill="1" applyBorder="1" applyAlignment="1">
      <alignment horizontal="center" vertical="center" wrapText="1"/>
    </xf>
    <xf numFmtId="0" fontId="12" fillId="17" borderId="18" xfId="2" applyFont="1" applyFill="1" applyBorder="1" applyAlignment="1">
      <alignment horizontal="center" vertical="center" wrapText="1"/>
    </xf>
    <xf numFmtId="0" fontId="5" fillId="17" borderId="45" xfId="2" applyFont="1" applyFill="1" applyBorder="1" applyAlignment="1">
      <alignment horizontal="center" vertical="center" wrapText="1"/>
    </xf>
    <xf numFmtId="0" fontId="12" fillId="17" borderId="0" xfId="2" applyFont="1" applyFill="1" applyAlignment="1">
      <alignment horizontal="center" vertical="center" wrapText="1"/>
    </xf>
    <xf numFmtId="0" fontId="23" fillId="0" borderId="30" xfId="2" applyFont="1" applyBorder="1" applyAlignment="1">
      <alignment horizontal="center" vertical="center" wrapText="1"/>
    </xf>
    <xf numFmtId="0" fontId="23" fillId="0" borderId="32" xfId="2" applyFont="1" applyBorder="1" applyAlignment="1">
      <alignment horizontal="center" vertical="center" wrapText="1"/>
    </xf>
    <xf numFmtId="0" fontId="23" fillId="0" borderId="37" xfId="2" applyFont="1" applyBorder="1" applyAlignment="1">
      <alignment horizontal="center" vertical="center" wrapText="1"/>
    </xf>
    <xf numFmtId="0" fontId="23" fillId="0" borderId="36" xfId="2" applyFont="1" applyBorder="1" applyAlignment="1">
      <alignment horizontal="center" vertical="center" wrapText="1"/>
    </xf>
    <xf numFmtId="0" fontId="23" fillId="0" borderId="31" xfId="2" applyFont="1" applyBorder="1" applyAlignment="1">
      <alignment horizontal="center" vertical="center" wrapText="1"/>
    </xf>
    <xf numFmtId="0" fontId="13" fillId="0" borderId="49" xfId="2" applyFont="1" applyBorder="1" applyAlignment="1">
      <alignment horizontal="left" vertical="center" wrapText="1"/>
    </xf>
    <xf numFmtId="0" fontId="13" fillId="0" borderId="22" xfId="2" applyFont="1" applyBorder="1" applyAlignment="1">
      <alignment horizontal="left" vertical="center" wrapText="1"/>
    </xf>
    <xf numFmtId="1" fontId="13" fillId="8" borderId="14" xfId="2" applyNumberFormat="1" applyFont="1" applyFill="1" applyBorder="1" applyAlignment="1">
      <alignment horizontal="center" vertical="center" wrapText="1"/>
    </xf>
    <xf numFmtId="1" fontId="13" fillId="8" borderId="22" xfId="2" applyNumberFormat="1" applyFont="1" applyFill="1" applyBorder="1" applyAlignment="1">
      <alignment horizontal="center" vertical="center" wrapText="1"/>
    </xf>
    <xf numFmtId="1" fontId="24" fillId="0" borderId="14" xfId="2" applyNumberFormat="1" applyFont="1" applyBorder="1" applyAlignment="1">
      <alignment horizontal="center" vertical="center" wrapText="1"/>
    </xf>
    <xf numFmtId="1" fontId="24" fillId="0" borderId="22" xfId="2" applyNumberFormat="1" applyFont="1" applyBorder="1" applyAlignment="1">
      <alignment horizontal="center" vertical="center" wrapText="1"/>
    </xf>
    <xf numFmtId="173" fontId="13" fillId="8" borderId="43" xfId="2" applyNumberFormat="1" applyFont="1" applyFill="1" applyBorder="1" applyAlignment="1">
      <alignment horizontal="center" vertical="center" wrapText="1"/>
    </xf>
    <xf numFmtId="173" fontId="13" fillId="8" borderId="8" xfId="2" applyNumberFormat="1" applyFont="1" applyFill="1" applyBorder="1" applyAlignment="1">
      <alignment horizontal="center" vertical="center" wrapText="1"/>
    </xf>
    <xf numFmtId="173" fontId="24" fillId="0" borderId="50" xfId="2" applyNumberFormat="1" applyFont="1" applyBorder="1" applyAlignment="1">
      <alignment horizontal="center" vertical="center" wrapText="1"/>
    </xf>
    <xf numFmtId="173" fontId="24" fillId="0" borderId="8" xfId="2" applyNumberFormat="1" applyFont="1" applyBorder="1" applyAlignment="1">
      <alignment horizontal="center" vertical="center" wrapText="1"/>
    </xf>
    <xf numFmtId="0" fontId="23" fillId="0" borderId="43" xfId="2" applyFont="1" applyBorder="1" applyAlignment="1">
      <alignment horizontal="center" vertical="center" wrapText="1"/>
    </xf>
    <xf numFmtId="0" fontId="23" fillId="0" borderId="52" xfId="2" applyFont="1" applyBorder="1" applyAlignment="1">
      <alignment horizontal="center" vertical="center" wrapText="1"/>
    </xf>
    <xf numFmtId="0" fontId="13" fillId="0" borderId="14" xfId="2" applyFont="1" applyBorder="1" applyAlignment="1">
      <alignment horizontal="center" vertical="center" wrapText="1"/>
    </xf>
    <xf numFmtId="0" fontId="13" fillId="0" borderId="22" xfId="2" applyFont="1" applyBorder="1" applyAlignment="1">
      <alignment horizontal="center" vertical="center" wrapText="1"/>
    </xf>
    <xf numFmtId="0" fontId="24" fillId="0" borderId="14" xfId="2" applyFont="1" applyBorder="1" applyAlignment="1">
      <alignment horizontal="center" vertical="center" wrapText="1"/>
    </xf>
    <xf numFmtId="0" fontId="24" fillId="0" borderId="22" xfId="2" applyFont="1" applyBorder="1" applyAlignment="1">
      <alignment horizontal="center" vertical="center" wrapText="1"/>
    </xf>
    <xf numFmtId="0" fontId="13" fillId="0" borderId="9" xfId="2" applyFont="1" applyBorder="1" applyAlignment="1">
      <alignment horizontal="left" vertical="center" wrapText="1"/>
    </xf>
    <xf numFmtId="1" fontId="13" fillId="8" borderId="9" xfId="2" applyNumberFormat="1" applyFont="1" applyFill="1" applyBorder="1" applyAlignment="1">
      <alignment horizontal="center" vertical="center" wrapText="1"/>
    </xf>
    <xf numFmtId="1" fontId="24" fillId="0" borderId="50" xfId="2" applyNumberFormat="1" applyFont="1" applyBorder="1" applyAlignment="1">
      <alignment horizontal="center" vertical="center" wrapText="1"/>
    </xf>
    <xf numFmtId="1" fontId="24" fillId="0" borderId="8" xfId="2" applyNumberFormat="1" applyFont="1" applyBorder="1" applyAlignment="1">
      <alignment horizontal="center" vertical="center" wrapText="1"/>
    </xf>
    <xf numFmtId="0" fontId="23" fillId="0" borderId="9" xfId="2" applyFont="1" applyBorder="1" applyAlignment="1">
      <alignment horizontal="center" vertical="center" wrapText="1"/>
    </xf>
    <xf numFmtId="0" fontId="23" fillId="0" borderId="51" xfId="2" applyFont="1" applyBorder="1" applyAlignment="1">
      <alignment horizontal="center" vertical="center" wrapText="1"/>
    </xf>
    <xf numFmtId="0" fontId="13" fillId="8" borderId="42" xfId="2" applyFont="1" applyFill="1" applyBorder="1" applyAlignment="1">
      <alignment horizontal="left" vertical="center" wrapText="1"/>
    </xf>
    <xf numFmtId="0" fontId="13" fillId="8" borderId="9" xfId="2" applyFont="1" applyFill="1" applyBorder="1" applyAlignment="1">
      <alignment horizontal="left" vertical="center" wrapText="1"/>
    </xf>
    <xf numFmtId="0" fontId="13" fillId="8" borderId="9" xfId="2" applyFont="1" applyFill="1" applyBorder="1" applyAlignment="1">
      <alignment horizontal="center" vertical="center" wrapText="1"/>
    </xf>
    <xf numFmtId="1" fontId="24" fillId="8" borderId="50" xfId="2" applyNumberFormat="1" applyFont="1" applyFill="1" applyBorder="1" applyAlignment="1">
      <alignment horizontal="center" vertical="center" wrapText="1"/>
    </xf>
    <xf numFmtId="1" fontId="24" fillId="8" borderId="8" xfId="2" applyNumberFormat="1" applyFont="1" applyFill="1" applyBorder="1" applyAlignment="1">
      <alignment horizontal="center" vertical="center" wrapText="1"/>
    </xf>
    <xf numFmtId="0" fontId="23" fillId="8" borderId="9" xfId="2" applyFont="1" applyFill="1" applyBorder="1" applyAlignment="1">
      <alignment horizontal="center" vertical="center" wrapText="1"/>
    </xf>
    <xf numFmtId="0" fontId="23" fillId="8" borderId="51" xfId="2" applyFont="1" applyFill="1" applyBorder="1" applyAlignment="1">
      <alignment horizontal="center" vertical="center" wrapText="1"/>
    </xf>
    <xf numFmtId="0" fontId="24" fillId="0" borderId="50" xfId="2" applyFont="1" applyBorder="1" applyAlignment="1">
      <alignment horizontal="center" vertical="center" wrapText="1"/>
    </xf>
    <xf numFmtId="0" fontId="24" fillId="0" borderId="8" xfId="2" applyFont="1" applyBorder="1" applyAlignment="1">
      <alignment horizontal="center" vertical="center" wrapText="1"/>
    </xf>
    <xf numFmtId="0" fontId="26" fillId="45" borderId="43" xfId="2" applyFont="1" applyFill="1" applyBorder="1" applyAlignment="1">
      <alignment horizontal="center" vertical="center"/>
    </xf>
    <xf numFmtId="0" fontId="26" fillId="45" borderId="8" xfId="2" applyFont="1" applyFill="1" applyBorder="1" applyAlignment="1">
      <alignment horizontal="center" vertical="center"/>
    </xf>
    <xf numFmtId="1" fontId="24" fillId="0" borderId="43" xfId="2" applyNumberFormat="1" applyFont="1" applyBorder="1" applyAlignment="1">
      <alignment horizontal="center" vertical="center" wrapText="1"/>
    </xf>
    <xf numFmtId="1" fontId="24" fillId="0" borderId="9" xfId="2" applyNumberFormat="1" applyFont="1" applyBorder="1" applyAlignment="1">
      <alignment horizontal="center" vertical="center" wrapText="1"/>
    </xf>
    <xf numFmtId="1" fontId="26" fillId="45" borderId="43" xfId="2" applyNumberFormat="1" applyFont="1" applyFill="1" applyBorder="1" applyAlignment="1">
      <alignment horizontal="center" vertical="center" wrapText="1"/>
    </xf>
    <xf numFmtId="1" fontId="26" fillId="45" borderId="8" xfId="2" applyNumberFormat="1" applyFont="1" applyFill="1" applyBorder="1" applyAlignment="1">
      <alignment horizontal="center" vertical="center" wrapText="1"/>
    </xf>
    <xf numFmtId="0" fontId="23" fillId="21" borderId="9" xfId="2" applyFont="1" applyFill="1" applyBorder="1" applyAlignment="1">
      <alignment horizontal="center" vertical="center" wrapText="1"/>
    </xf>
    <xf numFmtId="0" fontId="24" fillId="8" borderId="9" xfId="2" applyFont="1" applyFill="1" applyBorder="1" applyAlignment="1">
      <alignment horizontal="center" vertical="center" wrapText="1"/>
    </xf>
    <xf numFmtId="0" fontId="13" fillId="0" borderId="43" xfId="2" applyFont="1" applyBorder="1" applyAlignment="1">
      <alignment horizontal="left" vertical="center" wrapText="1"/>
    </xf>
    <xf numFmtId="0" fontId="24" fillId="0" borderId="9" xfId="2" applyFont="1" applyBorder="1" applyAlignment="1">
      <alignment horizontal="center" vertical="center" wrapText="1"/>
    </xf>
    <xf numFmtId="0" fontId="13" fillId="8" borderId="18" xfId="2" applyFont="1" applyFill="1" applyBorder="1" applyAlignment="1">
      <alignment horizontal="center" vertical="center"/>
    </xf>
    <xf numFmtId="0" fontId="24" fillId="0" borderId="17" xfId="2" applyFont="1" applyBorder="1" applyAlignment="1">
      <alignment horizontal="center" vertical="center" wrapText="1"/>
    </xf>
    <xf numFmtId="0" fontId="24" fillId="0" borderId="18" xfId="2" applyFont="1" applyBorder="1" applyAlignment="1">
      <alignment horizontal="center" vertical="center" wrapText="1"/>
    </xf>
    <xf numFmtId="0" fontId="23" fillId="0" borderId="45" xfId="2" applyFont="1" applyBorder="1" applyAlignment="1">
      <alignment horizontal="center" vertical="center" wrapText="1"/>
    </xf>
    <xf numFmtId="0" fontId="23" fillId="0" borderId="55" xfId="2" applyFont="1" applyBorder="1" applyAlignment="1">
      <alignment horizontal="center" vertical="center" wrapText="1"/>
    </xf>
    <xf numFmtId="0" fontId="13" fillId="8" borderId="0" xfId="2" applyFont="1" applyFill="1" applyAlignment="1">
      <alignment horizontal="left" vertical="center" wrapText="1"/>
    </xf>
    <xf numFmtId="0" fontId="23" fillId="0" borderId="35" xfId="2" applyFont="1" applyBorder="1" applyAlignment="1">
      <alignment horizontal="left" vertical="center" wrapText="1"/>
    </xf>
    <xf numFmtId="0" fontId="23" fillId="0" borderId="38" xfId="2" applyFont="1" applyBorder="1" applyAlignment="1">
      <alignment horizontal="left" vertical="center" wrapText="1"/>
    </xf>
    <xf numFmtId="0" fontId="23" fillId="0" borderId="38" xfId="2" applyFont="1" applyBorder="1" applyAlignment="1">
      <alignment horizontal="center" vertical="center" wrapText="1"/>
    </xf>
    <xf numFmtId="0" fontId="23" fillId="0" borderId="47" xfId="2" applyFont="1" applyBorder="1" applyAlignment="1">
      <alignment horizontal="center" vertical="center" wrapText="1"/>
    </xf>
    <xf numFmtId="0" fontId="13" fillId="0" borderId="26" xfId="2" applyFont="1" applyBorder="1">
      <alignment vertical="center"/>
    </xf>
    <xf numFmtId="1" fontId="13" fillId="8" borderId="21" xfId="2" applyNumberFormat="1" applyFont="1" applyFill="1" applyBorder="1" applyAlignment="1">
      <alignment horizontal="center" vertical="center"/>
    </xf>
    <xf numFmtId="1" fontId="13" fillId="8" borderId="22" xfId="2" applyNumberFormat="1" applyFont="1" applyFill="1" applyBorder="1" applyAlignment="1">
      <alignment horizontal="center" vertical="center"/>
    </xf>
    <xf numFmtId="1" fontId="13" fillId="0" borderId="14" xfId="2" applyNumberFormat="1" applyFont="1" applyBorder="1" applyAlignment="1">
      <alignment horizontal="center" vertical="center" wrapText="1"/>
    </xf>
    <xf numFmtId="1" fontId="13" fillId="0" borderId="22" xfId="2" applyNumberFormat="1" applyFont="1" applyBorder="1" applyAlignment="1">
      <alignment horizontal="center" vertical="center" wrapText="1"/>
    </xf>
    <xf numFmtId="0" fontId="23" fillId="8" borderId="14" xfId="2" applyFont="1" applyFill="1" applyBorder="1" applyAlignment="1">
      <alignment horizontal="center" vertical="center" wrapText="1"/>
    </xf>
    <xf numFmtId="173" fontId="13" fillId="0" borderId="50" xfId="2" applyNumberFormat="1" applyFont="1" applyBorder="1" applyAlignment="1">
      <alignment horizontal="center" vertical="center" wrapText="1"/>
    </xf>
    <xf numFmtId="173" fontId="13" fillId="0" borderId="8" xfId="2" applyNumberFormat="1" applyFont="1" applyBorder="1" applyAlignment="1">
      <alignment horizontal="center" vertical="center" wrapText="1"/>
    </xf>
    <xf numFmtId="0" fontId="23" fillId="0" borderId="50" xfId="2" applyFont="1" applyBorder="1" applyAlignment="1">
      <alignment horizontal="center" vertical="center" wrapText="1"/>
    </xf>
    <xf numFmtId="0" fontId="13" fillId="8" borderId="14" xfId="2" applyFont="1" applyFill="1" applyBorder="1" applyAlignment="1">
      <alignment horizontal="center" vertical="center" wrapText="1"/>
    </xf>
    <xf numFmtId="0" fontId="13" fillId="8" borderId="22" xfId="2" applyFont="1" applyFill="1" applyBorder="1" applyAlignment="1">
      <alignment horizontal="center" vertical="center" wrapText="1"/>
    </xf>
    <xf numFmtId="1" fontId="13" fillId="0" borderId="50" xfId="2" applyNumberFormat="1" applyFont="1" applyBorder="1" applyAlignment="1">
      <alignment horizontal="center" vertical="center" wrapText="1"/>
    </xf>
    <xf numFmtId="1" fontId="13" fillId="0" borderId="8" xfId="2" applyNumberFormat="1" applyFont="1" applyBorder="1" applyAlignment="1">
      <alignment horizontal="center" vertical="center" wrapText="1"/>
    </xf>
    <xf numFmtId="173" fontId="13" fillId="8" borderId="9" xfId="2" applyNumberFormat="1" applyFont="1" applyFill="1" applyBorder="1" applyAlignment="1">
      <alignment horizontal="center" vertical="center" wrapText="1"/>
    </xf>
    <xf numFmtId="0" fontId="13" fillId="0" borderId="50" xfId="2" applyFont="1" applyBorder="1" applyAlignment="1">
      <alignment horizontal="center" vertical="center" wrapText="1"/>
    </xf>
    <xf numFmtId="0" fontId="13" fillId="0" borderId="8" xfId="2" applyFont="1" applyBorder="1" applyAlignment="1">
      <alignment horizontal="center" vertical="center" wrapText="1"/>
    </xf>
    <xf numFmtId="1" fontId="13" fillId="0" borderId="43" xfId="2" applyNumberFormat="1" applyFont="1" applyBorder="1" applyAlignment="1">
      <alignment horizontal="center" vertical="center" wrapText="1"/>
    </xf>
    <xf numFmtId="1" fontId="13" fillId="0" borderId="9" xfId="2" applyNumberFormat="1" applyFont="1" applyBorder="1" applyAlignment="1">
      <alignment horizontal="center" vertical="center" wrapText="1"/>
    </xf>
    <xf numFmtId="0" fontId="26" fillId="45" borderId="43" xfId="2" applyFont="1" applyFill="1" applyBorder="1" applyAlignment="1">
      <alignment horizontal="center" vertical="center" wrapText="1"/>
    </xf>
    <xf numFmtId="0" fontId="26" fillId="45" borderId="8" xfId="2" applyFont="1" applyFill="1" applyBorder="1" applyAlignment="1">
      <alignment horizontal="center" vertical="center" wrapText="1"/>
    </xf>
    <xf numFmtId="0" fontId="13" fillId="0" borderId="44" xfId="2" applyFont="1" applyBorder="1" applyAlignment="1">
      <alignment horizontal="left" vertical="center" wrapText="1"/>
    </xf>
    <xf numFmtId="0" fontId="13" fillId="0" borderId="45" xfId="2" applyFont="1" applyBorder="1" applyAlignment="1">
      <alignment horizontal="left" vertical="center" wrapText="1"/>
    </xf>
    <xf numFmtId="0" fontId="13" fillId="8" borderId="59" xfId="2" applyFont="1" applyFill="1" applyBorder="1" applyAlignment="1">
      <alignment horizontal="center" vertical="center"/>
    </xf>
    <xf numFmtId="0" fontId="13" fillId="8" borderId="11" xfId="2" applyFont="1" applyFill="1" applyBorder="1" applyAlignment="1">
      <alignment horizontal="center" vertical="center"/>
    </xf>
    <xf numFmtId="1" fontId="13" fillId="0" borderId="0" xfId="2" applyNumberFormat="1" applyFont="1" applyAlignment="1">
      <alignment horizontal="center" vertical="center" wrapText="1"/>
    </xf>
    <xf numFmtId="1" fontId="13" fillId="0" borderId="20" xfId="2" applyNumberFormat="1" applyFont="1" applyBorder="1" applyAlignment="1">
      <alignment horizontal="center" vertical="center" wrapText="1"/>
    </xf>
    <xf numFmtId="0" fontId="23" fillId="0" borderId="17" xfId="2" applyFont="1" applyBorder="1" applyAlignment="1">
      <alignment horizontal="center" vertical="center" wrapText="1"/>
    </xf>
    <xf numFmtId="0" fontId="13" fillId="0" borderId="24" xfId="2" applyFont="1" applyBorder="1">
      <alignment vertical="center"/>
    </xf>
    <xf numFmtId="0" fontId="12" fillId="17" borderId="49" xfId="2" applyFont="1" applyFill="1" applyBorder="1" applyAlignment="1">
      <alignment horizontal="center" vertical="center" wrapText="1"/>
    </xf>
    <xf numFmtId="0" fontId="3" fillId="17" borderId="41" xfId="2" applyFont="1" applyFill="1" applyBorder="1" applyAlignment="1">
      <alignment horizontal="left" vertical="center" wrapText="1"/>
    </xf>
    <xf numFmtId="1" fontId="5" fillId="17" borderId="50" xfId="2" applyNumberFormat="1" applyFont="1" applyFill="1" applyBorder="1" applyAlignment="1">
      <alignment horizontal="center" vertical="center" wrapText="1"/>
    </xf>
    <xf numFmtId="0" fontId="12" fillId="17" borderId="41" xfId="2" applyFont="1" applyFill="1" applyBorder="1" applyAlignment="1">
      <alignment horizontal="center" vertical="center" wrapText="1"/>
    </xf>
    <xf numFmtId="0" fontId="12" fillId="17" borderId="50" xfId="2" applyFont="1" applyFill="1" applyBorder="1" applyAlignment="1">
      <alignment horizontal="center" vertical="center" wrapText="1"/>
    </xf>
    <xf numFmtId="0" fontId="5" fillId="17" borderId="44" xfId="2" applyFont="1" applyFill="1" applyBorder="1" applyAlignment="1">
      <alignment horizontal="left" vertical="center" wrapText="1"/>
    </xf>
    <xf numFmtId="0" fontId="5" fillId="17" borderId="45" xfId="2" applyFont="1" applyFill="1" applyBorder="1" applyAlignment="1">
      <alignment horizontal="left" vertical="center" wrapText="1"/>
    </xf>
    <xf numFmtId="0" fontId="12" fillId="17" borderId="68" xfId="2" applyFont="1" applyFill="1" applyBorder="1" applyAlignment="1">
      <alignment horizontal="center" vertical="center" wrapText="1"/>
    </xf>
    <xf numFmtId="0" fontId="12" fillId="17" borderId="69" xfId="2" applyFont="1" applyFill="1" applyBorder="1" applyAlignment="1">
      <alignment horizontal="center" vertical="center" wrapText="1"/>
    </xf>
    <xf numFmtId="0" fontId="12" fillId="17" borderId="21" xfId="2" applyFont="1" applyFill="1" applyBorder="1" applyAlignment="1">
      <alignment horizontal="left" vertical="center" wrapText="1"/>
    </xf>
    <xf numFmtId="0" fontId="12" fillId="17" borderId="14" xfId="2" applyFont="1" applyFill="1" applyBorder="1" applyAlignment="1">
      <alignment horizontal="left" vertical="center" wrapText="1"/>
    </xf>
    <xf numFmtId="0" fontId="12" fillId="17" borderId="0" xfId="2" applyFont="1" applyFill="1" applyAlignment="1">
      <alignment horizontal="left" vertical="center" wrapText="1"/>
    </xf>
    <xf numFmtId="1" fontId="5" fillId="17" borderId="15" xfId="2" applyNumberFormat="1" applyFont="1" applyFill="1" applyBorder="1" applyAlignment="1">
      <alignment horizontal="center" vertical="center" wrapText="1"/>
    </xf>
    <xf numFmtId="0" fontId="12" fillId="17" borderId="70" xfId="2" applyFont="1" applyFill="1" applyBorder="1" applyAlignment="1">
      <alignment horizontal="center" vertical="center" wrapText="1"/>
    </xf>
    <xf numFmtId="0" fontId="12" fillId="17" borderId="71" xfId="2" applyFont="1" applyFill="1" applyBorder="1" applyAlignment="1">
      <alignment horizontal="center" vertical="center" wrapText="1"/>
    </xf>
    <xf numFmtId="0" fontId="12" fillId="17" borderId="42" xfId="2" applyFont="1" applyFill="1" applyBorder="1" applyAlignment="1">
      <alignment horizontal="center" vertical="center" wrapText="1"/>
    </xf>
    <xf numFmtId="0" fontId="5" fillId="17" borderId="39" xfId="2" applyFont="1" applyFill="1" applyBorder="1" applyAlignment="1">
      <alignment horizontal="left" vertical="center" wrapText="1"/>
    </xf>
    <xf numFmtId="0" fontId="5" fillId="17" borderId="40" xfId="2" applyFont="1" applyFill="1" applyBorder="1" applyAlignment="1">
      <alignment horizontal="left" vertical="center" wrapText="1"/>
    </xf>
    <xf numFmtId="0" fontId="5" fillId="17" borderId="43" xfId="2" applyFont="1" applyFill="1" applyBorder="1" applyAlignment="1">
      <alignment horizontal="center" vertical="center" wrapText="1"/>
    </xf>
    <xf numFmtId="0" fontId="5" fillId="17" borderId="50" xfId="2" applyFont="1" applyFill="1" applyBorder="1" applyAlignment="1">
      <alignment horizontal="center" vertical="center" wrapText="1"/>
    </xf>
    <xf numFmtId="0" fontId="12" fillId="17" borderId="39" xfId="2" applyFont="1" applyFill="1" applyBorder="1" applyAlignment="1">
      <alignment horizontal="center" vertical="center" wrapText="1"/>
    </xf>
    <xf numFmtId="0" fontId="12" fillId="17" borderId="21" xfId="2" applyFont="1" applyFill="1" applyBorder="1" applyAlignment="1">
      <alignment horizontal="center" vertical="center" wrapText="1"/>
    </xf>
    <xf numFmtId="0" fontId="5" fillId="17" borderId="17" xfId="2" applyFont="1" applyFill="1" applyBorder="1" applyAlignment="1">
      <alignment horizontal="center" vertical="center" wrapText="1"/>
    </xf>
    <xf numFmtId="0" fontId="13" fillId="0" borderId="38" xfId="2" applyFont="1" applyBorder="1" applyAlignment="1">
      <alignment horizontal="left" vertical="center" wrapText="1"/>
    </xf>
    <xf numFmtId="0" fontId="13" fillId="0" borderId="47" xfId="2" applyFont="1" applyBorder="1" applyAlignment="1">
      <alignment horizontal="left" vertical="center" wrapText="1"/>
    </xf>
    <xf numFmtId="0" fontId="13" fillId="0" borderId="39" xfId="2" applyFont="1" applyBorder="1" applyAlignment="1">
      <alignment horizontal="left" vertical="center" wrapText="1"/>
    </xf>
    <xf numFmtId="0" fontId="13" fillId="0" borderId="40" xfId="2" applyFont="1" applyBorder="1" applyAlignment="1">
      <alignment horizontal="left" vertical="center" wrapText="1"/>
    </xf>
    <xf numFmtId="1" fontId="25" fillId="0" borderId="40" xfId="2" applyNumberFormat="1" applyFont="1" applyBorder="1" applyAlignment="1">
      <alignment horizontal="center" vertical="center" wrapText="1"/>
    </xf>
    <xf numFmtId="1" fontId="25" fillId="0" borderId="21" xfId="2" applyNumberFormat="1" applyFont="1" applyBorder="1" applyAlignment="1">
      <alignment horizontal="center" vertical="center" wrapText="1"/>
    </xf>
    <xf numFmtId="0" fontId="30" fillId="17" borderId="1" xfId="2" applyFont="1" applyFill="1" applyBorder="1" applyAlignment="1">
      <alignment horizontal="center" vertical="center" wrapText="1"/>
    </xf>
    <xf numFmtId="0" fontId="30" fillId="17" borderId="29" xfId="2" applyFont="1" applyFill="1" applyBorder="1" applyAlignment="1">
      <alignment horizontal="center" vertical="center" wrapText="1"/>
    </xf>
    <xf numFmtId="0" fontId="15" fillId="17" borderId="26" xfId="2" applyFont="1" applyFill="1" applyBorder="1" applyAlignment="1">
      <alignment horizontal="center" vertical="center" wrapText="1"/>
    </xf>
    <xf numFmtId="0" fontId="15" fillId="17" borderId="27" xfId="2" applyFont="1" applyFill="1" applyBorder="1" applyAlignment="1">
      <alignment horizontal="center" vertical="center" wrapText="1"/>
    </xf>
    <xf numFmtId="0" fontId="15" fillId="17" borderId="49" xfId="2" applyFont="1" applyFill="1" applyBorder="1" applyAlignment="1">
      <alignment horizontal="center" vertical="center" wrapText="1"/>
    </xf>
    <xf numFmtId="0" fontId="15" fillId="17" borderId="58" xfId="2" applyFont="1" applyFill="1" applyBorder="1" applyAlignment="1">
      <alignment horizontal="center" vertical="center" wrapText="1"/>
    </xf>
    <xf numFmtId="1" fontId="13" fillId="34" borderId="9" xfId="2" applyNumberFormat="1" applyFont="1" applyFill="1" applyBorder="1" applyAlignment="1">
      <alignment horizontal="center" vertical="center" wrapText="1"/>
    </xf>
    <xf numFmtId="1" fontId="25" fillId="8" borderId="9" xfId="2" applyNumberFormat="1" applyFont="1" applyFill="1" applyBorder="1" applyAlignment="1">
      <alignment horizontal="center" vertical="center" wrapText="1"/>
    </xf>
    <xf numFmtId="0" fontId="25" fillId="8" borderId="43" xfId="2" applyFont="1" applyFill="1" applyBorder="1" applyAlignment="1">
      <alignment horizontal="center" vertical="center" wrapText="1"/>
    </xf>
    <xf numFmtId="0" fontId="23" fillId="0" borderId="42" xfId="2" applyFont="1" applyBorder="1" applyAlignment="1">
      <alignment horizontal="left" vertical="center" wrapText="1"/>
    </xf>
    <xf numFmtId="0" fontId="23" fillId="0" borderId="43" xfId="2" applyFont="1" applyBorder="1" applyAlignment="1">
      <alignment horizontal="left" vertical="center" wrapText="1"/>
    </xf>
    <xf numFmtId="1" fontId="23" fillId="34" borderId="43" xfId="2" applyNumberFormat="1" applyFont="1" applyFill="1" applyBorder="1" applyAlignment="1">
      <alignment horizontal="center" vertical="center" wrapText="1"/>
    </xf>
    <xf numFmtId="1" fontId="23" fillId="34" borderId="8" xfId="2" applyNumberFormat="1" applyFont="1" applyFill="1" applyBorder="1" applyAlignment="1">
      <alignment horizontal="center" vertical="center" wrapText="1"/>
    </xf>
    <xf numFmtId="0" fontId="23" fillId="0" borderId="39" xfId="2" applyFont="1" applyBorder="1" applyAlignment="1">
      <alignment horizontal="left" vertical="center" wrapText="1"/>
    </xf>
    <xf numFmtId="0" fontId="23" fillId="0" borderId="21" xfId="2" applyFont="1" applyBorder="1" applyAlignment="1">
      <alignment horizontal="left" vertical="center" wrapText="1"/>
    </xf>
    <xf numFmtId="0" fontId="23" fillId="0" borderId="37" xfId="2" applyFont="1" applyBorder="1" applyAlignment="1">
      <alignment horizontal="left" vertical="center" wrapText="1"/>
    </xf>
    <xf numFmtId="0" fontId="23" fillId="0" borderId="47" xfId="2" applyFont="1" applyBorder="1" applyAlignment="1">
      <alignment horizontal="left" vertical="center" wrapText="1"/>
    </xf>
    <xf numFmtId="1" fontId="26" fillId="8" borderId="45" xfId="2" applyNumberFormat="1" applyFont="1" applyFill="1" applyBorder="1" applyAlignment="1">
      <alignment horizontal="center" vertical="center" wrapText="1"/>
    </xf>
    <xf numFmtId="1" fontId="13" fillId="0" borderId="17" xfId="2" applyNumberFormat="1" applyFont="1" applyBorder="1" applyAlignment="1">
      <alignment horizontal="center" vertical="center" wrapText="1"/>
    </xf>
    <xf numFmtId="0" fontId="13" fillId="0" borderId="15" xfId="2" applyFont="1" applyBorder="1" applyAlignment="1">
      <alignment horizontal="center" vertical="center" wrapText="1"/>
    </xf>
    <xf numFmtId="0" fontId="23" fillId="0" borderId="44" xfId="2" applyFont="1" applyBorder="1" applyAlignment="1">
      <alignment horizontal="left" vertical="center" wrapText="1"/>
    </xf>
    <xf numFmtId="0" fontId="23" fillId="0" borderId="17" xfId="2" applyFont="1" applyBorder="1" applyAlignment="1">
      <alignment horizontal="left" vertical="center" wrapText="1"/>
    </xf>
    <xf numFmtId="1" fontId="23" fillId="0" borderId="38" xfId="2" applyNumberFormat="1" applyFont="1" applyBorder="1" applyAlignment="1">
      <alignment horizontal="left" vertical="center" wrapText="1"/>
    </xf>
    <xf numFmtId="1" fontId="23" fillId="0" borderId="47" xfId="2" applyNumberFormat="1" applyFont="1" applyBorder="1" applyAlignment="1">
      <alignment horizontal="left" vertical="center" wrapText="1"/>
    </xf>
    <xf numFmtId="1" fontId="23" fillId="8" borderId="40" xfId="2" applyNumberFormat="1" applyFont="1" applyFill="1" applyBorder="1" applyAlignment="1">
      <alignment horizontal="center" vertical="center" wrapText="1"/>
    </xf>
    <xf numFmtId="1" fontId="13" fillId="0" borderId="40" xfId="2" applyNumberFormat="1" applyFont="1" applyBorder="1" applyAlignment="1">
      <alignment horizontal="center" vertical="center" wrapText="1"/>
    </xf>
    <xf numFmtId="1" fontId="13" fillId="0" borderId="21" xfId="2" applyNumberFormat="1" applyFont="1" applyBorder="1" applyAlignment="1">
      <alignment horizontal="center" vertical="center" wrapText="1"/>
    </xf>
    <xf numFmtId="0" fontId="23" fillId="0" borderId="39" xfId="2" applyFont="1" applyBorder="1" applyAlignment="1">
      <alignment horizontal="center" vertical="center" wrapText="1"/>
    </xf>
    <xf numFmtId="0" fontId="23" fillId="8" borderId="38" xfId="2" applyFont="1" applyFill="1" applyBorder="1" applyAlignment="1">
      <alignment horizontal="left" vertical="center" wrapText="1"/>
    </xf>
    <xf numFmtId="1" fontId="28" fillId="8" borderId="30" xfId="2" applyNumberFormat="1" applyFont="1" applyFill="1" applyBorder="1" applyAlignment="1">
      <alignment horizontal="center" vertical="center"/>
    </xf>
    <xf numFmtId="1" fontId="28" fillId="8" borderId="32" xfId="2" applyNumberFormat="1" applyFont="1" applyFill="1" applyBorder="1" applyAlignment="1">
      <alignment horizontal="center" vertical="center"/>
    </xf>
    <xf numFmtId="0" fontId="25" fillId="0" borderId="31" xfId="2" applyFont="1" applyBorder="1" applyAlignment="1">
      <alignment horizontal="center" vertical="center"/>
    </xf>
    <xf numFmtId="0" fontId="13" fillId="0" borderId="40" xfId="2" applyFont="1" applyBorder="1" applyAlignment="1">
      <alignment horizontal="center" vertical="center" wrapText="1"/>
    </xf>
    <xf numFmtId="0" fontId="13" fillId="21" borderId="40" xfId="2" applyFont="1" applyFill="1" applyBorder="1" applyAlignment="1">
      <alignment horizontal="center" vertical="center" wrapText="1"/>
    </xf>
    <xf numFmtId="0" fontId="25" fillId="0" borderId="40" xfId="2" applyFont="1" applyBorder="1" applyAlignment="1">
      <alignment horizontal="center" vertical="center" wrapText="1"/>
    </xf>
    <xf numFmtId="0" fontId="25" fillId="0" borderId="21" xfId="2" applyFont="1" applyBorder="1" applyAlignment="1">
      <alignment horizontal="center" vertical="center" wrapText="1"/>
    </xf>
    <xf numFmtId="0" fontId="23" fillId="0" borderId="56" xfId="2" applyFont="1" applyBorder="1" applyAlignment="1">
      <alignment horizontal="center" vertical="center" wrapText="1"/>
    </xf>
    <xf numFmtId="0" fontId="25" fillId="0" borderId="9" xfId="2" applyFont="1" applyBorder="1" applyAlignment="1">
      <alignment horizontal="center" vertical="center" wrapText="1"/>
    </xf>
    <xf numFmtId="0" fontId="25" fillId="0" borderId="43" xfId="2" applyFont="1" applyBorder="1" applyAlignment="1">
      <alignment horizontal="center" vertical="center" wrapText="1"/>
    </xf>
    <xf numFmtId="0" fontId="13" fillId="0" borderId="42" xfId="2" applyFont="1" applyBorder="1" applyAlignment="1">
      <alignment horizontal="center" vertical="center" wrapText="1"/>
    </xf>
    <xf numFmtId="0" fontId="13" fillId="0" borderId="51" xfId="2" applyFont="1" applyBorder="1" applyAlignment="1">
      <alignment horizontal="center" vertical="center" wrapText="1"/>
    </xf>
    <xf numFmtId="0" fontId="13" fillId="21" borderId="9" xfId="2" applyFont="1" applyFill="1" applyBorder="1" applyAlignment="1">
      <alignment horizontal="center" vertical="center" wrapText="1"/>
    </xf>
    <xf numFmtId="0" fontId="23" fillId="0" borderId="41" xfId="2" applyFont="1" applyBorder="1" applyAlignment="1">
      <alignment horizontal="center" vertical="center" wrapText="1"/>
    </xf>
    <xf numFmtId="0" fontId="13" fillId="0" borderId="45" xfId="2" applyFont="1" applyBorder="1" applyAlignment="1">
      <alignment horizontal="center" vertical="center" wrapText="1"/>
    </xf>
    <xf numFmtId="0" fontId="13" fillId="17" borderId="45" xfId="2" applyFont="1" applyFill="1" applyBorder="1" applyAlignment="1">
      <alignment horizontal="center" vertical="center" wrapText="1"/>
    </xf>
    <xf numFmtId="0" fontId="25" fillId="0" borderId="45" xfId="2" applyFont="1" applyBorder="1" applyAlignment="1">
      <alignment horizontal="center" vertical="center" wrapText="1"/>
    </xf>
    <xf numFmtId="0" fontId="25" fillId="0" borderId="17" xfId="2" applyFont="1" applyBorder="1" applyAlignment="1">
      <alignment horizontal="center" vertical="center" wrapText="1"/>
    </xf>
    <xf numFmtId="0" fontId="23" fillId="0" borderId="77" xfId="2" applyFont="1" applyBorder="1" applyAlignment="1">
      <alignment horizontal="center" vertical="center" wrapText="1"/>
    </xf>
    <xf numFmtId="0" fontId="23" fillId="0" borderId="57" xfId="2" applyFont="1" applyBorder="1" applyAlignment="1">
      <alignment horizontal="center" vertical="center" wrapText="1"/>
    </xf>
    <xf numFmtId="0" fontId="13" fillId="0" borderId="26" xfId="2" applyFont="1" applyBorder="1" applyAlignment="1">
      <alignment horizontal="left" vertical="center" wrapText="1"/>
    </xf>
    <xf numFmtId="0" fontId="13" fillId="0" borderId="20" xfId="2" applyFont="1" applyBorder="1" applyAlignment="1">
      <alignment horizontal="left" vertical="center" wrapText="1"/>
    </xf>
    <xf numFmtId="0" fontId="13" fillId="0" borderId="17" xfId="2" applyFont="1" applyBorder="1" applyAlignment="1">
      <alignment horizontal="center" vertical="center" wrapText="1"/>
    </xf>
    <xf numFmtId="0" fontId="13" fillId="0" borderId="26" xfId="2" applyFont="1" applyBorder="1" applyAlignment="1">
      <alignment horizontal="left" vertical="center"/>
    </xf>
    <xf numFmtId="0" fontId="13" fillId="0" borderId="20" xfId="2" applyFont="1" applyBorder="1" applyAlignment="1">
      <alignment horizontal="left" vertical="center"/>
    </xf>
    <xf numFmtId="0" fontId="62" fillId="0" borderId="19" xfId="2" applyFont="1" applyBorder="1" applyAlignment="1">
      <alignment horizontal="center" vertical="center" wrapText="1"/>
    </xf>
    <xf numFmtId="0" fontId="62" fillId="0" borderId="0" xfId="2" applyFont="1" applyAlignment="1">
      <alignment horizontal="center" vertical="center" wrapText="1"/>
    </xf>
    <xf numFmtId="0" fontId="70" fillId="0" borderId="9" xfId="2" applyFont="1" applyBorder="1" applyAlignment="1">
      <alignment horizontal="center" vertical="center" wrapText="1"/>
    </xf>
    <xf numFmtId="0" fontId="13" fillId="35" borderId="45" xfId="2" applyFont="1" applyFill="1" applyBorder="1" applyAlignment="1">
      <alignment horizontal="center" vertical="center" wrapText="1"/>
    </xf>
    <xf numFmtId="0" fontId="23" fillId="0" borderId="36" xfId="2" applyFont="1" applyBorder="1" applyAlignment="1">
      <alignment horizontal="left" vertical="center" wrapText="1"/>
    </xf>
    <xf numFmtId="0" fontId="23" fillId="8" borderId="35" xfId="2" applyFont="1" applyFill="1" applyBorder="1" applyAlignment="1">
      <alignment horizontal="center" vertical="center" wrapText="1"/>
    </xf>
    <xf numFmtId="0" fontId="23" fillId="8" borderId="36" xfId="2" applyFont="1" applyFill="1" applyBorder="1" applyAlignment="1">
      <alignment horizontal="center" vertical="center" wrapText="1"/>
    </xf>
    <xf numFmtId="1" fontId="28" fillId="8" borderId="31" xfId="2" applyNumberFormat="1" applyFont="1" applyFill="1" applyBorder="1" applyAlignment="1">
      <alignment horizontal="center" vertical="center"/>
    </xf>
    <xf numFmtId="0" fontId="30" fillId="17" borderId="26" xfId="2" applyFont="1" applyFill="1" applyBorder="1" applyAlignment="1">
      <alignment horizontal="center" vertical="center" wrapText="1"/>
    </xf>
    <xf numFmtId="0" fontId="30" fillId="17" borderId="27" xfId="2" applyFont="1" applyFill="1" applyBorder="1" applyAlignment="1">
      <alignment horizontal="center" vertical="center" wrapText="1"/>
    </xf>
    <xf numFmtId="0" fontId="30" fillId="17" borderId="24" xfId="2" applyFont="1" applyFill="1" applyBorder="1" applyAlignment="1">
      <alignment horizontal="center" vertical="center" wrapText="1"/>
    </xf>
    <xf numFmtId="0" fontId="30" fillId="17" borderId="28" xfId="2" applyFont="1" applyFill="1" applyBorder="1" applyAlignment="1">
      <alignment horizontal="center" vertical="center" wrapText="1"/>
    </xf>
    <xf numFmtId="0" fontId="13" fillId="0" borderId="24" xfId="2" applyFont="1" applyBorder="1" applyAlignment="1">
      <alignment horizontal="left" vertical="center"/>
    </xf>
    <xf numFmtId="0" fontId="13" fillId="0" borderId="78" xfId="2" applyFont="1" applyBorder="1" applyAlignment="1">
      <alignment horizontal="left" vertical="center"/>
    </xf>
    <xf numFmtId="0" fontId="62" fillId="0" borderId="64" xfId="2" applyFont="1" applyBorder="1" applyAlignment="1">
      <alignment horizontal="center" vertical="center" wrapText="1"/>
    </xf>
    <xf numFmtId="0" fontId="13" fillId="35" borderId="64" xfId="2" applyFont="1" applyFill="1" applyBorder="1" applyAlignment="1">
      <alignment horizontal="center" vertical="center" wrapText="1"/>
    </xf>
    <xf numFmtId="0" fontId="13" fillId="35" borderId="78" xfId="2" applyFont="1" applyFill="1" applyBorder="1" applyAlignment="1">
      <alignment horizontal="center" vertical="center" wrapText="1"/>
    </xf>
    <xf numFmtId="0" fontId="23" fillId="0" borderId="64" xfId="2" applyFont="1" applyBorder="1" applyAlignment="1">
      <alignment horizontal="center" vertical="center" wrapText="1"/>
    </xf>
    <xf numFmtId="0" fontId="23" fillId="0" borderId="78" xfId="2" applyFont="1" applyBorder="1" applyAlignment="1">
      <alignment horizontal="center" vertical="center" wrapText="1"/>
    </xf>
    <xf numFmtId="0" fontId="13" fillId="35" borderId="17" xfId="2" applyFont="1" applyFill="1" applyBorder="1" applyAlignment="1">
      <alignment horizontal="center" vertical="center" wrapText="1"/>
    </xf>
    <xf numFmtId="0" fontId="13" fillId="35" borderId="18" xfId="2" applyFont="1" applyFill="1" applyBorder="1" applyAlignment="1">
      <alignment horizontal="center" vertical="center" wrapText="1"/>
    </xf>
    <xf numFmtId="0" fontId="23" fillId="0" borderId="18" xfId="2" applyFont="1" applyBorder="1" applyAlignment="1">
      <alignment horizontal="center" vertical="center" wrapText="1"/>
    </xf>
    <xf numFmtId="0" fontId="13" fillId="0" borderId="1" xfId="2" applyFont="1" applyBorder="1" applyAlignment="1">
      <alignment horizontal="left" vertical="center" wrapText="1"/>
    </xf>
    <xf numFmtId="0" fontId="13" fillId="0" borderId="60" xfId="2" applyFont="1" applyBorder="1" applyAlignment="1">
      <alignment horizontal="left" vertical="center" wrapText="1"/>
    </xf>
    <xf numFmtId="0" fontId="13" fillId="0" borderId="5" xfId="2" applyFont="1" applyBorder="1" applyAlignment="1">
      <alignment horizontal="center" vertical="center" wrapText="1"/>
    </xf>
    <xf numFmtId="0" fontId="13" fillId="35" borderId="5" xfId="2" applyFont="1" applyFill="1" applyBorder="1" applyAlignment="1">
      <alignment horizontal="center" vertical="center" wrapText="1"/>
    </xf>
    <xf numFmtId="0" fontId="25" fillId="0" borderId="4" xfId="2" applyFont="1" applyBorder="1" applyAlignment="1">
      <alignment horizontal="center" vertical="center" wrapText="1"/>
    </xf>
    <xf numFmtId="0" fontId="25" fillId="0" borderId="76" xfId="2" applyFont="1" applyBorder="1" applyAlignment="1">
      <alignment horizontal="center" vertical="center" wrapText="1"/>
    </xf>
    <xf numFmtId="0" fontId="46" fillId="0" borderId="26" xfId="2" applyFont="1" applyBorder="1" applyAlignment="1">
      <alignment horizontal="left" vertical="center" wrapText="1"/>
    </xf>
    <xf numFmtId="0" fontId="62" fillId="0" borderId="20" xfId="2" applyFont="1" applyBorder="1" applyAlignment="1">
      <alignment horizontal="center" vertical="center" wrapText="1"/>
    </xf>
    <xf numFmtId="0" fontId="23" fillId="0" borderId="26" xfId="2" applyFont="1" applyBorder="1" applyAlignment="1">
      <alignment horizontal="left" vertical="center" wrapText="1"/>
    </xf>
    <xf numFmtId="0" fontId="23" fillId="0" borderId="0" xfId="2" applyFont="1" applyAlignment="1">
      <alignment horizontal="left" vertical="center" wrapText="1"/>
    </xf>
    <xf numFmtId="0" fontId="62" fillId="0" borderId="14" xfId="2" applyFont="1" applyBorder="1" applyAlignment="1">
      <alignment horizontal="left" vertical="center" wrapText="1"/>
    </xf>
    <xf numFmtId="0" fontId="62" fillId="0" borderId="22" xfId="2" applyFont="1" applyBorder="1" applyAlignment="1">
      <alignment horizontal="left" vertical="center" wrapText="1"/>
    </xf>
    <xf numFmtId="0" fontId="62" fillId="0" borderId="14" xfId="2" applyFont="1" applyBorder="1" applyAlignment="1">
      <alignment horizontal="center" vertical="center" wrapText="1"/>
    </xf>
    <xf numFmtId="0" fontId="23" fillId="0" borderId="49" xfId="2" applyFont="1" applyBorder="1" applyAlignment="1">
      <alignment horizontal="left" vertical="center" wrapText="1"/>
    </xf>
    <xf numFmtId="0" fontId="23" fillId="0" borderId="14" xfId="2" applyFont="1" applyBorder="1" applyAlignment="1">
      <alignment horizontal="left" vertical="center" wrapText="1"/>
    </xf>
    <xf numFmtId="0" fontId="46" fillId="0" borderId="20" xfId="2" applyFont="1" applyBorder="1" applyAlignment="1">
      <alignment horizontal="left" vertical="center" wrapText="1"/>
    </xf>
    <xf numFmtId="0" fontId="62" fillId="0" borderId="15" xfId="2" applyFont="1" applyBorder="1" applyAlignment="1">
      <alignment horizontal="center" vertical="center" wrapText="1"/>
    </xf>
    <xf numFmtId="0" fontId="62" fillId="0" borderId="18" xfId="2" applyFont="1" applyBorder="1" applyAlignment="1">
      <alignment horizontal="center" vertical="center" wrapText="1"/>
    </xf>
    <xf numFmtId="0" fontId="62" fillId="0" borderId="22" xfId="2" applyFont="1" applyBorder="1" applyAlignment="1">
      <alignment horizontal="center" vertical="center" wrapText="1"/>
    </xf>
    <xf numFmtId="0" fontId="23" fillId="0" borderId="77" xfId="2" applyFont="1" applyBorder="1" applyAlignment="1">
      <alignment horizontal="left" vertical="center" wrapText="1"/>
    </xf>
    <xf numFmtId="0" fontId="23" fillId="0" borderId="15" xfId="2" applyFont="1" applyBorder="1" applyAlignment="1">
      <alignment horizontal="left" vertical="center" wrapText="1"/>
    </xf>
    <xf numFmtId="0" fontId="62" fillId="0" borderId="0" xfId="2" applyFont="1" applyAlignment="1">
      <alignment horizontal="left" vertical="center" wrapText="1"/>
    </xf>
    <xf numFmtId="0" fontId="62" fillId="0" borderId="20" xfId="2" applyFont="1" applyBorder="1" applyAlignment="1">
      <alignment horizontal="left" vertical="center" wrapText="1"/>
    </xf>
    <xf numFmtId="0" fontId="25" fillId="0" borderId="38" xfId="2" applyFont="1" applyBorder="1" applyAlignment="1">
      <alignment horizontal="left" vertical="center" wrapText="1"/>
    </xf>
    <xf numFmtId="0" fontId="23" fillId="0" borderId="30" xfId="2" applyFont="1" applyBorder="1">
      <alignment vertical="center"/>
    </xf>
    <xf numFmtId="0" fontId="23" fillId="0" borderId="31" xfId="2" applyFont="1" applyBorder="1">
      <alignment vertical="center"/>
    </xf>
    <xf numFmtId="0" fontId="13" fillId="0" borderId="39" xfId="2" applyFont="1" applyBorder="1" applyAlignment="1">
      <alignment horizontal="center" vertical="center" wrapText="1"/>
    </xf>
    <xf numFmtId="0" fontId="13" fillId="0" borderId="21" xfId="2" applyFont="1" applyBorder="1" applyAlignment="1">
      <alignment horizontal="center" vertical="center" wrapText="1"/>
    </xf>
    <xf numFmtId="0" fontId="13" fillId="41" borderId="43" xfId="2" applyFont="1" applyFill="1" applyBorder="1" applyAlignment="1">
      <alignment horizontal="center" vertical="center" wrapText="1"/>
    </xf>
    <xf numFmtId="0" fontId="13" fillId="41" borderId="50" xfId="2" applyFont="1" applyFill="1" applyBorder="1" applyAlignment="1">
      <alignment horizontal="center" vertical="center" wrapText="1"/>
    </xf>
    <xf numFmtId="0" fontId="13" fillId="41" borderId="8" xfId="2" applyFont="1" applyFill="1" applyBorder="1" applyAlignment="1">
      <alignment horizontal="center" vertical="center" wrapText="1"/>
    </xf>
    <xf numFmtId="0" fontId="13" fillId="35" borderId="9" xfId="2" applyFont="1" applyFill="1" applyBorder="1" applyAlignment="1">
      <alignment horizontal="center" vertical="center" wrapText="1"/>
    </xf>
    <xf numFmtId="1" fontId="25" fillId="0" borderId="9" xfId="2" applyNumberFormat="1" applyFont="1" applyBorder="1" applyAlignment="1">
      <alignment horizontal="center" vertical="center" wrapText="1"/>
    </xf>
    <xf numFmtId="1" fontId="24" fillId="11" borderId="57" xfId="2" applyNumberFormat="1" applyFont="1" applyFill="1" applyBorder="1" applyAlignment="1">
      <alignment horizontal="center" vertical="center"/>
    </xf>
    <xf numFmtId="1" fontId="24" fillId="11" borderId="27" xfId="2" applyNumberFormat="1" applyFont="1" applyFill="1" applyBorder="1" applyAlignment="1">
      <alignment horizontal="center" vertical="center"/>
    </xf>
    <xf numFmtId="1" fontId="24" fillId="11" borderId="58" xfId="2" applyNumberFormat="1" applyFont="1" applyFill="1" applyBorder="1" applyAlignment="1">
      <alignment horizontal="center" vertical="center"/>
    </xf>
    <xf numFmtId="0" fontId="13" fillId="11" borderId="66" xfId="2" applyFont="1" applyFill="1" applyBorder="1" applyAlignment="1">
      <alignment horizontal="center" vertical="center"/>
    </xf>
    <xf numFmtId="0" fontId="13" fillId="11" borderId="33" xfId="2" applyFont="1" applyFill="1" applyBorder="1" applyAlignment="1">
      <alignment horizontal="center" vertical="center"/>
    </xf>
    <xf numFmtId="0" fontId="13" fillId="11" borderId="67" xfId="2" applyFont="1" applyFill="1" applyBorder="1" applyAlignment="1">
      <alignment horizontal="center" vertical="center"/>
    </xf>
    <xf numFmtId="0" fontId="5" fillId="17" borderId="66" xfId="2" applyFont="1" applyFill="1" applyBorder="1" applyAlignment="1">
      <alignment horizontal="center" vertical="center"/>
    </xf>
    <xf numFmtId="0" fontId="5" fillId="17" borderId="33" xfId="2" applyFont="1" applyFill="1" applyBorder="1" applyAlignment="1">
      <alignment horizontal="center" vertical="center"/>
    </xf>
    <xf numFmtId="0" fontId="5" fillId="17" borderId="67" xfId="2" applyFont="1" applyFill="1" applyBorder="1" applyAlignment="1">
      <alignment horizontal="center" vertical="center"/>
    </xf>
    <xf numFmtId="0" fontId="23" fillId="0" borderId="1" xfId="2" applyFont="1" applyBorder="1" applyAlignment="1">
      <alignment horizontal="center" vertical="center"/>
    </xf>
    <xf numFmtId="0" fontId="23" fillId="0" borderId="26" xfId="2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3" fillId="0" borderId="0" xfId="2" applyFont="1" applyAlignment="1">
      <alignment horizontal="center" vertical="center"/>
    </xf>
    <xf numFmtId="0" fontId="24" fillId="0" borderId="25" xfId="0" applyFont="1" applyBorder="1" applyAlignment="1">
      <alignment horizontal="center" vertical="center"/>
    </xf>
    <xf numFmtId="0" fontId="13" fillId="17" borderId="9" xfId="2" applyFont="1" applyFill="1" applyBorder="1" applyAlignment="1">
      <alignment horizontal="center" vertical="center" wrapText="1"/>
    </xf>
    <xf numFmtId="0" fontId="13" fillId="42" borderId="41" xfId="2" applyFont="1" applyFill="1" applyBorder="1" applyAlignment="1">
      <alignment horizontal="left" vertical="center" wrapText="1"/>
    </xf>
    <xf numFmtId="0" fontId="13" fillId="42" borderId="8" xfId="2" applyFont="1" applyFill="1" applyBorder="1" applyAlignment="1">
      <alignment horizontal="left" vertical="center" wrapText="1"/>
    </xf>
    <xf numFmtId="1" fontId="23" fillId="0" borderId="50" xfId="2" applyNumberFormat="1" applyFont="1" applyBorder="1" applyAlignment="1">
      <alignment horizontal="center" vertical="center" wrapText="1"/>
    </xf>
    <xf numFmtId="1" fontId="23" fillId="0" borderId="52" xfId="2" applyNumberFormat="1" applyFont="1" applyBorder="1" applyAlignment="1">
      <alignment horizontal="center" vertical="center" wrapText="1"/>
    </xf>
    <xf numFmtId="1" fontId="13" fillId="0" borderId="57" xfId="2" applyNumberFormat="1" applyFont="1" applyBorder="1" applyAlignment="1">
      <alignment horizontal="center" vertical="center"/>
    </xf>
    <xf numFmtId="1" fontId="13" fillId="0" borderId="27" xfId="2" applyNumberFormat="1" applyFont="1" applyBorder="1" applyAlignment="1">
      <alignment horizontal="center" vertical="center"/>
    </xf>
    <xf numFmtId="1" fontId="13" fillId="0" borderId="58" xfId="2" applyNumberFormat="1" applyFont="1" applyBorder="1" applyAlignment="1">
      <alignment horizontal="center" vertical="center"/>
    </xf>
    <xf numFmtId="0" fontId="13" fillId="8" borderId="29" xfId="2" applyFont="1" applyFill="1" applyBorder="1">
      <alignment vertical="center"/>
    </xf>
    <xf numFmtId="0" fontId="13" fillId="8" borderId="27" xfId="2" applyFont="1" applyFill="1" applyBorder="1">
      <alignment vertical="center"/>
    </xf>
    <xf numFmtId="0" fontId="13" fillId="8" borderId="28" xfId="2" applyFont="1" applyFill="1" applyBorder="1">
      <alignment vertical="center"/>
    </xf>
    <xf numFmtId="1" fontId="25" fillId="0" borderId="8" xfId="2" applyNumberFormat="1" applyFont="1" applyBorder="1" applyAlignment="1">
      <alignment horizontal="center" vertical="center" wrapText="1"/>
    </xf>
    <xf numFmtId="1" fontId="25" fillId="0" borderId="50" xfId="2" applyNumberFormat="1" applyFont="1" applyBorder="1" applyAlignment="1">
      <alignment horizontal="center" vertical="center" wrapText="1"/>
    </xf>
    <xf numFmtId="0" fontId="13" fillId="2" borderId="42" xfId="2" applyFont="1" applyFill="1" applyBorder="1" applyAlignment="1">
      <alignment horizontal="left" vertical="center" wrapText="1"/>
    </xf>
    <xf numFmtId="0" fontId="13" fillId="2" borderId="9" xfId="2" applyFont="1" applyFill="1" applyBorder="1" applyAlignment="1">
      <alignment horizontal="left" vertical="center" wrapText="1"/>
    </xf>
    <xf numFmtId="0" fontId="13" fillId="0" borderId="42" xfId="2" applyFont="1" applyBorder="1" applyAlignment="1">
      <alignment horizontal="center" vertical="center"/>
    </xf>
    <xf numFmtId="0" fontId="13" fillId="0" borderId="43" xfId="2" applyFont="1" applyBorder="1" applyAlignment="1">
      <alignment horizontal="left" vertical="center"/>
    </xf>
    <xf numFmtId="0" fontId="13" fillId="42" borderId="104" xfId="2" applyFont="1" applyFill="1" applyBorder="1" applyAlignment="1">
      <alignment horizontal="left" vertical="center" wrapText="1"/>
    </xf>
    <xf numFmtId="0" fontId="13" fillId="42" borderId="101" xfId="2" applyFont="1" applyFill="1" applyBorder="1" applyAlignment="1">
      <alignment horizontal="left" vertical="center" wrapText="1"/>
    </xf>
    <xf numFmtId="1" fontId="23" fillId="0" borderId="100" xfId="2" applyNumberFormat="1" applyFont="1" applyBorder="1" applyAlignment="1">
      <alignment horizontal="center" vertical="center" wrapText="1"/>
    </xf>
    <xf numFmtId="1" fontId="23" fillId="0" borderId="16" xfId="2" applyNumberFormat="1" applyFont="1" applyBorder="1" applyAlignment="1">
      <alignment horizontal="center" vertical="center" wrapText="1"/>
    </xf>
    <xf numFmtId="0" fontId="13" fillId="42" borderId="105" xfId="2" applyFont="1" applyFill="1" applyBorder="1" applyAlignment="1">
      <alignment horizontal="left" vertical="center" wrapText="1"/>
    </xf>
    <xf numFmtId="0" fontId="13" fillId="42" borderId="103" xfId="2" applyFont="1" applyFill="1" applyBorder="1" applyAlignment="1">
      <alignment horizontal="left" vertical="center" wrapText="1"/>
    </xf>
    <xf numFmtId="1" fontId="13" fillId="8" borderId="102" xfId="2" applyNumberFormat="1" applyFont="1" applyFill="1" applyBorder="1" applyAlignment="1">
      <alignment horizontal="center" vertical="center" wrapText="1"/>
    </xf>
    <xf numFmtId="1" fontId="13" fillId="8" borderId="103" xfId="2" applyNumberFormat="1" applyFont="1" applyFill="1" applyBorder="1" applyAlignment="1">
      <alignment horizontal="center" vertical="center" wrapText="1"/>
    </xf>
    <xf numFmtId="1" fontId="23" fillId="8" borderId="100" xfId="2" applyNumberFormat="1" applyFont="1" applyFill="1" applyBorder="1" applyAlignment="1">
      <alignment horizontal="center" vertical="center" wrapText="1"/>
    </xf>
    <xf numFmtId="1" fontId="23" fillId="8" borderId="16" xfId="2" applyNumberFormat="1" applyFont="1" applyFill="1" applyBorder="1" applyAlignment="1">
      <alignment horizontal="center" vertical="center" wrapText="1"/>
    </xf>
    <xf numFmtId="0" fontId="24" fillId="0" borderId="0" xfId="0" applyFont="1">
      <alignment vertical="center"/>
    </xf>
    <xf numFmtId="0" fontId="23" fillId="0" borderId="1" xfId="2" applyFont="1" applyBorder="1">
      <alignment vertical="center"/>
    </xf>
    <xf numFmtId="0" fontId="24" fillId="0" borderId="23" xfId="0" applyFont="1" applyBorder="1">
      <alignment vertical="center"/>
    </xf>
    <xf numFmtId="0" fontId="23" fillId="8" borderId="38" xfId="2" applyFont="1" applyFill="1" applyBorder="1" applyAlignment="1">
      <alignment horizontal="center" vertical="center" wrapText="1"/>
    </xf>
    <xf numFmtId="0" fontId="23" fillId="8" borderId="47" xfId="2" applyFont="1" applyFill="1" applyBorder="1" applyAlignment="1">
      <alignment horizontal="center" vertical="center" wrapText="1"/>
    </xf>
    <xf numFmtId="0" fontId="13" fillId="0" borderId="0" xfId="2" applyFont="1" applyAlignment="1">
      <alignment horizontal="center" vertical="center" wrapText="1"/>
    </xf>
    <xf numFmtId="0" fontId="52" fillId="8" borderId="24" xfId="2" applyFont="1" applyFill="1" applyBorder="1" applyAlignment="1">
      <alignment horizontal="center" vertical="center"/>
    </xf>
    <xf numFmtId="0" fontId="52" fillId="8" borderId="25" xfId="2" applyFont="1" applyFill="1" applyBorder="1" applyAlignment="1">
      <alignment horizontal="center" vertical="center"/>
    </xf>
    <xf numFmtId="0" fontId="52" fillId="8" borderId="28" xfId="2" applyFont="1" applyFill="1" applyBorder="1" applyAlignment="1">
      <alignment horizontal="center" vertical="center"/>
    </xf>
    <xf numFmtId="0" fontId="23" fillId="0" borderId="27" xfId="2" applyFont="1" applyBorder="1" applyAlignment="1">
      <alignment horizontal="center" vertical="center"/>
    </xf>
    <xf numFmtId="0" fontId="13" fillId="8" borderId="26" xfId="2" applyFont="1" applyFill="1" applyBorder="1">
      <alignment vertical="center"/>
    </xf>
    <xf numFmtId="0" fontId="23" fillId="35" borderId="9" xfId="2" applyFont="1" applyFill="1" applyBorder="1" applyAlignment="1">
      <alignment horizontal="center" vertical="center"/>
    </xf>
    <xf numFmtId="1" fontId="24" fillId="8" borderId="19" xfId="2" applyNumberFormat="1" applyFont="1" applyFill="1" applyBorder="1" applyAlignment="1">
      <alignment horizontal="center" vertical="center" wrapText="1"/>
    </xf>
    <xf numFmtId="1" fontId="24" fillId="8" borderId="0" xfId="2" applyNumberFormat="1" applyFont="1" applyFill="1" applyAlignment="1">
      <alignment horizontal="center" vertical="center" wrapText="1"/>
    </xf>
    <xf numFmtId="1" fontId="24" fillId="8" borderId="21" xfId="2" applyNumberFormat="1" applyFont="1" applyFill="1" applyBorder="1" applyAlignment="1">
      <alignment horizontal="center" vertical="center" wrapText="1"/>
    </xf>
    <xf numFmtId="1" fontId="24" fillId="8" borderId="14" xfId="2" applyNumberFormat="1" applyFont="1" applyFill="1" applyBorder="1" applyAlignment="1">
      <alignment horizontal="center" vertical="center" wrapText="1"/>
    </xf>
    <xf numFmtId="1" fontId="24" fillId="17" borderId="17" xfId="2" applyNumberFormat="1" applyFont="1" applyFill="1" applyBorder="1" applyAlignment="1">
      <alignment horizontal="right" vertical="center" wrapText="1"/>
    </xf>
    <xf numFmtId="1" fontId="24" fillId="17" borderId="18" xfId="2" applyNumberFormat="1" applyFont="1" applyFill="1" applyBorder="1" applyAlignment="1">
      <alignment horizontal="right" vertical="center" wrapText="1"/>
    </xf>
    <xf numFmtId="1" fontId="25" fillId="0" borderId="45" xfId="2" applyNumberFormat="1" applyFont="1" applyBorder="1" applyAlignment="1">
      <alignment horizontal="center" vertical="center" wrapText="1"/>
    </xf>
    <xf numFmtId="0" fontId="13" fillId="0" borderId="30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1" fontId="23" fillId="8" borderId="21" xfId="2" applyNumberFormat="1" applyFont="1" applyFill="1" applyBorder="1" applyAlignment="1">
      <alignment horizontal="center" vertical="center" wrapText="1"/>
    </xf>
    <xf numFmtId="1" fontId="25" fillId="8" borderId="40" xfId="2" applyNumberFormat="1" applyFont="1" applyFill="1" applyBorder="1" applyAlignment="1">
      <alignment horizontal="center" vertical="center" wrapText="1"/>
    </xf>
    <xf numFmtId="1" fontId="25" fillId="8" borderId="21" xfId="2" applyNumberFormat="1" applyFont="1" applyFill="1" applyBorder="1" applyAlignment="1">
      <alignment horizontal="center" vertical="center" wrapText="1"/>
    </xf>
    <xf numFmtId="0" fontId="116" fillId="0" borderId="41" xfId="2" applyFont="1" applyBorder="1" applyAlignment="1">
      <alignment horizontal="center" vertical="center" wrapText="1"/>
    </xf>
    <xf numFmtId="0" fontId="116" fillId="0" borderId="50" xfId="2" applyFont="1" applyBorder="1" applyAlignment="1">
      <alignment horizontal="center" vertical="center" wrapText="1"/>
    </xf>
    <xf numFmtId="0" fontId="5" fillId="17" borderId="57" xfId="2" applyFont="1" applyFill="1" applyBorder="1" applyAlignment="1">
      <alignment horizontal="center" vertical="center" wrapText="1"/>
    </xf>
    <xf numFmtId="0" fontId="5" fillId="17" borderId="27" xfId="2" applyFont="1" applyFill="1" applyBorder="1" applyAlignment="1">
      <alignment horizontal="center" vertical="center" wrapText="1"/>
    </xf>
    <xf numFmtId="0" fontId="5" fillId="17" borderId="58" xfId="2" applyFont="1" applyFill="1" applyBorder="1" applyAlignment="1">
      <alignment horizontal="center" vertical="center" wrapText="1"/>
    </xf>
    <xf numFmtId="1" fontId="13" fillId="0" borderId="102" xfId="2" applyNumberFormat="1" applyFont="1" applyBorder="1" applyAlignment="1">
      <alignment horizontal="center" vertical="center" wrapText="1"/>
    </xf>
    <xf numFmtId="1" fontId="13" fillId="0" borderId="103" xfId="2" applyNumberFormat="1" applyFont="1" applyBorder="1" applyAlignment="1">
      <alignment horizontal="center" vertical="center" wrapText="1"/>
    </xf>
    <xf numFmtId="0" fontId="13" fillId="0" borderId="41" xfId="2" applyFont="1" applyBorder="1" applyAlignment="1">
      <alignment horizontal="center" vertical="center" wrapText="1"/>
    </xf>
    <xf numFmtId="0" fontId="13" fillId="0" borderId="52" xfId="2" applyFont="1" applyBorder="1" applyAlignment="1">
      <alignment horizontal="left" vertical="center"/>
    </xf>
    <xf numFmtId="1" fontId="13" fillId="17" borderId="9" xfId="2" applyNumberFormat="1" applyFont="1" applyFill="1" applyBorder="1" applyAlignment="1">
      <alignment horizontal="center" vertical="center" wrapText="1"/>
    </xf>
    <xf numFmtId="0" fontId="13" fillId="42" borderId="9" xfId="2" applyFont="1" applyFill="1" applyBorder="1" applyAlignment="1">
      <alignment horizontal="left" vertical="center" wrapText="1"/>
    </xf>
    <xf numFmtId="0" fontId="13" fillId="0" borderId="106" xfId="0" applyFont="1" applyBorder="1" applyAlignment="1">
      <alignment horizontal="left" vertical="center"/>
    </xf>
    <xf numFmtId="0" fontId="13" fillId="0" borderId="96" xfId="0" applyFont="1" applyBorder="1" applyAlignment="1">
      <alignment horizontal="left" vertical="center"/>
    </xf>
    <xf numFmtId="0" fontId="13" fillId="0" borderId="97" xfId="0" applyFont="1" applyBorder="1" applyAlignment="1">
      <alignment horizontal="left" vertical="center"/>
    </xf>
    <xf numFmtId="0" fontId="146" fillId="0" borderId="43" xfId="20" applyFont="1" applyBorder="1" applyAlignment="1">
      <alignment horizontal="center"/>
    </xf>
    <xf numFmtId="0" fontId="138" fillId="0" borderId="50" xfId="20" applyBorder="1" applyAlignment="1">
      <alignment horizontal="center"/>
    </xf>
    <xf numFmtId="0" fontId="138" fillId="0" borderId="8" xfId="20" applyBorder="1" applyAlignment="1">
      <alignment horizontal="center"/>
    </xf>
    <xf numFmtId="0" fontId="138" fillId="0" borderId="0" xfId="20" applyAlignment="1">
      <alignment horizontal="center"/>
    </xf>
    <xf numFmtId="0" fontId="146" fillId="0" borderId="0" xfId="20" applyFont="1" applyAlignment="1">
      <alignment horizontal="center"/>
    </xf>
    <xf numFmtId="0" fontId="138" fillId="0" borderId="9" xfId="20" applyBorder="1" applyAlignment="1">
      <alignment horizontal="center" wrapText="1"/>
    </xf>
    <xf numFmtId="0" fontId="146" fillId="0" borderId="0" xfId="20" applyFont="1" applyAlignment="1">
      <alignment horizontal="left"/>
    </xf>
    <xf numFmtId="0" fontId="183" fillId="0" borderId="43" xfId="20" applyFont="1" applyBorder="1" applyAlignment="1">
      <alignment horizontal="center"/>
    </xf>
    <xf numFmtId="0" fontId="183" fillId="0" borderId="8" xfId="20" applyFont="1" applyBorder="1" applyAlignment="1">
      <alignment horizontal="center"/>
    </xf>
    <xf numFmtId="0" fontId="158" fillId="0" borderId="0" xfId="20" applyFont="1" applyAlignment="1">
      <alignment horizontal="left"/>
    </xf>
    <xf numFmtId="0" fontId="146" fillId="0" borderId="14" xfId="20" applyFont="1" applyBorder="1" applyAlignment="1">
      <alignment horizontal="center"/>
    </xf>
    <xf numFmtId="0" fontId="138" fillId="0" borderId="43" xfId="20" applyBorder="1" applyAlignment="1">
      <alignment horizontal="left"/>
    </xf>
    <xf numFmtId="0" fontId="138" fillId="0" borderId="50" xfId="20" applyBorder="1" applyAlignment="1">
      <alignment horizontal="left"/>
    </xf>
    <xf numFmtId="0" fontId="138" fillId="0" borderId="8" xfId="20" applyBorder="1" applyAlignment="1">
      <alignment horizontal="left"/>
    </xf>
    <xf numFmtId="0" fontId="146" fillId="0" borderId="50" xfId="20" applyFont="1" applyBorder="1" applyAlignment="1">
      <alignment horizontal="center"/>
    </xf>
    <xf numFmtId="0" fontId="183" fillId="0" borderId="0" xfId="20" applyFont="1" applyAlignment="1">
      <alignment horizontal="left"/>
    </xf>
    <xf numFmtId="0" fontId="196" fillId="0" borderId="0" xfId="20" applyFont="1" applyAlignment="1">
      <alignment horizontal="left"/>
    </xf>
    <xf numFmtId="0" fontId="138" fillId="0" borderId="0" xfId="20" applyAlignment="1">
      <alignment horizontal="right"/>
    </xf>
    <xf numFmtId="0" fontId="138" fillId="0" borderId="9" xfId="20" applyBorder="1" applyAlignment="1">
      <alignment horizontal="center"/>
    </xf>
    <xf numFmtId="0" fontId="138" fillId="0" borderId="0" xfId="20" applyAlignment="1">
      <alignment horizontal="left"/>
    </xf>
    <xf numFmtId="0" fontId="138" fillId="0" borderId="0" xfId="20" applyAlignment="1">
      <alignment horizontal="left" vertical="top" wrapText="1"/>
    </xf>
    <xf numFmtId="0" fontId="158" fillId="0" borderId="0" xfId="20" applyFont="1" applyAlignment="1">
      <alignment horizontal="center"/>
    </xf>
    <xf numFmtId="0" fontId="146" fillId="0" borderId="9" xfId="20" applyFont="1" applyBorder="1" applyAlignment="1">
      <alignment horizontal="center"/>
    </xf>
    <xf numFmtId="0" fontId="197" fillId="0" borderId="19" xfId="20" applyFont="1" applyBorder="1" applyAlignment="1">
      <alignment horizontal="center"/>
    </xf>
    <xf numFmtId="0" fontId="197" fillId="0" borderId="0" xfId="20" applyFont="1" applyAlignment="1">
      <alignment horizontal="center"/>
    </xf>
    <xf numFmtId="0" fontId="197" fillId="0" borderId="20" xfId="20" applyFont="1" applyBorder="1" applyAlignment="1">
      <alignment horizontal="center"/>
    </xf>
    <xf numFmtId="0" fontId="199" fillId="0" borderId="19" xfId="20" applyFont="1" applyBorder="1" applyAlignment="1">
      <alignment horizontal="center"/>
    </xf>
    <xf numFmtId="0" fontId="199" fillId="0" borderId="0" xfId="20" applyFont="1" applyAlignment="1">
      <alignment horizontal="center"/>
    </xf>
    <xf numFmtId="0" fontId="199" fillId="0" borderId="20" xfId="20" applyFont="1" applyBorder="1" applyAlignment="1">
      <alignment horizontal="center"/>
    </xf>
    <xf numFmtId="0" fontId="198" fillId="0" borderId="19" xfId="20" applyFont="1" applyBorder="1" applyAlignment="1">
      <alignment horizontal="center"/>
    </xf>
    <xf numFmtId="0" fontId="198" fillId="0" borderId="0" xfId="20" applyFont="1" applyAlignment="1">
      <alignment horizontal="center"/>
    </xf>
    <xf numFmtId="0" fontId="198" fillId="0" borderId="20" xfId="20" applyFont="1" applyBorder="1" applyAlignment="1">
      <alignment horizontal="center"/>
    </xf>
    <xf numFmtId="0" fontId="200" fillId="0" borderId="19" xfId="20" applyFont="1" applyBorder="1" applyAlignment="1">
      <alignment horizontal="center"/>
    </xf>
    <xf numFmtId="0" fontId="200" fillId="0" borderId="0" xfId="20" applyFont="1" applyAlignment="1">
      <alignment horizontal="center"/>
    </xf>
    <xf numFmtId="0" fontId="200" fillId="0" borderId="20" xfId="20" applyFont="1" applyBorder="1" applyAlignment="1">
      <alignment horizontal="center"/>
    </xf>
    <xf numFmtId="0" fontId="158" fillId="0" borderId="1" xfId="24" applyFont="1" applyBorder="1" applyAlignment="1">
      <alignment horizontal="left" vertical="center"/>
    </xf>
    <xf numFmtId="0" fontId="158" fillId="0" borderId="26" xfId="24" applyFont="1" applyBorder="1" applyAlignment="1">
      <alignment horizontal="left" vertical="center"/>
    </xf>
    <xf numFmtId="0" fontId="211" fillId="12" borderId="30" xfId="24" applyFont="1" applyFill="1" applyBorder="1" applyAlignment="1">
      <alignment horizontal="center" vertical="center"/>
    </xf>
    <xf numFmtId="0" fontId="211" fillId="12" borderId="31" xfId="24" applyFont="1" applyFill="1" applyBorder="1" applyAlignment="1">
      <alignment horizontal="center" vertical="center"/>
    </xf>
    <xf numFmtId="0" fontId="211" fillId="12" borderId="32" xfId="24" applyFont="1" applyFill="1" applyBorder="1" applyAlignment="1">
      <alignment horizontal="center" vertical="center"/>
    </xf>
    <xf numFmtId="0" fontId="211" fillId="49" borderId="30" xfId="24" applyFont="1" applyFill="1" applyBorder="1" applyAlignment="1">
      <alignment horizontal="center"/>
    </xf>
    <xf numFmtId="0" fontId="211" fillId="49" borderId="31" xfId="24" applyFont="1" applyFill="1" applyBorder="1" applyAlignment="1">
      <alignment horizontal="center"/>
    </xf>
    <xf numFmtId="0" fontId="211" fillId="49" borderId="32" xfId="24" applyFont="1" applyFill="1" applyBorder="1" applyAlignment="1">
      <alignment horizontal="center"/>
    </xf>
    <xf numFmtId="0" fontId="178" fillId="0" borderId="26" xfId="24" applyBorder="1" applyAlignment="1">
      <alignment horizontal="center"/>
    </xf>
    <xf numFmtId="0" fontId="178" fillId="0" borderId="0" xfId="24" applyAlignment="1">
      <alignment horizontal="center"/>
    </xf>
    <xf numFmtId="0" fontId="158" fillId="0" borderId="24" xfId="24" applyFont="1" applyBorder="1" applyAlignment="1">
      <alignment horizontal="left" vertical="center"/>
    </xf>
    <xf numFmtId="0" fontId="178" fillId="0" borderId="26" xfId="24" applyBorder="1" applyAlignment="1">
      <alignment horizontal="center" vertical="center"/>
    </xf>
    <xf numFmtId="0" fontId="178" fillId="0" borderId="23" xfId="24" applyBorder="1" applyAlignment="1">
      <alignment horizontal="center" vertical="center"/>
    </xf>
    <xf numFmtId="0" fontId="178" fillId="0" borderId="25" xfId="24" applyBorder="1" applyAlignment="1">
      <alignment horizontal="center" vertical="center"/>
    </xf>
    <xf numFmtId="0" fontId="178" fillId="0" borderId="26" xfId="24" applyBorder="1" applyAlignment="1">
      <alignment horizontal="left" vertical="center"/>
    </xf>
    <xf numFmtId="0" fontId="178" fillId="0" borderId="0" xfId="24" applyAlignment="1">
      <alignment horizontal="left" vertical="center"/>
    </xf>
    <xf numFmtId="0" fontId="178" fillId="0" borderId="0" xfId="24" applyAlignment="1">
      <alignment horizontal="center" vertical="center"/>
    </xf>
    <xf numFmtId="167" fontId="178" fillId="0" borderId="2" xfId="24" applyNumberFormat="1" applyBorder="1" applyAlignment="1">
      <alignment horizontal="center" vertical="center"/>
    </xf>
    <xf numFmtId="167" fontId="178" fillId="0" borderId="34" xfId="24" applyNumberFormat="1" applyBorder="1" applyAlignment="1">
      <alignment horizontal="center" vertical="center"/>
    </xf>
    <xf numFmtId="178" fontId="178" fillId="0" borderId="2" xfId="24" applyNumberFormat="1" applyBorder="1" applyAlignment="1">
      <alignment horizontal="center" vertical="center"/>
    </xf>
    <xf numFmtId="178" fontId="178" fillId="0" borderId="34" xfId="24" applyNumberFormat="1" applyBorder="1" applyAlignment="1">
      <alignment horizontal="center" vertical="center"/>
    </xf>
    <xf numFmtId="2" fontId="178" fillId="0" borderId="29" xfId="24" applyNumberFormat="1" applyBorder="1" applyAlignment="1">
      <alignment horizontal="center" vertical="center"/>
    </xf>
    <xf numFmtId="2" fontId="178" fillId="0" borderId="28" xfId="24" applyNumberFormat="1" applyBorder="1" applyAlignment="1">
      <alignment horizontal="center" vertical="center"/>
    </xf>
    <xf numFmtId="0" fontId="178" fillId="0" borderId="29" xfId="24" applyBorder="1" applyAlignment="1">
      <alignment horizontal="center" vertical="center"/>
    </xf>
    <xf numFmtId="0" fontId="178" fillId="0" borderId="28" xfId="24" applyBorder="1" applyAlignment="1">
      <alignment horizontal="center" vertical="center"/>
    </xf>
    <xf numFmtId="0" fontId="221" fillId="0" borderId="30" xfId="20" applyFont="1" applyBorder="1" applyAlignment="1">
      <alignment horizontal="left" vertical="center" wrapText="1"/>
    </xf>
    <xf numFmtId="0" fontId="221" fillId="0" borderId="31" xfId="20" applyFont="1" applyBorder="1" applyAlignment="1">
      <alignment horizontal="left" vertical="center" wrapText="1"/>
    </xf>
    <xf numFmtId="0" fontId="221" fillId="0" borderId="32" xfId="20" applyFont="1" applyBorder="1" applyAlignment="1">
      <alignment horizontal="left" vertical="center" wrapText="1"/>
    </xf>
    <xf numFmtId="1" fontId="178" fillId="0" borderId="0" xfId="24" applyNumberFormat="1" applyAlignment="1">
      <alignment horizontal="center" vertical="center"/>
    </xf>
    <xf numFmtId="0" fontId="183" fillId="0" borderId="9" xfId="22" applyFont="1" applyBorder="1" applyAlignment="1">
      <alignment horizontal="center" vertical="center" wrapText="1"/>
    </xf>
    <xf numFmtId="0" fontId="158" fillId="0" borderId="9" xfId="22" applyFont="1" applyBorder="1" applyAlignment="1">
      <alignment horizontal="center"/>
    </xf>
    <xf numFmtId="0" fontId="158" fillId="0" borderId="9" xfId="22" applyFont="1" applyBorder="1" applyAlignment="1">
      <alignment horizontal="left"/>
    </xf>
    <xf numFmtId="0" fontId="158" fillId="0" borderId="43" xfId="22" applyFont="1" applyBorder="1" applyAlignment="1">
      <alignment horizontal="center"/>
    </xf>
    <xf numFmtId="0" fontId="158" fillId="0" borderId="50" xfId="22" applyFont="1" applyBorder="1" applyAlignment="1">
      <alignment horizontal="center"/>
    </xf>
    <xf numFmtId="0" fontId="158" fillId="0" borderId="8" xfId="22" applyFont="1" applyBorder="1" applyAlignment="1">
      <alignment horizontal="center"/>
    </xf>
    <xf numFmtId="0" fontId="178" fillId="0" borderId="9" xfId="22" applyBorder="1" applyAlignment="1">
      <alignment horizontal="center"/>
    </xf>
    <xf numFmtId="0" fontId="158" fillId="54" borderId="9" xfId="22" applyFont="1" applyFill="1" applyBorder="1" applyAlignment="1">
      <alignment horizontal="center"/>
    </xf>
    <xf numFmtId="0" fontId="178" fillId="0" borderId="9" xfId="22" applyBorder="1" applyAlignment="1">
      <alignment horizontal="left" wrapText="1"/>
    </xf>
    <xf numFmtId="0" fontId="183" fillId="0" borderId="15" xfId="22" applyFont="1" applyBorder="1" applyAlignment="1">
      <alignment horizontal="left" wrapText="1"/>
    </xf>
    <xf numFmtId="0" fontId="183" fillId="0" borderId="0" xfId="22" applyFont="1" applyAlignment="1">
      <alignment horizontal="left" wrapText="1"/>
    </xf>
    <xf numFmtId="0" fontId="178" fillId="9" borderId="9" xfId="22" applyFill="1" applyBorder="1" applyAlignment="1">
      <alignment horizontal="center" wrapText="1"/>
    </xf>
    <xf numFmtId="0" fontId="146" fillId="0" borderId="0" xfId="22" applyFont="1" applyAlignment="1">
      <alignment horizontal="left"/>
    </xf>
    <xf numFmtId="0" fontId="183" fillId="0" borderId="43" xfId="22" applyFont="1" applyBorder="1" applyAlignment="1">
      <alignment horizontal="center"/>
    </xf>
    <xf numFmtId="0" fontId="183" fillId="0" borderId="8" xfId="22" applyFont="1" applyBorder="1" applyAlignment="1">
      <alignment horizontal="center"/>
    </xf>
    <xf numFmtId="0" fontId="183" fillId="8" borderId="9" xfId="22" applyFont="1" applyFill="1" applyBorder="1" applyAlignment="1">
      <alignment horizontal="center"/>
    </xf>
    <xf numFmtId="0" fontId="146" fillId="0" borderId="0" xfId="22" applyFont="1" applyAlignment="1">
      <alignment horizontal="center"/>
    </xf>
    <xf numFmtId="0" fontId="146" fillId="0" borderId="20" xfId="22" applyFont="1" applyBorder="1" applyAlignment="1">
      <alignment horizontal="center"/>
    </xf>
    <xf numFmtId="0" fontId="158" fillId="53" borderId="9" xfId="22" applyFont="1" applyFill="1" applyBorder="1" applyAlignment="1">
      <alignment horizontal="center"/>
    </xf>
    <xf numFmtId="0" fontId="178" fillId="0" borderId="0" xfId="22" applyAlignment="1">
      <alignment horizontal="left" wrapText="1"/>
    </xf>
    <xf numFmtId="0" fontId="178" fillId="0" borderId="19" xfId="22" applyBorder="1" applyAlignment="1">
      <alignment horizontal="left" wrapText="1"/>
    </xf>
    <xf numFmtId="0" fontId="158" fillId="0" borderId="0" xfId="22" applyFont="1" applyAlignment="1">
      <alignment horizontal="center"/>
    </xf>
    <xf numFmtId="0" fontId="178" fillId="0" borderId="14" xfId="22" applyBorder="1" applyAlignment="1">
      <alignment horizontal="center"/>
    </xf>
    <xf numFmtId="0" fontId="178" fillId="47" borderId="43" xfId="22" applyFill="1" applyBorder="1" applyAlignment="1"/>
    <xf numFmtId="0" fontId="178" fillId="47" borderId="8" xfId="22" applyFill="1" applyBorder="1" applyAlignment="1"/>
    <xf numFmtId="0" fontId="178" fillId="0" borderId="17" xfId="22" applyBorder="1" applyAlignment="1">
      <alignment horizontal="left" wrapText="1"/>
    </xf>
    <xf numFmtId="0" fontId="178" fillId="0" borderId="18" xfId="22" applyBorder="1" applyAlignment="1">
      <alignment horizontal="left" wrapText="1"/>
    </xf>
    <xf numFmtId="0" fontId="178" fillId="0" borderId="21" xfId="22" applyBorder="1" applyAlignment="1">
      <alignment horizontal="left" wrapText="1"/>
    </xf>
    <xf numFmtId="0" fontId="178" fillId="0" borderId="22" xfId="22" applyBorder="1" applyAlignment="1">
      <alignment horizontal="left" wrapText="1"/>
    </xf>
    <xf numFmtId="178" fontId="183" fillId="0" borderId="9" xfId="22" applyNumberFormat="1" applyFont="1" applyBorder="1" applyAlignment="1">
      <alignment horizontal="center"/>
    </xf>
    <xf numFmtId="0" fontId="146" fillId="0" borderId="0" xfId="22" applyFont="1" applyAlignment="1">
      <alignment horizontal="center" vertical="center"/>
    </xf>
    <xf numFmtId="0" fontId="183" fillId="0" borderId="9" xfId="22" applyFont="1" applyBorder="1" applyAlignment="1">
      <alignment horizontal="center"/>
    </xf>
    <xf numFmtId="0" fontId="178" fillId="0" borderId="0" xfId="22" applyAlignment="1">
      <alignment horizontal="center"/>
    </xf>
    <xf numFmtId="0" fontId="146" fillId="0" borderId="0" xfId="22" applyFont="1" applyAlignment="1">
      <alignment horizontal="right"/>
    </xf>
    <xf numFmtId="0" fontId="178" fillId="0" borderId="45" xfId="22" applyBorder="1" applyAlignment="1">
      <alignment horizontal="center"/>
    </xf>
    <xf numFmtId="0" fontId="178" fillId="0" borderId="15" xfId="22" applyBorder="1" applyAlignment="1">
      <alignment horizontal="center"/>
    </xf>
    <xf numFmtId="0" fontId="146" fillId="0" borderId="19" xfId="20" applyFont="1" applyBorder="1" applyAlignment="1">
      <alignment horizontal="center"/>
    </xf>
    <xf numFmtId="0" fontId="146" fillId="0" borderId="43" xfId="20" applyFont="1" applyBorder="1" applyAlignment="1">
      <alignment horizontal="center" wrapText="1"/>
    </xf>
    <xf numFmtId="0" fontId="146" fillId="0" borderId="50" xfId="20" applyFont="1" applyBorder="1" applyAlignment="1">
      <alignment horizontal="center" wrapText="1"/>
    </xf>
    <xf numFmtId="0" fontId="146" fillId="0" borderId="8" xfId="20" applyFont="1" applyBorder="1" applyAlignment="1">
      <alignment horizontal="center" wrapText="1"/>
    </xf>
    <xf numFmtId="0" fontId="158" fillId="0" borderId="0" xfId="22" applyFont="1" applyAlignment="1">
      <alignment horizontal="right"/>
    </xf>
    <xf numFmtId="0" fontId="158" fillId="0" borderId="14" xfId="22" applyFont="1" applyBorder="1" applyAlignment="1">
      <alignment horizontal="right"/>
    </xf>
    <xf numFmtId="0" fontId="146" fillId="0" borderId="0" xfId="26" applyAlignment="1">
      <alignment horizontal="left"/>
    </xf>
    <xf numFmtId="0" fontId="146" fillId="0" borderId="9" xfId="26" applyBorder="1" applyAlignment="1">
      <alignment horizontal="center"/>
    </xf>
    <xf numFmtId="0" fontId="146" fillId="0" borderId="43" xfId="26" applyBorder="1" applyAlignment="1">
      <alignment horizontal="left"/>
    </xf>
    <xf numFmtId="0" fontId="146" fillId="0" borderId="50" xfId="26" applyBorder="1" applyAlignment="1">
      <alignment horizontal="left"/>
    </xf>
    <xf numFmtId="0" fontId="146" fillId="0" borderId="8" xfId="26" applyBorder="1" applyAlignment="1">
      <alignment horizontal="left"/>
    </xf>
    <xf numFmtId="0" fontId="146" fillId="0" borderId="43" xfId="26" applyBorder="1" applyAlignment="1">
      <alignment horizontal="center"/>
    </xf>
    <xf numFmtId="0" fontId="146" fillId="0" borderId="8" xfId="26" applyBorder="1" applyAlignment="1">
      <alignment horizontal="center"/>
    </xf>
    <xf numFmtId="0" fontId="146" fillId="0" borderId="0" xfId="26" applyAlignment="1">
      <alignment horizontal="left" wrapText="1"/>
    </xf>
    <xf numFmtId="0" fontId="146" fillId="0" borderId="0" xfId="26" applyAlignment="1">
      <alignment horizontal="center"/>
    </xf>
    <xf numFmtId="0" fontId="183" fillId="0" borderId="9" xfId="26" applyFont="1" applyBorder="1" applyAlignment="1">
      <alignment horizontal="center"/>
    </xf>
    <xf numFmtId="0" fontId="146" fillId="0" borderId="20" xfId="26" applyBorder="1" applyAlignment="1">
      <alignment horizontal="left"/>
    </xf>
    <xf numFmtId="0" fontId="146" fillId="0" borderId="20" xfId="26" applyBorder="1" applyAlignment="1">
      <alignment horizontal="center"/>
    </xf>
    <xf numFmtId="0" fontId="146" fillId="0" borderId="0" xfId="26" applyAlignment="1">
      <alignment horizontal="left" vertical="top" wrapText="1"/>
    </xf>
    <xf numFmtId="0" fontId="146" fillId="0" borderId="15" xfId="27" applyFont="1" applyBorder="1" applyAlignment="1">
      <alignment horizontal="center" vertical="center"/>
    </xf>
    <xf numFmtId="0" fontId="146" fillId="0" borderId="14" xfId="27" applyFont="1" applyBorder="1" applyAlignment="1">
      <alignment horizontal="center" vertical="center"/>
    </xf>
    <xf numFmtId="0" fontId="243" fillId="0" borderId="21" xfId="27" applyFont="1" applyBorder="1" applyAlignment="1">
      <alignment horizontal="center" vertical="top"/>
    </xf>
    <xf numFmtId="0" fontId="243" fillId="0" borderId="14" xfId="27" applyFont="1" applyBorder="1" applyAlignment="1">
      <alignment horizontal="center" vertical="top"/>
    </xf>
    <xf numFmtId="0" fontId="183" fillId="0" borderId="0" xfId="26" applyFont="1" applyAlignment="1">
      <alignment horizontal="center" vertical="center" wrapText="1"/>
    </xf>
    <xf numFmtId="0" fontId="146" fillId="0" borderId="43" xfId="27" applyFont="1" applyBorder="1" applyAlignment="1">
      <alignment horizontal="center"/>
    </xf>
    <xf numFmtId="0" fontId="146" fillId="0" borderId="50" xfId="27" applyFont="1" applyBorder="1" applyAlignment="1">
      <alignment horizontal="center"/>
    </xf>
    <xf numFmtId="0" fontId="243" fillId="0" borderId="15" xfId="27" applyFont="1" applyBorder="1" applyAlignment="1">
      <alignment horizontal="center" vertical="center"/>
    </xf>
    <xf numFmtId="0" fontId="243" fillId="0" borderId="14" xfId="27" applyFont="1" applyBorder="1" applyAlignment="1">
      <alignment horizontal="center" vertical="center"/>
    </xf>
    <xf numFmtId="1" fontId="183" fillId="0" borderId="43" xfId="28" applyFont="1" applyBorder="1" applyAlignment="1">
      <alignment horizontal="left"/>
    </xf>
    <xf numFmtId="1" fontId="183" fillId="0" borderId="8" xfId="28" applyFont="1" applyBorder="1" applyAlignment="1">
      <alignment horizontal="left"/>
    </xf>
    <xf numFmtId="1" fontId="183" fillId="0" borderId="17" xfId="28" applyFont="1" applyBorder="1" applyAlignment="1">
      <alignment horizontal="left"/>
    </xf>
    <xf numFmtId="1" fontId="183" fillId="0" borderId="18" xfId="28" applyFont="1" applyBorder="1" applyAlignment="1">
      <alignment horizontal="left"/>
    </xf>
    <xf numFmtId="1" fontId="183" fillId="0" borderId="21" xfId="28" applyFont="1" applyBorder="1" applyAlignment="1">
      <alignment horizontal="left"/>
    </xf>
    <xf numFmtId="1" fontId="183" fillId="0" borderId="22" xfId="28" applyFont="1" applyBorder="1" applyAlignment="1">
      <alignment horizontal="left"/>
    </xf>
    <xf numFmtId="0" fontId="138" fillId="0" borderId="19" xfId="20" quotePrefix="1" applyBorder="1" applyAlignment="1">
      <alignment horizontal="center"/>
    </xf>
    <xf numFmtId="0" fontId="138" fillId="0" borderId="20" xfId="20" applyBorder="1" applyAlignment="1">
      <alignment horizontal="center"/>
    </xf>
    <xf numFmtId="0" fontId="138" fillId="0" borderId="0" xfId="20" quotePrefix="1" applyAlignment="1">
      <alignment horizontal="center" vertical="center"/>
    </xf>
    <xf numFmtId="0" fontId="138" fillId="0" borderId="0" xfId="20" applyAlignment="1">
      <alignment horizontal="center" vertical="center"/>
    </xf>
    <xf numFmtId="0" fontId="178" fillId="0" borderId="19" xfId="29" applyBorder="1" applyAlignment="1">
      <alignment horizontal="center"/>
    </xf>
    <xf numFmtId="0" fontId="178" fillId="0" borderId="20" xfId="29" applyBorder="1" applyAlignment="1">
      <alignment horizontal="center"/>
    </xf>
    <xf numFmtId="0" fontId="246" fillId="0" borderId="43" xfId="29" applyFont="1" applyBorder="1" applyAlignment="1">
      <alignment horizontal="center" vertical="center"/>
    </xf>
    <xf numFmtId="0" fontId="246" fillId="0" borderId="50" xfId="29" applyFont="1" applyBorder="1" applyAlignment="1">
      <alignment horizontal="center" vertical="center"/>
    </xf>
    <xf numFmtId="0" fontId="246" fillId="0" borderId="8" xfId="29" applyFont="1" applyBorder="1" applyAlignment="1">
      <alignment horizontal="center" vertical="center"/>
    </xf>
    <xf numFmtId="0" fontId="178" fillId="0" borderId="46" xfId="29" applyBorder="1" applyAlignment="1">
      <alignment horizontal="center" vertical="center"/>
    </xf>
    <xf numFmtId="0" fontId="183" fillId="0" borderId="9" xfId="29" applyFont="1" applyBorder="1" applyAlignment="1">
      <alignment horizontal="center" vertical="center"/>
    </xf>
    <xf numFmtId="0" fontId="178" fillId="0" borderId="21" xfId="29" applyBorder="1" applyAlignment="1">
      <alignment horizontal="center"/>
    </xf>
    <xf numFmtId="0" fontId="178" fillId="0" borderId="22" xfId="29" applyBorder="1" applyAlignment="1">
      <alignment horizontal="center"/>
    </xf>
    <xf numFmtId="0" fontId="183" fillId="0" borderId="43" xfId="29" applyFont="1" applyBorder="1" applyAlignment="1">
      <alignment horizontal="center"/>
    </xf>
    <xf numFmtId="0" fontId="183" fillId="0" borderId="8" xfId="29" applyFont="1" applyBorder="1" applyAlignment="1">
      <alignment horizontal="center"/>
    </xf>
    <xf numFmtId="0" fontId="28" fillId="8" borderId="9" xfId="14" applyFont="1" applyFill="1" applyBorder="1" applyAlignment="1">
      <alignment horizontal="center" vertical="center" wrapText="1"/>
    </xf>
    <xf numFmtId="0" fontId="13" fillId="0" borderId="0" xfId="14" applyFont="1">
      <alignment vertical="center"/>
    </xf>
    <xf numFmtId="0" fontId="13" fillId="8" borderId="9" xfId="14" applyFont="1" applyFill="1" applyBorder="1">
      <alignment vertical="center"/>
    </xf>
    <xf numFmtId="0" fontId="23" fillId="8" borderId="75" xfId="14" applyFont="1" applyFill="1" applyBorder="1" applyAlignment="1">
      <alignment horizontal="center" vertical="center" wrapText="1"/>
    </xf>
    <xf numFmtId="0" fontId="23" fillId="8" borderId="76" xfId="14" applyFont="1" applyFill="1" applyBorder="1" applyAlignment="1">
      <alignment horizontal="center" vertical="center" wrapText="1"/>
    </xf>
    <xf numFmtId="0" fontId="23" fillId="8" borderId="42" xfId="14" applyFont="1" applyFill="1" applyBorder="1" applyAlignment="1">
      <alignment horizontal="center" vertical="center" wrapText="1"/>
    </xf>
    <xf numFmtId="0" fontId="23" fillId="8" borderId="43" xfId="14" applyFont="1" applyFill="1" applyBorder="1" applyAlignment="1">
      <alignment horizontal="center" vertical="center" wrapText="1"/>
    </xf>
    <xf numFmtId="0" fontId="23" fillId="8" borderId="72" xfId="14" applyFont="1" applyFill="1" applyBorder="1" applyAlignment="1">
      <alignment horizontal="center" vertical="center" wrapText="1"/>
    </xf>
    <xf numFmtId="0" fontId="23" fillId="8" borderId="59" xfId="14" applyFont="1" applyFill="1" applyBorder="1" applyAlignment="1">
      <alignment horizontal="center" vertical="center" wrapText="1"/>
    </xf>
    <xf numFmtId="0" fontId="23" fillId="19" borderId="9" xfId="16" applyFont="1" applyFill="1" applyBorder="1" applyAlignment="1">
      <alignment horizontal="center"/>
    </xf>
    <xf numFmtId="0" fontId="23" fillId="8" borderId="9" xfId="14" applyFont="1" applyFill="1" applyBorder="1" applyAlignment="1">
      <alignment wrapText="1"/>
    </xf>
    <xf numFmtId="0" fontId="28" fillId="8" borderId="0" xfId="12" applyFont="1" applyFill="1" applyAlignment="1">
      <alignment horizontal="center" vertical="center" wrapText="1"/>
    </xf>
    <xf numFmtId="0" fontId="69" fillId="8" borderId="73" xfId="14" applyFont="1" applyFill="1" applyBorder="1" applyAlignment="1">
      <alignment horizontal="center" vertical="center" wrapText="1"/>
    </xf>
    <xf numFmtId="0" fontId="69" fillId="8" borderId="62" xfId="14" applyFont="1" applyFill="1" applyBorder="1" applyAlignment="1">
      <alignment horizontal="center" vertical="center" wrapText="1"/>
    </xf>
    <xf numFmtId="0" fontId="13" fillId="19" borderId="35" xfId="14" applyFont="1" applyFill="1" applyBorder="1" applyAlignment="1">
      <alignment horizontal="center" vertical="center"/>
    </xf>
    <xf numFmtId="0" fontId="13" fillId="19" borderId="36" xfId="14" applyFont="1" applyFill="1" applyBorder="1" applyAlignment="1">
      <alignment horizontal="center" vertical="center"/>
    </xf>
    <xf numFmtId="0" fontId="42" fillId="8" borderId="35" xfId="17" applyFont="1" applyFill="1" applyBorder="1" applyAlignment="1" applyProtection="1">
      <alignment horizontal="center" vertical="center" wrapText="1"/>
    </xf>
    <xf numFmtId="0" fontId="69" fillId="8" borderId="47" xfId="14" applyFont="1" applyFill="1" applyBorder="1" applyAlignment="1">
      <alignment horizontal="center" vertical="center" wrapText="1"/>
    </xf>
    <xf numFmtId="0" fontId="69" fillId="8" borderId="61" xfId="14" applyFont="1" applyFill="1" applyBorder="1" applyAlignment="1">
      <alignment horizontal="center" vertical="center" wrapText="1"/>
    </xf>
    <xf numFmtId="0" fontId="69" fillId="8" borderId="74" xfId="14" applyFont="1" applyFill="1" applyBorder="1" applyAlignment="1">
      <alignment horizontal="center" vertical="center" wrapText="1"/>
    </xf>
    <xf numFmtId="0" fontId="29" fillId="10" borderId="79" xfId="14" applyFont="1" applyFill="1" applyBorder="1" applyAlignment="1">
      <alignment horizontal="center" vertical="center" wrapText="1"/>
    </xf>
    <xf numFmtId="0" fontId="29" fillId="10" borderId="19" xfId="14" applyFont="1" applyFill="1" applyBorder="1" applyAlignment="1">
      <alignment horizontal="center" vertical="center" wrapText="1"/>
    </xf>
    <xf numFmtId="0" fontId="13" fillId="19" borderId="79" xfId="14" applyFont="1" applyFill="1" applyBorder="1" applyAlignment="1">
      <alignment horizontal="center" vertical="center"/>
    </xf>
    <xf numFmtId="0" fontId="13" fillId="19" borderId="80" xfId="14" applyFont="1" applyFill="1" applyBorder="1" applyAlignment="1">
      <alignment horizontal="center" vertical="center"/>
    </xf>
    <xf numFmtId="0" fontId="69" fillId="8" borderId="44" xfId="14" applyFont="1" applyFill="1" applyBorder="1" applyAlignment="1">
      <alignment horizontal="center" vertical="center" wrapText="1"/>
    </xf>
    <xf numFmtId="0" fontId="69" fillId="8" borderId="17" xfId="14" applyFont="1" applyFill="1" applyBorder="1" applyAlignment="1">
      <alignment horizontal="center" vertical="center" wrapText="1"/>
    </xf>
    <xf numFmtId="0" fontId="29" fillId="10" borderId="35" xfId="14" applyFont="1" applyFill="1" applyBorder="1" applyAlignment="1">
      <alignment horizontal="center" vertical="center" wrapText="1"/>
    </xf>
    <xf numFmtId="0" fontId="29" fillId="10" borderId="36" xfId="14" applyFont="1" applyFill="1" applyBorder="1" applyAlignment="1">
      <alignment horizontal="center" vertical="center" wrapText="1"/>
    </xf>
    <xf numFmtId="0" fontId="23" fillId="17" borderId="0" xfId="14" applyFont="1" applyFill="1" applyAlignment="1">
      <alignment horizontal="center" vertical="center" wrapText="1"/>
    </xf>
    <xf numFmtId="0" fontId="23" fillId="8" borderId="68" xfId="14" applyFont="1" applyFill="1" applyBorder="1" applyAlignment="1">
      <alignment horizontal="center" vertical="center" wrapText="1"/>
    </xf>
    <xf numFmtId="0" fontId="23" fillId="8" borderId="69" xfId="14" applyFont="1" applyFill="1" applyBorder="1" applyAlignment="1">
      <alignment horizontal="center" vertical="center" wrapText="1"/>
    </xf>
    <xf numFmtId="0" fontId="23" fillId="8" borderId="41" xfId="14" applyFont="1" applyFill="1" applyBorder="1" applyAlignment="1">
      <alignment horizontal="center" vertical="center" wrapText="1"/>
    </xf>
    <xf numFmtId="0" fontId="23" fillId="8" borderId="50" xfId="14" applyFont="1" applyFill="1" applyBorder="1" applyAlignment="1">
      <alignment horizontal="center" vertical="center" wrapText="1"/>
    </xf>
    <xf numFmtId="0" fontId="29" fillId="10" borderId="30" xfId="14" applyFont="1" applyFill="1" applyBorder="1" applyAlignment="1">
      <alignment horizontal="center" vertical="center" wrapText="1"/>
    </xf>
    <xf numFmtId="0" fontId="29" fillId="10" borderId="32" xfId="14" applyFont="1" applyFill="1" applyBorder="1" applyAlignment="1">
      <alignment horizontal="center" vertical="center" wrapText="1"/>
    </xf>
    <xf numFmtId="0" fontId="29" fillId="10" borderId="31" xfId="14" applyFont="1" applyFill="1" applyBorder="1" applyAlignment="1">
      <alignment horizontal="center" vertical="center" wrapText="1"/>
    </xf>
    <xf numFmtId="0" fontId="29" fillId="17" borderId="0" xfId="14" applyFont="1" applyFill="1" applyAlignment="1">
      <alignment horizontal="center" vertical="center" wrapText="1"/>
    </xf>
    <xf numFmtId="0" fontId="23" fillId="8" borderId="39" xfId="14" applyFont="1" applyFill="1" applyBorder="1" applyAlignment="1">
      <alignment horizontal="center" vertical="center" wrapText="1"/>
    </xf>
    <xf numFmtId="0" fontId="23" fillId="8" borderId="21" xfId="14" applyFont="1" applyFill="1" applyBorder="1" applyAlignment="1">
      <alignment horizontal="center" vertical="center" wrapText="1"/>
    </xf>
    <xf numFmtId="0" fontId="23" fillId="8" borderId="70" xfId="14" applyFont="1" applyFill="1" applyBorder="1" applyAlignment="1">
      <alignment horizontal="center" vertical="center" wrapText="1"/>
    </xf>
    <xf numFmtId="0" fontId="23" fillId="8" borderId="71" xfId="14" applyFont="1" applyFill="1" applyBorder="1" applyAlignment="1">
      <alignment horizontal="center" vertical="center" wrapText="1"/>
    </xf>
    <xf numFmtId="2" fontId="13" fillId="7" borderId="35" xfId="14" applyNumberFormat="1" applyFont="1" applyFill="1" applyBorder="1" applyAlignment="1">
      <alignment horizontal="center" vertical="center"/>
    </xf>
    <xf numFmtId="0" fontId="13" fillId="7" borderId="36" xfId="14" applyFont="1" applyFill="1" applyBorder="1" applyAlignment="1">
      <alignment horizontal="center" vertical="center"/>
    </xf>
    <xf numFmtId="0" fontId="69" fillId="8" borderId="70" xfId="14" applyFont="1" applyFill="1" applyBorder="1" applyAlignment="1">
      <alignment horizontal="center" vertical="center" wrapText="1"/>
    </xf>
    <xf numFmtId="0" fontId="69" fillId="8" borderId="87" xfId="14" applyFont="1" applyFill="1" applyBorder="1" applyAlignment="1">
      <alignment horizontal="center" vertical="center" wrapText="1"/>
    </xf>
    <xf numFmtId="2" fontId="13" fillId="7" borderId="30" xfId="14" applyNumberFormat="1" applyFont="1" applyFill="1" applyBorder="1" applyAlignment="1">
      <alignment horizontal="center" vertical="center"/>
    </xf>
    <xf numFmtId="2" fontId="13" fillId="7" borderId="32" xfId="14" applyNumberFormat="1" applyFont="1" applyFill="1" applyBorder="1" applyAlignment="1">
      <alignment horizontal="center" vertical="center"/>
    </xf>
    <xf numFmtId="0" fontId="13" fillId="7" borderId="79" xfId="14" applyFont="1" applyFill="1" applyBorder="1" applyAlignment="1">
      <alignment horizontal="center" vertical="center"/>
    </xf>
    <xf numFmtId="0" fontId="13" fillId="7" borderId="80" xfId="14" applyFont="1" applyFill="1" applyBorder="1" applyAlignment="1">
      <alignment horizontal="center" vertical="center"/>
    </xf>
    <xf numFmtId="0" fontId="69" fillId="8" borderId="68" xfId="14" applyFont="1" applyFill="1" applyBorder="1" applyAlignment="1">
      <alignment horizontal="center" vertical="center" wrapText="1"/>
    </xf>
    <xf numFmtId="0" fontId="69" fillId="8" borderId="65" xfId="14" applyFont="1" applyFill="1" applyBorder="1" applyAlignment="1">
      <alignment horizontal="center" vertical="center" wrapText="1"/>
    </xf>
    <xf numFmtId="0" fontId="13" fillId="7" borderId="30" xfId="14" applyFont="1" applyFill="1" applyBorder="1" applyAlignment="1">
      <alignment horizontal="center" vertical="center"/>
    </xf>
    <xf numFmtId="0" fontId="13" fillId="7" borderId="32" xfId="14" applyFont="1" applyFill="1" applyBorder="1" applyAlignment="1">
      <alignment horizontal="center" vertical="center"/>
    </xf>
    <xf numFmtId="0" fontId="23" fillId="8" borderId="0" xfId="14" applyFont="1" applyFill="1" applyAlignment="1">
      <alignment horizontal="center" vertical="center" wrapText="1"/>
    </xf>
    <xf numFmtId="0" fontId="23" fillId="8" borderId="52" xfId="14" applyFont="1" applyFill="1" applyBorder="1" applyAlignment="1">
      <alignment horizontal="center" vertical="center" wrapText="1"/>
    </xf>
    <xf numFmtId="0" fontId="23" fillId="8" borderId="65" xfId="14" applyFont="1" applyFill="1" applyBorder="1" applyAlignment="1">
      <alignment horizontal="center" vertical="center" wrapText="1"/>
    </xf>
    <xf numFmtId="0" fontId="23" fillId="8" borderId="87" xfId="14" applyFont="1" applyFill="1" applyBorder="1" applyAlignment="1">
      <alignment horizontal="center" vertical="center" wrapText="1"/>
    </xf>
    <xf numFmtId="0" fontId="69" fillId="8" borderId="72" xfId="14" applyFont="1" applyFill="1" applyBorder="1" applyAlignment="1">
      <alignment horizontal="center" vertical="center" wrapText="1"/>
    </xf>
    <xf numFmtId="0" fontId="69" fillId="8" borderId="13" xfId="14" applyFont="1" applyFill="1" applyBorder="1" applyAlignment="1">
      <alignment horizontal="center" vertical="center" wrapText="1"/>
    </xf>
    <xf numFmtId="0" fontId="23" fillId="8" borderId="51" xfId="14" applyFont="1" applyFill="1" applyBorder="1" applyAlignment="1">
      <alignment horizontal="center" vertical="center" wrapText="1"/>
    </xf>
    <xf numFmtId="0" fontId="23" fillId="8" borderId="13" xfId="14" applyFont="1" applyFill="1" applyBorder="1" applyAlignment="1">
      <alignment horizontal="center" vertical="center" wrapText="1"/>
    </xf>
    <xf numFmtId="0" fontId="69" fillId="8" borderId="38" xfId="14" applyFont="1" applyFill="1" applyBorder="1" applyAlignment="1">
      <alignment horizontal="center" vertical="center" wrapText="1"/>
    </xf>
    <xf numFmtId="0" fontId="69" fillId="8" borderId="36" xfId="14" applyFont="1" applyFill="1" applyBorder="1" applyAlignment="1">
      <alignment horizontal="center" vertical="center" wrapText="1"/>
    </xf>
    <xf numFmtId="0" fontId="29" fillId="10" borderId="73" xfId="14" applyFont="1" applyFill="1" applyBorder="1" applyAlignment="1">
      <alignment horizontal="center" vertical="center" wrapText="1"/>
    </xf>
    <xf numFmtId="0" fontId="29" fillId="10" borderId="74" xfId="14" applyFont="1" applyFill="1" applyBorder="1" applyAlignment="1">
      <alignment horizontal="center" vertical="center" wrapText="1"/>
    </xf>
    <xf numFmtId="0" fontId="23" fillId="8" borderId="6" xfId="14" applyFont="1" applyFill="1" applyBorder="1" applyAlignment="1">
      <alignment horizontal="center" vertical="center" wrapText="1"/>
    </xf>
    <xf numFmtId="0" fontId="69" fillId="8" borderId="68" xfId="14" applyFont="1" applyFill="1" applyBorder="1">
      <alignment vertical="center"/>
    </xf>
    <xf numFmtId="0" fontId="69" fillId="8" borderId="65" xfId="14" applyFont="1" applyFill="1" applyBorder="1">
      <alignment vertical="center"/>
    </xf>
    <xf numFmtId="0" fontId="69" fillId="8" borderId="68" xfId="14" applyFont="1" applyFill="1" applyBorder="1" applyAlignment="1">
      <alignment horizontal="left" vertical="center"/>
    </xf>
    <xf numFmtId="0" fontId="69" fillId="8" borderId="65" xfId="14" applyFont="1" applyFill="1" applyBorder="1" applyAlignment="1">
      <alignment horizontal="left" vertical="center"/>
    </xf>
    <xf numFmtId="0" fontId="23" fillId="0" borderId="16" xfId="0" applyFont="1" applyBorder="1" applyAlignment="1">
      <alignment horizontal="justify" vertical="center"/>
    </xf>
    <xf numFmtId="0" fontId="23" fillId="0" borderId="16" xfId="0" applyFont="1" applyBorder="1" applyAlignment="1">
      <alignment horizontal="center" vertical="center"/>
    </xf>
    <xf numFmtId="0" fontId="23" fillId="0" borderId="16" xfId="0" applyFont="1" applyBorder="1" applyAlignment="1">
      <alignment horizontal="justify"/>
    </xf>
    <xf numFmtId="0" fontId="23" fillId="8" borderId="0" xfId="0" applyFont="1" applyFill="1" applyAlignment="1">
      <alignment horizontal="center" vertical="center"/>
    </xf>
    <xf numFmtId="0" fontId="23" fillId="8" borderId="0" xfId="0" applyFont="1" applyFill="1" applyAlignment="1"/>
  </cellXfs>
  <cellStyles count="31">
    <cellStyle name="Comma" xfId="1" builtinId="3"/>
    <cellStyle name="Comma 2" xfId="15" xr:uid="{00000000-0005-0000-0000-000001000000}"/>
    <cellStyle name="Currency" xfId="3" builtinId="4"/>
    <cellStyle name="Hyperlink" xfId="7" builtinId="8"/>
    <cellStyle name="Hyperlink 2" xfId="17" xr:uid="{00000000-0005-0000-0000-000004000000}"/>
    <cellStyle name="Normal" xfId="0" builtinId="0"/>
    <cellStyle name="Normal 11" xfId="10" xr:uid="{00000000-0005-0000-0000-000006000000}"/>
    <cellStyle name="Normal 11 2" xfId="11" xr:uid="{00000000-0005-0000-0000-000007000000}"/>
    <cellStyle name="Normal 2" xfId="2" xr:uid="{00000000-0005-0000-0000-000008000000}"/>
    <cellStyle name="Normal 2 2" xfId="9" xr:uid="{00000000-0005-0000-0000-000009000000}"/>
    <cellStyle name="Normal 2 2 2" xfId="16" xr:uid="{00000000-0005-0000-0000-00000A000000}"/>
    <cellStyle name="Normal 2 3" xfId="21" xr:uid="{F6504FBC-1197-442F-AE82-28E129DBE7A2}"/>
    <cellStyle name="Normal 3" xfId="12" xr:uid="{00000000-0005-0000-0000-00000B000000}"/>
    <cellStyle name="Normal 3 2" xfId="14" xr:uid="{00000000-0005-0000-0000-00000C000000}"/>
    <cellStyle name="Normal 3 2 2" xfId="26" xr:uid="{01DEE434-0C45-4EFF-A725-0CE02B6F3DC2}"/>
    <cellStyle name="Normal 3 3" xfId="24" xr:uid="{FDF79CA0-3042-4949-AE58-FA87E6D2A611}"/>
    <cellStyle name="Normal 4" xfId="20" xr:uid="{DD390603-8D99-4B91-B6BF-D81461232164}"/>
    <cellStyle name="Normal 4 2" xfId="27" xr:uid="{7D5F6B1D-AD91-4F7B-A333-B2BB0C2C25AB}"/>
    <cellStyle name="Normal 5" xfId="22" xr:uid="{04C9CA44-27FF-4C5C-B244-D86BD0192ECA}"/>
    <cellStyle name="Normal 5 2" xfId="25" xr:uid="{CA94352F-C5C4-43B3-83E5-235A4139852B}"/>
    <cellStyle name="Normal 6" xfId="30" xr:uid="{7EE47A54-FB88-4A4E-8218-84D0D5D6FF8D}"/>
    <cellStyle name="Normal 6 2" xfId="29" xr:uid="{18874E58-BDC7-4BAF-B52A-7D8B7F571FE0}"/>
    <cellStyle name="Normal 8" xfId="8" xr:uid="{00000000-0005-0000-0000-00000D000000}"/>
    <cellStyle name="Normal_ABB125_20" xfId="19" xr:uid="{00000000-0005-0000-0000-00000E000000}"/>
    <cellStyle name="Normal_gant_gir" xfId="28" xr:uid="{F1036F34-5AD4-49BE-941B-71232BE3C067}"/>
    <cellStyle name="Normal_TECH_SHT" xfId="6" xr:uid="{00000000-0005-0000-0000-00000F000000}"/>
    <cellStyle name="Normal_TECH_SHT 2 2" xfId="18" xr:uid="{00000000-0005-0000-0000-000010000000}"/>
    <cellStyle name="Percent" xfId="4" builtinId="5"/>
    <cellStyle name="Percent 2" xfId="5" xr:uid="{00000000-0005-0000-0000-000012000000}"/>
    <cellStyle name="Percent 3" xfId="13" xr:uid="{00000000-0005-0000-0000-000013000000}"/>
    <cellStyle name="Percent 4" xfId="23" xr:uid="{D0424522-76F7-492F-AA49-881C44F20BB5}"/>
  </cellStyles>
  <dxfs count="0"/>
  <tableStyles count="0" defaultTableStyle="TableStyleMedium9" defaultPivotStyle="PivotStyleLight16"/>
  <colors>
    <mruColors>
      <color rgb="FFCCFFCC"/>
      <color rgb="FF0101FF"/>
      <color rgb="FFD9F9FF"/>
      <color rgb="FF6600CC"/>
      <color rgb="FF0099FF"/>
      <color rgb="FFE9FFD9"/>
      <color rgb="FFFFF3F3"/>
      <color rgb="FFFFE1E7"/>
      <color rgb="FFADF5FD"/>
      <color rgb="FF00921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#GB!D5"/><Relationship Id="rId18" Type="http://schemas.openxmlformats.org/officeDocument/2006/relationships/image" Target="../media/image2.jpeg"/><Relationship Id="rId26" Type="http://schemas.openxmlformats.org/officeDocument/2006/relationships/hyperlink" Target="#GB!HO2"/><Relationship Id="rId39" Type="http://schemas.openxmlformats.org/officeDocument/2006/relationships/hyperlink" Target="#Selection!F10"/><Relationship Id="rId21" Type="http://schemas.openxmlformats.org/officeDocument/2006/relationships/hyperlink" Target="#GB!EI152"/><Relationship Id="rId34" Type="http://schemas.openxmlformats.org/officeDocument/2006/relationships/hyperlink" Target="#CT_HP!J25"/><Relationship Id="rId42" Type="http://schemas.openxmlformats.org/officeDocument/2006/relationships/hyperlink" Target="#ESt!A68"/><Relationship Id="rId7" Type="http://schemas.openxmlformats.org/officeDocument/2006/relationships/hyperlink" Target="#MH!I9"/><Relationship Id="rId2" Type="http://schemas.openxmlformats.org/officeDocument/2006/relationships/hyperlink" Target="#MH!I157"/><Relationship Id="rId16" Type="http://schemas.openxmlformats.org/officeDocument/2006/relationships/hyperlink" Target="#GB!EI340"/><Relationship Id="rId20" Type="http://schemas.openxmlformats.org/officeDocument/2006/relationships/hyperlink" Target="#GB!L150"/><Relationship Id="rId29" Type="http://schemas.openxmlformats.org/officeDocument/2006/relationships/hyperlink" Target="#AH!I7"/><Relationship Id="rId41" Type="http://schemas.openxmlformats.org/officeDocument/2006/relationships/hyperlink" Target="#Paint!D36"/><Relationship Id="rId1" Type="http://schemas.openxmlformats.org/officeDocument/2006/relationships/hyperlink" Target="#MH!I119"/><Relationship Id="rId6" Type="http://schemas.openxmlformats.org/officeDocument/2006/relationships/hyperlink" Target="#AH!I290"/><Relationship Id="rId11" Type="http://schemas.openxmlformats.org/officeDocument/2006/relationships/hyperlink" Target="#LT_wh!I60"/><Relationship Id="rId24" Type="http://schemas.openxmlformats.org/officeDocument/2006/relationships/hyperlink" Target="#GB!FY3"/><Relationship Id="rId32" Type="http://schemas.openxmlformats.org/officeDocument/2006/relationships/hyperlink" Target="#AH!J271"/><Relationship Id="rId37" Type="http://schemas.openxmlformats.org/officeDocument/2006/relationships/hyperlink" Target="#Tech!B18"/><Relationship Id="rId40" Type="http://schemas.openxmlformats.org/officeDocument/2006/relationships/hyperlink" Target="#C_DATA!D10"/><Relationship Id="rId5" Type="http://schemas.openxmlformats.org/officeDocument/2006/relationships/hyperlink" Target="#AH!I157"/><Relationship Id="rId15" Type="http://schemas.openxmlformats.org/officeDocument/2006/relationships/image" Target="../media/image1.jpeg"/><Relationship Id="rId23" Type="http://schemas.openxmlformats.org/officeDocument/2006/relationships/image" Target="../media/image3.jpeg"/><Relationship Id="rId28" Type="http://schemas.openxmlformats.org/officeDocument/2006/relationships/hyperlink" Target="#AH!J91"/><Relationship Id="rId36" Type="http://schemas.openxmlformats.org/officeDocument/2006/relationships/hyperlink" Target="#LT_wh!J30"/><Relationship Id="rId10" Type="http://schemas.openxmlformats.org/officeDocument/2006/relationships/hyperlink" Target="#CT_wh!I55"/><Relationship Id="rId19" Type="http://schemas.openxmlformats.org/officeDocument/2006/relationships/hyperlink" Target="#GB!EA1"/><Relationship Id="rId31" Type="http://schemas.openxmlformats.org/officeDocument/2006/relationships/hyperlink" Target="#MH!J271"/><Relationship Id="rId4" Type="http://schemas.openxmlformats.org/officeDocument/2006/relationships/hyperlink" Target="#AH!I119"/><Relationship Id="rId9" Type="http://schemas.openxmlformats.org/officeDocument/2006/relationships/hyperlink" Target="#CT_HP!I9"/><Relationship Id="rId14" Type="http://schemas.openxmlformats.org/officeDocument/2006/relationships/hyperlink" Target="#GB!L340"/><Relationship Id="rId22" Type="http://schemas.openxmlformats.org/officeDocument/2006/relationships/hyperlink" Target="#GB!BB2"/><Relationship Id="rId27" Type="http://schemas.openxmlformats.org/officeDocument/2006/relationships/hyperlink" Target="#MH!I7"/><Relationship Id="rId30" Type="http://schemas.openxmlformats.org/officeDocument/2006/relationships/hyperlink" Target="#MH!J91"/><Relationship Id="rId35" Type="http://schemas.openxmlformats.org/officeDocument/2006/relationships/hyperlink" Target="#CT_wh!J30"/><Relationship Id="rId43" Type="http://schemas.openxmlformats.org/officeDocument/2006/relationships/image" Target="../media/image4.emf"/><Relationship Id="rId8" Type="http://schemas.openxmlformats.org/officeDocument/2006/relationships/hyperlink" Target="#AH!I9"/><Relationship Id="rId3" Type="http://schemas.openxmlformats.org/officeDocument/2006/relationships/hyperlink" Target="#MH!I290"/><Relationship Id="rId12" Type="http://schemas.openxmlformats.org/officeDocument/2006/relationships/hyperlink" Target="#LT_HP!I9"/><Relationship Id="rId17" Type="http://schemas.openxmlformats.org/officeDocument/2006/relationships/hyperlink" Target="#GB!A1"/><Relationship Id="rId25" Type="http://schemas.openxmlformats.org/officeDocument/2006/relationships/hyperlink" Target="#GB!CR2"/><Relationship Id="rId33" Type="http://schemas.openxmlformats.org/officeDocument/2006/relationships/hyperlink" Target="#LT_HP!J20"/><Relationship Id="rId38" Type="http://schemas.openxmlformats.org/officeDocument/2006/relationships/hyperlink" Target="#input!I34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hyperlink" Target="#GB!CR2"/><Relationship Id="rId18" Type="http://schemas.openxmlformats.org/officeDocument/2006/relationships/hyperlink" Target="#MH!J91"/><Relationship Id="rId26" Type="http://schemas.openxmlformats.org/officeDocument/2006/relationships/hyperlink" Target="#input!I34"/><Relationship Id="rId3" Type="http://schemas.openxmlformats.org/officeDocument/2006/relationships/image" Target="../media/image1.jpeg"/><Relationship Id="rId21" Type="http://schemas.openxmlformats.org/officeDocument/2006/relationships/hyperlink" Target="#LT_HP!J20"/><Relationship Id="rId34" Type="http://schemas.openxmlformats.org/officeDocument/2006/relationships/hyperlink" Target="#CT_HP!K84"/><Relationship Id="rId7" Type="http://schemas.openxmlformats.org/officeDocument/2006/relationships/hyperlink" Target="#GB!EA1"/><Relationship Id="rId12" Type="http://schemas.openxmlformats.org/officeDocument/2006/relationships/hyperlink" Target="#GB!FY3"/><Relationship Id="rId17" Type="http://schemas.openxmlformats.org/officeDocument/2006/relationships/hyperlink" Target="#AH!I7"/><Relationship Id="rId25" Type="http://schemas.openxmlformats.org/officeDocument/2006/relationships/hyperlink" Target="#Tech!B18"/><Relationship Id="rId33" Type="http://schemas.openxmlformats.org/officeDocument/2006/relationships/hyperlink" Target="#MH!L32"/><Relationship Id="rId2" Type="http://schemas.openxmlformats.org/officeDocument/2006/relationships/hyperlink" Target="#GB!L340"/><Relationship Id="rId16" Type="http://schemas.openxmlformats.org/officeDocument/2006/relationships/hyperlink" Target="#AH!J91"/><Relationship Id="rId20" Type="http://schemas.openxmlformats.org/officeDocument/2006/relationships/hyperlink" Target="#AH!J271"/><Relationship Id="rId29" Type="http://schemas.openxmlformats.org/officeDocument/2006/relationships/hyperlink" Target="#MH!L194"/><Relationship Id="rId1" Type="http://schemas.openxmlformats.org/officeDocument/2006/relationships/hyperlink" Target="#GB!D5"/><Relationship Id="rId6" Type="http://schemas.openxmlformats.org/officeDocument/2006/relationships/image" Target="../media/image2.jpeg"/><Relationship Id="rId11" Type="http://schemas.openxmlformats.org/officeDocument/2006/relationships/image" Target="../media/image3.jpeg"/><Relationship Id="rId24" Type="http://schemas.openxmlformats.org/officeDocument/2006/relationships/hyperlink" Target="#LT_wh!J30"/><Relationship Id="rId32" Type="http://schemas.openxmlformats.org/officeDocument/2006/relationships/hyperlink" Target="#MH!L84"/><Relationship Id="rId5" Type="http://schemas.openxmlformats.org/officeDocument/2006/relationships/hyperlink" Target="#GB!A1"/><Relationship Id="rId15" Type="http://schemas.openxmlformats.org/officeDocument/2006/relationships/hyperlink" Target="#MH!I7"/><Relationship Id="rId23" Type="http://schemas.openxmlformats.org/officeDocument/2006/relationships/hyperlink" Target="#CT_wh!J30"/><Relationship Id="rId28" Type="http://schemas.openxmlformats.org/officeDocument/2006/relationships/hyperlink" Target="#C_DATA!D10"/><Relationship Id="rId10" Type="http://schemas.openxmlformats.org/officeDocument/2006/relationships/hyperlink" Target="#GB!BB2"/><Relationship Id="rId19" Type="http://schemas.openxmlformats.org/officeDocument/2006/relationships/hyperlink" Target="#MH!J271"/><Relationship Id="rId31" Type="http://schemas.openxmlformats.org/officeDocument/2006/relationships/hyperlink" Target="#MH!L125"/><Relationship Id="rId4" Type="http://schemas.openxmlformats.org/officeDocument/2006/relationships/hyperlink" Target="#GB!EI340"/><Relationship Id="rId9" Type="http://schemas.openxmlformats.org/officeDocument/2006/relationships/hyperlink" Target="#GB!EI152"/><Relationship Id="rId14" Type="http://schemas.openxmlformats.org/officeDocument/2006/relationships/hyperlink" Target="#GB!HO2"/><Relationship Id="rId22" Type="http://schemas.openxmlformats.org/officeDocument/2006/relationships/hyperlink" Target="#CT_HP!J25"/><Relationship Id="rId27" Type="http://schemas.openxmlformats.org/officeDocument/2006/relationships/hyperlink" Target="#Selection!F10"/><Relationship Id="rId30" Type="http://schemas.openxmlformats.org/officeDocument/2006/relationships/hyperlink" Target="#MH!L294"/><Relationship Id="rId35" Type="http://schemas.openxmlformats.org/officeDocument/2006/relationships/image" Target="../media/image6.png"/><Relationship Id="rId8" Type="http://schemas.openxmlformats.org/officeDocument/2006/relationships/hyperlink" Target="#GB!L150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hyperlink" Target="#GB!CR2"/><Relationship Id="rId18" Type="http://schemas.openxmlformats.org/officeDocument/2006/relationships/hyperlink" Target="#LT_HP!J20"/><Relationship Id="rId26" Type="http://schemas.openxmlformats.org/officeDocument/2006/relationships/hyperlink" Target="#MH!I7"/><Relationship Id="rId3" Type="http://schemas.openxmlformats.org/officeDocument/2006/relationships/image" Target="../media/image1.jpeg"/><Relationship Id="rId21" Type="http://schemas.openxmlformats.org/officeDocument/2006/relationships/hyperlink" Target="#LT_wh!J30"/><Relationship Id="rId34" Type="http://schemas.openxmlformats.org/officeDocument/2006/relationships/image" Target="../media/image6.png"/><Relationship Id="rId7" Type="http://schemas.openxmlformats.org/officeDocument/2006/relationships/hyperlink" Target="#GB!EA1"/><Relationship Id="rId12" Type="http://schemas.openxmlformats.org/officeDocument/2006/relationships/hyperlink" Target="#GB!FY3"/><Relationship Id="rId17" Type="http://schemas.openxmlformats.org/officeDocument/2006/relationships/hyperlink" Target="#AH!J271"/><Relationship Id="rId25" Type="http://schemas.openxmlformats.org/officeDocument/2006/relationships/hyperlink" Target="#C_DATA!D10"/><Relationship Id="rId33" Type="http://schemas.openxmlformats.org/officeDocument/2006/relationships/hyperlink" Target="#AH!L294"/><Relationship Id="rId2" Type="http://schemas.openxmlformats.org/officeDocument/2006/relationships/hyperlink" Target="#GB!L340"/><Relationship Id="rId16" Type="http://schemas.openxmlformats.org/officeDocument/2006/relationships/hyperlink" Target="#AH!I7"/><Relationship Id="rId20" Type="http://schemas.openxmlformats.org/officeDocument/2006/relationships/hyperlink" Target="#CT_wh!J30"/><Relationship Id="rId29" Type="http://schemas.openxmlformats.org/officeDocument/2006/relationships/hyperlink" Target="#AH!L84"/><Relationship Id="rId1" Type="http://schemas.openxmlformats.org/officeDocument/2006/relationships/hyperlink" Target="#GB!D5"/><Relationship Id="rId6" Type="http://schemas.openxmlformats.org/officeDocument/2006/relationships/image" Target="../media/image2.jpeg"/><Relationship Id="rId11" Type="http://schemas.openxmlformats.org/officeDocument/2006/relationships/image" Target="../media/image3.jpeg"/><Relationship Id="rId24" Type="http://schemas.openxmlformats.org/officeDocument/2006/relationships/hyperlink" Target="#Selection!F10"/><Relationship Id="rId32" Type="http://schemas.openxmlformats.org/officeDocument/2006/relationships/hyperlink" Target="#AH!L194"/><Relationship Id="rId5" Type="http://schemas.openxmlformats.org/officeDocument/2006/relationships/hyperlink" Target="#GB!A1"/><Relationship Id="rId15" Type="http://schemas.openxmlformats.org/officeDocument/2006/relationships/hyperlink" Target="#AH!J91"/><Relationship Id="rId23" Type="http://schemas.openxmlformats.org/officeDocument/2006/relationships/hyperlink" Target="#input!I34"/><Relationship Id="rId28" Type="http://schemas.openxmlformats.org/officeDocument/2006/relationships/hyperlink" Target="#MH!J271"/><Relationship Id="rId10" Type="http://schemas.openxmlformats.org/officeDocument/2006/relationships/hyperlink" Target="#GB!BB2"/><Relationship Id="rId19" Type="http://schemas.openxmlformats.org/officeDocument/2006/relationships/hyperlink" Target="#CT_HP!J25"/><Relationship Id="rId31" Type="http://schemas.openxmlformats.org/officeDocument/2006/relationships/hyperlink" Target="#AH!L32"/><Relationship Id="rId4" Type="http://schemas.openxmlformats.org/officeDocument/2006/relationships/hyperlink" Target="#GB!EI340"/><Relationship Id="rId9" Type="http://schemas.openxmlformats.org/officeDocument/2006/relationships/hyperlink" Target="#GB!EI152"/><Relationship Id="rId14" Type="http://schemas.openxmlformats.org/officeDocument/2006/relationships/hyperlink" Target="#GB!HO2"/><Relationship Id="rId22" Type="http://schemas.openxmlformats.org/officeDocument/2006/relationships/hyperlink" Target="#Tech!B18"/><Relationship Id="rId27" Type="http://schemas.openxmlformats.org/officeDocument/2006/relationships/hyperlink" Target="#MH!J91"/><Relationship Id="rId30" Type="http://schemas.openxmlformats.org/officeDocument/2006/relationships/hyperlink" Target="#AH!L125"/><Relationship Id="rId8" Type="http://schemas.openxmlformats.org/officeDocument/2006/relationships/hyperlink" Target="#GB!L15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CT_HP!J25"/><Relationship Id="rId13" Type="http://schemas.openxmlformats.org/officeDocument/2006/relationships/hyperlink" Target="#Selection!F10"/><Relationship Id="rId3" Type="http://schemas.openxmlformats.org/officeDocument/2006/relationships/hyperlink" Target="#AH!I7"/><Relationship Id="rId7" Type="http://schemas.openxmlformats.org/officeDocument/2006/relationships/hyperlink" Target="#LT_HP!J20"/><Relationship Id="rId12" Type="http://schemas.openxmlformats.org/officeDocument/2006/relationships/hyperlink" Target="#input!I34"/><Relationship Id="rId17" Type="http://schemas.openxmlformats.org/officeDocument/2006/relationships/image" Target="../media/image7.png"/><Relationship Id="rId2" Type="http://schemas.openxmlformats.org/officeDocument/2006/relationships/hyperlink" Target="#AH!J91"/><Relationship Id="rId16" Type="http://schemas.openxmlformats.org/officeDocument/2006/relationships/hyperlink" Target="#CT_HP!K36"/><Relationship Id="rId1" Type="http://schemas.openxmlformats.org/officeDocument/2006/relationships/hyperlink" Target="#MH!I7"/><Relationship Id="rId6" Type="http://schemas.openxmlformats.org/officeDocument/2006/relationships/hyperlink" Target="#AH!J271"/><Relationship Id="rId11" Type="http://schemas.openxmlformats.org/officeDocument/2006/relationships/hyperlink" Target="#Tech!B18"/><Relationship Id="rId5" Type="http://schemas.openxmlformats.org/officeDocument/2006/relationships/hyperlink" Target="#MH!J271"/><Relationship Id="rId15" Type="http://schemas.openxmlformats.org/officeDocument/2006/relationships/hyperlink" Target="#CT_HP!K84"/><Relationship Id="rId10" Type="http://schemas.openxmlformats.org/officeDocument/2006/relationships/hyperlink" Target="#LT_wh!J30"/><Relationship Id="rId4" Type="http://schemas.openxmlformats.org/officeDocument/2006/relationships/hyperlink" Target="#MH!J91"/><Relationship Id="rId9" Type="http://schemas.openxmlformats.org/officeDocument/2006/relationships/hyperlink" Target="#CT_wh!J30"/><Relationship Id="rId14" Type="http://schemas.openxmlformats.org/officeDocument/2006/relationships/hyperlink" Target="#C_DATA!D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LT_HP!J20"/><Relationship Id="rId13" Type="http://schemas.openxmlformats.org/officeDocument/2006/relationships/hyperlink" Target="#input!I34"/><Relationship Id="rId18" Type="http://schemas.openxmlformats.org/officeDocument/2006/relationships/image" Target="../media/image8.emf"/><Relationship Id="rId3" Type="http://schemas.openxmlformats.org/officeDocument/2006/relationships/hyperlink" Target="#AH!J91"/><Relationship Id="rId7" Type="http://schemas.openxmlformats.org/officeDocument/2006/relationships/hyperlink" Target="#AH!J271"/><Relationship Id="rId12" Type="http://schemas.openxmlformats.org/officeDocument/2006/relationships/hyperlink" Target="#Tech!B18"/><Relationship Id="rId17" Type="http://schemas.openxmlformats.org/officeDocument/2006/relationships/hyperlink" Target="#CT_wh!K44"/><Relationship Id="rId2" Type="http://schemas.openxmlformats.org/officeDocument/2006/relationships/hyperlink" Target="#MH!I7"/><Relationship Id="rId16" Type="http://schemas.openxmlformats.org/officeDocument/2006/relationships/hyperlink" Target="#CT_wh!K75"/><Relationship Id="rId1" Type="http://schemas.openxmlformats.org/officeDocument/2006/relationships/hyperlink" Target="#GB!D5"/><Relationship Id="rId6" Type="http://schemas.openxmlformats.org/officeDocument/2006/relationships/hyperlink" Target="#MH!J271"/><Relationship Id="rId11" Type="http://schemas.openxmlformats.org/officeDocument/2006/relationships/hyperlink" Target="#LT_wh!J30"/><Relationship Id="rId5" Type="http://schemas.openxmlformats.org/officeDocument/2006/relationships/hyperlink" Target="#MH!J91"/><Relationship Id="rId15" Type="http://schemas.openxmlformats.org/officeDocument/2006/relationships/hyperlink" Target="#C_DATA!D10"/><Relationship Id="rId10" Type="http://schemas.openxmlformats.org/officeDocument/2006/relationships/hyperlink" Target="#CT_wh!J30"/><Relationship Id="rId19" Type="http://schemas.openxmlformats.org/officeDocument/2006/relationships/image" Target="../media/image9.emf"/><Relationship Id="rId4" Type="http://schemas.openxmlformats.org/officeDocument/2006/relationships/hyperlink" Target="#AH!I7"/><Relationship Id="rId9" Type="http://schemas.openxmlformats.org/officeDocument/2006/relationships/hyperlink" Target="#CT_HP!J25"/><Relationship Id="rId14" Type="http://schemas.openxmlformats.org/officeDocument/2006/relationships/hyperlink" Target="#Selection!F10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CT_wh!J30"/><Relationship Id="rId2" Type="http://schemas.openxmlformats.org/officeDocument/2006/relationships/hyperlink" Target="#CT_HP!J25"/><Relationship Id="rId1" Type="http://schemas.openxmlformats.org/officeDocument/2006/relationships/hyperlink" Target="#LT_HP!J20"/><Relationship Id="rId6" Type="http://schemas.openxmlformats.org/officeDocument/2006/relationships/hyperlink" Target="#input!I34"/><Relationship Id="rId5" Type="http://schemas.openxmlformats.org/officeDocument/2006/relationships/hyperlink" Target="#C_DATA!D10"/><Relationship Id="rId4" Type="http://schemas.openxmlformats.org/officeDocument/2006/relationships/hyperlink" Target="#LT_wh!J30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CT_HP!J25"/><Relationship Id="rId13" Type="http://schemas.openxmlformats.org/officeDocument/2006/relationships/hyperlink" Target="#Selection!F10"/><Relationship Id="rId3" Type="http://schemas.openxmlformats.org/officeDocument/2006/relationships/hyperlink" Target="#AH!I7"/><Relationship Id="rId7" Type="http://schemas.openxmlformats.org/officeDocument/2006/relationships/hyperlink" Target="#LT_HP!J20"/><Relationship Id="rId12" Type="http://schemas.openxmlformats.org/officeDocument/2006/relationships/hyperlink" Target="#input!I34"/><Relationship Id="rId2" Type="http://schemas.openxmlformats.org/officeDocument/2006/relationships/hyperlink" Target="#AH!J91"/><Relationship Id="rId1" Type="http://schemas.openxmlformats.org/officeDocument/2006/relationships/hyperlink" Target="#MH!I7"/><Relationship Id="rId6" Type="http://schemas.openxmlformats.org/officeDocument/2006/relationships/hyperlink" Target="#AH!J271"/><Relationship Id="rId11" Type="http://schemas.openxmlformats.org/officeDocument/2006/relationships/hyperlink" Target="#Tech!B18"/><Relationship Id="rId5" Type="http://schemas.openxmlformats.org/officeDocument/2006/relationships/hyperlink" Target="#MH!J271"/><Relationship Id="rId10" Type="http://schemas.openxmlformats.org/officeDocument/2006/relationships/hyperlink" Target="#LT_wh!J30"/><Relationship Id="rId4" Type="http://schemas.openxmlformats.org/officeDocument/2006/relationships/hyperlink" Target="#MH!J91"/><Relationship Id="rId9" Type="http://schemas.openxmlformats.org/officeDocument/2006/relationships/hyperlink" Target="#CT_wh!J30"/><Relationship Id="rId14" Type="http://schemas.openxmlformats.org/officeDocument/2006/relationships/hyperlink" Target="#C_DATA!D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AH!J271"/><Relationship Id="rId13" Type="http://schemas.openxmlformats.org/officeDocument/2006/relationships/hyperlink" Target="#Tech!B18"/><Relationship Id="rId3" Type="http://schemas.openxmlformats.org/officeDocument/2006/relationships/hyperlink" Target="#MH!I7"/><Relationship Id="rId7" Type="http://schemas.openxmlformats.org/officeDocument/2006/relationships/hyperlink" Target="#MH!J271"/><Relationship Id="rId12" Type="http://schemas.openxmlformats.org/officeDocument/2006/relationships/hyperlink" Target="#LT_wh!J30"/><Relationship Id="rId17" Type="http://schemas.openxmlformats.org/officeDocument/2006/relationships/image" Target="../media/image7.png"/><Relationship Id="rId2" Type="http://schemas.openxmlformats.org/officeDocument/2006/relationships/hyperlink" Target="#LT_HP!K89"/><Relationship Id="rId16" Type="http://schemas.openxmlformats.org/officeDocument/2006/relationships/hyperlink" Target="#CT_HP!K36"/><Relationship Id="rId1" Type="http://schemas.openxmlformats.org/officeDocument/2006/relationships/hyperlink" Target="#C_DATA!D10"/><Relationship Id="rId6" Type="http://schemas.openxmlformats.org/officeDocument/2006/relationships/hyperlink" Target="#MH!J91"/><Relationship Id="rId11" Type="http://schemas.openxmlformats.org/officeDocument/2006/relationships/hyperlink" Target="#CT_wh!J30"/><Relationship Id="rId5" Type="http://schemas.openxmlformats.org/officeDocument/2006/relationships/hyperlink" Target="#AH!I7"/><Relationship Id="rId15" Type="http://schemas.openxmlformats.org/officeDocument/2006/relationships/hyperlink" Target="#Selection!F10"/><Relationship Id="rId10" Type="http://schemas.openxmlformats.org/officeDocument/2006/relationships/hyperlink" Target="#CT_HP!J25"/><Relationship Id="rId4" Type="http://schemas.openxmlformats.org/officeDocument/2006/relationships/hyperlink" Target="#AH!J91"/><Relationship Id="rId9" Type="http://schemas.openxmlformats.org/officeDocument/2006/relationships/hyperlink" Target="#LT_HP!J20"/><Relationship Id="rId14" Type="http://schemas.openxmlformats.org/officeDocument/2006/relationships/hyperlink" Target="#input!I34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LT_HP!J20"/><Relationship Id="rId13" Type="http://schemas.openxmlformats.org/officeDocument/2006/relationships/hyperlink" Target="#input!I34"/><Relationship Id="rId18" Type="http://schemas.openxmlformats.org/officeDocument/2006/relationships/image" Target="../media/image8.emf"/><Relationship Id="rId3" Type="http://schemas.openxmlformats.org/officeDocument/2006/relationships/hyperlink" Target="#AH!J91"/><Relationship Id="rId7" Type="http://schemas.openxmlformats.org/officeDocument/2006/relationships/hyperlink" Target="#AH!J271"/><Relationship Id="rId12" Type="http://schemas.openxmlformats.org/officeDocument/2006/relationships/hyperlink" Target="#Tech!B18"/><Relationship Id="rId17" Type="http://schemas.openxmlformats.org/officeDocument/2006/relationships/hyperlink" Target="#LT_wh!K77"/><Relationship Id="rId2" Type="http://schemas.openxmlformats.org/officeDocument/2006/relationships/hyperlink" Target="#MH!I7"/><Relationship Id="rId16" Type="http://schemas.openxmlformats.org/officeDocument/2006/relationships/hyperlink" Target="#LT_wh!K49"/><Relationship Id="rId1" Type="http://schemas.openxmlformats.org/officeDocument/2006/relationships/hyperlink" Target="#GB!D5"/><Relationship Id="rId6" Type="http://schemas.openxmlformats.org/officeDocument/2006/relationships/hyperlink" Target="#MH!J271"/><Relationship Id="rId11" Type="http://schemas.openxmlformats.org/officeDocument/2006/relationships/hyperlink" Target="#LT_wh!J30"/><Relationship Id="rId5" Type="http://schemas.openxmlformats.org/officeDocument/2006/relationships/hyperlink" Target="#MH!J91"/><Relationship Id="rId15" Type="http://schemas.openxmlformats.org/officeDocument/2006/relationships/hyperlink" Target="#C_DATA!D10"/><Relationship Id="rId10" Type="http://schemas.openxmlformats.org/officeDocument/2006/relationships/hyperlink" Target="#CT_wh!J30"/><Relationship Id="rId19" Type="http://schemas.openxmlformats.org/officeDocument/2006/relationships/image" Target="../media/image9.emf"/><Relationship Id="rId4" Type="http://schemas.openxmlformats.org/officeDocument/2006/relationships/hyperlink" Target="#AH!I7"/><Relationship Id="rId9" Type="http://schemas.openxmlformats.org/officeDocument/2006/relationships/hyperlink" Target="#CT_HP!J25"/><Relationship Id="rId14" Type="http://schemas.openxmlformats.org/officeDocument/2006/relationships/hyperlink" Target="#Selection!F10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CT_HP!J25"/><Relationship Id="rId13" Type="http://schemas.openxmlformats.org/officeDocument/2006/relationships/hyperlink" Target="#Selection!F10"/><Relationship Id="rId3" Type="http://schemas.openxmlformats.org/officeDocument/2006/relationships/hyperlink" Target="#AH!I7"/><Relationship Id="rId7" Type="http://schemas.openxmlformats.org/officeDocument/2006/relationships/hyperlink" Target="#LT_HP!J20"/><Relationship Id="rId12" Type="http://schemas.openxmlformats.org/officeDocument/2006/relationships/hyperlink" Target="#input!I34"/><Relationship Id="rId2" Type="http://schemas.openxmlformats.org/officeDocument/2006/relationships/hyperlink" Target="#AH!J91"/><Relationship Id="rId16" Type="http://schemas.openxmlformats.org/officeDocument/2006/relationships/hyperlink" Target="#Tech!I35"/><Relationship Id="rId1" Type="http://schemas.openxmlformats.org/officeDocument/2006/relationships/hyperlink" Target="#MH!I7"/><Relationship Id="rId6" Type="http://schemas.openxmlformats.org/officeDocument/2006/relationships/hyperlink" Target="#AH!J271"/><Relationship Id="rId11" Type="http://schemas.openxmlformats.org/officeDocument/2006/relationships/hyperlink" Target="#Tech!B18"/><Relationship Id="rId5" Type="http://schemas.openxmlformats.org/officeDocument/2006/relationships/hyperlink" Target="#MH!J271"/><Relationship Id="rId15" Type="http://schemas.openxmlformats.org/officeDocument/2006/relationships/hyperlink" Target="#Tech!I109"/><Relationship Id="rId10" Type="http://schemas.openxmlformats.org/officeDocument/2006/relationships/hyperlink" Target="#LT_wh!J30"/><Relationship Id="rId4" Type="http://schemas.openxmlformats.org/officeDocument/2006/relationships/hyperlink" Target="#MH!J91"/><Relationship Id="rId9" Type="http://schemas.openxmlformats.org/officeDocument/2006/relationships/hyperlink" Target="#CT_wh!J30"/><Relationship Id="rId14" Type="http://schemas.openxmlformats.org/officeDocument/2006/relationships/hyperlink" Target="#C_DATA!D10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AH!J271"/><Relationship Id="rId13" Type="http://schemas.openxmlformats.org/officeDocument/2006/relationships/hyperlink" Target="#Selection!F10"/><Relationship Id="rId18" Type="http://schemas.openxmlformats.org/officeDocument/2006/relationships/hyperlink" Target="#ESt!L15"/><Relationship Id="rId3" Type="http://schemas.openxmlformats.org/officeDocument/2006/relationships/hyperlink" Target="#MH!J271"/><Relationship Id="rId7" Type="http://schemas.openxmlformats.org/officeDocument/2006/relationships/hyperlink" Target="#AH!I7"/><Relationship Id="rId12" Type="http://schemas.openxmlformats.org/officeDocument/2006/relationships/hyperlink" Target="#input!I34"/><Relationship Id="rId17" Type="http://schemas.openxmlformats.org/officeDocument/2006/relationships/hyperlink" Target="#ESt!L193"/><Relationship Id="rId2" Type="http://schemas.openxmlformats.org/officeDocument/2006/relationships/hyperlink" Target="#MH!J91"/><Relationship Id="rId16" Type="http://schemas.openxmlformats.org/officeDocument/2006/relationships/hyperlink" Target="#Paint!D36"/><Relationship Id="rId1" Type="http://schemas.openxmlformats.org/officeDocument/2006/relationships/hyperlink" Target="#MH!I7"/><Relationship Id="rId6" Type="http://schemas.openxmlformats.org/officeDocument/2006/relationships/hyperlink" Target="#AH!J91"/><Relationship Id="rId11" Type="http://schemas.openxmlformats.org/officeDocument/2006/relationships/hyperlink" Target="#Tech!B18"/><Relationship Id="rId5" Type="http://schemas.openxmlformats.org/officeDocument/2006/relationships/hyperlink" Target="#CT_wh!J30"/><Relationship Id="rId15" Type="http://schemas.openxmlformats.org/officeDocument/2006/relationships/hyperlink" Target="#C_DATA!F42"/><Relationship Id="rId10" Type="http://schemas.openxmlformats.org/officeDocument/2006/relationships/hyperlink" Target="#LT_wh!J30"/><Relationship Id="rId4" Type="http://schemas.openxmlformats.org/officeDocument/2006/relationships/hyperlink" Target="#CT_HP!J25"/><Relationship Id="rId9" Type="http://schemas.openxmlformats.org/officeDocument/2006/relationships/hyperlink" Target="#LT_HP!J20"/><Relationship Id="rId14" Type="http://schemas.openxmlformats.org/officeDocument/2006/relationships/hyperlink" Target="#C_DATA!D10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hyperlink" Target="#ESt!L155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hyperlink" Target="#GB!A1"/><Relationship Id="rId13" Type="http://schemas.openxmlformats.org/officeDocument/2006/relationships/hyperlink" Target="#GB!BB2"/><Relationship Id="rId3" Type="http://schemas.openxmlformats.org/officeDocument/2006/relationships/hyperlink" Target="file:///Z:\Marketing%20Common\Dhrumil\Selection\Premium_Gear_Box.pdf" TargetMode="External"/><Relationship Id="rId7" Type="http://schemas.openxmlformats.org/officeDocument/2006/relationships/hyperlink" Target="#GB!EI340"/><Relationship Id="rId12" Type="http://schemas.openxmlformats.org/officeDocument/2006/relationships/hyperlink" Target="#GB!EI152"/><Relationship Id="rId17" Type="http://schemas.openxmlformats.org/officeDocument/2006/relationships/hyperlink" Target="#GB!HO2"/><Relationship Id="rId2" Type="http://schemas.openxmlformats.org/officeDocument/2006/relationships/image" Target="../media/image23.jpeg"/><Relationship Id="rId16" Type="http://schemas.openxmlformats.org/officeDocument/2006/relationships/hyperlink" Target="#GB!CR2"/><Relationship Id="rId1" Type="http://schemas.openxmlformats.org/officeDocument/2006/relationships/hyperlink" Target="file:///Z:\Marketing%20Common\Dhrumil\Selection\ELECON_ET-SERIES.pdf" TargetMode="External"/><Relationship Id="rId6" Type="http://schemas.openxmlformats.org/officeDocument/2006/relationships/image" Target="../media/image1.jpeg"/><Relationship Id="rId11" Type="http://schemas.openxmlformats.org/officeDocument/2006/relationships/hyperlink" Target="#GB!L150"/><Relationship Id="rId5" Type="http://schemas.openxmlformats.org/officeDocument/2006/relationships/hyperlink" Target="#GB!L340"/><Relationship Id="rId15" Type="http://schemas.openxmlformats.org/officeDocument/2006/relationships/hyperlink" Target="#GB!FY3"/><Relationship Id="rId10" Type="http://schemas.openxmlformats.org/officeDocument/2006/relationships/hyperlink" Target="#GB!EA1"/><Relationship Id="rId4" Type="http://schemas.openxmlformats.org/officeDocument/2006/relationships/hyperlink" Target="file:///Z:\Marketing%20Common\Dhrumil\Selection\Anupam_Gear_Box.pdf" TargetMode="External"/><Relationship Id="rId9" Type="http://schemas.openxmlformats.org/officeDocument/2006/relationships/image" Target="../media/image2.jpeg"/><Relationship Id="rId14" Type="http://schemas.openxmlformats.org/officeDocument/2006/relationships/image" Target="../media/image3.jpe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hyperlink" Target="#GB!A1"/><Relationship Id="rId13" Type="http://schemas.openxmlformats.org/officeDocument/2006/relationships/hyperlink" Target="#GB!BB2"/><Relationship Id="rId3" Type="http://schemas.openxmlformats.org/officeDocument/2006/relationships/hyperlink" Target="file:///Z:\Marketing%20Common\Dhrumil\Selection\Premium_Gear_Box.pdf" TargetMode="External"/><Relationship Id="rId7" Type="http://schemas.openxmlformats.org/officeDocument/2006/relationships/hyperlink" Target="#GB!EI340"/><Relationship Id="rId12" Type="http://schemas.openxmlformats.org/officeDocument/2006/relationships/hyperlink" Target="#GB!EI152"/><Relationship Id="rId17" Type="http://schemas.openxmlformats.org/officeDocument/2006/relationships/hyperlink" Target="#GB!HO2"/><Relationship Id="rId2" Type="http://schemas.openxmlformats.org/officeDocument/2006/relationships/image" Target="../media/image23.jpeg"/><Relationship Id="rId16" Type="http://schemas.openxmlformats.org/officeDocument/2006/relationships/hyperlink" Target="#GB!CR2"/><Relationship Id="rId1" Type="http://schemas.openxmlformats.org/officeDocument/2006/relationships/hyperlink" Target="file:///Z:\Marketing%20Common\Dhrumil\Selection\ELECON_ET-SERIES.pdf" TargetMode="External"/><Relationship Id="rId6" Type="http://schemas.openxmlformats.org/officeDocument/2006/relationships/image" Target="../media/image1.jpeg"/><Relationship Id="rId11" Type="http://schemas.openxmlformats.org/officeDocument/2006/relationships/hyperlink" Target="#GB!L150"/><Relationship Id="rId5" Type="http://schemas.openxmlformats.org/officeDocument/2006/relationships/hyperlink" Target="#GB!L340"/><Relationship Id="rId15" Type="http://schemas.openxmlformats.org/officeDocument/2006/relationships/hyperlink" Target="#GB!FY3"/><Relationship Id="rId10" Type="http://schemas.openxmlformats.org/officeDocument/2006/relationships/hyperlink" Target="#GB!EA1"/><Relationship Id="rId4" Type="http://schemas.openxmlformats.org/officeDocument/2006/relationships/hyperlink" Target="file:///Z:\Marketing%20Common\Dhrumil\Selection\Anupam_Gear_Box.pdf" TargetMode="External"/><Relationship Id="rId9" Type="http://schemas.openxmlformats.org/officeDocument/2006/relationships/image" Target="../media/image2.jpeg"/><Relationship Id="rId14" Type="http://schemas.openxmlformats.org/officeDocument/2006/relationships/image" Target="../media/image3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2.png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56</xdr:row>
      <xdr:rowOff>0</xdr:rowOff>
    </xdr:from>
    <xdr:to>
      <xdr:col>13</xdr:col>
      <xdr:colOff>491988</xdr:colOff>
      <xdr:row>56</xdr:row>
      <xdr:rowOff>180975</xdr:rowOff>
    </xdr:to>
    <xdr:sp macro="" textlink="">
      <xdr:nvSpPr>
        <xdr:cNvPr id="2" name="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9575938" y="10866783"/>
          <a:ext cx="1095376" cy="180975"/>
        </a:xfrm>
        <a:prstGeom prst="rect">
          <a:avLst/>
        </a:prstGeom>
        <a:solidFill>
          <a:schemeClr val="accent6">
            <a:lumMod val="20000"/>
            <a:lumOff val="80000"/>
            <a:alpha val="73000"/>
          </a:schemeClr>
        </a:solidFill>
        <a:ln>
          <a:noFill/>
        </a:ln>
      </xdr:spPr>
      <xdr:txBody>
        <a:bodyPr rtlCol="0" anchor="ctr"/>
        <a:lstStyle/>
        <a:p>
          <a:pPr algn="ctr"/>
          <a:r>
            <a:rPr lang="en-US" u="sng"/>
            <a:t>MH Wire</a:t>
          </a:r>
          <a:r>
            <a:rPr lang="en-US" u="sng" baseline="0"/>
            <a:t> </a:t>
          </a:r>
          <a:r>
            <a:rPr lang="en-US" u="sng"/>
            <a:t>Rope</a:t>
          </a:r>
        </a:p>
      </xdr:txBody>
    </xdr:sp>
    <xdr:clientData/>
  </xdr:twoCellAnchor>
  <xdr:twoCellAnchor>
    <xdr:from>
      <xdr:col>12</xdr:col>
      <xdr:colOff>9525</xdr:colOff>
      <xdr:row>57</xdr:row>
      <xdr:rowOff>38100</xdr:rowOff>
    </xdr:from>
    <xdr:to>
      <xdr:col>13</xdr:col>
      <xdr:colOff>491988</xdr:colOff>
      <xdr:row>58</xdr:row>
      <xdr:rowOff>28575</xdr:rowOff>
    </xdr:to>
    <xdr:sp macro="" textlink="">
      <xdr:nvSpPr>
        <xdr:cNvPr id="3" name="Rectangl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575938" y="11095383"/>
          <a:ext cx="1095376" cy="180975"/>
        </a:xfrm>
        <a:prstGeom prst="rect">
          <a:avLst/>
        </a:prstGeom>
        <a:solidFill>
          <a:schemeClr val="accent6">
            <a:lumMod val="20000"/>
            <a:lumOff val="80000"/>
            <a:alpha val="73000"/>
          </a:schemeClr>
        </a:solidFill>
        <a:ln>
          <a:noFill/>
        </a:ln>
      </xdr:spPr>
      <xdr:txBody>
        <a:bodyPr rtlCol="0" anchor="ctr"/>
        <a:lstStyle/>
        <a:p>
          <a:pPr algn="ctr"/>
          <a:r>
            <a:rPr lang="en-US" u="sng"/>
            <a:t>MH Rope Drum</a:t>
          </a:r>
        </a:p>
      </xdr:txBody>
    </xdr:sp>
    <xdr:clientData/>
  </xdr:twoCellAnchor>
  <xdr:twoCellAnchor>
    <xdr:from>
      <xdr:col>12</xdr:col>
      <xdr:colOff>0</xdr:colOff>
      <xdr:row>58</xdr:row>
      <xdr:rowOff>76200</xdr:rowOff>
    </xdr:from>
    <xdr:to>
      <xdr:col>13</xdr:col>
      <xdr:colOff>482463</xdr:colOff>
      <xdr:row>59</xdr:row>
      <xdr:rowOff>91523</xdr:rowOff>
    </xdr:to>
    <xdr:sp macro="" textlink="">
      <xdr:nvSpPr>
        <xdr:cNvPr id="4" name="Rectangle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9566413" y="11323983"/>
          <a:ext cx="1095376" cy="180975"/>
        </a:xfrm>
        <a:prstGeom prst="rect">
          <a:avLst/>
        </a:prstGeom>
        <a:solidFill>
          <a:schemeClr val="accent6">
            <a:lumMod val="20000"/>
            <a:lumOff val="80000"/>
            <a:alpha val="73000"/>
          </a:schemeClr>
        </a:solidFill>
        <a:ln>
          <a:noFill/>
        </a:ln>
      </xdr:spPr>
      <xdr:txBody>
        <a:bodyPr rtlCol="0" anchor="ctr"/>
        <a:lstStyle/>
        <a:p>
          <a:pPr algn="ctr"/>
          <a:r>
            <a:rPr lang="en-US" u="sng"/>
            <a:t>MH GB</a:t>
          </a:r>
        </a:p>
      </xdr:txBody>
    </xdr:sp>
    <xdr:clientData/>
  </xdr:twoCellAnchor>
  <xdr:twoCellAnchor>
    <xdr:from>
      <xdr:col>14</xdr:col>
      <xdr:colOff>9525</xdr:colOff>
      <xdr:row>56</xdr:row>
      <xdr:rowOff>0</xdr:rowOff>
    </xdr:from>
    <xdr:to>
      <xdr:col>15</xdr:col>
      <xdr:colOff>491988</xdr:colOff>
      <xdr:row>56</xdr:row>
      <xdr:rowOff>180975</xdr:rowOff>
    </xdr:to>
    <xdr:sp macro="" textlink="">
      <xdr:nvSpPr>
        <xdr:cNvPr id="5" name="Rectangle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10801764" y="10866783"/>
          <a:ext cx="1095376" cy="180975"/>
        </a:xfrm>
        <a:prstGeom prst="rect">
          <a:avLst/>
        </a:prstGeom>
        <a:solidFill>
          <a:schemeClr val="accent6">
            <a:lumMod val="20000"/>
            <a:lumOff val="80000"/>
            <a:alpha val="73000"/>
          </a:schemeClr>
        </a:solidFill>
        <a:ln>
          <a:noFill/>
        </a:ln>
      </xdr:spPr>
      <xdr:txBody>
        <a:bodyPr rtlCol="0" anchor="ctr"/>
        <a:lstStyle/>
        <a:p>
          <a:pPr algn="ctr"/>
          <a:r>
            <a:rPr lang="en-US" b="0" u="sng">
              <a:solidFill>
                <a:schemeClr val="tx1"/>
              </a:solidFill>
            </a:rPr>
            <a:t>AH Wire</a:t>
          </a:r>
          <a:r>
            <a:rPr lang="en-US" b="0" u="sng" baseline="0">
              <a:solidFill>
                <a:schemeClr val="tx1"/>
              </a:solidFill>
            </a:rPr>
            <a:t> </a:t>
          </a:r>
          <a:r>
            <a:rPr lang="en-US" b="0" u="sng">
              <a:solidFill>
                <a:schemeClr val="tx1"/>
              </a:solidFill>
            </a:rPr>
            <a:t>Rope</a:t>
          </a:r>
        </a:p>
      </xdr:txBody>
    </xdr:sp>
    <xdr:clientData/>
  </xdr:twoCellAnchor>
  <xdr:twoCellAnchor>
    <xdr:from>
      <xdr:col>14</xdr:col>
      <xdr:colOff>9525</xdr:colOff>
      <xdr:row>57</xdr:row>
      <xdr:rowOff>38100</xdr:rowOff>
    </xdr:from>
    <xdr:to>
      <xdr:col>15</xdr:col>
      <xdr:colOff>491988</xdr:colOff>
      <xdr:row>58</xdr:row>
      <xdr:rowOff>28575</xdr:rowOff>
    </xdr:to>
    <xdr:sp macro="" textlink="">
      <xdr:nvSpPr>
        <xdr:cNvPr id="6" name="Rectangle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10801764" y="11095383"/>
          <a:ext cx="1095376" cy="180975"/>
        </a:xfrm>
        <a:prstGeom prst="rect">
          <a:avLst/>
        </a:prstGeom>
        <a:solidFill>
          <a:schemeClr val="accent6">
            <a:lumMod val="20000"/>
            <a:lumOff val="80000"/>
            <a:alpha val="73000"/>
          </a:schemeClr>
        </a:solidFill>
        <a:ln>
          <a:noFill/>
        </a:ln>
      </xdr:spPr>
      <xdr:txBody>
        <a:bodyPr rtlCol="0" anchor="ctr"/>
        <a:lstStyle/>
        <a:p>
          <a:pPr algn="ctr"/>
          <a:r>
            <a:rPr lang="en-US" b="0" u="sng">
              <a:solidFill>
                <a:schemeClr val="tx1"/>
              </a:solidFill>
            </a:rPr>
            <a:t>AH Rope Drum</a:t>
          </a:r>
        </a:p>
      </xdr:txBody>
    </xdr:sp>
    <xdr:clientData/>
  </xdr:twoCellAnchor>
  <xdr:twoCellAnchor>
    <xdr:from>
      <xdr:col>14</xdr:col>
      <xdr:colOff>0</xdr:colOff>
      <xdr:row>58</xdr:row>
      <xdr:rowOff>76200</xdr:rowOff>
    </xdr:from>
    <xdr:to>
      <xdr:col>15</xdr:col>
      <xdr:colOff>482463</xdr:colOff>
      <xdr:row>59</xdr:row>
      <xdr:rowOff>91523</xdr:rowOff>
    </xdr:to>
    <xdr:sp macro="" textlink="">
      <xdr:nvSpPr>
        <xdr:cNvPr id="7" name="Rectangle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10792239" y="11323983"/>
          <a:ext cx="1095376" cy="180975"/>
        </a:xfrm>
        <a:prstGeom prst="rect">
          <a:avLst/>
        </a:prstGeom>
        <a:solidFill>
          <a:schemeClr val="accent6">
            <a:lumMod val="20000"/>
            <a:lumOff val="80000"/>
            <a:alpha val="73000"/>
          </a:schemeClr>
        </a:solidFill>
        <a:ln>
          <a:noFill/>
        </a:ln>
      </xdr:spPr>
      <xdr:txBody>
        <a:bodyPr rtlCol="0" anchor="ctr"/>
        <a:lstStyle/>
        <a:p>
          <a:pPr algn="ctr"/>
          <a:r>
            <a:rPr lang="en-US" b="0" u="sng">
              <a:solidFill>
                <a:schemeClr val="tx1"/>
              </a:solidFill>
            </a:rPr>
            <a:t>AH GB</a:t>
          </a:r>
        </a:p>
      </xdr:txBody>
    </xdr:sp>
    <xdr:clientData/>
  </xdr:twoCellAnchor>
  <xdr:twoCellAnchor>
    <xdr:from>
      <xdr:col>11</xdr:col>
      <xdr:colOff>604629</xdr:colOff>
      <xdr:row>54</xdr:row>
      <xdr:rowOff>165653</xdr:rowOff>
    </xdr:from>
    <xdr:to>
      <xdr:col>13</xdr:col>
      <xdr:colOff>463826</xdr:colOff>
      <xdr:row>55</xdr:row>
      <xdr:rowOff>132521</xdr:rowOff>
    </xdr:to>
    <xdr:sp macro="" textlink="">
      <xdr:nvSpPr>
        <xdr:cNvPr id="8" name="Rectangle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9558129" y="10651436"/>
          <a:ext cx="1085023" cy="157368"/>
        </a:xfrm>
        <a:prstGeom prst="rect">
          <a:avLst/>
        </a:prstGeom>
        <a:solidFill>
          <a:schemeClr val="accent6">
            <a:lumMod val="20000"/>
            <a:lumOff val="80000"/>
            <a:alpha val="73000"/>
          </a:schemeClr>
        </a:solidFill>
        <a:ln>
          <a:noFill/>
        </a:ln>
      </xdr:spPr>
      <xdr:txBody>
        <a:bodyPr rtlCol="0" anchor="ctr"/>
        <a:lstStyle/>
        <a:p>
          <a:pPr algn="ctr"/>
          <a:r>
            <a:rPr lang="en-US" sz="1100" u="sng"/>
            <a:t>MH Motor</a:t>
          </a:r>
        </a:p>
      </xdr:txBody>
    </xdr:sp>
    <xdr:clientData/>
  </xdr:twoCellAnchor>
  <xdr:twoCellAnchor>
    <xdr:from>
      <xdr:col>13</xdr:col>
      <xdr:colOff>604630</xdr:colOff>
      <xdr:row>54</xdr:row>
      <xdr:rowOff>157370</xdr:rowOff>
    </xdr:from>
    <xdr:to>
      <xdr:col>15</xdr:col>
      <xdr:colOff>474180</xdr:colOff>
      <xdr:row>55</xdr:row>
      <xdr:rowOff>147845</xdr:rowOff>
    </xdr:to>
    <xdr:sp macro="" textlink="">
      <xdr:nvSpPr>
        <xdr:cNvPr id="9" name="Rectangle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10783956" y="10643153"/>
          <a:ext cx="1095376" cy="180975"/>
        </a:xfrm>
        <a:prstGeom prst="rect">
          <a:avLst/>
        </a:prstGeom>
        <a:solidFill>
          <a:schemeClr val="accent6">
            <a:lumMod val="20000"/>
            <a:lumOff val="80000"/>
            <a:alpha val="73000"/>
          </a:schemeClr>
        </a:solidFill>
        <a:ln>
          <a:noFill/>
        </a:ln>
      </xdr:spPr>
      <xdr:txBody>
        <a:bodyPr rtlCol="0" anchor="ctr"/>
        <a:lstStyle/>
        <a:p>
          <a:pPr algn="ctr"/>
          <a:r>
            <a:rPr lang="en-US" b="0" u="sng">
              <a:solidFill>
                <a:schemeClr val="tx1"/>
              </a:solidFill>
            </a:rPr>
            <a:t>AH Motor</a:t>
          </a:r>
        </a:p>
      </xdr:txBody>
    </xdr:sp>
    <xdr:clientData/>
  </xdr:twoCellAnchor>
  <xdr:twoCellAnchor>
    <xdr:from>
      <xdr:col>12</xdr:col>
      <xdr:colOff>0</xdr:colOff>
      <xdr:row>61</xdr:row>
      <xdr:rowOff>0</xdr:rowOff>
    </xdr:from>
    <xdr:to>
      <xdr:col>13</xdr:col>
      <xdr:colOff>482463</xdr:colOff>
      <xdr:row>62</xdr:row>
      <xdr:rowOff>15323</xdr:rowOff>
    </xdr:to>
    <xdr:sp macro="" textlink="">
      <xdr:nvSpPr>
        <xdr:cNvPr id="10" name="Rectangle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9566413" y="11744739"/>
          <a:ext cx="1095376" cy="180975"/>
        </a:xfrm>
        <a:prstGeom prst="rect">
          <a:avLst/>
        </a:prstGeom>
        <a:solidFill>
          <a:schemeClr val="accent6">
            <a:lumMod val="20000"/>
            <a:lumOff val="80000"/>
            <a:alpha val="73000"/>
          </a:schemeClr>
        </a:solidFill>
        <a:ln>
          <a:noFill/>
        </a:ln>
      </xdr:spPr>
      <xdr:txBody>
        <a:bodyPr rtlCol="0" anchor="ctr"/>
        <a:lstStyle/>
        <a:p>
          <a:pPr algn="ctr"/>
          <a:r>
            <a:rPr lang="en-US" b="0" u="sng">
              <a:solidFill>
                <a:schemeClr val="tx1"/>
              </a:solidFill>
            </a:rPr>
            <a:t>CT Motor</a:t>
          </a:r>
        </a:p>
      </xdr:txBody>
    </xdr:sp>
    <xdr:clientData/>
  </xdr:twoCellAnchor>
  <xdr:twoCellAnchor>
    <xdr:from>
      <xdr:col>12</xdr:col>
      <xdr:colOff>0</xdr:colOff>
      <xdr:row>62</xdr:row>
      <xdr:rowOff>165652</xdr:rowOff>
    </xdr:from>
    <xdr:to>
      <xdr:col>13</xdr:col>
      <xdr:colOff>482463</xdr:colOff>
      <xdr:row>64</xdr:row>
      <xdr:rowOff>15322</xdr:rowOff>
    </xdr:to>
    <xdr:sp macro="" textlink="">
      <xdr:nvSpPr>
        <xdr:cNvPr id="11" name="Rectangle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9566413" y="12076043"/>
          <a:ext cx="1095376" cy="180975"/>
        </a:xfrm>
        <a:prstGeom prst="rect">
          <a:avLst/>
        </a:prstGeom>
        <a:solidFill>
          <a:schemeClr val="accent6">
            <a:lumMod val="20000"/>
            <a:lumOff val="80000"/>
            <a:alpha val="73000"/>
          </a:schemeClr>
        </a:solidFill>
        <a:ln>
          <a:noFill/>
        </a:ln>
      </xdr:spPr>
      <xdr:txBody>
        <a:bodyPr rtlCol="0" anchor="ctr"/>
        <a:lstStyle/>
        <a:p>
          <a:pPr algn="ctr"/>
          <a:r>
            <a:rPr lang="en-US" b="0" u="sng">
              <a:solidFill>
                <a:schemeClr val="tx1"/>
              </a:solidFill>
            </a:rPr>
            <a:t>CT </a:t>
          </a:r>
          <a:r>
            <a:rPr lang="en-US" b="0" u="sng" baseline="0">
              <a:solidFill>
                <a:schemeClr val="tx1"/>
              </a:solidFill>
            </a:rPr>
            <a:t> GB</a:t>
          </a:r>
          <a:endParaRPr lang="en-US" b="0" u="sng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63</xdr:row>
      <xdr:rowOff>0</xdr:rowOff>
    </xdr:from>
    <xdr:to>
      <xdr:col>15</xdr:col>
      <xdr:colOff>482463</xdr:colOff>
      <xdr:row>64</xdr:row>
      <xdr:rowOff>15323</xdr:rowOff>
    </xdr:to>
    <xdr:sp macro="" textlink="">
      <xdr:nvSpPr>
        <xdr:cNvPr id="12" name="Rectangle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10792239" y="12109174"/>
          <a:ext cx="1095376" cy="180975"/>
        </a:xfrm>
        <a:prstGeom prst="rect">
          <a:avLst/>
        </a:prstGeom>
        <a:solidFill>
          <a:schemeClr val="accent6">
            <a:lumMod val="20000"/>
            <a:lumOff val="80000"/>
            <a:alpha val="73000"/>
          </a:schemeClr>
        </a:solidFill>
        <a:ln>
          <a:noFill/>
        </a:ln>
      </xdr:spPr>
      <xdr:txBody>
        <a:bodyPr rtlCol="0" anchor="ctr"/>
        <a:lstStyle/>
        <a:p>
          <a:pPr algn="ctr"/>
          <a:r>
            <a:rPr lang="en-US" b="0" u="sng">
              <a:solidFill>
                <a:schemeClr val="tx1"/>
              </a:solidFill>
            </a:rPr>
            <a:t>LT </a:t>
          </a:r>
          <a:r>
            <a:rPr lang="en-US" b="0" u="sng" baseline="0">
              <a:solidFill>
                <a:schemeClr val="tx1"/>
              </a:solidFill>
            </a:rPr>
            <a:t> GB</a:t>
          </a:r>
          <a:endParaRPr lang="en-US" b="0" u="sng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61</xdr:row>
      <xdr:rowOff>0</xdr:rowOff>
    </xdr:from>
    <xdr:to>
      <xdr:col>15</xdr:col>
      <xdr:colOff>482463</xdr:colOff>
      <xdr:row>61</xdr:row>
      <xdr:rowOff>180975</xdr:rowOff>
    </xdr:to>
    <xdr:sp macro="" textlink="">
      <xdr:nvSpPr>
        <xdr:cNvPr id="13" name="Rectangle 1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10792239" y="11744739"/>
          <a:ext cx="1095376" cy="180975"/>
        </a:xfrm>
        <a:prstGeom prst="rect">
          <a:avLst/>
        </a:prstGeom>
        <a:solidFill>
          <a:schemeClr val="accent6">
            <a:lumMod val="20000"/>
            <a:lumOff val="80000"/>
            <a:alpha val="73000"/>
          </a:schemeClr>
        </a:solidFill>
        <a:ln>
          <a:noFill/>
        </a:ln>
      </xdr:spPr>
      <xdr:txBody>
        <a:bodyPr rtlCol="0" anchor="ctr"/>
        <a:lstStyle/>
        <a:p>
          <a:pPr algn="ctr"/>
          <a:r>
            <a:rPr lang="en-US" b="0" u="sng">
              <a:solidFill>
                <a:schemeClr val="tx1"/>
              </a:solidFill>
            </a:rPr>
            <a:t>LT</a:t>
          </a:r>
          <a:r>
            <a:rPr lang="en-US" b="0" u="sng" baseline="0">
              <a:solidFill>
                <a:schemeClr val="tx1"/>
              </a:solidFill>
            </a:rPr>
            <a:t> M</a:t>
          </a:r>
          <a:r>
            <a:rPr lang="en-US" b="0" u="sng">
              <a:solidFill>
                <a:schemeClr val="tx1"/>
              </a:solidFill>
            </a:rPr>
            <a:t>otor</a:t>
          </a:r>
        </a:p>
      </xdr:txBody>
    </xdr:sp>
    <xdr:clientData/>
  </xdr:twoCellAnchor>
  <xdr:twoCellAnchor>
    <xdr:from>
      <xdr:col>11</xdr:col>
      <xdr:colOff>582706</xdr:colOff>
      <xdr:row>53</xdr:row>
      <xdr:rowOff>89647</xdr:rowOff>
    </xdr:from>
    <xdr:to>
      <xdr:col>14</xdr:col>
      <xdr:colOff>18279</xdr:colOff>
      <xdr:row>54</xdr:row>
      <xdr:rowOff>103145</xdr:rowOff>
    </xdr:to>
    <xdr:sp macro="" textlink="">
      <xdr:nvSpPr>
        <xdr:cNvPr id="14" name="Flowchart: Predefined Process 1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9536206" y="10387853"/>
          <a:ext cx="1250926" cy="226410"/>
        </a:xfrm>
        <a:prstGeom prst="flowChartPredefinedProcess">
          <a:avLst/>
        </a:prstGeom>
        <a:solidFill>
          <a:srgbClr val="FFFFCC"/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100"/>
            <a:t>All</a:t>
          </a:r>
          <a:r>
            <a:rPr lang="en-US" sz="1100" baseline="0"/>
            <a:t> Gear Box</a:t>
          </a:r>
          <a:endParaRPr lang="en-US" sz="1100"/>
        </a:p>
      </xdr:txBody>
    </xdr:sp>
    <xdr:clientData/>
  </xdr:twoCellAnchor>
  <xdr:twoCellAnchor>
    <xdr:from>
      <xdr:col>12</xdr:col>
      <xdr:colOff>0</xdr:colOff>
      <xdr:row>72</xdr:row>
      <xdr:rowOff>74794</xdr:rowOff>
    </xdr:from>
    <xdr:to>
      <xdr:col>13</xdr:col>
      <xdr:colOff>136963</xdr:colOff>
      <xdr:row>73</xdr:row>
      <xdr:rowOff>156952</xdr:rowOff>
    </xdr:to>
    <xdr:sp macro="" textlink="">
      <xdr:nvSpPr>
        <xdr:cNvPr id="15" name="Down Arrow Callout 14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9566413" y="13658272"/>
          <a:ext cx="749876" cy="247810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15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159054</xdr:colOff>
      <xdr:row>72</xdr:row>
      <xdr:rowOff>78088</xdr:rowOff>
    </xdr:from>
    <xdr:to>
      <xdr:col>14</xdr:col>
      <xdr:colOff>298776</xdr:colOff>
      <xdr:row>73</xdr:row>
      <xdr:rowOff>149765</xdr:rowOff>
    </xdr:to>
    <xdr:sp macro="" textlink="">
      <xdr:nvSpPr>
        <xdr:cNvPr id="16" name="Down Arrow Callout 1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10338380" y="13661566"/>
          <a:ext cx="752635" cy="237329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15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18550</xdr:colOff>
      <xdr:row>65</xdr:row>
      <xdr:rowOff>0</xdr:rowOff>
    </xdr:from>
    <xdr:to>
      <xdr:col>13</xdr:col>
      <xdr:colOff>136521</xdr:colOff>
      <xdr:row>66</xdr:row>
      <xdr:rowOff>88868</xdr:rowOff>
    </xdr:to>
    <xdr:sp macro="" textlink="">
      <xdr:nvSpPr>
        <xdr:cNvPr id="17" name="Up Arrow Callout 1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9584963" y="12440478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18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13</xdr:col>
      <xdr:colOff>164913</xdr:colOff>
      <xdr:row>65</xdr:row>
      <xdr:rowOff>3905</xdr:rowOff>
    </xdr:from>
    <xdr:to>
      <xdr:col>14</xdr:col>
      <xdr:colOff>282259</xdr:colOff>
      <xdr:row>66</xdr:row>
      <xdr:rowOff>89410</xdr:rowOff>
    </xdr:to>
    <xdr:sp macro="" textlink="">
      <xdr:nvSpPr>
        <xdr:cNvPr id="18" name="Up Arrow Callout 17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10344239" y="12444383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8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12</xdr:col>
      <xdr:colOff>9166</xdr:colOff>
      <xdr:row>70</xdr:row>
      <xdr:rowOff>132095</xdr:rowOff>
    </xdr:from>
    <xdr:to>
      <xdr:col>13</xdr:col>
      <xdr:colOff>138902</xdr:colOff>
      <xdr:row>72</xdr:row>
      <xdr:rowOff>33925</xdr:rowOff>
    </xdr:to>
    <xdr:sp macro="" textlink="">
      <xdr:nvSpPr>
        <xdr:cNvPr id="19" name="Down Arrow Callout 18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9575579" y="13384269"/>
          <a:ext cx="742649" cy="233134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15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162531</xdr:colOff>
      <xdr:row>70</xdr:row>
      <xdr:rowOff>131544</xdr:rowOff>
    </xdr:from>
    <xdr:to>
      <xdr:col>14</xdr:col>
      <xdr:colOff>297418</xdr:colOff>
      <xdr:row>72</xdr:row>
      <xdr:rowOff>36945</xdr:rowOff>
    </xdr:to>
    <xdr:sp macro="" textlink="">
      <xdr:nvSpPr>
        <xdr:cNvPr id="20" name="Down Arrow Callout 19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10341857" y="13383718"/>
          <a:ext cx="747800" cy="236705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15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15434</xdr:colOff>
      <xdr:row>66</xdr:row>
      <xdr:rowOff>121204</xdr:rowOff>
    </xdr:from>
    <xdr:to>
      <xdr:col>13</xdr:col>
      <xdr:colOff>141283</xdr:colOff>
      <xdr:row>68</xdr:row>
      <xdr:rowOff>65712</xdr:rowOff>
    </xdr:to>
    <xdr:sp macro="" textlink="">
      <xdr:nvSpPr>
        <xdr:cNvPr id="21" name="Up Arrow Callout 20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9581847" y="12727334"/>
          <a:ext cx="738762" cy="259248"/>
        </a:xfrm>
        <a:prstGeom prst="upArrowCallout">
          <a:avLst/>
        </a:prstGeom>
        <a:blipFill>
          <a:blip xmlns:r="http://schemas.openxmlformats.org/officeDocument/2006/relationships" r:embed="rId23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170332</xdr:colOff>
      <xdr:row>66</xdr:row>
      <xdr:rowOff>118824</xdr:rowOff>
    </xdr:from>
    <xdr:to>
      <xdr:col>14</xdr:col>
      <xdr:colOff>300639</xdr:colOff>
      <xdr:row>68</xdr:row>
      <xdr:rowOff>55242</xdr:rowOff>
    </xdr:to>
    <xdr:sp macro="" textlink="">
      <xdr:nvSpPr>
        <xdr:cNvPr id="22" name="Up Arrow Callout 21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10349658" y="12724954"/>
          <a:ext cx="743220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23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13628</xdr:colOff>
      <xdr:row>68</xdr:row>
      <xdr:rowOff>78894</xdr:rowOff>
    </xdr:from>
    <xdr:to>
      <xdr:col>13</xdr:col>
      <xdr:colOff>138902</xdr:colOff>
      <xdr:row>70</xdr:row>
      <xdr:rowOff>8031</xdr:rowOff>
    </xdr:to>
    <xdr:sp macro="" textlink="">
      <xdr:nvSpPr>
        <xdr:cNvPr id="23" name="Up Arrow Callout 22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9580041" y="12999764"/>
          <a:ext cx="738187" cy="260441"/>
        </a:xfrm>
        <a:prstGeom prst="upArrowCallout">
          <a:avLst/>
        </a:prstGeom>
        <a:blipFill>
          <a:blip xmlns:r="http://schemas.openxmlformats.org/officeDocument/2006/relationships" r:embed="rId23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168025</xdr:colOff>
      <xdr:row>68</xdr:row>
      <xdr:rowOff>82447</xdr:rowOff>
    </xdr:from>
    <xdr:to>
      <xdr:col>14</xdr:col>
      <xdr:colOff>297830</xdr:colOff>
      <xdr:row>70</xdr:row>
      <xdr:rowOff>3669</xdr:rowOff>
    </xdr:to>
    <xdr:sp macro="" textlink="">
      <xdr:nvSpPr>
        <xdr:cNvPr id="24" name="Up Arrow Callout 23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10347351" y="13003317"/>
          <a:ext cx="742718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23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0</xdr:colOff>
      <xdr:row>51</xdr:row>
      <xdr:rowOff>0</xdr:rowOff>
    </xdr:from>
    <xdr:to>
      <xdr:col>12</xdr:col>
      <xdr:colOff>140677</xdr:colOff>
      <xdr:row>51</xdr:row>
      <xdr:rowOff>97631</xdr:rowOff>
    </xdr:to>
    <xdr:sp macro="" textlink="">
      <xdr:nvSpPr>
        <xdr:cNvPr id="34" name="Bevel 33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9563100" y="9896475"/>
          <a:ext cx="140677" cy="97631"/>
        </a:xfrm>
        <a:prstGeom prst="bevel">
          <a:avLst/>
        </a:prstGeom>
        <a:solidFill>
          <a:srgbClr val="00B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12</xdr:col>
      <xdr:colOff>183357</xdr:colOff>
      <xdr:row>51</xdr:row>
      <xdr:rowOff>120255</xdr:rowOff>
    </xdr:from>
    <xdr:to>
      <xdr:col>12</xdr:col>
      <xdr:colOff>321653</xdr:colOff>
      <xdr:row>52</xdr:row>
      <xdr:rowOff>31612</xdr:rowOff>
    </xdr:to>
    <xdr:sp macro="" textlink="">
      <xdr:nvSpPr>
        <xdr:cNvPr id="35" name="Bevel 34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9746457" y="10016730"/>
          <a:ext cx="138296" cy="101857"/>
        </a:xfrm>
        <a:prstGeom prst="bevel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12</xdr:col>
      <xdr:colOff>8037</xdr:colOff>
      <xdr:row>51</xdr:row>
      <xdr:rowOff>129141</xdr:rowOff>
    </xdr:from>
    <xdr:to>
      <xdr:col>12</xdr:col>
      <xdr:colOff>148714</xdr:colOff>
      <xdr:row>52</xdr:row>
      <xdr:rowOff>38316</xdr:rowOff>
    </xdr:to>
    <xdr:sp macro="" textlink="">
      <xdr:nvSpPr>
        <xdr:cNvPr id="36" name="Bevel 35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9571137" y="10025616"/>
          <a:ext cx="140677" cy="99675"/>
        </a:xfrm>
        <a:prstGeom prst="bevel">
          <a:avLst/>
        </a:prstGeom>
        <a:solidFill>
          <a:srgbClr val="0000FF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12</xdr:col>
      <xdr:colOff>183356</xdr:colOff>
      <xdr:row>51</xdr:row>
      <xdr:rowOff>2381</xdr:rowOff>
    </xdr:from>
    <xdr:to>
      <xdr:col>12</xdr:col>
      <xdr:colOff>321652</xdr:colOff>
      <xdr:row>51</xdr:row>
      <xdr:rowOff>100012</xdr:rowOff>
    </xdr:to>
    <xdr:sp macro="" textlink="">
      <xdr:nvSpPr>
        <xdr:cNvPr id="37" name="Bevel 36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9746456" y="9898856"/>
          <a:ext cx="138296" cy="97631"/>
        </a:xfrm>
        <a:prstGeom prst="bevel">
          <a:avLst/>
        </a:prstGeom>
        <a:solidFill>
          <a:srgbClr val="92D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12</xdr:col>
      <xdr:colOff>366712</xdr:colOff>
      <xdr:row>51</xdr:row>
      <xdr:rowOff>2381</xdr:rowOff>
    </xdr:from>
    <xdr:to>
      <xdr:col>12</xdr:col>
      <xdr:colOff>507389</xdr:colOff>
      <xdr:row>51</xdr:row>
      <xdr:rowOff>100012</xdr:rowOff>
    </xdr:to>
    <xdr:sp macro="" textlink="">
      <xdr:nvSpPr>
        <xdr:cNvPr id="38" name="Bevel 37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9929812" y="9898856"/>
          <a:ext cx="140677" cy="97631"/>
        </a:xfrm>
        <a:prstGeom prst="bevel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12</xdr:col>
      <xdr:colOff>364331</xdr:colOff>
      <xdr:row>51</xdr:row>
      <xdr:rowOff>120253</xdr:rowOff>
    </xdr:from>
    <xdr:to>
      <xdr:col>12</xdr:col>
      <xdr:colOff>505008</xdr:colOff>
      <xdr:row>52</xdr:row>
      <xdr:rowOff>31610</xdr:rowOff>
    </xdr:to>
    <xdr:sp macro="" textlink="">
      <xdr:nvSpPr>
        <xdr:cNvPr id="39" name="Bevel 38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9927431" y="10016728"/>
          <a:ext cx="140677" cy="101857"/>
        </a:xfrm>
        <a:prstGeom prst="bevel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12</xdr:col>
      <xdr:colOff>557312</xdr:colOff>
      <xdr:row>51</xdr:row>
      <xdr:rowOff>122735</xdr:rowOff>
    </xdr:from>
    <xdr:to>
      <xdr:col>13</xdr:col>
      <xdr:colOff>86008</xdr:colOff>
      <xdr:row>52</xdr:row>
      <xdr:rowOff>34749</xdr:rowOff>
    </xdr:to>
    <xdr:sp macro="" textlink="">
      <xdr:nvSpPr>
        <xdr:cNvPr id="40" name="Bevel 39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10120412" y="10019210"/>
          <a:ext cx="138296" cy="102514"/>
        </a:xfrm>
        <a:prstGeom prst="bevel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12</xdr:col>
      <xdr:colOff>557311</xdr:colOff>
      <xdr:row>51</xdr:row>
      <xdr:rowOff>5255</xdr:rowOff>
    </xdr:from>
    <xdr:to>
      <xdr:col>13</xdr:col>
      <xdr:colOff>86007</xdr:colOff>
      <xdr:row>51</xdr:row>
      <xdr:rowOff>102492</xdr:rowOff>
    </xdr:to>
    <xdr:sp macro="" textlink="">
      <xdr:nvSpPr>
        <xdr:cNvPr id="41" name="Bevel 40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10120411" y="9901730"/>
          <a:ext cx="138296" cy="97237"/>
        </a:xfrm>
        <a:prstGeom prst="bevel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13</xdr:col>
      <xdr:colOff>128036</xdr:colOff>
      <xdr:row>51</xdr:row>
      <xdr:rowOff>5255</xdr:rowOff>
    </xdr:from>
    <xdr:to>
      <xdr:col>13</xdr:col>
      <xdr:colOff>268713</xdr:colOff>
      <xdr:row>51</xdr:row>
      <xdr:rowOff>102492</xdr:rowOff>
    </xdr:to>
    <xdr:sp macro="" textlink="">
      <xdr:nvSpPr>
        <xdr:cNvPr id="42" name="Bevel 41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10300736" y="9901730"/>
          <a:ext cx="140677" cy="97237"/>
        </a:xfrm>
        <a:prstGeom prst="bevel">
          <a:avLst/>
        </a:prstGeom>
        <a:solidFill>
          <a:schemeClr val="bg1">
            <a:lumMod val="9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13</xdr:col>
      <xdr:colOff>125655</xdr:colOff>
      <xdr:row>51</xdr:row>
      <xdr:rowOff>122733</xdr:rowOff>
    </xdr:from>
    <xdr:to>
      <xdr:col>13</xdr:col>
      <xdr:colOff>266332</xdr:colOff>
      <xdr:row>52</xdr:row>
      <xdr:rowOff>34747</xdr:rowOff>
    </xdr:to>
    <xdr:sp macro="" textlink="">
      <xdr:nvSpPr>
        <xdr:cNvPr id="43" name="Bevel 42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10298355" y="10019208"/>
          <a:ext cx="140677" cy="102514"/>
        </a:xfrm>
        <a:prstGeom prst="bevel">
          <a:avLst/>
        </a:prstGeom>
        <a:solidFill>
          <a:schemeClr val="bg1">
            <a:lumMod val="8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13</xdr:col>
      <xdr:colOff>307181</xdr:colOff>
      <xdr:row>51</xdr:row>
      <xdr:rowOff>0</xdr:rowOff>
    </xdr:from>
    <xdr:to>
      <xdr:col>13</xdr:col>
      <xdr:colOff>445477</xdr:colOff>
      <xdr:row>51</xdr:row>
      <xdr:rowOff>106634</xdr:rowOff>
    </xdr:to>
    <xdr:sp macro="" textlink="">
      <xdr:nvSpPr>
        <xdr:cNvPr id="44" name="Bevel 43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10479881" y="9896475"/>
          <a:ext cx="138296" cy="106634"/>
        </a:xfrm>
        <a:prstGeom prst="bevel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13</xdr:col>
      <xdr:colOff>301228</xdr:colOff>
      <xdr:row>51</xdr:row>
      <xdr:rowOff>119062</xdr:rowOff>
    </xdr:from>
    <xdr:to>
      <xdr:col>13</xdr:col>
      <xdr:colOff>441905</xdr:colOff>
      <xdr:row>52</xdr:row>
      <xdr:rowOff>34987</xdr:rowOff>
    </xdr:to>
    <xdr:sp macro="" textlink="">
      <xdr:nvSpPr>
        <xdr:cNvPr id="45" name="Bevel 44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10473928" y="10015537"/>
          <a:ext cx="140677" cy="106425"/>
        </a:xfrm>
        <a:prstGeom prst="bevel">
          <a:avLst/>
        </a:prstGeom>
        <a:solidFill>
          <a:srgbClr val="FBC1EA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13</xdr:col>
      <xdr:colOff>483393</xdr:colOff>
      <xdr:row>51</xdr:row>
      <xdr:rowOff>3572</xdr:rowOff>
    </xdr:from>
    <xdr:to>
      <xdr:col>14</xdr:col>
      <xdr:colOff>12089</xdr:colOff>
      <xdr:row>51</xdr:row>
      <xdr:rowOff>110206</xdr:rowOff>
    </xdr:to>
    <xdr:sp macro="" textlink="">
      <xdr:nvSpPr>
        <xdr:cNvPr id="46" name="Bevel 45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10656093" y="9900047"/>
          <a:ext cx="138296" cy="106634"/>
        </a:xfrm>
        <a:prstGeom prst="bevel">
          <a:avLst/>
        </a:prstGeom>
        <a:solidFill>
          <a:srgbClr val="FFFF0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13</xdr:col>
      <xdr:colOff>479821</xdr:colOff>
      <xdr:row>51</xdr:row>
      <xdr:rowOff>130969</xdr:rowOff>
    </xdr:from>
    <xdr:to>
      <xdr:col>14</xdr:col>
      <xdr:colOff>8517</xdr:colOff>
      <xdr:row>52</xdr:row>
      <xdr:rowOff>47103</xdr:rowOff>
    </xdr:to>
    <xdr:sp macro="" textlink="">
      <xdr:nvSpPr>
        <xdr:cNvPr id="47" name="Bevel 46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10652521" y="10027444"/>
          <a:ext cx="138296" cy="106634"/>
        </a:xfrm>
        <a:prstGeom prst="bevel">
          <a:avLst/>
        </a:prstGeom>
        <a:solidFill>
          <a:srgbClr val="99FFCC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9</xdr:col>
      <xdr:colOff>36634</xdr:colOff>
      <xdr:row>38</xdr:row>
      <xdr:rowOff>73269</xdr:rowOff>
    </xdr:from>
    <xdr:to>
      <xdr:col>9</xdr:col>
      <xdr:colOff>175258</xdr:colOff>
      <xdr:row>38</xdr:row>
      <xdr:rowOff>179493</xdr:rowOff>
    </xdr:to>
    <xdr:sp macro="" textlink="">
      <xdr:nvSpPr>
        <xdr:cNvPr id="48" name="Bevel 47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7444153" y="8477250"/>
          <a:ext cx="138624" cy="106224"/>
        </a:xfrm>
        <a:prstGeom prst="bevel">
          <a:avLst/>
        </a:prstGeom>
        <a:gradFill flip="none" rotWithShape="1">
          <a:gsLst>
            <a:gs pos="0">
              <a:srgbClr val="CCCCFF"/>
            </a:gs>
            <a:gs pos="17999">
              <a:srgbClr val="99CCFF"/>
            </a:gs>
            <a:gs pos="36000">
              <a:srgbClr val="9966FF"/>
            </a:gs>
            <a:gs pos="61000">
              <a:srgbClr val="CC99FF"/>
            </a:gs>
            <a:gs pos="82001">
              <a:srgbClr val="99CCFF"/>
            </a:gs>
            <a:gs pos="100000">
              <a:srgbClr val="CCCCFF"/>
            </a:gs>
          </a:gsLst>
          <a:path path="circle">
            <a:fillToRect l="50000" t="50000" r="50000" b="50000"/>
          </a:path>
          <a:tileRect/>
        </a:gra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9</xdr:col>
      <xdr:colOff>51289</xdr:colOff>
      <xdr:row>13</xdr:row>
      <xdr:rowOff>65690</xdr:rowOff>
    </xdr:from>
    <xdr:to>
      <xdr:col>9</xdr:col>
      <xdr:colOff>170793</xdr:colOff>
      <xdr:row>13</xdr:row>
      <xdr:rowOff>197827</xdr:rowOff>
    </xdr:to>
    <xdr:sp macro="" textlink="">
      <xdr:nvSpPr>
        <xdr:cNvPr id="50" name="Smiley Face 49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7461082" y="3087414"/>
          <a:ext cx="119504" cy="132137"/>
        </a:xfrm>
        <a:prstGeom prst="smileyFace">
          <a:avLst/>
        </a:prstGeom>
        <a:ln>
          <a:solidFill>
            <a:srgbClr val="0101FF"/>
          </a:solidFill>
        </a:ln>
        <a:effectLst>
          <a:glow rad="63500">
            <a:schemeClr val="accent1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  <xdr:twoCellAnchor>
    <xdr:from>
      <xdr:col>17</xdr:col>
      <xdr:colOff>387724</xdr:colOff>
      <xdr:row>19</xdr:row>
      <xdr:rowOff>241598</xdr:rowOff>
    </xdr:from>
    <xdr:to>
      <xdr:col>22</xdr:col>
      <xdr:colOff>134023</xdr:colOff>
      <xdr:row>32</xdr:row>
      <xdr:rowOff>116541</xdr:rowOff>
    </xdr:to>
    <xdr:pic>
      <xdr:nvPicPr>
        <xdr:cNvPr id="3073" name="Picture Frame 1">
          <a:extLst>
            <a:ext uri="{FF2B5EF4-FFF2-40B4-BE49-F238E27FC236}">
              <a16:creationId xmlns:a16="http://schemas.microsoft.com/office/drawing/2014/main" id="{00000000-0008-0000-0000-000001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2759" y="4481904"/>
          <a:ext cx="2883946" cy="27884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390526</xdr:colOff>
      <xdr:row>296</xdr:row>
      <xdr:rowOff>238857</xdr:rowOff>
    </xdr:from>
    <xdr:to>
      <xdr:col>10</xdr:col>
      <xdr:colOff>526042</xdr:colOff>
      <xdr:row>297</xdr:row>
      <xdr:rowOff>216304</xdr:rowOff>
    </xdr:to>
    <xdr:sp macro="" textlink="">
      <xdr:nvSpPr>
        <xdr:cNvPr id="20" name="Flowchart: Predefined Process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6429376" y="59170032"/>
          <a:ext cx="1249941" cy="225097"/>
        </a:xfrm>
        <a:prstGeom prst="flowChartPredefinedProcess">
          <a:avLst/>
        </a:prstGeom>
        <a:solidFill>
          <a:srgbClr val="FFFFCC"/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100"/>
            <a:t>All</a:t>
          </a:r>
          <a:r>
            <a:rPr lang="en-US" sz="1100" baseline="0"/>
            <a:t> Gear Box</a:t>
          </a:r>
          <a:endParaRPr lang="en-US" sz="1100"/>
        </a:p>
      </xdr:txBody>
    </xdr:sp>
    <xdr:clientData/>
  </xdr:twoCellAnchor>
  <xdr:twoCellAnchor>
    <xdr:from>
      <xdr:col>2</xdr:col>
      <xdr:colOff>0</xdr:colOff>
      <xdr:row>316</xdr:row>
      <xdr:rowOff>227194</xdr:rowOff>
    </xdr:from>
    <xdr:to>
      <xdr:col>3</xdr:col>
      <xdr:colOff>140276</xdr:colOff>
      <xdr:row>317</xdr:row>
      <xdr:rowOff>227354</xdr:rowOff>
    </xdr:to>
    <xdr:sp macro="" textlink="">
      <xdr:nvSpPr>
        <xdr:cNvPr id="21" name="Down Arrow Callout 2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1104900" y="64092319"/>
          <a:ext cx="749876" cy="247810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3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162367</xdr:colOff>
      <xdr:row>316</xdr:row>
      <xdr:rowOff>230488</xdr:rowOff>
    </xdr:from>
    <xdr:to>
      <xdr:col>5</xdr:col>
      <xdr:colOff>76802</xdr:colOff>
      <xdr:row>317</xdr:row>
      <xdr:rowOff>220167</xdr:rowOff>
    </xdr:to>
    <xdr:sp macro="" textlink="">
      <xdr:nvSpPr>
        <xdr:cNvPr id="22" name="Down Arrow Callout 2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1876867" y="64095613"/>
          <a:ext cx="752635" cy="237329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3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18550</xdr:colOff>
      <xdr:row>312</xdr:row>
      <xdr:rowOff>0</xdr:rowOff>
    </xdr:from>
    <xdr:to>
      <xdr:col>3</xdr:col>
      <xdr:colOff>139834</xdr:colOff>
      <xdr:row>313</xdr:row>
      <xdr:rowOff>6870</xdr:rowOff>
    </xdr:to>
    <xdr:sp macro="" textlink="">
      <xdr:nvSpPr>
        <xdr:cNvPr id="23" name="Up Arrow Callout 2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1123450" y="62874525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3</xdr:col>
      <xdr:colOff>168226</xdr:colOff>
      <xdr:row>312</xdr:row>
      <xdr:rowOff>3905</xdr:rowOff>
    </xdr:from>
    <xdr:to>
      <xdr:col>5</xdr:col>
      <xdr:colOff>60285</xdr:colOff>
      <xdr:row>313</xdr:row>
      <xdr:rowOff>7412</xdr:rowOff>
    </xdr:to>
    <xdr:sp macro="" textlink="">
      <xdr:nvSpPr>
        <xdr:cNvPr id="27" name="Up Arrow Callout 2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1882726" y="62878430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</xdr:col>
      <xdr:colOff>9166</xdr:colOff>
      <xdr:row>315</xdr:row>
      <xdr:rowOff>200841</xdr:rowOff>
    </xdr:from>
    <xdr:to>
      <xdr:col>3</xdr:col>
      <xdr:colOff>142215</xdr:colOff>
      <xdr:row>316</xdr:row>
      <xdr:rowOff>186325</xdr:rowOff>
    </xdr:to>
    <xdr:sp macro="" textlink="">
      <xdr:nvSpPr>
        <xdr:cNvPr id="28" name="Down Arrow Callout 2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1114066" y="63818316"/>
          <a:ext cx="742649" cy="233134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3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165844</xdr:colOff>
      <xdr:row>315</xdr:row>
      <xdr:rowOff>200290</xdr:rowOff>
    </xdr:from>
    <xdr:to>
      <xdr:col>5</xdr:col>
      <xdr:colOff>75444</xdr:colOff>
      <xdr:row>316</xdr:row>
      <xdr:rowOff>189345</xdr:rowOff>
    </xdr:to>
    <xdr:sp macro="" textlink="">
      <xdr:nvSpPr>
        <xdr:cNvPr id="29" name="Down Arrow Callout 2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1880344" y="63817765"/>
          <a:ext cx="747800" cy="236705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3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15434</xdr:colOff>
      <xdr:row>313</xdr:row>
      <xdr:rowOff>39206</xdr:rowOff>
    </xdr:from>
    <xdr:to>
      <xdr:col>3</xdr:col>
      <xdr:colOff>144596</xdr:colOff>
      <xdr:row>314</xdr:row>
      <xdr:rowOff>50804</xdr:rowOff>
    </xdr:to>
    <xdr:sp macro="" textlink="">
      <xdr:nvSpPr>
        <xdr:cNvPr id="30" name="Up Arrow Callout 2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1120334" y="63161381"/>
          <a:ext cx="738762" cy="259248"/>
        </a:xfrm>
        <a:prstGeom prst="upArrowCallout">
          <a:avLst/>
        </a:prstGeom>
        <a:blipFill>
          <a:blip xmlns:r="http://schemas.openxmlformats.org/officeDocument/2006/relationships" r:embed="rId11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173645</xdr:colOff>
      <xdr:row>313</xdr:row>
      <xdr:rowOff>36826</xdr:rowOff>
    </xdr:from>
    <xdr:to>
      <xdr:col>5</xdr:col>
      <xdr:colOff>78665</xdr:colOff>
      <xdr:row>314</xdr:row>
      <xdr:rowOff>40334</xdr:rowOff>
    </xdr:to>
    <xdr:sp macro="" textlink="">
      <xdr:nvSpPr>
        <xdr:cNvPr id="31" name="Up Arrow Callout 30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1888145" y="63159001"/>
          <a:ext cx="743220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1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13628</xdr:colOff>
      <xdr:row>314</xdr:row>
      <xdr:rowOff>63986</xdr:rowOff>
    </xdr:from>
    <xdr:to>
      <xdr:col>3</xdr:col>
      <xdr:colOff>142215</xdr:colOff>
      <xdr:row>315</xdr:row>
      <xdr:rowOff>76777</xdr:rowOff>
    </xdr:to>
    <xdr:sp macro="" textlink="">
      <xdr:nvSpPr>
        <xdr:cNvPr id="32" name="Up Arrow Callout 3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1118528" y="63433811"/>
          <a:ext cx="738187" cy="260441"/>
        </a:xfrm>
        <a:prstGeom prst="upArrowCallout">
          <a:avLst/>
        </a:prstGeom>
        <a:blipFill>
          <a:blip xmlns:r="http://schemas.openxmlformats.org/officeDocument/2006/relationships" r:embed="rId11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171338</xdr:colOff>
      <xdr:row>314</xdr:row>
      <xdr:rowOff>67539</xdr:rowOff>
    </xdr:from>
    <xdr:to>
      <xdr:col>5</xdr:col>
      <xdr:colOff>75856</xdr:colOff>
      <xdr:row>315</xdr:row>
      <xdr:rowOff>72415</xdr:rowOff>
    </xdr:to>
    <xdr:sp macro="" textlink="">
      <xdr:nvSpPr>
        <xdr:cNvPr id="33" name="Up Arrow Callout 32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1885838" y="63437364"/>
          <a:ext cx="742718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1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626165</xdr:colOff>
      <xdr:row>296</xdr:row>
      <xdr:rowOff>177662</xdr:rowOff>
    </xdr:from>
    <xdr:to>
      <xdr:col>7</xdr:col>
      <xdr:colOff>795831</xdr:colOff>
      <xdr:row>297</xdr:row>
      <xdr:rowOff>23501</xdr:rowOff>
    </xdr:to>
    <xdr:sp macro="" textlink="">
      <xdr:nvSpPr>
        <xdr:cNvPr id="34" name="Bevel 3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4899991" y="59037192"/>
          <a:ext cx="169666" cy="97631"/>
        </a:xfrm>
        <a:prstGeom prst="bevel">
          <a:avLst/>
        </a:prstGeom>
        <a:solidFill>
          <a:srgbClr val="00B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838511</xdr:colOff>
      <xdr:row>297</xdr:row>
      <xdr:rowOff>46125</xdr:rowOff>
    </xdr:from>
    <xdr:to>
      <xdr:col>8</xdr:col>
      <xdr:colOff>128668</xdr:colOff>
      <xdr:row>297</xdr:row>
      <xdr:rowOff>152123</xdr:rowOff>
    </xdr:to>
    <xdr:sp macro="" textlink="">
      <xdr:nvSpPr>
        <xdr:cNvPr id="35" name="Bevel 3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5112337" y="59157447"/>
          <a:ext cx="138296" cy="105998"/>
        </a:xfrm>
        <a:prstGeom prst="bevel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634202</xdr:colOff>
      <xdr:row>297</xdr:row>
      <xdr:rowOff>55011</xdr:rowOff>
    </xdr:from>
    <xdr:to>
      <xdr:col>7</xdr:col>
      <xdr:colOff>803868</xdr:colOff>
      <xdr:row>297</xdr:row>
      <xdr:rowOff>158827</xdr:rowOff>
    </xdr:to>
    <xdr:sp macro="" textlink="">
      <xdr:nvSpPr>
        <xdr:cNvPr id="36" name="Bevel 3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4908028" y="59166333"/>
          <a:ext cx="169666" cy="103816"/>
        </a:xfrm>
        <a:prstGeom prst="bevel">
          <a:avLst/>
        </a:prstGeom>
        <a:solidFill>
          <a:srgbClr val="0000FF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838510</xdr:colOff>
      <xdr:row>296</xdr:row>
      <xdr:rowOff>180043</xdr:rowOff>
    </xdr:from>
    <xdr:to>
      <xdr:col>8</xdr:col>
      <xdr:colOff>128667</xdr:colOff>
      <xdr:row>297</xdr:row>
      <xdr:rowOff>25882</xdr:rowOff>
    </xdr:to>
    <xdr:sp macro="" textlink="">
      <xdr:nvSpPr>
        <xdr:cNvPr id="37" name="Bevel 36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/>
      </xdr:nvSpPr>
      <xdr:spPr>
        <a:xfrm>
          <a:off x="5112336" y="59039573"/>
          <a:ext cx="138296" cy="97631"/>
        </a:xfrm>
        <a:prstGeom prst="bevel">
          <a:avLst/>
        </a:prstGeom>
        <a:solidFill>
          <a:srgbClr val="92D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173727</xdr:colOff>
      <xdr:row>296</xdr:row>
      <xdr:rowOff>180043</xdr:rowOff>
    </xdr:from>
    <xdr:to>
      <xdr:col>8</xdr:col>
      <xdr:colOff>314404</xdr:colOff>
      <xdr:row>297</xdr:row>
      <xdr:rowOff>25882</xdr:rowOff>
    </xdr:to>
    <xdr:sp macro="" textlink="">
      <xdr:nvSpPr>
        <xdr:cNvPr id="38" name="Bevel 37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>
          <a:off x="5295692" y="59039573"/>
          <a:ext cx="140677" cy="97631"/>
        </a:xfrm>
        <a:prstGeom prst="bevel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171346</xdr:colOff>
      <xdr:row>297</xdr:row>
      <xdr:rowOff>46123</xdr:rowOff>
    </xdr:from>
    <xdr:to>
      <xdr:col>8</xdr:col>
      <xdr:colOff>312023</xdr:colOff>
      <xdr:row>297</xdr:row>
      <xdr:rowOff>152121</xdr:rowOff>
    </xdr:to>
    <xdr:sp macro="" textlink="">
      <xdr:nvSpPr>
        <xdr:cNvPr id="39" name="Bevel 38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5293311" y="59157445"/>
          <a:ext cx="140677" cy="105998"/>
        </a:xfrm>
        <a:prstGeom prst="bevel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364327</xdr:colOff>
      <xdr:row>297</xdr:row>
      <xdr:rowOff>48605</xdr:rowOff>
    </xdr:from>
    <xdr:to>
      <xdr:col>8</xdr:col>
      <xdr:colOff>502623</xdr:colOff>
      <xdr:row>297</xdr:row>
      <xdr:rowOff>155260</xdr:rowOff>
    </xdr:to>
    <xdr:sp macro="" textlink="">
      <xdr:nvSpPr>
        <xdr:cNvPr id="40" name="Bevel 39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5486292" y="59159927"/>
          <a:ext cx="138296" cy="106655"/>
        </a:xfrm>
        <a:prstGeom prst="bevel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364326</xdr:colOff>
      <xdr:row>296</xdr:row>
      <xdr:rowOff>182917</xdr:rowOff>
    </xdr:from>
    <xdr:to>
      <xdr:col>8</xdr:col>
      <xdr:colOff>502622</xdr:colOff>
      <xdr:row>297</xdr:row>
      <xdr:rowOff>28362</xdr:rowOff>
    </xdr:to>
    <xdr:sp macro="" textlink="">
      <xdr:nvSpPr>
        <xdr:cNvPr id="41" name="Bevel 40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5486291" y="59042447"/>
          <a:ext cx="138296" cy="97237"/>
        </a:xfrm>
        <a:prstGeom prst="bevel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544651</xdr:colOff>
      <xdr:row>296</xdr:row>
      <xdr:rowOff>182917</xdr:rowOff>
    </xdr:from>
    <xdr:to>
      <xdr:col>8</xdr:col>
      <xdr:colOff>685328</xdr:colOff>
      <xdr:row>297</xdr:row>
      <xdr:rowOff>28362</xdr:rowOff>
    </xdr:to>
    <xdr:sp macro="" textlink="">
      <xdr:nvSpPr>
        <xdr:cNvPr id="42" name="Bevel 41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5666616" y="59042447"/>
          <a:ext cx="140677" cy="97237"/>
        </a:xfrm>
        <a:prstGeom prst="bevel">
          <a:avLst/>
        </a:prstGeom>
        <a:solidFill>
          <a:schemeClr val="bg1">
            <a:lumMod val="9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542270</xdr:colOff>
      <xdr:row>297</xdr:row>
      <xdr:rowOff>48603</xdr:rowOff>
    </xdr:from>
    <xdr:to>
      <xdr:col>8</xdr:col>
      <xdr:colOff>682947</xdr:colOff>
      <xdr:row>297</xdr:row>
      <xdr:rowOff>155258</xdr:rowOff>
    </xdr:to>
    <xdr:sp macro="" textlink="">
      <xdr:nvSpPr>
        <xdr:cNvPr id="43" name="Bevel 42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5664235" y="59159925"/>
          <a:ext cx="140677" cy="106655"/>
        </a:xfrm>
        <a:prstGeom prst="bevel">
          <a:avLst/>
        </a:prstGeom>
        <a:solidFill>
          <a:schemeClr val="bg1">
            <a:lumMod val="8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723796</xdr:colOff>
      <xdr:row>296</xdr:row>
      <xdr:rowOff>177662</xdr:rowOff>
    </xdr:from>
    <xdr:to>
      <xdr:col>8</xdr:col>
      <xdr:colOff>862092</xdr:colOff>
      <xdr:row>297</xdr:row>
      <xdr:rowOff>32504</xdr:rowOff>
    </xdr:to>
    <xdr:sp macro="" textlink="">
      <xdr:nvSpPr>
        <xdr:cNvPr id="44" name="Bevel 4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/>
      </xdr:nvSpPr>
      <xdr:spPr>
        <a:xfrm>
          <a:off x="5845761" y="59037192"/>
          <a:ext cx="138296" cy="106634"/>
        </a:xfrm>
        <a:prstGeom prst="bevel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717843</xdr:colOff>
      <xdr:row>297</xdr:row>
      <xdr:rowOff>44932</xdr:rowOff>
    </xdr:from>
    <xdr:to>
      <xdr:col>8</xdr:col>
      <xdr:colOff>858520</xdr:colOff>
      <xdr:row>297</xdr:row>
      <xdr:rowOff>155498</xdr:rowOff>
    </xdr:to>
    <xdr:sp macro="" textlink="">
      <xdr:nvSpPr>
        <xdr:cNvPr id="45" name="Bevel 44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5839808" y="59156254"/>
          <a:ext cx="140677" cy="110566"/>
        </a:xfrm>
        <a:prstGeom prst="bevel">
          <a:avLst/>
        </a:prstGeom>
        <a:solidFill>
          <a:srgbClr val="FBC1EA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900008</xdr:colOff>
      <xdr:row>296</xdr:row>
      <xdr:rowOff>181234</xdr:rowOff>
    </xdr:from>
    <xdr:to>
      <xdr:col>8</xdr:col>
      <xdr:colOff>1067707</xdr:colOff>
      <xdr:row>297</xdr:row>
      <xdr:rowOff>36076</xdr:rowOff>
    </xdr:to>
    <xdr:sp macro="" textlink="">
      <xdr:nvSpPr>
        <xdr:cNvPr id="46" name="Bevel 45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6021973" y="59040764"/>
          <a:ext cx="167699" cy="106634"/>
        </a:xfrm>
        <a:prstGeom prst="bevel">
          <a:avLst/>
        </a:prstGeom>
        <a:solidFill>
          <a:srgbClr val="FFFF0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896436</xdr:colOff>
      <xdr:row>297</xdr:row>
      <xdr:rowOff>56839</xdr:rowOff>
    </xdr:from>
    <xdr:to>
      <xdr:col>8</xdr:col>
      <xdr:colOff>1064135</xdr:colOff>
      <xdr:row>297</xdr:row>
      <xdr:rowOff>167614</xdr:rowOff>
    </xdr:to>
    <xdr:sp macro="" textlink="">
      <xdr:nvSpPr>
        <xdr:cNvPr id="47" name="Bevel 46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6018401" y="59168161"/>
          <a:ext cx="167699" cy="110775"/>
        </a:xfrm>
        <a:prstGeom prst="bevel">
          <a:avLst/>
        </a:prstGeom>
        <a:solidFill>
          <a:srgbClr val="99FFCC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29308</xdr:colOff>
      <xdr:row>109</xdr:row>
      <xdr:rowOff>249115</xdr:rowOff>
    </xdr:from>
    <xdr:to>
      <xdr:col>11</xdr:col>
      <xdr:colOff>171451</xdr:colOff>
      <xdr:row>110</xdr:row>
      <xdr:rowOff>97630</xdr:rowOff>
    </xdr:to>
    <xdr:sp macro="" textlink="">
      <xdr:nvSpPr>
        <xdr:cNvPr id="48" name="Bevel 47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>
          <a:off x="7913077" y="21944134"/>
          <a:ext cx="142143" cy="97631"/>
        </a:xfrm>
        <a:prstGeom prst="bevel">
          <a:avLst/>
        </a:prstGeom>
        <a:solidFill>
          <a:srgbClr val="00B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214131</xdr:colOff>
      <xdr:row>110</xdr:row>
      <xdr:rowOff>120254</xdr:rowOff>
    </xdr:from>
    <xdr:to>
      <xdr:col>11</xdr:col>
      <xdr:colOff>352427</xdr:colOff>
      <xdr:row>110</xdr:row>
      <xdr:rowOff>223576</xdr:rowOff>
    </xdr:to>
    <xdr:sp macro="" textlink="">
      <xdr:nvSpPr>
        <xdr:cNvPr id="49" name="Bevel 4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>
          <a:off x="8097900" y="22064389"/>
          <a:ext cx="138296" cy="103322"/>
        </a:xfrm>
        <a:prstGeom prst="bevel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37345</xdr:colOff>
      <xdr:row>110</xdr:row>
      <xdr:rowOff>129140</xdr:rowOff>
    </xdr:from>
    <xdr:to>
      <xdr:col>11</xdr:col>
      <xdr:colOff>179488</xdr:colOff>
      <xdr:row>110</xdr:row>
      <xdr:rowOff>230280</xdr:rowOff>
    </xdr:to>
    <xdr:sp macro="" textlink="">
      <xdr:nvSpPr>
        <xdr:cNvPr id="50" name="Bevel 4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/>
      </xdr:nvSpPr>
      <xdr:spPr>
        <a:xfrm>
          <a:off x="7921114" y="22073275"/>
          <a:ext cx="142143" cy="101140"/>
        </a:xfrm>
        <a:prstGeom prst="bevel">
          <a:avLst/>
        </a:prstGeom>
        <a:solidFill>
          <a:srgbClr val="0000FF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214130</xdr:colOff>
      <xdr:row>110</xdr:row>
      <xdr:rowOff>2380</xdr:rowOff>
    </xdr:from>
    <xdr:to>
      <xdr:col>11</xdr:col>
      <xdr:colOff>352426</xdr:colOff>
      <xdr:row>110</xdr:row>
      <xdr:rowOff>100011</xdr:rowOff>
    </xdr:to>
    <xdr:sp macro="" textlink="">
      <xdr:nvSpPr>
        <xdr:cNvPr id="51" name="Bevel 50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>
          <a:off x="8097899" y="21946515"/>
          <a:ext cx="138296" cy="97631"/>
        </a:xfrm>
        <a:prstGeom prst="bevel">
          <a:avLst/>
        </a:prstGeom>
        <a:solidFill>
          <a:srgbClr val="92D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397486</xdr:colOff>
      <xdr:row>110</xdr:row>
      <xdr:rowOff>2380</xdr:rowOff>
    </xdr:from>
    <xdr:to>
      <xdr:col>11</xdr:col>
      <xdr:colOff>538163</xdr:colOff>
      <xdr:row>110</xdr:row>
      <xdr:rowOff>100011</xdr:rowOff>
    </xdr:to>
    <xdr:sp macro="" textlink="">
      <xdr:nvSpPr>
        <xdr:cNvPr id="52" name="Bevel 5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/>
      </xdr:nvSpPr>
      <xdr:spPr>
        <a:xfrm>
          <a:off x="8281255" y="21946515"/>
          <a:ext cx="140677" cy="97631"/>
        </a:xfrm>
        <a:prstGeom prst="bevel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395105</xdr:colOff>
      <xdr:row>110</xdr:row>
      <xdr:rowOff>120252</xdr:rowOff>
    </xdr:from>
    <xdr:to>
      <xdr:col>11</xdr:col>
      <xdr:colOff>535782</xdr:colOff>
      <xdr:row>110</xdr:row>
      <xdr:rowOff>223574</xdr:rowOff>
    </xdr:to>
    <xdr:sp macro="" textlink="">
      <xdr:nvSpPr>
        <xdr:cNvPr id="53" name="Bevel 52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/>
      </xdr:nvSpPr>
      <xdr:spPr>
        <a:xfrm>
          <a:off x="8278874" y="22064387"/>
          <a:ext cx="140677" cy="103322"/>
        </a:xfrm>
        <a:prstGeom prst="bevel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0</xdr:colOff>
      <xdr:row>48</xdr:row>
      <xdr:rowOff>0</xdr:rowOff>
    </xdr:from>
    <xdr:to>
      <xdr:col>11</xdr:col>
      <xdr:colOff>142143</xdr:colOff>
      <xdr:row>48</xdr:row>
      <xdr:rowOff>96993</xdr:rowOff>
    </xdr:to>
    <xdr:sp macro="" textlink="">
      <xdr:nvSpPr>
        <xdr:cNvPr id="54" name="Bevel 5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/>
      </xdr:nvSpPr>
      <xdr:spPr>
        <a:xfrm>
          <a:off x="7893326" y="9243391"/>
          <a:ext cx="142143" cy="96993"/>
        </a:xfrm>
        <a:prstGeom prst="bevel">
          <a:avLst/>
        </a:prstGeom>
        <a:solidFill>
          <a:srgbClr val="00B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184823</xdr:colOff>
      <xdr:row>48</xdr:row>
      <xdr:rowOff>119617</xdr:rowOff>
    </xdr:from>
    <xdr:to>
      <xdr:col>11</xdr:col>
      <xdr:colOff>323119</xdr:colOff>
      <xdr:row>49</xdr:row>
      <xdr:rowOff>15873</xdr:rowOff>
    </xdr:to>
    <xdr:sp macro="" textlink="">
      <xdr:nvSpPr>
        <xdr:cNvPr id="55" name="Bevel 5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/>
      </xdr:nvSpPr>
      <xdr:spPr>
        <a:xfrm>
          <a:off x="8078149" y="9363008"/>
          <a:ext cx="138296" cy="103322"/>
        </a:xfrm>
        <a:prstGeom prst="bevel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8037</xdr:colOff>
      <xdr:row>48</xdr:row>
      <xdr:rowOff>128503</xdr:rowOff>
    </xdr:from>
    <xdr:to>
      <xdr:col>11</xdr:col>
      <xdr:colOff>150180</xdr:colOff>
      <xdr:row>49</xdr:row>
      <xdr:rowOff>22577</xdr:rowOff>
    </xdr:to>
    <xdr:sp macro="" textlink="">
      <xdr:nvSpPr>
        <xdr:cNvPr id="56" name="Bevel 5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/>
      </xdr:nvSpPr>
      <xdr:spPr>
        <a:xfrm>
          <a:off x="7901363" y="9371894"/>
          <a:ext cx="142143" cy="101140"/>
        </a:xfrm>
        <a:prstGeom prst="bevel">
          <a:avLst/>
        </a:prstGeom>
        <a:solidFill>
          <a:srgbClr val="0000FF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184822</xdr:colOff>
      <xdr:row>48</xdr:row>
      <xdr:rowOff>1743</xdr:rowOff>
    </xdr:from>
    <xdr:to>
      <xdr:col>11</xdr:col>
      <xdr:colOff>323118</xdr:colOff>
      <xdr:row>48</xdr:row>
      <xdr:rowOff>99374</xdr:rowOff>
    </xdr:to>
    <xdr:sp macro="" textlink="">
      <xdr:nvSpPr>
        <xdr:cNvPr id="57" name="Bevel 56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/>
      </xdr:nvSpPr>
      <xdr:spPr>
        <a:xfrm>
          <a:off x="8078148" y="9245134"/>
          <a:ext cx="138296" cy="97631"/>
        </a:xfrm>
        <a:prstGeom prst="bevel">
          <a:avLst/>
        </a:prstGeom>
        <a:solidFill>
          <a:srgbClr val="92D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368178</xdr:colOff>
      <xdr:row>48</xdr:row>
      <xdr:rowOff>1743</xdr:rowOff>
    </xdr:from>
    <xdr:to>
      <xdr:col>11</xdr:col>
      <xdr:colOff>508855</xdr:colOff>
      <xdr:row>48</xdr:row>
      <xdr:rowOff>99374</xdr:rowOff>
    </xdr:to>
    <xdr:sp macro="" textlink="">
      <xdr:nvSpPr>
        <xdr:cNvPr id="58" name="Bevel 57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/>
      </xdr:nvSpPr>
      <xdr:spPr>
        <a:xfrm>
          <a:off x="8261504" y="9245134"/>
          <a:ext cx="140677" cy="97631"/>
        </a:xfrm>
        <a:prstGeom prst="bevel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365797</xdr:colOff>
      <xdr:row>48</xdr:row>
      <xdr:rowOff>119615</xdr:rowOff>
    </xdr:from>
    <xdr:to>
      <xdr:col>11</xdr:col>
      <xdr:colOff>506474</xdr:colOff>
      <xdr:row>49</xdr:row>
      <xdr:rowOff>15871</xdr:rowOff>
    </xdr:to>
    <xdr:sp macro="" textlink="">
      <xdr:nvSpPr>
        <xdr:cNvPr id="59" name="Bevel 58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>
          <a:off x="8259123" y="9363006"/>
          <a:ext cx="140677" cy="103322"/>
        </a:xfrm>
        <a:prstGeom prst="bevel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6981</xdr:colOff>
      <xdr:row>139</xdr:row>
      <xdr:rowOff>32845</xdr:rowOff>
    </xdr:from>
    <xdr:to>
      <xdr:col>11</xdr:col>
      <xdr:colOff>152818</xdr:colOff>
      <xdr:row>139</xdr:row>
      <xdr:rowOff>129838</xdr:rowOff>
    </xdr:to>
    <xdr:sp macro="" textlink="">
      <xdr:nvSpPr>
        <xdr:cNvPr id="60" name="Bevel 59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/>
      </xdr:nvSpPr>
      <xdr:spPr>
        <a:xfrm>
          <a:off x="7882965" y="28238751"/>
          <a:ext cx="145837" cy="96993"/>
        </a:xfrm>
        <a:prstGeom prst="bevel">
          <a:avLst/>
        </a:prstGeom>
        <a:solidFill>
          <a:srgbClr val="00B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195498</xdr:colOff>
      <xdr:row>139</xdr:row>
      <xdr:rowOff>152462</xdr:rowOff>
    </xdr:from>
    <xdr:to>
      <xdr:col>11</xdr:col>
      <xdr:colOff>333794</xdr:colOff>
      <xdr:row>140</xdr:row>
      <xdr:rowOff>48718</xdr:rowOff>
    </xdr:to>
    <xdr:sp macro="" textlink="">
      <xdr:nvSpPr>
        <xdr:cNvPr id="61" name="Bevel 60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/>
      </xdr:nvSpPr>
      <xdr:spPr>
        <a:xfrm>
          <a:off x="8071482" y="28358368"/>
          <a:ext cx="138296" cy="104616"/>
        </a:xfrm>
        <a:prstGeom prst="bevel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15018</xdr:colOff>
      <xdr:row>139</xdr:row>
      <xdr:rowOff>161348</xdr:rowOff>
    </xdr:from>
    <xdr:to>
      <xdr:col>11</xdr:col>
      <xdr:colOff>160855</xdr:colOff>
      <xdr:row>140</xdr:row>
      <xdr:rowOff>55422</xdr:rowOff>
    </xdr:to>
    <xdr:sp macro="" textlink="">
      <xdr:nvSpPr>
        <xdr:cNvPr id="62" name="Bevel 61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/>
      </xdr:nvSpPr>
      <xdr:spPr>
        <a:xfrm>
          <a:off x="7891002" y="28367254"/>
          <a:ext cx="145837" cy="102434"/>
        </a:xfrm>
        <a:prstGeom prst="bevel">
          <a:avLst/>
        </a:prstGeom>
        <a:solidFill>
          <a:srgbClr val="0000FF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195497</xdr:colOff>
      <xdr:row>139</xdr:row>
      <xdr:rowOff>34588</xdr:rowOff>
    </xdr:from>
    <xdr:to>
      <xdr:col>11</xdr:col>
      <xdr:colOff>333793</xdr:colOff>
      <xdr:row>139</xdr:row>
      <xdr:rowOff>132219</xdr:rowOff>
    </xdr:to>
    <xdr:sp macro="" textlink="">
      <xdr:nvSpPr>
        <xdr:cNvPr id="63" name="Bevel 62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/>
      </xdr:nvSpPr>
      <xdr:spPr>
        <a:xfrm>
          <a:off x="8071481" y="28240494"/>
          <a:ext cx="138296" cy="97631"/>
        </a:xfrm>
        <a:prstGeom prst="bevel">
          <a:avLst/>
        </a:prstGeom>
        <a:solidFill>
          <a:srgbClr val="92D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378853</xdr:colOff>
      <xdr:row>139</xdr:row>
      <xdr:rowOff>34588</xdr:rowOff>
    </xdr:from>
    <xdr:to>
      <xdr:col>11</xdr:col>
      <xdr:colOff>519530</xdr:colOff>
      <xdr:row>139</xdr:row>
      <xdr:rowOff>132219</xdr:rowOff>
    </xdr:to>
    <xdr:sp macro="" textlink="">
      <xdr:nvSpPr>
        <xdr:cNvPr id="64" name="Bevel 63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/>
      </xdr:nvSpPr>
      <xdr:spPr>
        <a:xfrm>
          <a:off x="8254837" y="28240494"/>
          <a:ext cx="140677" cy="97631"/>
        </a:xfrm>
        <a:prstGeom prst="bevel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376472</xdr:colOff>
      <xdr:row>139</xdr:row>
      <xdr:rowOff>152460</xdr:rowOff>
    </xdr:from>
    <xdr:to>
      <xdr:col>11</xdr:col>
      <xdr:colOff>517149</xdr:colOff>
      <xdr:row>140</xdr:row>
      <xdr:rowOff>48716</xdr:rowOff>
    </xdr:to>
    <xdr:sp macro="" textlink="">
      <xdr:nvSpPr>
        <xdr:cNvPr id="65" name="Bevel 64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/>
      </xdr:nvSpPr>
      <xdr:spPr>
        <a:xfrm>
          <a:off x="8252456" y="28358366"/>
          <a:ext cx="140677" cy="104616"/>
        </a:xfrm>
        <a:prstGeom prst="bevel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41413</xdr:colOff>
      <xdr:row>192</xdr:row>
      <xdr:rowOff>91109</xdr:rowOff>
    </xdr:from>
    <xdr:to>
      <xdr:col>11</xdr:col>
      <xdr:colOff>183556</xdr:colOff>
      <xdr:row>192</xdr:row>
      <xdr:rowOff>188102</xdr:rowOff>
    </xdr:to>
    <xdr:sp macro="" textlink="">
      <xdr:nvSpPr>
        <xdr:cNvPr id="66" name="Bevel 6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/>
      </xdr:nvSpPr>
      <xdr:spPr>
        <a:xfrm>
          <a:off x="7934739" y="38762609"/>
          <a:ext cx="142143" cy="96993"/>
        </a:xfrm>
        <a:prstGeom prst="bevel">
          <a:avLst/>
        </a:prstGeom>
        <a:solidFill>
          <a:srgbClr val="00B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226235</xdr:colOff>
      <xdr:row>192</xdr:row>
      <xdr:rowOff>92852</xdr:rowOff>
    </xdr:from>
    <xdr:to>
      <xdr:col>11</xdr:col>
      <xdr:colOff>364531</xdr:colOff>
      <xdr:row>192</xdr:row>
      <xdr:rowOff>190483</xdr:rowOff>
    </xdr:to>
    <xdr:sp macro="" textlink="">
      <xdr:nvSpPr>
        <xdr:cNvPr id="69" name="Bevel 68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/>
      </xdr:nvSpPr>
      <xdr:spPr>
        <a:xfrm>
          <a:off x="8119561" y="38764352"/>
          <a:ext cx="138296" cy="97631"/>
        </a:xfrm>
        <a:prstGeom prst="bevel">
          <a:avLst/>
        </a:prstGeom>
        <a:solidFill>
          <a:srgbClr val="92D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409591</xdr:colOff>
      <xdr:row>192</xdr:row>
      <xdr:rowOff>92852</xdr:rowOff>
    </xdr:from>
    <xdr:to>
      <xdr:col>11</xdr:col>
      <xdr:colOff>550268</xdr:colOff>
      <xdr:row>192</xdr:row>
      <xdr:rowOff>190483</xdr:rowOff>
    </xdr:to>
    <xdr:sp macro="" textlink="">
      <xdr:nvSpPr>
        <xdr:cNvPr id="70" name="Bevel 69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/>
      </xdr:nvSpPr>
      <xdr:spPr>
        <a:xfrm>
          <a:off x="8302917" y="38764352"/>
          <a:ext cx="140677" cy="97631"/>
        </a:xfrm>
        <a:prstGeom prst="bevel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22712</xdr:colOff>
      <xdr:row>293</xdr:row>
      <xdr:rowOff>57150</xdr:rowOff>
    </xdr:from>
    <xdr:to>
      <xdr:col>11</xdr:col>
      <xdr:colOff>205153</xdr:colOff>
      <xdr:row>294</xdr:row>
      <xdr:rowOff>109903</xdr:rowOff>
    </xdr:to>
    <xdr:sp macro="" textlink="">
      <xdr:nvSpPr>
        <xdr:cNvPr id="67" name="Up Arrow 66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/>
      </xdr:nvSpPr>
      <xdr:spPr>
        <a:xfrm>
          <a:off x="7906481" y="58452727"/>
          <a:ext cx="182441" cy="279888"/>
        </a:xfrm>
        <a:prstGeom prst="upArrow">
          <a:avLst/>
        </a:prstGeom>
        <a:solidFill>
          <a:srgbClr val="99FF99">
            <a:alpha val="7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123825</xdr:colOff>
      <xdr:row>193</xdr:row>
      <xdr:rowOff>47625</xdr:rowOff>
    </xdr:from>
    <xdr:to>
      <xdr:col>11</xdr:col>
      <xdr:colOff>314325</xdr:colOff>
      <xdr:row>194</xdr:row>
      <xdr:rowOff>152400</xdr:rowOff>
    </xdr:to>
    <xdr:sp macro="" textlink="">
      <xdr:nvSpPr>
        <xdr:cNvPr id="68" name="Down Arrow 67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/>
      </xdr:nvSpPr>
      <xdr:spPr>
        <a:xfrm>
          <a:off x="8001000" y="38957250"/>
          <a:ext cx="190500" cy="295275"/>
        </a:xfrm>
        <a:prstGeom prst="downArrow">
          <a:avLst/>
        </a:prstGeom>
        <a:solidFill>
          <a:srgbClr val="CCFFFF">
            <a:alpha val="7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333375</xdr:colOff>
      <xdr:row>193</xdr:row>
      <xdr:rowOff>38100</xdr:rowOff>
    </xdr:from>
    <xdr:to>
      <xdr:col>11</xdr:col>
      <xdr:colOff>515816</xdr:colOff>
      <xdr:row>194</xdr:row>
      <xdr:rowOff>128953</xdr:rowOff>
    </xdr:to>
    <xdr:sp macro="" textlink="">
      <xdr:nvSpPr>
        <xdr:cNvPr id="71" name="Up Arrow 70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/>
      </xdr:nvSpPr>
      <xdr:spPr>
        <a:xfrm>
          <a:off x="8210550" y="38947725"/>
          <a:ext cx="182441" cy="281353"/>
        </a:xfrm>
        <a:prstGeom prst="upArrow">
          <a:avLst/>
        </a:prstGeom>
        <a:solidFill>
          <a:srgbClr val="99FF99">
            <a:alpha val="7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38100</xdr:colOff>
      <xdr:row>124</xdr:row>
      <xdr:rowOff>57150</xdr:rowOff>
    </xdr:from>
    <xdr:to>
      <xdr:col>11</xdr:col>
      <xdr:colOff>228600</xdr:colOff>
      <xdr:row>125</xdr:row>
      <xdr:rowOff>161925</xdr:rowOff>
    </xdr:to>
    <xdr:sp macro="" textlink="">
      <xdr:nvSpPr>
        <xdr:cNvPr id="72" name="Down Arrow 71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/>
      </xdr:nvSpPr>
      <xdr:spPr>
        <a:xfrm>
          <a:off x="7915275" y="25231725"/>
          <a:ext cx="190500" cy="295275"/>
        </a:xfrm>
        <a:prstGeom prst="downArrow">
          <a:avLst/>
        </a:prstGeom>
        <a:solidFill>
          <a:srgbClr val="CCFFFF">
            <a:alpha val="7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238125</xdr:colOff>
      <xdr:row>124</xdr:row>
      <xdr:rowOff>47625</xdr:rowOff>
    </xdr:from>
    <xdr:to>
      <xdr:col>11</xdr:col>
      <xdr:colOff>420566</xdr:colOff>
      <xdr:row>125</xdr:row>
      <xdr:rowOff>138478</xdr:rowOff>
    </xdr:to>
    <xdr:sp macro="" textlink="">
      <xdr:nvSpPr>
        <xdr:cNvPr id="73" name="Up Arrow 72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/>
      </xdr:nvSpPr>
      <xdr:spPr>
        <a:xfrm>
          <a:off x="8115300" y="25222200"/>
          <a:ext cx="182441" cy="281353"/>
        </a:xfrm>
        <a:prstGeom prst="upArrow">
          <a:avLst/>
        </a:prstGeom>
        <a:solidFill>
          <a:srgbClr val="99FF99">
            <a:alpha val="7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0</xdr:colOff>
      <xdr:row>83</xdr:row>
      <xdr:rowOff>0</xdr:rowOff>
    </xdr:from>
    <xdr:to>
      <xdr:col>11</xdr:col>
      <xdr:colOff>190500</xdr:colOff>
      <xdr:row>84</xdr:row>
      <xdr:rowOff>133350</xdr:rowOff>
    </xdr:to>
    <xdr:sp macro="" textlink="">
      <xdr:nvSpPr>
        <xdr:cNvPr id="74" name="Down Arrow 73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/>
      </xdr:nvSpPr>
      <xdr:spPr>
        <a:xfrm>
          <a:off x="7877175" y="16116300"/>
          <a:ext cx="190500" cy="323850"/>
        </a:xfrm>
        <a:prstGeom prst="downArrow">
          <a:avLst/>
        </a:prstGeom>
        <a:solidFill>
          <a:srgbClr val="CCFFFF">
            <a:alpha val="7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190500</xdr:colOff>
      <xdr:row>82</xdr:row>
      <xdr:rowOff>190500</xdr:rowOff>
    </xdr:from>
    <xdr:to>
      <xdr:col>11</xdr:col>
      <xdr:colOff>372941</xdr:colOff>
      <xdr:row>84</xdr:row>
      <xdr:rowOff>109903</xdr:rowOff>
    </xdr:to>
    <xdr:sp macro="" textlink="">
      <xdr:nvSpPr>
        <xdr:cNvPr id="75" name="Up Arrow 74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8067675" y="16106775"/>
          <a:ext cx="182441" cy="309928"/>
        </a:xfrm>
        <a:prstGeom prst="upArrow">
          <a:avLst/>
        </a:prstGeom>
        <a:solidFill>
          <a:srgbClr val="99FF99">
            <a:alpha val="7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19050</xdr:colOff>
      <xdr:row>30</xdr:row>
      <xdr:rowOff>95250</xdr:rowOff>
    </xdr:from>
    <xdr:to>
      <xdr:col>11</xdr:col>
      <xdr:colOff>209550</xdr:colOff>
      <xdr:row>32</xdr:row>
      <xdr:rowOff>57150</xdr:rowOff>
    </xdr:to>
    <xdr:sp macro="" textlink="">
      <xdr:nvSpPr>
        <xdr:cNvPr id="76" name="Down Arrow 75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/>
      </xdr:nvSpPr>
      <xdr:spPr>
        <a:xfrm>
          <a:off x="7896225" y="5886450"/>
          <a:ext cx="190500" cy="323850"/>
        </a:xfrm>
        <a:prstGeom prst="downArrow">
          <a:avLst/>
        </a:prstGeom>
        <a:solidFill>
          <a:srgbClr val="CCFFFF">
            <a:alpha val="7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28575</xdr:colOff>
      <xdr:row>26</xdr:row>
      <xdr:rowOff>19050</xdr:rowOff>
    </xdr:from>
    <xdr:to>
      <xdr:col>11</xdr:col>
      <xdr:colOff>171450</xdr:colOff>
      <xdr:row>27</xdr:row>
      <xdr:rowOff>47625</xdr:rowOff>
    </xdr:to>
    <xdr:sp macro="" textlink="">
      <xdr:nvSpPr>
        <xdr:cNvPr id="77" name="Up-Down Arrow 76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>
          <a:off x="8391525" y="6781800"/>
          <a:ext cx="142875" cy="257175"/>
        </a:xfrm>
        <a:prstGeom prst="upDownArrow">
          <a:avLst/>
        </a:prstGeom>
        <a:solidFill>
          <a:srgbClr val="99FFCC">
            <a:alpha val="9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367553</xdr:colOff>
      <xdr:row>192</xdr:row>
      <xdr:rowOff>35411</xdr:rowOff>
    </xdr:from>
    <xdr:to>
      <xdr:col>10</xdr:col>
      <xdr:colOff>709108</xdr:colOff>
      <xdr:row>249</xdr:row>
      <xdr:rowOff>109370</xdr:rowOff>
    </xdr:to>
    <xdr:sp macro="" textlink="">
      <xdr:nvSpPr>
        <xdr:cNvPr id="4139" name="Rectangle 283">
          <a:extLst>
            <a:ext uri="{FF2B5EF4-FFF2-40B4-BE49-F238E27FC236}">
              <a16:creationId xmlns:a16="http://schemas.microsoft.com/office/drawing/2014/main" id="{00000000-0008-0000-0100-00002B100000}"/>
            </a:ext>
          </a:extLst>
        </xdr:cNvPr>
        <xdr:cNvSpPr>
          <a:spLocks noChangeArrowheads="1"/>
        </xdr:cNvSpPr>
      </xdr:nvSpPr>
      <xdr:spPr bwMode="auto">
        <a:xfrm>
          <a:off x="367553" y="37167223"/>
          <a:ext cx="7701579" cy="10481982"/>
        </a:xfrm>
        <a:prstGeom prst="rect">
          <a:avLst/>
        </a:prstGeom>
        <a:solidFill>
          <a:srgbClr val="FFFFFF">
            <a:alpha val="73000"/>
          </a:srgbClr>
        </a:solidFill>
        <a:ln w="9525">
          <a:noFill/>
          <a:miter lim="800000"/>
          <a:headEnd/>
          <a:tailEnd/>
        </a:ln>
      </xdr:spPr>
    </xdr:sp>
    <xdr:clientData/>
  </xdr:twoCellAnchor>
  <xdr:twoCellAnchor>
    <xdr:from>
      <xdr:col>1</xdr:col>
      <xdr:colOff>480060</xdr:colOff>
      <xdr:row>215</xdr:row>
      <xdr:rowOff>53340</xdr:rowOff>
    </xdr:from>
    <xdr:to>
      <xdr:col>5</xdr:col>
      <xdr:colOff>563880</xdr:colOff>
      <xdr:row>215</xdr:row>
      <xdr:rowOff>60960</xdr:rowOff>
    </xdr:to>
    <xdr:sp macro="" textlink="">
      <xdr:nvSpPr>
        <xdr:cNvPr id="4097" name="Line 1">
          <a:extLst>
            <a:ext uri="{FF2B5EF4-FFF2-40B4-BE49-F238E27FC236}">
              <a16:creationId xmlns:a16="http://schemas.microsoft.com/office/drawing/2014/main" id="{00000000-0008-0000-0100-000001100000}"/>
            </a:ext>
          </a:extLst>
        </xdr:cNvPr>
        <xdr:cNvSpPr>
          <a:spLocks noChangeShapeType="1"/>
        </xdr:cNvSpPr>
      </xdr:nvSpPr>
      <xdr:spPr bwMode="auto">
        <a:xfrm flipV="1">
          <a:off x="1104900" y="41894760"/>
          <a:ext cx="20802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121920</xdr:colOff>
      <xdr:row>213</xdr:row>
      <xdr:rowOff>76200</xdr:rowOff>
    </xdr:from>
    <xdr:to>
      <xdr:col>5</xdr:col>
      <xdr:colOff>129540</xdr:colOff>
      <xdr:row>220</xdr:row>
      <xdr:rowOff>129540</xdr:rowOff>
    </xdr:to>
    <xdr:sp macro="" textlink="">
      <xdr:nvSpPr>
        <xdr:cNvPr id="4098" name="Line 4">
          <a:extLst>
            <a:ext uri="{FF2B5EF4-FFF2-40B4-BE49-F238E27FC236}">
              <a16:creationId xmlns:a16="http://schemas.microsoft.com/office/drawing/2014/main" id="{00000000-0008-0000-0100-000002100000}"/>
            </a:ext>
          </a:extLst>
        </xdr:cNvPr>
        <xdr:cNvSpPr>
          <a:spLocks noChangeShapeType="1"/>
        </xdr:cNvSpPr>
      </xdr:nvSpPr>
      <xdr:spPr bwMode="auto">
        <a:xfrm>
          <a:off x="2743200" y="41551860"/>
          <a:ext cx="7620" cy="13335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480060</xdr:colOff>
      <xdr:row>213</xdr:row>
      <xdr:rowOff>68580</xdr:rowOff>
    </xdr:from>
    <xdr:to>
      <xdr:col>2</xdr:col>
      <xdr:colOff>45720</xdr:colOff>
      <xdr:row>220</xdr:row>
      <xdr:rowOff>53340</xdr:rowOff>
    </xdr:to>
    <xdr:sp macro="" textlink="">
      <xdr:nvSpPr>
        <xdr:cNvPr id="4099" name="Line 6">
          <a:extLst>
            <a:ext uri="{FF2B5EF4-FFF2-40B4-BE49-F238E27FC236}">
              <a16:creationId xmlns:a16="http://schemas.microsoft.com/office/drawing/2014/main" id="{00000000-0008-0000-0100-000003100000}"/>
            </a:ext>
          </a:extLst>
        </xdr:cNvPr>
        <xdr:cNvSpPr>
          <a:spLocks noChangeShapeType="1"/>
        </xdr:cNvSpPr>
      </xdr:nvSpPr>
      <xdr:spPr bwMode="auto">
        <a:xfrm>
          <a:off x="1104900" y="41544240"/>
          <a:ext cx="76200" cy="12649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586740</xdr:colOff>
      <xdr:row>213</xdr:row>
      <xdr:rowOff>68580</xdr:rowOff>
    </xdr:from>
    <xdr:to>
      <xdr:col>5</xdr:col>
      <xdr:colOff>594360</xdr:colOff>
      <xdr:row>220</xdr:row>
      <xdr:rowOff>53340</xdr:rowOff>
    </xdr:to>
    <xdr:sp macro="" textlink="">
      <xdr:nvSpPr>
        <xdr:cNvPr id="4100" name="Line 7">
          <a:extLst>
            <a:ext uri="{FF2B5EF4-FFF2-40B4-BE49-F238E27FC236}">
              <a16:creationId xmlns:a16="http://schemas.microsoft.com/office/drawing/2014/main" id="{00000000-0008-0000-0100-000004100000}"/>
            </a:ext>
          </a:extLst>
        </xdr:cNvPr>
        <xdr:cNvSpPr>
          <a:spLocks noChangeShapeType="1"/>
        </xdr:cNvSpPr>
      </xdr:nvSpPr>
      <xdr:spPr bwMode="auto">
        <a:xfrm>
          <a:off x="3208020" y="41544240"/>
          <a:ext cx="7620" cy="12649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121920</xdr:colOff>
      <xdr:row>213</xdr:row>
      <xdr:rowOff>53340</xdr:rowOff>
    </xdr:from>
    <xdr:to>
      <xdr:col>5</xdr:col>
      <xdr:colOff>586740</xdr:colOff>
      <xdr:row>213</xdr:row>
      <xdr:rowOff>68580</xdr:rowOff>
    </xdr:to>
    <xdr:sp macro="" textlink="">
      <xdr:nvSpPr>
        <xdr:cNvPr id="4101" name="Line 10">
          <a:extLst>
            <a:ext uri="{FF2B5EF4-FFF2-40B4-BE49-F238E27FC236}">
              <a16:creationId xmlns:a16="http://schemas.microsoft.com/office/drawing/2014/main" id="{00000000-0008-0000-0100-000005100000}"/>
            </a:ext>
          </a:extLst>
        </xdr:cNvPr>
        <xdr:cNvSpPr>
          <a:spLocks noChangeShapeType="1"/>
        </xdr:cNvSpPr>
      </xdr:nvSpPr>
      <xdr:spPr bwMode="auto">
        <a:xfrm>
          <a:off x="2743200" y="41529000"/>
          <a:ext cx="46482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670560</xdr:colOff>
      <xdr:row>200</xdr:row>
      <xdr:rowOff>53340</xdr:rowOff>
    </xdr:from>
    <xdr:to>
      <xdr:col>5</xdr:col>
      <xdr:colOff>716280</xdr:colOff>
      <xdr:row>200</xdr:row>
      <xdr:rowOff>60960</xdr:rowOff>
    </xdr:to>
    <xdr:sp macro="" textlink="">
      <xdr:nvSpPr>
        <xdr:cNvPr id="4102" name="Line 11">
          <a:extLst>
            <a:ext uri="{FF2B5EF4-FFF2-40B4-BE49-F238E27FC236}">
              <a16:creationId xmlns:a16="http://schemas.microsoft.com/office/drawing/2014/main" id="{00000000-0008-0000-0100-000006100000}"/>
            </a:ext>
          </a:extLst>
        </xdr:cNvPr>
        <xdr:cNvSpPr>
          <a:spLocks noChangeShapeType="1"/>
        </xdr:cNvSpPr>
      </xdr:nvSpPr>
      <xdr:spPr bwMode="auto">
        <a:xfrm>
          <a:off x="3291840" y="39098220"/>
          <a:ext cx="457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487680</xdr:colOff>
      <xdr:row>215</xdr:row>
      <xdr:rowOff>45720</xdr:rowOff>
    </xdr:from>
    <xdr:to>
      <xdr:col>1</xdr:col>
      <xdr:colOff>502920</xdr:colOff>
      <xdr:row>219</xdr:row>
      <xdr:rowOff>129540</xdr:rowOff>
    </xdr:to>
    <xdr:sp macro="" textlink="">
      <xdr:nvSpPr>
        <xdr:cNvPr id="4103" name="Line 12">
          <a:extLst>
            <a:ext uri="{FF2B5EF4-FFF2-40B4-BE49-F238E27FC236}">
              <a16:creationId xmlns:a16="http://schemas.microsoft.com/office/drawing/2014/main" id="{00000000-0008-0000-0100-000007100000}"/>
            </a:ext>
          </a:extLst>
        </xdr:cNvPr>
        <xdr:cNvSpPr>
          <a:spLocks noChangeShapeType="1"/>
        </xdr:cNvSpPr>
      </xdr:nvSpPr>
      <xdr:spPr bwMode="auto">
        <a:xfrm>
          <a:off x="1112520" y="41887140"/>
          <a:ext cx="15240" cy="8153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480060</xdr:colOff>
      <xdr:row>195</xdr:row>
      <xdr:rowOff>106680</xdr:rowOff>
    </xdr:from>
    <xdr:to>
      <xdr:col>2</xdr:col>
      <xdr:colOff>99060</xdr:colOff>
      <xdr:row>195</xdr:row>
      <xdr:rowOff>137160</xdr:rowOff>
    </xdr:to>
    <xdr:sp macro="" textlink="">
      <xdr:nvSpPr>
        <xdr:cNvPr id="4104" name="Line 14">
          <a:extLst>
            <a:ext uri="{FF2B5EF4-FFF2-40B4-BE49-F238E27FC236}">
              <a16:creationId xmlns:a16="http://schemas.microsoft.com/office/drawing/2014/main" id="{00000000-0008-0000-0100-000008100000}"/>
            </a:ext>
          </a:extLst>
        </xdr:cNvPr>
        <xdr:cNvSpPr>
          <a:spLocks noChangeShapeType="1"/>
        </xdr:cNvSpPr>
      </xdr:nvSpPr>
      <xdr:spPr bwMode="auto">
        <a:xfrm>
          <a:off x="1104900" y="38237160"/>
          <a:ext cx="129540" cy="304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228600</xdr:colOff>
      <xdr:row>198</xdr:row>
      <xdr:rowOff>167640</xdr:rowOff>
    </xdr:from>
    <xdr:to>
      <xdr:col>5</xdr:col>
      <xdr:colOff>236220</xdr:colOff>
      <xdr:row>198</xdr:row>
      <xdr:rowOff>175260</xdr:rowOff>
    </xdr:to>
    <xdr:sp macro="" textlink="">
      <xdr:nvSpPr>
        <xdr:cNvPr id="4105" name="Line 17">
          <a:extLst>
            <a:ext uri="{FF2B5EF4-FFF2-40B4-BE49-F238E27FC236}">
              <a16:creationId xmlns:a16="http://schemas.microsoft.com/office/drawing/2014/main" id="{00000000-0008-0000-0100-000009100000}"/>
            </a:ext>
          </a:extLst>
        </xdr:cNvPr>
        <xdr:cNvSpPr>
          <a:spLocks noChangeShapeType="1"/>
        </xdr:cNvSpPr>
      </xdr:nvSpPr>
      <xdr:spPr bwMode="auto">
        <a:xfrm flipV="1">
          <a:off x="2849880" y="38846760"/>
          <a:ext cx="76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556260</xdr:colOff>
      <xdr:row>215</xdr:row>
      <xdr:rowOff>53340</xdr:rowOff>
    </xdr:from>
    <xdr:to>
      <xdr:col>2</xdr:col>
      <xdr:colOff>571500</xdr:colOff>
      <xdr:row>219</xdr:row>
      <xdr:rowOff>121920</xdr:rowOff>
    </xdr:to>
    <xdr:sp macro="" textlink="">
      <xdr:nvSpPr>
        <xdr:cNvPr id="4106" name="Line 18">
          <a:extLst>
            <a:ext uri="{FF2B5EF4-FFF2-40B4-BE49-F238E27FC236}">
              <a16:creationId xmlns:a16="http://schemas.microsoft.com/office/drawing/2014/main" id="{00000000-0008-0000-0100-00000A100000}"/>
            </a:ext>
          </a:extLst>
        </xdr:cNvPr>
        <xdr:cNvSpPr>
          <a:spLocks noChangeShapeType="1"/>
        </xdr:cNvSpPr>
      </xdr:nvSpPr>
      <xdr:spPr bwMode="auto">
        <a:xfrm>
          <a:off x="1691640" y="41894760"/>
          <a:ext cx="15240" cy="800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137160</xdr:colOff>
      <xdr:row>215</xdr:row>
      <xdr:rowOff>45720</xdr:rowOff>
    </xdr:from>
    <xdr:to>
      <xdr:col>4</xdr:col>
      <xdr:colOff>144780</xdr:colOff>
      <xdr:row>219</xdr:row>
      <xdr:rowOff>129540</xdr:rowOff>
    </xdr:to>
    <xdr:sp macro="" textlink="">
      <xdr:nvSpPr>
        <xdr:cNvPr id="4107" name="Line 19">
          <a:extLst>
            <a:ext uri="{FF2B5EF4-FFF2-40B4-BE49-F238E27FC236}">
              <a16:creationId xmlns:a16="http://schemas.microsoft.com/office/drawing/2014/main" id="{00000000-0008-0000-0100-00000B100000}"/>
            </a:ext>
          </a:extLst>
        </xdr:cNvPr>
        <xdr:cNvSpPr>
          <a:spLocks noChangeShapeType="1"/>
        </xdr:cNvSpPr>
      </xdr:nvSpPr>
      <xdr:spPr bwMode="auto">
        <a:xfrm>
          <a:off x="2247900" y="41887140"/>
          <a:ext cx="7620" cy="8153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83820</xdr:colOff>
      <xdr:row>215</xdr:row>
      <xdr:rowOff>160020</xdr:rowOff>
    </xdr:from>
    <xdr:to>
      <xdr:col>10</xdr:col>
      <xdr:colOff>121920</xdr:colOff>
      <xdr:row>215</xdr:row>
      <xdr:rowOff>167640</xdr:rowOff>
    </xdr:to>
    <xdr:sp macro="" textlink="">
      <xdr:nvSpPr>
        <xdr:cNvPr id="4108" name="Line 24">
          <a:extLst>
            <a:ext uri="{FF2B5EF4-FFF2-40B4-BE49-F238E27FC236}">
              <a16:creationId xmlns:a16="http://schemas.microsoft.com/office/drawing/2014/main" id="{00000000-0008-0000-0100-00000C100000}"/>
            </a:ext>
          </a:extLst>
        </xdr:cNvPr>
        <xdr:cNvSpPr>
          <a:spLocks noChangeShapeType="1"/>
        </xdr:cNvSpPr>
      </xdr:nvSpPr>
      <xdr:spPr bwMode="auto">
        <a:xfrm>
          <a:off x="4358640" y="42001440"/>
          <a:ext cx="31165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83820</xdr:colOff>
      <xdr:row>215</xdr:row>
      <xdr:rowOff>137160</xdr:rowOff>
    </xdr:from>
    <xdr:to>
      <xdr:col>7</xdr:col>
      <xdr:colOff>99060</xdr:colOff>
      <xdr:row>219</xdr:row>
      <xdr:rowOff>129540</xdr:rowOff>
    </xdr:to>
    <xdr:sp macro="" textlink="">
      <xdr:nvSpPr>
        <xdr:cNvPr id="4109" name="Line 25">
          <a:extLst>
            <a:ext uri="{FF2B5EF4-FFF2-40B4-BE49-F238E27FC236}">
              <a16:creationId xmlns:a16="http://schemas.microsoft.com/office/drawing/2014/main" id="{00000000-0008-0000-0100-00000D100000}"/>
            </a:ext>
          </a:extLst>
        </xdr:cNvPr>
        <xdr:cNvSpPr>
          <a:spLocks noChangeShapeType="1"/>
        </xdr:cNvSpPr>
      </xdr:nvSpPr>
      <xdr:spPr bwMode="auto">
        <a:xfrm flipV="1">
          <a:off x="4358640" y="41978580"/>
          <a:ext cx="15240" cy="7239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215</xdr:row>
      <xdr:rowOff>160020</xdr:rowOff>
    </xdr:from>
    <xdr:to>
      <xdr:col>10</xdr:col>
      <xdr:colOff>7620</xdr:colOff>
      <xdr:row>220</xdr:row>
      <xdr:rowOff>22860</xdr:rowOff>
    </xdr:to>
    <xdr:sp macro="" textlink="">
      <xdr:nvSpPr>
        <xdr:cNvPr id="4110" name="Line 26">
          <a:extLst>
            <a:ext uri="{FF2B5EF4-FFF2-40B4-BE49-F238E27FC236}">
              <a16:creationId xmlns:a16="http://schemas.microsoft.com/office/drawing/2014/main" id="{00000000-0008-0000-0100-00000E100000}"/>
            </a:ext>
          </a:extLst>
        </xdr:cNvPr>
        <xdr:cNvSpPr>
          <a:spLocks noChangeShapeType="1"/>
        </xdr:cNvSpPr>
      </xdr:nvSpPr>
      <xdr:spPr bwMode="auto">
        <a:xfrm flipV="1">
          <a:off x="7353300" y="42001440"/>
          <a:ext cx="7620" cy="777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83820</xdr:colOff>
      <xdr:row>219</xdr:row>
      <xdr:rowOff>121920</xdr:rowOff>
    </xdr:from>
    <xdr:to>
      <xdr:col>8</xdr:col>
      <xdr:colOff>99060</xdr:colOff>
      <xdr:row>219</xdr:row>
      <xdr:rowOff>129540</xdr:rowOff>
    </xdr:to>
    <xdr:sp macro="" textlink="">
      <xdr:nvSpPr>
        <xdr:cNvPr id="4111" name="Line 27">
          <a:extLst>
            <a:ext uri="{FF2B5EF4-FFF2-40B4-BE49-F238E27FC236}">
              <a16:creationId xmlns:a16="http://schemas.microsoft.com/office/drawing/2014/main" id="{00000000-0008-0000-0100-00000F100000}"/>
            </a:ext>
          </a:extLst>
        </xdr:cNvPr>
        <xdr:cNvSpPr>
          <a:spLocks noChangeShapeType="1"/>
        </xdr:cNvSpPr>
      </xdr:nvSpPr>
      <xdr:spPr bwMode="auto">
        <a:xfrm flipH="1" flipV="1">
          <a:off x="4358640" y="42694860"/>
          <a:ext cx="8610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99060</xdr:colOff>
      <xdr:row>219</xdr:row>
      <xdr:rowOff>129540</xdr:rowOff>
    </xdr:from>
    <xdr:to>
      <xdr:col>10</xdr:col>
      <xdr:colOff>0</xdr:colOff>
      <xdr:row>219</xdr:row>
      <xdr:rowOff>137160</xdr:rowOff>
    </xdr:to>
    <xdr:sp macro="" textlink="">
      <xdr:nvSpPr>
        <xdr:cNvPr id="4112" name="Line 28">
          <a:extLst>
            <a:ext uri="{FF2B5EF4-FFF2-40B4-BE49-F238E27FC236}">
              <a16:creationId xmlns:a16="http://schemas.microsoft.com/office/drawing/2014/main" id="{00000000-0008-0000-0100-000010100000}"/>
            </a:ext>
          </a:extLst>
        </xdr:cNvPr>
        <xdr:cNvSpPr>
          <a:spLocks noChangeShapeType="1"/>
        </xdr:cNvSpPr>
      </xdr:nvSpPr>
      <xdr:spPr bwMode="auto">
        <a:xfrm>
          <a:off x="5219700" y="42702480"/>
          <a:ext cx="21336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510540</xdr:colOff>
      <xdr:row>211</xdr:row>
      <xdr:rowOff>144780</xdr:rowOff>
    </xdr:from>
    <xdr:to>
      <xdr:col>7</xdr:col>
      <xdr:colOff>518160</xdr:colOff>
      <xdr:row>215</xdr:row>
      <xdr:rowOff>121920</xdr:rowOff>
    </xdr:to>
    <xdr:sp macro="" textlink="">
      <xdr:nvSpPr>
        <xdr:cNvPr id="4113" name="Line 35">
          <a:extLst>
            <a:ext uri="{FF2B5EF4-FFF2-40B4-BE49-F238E27FC236}">
              <a16:creationId xmlns:a16="http://schemas.microsoft.com/office/drawing/2014/main" id="{00000000-0008-0000-0100-000011100000}"/>
            </a:ext>
          </a:extLst>
        </xdr:cNvPr>
        <xdr:cNvSpPr>
          <a:spLocks noChangeShapeType="1"/>
        </xdr:cNvSpPr>
      </xdr:nvSpPr>
      <xdr:spPr bwMode="auto">
        <a:xfrm>
          <a:off x="4785360" y="41254680"/>
          <a:ext cx="7620" cy="7086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22860</xdr:colOff>
      <xdr:row>211</xdr:row>
      <xdr:rowOff>144780</xdr:rowOff>
    </xdr:from>
    <xdr:to>
      <xdr:col>9</xdr:col>
      <xdr:colOff>30480</xdr:colOff>
      <xdr:row>215</xdr:row>
      <xdr:rowOff>129540</xdr:rowOff>
    </xdr:to>
    <xdr:sp macro="" textlink="">
      <xdr:nvSpPr>
        <xdr:cNvPr id="4114" name="Line 36">
          <a:extLst>
            <a:ext uri="{FF2B5EF4-FFF2-40B4-BE49-F238E27FC236}">
              <a16:creationId xmlns:a16="http://schemas.microsoft.com/office/drawing/2014/main" id="{00000000-0008-0000-0100-000012100000}"/>
            </a:ext>
          </a:extLst>
        </xdr:cNvPr>
        <xdr:cNvSpPr>
          <a:spLocks noChangeShapeType="1"/>
        </xdr:cNvSpPr>
      </xdr:nvSpPr>
      <xdr:spPr bwMode="auto">
        <a:xfrm>
          <a:off x="6233160" y="41254680"/>
          <a:ext cx="7620" cy="7162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83820</xdr:colOff>
      <xdr:row>215</xdr:row>
      <xdr:rowOff>30480</xdr:rowOff>
    </xdr:from>
    <xdr:to>
      <xdr:col>10</xdr:col>
      <xdr:colOff>7620</xdr:colOff>
      <xdr:row>215</xdr:row>
      <xdr:rowOff>121920</xdr:rowOff>
    </xdr:to>
    <xdr:sp macro="" textlink="">
      <xdr:nvSpPr>
        <xdr:cNvPr id="4115" name="Freeform 37">
          <a:extLst>
            <a:ext uri="{FF2B5EF4-FFF2-40B4-BE49-F238E27FC236}">
              <a16:creationId xmlns:a16="http://schemas.microsoft.com/office/drawing/2014/main" id="{00000000-0008-0000-0100-000013100000}"/>
            </a:ext>
          </a:extLst>
        </xdr:cNvPr>
        <xdr:cNvSpPr>
          <a:spLocks noChangeArrowheads="1"/>
        </xdr:cNvSpPr>
      </xdr:nvSpPr>
      <xdr:spPr bwMode="auto">
        <a:xfrm>
          <a:off x="4358640" y="41871900"/>
          <a:ext cx="3002280" cy="91440"/>
        </a:xfrm>
        <a:custGeom>
          <a:avLst/>
          <a:gdLst>
            <a:gd name="T0" fmla="*/ 0 w 191"/>
            <a:gd name="T1" fmla="*/ 7 h 9"/>
            <a:gd name="T2" fmla="*/ 17 w 191"/>
            <a:gd name="T3" fmla="*/ 4 h 9"/>
            <a:gd name="T4" fmla="*/ 36 w 191"/>
            <a:gd name="T5" fmla="*/ 8 h 9"/>
            <a:gd name="T6" fmla="*/ 58 w 191"/>
            <a:gd name="T7" fmla="*/ 3 h 9"/>
            <a:gd name="T8" fmla="*/ 84 w 191"/>
            <a:gd name="T9" fmla="*/ 8 h 9"/>
            <a:gd name="T10" fmla="*/ 103 w 191"/>
            <a:gd name="T11" fmla="*/ 1 h 9"/>
            <a:gd name="T12" fmla="*/ 135 w 191"/>
            <a:gd name="T13" fmla="*/ 8 h 9"/>
            <a:gd name="T14" fmla="*/ 157 w 191"/>
            <a:gd name="T15" fmla="*/ 2 h 9"/>
            <a:gd name="T16" fmla="*/ 175 w 191"/>
            <a:gd name="T17" fmla="*/ 3 h 9"/>
            <a:gd name="T18" fmla="*/ 189 w 191"/>
            <a:gd name="T19" fmla="*/ 9 h 9"/>
            <a:gd name="T20" fmla="*/ 0 w 191"/>
            <a:gd name="T21" fmla="*/ 0 h 9"/>
            <a:gd name="T22" fmla="*/ 191 w 191"/>
            <a:gd name="T23" fmla="*/ 9 h 9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</a:cxnLst>
          <a:rect l="T20" t="T21" r="T22" b="T23"/>
          <a:pathLst>
            <a:path w="191" h="9">
              <a:moveTo>
                <a:pt x="0" y="7"/>
              </a:moveTo>
              <a:cubicBezTo>
                <a:pt x="5" y="5"/>
                <a:pt x="11" y="4"/>
                <a:pt x="17" y="4"/>
              </a:cubicBezTo>
              <a:cubicBezTo>
                <a:pt x="23" y="4"/>
                <a:pt x="29" y="8"/>
                <a:pt x="36" y="8"/>
              </a:cubicBezTo>
              <a:cubicBezTo>
                <a:pt x="43" y="8"/>
                <a:pt x="50" y="3"/>
                <a:pt x="58" y="3"/>
              </a:cubicBezTo>
              <a:cubicBezTo>
                <a:pt x="66" y="3"/>
                <a:pt x="77" y="8"/>
                <a:pt x="84" y="8"/>
              </a:cubicBezTo>
              <a:cubicBezTo>
                <a:pt x="91" y="8"/>
                <a:pt x="95" y="1"/>
                <a:pt x="103" y="1"/>
              </a:cubicBezTo>
              <a:cubicBezTo>
                <a:pt x="111" y="1"/>
                <a:pt x="126" y="8"/>
                <a:pt x="135" y="8"/>
              </a:cubicBezTo>
              <a:cubicBezTo>
                <a:pt x="144" y="8"/>
                <a:pt x="150" y="3"/>
                <a:pt x="157" y="2"/>
              </a:cubicBezTo>
              <a:cubicBezTo>
                <a:pt x="164" y="1"/>
                <a:pt x="170" y="2"/>
                <a:pt x="175" y="3"/>
              </a:cubicBezTo>
              <a:cubicBezTo>
                <a:pt x="180" y="4"/>
                <a:pt x="191" y="0"/>
                <a:pt x="189" y="9"/>
              </a:cubicBezTo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502920</xdr:colOff>
      <xdr:row>247</xdr:row>
      <xdr:rowOff>83820</xdr:rowOff>
    </xdr:from>
    <xdr:to>
      <xdr:col>3</xdr:col>
      <xdr:colOff>15240</xdr:colOff>
      <xdr:row>249</xdr:row>
      <xdr:rowOff>30480</xdr:rowOff>
    </xdr:to>
    <xdr:sp macro="" textlink="">
      <xdr:nvSpPr>
        <xdr:cNvPr id="4116" name="Line 39">
          <a:extLst>
            <a:ext uri="{FF2B5EF4-FFF2-40B4-BE49-F238E27FC236}">
              <a16:creationId xmlns:a16="http://schemas.microsoft.com/office/drawing/2014/main" id="{00000000-0008-0000-0100-000014100000}"/>
            </a:ext>
          </a:extLst>
        </xdr:cNvPr>
        <xdr:cNvSpPr>
          <a:spLocks noChangeShapeType="1"/>
        </xdr:cNvSpPr>
      </xdr:nvSpPr>
      <xdr:spPr bwMode="auto">
        <a:xfrm>
          <a:off x="1638300" y="47815500"/>
          <a:ext cx="137160" cy="3352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30480</xdr:colOff>
      <xdr:row>247</xdr:row>
      <xdr:rowOff>60960</xdr:rowOff>
    </xdr:from>
    <xdr:to>
      <xdr:col>3</xdr:col>
      <xdr:colOff>38100</xdr:colOff>
      <xdr:row>249</xdr:row>
      <xdr:rowOff>15240</xdr:rowOff>
    </xdr:to>
    <xdr:sp macro="" textlink="">
      <xdr:nvSpPr>
        <xdr:cNvPr id="4117" name="Line 40">
          <a:extLst>
            <a:ext uri="{FF2B5EF4-FFF2-40B4-BE49-F238E27FC236}">
              <a16:creationId xmlns:a16="http://schemas.microsoft.com/office/drawing/2014/main" id="{00000000-0008-0000-0100-000015100000}"/>
            </a:ext>
          </a:extLst>
        </xdr:cNvPr>
        <xdr:cNvSpPr>
          <a:spLocks noChangeShapeType="1"/>
        </xdr:cNvSpPr>
      </xdr:nvSpPr>
      <xdr:spPr bwMode="auto">
        <a:xfrm flipV="1">
          <a:off x="1790700" y="47792640"/>
          <a:ext cx="762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30480</xdr:colOff>
      <xdr:row>247</xdr:row>
      <xdr:rowOff>83820</xdr:rowOff>
    </xdr:from>
    <xdr:to>
      <xdr:col>6</xdr:col>
      <xdr:colOff>297180</xdr:colOff>
      <xdr:row>247</xdr:row>
      <xdr:rowOff>91440</xdr:rowOff>
    </xdr:to>
    <xdr:sp macro="" textlink="">
      <xdr:nvSpPr>
        <xdr:cNvPr id="4118" name="Line 41">
          <a:extLst>
            <a:ext uri="{FF2B5EF4-FFF2-40B4-BE49-F238E27FC236}">
              <a16:creationId xmlns:a16="http://schemas.microsoft.com/office/drawing/2014/main" id="{00000000-0008-0000-0100-000016100000}"/>
            </a:ext>
          </a:extLst>
        </xdr:cNvPr>
        <xdr:cNvSpPr>
          <a:spLocks noChangeShapeType="1"/>
        </xdr:cNvSpPr>
      </xdr:nvSpPr>
      <xdr:spPr bwMode="auto">
        <a:xfrm>
          <a:off x="1790700" y="47815500"/>
          <a:ext cx="188214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53340</xdr:colOff>
      <xdr:row>215</xdr:row>
      <xdr:rowOff>7620</xdr:rowOff>
    </xdr:from>
    <xdr:to>
      <xdr:col>10</xdr:col>
      <xdr:colOff>259080</xdr:colOff>
      <xdr:row>220</xdr:row>
      <xdr:rowOff>121920</xdr:rowOff>
    </xdr:to>
    <xdr:grpSp>
      <xdr:nvGrpSpPr>
        <xdr:cNvPr id="4119" name="Group 24">
          <a:extLst>
            <a:ext uri="{FF2B5EF4-FFF2-40B4-BE49-F238E27FC236}">
              <a16:creationId xmlns:a16="http://schemas.microsoft.com/office/drawing/2014/main" id="{00000000-0008-0000-0100-000017100000}"/>
            </a:ext>
          </a:extLst>
        </xdr:cNvPr>
        <xdr:cNvGrpSpPr>
          <a:grpSpLocks/>
        </xdr:cNvGrpSpPr>
      </xdr:nvGrpSpPr>
      <xdr:grpSpPr bwMode="auto">
        <a:xfrm>
          <a:off x="4502075" y="38998488"/>
          <a:ext cx="3410623" cy="1010771"/>
          <a:chOff x="0" y="0"/>
          <a:chExt cx="280" cy="107"/>
        </a:xfrm>
      </xdr:grpSpPr>
      <xdr:sp macro="" textlink="">
        <xdr:nvSpPr>
          <xdr:cNvPr id="4120" name="Rectangle 50">
            <a:extLst>
              <a:ext uri="{FF2B5EF4-FFF2-40B4-BE49-F238E27FC236}">
                <a16:creationId xmlns:a16="http://schemas.microsoft.com/office/drawing/2014/main" id="{00000000-0008-0000-0100-000018100000}"/>
              </a:ext>
            </a:extLst>
          </xdr:cNvPr>
          <xdr:cNvSpPr>
            <a:spLocks noChangeArrowheads="1"/>
          </xdr:cNvSpPr>
        </xdr:nvSpPr>
        <xdr:spPr bwMode="auto">
          <a:xfrm>
            <a:off x="0" y="0"/>
            <a:ext cx="8" cy="105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200000"/>
            <a:headEnd/>
            <a:tailEnd/>
          </a:ln>
        </xdr:spPr>
      </xdr:sp>
      <xdr:sp macro="" textlink="">
        <xdr:nvSpPr>
          <xdr:cNvPr id="4121" name="Rectangle 51">
            <a:extLst>
              <a:ext uri="{FF2B5EF4-FFF2-40B4-BE49-F238E27FC236}">
                <a16:creationId xmlns:a16="http://schemas.microsoft.com/office/drawing/2014/main" id="{00000000-0008-0000-0100-000019100000}"/>
              </a:ext>
            </a:extLst>
          </xdr:cNvPr>
          <xdr:cNvSpPr>
            <a:spLocks noChangeArrowheads="1"/>
          </xdr:cNvSpPr>
        </xdr:nvSpPr>
        <xdr:spPr bwMode="auto">
          <a:xfrm>
            <a:off x="272" y="2"/>
            <a:ext cx="8" cy="105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200000"/>
            <a:headEnd/>
            <a:tailEnd/>
          </a:ln>
        </xdr:spPr>
      </xdr:sp>
      <xdr:sp macro="" textlink="">
        <xdr:nvSpPr>
          <xdr:cNvPr id="4122" name="Rectangle 52">
            <a:extLst>
              <a:ext uri="{FF2B5EF4-FFF2-40B4-BE49-F238E27FC236}">
                <a16:creationId xmlns:a16="http://schemas.microsoft.com/office/drawing/2014/main" id="{00000000-0008-0000-0100-00001A100000}"/>
              </a:ext>
            </a:extLst>
          </xdr:cNvPr>
          <xdr:cNvSpPr>
            <a:spLocks noChangeArrowheads="1"/>
          </xdr:cNvSpPr>
        </xdr:nvSpPr>
        <xdr:spPr bwMode="auto">
          <a:xfrm>
            <a:off x="8" y="13"/>
            <a:ext cx="264" cy="83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200000"/>
            <a:headEnd/>
            <a:tailEnd/>
          </a:ln>
        </xdr:spPr>
      </xdr:sp>
      <xdr:sp macro="" textlink="">
        <xdr:nvSpPr>
          <xdr:cNvPr id="4123" name="Rectangle 53">
            <a:extLst>
              <a:ext uri="{FF2B5EF4-FFF2-40B4-BE49-F238E27FC236}">
                <a16:creationId xmlns:a16="http://schemas.microsoft.com/office/drawing/2014/main" id="{00000000-0008-0000-0100-00001B100000}"/>
              </a:ext>
            </a:extLst>
          </xdr:cNvPr>
          <xdr:cNvSpPr>
            <a:spLocks noChangeArrowheads="1"/>
          </xdr:cNvSpPr>
        </xdr:nvSpPr>
        <xdr:spPr bwMode="auto">
          <a:xfrm>
            <a:off x="104" y="13"/>
            <a:ext cx="49" cy="84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200000"/>
            <a:headEnd/>
            <a:tailEnd/>
          </a:ln>
        </xdr:spPr>
      </xdr:sp>
      <xdr:sp macro="" textlink="">
        <xdr:nvSpPr>
          <xdr:cNvPr id="4124" name="Line 54">
            <a:extLst>
              <a:ext uri="{FF2B5EF4-FFF2-40B4-BE49-F238E27FC236}">
                <a16:creationId xmlns:a16="http://schemas.microsoft.com/office/drawing/2014/main" id="{00000000-0008-0000-0100-00001C100000}"/>
              </a:ext>
            </a:extLst>
          </xdr:cNvPr>
          <xdr:cNvSpPr>
            <a:spLocks noChangeShapeType="1"/>
          </xdr:cNvSpPr>
        </xdr:nvSpPr>
        <xdr:spPr bwMode="auto">
          <a:xfrm>
            <a:off x="259" y="12"/>
            <a:ext cx="0" cy="85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5" name="Line 58">
            <a:extLst>
              <a:ext uri="{FF2B5EF4-FFF2-40B4-BE49-F238E27FC236}">
                <a16:creationId xmlns:a16="http://schemas.microsoft.com/office/drawing/2014/main" id="{00000000-0008-0000-0100-00001D100000}"/>
              </a:ext>
            </a:extLst>
          </xdr:cNvPr>
          <xdr:cNvSpPr>
            <a:spLocks noChangeShapeType="1"/>
          </xdr:cNvSpPr>
        </xdr:nvSpPr>
        <xdr:spPr bwMode="auto">
          <a:xfrm>
            <a:off x="22" y="13"/>
            <a:ext cx="0" cy="83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6" name="Line 59">
            <a:extLst>
              <a:ext uri="{FF2B5EF4-FFF2-40B4-BE49-F238E27FC236}">
                <a16:creationId xmlns:a16="http://schemas.microsoft.com/office/drawing/2014/main" id="{00000000-0008-0000-0100-00001E100000}"/>
              </a:ext>
            </a:extLst>
          </xdr:cNvPr>
          <xdr:cNvSpPr>
            <a:spLocks noChangeShapeType="1"/>
          </xdr:cNvSpPr>
        </xdr:nvSpPr>
        <xdr:spPr bwMode="auto">
          <a:xfrm>
            <a:off x="9" y="21"/>
            <a:ext cx="12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7" name="Line 62">
            <a:extLst>
              <a:ext uri="{FF2B5EF4-FFF2-40B4-BE49-F238E27FC236}">
                <a16:creationId xmlns:a16="http://schemas.microsoft.com/office/drawing/2014/main" id="{00000000-0008-0000-0100-00001F100000}"/>
              </a:ext>
            </a:extLst>
          </xdr:cNvPr>
          <xdr:cNvSpPr>
            <a:spLocks noChangeShapeType="1"/>
          </xdr:cNvSpPr>
        </xdr:nvSpPr>
        <xdr:spPr bwMode="auto">
          <a:xfrm>
            <a:off x="9" y="87"/>
            <a:ext cx="13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8" name="Line 63">
            <a:extLst>
              <a:ext uri="{FF2B5EF4-FFF2-40B4-BE49-F238E27FC236}">
                <a16:creationId xmlns:a16="http://schemas.microsoft.com/office/drawing/2014/main" id="{00000000-0008-0000-0100-000020100000}"/>
              </a:ext>
            </a:extLst>
          </xdr:cNvPr>
          <xdr:cNvSpPr>
            <a:spLocks noChangeShapeType="1"/>
          </xdr:cNvSpPr>
        </xdr:nvSpPr>
        <xdr:spPr bwMode="auto">
          <a:xfrm>
            <a:off x="259" y="88"/>
            <a:ext cx="13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9" name="Line 65">
            <a:extLst>
              <a:ext uri="{FF2B5EF4-FFF2-40B4-BE49-F238E27FC236}">
                <a16:creationId xmlns:a16="http://schemas.microsoft.com/office/drawing/2014/main" id="{00000000-0008-0000-0100-000021100000}"/>
              </a:ext>
            </a:extLst>
          </xdr:cNvPr>
          <xdr:cNvSpPr>
            <a:spLocks noChangeShapeType="1"/>
          </xdr:cNvSpPr>
        </xdr:nvSpPr>
        <xdr:spPr bwMode="auto">
          <a:xfrm>
            <a:off x="258" y="21"/>
            <a:ext cx="1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</xdr:col>
      <xdr:colOff>480060</xdr:colOff>
      <xdr:row>220</xdr:row>
      <xdr:rowOff>22860</xdr:rowOff>
    </xdr:from>
    <xdr:to>
      <xdr:col>4</xdr:col>
      <xdr:colOff>0</xdr:colOff>
      <xdr:row>220</xdr:row>
      <xdr:rowOff>30480</xdr:rowOff>
    </xdr:to>
    <xdr:cxnSp macro="">
      <xdr:nvCxnSpPr>
        <xdr:cNvPr id="4130" name="Straight Arrow Connector 52">
          <a:extLst>
            <a:ext uri="{FF2B5EF4-FFF2-40B4-BE49-F238E27FC236}">
              <a16:creationId xmlns:a16="http://schemas.microsoft.com/office/drawing/2014/main" id="{00000000-0008-0000-0100-000022100000}"/>
            </a:ext>
          </a:extLst>
        </xdr:cNvPr>
        <xdr:cNvCxnSpPr>
          <a:cxnSpLocks noChangeShapeType="1"/>
        </xdr:cNvCxnSpPr>
      </xdr:nvCxnSpPr>
      <xdr:spPr bwMode="auto">
        <a:xfrm rot="5400000" flipH="1" flipV="1">
          <a:off x="1604010" y="42279570"/>
          <a:ext cx="7620" cy="1005840"/>
        </a:xfrm>
        <a:prstGeom prst="straightConnector1">
          <a:avLst/>
        </a:prstGeom>
        <a:noFill/>
        <a:ln w="9525">
          <a:solidFill>
            <a:srgbClr val="4A7EBB"/>
          </a:solidFill>
          <a:round/>
          <a:headEnd type="arrow" w="med" len="med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381000</xdr:colOff>
      <xdr:row>199</xdr:row>
      <xdr:rowOff>152400</xdr:rowOff>
    </xdr:from>
    <xdr:to>
      <xdr:col>5</xdr:col>
      <xdr:colOff>259080</xdr:colOff>
      <xdr:row>199</xdr:row>
      <xdr:rowOff>160020</xdr:rowOff>
    </xdr:to>
    <xdr:cxnSp macro="">
      <xdr:nvCxnSpPr>
        <xdr:cNvPr id="4131" name="Straight Arrow Connector 53">
          <a:extLst>
            <a:ext uri="{FF2B5EF4-FFF2-40B4-BE49-F238E27FC236}">
              <a16:creationId xmlns:a16="http://schemas.microsoft.com/office/drawing/2014/main" id="{00000000-0008-0000-0100-000023100000}"/>
            </a:ext>
          </a:extLst>
        </xdr:cNvPr>
        <xdr:cNvCxnSpPr>
          <a:cxnSpLocks noChangeShapeType="1"/>
        </xdr:cNvCxnSpPr>
      </xdr:nvCxnSpPr>
      <xdr:spPr bwMode="auto">
        <a:xfrm rot="5400000" flipH="1" flipV="1">
          <a:off x="2682240" y="38823900"/>
          <a:ext cx="7620" cy="388620"/>
        </a:xfrm>
        <a:prstGeom prst="straightConnector1">
          <a:avLst/>
        </a:prstGeom>
        <a:noFill/>
        <a:ln w="9525">
          <a:solidFill>
            <a:srgbClr val="4A7EBB"/>
          </a:solidFill>
          <a:round/>
          <a:headEnd type="arrow" w="med" len="med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</xdr:col>
      <xdr:colOff>480060</xdr:colOff>
      <xdr:row>221</xdr:row>
      <xdr:rowOff>144780</xdr:rowOff>
    </xdr:from>
    <xdr:to>
      <xdr:col>5</xdr:col>
      <xdr:colOff>586740</xdr:colOff>
      <xdr:row>221</xdr:row>
      <xdr:rowOff>152400</xdr:rowOff>
    </xdr:to>
    <xdr:cxnSp macro="">
      <xdr:nvCxnSpPr>
        <xdr:cNvPr id="4132" name="Straight Arrow Connector 54">
          <a:extLst>
            <a:ext uri="{FF2B5EF4-FFF2-40B4-BE49-F238E27FC236}">
              <a16:creationId xmlns:a16="http://schemas.microsoft.com/office/drawing/2014/main" id="{00000000-0008-0000-0100-000024100000}"/>
            </a:ext>
          </a:extLst>
        </xdr:cNvPr>
        <xdr:cNvCxnSpPr>
          <a:cxnSpLocks noChangeShapeType="1"/>
        </xdr:cNvCxnSpPr>
      </xdr:nvCxnSpPr>
      <xdr:spPr bwMode="auto">
        <a:xfrm rot="5400000" flipH="1" flipV="1">
          <a:off x="2152650" y="42035730"/>
          <a:ext cx="7620" cy="2103120"/>
        </a:xfrm>
        <a:prstGeom prst="straightConnector1">
          <a:avLst/>
        </a:prstGeom>
        <a:noFill/>
        <a:ln w="9525">
          <a:solidFill>
            <a:srgbClr val="4A7EBB"/>
          </a:solidFill>
          <a:round/>
          <a:headEnd type="arrow" w="med" len="med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129540</xdr:colOff>
      <xdr:row>213</xdr:row>
      <xdr:rowOff>106680</xdr:rowOff>
    </xdr:from>
    <xdr:to>
      <xdr:col>9</xdr:col>
      <xdr:colOff>160020</xdr:colOff>
      <xdr:row>215</xdr:row>
      <xdr:rowOff>99060</xdr:rowOff>
    </xdr:to>
    <xdr:sp macro="" textlink="">
      <xdr:nvSpPr>
        <xdr:cNvPr id="4133" name="Line 38">
          <a:extLst>
            <a:ext uri="{FF2B5EF4-FFF2-40B4-BE49-F238E27FC236}">
              <a16:creationId xmlns:a16="http://schemas.microsoft.com/office/drawing/2014/main" id="{00000000-0008-0000-0100-000025100000}"/>
            </a:ext>
          </a:extLst>
        </xdr:cNvPr>
        <xdr:cNvSpPr>
          <a:spLocks noChangeShapeType="1"/>
        </xdr:cNvSpPr>
      </xdr:nvSpPr>
      <xdr:spPr bwMode="auto">
        <a:xfrm flipH="1">
          <a:off x="6339840" y="41582340"/>
          <a:ext cx="30480" cy="3581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390525</xdr:colOff>
          <xdr:row>208</xdr:row>
          <xdr:rowOff>142875</xdr:rowOff>
        </xdr:from>
        <xdr:to>
          <xdr:col>6</xdr:col>
          <xdr:colOff>419100</xdr:colOff>
          <xdr:row>219</xdr:row>
          <xdr:rowOff>38100</xdr:rowOff>
        </xdr:to>
        <xdr:sp macro="" textlink="">
          <xdr:nvSpPr>
            <xdr:cNvPr id="4134" name="Object 38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00000000-0008-0000-01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2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17</xdr:col>
      <xdr:colOff>330349</xdr:colOff>
      <xdr:row>85</xdr:row>
      <xdr:rowOff>17481</xdr:rowOff>
    </xdr:from>
    <xdr:to>
      <xdr:col>17</xdr:col>
      <xdr:colOff>690281</xdr:colOff>
      <xdr:row>86</xdr:row>
      <xdr:rowOff>170329</xdr:rowOff>
    </xdr:to>
    <xdr:sp macro="" textlink="">
      <xdr:nvSpPr>
        <xdr:cNvPr id="4135" name="Oval 355">
          <a:extLst>
            <a:ext uri="{FF2B5EF4-FFF2-40B4-BE49-F238E27FC236}">
              <a16:creationId xmlns:a16="http://schemas.microsoft.com/office/drawing/2014/main" id="{00000000-0008-0000-0100-000027100000}"/>
            </a:ext>
          </a:extLst>
        </xdr:cNvPr>
        <xdr:cNvSpPr>
          <a:spLocks noChangeArrowheads="1"/>
        </xdr:cNvSpPr>
      </xdr:nvSpPr>
      <xdr:spPr bwMode="auto">
        <a:xfrm>
          <a:off x="13965667" y="15696752"/>
          <a:ext cx="359932" cy="332142"/>
        </a:xfrm>
        <a:prstGeom prst="ellipse">
          <a:avLst/>
        </a:prstGeom>
        <a:blipFill dpi="0" rotWithShape="0">
          <a:blip xmlns:r="http://schemas.openxmlformats.org/officeDocument/2006/relationships" r:embed="rId35"/>
          <a:srcRect/>
          <a:tile tx="0" ty="0" sx="100000" sy="100000" flip="none" algn="tl"/>
        </a:blipFill>
        <a:ln/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468381</xdr:colOff>
      <xdr:row>296</xdr:row>
      <xdr:rowOff>236881</xdr:rowOff>
    </xdr:from>
    <xdr:to>
      <xdr:col>10</xdr:col>
      <xdr:colOff>547480</xdr:colOff>
      <xdr:row>297</xdr:row>
      <xdr:rowOff>222387</xdr:rowOff>
    </xdr:to>
    <xdr:sp macro="" textlink="">
      <xdr:nvSpPr>
        <xdr:cNvPr id="18" name="Flowchart: Predefined Process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6840606" y="59463331"/>
          <a:ext cx="1250674" cy="223631"/>
        </a:xfrm>
        <a:prstGeom prst="flowChartPredefinedProcess">
          <a:avLst/>
        </a:prstGeom>
        <a:solidFill>
          <a:srgbClr val="FFFFCC"/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100"/>
            <a:t>All</a:t>
          </a:r>
          <a:r>
            <a:rPr lang="en-US" sz="1100" baseline="0"/>
            <a:t> Gear Box</a:t>
          </a:r>
          <a:endParaRPr lang="en-US" sz="1100"/>
        </a:p>
      </xdr:txBody>
    </xdr:sp>
    <xdr:clientData/>
  </xdr:twoCellAnchor>
  <xdr:twoCellAnchor>
    <xdr:from>
      <xdr:col>2</xdr:col>
      <xdr:colOff>0</xdr:colOff>
      <xdr:row>317</xdr:row>
      <xdr:rowOff>227194</xdr:rowOff>
    </xdr:from>
    <xdr:to>
      <xdr:col>2</xdr:col>
      <xdr:colOff>749876</xdr:colOff>
      <xdr:row>318</xdr:row>
      <xdr:rowOff>227354</xdr:rowOff>
    </xdr:to>
    <xdr:sp macro="" textlink="">
      <xdr:nvSpPr>
        <xdr:cNvPr id="19" name="Down Arrow Callout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1466850" y="64644769"/>
          <a:ext cx="749876" cy="247810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3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771967</xdr:colOff>
      <xdr:row>317</xdr:row>
      <xdr:rowOff>230488</xdr:rowOff>
    </xdr:from>
    <xdr:to>
      <xdr:col>4</xdr:col>
      <xdr:colOff>286352</xdr:colOff>
      <xdr:row>318</xdr:row>
      <xdr:rowOff>220167</xdr:rowOff>
    </xdr:to>
    <xdr:sp macro="" textlink="">
      <xdr:nvSpPr>
        <xdr:cNvPr id="20" name="Down Arrow Callout 1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2238817" y="64648063"/>
          <a:ext cx="752635" cy="237329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3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18550</xdr:colOff>
      <xdr:row>313</xdr:row>
      <xdr:rowOff>0</xdr:rowOff>
    </xdr:from>
    <xdr:to>
      <xdr:col>2</xdr:col>
      <xdr:colOff>749434</xdr:colOff>
      <xdr:row>314</xdr:row>
      <xdr:rowOff>6870</xdr:rowOff>
    </xdr:to>
    <xdr:sp macro="" textlink="">
      <xdr:nvSpPr>
        <xdr:cNvPr id="21" name="Up Arrow Callout 2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1485400" y="63426975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</xdr:col>
      <xdr:colOff>777826</xdr:colOff>
      <xdr:row>313</xdr:row>
      <xdr:rowOff>3905</xdr:rowOff>
    </xdr:from>
    <xdr:to>
      <xdr:col>4</xdr:col>
      <xdr:colOff>269835</xdr:colOff>
      <xdr:row>314</xdr:row>
      <xdr:rowOff>7412</xdr:rowOff>
    </xdr:to>
    <xdr:sp macro="" textlink="">
      <xdr:nvSpPr>
        <xdr:cNvPr id="22" name="Up Arrow Callout 2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2244676" y="63430880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</xdr:col>
      <xdr:colOff>9166</xdr:colOff>
      <xdr:row>316</xdr:row>
      <xdr:rowOff>200841</xdr:rowOff>
    </xdr:from>
    <xdr:to>
      <xdr:col>2</xdr:col>
      <xdr:colOff>751815</xdr:colOff>
      <xdr:row>317</xdr:row>
      <xdr:rowOff>186325</xdr:rowOff>
    </xdr:to>
    <xdr:sp macro="" textlink="">
      <xdr:nvSpPr>
        <xdr:cNvPr id="24" name="Down Arrow Callout 2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1476016" y="64370766"/>
          <a:ext cx="742649" cy="233134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3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775444</xdr:colOff>
      <xdr:row>316</xdr:row>
      <xdr:rowOff>200290</xdr:rowOff>
    </xdr:from>
    <xdr:to>
      <xdr:col>4</xdr:col>
      <xdr:colOff>284994</xdr:colOff>
      <xdr:row>317</xdr:row>
      <xdr:rowOff>189345</xdr:rowOff>
    </xdr:to>
    <xdr:sp macro="" textlink="">
      <xdr:nvSpPr>
        <xdr:cNvPr id="26" name="Down Arrow Callout 2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2242294" y="64370215"/>
          <a:ext cx="747800" cy="236705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3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15434</xdr:colOff>
      <xdr:row>314</xdr:row>
      <xdr:rowOff>39206</xdr:rowOff>
    </xdr:from>
    <xdr:to>
      <xdr:col>2</xdr:col>
      <xdr:colOff>754196</xdr:colOff>
      <xdr:row>315</xdr:row>
      <xdr:rowOff>50804</xdr:rowOff>
    </xdr:to>
    <xdr:sp macro="" textlink="">
      <xdr:nvSpPr>
        <xdr:cNvPr id="28" name="Up Arrow Callout 2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1482284" y="63713831"/>
          <a:ext cx="738762" cy="259248"/>
        </a:xfrm>
        <a:prstGeom prst="upArrowCallout">
          <a:avLst/>
        </a:prstGeom>
        <a:blipFill>
          <a:blip xmlns:r="http://schemas.openxmlformats.org/officeDocument/2006/relationships" r:embed="rId11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783245</xdr:colOff>
      <xdr:row>314</xdr:row>
      <xdr:rowOff>36826</xdr:rowOff>
    </xdr:from>
    <xdr:to>
      <xdr:col>4</xdr:col>
      <xdr:colOff>288215</xdr:colOff>
      <xdr:row>315</xdr:row>
      <xdr:rowOff>40334</xdr:rowOff>
    </xdr:to>
    <xdr:sp macro="" textlink="">
      <xdr:nvSpPr>
        <xdr:cNvPr id="31" name="Up Arrow Callout 30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2250095" y="63711451"/>
          <a:ext cx="743220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1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13628</xdr:colOff>
      <xdr:row>315</xdr:row>
      <xdr:rowOff>63986</xdr:rowOff>
    </xdr:from>
    <xdr:to>
      <xdr:col>2</xdr:col>
      <xdr:colOff>751815</xdr:colOff>
      <xdr:row>316</xdr:row>
      <xdr:rowOff>76777</xdr:rowOff>
    </xdr:to>
    <xdr:sp macro="" textlink="">
      <xdr:nvSpPr>
        <xdr:cNvPr id="32" name="Up Arrow Callout 3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1480478" y="63986261"/>
          <a:ext cx="738187" cy="260441"/>
        </a:xfrm>
        <a:prstGeom prst="upArrowCallout">
          <a:avLst/>
        </a:prstGeom>
        <a:blipFill>
          <a:blip xmlns:r="http://schemas.openxmlformats.org/officeDocument/2006/relationships" r:embed="rId11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780938</xdr:colOff>
      <xdr:row>315</xdr:row>
      <xdr:rowOff>67539</xdr:rowOff>
    </xdr:from>
    <xdr:to>
      <xdr:col>4</xdr:col>
      <xdr:colOff>285406</xdr:colOff>
      <xdr:row>316</xdr:row>
      <xdr:rowOff>72415</xdr:rowOff>
    </xdr:to>
    <xdr:sp macro="" textlink="">
      <xdr:nvSpPr>
        <xdr:cNvPr id="33" name="Up Arrow Callout 32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2247788" y="63989814"/>
          <a:ext cx="742718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1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749059</xdr:colOff>
      <xdr:row>298</xdr:row>
      <xdr:rowOff>108246</xdr:rowOff>
    </xdr:from>
    <xdr:to>
      <xdr:col>8</xdr:col>
      <xdr:colOff>19337</xdr:colOff>
      <xdr:row>298</xdr:row>
      <xdr:rowOff>210103</xdr:rowOff>
    </xdr:to>
    <xdr:sp macro="" textlink="">
      <xdr:nvSpPr>
        <xdr:cNvPr id="35" name="Bevel 3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5261424" y="60008072"/>
          <a:ext cx="138296" cy="101857"/>
        </a:xfrm>
        <a:prstGeom prst="bevel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553446</xdr:colOff>
      <xdr:row>298</xdr:row>
      <xdr:rowOff>117132</xdr:rowOff>
    </xdr:from>
    <xdr:to>
      <xdr:col>7</xdr:col>
      <xdr:colOff>714416</xdr:colOff>
      <xdr:row>298</xdr:row>
      <xdr:rowOff>216807</xdr:rowOff>
    </xdr:to>
    <xdr:sp macro="" textlink="">
      <xdr:nvSpPr>
        <xdr:cNvPr id="36" name="Bevel 3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5065811" y="60016958"/>
          <a:ext cx="160970" cy="99675"/>
        </a:xfrm>
        <a:prstGeom prst="bevel">
          <a:avLst/>
        </a:prstGeom>
        <a:solidFill>
          <a:srgbClr val="0000FF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62015</xdr:colOff>
      <xdr:row>298</xdr:row>
      <xdr:rowOff>108244</xdr:rowOff>
    </xdr:from>
    <xdr:to>
      <xdr:col>8</xdr:col>
      <xdr:colOff>202692</xdr:colOff>
      <xdr:row>298</xdr:row>
      <xdr:rowOff>210101</xdr:rowOff>
    </xdr:to>
    <xdr:sp macro="" textlink="">
      <xdr:nvSpPr>
        <xdr:cNvPr id="39" name="Bevel 3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5442398" y="60008070"/>
          <a:ext cx="140677" cy="101857"/>
        </a:xfrm>
        <a:prstGeom prst="bevel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254996</xdr:colOff>
      <xdr:row>298</xdr:row>
      <xdr:rowOff>110726</xdr:rowOff>
    </xdr:from>
    <xdr:to>
      <xdr:col>8</xdr:col>
      <xdr:colOff>393292</xdr:colOff>
      <xdr:row>298</xdr:row>
      <xdr:rowOff>213240</xdr:rowOff>
    </xdr:to>
    <xdr:sp macro="" textlink="">
      <xdr:nvSpPr>
        <xdr:cNvPr id="40" name="Bevel 3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5635379" y="60010552"/>
          <a:ext cx="138296" cy="102514"/>
        </a:xfrm>
        <a:prstGeom prst="bevel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254995</xdr:colOff>
      <xdr:row>297</xdr:row>
      <xdr:rowOff>251249</xdr:rowOff>
    </xdr:from>
    <xdr:to>
      <xdr:col>8</xdr:col>
      <xdr:colOff>393291</xdr:colOff>
      <xdr:row>298</xdr:row>
      <xdr:rowOff>89075</xdr:rowOff>
    </xdr:to>
    <xdr:sp macro="" textlink="">
      <xdr:nvSpPr>
        <xdr:cNvPr id="41" name="Bevel 4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5635378" y="59899284"/>
          <a:ext cx="138296" cy="89617"/>
        </a:xfrm>
        <a:prstGeom prst="bevel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435320</xdr:colOff>
      <xdr:row>297</xdr:row>
      <xdr:rowOff>251249</xdr:rowOff>
    </xdr:from>
    <xdr:to>
      <xdr:col>8</xdr:col>
      <xdr:colOff>575997</xdr:colOff>
      <xdr:row>298</xdr:row>
      <xdr:rowOff>89075</xdr:rowOff>
    </xdr:to>
    <xdr:sp macro="" textlink="">
      <xdr:nvSpPr>
        <xdr:cNvPr id="42" name="Bevel 4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5815703" y="59899284"/>
          <a:ext cx="140677" cy="89617"/>
        </a:xfrm>
        <a:prstGeom prst="bevel">
          <a:avLst/>
        </a:prstGeom>
        <a:solidFill>
          <a:schemeClr val="bg1">
            <a:lumMod val="9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432939</xdr:colOff>
      <xdr:row>298</xdr:row>
      <xdr:rowOff>110724</xdr:rowOff>
    </xdr:from>
    <xdr:to>
      <xdr:col>8</xdr:col>
      <xdr:colOff>573616</xdr:colOff>
      <xdr:row>298</xdr:row>
      <xdr:rowOff>213238</xdr:rowOff>
    </xdr:to>
    <xdr:sp macro="" textlink="">
      <xdr:nvSpPr>
        <xdr:cNvPr id="43" name="Bevel 4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>
        <a:xfrm>
          <a:off x="5813322" y="60010550"/>
          <a:ext cx="140677" cy="102514"/>
        </a:xfrm>
        <a:prstGeom prst="bevel">
          <a:avLst/>
        </a:prstGeom>
        <a:solidFill>
          <a:schemeClr val="bg1">
            <a:lumMod val="8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614465</xdr:colOff>
      <xdr:row>297</xdr:row>
      <xdr:rowOff>245994</xdr:rowOff>
    </xdr:from>
    <xdr:to>
      <xdr:col>8</xdr:col>
      <xdr:colOff>752761</xdr:colOff>
      <xdr:row>298</xdr:row>
      <xdr:rowOff>94625</xdr:rowOff>
    </xdr:to>
    <xdr:sp macro="" textlink="">
      <xdr:nvSpPr>
        <xdr:cNvPr id="44" name="Bevel 4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5994848" y="59894029"/>
          <a:ext cx="138296" cy="100422"/>
        </a:xfrm>
        <a:prstGeom prst="bevel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608512</xdr:colOff>
      <xdr:row>298</xdr:row>
      <xdr:rowOff>107053</xdr:rowOff>
    </xdr:from>
    <xdr:to>
      <xdr:col>8</xdr:col>
      <xdr:colOff>749189</xdr:colOff>
      <xdr:row>298</xdr:row>
      <xdr:rowOff>213478</xdr:rowOff>
    </xdr:to>
    <xdr:sp macro="" textlink="">
      <xdr:nvSpPr>
        <xdr:cNvPr id="45" name="Bevel 4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>
        <a:xfrm>
          <a:off x="5988895" y="60006879"/>
          <a:ext cx="140677" cy="106425"/>
        </a:xfrm>
        <a:prstGeom prst="bevel">
          <a:avLst/>
        </a:prstGeom>
        <a:solidFill>
          <a:srgbClr val="FBC1EA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790677</xdr:colOff>
      <xdr:row>297</xdr:row>
      <xdr:rowOff>249566</xdr:rowOff>
    </xdr:from>
    <xdr:to>
      <xdr:col>8</xdr:col>
      <xdr:colOff>958790</xdr:colOff>
      <xdr:row>298</xdr:row>
      <xdr:rowOff>98197</xdr:rowOff>
    </xdr:to>
    <xdr:sp macro="" textlink="">
      <xdr:nvSpPr>
        <xdr:cNvPr id="46" name="Bevel 4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/>
      </xdr:nvSpPr>
      <xdr:spPr>
        <a:xfrm>
          <a:off x="6171060" y="59897601"/>
          <a:ext cx="168113" cy="100422"/>
        </a:xfrm>
        <a:prstGeom prst="bevel">
          <a:avLst/>
        </a:prstGeom>
        <a:solidFill>
          <a:srgbClr val="FFFF0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787105</xdr:colOff>
      <xdr:row>298</xdr:row>
      <xdr:rowOff>118960</xdr:rowOff>
    </xdr:from>
    <xdr:to>
      <xdr:col>8</xdr:col>
      <xdr:colOff>955218</xdr:colOff>
      <xdr:row>298</xdr:row>
      <xdr:rowOff>225594</xdr:rowOff>
    </xdr:to>
    <xdr:sp macro="" textlink="">
      <xdr:nvSpPr>
        <xdr:cNvPr id="47" name="Bevel 4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6167488" y="60018786"/>
          <a:ext cx="168113" cy="106634"/>
        </a:xfrm>
        <a:prstGeom prst="bevel">
          <a:avLst/>
        </a:prstGeom>
        <a:solidFill>
          <a:srgbClr val="99FFCC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0</xdr:colOff>
      <xdr:row>110</xdr:row>
      <xdr:rowOff>0</xdr:rowOff>
    </xdr:from>
    <xdr:to>
      <xdr:col>11</xdr:col>
      <xdr:colOff>142143</xdr:colOff>
      <xdr:row>110</xdr:row>
      <xdr:rowOff>96993</xdr:rowOff>
    </xdr:to>
    <xdr:sp macro="" textlink="">
      <xdr:nvSpPr>
        <xdr:cNvPr id="48" name="Bevel 47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/>
      </xdr:nvSpPr>
      <xdr:spPr>
        <a:xfrm>
          <a:off x="8241196" y="21642457"/>
          <a:ext cx="142143" cy="96993"/>
        </a:xfrm>
        <a:prstGeom prst="bevel">
          <a:avLst/>
        </a:prstGeom>
        <a:solidFill>
          <a:srgbClr val="00B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184823</xdr:colOff>
      <xdr:row>110</xdr:row>
      <xdr:rowOff>119617</xdr:rowOff>
    </xdr:from>
    <xdr:to>
      <xdr:col>11</xdr:col>
      <xdr:colOff>323119</xdr:colOff>
      <xdr:row>110</xdr:row>
      <xdr:rowOff>222939</xdr:rowOff>
    </xdr:to>
    <xdr:sp macro="" textlink="">
      <xdr:nvSpPr>
        <xdr:cNvPr id="49" name="Bevel 4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/>
      </xdr:nvSpPr>
      <xdr:spPr>
        <a:xfrm>
          <a:off x="8426019" y="21762074"/>
          <a:ext cx="138296" cy="103322"/>
        </a:xfrm>
        <a:prstGeom prst="bevel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8037</xdr:colOff>
      <xdr:row>110</xdr:row>
      <xdr:rowOff>128503</xdr:rowOff>
    </xdr:from>
    <xdr:to>
      <xdr:col>11</xdr:col>
      <xdr:colOff>150180</xdr:colOff>
      <xdr:row>110</xdr:row>
      <xdr:rowOff>229643</xdr:rowOff>
    </xdr:to>
    <xdr:sp macro="" textlink="">
      <xdr:nvSpPr>
        <xdr:cNvPr id="50" name="Bevel 49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/>
      </xdr:nvSpPr>
      <xdr:spPr>
        <a:xfrm>
          <a:off x="8249233" y="21770960"/>
          <a:ext cx="142143" cy="101140"/>
        </a:xfrm>
        <a:prstGeom prst="bevel">
          <a:avLst/>
        </a:prstGeom>
        <a:solidFill>
          <a:srgbClr val="0000FF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184822</xdr:colOff>
      <xdr:row>110</xdr:row>
      <xdr:rowOff>1743</xdr:rowOff>
    </xdr:from>
    <xdr:to>
      <xdr:col>11</xdr:col>
      <xdr:colOff>323118</xdr:colOff>
      <xdr:row>110</xdr:row>
      <xdr:rowOff>99374</xdr:rowOff>
    </xdr:to>
    <xdr:sp macro="" textlink="">
      <xdr:nvSpPr>
        <xdr:cNvPr id="51" name="Bevel 50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8426018" y="21644200"/>
          <a:ext cx="138296" cy="97631"/>
        </a:xfrm>
        <a:prstGeom prst="bevel">
          <a:avLst/>
        </a:prstGeom>
        <a:solidFill>
          <a:srgbClr val="92D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368178</xdr:colOff>
      <xdr:row>110</xdr:row>
      <xdr:rowOff>1743</xdr:rowOff>
    </xdr:from>
    <xdr:to>
      <xdr:col>11</xdr:col>
      <xdr:colOff>508855</xdr:colOff>
      <xdr:row>110</xdr:row>
      <xdr:rowOff>99374</xdr:rowOff>
    </xdr:to>
    <xdr:sp macro="" textlink="">
      <xdr:nvSpPr>
        <xdr:cNvPr id="52" name="Bevel 51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8609374" y="21644200"/>
          <a:ext cx="140677" cy="97631"/>
        </a:xfrm>
        <a:prstGeom prst="bevel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365797</xdr:colOff>
      <xdr:row>110</xdr:row>
      <xdr:rowOff>119615</xdr:rowOff>
    </xdr:from>
    <xdr:to>
      <xdr:col>11</xdr:col>
      <xdr:colOff>506474</xdr:colOff>
      <xdr:row>110</xdr:row>
      <xdr:rowOff>222937</xdr:rowOff>
    </xdr:to>
    <xdr:sp macro="" textlink="">
      <xdr:nvSpPr>
        <xdr:cNvPr id="53" name="Bevel 52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/>
      </xdr:nvSpPr>
      <xdr:spPr>
        <a:xfrm>
          <a:off x="8606993" y="21762072"/>
          <a:ext cx="140677" cy="103322"/>
        </a:xfrm>
        <a:prstGeom prst="bevel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0</xdr:colOff>
      <xdr:row>50</xdr:row>
      <xdr:rowOff>0</xdr:rowOff>
    </xdr:from>
    <xdr:to>
      <xdr:col>11</xdr:col>
      <xdr:colOff>142143</xdr:colOff>
      <xdr:row>50</xdr:row>
      <xdr:rowOff>96993</xdr:rowOff>
    </xdr:to>
    <xdr:sp macro="" textlink="">
      <xdr:nvSpPr>
        <xdr:cNvPr id="54" name="Bevel 53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/>
      </xdr:nvSpPr>
      <xdr:spPr>
        <a:xfrm>
          <a:off x="8241196" y="9243391"/>
          <a:ext cx="142143" cy="96993"/>
        </a:xfrm>
        <a:prstGeom prst="bevel">
          <a:avLst/>
        </a:prstGeom>
        <a:solidFill>
          <a:srgbClr val="00B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184823</xdr:colOff>
      <xdr:row>50</xdr:row>
      <xdr:rowOff>119617</xdr:rowOff>
    </xdr:from>
    <xdr:to>
      <xdr:col>11</xdr:col>
      <xdr:colOff>323119</xdr:colOff>
      <xdr:row>51</xdr:row>
      <xdr:rowOff>15873</xdr:rowOff>
    </xdr:to>
    <xdr:sp macro="" textlink="">
      <xdr:nvSpPr>
        <xdr:cNvPr id="55" name="Bevel 5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/>
      </xdr:nvSpPr>
      <xdr:spPr>
        <a:xfrm>
          <a:off x="8426019" y="9363008"/>
          <a:ext cx="138296" cy="103322"/>
        </a:xfrm>
        <a:prstGeom prst="bevel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8037</xdr:colOff>
      <xdr:row>50</xdr:row>
      <xdr:rowOff>128503</xdr:rowOff>
    </xdr:from>
    <xdr:to>
      <xdr:col>11</xdr:col>
      <xdr:colOff>150180</xdr:colOff>
      <xdr:row>51</xdr:row>
      <xdr:rowOff>22577</xdr:rowOff>
    </xdr:to>
    <xdr:sp macro="" textlink="">
      <xdr:nvSpPr>
        <xdr:cNvPr id="56" name="Bevel 5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>
          <a:off x="8249233" y="9371894"/>
          <a:ext cx="142143" cy="101140"/>
        </a:xfrm>
        <a:prstGeom prst="bevel">
          <a:avLst/>
        </a:prstGeom>
        <a:solidFill>
          <a:srgbClr val="0000FF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184822</xdr:colOff>
      <xdr:row>50</xdr:row>
      <xdr:rowOff>1743</xdr:rowOff>
    </xdr:from>
    <xdr:to>
      <xdr:col>11</xdr:col>
      <xdr:colOff>323118</xdr:colOff>
      <xdr:row>50</xdr:row>
      <xdr:rowOff>99374</xdr:rowOff>
    </xdr:to>
    <xdr:sp macro="" textlink="">
      <xdr:nvSpPr>
        <xdr:cNvPr id="57" name="Bevel 56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/>
      </xdr:nvSpPr>
      <xdr:spPr>
        <a:xfrm>
          <a:off x="8426018" y="9245134"/>
          <a:ext cx="138296" cy="97631"/>
        </a:xfrm>
        <a:prstGeom prst="bevel">
          <a:avLst/>
        </a:prstGeom>
        <a:solidFill>
          <a:srgbClr val="92D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368178</xdr:colOff>
      <xdr:row>50</xdr:row>
      <xdr:rowOff>1743</xdr:rowOff>
    </xdr:from>
    <xdr:to>
      <xdr:col>11</xdr:col>
      <xdr:colOff>508855</xdr:colOff>
      <xdr:row>50</xdr:row>
      <xdr:rowOff>99374</xdr:rowOff>
    </xdr:to>
    <xdr:sp macro="" textlink="">
      <xdr:nvSpPr>
        <xdr:cNvPr id="58" name="Bevel 57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/>
      </xdr:nvSpPr>
      <xdr:spPr>
        <a:xfrm>
          <a:off x="8609374" y="9245134"/>
          <a:ext cx="140677" cy="97631"/>
        </a:xfrm>
        <a:prstGeom prst="bevel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365797</xdr:colOff>
      <xdr:row>50</xdr:row>
      <xdr:rowOff>119615</xdr:rowOff>
    </xdr:from>
    <xdr:to>
      <xdr:col>11</xdr:col>
      <xdr:colOff>506474</xdr:colOff>
      <xdr:row>51</xdr:row>
      <xdr:rowOff>15871</xdr:rowOff>
    </xdr:to>
    <xdr:sp macro="" textlink="">
      <xdr:nvSpPr>
        <xdr:cNvPr id="59" name="Bevel 5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/>
      </xdr:nvSpPr>
      <xdr:spPr>
        <a:xfrm>
          <a:off x="8606993" y="9363006"/>
          <a:ext cx="140677" cy="103322"/>
        </a:xfrm>
        <a:prstGeom prst="bevel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184823</xdr:colOff>
      <xdr:row>192</xdr:row>
      <xdr:rowOff>119617</xdr:rowOff>
    </xdr:from>
    <xdr:to>
      <xdr:col>11</xdr:col>
      <xdr:colOff>323119</xdr:colOff>
      <xdr:row>193</xdr:row>
      <xdr:rowOff>24156</xdr:rowOff>
    </xdr:to>
    <xdr:sp macro="" textlink="">
      <xdr:nvSpPr>
        <xdr:cNvPr id="61" name="Bevel 60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/>
      </xdr:nvSpPr>
      <xdr:spPr>
        <a:xfrm>
          <a:off x="8426019" y="38592334"/>
          <a:ext cx="138296" cy="103322"/>
        </a:xfrm>
        <a:prstGeom prst="bevel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8037</xdr:colOff>
      <xdr:row>192</xdr:row>
      <xdr:rowOff>128503</xdr:rowOff>
    </xdr:from>
    <xdr:to>
      <xdr:col>11</xdr:col>
      <xdr:colOff>150180</xdr:colOff>
      <xdr:row>193</xdr:row>
      <xdr:rowOff>30860</xdr:rowOff>
    </xdr:to>
    <xdr:sp macro="" textlink="">
      <xdr:nvSpPr>
        <xdr:cNvPr id="62" name="Bevel 61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/>
      </xdr:nvSpPr>
      <xdr:spPr>
        <a:xfrm>
          <a:off x="8249233" y="38601220"/>
          <a:ext cx="142143" cy="101140"/>
        </a:xfrm>
        <a:prstGeom prst="bevel">
          <a:avLst/>
        </a:prstGeom>
        <a:solidFill>
          <a:srgbClr val="0000FF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365797</xdr:colOff>
      <xdr:row>192</xdr:row>
      <xdr:rowOff>119615</xdr:rowOff>
    </xdr:from>
    <xdr:to>
      <xdr:col>11</xdr:col>
      <xdr:colOff>506474</xdr:colOff>
      <xdr:row>193</xdr:row>
      <xdr:rowOff>24154</xdr:rowOff>
    </xdr:to>
    <xdr:sp macro="" textlink="">
      <xdr:nvSpPr>
        <xdr:cNvPr id="65" name="Bevel 64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8606993" y="38592332"/>
          <a:ext cx="140677" cy="103322"/>
        </a:xfrm>
        <a:prstGeom prst="bevel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176786</xdr:colOff>
      <xdr:row>134</xdr:row>
      <xdr:rowOff>2</xdr:rowOff>
    </xdr:from>
    <xdr:to>
      <xdr:col>11</xdr:col>
      <xdr:colOff>315082</xdr:colOff>
      <xdr:row>134</xdr:row>
      <xdr:rowOff>106947</xdr:rowOff>
    </xdr:to>
    <xdr:sp macro="" textlink="">
      <xdr:nvSpPr>
        <xdr:cNvPr id="66" name="Bevel 6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/>
      </xdr:nvSpPr>
      <xdr:spPr>
        <a:xfrm>
          <a:off x="8398052" y="26872408"/>
          <a:ext cx="138296" cy="106945"/>
        </a:xfrm>
        <a:prstGeom prst="bevel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0</xdr:colOff>
      <xdr:row>134</xdr:row>
      <xdr:rowOff>8888</xdr:rowOff>
    </xdr:from>
    <xdr:to>
      <xdr:col>11</xdr:col>
      <xdr:colOff>142143</xdr:colOff>
      <xdr:row>134</xdr:row>
      <xdr:rowOff>113651</xdr:rowOff>
    </xdr:to>
    <xdr:sp macro="" textlink="">
      <xdr:nvSpPr>
        <xdr:cNvPr id="67" name="Bevel 66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>
          <a:off x="8221266" y="26881294"/>
          <a:ext cx="142143" cy="104763"/>
        </a:xfrm>
        <a:prstGeom prst="bevel">
          <a:avLst/>
        </a:prstGeom>
        <a:solidFill>
          <a:srgbClr val="0000FF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357760</xdr:colOff>
      <xdr:row>134</xdr:row>
      <xdr:rowOff>0</xdr:rowOff>
    </xdr:from>
    <xdr:to>
      <xdr:col>11</xdr:col>
      <xdr:colOff>498437</xdr:colOff>
      <xdr:row>134</xdr:row>
      <xdr:rowOff>106945</xdr:rowOff>
    </xdr:to>
    <xdr:sp macro="" textlink="">
      <xdr:nvSpPr>
        <xdr:cNvPr id="68" name="Bevel 67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/>
      </xdr:nvSpPr>
      <xdr:spPr>
        <a:xfrm>
          <a:off x="8579026" y="26872406"/>
          <a:ext cx="140677" cy="106945"/>
        </a:xfrm>
        <a:prstGeom prst="bevel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0</xdr:colOff>
      <xdr:row>30</xdr:row>
      <xdr:rowOff>131885</xdr:rowOff>
    </xdr:from>
    <xdr:to>
      <xdr:col>11</xdr:col>
      <xdr:colOff>190500</xdr:colOff>
      <xdr:row>32</xdr:row>
      <xdr:rowOff>104043</xdr:rowOff>
    </xdr:to>
    <xdr:sp macro="" textlink="">
      <xdr:nvSpPr>
        <xdr:cNvPr id="60" name="Down Arrow 59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/>
      </xdr:nvSpPr>
      <xdr:spPr>
        <a:xfrm>
          <a:off x="8235462" y="5846885"/>
          <a:ext cx="190500" cy="323850"/>
        </a:xfrm>
        <a:prstGeom prst="downArrow">
          <a:avLst/>
        </a:prstGeom>
        <a:solidFill>
          <a:srgbClr val="CCFFFF">
            <a:alpha val="7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0</xdr:colOff>
      <xdr:row>83</xdr:row>
      <xdr:rowOff>9525</xdr:rowOff>
    </xdr:from>
    <xdr:to>
      <xdr:col>11</xdr:col>
      <xdr:colOff>190500</xdr:colOff>
      <xdr:row>84</xdr:row>
      <xdr:rowOff>142875</xdr:rowOff>
    </xdr:to>
    <xdr:sp macro="" textlink="">
      <xdr:nvSpPr>
        <xdr:cNvPr id="63" name="Down Arrow 62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/>
      </xdr:nvSpPr>
      <xdr:spPr>
        <a:xfrm>
          <a:off x="8235462" y="15894294"/>
          <a:ext cx="190500" cy="323850"/>
        </a:xfrm>
        <a:prstGeom prst="downArrow">
          <a:avLst/>
        </a:prstGeom>
        <a:solidFill>
          <a:srgbClr val="CCFFFF">
            <a:alpha val="7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190500</xdr:colOff>
      <xdr:row>83</xdr:row>
      <xdr:rowOff>0</xdr:rowOff>
    </xdr:from>
    <xdr:to>
      <xdr:col>11</xdr:col>
      <xdr:colOff>372941</xdr:colOff>
      <xdr:row>84</xdr:row>
      <xdr:rowOff>119428</xdr:rowOff>
    </xdr:to>
    <xdr:sp macro="" textlink="">
      <xdr:nvSpPr>
        <xdr:cNvPr id="64" name="Up Arrow 63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8425962" y="15884769"/>
          <a:ext cx="182441" cy="309928"/>
        </a:xfrm>
        <a:prstGeom prst="upArrow">
          <a:avLst/>
        </a:prstGeom>
        <a:solidFill>
          <a:srgbClr val="99FF99">
            <a:alpha val="7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0</xdr:colOff>
      <xdr:row>124</xdr:row>
      <xdr:rowOff>9525</xdr:rowOff>
    </xdr:from>
    <xdr:to>
      <xdr:col>11</xdr:col>
      <xdr:colOff>190500</xdr:colOff>
      <xdr:row>125</xdr:row>
      <xdr:rowOff>142875</xdr:rowOff>
    </xdr:to>
    <xdr:sp macro="" textlink="">
      <xdr:nvSpPr>
        <xdr:cNvPr id="69" name="Down Arrow 68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/>
      </xdr:nvSpPr>
      <xdr:spPr>
        <a:xfrm>
          <a:off x="8235462" y="24811160"/>
          <a:ext cx="190500" cy="323850"/>
        </a:xfrm>
        <a:prstGeom prst="downArrow">
          <a:avLst/>
        </a:prstGeom>
        <a:solidFill>
          <a:srgbClr val="CCFFFF">
            <a:alpha val="7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200025</xdr:colOff>
      <xdr:row>124</xdr:row>
      <xdr:rowOff>0</xdr:rowOff>
    </xdr:from>
    <xdr:to>
      <xdr:col>11</xdr:col>
      <xdr:colOff>382466</xdr:colOff>
      <xdr:row>125</xdr:row>
      <xdr:rowOff>119428</xdr:rowOff>
    </xdr:to>
    <xdr:sp macro="" textlink="">
      <xdr:nvSpPr>
        <xdr:cNvPr id="70" name="Up Arrow 69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/>
      </xdr:nvSpPr>
      <xdr:spPr>
        <a:xfrm>
          <a:off x="8435487" y="24801635"/>
          <a:ext cx="182441" cy="309928"/>
        </a:xfrm>
        <a:prstGeom prst="upArrow">
          <a:avLst/>
        </a:prstGeom>
        <a:solidFill>
          <a:srgbClr val="99FF99">
            <a:alpha val="7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0</xdr:colOff>
      <xdr:row>193</xdr:row>
      <xdr:rowOff>9525</xdr:rowOff>
    </xdr:from>
    <xdr:to>
      <xdr:col>11</xdr:col>
      <xdr:colOff>190500</xdr:colOff>
      <xdr:row>194</xdr:row>
      <xdr:rowOff>77665</xdr:rowOff>
    </xdr:to>
    <xdr:sp macro="" textlink="">
      <xdr:nvSpPr>
        <xdr:cNvPr id="71" name="Down Arrow 70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/>
      </xdr:nvSpPr>
      <xdr:spPr>
        <a:xfrm>
          <a:off x="8235462" y="38666371"/>
          <a:ext cx="190500" cy="295275"/>
        </a:xfrm>
        <a:prstGeom prst="downArrow">
          <a:avLst/>
        </a:prstGeom>
        <a:solidFill>
          <a:srgbClr val="CCFFFF">
            <a:alpha val="7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209550</xdr:colOff>
      <xdr:row>193</xdr:row>
      <xdr:rowOff>0</xdr:rowOff>
    </xdr:from>
    <xdr:to>
      <xdr:col>11</xdr:col>
      <xdr:colOff>391991</xdr:colOff>
      <xdr:row>194</xdr:row>
      <xdr:rowOff>54218</xdr:rowOff>
    </xdr:to>
    <xdr:sp macro="" textlink="">
      <xdr:nvSpPr>
        <xdr:cNvPr id="72" name="Up Arrow 71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/>
      </xdr:nvSpPr>
      <xdr:spPr>
        <a:xfrm>
          <a:off x="8445012" y="38656846"/>
          <a:ext cx="182441" cy="281353"/>
        </a:xfrm>
        <a:prstGeom prst="upArrow">
          <a:avLst/>
        </a:prstGeom>
        <a:solidFill>
          <a:srgbClr val="99FF99">
            <a:alpha val="7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0</xdr:colOff>
      <xdr:row>293</xdr:row>
      <xdr:rowOff>0</xdr:rowOff>
    </xdr:from>
    <xdr:to>
      <xdr:col>11</xdr:col>
      <xdr:colOff>182441</xdr:colOff>
      <xdr:row>294</xdr:row>
      <xdr:rowOff>39564</xdr:rowOff>
    </xdr:to>
    <xdr:sp macro="" textlink="">
      <xdr:nvSpPr>
        <xdr:cNvPr id="73" name="Up Arrow 72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>
          <a:off x="8235462" y="58835192"/>
          <a:ext cx="182441" cy="281353"/>
        </a:xfrm>
        <a:prstGeom prst="upArrow">
          <a:avLst/>
        </a:prstGeom>
        <a:solidFill>
          <a:srgbClr val="99FF99">
            <a:alpha val="7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142143</xdr:colOff>
      <xdr:row>49</xdr:row>
      <xdr:rowOff>96993</xdr:rowOff>
    </xdr:to>
    <xdr:sp macro="" textlink="">
      <xdr:nvSpPr>
        <xdr:cNvPr id="74" name="Bevel 73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/>
      </xdr:nvSpPr>
      <xdr:spPr>
        <a:xfrm>
          <a:off x="8100060" y="9197340"/>
          <a:ext cx="142143" cy="96993"/>
        </a:xfrm>
        <a:prstGeom prst="bevel">
          <a:avLst/>
        </a:prstGeom>
        <a:solidFill>
          <a:srgbClr val="00B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184823</xdr:colOff>
      <xdr:row>49</xdr:row>
      <xdr:rowOff>119617</xdr:rowOff>
    </xdr:from>
    <xdr:to>
      <xdr:col>11</xdr:col>
      <xdr:colOff>323119</xdr:colOff>
      <xdr:row>50</xdr:row>
      <xdr:rowOff>15873</xdr:rowOff>
    </xdr:to>
    <xdr:sp macro="" textlink="">
      <xdr:nvSpPr>
        <xdr:cNvPr id="75" name="Bevel 7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/>
      </xdr:nvSpPr>
      <xdr:spPr>
        <a:xfrm>
          <a:off x="8284883" y="9316957"/>
          <a:ext cx="138296" cy="117236"/>
        </a:xfrm>
        <a:prstGeom prst="bevel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8037</xdr:colOff>
      <xdr:row>49</xdr:row>
      <xdr:rowOff>128503</xdr:rowOff>
    </xdr:from>
    <xdr:to>
      <xdr:col>11</xdr:col>
      <xdr:colOff>150180</xdr:colOff>
      <xdr:row>50</xdr:row>
      <xdr:rowOff>22577</xdr:rowOff>
    </xdr:to>
    <xdr:sp macro="" textlink="">
      <xdr:nvSpPr>
        <xdr:cNvPr id="76" name="Bevel 7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/>
      </xdr:nvSpPr>
      <xdr:spPr>
        <a:xfrm>
          <a:off x="8108097" y="9325843"/>
          <a:ext cx="142143" cy="115054"/>
        </a:xfrm>
        <a:prstGeom prst="bevel">
          <a:avLst/>
        </a:prstGeom>
        <a:solidFill>
          <a:srgbClr val="0000FF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184822</xdr:colOff>
      <xdr:row>49</xdr:row>
      <xdr:rowOff>1743</xdr:rowOff>
    </xdr:from>
    <xdr:to>
      <xdr:col>11</xdr:col>
      <xdr:colOff>323118</xdr:colOff>
      <xdr:row>49</xdr:row>
      <xdr:rowOff>99374</xdr:rowOff>
    </xdr:to>
    <xdr:sp macro="" textlink="">
      <xdr:nvSpPr>
        <xdr:cNvPr id="77" name="Bevel 76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/>
      </xdr:nvSpPr>
      <xdr:spPr>
        <a:xfrm>
          <a:off x="8284882" y="9199083"/>
          <a:ext cx="138296" cy="97631"/>
        </a:xfrm>
        <a:prstGeom prst="bevel">
          <a:avLst/>
        </a:prstGeom>
        <a:solidFill>
          <a:srgbClr val="92D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368178</xdr:colOff>
      <xdr:row>49</xdr:row>
      <xdr:rowOff>1743</xdr:rowOff>
    </xdr:from>
    <xdr:to>
      <xdr:col>11</xdr:col>
      <xdr:colOff>508855</xdr:colOff>
      <xdr:row>49</xdr:row>
      <xdr:rowOff>99374</xdr:rowOff>
    </xdr:to>
    <xdr:sp macro="" textlink="">
      <xdr:nvSpPr>
        <xdr:cNvPr id="78" name="Bevel 77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/>
      </xdr:nvSpPr>
      <xdr:spPr>
        <a:xfrm>
          <a:off x="8468238" y="9199083"/>
          <a:ext cx="140677" cy="97631"/>
        </a:xfrm>
        <a:prstGeom prst="bevel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365797</xdr:colOff>
      <xdr:row>49</xdr:row>
      <xdr:rowOff>119615</xdr:rowOff>
    </xdr:from>
    <xdr:to>
      <xdr:col>11</xdr:col>
      <xdr:colOff>506474</xdr:colOff>
      <xdr:row>50</xdr:row>
      <xdr:rowOff>15871</xdr:rowOff>
    </xdr:to>
    <xdr:sp macro="" textlink="">
      <xdr:nvSpPr>
        <xdr:cNvPr id="79" name="Bevel 7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/>
      </xdr:nvSpPr>
      <xdr:spPr>
        <a:xfrm>
          <a:off x="8465857" y="9316955"/>
          <a:ext cx="140677" cy="117236"/>
        </a:xfrm>
        <a:prstGeom prst="bevel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9</xdr:col>
      <xdr:colOff>390526</xdr:colOff>
      <xdr:row>296</xdr:row>
      <xdr:rowOff>238857</xdr:rowOff>
    </xdr:from>
    <xdr:to>
      <xdr:col>10</xdr:col>
      <xdr:colOff>526042</xdr:colOff>
      <xdr:row>297</xdr:row>
      <xdr:rowOff>216304</xdr:rowOff>
    </xdr:to>
    <xdr:sp macro="" textlink="">
      <xdr:nvSpPr>
        <xdr:cNvPr id="80" name="Flowchart: Predefined Process 7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/>
      </xdr:nvSpPr>
      <xdr:spPr>
        <a:xfrm>
          <a:off x="6600826" y="58638537"/>
          <a:ext cx="1278516" cy="228907"/>
        </a:xfrm>
        <a:prstGeom prst="flowChartPredefinedProcess">
          <a:avLst/>
        </a:prstGeom>
        <a:solidFill>
          <a:srgbClr val="FFFFCC"/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100"/>
            <a:t>All</a:t>
          </a:r>
          <a:r>
            <a:rPr lang="en-US" sz="1100" baseline="0"/>
            <a:t> Gear Box</a:t>
          </a:r>
          <a:endParaRPr lang="en-US" sz="1100"/>
        </a:p>
      </xdr:txBody>
    </xdr:sp>
    <xdr:clientData/>
  </xdr:twoCellAnchor>
  <xdr:twoCellAnchor>
    <xdr:from>
      <xdr:col>7</xdr:col>
      <xdr:colOff>565288</xdr:colOff>
      <xdr:row>297</xdr:row>
      <xdr:rowOff>245994</xdr:rowOff>
    </xdr:from>
    <xdr:to>
      <xdr:col>7</xdr:col>
      <xdr:colOff>726258</xdr:colOff>
      <xdr:row>298</xdr:row>
      <xdr:rowOff>91834</xdr:rowOff>
    </xdr:to>
    <xdr:sp macro="" textlink="">
      <xdr:nvSpPr>
        <xdr:cNvPr id="87" name="Bevel 86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/>
      </xdr:nvSpPr>
      <xdr:spPr>
        <a:xfrm>
          <a:off x="5077653" y="59894029"/>
          <a:ext cx="160970" cy="97631"/>
        </a:xfrm>
        <a:prstGeom prst="bevel">
          <a:avLst/>
        </a:prstGeom>
        <a:solidFill>
          <a:srgbClr val="00B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768937</xdr:colOff>
      <xdr:row>297</xdr:row>
      <xdr:rowOff>248375</xdr:rowOff>
    </xdr:from>
    <xdr:to>
      <xdr:col>8</xdr:col>
      <xdr:colOff>39215</xdr:colOff>
      <xdr:row>298</xdr:row>
      <xdr:rowOff>86595</xdr:rowOff>
    </xdr:to>
    <xdr:sp macro="" textlink="">
      <xdr:nvSpPr>
        <xdr:cNvPr id="88" name="Bevel 87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/>
      </xdr:nvSpPr>
      <xdr:spPr>
        <a:xfrm>
          <a:off x="5281302" y="59896410"/>
          <a:ext cx="138296" cy="90011"/>
        </a:xfrm>
        <a:prstGeom prst="bevel">
          <a:avLst/>
        </a:prstGeom>
        <a:solidFill>
          <a:srgbClr val="92D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84275</xdr:colOff>
      <xdr:row>297</xdr:row>
      <xdr:rowOff>248375</xdr:rowOff>
    </xdr:from>
    <xdr:to>
      <xdr:col>8</xdr:col>
      <xdr:colOff>224952</xdr:colOff>
      <xdr:row>298</xdr:row>
      <xdr:rowOff>86595</xdr:rowOff>
    </xdr:to>
    <xdr:sp macro="" textlink="">
      <xdr:nvSpPr>
        <xdr:cNvPr id="89" name="Bevel 88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/>
      </xdr:nvSpPr>
      <xdr:spPr>
        <a:xfrm>
          <a:off x="5464658" y="59896410"/>
          <a:ext cx="140677" cy="90011"/>
        </a:xfrm>
        <a:prstGeom prst="bevel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518160</xdr:colOff>
      <xdr:row>217</xdr:row>
      <xdr:rowOff>137160</xdr:rowOff>
    </xdr:from>
    <xdr:to>
      <xdr:col>9</xdr:col>
      <xdr:colOff>15240</xdr:colOff>
      <xdr:row>217</xdr:row>
      <xdr:rowOff>152400</xdr:rowOff>
    </xdr:to>
    <xdr:sp macro="" textlink="">
      <xdr:nvSpPr>
        <xdr:cNvPr id="5121" name="Line 24">
          <a:extLst>
            <a:ext uri="{FF2B5EF4-FFF2-40B4-BE49-F238E27FC236}">
              <a16:creationId xmlns:a16="http://schemas.microsoft.com/office/drawing/2014/main" id="{00000000-0008-0000-0200-000001140000}"/>
            </a:ext>
          </a:extLst>
        </xdr:cNvPr>
        <xdr:cNvSpPr>
          <a:spLocks noChangeShapeType="1"/>
        </xdr:cNvSpPr>
      </xdr:nvSpPr>
      <xdr:spPr bwMode="auto">
        <a:xfrm>
          <a:off x="4389120" y="42374820"/>
          <a:ext cx="217932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381000</xdr:colOff>
      <xdr:row>217</xdr:row>
      <xdr:rowOff>45720</xdr:rowOff>
    </xdr:from>
    <xdr:to>
      <xdr:col>6</xdr:col>
      <xdr:colOff>388620</xdr:colOff>
      <xdr:row>221</xdr:row>
      <xdr:rowOff>38100</xdr:rowOff>
    </xdr:to>
    <xdr:sp macro="" textlink="">
      <xdr:nvSpPr>
        <xdr:cNvPr id="5122" name="Line 25">
          <a:extLst>
            <a:ext uri="{FF2B5EF4-FFF2-40B4-BE49-F238E27FC236}">
              <a16:creationId xmlns:a16="http://schemas.microsoft.com/office/drawing/2014/main" id="{00000000-0008-0000-0200-000002140000}"/>
            </a:ext>
          </a:extLst>
        </xdr:cNvPr>
        <xdr:cNvSpPr>
          <a:spLocks noChangeShapeType="1"/>
        </xdr:cNvSpPr>
      </xdr:nvSpPr>
      <xdr:spPr bwMode="auto">
        <a:xfrm flipV="1">
          <a:off x="4251960" y="42283380"/>
          <a:ext cx="7620" cy="7239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1005840</xdr:colOff>
      <xdr:row>217</xdr:row>
      <xdr:rowOff>137160</xdr:rowOff>
    </xdr:from>
    <xdr:to>
      <xdr:col>9</xdr:col>
      <xdr:colOff>1021080</xdr:colOff>
      <xdr:row>221</xdr:row>
      <xdr:rowOff>83820</xdr:rowOff>
    </xdr:to>
    <xdr:sp macro="" textlink="">
      <xdr:nvSpPr>
        <xdr:cNvPr id="5123" name="Line 26">
          <a:extLst>
            <a:ext uri="{FF2B5EF4-FFF2-40B4-BE49-F238E27FC236}">
              <a16:creationId xmlns:a16="http://schemas.microsoft.com/office/drawing/2014/main" id="{00000000-0008-0000-0200-000003140000}"/>
            </a:ext>
          </a:extLst>
        </xdr:cNvPr>
        <xdr:cNvSpPr>
          <a:spLocks noChangeShapeType="1"/>
        </xdr:cNvSpPr>
      </xdr:nvSpPr>
      <xdr:spPr bwMode="auto">
        <a:xfrm flipV="1">
          <a:off x="7559040" y="42374820"/>
          <a:ext cx="15240" cy="6781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403860</xdr:colOff>
      <xdr:row>221</xdr:row>
      <xdr:rowOff>38100</xdr:rowOff>
    </xdr:from>
    <xdr:to>
      <xdr:col>7</xdr:col>
      <xdr:colOff>762000</xdr:colOff>
      <xdr:row>221</xdr:row>
      <xdr:rowOff>45720</xdr:rowOff>
    </xdr:to>
    <xdr:sp macro="" textlink="">
      <xdr:nvSpPr>
        <xdr:cNvPr id="5124" name="Line 27">
          <a:extLst>
            <a:ext uri="{FF2B5EF4-FFF2-40B4-BE49-F238E27FC236}">
              <a16:creationId xmlns:a16="http://schemas.microsoft.com/office/drawing/2014/main" id="{00000000-0008-0000-0200-000004140000}"/>
            </a:ext>
          </a:extLst>
        </xdr:cNvPr>
        <xdr:cNvSpPr>
          <a:spLocks noChangeShapeType="1"/>
        </xdr:cNvSpPr>
      </xdr:nvSpPr>
      <xdr:spPr bwMode="auto">
        <a:xfrm flipH="1">
          <a:off x="4274820" y="43007280"/>
          <a:ext cx="9982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777240</xdr:colOff>
      <xdr:row>221</xdr:row>
      <xdr:rowOff>38100</xdr:rowOff>
    </xdr:from>
    <xdr:to>
      <xdr:col>9</xdr:col>
      <xdr:colOff>1005840</xdr:colOff>
      <xdr:row>221</xdr:row>
      <xdr:rowOff>45720</xdr:rowOff>
    </xdr:to>
    <xdr:sp macro="" textlink="">
      <xdr:nvSpPr>
        <xdr:cNvPr id="5125" name="Line 28">
          <a:extLst>
            <a:ext uri="{FF2B5EF4-FFF2-40B4-BE49-F238E27FC236}">
              <a16:creationId xmlns:a16="http://schemas.microsoft.com/office/drawing/2014/main" id="{00000000-0008-0000-0200-000005140000}"/>
            </a:ext>
          </a:extLst>
        </xdr:cNvPr>
        <xdr:cNvSpPr>
          <a:spLocks noChangeShapeType="1"/>
        </xdr:cNvSpPr>
      </xdr:nvSpPr>
      <xdr:spPr bwMode="auto">
        <a:xfrm>
          <a:off x="5288280" y="43007280"/>
          <a:ext cx="22707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327660</xdr:colOff>
      <xdr:row>215</xdr:row>
      <xdr:rowOff>0</xdr:rowOff>
    </xdr:from>
    <xdr:to>
      <xdr:col>7</xdr:col>
      <xdr:colOff>335280</xdr:colOff>
      <xdr:row>217</xdr:row>
      <xdr:rowOff>15240</xdr:rowOff>
    </xdr:to>
    <xdr:sp macro="" textlink="">
      <xdr:nvSpPr>
        <xdr:cNvPr id="5126" name="Line 35">
          <a:extLst>
            <a:ext uri="{FF2B5EF4-FFF2-40B4-BE49-F238E27FC236}">
              <a16:creationId xmlns:a16="http://schemas.microsoft.com/office/drawing/2014/main" id="{00000000-0008-0000-0200-000006140000}"/>
            </a:ext>
          </a:extLst>
        </xdr:cNvPr>
        <xdr:cNvSpPr>
          <a:spLocks noChangeShapeType="1"/>
        </xdr:cNvSpPr>
      </xdr:nvSpPr>
      <xdr:spPr bwMode="auto">
        <a:xfrm>
          <a:off x="4838700" y="41871900"/>
          <a:ext cx="7620" cy="381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990600</xdr:colOff>
      <xdr:row>214</xdr:row>
      <xdr:rowOff>175260</xdr:rowOff>
    </xdr:from>
    <xdr:to>
      <xdr:col>8</xdr:col>
      <xdr:colOff>1005840</xdr:colOff>
      <xdr:row>217</xdr:row>
      <xdr:rowOff>22860</xdr:rowOff>
    </xdr:to>
    <xdr:sp macro="" textlink="">
      <xdr:nvSpPr>
        <xdr:cNvPr id="5127" name="Line 36">
          <a:extLst>
            <a:ext uri="{FF2B5EF4-FFF2-40B4-BE49-F238E27FC236}">
              <a16:creationId xmlns:a16="http://schemas.microsoft.com/office/drawing/2014/main" id="{00000000-0008-0000-0200-000007140000}"/>
            </a:ext>
          </a:extLst>
        </xdr:cNvPr>
        <xdr:cNvSpPr>
          <a:spLocks noChangeShapeType="1"/>
        </xdr:cNvSpPr>
      </xdr:nvSpPr>
      <xdr:spPr bwMode="auto">
        <a:xfrm>
          <a:off x="6370320" y="41864280"/>
          <a:ext cx="15240" cy="396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518160</xdr:colOff>
      <xdr:row>216</xdr:row>
      <xdr:rowOff>167640</xdr:rowOff>
    </xdr:from>
    <xdr:to>
      <xdr:col>9</xdr:col>
      <xdr:colOff>1028700</xdr:colOff>
      <xdr:row>217</xdr:row>
      <xdr:rowOff>22860</xdr:rowOff>
    </xdr:to>
    <xdr:sp macro="" textlink="">
      <xdr:nvSpPr>
        <xdr:cNvPr id="5128" name="Freeform 37">
          <a:extLst>
            <a:ext uri="{FF2B5EF4-FFF2-40B4-BE49-F238E27FC236}">
              <a16:creationId xmlns:a16="http://schemas.microsoft.com/office/drawing/2014/main" id="{00000000-0008-0000-0200-000008140000}"/>
            </a:ext>
          </a:extLst>
        </xdr:cNvPr>
        <xdr:cNvSpPr>
          <a:spLocks noChangeArrowheads="1"/>
        </xdr:cNvSpPr>
      </xdr:nvSpPr>
      <xdr:spPr bwMode="auto">
        <a:xfrm>
          <a:off x="4389120" y="42222420"/>
          <a:ext cx="3192780" cy="38100"/>
        </a:xfrm>
        <a:custGeom>
          <a:avLst/>
          <a:gdLst>
            <a:gd name="T0" fmla="*/ 0 w 191"/>
            <a:gd name="T1" fmla="*/ 7 h 9"/>
            <a:gd name="T2" fmla="*/ 17 w 191"/>
            <a:gd name="T3" fmla="*/ 4 h 9"/>
            <a:gd name="T4" fmla="*/ 36 w 191"/>
            <a:gd name="T5" fmla="*/ 8 h 9"/>
            <a:gd name="T6" fmla="*/ 58 w 191"/>
            <a:gd name="T7" fmla="*/ 3 h 9"/>
            <a:gd name="T8" fmla="*/ 84 w 191"/>
            <a:gd name="T9" fmla="*/ 8 h 9"/>
            <a:gd name="T10" fmla="*/ 103 w 191"/>
            <a:gd name="T11" fmla="*/ 1 h 9"/>
            <a:gd name="T12" fmla="*/ 135 w 191"/>
            <a:gd name="T13" fmla="*/ 8 h 9"/>
            <a:gd name="T14" fmla="*/ 157 w 191"/>
            <a:gd name="T15" fmla="*/ 2 h 9"/>
            <a:gd name="T16" fmla="*/ 175 w 191"/>
            <a:gd name="T17" fmla="*/ 3 h 9"/>
            <a:gd name="T18" fmla="*/ 189 w 191"/>
            <a:gd name="T19" fmla="*/ 9 h 9"/>
            <a:gd name="T20" fmla="*/ 0 w 191"/>
            <a:gd name="T21" fmla="*/ 0 h 9"/>
            <a:gd name="T22" fmla="*/ 191 w 191"/>
            <a:gd name="T23" fmla="*/ 9 h 9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</a:cxnLst>
          <a:rect l="T20" t="T21" r="T22" b="T23"/>
          <a:pathLst>
            <a:path w="191" h="9">
              <a:moveTo>
                <a:pt x="0" y="7"/>
              </a:moveTo>
              <a:cubicBezTo>
                <a:pt x="5" y="5"/>
                <a:pt x="11" y="4"/>
                <a:pt x="17" y="4"/>
              </a:cubicBezTo>
              <a:cubicBezTo>
                <a:pt x="23" y="4"/>
                <a:pt x="29" y="8"/>
                <a:pt x="36" y="8"/>
              </a:cubicBezTo>
              <a:cubicBezTo>
                <a:pt x="43" y="8"/>
                <a:pt x="50" y="3"/>
                <a:pt x="58" y="3"/>
              </a:cubicBezTo>
              <a:cubicBezTo>
                <a:pt x="66" y="3"/>
                <a:pt x="77" y="8"/>
                <a:pt x="84" y="8"/>
              </a:cubicBezTo>
              <a:cubicBezTo>
                <a:pt x="91" y="8"/>
                <a:pt x="95" y="1"/>
                <a:pt x="103" y="1"/>
              </a:cubicBezTo>
              <a:cubicBezTo>
                <a:pt x="111" y="1"/>
                <a:pt x="126" y="8"/>
                <a:pt x="135" y="8"/>
              </a:cubicBezTo>
              <a:cubicBezTo>
                <a:pt x="144" y="8"/>
                <a:pt x="150" y="3"/>
                <a:pt x="157" y="2"/>
              </a:cubicBezTo>
              <a:cubicBezTo>
                <a:pt x="164" y="1"/>
                <a:pt x="170" y="2"/>
                <a:pt x="175" y="3"/>
              </a:cubicBezTo>
              <a:cubicBezTo>
                <a:pt x="180" y="4"/>
                <a:pt x="191" y="0"/>
                <a:pt x="189" y="9"/>
              </a:cubicBezTo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1066800</xdr:colOff>
      <xdr:row>215</xdr:row>
      <xdr:rowOff>22860</xdr:rowOff>
    </xdr:from>
    <xdr:to>
      <xdr:col>8</xdr:col>
      <xdr:colOff>1089660</xdr:colOff>
      <xdr:row>217</xdr:row>
      <xdr:rowOff>0</xdr:rowOff>
    </xdr:to>
    <xdr:sp macro="" textlink="">
      <xdr:nvSpPr>
        <xdr:cNvPr id="5129" name="Line 38">
          <a:extLst>
            <a:ext uri="{FF2B5EF4-FFF2-40B4-BE49-F238E27FC236}">
              <a16:creationId xmlns:a16="http://schemas.microsoft.com/office/drawing/2014/main" id="{00000000-0008-0000-0200-000009140000}"/>
            </a:ext>
          </a:extLst>
        </xdr:cNvPr>
        <xdr:cNvSpPr>
          <a:spLocks noChangeShapeType="1"/>
        </xdr:cNvSpPr>
      </xdr:nvSpPr>
      <xdr:spPr bwMode="auto">
        <a:xfrm flipH="1">
          <a:off x="6446520" y="41894760"/>
          <a:ext cx="2286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259080</xdr:colOff>
      <xdr:row>249</xdr:row>
      <xdr:rowOff>106680</xdr:rowOff>
    </xdr:from>
    <xdr:to>
      <xdr:col>2</xdr:col>
      <xdr:colOff>381000</xdr:colOff>
      <xdr:row>250</xdr:row>
      <xdr:rowOff>167640</xdr:rowOff>
    </xdr:to>
    <xdr:sp macro="" textlink="">
      <xdr:nvSpPr>
        <xdr:cNvPr id="5130" name="Line 39">
          <a:extLst>
            <a:ext uri="{FF2B5EF4-FFF2-40B4-BE49-F238E27FC236}">
              <a16:creationId xmlns:a16="http://schemas.microsoft.com/office/drawing/2014/main" id="{00000000-0008-0000-0200-00000A140000}"/>
            </a:ext>
          </a:extLst>
        </xdr:cNvPr>
        <xdr:cNvSpPr>
          <a:spLocks noChangeShapeType="1"/>
        </xdr:cNvSpPr>
      </xdr:nvSpPr>
      <xdr:spPr bwMode="auto">
        <a:xfrm>
          <a:off x="1767840" y="48356520"/>
          <a:ext cx="121920" cy="2438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381000</xdr:colOff>
      <xdr:row>249</xdr:row>
      <xdr:rowOff>106680</xdr:rowOff>
    </xdr:from>
    <xdr:to>
      <xdr:col>2</xdr:col>
      <xdr:colOff>403860</xdr:colOff>
      <xdr:row>250</xdr:row>
      <xdr:rowOff>160020</xdr:rowOff>
    </xdr:to>
    <xdr:sp macro="" textlink="">
      <xdr:nvSpPr>
        <xdr:cNvPr id="5131" name="Line 40">
          <a:extLst>
            <a:ext uri="{FF2B5EF4-FFF2-40B4-BE49-F238E27FC236}">
              <a16:creationId xmlns:a16="http://schemas.microsoft.com/office/drawing/2014/main" id="{00000000-0008-0000-0200-00000B140000}"/>
            </a:ext>
          </a:extLst>
        </xdr:cNvPr>
        <xdr:cNvSpPr>
          <a:spLocks noChangeShapeType="1"/>
        </xdr:cNvSpPr>
      </xdr:nvSpPr>
      <xdr:spPr bwMode="auto">
        <a:xfrm flipV="1">
          <a:off x="1889760" y="48356520"/>
          <a:ext cx="22860" cy="236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403860</xdr:colOff>
      <xdr:row>249</xdr:row>
      <xdr:rowOff>106680</xdr:rowOff>
    </xdr:from>
    <xdr:to>
      <xdr:col>6</xdr:col>
      <xdr:colOff>243840</xdr:colOff>
      <xdr:row>249</xdr:row>
      <xdr:rowOff>114300</xdr:rowOff>
    </xdr:to>
    <xdr:sp macro="" textlink="">
      <xdr:nvSpPr>
        <xdr:cNvPr id="5132" name="Line 41">
          <a:extLst>
            <a:ext uri="{FF2B5EF4-FFF2-40B4-BE49-F238E27FC236}">
              <a16:creationId xmlns:a16="http://schemas.microsoft.com/office/drawing/2014/main" id="{00000000-0008-0000-0200-00000C140000}"/>
            </a:ext>
          </a:extLst>
        </xdr:cNvPr>
        <xdr:cNvSpPr>
          <a:spLocks noChangeShapeType="1"/>
        </xdr:cNvSpPr>
      </xdr:nvSpPr>
      <xdr:spPr bwMode="auto">
        <a:xfrm>
          <a:off x="1912620" y="48356520"/>
          <a:ext cx="22021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68580</xdr:colOff>
      <xdr:row>159</xdr:row>
      <xdr:rowOff>106680</xdr:rowOff>
    </xdr:from>
    <xdr:to>
      <xdr:col>16</xdr:col>
      <xdr:colOff>30480</xdr:colOff>
      <xdr:row>163</xdr:row>
      <xdr:rowOff>152400</xdr:rowOff>
    </xdr:to>
    <xdr:grpSp>
      <xdr:nvGrpSpPr>
        <xdr:cNvPr id="5133" name="Group 55">
          <a:extLst>
            <a:ext uri="{FF2B5EF4-FFF2-40B4-BE49-F238E27FC236}">
              <a16:creationId xmlns:a16="http://schemas.microsoft.com/office/drawing/2014/main" id="{00000000-0008-0000-0200-00000D140000}"/>
            </a:ext>
          </a:extLst>
        </xdr:cNvPr>
        <xdr:cNvGrpSpPr>
          <a:grpSpLocks/>
        </xdr:cNvGrpSpPr>
      </xdr:nvGrpSpPr>
      <xdr:grpSpPr bwMode="auto">
        <a:xfrm>
          <a:off x="9823301" y="31018107"/>
          <a:ext cx="3895165" cy="762897"/>
          <a:chOff x="0" y="0"/>
          <a:chExt cx="280" cy="107"/>
        </a:xfrm>
      </xdr:grpSpPr>
      <xdr:sp macro="" textlink="">
        <xdr:nvSpPr>
          <xdr:cNvPr id="5134" name="Rectangle 50">
            <a:extLst>
              <a:ext uri="{FF2B5EF4-FFF2-40B4-BE49-F238E27FC236}">
                <a16:creationId xmlns:a16="http://schemas.microsoft.com/office/drawing/2014/main" id="{00000000-0008-0000-0200-00000E140000}"/>
              </a:ext>
            </a:extLst>
          </xdr:cNvPr>
          <xdr:cNvSpPr>
            <a:spLocks noChangeArrowheads="1"/>
          </xdr:cNvSpPr>
        </xdr:nvSpPr>
        <xdr:spPr bwMode="auto">
          <a:xfrm>
            <a:off x="0" y="0"/>
            <a:ext cx="8" cy="105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200000"/>
            <a:headEnd/>
            <a:tailEnd/>
          </a:ln>
        </xdr:spPr>
      </xdr:sp>
      <xdr:sp macro="" textlink="">
        <xdr:nvSpPr>
          <xdr:cNvPr id="5135" name="Rectangle 51">
            <a:extLst>
              <a:ext uri="{FF2B5EF4-FFF2-40B4-BE49-F238E27FC236}">
                <a16:creationId xmlns:a16="http://schemas.microsoft.com/office/drawing/2014/main" id="{00000000-0008-0000-0200-00000F140000}"/>
              </a:ext>
            </a:extLst>
          </xdr:cNvPr>
          <xdr:cNvSpPr>
            <a:spLocks noChangeArrowheads="1"/>
          </xdr:cNvSpPr>
        </xdr:nvSpPr>
        <xdr:spPr bwMode="auto">
          <a:xfrm>
            <a:off x="272" y="2"/>
            <a:ext cx="8" cy="105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200000"/>
            <a:headEnd/>
            <a:tailEnd/>
          </a:ln>
        </xdr:spPr>
      </xdr:sp>
      <xdr:sp macro="" textlink="">
        <xdr:nvSpPr>
          <xdr:cNvPr id="5136" name="Rectangle 52">
            <a:extLst>
              <a:ext uri="{FF2B5EF4-FFF2-40B4-BE49-F238E27FC236}">
                <a16:creationId xmlns:a16="http://schemas.microsoft.com/office/drawing/2014/main" id="{00000000-0008-0000-0200-000010140000}"/>
              </a:ext>
            </a:extLst>
          </xdr:cNvPr>
          <xdr:cNvSpPr>
            <a:spLocks noChangeArrowheads="1"/>
          </xdr:cNvSpPr>
        </xdr:nvSpPr>
        <xdr:spPr bwMode="auto">
          <a:xfrm>
            <a:off x="8" y="13"/>
            <a:ext cx="264" cy="83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200000"/>
            <a:headEnd/>
            <a:tailEnd/>
          </a:ln>
        </xdr:spPr>
      </xdr:sp>
      <xdr:sp macro="" textlink="">
        <xdr:nvSpPr>
          <xdr:cNvPr id="5137" name="Rectangle 53">
            <a:extLst>
              <a:ext uri="{FF2B5EF4-FFF2-40B4-BE49-F238E27FC236}">
                <a16:creationId xmlns:a16="http://schemas.microsoft.com/office/drawing/2014/main" id="{00000000-0008-0000-0200-000011140000}"/>
              </a:ext>
            </a:extLst>
          </xdr:cNvPr>
          <xdr:cNvSpPr>
            <a:spLocks noChangeArrowheads="1"/>
          </xdr:cNvSpPr>
        </xdr:nvSpPr>
        <xdr:spPr bwMode="auto">
          <a:xfrm>
            <a:off x="104" y="13"/>
            <a:ext cx="49" cy="84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200000"/>
            <a:headEnd/>
            <a:tailEnd/>
          </a:ln>
        </xdr:spPr>
      </xdr:sp>
      <xdr:sp macro="" textlink="">
        <xdr:nvSpPr>
          <xdr:cNvPr id="5138" name="Line 54">
            <a:extLst>
              <a:ext uri="{FF2B5EF4-FFF2-40B4-BE49-F238E27FC236}">
                <a16:creationId xmlns:a16="http://schemas.microsoft.com/office/drawing/2014/main" id="{00000000-0008-0000-0200-000012140000}"/>
              </a:ext>
            </a:extLst>
          </xdr:cNvPr>
          <xdr:cNvSpPr>
            <a:spLocks noChangeShapeType="1"/>
          </xdr:cNvSpPr>
        </xdr:nvSpPr>
        <xdr:spPr bwMode="auto">
          <a:xfrm>
            <a:off x="259" y="12"/>
            <a:ext cx="0" cy="85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39" name="Line 58">
            <a:extLst>
              <a:ext uri="{FF2B5EF4-FFF2-40B4-BE49-F238E27FC236}">
                <a16:creationId xmlns:a16="http://schemas.microsoft.com/office/drawing/2014/main" id="{00000000-0008-0000-0200-000013140000}"/>
              </a:ext>
            </a:extLst>
          </xdr:cNvPr>
          <xdr:cNvSpPr>
            <a:spLocks noChangeShapeType="1"/>
          </xdr:cNvSpPr>
        </xdr:nvSpPr>
        <xdr:spPr bwMode="auto">
          <a:xfrm>
            <a:off x="22" y="13"/>
            <a:ext cx="0" cy="83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40" name="Line 59">
            <a:extLst>
              <a:ext uri="{FF2B5EF4-FFF2-40B4-BE49-F238E27FC236}">
                <a16:creationId xmlns:a16="http://schemas.microsoft.com/office/drawing/2014/main" id="{00000000-0008-0000-0200-000014140000}"/>
              </a:ext>
            </a:extLst>
          </xdr:cNvPr>
          <xdr:cNvSpPr>
            <a:spLocks noChangeShapeType="1"/>
          </xdr:cNvSpPr>
        </xdr:nvSpPr>
        <xdr:spPr bwMode="auto">
          <a:xfrm>
            <a:off x="9" y="21"/>
            <a:ext cx="12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41" name="Line 62">
            <a:extLst>
              <a:ext uri="{FF2B5EF4-FFF2-40B4-BE49-F238E27FC236}">
                <a16:creationId xmlns:a16="http://schemas.microsoft.com/office/drawing/2014/main" id="{00000000-0008-0000-0200-000015140000}"/>
              </a:ext>
            </a:extLst>
          </xdr:cNvPr>
          <xdr:cNvSpPr>
            <a:spLocks noChangeShapeType="1"/>
          </xdr:cNvSpPr>
        </xdr:nvSpPr>
        <xdr:spPr bwMode="auto">
          <a:xfrm>
            <a:off x="9" y="87"/>
            <a:ext cx="13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42" name="Line 63">
            <a:extLst>
              <a:ext uri="{FF2B5EF4-FFF2-40B4-BE49-F238E27FC236}">
                <a16:creationId xmlns:a16="http://schemas.microsoft.com/office/drawing/2014/main" id="{00000000-0008-0000-0200-000016140000}"/>
              </a:ext>
            </a:extLst>
          </xdr:cNvPr>
          <xdr:cNvSpPr>
            <a:spLocks noChangeShapeType="1"/>
          </xdr:cNvSpPr>
        </xdr:nvSpPr>
        <xdr:spPr bwMode="auto">
          <a:xfrm>
            <a:off x="259" y="88"/>
            <a:ext cx="13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43" name="Line 65">
            <a:extLst>
              <a:ext uri="{FF2B5EF4-FFF2-40B4-BE49-F238E27FC236}">
                <a16:creationId xmlns:a16="http://schemas.microsoft.com/office/drawing/2014/main" id="{00000000-0008-0000-0200-000017140000}"/>
              </a:ext>
            </a:extLst>
          </xdr:cNvPr>
          <xdr:cNvSpPr>
            <a:spLocks noChangeShapeType="1"/>
          </xdr:cNvSpPr>
        </xdr:nvSpPr>
        <xdr:spPr bwMode="auto">
          <a:xfrm>
            <a:off x="258" y="21"/>
            <a:ext cx="1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197223</xdr:colOff>
      <xdr:row>85</xdr:row>
      <xdr:rowOff>30480</xdr:rowOff>
    </xdr:from>
    <xdr:to>
      <xdr:col>17</xdr:col>
      <xdr:colOff>502023</xdr:colOff>
      <xdr:row>86</xdr:row>
      <xdr:rowOff>121920</xdr:rowOff>
    </xdr:to>
    <xdr:sp macro="" textlink="">
      <xdr:nvSpPr>
        <xdr:cNvPr id="5144" name="Oval 359">
          <a:extLst>
            <a:ext uri="{FF2B5EF4-FFF2-40B4-BE49-F238E27FC236}">
              <a16:creationId xmlns:a16="http://schemas.microsoft.com/office/drawing/2014/main" id="{00000000-0008-0000-0200-000018140000}"/>
            </a:ext>
          </a:extLst>
        </xdr:cNvPr>
        <xdr:cNvSpPr>
          <a:spLocks noChangeArrowheads="1"/>
        </xdr:cNvSpPr>
      </xdr:nvSpPr>
      <xdr:spPr bwMode="auto">
        <a:xfrm>
          <a:off x="13330517" y="15664927"/>
          <a:ext cx="304800" cy="279699"/>
        </a:xfrm>
        <a:prstGeom prst="ellipse">
          <a:avLst/>
        </a:prstGeom>
        <a:blipFill dpi="0" rotWithShape="0">
          <a:blip xmlns:r="http://schemas.openxmlformats.org/officeDocument/2006/relationships" r:embed="rId34"/>
          <a:srcRect/>
          <a:tile tx="0" ty="0" sx="100000" sy="100000" flip="none" algn="tl"/>
        </a:blipFill>
        <a:ln/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44380</xdr:colOff>
      <xdr:row>88</xdr:row>
      <xdr:rowOff>0</xdr:rowOff>
    </xdr:from>
    <xdr:to>
      <xdr:col>10</xdr:col>
      <xdr:colOff>184220</xdr:colOff>
      <xdr:row>88</xdr:row>
      <xdr:rowOff>97631</xdr:rowOff>
    </xdr:to>
    <xdr:sp macro="" textlink="">
      <xdr:nvSpPr>
        <xdr:cNvPr id="17" name="Bevel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7811337" y="17379043"/>
          <a:ext cx="139840" cy="97631"/>
        </a:xfrm>
        <a:prstGeom prst="bevel">
          <a:avLst/>
        </a:prstGeom>
        <a:solidFill>
          <a:srgbClr val="00B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226900</xdr:colOff>
      <xdr:row>88</xdr:row>
      <xdr:rowOff>120255</xdr:rowOff>
    </xdr:from>
    <xdr:to>
      <xdr:col>10</xdr:col>
      <xdr:colOff>365196</xdr:colOff>
      <xdr:row>89</xdr:row>
      <xdr:rowOff>37644</xdr:rowOff>
    </xdr:to>
    <xdr:sp macro="" textlink="">
      <xdr:nvSpPr>
        <xdr:cNvPr id="18" name="Bevel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7993857" y="17499298"/>
          <a:ext cx="138296" cy="118775"/>
        </a:xfrm>
        <a:prstGeom prst="bevel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51580</xdr:colOff>
      <xdr:row>88</xdr:row>
      <xdr:rowOff>129141</xdr:rowOff>
    </xdr:from>
    <xdr:to>
      <xdr:col>10</xdr:col>
      <xdr:colOff>192257</xdr:colOff>
      <xdr:row>89</xdr:row>
      <xdr:rowOff>44348</xdr:rowOff>
    </xdr:to>
    <xdr:sp macro="" textlink="">
      <xdr:nvSpPr>
        <xdr:cNvPr id="19" name="Bevel 1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7818537" y="17508184"/>
          <a:ext cx="140677" cy="116593"/>
        </a:xfrm>
        <a:prstGeom prst="bevel">
          <a:avLst/>
        </a:prstGeom>
        <a:solidFill>
          <a:srgbClr val="0000FF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226899</xdr:colOff>
      <xdr:row>88</xdr:row>
      <xdr:rowOff>2381</xdr:rowOff>
    </xdr:from>
    <xdr:to>
      <xdr:col>10</xdr:col>
      <xdr:colOff>365195</xdr:colOff>
      <xdr:row>88</xdr:row>
      <xdr:rowOff>100012</xdr:rowOff>
    </xdr:to>
    <xdr:sp macro="" textlink="">
      <xdr:nvSpPr>
        <xdr:cNvPr id="20" name="Bevel 1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7993856" y="17381424"/>
          <a:ext cx="138296" cy="97631"/>
        </a:xfrm>
        <a:prstGeom prst="bevel">
          <a:avLst/>
        </a:prstGeom>
        <a:solidFill>
          <a:srgbClr val="92D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410255</xdr:colOff>
      <xdr:row>88</xdr:row>
      <xdr:rowOff>2381</xdr:rowOff>
    </xdr:from>
    <xdr:to>
      <xdr:col>10</xdr:col>
      <xdr:colOff>550932</xdr:colOff>
      <xdr:row>88</xdr:row>
      <xdr:rowOff>100012</xdr:rowOff>
    </xdr:to>
    <xdr:sp macro="" textlink="">
      <xdr:nvSpPr>
        <xdr:cNvPr id="21" name="Bevel 2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8177212" y="17381424"/>
          <a:ext cx="140677" cy="97631"/>
        </a:xfrm>
        <a:prstGeom prst="bevel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407874</xdr:colOff>
      <xdr:row>88</xdr:row>
      <xdr:rowOff>120253</xdr:rowOff>
    </xdr:from>
    <xdr:to>
      <xdr:col>10</xdr:col>
      <xdr:colOff>548551</xdr:colOff>
      <xdr:row>89</xdr:row>
      <xdr:rowOff>37642</xdr:rowOff>
    </xdr:to>
    <xdr:sp macro="" textlink="">
      <xdr:nvSpPr>
        <xdr:cNvPr id="22" name="Bevel 2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8174831" y="17499296"/>
          <a:ext cx="140677" cy="118775"/>
        </a:xfrm>
        <a:prstGeom prst="bevel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600855</xdr:colOff>
      <xdr:row>88</xdr:row>
      <xdr:rowOff>122735</xdr:rowOff>
    </xdr:from>
    <xdr:to>
      <xdr:col>10</xdr:col>
      <xdr:colOff>739151</xdr:colOff>
      <xdr:row>89</xdr:row>
      <xdr:rowOff>40781</xdr:rowOff>
    </xdr:to>
    <xdr:sp macro="" textlink="">
      <xdr:nvSpPr>
        <xdr:cNvPr id="23" name="Bevel 2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8367812" y="17501778"/>
          <a:ext cx="138296" cy="119432"/>
        </a:xfrm>
        <a:prstGeom prst="bevel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600854</xdr:colOff>
      <xdr:row>88</xdr:row>
      <xdr:rowOff>5255</xdr:rowOff>
    </xdr:from>
    <xdr:to>
      <xdr:col>10</xdr:col>
      <xdr:colOff>739150</xdr:colOff>
      <xdr:row>88</xdr:row>
      <xdr:rowOff>102492</xdr:rowOff>
    </xdr:to>
    <xdr:sp macro="" textlink="">
      <xdr:nvSpPr>
        <xdr:cNvPr id="24" name="Bevel 2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8367811" y="17384298"/>
          <a:ext cx="138296" cy="97237"/>
        </a:xfrm>
        <a:prstGeom prst="bevel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781179</xdr:colOff>
      <xdr:row>88</xdr:row>
      <xdr:rowOff>5255</xdr:rowOff>
    </xdr:from>
    <xdr:to>
      <xdr:col>11</xdr:col>
      <xdr:colOff>137875</xdr:colOff>
      <xdr:row>88</xdr:row>
      <xdr:rowOff>102492</xdr:rowOff>
    </xdr:to>
    <xdr:sp macro="" textlink="">
      <xdr:nvSpPr>
        <xdr:cNvPr id="25" name="Bevel 2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8548136" y="17384298"/>
          <a:ext cx="140468" cy="97237"/>
        </a:xfrm>
        <a:prstGeom prst="bevel">
          <a:avLst/>
        </a:prstGeom>
        <a:solidFill>
          <a:schemeClr val="bg1">
            <a:lumMod val="9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778798</xdr:colOff>
      <xdr:row>88</xdr:row>
      <xdr:rowOff>122733</xdr:rowOff>
    </xdr:from>
    <xdr:to>
      <xdr:col>11</xdr:col>
      <xdr:colOff>135494</xdr:colOff>
      <xdr:row>89</xdr:row>
      <xdr:rowOff>40779</xdr:rowOff>
    </xdr:to>
    <xdr:sp macro="" textlink="">
      <xdr:nvSpPr>
        <xdr:cNvPr id="26" name="Bevel 2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8545755" y="17501776"/>
          <a:ext cx="140468" cy="119432"/>
        </a:xfrm>
        <a:prstGeom prst="bevel">
          <a:avLst/>
        </a:prstGeom>
        <a:solidFill>
          <a:schemeClr val="bg1">
            <a:lumMod val="8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225342</xdr:colOff>
      <xdr:row>88</xdr:row>
      <xdr:rowOff>0</xdr:rowOff>
    </xdr:from>
    <xdr:to>
      <xdr:col>11</xdr:col>
      <xdr:colOff>363638</xdr:colOff>
      <xdr:row>88</xdr:row>
      <xdr:rowOff>106634</xdr:rowOff>
    </xdr:to>
    <xdr:sp macro="" textlink="">
      <xdr:nvSpPr>
        <xdr:cNvPr id="27" name="Bevel 2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8776071" y="17379043"/>
          <a:ext cx="138296" cy="106634"/>
        </a:xfrm>
        <a:prstGeom prst="bevel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219389</xdr:colOff>
      <xdr:row>88</xdr:row>
      <xdr:rowOff>119062</xdr:rowOff>
    </xdr:from>
    <xdr:to>
      <xdr:col>11</xdr:col>
      <xdr:colOff>360066</xdr:colOff>
      <xdr:row>89</xdr:row>
      <xdr:rowOff>44285</xdr:rowOff>
    </xdr:to>
    <xdr:sp macro="" textlink="">
      <xdr:nvSpPr>
        <xdr:cNvPr id="28" name="Bevel 27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8770118" y="17498105"/>
          <a:ext cx="140677" cy="126609"/>
        </a:xfrm>
        <a:prstGeom prst="bevel">
          <a:avLst/>
        </a:prstGeom>
        <a:solidFill>
          <a:srgbClr val="FBC1EA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401554</xdr:colOff>
      <xdr:row>88</xdr:row>
      <xdr:rowOff>3572</xdr:rowOff>
    </xdr:from>
    <xdr:to>
      <xdr:col>11</xdr:col>
      <xdr:colOff>540178</xdr:colOff>
      <xdr:row>88</xdr:row>
      <xdr:rowOff>110206</xdr:rowOff>
    </xdr:to>
    <xdr:sp macro="" textlink="">
      <xdr:nvSpPr>
        <xdr:cNvPr id="29" name="Bevel 28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8952283" y="17382615"/>
          <a:ext cx="138624" cy="106634"/>
        </a:xfrm>
        <a:prstGeom prst="bevel">
          <a:avLst/>
        </a:prstGeom>
        <a:solidFill>
          <a:srgbClr val="FFFF0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397982</xdr:colOff>
      <xdr:row>88</xdr:row>
      <xdr:rowOff>130969</xdr:rowOff>
    </xdr:from>
    <xdr:to>
      <xdr:col>11</xdr:col>
      <xdr:colOff>536606</xdr:colOff>
      <xdr:row>89</xdr:row>
      <xdr:rowOff>56401</xdr:rowOff>
    </xdr:to>
    <xdr:sp macro="" textlink="">
      <xdr:nvSpPr>
        <xdr:cNvPr id="30" name="Bevel 29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8948711" y="17510012"/>
          <a:ext cx="138624" cy="126818"/>
        </a:xfrm>
        <a:prstGeom prst="bevel">
          <a:avLst/>
        </a:prstGeom>
        <a:solidFill>
          <a:srgbClr val="99FFCC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72260</xdr:colOff>
      <xdr:row>56</xdr:row>
      <xdr:rowOff>154185</xdr:rowOff>
    </xdr:from>
    <xdr:to>
      <xdr:col>10</xdr:col>
      <xdr:colOff>210556</xdr:colOff>
      <xdr:row>57</xdr:row>
      <xdr:rowOff>31055</xdr:rowOff>
    </xdr:to>
    <xdr:sp macro="" textlink="">
      <xdr:nvSpPr>
        <xdr:cNvPr id="31" name="Bevel 3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/>
      </xdr:nvSpPr>
      <xdr:spPr>
        <a:xfrm>
          <a:off x="7843346" y="10526582"/>
          <a:ext cx="138296" cy="73939"/>
        </a:xfrm>
        <a:prstGeom prst="bevel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71501</xdr:colOff>
      <xdr:row>56</xdr:row>
      <xdr:rowOff>34635</xdr:rowOff>
    </xdr:from>
    <xdr:to>
      <xdr:col>10</xdr:col>
      <xdr:colOff>210555</xdr:colOff>
      <xdr:row>56</xdr:row>
      <xdr:rowOff>131872</xdr:rowOff>
    </xdr:to>
    <xdr:sp macro="" textlink="">
      <xdr:nvSpPr>
        <xdr:cNvPr id="32" name="Bevel 3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7842587" y="10407032"/>
          <a:ext cx="139054" cy="97237"/>
        </a:xfrm>
        <a:prstGeom prst="bevel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252584</xdr:colOff>
      <xdr:row>56</xdr:row>
      <xdr:rowOff>34635</xdr:rowOff>
    </xdr:from>
    <xdr:to>
      <xdr:col>10</xdr:col>
      <xdr:colOff>393261</xdr:colOff>
      <xdr:row>56</xdr:row>
      <xdr:rowOff>131872</xdr:rowOff>
    </xdr:to>
    <xdr:sp macro="" textlink="">
      <xdr:nvSpPr>
        <xdr:cNvPr id="33" name="Bevel 3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8023670" y="10407032"/>
          <a:ext cx="140677" cy="97237"/>
        </a:xfrm>
        <a:prstGeom prst="bevel">
          <a:avLst/>
        </a:prstGeom>
        <a:solidFill>
          <a:schemeClr val="bg1">
            <a:lumMod val="9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250203</xdr:colOff>
      <xdr:row>56</xdr:row>
      <xdr:rowOff>154183</xdr:rowOff>
    </xdr:from>
    <xdr:to>
      <xdr:col>10</xdr:col>
      <xdr:colOff>390880</xdr:colOff>
      <xdr:row>57</xdr:row>
      <xdr:rowOff>31053</xdr:rowOff>
    </xdr:to>
    <xdr:sp macro="" textlink="">
      <xdr:nvSpPr>
        <xdr:cNvPr id="34" name="Bevel 3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8021289" y="10526580"/>
          <a:ext cx="140677" cy="73939"/>
        </a:xfrm>
        <a:prstGeom prst="bevel">
          <a:avLst/>
        </a:prstGeom>
        <a:solidFill>
          <a:schemeClr val="bg1">
            <a:lumMod val="8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446769</xdr:colOff>
      <xdr:row>56</xdr:row>
      <xdr:rowOff>32844</xdr:rowOff>
    </xdr:from>
    <xdr:to>
      <xdr:col>10</xdr:col>
      <xdr:colOff>585065</xdr:colOff>
      <xdr:row>56</xdr:row>
      <xdr:rowOff>139477</xdr:rowOff>
    </xdr:to>
    <xdr:sp macro="" textlink="">
      <xdr:nvSpPr>
        <xdr:cNvPr id="35" name="Bevel 34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8217855" y="10405241"/>
          <a:ext cx="138296" cy="106633"/>
        </a:xfrm>
        <a:prstGeom prst="bevel">
          <a:avLst/>
        </a:prstGeom>
        <a:solidFill>
          <a:srgbClr val="99FFCC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445295</xdr:colOff>
      <xdr:row>56</xdr:row>
      <xdr:rowOff>159193</xdr:rowOff>
    </xdr:from>
    <xdr:to>
      <xdr:col>10</xdr:col>
      <xdr:colOff>585972</xdr:colOff>
      <xdr:row>57</xdr:row>
      <xdr:rowOff>39974</xdr:rowOff>
    </xdr:to>
    <xdr:sp macro="" textlink="">
      <xdr:nvSpPr>
        <xdr:cNvPr id="36" name="Bevel 3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>
          <a:off x="8216381" y="10531590"/>
          <a:ext cx="140677" cy="77850"/>
        </a:xfrm>
        <a:prstGeom prst="bevel">
          <a:avLst/>
        </a:prstGeom>
        <a:solidFill>
          <a:srgbClr val="FBC1EA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28575</xdr:colOff>
      <xdr:row>35</xdr:row>
      <xdr:rowOff>19050</xdr:rowOff>
    </xdr:from>
    <xdr:to>
      <xdr:col>10</xdr:col>
      <xdr:colOff>171450</xdr:colOff>
      <xdr:row>36</xdr:row>
      <xdr:rowOff>47625</xdr:rowOff>
    </xdr:to>
    <xdr:sp macro="" textlink="">
      <xdr:nvSpPr>
        <xdr:cNvPr id="37" name="Up-Down Arrow 3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7791450" y="6477000"/>
          <a:ext cx="142875" cy="238125"/>
        </a:xfrm>
        <a:prstGeom prst="upDownArrow">
          <a:avLst/>
        </a:prstGeom>
        <a:solidFill>
          <a:srgbClr val="99FFCC">
            <a:alpha val="9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9525</xdr:colOff>
      <xdr:row>75</xdr:row>
      <xdr:rowOff>104775</xdr:rowOff>
    </xdr:from>
    <xdr:to>
      <xdr:col>10</xdr:col>
      <xdr:colOff>152400</xdr:colOff>
      <xdr:row>77</xdr:row>
      <xdr:rowOff>9525</xdr:rowOff>
    </xdr:to>
    <xdr:sp macro="" textlink="">
      <xdr:nvSpPr>
        <xdr:cNvPr id="38" name="Up-Down Arrow 3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7772400" y="15944850"/>
          <a:ext cx="142875" cy="238125"/>
        </a:xfrm>
        <a:prstGeom prst="upDownArrow">
          <a:avLst/>
        </a:prstGeom>
        <a:solidFill>
          <a:srgbClr val="99FFCC">
            <a:alpha val="9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295834</xdr:colOff>
      <xdr:row>34</xdr:row>
      <xdr:rowOff>161365</xdr:rowOff>
    </xdr:from>
    <xdr:to>
      <xdr:col>15</xdr:col>
      <xdr:colOff>437977</xdr:colOff>
      <xdr:row>35</xdr:row>
      <xdr:rowOff>34240</xdr:rowOff>
    </xdr:to>
    <xdr:sp macro="" textlink="">
      <xdr:nvSpPr>
        <xdr:cNvPr id="39" name="Bevel 3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11914093" y="6158753"/>
          <a:ext cx="142143" cy="96993"/>
        </a:xfrm>
        <a:prstGeom prst="bevel">
          <a:avLst/>
        </a:prstGeom>
        <a:solidFill>
          <a:srgbClr val="00B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15</xdr:col>
      <xdr:colOff>480657</xdr:colOff>
      <xdr:row>35</xdr:row>
      <xdr:rowOff>56864</xdr:rowOff>
    </xdr:from>
    <xdr:to>
      <xdr:col>15</xdr:col>
      <xdr:colOff>618953</xdr:colOff>
      <xdr:row>35</xdr:row>
      <xdr:rowOff>159309</xdr:rowOff>
    </xdr:to>
    <xdr:sp macro="" textlink="">
      <xdr:nvSpPr>
        <xdr:cNvPr id="40" name="Bevel 3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12098916" y="6278370"/>
          <a:ext cx="138296" cy="102445"/>
        </a:xfrm>
        <a:prstGeom prst="bevel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15</xdr:col>
      <xdr:colOff>303871</xdr:colOff>
      <xdr:row>35</xdr:row>
      <xdr:rowOff>65750</xdr:rowOff>
    </xdr:from>
    <xdr:to>
      <xdr:col>15</xdr:col>
      <xdr:colOff>446014</xdr:colOff>
      <xdr:row>35</xdr:row>
      <xdr:rowOff>166013</xdr:rowOff>
    </xdr:to>
    <xdr:sp macro="" textlink="">
      <xdr:nvSpPr>
        <xdr:cNvPr id="41" name="Bevel 4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11922130" y="6287256"/>
          <a:ext cx="142143" cy="100263"/>
        </a:xfrm>
        <a:prstGeom prst="bevel">
          <a:avLst/>
        </a:prstGeom>
        <a:solidFill>
          <a:srgbClr val="0000FF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15</xdr:col>
      <xdr:colOff>480656</xdr:colOff>
      <xdr:row>34</xdr:row>
      <xdr:rowOff>163108</xdr:rowOff>
    </xdr:from>
    <xdr:to>
      <xdr:col>15</xdr:col>
      <xdr:colOff>618952</xdr:colOff>
      <xdr:row>35</xdr:row>
      <xdr:rowOff>36621</xdr:rowOff>
    </xdr:to>
    <xdr:sp macro="" textlink="">
      <xdr:nvSpPr>
        <xdr:cNvPr id="42" name="Bevel 4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12098915" y="6160496"/>
          <a:ext cx="138296" cy="97631"/>
        </a:xfrm>
        <a:prstGeom prst="bevel">
          <a:avLst/>
        </a:prstGeom>
        <a:solidFill>
          <a:srgbClr val="92D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16</xdr:col>
      <xdr:colOff>36483</xdr:colOff>
      <xdr:row>34</xdr:row>
      <xdr:rowOff>163108</xdr:rowOff>
    </xdr:from>
    <xdr:to>
      <xdr:col>16</xdr:col>
      <xdr:colOff>177160</xdr:colOff>
      <xdr:row>35</xdr:row>
      <xdr:rowOff>36621</xdr:rowOff>
    </xdr:to>
    <xdr:sp macro="" textlink="">
      <xdr:nvSpPr>
        <xdr:cNvPr id="43" name="Bevel 4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12282271" y="6160496"/>
          <a:ext cx="140677" cy="97631"/>
        </a:xfrm>
        <a:prstGeom prst="bevel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16</xdr:col>
      <xdr:colOff>34102</xdr:colOff>
      <xdr:row>35</xdr:row>
      <xdr:rowOff>56862</xdr:rowOff>
    </xdr:from>
    <xdr:to>
      <xdr:col>16</xdr:col>
      <xdr:colOff>174779</xdr:colOff>
      <xdr:row>35</xdr:row>
      <xdr:rowOff>159307</xdr:rowOff>
    </xdr:to>
    <xdr:sp macro="" textlink="">
      <xdr:nvSpPr>
        <xdr:cNvPr id="44" name="Bevel 4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>
          <a:off x="12279890" y="6278368"/>
          <a:ext cx="140677" cy="102445"/>
        </a:xfrm>
        <a:prstGeom prst="bevel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2</xdr:col>
      <xdr:colOff>464820</xdr:colOff>
      <xdr:row>6</xdr:row>
      <xdr:rowOff>60960</xdr:rowOff>
    </xdr:from>
    <xdr:to>
      <xdr:col>2</xdr:col>
      <xdr:colOff>571500</xdr:colOff>
      <xdr:row>7</xdr:row>
      <xdr:rowOff>106680</xdr:rowOff>
    </xdr:to>
    <xdr:sp macro="" textlink="">
      <xdr:nvSpPr>
        <xdr:cNvPr id="6145" name="AutoShape 1">
          <a:extLst>
            <a:ext uri="{FF2B5EF4-FFF2-40B4-BE49-F238E27FC236}">
              <a16:creationId xmlns:a16="http://schemas.microsoft.com/office/drawing/2014/main" id="{00000000-0008-0000-0300-000001180000}"/>
            </a:ext>
          </a:extLst>
        </xdr:cNvPr>
        <xdr:cNvSpPr>
          <a:spLocks/>
        </xdr:cNvSpPr>
      </xdr:nvSpPr>
      <xdr:spPr bwMode="auto">
        <a:xfrm>
          <a:off x="1714500" y="1158240"/>
          <a:ext cx="106680" cy="228600"/>
        </a:xfrm>
        <a:prstGeom prst="leftBracket">
          <a:avLst>
            <a:gd name="adj" fmla="val 17857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281940</xdr:colOff>
      <xdr:row>6</xdr:row>
      <xdr:rowOff>45720</xdr:rowOff>
    </xdr:from>
    <xdr:to>
      <xdr:col>5</xdr:col>
      <xdr:colOff>358140</xdr:colOff>
      <xdr:row>7</xdr:row>
      <xdr:rowOff>91440</xdr:rowOff>
    </xdr:to>
    <xdr:sp macro="" textlink="">
      <xdr:nvSpPr>
        <xdr:cNvPr id="6146" name="AutoShape 2">
          <a:extLst>
            <a:ext uri="{FF2B5EF4-FFF2-40B4-BE49-F238E27FC236}">
              <a16:creationId xmlns:a16="http://schemas.microsoft.com/office/drawing/2014/main" id="{00000000-0008-0000-0300-000002180000}"/>
            </a:ext>
          </a:extLst>
        </xdr:cNvPr>
        <xdr:cNvSpPr>
          <a:spLocks/>
        </xdr:cNvSpPr>
      </xdr:nvSpPr>
      <xdr:spPr bwMode="auto">
        <a:xfrm>
          <a:off x="3916680" y="1143000"/>
          <a:ext cx="76200" cy="228600"/>
        </a:xfrm>
        <a:prstGeom prst="rightBracket">
          <a:avLst>
            <a:gd name="adj" fmla="val 25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543709</xdr:colOff>
      <xdr:row>7</xdr:row>
      <xdr:rowOff>162709</xdr:rowOff>
    </xdr:from>
    <xdr:to>
      <xdr:col>17</xdr:col>
      <xdr:colOff>493954</xdr:colOff>
      <xdr:row>24</xdr:row>
      <xdr:rowOff>118333</xdr:rowOff>
    </xdr:to>
    <xdr:pic>
      <xdr:nvPicPr>
        <xdr:cNvPr id="6147" name="Picture 5">
          <a:extLst>
            <a:ext uri="{FF2B5EF4-FFF2-40B4-BE49-F238E27FC236}">
              <a16:creationId xmlns:a16="http://schemas.microsoft.com/office/drawing/2014/main" id="{00000000-0008-0000-0300-000003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07544" y="1417768"/>
          <a:ext cx="1859728" cy="2645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469656</xdr:colOff>
      <xdr:row>81</xdr:row>
      <xdr:rowOff>35902</xdr:rowOff>
    </xdr:from>
    <xdr:to>
      <xdr:col>9</xdr:col>
      <xdr:colOff>756839</xdr:colOff>
      <xdr:row>82</xdr:row>
      <xdr:rowOff>30933</xdr:rowOff>
    </xdr:to>
    <xdr:sp macro="" textlink="">
      <xdr:nvSpPr>
        <xdr:cNvPr id="6" name="Flowchart: Predefined Process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6041781" y="18533452"/>
          <a:ext cx="1249208" cy="185531"/>
        </a:xfrm>
        <a:prstGeom prst="flowChartPredefinedProcess">
          <a:avLst/>
        </a:prstGeom>
        <a:solidFill>
          <a:srgbClr val="FFFFCC"/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100"/>
            <a:t>All</a:t>
          </a:r>
          <a:r>
            <a:rPr lang="en-US" sz="1100" baseline="0"/>
            <a:t> Gear Box</a:t>
          </a:r>
          <a:endParaRPr lang="en-US" sz="1100"/>
        </a:p>
      </xdr:txBody>
    </xdr:sp>
    <xdr:clientData/>
  </xdr:twoCellAnchor>
  <xdr:twoCellAnchor>
    <xdr:from>
      <xdr:col>6</xdr:col>
      <xdr:colOff>0</xdr:colOff>
      <xdr:row>81</xdr:row>
      <xdr:rowOff>0</xdr:rowOff>
    </xdr:from>
    <xdr:to>
      <xdr:col>6</xdr:col>
      <xdr:colOff>140677</xdr:colOff>
      <xdr:row>81</xdr:row>
      <xdr:rowOff>97631</xdr:rowOff>
    </xdr:to>
    <xdr:sp macro="" textlink="">
      <xdr:nvSpPr>
        <xdr:cNvPr id="8" name="Bevel 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038600" y="18497550"/>
          <a:ext cx="140677" cy="97631"/>
        </a:xfrm>
        <a:prstGeom prst="bevel">
          <a:avLst/>
        </a:prstGeom>
        <a:solidFill>
          <a:srgbClr val="00B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183357</xdr:colOff>
      <xdr:row>81</xdr:row>
      <xdr:rowOff>120255</xdr:rowOff>
    </xdr:from>
    <xdr:to>
      <xdr:col>6</xdr:col>
      <xdr:colOff>321653</xdr:colOff>
      <xdr:row>82</xdr:row>
      <xdr:rowOff>30317</xdr:rowOff>
    </xdr:to>
    <xdr:sp macro="" textlink="">
      <xdr:nvSpPr>
        <xdr:cNvPr id="9" name="Bevel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221957" y="18617805"/>
          <a:ext cx="138296" cy="100562"/>
        </a:xfrm>
        <a:prstGeom prst="bevel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8037</xdr:colOff>
      <xdr:row>81</xdr:row>
      <xdr:rowOff>129141</xdr:rowOff>
    </xdr:from>
    <xdr:to>
      <xdr:col>6</xdr:col>
      <xdr:colOff>148714</xdr:colOff>
      <xdr:row>82</xdr:row>
      <xdr:rowOff>37021</xdr:rowOff>
    </xdr:to>
    <xdr:sp macro="" textlink="">
      <xdr:nvSpPr>
        <xdr:cNvPr id="10" name="Bevel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4046637" y="18626691"/>
          <a:ext cx="140677" cy="98380"/>
        </a:xfrm>
        <a:prstGeom prst="bevel">
          <a:avLst/>
        </a:prstGeom>
        <a:solidFill>
          <a:srgbClr val="0000FF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183356</xdr:colOff>
      <xdr:row>81</xdr:row>
      <xdr:rowOff>2381</xdr:rowOff>
    </xdr:from>
    <xdr:to>
      <xdr:col>6</xdr:col>
      <xdr:colOff>321652</xdr:colOff>
      <xdr:row>81</xdr:row>
      <xdr:rowOff>100012</xdr:rowOff>
    </xdr:to>
    <xdr:sp macro="" textlink="">
      <xdr:nvSpPr>
        <xdr:cNvPr id="11" name="Bevel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4221956" y="18499931"/>
          <a:ext cx="138296" cy="97631"/>
        </a:xfrm>
        <a:prstGeom prst="bevel">
          <a:avLst/>
        </a:prstGeom>
        <a:solidFill>
          <a:srgbClr val="92D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366712</xdr:colOff>
      <xdr:row>81</xdr:row>
      <xdr:rowOff>2381</xdr:rowOff>
    </xdr:from>
    <xdr:to>
      <xdr:col>6</xdr:col>
      <xdr:colOff>507389</xdr:colOff>
      <xdr:row>81</xdr:row>
      <xdr:rowOff>100012</xdr:rowOff>
    </xdr:to>
    <xdr:sp macro="" textlink="">
      <xdr:nvSpPr>
        <xdr:cNvPr id="12" name="Bevel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405312" y="18499931"/>
          <a:ext cx="140677" cy="97631"/>
        </a:xfrm>
        <a:prstGeom prst="bevel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364331</xdr:colOff>
      <xdr:row>81</xdr:row>
      <xdr:rowOff>120253</xdr:rowOff>
    </xdr:from>
    <xdr:to>
      <xdr:col>6</xdr:col>
      <xdr:colOff>505008</xdr:colOff>
      <xdr:row>82</xdr:row>
      <xdr:rowOff>30315</xdr:rowOff>
    </xdr:to>
    <xdr:sp macro="" textlink="">
      <xdr:nvSpPr>
        <xdr:cNvPr id="13" name="Bevel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402931" y="18617803"/>
          <a:ext cx="140677" cy="100562"/>
        </a:xfrm>
        <a:prstGeom prst="bevel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557312</xdr:colOff>
      <xdr:row>81</xdr:row>
      <xdr:rowOff>122735</xdr:rowOff>
    </xdr:from>
    <xdr:to>
      <xdr:col>6</xdr:col>
      <xdr:colOff>695608</xdr:colOff>
      <xdr:row>82</xdr:row>
      <xdr:rowOff>33454</xdr:rowOff>
    </xdr:to>
    <xdr:sp macro="" textlink="">
      <xdr:nvSpPr>
        <xdr:cNvPr id="14" name="Bevel 1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4595912" y="18620285"/>
          <a:ext cx="138296" cy="101219"/>
        </a:xfrm>
        <a:prstGeom prst="bevel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557311</xdr:colOff>
      <xdr:row>81</xdr:row>
      <xdr:rowOff>5255</xdr:rowOff>
    </xdr:from>
    <xdr:to>
      <xdr:col>6</xdr:col>
      <xdr:colOff>695607</xdr:colOff>
      <xdr:row>81</xdr:row>
      <xdr:rowOff>102492</xdr:rowOff>
    </xdr:to>
    <xdr:sp macro="" textlink="">
      <xdr:nvSpPr>
        <xdr:cNvPr id="15" name="Bevel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4595911" y="18502805"/>
          <a:ext cx="138296" cy="97237"/>
        </a:xfrm>
        <a:prstGeom prst="bevel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737636</xdr:colOff>
      <xdr:row>81</xdr:row>
      <xdr:rowOff>5255</xdr:rowOff>
    </xdr:from>
    <xdr:to>
      <xdr:col>7</xdr:col>
      <xdr:colOff>78213</xdr:colOff>
      <xdr:row>81</xdr:row>
      <xdr:rowOff>102492</xdr:rowOff>
    </xdr:to>
    <xdr:sp macro="" textlink="">
      <xdr:nvSpPr>
        <xdr:cNvPr id="16" name="Bevel 1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4776236" y="18502805"/>
          <a:ext cx="140677" cy="97237"/>
        </a:xfrm>
        <a:prstGeom prst="bevel">
          <a:avLst/>
        </a:prstGeom>
        <a:solidFill>
          <a:schemeClr val="bg1">
            <a:lumMod val="9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735255</xdr:colOff>
      <xdr:row>81</xdr:row>
      <xdr:rowOff>122733</xdr:rowOff>
    </xdr:from>
    <xdr:to>
      <xdr:col>7</xdr:col>
      <xdr:colOff>75832</xdr:colOff>
      <xdr:row>82</xdr:row>
      <xdr:rowOff>33452</xdr:rowOff>
    </xdr:to>
    <xdr:sp macro="" textlink="">
      <xdr:nvSpPr>
        <xdr:cNvPr id="17" name="Bevel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773855" y="18620283"/>
          <a:ext cx="140677" cy="101219"/>
        </a:xfrm>
        <a:prstGeom prst="bevel">
          <a:avLst/>
        </a:prstGeom>
        <a:solidFill>
          <a:schemeClr val="bg1">
            <a:lumMod val="8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130192</xdr:colOff>
      <xdr:row>81</xdr:row>
      <xdr:rowOff>16566</xdr:rowOff>
    </xdr:from>
    <xdr:to>
      <xdr:col>7</xdr:col>
      <xdr:colOff>268488</xdr:colOff>
      <xdr:row>81</xdr:row>
      <xdr:rowOff>123200</xdr:rowOff>
    </xdr:to>
    <xdr:sp macro="" textlink="">
      <xdr:nvSpPr>
        <xdr:cNvPr id="22" name="Bevel 2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4992083" y="18536479"/>
          <a:ext cx="138296" cy="106634"/>
        </a:xfrm>
        <a:prstGeom prst="bevel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124239</xdr:colOff>
      <xdr:row>81</xdr:row>
      <xdr:rowOff>135628</xdr:rowOff>
    </xdr:from>
    <xdr:to>
      <xdr:col>7</xdr:col>
      <xdr:colOff>264916</xdr:colOff>
      <xdr:row>82</xdr:row>
      <xdr:rowOff>53524</xdr:rowOff>
    </xdr:to>
    <xdr:sp macro="" textlink="">
      <xdr:nvSpPr>
        <xdr:cNvPr id="23" name="Bevel 2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4986130" y="18655541"/>
          <a:ext cx="140677" cy="108396"/>
        </a:xfrm>
        <a:prstGeom prst="bevel">
          <a:avLst/>
        </a:prstGeom>
        <a:solidFill>
          <a:srgbClr val="FBC1EA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306404</xdr:colOff>
      <xdr:row>81</xdr:row>
      <xdr:rowOff>20138</xdr:rowOff>
    </xdr:from>
    <xdr:to>
      <xdr:col>7</xdr:col>
      <xdr:colOff>445028</xdr:colOff>
      <xdr:row>81</xdr:row>
      <xdr:rowOff>126772</xdr:rowOff>
    </xdr:to>
    <xdr:sp macro="" textlink="">
      <xdr:nvSpPr>
        <xdr:cNvPr id="24" name="Bevel 23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5168295" y="18540051"/>
          <a:ext cx="138624" cy="106634"/>
        </a:xfrm>
        <a:prstGeom prst="bevel">
          <a:avLst/>
        </a:prstGeom>
        <a:solidFill>
          <a:srgbClr val="FFFF0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302832</xdr:colOff>
      <xdr:row>81</xdr:row>
      <xdr:rowOff>147535</xdr:rowOff>
    </xdr:from>
    <xdr:to>
      <xdr:col>7</xdr:col>
      <xdr:colOff>441456</xdr:colOff>
      <xdr:row>82</xdr:row>
      <xdr:rowOff>65640</xdr:rowOff>
    </xdr:to>
    <xdr:sp macro="" textlink="">
      <xdr:nvSpPr>
        <xdr:cNvPr id="25" name="Bevel 2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5164723" y="18667448"/>
          <a:ext cx="138624" cy="108605"/>
        </a:xfrm>
        <a:prstGeom prst="bevel">
          <a:avLst/>
        </a:prstGeom>
        <a:solidFill>
          <a:srgbClr val="99FFCC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1</xdr:colOff>
      <xdr:row>50</xdr:row>
      <xdr:rowOff>121341</xdr:rowOff>
    </xdr:from>
    <xdr:to>
      <xdr:col>10</xdr:col>
      <xdr:colOff>138297</xdr:colOff>
      <xdr:row>50</xdr:row>
      <xdr:rowOff>223855</xdr:rowOff>
    </xdr:to>
    <xdr:sp macro="" textlink="">
      <xdr:nvSpPr>
        <xdr:cNvPr id="26" name="Bevel 2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7437784" y="12048298"/>
          <a:ext cx="138296" cy="102514"/>
        </a:xfrm>
        <a:prstGeom prst="bevel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0</xdr:colOff>
      <xdr:row>50</xdr:row>
      <xdr:rowOff>1791</xdr:rowOff>
    </xdr:from>
    <xdr:to>
      <xdr:col>10</xdr:col>
      <xdr:colOff>138296</xdr:colOff>
      <xdr:row>50</xdr:row>
      <xdr:rowOff>99028</xdr:rowOff>
    </xdr:to>
    <xdr:sp macro="" textlink="">
      <xdr:nvSpPr>
        <xdr:cNvPr id="27" name="Bevel 26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7437783" y="11928748"/>
          <a:ext cx="138296" cy="97237"/>
        </a:xfrm>
        <a:prstGeom prst="bevel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180325</xdr:colOff>
      <xdr:row>50</xdr:row>
      <xdr:rowOff>1791</xdr:rowOff>
    </xdr:from>
    <xdr:to>
      <xdr:col>10</xdr:col>
      <xdr:colOff>321002</xdr:colOff>
      <xdr:row>50</xdr:row>
      <xdr:rowOff>99028</xdr:rowOff>
    </xdr:to>
    <xdr:sp macro="" textlink="">
      <xdr:nvSpPr>
        <xdr:cNvPr id="28" name="Bevel 2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7618108" y="11928748"/>
          <a:ext cx="140677" cy="97237"/>
        </a:xfrm>
        <a:prstGeom prst="bevel">
          <a:avLst/>
        </a:prstGeom>
        <a:solidFill>
          <a:schemeClr val="bg1">
            <a:lumMod val="9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177944</xdr:colOff>
      <xdr:row>50</xdr:row>
      <xdr:rowOff>121339</xdr:rowOff>
    </xdr:from>
    <xdr:to>
      <xdr:col>10</xdr:col>
      <xdr:colOff>318621</xdr:colOff>
      <xdr:row>50</xdr:row>
      <xdr:rowOff>223853</xdr:rowOff>
    </xdr:to>
    <xdr:sp macro="" textlink="">
      <xdr:nvSpPr>
        <xdr:cNvPr id="29" name="Bevel 2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7615727" y="12048296"/>
          <a:ext cx="140677" cy="102514"/>
        </a:xfrm>
        <a:prstGeom prst="bevel">
          <a:avLst/>
        </a:prstGeom>
        <a:solidFill>
          <a:schemeClr val="bg1">
            <a:lumMod val="8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374510</xdr:colOff>
      <xdr:row>50</xdr:row>
      <xdr:rowOff>0</xdr:rowOff>
    </xdr:from>
    <xdr:to>
      <xdr:col>10</xdr:col>
      <xdr:colOff>512806</xdr:colOff>
      <xdr:row>50</xdr:row>
      <xdr:rowOff>106633</xdr:rowOff>
    </xdr:to>
    <xdr:sp macro="" textlink="">
      <xdr:nvSpPr>
        <xdr:cNvPr id="30" name="Bevel 29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7812293" y="11926957"/>
          <a:ext cx="138296" cy="106633"/>
        </a:xfrm>
        <a:prstGeom prst="bevel">
          <a:avLst/>
        </a:prstGeom>
        <a:solidFill>
          <a:srgbClr val="99FFCC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373036</xdr:colOff>
      <xdr:row>50</xdr:row>
      <xdr:rowOff>126349</xdr:rowOff>
    </xdr:from>
    <xdr:to>
      <xdr:col>10</xdr:col>
      <xdr:colOff>513713</xdr:colOff>
      <xdr:row>50</xdr:row>
      <xdr:rowOff>232774</xdr:rowOff>
    </xdr:to>
    <xdr:sp macro="" textlink="">
      <xdr:nvSpPr>
        <xdr:cNvPr id="31" name="Bevel 30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7810819" y="12053306"/>
          <a:ext cx="140677" cy="106425"/>
        </a:xfrm>
        <a:prstGeom prst="bevel">
          <a:avLst/>
        </a:prstGeom>
        <a:solidFill>
          <a:srgbClr val="FBC1EA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24849</xdr:colOff>
      <xdr:row>43</xdr:row>
      <xdr:rowOff>8283</xdr:rowOff>
    </xdr:from>
    <xdr:to>
      <xdr:col>10</xdr:col>
      <xdr:colOff>167724</xdr:colOff>
      <xdr:row>43</xdr:row>
      <xdr:rowOff>246408</xdr:rowOff>
    </xdr:to>
    <xdr:sp macro="" textlink="">
      <xdr:nvSpPr>
        <xdr:cNvPr id="32" name="Up-Down Arrow 31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7462632" y="10195892"/>
          <a:ext cx="142875" cy="238125"/>
        </a:xfrm>
        <a:prstGeom prst="upDownArrow">
          <a:avLst/>
        </a:prstGeom>
        <a:solidFill>
          <a:srgbClr val="99FFCC">
            <a:alpha val="9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49696</xdr:colOff>
      <xdr:row>73</xdr:row>
      <xdr:rowOff>165652</xdr:rowOff>
    </xdr:from>
    <xdr:to>
      <xdr:col>10</xdr:col>
      <xdr:colOff>192571</xdr:colOff>
      <xdr:row>74</xdr:row>
      <xdr:rowOff>171864</xdr:rowOff>
    </xdr:to>
    <xdr:sp macro="" textlink="">
      <xdr:nvSpPr>
        <xdr:cNvPr id="33" name="Up-Down Arrow 32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7487479" y="17103587"/>
          <a:ext cx="142875" cy="238125"/>
        </a:xfrm>
        <a:prstGeom prst="upDownArrow">
          <a:avLst/>
        </a:prstGeom>
        <a:solidFill>
          <a:srgbClr val="99FFCC">
            <a:alpha val="9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0</xdr:colOff>
      <xdr:row>17</xdr:row>
      <xdr:rowOff>0</xdr:rowOff>
    </xdr:from>
    <xdr:to>
      <xdr:col>10</xdr:col>
      <xdr:colOff>142875</xdr:colOff>
      <xdr:row>17</xdr:row>
      <xdr:rowOff>238125</xdr:rowOff>
    </xdr:to>
    <xdr:sp macro="" textlink="">
      <xdr:nvSpPr>
        <xdr:cNvPr id="34" name="Up-Down Arrow 33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7437783" y="3727174"/>
          <a:ext cx="142875" cy="238125"/>
        </a:xfrm>
        <a:prstGeom prst="upDownArrow">
          <a:avLst/>
        </a:prstGeom>
        <a:solidFill>
          <a:srgbClr val="99FFCC">
            <a:alpha val="9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426720</xdr:colOff>
      <xdr:row>140</xdr:row>
      <xdr:rowOff>121920</xdr:rowOff>
    </xdr:from>
    <xdr:to>
      <xdr:col>10</xdr:col>
      <xdr:colOff>571500</xdr:colOff>
      <xdr:row>171</xdr:row>
      <xdr:rowOff>38100</xdr:rowOff>
    </xdr:to>
    <xdr:pic>
      <xdr:nvPicPr>
        <xdr:cNvPr id="7169" name="Picture 1423">
          <a:extLst>
            <a:ext uri="{FF2B5EF4-FFF2-40B4-BE49-F238E27FC236}">
              <a16:creationId xmlns:a16="http://schemas.microsoft.com/office/drawing/2014/main" id="{00000000-0008-0000-0400-00000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560" y="29436060"/>
          <a:ext cx="7139940" cy="558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60960</xdr:colOff>
      <xdr:row>124</xdr:row>
      <xdr:rowOff>68580</xdr:rowOff>
    </xdr:from>
    <xdr:to>
      <xdr:col>5</xdr:col>
      <xdr:colOff>190500</xdr:colOff>
      <xdr:row>139</xdr:row>
      <xdr:rowOff>106679</xdr:rowOff>
    </xdr:to>
    <xdr:pic>
      <xdr:nvPicPr>
        <xdr:cNvPr id="7170" name="Picture 1422">
          <a:extLst>
            <a:ext uri="{FF2B5EF4-FFF2-40B4-BE49-F238E27FC236}">
              <a16:creationId xmlns:a16="http://schemas.microsoft.com/office/drawing/2014/main" id="{00000000-0008-0000-0400-000002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6449020"/>
          <a:ext cx="2773680" cy="2788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600076</xdr:colOff>
      <xdr:row>55</xdr:row>
      <xdr:rowOff>16566</xdr:rowOff>
    </xdr:from>
    <xdr:to>
      <xdr:col>4</xdr:col>
      <xdr:colOff>128772</xdr:colOff>
      <xdr:row>55</xdr:row>
      <xdr:rowOff>119080</xdr:rowOff>
    </xdr:to>
    <xdr:sp macro="" textlink="">
      <xdr:nvSpPr>
        <xdr:cNvPr id="2" name="Bevel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2447926" y="10903641"/>
          <a:ext cx="138296" cy="102514"/>
        </a:xfrm>
        <a:prstGeom prst="bevel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600075</xdr:colOff>
      <xdr:row>54</xdr:row>
      <xdr:rowOff>58941</xdr:rowOff>
    </xdr:from>
    <xdr:to>
      <xdr:col>4</xdr:col>
      <xdr:colOff>128771</xdr:colOff>
      <xdr:row>54</xdr:row>
      <xdr:rowOff>156178</xdr:rowOff>
    </xdr:to>
    <xdr:sp macro="" textlink="">
      <xdr:nvSpPr>
        <xdr:cNvPr id="3" name="Bevel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2447925" y="10784091"/>
          <a:ext cx="138296" cy="97237"/>
        </a:xfrm>
        <a:prstGeom prst="bevel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170800</xdr:colOff>
      <xdr:row>54</xdr:row>
      <xdr:rowOff>58941</xdr:rowOff>
    </xdr:from>
    <xdr:to>
      <xdr:col>4</xdr:col>
      <xdr:colOff>311477</xdr:colOff>
      <xdr:row>54</xdr:row>
      <xdr:rowOff>156178</xdr:rowOff>
    </xdr:to>
    <xdr:sp macro="" textlink="">
      <xdr:nvSpPr>
        <xdr:cNvPr id="4" name="Bevel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2628250" y="10784091"/>
          <a:ext cx="140677" cy="97237"/>
        </a:xfrm>
        <a:prstGeom prst="bevel">
          <a:avLst/>
        </a:prstGeom>
        <a:solidFill>
          <a:schemeClr val="bg1">
            <a:lumMod val="9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168419</xdr:colOff>
      <xdr:row>55</xdr:row>
      <xdr:rowOff>16564</xdr:rowOff>
    </xdr:from>
    <xdr:to>
      <xdr:col>4</xdr:col>
      <xdr:colOff>309096</xdr:colOff>
      <xdr:row>55</xdr:row>
      <xdr:rowOff>119078</xdr:rowOff>
    </xdr:to>
    <xdr:sp macro="" textlink="">
      <xdr:nvSpPr>
        <xdr:cNvPr id="5" name="Bevel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2625869" y="10903639"/>
          <a:ext cx="140677" cy="102514"/>
        </a:xfrm>
        <a:prstGeom prst="bevel">
          <a:avLst/>
        </a:prstGeom>
        <a:solidFill>
          <a:schemeClr val="bg1">
            <a:lumMod val="8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364985</xdr:colOff>
      <xdr:row>54</xdr:row>
      <xdr:rowOff>57150</xdr:rowOff>
    </xdr:from>
    <xdr:to>
      <xdr:col>4</xdr:col>
      <xdr:colOff>503281</xdr:colOff>
      <xdr:row>55</xdr:row>
      <xdr:rowOff>1858</xdr:rowOff>
    </xdr:to>
    <xdr:sp macro="" textlink="">
      <xdr:nvSpPr>
        <xdr:cNvPr id="6" name="Bevel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822435" y="10782300"/>
          <a:ext cx="138296" cy="106633"/>
        </a:xfrm>
        <a:prstGeom prst="bevel">
          <a:avLst/>
        </a:prstGeom>
        <a:solidFill>
          <a:srgbClr val="99FFCC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363511</xdr:colOff>
      <xdr:row>55</xdr:row>
      <xdr:rowOff>21574</xdr:rowOff>
    </xdr:from>
    <xdr:to>
      <xdr:col>4</xdr:col>
      <xdr:colOff>504188</xdr:colOff>
      <xdr:row>55</xdr:row>
      <xdr:rowOff>127999</xdr:rowOff>
    </xdr:to>
    <xdr:sp macro="" textlink="">
      <xdr:nvSpPr>
        <xdr:cNvPr id="7" name="Bevel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2820961" y="10908649"/>
          <a:ext cx="140677" cy="106425"/>
        </a:xfrm>
        <a:prstGeom prst="bevel">
          <a:avLst/>
        </a:prstGeom>
        <a:solidFill>
          <a:srgbClr val="FBC1EA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</xdr:col>
      <xdr:colOff>388620</xdr:colOff>
      <xdr:row>30</xdr:row>
      <xdr:rowOff>38100</xdr:rowOff>
    </xdr:from>
    <xdr:to>
      <xdr:col>3</xdr:col>
      <xdr:colOff>0</xdr:colOff>
      <xdr:row>30</xdr:row>
      <xdr:rowOff>45720</xdr:rowOff>
    </xdr:to>
    <xdr:sp macro="" textlink="">
      <xdr:nvSpPr>
        <xdr:cNvPr id="12289" name="Line 1">
          <a:extLst>
            <a:ext uri="{FF2B5EF4-FFF2-40B4-BE49-F238E27FC236}">
              <a16:creationId xmlns:a16="http://schemas.microsoft.com/office/drawing/2014/main" id="{00000000-0008-0000-0500-000001300000}"/>
            </a:ext>
          </a:extLst>
        </xdr:cNvPr>
        <xdr:cNvSpPr>
          <a:spLocks noChangeShapeType="1"/>
        </xdr:cNvSpPr>
      </xdr:nvSpPr>
      <xdr:spPr bwMode="auto">
        <a:xfrm>
          <a:off x="1036320" y="5661660"/>
          <a:ext cx="8610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388620</xdr:colOff>
      <xdr:row>30</xdr:row>
      <xdr:rowOff>68580</xdr:rowOff>
    </xdr:from>
    <xdr:to>
      <xdr:col>2</xdr:col>
      <xdr:colOff>617220</xdr:colOff>
      <xdr:row>30</xdr:row>
      <xdr:rowOff>76200</xdr:rowOff>
    </xdr:to>
    <xdr:sp macro="" textlink="">
      <xdr:nvSpPr>
        <xdr:cNvPr id="12290" name="Line 2">
          <a:extLst>
            <a:ext uri="{FF2B5EF4-FFF2-40B4-BE49-F238E27FC236}">
              <a16:creationId xmlns:a16="http://schemas.microsoft.com/office/drawing/2014/main" id="{00000000-0008-0000-0500-000002300000}"/>
            </a:ext>
          </a:extLst>
        </xdr:cNvPr>
        <xdr:cNvSpPr>
          <a:spLocks noChangeShapeType="1"/>
        </xdr:cNvSpPr>
      </xdr:nvSpPr>
      <xdr:spPr bwMode="auto">
        <a:xfrm>
          <a:off x="1036320" y="5692140"/>
          <a:ext cx="85344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388620</xdr:colOff>
      <xdr:row>30</xdr:row>
      <xdr:rowOff>38100</xdr:rowOff>
    </xdr:from>
    <xdr:to>
      <xdr:col>1</xdr:col>
      <xdr:colOff>403860</xdr:colOff>
      <xdr:row>30</xdr:row>
      <xdr:rowOff>68580</xdr:rowOff>
    </xdr:to>
    <xdr:sp macro="" textlink="">
      <xdr:nvSpPr>
        <xdr:cNvPr id="12291" name="Line 3">
          <a:extLst>
            <a:ext uri="{FF2B5EF4-FFF2-40B4-BE49-F238E27FC236}">
              <a16:creationId xmlns:a16="http://schemas.microsoft.com/office/drawing/2014/main" id="{00000000-0008-0000-0500-000003300000}"/>
            </a:ext>
          </a:extLst>
        </xdr:cNvPr>
        <xdr:cNvSpPr>
          <a:spLocks noChangeShapeType="1"/>
        </xdr:cNvSpPr>
      </xdr:nvSpPr>
      <xdr:spPr bwMode="auto">
        <a:xfrm>
          <a:off x="1036320" y="5661660"/>
          <a:ext cx="15240" cy="304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30</xdr:row>
      <xdr:rowOff>38100</xdr:rowOff>
    </xdr:from>
    <xdr:to>
      <xdr:col>3</xdr:col>
      <xdr:colOff>7620</xdr:colOff>
      <xdr:row>30</xdr:row>
      <xdr:rowOff>68580</xdr:rowOff>
    </xdr:to>
    <xdr:sp macro="" textlink="">
      <xdr:nvSpPr>
        <xdr:cNvPr id="12292" name="Line 4">
          <a:extLst>
            <a:ext uri="{FF2B5EF4-FFF2-40B4-BE49-F238E27FC236}">
              <a16:creationId xmlns:a16="http://schemas.microsoft.com/office/drawing/2014/main" id="{00000000-0008-0000-0500-000004300000}"/>
            </a:ext>
          </a:extLst>
        </xdr:cNvPr>
        <xdr:cNvSpPr>
          <a:spLocks noChangeShapeType="1"/>
        </xdr:cNvSpPr>
      </xdr:nvSpPr>
      <xdr:spPr bwMode="auto">
        <a:xfrm>
          <a:off x="1897380" y="5661660"/>
          <a:ext cx="7620" cy="304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525780</xdr:colOff>
      <xdr:row>30</xdr:row>
      <xdr:rowOff>53340</xdr:rowOff>
    </xdr:from>
    <xdr:to>
      <xdr:col>1</xdr:col>
      <xdr:colOff>533400</xdr:colOff>
      <xdr:row>39</xdr:row>
      <xdr:rowOff>129540</xdr:rowOff>
    </xdr:to>
    <xdr:sp macro="" textlink="">
      <xdr:nvSpPr>
        <xdr:cNvPr id="12293" name="Line 5">
          <a:extLst>
            <a:ext uri="{FF2B5EF4-FFF2-40B4-BE49-F238E27FC236}">
              <a16:creationId xmlns:a16="http://schemas.microsoft.com/office/drawing/2014/main" id="{00000000-0008-0000-0500-000005300000}"/>
            </a:ext>
          </a:extLst>
        </xdr:cNvPr>
        <xdr:cNvSpPr>
          <a:spLocks noChangeShapeType="1"/>
        </xdr:cNvSpPr>
      </xdr:nvSpPr>
      <xdr:spPr bwMode="auto">
        <a:xfrm>
          <a:off x="1173480" y="5676900"/>
          <a:ext cx="7620" cy="22783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487680</xdr:colOff>
      <xdr:row>30</xdr:row>
      <xdr:rowOff>68580</xdr:rowOff>
    </xdr:from>
    <xdr:to>
      <xdr:col>1</xdr:col>
      <xdr:colOff>495300</xdr:colOff>
      <xdr:row>39</xdr:row>
      <xdr:rowOff>137160</xdr:rowOff>
    </xdr:to>
    <xdr:sp macro="" textlink="">
      <xdr:nvSpPr>
        <xdr:cNvPr id="12294" name="Line 6">
          <a:extLst>
            <a:ext uri="{FF2B5EF4-FFF2-40B4-BE49-F238E27FC236}">
              <a16:creationId xmlns:a16="http://schemas.microsoft.com/office/drawing/2014/main" id="{00000000-0008-0000-0500-000006300000}"/>
            </a:ext>
          </a:extLst>
        </xdr:cNvPr>
        <xdr:cNvSpPr>
          <a:spLocks noChangeShapeType="1"/>
        </xdr:cNvSpPr>
      </xdr:nvSpPr>
      <xdr:spPr bwMode="auto">
        <a:xfrm>
          <a:off x="1135380" y="5692140"/>
          <a:ext cx="7620" cy="22707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510540</xdr:colOff>
      <xdr:row>30</xdr:row>
      <xdr:rowOff>68580</xdr:rowOff>
    </xdr:from>
    <xdr:to>
      <xdr:col>2</xdr:col>
      <xdr:colOff>518160</xdr:colOff>
      <xdr:row>39</xdr:row>
      <xdr:rowOff>129540</xdr:rowOff>
    </xdr:to>
    <xdr:sp macro="" textlink="">
      <xdr:nvSpPr>
        <xdr:cNvPr id="12295" name="Line 7">
          <a:extLst>
            <a:ext uri="{FF2B5EF4-FFF2-40B4-BE49-F238E27FC236}">
              <a16:creationId xmlns:a16="http://schemas.microsoft.com/office/drawing/2014/main" id="{00000000-0008-0000-0500-000007300000}"/>
            </a:ext>
          </a:extLst>
        </xdr:cNvPr>
        <xdr:cNvSpPr>
          <a:spLocks noChangeShapeType="1"/>
        </xdr:cNvSpPr>
      </xdr:nvSpPr>
      <xdr:spPr bwMode="auto">
        <a:xfrm>
          <a:off x="1783080" y="5692140"/>
          <a:ext cx="7620" cy="22631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472440</xdr:colOff>
      <xdr:row>30</xdr:row>
      <xdr:rowOff>68580</xdr:rowOff>
    </xdr:from>
    <xdr:to>
      <xdr:col>2</xdr:col>
      <xdr:colOff>480060</xdr:colOff>
      <xdr:row>39</xdr:row>
      <xdr:rowOff>121920</xdr:rowOff>
    </xdr:to>
    <xdr:sp macro="" textlink="">
      <xdr:nvSpPr>
        <xdr:cNvPr id="12296" name="Line 8">
          <a:extLst>
            <a:ext uri="{FF2B5EF4-FFF2-40B4-BE49-F238E27FC236}">
              <a16:creationId xmlns:a16="http://schemas.microsoft.com/office/drawing/2014/main" id="{00000000-0008-0000-0500-000008300000}"/>
            </a:ext>
          </a:extLst>
        </xdr:cNvPr>
        <xdr:cNvSpPr>
          <a:spLocks noChangeShapeType="1"/>
        </xdr:cNvSpPr>
      </xdr:nvSpPr>
      <xdr:spPr bwMode="auto">
        <a:xfrm>
          <a:off x="1744980" y="5692140"/>
          <a:ext cx="7620" cy="22555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434340</xdr:colOff>
      <xdr:row>39</xdr:row>
      <xdr:rowOff>129540</xdr:rowOff>
    </xdr:from>
    <xdr:to>
      <xdr:col>3</xdr:col>
      <xdr:colOff>22860</xdr:colOff>
      <xdr:row>39</xdr:row>
      <xdr:rowOff>137160</xdr:rowOff>
    </xdr:to>
    <xdr:sp macro="" textlink="">
      <xdr:nvSpPr>
        <xdr:cNvPr id="12297" name="Line 9">
          <a:extLst>
            <a:ext uri="{FF2B5EF4-FFF2-40B4-BE49-F238E27FC236}">
              <a16:creationId xmlns:a16="http://schemas.microsoft.com/office/drawing/2014/main" id="{00000000-0008-0000-0500-000009300000}"/>
            </a:ext>
          </a:extLst>
        </xdr:cNvPr>
        <xdr:cNvSpPr>
          <a:spLocks noChangeShapeType="1"/>
        </xdr:cNvSpPr>
      </xdr:nvSpPr>
      <xdr:spPr bwMode="auto">
        <a:xfrm>
          <a:off x="1082040" y="7955280"/>
          <a:ext cx="8382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403860</xdr:colOff>
      <xdr:row>39</xdr:row>
      <xdr:rowOff>160020</xdr:rowOff>
    </xdr:from>
    <xdr:to>
      <xdr:col>3</xdr:col>
      <xdr:colOff>7620</xdr:colOff>
      <xdr:row>39</xdr:row>
      <xdr:rowOff>167640</xdr:rowOff>
    </xdr:to>
    <xdr:sp macro="" textlink="">
      <xdr:nvSpPr>
        <xdr:cNvPr id="12298" name="Line 10">
          <a:extLst>
            <a:ext uri="{FF2B5EF4-FFF2-40B4-BE49-F238E27FC236}">
              <a16:creationId xmlns:a16="http://schemas.microsoft.com/office/drawing/2014/main" id="{00000000-0008-0000-0500-00000A300000}"/>
            </a:ext>
          </a:extLst>
        </xdr:cNvPr>
        <xdr:cNvSpPr>
          <a:spLocks noChangeShapeType="1"/>
        </xdr:cNvSpPr>
      </xdr:nvSpPr>
      <xdr:spPr bwMode="auto">
        <a:xfrm>
          <a:off x="1051560" y="7985760"/>
          <a:ext cx="85344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411480</xdr:colOff>
      <xdr:row>40</xdr:row>
      <xdr:rowOff>45720</xdr:rowOff>
    </xdr:from>
    <xdr:to>
      <xdr:col>1</xdr:col>
      <xdr:colOff>419100</xdr:colOff>
      <xdr:row>40</xdr:row>
      <xdr:rowOff>68580</xdr:rowOff>
    </xdr:to>
    <xdr:sp macro="" textlink="">
      <xdr:nvSpPr>
        <xdr:cNvPr id="12299" name="Line 11">
          <a:extLst>
            <a:ext uri="{FF2B5EF4-FFF2-40B4-BE49-F238E27FC236}">
              <a16:creationId xmlns:a16="http://schemas.microsoft.com/office/drawing/2014/main" id="{00000000-0008-0000-0500-00000B300000}"/>
            </a:ext>
          </a:extLst>
        </xdr:cNvPr>
        <xdr:cNvSpPr>
          <a:spLocks noChangeShapeType="1"/>
        </xdr:cNvSpPr>
      </xdr:nvSpPr>
      <xdr:spPr bwMode="auto">
        <a:xfrm>
          <a:off x="1059180" y="8061960"/>
          <a:ext cx="7620" cy="228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617220</xdr:colOff>
      <xdr:row>40</xdr:row>
      <xdr:rowOff>45720</xdr:rowOff>
    </xdr:from>
    <xdr:to>
      <xdr:col>3</xdr:col>
      <xdr:colOff>0</xdr:colOff>
      <xdr:row>40</xdr:row>
      <xdr:rowOff>68580</xdr:rowOff>
    </xdr:to>
    <xdr:sp macro="" textlink="">
      <xdr:nvSpPr>
        <xdr:cNvPr id="12300" name="Line 12">
          <a:extLst>
            <a:ext uri="{FF2B5EF4-FFF2-40B4-BE49-F238E27FC236}">
              <a16:creationId xmlns:a16="http://schemas.microsoft.com/office/drawing/2014/main" id="{00000000-0008-0000-0500-00000C300000}"/>
            </a:ext>
          </a:extLst>
        </xdr:cNvPr>
        <xdr:cNvSpPr>
          <a:spLocks noChangeShapeType="1"/>
        </xdr:cNvSpPr>
      </xdr:nvSpPr>
      <xdr:spPr bwMode="auto">
        <a:xfrm>
          <a:off x="1889760" y="8061960"/>
          <a:ext cx="7620" cy="228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114300</xdr:colOff>
      <xdr:row>30</xdr:row>
      <xdr:rowOff>38100</xdr:rowOff>
    </xdr:from>
    <xdr:to>
      <xdr:col>1</xdr:col>
      <xdr:colOff>312420</xdr:colOff>
      <xdr:row>30</xdr:row>
      <xdr:rowOff>45720</xdr:rowOff>
    </xdr:to>
    <xdr:sp macro="" textlink="">
      <xdr:nvSpPr>
        <xdr:cNvPr id="12301" name="Line 13">
          <a:extLst>
            <a:ext uri="{FF2B5EF4-FFF2-40B4-BE49-F238E27FC236}">
              <a16:creationId xmlns:a16="http://schemas.microsoft.com/office/drawing/2014/main" id="{00000000-0008-0000-0500-00000D300000}"/>
            </a:ext>
          </a:extLst>
        </xdr:cNvPr>
        <xdr:cNvSpPr>
          <a:spLocks noChangeShapeType="1"/>
        </xdr:cNvSpPr>
      </xdr:nvSpPr>
      <xdr:spPr bwMode="auto">
        <a:xfrm>
          <a:off x="762000" y="5661660"/>
          <a:ext cx="1981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114300</xdr:colOff>
      <xdr:row>30</xdr:row>
      <xdr:rowOff>68580</xdr:rowOff>
    </xdr:from>
    <xdr:to>
      <xdr:col>1</xdr:col>
      <xdr:colOff>304800</xdr:colOff>
      <xdr:row>30</xdr:row>
      <xdr:rowOff>76200</xdr:rowOff>
    </xdr:to>
    <xdr:sp macro="" textlink="">
      <xdr:nvSpPr>
        <xdr:cNvPr id="12302" name="Line 14">
          <a:extLst>
            <a:ext uri="{FF2B5EF4-FFF2-40B4-BE49-F238E27FC236}">
              <a16:creationId xmlns:a16="http://schemas.microsoft.com/office/drawing/2014/main" id="{00000000-0008-0000-0500-00000E300000}"/>
            </a:ext>
          </a:extLst>
        </xdr:cNvPr>
        <xdr:cNvSpPr>
          <a:spLocks noChangeShapeType="1"/>
        </xdr:cNvSpPr>
      </xdr:nvSpPr>
      <xdr:spPr bwMode="auto">
        <a:xfrm flipH="1">
          <a:off x="762000" y="5692140"/>
          <a:ext cx="1905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228600</xdr:colOff>
      <xdr:row>30</xdr:row>
      <xdr:rowOff>76200</xdr:rowOff>
    </xdr:from>
    <xdr:to>
      <xdr:col>1</xdr:col>
      <xdr:colOff>236220</xdr:colOff>
      <xdr:row>33</xdr:row>
      <xdr:rowOff>121920</xdr:rowOff>
    </xdr:to>
    <xdr:sp macro="" textlink="">
      <xdr:nvSpPr>
        <xdr:cNvPr id="12303" name="Line 15">
          <a:extLst>
            <a:ext uri="{FF2B5EF4-FFF2-40B4-BE49-F238E27FC236}">
              <a16:creationId xmlns:a16="http://schemas.microsoft.com/office/drawing/2014/main" id="{00000000-0008-0000-0500-00000F300000}"/>
            </a:ext>
          </a:extLst>
        </xdr:cNvPr>
        <xdr:cNvSpPr>
          <a:spLocks noChangeShapeType="1"/>
        </xdr:cNvSpPr>
      </xdr:nvSpPr>
      <xdr:spPr bwMode="auto">
        <a:xfrm flipV="1">
          <a:off x="876300" y="5699760"/>
          <a:ext cx="7620" cy="7315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228600</xdr:colOff>
      <xdr:row>28</xdr:row>
      <xdr:rowOff>114300</xdr:rowOff>
    </xdr:from>
    <xdr:to>
      <xdr:col>1</xdr:col>
      <xdr:colOff>236220</xdr:colOff>
      <xdr:row>29</xdr:row>
      <xdr:rowOff>144780</xdr:rowOff>
    </xdr:to>
    <xdr:sp macro="" textlink="">
      <xdr:nvSpPr>
        <xdr:cNvPr id="12304" name="Line 16">
          <a:extLst>
            <a:ext uri="{FF2B5EF4-FFF2-40B4-BE49-F238E27FC236}">
              <a16:creationId xmlns:a16="http://schemas.microsoft.com/office/drawing/2014/main" id="{00000000-0008-0000-0500-000010300000}"/>
            </a:ext>
          </a:extLst>
        </xdr:cNvPr>
        <xdr:cNvSpPr>
          <a:spLocks noChangeShapeType="1"/>
        </xdr:cNvSpPr>
      </xdr:nvSpPr>
      <xdr:spPr bwMode="auto">
        <a:xfrm>
          <a:off x="876300" y="5250180"/>
          <a:ext cx="7620" cy="3352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403860</xdr:colOff>
      <xdr:row>29</xdr:row>
      <xdr:rowOff>60960</xdr:rowOff>
    </xdr:from>
    <xdr:to>
      <xdr:col>1</xdr:col>
      <xdr:colOff>411480</xdr:colOff>
      <xdr:row>30</xdr:row>
      <xdr:rowOff>45720</xdr:rowOff>
    </xdr:to>
    <xdr:sp macro="" textlink="">
      <xdr:nvSpPr>
        <xdr:cNvPr id="12305" name="Line 17">
          <a:extLst>
            <a:ext uri="{FF2B5EF4-FFF2-40B4-BE49-F238E27FC236}">
              <a16:creationId xmlns:a16="http://schemas.microsoft.com/office/drawing/2014/main" id="{00000000-0008-0000-0500-000011300000}"/>
            </a:ext>
          </a:extLst>
        </xdr:cNvPr>
        <xdr:cNvSpPr>
          <a:spLocks noChangeShapeType="1"/>
        </xdr:cNvSpPr>
      </xdr:nvSpPr>
      <xdr:spPr bwMode="auto">
        <a:xfrm flipV="1">
          <a:off x="1051560" y="5501640"/>
          <a:ext cx="7620" cy="1676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38100</xdr:colOff>
      <xdr:row>29</xdr:row>
      <xdr:rowOff>68580</xdr:rowOff>
    </xdr:from>
    <xdr:to>
      <xdr:col>3</xdr:col>
      <xdr:colOff>45720</xdr:colOff>
      <xdr:row>30</xdr:row>
      <xdr:rowOff>53340</xdr:rowOff>
    </xdr:to>
    <xdr:sp macro="" textlink="">
      <xdr:nvSpPr>
        <xdr:cNvPr id="12306" name="Line 18">
          <a:extLst>
            <a:ext uri="{FF2B5EF4-FFF2-40B4-BE49-F238E27FC236}">
              <a16:creationId xmlns:a16="http://schemas.microsoft.com/office/drawing/2014/main" id="{00000000-0008-0000-0500-000012300000}"/>
            </a:ext>
          </a:extLst>
        </xdr:cNvPr>
        <xdr:cNvSpPr>
          <a:spLocks noChangeShapeType="1"/>
        </xdr:cNvSpPr>
      </xdr:nvSpPr>
      <xdr:spPr bwMode="auto">
        <a:xfrm flipV="1">
          <a:off x="1935480" y="5509260"/>
          <a:ext cx="7620" cy="1676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411480</xdr:colOff>
      <xdr:row>29</xdr:row>
      <xdr:rowOff>137160</xdr:rowOff>
    </xdr:from>
    <xdr:to>
      <xdr:col>2</xdr:col>
      <xdr:colOff>60960</xdr:colOff>
      <xdr:row>29</xdr:row>
      <xdr:rowOff>144780</xdr:rowOff>
    </xdr:to>
    <xdr:sp macro="" textlink="">
      <xdr:nvSpPr>
        <xdr:cNvPr id="12307" name="Line 19">
          <a:extLst>
            <a:ext uri="{FF2B5EF4-FFF2-40B4-BE49-F238E27FC236}">
              <a16:creationId xmlns:a16="http://schemas.microsoft.com/office/drawing/2014/main" id="{00000000-0008-0000-0500-000013300000}"/>
            </a:ext>
          </a:extLst>
        </xdr:cNvPr>
        <xdr:cNvSpPr>
          <a:spLocks noChangeShapeType="1"/>
        </xdr:cNvSpPr>
      </xdr:nvSpPr>
      <xdr:spPr bwMode="auto">
        <a:xfrm flipH="1">
          <a:off x="1059180" y="5577840"/>
          <a:ext cx="2743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342900</xdr:colOff>
      <xdr:row>29</xdr:row>
      <xdr:rowOff>129540</xdr:rowOff>
    </xdr:from>
    <xdr:to>
      <xdr:col>3</xdr:col>
      <xdr:colOff>38100</xdr:colOff>
      <xdr:row>29</xdr:row>
      <xdr:rowOff>137160</xdr:rowOff>
    </xdr:to>
    <xdr:sp macro="" textlink="">
      <xdr:nvSpPr>
        <xdr:cNvPr id="12308" name="Line 20">
          <a:extLst>
            <a:ext uri="{FF2B5EF4-FFF2-40B4-BE49-F238E27FC236}">
              <a16:creationId xmlns:a16="http://schemas.microsoft.com/office/drawing/2014/main" id="{00000000-0008-0000-0500-000014300000}"/>
            </a:ext>
          </a:extLst>
        </xdr:cNvPr>
        <xdr:cNvSpPr>
          <a:spLocks noChangeShapeType="1"/>
        </xdr:cNvSpPr>
      </xdr:nvSpPr>
      <xdr:spPr bwMode="auto">
        <a:xfrm>
          <a:off x="1615440" y="5570220"/>
          <a:ext cx="32004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586740</xdr:colOff>
      <xdr:row>34</xdr:row>
      <xdr:rowOff>38100</xdr:rowOff>
    </xdr:from>
    <xdr:to>
      <xdr:col>3</xdr:col>
      <xdr:colOff>53340</xdr:colOff>
      <xdr:row>34</xdr:row>
      <xdr:rowOff>45720</xdr:rowOff>
    </xdr:to>
    <xdr:sp macro="" textlink="">
      <xdr:nvSpPr>
        <xdr:cNvPr id="12309" name="Line 21">
          <a:extLst>
            <a:ext uri="{FF2B5EF4-FFF2-40B4-BE49-F238E27FC236}">
              <a16:creationId xmlns:a16="http://schemas.microsoft.com/office/drawing/2014/main" id="{00000000-0008-0000-0500-000015300000}"/>
            </a:ext>
          </a:extLst>
        </xdr:cNvPr>
        <xdr:cNvSpPr>
          <a:spLocks noChangeShapeType="1"/>
        </xdr:cNvSpPr>
      </xdr:nvSpPr>
      <xdr:spPr bwMode="auto">
        <a:xfrm flipH="1">
          <a:off x="1859280" y="6576060"/>
          <a:ext cx="9144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434340</xdr:colOff>
      <xdr:row>34</xdr:row>
      <xdr:rowOff>38100</xdr:rowOff>
    </xdr:from>
    <xdr:to>
      <xdr:col>2</xdr:col>
      <xdr:colOff>472440</xdr:colOff>
      <xdr:row>34</xdr:row>
      <xdr:rowOff>45720</xdr:rowOff>
    </xdr:to>
    <xdr:sp macro="" textlink="">
      <xdr:nvSpPr>
        <xdr:cNvPr id="12310" name="Line 22">
          <a:extLst>
            <a:ext uri="{FF2B5EF4-FFF2-40B4-BE49-F238E27FC236}">
              <a16:creationId xmlns:a16="http://schemas.microsoft.com/office/drawing/2014/main" id="{00000000-0008-0000-0500-000016300000}"/>
            </a:ext>
          </a:extLst>
        </xdr:cNvPr>
        <xdr:cNvSpPr>
          <a:spLocks noChangeShapeType="1"/>
        </xdr:cNvSpPr>
      </xdr:nvSpPr>
      <xdr:spPr bwMode="auto">
        <a:xfrm>
          <a:off x="1706880" y="6576060"/>
          <a:ext cx="381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617220</xdr:colOff>
      <xdr:row>34</xdr:row>
      <xdr:rowOff>38100</xdr:rowOff>
    </xdr:from>
    <xdr:to>
      <xdr:col>2</xdr:col>
      <xdr:colOff>175260</xdr:colOff>
      <xdr:row>34</xdr:row>
      <xdr:rowOff>45720</xdr:rowOff>
    </xdr:to>
    <xdr:sp macro="" textlink="">
      <xdr:nvSpPr>
        <xdr:cNvPr id="12311" name="Line 23">
          <a:extLst>
            <a:ext uri="{FF2B5EF4-FFF2-40B4-BE49-F238E27FC236}">
              <a16:creationId xmlns:a16="http://schemas.microsoft.com/office/drawing/2014/main" id="{00000000-0008-0000-0500-000017300000}"/>
            </a:ext>
          </a:extLst>
        </xdr:cNvPr>
        <xdr:cNvSpPr>
          <a:spLocks noChangeShapeType="1"/>
        </xdr:cNvSpPr>
      </xdr:nvSpPr>
      <xdr:spPr bwMode="auto">
        <a:xfrm flipH="1">
          <a:off x="1264920" y="6576060"/>
          <a:ext cx="1828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312420</xdr:colOff>
      <xdr:row>34</xdr:row>
      <xdr:rowOff>38100</xdr:rowOff>
    </xdr:from>
    <xdr:to>
      <xdr:col>1</xdr:col>
      <xdr:colOff>434340</xdr:colOff>
      <xdr:row>34</xdr:row>
      <xdr:rowOff>45720</xdr:rowOff>
    </xdr:to>
    <xdr:sp macro="" textlink="">
      <xdr:nvSpPr>
        <xdr:cNvPr id="12312" name="Line 24">
          <a:extLst>
            <a:ext uri="{FF2B5EF4-FFF2-40B4-BE49-F238E27FC236}">
              <a16:creationId xmlns:a16="http://schemas.microsoft.com/office/drawing/2014/main" id="{00000000-0008-0000-0500-000018300000}"/>
            </a:ext>
          </a:extLst>
        </xdr:cNvPr>
        <xdr:cNvSpPr>
          <a:spLocks noChangeShapeType="1"/>
        </xdr:cNvSpPr>
      </xdr:nvSpPr>
      <xdr:spPr bwMode="auto">
        <a:xfrm>
          <a:off x="960120" y="6576060"/>
          <a:ext cx="1219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160020</xdr:colOff>
      <xdr:row>40</xdr:row>
      <xdr:rowOff>53340</xdr:rowOff>
    </xdr:from>
    <xdr:to>
      <xdr:col>1</xdr:col>
      <xdr:colOff>342900</xdr:colOff>
      <xdr:row>40</xdr:row>
      <xdr:rowOff>60960</xdr:rowOff>
    </xdr:to>
    <xdr:sp macro="" textlink="">
      <xdr:nvSpPr>
        <xdr:cNvPr id="12313" name="Line 25">
          <a:extLst>
            <a:ext uri="{FF2B5EF4-FFF2-40B4-BE49-F238E27FC236}">
              <a16:creationId xmlns:a16="http://schemas.microsoft.com/office/drawing/2014/main" id="{00000000-0008-0000-0500-000019300000}"/>
            </a:ext>
          </a:extLst>
        </xdr:cNvPr>
        <xdr:cNvSpPr>
          <a:spLocks noChangeShapeType="1"/>
        </xdr:cNvSpPr>
      </xdr:nvSpPr>
      <xdr:spPr bwMode="auto">
        <a:xfrm flipH="1">
          <a:off x="807720" y="8069580"/>
          <a:ext cx="1828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152400</xdr:colOff>
      <xdr:row>39</xdr:row>
      <xdr:rowOff>160020</xdr:rowOff>
    </xdr:from>
    <xdr:to>
      <xdr:col>1</xdr:col>
      <xdr:colOff>312420</xdr:colOff>
      <xdr:row>40</xdr:row>
      <xdr:rowOff>53340</xdr:rowOff>
    </xdr:to>
    <xdr:sp macro="" textlink="">
      <xdr:nvSpPr>
        <xdr:cNvPr id="12314" name="Line 26">
          <a:extLst>
            <a:ext uri="{FF2B5EF4-FFF2-40B4-BE49-F238E27FC236}">
              <a16:creationId xmlns:a16="http://schemas.microsoft.com/office/drawing/2014/main" id="{00000000-0008-0000-0500-00001A300000}"/>
            </a:ext>
          </a:extLst>
        </xdr:cNvPr>
        <xdr:cNvSpPr>
          <a:spLocks noChangeShapeType="1"/>
        </xdr:cNvSpPr>
      </xdr:nvSpPr>
      <xdr:spPr bwMode="auto">
        <a:xfrm flipH="1">
          <a:off x="800100" y="7985760"/>
          <a:ext cx="160020" cy="838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228600</xdr:colOff>
      <xdr:row>35</xdr:row>
      <xdr:rowOff>76200</xdr:rowOff>
    </xdr:from>
    <xdr:to>
      <xdr:col>1</xdr:col>
      <xdr:colOff>236220</xdr:colOff>
      <xdr:row>39</xdr:row>
      <xdr:rowOff>129540</xdr:rowOff>
    </xdr:to>
    <xdr:sp macro="" textlink="">
      <xdr:nvSpPr>
        <xdr:cNvPr id="12315" name="Line 27">
          <a:extLst>
            <a:ext uri="{FF2B5EF4-FFF2-40B4-BE49-F238E27FC236}">
              <a16:creationId xmlns:a16="http://schemas.microsoft.com/office/drawing/2014/main" id="{00000000-0008-0000-0500-00001B300000}"/>
            </a:ext>
          </a:extLst>
        </xdr:cNvPr>
        <xdr:cNvSpPr>
          <a:spLocks noChangeShapeType="1"/>
        </xdr:cNvSpPr>
      </xdr:nvSpPr>
      <xdr:spPr bwMode="auto">
        <a:xfrm>
          <a:off x="876300" y="6964680"/>
          <a:ext cx="7620" cy="990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251460</xdr:colOff>
      <xdr:row>40</xdr:row>
      <xdr:rowOff>68580</xdr:rowOff>
    </xdr:from>
    <xdr:to>
      <xdr:col>1</xdr:col>
      <xdr:colOff>259080</xdr:colOff>
      <xdr:row>41</xdr:row>
      <xdr:rowOff>76200</xdr:rowOff>
    </xdr:to>
    <xdr:sp macro="" textlink="">
      <xdr:nvSpPr>
        <xdr:cNvPr id="12316" name="Line 28">
          <a:extLst>
            <a:ext uri="{FF2B5EF4-FFF2-40B4-BE49-F238E27FC236}">
              <a16:creationId xmlns:a16="http://schemas.microsoft.com/office/drawing/2014/main" id="{00000000-0008-0000-0500-00001C300000}"/>
            </a:ext>
          </a:extLst>
        </xdr:cNvPr>
        <xdr:cNvSpPr>
          <a:spLocks noChangeShapeType="1"/>
        </xdr:cNvSpPr>
      </xdr:nvSpPr>
      <xdr:spPr bwMode="auto">
        <a:xfrm flipV="1">
          <a:off x="899160" y="8084820"/>
          <a:ext cx="7620" cy="2590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53340</xdr:colOff>
      <xdr:row>30</xdr:row>
      <xdr:rowOff>53340</xdr:rowOff>
    </xdr:from>
    <xdr:to>
      <xdr:col>4</xdr:col>
      <xdr:colOff>525780</xdr:colOff>
      <xdr:row>30</xdr:row>
      <xdr:rowOff>68580</xdr:rowOff>
    </xdr:to>
    <xdr:sp macro="" textlink="">
      <xdr:nvSpPr>
        <xdr:cNvPr id="12317" name="Line 29">
          <a:extLst>
            <a:ext uri="{FF2B5EF4-FFF2-40B4-BE49-F238E27FC236}">
              <a16:creationId xmlns:a16="http://schemas.microsoft.com/office/drawing/2014/main" id="{00000000-0008-0000-0500-00001D300000}"/>
            </a:ext>
          </a:extLst>
        </xdr:cNvPr>
        <xdr:cNvSpPr>
          <a:spLocks noChangeShapeType="1"/>
        </xdr:cNvSpPr>
      </xdr:nvSpPr>
      <xdr:spPr bwMode="auto">
        <a:xfrm>
          <a:off x="1950720" y="5676900"/>
          <a:ext cx="109728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190500</xdr:colOff>
      <xdr:row>40</xdr:row>
      <xdr:rowOff>68580</xdr:rowOff>
    </xdr:from>
    <xdr:to>
      <xdr:col>4</xdr:col>
      <xdr:colOff>312420</xdr:colOff>
      <xdr:row>40</xdr:row>
      <xdr:rowOff>83820</xdr:rowOff>
    </xdr:to>
    <xdr:sp macro="" textlink="">
      <xdr:nvSpPr>
        <xdr:cNvPr id="12318" name="Line 30">
          <a:extLst>
            <a:ext uri="{FF2B5EF4-FFF2-40B4-BE49-F238E27FC236}">
              <a16:creationId xmlns:a16="http://schemas.microsoft.com/office/drawing/2014/main" id="{00000000-0008-0000-0500-00001E300000}"/>
            </a:ext>
          </a:extLst>
        </xdr:cNvPr>
        <xdr:cNvSpPr>
          <a:spLocks noChangeShapeType="1"/>
        </xdr:cNvSpPr>
      </xdr:nvSpPr>
      <xdr:spPr bwMode="auto">
        <a:xfrm>
          <a:off x="1463040" y="8084820"/>
          <a:ext cx="137160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274320</xdr:colOff>
      <xdr:row>30</xdr:row>
      <xdr:rowOff>45720</xdr:rowOff>
    </xdr:from>
    <xdr:to>
      <xdr:col>3</xdr:col>
      <xdr:colOff>281940</xdr:colOff>
      <xdr:row>33</xdr:row>
      <xdr:rowOff>99060</xdr:rowOff>
    </xdr:to>
    <xdr:sp macro="" textlink="">
      <xdr:nvSpPr>
        <xdr:cNvPr id="12319" name="Line 31">
          <a:extLst>
            <a:ext uri="{FF2B5EF4-FFF2-40B4-BE49-F238E27FC236}">
              <a16:creationId xmlns:a16="http://schemas.microsoft.com/office/drawing/2014/main" id="{00000000-0008-0000-0500-00001F300000}"/>
            </a:ext>
          </a:extLst>
        </xdr:cNvPr>
        <xdr:cNvSpPr>
          <a:spLocks noChangeShapeType="1"/>
        </xdr:cNvSpPr>
      </xdr:nvSpPr>
      <xdr:spPr bwMode="auto">
        <a:xfrm flipV="1">
          <a:off x="2171700" y="5669280"/>
          <a:ext cx="7620" cy="7391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266700</xdr:colOff>
      <xdr:row>35</xdr:row>
      <xdr:rowOff>45720</xdr:rowOff>
    </xdr:from>
    <xdr:to>
      <xdr:col>3</xdr:col>
      <xdr:colOff>274320</xdr:colOff>
      <xdr:row>40</xdr:row>
      <xdr:rowOff>83820</xdr:rowOff>
    </xdr:to>
    <xdr:sp macro="" textlink="">
      <xdr:nvSpPr>
        <xdr:cNvPr id="12320" name="Line 32">
          <a:extLst>
            <a:ext uri="{FF2B5EF4-FFF2-40B4-BE49-F238E27FC236}">
              <a16:creationId xmlns:a16="http://schemas.microsoft.com/office/drawing/2014/main" id="{00000000-0008-0000-0500-000020300000}"/>
            </a:ext>
          </a:extLst>
        </xdr:cNvPr>
        <xdr:cNvSpPr>
          <a:spLocks noChangeShapeType="1"/>
        </xdr:cNvSpPr>
      </xdr:nvSpPr>
      <xdr:spPr bwMode="auto">
        <a:xfrm>
          <a:off x="2164080" y="6934200"/>
          <a:ext cx="7620" cy="11658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114300</xdr:colOff>
      <xdr:row>34</xdr:row>
      <xdr:rowOff>91440</xdr:rowOff>
    </xdr:from>
    <xdr:to>
      <xdr:col>4</xdr:col>
      <xdr:colOff>525780</xdr:colOff>
      <xdr:row>34</xdr:row>
      <xdr:rowOff>99060</xdr:rowOff>
    </xdr:to>
    <xdr:sp macro="" textlink="">
      <xdr:nvSpPr>
        <xdr:cNvPr id="12321" name="Line 33">
          <a:extLst>
            <a:ext uri="{FF2B5EF4-FFF2-40B4-BE49-F238E27FC236}">
              <a16:creationId xmlns:a16="http://schemas.microsoft.com/office/drawing/2014/main" id="{00000000-0008-0000-0500-000021300000}"/>
            </a:ext>
          </a:extLst>
        </xdr:cNvPr>
        <xdr:cNvSpPr>
          <a:spLocks noChangeShapeType="1"/>
        </xdr:cNvSpPr>
      </xdr:nvSpPr>
      <xdr:spPr bwMode="auto">
        <a:xfrm>
          <a:off x="762000" y="6629400"/>
          <a:ext cx="2286000" cy="7620"/>
        </a:xfrm>
        <a:prstGeom prst="line">
          <a:avLst/>
        </a:prstGeom>
        <a:noFill/>
        <a:ln w="0">
          <a:solidFill>
            <a:srgbClr val="0000FF"/>
          </a:solidFill>
          <a:prstDash val="lgDashDot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556260</xdr:colOff>
      <xdr:row>35</xdr:row>
      <xdr:rowOff>38100</xdr:rowOff>
    </xdr:from>
    <xdr:to>
      <xdr:col>3</xdr:col>
      <xdr:colOff>571500</xdr:colOff>
      <xdr:row>35</xdr:row>
      <xdr:rowOff>114300</xdr:rowOff>
    </xdr:to>
    <xdr:sp macro="" textlink="">
      <xdr:nvSpPr>
        <xdr:cNvPr id="12322" name="Line 34">
          <a:extLst>
            <a:ext uri="{FF2B5EF4-FFF2-40B4-BE49-F238E27FC236}">
              <a16:creationId xmlns:a16="http://schemas.microsoft.com/office/drawing/2014/main" id="{00000000-0008-0000-0500-000022300000}"/>
            </a:ext>
          </a:extLst>
        </xdr:cNvPr>
        <xdr:cNvSpPr>
          <a:spLocks noChangeShapeType="1"/>
        </xdr:cNvSpPr>
      </xdr:nvSpPr>
      <xdr:spPr bwMode="auto">
        <a:xfrm flipV="1">
          <a:off x="2453640" y="6926580"/>
          <a:ext cx="15240" cy="76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556260</xdr:colOff>
      <xdr:row>34</xdr:row>
      <xdr:rowOff>45720</xdr:rowOff>
    </xdr:from>
    <xdr:to>
      <xdr:col>3</xdr:col>
      <xdr:colOff>571500</xdr:colOff>
      <xdr:row>35</xdr:row>
      <xdr:rowOff>45720</xdr:rowOff>
    </xdr:to>
    <xdr:sp macro="" textlink="">
      <xdr:nvSpPr>
        <xdr:cNvPr id="12323" name="Line 35">
          <a:extLst>
            <a:ext uri="{FF2B5EF4-FFF2-40B4-BE49-F238E27FC236}">
              <a16:creationId xmlns:a16="http://schemas.microsoft.com/office/drawing/2014/main" id="{00000000-0008-0000-0500-000023300000}"/>
            </a:ext>
          </a:extLst>
        </xdr:cNvPr>
        <xdr:cNvSpPr>
          <a:spLocks noChangeShapeType="1"/>
        </xdr:cNvSpPr>
      </xdr:nvSpPr>
      <xdr:spPr bwMode="auto">
        <a:xfrm>
          <a:off x="2453640" y="6583680"/>
          <a:ext cx="15240" cy="3505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449580</xdr:colOff>
      <xdr:row>30</xdr:row>
      <xdr:rowOff>53340</xdr:rowOff>
    </xdr:from>
    <xdr:to>
      <xdr:col>4</xdr:col>
      <xdr:colOff>83820</xdr:colOff>
      <xdr:row>33</xdr:row>
      <xdr:rowOff>76200</xdr:rowOff>
    </xdr:to>
    <xdr:sp macro="" textlink="">
      <xdr:nvSpPr>
        <xdr:cNvPr id="12324" name="Line 36">
          <a:extLst>
            <a:ext uri="{FF2B5EF4-FFF2-40B4-BE49-F238E27FC236}">
              <a16:creationId xmlns:a16="http://schemas.microsoft.com/office/drawing/2014/main" id="{00000000-0008-0000-0500-000024300000}"/>
            </a:ext>
          </a:extLst>
        </xdr:cNvPr>
        <xdr:cNvSpPr>
          <a:spLocks noChangeShapeType="1"/>
        </xdr:cNvSpPr>
      </xdr:nvSpPr>
      <xdr:spPr bwMode="auto">
        <a:xfrm flipV="1">
          <a:off x="2346960" y="5676900"/>
          <a:ext cx="259080" cy="7086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556260</xdr:colOff>
      <xdr:row>38</xdr:row>
      <xdr:rowOff>53340</xdr:rowOff>
    </xdr:from>
    <xdr:to>
      <xdr:col>3</xdr:col>
      <xdr:colOff>571500</xdr:colOff>
      <xdr:row>40</xdr:row>
      <xdr:rowOff>68580</xdr:rowOff>
    </xdr:to>
    <xdr:sp macro="" textlink="">
      <xdr:nvSpPr>
        <xdr:cNvPr id="12325" name="Line 37">
          <a:extLst>
            <a:ext uri="{FF2B5EF4-FFF2-40B4-BE49-F238E27FC236}">
              <a16:creationId xmlns:a16="http://schemas.microsoft.com/office/drawing/2014/main" id="{00000000-0008-0000-0500-000025300000}"/>
            </a:ext>
          </a:extLst>
        </xdr:cNvPr>
        <xdr:cNvSpPr>
          <a:spLocks noChangeShapeType="1"/>
        </xdr:cNvSpPr>
      </xdr:nvSpPr>
      <xdr:spPr bwMode="auto">
        <a:xfrm>
          <a:off x="2453640" y="7627620"/>
          <a:ext cx="1524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426720</xdr:colOff>
      <xdr:row>39</xdr:row>
      <xdr:rowOff>91440</xdr:rowOff>
    </xdr:from>
    <xdr:to>
      <xdr:col>1</xdr:col>
      <xdr:colOff>464820</xdr:colOff>
      <xdr:row>39</xdr:row>
      <xdr:rowOff>137160</xdr:rowOff>
    </xdr:to>
    <xdr:sp macro="" textlink="">
      <xdr:nvSpPr>
        <xdr:cNvPr id="12326" name="Line 38">
          <a:extLst>
            <a:ext uri="{FF2B5EF4-FFF2-40B4-BE49-F238E27FC236}">
              <a16:creationId xmlns:a16="http://schemas.microsoft.com/office/drawing/2014/main" id="{00000000-0008-0000-0500-000026300000}"/>
            </a:ext>
          </a:extLst>
        </xdr:cNvPr>
        <xdr:cNvSpPr>
          <a:spLocks noChangeShapeType="1"/>
        </xdr:cNvSpPr>
      </xdr:nvSpPr>
      <xdr:spPr bwMode="auto">
        <a:xfrm flipH="1">
          <a:off x="1074420" y="7917180"/>
          <a:ext cx="38100" cy="45720"/>
        </a:xfrm>
        <a:prstGeom prst="line">
          <a:avLst/>
        </a:prstGeom>
        <a:noFill/>
        <a:ln w="9525">
          <a:solidFill>
            <a:srgbClr val="8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205740</xdr:colOff>
      <xdr:row>30</xdr:row>
      <xdr:rowOff>76200</xdr:rowOff>
    </xdr:from>
    <xdr:to>
      <xdr:col>2</xdr:col>
      <xdr:colOff>213360</xdr:colOff>
      <xdr:row>39</xdr:row>
      <xdr:rowOff>129540</xdr:rowOff>
    </xdr:to>
    <xdr:sp macro="" textlink="">
      <xdr:nvSpPr>
        <xdr:cNvPr id="12327" name="Line 39">
          <a:extLst>
            <a:ext uri="{FF2B5EF4-FFF2-40B4-BE49-F238E27FC236}">
              <a16:creationId xmlns:a16="http://schemas.microsoft.com/office/drawing/2014/main" id="{00000000-0008-0000-0500-000027300000}"/>
            </a:ext>
          </a:extLst>
        </xdr:cNvPr>
        <xdr:cNvSpPr>
          <a:spLocks noChangeShapeType="1"/>
        </xdr:cNvSpPr>
      </xdr:nvSpPr>
      <xdr:spPr bwMode="auto">
        <a:xfrm>
          <a:off x="1478280" y="5699760"/>
          <a:ext cx="7620" cy="22555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525780</xdr:colOff>
      <xdr:row>28</xdr:row>
      <xdr:rowOff>121920</xdr:rowOff>
    </xdr:from>
    <xdr:to>
      <xdr:col>3</xdr:col>
      <xdr:colOff>15240</xdr:colOff>
      <xdr:row>28</xdr:row>
      <xdr:rowOff>129540</xdr:rowOff>
    </xdr:to>
    <xdr:sp macro="" textlink="">
      <xdr:nvSpPr>
        <xdr:cNvPr id="2" name="Line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>
          <a:spLocks noChangeShapeType="1"/>
        </xdr:cNvSpPr>
      </xdr:nvSpPr>
      <xdr:spPr bwMode="auto">
        <a:xfrm>
          <a:off x="998220" y="5113020"/>
          <a:ext cx="9753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525780</xdr:colOff>
      <xdr:row>29</xdr:row>
      <xdr:rowOff>7620</xdr:rowOff>
    </xdr:from>
    <xdr:to>
      <xdr:col>3</xdr:col>
      <xdr:colOff>7620</xdr:colOff>
      <xdr:row>29</xdr:row>
      <xdr:rowOff>15240</xdr:rowOff>
    </xdr:to>
    <xdr:sp macro="" textlink="">
      <xdr:nvSpPr>
        <xdr:cNvPr id="3" name="Line 3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>
          <a:spLocks noChangeShapeType="1"/>
        </xdr:cNvSpPr>
      </xdr:nvSpPr>
      <xdr:spPr bwMode="auto">
        <a:xfrm>
          <a:off x="998220" y="5173980"/>
          <a:ext cx="96774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525780</xdr:colOff>
      <xdr:row>28</xdr:row>
      <xdr:rowOff>121920</xdr:rowOff>
    </xdr:from>
    <xdr:to>
      <xdr:col>1</xdr:col>
      <xdr:colOff>533400</xdr:colOff>
      <xdr:row>29</xdr:row>
      <xdr:rowOff>7620</xdr:rowOff>
    </xdr:to>
    <xdr:sp macro="" textlink="">
      <xdr:nvSpPr>
        <xdr:cNvPr id="4" name="Line 4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>
          <a:spLocks noChangeShapeType="1"/>
        </xdr:cNvSpPr>
      </xdr:nvSpPr>
      <xdr:spPr bwMode="auto">
        <a:xfrm>
          <a:off x="998220" y="5113020"/>
          <a:ext cx="7620" cy="609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15240</xdr:colOff>
      <xdr:row>28</xdr:row>
      <xdr:rowOff>121920</xdr:rowOff>
    </xdr:from>
    <xdr:to>
      <xdr:col>3</xdr:col>
      <xdr:colOff>22860</xdr:colOff>
      <xdr:row>29</xdr:row>
      <xdr:rowOff>7620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>
          <a:spLocks noChangeShapeType="1"/>
        </xdr:cNvSpPr>
      </xdr:nvSpPr>
      <xdr:spPr bwMode="auto">
        <a:xfrm>
          <a:off x="1973580" y="5113020"/>
          <a:ext cx="7620" cy="609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624840</xdr:colOff>
      <xdr:row>29</xdr:row>
      <xdr:rowOff>7620</xdr:rowOff>
    </xdr:from>
    <xdr:to>
      <xdr:col>1</xdr:col>
      <xdr:colOff>632460</xdr:colOff>
      <xdr:row>36</xdr:row>
      <xdr:rowOff>144780</xdr:rowOff>
    </xdr:to>
    <xdr:sp macro="" textlink="">
      <xdr:nvSpPr>
        <xdr:cNvPr id="6" name="Line 6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>
          <a:spLocks noChangeShapeType="1"/>
        </xdr:cNvSpPr>
      </xdr:nvSpPr>
      <xdr:spPr bwMode="auto">
        <a:xfrm>
          <a:off x="1097280" y="5173980"/>
          <a:ext cx="7620" cy="15011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</xdr:colOff>
      <xdr:row>29</xdr:row>
      <xdr:rowOff>7620</xdr:rowOff>
    </xdr:from>
    <xdr:to>
      <xdr:col>2</xdr:col>
      <xdr:colOff>22860</xdr:colOff>
      <xdr:row>36</xdr:row>
      <xdr:rowOff>144780</xdr:rowOff>
    </xdr:to>
    <xdr:sp macro="" textlink="">
      <xdr:nvSpPr>
        <xdr:cNvPr id="7" name="Line 7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>
          <a:spLocks noChangeShapeType="1"/>
        </xdr:cNvSpPr>
      </xdr:nvSpPr>
      <xdr:spPr bwMode="auto">
        <a:xfrm>
          <a:off x="1143000" y="5173980"/>
          <a:ext cx="7620" cy="15011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777240</xdr:colOff>
      <xdr:row>29</xdr:row>
      <xdr:rowOff>7620</xdr:rowOff>
    </xdr:from>
    <xdr:to>
      <xdr:col>2</xdr:col>
      <xdr:colOff>784860</xdr:colOff>
      <xdr:row>36</xdr:row>
      <xdr:rowOff>144780</xdr:rowOff>
    </xdr:to>
    <xdr:sp macro="" textlink="">
      <xdr:nvSpPr>
        <xdr:cNvPr id="8" name="Line 8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>
          <a:spLocks noChangeShapeType="1"/>
        </xdr:cNvSpPr>
      </xdr:nvSpPr>
      <xdr:spPr bwMode="auto">
        <a:xfrm>
          <a:off x="1905000" y="5173980"/>
          <a:ext cx="7620" cy="15011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739140</xdr:colOff>
      <xdr:row>29</xdr:row>
      <xdr:rowOff>7620</xdr:rowOff>
    </xdr:from>
    <xdr:to>
      <xdr:col>2</xdr:col>
      <xdr:colOff>746760</xdr:colOff>
      <xdr:row>36</xdr:row>
      <xdr:rowOff>144780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>
          <a:spLocks noChangeShapeType="1"/>
        </xdr:cNvSpPr>
      </xdr:nvSpPr>
      <xdr:spPr bwMode="auto">
        <a:xfrm>
          <a:off x="1866900" y="5173980"/>
          <a:ext cx="7620" cy="15011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533400</xdr:colOff>
      <xdr:row>36</xdr:row>
      <xdr:rowOff>144780</xdr:rowOff>
    </xdr:from>
    <xdr:to>
      <xdr:col>3</xdr:col>
      <xdr:colOff>7620</xdr:colOff>
      <xdr:row>36</xdr:row>
      <xdr:rowOff>160020</xdr:rowOff>
    </xdr:to>
    <xdr:sp macro="" textlink="">
      <xdr:nvSpPr>
        <xdr:cNvPr id="10" name="Line 10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>
          <a:spLocks noChangeShapeType="1"/>
        </xdr:cNvSpPr>
      </xdr:nvSpPr>
      <xdr:spPr bwMode="auto">
        <a:xfrm>
          <a:off x="1005840" y="6675120"/>
          <a:ext cx="96012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533400</xdr:colOff>
      <xdr:row>37</xdr:row>
      <xdr:rowOff>0</xdr:rowOff>
    </xdr:from>
    <xdr:to>
      <xdr:col>3</xdr:col>
      <xdr:colOff>7620</xdr:colOff>
      <xdr:row>37</xdr:row>
      <xdr:rowOff>7620</xdr:rowOff>
    </xdr:to>
    <xdr:sp macro="" textlink="">
      <xdr:nvSpPr>
        <xdr:cNvPr id="11" name="Line 11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>
          <a:spLocks noChangeShapeType="1"/>
        </xdr:cNvSpPr>
      </xdr:nvSpPr>
      <xdr:spPr bwMode="auto">
        <a:xfrm>
          <a:off x="1005840" y="6736080"/>
          <a:ext cx="9601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548640</xdr:colOff>
      <xdr:row>36</xdr:row>
      <xdr:rowOff>144780</xdr:rowOff>
    </xdr:from>
    <xdr:to>
      <xdr:col>1</xdr:col>
      <xdr:colOff>556260</xdr:colOff>
      <xdr:row>37</xdr:row>
      <xdr:rowOff>0</xdr:rowOff>
    </xdr:to>
    <xdr:sp macro="" textlink="">
      <xdr:nvSpPr>
        <xdr:cNvPr id="12" name="Line 12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>
          <a:spLocks noChangeShapeType="1"/>
        </xdr:cNvSpPr>
      </xdr:nvSpPr>
      <xdr:spPr bwMode="auto">
        <a:xfrm>
          <a:off x="1021080" y="6675120"/>
          <a:ext cx="7620" cy="609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7620</xdr:colOff>
      <xdr:row>36</xdr:row>
      <xdr:rowOff>144780</xdr:rowOff>
    </xdr:from>
    <xdr:to>
      <xdr:col>3</xdr:col>
      <xdr:colOff>15240</xdr:colOff>
      <xdr:row>37</xdr:row>
      <xdr:rowOff>0</xdr:rowOff>
    </xdr:to>
    <xdr:sp macro="" textlink="">
      <xdr:nvSpPr>
        <xdr:cNvPr id="13" name="Line 13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>
          <a:spLocks noChangeShapeType="1"/>
        </xdr:cNvSpPr>
      </xdr:nvSpPr>
      <xdr:spPr bwMode="auto">
        <a:xfrm>
          <a:off x="1965960" y="6675120"/>
          <a:ext cx="7620" cy="609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167640</xdr:colOff>
      <xdr:row>28</xdr:row>
      <xdr:rowOff>121920</xdr:rowOff>
    </xdr:from>
    <xdr:to>
      <xdr:col>1</xdr:col>
      <xdr:colOff>426720</xdr:colOff>
      <xdr:row>28</xdr:row>
      <xdr:rowOff>129540</xdr:rowOff>
    </xdr:to>
    <xdr:sp macro="" textlink="">
      <xdr:nvSpPr>
        <xdr:cNvPr id="14" name="Line 14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>
          <a:spLocks noChangeShapeType="1"/>
        </xdr:cNvSpPr>
      </xdr:nvSpPr>
      <xdr:spPr bwMode="auto">
        <a:xfrm>
          <a:off x="640080" y="5113020"/>
          <a:ext cx="2590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167640</xdr:colOff>
      <xdr:row>29</xdr:row>
      <xdr:rowOff>7620</xdr:rowOff>
    </xdr:from>
    <xdr:to>
      <xdr:col>1</xdr:col>
      <xdr:colOff>411480</xdr:colOff>
      <xdr:row>29</xdr:row>
      <xdr:rowOff>15240</xdr:rowOff>
    </xdr:to>
    <xdr:sp macro="" textlink="">
      <xdr:nvSpPr>
        <xdr:cNvPr id="15" name="Line 15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>
          <a:spLocks noChangeShapeType="1"/>
        </xdr:cNvSpPr>
      </xdr:nvSpPr>
      <xdr:spPr bwMode="auto">
        <a:xfrm flipH="1">
          <a:off x="640080" y="5173980"/>
          <a:ext cx="24384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274320</xdr:colOff>
      <xdr:row>29</xdr:row>
      <xdr:rowOff>7620</xdr:rowOff>
    </xdr:from>
    <xdr:to>
      <xdr:col>1</xdr:col>
      <xdr:colOff>281940</xdr:colOff>
      <xdr:row>31</xdr:row>
      <xdr:rowOff>114300</xdr:rowOff>
    </xdr:to>
    <xdr:sp macro="" textlink="">
      <xdr:nvSpPr>
        <xdr:cNvPr id="16" name="Line 16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>
          <a:spLocks noChangeShapeType="1"/>
        </xdr:cNvSpPr>
      </xdr:nvSpPr>
      <xdr:spPr bwMode="auto">
        <a:xfrm flipV="1">
          <a:off x="746760" y="5173980"/>
          <a:ext cx="762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274320</xdr:colOff>
      <xdr:row>27</xdr:row>
      <xdr:rowOff>91440</xdr:rowOff>
    </xdr:from>
    <xdr:to>
      <xdr:col>1</xdr:col>
      <xdr:colOff>281940</xdr:colOff>
      <xdr:row>28</xdr:row>
      <xdr:rowOff>121920</xdr:rowOff>
    </xdr:to>
    <xdr:sp macro="" textlink="">
      <xdr:nvSpPr>
        <xdr:cNvPr id="17" name="Line 17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>
          <a:spLocks noChangeShapeType="1"/>
        </xdr:cNvSpPr>
      </xdr:nvSpPr>
      <xdr:spPr bwMode="auto">
        <a:xfrm>
          <a:off x="746760" y="4907280"/>
          <a:ext cx="7620" cy="2057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533400</xdr:colOff>
      <xdr:row>27</xdr:row>
      <xdr:rowOff>129540</xdr:rowOff>
    </xdr:from>
    <xdr:to>
      <xdr:col>1</xdr:col>
      <xdr:colOff>548640</xdr:colOff>
      <xdr:row>28</xdr:row>
      <xdr:rowOff>106680</xdr:rowOff>
    </xdr:to>
    <xdr:sp macro="" textlink="">
      <xdr:nvSpPr>
        <xdr:cNvPr id="18" name="Line 18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>
          <a:spLocks noChangeShapeType="1"/>
        </xdr:cNvSpPr>
      </xdr:nvSpPr>
      <xdr:spPr bwMode="auto">
        <a:xfrm flipV="1">
          <a:off x="1005840" y="4945380"/>
          <a:ext cx="15240" cy="15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15240</xdr:colOff>
      <xdr:row>27</xdr:row>
      <xdr:rowOff>99060</xdr:rowOff>
    </xdr:from>
    <xdr:to>
      <xdr:col>3</xdr:col>
      <xdr:colOff>22860</xdr:colOff>
      <xdr:row>28</xdr:row>
      <xdr:rowOff>76200</xdr:rowOff>
    </xdr:to>
    <xdr:sp macro="" textlink="">
      <xdr:nvSpPr>
        <xdr:cNvPr id="19" name="Line 19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>
          <a:spLocks noChangeShapeType="1"/>
        </xdr:cNvSpPr>
      </xdr:nvSpPr>
      <xdr:spPr bwMode="auto">
        <a:xfrm flipV="1">
          <a:off x="1973580" y="4914900"/>
          <a:ext cx="7620" cy="15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784860</xdr:colOff>
      <xdr:row>31</xdr:row>
      <xdr:rowOff>152400</xdr:rowOff>
    </xdr:from>
    <xdr:to>
      <xdr:col>3</xdr:col>
      <xdr:colOff>99060</xdr:colOff>
      <xdr:row>31</xdr:row>
      <xdr:rowOff>160020</xdr:rowOff>
    </xdr:to>
    <xdr:sp macro="" textlink="">
      <xdr:nvSpPr>
        <xdr:cNvPr id="20" name="Line 22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>
          <a:spLocks noChangeShapeType="1"/>
        </xdr:cNvSpPr>
      </xdr:nvSpPr>
      <xdr:spPr bwMode="auto">
        <a:xfrm flipH="1">
          <a:off x="1912620" y="5669280"/>
          <a:ext cx="1447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</xdr:colOff>
      <xdr:row>31</xdr:row>
      <xdr:rowOff>152400</xdr:rowOff>
    </xdr:from>
    <xdr:to>
      <xdr:col>2</xdr:col>
      <xdr:colOff>281940</xdr:colOff>
      <xdr:row>31</xdr:row>
      <xdr:rowOff>160020</xdr:rowOff>
    </xdr:to>
    <xdr:sp macro="" textlink="">
      <xdr:nvSpPr>
        <xdr:cNvPr id="21" name="Line 24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>
          <a:spLocks noChangeShapeType="1"/>
        </xdr:cNvSpPr>
      </xdr:nvSpPr>
      <xdr:spPr bwMode="auto">
        <a:xfrm flipH="1">
          <a:off x="1143000" y="5669280"/>
          <a:ext cx="2667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426720</xdr:colOff>
      <xdr:row>31</xdr:row>
      <xdr:rowOff>152400</xdr:rowOff>
    </xdr:from>
    <xdr:to>
      <xdr:col>1</xdr:col>
      <xdr:colOff>586740</xdr:colOff>
      <xdr:row>31</xdr:row>
      <xdr:rowOff>160020</xdr:rowOff>
    </xdr:to>
    <xdr:sp macro="" textlink="">
      <xdr:nvSpPr>
        <xdr:cNvPr id="22" name="Line 25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>
          <a:spLocks noChangeShapeType="1"/>
        </xdr:cNvSpPr>
      </xdr:nvSpPr>
      <xdr:spPr bwMode="auto">
        <a:xfrm>
          <a:off x="899160" y="5669280"/>
          <a:ext cx="1600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167640</xdr:colOff>
      <xdr:row>36</xdr:row>
      <xdr:rowOff>144780</xdr:rowOff>
    </xdr:from>
    <xdr:to>
      <xdr:col>1</xdr:col>
      <xdr:colOff>396240</xdr:colOff>
      <xdr:row>36</xdr:row>
      <xdr:rowOff>160020</xdr:rowOff>
    </xdr:to>
    <xdr:sp macro="" textlink="">
      <xdr:nvSpPr>
        <xdr:cNvPr id="23" name="Line 26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>
          <a:spLocks noChangeShapeType="1"/>
        </xdr:cNvSpPr>
      </xdr:nvSpPr>
      <xdr:spPr bwMode="auto">
        <a:xfrm flipH="1">
          <a:off x="640080" y="6675120"/>
          <a:ext cx="22860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182880</xdr:colOff>
      <xdr:row>37</xdr:row>
      <xdr:rowOff>0</xdr:rowOff>
    </xdr:from>
    <xdr:to>
      <xdr:col>1</xdr:col>
      <xdr:colOff>396240</xdr:colOff>
      <xdr:row>37</xdr:row>
      <xdr:rowOff>7620</xdr:rowOff>
    </xdr:to>
    <xdr:sp macro="" textlink="">
      <xdr:nvSpPr>
        <xdr:cNvPr id="24" name="Line 27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>
          <a:spLocks noChangeShapeType="1"/>
        </xdr:cNvSpPr>
      </xdr:nvSpPr>
      <xdr:spPr bwMode="auto">
        <a:xfrm flipH="1">
          <a:off x="655320" y="6736080"/>
          <a:ext cx="2133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274320</xdr:colOff>
      <xdr:row>33</xdr:row>
      <xdr:rowOff>45720</xdr:rowOff>
    </xdr:from>
    <xdr:to>
      <xdr:col>1</xdr:col>
      <xdr:colOff>281940</xdr:colOff>
      <xdr:row>36</xdr:row>
      <xdr:rowOff>144780</xdr:rowOff>
    </xdr:to>
    <xdr:sp macro="" textlink="">
      <xdr:nvSpPr>
        <xdr:cNvPr id="25" name="Line 28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>
          <a:spLocks noChangeShapeType="1"/>
        </xdr:cNvSpPr>
      </xdr:nvSpPr>
      <xdr:spPr bwMode="auto">
        <a:xfrm>
          <a:off x="746760" y="6065520"/>
          <a:ext cx="7620" cy="609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274320</xdr:colOff>
      <xdr:row>37</xdr:row>
      <xdr:rowOff>7620</xdr:rowOff>
    </xdr:from>
    <xdr:to>
      <xdr:col>1</xdr:col>
      <xdr:colOff>281940</xdr:colOff>
      <xdr:row>38</xdr:row>
      <xdr:rowOff>60960</xdr:rowOff>
    </xdr:to>
    <xdr:sp macro="" textlink="">
      <xdr:nvSpPr>
        <xdr:cNvPr id="26" name="Line 29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>
          <a:spLocks noChangeShapeType="1"/>
        </xdr:cNvSpPr>
      </xdr:nvSpPr>
      <xdr:spPr bwMode="auto">
        <a:xfrm flipV="1">
          <a:off x="746760" y="6743700"/>
          <a:ext cx="762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236220</xdr:colOff>
      <xdr:row>28</xdr:row>
      <xdr:rowOff>144780</xdr:rowOff>
    </xdr:from>
    <xdr:to>
      <xdr:col>3</xdr:col>
      <xdr:colOff>243840</xdr:colOff>
      <xdr:row>31</xdr:row>
      <xdr:rowOff>83820</xdr:rowOff>
    </xdr:to>
    <xdr:sp macro="" textlink="">
      <xdr:nvSpPr>
        <xdr:cNvPr id="27" name="Line 32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>
          <a:spLocks noChangeShapeType="1"/>
        </xdr:cNvSpPr>
      </xdr:nvSpPr>
      <xdr:spPr bwMode="auto">
        <a:xfrm flipV="1">
          <a:off x="2194560" y="5135880"/>
          <a:ext cx="7620" cy="4648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236220</xdr:colOff>
      <xdr:row>32</xdr:row>
      <xdr:rowOff>160020</xdr:rowOff>
    </xdr:from>
    <xdr:to>
      <xdr:col>3</xdr:col>
      <xdr:colOff>243840</xdr:colOff>
      <xdr:row>37</xdr:row>
      <xdr:rowOff>0</xdr:rowOff>
    </xdr:to>
    <xdr:sp macro="" textlink="">
      <xdr:nvSpPr>
        <xdr:cNvPr id="28" name="Line 33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>
          <a:spLocks noChangeShapeType="1"/>
        </xdr:cNvSpPr>
      </xdr:nvSpPr>
      <xdr:spPr bwMode="auto">
        <a:xfrm>
          <a:off x="2194560" y="6004560"/>
          <a:ext cx="7620" cy="7315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144780</xdr:colOff>
      <xdr:row>32</xdr:row>
      <xdr:rowOff>144780</xdr:rowOff>
    </xdr:from>
    <xdr:to>
      <xdr:col>4</xdr:col>
      <xdr:colOff>640080</xdr:colOff>
      <xdr:row>32</xdr:row>
      <xdr:rowOff>160020</xdr:rowOff>
    </xdr:to>
    <xdr:sp macro="" textlink="">
      <xdr:nvSpPr>
        <xdr:cNvPr id="29" name="Line 34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>
          <a:spLocks noChangeShapeType="1"/>
        </xdr:cNvSpPr>
      </xdr:nvSpPr>
      <xdr:spPr bwMode="auto">
        <a:xfrm>
          <a:off x="617220" y="5989320"/>
          <a:ext cx="2689860" cy="15240"/>
        </a:xfrm>
        <a:prstGeom prst="line">
          <a:avLst/>
        </a:prstGeom>
        <a:noFill/>
        <a:ln w="0">
          <a:solidFill>
            <a:srgbClr val="0000FF"/>
          </a:solidFill>
          <a:prstDash val="lgDashDot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83820</xdr:colOff>
      <xdr:row>32</xdr:row>
      <xdr:rowOff>144780</xdr:rowOff>
    </xdr:from>
    <xdr:to>
      <xdr:col>4</xdr:col>
      <xdr:colOff>91440</xdr:colOff>
      <xdr:row>33</xdr:row>
      <xdr:rowOff>121920</xdr:rowOff>
    </xdr:to>
    <xdr:sp macro="" textlink="">
      <xdr:nvSpPr>
        <xdr:cNvPr id="30" name="Line 35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>
          <a:spLocks noChangeShapeType="1"/>
        </xdr:cNvSpPr>
      </xdr:nvSpPr>
      <xdr:spPr bwMode="auto">
        <a:xfrm flipV="1">
          <a:off x="2750820" y="5989320"/>
          <a:ext cx="7620" cy="15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83820</xdr:colOff>
      <xdr:row>31</xdr:row>
      <xdr:rowOff>167640</xdr:rowOff>
    </xdr:from>
    <xdr:to>
      <xdr:col>4</xdr:col>
      <xdr:colOff>91440</xdr:colOff>
      <xdr:row>32</xdr:row>
      <xdr:rowOff>167640</xdr:rowOff>
    </xdr:to>
    <xdr:sp macro="" textlink="">
      <xdr:nvSpPr>
        <xdr:cNvPr id="31" name="Line 36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>
          <a:spLocks noChangeShapeType="1"/>
        </xdr:cNvSpPr>
      </xdr:nvSpPr>
      <xdr:spPr bwMode="auto">
        <a:xfrm>
          <a:off x="2750820" y="5684520"/>
          <a:ext cx="7620" cy="3276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76200</xdr:colOff>
      <xdr:row>28</xdr:row>
      <xdr:rowOff>114300</xdr:rowOff>
    </xdr:from>
    <xdr:to>
      <xdr:col>4</xdr:col>
      <xdr:colOff>83820</xdr:colOff>
      <xdr:row>30</xdr:row>
      <xdr:rowOff>129540</xdr:rowOff>
    </xdr:to>
    <xdr:sp macro="" textlink="">
      <xdr:nvSpPr>
        <xdr:cNvPr id="32" name="Line 37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>
          <a:spLocks noChangeShapeType="1"/>
        </xdr:cNvSpPr>
      </xdr:nvSpPr>
      <xdr:spPr bwMode="auto">
        <a:xfrm flipV="1">
          <a:off x="2743200" y="5105400"/>
          <a:ext cx="7620" cy="3657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83820</xdr:colOff>
      <xdr:row>35</xdr:row>
      <xdr:rowOff>30480</xdr:rowOff>
    </xdr:from>
    <xdr:to>
      <xdr:col>4</xdr:col>
      <xdr:colOff>91440</xdr:colOff>
      <xdr:row>36</xdr:row>
      <xdr:rowOff>190500</xdr:rowOff>
    </xdr:to>
    <xdr:sp macro="" textlink="">
      <xdr:nvSpPr>
        <xdr:cNvPr id="33" name="Line 38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>
          <a:spLocks noChangeShapeType="1"/>
        </xdr:cNvSpPr>
      </xdr:nvSpPr>
      <xdr:spPr bwMode="auto">
        <a:xfrm>
          <a:off x="2750820" y="6393180"/>
          <a:ext cx="7620" cy="3276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579120</xdr:colOff>
      <xdr:row>36</xdr:row>
      <xdr:rowOff>106680</xdr:rowOff>
    </xdr:from>
    <xdr:to>
      <xdr:col>1</xdr:col>
      <xdr:colOff>624840</xdr:colOff>
      <xdr:row>36</xdr:row>
      <xdr:rowOff>144780</xdr:rowOff>
    </xdr:to>
    <xdr:sp macro="" textlink="">
      <xdr:nvSpPr>
        <xdr:cNvPr id="34" name="Line 40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>
          <a:spLocks noChangeShapeType="1"/>
        </xdr:cNvSpPr>
      </xdr:nvSpPr>
      <xdr:spPr bwMode="auto">
        <a:xfrm flipH="1">
          <a:off x="1051560" y="6637020"/>
          <a:ext cx="45720" cy="38100"/>
        </a:xfrm>
        <a:prstGeom prst="line">
          <a:avLst/>
        </a:prstGeom>
        <a:noFill/>
        <a:ln w="9525">
          <a:solidFill>
            <a:srgbClr val="8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381000</xdr:colOff>
      <xdr:row>31</xdr:row>
      <xdr:rowOff>137160</xdr:rowOff>
    </xdr:from>
    <xdr:to>
      <xdr:col>2</xdr:col>
      <xdr:colOff>746760</xdr:colOff>
      <xdr:row>31</xdr:row>
      <xdr:rowOff>152400</xdr:rowOff>
    </xdr:to>
    <xdr:sp macro="" textlink="">
      <xdr:nvSpPr>
        <xdr:cNvPr id="35" name="Line 21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>
          <a:spLocks noChangeShapeType="1"/>
        </xdr:cNvSpPr>
      </xdr:nvSpPr>
      <xdr:spPr bwMode="auto">
        <a:xfrm>
          <a:off x="1508760" y="5654040"/>
          <a:ext cx="36576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7620</xdr:colOff>
      <xdr:row>36</xdr:row>
      <xdr:rowOff>182880</xdr:rowOff>
    </xdr:from>
    <xdr:to>
      <xdr:col>3</xdr:col>
      <xdr:colOff>15240</xdr:colOff>
      <xdr:row>37</xdr:row>
      <xdr:rowOff>160020</xdr:rowOff>
    </xdr:to>
    <xdr:sp macro="" textlink="">
      <xdr:nvSpPr>
        <xdr:cNvPr id="36" name="Line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>
          <a:spLocks noChangeShapeType="1"/>
        </xdr:cNvSpPr>
      </xdr:nvSpPr>
      <xdr:spPr bwMode="auto">
        <a:xfrm flipV="1">
          <a:off x="1965960" y="6713220"/>
          <a:ext cx="7620" cy="1828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548640</xdr:colOff>
      <xdr:row>36</xdr:row>
      <xdr:rowOff>182880</xdr:rowOff>
    </xdr:from>
    <xdr:to>
      <xdr:col>1</xdr:col>
      <xdr:colOff>556260</xdr:colOff>
      <xdr:row>37</xdr:row>
      <xdr:rowOff>160020</xdr:rowOff>
    </xdr:to>
    <xdr:sp macro="" textlink="">
      <xdr:nvSpPr>
        <xdr:cNvPr id="37" name="Line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>
          <a:spLocks noChangeShapeType="1"/>
        </xdr:cNvSpPr>
      </xdr:nvSpPr>
      <xdr:spPr bwMode="auto">
        <a:xfrm flipV="1">
          <a:off x="1021080" y="6713220"/>
          <a:ext cx="7620" cy="1828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518160</xdr:colOff>
      <xdr:row>28</xdr:row>
      <xdr:rowOff>38100</xdr:rowOff>
    </xdr:from>
    <xdr:to>
      <xdr:col>2</xdr:col>
      <xdr:colOff>205740</xdr:colOff>
      <xdr:row>28</xdr:row>
      <xdr:rowOff>45720</xdr:rowOff>
    </xdr:to>
    <xdr:cxnSp macro="">
      <xdr:nvCxnSpPr>
        <xdr:cNvPr id="38" name="Straight Arrow Connector 46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cxnSpLocks noChangeShapeType="1"/>
        </xdr:cNvCxnSpPr>
      </xdr:nvCxnSpPr>
      <xdr:spPr bwMode="auto">
        <a:xfrm rot="10800000">
          <a:off x="990600" y="5029200"/>
          <a:ext cx="342900" cy="7620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</xdr:col>
      <xdr:colOff>525780</xdr:colOff>
      <xdr:row>37</xdr:row>
      <xdr:rowOff>91440</xdr:rowOff>
    </xdr:from>
    <xdr:to>
      <xdr:col>2</xdr:col>
      <xdr:colOff>220980</xdr:colOff>
      <xdr:row>37</xdr:row>
      <xdr:rowOff>99060</xdr:rowOff>
    </xdr:to>
    <xdr:cxnSp macro="">
      <xdr:nvCxnSpPr>
        <xdr:cNvPr id="39" name="Straight Arrow Connector 49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CxnSpPr>
          <a:cxnSpLocks noChangeShapeType="1"/>
        </xdr:cNvCxnSpPr>
      </xdr:nvCxnSpPr>
      <xdr:spPr bwMode="auto">
        <a:xfrm rot="10800000">
          <a:off x="998220" y="6827520"/>
          <a:ext cx="350520" cy="7620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</xdr:col>
      <xdr:colOff>541020</xdr:colOff>
      <xdr:row>28</xdr:row>
      <xdr:rowOff>30480</xdr:rowOff>
    </xdr:from>
    <xdr:to>
      <xdr:col>3</xdr:col>
      <xdr:colOff>15240</xdr:colOff>
      <xdr:row>28</xdr:row>
      <xdr:rowOff>38100</xdr:rowOff>
    </xdr:to>
    <xdr:cxnSp macro="">
      <xdr:nvCxnSpPr>
        <xdr:cNvPr id="40" name="Straight Arrow Connector 50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CxnSpPr>
          <a:cxnSpLocks noChangeShapeType="1"/>
        </xdr:cNvCxnSpPr>
      </xdr:nvCxnSpPr>
      <xdr:spPr bwMode="auto">
        <a:xfrm>
          <a:off x="1668780" y="5021580"/>
          <a:ext cx="304800" cy="7620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</xdr:col>
      <xdr:colOff>541020</xdr:colOff>
      <xdr:row>37</xdr:row>
      <xdr:rowOff>83820</xdr:rowOff>
    </xdr:from>
    <xdr:to>
      <xdr:col>3</xdr:col>
      <xdr:colOff>15240</xdr:colOff>
      <xdr:row>37</xdr:row>
      <xdr:rowOff>91440</xdr:rowOff>
    </xdr:to>
    <xdr:cxnSp macro="">
      <xdr:nvCxnSpPr>
        <xdr:cNvPr id="41" name="Straight Arrow Connector 54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cxnSpLocks noChangeShapeType="1"/>
        </xdr:cNvCxnSpPr>
      </xdr:nvCxnSpPr>
      <xdr:spPr bwMode="auto">
        <a:xfrm>
          <a:off x="1668780" y="6819900"/>
          <a:ext cx="304800" cy="7620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22860</xdr:colOff>
      <xdr:row>28</xdr:row>
      <xdr:rowOff>121920</xdr:rowOff>
    </xdr:from>
    <xdr:to>
      <xdr:col>4</xdr:col>
      <xdr:colOff>114300</xdr:colOff>
      <xdr:row>28</xdr:row>
      <xdr:rowOff>129540</xdr:rowOff>
    </xdr:to>
    <xdr:sp macro="" textlink="">
      <xdr:nvSpPr>
        <xdr:cNvPr id="42" name="Straight Connector 45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>
          <a:spLocks noChangeShapeType="1"/>
        </xdr:cNvSpPr>
      </xdr:nvSpPr>
      <xdr:spPr bwMode="auto">
        <a:xfrm>
          <a:off x="1981200" y="5113020"/>
          <a:ext cx="8001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7620</xdr:colOff>
      <xdr:row>37</xdr:row>
      <xdr:rowOff>0</xdr:rowOff>
    </xdr:from>
    <xdr:to>
      <xdr:col>4</xdr:col>
      <xdr:colOff>91440</xdr:colOff>
      <xdr:row>37</xdr:row>
      <xdr:rowOff>7620</xdr:rowOff>
    </xdr:to>
    <xdr:sp macro="" textlink="">
      <xdr:nvSpPr>
        <xdr:cNvPr id="43" name="Straight Connector 48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>
          <a:spLocks noChangeShapeType="1"/>
        </xdr:cNvSpPr>
      </xdr:nvSpPr>
      <xdr:spPr bwMode="auto">
        <a:xfrm>
          <a:off x="1965960" y="6736080"/>
          <a:ext cx="7924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205740</xdr:colOff>
      <xdr:row>0</xdr:row>
      <xdr:rowOff>68580</xdr:rowOff>
    </xdr:from>
    <xdr:to>
      <xdr:col>20</xdr:col>
      <xdr:colOff>167640</xdr:colOff>
      <xdr:row>8</xdr:row>
      <xdr:rowOff>53340</xdr:rowOff>
    </xdr:to>
    <xdr:pic>
      <xdr:nvPicPr>
        <xdr:cNvPr id="44" name="Picture 1426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68580"/>
          <a:ext cx="183642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632460</xdr:colOff>
      <xdr:row>27</xdr:row>
      <xdr:rowOff>167640</xdr:rowOff>
    </xdr:from>
    <xdr:to>
      <xdr:col>3</xdr:col>
      <xdr:colOff>152400</xdr:colOff>
      <xdr:row>30</xdr:row>
      <xdr:rowOff>7620</xdr:rowOff>
    </xdr:to>
    <xdr:sp macro="" textlink="">
      <xdr:nvSpPr>
        <xdr:cNvPr id="45" name="Oval 47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>
          <a:spLocks noChangeArrowheads="1"/>
        </xdr:cNvSpPr>
      </xdr:nvSpPr>
      <xdr:spPr bwMode="auto">
        <a:xfrm>
          <a:off x="1760220" y="4983480"/>
          <a:ext cx="350520" cy="365760"/>
        </a:xfrm>
        <a:prstGeom prst="ellips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99060</xdr:colOff>
      <xdr:row>26</xdr:row>
      <xdr:rowOff>45720</xdr:rowOff>
    </xdr:from>
    <xdr:to>
      <xdr:col>3</xdr:col>
      <xdr:colOff>441960</xdr:colOff>
      <xdr:row>28</xdr:row>
      <xdr:rowOff>7620</xdr:rowOff>
    </xdr:to>
    <xdr:sp macro="" textlink="">
      <xdr:nvSpPr>
        <xdr:cNvPr id="46" name="Straight Connector 51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SpPr>
          <a:spLocks noChangeShapeType="1"/>
        </xdr:cNvSpPr>
      </xdr:nvSpPr>
      <xdr:spPr bwMode="auto">
        <a:xfrm flipV="1">
          <a:off x="2057400" y="4693920"/>
          <a:ext cx="342900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523875</xdr:colOff>
          <xdr:row>22</xdr:row>
          <xdr:rowOff>142875</xdr:rowOff>
        </xdr:from>
        <xdr:to>
          <xdr:col>4</xdr:col>
          <xdr:colOff>219075</xdr:colOff>
          <xdr:row>26</xdr:row>
          <xdr:rowOff>104775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id="{00000000-0008-0000-0600-00000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33130</xdr:colOff>
      <xdr:row>31</xdr:row>
      <xdr:rowOff>16565</xdr:rowOff>
    </xdr:from>
    <xdr:to>
      <xdr:col>6</xdr:col>
      <xdr:colOff>175778</xdr:colOff>
      <xdr:row>31</xdr:row>
      <xdr:rowOff>114196</xdr:rowOff>
    </xdr:to>
    <xdr:sp macro="" textlink="">
      <xdr:nvSpPr>
        <xdr:cNvPr id="17" name="Bevel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7818782" y="6932543"/>
          <a:ext cx="142648" cy="97631"/>
        </a:xfrm>
        <a:prstGeom prst="bevel">
          <a:avLst/>
        </a:prstGeom>
        <a:solidFill>
          <a:srgbClr val="00B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218458</xdr:colOff>
      <xdr:row>31</xdr:row>
      <xdr:rowOff>136820</xdr:rowOff>
    </xdr:from>
    <xdr:to>
      <xdr:col>6</xdr:col>
      <xdr:colOff>356754</xdr:colOff>
      <xdr:row>31</xdr:row>
      <xdr:rowOff>240648</xdr:rowOff>
    </xdr:to>
    <xdr:sp macro="" textlink="">
      <xdr:nvSpPr>
        <xdr:cNvPr id="18" name="Bevel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>
        <a:xfrm>
          <a:off x="8004110" y="7052798"/>
          <a:ext cx="138296" cy="103828"/>
        </a:xfrm>
        <a:prstGeom prst="bevel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41167</xdr:colOff>
      <xdr:row>31</xdr:row>
      <xdr:rowOff>145706</xdr:rowOff>
    </xdr:from>
    <xdr:to>
      <xdr:col>6</xdr:col>
      <xdr:colOff>183815</xdr:colOff>
      <xdr:row>31</xdr:row>
      <xdr:rowOff>247352</xdr:rowOff>
    </xdr:to>
    <xdr:sp macro="" textlink="">
      <xdr:nvSpPr>
        <xdr:cNvPr id="19" name="Bevel 1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>
        <a:xfrm>
          <a:off x="7826819" y="7061684"/>
          <a:ext cx="142648" cy="101646"/>
        </a:xfrm>
        <a:prstGeom prst="bevel">
          <a:avLst/>
        </a:prstGeom>
        <a:solidFill>
          <a:srgbClr val="0000FF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218457</xdr:colOff>
      <xdr:row>31</xdr:row>
      <xdr:rowOff>18946</xdr:rowOff>
    </xdr:from>
    <xdr:to>
      <xdr:col>6</xdr:col>
      <xdr:colOff>356753</xdr:colOff>
      <xdr:row>31</xdr:row>
      <xdr:rowOff>116577</xdr:rowOff>
    </xdr:to>
    <xdr:sp macro="" textlink="">
      <xdr:nvSpPr>
        <xdr:cNvPr id="20" name="Bevel 1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8004109" y="6934924"/>
          <a:ext cx="138296" cy="97631"/>
        </a:xfrm>
        <a:prstGeom prst="bevel">
          <a:avLst/>
        </a:prstGeom>
        <a:solidFill>
          <a:srgbClr val="92D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401813</xdr:colOff>
      <xdr:row>31</xdr:row>
      <xdr:rowOff>18946</xdr:rowOff>
    </xdr:from>
    <xdr:to>
      <xdr:col>6</xdr:col>
      <xdr:colOff>542490</xdr:colOff>
      <xdr:row>31</xdr:row>
      <xdr:rowOff>116577</xdr:rowOff>
    </xdr:to>
    <xdr:sp macro="" textlink="">
      <xdr:nvSpPr>
        <xdr:cNvPr id="21" name="Bevel 2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>
        <a:xfrm>
          <a:off x="8187465" y="6934924"/>
          <a:ext cx="140677" cy="97631"/>
        </a:xfrm>
        <a:prstGeom prst="bevel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399432</xdr:colOff>
      <xdr:row>31</xdr:row>
      <xdr:rowOff>136818</xdr:rowOff>
    </xdr:from>
    <xdr:to>
      <xdr:col>6</xdr:col>
      <xdr:colOff>540109</xdr:colOff>
      <xdr:row>31</xdr:row>
      <xdr:rowOff>240646</xdr:rowOff>
    </xdr:to>
    <xdr:sp macro="" textlink="">
      <xdr:nvSpPr>
        <xdr:cNvPr id="22" name="Bevel 2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8185084" y="7052796"/>
          <a:ext cx="140677" cy="103828"/>
        </a:xfrm>
        <a:prstGeom prst="bevel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592413</xdr:colOff>
      <xdr:row>31</xdr:row>
      <xdr:rowOff>139300</xdr:rowOff>
    </xdr:from>
    <xdr:to>
      <xdr:col>7</xdr:col>
      <xdr:colOff>117796</xdr:colOff>
      <xdr:row>31</xdr:row>
      <xdr:rowOff>243785</xdr:rowOff>
    </xdr:to>
    <xdr:sp macro="" textlink="">
      <xdr:nvSpPr>
        <xdr:cNvPr id="23" name="Bevel 2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8378065" y="7055278"/>
          <a:ext cx="138296" cy="104485"/>
        </a:xfrm>
        <a:prstGeom prst="bevel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592412</xdr:colOff>
      <xdr:row>31</xdr:row>
      <xdr:rowOff>21820</xdr:rowOff>
    </xdr:from>
    <xdr:to>
      <xdr:col>7</xdr:col>
      <xdr:colOff>117795</xdr:colOff>
      <xdr:row>31</xdr:row>
      <xdr:rowOff>119057</xdr:rowOff>
    </xdr:to>
    <xdr:sp macro="" textlink="">
      <xdr:nvSpPr>
        <xdr:cNvPr id="24" name="Bevel 2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8378064" y="6937798"/>
          <a:ext cx="138296" cy="97237"/>
        </a:xfrm>
        <a:prstGeom prst="bevel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159824</xdr:colOff>
      <xdr:row>31</xdr:row>
      <xdr:rowOff>21820</xdr:rowOff>
    </xdr:from>
    <xdr:to>
      <xdr:col>7</xdr:col>
      <xdr:colOff>300501</xdr:colOff>
      <xdr:row>31</xdr:row>
      <xdr:rowOff>119057</xdr:rowOff>
    </xdr:to>
    <xdr:sp macro="" textlink="">
      <xdr:nvSpPr>
        <xdr:cNvPr id="25" name="Bevel 2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8558389" y="6937798"/>
          <a:ext cx="140677" cy="97237"/>
        </a:xfrm>
        <a:prstGeom prst="bevel">
          <a:avLst/>
        </a:prstGeom>
        <a:solidFill>
          <a:schemeClr val="bg1">
            <a:lumMod val="9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157443</xdr:colOff>
      <xdr:row>31</xdr:row>
      <xdr:rowOff>139298</xdr:rowOff>
    </xdr:from>
    <xdr:to>
      <xdr:col>7</xdr:col>
      <xdr:colOff>298120</xdr:colOff>
      <xdr:row>31</xdr:row>
      <xdr:rowOff>243783</xdr:rowOff>
    </xdr:to>
    <xdr:sp macro="" textlink="">
      <xdr:nvSpPr>
        <xdr:cNvPr id="26" name="Bevel 2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8556008" y="7055276"/>
          <a:ext cx="140677" cy="104485"/>
        </a:xfrm>
        <a:prstGeom prst="bevel">
          <a:avLst/>
        </a:prstGeom>
        <a:solidFill>
          <a:schemeClr val="bg1">
            <a:lumMod val="8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338969</xdr:colOff>
      <xdr:row>31</xdr:row>
      <xdr:rowOff>16565</xdr:rowOff>
    </xdr:from>
    <xdr:to>
      <xdr:col>7</xdr:col>
      <xdr:colOff>477265</xdr:colOff>
      <xdr:row>31</xdr:row>
      <xdr:rowOff>123199</xdr:rowOff>
    </xdr:to>
    <xdr:sp macro="" textlink="">
      <xdr:nvSpPr>
        <xdr:cNvPr id="27" name="Bevel 2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8737534" y="6932543"/>
          <a:ext cx="138296" cy="106634"/>
        </a:xfrm>
        <a:prstGeom prst="bevel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333016</xdr:colOff>
      <xdr:row>31</xdr:row>
      <xdr:rowOff>135627</xdr:rowOff>
    </xdr:from>
    <xdr:to>
      <xdr:col>7</xdr:col>
      <xdr:colOff>473693</xdr:colOff>
      <xdr:row>31</xdr:row>
      <xdr:rowOff>244023</xdr:rowOff>
    </xdr:to>
    <xdr:sp macro="" textlink="">
      <xdr:nvSpPr>
        <xdr:cNvPr id="28" name="Bevel 27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>
        <a:xfrm>
          <a:off x="8731581" y="7051605"/>
          <a:ext cx="140677" cy="108396"/>
        </a:xfrm>
        <a:prstGeom prst="bevel">
          <a:avLst/>
        </a:prstGeom>
        <a:solidFill>
          <a:srgbClr val="FBC1EA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515181</xdr:colOff>
      <xdr:row>31</xdr:row>
      <xdr:rowOff>20137</xdr:rowOff>
    </xdr:from>
    <xdr:to>
      <xdr:col>8</xdr:col>
      <xdr:colOff>40892</xdr:colOff>
      <xdr:row>31</xdr:row>
      <xdr:rowOff>126771</xdr:rowOff>
    </xdr:to>
    <xdr:sp macro="" textlink="">
      <xdr:nvSpPr>
        <xdr:cNvPr id="29" name="Bevel 28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>
        <a:xfrm>
          <a:off x="8913746" y="6936115"/>
          <a:ext cx="138624" cy="106634"/>
        </a:xfrm>
        <a:prstGeom prst="bevel">
          <a:avLst/>
        </a:prstGeom>
        <a:solidFill>
          <a:srgbClr val="FFFF0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511609</xdr:colOff>
      <xdr:row>31</xdr:row>
      <xdr:rowOff>147534</xdr:rowOff>
    </xdr:from>
    <xdr:to>
      <xdr:col>8</xdr:col>
      <xdr:colOff>37320</xdr:colOff>
      <xdr:row>32</xdr:row>
      <xdr:rowOff>7660</xdr:rowOff>
    </xdr:to>
    <xdr:sp macro="" textlink="">
      <xdr:nvSpPr>
        <xdr:cNvPr id="30" name="Bevel 29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>
        <a:xfrm>
          <a:off x="8910174" y="7063512"/>
          <a:ext cx="138624" cy="108605"/>
        </a:xfrm>
        <a:prstGeom prst="bevel">
          <a:avLst/>
        </a:prstGeom>
        <a:solidFill>
          <a:srgbClr val="99FFCC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359019</xdr:colOff>
      <xdr:row>201</xdr:row>
      <xdr:rowOff>131843</xdr:rowOff>
    </xdr:from>
    <xdr:to>
      <xdr:col>10</xdr:col>
      <xdr:colOff>497315</xdr:colOff>
      <xdr:row>202</xdr:row>
      <xdr:rowOff>77284</xdr:rowOff>
    </xdr:to>
    <xdr:sp macro="" textlink="">
      <xdr:nvSpPr>
        <xdr:cNvPr id="9" name="Bevel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8726365" y="35755343"/>
          <a:ext cx="138296" cy="106633"/>
        </a:xfrm>
        <a:prstGeom prst="bevel">
          <a:avLst/>
        </a:prstGeom>
        <a:solidFill>
          <a:srgbClr val="99FFCC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85725</xdr:colOff>
      <xdr:row>38</xdr:row>
      <xdr:rowOff>219075</xdr:rowOff>
    </xdr:from>
    <xdr:to>
      <xdr:col>10</xdr:col>
      <xdr:colOff>228600</xdr:colOff>
      <xdr:row>39</xdr:row>
      <xdr:rowOff>209550</xdr:rowOff>
    </xdr:to>
    <xdr:sp macro="" textlink="">
      <xdr:nvSpPr>
        <xdr:cNvPr id="10" name="Up-Down Arrow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8448675" y="6715125"/>
          <a:ext cx="142875" cy="238125"/>
        </a:xfrm>
        <a:prstGeom prst="upDownArrow">
          <a:avLst/>
        </a:prstGeom>
        <a:solidFill>
          <a:srgbClr val="99FFCC">
            <a:alpha val="9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44380</xdr:colOff>
      <xdr:row>92</xdr:row>
      <xdr:rowOff>0</xdr:rowOff>
    </xdr:from>
    <xdr:to>
      <xdr:col>10</xdr:col>
      <xdr:colOff>184220</xdr:colOff>
      <xdr:row>92</xdr:row>
      <xdr:rowOff>97631</xdr:rowOff>
    </xdr:to>
    <xdr:sp macro="" textlink="">
      <xdr:nvSpPr>
        <xdr:cNvPr id="12" name="Bevel 1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7807255" y="17287875"/>
          <a:ext cx="139840" cy="97631"/>
        </a:xfrm>
        <a:prstGeom prst="bevel">
          <a:avLst/>
        </a:prstGeom>
        <a:solidFill>
          <a:srgbClr val="00B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226900</xdr:colOff>
      <xdr:row>92</xdr:row>
      <xdr:rowOff>120255</xdr:rowOff>
    </xdr:from>
    <xdr:to>
      <xdr:col>10</xdr:col>
      <xdr:colOff>365196</xdr:colOff>
      <xdr:row>93</xdr:row>
      <xdr:rowOff>37644</xdr:rowOff>
    </xdr:to>
    <xdr:sp macro="" textlink="">
      <xdr:nvSpPr>
        <xdr:cNvPr id="13" name="Bevel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7989775" y="17408130"/>
          <a:ext cx="138296" cy="117414"/>
        </a:xfrm>
        <a:prstGeom prst="bevel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51580</xdr:colOff>
      <xdr:row>92</xdr:row>
      <xdr:rowOff>129141</xdr:rowOff>
    </xdr:from>
    <xdr:to>
      <xdr:col>10</xdr:col>
      <xdr:colOff>192257</xdr:colOff>
      <xdr:row>93</xdr:row>
      <xdr:rowOff>44348</xdr:rowOff>
    </xdr:to>
    <xdr:sp macro="" textlink="">
      <xdr:nvSpPr>
        <xdr:cNvPr id="14" name="Bevel 1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7814455" y="17417016"/>
          <a:ext cx="140677" cy="115232"/>
        </a:xfrm>
        <a:prstGeom prst="bevel">
          <a:avLst/>
        </a:prstGeom>
        <a:solidFill>
          <a:srgbClr val="0000FF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226899</xdr:colOff>
      <xdr:row>92</xdr:row>
      <xdr:rowOff>2381</xdr:rowOff>
    </xdr:from>
    <xdr:to>
      <xdr:col>10</xdr:col>
      <xdr:colOff>365195</xdr:colOff>
      <xdr:row>92</xdr:row>
      <xdr:rowOff>100012</xdr:rowOff>
    </xdr:to>
    <xdr:sp macro="" textlink="">
      <xdr:nvSpPr>
        <xdr:cNvPr id="15" name="Bevel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7989774" y="17290256"/>
          <a:ext cx="138296" cy="97631"/>
        </a:xfrm>
        <a:prstGeom prst="bevel">
          <a:avLst/>
        </a:prstGeom>
        <a:solidFill>
          <a:srgbClr val="92D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410255</xdr:colOff>
      <xdr:row>92</xdr:row>
      <xdr:rowOff>2381</xdr:rowOff>
    </xdr:from>
    <xdr:to>
      <xdr:col>10</xdr:col>
      <xdr:colOff>550932</xdr:colOff>
      <xdr:row>92</xdr:row>
      <xdr:rowOff>100012</xdr:rowOff>
    </xdr:to>
    <xdr:sp macro="" textlink="">
      <xdr:nvSpPr>
        <xdr:cNvPr id="16" name="Bevel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8173130" y="17290256"/>
          <a:ext cx="140677" cy="97631"/>
        </a:xfrm>
        <a:prstGeom prst="bevel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407874</xdr:colOff>
      <xdr:row>92</xdr:row>
      <xdr:rowOff>120253</xdr:rowOff>
    </xdr:from>
    <xdr:to>
      <xdr:col>10</xdr:col>
      <xdr:colOff>548551</xdr:colOff>
      <xdr:row>93</xdr:row>
      <xdr:rowOff>37642</xdr:rowOff>
    </xdr:to>
    <xdr:sp macro="" textlink="">
      <xdr:nvSpPr>
        <xdr:cNvPr id="17" name="Bevel 1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/>
      </xdr:nvSpPr>
      <xdr:spPr>
        <a:xfrm>
          <a:off x="8170749" y="17408128"/>
          <a:ext cx="140677" cy="117414"/>
        </a:xfrm>
        <a:prstGeom prst="bevel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600855</xdr:colOff>
      <xdr:row>92</xdr:row>
      <xdr:rowOff>122735</xdr:rowOff>
    </xdr:from>
    <xdr:to>
      <xdr:col>10</xdr:col>
      <xdr:colOff>739151</xdr:colOff>
      <xdr:row>93</xdr:row>
      <xdr:rowOff>40781</xdr:rowOff>
    </xdr:to>
    <xdr:sp macro="" textlink="">
      <xdr:nvSpPr>
        <xdr:cNvPr id="18" name="Bevel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/>
      </xdr:nvSpPr>
      <xdr:spPr>
        <a:xfrm>
          <a:off x="8363730" y="17410610"/>
          <a:ext cx="138296" cy="118071"/>
        </a:xfrm>
        <a:prstGeom prst="bevel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600854</xdr:colOff>
      <xdr:row>92</xdr:row>
      <xdr:rowOff>5255</xdr:rowOff>
    </xdr:from>
    <xdr:to>
      <xdr:col>10</xdr:col>
      <xdr:colOff>739150</xdr:colOff>
      <xdr:row>92</xdr:row>
      <xdr:rowOff>102492</xdr:rowOff>
    </xdr:to>
    <xdr:sp macro="" textlink="">
      <xdr:nvSpPr>
        <xdr:cNvPr id="19" name="Bevel 1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/>
      </xdr:nvSpPr>
      <xdr:spPr>
        <a:xfrm>
          <a:off x="8363729" y="17293130"/>
          <a:ext cx="138296" cy="97237"/>
        </a:xfrm>
        <a:prstGeom prst="bevel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781179</xdr:colOff>
      <xdr:row>92</xdr:row>
      <xdr:rowOff>5255</xdr:rowOff>
    </xdr:from>
    <xdr:to>
      <xdr:col>11</xdr:col>
      <xdr:colOff>137875</xdr:colOff>
      <xdr:row>92</xdr:row>
      <xdr:rowOff>102492</xdr:rowOff>
    </xdr:to>
    <xdr:sp macro="" textlink="">
      <xdr:nvSpPr>
        <xdr:cNvPr id="20" name="Bevel 1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/>
      </xdr:nvSpPr>
      <xdr:spPr>
        <a:xfrm>
          <a:off x="8544054" y="17293130"/>
          <a:ext cx="137746" cy="97237"/>
        </a:xfrm>
        <a:prstGeom prst="bevel">
          <a:avLst/>
        </a:prstGeom>
        <a:solidFill>
          <a:schemeClr val="bg1">
            <a:lumMod val="9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778798</xdr:colOff>
      <xdr:row>92</xdr:row>
      <xdr:rowOff>122733</xdr:rowOff>
    </xdr:from>
    <xdr:to>
      <xdr:col>11</xdr:col>
      <xdr:colOff>135494</xdr:colOff>
      <xdr:row>93</xdr:row>
      <xdr:rowOff>40779</xdr:rowOff>
    </xdr:to>
    <xdr:sp macro="" textlink="">
      <xdr:nvSpPr>
        <xdr:cNvPr id="21" name="Bevel 20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/>
      </xdr:nvSpPr>
      <xdr:spPr>
        <a:xfrm>
          <a:off x="8541673" y="17410608"/>
          <a:ext cx="137746" cy="118071"/>
        </a:xfrm>
        <a:prstGeom prst="bevel">
          <a:avLst/>
        </a:prstGeom>
        <a:solidFill>
          <a:schemeClr val="bg1">
            <a:lumMod val="8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225342</xdr:colOff>
      <xdr:row>92</xdr:row>
      <xdr:rowOff>0</xdr:rowOff>
    </xdr:from>
    <xdr:to>
      <xdr:col>11</xdr:col>
      <xdr:colOff>363638</xdr:colOff>
      <xdr:row>92</xdr:row>
      <xdr:rowOff>106634</xdr:rowOff>
    </xdr:to>
    <xdr:sp macro="" textlink="">
      <xdr:nvSpPr>
        <xdr:cNvPr id="22" name="Bevel 2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8769267" y="17287875"/>
          <a:ext cx="138296" cy="106634"/>
        </a:xfrm>
        <a:prstGeom prst="bevel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219389</xdr:colOff>
      <xdr:row>92</xdr:row>
      <xdr:rowOff>119062</xdr:rowOff>
    </xdr:from>
    <xdr:to>
      <xdr:col>11</xdr:col>
      <xdr:colOff>360066</xdr:colOff>
      <xdr:row>93</xdr:row>
      <xdr:rowOff>44285</xdr:rowOff>
    </xdr:to>
    <xdr:sp macro="" textlink="">
      <xdr:nvSpPr>
        <xdr:cNvPr id="23" name="Bevel 22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/>
      </xdr:nvSpPr>
      <xdr:spPr>
        <a:xfrm>
          <a:off x="8763314" y="17406937"/>
          <a:ext cx="140677" cy="125248"/>
        </a:xfrm>
        <a:prstGeom prst="bevel">
          <a:avLst/>
        </a:prstGeom>
        <a:solidFill>
          <a:srgbClr val="FBC1EA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401554</xdr:colOff>
      <xdr:row>92</xdr:row>
      <xdr:rowOff>3572</xdr:rowOff>
    </xdr:from>
    <xdr:to>
      <xdr:col>11</xdr:col>
      <xdr:colOff>540178</xdr:colOff>
      <xdr:row>92</xdr:row>
      <xdr:rowOff>110206</xdr:rowOff>
    </xdr:to>
    <xdr:sp macro="" textlink="">
      <xdr:nvSpPr>
        <xdr:cNvPr id="24" name="Bevel 2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/>
      </xdr:nvSpPr>
      <xdr:spPr>
        <a:xfrm>
          <a:off x="8945479" y="17291447"/>
          <a:ext cx="138624" cy="106634"/>
        </a:xfrm>
        <a:prstGeom prst="bevel">
          <a:avLst/>
        </a:prstGeom>
        <a:solidFill>
          <a:srgbClr val="FFFF0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397982</xdr:colOff>
      <xdr:row>92</xdr:row>
      <xdr:rowOff>130969</xdr:rowOff>
    </xdr:from>
    <xdr:to>
      <xdr:col>11</xdr:col>
      <xdr:colOff>536606</xdr:colOff>
      <xdr:row>93</xdr:row>
      <xdr:rowOff>56401</xdr:rowOff>
    </xdr:to>
    <xdr:sp macro="" textlink="">
      <xdr:nvSpPr>
        <xdr:cNvPr id="25" name="Bevel 2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/>
      </xdr:nvSpPr>
      <xdr:spPr>
        <a:xfrm>
          <a:off x="8941907" y="17418844"/>
          <a:ext cx="138624" cy="125457"/>
        </a:xfrm>
        <a:prstGeom prst="bevel">
          <a:avLst/>
        </a:prstGeom>
        <a:solidFill>
          <a:srgbClr val="99FFCC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52553</xdr:colOff>
      <xdr:row>60</xdr:row>
      <xdr:rowOff>55650</xdr:rowOff>
    </xdr:from>
    <xdr:to>
      <xdr:col>10</xdr:col>
      <xdr:colOff>190849</xdr:colOff>
      <xdr:row>60</xdr:row>
      <xdr:rowOff>182141</xdr:rowOff>
    </xdr:to>
    <xdr:sp macro="" textlink="">
      <xdr:nvSpPr>
        <xdr:cNvPr id="26" name="Bevel 2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/>
      </xdr:nvSpPr>
      <xdr:spPr>
        <a:xfrm>
          <a:off x="8421415" y="11702426"/>
          <a:ext cx="138296" cy="126491"/>
        </a:xfrm>
        <a:prstGeom prst="bevel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230496</xdr:colOff>
      <xdr:row>60</xdr:row>
      <xdr:rowOff>55648</xdr:rowOff>
    </xdr:from>
    <xdr:to>
      <xdr:col>10</xdr:col>
      <xdr:colOff>371173</xdr:colOff>
      <xdr:row>60</xdr:row>
      <xdr:rowOff>182139</xdr:rowOff>
    </xdr:to>
    <xdr:sp macro="" textlink="">
      <xdr:nvSpPr>
        <xdr:cNvPr id="27" name="Bevel 2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/>
      </xdr:nvSpPr>
      <xdr:spPr>
        <a:xfrm>
          <a:off x="8599358" y="11702424"/>
          <a:ext cx="140677" cy="126491"/>
        </a:xfrm>
        <a:prstGeom prst="bevel">
          <a:avLst/>
        </a:prstGeom>
        <a:solidFill>
          <a:schemeClr val="bg1">
            <a:lumMod val="8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425588</xdr:colOff>
      <xdr:row>60</xdr:row>
      <xdr:rowOff>60658</xdr:rowOff>
    </xdr:from>
    <xdr:to>
      <xdr:col>10</xdr:col>
      <xdr:colOff>566265</xdr:colOff>
      <xdr:row>60</xdr:row>
      <xdr:rowOff>191060</xdr:rowOff>
    </xdr:to>
    <xdr:sp macro="" textlink="">
      <xdr:nvSpPr>
        <xdr:cNvPr id="28" name="Bevel 2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/>
      </xdr:nvSpPr>
      <xdr:spPr>
        <a:xfrm>
          <a:off x="8794450" y="11707434"/>
          <a:ext cx="140677" cy="130402"/>
        </a:xfrm>
        <a:prstGeom prst="bevel">
          <a:avLst/>
        </a:prstGeom>
        <a:solidFill>
          <a:srgbClr val="FBC1EA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9525</xdr:colOff>
      <xdr:row>79</xdr:row>
      <xdr:rowOff>104775</xdr:rowOff>
    </xdr:from>
    <xdr:to>
      <xdr:col>10</xdr:col>
      <xdr:colOff>152400</xdr:colOff>
      <xdr:row>81</xdr:row>
      <xdr:rowOff>9525</xdr:rowOff>
    </xdr:to>
    <xdr:sp macro="" textlink="">
      <xdr:nvSpPr>
        <xdr:cNvPr id="29" name="Up-Down Arrow 2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/>
      </xdr:nvSpPr>
      <xdr:spPr>
        <a:xfrm>
          <a:off x="7772400" y="14982825"/>
          <a:ext cx="142875" cy="304800"/>
        </a:xfrm>
        <a:prstGeom prst="upDownArrow">
          <a:avLst/>
        </a:prstGeom>
        <a:solidFill>
          <a:srgbClr val="99FFCC">
            <a:alpha val="9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449580</xdr:colOff>
      <xdr:row>5</xdr:row>
      <xdr:rowOff>137160</xdr:rowOff>
    </xdr:from>
    <xdr:to>
      <xdr:col>2</xdr:col>
      <xdr:colOff>510540</xdr:colOff>
      <xdr:row>8</xdr:row>
      <xdr:rowOff>83820</xdr:rowOff>
    </xdr:to>
    <xdr:sp macro="" textlink="">
      <xdr:nvSpPr>
        <xdr:cNvPr id="8193" name="AutoShape 1">
          <a:extLst>
            <a:ext uri="{FF2B5EF4-FFF2-40B4-BE49-F238E27FC236}">
              <a16:creationId xmlns:a16="http://schemas.microsoft.com/office/drawing/2014/main" id="{00000000-0008-0000-0800-000001200000}"/>
            </a:ext>
          </a:extLst>
        </xdr:cNvPr>
        <xdr:cNvSpPr>
          <a:spLocks/>
        </xdr:cNvSpPr>
      </xdr:nvSpPr>
      <xdr:spPr bwMode="auto">
        <a:xfrm>
          <a:off x="1783080" y="1051560"/>
          <a:ext cx="60960" cy="495300"/>
        </a:xfrm>
        <a:prstGeom prst="leftBracket">
          <a:avLst>
            <a:gd name="adj" fmla="val 67708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952500</xdr:colOff>
      <xdr:row>5</xdr:row>
      <xdr:rowOff>121920</xdr:rowOff>
    </xdr:from>
    <xdr:to>
      <xdr:col>6</xdr:col>
      <xdr:colOff>129540</xdr:colOff>
      <xdr:row>8</xdr:row>
      <xdr:rowOff>91440</xdr:rowOff>
    </xdr:to>
    <xdr:sp macro="" textlink="">
      <xdr:nvSpPr>
        <xdr:cNvPr id="8194" name="AutoShape 2">
          <a:extLst>
            <a:ext uri="{FF2B5EF4-FFF2-40B4-BE49-F238E27FC236}">
              <a16:creationId xmlns:a16="http://schemas.microsoft.com/office/drawing/2014/main" id="{00000000-0008-0000-0800-000002200000}"/>
            </a:ext>
          </a:extLst>
        </xdr:cNvPr>
        <xdr:cNvSpPr>
          <a:spLocks/>
        </xdr:cNvSpPr>
      </xdr:nvSpPr>
      <xdr:spPr bwMode="auto">
        <a:xfrm>
          <a:off x="4556760" y="1036320"/>
          <a:ext cx="137160" cy="518160"/>
        </a:xfrm>
        <a:prstGeom prst="rightBracket">
          <a:avLst>
            <a:gd name="adj" fmla="val 31481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137160</xdr:colOff>
      <xdr:row>0</xdr:row>
      <xdr:rowOff>0</xdr:rowOff>
    </xdr:from>
    <xdr:to>
      <xdr:col>14</xdr:col>
      <xdr:colOff>480059</xdr:colOff>
      <xdr:row>19</xdr:row>
      <xdr:rowOff>30480</xdr:rowOff>
    </xdr:to>
    <xdr:pic>
      <xdr:nvPicPr>
        <xdr:cNvPr id="8195" name="Picture 5">
          <a:extLst>
            <a:ext uri="{FF2B5EF4-FFF2-40B4-BE49-F238E27FC236}">
              <a16:creationId xmlns:a16="http://schemas.microsoft.com/office/drawing/2014/main" id="{00000000-0008-0000-0800-000003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7960" y="0"/>
          <a:ext cx="1699260" cy="2529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513522</xdr:colOff>
      <xdr:row>78</xdr:row>
      <xdr:rowOff>240196</xdr:rowOff>
    </xdr:from>
    <xdr:to>
      <xdr:col>9</xdr:col>
      <xdr:colOff>687456</xdr:colOff>
      <xdr:row>79</xdr:row>
      <xdr:rowOff>215349</xdr:rowOff>
    </xdr:to>
    <xdr:sp macro="" textlink="">
      <xdr:nvSpPr>
        <xdr:cNvPr id="6" name="Flowchart: Predefined Process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5922065" y="17724783"/>
          <a:ext cx="1250674" cy="223631"/>
        </a:xfrm>
        <a:prstGeom prst="flowChartPredefinedProcess">
          <a:avLst/>
        </a:prstGeom>
        <a:solidFill>
          <a:srgbClr val="FFFFCC"/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100"/>
            <a:t>All</a:t>
          </a:r>
          <a:r>
            <a:rPr lang="en-US" sz="1100" baseline="0"/>
            <a:t> Gear Box</a:t>
          </a:r>
          <a:endParaRPr lang="en-US" sz="1100"/>
        </a:p>
      </xdr:txBody>
    </xdr:sp>
    <xdr:clientData/>
  </xdr:twoCellAnchor>
  <xdr:twoCellAnchor>
    <xdr:from>
      <xdr:col>6</xdr:col>
      <xdr:colOff>0</xdr:colOff>
      <xdr:row>79</xdr:row>
      <xdr:rowOff>0</xdr:rowOff>
    </xdr:from>
    <xdr:to>
      <xdr:col>6</xdr:col>
      <xdr:colOff>140677</xdr:colOff>
      <xdr:row>79</xdr:row>
      <xdr:rowOff>97631</xdr:rowOff>
    </xdr:to>
    <xdr:sp macro="" textlink="">
      <xdr:nvSpPr>
        <xdr:cNvPr id="7" name="Bevel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008783" y="17733065"/>
          <a:ext cx="140677" cy="97631"/>
        </a:xfrm>
        <a:prstGeom prst="bevel">
          <a:avLst/>
        </a:prstGeom>
        <a:solidFill>
          <a:srgbClr val="00B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183357</xdr:colOff>
      <xdr:row>79</xdr:row>
      <xdr:rowOff>120255</xdr:rowOff>
    </xdr:from>
    <xdr:to>
      <xdr:col>6</xdr:col>
      <xdr:colOff>321653</xdr:colOff>
      <xdr:row>79</xdr:row>
      <xdr:rowOff>220817</xdr:rowOff>
    </xdr:to>
    <xdr:sp macro="" textlink="">
      <xdr:nvSpPr>
        <xdr:cNvPr id="8" name="Bevel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/>
      </xdr:nvSpPr>
      <xdr:spPr>
        <a:xfrm>
          <a:off x="4192140" y="17853320"/>
          <a:ext cx="138296" cy="100562"/>
        </a:xfrm>
        <a:prstGeom prst="bevel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8037</xdr:colOff>
      <xdr:row>79</xdr:row>
      <xdr:rowOff>129141</xdr:rowOff>
    </xdr:from>
    <xdr:to>
      <xdr:col>6</xdr:col>
      <xdr:colOff>148714</xdr:colOff>
      <xdr:row>79</xdr:row>
      <xdr:rowOff>227521</xdr:rowOff>
    </xdr:to>
    <xdr:sp macro="" textlink="">
      <xdr:nvSpPr>
        <xdr:cNvPr id="9" name="Bevel 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/>
      </xdr:nvSpPr>
      <xdr:spPr>
        <a:xfrm>
          <a:off x="4016820" y="17862206"/>
          <a:ext cx="140677" cy="98380"/>
        </a:xfrm>
        <a:prstGeom prst="bevel">
          <a:avLst/>
        </a:prstGeom>
        <a:solidFill>
          <a:srgbClr val="0000FF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183356</xdr:colOff>
      <xdr:row>79</xdr:row>
      <xdr:rowOff>2381</xdr:rowOff>
    </xdr:from>
    <xdr:to>
      <xdr:col>6</xdr:col>
      <xdr:colOff>321652</xdr:colOff>
      <xdr:row>79</xdr:row>
      <xdr:rowOff>100012</xdr:rowOff>
    </xdr:to>
    <xdr:sp macro="" textlink="">
      <xdr:nvSpPr>
        <xdr:cNvPr id="10" name="Bevel 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SpPr/>
      </xdr:nvSpPr>
      <xdr:spPr>
        <a:xfrm>
          <a:off x="4192139" y="17735446"/>
          <a:ext cx="138296" cy="97631"/>
        </a:xfrm>
        <a:prstGeom prst="bevel">
          <a:avLst/>
        </a:prstGeom>
        <a:solidFill>
          <a:srgbClr val="92D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366712</xdr:colOff>
      <xdr:row>79</xdr:row>
      <xdr:rowOff>2381</xdr:rowOff>
    </xdr:from>
    <xdr:to>
      <xdr:col>6</xdr:col>
      <xdr:colOff>507389</xdr:colOff>
      <xdr:row>79</xdr:row>
      <xdr:rowOff>100012</xdr:rowOff>
    </xdr:to>
    <xdr:sp macro="" textlink="">
      <xdr:nvSpPr>
        <xdr:cNvPr id="11" name="Bevel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4375495" y="17735446"/>
          <a:ext cx="140677" cy="97631"/>
        </a:xfrm>
        <a:prstGeom prst="bevel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364331</xdr:colOff>
      <xdr:row>79</xdr:row>
      <xdr:rowOff>120253</xdr:rowOff>
    </xdr:from>
    <xdr:to>
      <xdr:col>6</xdr:col>
      <xdr:colOff>505008</xdr:colOff>
      <xdr:row>79</xdr:row>
      <xdr:rowOff>220815</xdr:rowOff>
    </xdr:to>
    <xdr:sp macro="" textlink="">
      <xdr:nvSpPr>
        <xdr:cNvPr id="12" name="Bevel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4373114" y="17853318"/>
          <a:ext cx="140677" cy="100562"/>
        </a:xfrm>
        <a:prstGeom prst="bevel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557312</xdr:colOff>
      <xdr:row>79</xdr:row>
      <xdr:rowOff>122735</xdr:rowOff>
    </xdr:from>
    <xdr:to>
      <xdr:col>6</xdr:col>
      <xdr:colOff>695608</xdr:colOff>
      <xdr:row>79</xdr:row>
      <xdr:rowOff>223954</xdr:rowOff>
    </xdr:to>
    <xdr:sp macro="" textlink="">
      <xdr:nvSpPr>
        <xdr:cNvPr id="13" name="Bevel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/>
      </xdr:nvSpPr>
      <xdr:spPr>
        <a:xfrm>
          <a:off x="4566095" y="17855800"/>
          <a:ext cx="138296" cy="101219"/>
        </a:xfrm>
        <a:prstGeom prst="bevel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557311</xdr:colOff>
      <xdr:row>79</xdr:row>
      <xdr:rowOff>5255</xdr:rowOff>
    </xdr:from>
    <xdr:to>
      <xdr:col>6</xdr:col>
      <xdr:colOff>695607</xdr:colOff>
      <xdr:row>79</xdr:row>
      <xdr:rowOff>102492</xdr:rowOff>
    </xdr:to>
    <xdr:sp macro="" textlink="">
      <xdr:nvSpPr>
        <xdr:cNvPr id="14" name="Bevel 1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4566094" y="17738320"/>
          <a:ext cx="138296" cy="97237"/>
        </a:xfrm>
        <a:prstGeom prst="bevel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737636</xdr:colOff>
      <xdr:row>79</xdr:row>
      <xdr:rowOff>5255</xdr:rowOff>
    </xdr:from>
    <xdr:to>
      <xdr:col>7</xdr:col>
      <xdr:colOff>91466</xdr:colOff>
      <xdr:row>79</xdr:row>
      <xdr:rowOff>102492</xdr:rowOff>
    </xdr:to>
    <xdr:sp macro="" textlink="">
      <xdr:nvSpPr>
        <xdr:cNvPr id="15" name="Bevel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4746419" y="17738320"/>
          <a:ext cx="140677" cy="97237"/>
        </a:xfrm>
        <a:prstGeom prst="bevel">
          <a:avLst/>
        </a:prstGeom>
        <a:solidFill>
          <a:schemeClr val="bg1">
            <a:lumMod val="9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735255</xdr:colOff>
      <xdr:row>79</xdr:row>
      <xdr:rowOff>122733</xdr:rowOff>
    </xdr:from>
    <xdr:to>
      <xdr:col>7</xdr:col>
      <xdr:colOff>89085</xdr:colOff>
      <xdr:row>79</xdr:row>
      <xdr:rowOff>223952</xdr:rowOff>
    </xdr:to>
    <xdr:sp macro="" textlink="">
      <xdr:nvSpPr>
        <xdr:cNvPr id="16" name="Bevel 1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4744038" y="17855798"/>
          <a:ext cx="140677" cy="101219"/>
        </a:xfrm>
        <a:prstGeom prst="bevel">
          <a:avLst/>
        </a:prstGeom>
        <a:solidFill>
          <a:schemeClr val="bg1">
            <a:lumMod val="8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33132</xdr:colOff>
      <xdr:row>54</xdr:row>
      <xdr:rowOff>185811</xdr:rowOff>
    </xdr:from>
    <xdr:to>
      <xdr:col>10</xdr:col>
      <xdr:colOff>171428</xdr:colOff>
      <xdr:row>55</xdr:row>
      <xdr:rowOff>39847</xdr:rowOff>
    </xdr:to>
    <xdr:sp macro="" textlink="">
      <xdr:nvSpPr>
        <xdr:cNvPr id="17" name="Bevel 1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/>
      </xdr:nvSpPr>
      <xdr:spPr>
        <a:xfrm>
          <a:off x="7255567" y="12303268"/>
          <a:ext cx="138296" cy="102514"/>
        </a:xfrm>
        <a:prstGeom prst="bevel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33131</xdr:colOff>
      <xdr:row>54</xdr:row>
      <xdr:rowOff>66261</xdr:rowOff>
    </xdr:from>
    <xdr:to>
      <xdr:col>10</xdr:col>
      <xdr:colOff>171427</xdr:colOff>
      <xdr:row>54</xdr:row>
      <xdr:rowOff>163498</xdr:rowOff>
    </xdr:to>
    <xdr:sp macro="" textlink="">
      <xdr:nvSpPr>
        <xdr:cNvPr id="18" name="Bevel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SpPr/>
      </xdr:nvSpPr>
      <xdr:spPr>
        <a:xfrm>
          <a:off x="7255566" y="12183718"/>
          <a:ext cx="138296" cy="97237"/>
        </a:xfrm>
        <a:prstGeom prst="bevel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213456</xdr:colOff>
      <xdr:row>54</xdr:row>
      <xdr:rowOff>66261</xdr:rowOff>
    </xdr:from>
    <xdr:to>
      <xdr:col>10</xdr:col>
      <xdr:colOff>354133</xdr:colOff>
      <xdr:row>54</xdr:row>
      <xdr:rowOff>163498</xdr:rowOff>
    </xdr:to>
    <xdr:sp macro="" textlink="">
      <xdr:nvSpPr>
        <xdr:cNvPr id="19" name="Bevel 1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/>
      </xdr:nvSpPr>
      <xdr:spPr>
        <a:xfrm>
          <a:off x="7435891" y="12183718"/>
          <a:ext cx="140677" cy="97237"/>
        </a:xfrm>
        <a:prstGeom prst="bevel">
          <a:avLst/>
        </a:prstGeom>
        <a:solidFill>
          <a:schemeClr val="bg1">
            <a:lumMod val="9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211075</xdr:colOff>
      <xdr:row>54</xdr:row>
      <xdr:rowOff>185809</xdr:rowOff>
    </xdr:from>
    <xdr:to>
      <xdr:col>10</xdr:col>
      <xdr:colOff>351752</xdr:colOff>
      <xdr:row>55</xdr:row>
      <xdr:rowOff>39845</xdr:rowOff>
    </xdr:to>
    <xdr:sp macro="" textlink="">
      <xdr:nvSpPr>
        <xdr:cNvPr id="20" name="Bevel 1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SpPr/>
      </xdr:nvSpPr>
      <xdr:spPr>
        <a:xfrm>
          <a:off x="7433510" y="12303266"/>
          <a:ext cx="140677" cy="102514"/>
        </a:xfrm>
        <a:prstGeom prst="bevel">
          <a:avLst/>
        </a:prstGeom>
        <a:solidFill>
          <a:schemeClr val="bg1">
            <a:lumMod val="8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171605</xdr:colOff>
      <xdr:row>79</xdr:row>
      <xdr:rowOff>0</xdr:rowOff>
    </xdr:from>
    <xdr:to>
      <xdr:col>7</xdr:col>
      <xdr:colOff>309901</xdr:colOff>
      <xdr:row>79</xdr:row>
      <xdr:rowOff>106634</xdr:rowOff>
    </xdr:to>
    <xdr:sp macro="" textlink="">
      <xdr:nvSpPr>
        <xdr:cNvPr id="21" name="Bevel 20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SpPr/>
      </xdr:nvSpPr>
      <xdr:spPr>
        <a:xfrm>
          <a:off x="4967235" y="17733065"/>
          <a:ext cx="138296" cy="106634"/>
        </a:xfrm>
        <a:prstGeom prst="bevel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165652</xdr:colOff>
      <xdr:row>79</xdr:row>
      <xdr:rowOff>119062</xdr:rowOff>
    </xdr:from>
    <xdr:to>
      <xdr:col>7</xdr:col>
      <xdr:colOff>306329</xdr:colOff>
      <xdr:row>79</xdr:row>
      <xdr:rowOff>227458</xdr:rowOff>
    </xdr:to>
    <xdr:sp macro="" textlink="">
      <xdr:nvSpPr>
        <xdr:cNvPr id="22" name="Bevel 2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SpPr/>
      </xdr:nvSpPr>
      <xdr:spPr>
        <a:xfrm>
          <a:off x="4961282" y="17852127"/>
          <a:ext cx="140677" cy="108396"/>
        </a:xfrm>
        <a:prstGeom prst="bevel">
          <a:avLst/>
        </a:prstGeom>
        <a:solidFill>
          <a:srgbClr val="FBC1EA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347817</xdr:colOff>
      <xdr:row>79</xdr:row>
      <xdr:rowOff>3572</xdr:rowOff>
    </xdr:from>
    <xdr:to>
      <xdr:col>7</xdr:col>
      <xdr:colOff>486441</xdr:colOff>
      <xdr:row>79</xdr:row>
      <xdr:rowOff>110206</xdr:rowOff>
    </xdr:to>
    <xdr:sp macro="" textlink="">
      <xdr:nvSpPr>
        <xdr:cNvPr id="23" name="Bevel 22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SpPr/>
      </xdr:nvSpPr>
      <xdr:spPr>
        <a:xfrm>
          <a:off x="5143447" y="17736637"/>
          <a:ext cx="138624" cy="106634"/>
        </a:xfrm>
        <a:prstGeom prst="bevel">
          <a:avLst/>
        </a:prstGeom>
        <a:solidFill>
          <a:srgbClr val="FFFF0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344245</xdr:colOff>
      <xdr:row>79</xdr:row>
      <xdr:rowOff>130969</xdr:rowOff>
    </xdr:from>
    <xdr:to>
      <xdr:col>7</xdr:col>
      <xdr:colOff>482869</xdr:colOff>
      <xdr:row>79</xdr:row>
      <xdr:rowOff>239574</xdr:rowOff>
    </xdr:to>
    <xdr:sp macro="" textlink="">
      <xdr:nvSpPr>
        <xdr:cNvPr id="24" name="Bevel 2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SpPr/>
      </xdr:nvSpPr>
      <xdr:spPr>
        <a:xfrm>
          <a:off x="5139875" y="17864034"/>
          <a:ext cx="138624" cy="108605"/>
        </a:xfrm>
        <a:prstGeom prst="bevel">
          <a:avLst/>
        </a:prstGeom>
        <a:solidFill>
          <a:srgbClr val="99FFCC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10</xdr:col>
      <xdr:colOff>0</xdr:colOff>
      <xdr:row>21</xdr:row>
      <xdr:rowOff>0</xdr:rowOff>
    </xdr:from>
    <xdr:to>
      <xdr:col>10</xdr:col>
      <xdr:colOff>142875</xdr:colOff>
      <xdr:row>22</xdr:row>
      <xdr:rowOff>6212</xdr:rowOff>
    </xdr:to>
    <xdr:sp macro="" textlink="">
      <xdr:nvSpPr>
        <xdr:cNvPr id="25" name="Up-Down Arrow 2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SpPr/>
      </xdr:nvSpPr>
      <xdr:spPr>
        <a:xfrm>
          <a:off x="7222435" y="4273826"/>
          <a:ext cx="142875" cy="238125"/>
        </a:xfrm>
        <a:prstGeom prst="upDownArrow">
          <a:avLst/>
        </a:prstGeom>
        <a:solidFill>
          <a:srgbClr val="99FFCC">
            <a:alpha val="9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0</xdr:colOff>
      <xdr:row>47</xdr:row>
      <xdr:rowOff>0</xdr:rowOff>
    </xdr:from>
    <xdr:to>
      <xdr:col>10</xdr:col>
      <xdr:colOff>142875</xdr:colOff>
      <xdr:row>48</xdr:row>
      <xdr:rowOff>6212</xdr:rowOff>
    </xdr:to>
    <xdr:sp macro="" textlink="">
      <xdr:nvSpPr>
        <xdr:cNvPr id="26" name="Up-Down Arrow 2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SpPr/>
      </xdr:nvSpPr>
      <xdr:spPr>
        <a:xfrm>
          <a:off x="7222435" y="10535478"/>
          <a:ext cx="142875" cy="238125"/>
        </a:xfrm>
        <a:prstGeom prst="upDownArrow">
          <a:avLst/>
        </a:prstGeom>
        <a:solidFill>
          <a:srgbClr val="99FFCC">
            <a:alpha val="9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0</xdr:colOff>
      <xdr:row>76</xdr:row>
      <xdr:rowOff>0</xdr:rowOff>
    </xdr:from>
    <xdr:to>
      <xdr:col>10</xdr:col>
      <xdr:colOff>142875</xdr:colOff>
      <xdr:row>76</xdr:row>
      <xdr:rowOff>238125</xdr:rowOff>
    </xdr:to>
    <xdr:sp macro="" textlink="">
      <xdr:nvSpPr>
        <xdr:cNvPr id="27" name="Up-Down Arrow 26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SpPr/>
      </xdr:nvSpPr>
      <xdr:spPr>
        <a:xfrm>
          <a:off x="7222435" y="16987630"/>
          <a:ext cx="142875" cy="238125"/>
        </a:xfrm>
        <a:prstGeom prst="upDownArrow">
          <a:avLst/>
        </a:prstGeom>
        <a:solidFill>
          <a:srgbClr val="99FFCC">
            <a:alpha val="9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141</xdr:row>
      <xdr:rowOff>38100</xdr:rowOff>
    </xdr:from>
    <xdr:to>
      <xdr:col>11</xdr:col>
      <xdr:colOff>152400</xdr:colOff>
      <xdr:row>168</xdr:row>
      <xdr:rowOff>144780</xdr:rowOff>
    </xdr:to>
    <xdr:pic>
      <xdr:nvPicPr>
        <xdr:cNvPr id="9217" name="Picture 1423">
          <a:extLst>
            <a:ext uri="{FF2B5EF4-FFF2-40B4-BE49-F238E27FC236}">
              <a16:creationId xmlns:a16="http://schemas.microsoft.com/office/drawing/2014/main" id="{00000000-0008-0000-0900-0000012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15920"/>
          <a:ext cx="8176260" cy="5044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510540</xdr:colOff>
      <xdr:row>121</xdr:row>
      <xdr:rowOff>121920</xdr:rowOff>
    </xdr:from>
    <xdr:to>
      <xdr:col>12</xdr:col>
      <xdr:colOff>472440</xdr:colOff>
      <xdr:row>139</xdr:row>
      <xdr:rowOff>15240</xdr:rowOff>
    </xdr:to>
    <xdr:pic>
      <xdr:nvPicPr>
        <xdr:cNvPr id="9218" name="Picture 1422">
          <a:extLst>
            <a:ext uri="{FF2B5EF4-FFF2-40B4-BE49-F238E27FC236}">
              <a16:creationId xmlns:a16="http://schemas.microsoft.com/office/drawing/2014/main" id="{00000000-0008-0000-0900-0000022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0280" y="24704040"/>
          <a:ext cx="3070860" cy="3223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148</xdr:row>
      <xdr:rowOff>0</xdr:rowOff>
    </xdr:from>
    <xdr:to>
      <xdr:col>0</xdr:col>
      <xdr:colOff>140677</xdr:colOff>
      <xdr:row>148</xdr:row>
      <xdr:rowOff>97631</xdr:rowOff>
    </xdr:to>
    <xdr:sp macro="" textlink="">
      <xdr:nvSpPr>
        <xdr:cNvPr id="26" name="Bevel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SpPr/>
      </xdr:nvSpPr>
      <xdr:spPr>
        <a:xfrm>
          <a:off x="0" y="24640761"/>
          <a:ext cx="140677" cy="97631"/>
        </a:xfrm>
        <a:prstGeom prst="bevel">
          <a:avLst/>
        </a:prstGeom>
        <a:solidFill>
          <a:srgbClr val="00B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0</xdr:col>
      <xdr:colOff>183357</xdr:colOff>
      <xdr:row>148</xdr:row>
      <xdr:rowOff>120255</xdr:rowOff>
    </xdr:from>
    <xdr:to>
      <xdr:col>0</xdr:col>
      <xdr:colOff>321653</xdr:colOff>
      <xdr:row>149</xdr:row>
      <xdr:rowOff>30317</xdr:rowOff>
    </xdr:to>
    <xdr:sp macro="" textlink="">
      <xdr:nvSpPr>
        <xdr:cNvPr id="27" name="Bevel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SpPr/>
      </xdr:nvSpPr>
      <xdr:spPr>
        <a:xfrm>
          <a:off x="183357" y="24761016"/>
          <a:ext cx="138296" cy="100562"/>
        </a:xfrm>
        <a:prstGeom prst="bevel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0</xdr:col>
      <xdr:colOff>8037</xdr:colOff>
      <xdr:row>148</xdr:row>
      <xdr:rowOff>129141</xdr:rowOff>
    </xdr:from>
    <xdr:to>
      <xdr:col>0</xdr:col>
      <xdr:colOff>148714</xdr:colOff>
      <xdr:row>149</xdr:row>
      <xdr:rowOff>37021</xdr:rowOff>
    </xdr:to>
    <xdr:sp macro="" textlink="">
      <xdr:nvSpPr>
        <xdr:cNvPr id="28" name="Bevel 2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SpPr/>
      </xdr:nvSpPr>
      <xdr:spPr>
        <a:xfrm>
          <a:off x="8037" y="24769902"/>
          <a:ext cx="140677" cy="98380"/>
        </a:xfrm>
        <a:prstGeom prst="bevel">
          <a:avLst/>
        </a:prstGeom>
        <a:solidFill>
          <a:srgbClr val="0000FF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0</xdr:col>
      <xdr:colOff>183356</xdr:colOff>
      <xdr:row>148</xdr:row>
      <xdr:rowOff>2381</xdr:rowOff>
    </xdr:from>
    <xdr:to>
      <xdr:col>0</xdr:col>
      <xdr:colOff>321652</xdr:colOff>
      <xdr:row>148</xdr:row>
      <xdr:rowOff>100012</xdr:rowOff>
    </xdr:to>
    <xdr:sp macro="" textlink="">
      <xdr:nvSpPr>
        <xdr:cNvPr id="29" name="Bevel 2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SpPr/>
      </xdr:nvSpPr>
      <xdr:spPr>
        <a:xfrm>
          <a:off x="183356" y="24643142"/>
          <a:ext cx="138296" cy="97631"/>
        </a:xfrm>
        <a:prstGeom prst="bevel">
          <a:avLst/>
        </a:prstGeom>
        <a:solidFill>
          <a:srgbClr val="92D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0</xdr:col>
      <xdr:colOff>366712</xdr:colOff>
      <xdr:row>148</xdr:row>
      <xdr:rowOff>2381</xdr:rowOff>
    </xdr:from>
    <xdr:to>
      <xdr:col>0</xdr:col>
      <xdr:colOff>507389</xdr:colOff>
      <xdr:row>148</xdr:row>
      <xdr:rowOff>100012</xdr:rowOff>
    </xdr:to>
    <xdr:sp macro="" textlink="">
      <xdr:nvSpPr>
        <xdr:cNvPr id="30" name="Bevel 2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SpPr/>
      </xdr:nvSpPr>
      <xdr:spPr>
        <a:xfrm>
          <a:off x="366712" y="24643142"/>
          <a:ext cx="140677" cy="97631"/>
        </a:xfrm>
        <a:prstGeom prst="bevel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0</xdr:col>
      <xdr:colOff>364331</xdr:colOff>
      <xdr:row>148</xdr:row>
      <xdr:rowOff>120253</xdr:rowOff>
    </xdr:from>
    <xdr:to>
      <xdr:col>0</xdr:col>
      <xdr:colOff>505008</xdr:colOff>
      <xdr:row>149</xdr:row>
      <xdr:rowOff>30315</xdr:rowOff>
    </xdr:to>
    <xdr:sp macro="" textlink="">
      <xdr:nvSpPr>
        <xdr:cNvPr id="31" name="Bevel 3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SpPr/>
      </xdr:nvSpPr>
      <xdr:spPr>
        <a:xfrm>
          <a:off x="364331" y="24761014"/>
          <a:ext cx="140677" cy="100562"/>
        </a:xfrm>
        <a:prstGeom prst="bevel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0</xdr:col>
      <xdr:colOff>557312</xdr:colOff>
      <xdr:row>148</xdr:row>
      <xdr:rowOff>122735</xdr:rowOff>
    </xdr:from>
    <xdr:to>
      <xdr:col>0</xdr:col>
      <xdr:colOff>695608</xdr:colOff>
      <xdr:row>149</xdr:row>
      <xdr:rowOff>33454</xdr:rowOff>
    </xdr:to>
    <xdr:sp macro="" textlink="">
      <xdr:nvSpPr>
        <xdr:cNvPr id="32" name="Bevel 3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SpPr/>
      </xdr:nvSpPr>
      <xdr:spPr>
        <a:xfrm>
          <a:off x="557312" y="24763496"/>
          <a:ext cx="138296" cy="101219"/>
        </a:xfrm>
        <a:prstGeom prst="bevel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0</xdr:col>
      <xdr:colOff>557311</xdr:colOff>
      <xdr:row>148</xdr:row>
      <xdr:rowOff>5255</xdr:rowOff>
    </xdr:from>
    <xdr:to>
      <xdr:col>0</xdr:col>
      <xdr:colOff>695607</xdr:colOff>
      <xdr:row>148</xdr:row>
      <xdr:rowOff>102492</xdr:rowOff>
    </xdr:to>
    <xdr:sp macro="" textlink="">
      <xdr:nvSpPr>
        <xdr:cNvPr id="33" name="Bevel 3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SpPr/>
      </xdr:nvSpPr>
      <xdr:spPr>
        <a:xfrm>
          <a:off x="557311" y="24646016"/>
          <a:ext cx="138296" cy="97237"/>
        </a:xfrm>
        <a:prstGeom prst="bevel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0</xdr:col>
      <xdr:colOff>737636</xdr:colOff>
      <xdr:row>148</xdr:row>
      <xdr:rowOff>5255</xdr:rowOff>
    </xdr:from>
    <xdr:to>
      <xdr:col>0</xdr:col>
      <xdr:colOff>878313</xdr:colOff>
      <xdr:row>148</xdr:row>
      <xdr:rowOff>102492</xdr:rowOff>
    </xdr:to>
    <xdr:sp macro="" textlink="">
      <xdr:nvSpPr>
        <xdr:cNvPr id="34" name="Bevel 3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SpPr/>
      </xdr:nvSpPr>
      <xdr:spPr>
        <a:xfrm>
          <a:off x="737636" y="24646016"/>
          <a:ext cx="140677" cy="97237"/>
        </a:xfrm>
        <a:prstGeom prst="bevel">
          <a:avLst/>
        </a:prstGeom>
        <a:solidFill>
          <a:schemeClr val="bg1">
            <a:lumMod val="9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0</xdr:col>
      <xdr:colOff>735255</xdr:colOff>
      <xdr:row>148</xdr:row>
      <xdr:rowOff>122733</xdr:rowOff>
    </xdr:from>
    <xdr:to>
      <xdr:col>0</xdr:col>
      <xdr:colOff>875932</xdr:colOff>
      <xdr:row>149</xdr:row>
      <xdr:rowOff>33452</xdr:rowOff>
    </xdr:to>
    <xdr:sp macro="" textlink="">
      <xdr:nvSpPr>
        <xdr:cNvPr id="35" name="Bevel 3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SpPr/>
      </xdr:nvSpPr>
      <xdr:spPr>
        <a:xfrm>
          <a:off x="735255" y="24763494"/>
          <a:ext cx="140677" cy="101219"/>
        </a:xfrm>
        <a:prstGeom prst="bevel">
          <a:avLst/>
        </a:prstGeom>
        <a:solidFill>
          <a:schemeClr val="bg1">
            <a:lumMod val="8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0</xdr:colOff>
      <xdr:row>24</xdr:row>
      <xdr:rowOff>0</xdr:rowOff>
    </xdr:from>
    <xdr:to>
      <xdr:col>8</xdr:col>
      <xdr:colOff>140677</xdr:colOff>
      <xdr:row>24</xdr:row>
      <xdr:rowOff>97631</xdr:rowOff>
    </xdr:to>
    <xdr:sp macro="" textlink="">
      <xdr:nvSpPr>
        <xdr:cNvPr id="36" name="Bevel 3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SpPr/>
      </xdr:nvSpPr>
      <xdr:spPr>
        <a:xfrm>
          <a:off x="9549848" y="5110370"/>
          <a:ext cx="140677" cy="97631"/>
        </a:xfrm>
        <a:prstGeom prst="bevel">
          <a:avLst/>
        </a:prstGeom>
        <a:solidFill>
          <a:srgbClr val="00B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183357</xdr:colOff>
      <xdr:row>24</xdr:row>
      <xdr:rowOff>120255</xdr:rowOff>
    </xdr:from>
    <xdr:to>
      <xdr:col>8</xdr:col>
      <xdr:colOff>321653</xdr:colOff>
      <xdr:row>25</xdr:row>
      <xdr:rowOff>13752</xdr:rowOff>
    </xdr:to>
    <xdr:sp macro="" textlink="">
      <xdr:nvSpPr>
        <xdr:cNvPr id="37" name="Bevel 3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SpPr/>
      </xdr:nvSpPr>
      <xdr:spPr>
        <a:xfrm>
          <a:off x="9733205" y="5230625"/>
          <a:ext cx="138296" cy="100562"/>
        </a:xfrm>
        <a:prstGeom prst="bevel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8037</xdr:colOff>
      <xdr:row>24</xdr:row>
      <xdr:rowOff>129141</xdr:rowOff>
    </xdr:from>
    <xdr:to>
      <xdr:col>8</xdr:col>
      <xdr:colOff>148714</xdr:colOff>
      <xdr:row>25</xdr:row>
      <xdr:rowOff>20456</xdr:rowOff>
    </xdr:to>
    <xdr:sp macro="" textlink="">
      <xdr:nvSpPr>
        <xdr:cNvPr id="38" name="Bevel 3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SpPr/>
      </xdr:nvSpPr>
      <xdr:spPr>
        <a:xfrm>
          <a:off x="9557885" y="5239511"/>
          <a:ext cx="140677" cy="98380"/>
        </a:xfrm>
        <a:prstGeom prst="bevel">
          <a:avLst/>
        </a:prstGeom>
        <a:solidFill>
          <a:srgbClr val="0000FF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183356</xdr:colOff>
      <xdr:row>24</xdr:row>
      <xdr:rowOff>2381</xdr:rowOff>
    </xdr:from>
    <xdr:to>
      <xdr:col>8</xdr:col>
      <xdr:colOff>321652</xdr:colOff>
      <xdr:row>24</xdr:row>
      <xdr:rowOff>100012</xdr:rowOff>
    </xdr:to>
    <xdr:sp macro="" textlink="">
      <xdr:nvSpPr>
        <xdr:cNvPr id="39" name="Bevel 3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SpPr/>
      </xdr:nvSpPr>
      <xdr:spPr>
        <a:xfrm>
          <a:off x="9733204" y="5112751"/>
          <a:ext cx="138296" cy="97631"/>
        </a:xfrm>
        <a:prstGeom prst="bevel">
          <a:avLst/>
        </a:prstGeom>
        <a:solidFill>
          <a:srgbClr val="92D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366712</xdr:colOff>
      <xdr:row>24</xdr:row>
      <xdr:rowOff>2381</xdr:rowOff>
    </xdr:from>
    <xdr:to>
      <xdr:col>8</xdr:col>
      <xdr:colOff>507389</xdr:colOff>
      <xdr:row>24</xdr:row>
      <xdr:rowOff>100012</xdr:rowOff>
    </xdr:to>
    <xdr:sp macro="" textlink="">
      <xdr:nvSpPr>
        <xdr:cNvPr id="40" name="Bevel 3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SpPr/>
      </xdr:nvSpPr>
      <xdr:spPr>
        <a:xfrm>
          <a:off x="9916560" y="5112751"/>
          <a:ext cx="140677" cy="97631"/>
        </a:xfrm>
        <a:prstGeom prst="bevel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364331</xdr:colOff>
      <xdr:row>24</xdr:row>
      <xdr:rowOff>120253</xdr:rowOff>
    </xdr:from>
    <xdr:to>
      <xdr:col>8</xdr:col>
      <xdr:colOff>505008</xdr:colOff>
      <xdr:row>25</xdr:row>
      <xdr:rowOff>13750</xdr:rowOff>
    </xdr:to>
    <xdr:sp macro="" textlink="">
      <xdr:nvSpPr>
        <xdr:cNvPr id="41" name="Bevel 4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SpPr/>
      </xdr:nvSpPr>
      <xdr:spPr>
        <a:xfrm>
          <a:off x="9914179" y="5230623"/>
          <a:ext cx="140677" cy="100562"/>
        </a:xfrm>
        <a:prstGeom prst="bevel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557312</xdr:colOff>
      <xdr:row>24</xdr:row>
      <xdr:rowOff>122735</xdr:rowOff>
    </xdr:from>
    <xdr:to>
      <xdr:col>8</xdr:col>
      <xdr:colOff>695608</xdr:colOff>
      <xdr:row>25</xdr:row>
      <xdr:rowOff>16889</xdr:rowOff>
    </xdr:to>
    <xdr:sp macro="" textlink="">
      <xdr:nvSpPr>
        <xdr:cNvPr id="42" name="Bevel 4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SpPr/>
      </xdr:nvSpPr>
      <xdr:spPr>
        <a:xfrm>
          <a:off x="10107160" y="5233105"/>
          <a:ext cx="138296" cy="101219"/>
        </a:xfrm>
        <a:prstGeom prst="bevel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557311</xdr:colOff>
      <xdr:row>24</xdr:row>
      <xdr:rowOff>5255</xdr:rowOff>
    </xdr:from>
    <xdr:to>
      <xdr:col>8</xdr:col>
      <xdr:colOff>695607</xdr:colOff>
      <xdr:row>24</xdr:row>
      <xdr:rowOff>102492</xdr:rowOff>
    </xdr:to>
    <xdr:sp macro="" textlink="">
      <xdr:nvSpPr>
        <xdr:cNvPr id="43" name="Bevel 4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SpPr/>
      </xdr:nvSpPr>
      <xdr:spPr>
        <a:xfrm>
          <a:off x="10107159" y="5115625"/>
          <a:ext cx="138296" cy="97237"/>
        </a:xfrm>
        <a:prstGeom prst="bevel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737636</xdr:colOff>
      <xdr:row>24</xdr:row>
      <xdr:rowOff>5255</xdr:rowOff>
    </xdr:from>
    <xdr:to>
      <xdr:col>9</xdr:col>
      <xdr:colOff>50052</xdr:colOff>
      <xdr:row>24</xdr:row>
      <xdr:rowOff>102492</xdr:rowOff>
    </xdr:to>
    <xdr:sp macro="" textlink="">
      <xdr:nvSpPr>
        <xdr:cNvPr id="44" name="Bevel 4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SpPr/>
      </xdr:nvSpPr>
      <xdr:spPr>
        <a:xfrm>
          <a:off x="10287484" y="5115625"/>
          <a:ext cx="140677" cy="97237"/>
        </a:xfrm>
        <a:prstGeom prst="bevel">
          <a:avLst/>
        </a:prstGeom>
        <a:solidFill>
          <a:schemeClr val="bg1">
            <a:lumMod val="9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735255</xdr:colOff>
      <xdr:row>24</xdr:row>
      <xdr:rowOff>122733</xdr:rowOff>
    </xdr:from>
    <xdr:to>
      <xdr:col>9</xdr:col>
      <xdr:colOff>47671</xdr:colOff>
      <xdr:row>25</xdr:row>
      <xdr:rowOff>16887</xdr:rowOff>
    </xdr:to>
    <xdr:sp macro="" textlink="">
      <xdr:nvSpPr>
        <xdr:cNvPr id="45" name="Bevel 4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SpPr/>
      </xdr:nvSpPr>
      <xdr:spPr>
        <a:xfrm>
          <a:off x="10285103" y="5233103"/>
          <a:ext cx="140677" cy="101219"/>
        </a:xfrm>
        <a:prstGeom prst="bevel">
          <a:avLst/>
        </a:prstGeom>
        <a:solidFill>
          <a:schemeClr val="bg1">
            <a:lumMod val="8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9</xdr:col>
      <xdr:colOff>113627</xdr:colOff>
      <xdr:row>23</xdr:row>
      <xdr:rowOff>190501</xdr:rowOff>
    </xdr:from>
    <xdr:to>
      <xdr:col>9</xdr:col>
      <xdr:colOff>251923</xdr:colOff>
      <xdr:row>24</xdr:row>
      <xdr:rowOff>90069</xdr:rowOff>
    </xdr:to>
    <xdr:sp macro="" textlink="">
      <xdr:nvSpPr>
        <xdr:cNvPr id="46" name="Bevel 4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SpPr/>
      </xdr:nvSpPr>
      <xdr:spPr>
        <a:xfrm>
          <a:off x="10491736" y="5093805"/>
          <a:ext cx="138296" cy="106634"/>
        </a:xfrm>
        <a:prstGeom prst="bevel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9</xdr:col>
      <xdr:colOff>107674</xdr:colOff>
      <xdr:row>24</xdr:row>
      <xdr:rowOff>102497</xdr:rowOff>
    </xdr:from>
    <xdr:to>
      <xdr:col>9</xdr:col>
      <xdr:colOff>248351</xdr:colOff>
      <xdr:row>25</xdr:row>
      <xdr:rowOff>3828</xdr:rowOff>
    </xdr:to>
    <xdr:sp macro="" textlink="">
      <xdr:nvSpPr>
        <xdr:cNvPr id="47" name="Bevel 4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A00-00002F000000}"/>
            </a:ext>
          </a:extLst>
        </xdr:cNvPr>
        <xdr:cNvSpPr/>
      </xdr:nvSpPr>
      <xdr:spPr>
        <a:xfrm>
          <a:off x="10485783" y="5212867"/>
          <a:ext cx="140677" cy="108396"/>
        </a:xfrm>
        <a:prstGeom prst="bevel">
          <a:avLst/>
        </a:prstGeom>
        <a:solidFill>
          <a:srgbClr val="FBC1EA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9</xdr:col>
      <xdr:colOff>289839</xdr:colOff>
      <xdr:row>23</xdr:row>
      <xdr:rowOff>194073</xdr:rowOff>
    </xdr:from>
    <xdr:to>
      <xdr:col>9</xdr:col>
      <xdr:colOff>428463</xdr:colOff>
      <xdr:row>24</xdr:row>
      <xdr:rowOff>93641</xdr:rowOff>
    </xdr:to>
    <xdr:sp macro="" textlink="">
      <xdr:nvSpPr>
        <xdr:cNvPr id="48" name="Bevel 4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A00-000030000000}"/>
            </a:ext>
          </a:extLst>
        </xdr:cNvPr>
        <xdr:cNvSpPr/>
      </xdr:nvSpPr>
      <xdr:spPr>
        <a:xfrm>
          <a:off x="10667948" y="5097377"/>
          <a:ext cx="138624" cy="106634"/>
        </a:xfrm>
        <a:prstGeom prst="bevel">
          <a:avLst/>
        </a:prstGeom>
        <a:solidFill>
          <a:srgbClr val="FFFF0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9</xdr:col>
      <xdr:colOff>286267</xdr:colOff>
      <xdr:row>24</xdr:row>
      <xdr:rowOff>114404</xdr:rowOff>
    </xdr:from>
    <xdr:to>
      <xdr:col>9</xdr:col>
      <xdr:colOff>424891</xdr:colOff>
      <xdr:row>25</xdr:row>
      <xdr:rowOff>15944</xdr:rowOff>
    </xdr:to>
    <xdr:sp macro="" textlink="">
      <xdr:nvSpPr>
        <xdr:cNvPr id="49" name="Bevel 48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SpPr/>
      </xdr:nvSpPr>
      <xdr:spPr>
        <a:xfrm>
          <a:off x="10664376" y="5224774"/>
          <a:ext cx="138624" cy="108605"/>
        </a:xfrm>
        <a:prstGeom prst="bevel">
          <a:avLst/>
        </a:prstGeom>
        <a:solidFill>
          <a:srgbClr val="99FFCC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0</xdr:colOff>
      <xdr:row>148</xdr:row>
      <xdr:rowOff>0</xdr:rowOff>
    </xdr:from>
    <xdr:to>
      <xdr:col>4</xdr:col>
      <xdr:colOff>142648</xdr:colOff>
      <xdr:row>148</xdr:row>
      <xdr:rowOff>97631</xdr:rowOff>
    </xdr:to>
    <xdr:sp macro="" textlink="">
      <xdr:nvSpPr>
        <xdr:cNvPr id="50" name="Bevel 4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32000000}"/>
            </a:ext>
          </a:extLst>
        </xdr:cNvPr>
        <xdr:cNvSpPr/>
      </xdr:nvSpPr>
      <xdr:spPr>
        <a:xfrm>
          <a:off x="4712804" y="24640761"/>
          <a:ext cx="142648" cy="97631"/>
        </a:xfrm>
        <a:prstGeom prst="bevel">
          <a:avLst/>
        </a:prstGeom>
        <a:solidFill>
          <a:srgbClr val="00B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185328</xdr:colOff>
      <xdr:row>148</xdr:row>
      <xdr:rowOff>120255</xdr:rowOff>
    </xdr:from>
    <xdr:to>
      <xdr:col>4</xdr:col>
      <xdr:colOff>323624</xdr:colOff>
      <xdr:row>149</xdr:row>
      <xdr:rowOff>33583</xdr:rowOff>
    </xdr:to>
    <xdr:sp macro="" textlink="">
      <xdr:nvSpPr>
        <xdr:cNvPr id="51" name="Bevel 5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33000000}"/>
            </a:ext>
          </a:extLst>
        </xdr:cNvPr>
        <xdr:cNvSpPr/>
      </xdr:nvSpPr>
      <xdr:spPr>
        <a:xfrm>
          <a:off x="4898132" y="24761016"/>
          <a:ext cx="138296" cy="103828"/>
        </a:xfrm>
        <a:prstGeom prst="bevel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8037</xdr:colOff>
      <xdr:row>148</xdr:row>
      <xdr:rowOff>129141</xdr:rowOff>
    </xdr:from>
    <xdr:to>
      <xdr:col>4</xdr:col>
      <xdr:colOff>150685</xdr:colOff>
      <xdr:row>149</xdr:row>
      <xdr:rowOff>40287</xdr:rowOff>
    </xdr:to>
    <xdr:sp macro="" textlink="">
      <xdr:nvSpPr>
        <xdr:cNvPr id="52" name="Bevel 5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34000000}"/>
            </a:ext>
          </a:extLst>
        </xdr:cNvPr>
        <xdr:cNvSpPr/>
      </xdr:nvSpPr>
      <xdr:spPr>
        <a:xfrm>
          <a:off x="4720841" y="24769902"/>
          <a:ext cx="142648" cy="101646"/>
        </a:xfrm>
        <a:prstGeom prst="bevel">
          <a:avLst/>
        </a:prstGeom>
        <a:solidFill>
          <a:srgbClr val="0000FF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185327</xdr:colOff>
      <xdr:row>148</xdr:row>
      <xdr:rowOff>2381</xdr:rowOff>
    </xdr:from>
    <xdr:to>
      <xdr:col>4</xdr:col>
      <xdr:colOff>323623</xdr:colOff>
      <xdr:row>148</xdr:row>
      <xdr:rowOff>100012</xdr:rowOff>
    </xdr:to>
    <xdr:sp macro="" textlink="">
      <xdr:nvSpPr>
        <xdr:cNvPr id="53" name="Bevel 5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A00-000035000000}"/>
            </a:ext>
          </a:extLst>
        </xdr:cNvPr>
        <xdr:cNvSpPr/>
      </xdr:nvSpPr>
      <xdr:spPr>
        <a:xfrm>
          <a:off x="4898131" y="24643142"/>
          <a:ext cx="138296" cy="97631"/>
        </a:xfrm>
        <a:prstGeom prst="bevel">
          <a:avLst/>
        </a:prstGeom>
        <a:solidFill>
          <a:srgbClr val="92D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368683</xdr:colOff>
      <xdr:row>148</xdr:row>
      <xdr:rowOff>2381</xdr:rowOff>
    </xdr:from>
    <xdr:to>
      <xdr:col>4</xdr:col>
      <xdr:colOff>509360</xdr:colOff>
      <xdr:row>148</xdr:row>
      <xdr:rowOff>100012</xdr:rowOff>
    </xdr:to>
    <xdr:sp macro="" textlink="">
      <xdr:nvSpPr>
        <xdr:cNvPr id="54" name="Bevel 5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A00-000036000000}"/>
            </a:ext>
          </a:extLst>
        </xdr:cNvPr>
        <xdr:cNvSpPr/>
      </xdr:nvSpPr>
      <xdr:spPr>
        <a:xfrm>
          <a:off x="5081487" y="24643142"/>
          <a:ext cx="140677" cy="97631"/>
        </a:xfrm>
        <a:prstGeom prst="bevel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366302</xdr:colOff>
      <xdr:row>148</xdr:row>
      <xdr:rowOff>120253</xdr:rowOff>
    </xdr:from>
    <xdr:to>
      <xdr:col>4</xdr:col>
      <xdr:colOff>506979</xdr:colOff>
      <xdr:row>149</xdr:row>
      <xdr:rowOff>33581</xdr:rowOff>
    </xdr:to>
    <xdr:sp macro="" textlink="">
      <xdr:nvSpPr>
        <xdr:cNvPr id="55" name="Bevel 5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A00-000037000000}"/>
            </a:ext>
          </a:extLst>
        </xdr:cNvPr>
        <xdr:cNvSpPr/>
      </xdr:nvSpPr>
      <xdr:spPr>
        <a:xfrm>
          <a:off x="5079106" y="24761014"/>
          <a:ext cx="140677" cy="103828"/>
        </a:xfrm>
        <a:prstGeom prst="bevel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559283</xdr:colOff>
      <xdr:row>148</xdr:row>
      <xdr:rowOff>122735</xdr:rowOff>
    </xdr:from>
    <xdr:to>
      <xdr:col>4</xdr:col>
      <xdr:colOff>697579</xdr:colOff>
      <xdr:row>149</xdr:row>
      <xdr:rowOff>36720</xdr:rowOff>
    </xdr:to>
    <xdr:sp macro="" textlink="">
      <xdr:nvSpPr>
        <xdr:cNvPr id="56" name="Bevel 5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A00-000038000000}"/>
            </a:ext>
          </a:extLst>
        </xdr:cNvPr>
        <xdr:cNvSpPr/>
      </xdr:nvSpPr>
      <xdr:spPr>
        <a:xfrm>
          <a:off x="5272087" y="24763496"/>
          <a:ext cx="138296" cy="104485"/>
        </a:xfrm>
        <a:prstGeom prst="bevel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559282</xdr:colOff>
      <xdr:row>148</xdr:row>
      <xdr:rowOff>5255</xdr:rowOff>
    </xdr:from>
    <xdr:to>
      <xdr:col>4</xdr:col>
      <xdr:colOff>697578</xdr:colOff>
      <xdr:row>148</xdr:row>
      <xdr:rowOff>102492</xdr:rowOff>
    </xdr:to>
    <xdr:sp macro="" textlink="">
      <xdr:nvSpPr>
        <xdr:cNvPr id="57" name="Bevel 5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A00-000039000000}"/>
            </a:ext>
          </a:extLst>
        </xdr:cNvPr>
        <xdr:cNvSpPr/>
      </xdr:nvSpPr>
      <xdr:spPr>
        <a:xfrm>
          <a:off x="5272086" y="24646016"/>
          <a:ext cx="138296" cy="97237"/>
        </a:xfrm>
        <a:prstGeom prst="bevel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739607</xdr:colOff>
      <xdr:row>148</xdr:row>
      <xdr:rowOff>5255</xdr:rowOff>
    </xdr:from>
    <xdr:to>
      <xdr:col>4</xdr:col>
      <xdr:colOff>880284</xdr:colOff>
      <xdr:row>148</xdr:row>
      <xdr:rowOff>102492</xdr:rowOff>
    </xdr:to>
    <xdr:sp macro="" textlink="">
      <xdr:nvSpPr>
        <xdr:cNvPr id="58" name="Bevel 5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A00-00003A000000}"/>
            </a:ext>
          </a:extLst>
        </xdr:cNvPr>
        <xdr:cNvSpPr/>
      </xdr:nvSpPr>
      <xdr:spPr>
        <a:xfrm>
          <a:off x="5452411" y="24646016"/>
          <a:ext cx="140677" cy="97237"/>
        </a:xfrm>
        <a:prstGeom prst="bevel">
          <a:avLst/>
        </a:prstGeom>
        <a:solidFill>
          <a:schemeClr val="bg1">
            <a:lumMod val="9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737226</xdr:colOff>
      <xdr:row>148</xdr:row>
      <xdr:rowOff>122733</xdr:rowOff>
    </xdr:from>
    <xdr:to>
      <xdr:col>4</xdr:col>
      <xdr:colOff>877903</xdr:colOff>
      <xdr:row>149</xdr:row>
      <xdr:rowOff>36718</xdr:rowOff>
    </xdr:to>
    <xdr:sp macro="" textlink="">
      <xdr:nvSpPr>
        <xdr:cNvPr id="59" name="Bevel 5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A00-00003B000000}"/>
            </a:ext>
          </a:extLst>
        </xdr:cNvPr>
        <xdr:cNvSpPr/>
      </xdr:nvSpPr>
      <xdr:spPr>
        <a:xfrm>
          <a:off x="5450030" y="24763494"/>
          <a:ext cx="140677" cy="104485"/>
        </a:xfrm>
        <a:prstGeom prst="bevel">
          <a:avLst/>
        </a:prstGeom>
        <a:solidFill>
          <a:schemeClr val="bg1">
            <a:lumMod val="8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918752</xdr:colOff>
      <xdr:row>148</xdr:row>
      <xdr:rowOff>0</xdr:rowOff>
    </xdr:from>
    <xdr:to>
      <xdr:col>4</xdr:col>
      <xdr:colOff>1057048</xdr:colOff>
      <xdr:row>148</xdr:row>
      <xdr:rowOff>106634</xdr:rowOff>
    </xdr:to>
    <xdr:sp macro="" textlink="">
      <xdr:nvSpPr>
        <xdr:cNvPr id="60" name="Bevel 5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A00-00003C000000}"/>
            </a:ext>
          </a:extLst>
        </xdr:cNvPr>
        <xdr:cNvSpPr/>
      </xdr:nvSpPr>
      <xdr:spPr>
        <a:xfrm>
          <a:off x="5631556" y="24640761"/>
          <a:ext cx="138296" cy="106634"/>
        </a:xfrm>
        <a:prstGeom prst="bevel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912799</xdr:colOff>
      <xdr:row>148</xdr:row>
      <xdr:rowOff>119062</xdr:rowOff>
    </xdr:from>
    <xdr:to>
      <xdr:col>4</xdr:col>
      <xdr:colOff>1053476</xdr:colOff>
      <xdr:row>149</xdr:row>
      <xdr:rowOff>36958</xdr:rowOff>
    </xdr:to>
    <xdr:sp macro="" textlink="">
      <xdr:nvSpPr>
        <xdr:cNvPr id="61" name="Bevel 60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A00-00003D000000}"/>
            </a:ext>
          </a:extLst>
        </xdr:cNvPr>
        <xdr:cNvSpPr/>
      </xdr:nvSpPr>
      <xdr:spPr>
        <a:xfrm>
          <a:off x="5625603" y="24759823"/>
          <a:ext cx="140677" cy="108396"/>
        </a:xfrm>
        <a:prstGeom prst="bevel">
          <a:avLst/>
        </a:prstGeom>
        <a:solidFill>
          <a:srgbClr val="FBC1EA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1094964</xdr:colOff>
      <xdr:row>148</xdr:row>
      <xdr:rowOff>3572</xdr:rowOff>
    </xdr:from>
    <xdr:to>
      <xdr:col>4</xdr:col>
      <xdr:colOff>1233588</xdr:colOff>
      <xdr:row>148</xdr:row>
      <xdr:rowOff>110206</xdr:rowOff>
    </xdr:to>
    <xdr:sp macro="" textlink="">
      <xdr:nvSpPr>
        <xdr:cNvPr id="62" name="Bevel 6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A00-00003E000000}"/>
            </a:ext>
          </a:extLst>
        </xdr:cNvPr>
        <xdr:cNvSpPr/>
      </xdr:nvSpPr>
      <xdr:spPr>
        <a:xfrm>
          <a:off x="5807768" y="24644333"/>
          <a:ext cx="138624" cy="106634"/>
        </a:xfrm>
        <a:prstGeom prst="bevel">
          <a:avLst/>
        </a:prstGeom>
        <a:solidFill>
          <a:srgbClr val="FFFF0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1091392</xdr:colOff>
      <xdr:row>148</xdr:row>
      <xdr:rowOff>130969</xdr:rowOff>
    </xdr:from>
    <xdr:to>
      <xdr:col>4</xdr:col>
      <xdr:colOff>1230016</xdr:colOff>
      <xdr:row>149</xdr:row>
      <xdr:rowOff>49074</xdr:rowOff>
    </xdr:to>
    <xdr:sp macro="" textlink="">
      <xdr:nvSpPr>
        <xdr:cNvPr id="63" name="Bevel 62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A00-00003F000000}"/>
            </a:ext>
          </a:extLst>
        </xdr:cNvPr>
        <xdr:cNvSpPr/>
      </xdr:nvSpPr>
      <xdr:spPr>
        <a:xfrm>
          <a:off x="5804196" y="24771730"/>
          <a:ext cx="138624" cy="108605"/>
        </a:xfrm>
        <a:prstGeom prst="bevel">
          <a:avLst/>
        </a:prstGeom>
        <a:solidFill>
          <a:srgbClr val="99FFCC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0</xdr:colOff>
      <xdr:row>127</xdr:row>
      <xdr:rowOff>0</xdr:rowOff>
    </xdr:from>
    <xdr:to>
      <xdr:col>11</xdr:col>
      <xdr:colOff>142648</xdr:colOff>
      <xdr:row>127</xdr:row>
      <xdr:rowOff>97631</xdr:rowOff>
    </xdr:to>
    <xdr:sp macro="" textlink="">
      <xdr:nvSpPr>
        <xdr:cNvPr id="64" name="Bevel 6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40000000}"/>
            </a:ext>
          </a:extLst>
        </xdr:cNvPr>
        <xdr:cNvSpPr/>
      </xdr:nvSpPr>
      <xdr:spPr>
        <a:xfrm>
          <a:off x="12283109" y="20640261"/>
          <a:ext cx="142648" cy="97631"/>
        </a:xfrm>
        <a:prstGeom prst="bevel">
          <a:avLst/>
        </a:prstGeom>
        <a:solidFill>
          <a:srgbClr val="00B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185328</xdr:colOff>
      <xdr:row>127</xdr:row>
      <xdr:rowOff>120255</xdr:rowOff>
    </xdr:from>
    <xdr:to>
      <xdr:col>11</xdr:col>
      <xdr:colOff>323624</xdr:colOff>
      <xdr:row>128</xdr:row>
      <xdr:rowOff>33583</xdr:rowOff>
    </xdr:to>
    <xdr:sp macro="" textlink="">
      <xdr:nvSpPr>
        <xdr:cNvPr id="65" name="Bevel 6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41000000}"/>
            </a:ext>
          </a:extLst>
        </xdr:cNvPr>
        <xdr:cNvSpPr/>
      </xdr:nvSpPr>
      <xdr:spPr>
        <a:xfrm>
          <a:off x="12468437" y="20760516"/>
          <a:ext cx="138296" cy="103828"/>
        </a:xfrm>
        <a:prstGeom prst="bevel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8037</xdr:colOff>
      <xdr:row>127</xdr:row>
      <xdr:rowOff>129141</xdr:rowOff>
    </xdr:from>
    <xdr:to>
      <xdr:col>11</xdr:col>
      <xdr:colOff>150685</xdr:colOff>
      <xdr:row>128</xdr:row>
      <xdr:rowOff>40287</xdr:rowOff>
    </xdr:to>
    <xdr:sp macro="" textlink="">
      <xdr:nvSpPr>
        <xdr:cNvPr id="66" name="Bevel 6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42000000}"/>
            </a:ext>
          </a:extLst>
        </xdr:cNvPr>
        <xdr:cNvSpPr/>
      </xdr:nvSpPr>
      <xdr:spPr>
        <a:xfrm>
          <a:off x="12291146" y="20769402"/>
          <a:ext cx="142648" cy="101646"/>
        </a:xfrm>
        <a:prstGeom prst="bevel">
          <a:avLst/>
        </a:prstGeom>
        <a:solidFill>
          <a:srgbClr val="0000FF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185327</xdr:colOff>
      <xdr:row>127</xdr:row>
      <xdr:rowOff>2381</xdr:rowOff>
    </xdr:from>
    <xdr:to>
      <xdr:col>11</xdr:col>
      <xdr:colOff>323623</xdr:colOff>
      <xdr:row>127</xdr:row>
      <xdr:rowOff>100012</xdr:rowOff>
    </xdr:to>
    <xdr:sp macro="" textlink="">
      <xdr:nvSpPr>
        <xdr:cNvPr id="67" name="Bevel 6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A00-000043000000}"/>
            </a:ext>
          </a:extLst>
        </xdr:cNvPr>
        <xdr:cNvSpPr/>
      </xdr:nvSpPr>
      <xdr:spPr>
        <a:xfrm>
          <a:off x="12468436" y="20642642"/>
          <a:ext cx="138296" cy="97631"/>
        </a:xfrm>
        <a:prstGeom prst="bevel">
          <a:avLst/>
        </a:prstGeom>
        <a:solidFill>
          <a:srgbClr val="92D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368683</xdr:colOff>
      <xdr:row>127</xdr:row>
      <xdr:rowOff>2381</xdr:rowOff>
    </xdr:from>
    <xdr:to>
      <xdr:col>11</xdr:col>
      <xdr:colOff>509360</xdr:colOff>
      <xdr:row>127</xdr:row>
      <xdr:rowOff>100012</xdr:rowOff>
    </xdr:to>
    <xdr:sp macro="" textlink="">
      <xdr:nvSpPr>
        <xdr:cNvPr id="68" name="Bevel 6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A00-000044000000}"/>
            </a:ext>
          </a:extLst>
        </xdr:cNvPr>
        <xdr:cNvSpPr/>
      </xdr:nvSpPr>
      <xdr:spPr>
        <a:xfrm>
          <a:off x="12651792" y="20642642"/>
          <a:ext cx="140677" cy="97631"/>
        </a:xfrm>
        <a:prstGeom prst="bevel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366302</xdr:colOff>
      <xdr:row>127</xdr:row>
      <xdr:rowOff>120253</xdr:rowOff>
    </xdr:from>
    <xdr:to>
      <xdr:col>11</xdr:col>
      <xdr:colOff>506979</xdr:colOff>
      <xdr:row>128</xdr:row>
      <xdr:rowOff>33581</xdr:rowOff>
    </xdr:to>
    <xdr:sp macro="" textlink="">
      <xdr:nvSpPr>
        <xdr:cNvPr id="69" name="Bevel 6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A00-000045000000}"/>
            </a:ext>
          </a:extLst>
        </xdr:cNvPr>
        <xdr:cNvSpPr/>
      </xdr:nvSpPr>
      <xdr:spPr>
        <a:xfrm>
          <a:off x="12649411" y="20760514"/>
          <a:ext cx="140677" cy="103828"/>
        </a:xfrm>
        <a:prstGeom prst="bevel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559283</xdr:colOff>
      <xdr:row>127</xdr:row>
      <xdr:rowOff>122735</xdr:rowOff>
    </xdr:from>
    <xdr:to>
      <xdr:col>11</xdr:col>
      <xdr:colOff>697579</xdr:colOff>
      <xdr:row>128</xdr:row>
      <xdr:rowOff>36720</xdr:rowOff>
    </xdr:to>
    <xdr:sp macro="" textlink="">
      <xdr:nvSpPr>
        <xdr:cNvPr id="70" name="Bevel 6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A00-000046000000}"/>
            </a:ext>
          </a:extLst>
        </xdr:cNvPr>
        <xdr:cNvSpPr/>
      </xdr:nvSpPr>
      <xdr:spPr>
        <a:xfrm>
          <a:off x="12842392" y="20762996"/>
          <a:ext cx="138296" cy="104485"/>
        </a:xfrm>
        <a:prstGeom prst="bevel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559282</xdr:colOff>
      <xdr:row>127</xdr:row>
      <xdr:rowOff>5255</xdr:rowOff>
    </xdr:from>
    <xdr:to>
      <xdr:col>11</xdr:col>
      <xdr:colOff>697578</xdr:colOff>
      <xdr:row>127</xdr:row>
      <xdr:rowOff>102492</xdr:rowOff>
    </xdr:to>
    <xdr:sp macro="" textlink="">
      <xdr:nvSpPr>
        <xdr:cNvPr id="71" name="Bevel 7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A00-000047000000}"/>
            </a:ext>
          </a:extLst>
        </xdr:cNvPr>
        <xdr:cNvSpPr/>
      </xdr:nvSpPr>
      <xdr:spPr>
        <a:xfrm>
          <a:off x="12842391" y="20645516"/>
          <a:ext cx="138296" cy="97237"/>
        </a:xfrm>
        <a:prstGeom prst="bevel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739607</xdr:colOff>
      <xdr:row>127</xdr:row>
      <xdr:rowOff>5255</xdr:rowOff>
    </xdr:from>
    <xdr:to>
      <xdr:col>12</xdr:col>
      <xdr:colOff>43741</xdr:colOff>
      <xdr:row>127</xdr:row>
      <xdr:rowOff>102492</xdr:rowOff>
    </xdr:to>
    <xdr:sp macro="" textlink="">
      <xdr:nvSpPr>
        <xdr:cNvPr id="72" name="Bevel 7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A00-000048000000}"/>
            </a:ext>
          </a:extLst>
        </xdr:cNvPr>
        <xdr:cNvSpPr/>
      </xdr:nvSpPr>
      <xdr:spPr>
        <a:xfrm>
          <a:off x="13022716" y="20645516"/>
          <a:ext cx="140677" cy="97237"/>
        </a:xfrm>
        <a:prstGeom prst="bevel">
          <a:avLst/>
        </a:prstGeom>
        <a:solidFill>
          <a:schemeClr val="bg1">
            <a:lumMod val="9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737226</xdr:colOff>
      <xdr:row>127</xdr:row>
      <xdr:rowOff>122733</xdr:rowOff>
    </xdr:from>
    <xdr:to>
      <xdr:col>12</xdr:col>
      <xdr:colOff>41360</xdr:colOff>
      <xdr:row>128</xdr:row>
      <xdr:rowOff>36718</xdr:rowOff>
    </xdr:to>
    <xdr:sp macro="" textlink="">
      <xdr:nvSpPr>
        <xdr:cNvPr id="73" name="Bevel 7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A00-000049000000}"/>
            </a:ext>
          </a:extLst>
        </xdr:cNvPr>
        <xdr:cNvSpPr/>
      </xdr:nvSpPr>
      <xdr:spPr>
        <a:xfrm>
          <a:off x="13020335" y="20762994"/>
          <a:ext cx="140677" cy="104485"/>
        </a:xfrm>
        <a:prstGeom prst="bevel">
          <a:avLst/>
        </a:prstGeom>
        <a:solidFill>
          <a:schemeClr val="bg1">
            <a:lumMod val="8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12</xdr:col>
      <xdr:colOff>82209</xdr:colOff>
      <xdr:row>127</xdr:row>
      <xdr:rowOff>0</xdr:rowOff>
    </xdr:from>
    <xdr:to>
      <xdr:col>12</xdr:col>
      <xdr:colOff>220505</xdr:colOff>
      <xdr:row>127</xdr:row>
      <xdr:rowOff>106634</xdr:rowOff>
    </xdr:to>
    <xdr:sp macro="" textlink="">
      <xdr:nvSpPr>
        <xdr:cNvPr id="74" name="Bevel 7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A00-00004A000000}"/>
            </a:ext>
          </a:extLst>
        </xdr:cNvPr>
        <xdr:cNvSpPr/>
      </xdr:nvSpPr>
      <xdr:spPr>
        <a:xfrm>
          <a:off x="13201861" y="20640261"/>
          <a:ext cx="138296" cy="106634"/>
        </a:xfrm>
        <a:prstGeom prst="bevel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12</xdr:col>
      <xdr:colOff>76256</xdr:colOff>
      <xdr:row>127</xdr:row>
      <xdr:rowOff>119062</xdr:rowOff>
    </xdr:from>
    <xdr:to>
      <xdr:col>12</xdr:col>
      <xdr:colOff>216933</xdr:colOff>
      <xdr:row>128</xdr:row>
      <xdr:rowOff>36958</xdr:rowOff>
    </xdr:to>
    <xdr:sp macro="" textlink="">
      <xdr:nvSpPr>
        <xdr:cNvPr id="75" name="Bevel 7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A00-00004B000000}"/>
            </a:ext>
          </a:extLst>
        </xdr:cNvPr>
        <xdr:cNvSpPr/>
      </xdr:nvSpPr>
      <xdr:spPr>
        <a:xfrm>
          <a:off x="13195908" y="20759323"/>
          <a:ext cx="140677" cy="108396"/>
        </a:xfrm>
        <a:prstGeom prst="bevel">
          <a:avLst/>
        </a:prstGeom>
        <a:solidFill>
          <a:srgbClr val="FBC1EA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12</xdr:col>
      <xdr:colOff>258421</xdr:colOff>
      <xdr:row>127</xdr:row>
      <xdr:rowOff>3572</xdr:rowOff>
    </xdr:from>
    <xdr:to>
      <xdr:col>12</xdr:col>
      <xdr:colOff>397045</xdr:colOff>
      <xdr:row>127</xdr:row>
      <xdr:rowOff>110206</xdr:rowOff>
    </xdr:to>
    <xdr:sp macro="" textlink="">
      <xdr:nvSpPr>
        <xdr:cNvPr id="76" name="Bevel 75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A00-00004C000000}"/>
            </a:ext>
          </a:extLst>
        </xdr:cNvPr>
        <xdr:cNvSpPr/>
      </xdr:nvSpPr>
      <xdr:spPr>
        <a:xfrm>
          <a:off x="13378073" y="20643833"/>
          <a:ext cx="138624" cy="106634"/>
        </a:xfrm>
        <a:prstGeom prst="bevel">
          <a:avLst/>
        </a:prstGeom>
        <a:solidFill>
          <a:srgbClr val="FFFF0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12</xdr:col>
      <xdr:colOff>254849</xdr:colOff>
      <xdr:row>127</xdr:row>
      <xdr:rowOff>130969</xdr:rowOff>
    </xdr:from>
    <xdr:to>
      <xdr:col>12</xdr:col>
      <xdr:colOff>393473</xdr:colOff>
      <xdr:row>128</xdr:row>
      <xdr:rowOff>49074</xdr:rowOff>
    </xdr:to>
    <xdr:sp macro="" textlink="">
      <xdr:nvSpPr>
        <xdr:cNvPr id="77" name="Bevel 76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A00-00004D000000}"/>
            </a:ext>
          </a:extLst>
        </xdr:cNvPr>
        <xdr:cNvSpPr/>
      </xdr:nvSpPr>
      <xdr:spPr>
        <a:xfrm>
          <a:off x="13374501" y="20771230"/>
          <a:ext cx="138624" cy="108605"/>
        </a:xfrm>
        <a:prstGeom prst="bevel">
          <a:avLst/>
        </a:prstGeom>
        <a:solidFill>
          <a:srgbClr val="99FFCC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8</xdr:col>
      <xdr:colOff>142875</xdr:colOff>
      <xdr:row>35</xdr:row>
      <xdr:rowOff>31060</xdr:rowOff>
    </xdr:to>
    <xdr:sp macro="" textlink="">
      <xdr:nvSpPr>
        <xdr:cNvPr id="78" name="Up-Down Arrow 77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A00-00004E000000}"/>
            </a:ext>
          </a:extLst>
        </xdr:cNvPr>
        <xdr:cNvSpPr/>
      </xdr:nvSpPr>
      <xdr:spPr>
        <a:xfrm>
          <a:off x="9549848" y="7181022"/>
          <a:ext cx="142875" cy="238125"/>
        </a:xfrm>
        <a:prstGeom prst="upDownArrow">
          <a:avLst/>
        </a:prstGeom>
        <a:solidFill>
          <a:srgbClr val="99FFCC">
            <a:alpha val="9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0</xdr:colOff>
      <xdr:row>133</xdr:row>
      <xdr:rowOff>0</xdr:rowOff>
    </xdr:from>
    <xdr:to>
      <xdr:col>8</xdr:col>
      <xdr:colOff>142875</xdr:colOff>
      <xdr:row>134</xdr:row>
      <xdr:rowOff>47625</xdr:rowOff>
    </xdr:to>
    <xdr:sp macro="" textlink="">
      <xdr:nvSpPr>
        <xdr:cNvPr id="79" name="Up-Down Arrow 7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A00-00004F000000}"/>
            </a:ext>
          </a:extLst>
        </xdr:cNvPr>
        <xdr:cNvSpPr/>
      </xdr:nvSpPr>
      <xdr:spPr>
        <a:xfrm>
          <a:off x="9549848" y="21783261"/>
          <a:ext cx="142875" cy="238125"/>
        </a:xfrm>
        <a:prstGeom prst="upDownArrow">
          <a:avLst/>
        </a:prstGeom>
        <a:solidFill>
          <a:srgbClr val="99FFCC">
            <a:alpha val="93000"/>
          </a:srgbClr>
        </a:soli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55</xdr:row>
      <xdr:rowOff>0</xdr:rowOff>
    </xdr:from>
    <xdr:to>
      <xdr:col>11</xdr:col>
      <xdr:colOff>140677</xdr:colOff>
      <xdr:row>55</xdr:row>
      <xdr:rowOff>97631</xdr:rowOff>
    </xdr:to>
    <xdr:sp macro="" textlink="">
      <xdr:nvSpPr>
        <xdr:cNvPr id="54" name="Bevel 5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36000000}"/>
            </a:ext>
          </a:extLst>
        </xdr:cNvPr>
        <xdr:cNvSpPr/>
      </xdr:nvSpPr>
      <xdr:spPr>
        <a:xfrm>
          <a:off x="8332304" y="12233413"/>
          <a:ext cx="140677" cy="97631"/>
        </a:xfrm>
        <a:prstGeom prst="bevel">
          <a:avLst/>
        </a:prstGeom>
        <a:solidFill>
          <a:srgbClr val="00B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183356</xdr:colOff>
      <xdr:row>55</xdr:row>
      <xdr:rowOff>2381</xdr:rowOff>
    </xdr:from>
    <xdr:to>
      <xdr:col>11</xdr:col>
      <xdr:colOff>321652</xdr:colOff>
      <xdr:row>55</xdr:row>
      <xdr:rowOff>100012</xdr:rowOff>
    </xdr:to>
    <xdr:sp macro="" textlink="">
      <xdr:nvSpPr>
        <xdr:cNvPr id="57" name="Bevel 5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39000000}"/>
            </a:ext>
          </a:extLst>
        </xdr:cNvPr>
        <xdr:cNvSpPr/>
      </xdr:nvSpPr>
      <xdr:spPr>
        <a:xfrm>
          <a:off x="8515660" y="12235794"/>
          <a:ext cx="138296" cy="97631"/>
        </a:xfrm>
        <a:prstGeom prst="bevel">
          <a:avLst/>
        </a:prstGeom>
        <a:solidFill>
          <a:srgbClr val="92D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366712</xdr:colOff>
      <xdr:row>55</xdr:row>
      <xdr:rowOff>2381</xdr:rowOff>
    </xdr:from>
    <xdr:to>
      <xdr:col>11</xdr:col>
      <xdr:colOff>507389</xdr:colOff>
      <xdr:row>55</xdr:row>
      <xdr:rowOff>100012</xdr:rowOff>
    </xdr:to>
    <xdr:sp macro="" textlink="">
      <xdr:nvSpPr>
        <xdr:cNvPr id="58" name="Bevel 5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3A000000}"/>
            </a:ext>
          </a:extLst>
        </xdr:cNvPr>
        <xdr:cNvSpPr/>
      </xdr:nvSpPr>
      <xdr:spPr>
        <a:xfrm>
          <a:off x="8699016" y="12235794"/>
          <a:ext cx="140677" cy="97631"/>
        </a:xfrm>
        <a:prstGeom prst="bevel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557311</xdr:colOff>
      <xdr:row>55</xdr:row>
      <xdr:rowOff>5255</xdr:rowOff>
    </xdr:from>
    <xdr:to>
      <xdr:col>11</xdr:col>
      <xdr:colOff>695607</xdr:colOff>
      <xdr:row>55</xdr:row>
      <xdr:rowOff>102492</xdr:rowOff>
    </xdr:to>
    <xdr:sp macro="" textlink="">
      <xdr:nvSpPr>
        <xdr:cNvPr id="61" name="Bevel 6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B00-00003D000000}"/>
            </a:ext>
          </a:extLst>
        </xdr:cNvPr>
        <xdr:cNvSpPr/>
      </xdr:nvSpPr>
      <xdr:spPr>
        <a:xfrm>
          <a:off x="8889615" y="12238668"/>
          <a:ext cx="138296" cy="97237"/>
        </a:xfrm>
        <a:prstGeom prst="bevel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737636</xdr:colOff>
      <xdr:row>55</xdr:row>
      <xdr:rowOff>5255</xdr:rowOff>
    </xdr:from>
    <xdr:to>
      <xdr:col>11</xdr:col>
      <xdr:colOff>878313</xdr:colOff>
      <xdr:row>55</xdr:row>
      <xdr:rowOff>102492</xdr:rowOff>
    </xdr:to>
    <xdr:sp macro="" textlink="">
      <xdr:nvSpPr>
        <xdr:cNvPr id="62" name="Bevel 6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B00-00003E000000}"/>
            </a:ext>
          </a:extLst>
        </xdr:cNvPr>
        <xdr:cNvSpPr/>
      </xdr:nvSpPr>
      <xdr:spPr>
        <a:xfrm>
          <a:off x="9069940" y="12238668"/>
          <a:ext cx="140677" cy="97237"/>
        </a:xfrm>
        <a:prstGeom prst="bevel">
          <a:avLst/>
        </a:prstGeom>
        <a:solidFill>
          <a:schemeClr val="bg1">
            <a:lumMod val="9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183357</xdr:colOff>
      <xdr:row>76</xdr:row>
      <xdr:rowOff>120255</xdr:rowOff>
    </xdr:from>
    <xdr:to>
      <xdr:col>11</xdr:col>
      <xdr:colOff>321653</xdr:colOff>
      <xdr:row>77</xdr:row>
      <xdr:rowOff>13752</xdr:rowOff>
    </xdr:to>
    <xdr:sp macro="" textlink="">
      <xdr:nvSpPr>
        <xdr:cNvPr id="65" name="Bevel 6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B00-000041000000}"/>
            </a:ext>
          </a:extLst>
        </xdr:cNvPr>
        <xdr:cNvSpPr/>
      </xdr:nvSpPr>
      <xdr:spPr>
        <a:xfrm>
          <a:off x="8515661" y="16702038"/>
          <a:ext cx="138296" cy="100562"/>
        </a:xfrm>
        <a:prstGeom prst="bevel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8037</xdr:colOff>
      <xdr:row>76</xdr:row>
      <xdr:rowOff>129141</xdr:rowOff>
    </xdr:from>
    <xdr:to>
      <xdr:col>11</xdr:col>
      <xdr:colOff>148714</xdr:colOff>
      <xdr:row>77</xdr:row>
      <xdr:rowOff>20456</xdr:rowOff>
    </xdr:to>
    <xdr:sp macro="" textlink="">
      <xdr:nvSpPr>
        <xdr:cNvPr id="66" name="Bevel 6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B00-000042000000}"/>
            </a:ext>
          </a:extLst>
        </xdr:cNvPr>
        <xdr:cNvSpPr/>
      </xdr:nvSpPr>
      <xdr:spPr>
        <a:xfrm>
          <a:off x="8340341" y="16710924"/>
          <a:ext cx="140677" cy="98380"/>
        </a:xfrm>
        <a:prstGeom prst="bevel">
          <a:avLst/>
        </a:prstGeom>
        <a:solidFill>
          <a:srgbClr val="0000FF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364331</xdr:colOff>
      <xdr:row>76</xdr:row>
      <xdr:rowOff>120253</xdr:rowOff>
    </xdr:from>
    <xdr:to>
      <xdr:col>11</xdr:col>
      <xdr:colOff>505008</xdr:colOff>
      <xdr:row>77</xdr:row>
      <xdr:rowOff>13750</xdr:rowOff>
    </xdr:to>
    <xdr:sp macro="" textlink="">
      <xdr:nvSpPr>
        <xdr:cNvPr id="69" name="Bevel 6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B00-000045000000}"/>
            </a:ext>
          </a:extLst>
        </xdr:cNvPr>
        <xdr:cNvSpPr/>
      </xdr:nvSpPr>
      <xdr:spPr>
        <a:xfrm>
          <a:off x="8696635" y="16702036"/>
          <a:ext cx="140677" cy="100562"/>
        </a:xfrm>
        <a:prstGeom prst="bevel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557312</xdr:colOff>
      <xdr:row>76</xdr:row>
      <xdr:rowOff>122735</xdr:rowOff>
    </xdr:from>
    <xdr:to>
      <xdr:col>11</xdr:col>
      <xdr:colOff>695608</xdr:colOff>
      <xdr:row>77</xdr:row>
      <xdr:rowOff>16889</xdr:rowOff>
    </xdr:to>
    <xdr:sp macro="" textlink="">
      <xdr:nvSpPr>
        <xdr:cNvPr id="70" name="Bevel 6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B00-000046000000}"/>
            </a:ext>
          </a:extLst>
        </xdr:cNvPr>
        <xdr:cNvSpPr/>
      </xdr:nvSpPr>
      <xdr:spPr>
        <a:xfrm>
          <a:off x="8889616" y="16704518"/>
          <a:ext cx="138296" cy="101219"/>
        </a:xfrm>
        <a:prstGeom prst="bevel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735255</xdr:colOff>
      <xdr:row>76</xdr:row>
      <xdr:rowOff>122733</xdr:rowOff>
    </xdr:from>
    <xdr:to>
      <xdr:col>11</xdr:col>
      <xdr:colOff>875932</xdr:colOff>
      <xdr:row>77</xdr:row>
      <xdr:rowOff>16887</xdr:rowOff>
    </xdr:to>
    <xdr:sp macro="" textlink="">
      <xdr:nvSpPr>
        <xdr:cNvPr id="73" name="Bevel 7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B00-000049000000}"/>
            </a:ext>
          </a:extLst>
        </xdr:cNvPr>
        <xdr:cNvSpPr/>
      </xdr:nvSpPr>
      <xdr:spPr>
        <a:xfrm>
          <a:off x="9067559" y="16704516"/>
          <a:ext cx="140677" cy="101219"/>
        </a:xfrm>
        <a:prstGeom prst="bevel">
          <a:avLst/>
        </a:prstGeom>
        <a:solidFill>
          <a:schemeClr val="bg1">
            <a:lumMod val="8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59080</xdr:colOff>
      <xdr:row>93</xdr:row>
      <xdr:rowOff>115159</xdr:rowOff>
    </xdr:from>
    <xdr:to>
      <xdr:col>11</xdr:col>
      <xdr:colOff>197376</xdr:colOff>
      <xdr:row>93</xdr:row>
      <xdr:rowOff>212396</xdr:rowOff>
    </xdr:to>
    <xdr:sp macro="" textlink="">
      <xdr:nvSpPr>
        <xdr:cNvPr id="81" name="Bevel 8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B00-000051000000}"/>
            </a:ext>
          </a:extLst>
        </xdr:cNvPr>
        <xdr:cNvSpPr/>
      </xdr:nvSpPr>
      <xdr:spPr>
        <a:xfrm>
          <a:off x="8389792" y="20952928"/>
          <a:ext cx="138296" cy="97237"/>
        </a:xfrm>
        <a:prstGeom prst="bevel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239405</xdr:colOff>
      <xdr:row>93</xdr:row>
      <xdr:rowOff>115159</xdr:rowOff>
    </xdr:from>
    <xdr:to>
      <xdr:col>11</xdr:col>
      <xdr:colOff>380082</xdr:colOff>
      <xdr:row>93</xdr:row>
      <xdr:rowOff>212396</xdr:rowOff>
    </xdr:to>
    <xdr:sp macro="" textlink="">
      <xdr:nvSpPr>
        <xdr:cNvPr id="82" name="Bevel 8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B00-000052000000}"/>
            </a:ext>
          </a:extLst>
        </xdr:cNvPr>
        <xdr:cNvSpPr/>
      </xdr:nvSpPr>
      <xdr:spPr>
        <a:xfrm>
          <a:off x="8570117" y="20952928"/>
          <a:ext cx="140677" cy="97237"/>
        </a:xfrm>
        <a:prstGeom prst="bevel">
          <a:avLst/>
        </a:prstGeom>
        <a:solidFill>
          <a:schemeClr val="bg1">
            <a:lumMod val="9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0</xdr:colOff>
      <xdr:row>202</xdr:row>
      <xdr:rowOff>0</xdr:rowOff>
    </xdr:from>
    <xdr:to>
      <xdr:col>8</xdr:col>
      <xdr:colOff>140677</xdr:colOff>
      <xdr:row>202</xdr:row>
      <xdr:rowOff>97631</xdr:rowOff>
    </xdr:to>
    <xdr:sp macro="" textlink="">
      <xdr:nvSpPr>
        <xdr:cNvPr id="104" name="Bevel 10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68000000}"/>
            </a:ext>
          </a:extLst>
        </xdr:cNvPr>
        <xdr:cNvSpPr/>
      </xdr:nvSpPr>
      <xdr:spPr>
        <a:xfrm>
          <a:off x="5938630" y="42017674"/>
          <a:ext cx="140677" cy="97631"/>
        </a:xfrm>
        <a:prstGeom prst="bevel">
          <a:avLst/>
        </a:prstGeom>
        <a:solidFill>
          <a:srgbClr val="00B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183357</xdr:colOff>
      <xdr:row>202</xdr:row>
      <xdr:rowOff>120255</xdr:rowOff>
    </xdr:from>
    <xdr:to>
      <xdr:col>8</xdr:col>
      <xdr:colOff>321653</xdr:colOff>
      <xdr:row>203</xdr:row>
      <xdr:rowOff>13752</xdr:rowOff>
    </xdr:to>
    <xdr:sp macro="" textlink="">
      <xdr:nvSpPr>
        <xdr:cNvPr id="105" name="Bevel 10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B00-000069000000}"/>
            </a:ext>
          </a:extLst>
        </xdr:cNvPr>
        <xdr:cNvSpPr/>
      </xdr:nvSpPr>
      <xdr:spPr>
        <a:xfrm>
          <a:off x="6121987" y="42137929"/>
          <a:ext cx="138296" cy="100562"/>
        </a:xfrm>
        <a:prstGeom prst="bevel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8037</xdr:colOff>
      <xdr:row>202</xdr:row>
      <xdr:rowOff>129141</xdr:rowOff>
    </xdr:from>
    <xdr:to>
      <xdr:col>8</xdr:col>
      <xdr:colOff>148714</xdr:colOff>
      <xdr:row>203</xdr:row>
      <xdr:rowOff>20456</xdr:rowOff>
    </xdr:to>
    <xdr:sp macro="" textlink="">
      <xdr:nvSpPr>
        <xdr:cNvPr id="106" name="Bevel 10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B00-00006A000000}"/>
            </a:ext>
          </a:extLst>
        </xdr:cNvPr>
        <xdr:cNvSpPr/>
      </xdr:nvSpPr>
      <xdr:spPr>
        <a:xfrm>
          <a:off x="5946667" y="42146815"/>
          <a:ext cx="140677" cy="98380"/>
        </a:xfrm>
        <a:prstGeom prst="bevel">
          <a:avLst/>
        </a:prstGeom>
        <a:solidFill>
          <a:srgbClr val="0000FF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183356</xdr:colOff>
      <xdr:row>202</xdr:row>
      <xdr:rowOff>2381</xdr:rowOff>
    </xdr:from>
    <xdr:to>
      <xdr:col>8</xdr:col>
      <xdr:colOff>321652</xdr:colOff>
      <xdr:row>202</xdr:row>
      <xdr:rowOff>100012</xdr:rowOff>
    </xdr:to>
    <xdr:sp macro="" textlink="">
      <xdr:nvSpPr>
        <xdr:cNvPr id="107" name="Bevel 10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6B000000}"/>
            </a:ext>
          </a:extLst>
        </xdr:cNvPr>
        <xdr:cNvSpPr/>
      </xdr:nvSpPr>
      <xdr:spPr>
        <a:xfrm>
          <a:off x="6121986" y="42020055"/>
          <a:ext cx="138296" cy="97631"/>
        </a:xfrm>
        <a:prstGeom prst="bevel">
          <a:avLst/>
        </a:prstGeom>
        <a:solidFill>
          <a:srgbClr val="92D05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366712</xdr:colOff>
      <xdr:row>202</xdr:row>
      <xdr:rowOff>2381</xdr:rowOff>
    </xdr:from>
    <xdr:to>
      <xdr:col>8</xdr:col>
      <xdr:colOff>507389</xdr:colOff>
      <xdr:row>202</xdr:row>
      <xdr:rowOff>100012</xdr:rowOff>
    </xdr:to>
    <xdr:sp macro="" textlink="">
      <xdr:nvSpPr>
        <xdr:cNvPr id="108" name="Bevel 10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6C000000}"/>
            </a:ext>
          </a:extLst>
        </xdr:cNvPr>
        <xdr:cNvSpPr/>
      </xdr:nvSpPr>
      <xdr:spPr>
        <a:xfrm>
          <a:off x="6305342" y="42020055"/>
          <a:ext cx="140677" cy="97631"/>
        </a:xfrm>
        <a:prstGeom prst="bevel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364331</xdr:colOff>
      <xdr:row>202</xdr:row>
      <xdr:rowOff>120253</xdr:rowOff>
    </xdr:from>
    <xdr:to>
      <xdr:col>8</xdr:col>
      <xdr:colOff>505008</xdr:colOff>
      <xdr:row>203</xdr:row>
      <xdr:rowOff>13750</xdr:rowOff>
    </xdr:to>
    <xdr:sp macro="" textlink="">
      <xdr:nvSpPr>
        <xdr:cNvPr id="109" name="Bevel 10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B00-00006D000000}"/>
            </a:ext>
          </a:extLst>
        </xdr:cNvPr>
        <xdr:cNvSpPr/>
      </xdr:nvSpPr>
      <xdr:spPr>
        <a:xfrm>
          <a:off x="6302961" y="42137927"/>
          <a:ext cx="140677" cy="100562"/>
        </a:xfrm>
        <a:prstGeom prst="bevel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557312</xdr:colOff>
      <xdr:row>202</xdr:row>
      <xdr:rowOff>122735</xdr:rowOff>
    </xdr:from>
    <xdr:to>
      <xdr:col>8</xdr:col>
      <xdr:colOff>695608</xdr:colOff>
      <xdr:row>203</xdr:row>
      <xdr:rowOff>16889</xdr:rowOff>
    </xdr:to>
    <xdr:sp macro="" textlink="">
      <xdr:nvSpPr>
        <xdr:cNvPr id="110" name="Bevel 10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B00-00006E000000}"/>
            </a:ext>
          </a:extLst>
        </xdr:cNvPr>
        <xdr:cNvSpPr/>
      </xdr:nvSpPr>
      <xdr:spPr>
        <a:xfrm>
          <a:off x="6495942" y="42140409"/>
          <a:ext cx="138296" cy="101219"/>
        </a:xfrm>
        <a:prstGeom prst="bevel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557311</xdr:colOff>
      <xdr:row>202</xdr:row>
      <xdr:rowOff>5255</xdr:rowOff>
    </xdr:from>
    <xdr:to>
      <xdr:col>8</xdr:col>
      <xdr:colOff>695607</xdr:colOff>
      <xdr:row>202</xdr:row>
      <xdr:rowOff>102492</xdr:rowOff>
    </xdr:to>
    <xdr:sp macro="" textlink="">
      <xdr:nvSpPr>
        <xdr:cNvPr id="111" name="Bevel 1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B00-00006F000000}"/>
            </a:ext>
          </a:extLst>
        </xdr:cNvPr>
        <xdr:cNvSpPr/>
      </xdr:nvSpPr>
      <xdr:spPr>
        <a:xfrm>
          <a:off x="6495941" y="42022929"/>
          <a:ext cx="138296" cy="97237"/>
        </a:xfrm>
        <a:prstGeom prst="bevel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737636</xdr:colOff>
      <xdr:row>202</xdr:row>
      <xdr:rowOff>5255</xdr:rowOff>
    </xdr:from>
    <xdr:to>
      <xdr:col>8</xdr:col>
      <xdr:colOff>878313</xdr:colOff>
      <xdr:row>202</xdr:row>
      <xdr:rowOff>102492</xdr:rowOff>
    </xdr:to>
    <xdr:sp macro="" textlink="">
      <xdr:nvSpPr>
        <xdr:cNvPr id="112" name="Bevel 11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B00-000070000000}"/>
            </a:ext>
          </a:extLst>
        </xdr:cNvPr>
        <xdr:cNvSpPr/>
      </xdr:nvSpPr>
      <xdr:spPr>
        <a:xfrm>
          <a:off x="6676266" y="42022929"/>
          <a:ext cx="140677" cy="97237"/>
        </a:xfrm>
        <a:prstGeom prst="bevel">
          <a:avLst/>
        </a:prstGeom>
        <a:solidFill>
          <a:schemeClr val="bg1">
            <a:lumMod val="9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735255</xdr:colOff>
      <xdr:row>202</xdr:row>
      <xdr:rowOff>122733</xdr:rowOff>
    </xdr:from>
    <xdr:to>
      <xdr:col>8</xdr:col>
      <xdr:colOff>875932</xdr:colOff>
      <xdr:row>203</xdr:row>
      <xdr:rowOff>16887</xdr:rowOff>
    </xdr:to>
    <xdr:sp macro="" textlink="">
      <xdr:nvSpPr>
        <xdr:cNvPr id="113" name="Bevel 11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B00-000071000000}"/>
            </a:ext>
          </a:extLst>
        </xdr:cNvPr>
        <xdr:cNvSpPr/>
      </xdr:nvSpPr>
      <xdr:spPr>
        <a:xfrm>
          <a:off x="6673885" y="42140407"/>
          <a:ext cx="140677" cy="101219"/>
        </a:xfrm>
        <a:prstGeom prst="bevel">
          <a:avLst/>
        </a:prstGeom>
        <a:solidFill>
          <a:schemeClr val="bg1">
            <a:lumMod val="8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26847</xdr:colOff>
      <xdr:row>41</xdr:row>
      <xdr:rowOff>16567</xdr:rowOff>
    </xdr:from>
    <xdr:to>
      <xdr:col>11</xdr:col>
      <xdr:colOff>165143</xdr:colOff>
      <xdr:row>41</xdr:row>
      <xdr:rowOff>122992</xdr:rowOff>
    </xdr:to>
    <xdr:sp macro="" textlink="">
      <xdr:nvSpPr>
        <xdr:cNvPr id="121" name="Bevel 12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B00-000079000000}"/>
            </a:ext>
          </a:extLst>
        </xdr:cNvPr>
        <xdr:cNvSpPr/>
      </xdr:nvSpPr>
      <xdr:spPr>
        <a:xfrm>
          <a:off x="8362864" y="9528429"/>
          <a:ext cx="138296" cy="106425"/>
        </a:xfrm>
        <a:prstGeom prst="bevel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204790</xdr:colOff>
      <xdr:row>41</xdr:row>
      <xdr:rowOff>16565</xdr:rowOff>
    </xdr:from>
    <xdr:to>
      <xdr:col>11</xdr:col>
      <xdr:colOff>345467</xdr:colOff>
      <xdr:row>41</xdr:row>
      <xdr:rowOff>122990</xdr:rowOff>
    </xdr:to>
    <xdr:sp macro="" textlink="">
      <xdr:nvSpPr>
        <xdr:cNvPr id="122" name="Bevel 12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B00-00007A000000}"/>
            </a:ext>
          </a:extLst>
        </xdr:cNvPr>
        <xdr:cNvSpPr/>
      </xdr:nvSpPr>
      <xdr:spPr>
        <a:xfrm>
          <a:off x="8540807" y="9528427"/>
          <a:ext cx="140677" cy="106425"/>
        </a:xfrm>
        <a:prstGeom prst="bevel">
          <a:avLst/>
        </a:prstGeom>
        <a:solidFill>
          <a:schemeClr val="bg1">
            <a:lumMod val="85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22422</xdr:colOff>
      <xdr:row>111</xdr:row>
      <xdr:rowOff>211722</xdr:rowOff>
    </xdr:from>
    <xdr:to>
      <xdr:col>11</xdr:col>
      <xdr:colOff>160718</xdr:colOff>
      <xdr:row>112</xdr:row>
      <xdr:rowOff>109996</xdr:rowOff>
    </xdr:to>
    <xdr:sp macro="" textlink="">
      <xdr:nvSpPr>
        <xdr:cNvPr id="123" name="Bevel 12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B00-00007B000000}"/>
            </a:ext>
          </a:extLst>
        </xdr:cNvPr>
        <xdr:cNvSpPr/>
      </xdr:nvSpPr>
      <xdr:spPr>
        <a:xfrm>
          <a:off x="8353134" y="24229376"/>
          <a:ext cx="138296" cy="110755"/>
        </a:xfrm>
        <a:prstGeom prst="bevel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197987</xdr:colOff>
      <xdr:row>141</xdr:row>
      <xdr:rowOff>67555</xdr:rowOff>
    </xdr:from>
    <xdr:to>
      <xdr:col>11</xdr:col>
      <xdr:colOff>336283</xdr:colOff>
      <xdr:row>141</xdr:row>
      <xdr:rowOff>174189</xdr:rowOff>
    </xdr:to>
    <xdr:sp macro="" textlink="">
      <xdr:nvSpPr>
        <xdr:cNvPr id="126" name="Bevel 12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B00-00007E000000}"/>
            </a:ext>
          </a:extLst>
        </xdr:cNvPr>
        <xdr:cNvSpPr/>
      </xdr:nvSpPr>
      <xdr:spPr>
        <a:xfrm>
          <a:off x="8532362" y="30243946"/>
          <a:ext cx="138296" cy="106634"/>
        </a:xfrm>
        <a:prstGeom prst="bevel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57979</xdr:colOff>
      <xdr:row>30</xdr:row>
      <xdr:rowOff>8284</xdr:rowOff>
    </xdr:from>
    <xdr:to>
      <xdr:col>11</xdr:col>
      <xdr:colOff>198656</xdr:colOff>
      <xdr:row>30</xdr:row>
      <xdr:rowOff>114709</xdr:rowOff>
    </xdr:to>
    <xdr:sp macro="" textlink="">
      <xdr:nvSpPr>
        <xdr:cNvPr id="127" name="Bevel 12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B00-00007F000000}"/>
            </a:ext>
          </a:extLst>
        </xdr:cNvPr>
        <xdr:cNvSpPr/>
      </xdr:nvSpPr>
      <xdr:spPr>
        <a:xfrm>
          <a:off x="8390283" y="6816588"/>
          <a:ext cx="140677" cy="106425"/>
        </a:xfrm>
        <a:prstGeom prst="bevel">
          <a:avLst/>
        </a:prstGeom>
        <a:solidFill>
          <a:srgbClr val="FBC1EA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9</xdr:col>
      <xdr:colOff>0</xdr:colOff>
      <xdr:row>201</xdr:row>
      <xdr:rowOff>208359</xdr:rowOff>
    </xdr:from>
    <xdr:to>
      <xdr:col>9</xdr:col>
      <xdr:colOff>138296</xdr:colOff>
      <xdr:row>202</xdr:row>
      <xdr:rowOff>106634</xdr:rowOff>
    </xdr:to>
    <xdr:sp macro="" textlink="">
      <xdr:nvSpPr>
        <xdr:cNvPr id="128" name="Bevel 12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B00-000080000000}"/>
            </a:ext>
          </a:extLst>
        </xdr:cNvPr>
        <xdr:cNvSpPr/>
      </xdr:nvSpPr>
      <xdr:spPr>
        <a:xfrm>
          <a:off x="6846094" y="42261234"/>
          <a:ext cx="138296" cy="106634"/>
        </a:xfrm>
        <a:prstGeom prst="bevel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910828</xdr:colOff>
      <xdr:row>202</xdr:row>
      <xdr:rowOff>119062</xdr:rowOff>
    </xdr:from>
    <xdr:to>
      <xdr:col>9</xdr:col>
      <xdr:colOff>134724</xdr:colOff>
      <xdr:row>203</xdr:row>
      <xdr:rowOff>17127</xdr:rowOff>
    </xdr:to>
    <xdr:sp macro="" textlink="">
      <xdr:nvSpPr>
        <xdr:cNvPr id="130" name="Bevel 12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B00-000082000000}"/>
            </a:ext>
          </a:extLst>
        </xdr:cNvPr>
        <xdr:cNvSpPr/>
      </xdr:nvSpPr>
      <xdr:spPr>
        <a:xfrm>
          <a:off x="6840141" y="42380296"/>
          <a:ext cx="140677" cy="106425"/>
        </a:xfrm>
        <a:prstGeom prst="bevel">
          <a:avLst/>
        </a:prstGeom>
        <a:solidFill>
          <a:srgbClr val="FBC1EA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9</xdr:col>
      <xdr:colOff>176212</xdr:colOff>
      <xdr:row>202</xdr:row>
      <xdr:rowOff>3572</xdr:rowOff>
    </xdr:from>
    <xdr:to>
      <xdr:col>9</xdr:col>
      <xdr:colOff>314508</xdr:colOff>
      <xdr:row>202</xdr:row>
      <xdr:rowOff>110206</xdr:rowOff>
    </xdr:to>
    <xdr:sp macro="" textlink="">
      <xdr:nvSpPr>
        <xdr:cNvPr id="131" name="Bevel 130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B00-000083000000}"/>
            </a:ext>
          </a:extLst>
        </xdr:cNvPr>
        <xdr:cNvSpPr/>
      </xdr:nvSpPr>
      <xdr:spPr>
        <a:xfrm>
          <a:off x="7022306" y="42264806"/>
          <a:ext cx="138296" cy="106634"/>
        </a:xfrm>
        <a:prstGeom prst="bevel">
          <a:avLst/>
        </a:prstGeom>
        <a:solidFill>
          <a:srgbClr val="FFFF0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9</xdr:col>
      <xdr:colOff>172640</xdr:colOff>
      <xdr:row>202</xdr:row>
      <xdr:rowOff>130969</xdr:rowOff>
    </xdr:from>
    <xdr:to>
      <xdr:col>9</xdr:col>
      <xdr:colOff>310936</xdr:colOff>
      <xdr:row>203</xdr:row>
      <xdr:rowOff>29243</xdr:rowOff>
    </xdr:to>
    <xdr:sp macro="" textlink="">
      <xdr:nvSpPr>
        <xdr:cNvPr id="132" name="Bevel 131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B00-000084000000}"/>
            </a:ext>
          </a:extLst>
        </xdr:cNvPr>
        <xdr:cNvSpPr/>
      </xdr:nvSpPr>
      <xdr:spPr>
        <a:xfrm>
          <a:off x="7018734" y="42392203"/>
          <a:ext cx="138296" cy="106634"/>
        </a:xfrm>
        <a:prstGeom prst="bevel">
          <a:avLst/>
        </a:prstGeom>
        <a:solidFill>
          <a:srgbClr val="99FFCC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43962</xdr:colOff>
      <xdr:row>141</xdr:row>
      <xdr:rowOff>59531</xdr:rowOff>
    </xdr:from>
    <xdr:to>
      <xdr:col>11</xdr:col>
      <xdr:colOff>182258</xdr:colOff>
      <xdr:row>141</xdr:row>
      <xdr:rowOff>166164</xdr:rowOff>
    </xdr:to>
    <xdr:sp macro="" textlink="">
      <xdr:nvSpPr>
        <xdr:cNvPr id="133" name="Bevel 132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B00-000085000000}"/>
            </a:ext>
          </a:extLst>
        </xdr:cNvPr>
        <xdr:cNvSpPr/>
      </xdr:nvSpPr>
      <xdr:spPr>
        <a:xfrm>
          <a:off x="8378337" y="30235922"/>
          <a:ext cx="138296" cy="106633"/>
        </a:xfrm>
        <a:prstGeom prst="bevel">
          <a:avLst/>
        </a:prstGeom>
        <a:solidFill>
          <a:srgbClr val="99FFCC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23812</xdr:colOff>
      <xdr:row>196</xdr:row>
      <xdr:rowOff>130969</xdr:rowOff>
    </xdr:from>
    <xdr:to>
      <xdr:col>11</xdr:col>
      <xdr:colOff>162108</xdr:colOff>
      <xdr:row>197</xdr:row>
      <xdr:rowOff>29242</xdr:rowOff>
    </xdr:to>
    <xdr:sp macro="" textlink="">
      <xdr:nvSpPr>
        <xdr:cNvPr id="134" name="Bevel 13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B00-000086000000}"/>
            </a:ext>
          </a:extLst>
        </xdr:cNvPr>
        <xdr:cNvSpPr/>
      </xdr:nvSpPr>
      <xdr:spPr>
        <a:xfrm>
          <a:off x="8358187" y="41142047"/>
          <a:ext cx="138296" cy="106633"/>
        </a:xfrm>
        <a:prstGeom prst="bevel">
          <a:avLst/>
        </a:prstGeom>
        <a:solidFill>
          <a:srgbClr val="99FFCC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41672</xdr:colOff>
      <xdr:row>101</xdr:row>
      <xdr:rowOff>83344</xdr:rowOff>
    </xdr:from>
    <xdr:to>
      <xdr:col>11</xdr:col>
      <xdr:colOff>179968</xdr:colOff>
      <xdr:row>101</xdr:row>
      <xdr:rowOff>189977</xdr:rowOff>
    </xdr:to>
    <xdr:sp macro="" textlink="">
      <xdr:nvSpPr>
        <xdr:cNvPr id="135" name="Bevel 134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B00-000087000000}"/>
            </a:ext>
          </a:extLst>
        </xdr:cNvPr>
        <xdr:cNvSpPr/>
      </xdr:nvSpPr>
      <xdr:spPr>
        <a:xfrm>
          <a:off x="8376047" y="22217063"/>
          <a:ext cx="138296" cy="106633"/>
        </a:xfrm>
        <a:prstGeom prst="bevel">
          <a:avLst/>
        </a:prstGeom>
        <a:solidFill>
          <a:srgbClr val="99FFCC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41672</xdr:colOff>
      <xdr:row>155</xdr:row>
      <xdr:rowOff>29765</xdr:rowOff>
    </xdr:from>
    <xdr:to>
      <xdr:col>11</xdr:col>
      <xdr:colOff>180296</xdr:colOff>
      <xdr:row>155</xdr:row>
      <xdr:rowOff>135989</xdr:rowOff>
    </xdr:to>
    <xdr:sp macro="" textlink="">
      <xdr:nvSpPr>
        <xdr:cNvPr id="136" name="Bevel 13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B00-000088000000}"/>
            </a:ext>
          </a:extLst>
        </xdr:cNvPr>
        <xdr:cNvSpPr/>
      </xdr:nvSpPr>
      <xdr:spPr>
        <a:xfrm>
          <a:off x="8376047" y="33123187"/>
          <a:ext cx="138624" cy="106224"/>
        </a:xfrm>
        <a:prstGeom prst="bevel">
          <a:avLst/>
        </a:prstGeom>
        <a:gradFill flip="none" rotWithShape="1">
          <a:gsLst>
            <a:gs pos="0">
              <a:srgbClr val="0000FF"/>
            </a:gs>
            <a:gs pos="25000">
              <a:srgbClr val="FFFF00"/>
            </a:gs>
            <a:gs pos="30000">
              <a:srgbClr val="99FFCC"/>
            </a:gs>
            <a:gs pos="100000">
              <a:srgbClr val="FFB13F"/>
            </a:gs>
          </a:gsLst>
          <a:path path="circle">
            <a:fillToRect l="50000" t="50000" r="50000" b="50000"/>
          </a:path>
          <a:tileRect/>
        </a:gra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915864</xdr:colOff>
      <xdr:row>76</xdr:row>
      <xdr:rowOff>117231</xdr:rowOff>
    </xdr:from>
    <xdr:to>
      <xdr:col>12</xdr:col>
      <xdr:colOff>94662</xdr:colOff>
      <xdr:row>77</xdr:row>
      <xdr:rowOff>11385</xdr:rowOff>
    </xdr:to>
    <xdr:sp macro="" textlink="">
      <xdr:nvSpPr>
        <xdr:cNvPr id="51" name="Bevel 50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B00-000033000000}"/>
            </a:ext>
          </a:extLst>
        </xdr:cNvPr>
        <xdr:cNvSpPr/>
      </xdr:nvSpPr>
      <xdr:spPr>
        <a:xfrm>
          <a:off x="9246576" y="17101039"/>
          <a:ext cx="138624" cy="106634"/>
        </a:xfrm>
        <a:prstGeom prst="bevel">
          <a:avLst/>
        </a:prstGeom>
        <a:solidFill>
          <a:srgbClr val="FFFF0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908539</xdr:colOff>
      <xdr:row>55</xdr:row>
      <xdr:rowOff>7327</xdr:rowOff>
    </xdr:from>
    <xdr:to>
      <xdr:col>12</xdr:col>
      <xdr:colOff>87337</xdr:colOff>
      <xdr:row>55</xdr:row>
      <xdr:rowOff>113961</xdr:rowOff>
    </xdr:to>
    <xdr:sp macro="" textlink="">
      <xdr:nvSpPr>
        <xdr:cNvPr id="53" name="Bevel 5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B00-000035000000}"/>
            </a:ext>
          </a:extLst>
        </xdr:cNvPr>
        <xdr:cNvSpPr/>
      </xdr:nvSpPr>
      <xdr:spPr>
        <a:xfrm>
          <a:off x="9239251" y="12529039"/>
          <a:ext cx="138624" cy="106634"/>
        </a:xfrm>
        <a:prstGeom prst="bevel">
          <a:avLst/>
        </a:prstGeom>
        <a:solidFill>
          <a:srgbClr val="FFFF00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43962</xdr:colOff>
      <xdr:row>166</xdr:row>
      <xdr:rowOff>51289</xdr:rowOff>
    </xdr:from>
    <xdr:to>
      <xdr:col>11</xdr:col>
      <xdr:colOff>182258</xdr:colOff>
      <xdr:row>166</xdr:row>
      <xdr:rowOff>162045</xdr:rowOff>
    </xdr:to>
    <xdr:sp macro="" textlink="">
      <xdr:nvSpPr>
        <xdr:cNvPr id="55" name="Bevel 5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B00-000037000000}"/>
            </a:ext>
          </a:extLst>
        </xdr:cNvPr>
        <xdr:cNvSpPr/>
      </xdr:nvSpPr>
      <xdr:spPr>
        <a:xfrm>
          <a:off x="8374674" y="37367308"/>
          <a:ext cx="138296" cy="110756"/>
        </a:xfrm>
        <a:prstGeom prst="bevel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315057</xdr:colOff>
      <xdr:row>13</xdr:row>
      <xdr:rowOff>197827</xdr:rowOff>
    </xdr:from>
    <xdr:to>
      <xdr:col>11</xdr:col>
      <xdr:colOff>468923</xdr:colOff>
      <xdr:row>14</xdr:row>
      <xdr:rowOff>161192</xdr:rowOff>
    </xdr:to>
    <xdr:sp macro="" textlink="">
      <xdr:nvSpPr>
        <xdr:cNvPr id="59" name="Down Arrow Callout 5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B00-00003B000000}"/>
            </a:ext>
          </a:extLst>
        </xdr:cNvPr>
        <xdr:cNvSpPr/>
      </xdr:nvSpPr>
      <xdr:spPr>
        <a:xfrm>
          <a:off x="8645769" y="2960077"/>
          <a:ext cx="153866" cy="175846"/>
        </a:xfrm>
        <a:prstGeom prst="downArrowCallout">
          <a:avLst/>
        </a:prstGeom>
        <a:gradFill>
          <a:gsLst>
            <a:gs pos="0">
              <a:srgbClr val="FBEAC7"/>
            </a:gs>
            <a:gs pos="17999">
              <a:srgbClr val="FEE7F2"/>
            </a:gs>
            <a:gs pos="36000">
              <a:srgbClr val="FAC77D"/>
            </a:gs>
            <a:gs pos="61000">
              <a:srgbClr val="FBA97D"/>
            </a:gs>
            <a:gs pos="82001">
              <a:srgbClr val="FBD49C"/>
            </a:gs>
            <a:gs pos="100000">
              <a:srgbClr val="FEE7F2"/>
            </a:gs>
          </a:gsLst>
          <a:lin ang="5400000" scaled="0"/>
        </a:gra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263768</xdr:colOff>
      <xdr:row>196</xdr:row>
      <xdr:rowOff>36634</xdr:rowOff>
    </xdr:from>
    <xdr:to>
      <xdr:col>11</xdr:col>
      <xdr:colOff>417633</xdr:colOff>
      <xdr:row>197</xdr:row>
      <xdr:rowOff>21980</xdr:rowOff>
    </xdr:to>
    <xdr:sp macro="" textlink="">
      <xdr:nvSpPr>
        <xdr:cNvPr id="60" name="Up Arrow Callout 5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0B00-00003C000000}"/>
            </a:ext>
          </a:extLst>
        </xdr:cNvPr>
        <xdr:cNvSpPr/>
      </xdr:nvSpPr>
      <xdr:spPr>
        <a:xfrm>
          <a:off x="8594480" y="41814749"/>
          <a:ext cx="153865" cy="197827"/>
        </a:xfrm>
        <a:prstGeom prst="upArrowCallout">
          <a:avLst/>
        </a:prstGeom>
        <a:gradFill>
          <a:gsLst>
            <a:gs pos="0">
              <a:srgbClr val="FBEAC7"/>
            </a:gs>
            <a:gs pos="17999">
              <a:srgbClr val="FEE7F2"/>
            </a:gs>
            <a:gs pos="36000">
              <a:srgbClr val="FAC77D"/>
            </a:gs>
            <a:gs pos="61000">
              <a:srgbClr val="FBA97D"/>
            </a:gs>
            <a:gs pos="82001">
              <a:srgbClr val="FBD49C"/>
            </a:gs>
            <a:gs pos="100000">
              <a:srgbClr val="FEE7F2"/>
            </a:gs>
          </a:gsLst>
          <a:lin ang="5400000" scaled="0"/>
        </a:gra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29308</xdr:colOff>
      <xdr:row>157</xdr:row>
      <xdr:rowOff>36634</xdr:rowOff>
    </xdr:from>
    <xdr:to>
      <xdr:col>11</xdr:col>
      <xdr:colOff>183173</xdr:colOff>
      <xdr:row>158</xdr:row>
      <xdr:rowOff>21981</xdr:rowOff>
    </xdr:to>
    <xdr:sp macro="" textlink="">
      <xdr:nvSpPr>
        <xdr:cNvPr id="63" name="Up Arrow Callout 62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0B00-00003F000000}"/>
            </a:ext>
          </a:extLst>
        </xdr:cNvPr>
        <xdr:cNvSpPr/>
      </xdr:nvSpPr>
      <xdr:spPr>
        <a:xfrm>
          <a:off x="8360020" y="34165442"/>
          <a:ext cx="153865" cy="197827"/>
        </a:xfrm>
        <a:prstGeom prst="upArrowCallout">
          <a:avLst/>
        </a:prstGeom>
        <a:gradFill>
          <a:gsLst>
            <a:gs pos="0">
              <a:srgbClr val="FBEAC7"/>
            </a:gs>
            <a:gs pos="17999">
              <a:srgbClr val="FEE7F2"/>
            </a:gs>
            <a:gs pos="36000">
              <a:srgbClr val="FAC77D"/>
            </a:gs>
            <a:gs pos="61000">
              <a:srgbClr val="FBA97D"/>
            </a:gs>
            <a:gs pos="82001">
              <a:srgbClr val="FBD49C"/>
            </a:gs>
            <a:gs pos="100000">
              <a:srgbClr val="FEE7F2"/>
            </a:gs>
          </a:gsLst>
          <a:lin ang="5400000" scaled="0"/>
        </a:gra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43961</xdr:colOff>
      <xdr:row>94</xdr:row>
      <xdr:rowOff>58615</xdr:rowOff>
    </xdr:from>
    <xdr:to>
      <xdr:col>11</xdr:col>
      <xdr:colOff>197826</xdr:colOff>
      <xdr:row>95</xdr:row>
      <xdr:rowOff>43961</xdr:rowOff>
    </xdr:to>
    <xdr:sp macro="" textlink="">
      <xdr:nvSpPr>
        <xdr:cNvPr id="64" name="Up Arrow Callout 63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0B00-000040000000}"/>
            </a:ext>
          </a:extLst>
        </xdr:cNvPr>
        <xdr:cNvSpPr/>
      </xdr:nvSpPr>
      <xdr:spPr>
        <a:xfrm>
          <a:off x="8374673" y="21108865"/>
          <a:ext cx="153865" cy="197827"/>
        </a:xfrm>
        <a:prstGeom prst="upArrowCallout">
          <a:avLst/>
        </a:prstGeom>
        <a:gradFill>
          <a:gsLst>
            <a:gs pos="0">
              <a:srgbClr val="FBEAC7"/>
            </a:gs>
            <a:gs pos="17999">
              <a:srgbClr val="FEE7F2"/>
            </a:gs>
            <a:gs pos="36000">
              <a:srgbClr val="FAC77D"/>
            </a:gs>
            <a:gs pos="61000">
              <a:srgbClr val="FBA97D"/>
            </a:gs>
            <a:gs pos="82001">
              <a:srgbClr val="FBD49C"/>
            </a:gs>
            <a:gs pos="100000">
              <a:srgbClr val="FEE7F2"/>
            </a:gs>
          </a:gsLst>
          <a:lin ang="5400000" scaled="0"/>
        </a:gra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43962</xdr:colOff>
      <xdr:row>55</xdr:row>
      <xdr:rowOff>146538</xdr:rowOff>
    </xdr:from>
    <xdr:to>
      <xdr:col>11</xdr:col>
      <xdr:colOff>197828</xdr:colOff>
      <xdr:row>56</xdr:row>
      <xdr:rowOff>109904</xdr:rowOff>
    </xdr:to>
    <xdr:sp macro="" textlink="">
      <xdr:nvSpPr>
        <xdr:cNvPr id="67" name="Down Arrow Callout 6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B00-000043000000}"/>
            </a:ext>
          </a:extLst>
        </xdr:cNvPr>
        <xdr:cNvSpPr/>
      </xdr:nvSpPr>
      <xdr:spPr>
        <a:xfrm>
          <a:off x="8374674" y="12668250"/>
          <a:ext cx="153866" cy="175846"/>
        </a:xfrm>
        <a:prstGeom prst="downArrowCallout">
          <a:avLst/>
        </a:prstGeom>
        <a:gradFill>
          <a:gsLst>
            <a:gs pos="0">
              <a:srgbClr val="FBEAC7"/>
            </a:gs>
            <a:gs pos="17999">
              <a:srgbClr val="FEE7F2"/>
            </a:gs>
            <a:gs pos="36000">
              <a:srgbClr val="FAC77D"/>
            </a:gs>
            <a:gs pos="61000">
              <a:srgbClr val="FBA97D"/>
            </a:gs>
            <a:gs pos="82001">
              <a:srgbClr val="FBD49C"/>
            </a:gs>
            <a:gs pos="100000">
              <a:srgbClr val="FEE7F2"/>
            </a:gs>
          </a:gsLst>
          <a:lin ang="5400000" scaled="0"/>
        </a:gra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51287</xdr:colOff>
      <xdr:row>92</xdr:row>
      <xdr:rowOff>117231</xdr:rowOff>
    </xdr:from>
    <xdr:to>
      <xdr:col>11</xdr:col>
      <xdr:colOff>205153</xdr:colOff>
      <xdr:row>93</xdr:row>
      <xdr:rowOff>80596</xdr:rowOff>
    </xdr:to>
    <xdr:sp macro="" textlink="">
      <xdr:nvSpPr>
        <xdr:cNvPr id="68" name="Down Arrow Callout 67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B00-000044000000}"/>
            </a:ext>
          </a:extLst>
        </xdr:cNvPr>
        <xdr:cNvSpPr/>
      </xdr:nvSpPr>
      <xdr:spPr>
        <a:xfrm>
          <a:off x="8381999" y="20742519"/>
          <a:ext cx="153866" cy="175846"/>
        </a:xfrm>
        <a:prstGeom prst="downArrowCallout">
          <a:avLst/>
        </a:prstGeom>
        <a:gradFill>
          <a:gsLst>
            <a:gs pos="0">
              <a:srgbClr val="FBEAC7"/>
            </a:gs>
            <a:gs pos="17999">
              <a:srgbClr val="FEE7F2"/>
            </a:gs>
            <a:gs pos="36000">
              <a:srgbClr val="FAC77D"/>
            </a:gs>
            <a:gs pos="61000">
              <a:srgbClr val="FBA97D"/>
            </a:gs>
            <a:gs pos="82001">
              <a:srgbClr val="FBD49C"/>
            </a:gs>
            <a:gs pos="100000">
              <a:srgbClr val="FEE7F2"/>
            </a:gs>
          </a:gsLst>
          <a:lin ang="5400000" scaled="0"/>
        </a:gradFill>
        <a:ln>
          <a:noFill/>
        </a:ln>
      </xdr:spPr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51288</xdr:colOff>
      <xdr:row>85</xdr:row>
      <xdr:rowOff>205154</xdr:rowOff>
    </xdr:from>
    <xdr:to>
      <xdr:col>11</xdr:col>
      <xdr:colOff>189584</xdr:colOff>
      <xdr:row>86</xdr:row>
      <xdr:rowOff>99306</xdr:rowOff>
    </xdr:to>
    <xdr:sp macro="" textlink="">
      <xdr:nvSpPr>
        <xdr:cNvPr id="71" name="Bevel 70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B00-000047000000}"/>
            </a:ext>
          </a:extLst>
        </xdr:cNvPr>
        <xdr:cNvSpPr/>
      </xdr:nvSpPr>
      <xdr:spPr>
        <a:xfrm>
          <a:off x="8382000" y="18639692"/>
          <a:ext cx="138296" cy="106633"/>
        </a:xfrm>
        <a:prstGeom prst="bevel">
          <a:avLst/>
        </a:prstGeom>
        <a:solidFill>
          <a:srgbClr val="99FFCC"/>
        </a:soli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0</xdr:col>
      <xdr:colOff>25146</xdr:colOff>
      <xdr:row>66</xdr:row>
      <xdr:rowOff>112612</xdr:rowOff>
    </xdr:from>
    <xdr:to>
      <xdr:col>10</xdr:col>
      <xdr:colOff>739140</xdr:colOff>
      <xdr:row>84</xdr:row>
      <xdr:rowOff>297180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00000000-0008-0000-0B00-000030000000}"/>
            </a:ext>
          </a:extLst>
        </xdr:cNvPr>
        <xdr:cNvCxnSpPr/>
      </xdr:nvCxnSpPr>
      <xdr:spPr>
        <a:xfrm>
          <a:off x="25146" y="14308672"/>
          <a:ext cx="8654034" cy="3933608"/>
        </a:xfrm>
        <a:prstGeom prst="line">
          <a:avLst/>
        </a:prstGeom>
        <a:ln>
          <a:solidFill>
            <a:sysClr val="windowText" lastClr="000000"/>
          </a:solidFill>
        </a:ln>
        <a:effectLst>
          <a:outerShdw blurRad="152400" dist="317500" dir="5400000" sx="90000" sy="-19000" rotWithShape="0">
            <a:prstClr val="black">
              <a:alpha val="15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35379</xdr:colOff>
      <xdr:row>69</xdr:row>
      <xdr:rowOff>133350</xdr:rowOff>
    </xdr:from>
    <xdr:to>
      <xdr:col>5</xdr:col>
      <xdr:colOff>174003</xdr:colOff>
      <xdr:row>70</xdr:row>
      <xdr:rowOff>13355</xdr:rowOff>
    </xdr:to>
    <xdr:sp macro="" textlink="">
      <xdr:nvSpPr>
        <xdr:cNvPr id="9" name="Bevel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>
        <a:xfrm>
          <a:off x="6550479" y="12477750"/>
          <a:ext cx="138624" cy="108605"/>
        </a:xfrm>
        <a:prstGeom prst="bevel">
          <a:avLst/>
        </a:prstGeom>
        <a:gradFill flip="none" rotWithShape="1">
          <a:gsLst>
            <a:gs pos="0">
              <a:srgbClr val="FFFF00"/>
            </a:gs>
            <a:gs pos="17999">
              <a:srgbClr val="FEE7F2"/>
            </a:gs>
            <a:gs pos="36000">
              <a:srgbClr val="0000FF"/>
            </a:gs>
            <a:gs pos="61000">
              <a:srgbClr val="FBA97D"/>
            </a:gs>
            <a:gs pos="82001">
              <a:srgbClr val="FBD49C"/>
            </a:gs>
            <a:gs pos="100000">
              <a:srgbClr val="FEE7F2"/>
            </a:gs>
          </a:gsLst>
          <a:lin ang="16200000" scaled="1"/>
          <a:tileRect/>
        </a:gradFill>
        <a:ln>
          <a:noFill/>
        </a:ln>
      </xdr:spPr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222</xdr:row>
      <xdr:rowOff>38753</xdr:rowOff>
    </xdr:from>
    <xdr:to>
      <xdr:col>9</xdr:col>
      <xdr:colOff>316809</xdr:colOff>
      <xdr:row>237</xdr:row>
      <xdr:rowOff>828</xdr:rowOff>
    </xdr:to>
    <xdr:pic>
      <xdr:nvPicPr>
        <xdr:cNvPr id="2" name="Picture Frame 270" descr="rId4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987853"/>
          <a:ext cx="5803209" cy="3210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284</xdr:row>
      <xdr:rowOff>167191</xdr:rowOff>
    </xdr:from>
    <xdr:to>
      <xdr:col>6</xdr:col>
      <xdr:colOff>355101</xdr:colOff>
      <xdr:row>302</xdr:row>
      <xdr:rowOff>48736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261041"/>
          <a:ext cx="5904254" cy="297829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533400</xdr:colOff>
      <xdr:row>6</xdr:row>
      <xdr:rowOff>129540</xdr:rowOff>
    </xdr:from>
    <xdr:to>
      <xdr:col>3</xdr:col>
      <xdr:colOff>15240</xdr:colOff>
      <xdr:row>6</xdr:row>
      <xdr:rowOff>137160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>
          <a:spLocks noChangeShapeType="1"/>
        </xdr:cNvSpPr>
      </xdr:nvSpPr>
      <xdr:spPr bwMode="auto">
        <a:xfrm>
          <a:off x="769620" y="1135380"/>
          <a:ext cx="9525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533400</xdr:colOff>
      <xdr:row>7</xdr:row>
      <xdr:rowOff>15240</xdr:rowOff>
    </xdr:from>
    <xdr:to>
      <xdr:col>3</xdr:col>
      <xdr:colOff>7620</xdr:colOff>
      <xdr:row>7</xdr:row>
      <xdr:rowOff>30480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>
          <a:spLocks noChangeShapeType="1"/>
        </xdr:cNvSpPr>
      </xdr:nvSpPr>
      <xdr:spPr bwMode="auto">
        <a:xfrm>
          <a:off x="769620" y="1188720"/>
          <a:ext cx="94488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533400</xdr:colOff>
      <xdr:row>6</xdr:row>
      <xdr:rowOff>129540</xdr:rowOff>
    </xdr:from>
    <xdr:to>
      <xdr:col>1</xdr:col>
      <xdr:colOff>541020</xdr:colOff>
      <xdr:row>7</xdr:row>
      <xdr:rowOff>15240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>
          <a:spLocks noChangeShapeType="1"/>
        </xdr:cNvSpPr>
      </xdr:nvSpPr>
      <xdr:spPr bwMode="auto">
        <a:xfrm>
          <a:off x="769620" y="1135380"/>
          <a:ext cx="7620" cy="533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15240</xdr:colOff>
      <xdr:row>6</xdr:row>
      <xdr:rowOff>129540</xdr:rowOff>
    </xdr:from>
    <xdr:to>
      <xdr:col>3</xdr:col>
      <xdr:colOff>30480</xdr:colOff>
      <xdr:row>7</xdr:row>
      <xdr:rowOff>15240</xdr:rowOff>
    </xdr:to>
    <xdr:sp macro="" textlink="">
      <xdr:nvSpPr>
        <xdr:cNvPr id="5" name="Lin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>
          <a:spLocks noChangeShapeType="1"/>
        </xdr:cNvSpPr>
      </xdr:nvSpPr>
      <xdr:spPr bwMode="auto">
        <a:xfrm>
          <a:off x="1722120" y="1135380"/>
          <a:ext cx="15240" cy="533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594360</xdr:colOff>
      <xdr:row>7</xdr:row>
      <xdr:rowOff>15240</xdr:rowOff>
    </xdr:from>
    <xdr:to>
      <xdr:col>1</xdr:col>
      <xdr:colOff>601980</xdr:colOff>
      <xdr:row>14</xdr:row>
      <xdr:rowOff>76200</xdr:rowOff>
    </xdr:to>
    <xdr:sp macro="" textlink="">
      <xdr:nvSpPr>
        <xdr:cNvPr id="6" name="Lin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>
          <a:spLocks noChangeShapeType="1"/>
        </xdr:cNvSpPr>
      </xdr:nvSpPr>
      <xdr:spPr bwMode="auto">
        <a:xfrm>
          <a:off x="830580" y="1188720"/>
          <a:ext cx="7620" cy="16230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22860</xdr:colOff>
      <xdr:row>7</xdr:row>
      <xdr:rowOff>15240</xdr:rowOff>
    </xdr:from>
    <xdr:to>
      <xdr:col>2</xdr:col>
      <xdr:colOff>30480</xdr:colOff>
      <xdr:row>14</xdr:row>
      <xdr:rowOff>76200</xdr:rowOff>
    </xdr:to>
    <xdr:sp macro="" textlink="">
      <xdr:nvSpPr>
        <xdr:cNvPr id="7" name="Lin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>
          <a:spLocks noChangeShapeType="1"/>
        </xdr:cNvSpPr>
      </xdr:nvSpPr>
      <xdr:spPr bwMode="auto">
        <a:xfrm>
          <a:off x="876300" y="1188720"/>
          <a:ext cx="7620" cy="16230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807720</xdr:colOff>
      <xdr:row>7</xdr:row>
      <xdr:rowOff>15240</xdr:rowOff>
    </xdr:from>
    <xdr:to>
      <xdr:col>2</xdr:col>
      <xdr:colOff>815340</xdr:colOff>
      <xdr:row>14</xdr:row>
      <xdr:rowOff>76200</xdr:rowOff>
    </xdr:to>
    <xdr:sp macro="" textlink="">
      <xdr:nvSpPr>
        <xdr:cNvPr id="8" name="Lin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>
          <a:spLocks noChangeShapeType="1"/>
        </xdr:cNvSpPr>
      </xdr:nvSpPr>
      <xdr:spPr bwMode="auto">
        <a:xfrm>
          <a:off x="1661160" y="1188720"/>
          <a:ext cx="7620" cy="16230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746760</xdr:colOff>
      <xdr:row>7</xdr:row>
      <xdr:rowOff>15240</xdr:rowOff>
    </xdr:from>
    <xdr:to>
      <xdr:col>2</xdr:col>
      <xdr:colOff>754380</xdr:colOff>
      <xdr:row>14</xdr:row>
      <xdr:rowOff>76200</xdr:rowOff>
    </xdr:to>
    <xdr:sp macro="" textlink="">
      <xdr:nvSpPr>
        <xdr:cNvPr id="9" name="Lin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>
          <a:spLocks noChangeShapeType="1"/>
        </xdr:cNvSpPr>
      </xdr:nvSpPr>
      <xdr:spPr bwMode="auto">
        <a:xfrm>
          <a:off x="1600200" y="1188720"/>
          <a:ext cx="7620" cy="16230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541020</xdr:colOff>
      <xdr:row>14</xdr:row>
      <xdr:rowOff>83820</xdr:rowOff>
    </xdr:from>
    <xdr:to>
      <xdr:col>3</xdr:col>
      <xdr:colOff>7620</xdr:colOff>
      <xdr:row>14</xdr:row>
      <xdr:rowOff>91440</xdr:rowOff>
    </xdr:to>
    <xdr:sp macro="" textlink="">
      <xdr:nvSpPr>
        <xdr:cNvPr id="10" name="Lin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>
          <a:spLocks noChangeShapeType="1"/>
        </xdr:cNvSpPr>
      </xdr:nvSpPr>
      <xdr:spPr bwMode="auto">
        <a:xfrm>
          <a:off x="777240" y="2819400"/>
          <a:ext cx="9372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541020</xdr:colOff>
      <xdr:row>14</xdr:row>
      <xdr:rowOff>144780</xdr:rowOff>
    </xdr:from>
    <xdr:to>
      <xdr:col>3</xdr:col>
      <xdr:colOff>7620</xdr:colOff>
      <xdr:row>14</xdr:row>
      <xdr:rowOff>152400</xdr:rowOff>
    </xdr:to>
    <xdr:sp macro="" textlink="">
      <xdr:nvSpPr>
        <xdr:cNvPr id="11" name="Lin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>
          <a:spLocks noChangeShapeType="1"/>
        </xdr:cNvSpPr>
      </xdr:nvSpPr>
      <xdr:spPr bwMode="auto">
        <a:xfrm>
          <a:off x="777240" y="2880360"/>
          <a:ext cx="9372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533400</xdr:colOff>
      <xdr:row>14</xdr:row>
      <xdr:rowOff>83820</xdr:rowOff>
    </xdr:from>
    <xdr:to>
      <xdr:col>1</xdr:col>
      <xdr:colOff>541020</xdr:colOff>
      <xdr:row>14</xdr:row>
      <xdr:rowOff>144780</xdr:rowOff>
    </xdr:to>
    <xdr:sp macro="" textlink="">
      <xdr:nvSpPr>
        <xdr:cNvPr id="12" name="Line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>
          <a:spLocks noChangeShapeType="1"/>
        </xdr:cNvSpPr>
      </xdr:nvSpPr>
      <xdr:spPr bwMode="auto">
        <a:xfrm>
          <a:off x="769620" y="2819400"/>
          <a:ext cx="7620" cy="609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7620</xdr:colOff>
      <xdr:row>14</xdr:row>
      <xdr:rowOff>83820</xdr:rowOff>
    </xdr:from>
    <xdr:to>
      <xdr:col>3</xdr:col>
      <xdr:colOff>15240</xdr:colOff>
      <xdr:row>14</xdr:row>
      <xdr:rowOff>144780</xdr:rowOff>
    </xdr:to>
    <xdr:sp macro="" textlink="">
      <xdr:nvSpPr>
        <xdr:cNvPr id="13" name="Line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SpPr>
          <a:spLocks noChangeShapeType="1"/>
        </xdr:cNvSpPr>
      </xdr:nvSpPr>
      <xdr:spPr bwMode="auto">
        <a:xfrm>
          <a:off x="1714500" y="2819400"/>
          <a:ext cx="7620" cy="609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175260</xdr:colOff>
      <xdr:row>6</xdr:row>
      <xdr:rowOff>129540</xdr:rowOff>
    </xdr:from>
    <xdr:to>
      <xdr:col>1</xdr:col>
      <xdr:colOff>434340</xdr:colOff>
      <xdr:row>6</xdr:row>
      <xdr:rowOff>137160</xdr:rowOff>
    </xdr:to>
    <xdr:sp macro="" textlink="">
      <xdr:nvSpPr>
        <xdr:cNvPr id="14" name="Line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SpPr>
          <a:spLocks noChangeShapeType="1"/>
        </xdr:cNvSpPr>
      </xdr:nvSpPr>
      <xdr:spPr bwMode="auto">
        <a:xfrm>
          <a:off x="411480" y="1135380"/>
          <a:ext cx="2590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175260</xdr:colOff>
      <xdr:row>7</xdr:row>
      <xdr:rowOff>15240</xdr:rowOff>
    </xdr:from>
    <xdr:to>
      <xdr:col>1</xdr:col>
      <xdr:colOff>419100</xdr:colOff>
      <xdr:row>7</xdr:row>
      <xdr:rowOff>30480</xdr:rowOff>
    </xdr:to>
    <xdr:sp macro="" textlink="">
      <xdr:nvSpPr>
        <xdr:cNvPr id="15" name="Line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SpPr>
          <a:spLocks noChangeShapeType="1"/>
        </xdr:cNvSpPr>
      </xdr:nvSpPr>
      <xdr:spPr bwMode="auto">
        <a:xfrm flipH="1">
          <a:off x="411480" y="1188720"/>
          <a:ext cx="24384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281940</xdr:colOff>
      <xdr:row>7</xdr:row>
      <xdr:rowOff>15240</xdr:rowOff>
    </xdr:from>
    <xdr:to>
      <xdr:col>1</xdr:col>
      <xdr:colOff>289560</xdr:colOff>
      <xdr:row>9</xdr:row>
      <xdr:rowOff>99060</xdr:rowOff>
    </xdr:to>
    <xdr:sp macro="" textlink="">
      <xdr:nvSpPr>
        <xdr:cNvPr id="16" name="Line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SpPr>
          <a:spLocks noChangeShapeType="1"/>
        </xdr:cNvSpPr>
      </xdr:nvSpPr>
      <xdr:spPr bwMode="auto">
        <a:xfrm flipV="1">
          <a:off x="518160" y="1188720"/>
          <a:ext cx="7620" cy="419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281940</xdr:colOff>
      <xdr:row>5</xdr:row>
      <xdr:rowOff>106680</xdr:rowOff>
    </xdr:from>
    <xdr:to>
      <xdr:col>1</xdr:col>
      <xdr:colOff>289560</xdr:colOff>
      <xdr:row>6</xdr:row>
      <xdr:rowOff>129540</xdr:rowOff>
    </xdr:to>
    <xdr:sp macro="" textlink="">
      <xdr:nvSpPr>
        <xdr:cNvPr id="17" name="Line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SpPr>
          <a:spLocks noChangeShapeType="1"/>
        </xdr:cNvSpPr>
      </xdr:nvSpPr>
      <xdr:spPr bwMode="auto">
        <a:xfrm>
          <a:off x="518160" y="944880"/>
          <a:ext cx="7620" cy="1905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533400</xdr:colOff>
      <xdr:row>5</xdr:row>
      <xdr:rowOff>106680</xdr:rowOff>
    </xdr:from>
    <xdr:to>
      <xdr:col>1</xdr:col>
      <xdr:colOff>541020</xdr:colOff>
      <xdr:row>6</xdr:row>
      <xdr:rowOff>76200</xdr:rowOff>
    </xdr:to>
    <xdr:sp macro="" textlink="">
      <xdr:nvSpPr>
        <xdr:cNvPr id="18" name="Line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SpPr>
          <a:spLocks noChangeShapeType="1"/>
        </xdr:cNvSpPr>
      </xdr:nvSpPr>
      <xdr:spPr bwMode="auto">
        <a:xfrm flipV="1">
          <a:off x="769620" y="944880"/>
          <a:ext cx="7620" cy="1371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15240</xdr:colOff>
      <xdr:row>5</xdr:row>
      <xdr:rowOff>114300</xdr:rowOff>
    </xdr:from>
    <xdr:to>
      <xdr:col>3</xdr:col>
      <xdr:colOff>30480</xdr:colOff>
      <xdr:row>6</xdr:row>
      <xdr:rowOff>99060</xdr:rowOff>
    </xdr:to>
    <xdr:sp macro="" textlink="">
      <xdr:nvSpPr>
        <xdr:cNvPr id="19" name="Line 18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SpPr>
          <a:spLocks noChangeShapeType="1"/>
        </xdr:cNvSpPr>
      </xdr:nvSpPr>
      <xdr:spPr bwMode="auto">
        <a:xfrm flipV="1">
          <a:off x="1722120" y="952500"/>
          <a:ext cx="15240" cy="15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533400</xdr:colOff>
      <xdr:row>6</xdr:row>
      <xdr:rowOff>30480</xdr:rowOff>
    </xdr:from>
    <xdr:to>
      <xdr:col>2</xdr:col>
      <xdr:colOff>91440</xdr:colOff>
      <xdr:row>6</xdr:row>
      <xdr:rowOff>45720</xdr:rowOff>
    </xdr:to>
    <xdr:sp macro="" textlink="">
      <xdr:nvSpPr>
        <xdr:cNvPr id="20" name="Line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SpPr>
          <a:spLocks noChangeShapeType="1"/>
        </xdr:cNvSpPr>
      </xdr:nvSpPr>
      <xdr:spPr bwMode="auto">
        <a:xfrm flipH="1">
          <a:off x="769620" y="1036320"/>
          <a:ext cx="17526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480060</xdr:colOff>
      <xdr:row>6</xdr:row>
      <xdr:rowOff>30480</xdr:rowOff>
    </xdr:from>
    <xdr:to>
      <xdr:col>3</xdr:col>
      <xdr:colOff>15240</xdr:colOff>
      <xdr:row>6</xdr:row>
      <xdr:rowOff>45720</xdr:rowOff>
    </xdr:to>
    <xdr:sp macro="" textlink="">
      <xdr:nvSpPr>
        <xdr:cNvPr id="21" name="Line 20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SpPr>
          <a:spLocks noChangeShapeType="1"/>
        </xdr:cNvSpPr>
      </xdr:nvSpPr>
      <xdr:spPr bwMode="auto">
        <a:xfrm>
          <a:off x="1333500" y="1036320"/>
          <a:ext cx="38862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815340</xdr:colOff>
      <xdr:row>9</xdr:row>
      <xdr:rowOff>160020</xdr:rowOff>
    </xdr:from>
    <xdr:to>
      <xdr:col>3</xdr:col>
      <xdr:colOff>106680</xdr:colOff>
      <xdr:row>9</xdr:row>
      <xdr:rowOff>167640</xdr:rowOff>
    </xdr:to>
    <xdr:sp macro="" textlink="">
      <xdr:nvSpPr>
        <xdr:cNvPr id="22" name="Line 21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SpPr>
          <a:spLocks noChangeShapeType="1"/>
        </xdr:cNvSpPr>
      </xdr:nvSpPr>
      <xdr:spPr bwMode="auto">
        <a:xfrm flipH="1">
          <a:off x="1668780" y="1668780"/>
          <a:ext cx="1447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525780</xdr:colOff>
      <xdr:row>9</xdr:row>
      <xdr:rowOff>160020</xdr:rowOff>
    </xdr:from>
    <xdr:to>
      <xdr:col>2</xdr:col>
      <xdr:colOff>754380</xdr:colOff>
      <xdr:row>9</xdr:row>
      <xdr:rowOff>167640</xdr:rowOff>
    </xdr:to>
    <xdr:sp macro="" textlink="">
      <xdr:nvSpPr>
        <xdr:cNvPr id="23" name="Line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SpPr>
          <a:spLocks noChangeShapeType="1"/>
        </xdr:cNvSpPr>
      </xdr:nvSpPr>
      <xdr:spPr bwMode="auto">
        <a:xfrm>
          <a:off x="1379220" y="1668780"/>
          <a:ext cx="2286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22860</xdr:colOff>
      <xdr:row>9</xdr:row>
      <xdr:rowOff>160020</xdr:rowOff>
    </xdr:from>
    <xdr:to>
      <xdr:col>2</xdr:col>
      <xdr:colOff>289560</xdr:colOff>
      <xdr:row>9</xdr:row>
      <xdr:rowOff>167640</xdr:rowOff>
    </xdr:to>
    <xdr:sp macro="" textlink="">
      <xdr:nvSpPr>
        <xdr:cNvPr id="24" name="Line 23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SpPr>
          <a:spLocks noChangeShapeType="1"/>
        </xdr:cNvSpPr>
      </xdr:nvSpPr>
      <xdr:spPr bwMode="auto">
        <a:xfrm flipH="1">
          <a:off x="876300" y="1668780"/>
          <a:ext cx="2667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434340</xdr:colOff>
      <xdr:row>9</xdr:row>
      <xdr:rowOff>160020</xdr:rowOff>
    </xdr:from>
    <xdr:to>
      <xdr:col>1</xdr:col>
      <xdr:colOff>594360</xdr:colOff>
      <xdr:row>9</xdr:row>
      <xdr:rowOff>167640</xdr:rowOff>
    </xdr:to>
    <xdr:sp macro="" textlink="">
      <xdr:nvSpPr>
        <xdr:cNvPr id="25" name="Line 24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SpPr>
          <a:spLocks noChangeShapeType="1"/>
        </xdr:cNvSpPr>
      </xdr:nvSpPr>
      <xdr:spPr bwMode="auto">
        <a:xfrm>
          <a:off x="670560" y="1668780"/>
          <a:ext cx="1600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175260</xdr:colOff>
      <xdr:row>14</xdr:row>
      <xdr:rowOff>83820</xdr:rowOff>
    </xdr:from>
    <xdr:to>
      <xdr:col>1</xdr:col>
      <xdr:colOff>403860</xdr:colOff>
      <xdr:row>14</xdr:row>
      <xdr:rowOff>91440</xdr:rowOff>
    </xdr:to>
    <xdr:sp macro="" textlink="">
      <xdr:nvSpPr>
        <xdr:cNvPr id="26" name="Line 25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SpPr>
          <a:spLocks noChangeShapeType="1"/>
        </xdr:cNvSpPr>
      </xdr:nvSpPr>
      <xdr:spPr bwMode="auto">
        <a:xfrm flipH="1">
          <a:off x="411480" y="2819400"/>
          <a:ext cx="2286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190500</xdr:colOff>
      <xdr:row>14</xdr:row>
      <xdr:rowOff>144780</xdr:rowOff>
    </xdr:from>
    <xdr:to>
      <xdr:col>1</xdr:col>
      <xdr:colOff>403860</xdr:colOff>
      <xdr:row>14</xdr:row>
      <xdr:rowOff>152400</xdr:rowOff>
    </xdr:to>
    <xdr:sp macro="" textlink="">
      <xdr:nvSpPr>
        <xdr:cNvPr id="27" name="Line 26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SpPr>
          <a:spLocks noChangeShapeType="1"/>
        </xdr:cNvSpPr>
      </xdr:nvSpPr>
      <xdr:spPr bwMode="auto">
        <a:xfrm flipH="1">
          <a:off x="426720" y="2880360"/>
          <a:ext cx="2133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281940</xdr:colOff>
      <xdr:row>11</xdr:row>
      <xdr:rowOff>30480</xdr:rowOff>
    </xdr:from>
    <xdr:to>
      <xdr:col>1</xdr:col>
      <xdr:colOff>289560</xdr:colOff>
      <xdr:row>14</xdr:row>
      <xdr:rowOff>76200</xdr:rowOff>
    </xdr:to>
    <xdr:sp macro="" textlink="">
      <xdr:nvSpPr>
        <xdr:cNvPr id="28" name="Line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>
          <a:spLocks noChangeShapeType="1"/>
        </xdr:cNvSpPr>
      </xdr:nvSpPr>
      <xdr:spPr bwMode="auto">
        <a:xfrm>
          <a:off x="518160" y="2171700"/>
          <a:ext cx="7620" cy="6400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281940</xdr:colOff>
      <xdr:row>14</xdr:row>
      <xdr:rowOff>152400</xdr:rowOff>
    </xdr:from>
    <xdr:to>
      <xdr:col>1</xdr:col>
      <xdr:colOff>289560</xdr:colOff>
      <xdr:row>15</xdr:row>
      <xdr:rowOff>106680</xdr:rowOff>
    </xdr:to>
    <xdr:sp macro="" textlink="">
      <xdr:nvSpPr>
        <xdr:cNvPr id="29" name="Line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>
          <a:spLocks noChangeShapeType="1"/>
        </xdr:cNvSpPr>
      </xdr:nvSpPr>
      <xdr:spPr bwMode="auto">
        <a:xfrm flipV="1">
          <a:off x="518160" y="2887980"/>
          <a:ext cx="7620" cy="15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114300</xdr:colOff>
      <xdr:row>6</xdr:row>
      <xdr:rowOff>137160</xdr:rowOff>
    </xdr:from>
    <xdr:to>
      <xdr:col>3</xdr:col>
      <xdr:colOff>1417320</xdr:colOff>
      <xdr:row>6</xdr:row>
      <xdr:rowOff>144780</xdr:rowOff>
    </xdr:to>
    <xdr:sp macro="" textlink="">
      <xdr:nvSpPr>
        <xdr:cNvPr id="30" name="Line 29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SpPr>
          <a:spLocks noChangeShapeType="1"/>
        </xdr:cNvSpPr>
      </xdr:nvSpPr>
      <xdr:spPr bwMode="auto">
        <a:xfrm>
          <a:off x="1821180" y="1143000"/>
          <a:ext cx="13030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83820</xdr:colOff>
      <xdr:row>14</xdr:row>
      <xdr:rowOff>144780</xdr:rowOff>
    </xdr:from>
    <xdr:to>
      <xdr:col>3</xdr:col>
      <xdr:colOff>1417320</xdr:colOff>
      <xdr:row>14</xdr:row>
      <xdr:rowOff>152400</xdr:rowOff>
    </xdr:to>
    <xdr:sp macro="" textlink="">
      <xdr:nvSpPr>
        <xdr:cNvPr id="31" name="Line 30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SpPr>
          <a:spLocks noChangeShapeType="1"/>
        </xdr:cNvSpPr>
      </xdr:nvSpPr>
      <xdr:spPr bwMode="auto">
        <a:xfrm>
          <a:off x="1790700" y="2880360"/>
          <a:ext cx="13335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236220</xdr:colOff>
      <xdr:row>6</xdr:row>
      <xdr:rowOff>144780</xdr:rowOff>
    </xdr:from>
    <xdr:to>
      <xdr:col>3</xdr:col>
      <xdr:colOff>243840</xdr:colOff>
      <xdr:row>9</xdr:row>
      <xdr:rowOff>76200</xdr:rowOff>
    </xdr:to>
    <xdr:sp macro="" textlink="">
      <xdr:nvSpPr>
        <xdr:cNvPr id="32" name="Line 31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SpPr>
          <a:spLocks noChangeShapeType="1"/>
        </xdr:cNvSpPr>
      </xdr:nvSpPr>
      <xdr:spPr bwMode="auto">
        <a:xfrm flipV="1">
          <a:off x="1943100" y="1150620"/>
          <a:ext cx="7620" cy="4343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236220</xdr:colOff>
      <xdr:row>10</xdr:row>
      <xdr:rowOff>396240</xdr:rowOff>
    </xdr:from>
    <xdr:to>
      <xdr:col>3</xdr:col>
      <xdr:colOff>243840</xdr:colOff>
      <xdr:row>14</xdr:row>
      <xdr:rowOff>144780</xdr:rowOff>
    </xdr:to>
    <xdr:sp macro="" textlink="">
      <xdr:nvSpPr>
        <xdr:cNvPr id="33" name="Line 32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SpPr>
          <a:spLocks noChangeShapeType="1"/>
        </xdr:cNvSpPr>
      </xdr:nvSpPr>
      <xdr:spPr bwMode="auto">
        <a:xfrm>
          <a:off x="1943100" y="2103120"/>
          <a:ext cx="7620" cy="777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152400</xdr:colOff>
      <xdr:row>10</xdr:row>
      <xdr:rowOff>388620</xdr:rowOff>
    </xdr:from>
    <xdr:to>
      <xdr:col>3</xdr:col>
      <xdr:colOff>1386840</xdr:colOff>
      <xdr:row>10</xdr:row>
      <xdr:rowOff>396240</xdr:rowOff>
    </xdr:to>
    <xdr:sp macro="" textlink="">
      <xdr:nvSpPr>
        <xdr:cNvPr id="34" name="Line 33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SpPr>
          <a:spLocks noChangeShapeType="1"/>
        </xdr:cNvSpPr>
      </xdr:nvSpPr>
      <xdr:spPr bwMode="auto">
        <a:xfrm>
          <a:off x="388620" y="2095500"/>
          <a:ext cx="2705100" cy="7620"/>
        </a:xfrm>
        <a:prstGeom prst="line">
          <a:avLst/>
        </a:prstGeom>
        <a:noFill/>
        <a:ln w="0">
          <a:solidFill>
            <a:srgbClr val="0000FF"/>
          </a:solidFill>
          <a:prstDash val="lgDashDot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609600</xdr:colOff>
      <xdr:row>10</xdr:row>
      <xdr:rowOff>388620</xdr:rowOff>
    </xdr:from>
    <xdr:to>
      <xdr:col>3</xdr:col>
      <xdr:colOff>617220</xdr:colOff>
      <xdr:row>11</xdr:row>
      <xdr:rowOff>106680</xdr:rowOff>
    </xdr:to>
    <xdr:sp macro="" textlink="">
      <xdr:nvSpPr>
        <xdr:cNvPr id="35" name="Line 34">
          <a:extLst>
            <a:ext uri="{FF2B5EF4-FFF2-40B4-BE49-F238E27FC236}">
              <a16:creationId xmlns:a16="http://schemas.microsoft.com/office/drawing/2014/main" id="{00000000-0008-0000-0E00-000023000000}"/>
            </a:ext>
          </a:extLst>
        </xdr:cNvPr>
        <xdr:cNvSpPr>
          <a:spLocks noChangeShapeType="1"/>
        </xdr:cNvSpPr>
      </xdr:nvSpPr>
      <xdr:spPr bwMode="auto">
        <a:xfrm flipV="1">
          <a:off x="2316480" y="2095500"/>
          <a:ext cx="7620" cy="15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609600</xdr:colOff>
      <xdr:row>9</xdr:row>
      <xdr:rowOff>175260</xdr:rowOff>
    </xdr:from>
    <xdr:to>
      <xdr:col>3</xdr:col>
      <xdr:colOff>617220</xdr:colOff>
      <xdr:row>10</xdr:row>
      <xdr:rowOff>411480</xdr:rowOff>
    </xdr:to>
    <xdr:sp macro="" textlink="">
      <xdr:nvSpPr>
        <xdr:cNvPr id="36" name="Line 35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SpPr>
          <a:spLocks noChangeShapeType="1"/>
        </xdr:cNvSpPr>
      </xdr:nvSpPr>
      <xdr:spPr bwMode="auto">
        <a:xfrm>
          <a:off x="2316480" y="1684020"/>
          <a:ext cx="7620" cy="4343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624840</xdr:colOff>
      <xdr:row>6</xdr:row>
      <xdr:rowOff>121920</xdr:rowOff>
    </xdr:from>
    <xdr:to>
      <xdr:col>3</xdr:col>
      <xdr:colOff>640080</xdr:colOff>
      <xdr:row>8</xdr:row>
      <xdr:rowOff>106680</xdr:rowOff>
    </xdr:to>
    <xdr:sp macro="" textlink="">
      <xdr:nvSpPr>
        <xdr:cNvPr id="37" name="Line 36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SpPr>
          <a:spLocks noChangeShapeType="1"/>
        </xdr:cNvSpPr>
      </xdr:nvSpPr>
      <xdr:spPr bwMode="auto">
        <a:xfrm flipV="1">
          <a:off x="2331720" y="1127760"/>
          <a:ext cx="15240" cy="3200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594360</xdr:colOff>
      <xdr:row>12</xdr:row>
      <xdr:rowOff>160020</xdr:rowOff>
    </xdr:from>
    <xdr:to>
      <xdr:col>3</xdr:col>
      <xdr:colOff>609600</xdr:colOff>
      <xdr:row>14</xdr:row>
      <xdr:rowOff>129540</xdr:rowOff>
    </xdr:to>
    <xdr:sp macro="" textlink="">
      <xdr:nvSpPr>
        <xdr:cNvPr id="38" name="Line 37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SpPr>
          <a:spLocks noChangeShapeType="1"/>
        </xdr:cNvSpPr>
      </xdr:nvSpPr>
      <xdr:spPr bwMode="auto">
        <a:xfrm>
          <a:off x="2301240" y="2499360"/>
          <a:ext cx="15240" cy="3657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594360</xdr:colOff>
      <xdr:row>30</xdr:row>
      <xdr:rowOff>99060</xdr:rowOff>
    </xdr:from>
    <xdr:to>
      <xdr:col>6</xdr:col>
      <xdr:colOff>769620</xdr:colOff>
      <xdr:row>30</xdr:row>
      <xdr:rowOff>114300</xdr:rowOff>
    </xdr:to>
    <xdr:sp macro="" textlink="">
      <xdr:nvSpPr>
        <xdr:cNvPr id="39" name="Line 38">
          <a:extLst>
            <a:ext uri="{FF2B5EF4-FFF2-40B4-BE49-F238E27FC236}">
              <a16:creationId xmlns:a16="http://schemas.microsoft.com/office/drawing/2014/main" id="{00000000-0008-0000-0E00-000027000000}"/>
            </a:ext>
          </a:extLst>
        </xdr:cNvPr>
        <xdr:cNvSpPr>
          <a:spLocks noChangeShapeType="1"/>
        </xdr:cNvSpPr>
      </xdr:nvSpPr>
      <xdr:spPr bwMode="auto">
        <a:xfrm>
          <a:off x="830580" y="5760720"/>
          <a:ext cx="481584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396240</xdr:colOff>
      <xdr:row>28</xdr:row>
      <xdr:rowOff>121920</xdr:rowOff>
    </xdr:from>
    <xdr:to>
      <xdr:col>2</xdr:col>
      <xdr:colOff>403860</xdr:colOff>
      <xdr:row>30</xdr:row>
      <xdr:rowOff>99060</xdr:rowOff>
    </xdr:to>
    <xdr:sp macro="" textlink="">
      <xdr:nvSpPr>
        <xdr:cNvPr id="40" name="Line 39">
          <a:extLst>
            <a:ext uri="{FF2B5EF4-FFF2-40B4-BE49-F238E27FC236}">
              <a16:creationId xmlns:a16="http://schemas.microsoft.com/office/drawing/2014/main" id="{00000000-0008-0000-0E00-000028000000}"/>
            </a:ext>
          </a:extLst>
        </xdr:cNvPr>
        <xdr:cNvSpPr>
          <a:spLocks noChangeShapeType="1"/>
        </xdr:cNvSpPr>
      </xdr:nvSpPr>
      <xdr:spPr bwMode="auto">
        <a:xfrm>
          <a:off x="1249680" y="5448300"/>
          <a:ext cx="7620" cy="3124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594360</xdr:colOff>
      <xdr:row>30</xdr:row>
      <xdr:rowOff>114300</xdr:rowOff>
    </xdr:from>
    <xdr:to>
      <xdr:col>1</xdr:col>
      <xdr:colOff>601980</xdr:colOff>
      <xdr:row>32</xdr:row>
      <xdr:rowOff>144780</xdr:rowOff>
    </xdr:to>
    <xdr:sp macro="" textlink="">
      <xdr:nvSpPr>
        <xdr:cNvPr id="41" name="Line 40">
          <a:extLst>
            <a:ext uri="{FF2B5EF4-FFF2-40B4-BE49-F238E27FC236}">
              <a16:creationId xmlns:a16="http://schemas.microsoft.com/office/drawing/2014/main" id="{00000000-0008-0000-0E00-000029000000}"/>
            </a:ext>
          </a:extLst>
        </xdr:cNvPr>
        <xdr:cNvSpPr>
          <a:spLocks noChangeShapeType="1"/>
        </xdr:cNvSpPr>
      </xdr:nvSpPr>
      <xdr:spPr bwMode="auto">
        <a:xfrm flipV="1">
          <a:off x="830580" y="5775960"/>
          <a:ext cx="7620" cy="3657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388620</xdr:colOff>
      <xdr:row>28</xdr:row>
      <xdr:rowOff>99060</xdr:rowOff>
    </xdr:from>
    <xdr:to>
      <xdr:col>3</xdr:col>
      <xdr:colOff>396240</xdr:colOff>
      <xdr:row>30</xdr:row>
      <xdr:rowOff>99060</xdr:rowOff>
    </xdr:to>
    <xdr:sp macro="" textlink="">
      <xdr:nvSpPr>
        <xdr:cNvPr id="42" name="Line 41">
          <a:extLst>
            <a:ext uri="{FF2B5EF4-FFF2-40B4-BE49-F238E27FC236}">
              <a16:creationId xmlns:a16="http://schemas.microsoft.com/office/drawing/2014/main" id="{00000000-0008-0000-0E00-00002A000000}"/>
            </a:ext>
          </a:extLst>
        </xdr:cNvPr>
        <xdr:cNvSpPr>
          <a:spLocks noChangeShapeType="1"/>
        </xdr:cNvSpPr>
      </xdr:nvSpPr>
      <xdr:spPr bwMode="auto">
        <a:xfrm>
          <a:off x="2095500" y="5425440"/>
          <a:ext cx="7620" cy="3352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777240</xdr:colOff>
      <xdr:row>30</xdr:row>
      <xdr:rowOff>99060</xdr:rowOff>
    </xdr:from>
    <xdr:to>
      <xdr:col>6</xdr:col>
      <xdr:colOff>792480</xdr:colOff>
      <xdr:row>32</xdr:row>
      <xdr:rowOff>99060</xdr:rowOff>
    </xdr:to>
    <xdr:sp macro="" textlink="">
      <xdr:nvSpPr>
        <xdr:cNvPr id="43" name="Line 42">
          <a:extLst>
            <a:ext uri="{FF2B5EF4-FFF2-40B4-BE49-F238E27FC236}">
              <a16:creationId xmlns:a16="http://schemas.microsoft.com/office/drawing/2014/main" id="{00000000-0008-0000-0E00-00002B000000}"/>
            </a:ext>
          </a:extLst>
        </xdr:cNvPr>
        <xdr:cNvSpPr>
          <a:spLocks noChangeShapeType="1"/>
        </xdr:cNvSpPr>
      </xdr:nvSpPr>
      <xdr:spPr bwMode="auto">
        <a:xfrm flipV="1">
          <a:off x="5654040" y="5760720"/>
          <a:ext cx="15240" cy="3352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594360</xdr:colOff>
      <xdr:row>33</xdr:row>
      <xdr:rowOff>91440</xdr:rowOff>
    </xdr:from>
    <xdr:to>
      <xdr:col>4</xdr:col>
      <xdr:colOff>449580</xdr:colOff>
      <xdr:row>33</xdr:row>
      <xdr:rowOff>99060</xdr:rowOff>
    </xdr:to>
    <xdr:sp macro="" textlink="">
      <xdr:nvSpPr>
        <xdr:cNvPr id="44" name="Line 43">
          <a:extLst>
            <a:ext uri="{FF2B5EF4-FFF2-40B4-BE49-F238E27FC236}">
              <a16:creationId xmlns:a16="http://schemas.microsoft.com/office/drawing/2014/main" id="{00000000-0008-0000-0E00-00002C000000}"/>
            </a:ext>
          </a:extLst>
        </xdr:cNvPr>
        <xdr:cNvSpPr>
          <a:spLocks noChangeShapeType="1"/>
        </xdr:cNvSpPr>
      </xdr:nvSpPr>
      <xdr:spPr bwMode="auto">
        <a:xfrm flipH="1" flipV="1">
          <a:off x="830580" y="6286500"/>
          <a:ext cx="27889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396240</xdr:colOff>
      <xdr:row>33</xdr:row>
      <xdr:rowOff>91440</xdr:rowOff>
    </xdr:from>
    <xdr:to>
      <xdr:col>6</xdr:col>
      <xdr:colOff>777240</xdr:colOff>
      <xdr:row>33</xdr:row>
      <xdr:rowOff>99060</xdr:rowOff>
    </xdr:to>
    <xdr:sp macro="" textlink="">
      <xdr:nvSpPr>
        <xdr:cNvPr id="45" name="Line 44">
          <a:extLst>
            <a:ext uri="{FF2B5EF4-FFF2-40B4-BE49-F238E27FC236}">
              <a16:creationId xmlns:a16="http://schemas.microsoft.com/office/drawing/2014/main" id="{00000000-0008-0000-0E00-00002D000000}"/>
            </a:ext>
          </a:extLst>
        </xdr:cNvPr>
        <xdr:cNvSpPr>
          <a:spLocks noChangeShapeType="1"/>
        </xdr:cNvSpPr>
      </xdr:nvSpPr>
      <xdr:spPr bwMode="auto">
        <a:xfrm>
          <a:off x="3566160" y="6286500"/>
          <a:ext cx="20878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830580</xdr:colOff>
      <xdr:row>31</xdr:row>
      <xdr:rowOff>83820</xdr:rowOff>
    </xdr:from>
    <xdr:to>
      <xdr:col>2</xdr:col>
      <xdr:colOff>838200</xdr:colOff>
      <xdr:row>32</xdr:row>
      <xdr:rowOff>129540</xdr:rowOff>
    </xdr:to>
    <xdr:sp macro="" textlink="">
      <xdr:nvSpPr>
        <xdr:cNvPr id="46" name="Line 45">
          <a:extLst>
            <a:ext uri="{FF2B5EF4-FFF2-40B4-BE49-F238E27FC236}">
              <a16:creationId xmlns:a16="http://schemas.microsoft.com/office/drawing/2014/main" id="{00000000-0008-0000-0E00-00002E000000}"/>
            </a:ext>
          </a:extLst>
        </xdr:cNvPr>
        <xdr:cNvSpPr>
          <a:spLocks noChangeShapeType="1"/>
        </xdr:cNvSpPr>
      </xdr:nvSpPr>
      <xdr:spPr bwMode="auto">
        <a:xfrm>
          <a:off x="1684020" y="5913120"/>
          <a:ext cx="7620" cy="2133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594360</xdr:colOff>
      <xdr:row>32</xdr:row>
      <xdr:rowOff>182880</xdr:rowOff>
    </xdr:from>
    <xdr:to>
      <xdr:col>1</xdr:col>
      <xdr:colOff>601980</xdr:colOff>
      <xdr:row>34</xdr:row>
      <xdr:rowOff>38100</xdr:rowOff>
    </xdr:to>
    <xdr:sp macro="" textlink="">
      <xdr:nvSpPr>
        <xdr:cNvPr id="47" name="Line 46">
          <a:extLst>
            <a:ext uri="{FF2B5EF4-FFF2-40B4-BE49-F238E27FC236}">
              <a16:creationId xmlns:a16="http://schemas.microsoft.com/office/drawing/2014/main" id="{00000000-0008-0000-0E00-00002F000000}"/>
            </a:ext>
          </a:extLst>
        </xdr:cNvPr>
        <xdr:cNvSpPr>
          <a:spLocks noChangeShapeType="1"/>
        </xdr:cNvSpPr>
      </xdr:nvSpPr>
      <xdr:spPr bwMode="auto">
        <a:xfrm>
          <a:off x="830580" y="6179820"/>
          <a:ext cx="7620" cy="2209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769620</xdr:colOff>
      <xdr:row>32</xdr:row>
      <xdr:rowOff>182880</xdr:rowOff>
    </xdr:from>
    <xdr:to>
      <xdr:col>6</xdr:col>
      <xdr:colOff>777240</xdr:colOff>
      <xdr:row>34</xdr:row>
      <xdr:rowOff>114300</xdr:rowOff>
    </xdr:to>
    <xdr:sp macro="" textlink="">
      <xdr:nvSpPr>
        <xdr:cNvPr id="48" name="Line 47">
          <a:extLst>
            <a:ext uri="{FF2B5EF4-FFF2-40B4-BE49-F238E27FC236}">
              <a16:creationId xmlns:a16="http://schemas.microsoft.com/office/drawing/2014/main" id="{00000000-0008-0000-0E00-000030000000}"/>
            </a:ext>
          </a:extLst>
        </xdr:cNvPr>
        <xdr:cNvSpPr>
          <a:spLocks noChangeShapeType="1"/>
        </xdr:cNvSpPr>
      </xdr:nvSpPr>
      <xdr:spPr bwMode="auto">
        <a:xfrm flipH="1">
          <a:off x="5646420" y="6179820"/>
          <a:ext cx="7620" cy="2971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579120</xdr:colOff>
      <xdr:row>32</xdr:row>
      <xdr:rowOff>30480</xdr:rowOff>
    </xdr:from>
    <xdr:to>
      <xdr:col>4</xdr:col>
      <xdr:colOff>502920</xdr:colOff>
      <xdr:row>32</xdr:row>
      <xdr:rowOff>38100</xdr:rowOff>
    </xdr:to>
    <xdr:sp macro="" textlink="">
      <xdr:nvSpPr>
        <xdr:cNvPr id="49" name="Line 48">
          <a:extLst>
            <a:ext uri="{FF2B5EF4-FFF2-40B4-BE49-F238E27FC236}">
              <a16:creationId xmlns:a16="http://schemas.microsoft.com/office/drawing/2014/main" id="{00000000-0008-0000-0E00-000031000000}"/>
            </a:ext>
          </a:extLst>
        </xdr:cNvPr>
        <xdr:cNvSpPr>
          <a:spLocks noChangeShapeType="1"/>
        </xdr:cNvSpPr>
      </xdr:nvSpPr>
      <xdr:spPr bwMode="auto">
        <a:xfrm>
          <a:off x="1432560" y="6027420"/>
          <a:ext cx="22402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685800</xdr:colOff>
      <xdr:row>32</xdr:row>
      <xdr:rowOff>30480</xdr:rowOff>
    </xdr:from>
    <xdr:to>
      <xdr:col>6</xdr:col>
      <xdr:colOff>769620</xdr:colOff>
      <xdr:row>32</xdr:row>
      <xdr:rowOff>38100</xdr:rowOff>
    </xdr:to>
    <xdr:sp macro="" textlink="">
      <xdr:nvSpPr>
        <xdr:cNvPr id="50" name="Line 49">
          <a:extLst>
            <a:ext uri="{FF2B5EF4-FFF2-40B4-BE49-F238E27FC236}">
              <a16:creationId xmlns:a16="http://schemas.microsoft.com/office/drawing/2014/main" id="{00000000-0008-0000-0E00-000032000000}"/>
            </a:ext>
          </a:extLst>
        </xdr:cNvPr>
        <xdr:cNvSpPr>
          <a:spLocks noChangeShapeType="1"/>
        </xdr:cNvSpPr>
      </xdr:nvSpPr>
      <xdr:spPr bwMode="auto">
        <a:xfrm>
          <a:off x="4739640" y="6027420"/>
          <a:ext cx="9067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777240</xdr:colOff>
      <xdr:row>32</xdr:row>
      <xdr:rowOff>7620</xdr:rowOff>
    </xdr:from>
    <xdr:to>
      <xdr:col>3</xdr:col>
      <xdr:colOff>83820</xdr:colOff>
      <xdr:row>32</xdr:row>
      <xdr:rowOff>91440</xdr:rowOff>
    </xdr:to>
    <xdr:sp macro="" textlink="">
      <xdr:nvSpPr>
        <xdr:cNvPr id="51" name="Line 50">
          <a:extLst>
            <a:ext uri="{FF2B5EF4-FFF2-40B4-BE49-F238E27FC236}">
              <a16:creationId xmlns:a16="http://schemas.microsoft.com/office/drawing/2014/main" id="{00000000-0008-0000-0E00-000033000000}"/>
            </a:ext>
          </a:extLst>
        </xdr:cNvPr>
        <xdr:cNvSpPr>
          <a:spLocks noChangeShapeType="1"/>
        </xdr:cNvSpPr>
      </xdr:nvSpPr>
      <xdr:spPr bwMode="auto">
        <a:xfrm flipV="1">
          <a:off x="1630680" y="6004560"/>
          <a:ext cx="160020" cy="838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594360</xdr:colOff>
      <xdr:row>32</xdr:row>
      <xdr:rowOff>38100</xdr:rowOff>
    </xdr:from>
    <xdr:to>
      <xdr:col>2</xdr:col>
      <xdr:colOff>167640</xdr:colOff>
      <xdr:row>32</xdr:row>
      <xdr:rowOff>53340</xdr:rowOff>
    </xdr:to>
    <xdr:sp macro="" textlink="">
      <xdr:nvSpPr>
        <xdr:cNvPr id="52" name="Line 51">
          <a:extLst>
            <a:ext uri="{FF2B5EF4-FFF2-40B4-BE49-F238E27FC236}">
              <a16:creationId xmlns:a16="http://schemas.microsoft.com/office/drawing/2014/main" id="{00000000-0008-0000-0E00-000034000000}"/>
            </a:ext>
          </a:extLst>
        </xdr:cNvPr>
        <xdr:cNvSpPr>
          <a:spLocks noChangeShapeType="1"/>
        </xdr:cNvSpPr>
      </xdr:nvSpPr>
      <xdr:spPr bwMode="auto">
        <a:xfrm flipH="1" flipV="1">
          <a:off x="830580" y="6035040"/>
          <a:ext cx="19050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609600</xdr:colOff>
      <xdr:row>59</xdr:row>
      <xdr:rowOff>137160</xdr:rowOff>
    </xdr:from>
    <xdr:to>
      <xdr:col>6</xdr:col>
      <xdr:colOff>800100</xdr:colOff>
      <xdr:row>59</xdr:row>
      <xdr:rowOff>144780</xdr:rowOff>
    </xdr:to>
    <xdr:sp macro="" textlink="">
      <xdr:nvSpPr>
        <xdr:cNvPr id="53" name="Line 52">
          <a:extLst>
            <a:ext uri="{FF2B5EF4-FFF2-40B4-BE49-F238E27FC236}">
              <a16:creationId xmlns:a16="http://schemas.microsoft.com/office/drawing/2014/main" id="{00000000-0008-0000-0E00-000035000000}"/>
            </a:ext>
          </a:extLst>
        </xdr:cNvPr>
        <xdr:cNvSpPr>
          <a:spLocks noChangeShapeType="1"/>
        </xdr:cNvSpPr>
      </xdr:nvSpPr>
      <xdr:spPr bwMode="auto">
        <a:xfrm>
          <a:off x="845820" y="10812780"/>
          <a:ext cx="48310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594360</xdr:colOff>
      <xdr:row>59</xdr:row>
      <xdr:rowOff>152400</xdr:rowOff>
    </xdr:from>
    <xdr:to>
      <xdr:col>1</xdr:col>
      <xdr:colOff>601980</xdr:colOff>
      <xdr:row>62</xdr:row>
      <xdr:rowOff>99060</xdr:rowOff>
    </xdr:to>
    <xdr:sp macro="" textlink="">
      <xdr:nvSpPr>
        <xdr:cNvPr id="54" name="Line 53">
          <a:extLst>
            <a:ext uri="{FF2B5EF4-FFF2-40B4-BE49-F238E27FC236}">
              <a16:creationId xmlns:a16="http://schemas.microsoft.com/office/drawing/2014/main" id="{00000000-0008-0000-0E00-000036000000}"/>
            </a:ext>
          </a:extLst>
        </xdr:cNvPr>
        <xdr:cNvSpPr>
          <a:spLocks noChangeShapeType="1"/>
        </xdr:cNvSpPr>
      </xdr:nvSpPr>
      <xdr:spPr bwMode="auto">
        <a:xfrm flipV="1">
          <a:off x="830580" y="10828020"/>
          <a:ext cx="7620" cy="4495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792480</xdr:colOff>
      <xdr:row>59</xdr:row>
      <xdr:rowOff>152400</xdr:rowOff>
    </xdr:from>
    <xdr:to>
      <xdr:col>6</xdr:col>
      <xdr:colOff>800100</xdr:colOff>
      <xdr:row>62</xdr:row>
      <xdr:rowOff>83820</xdr:rowOff>
    </xdr:to>
    <xdr:sp macro="" textlink="">
      <xdr:nvSpPr>
        <xdr:cNvPr id="55" name="Line 54">
          <a:extLst>
            <a:ext uri="{FF2B5EF4-FFF2-40B4-BE49-F238E27FC236}">
              <a16:creationId xmlns:a16="http://schemas.microsoft.com/office/drawing/2014/main" id="{00000000-0008-0000-0E00-000037000000}"/>
            </a:ext>
          </a:extLst>
        </xdr:cNvPr>
        <xdr:cNvSpPr>
          <a:spLocks noChangeShapeType="1"/>
        </xdr:cNvSpPr>
      </xdr:nvSpPr>
      <xdr:spPr bwMode="auto">
        <a:xfrm flipV="1">
          <a:off x="5669280" y="10828020"/>
          <a:ext cx="7620" cy="4343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106680</xdr:colOff>
      <xdr:row>57</xdr:row>
      <xdr:rowOff>160020</xdr:rowOff>
    </xdr:from>
    <xdr:to>
      <xdr:col>5</xdr:col>
      <xdr:colOff>121920</xdr:colOff>
      <xdr:row>59</xdr:row>
      <xdr:rowOff>137160</xdr:rowOff>
    </xdr:to>
    <xdr:sp macro="" textlink="">
      <xdr:nvSpPr>
        <xdr:cNvPr id="56" name="Line 56">
          <a:extLst>
            <a:ext uri="{FF2B5EF4-FFF2-40B4-BE49-F238E27FC236}">
              <a16:creationId xmlns:a16="http://schemas.microsoft.com/office/drawing/2014/main" id="{00000000-0008-0000-0E00-000038000000}"/>
            </a:ext>
          </a:extLst>
        </xdr:cNvPr>
        <xdr:cNvSpPr>
          <a:spLocks noChangeShapeType="1"/>
        </xdr:cNvSpPr>
      </xdr:nvSpPr>
      <xdr:spPr bwMode="auto">
        <a:xfrm>
          <a:off x="4160520" y="10500360"/>
          <a:ext cx="15240" cy="3124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594360</xdr:colOff>
      <xdr:row>65</xdr:row>
      <xdr:rowOff>144780</xdr:rowOff>
    </xdr:from>
    <xdr:to>
      <xdr:col>4</xdr:col>
      <xdr:colOff>449580</xdr:colOff>
      <xdr:row>65</xdr:row>
      <xdr:rowOff>160020</xdr:rowOff>
    </xdr:to>
    <xdr:sp macro="" textlink="">
      <xdr:nvSpPr>
        <xdr:cNvPr id="57" name="Line 57">
          <a:extLst>
            <a:ext uri="{FF2B5EF4-FFF2-40B4-BE49-F238E27FC236}">
              <a16:creationId xmlns:a16="http://schemas.microsoft.com/office/drawing/2014/main" id="{00000000-0008-0000-0E00-000039000000}"/>
            </a:ext>
          </a:extLst>
        </xdr:cNvPr>
        <xdr:cNvSpPr>
          <a:spLocks noChangeShapeType="1"/>
        </xdr:cNvSpPr>
      </xdr:nvSpPr>
      <xdr:spPr bwMode="auto">
        <a:xfrm flipH="1" flipV="1">
          <a:off x="830580" y="11826240"/>
          <a:ext cx="278892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403860</xdr:colOff>
      <xdr:row>65</xdr:row>
      <xdr:rowOff>144780</xdr:rowOff>
    </xdr:from>
    <xdr:to>
      <xdr:col>6</xdr:col>
      <xdr:colOff>792480</xdr:colOff>
      <xdr:row>65</xdr:row>
      <xdr:rowOff>160020</xdr:rowOff>
    </xdr:to>
    <xdr:sp macro="" textlink="">
      <xdr:nvSpPr>
        <xdr:cNvPr id="58" name="Line 58">
          <a:extLst>
            <a:ext uri="{FF2B5EF4-FFF2-40B4-BE49-F238E27FC236}">
              <a16:creationId xmlns:a16="http://schemas.microsoft.com/office/drawing/2014/main" id="{00000000-0008-0000-0E00-00003A000000}"/>
            </a:ext>
          </a:extLst>
        </xdr:cNvPr>
        <xdr:cNvSpPr>
          <a:spLocks noChangeShapeType="1"/>
        </xdr:cNvSpPr>
      </xdr:nvSpPr>
      <xdr:spPr bwMode="auto">
        <a:xfrm>
          <a:off x="3573780" y="11826240"/>
          <a:ext cx="209550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106680</xdr:colOff>
      <xdr:row>60</xdr:row>
      <xdr:rowOff>45720</xdr:rowOff>
    </xdr:from>
    <xdr:to>
      <xdr:col>5</xdr:col>
      <xdr:colOff>121920</xdr:colOff>
      <xdr:row>62</xdr:row>
      <xdr:rowOff>114300</xdr:rowOff>
    </xdr:to>
    <xdr:sp macro="" textlink="">
      <xdr:nvSpPr>
        <xdr:cNvPr id="59" name="Line 61">
          <a:extLst>
            <a:ext uri="{FF2B5EF4-FFF2-40B4-BE49-F238E27FC236}">
              <a16:creationId xmlns:a16="http://schemas.microsoft.com/office/drawing/2014/main" id="{00000000-0008-0000-0E00-00003B000000}"/>
            </a:ext>
          </a:extLst>
        </xdr:cNvPr>
        <xdr:cNvSpPr>
          <a:spLocks noChangeShapeType="1"/>
        </xdr:cNvSpPr>
      </xdr:nvSpPr>
      <xdr:spPr bwMode="auto">
        <a:xfrm>
          <a:off x="4160520" y="10888980"/>
          <a:ext cx="15240" cy="4038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1371600</xdr:colOff>
      <xdr:row>58</xdr:row>
      <xdr:rowOff>114300</xdr:rowOff>
    </xdr:from>
    <xdr:to>
      <xdr:col>3</xdr:col>
      <xdr:colOff>1379220</xdr:colOff>
      <xdr:row>62</xdr:row>
      <xdr:rowOff>99060</xdr:rowOff>
    </xdr:to>
    <xdr:sp macro="" textlink="">
      <xdr:nvSpPr>
        <xdr:cNvPr id="60" name="Line 65">
          <a:extLst>
            <a:ext uri="{FF2B5EF4-FFF2-40B4-BE49-F238E27FC236}">
              <a16:creationId xmlns:a16="http://schemas.microsoft.com/office/drawing/2014/main" id="{00000000-0008-0000-0E00-00003C000000}"/>
            </a:ext>
          </a:extLst>
        </xdr:cNvPr>
        <xdr:cNvSpPr>
          <a:spLocks noChangeShapeType="1"/>
        </xdr:cNvSpPr>
      </xdr:nvSpPr>
      <xdr:spPr bwMode="auto">
        <a:xfrm>
          <a:off x="3078480" y="10622280"/>
          <a:ext cx="7620" cy="655320"/>
        </a:xfrm>
        <a:prstGeom prst="line">
          <a:avLst/>
        </a:prstGeom>
        <a:noFill/>
        <a:ln w="9525">
          <a:solidFill>
            <a:srgbClr val="000000"/>
          </a:solidFill>
          <a:prstDash val="lg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807720</xdr:colOff>
      <xdr:row>70</xdr:row>
      <xdr:rowOff>68580</xdr:rowOff>
    </xdr:from>
    <xdr:to>
      <xdr:col>3</xdr:col>
      <xdr:colOff>365760</xdr:colOff>
      <xdr:row>70</xdr:row>
      <xdr:rowOff>83820</xdr:rowOff>
    </xdr:to>
    <xdr:sp macro="" textlink="">
      <xdr:nvSpPr>
        <xdr:cNvPr id="61" name="Line 71">
          <a:extLst>
            <a:ext uri="{FF2B5EF4-FFF2-40B4-BE49-F238E27FC236}">
              <a16:creationId xmlns:a16="http://schemas.microsoft.com/office/drawing/2014/main" id="{00000000-0008-0000-0E00-00003D000000}"/>
            </a:ext>
          </a:extLst>
        </xdr:cNvPr>
        <xdr:cNvSpPr>
          <a:spLocks noChangeShapeType="1"/>
        </xdr:cNvSpPr>
      </xdr:nvSpPr>
      <xdr:spPr bwMode="auto">
        <a:xfrm>
          <a:off x="1661160" y="12588240"/>
          <a:ext cx="41148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609600</xdr:colOff>
      <xdr:row>97</xdr:row>
      <xdr:rowOff>83820</xdr:rowOff>
    </xdr:from>
    <xdr:to>
      <xdr:col>6</xdr:col>
      <xdr:colOff>800100</xdr:colOff>
      <xdr:row>97</xdr:row>
      <xdr:rowOff>91440</xdr:rowOff>
    </xdr:to>
    <xdr:sp macro="" textlink="">
      <xdr:nvSpPr>
        <xdr:cNvPr id="62" name="Line 72">
          <a:extLst>
            <a:ext uri="{FF2B5EF4-FFF2-40B4-BE49-F238E27FC236}">
              <a16:creationId xmlns:a16="http://schemas.microsoft.com/office/drawing/2014/main" id="{00000000-0008-0000-0E00-00003E000000}"/>
            </a:ext>
          </a:extLst>
        </xdr:cNvPr>
        <xdr:cNvSpPr>
          <a:spLocks noChangeShapeType="1"/>
        </xdr:cNvSpPr>
      </xdr:nvSpPr>
      <xdr:spPr bwMode="auto">
        <a:xfrm>
          <a:off x="845820" y="17129760"/>
          <a:ext cx="48310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594360</xdr:colOff>
      <xdr:row>97</xdr:row>
      <xdr:rowOff>99060</xdr:rowOff>
    </xdr:from>
    <xdr:to>
      <xdr:col>1</xdr:col>
      <xdr:colOff>601980</xdr:colOff>
      <xdr:row>99</xdr:row>
      <xdr:rowOff>137160</xdr:rowOff>
    </xdr:to>
    <xdr:sp macro="" textlink="">
      <xdr:nvSpPr>
        <xdr:cNvPr id="63" name="Line 73">
          <a:extLst>
            <a:ext uri="{FF2B5EF4-FFF2-40B4-BE49-F238E27FC236}">
              <a16:creationId xmlns:a16="http://schemas.microsoft.com/office/drawing/2014/main" id="{00000000-0008-0000-0E00-00003F000000}"/>
            </a:ext>
          </a:extLst>
        </xdr:cNvPr>
        <xdr:cNvSpPr>
          <a:spLocks noChangeShapeType="1"/>
        </xdr:cNvSpPr>
      </xdr:nvSpPr>
      <xdr:spPr bwMode="auto">
        <a:xfrm flipV="1">
          <a:off x="830580" y="17145000"/>
          <a:ext cx="7620" cy="3733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792480</xdr:colOff>
      <xdr:row>97</xdr:row>
      <xdr:rowOff>99060</xdr:rowOff>
    </xdr:from>
    <xdr:to>
      <xdr:col>6</xdr:col>
      <xdr:colOff>800100</xdr:colOff>
      <xdr:row>99</xdr:row>
      <xdr:rowOff>114300</xdr:rowOff>
    </xdr:to>
    <xdr:sp macro="" textlink="">
      <xdr:nvSpPr>
        <xdr:cNvPr id="64" name="Line 74">
          <a:extLst>
            <a:ext uri="{FF2B5EF4-FFF2-40B4-BE49-F238E27FC236}">
              <a16:creationId xmlns:a16="http://schemas.microsoft.com/office/drawing/2014/main" id="{00000000-0008-0000-0E00-000040000000}"/>
            </a:ext>
          </a:extLst>
        </xdr:cNvPr>
        <xdr:cNvSpPr>
          <a:spLocks noChangeShapeType="1"/>
        </xdr:cNvSpPr>
      </xdr:nvSpPr>
      <xdr:spPr bwMode="auto">
        <a:xfrm flipV="1">
          <a:off x="5669280" y="17145000"/>
          <a:ext cx="7620" cy="3505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586740</xdr:colOff>
      <xdr:row>100</xdr:row>
      <xdr:rowOff>144780</xdr:rowOff>
    </xdr:from>
    <xdr:to>
      <xdr:col>4</xdr:col>
      <xdr:colOff>441960</xdr:colOff>
      <xdr:row>100</xdr:row>
      <xdr:rowOff>160020</xdr:rowOff>
    </xdr:to>
    <xdr:sp macro="" textlink="">
      <xdr:nvSpPr>
        <xdr:cNvPr id="65" name="Line 75">
          <a:extLst>
            <a:ext uri="{FF2B5EF4-FFF2-40B4-BE49-F238E27FC236}">
              <a16:creationId xmlns:a16="http://schemas.microsoft.com/office/drawing/2014/main" id="{00000000-0008-0000-0E00-000041000000}"/>
            </a:ext>
          </a:extLst>
        </xdr:cNvPr>
        <xdr:cNvSpPr>
          <a:spLocks noChangeShapeType="1"/>
        </xdr:cNvSpPr>
      </xdr:nvSpPr>
      <xdr:spPr bwMode="auto">
        <a:xfrm flipH="1" flipV="1">
          <a:off x="822960" y="17693640"/>
          <a:ext cx="278892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403860</xdr:colOff>
      <xdr:row>100</xdr:row>
      <xdr:rowOff>144780</xdr:rowOff>
    </xdr:from>
    <xdr:to>
      <xdr:col>6</xdr:col>
      <xdr:colOff>792480</xdr:colOff>
      <xdr:row>100</xdr:row>
      <xdr:rowOff>160020</xdr:rowOff>
    </xdr:to>
    <xdr:sp macro="" textlink="">
      <xdr:nvSpPr>
        <xdr:cNvPr id="66" name="Line 76">
          <a:extLst>
            <a:ext uri="{FF2B5EF4-FFF2-40B4-BE49-F238E27FC236}">
              <a16:creationId xmlns:a16="http://schemas.microsoft.com/office/drawing/2014/main" id="{00000000-0008-0000-0E00-000042000000}"/>
            </a:ext>
          </a:extLst>
        </xdr:cNvPr>
        <xdr:cNvSpPr>
          <a:spLocks noChangeShapeType="1"/>
        </xdr:cNvSpPr>
      </xdr:nvSpPr>
      <xdr:spPr bwMode="auto">
        <a:xfrm>
          <a:off x="3573780" y="17693640"/>
          <a:ext cx="209550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601980</xdr:colOff>
      <xdr:row>97</xdr:row>
      <xdr:rowOff>7620</xdr:rowOff>
    </xdr:from>
    <xdr:to>
      <xdr:col>6</xdr:col>
      <xdr:colOff>792480</xdr:colOff>
      <xdr:row>97</xdr:row>
      <xdr:rowOff>83820</xdr:rowOff>
    </xdr:to>
    <xdr:sp macro="" textlink="">
      <xdr:nvSpPr>
        <xdr:cNvPr id="67" name="Freeform 77">
          <a:extLst>
            <a:ext uri="{FF2B5EF4-FFF2-40B4-BE49-F238E27FC236}">
              <a16:creationId xmlns:a16="http://schemas.microsoft.com/office/drawing/2014/main" id="{00000000-0008-0000-0E00-000043000000}"/>
            </a:ext>
          </a:extLst>
        </xdr:cNvPr>
        <xdr:cNvSpPr>
          <a:spLocks noChangeArrowheads="1"/>
        </xdr:cNvSpPr>
      </xdr:nvSpPr>
      <xdr:spPr bwMode="auto">
        <a:xfrm>
          <a:off x="838200" y="17053560"/>
          <a:ext cx="4831080" cy="76200"/>
        </a:xfrm>
        <a:custGeom>
          <a:avLst/>
          <a:gdLst>
            <a:gd name="T0" fmla="*/ 0 w 4133850"/>
            <a:gd name="T1" fmla="*/ 76200 h 76200"/>
            <a:gd name="T2" fmla="*/ 121259 w 4133850"/>
            <a:gd name="T3" fmla="*/ 28575 h 76200"/>
            <a:gd name="T4" fmla="*/ 231495 w 4133850"/>
            <a:gd name="T5" fmla="*/ 66675 h 76200"/>
            <a:gd name="T6" fmla="*/ 396849 w 4133850"/>
            <a:gd name="T7" fmla="*/ 19050 h 76200"/>
            <a:gd name="T8" fmla="*/ 507085 w 4133850"/>
            <a:gd name="T9" fmla="*/ 76200 h 76200"/>
            <a:gd name="T10" fmla="*/ 672439 w 4133850"/>
            <a:gd name="T11" fmla="*/ 19050 h 76200"/>
            <a:gd name="T12" fmla="*/ 815746 w 4133850"/>
            <a:gd name="T13" fmla="*/ 57150 h 76200"/>
            <a:gd name="T14" fmla="*/ 1003147 w 4133850"/>
            <a:gd name="T15" fmla="*/ 0 h 76200"/>
            <a:gd name="T16" fmla="*/ 1157478 w 4133850"/>
            <a:gd name="T17" fmla="*/ 66675 h 76200"/>
            <a:gd name="T18" fmla="*/ 1366926 w 4133850"/>
            <a:gd name="T19" fmla="*/ 0 h 76200"/>
            <a:gd name="T20" fmla="*/ 1510233 w 4133850"/>
            <a:gd name="T21" fmla="*/ 66675 h 76200"/>
            <a:gd name="T22" fmla="*/ 1686610 w 4133850"/>
            <a:gd name="T23" fmla="*/ 0 h 76200"/>
            <a:gd name="T24" fmla="*/ 1851964 w 4133850"/>
            <a:gd name="T25" fmla="*/ 66675 h 76200"/>
            <a:gd name="T26" fmla="*/ 2006295 w 4133850"/>
            <a:gd name="T27" fmla="*/ 0 h 76200"/>
            <a:gd name="T28" fmla="*/ 2160625 w 4133850"/>
            <a:gd name="T29" fmla="*/ 66675 h 76200"/>
            <a:gd name="T30" fmla="*/ 2359050 w 4133850"/>
            <a:gd name="T31" fmla="*/ 0 h 76200"/>
            <a:gd name="T32" fmla="*/ 2502357 w 4133850"/>
            <a:gd name="T33" fmla="*/ 66675 h 76200"/>
            <a:gd name="T34" fmla="*/ 2733852 w 4133850"/>
            <a:gd name="T35" fmla="*/ 0 h 76200"/>
            <a:gd name="T36" fmla="*/ 2899206 w 4133850"/>
            <a:gd name="T37" fmla="*/ 57150 h 76200"/>
            <a:gd name="T38" fmla="*/ 3097631 w 4133850"/>
            <a:gd name="T39" fmla="*/ 9525 h 76200"/>
            <a:gd name="T40" fmla="*/ 3240938 w 4133850"/>
            <a:gd name="T41" fmla="*/ 57150 h 76200"/>
            <a:gd name="T42" fmla="*/ 3428339 w 4133850"/>
            <a:gd name="T43" fmla="*/ 0 h 76200"/>
            <a:gd name="T44" fmla="*/ 3593693 w 4133850"/>
            <a:gd name="T45" fmla="*/ 76200 h 76200"/>
            <a:gd name="T46" fmla="*/ 3759047 w 4133850"/>
            <a:gd name="T47" fmla="*/ 0 h 76200"/>
            <a:gd name="T48" fmla="*/ 3869283 w 4133850"/>
            <a:gd name="T49" fmla="*/ 76200 h 76200"/>
            <a:gd name="T50" fmla="*/ 4034637 w 4133850"/>
            <a:gd name="T51" fmla="*/ 0 h 76200"/>
            <a:gd name="T52" fmla="*/ 4133850 w 4133850"/>
            <a:gd name="T53" fmla="*/ 66675 h 76200"/>
            <a:gd name="T54" fmla="*/ 0 w 4133850"/>
            <a:gd name="T55" fmla="*/ 0 h 76200"/>
            <a:gd name="T56" fmla="*/ 4133850 w 4133850"/>
            <a:gd name="T57" fmla="*/ 76200 h 762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  <a:cxn ang="0">
              <a:pos x="T32" y="T33"/>
            </a:cxn>
            <a:cxn ang="0">
              <a:pos x="T34" y="T35"/>
            </a:cxn>
            <a:cxn ang="0">
              <a:pos x="T36" y="T37"/>
            </a:cxn>
            <a:cxn ang="0">
              <a:pos x="T38" y="T39"/>
            </a:cxn>
            <a:cxn ang="0">
              <a:pos x="T40" y="T41"/>
            </a:cxn>
            <a:cxn ang="0">
              <a:pos x="T42" y="T43"/>
            </a:cxn>
            <a:cxn ang="0">
              <a:pos x="T44" y="T45"/>
            </a:cxn>
            <a:cxn ang="0">
              <a:pos x="T46" y="T47"/>
            </a:cxn>
            <a:cxn ang="0">
              <a:pos x="T48" y="T49"/>
            </a:cxn>
            <a:cxn ang="0">
              <a:pos x="T50" y="T51"/>
            </a:cxn>
            <a:cxn ang="0">
              <a:pos x="T52" y="T53"/>
            </a:cxn>
          </a:cxnLst>
          <a:rect l="T54" t="T55" r="T56" b="T57"/>
          <a:pathLst>
            <a:path w="4133850" h="76200">
              <a:moveTo>
                <a:pt x="0" y="76200"/>
              </a:moveTo>
              <a:cubicBezTo>
                <a:pt x="44094" y="47625"/>
                <a:pt x="88188" y="28575"/>
                <a:pt x="121259" y="28575"/>
              </a:cubicBezTo>
              <a:cubicBezTo>
                <a:pt x="154330" y="28575"/>
                <a:pt x="187401" y="66675"/>
                <a:pt x="231495" y="66675"/>
              </a:cubicBezTo>
              <a:cubicBezTo>
                <a:pt x="275590" y="66675"/>
                <a:pt x="352755" y="19050"/>
                <a:pt x="396849" y="19050"/>
              </a:cubicBezTo>
              <a:cubicBezTo>
                <a:pt x="440944" y="19050"/>
                <a:pt x="462991" y="76200"/>
                <a:pt x="507085" y="76200"/>
              </a:cubicBezTo>
              <a:cubicBezTo>
                <a:pt x="551180" y="76200"/>
                <a:pt x="617321" y="19050"/>
                <a:pt x="672439" y="19050"/>
              </a:cubicBezTo>
              <a:cubicBezTo>
                <a:pt x="727557" y="19050"/>
                <a:pt x="760628" y="57150"/>
                <a:pt x="815746" y="57150"/>
              </a:cubicBezTo>
              <a:cubicBezTo>
                <a:pt x="870864" y="57150"/>
                <a:pt x="948029" y="0"/>
                <a:pt x="1003147" y="0"/>
              </a:cubicBezTo>
              <a:cubicBezTo>
                <a:pt x="1058265" y="0"/>
                <a:pt x="1102360" y="66675"/>
                <a:pt x="1157478" y="66675"/>
              </a:cubicBezTo>
              <a:cubicBezTo>
                <a:pt x="1212596" y="66675"/>
                <a:pt x="1311808" y="0"/>
                <a:pt x="1366926" y="0"/>
              </a:cubicBezTo>
              <a:cubicBezTo>
                <a:pt x="1422044" y="0"/>
                <a:pt x="1455115" y="66675"/>
                <a:pt x="1510233" y="66675"/>
              </a:cubicBezTo>
              <a:cubicBezTo>
                <a:pt x="1565351" y="66675"/>
                <a:pt x="1631492" y="0"/>
                <a:pt x="1686610" y="0"/>
              </a:cubicBezTo>
              <a:cubicBezTo>
                <a:pt x="1741728" y="0"/>
                <a:pt x="1796846" y="66675"/>
                <a:pt x="1851964" y="66675"/>
              </a:cubicBezTo>
              <a:cubicBezTo>
                <a:pt x="1907082" y="66675"/>
                <a:pt x="1951177" y="0"/>
                <a:pt x="2006295" y="0"/>
              </a:cubicBezTo>
              <a:cubicBezTo>
                <a:pt x="2061413" y="0"/>
                <a:pt x="2105507" y="66675"/>
                <a:pt x="2160625" y="66675"/>
              </a:cubicBezTo>
              <a:cubicBezTo>
                <a:pt x="2215743" y="66675"/>
                <a:pt x="2303932" y="0"/>
                <a:pt x="2359050" y="0"/>
              </a:cubicBezTo>
              <a:cubicBezTo>
                <a:pt x="2414168" y="0"/>
                <a:pt x="2436215" y="66675"/>
                <a:pt x="2502357" y="66675"/>
              </a:cubicBezTo>
              <a:cubicBezTo>
                <a:pt x="2568498" y="66675"/>
                <a:pt x="2667711" y="0"/>
                <a:pt x="2733852" y="0"/>
              </a:cubicBezTo>
              <a:cubicBezTo>
                <a:pt x="2799994" y="0"/>
                <a:pt x="2844088" y="57150"/>
                <a:pt x="2899206" y="57150"/>
              </a:cubicBezTo>
              <a:cubicBezTo>
                <a:pt x="2954324" y="57150"/>
                <a:pt x="3042513" y="9525"/>
                <a:pt x="3097631" y="9525"/>
              </a:cubicBezTo>
              <a:cubicBezTo>
                <a:pt x="3152749" y="9525"/>
                <a:pt x="3185820" y="57150"/>
                <a:pt x="3240938" y="57150"/>
              </a:cubicBezTo>
              <a:cubicBezTo>
                <a:pt x="3296056" y="57150"/>
                <a:pt x="3373221" y="0"/>
                <a:pt x="3428339" y="0"/>
              </a:cubicBezTo>
              <a:cubicBezTo>
                <a:pt x="3483457" y="0"/>
                <a:pt x="3538575" y="76200"/>
                <a:pt x="3593693" y="76200"/>
              </a:cubicBezTo>
              <a:cubicBezTo>
                <a:pt x="3648811" y="76200"/>
                <a:pt x="3714953" y="0"/>
                <a:pt x="3759047" y="0"/>
              </a:cubicBezTo>
              <a:cubicBezTo>
                <a:pt x="3803142" y="0"/>
                <a:pt x="3825189" y="76200"/>
                <a:pt x="3869283" y="76200"/>
              </a:cubicBezTo>
              <a:cubicBezTo>
                <a:pt x="3913378" y="76200"/>
                <a:pt x="3990543" y="0"/>
                <a:pt x="4034637" y="0"/>
              </a:cubicBezTo>
              <a:cubicBezTo>
                <a:pt x="4078732" y="0"/>
                <a:pt x="4122826" y="38100"/>
                <a:pt x="4133850" y="66675"/>
              </a:cubicBezTo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106680</xdr:colOff>
      <xdr:row>95</xdr:row>
      <xdr:rowOff>99060</xdr:rowOff>
    </xdr:from>
    <xdr:to>
      <xdr:col>5</xdr:col>
      <xdr:colOff>304800</xdr:colOff>
      <xdr:row>97</xdr:row>
      <xdr:rowOff>38100</xdr:rowOff>
    </xdr:to>
    <xdr:sp macro="" textlink="">
      <xdr:nvSpPr>
        <xdr:cNvPr id="68" name="Line 78">
          <a:extLst>
            <a:ext uri="{FF2B5EF4-FFF2-40B4-BE49-F238E27FC236}">
              <a16:creationId xmlns:a16="http://schemas.microsoft.com/office/drawing/2014/main" id="{00000000-0008-0000-0E00-000044000000}"/>
            </a:ext>
          </a:extLst>
        </xdr:cNvPr>
        <xdr:cNvSpPr>
          <a:spLocks noChangeShapeType="1"/>
        </xdr:cNvSpPr>
      </xdr:nvSpPr>
      <xdr:spPr bwMode="auto">
        <a:xfrm flipH="1">
          <a:off x="4160520" y="16809720"/>
          <a:ext cx="198120" cy="274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297180</xdr:colOff>
      <xdr:row>95</xdr:row>
      <xdr:rowOff>91440</xdr:rowOff>
    </xdr:from>
    <xdr:to>
      <xdr:col>6</xdr:col>
      <xdr:colOff>83820</xdr:colOff>
      <xdr:row>95</xdr:row>
      <xdr:rowOff>99060</xdr:rowOff>
    </xdr:to>
    <xdr:sp macro="" textlink="">
      <xdr:nvSpPr>
        <xdr:cNvPr id="69" name="Line 79">
          <a:extLst>
            <a:ext uri="{FF2B5EF4-FFF2-40B4-BE49-F238E27FC236}">
              <a16:creationId xmlns:a16="http://schemas.microsoft.com/office/drawing/2014/main" id="{00000000-0008-0000-0E00-000045000000}"/>
            </a:ext>
          </a:extLst>
        </xdr:cNvPr>
        <xdr:cNvSpPr>
          <a:spLocks noChangeShapeType="1"/>
        </xdr:cNvSpPr>
      </xdr:nvSpPr>
      <xdr:spPr bwMode="auto">
        <a:xfrm>
          <a:off x="4351020" y="16802100"/>
          <a:ext cx="6096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182880</xdr:colOff>
      <xdr:row>95</xdr:row>
      <xdr:rowOff>91440</xdr:rowOff>
    </xdr:from>
    <xdr:to>
      <xdr:col>4</xdr:col>
      <xdr:colOff>190500</xdr:colOff>
      <xdr:row>97</xdr:row>
      <xdr:rowOff>53340</xdr:rowOff>
    </xdr:to>
    <xdr:sp macro="" textlink="">
      <xdr:nvSpPr>
        <xdr:cNvPr id="70" name="Line 80">
          <a:extLst>
            <a:ext uri="{FF2B5EF4-FFF2-40B4-BE49-F238E27FC236}">
              <a16:creationId xmlns:a16="http://schemas.microsoft.com/office/drawing/2014/main" id="{00000000-0008-0000-0E00-000046000000}"/>
            </a:ext>
          </a:extLst>
        </xdr:cNvPr>
        <xdr:cNvSpPr>
          <a:spLocks noChangeShapeType="1"/>
        </xdr:cNvSpPr>
      </xdr:nvSpPr>
      <xdr:spPr bwMode="auto">
        <a:xfrm>
          <a:off x="3352800" y="16802100"/>
          <a:ext cx="7620" cy="2971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746760</xdr:colOff>
      <xdr:row>58</xdr:row>
      <xdr:rowOff>22860</xdr:rowOff>
    </xdr:from>
    <xdr:to>
      <xdr:col>3</xdr:col>
      <xdr:colOff>762000</xdr:colOff>
      <xdr:row>59</xdr:row>
      <xdr:rowOff>152400</xdr:rowOff>
    </xdr:to>
    <xdr:sp macro="" textlink="">
      <xdr:nvSpPr>
        <xdr:cNvPr id="71" name="Line 89">
          <a:extLst>
            <a:ext uri="{FF2B5EF4-FFF2-40B4-BE49-F238E27FC236}">
              <a16:creationId xmlns:a16="http://schemas.microsoft.com/office/drawing/2014/main" id="{00000000-0008-0000-0E00-000047000000}"/>
            </a:ext>
          </a:extLst>
        </xdr:cNvPr>
        <xdr:cNvSpPr>
          <a:spLocks noChangeShapeType="1"/>
        </xdr:cNvSpPr>
      </xdr:nvSpPr>
      <xdr:spPr bwMode="auto">
        <a:xfrm>
          <a:off x="2453640" y="10530840"/>
          <a:ext cx="15240" cy="2971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213360</xdr:colOff>
      <xdr:row>58</xdr:row>
      <xdr:rowOff>38100</xdr:rowOff>
    </xdr:from>
    <xdr:to>
      <xdr:col>4</xdr:col>
      <xdr:colOff>220980</xdr:colOff>
      <xdr:row>59</xdr:row>
      <xdr:rowOff>152400</xdr:rowOff>
    </xdr:to>
    <xdr:sp macro="" textlink="">
      <xdr:nvSpPr>
        <xdr:cNvPr id="72" name="Line 90">
          <a:extLst>
            <a:ext uri="{FF2B5EF4-FFF2-40B4-BE49-F238E27FC236}">
              <a16:creationId xmlns:a16="http://schemas.microsoft.com/office/drawing/2014/main" id="{00000000-0008-0000-0E00-000048000000}"/>
            </a:ext>
          </a:extLst>
        </xdr:cNvPr>
        <xdr:cNvSpPr>
          <a:spLocks noChangeShapeType="1"/>
        </xdr:cNvSpPr>
      </xdr:nvSpPr>
      <xdr:spPr bwMode="auto">
        <a:xfrm>
          <a:off x="3383280" y="10546080"/>
          <a:ext cx="7620" cy="2819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739140</xdr:colOff>
      <xdr:row>60</xdr:row>
      <xdr:rowOff>60960</xdr:rowOff>
    </xdr:from>
    <xdr:to>
      <xdr:col>3</xdr:col>
      <xdr:colOff>746760</xdr:colOff>
      <xdr:row>63</xdr:row>
      <xdr:rowOff>121920</xdr:rowOff>
    </xdr:to>
    <xdr:sp macro="" textlink="">
      <xdr:nvSpPr>
        <xdr:cNvPr id="73" name="Line 92">
          <a:extLst>
            <a:ext uri="{FF2B5EF4-FFF2-40B4-BE49-F238E27FC236}">
              <a16:creationId xmlns:a16="http://schemas.microsoft.com/office/drawing/2014/main" id="{00000000-0008-0000-0E00-000049000000}"/>
            </a:ext>
          </a:extLst>
        </xdr:cNvPr>
        <xdr:cNvSpPr>
          <a:spLocks noChangeShapeType="1"/>
        </xdr:cNvSpPr>
      </xdr:nvSpPr>
      <xdr:spPr bwMode="auto">
        <a:xfrm>
          <a:off x="2446020" y="10904220"/>
          <a:ext cx="7620" cy="5638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251460</xdr:colOff>
      <xdr:row>63</xdr:row>
      <xdr:rowOff>7620</xdr:rowOff>
    </xdr:from>
    <xdr:to>
      <xdr:col>4</xdr:col>
      <xdr:colOff>259080</xdr:colOff>
      <xdr:row>64</xdr:row>
      <xdr:rowOff>22860</xdr:rowOff>
    </xdr:to>
    <xdr:sp macro="" textlink="">
      <xdr:nvSpPr>
        <xdr:cNvPr id="74" name="Line 97">
          <a:extLst>
            <a:ext uri="{FF2B5EF4-FFF2-40B4-BE49-F238E27FC236}">
              <a16:creationId xmlns:a16="http://schemas.microsoft.com/office/drawing/2014/main" id="{00000000-0008-0000-0E00-00004A000000}"/>
            </a:ext>
          </a:extLst>
        </xdr:cNvPr>
        <xdr:cNvSpPr>
          <a:spLocks noChangeShapeType="1"/>
        </xdr:cNvSpPr>
      </xdr:nvSpPr>
      <xdr:spPr bwMode="auto">
        <a:xfrm>
          <a:off x="3421380" y="11353800"/>
          <a:ext cx="7620" cy="1828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845820</xdr:colOff>
      <xdr:row>63</xdr:row>
      <xdr:rowOff>114300</xdr:rowOff>
    </xdr:from>
    <xdr:to>
      <xdr:col>4</xdr:col>
      <xdr:colOff>251460</xdr:colOff>
      <xdr:row>63</xdr:row>
      <xdr:rowOff>121920</xdr:rowOff>
    </xdr:to>
    <xdr:sp macro="" textlink="">
      <xdr:nvSpPr>
        <xdr:cNvPr id="75" name="Line 98">
          <a:extLst>
            <a:ext uri="{FF2B5EF4-FFF2-40B4-BE49-F238E27FC236}">
              <a16:creationId xmlns:a16="http://schemas.microsoft.com/office/drawing/2014/main" id="{00000000-0008-0000-0E00-00004B000000}"/>
            </a:ext>
          </a:extLst>
        </xdr:cNvPr>
        <xdr:cNvSpPr>
          <a:spLocks noChangeShapeType="1"/>
        </xdr:cNvSpPr>
      </xdr:nvSpPr>
      <xdr:spPr bwMode="auto">
        <a:xfrm>
          <a:off x="2552700" y="11460480"/>
          <a:ext cx="8686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746760</xdr:colOff>
      <xdr:row>63</xdr:row>
      <xdr:rowOff>114300</xdr:rowOff>
    </xdr:from>
    <xdr:to>
      <xdr:col>3</xdr:col>
      <xdr:colOff>822960</xdr:colOff>
      <xdr:row>63</xdr:row>
      <xdr:rowOff>121920</xdr:rowOff>
    </xdr:to>
    <xdr:sp macro="" textlink="">
      <xdr:nvSpPr>
        <xdr:cNvPr id="76" name="Line 99">
          <a:extLst>
            <a:ext uri="{FF2B5EF4-FFF2-40B4-BE49-F238E27FC236}">
              <a16:creationId xmlns:a16="http://schemas.microsoft.com/office/drawing/2014/main" id="{00000000-0008-0000-0E00-00004C000000}"/>
            </a:ext>
          </a:extLst>
        </xdr:cNvPr>
        <xdr:cNvSpPr>
          <a:spLocks noChangeShapeType="1"/>
        </xdr:cNvSpPr>
      </xdr:nvSpPr>
      <xdr:spPr bwMode="auto">
        <a:xfrm flipH="1">
          <a:off x="2453640" y="11460480"/>
          <a:ext cx="762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594360</xdr:colOff>
      <xdr:row>62</xdr:row>
      <xdr:rowOff>7620</xdr:rowOff>
    </xdr:from>
    <xdr:to>
      <xdr:col>6</xdr:col>
      <xdr:colOff>800100</xdr:colOff>
      <xdr:row>62</xdr:row>
      <xdr:rowOff>15240</xdr:rowOff>
    </xdr:to>
    <xdr:sp macro="" textlink="">
      <xdr:nvSpPr>
        <xdr:cNvPr id="77" name="Line 100">
          <a:extLst>
            <a:ext uri="{FF2B5EF4-FFF2-40B4-BE49-F238E27FC236}">
              <a16:creationId xmlns:a16="http://schemas.microsoft.com/office/drawing/2014/main" id="{00000000-0008-0000-0E00-00004D000000}"/>
            </a:ext>
          </a:extLst>
        </xdr:cNvPr>
        <xdr:cNvSpPr>
          <a:spLocks noChangeShapeType="1"/>
        </xdr:cNvSpPr>
      </xdr:nvSpPr>
      <xdr:spPr bwMode="auto">
        <a:xfrm>
          <a:off x="830580" y="11186160"/>
          <a:ext cx="48463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556260</xdr:colOff>
      <xdr:row>61</xdr:row>
      <xdr:rowOff>144780</xdr:rowOff>
    </xdr:from>
    <xdr:to>
      <xdr:col>2</xdr:col>
      <xdr:colOff>15240</xdr:colOff>
      <xdr:row>62</xdr:row>
      <xdr:rowOff>53340</xdr:rowOff>
    </xdr:to>
    <xdr:sp macro="" textlink="">
      <xdr:nvSpPr>
        <xdr:cNvPr id="78" name="Line 101">
          <a:extLst>
            <a:ext uri="{FF2B5EF4-FFF2-40B4-BE49-F238E27FC236}">
              <a16:creationId xmlns:a16="http://schemas.microsoft.com/office/drawing/2014/main" id="{00000000-0008-0000-0E00-00004E000000}"/>
            </a:ext>
          </a:extLst>
        </xdr:cNvPr>
        <xdr:cNvSpPr>
          <a:spLocks noChangeShapeType="1"/>
        </xdr:cNvSpPr>
      </xdr:nvSpPr>
      <xdr:spPr bwMode="auto">
        <a:xfrm flipH="1">
          <a:off x="792480" y="11155680"/>
          <a:ext cx="76200" cy="76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693420</xdr:colOff>
      <xdr:row>61</xdr:row>
      <xdr:rowOff>99060</xdr:rowOff>
    </xdr:from>
    <xdr:to>
      <xdr:col>3</xdr:col>
      <xdr:colOff>777240</xdr:colOff>
      <xdr:row>62</xdr:row>
      <xdr:rowOff>68580</xdr:rowOff>
    </xdr:to>
    <xdr:sp macro="" textlink="">
      <xdr:nvSpPr>
        <xdr:cNvPr id="79" name="Line 102">
          <a:extLst>
            <a:ext uri="{FF2B5EF4-FFF2-40B4-BE49-F238E27FC236}">
              <a16:creationId xmlns:a16="http://schemas.microsoft.com/office/drawing/2014/main" id="{00000000-0008-0000-0E00-00004F000000}"/>
            </a:ext>
          </a:extLst>
        </xdr:cNvPr>
        <xdr:cNvSpPr>
          <a:spLocks noChangeShapeType="1"/>
        </xdr:cNvSpPr>
      </xdr:nvSpPr>
      <xdr:spPr bwMode="auto">
        <a:xfrm flipH="1">
          <a:off x="2400300" y="11109960"/>
          <a:ext cx="83820" cy="1371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45720</xdr:colOff>
      <xdr:row>61</xdr:row>
      <xdr:rowOff>106680</xdr:rowOff>
    </xdr:from>
    <xdr:to>
      <xdr:col>5</xdr:col>
      <xdr:colOff>167640</xdr:colOff>
      <xdr:row>62</xdr:row>
      <xdr:rowOff>53340</xdr:rowOff>
    </xdr:to>
    <xdr:sp macro="" textlink="">
      <xdr:nvSpPr>
        <xdr:cNvPr id="80" name="Line 103">
          <a:extLst>
            <a:ext uri="{FF2B5EF4-FFF2-40B4-BE49-F238E27FC236}">
              <a16:creationId xmlns:a16="http://schemas.microsoft.com/office/drawing/2014/main" id="{00000000-0008-0000-0E00-000050000000}"/>
            </a:ext>
          </a:extLst>
        </xdr:cNvPr>
        <xdr:cNvSpPr>
          <a:spLocks noChangeShapeType="1"/>
        </xdr:cNvSpPr>
      </xdr:nvSpPr>
      <xdr:spPr bwMode="auto">
        <a:xfrm flipH="1">
          <a:off x="4099560" y="11117580"/>
          <a:ext cx="12192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11</xdr:col>
      <xdr:colOff>396240</xdr:colOff>
      <xdr:row>282</xdr:row>
      <xdr:rowOff>53340</xdr:rowOff>
    </xdr:from>
    <xdr:to>
      <xdr:col>16</xdr:col>
      <xdr:colOff>220980</xdr:colOff>
      <xdr:row>303</xdr:row>
      <xdr:rowOff>53340</xdr:rowOff>
    </xdr:to>
    <xdr:pic>
      <xdr:nvPicPr>
        <xdr:cNvPr id="81" name="Picture 1">
          <a:extLst>
            <a:ext uri="{FF2B5EF4-FFF2-40B4-BE49-F238E27FC236}">
              <a16:creationId xmlns:a16="http://schemas.microsoft.com/office/drawing/2014/main" id="{00000000-0008-0000-0E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8760" y="48737520"/>
          <a:ext cx="3238500" cy="3520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320040</xdr:colOff>
      <xdr:row>156</xdr:row>
      <xdr:rowOff>7620</xdr:rowOff>
    </xdr:from>
    <xdr:to>
      <xdr:col>16</xdr:col>
      <xdr:colOff>480060</xdr:colOff>
      <xdr:row>156</xdr:row>
      <xdr:rowOff>76200</xdr:rowOff>
    </xdr:to>
    <xdr:sp macro="" textlink="">
      <xdr:nvSpPr>
        <xdr:cNvPr id="82" name="Chevron 81">
          <a:extLst>
            <a:ext uri="{FF2B5EF4-FFF2-40B4-BE49-F238E27FC236}">
              <a16:creationId xmlns:a16="http://schemas.microsoft.com/office/drawing/2014/main" id="{00000000-0008-0000-0E00-000052000000}"/>
            </a:ext>
          </a:extLst>
        </xdr:cNvPr>
        <xdr:cNvSpPr>
          <a:spLocks noChangeArrowheads="1"/>
        </xdr:cNvSpPr>
      </xdr:nvSpPr>
      <xdr:spPr bwMode="auto">
        <a:xfrm>
          <a:off x="12466320" y="26974800"/>
          <a:ext cx="160020" cy="68580"/>
        </a:xfrm>
        <a:prstGeom prst="chevron">
          <a:avLst>
            <a:gd name="adj" fmla="val 48039"/>
          </a:avLst>
        </a:prstGeom>
        <a:solidFill>
          <a:srgbClr val="4F81BD"/>
        </a:solidFill>
        <a:ln w="25400">
          <a:solidFill>
            <a:srgbClr val="395E8A"/>
          </a:solidFill>
          <a:round/>
          <a:headEnd/>
          <a:tailEnd/>
        </a:ln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</xdr:colOff>
      <xdr:row>202</xdr:row>
      <xdr:rowOff>15240</xdr:rowOff>
    </xdr:from>
    <xdr:to>
      <xdr:col>2</xdr:col>
      <xdr:colOff>60960</xdr:colOff>
      <xdr:row>202</xdr:row>
      <xdr:rowOff>22860</xdr:rowOff>
    </xdr:to>
    <xdr:sp macro="" textlink="">
      <xdr:nvSpPr>
        <xdr:cNvPr id="2" name="Line 80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>
          <a:spLocks noChangeShapeType="1"/>
        </xdr:cNvSpPr>
      </xdr:nvSpPr>
      <xdr:spPr bwMode="auto">
        <a:xfrm>
          <a:off x="1402080" y="43167300"/>
          <a:ext cx="76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464820</xdr:colOff>
      <xdr:row>202</xdr:row>
      <xdr:rowOff>15240</xdr:rowOff>
    </xdr:from>
    <xdr:to>
      <xdr:col>3</xdr:col>
      <xdr:colOff>472440</xdr:colOff>
      <xdr:row>202</xdr:row>
      <xdr:rowOff>22860</xdr:rowOff>
    </xdr:to>
    <xdr:sp macro="" textlink="">
      <xdr:nvSpPr>
        <xdr:cNvPr id="3" name="Line 81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>
          <a:spLocks noChangeShapeType="1"/>
        </xdr:cNvSpPr>
      </xdr:nvSpPr>
      <xdr:spPr bwMode="auto">
        <a:xfrm>
          <a:off x="2727960" y="43167300"/>
          <a:ext cx="76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853440</xdr:colOff>
      <xdr:row>202</xdr:row>
      <xdr:rowOff>15240</xdr:rowOff>
    </xdr:from>
    <xdr:to>
      <xdr:col>3</xdr:col>
      <xdr:colOff>861060</xdr:colOff>
      <xdr:row>202</xdr:row>
      <xdr:rowOff>22860</xdr:rowOff>
    </xdr:to>
    <xdr:sp macro="" textlink="">
      <xdr:nvSpPr>
        <xdr:cNvPr id="4" name="Line 84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>
          <a:spLocks noChangeShapeType="1"/>
        </xdr:cNvSpPr>
      </xdr:nvSpPr>
      <xdr:spPr bwMode="auto">
        <a:xfrm>
          <a:off x="3116580" y="43167300"/>
          <a:ext cx="76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693420</xdr:colOff>
      <xdr:row>202</xdr:row>
      <xdr:rowOff>15240</xdr:rowOff>
    </xdr:from>
    <xdr:to>
      <xdr:col>1</xdr:col>
      <xdr:colOff>708660</xdr:colOff>
      <xdr:row>202</xdr:row>
      <xdr:rowOff>22860</xdr:rowOff>
    </xdr:to>
    <xdr:sp macro="" textlink="">
      <xdr:nvSpPr>
        <xdr:cNvPr id="5" name="Line 85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>
          <a:spLocks noChangeShapeType="1"/>
        </xdr:cNvSpPr>
      </xdr:nvSpPr>
      <xdr:spPr bwMode="auto">
        <a:xfrm>
          <a:off x="1310640" y="43167300"/>
          <a:ext cx="1524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693420</xdr:colOff>
      <xdr:row>202</xdr:row>
      <xdr:rowOff>15240</xdr:rowOff>
    </xdr:from>
    <xdr:to>
      <xdr:col>1</xdr:col>
      <xdr:colOff>708660</xdr:colOff>
      <xdr:row>202</xdr:row>
      <xdr:rowOff>22860</xdr:rowOff>
    </xdr:to>
    <xdr:sp macro="" textlink="">
      <xdr:nvSpPr>
        <xdr:cNvPr id="6" name="Line 86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>
          <a:spLocks noChangeShapeType="1"/>
        </xdr:cNvSpPr>
      </xdr:nvSpPr>
      <xdr:spPr bwMode="auto">
        <a:xfrm>
          <a:off x="1310640" y="43167300"/>
          <a:ext cx="1524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853440</xdr:colOff>
      <xdr:row>202</xdr:row>
      <xdr:rowOff>15240</xdr:rowOff>
    </xdr:from>
    <xdr:to>
      <xdr:col>3</xdr:col>
      <xdr:colOff>861060</xdr:colOff>
      <xdr:row>202</xdr:row>
      <xdr:rowOff>22860</xdr:rowOff>
    </xdr:to>
    <xdr:sp macro="" textlink="">
      <xdr:nvSpPr>
        <xdr:cNvPr id="7" name="Line 87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>
          <a:spLocks noChangeShapeType="1"/>
        </xdr:cNvSpPr>
      </xdr:nvSpPr>
      <xdr:spPr bwMode="auto">
        <a:xfrm>
          <a:off x="3116580" y="43167300"/>
          <a:ext cx="76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106680</xdr:colOff>
      <xdr:row>202</xdr:row>
      <xdr:rowOff>15240</xdr:rowOff>
    </xdr:from>
    <xdr:to>
      <xdr:col>2</xdr:col>
      <xdr:colOff>114300</xdr:colOff>
      <xdr:row>202</xdr:row>
      <xdr:rowOff>22860</xdr:rowOff>
    </xdr:to>
    <xdr:sp macro="" textlink="">
      <xdr:nvSpPr>
        <xdr:cNvPr id="8" name="Line 88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>
          <a:spLocks noChangeShapeType="1"/>
        </xdr:cNvSpPr>
      </xdr:nvSpPr>
      <xdr:spPr bwMode="auto">
        <a:xfrm>
          <a:off x="1455420" y="43167300"/>
          <a:ext cx="76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403860</xdr:colOff>
      <xdr:row>202</xdr:row>
      <xdr:rowOff>15240</xdr:rowOff>
    </xdr:from>
    <xdr:to>
      <xdr:col>3</xdr:col>
      <xdr:colOff>411480</xdr:colOff>
      <xdr:row>202</xdr:row>
      <xdr:rowOff>22860</xdr:rowOff>
    </xdr:to>
    <xdr:sp macro="" textlink="">
      <xdr:nvSpPr>
        <xdr:cNvPr id="9" name="Line 89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>
          <a:spLocks noChangeShapeType="1"/>
        </xdr:cNvSpPr>
      </xdr:nvSpPr>
      <xdr:spPr bwMode="auto">
        <a:xfrm>
          <a:off x="2667000" y="43167300"/>
          <a:ext cx="76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693420</xdr:colOff>
      <xdr:row>202</xdr:row>
      <xdr:rowOff>15240</xdr:rowOff>
    </xdr:from>
    <xdr:to>
      <xdr:col>1</xdr:col>
      <xdr:colOff>708660</xdr:colOff>
      <xdr:row>202</xdr:row>
      <xdr:rowOff>22860</xdr:rowOff>
    </xdr:to>
    <xdr:sp macro="" textlink="">
      <xdr:nvSpPr>
        <xdr:cNvPr id="10" name="Line 90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>
          <a:spLocks noChangeShapeType="1"/>
        </xdr:cNvSpPr>
      </xdr:nvSpPr>
      <xdr:spPr bwMode="auto">
        <a:xfrm flipV="1">
          <a:off x="1310640" y="43167300"/>
          <a:ext cx="1524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853440</xdr:colOff>
      <xdr:row>202</xdr:row>
      <xdr:rowOff>15240</xdr:rowOff>
    </xdr:from>
    <xdr:to>
      <xdr:col>3</xdr:col>
      <xdr:colOff>861060</xdr:colOff>
      <xdr:row>202</xdr:row>
      <xdr:rowOff>22860</xdr:rowOff>
    </xdr:to>
    <xdr:sp macro="" textlink="">
      <xdr:nvSpPr>
        <xdr:cNvPr id="11" name="Line 91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>
          <a:spLocks noChangeShapeType="1"/>
        </xdr:cNvSpPr>
      </xdr:nvSpPr>
      <xdr:spPr bwMode="auto">
        <a:xfrm flipV="1">
          <a:off x="3116580" y="43167300"/>
          <a:ext cx="76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693420</xdr:colOff>
      <xdr:row>202</xdr:row>
      <xdr:rowOff>15240</xdr:rowOff>
    </xdr:from>
    <xdr:to>
      <xdr:col>1</xdr:col>
      <xdr:colOff>708660</xdr:colOff>
      <xdr:row>202</xdr:row>
      <xdr:rowOff>22860</xdr:rowOff>
    </xdr:to>
    <xdr:sp macro="" textlink="">
      <xdr:nvSpPr>
        <xdr:cNvPr id="12" name="Line 104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>
          <a:spLocks noChangeShapeType="1"/>
        </xdr:cNvSpPr>
      </xdr:nvSpPr>
      <xdr:spPr bwMode="auto">
        <a:xfrm>
          <a:off x="1310640" y="43167300"/>
          <a:ext cx="1524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853440</xdr:colOff>
      <xdr:row>202</xdr:row>
      <xdr:rowOff>15240</xdr:rowOff>
    </xdr:from>
    <xdr:to>
      <xdr:col>3</xdr:col>
      <xdr:colOff>861060</xdr:colOff>
      <xdr:row>202</xdr:row>
      <xdr:rowOff>22860</xdr:rowOff>
    </xdr:to>
    <xdr:sp macro="" textlink="">
      <xdr:nvSpPr>
        <xdr:cNvPr id="13" name="Line 105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SpPr>
          <a:spLocks noChangeShapeType="1"/>
        </xdr:cNvSpPr>
      </xdr:nvSpPr>
      <xdr:spPr bwMode="auto">
        <a:xfrm>
          <a:off x="3116580" y="43167300"/>
          <a:ext cx="76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480060</xdr:colOff>
      <xdr:row>202</xdr:row>
      <xdr:rowOff>15240</xdr:rowOff>
    </xdr:from>
    <xdr:to>
      <xdr:col>5</xdr:col>
      <xdr:colOff>495300</xdr:colOff>
      <xdr:row>202</xdr:row>
      <xdr:rowOff>22860</xdr:rowOff>
    </xdr:to>
    <xdr:sp macro="" textlink="">
      <xdr:nvSpPr>
        <xdr:cNvPr id="14" name="Line 115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SpPr>
          <a:spLocks noChangeShapeType="1"/>
        </xdr:cNvSpPr>
      </xdr:nvSpPr>
      <xdr:spPr bwMode="auto">
        <a:xfrm flipV="1">
          <a:off x="4541520" y="43167300"/>
          <a:ext cx="1524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525780</xdr:colOff>
      <xdr:row>190</xdr:row>
      <xdr:rowOff>121920</xdr:rowOff>
    </xdr:from>
    <xdr:to>
      <xdr:col>3</xdr:col>
      <xdr:colOff>7620</xdr:colOff>
      <xdr:row>190</xdr:row>
      <xdr:rowOff>129540</xdr:rowOff>
    </xdr:to>
    <xdr:sp macro="" textlink="">
      <xdr:nvSpPr>
        <xdr:cNvPr id="15" name="Line 158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SpPr>
          <a:spLocks noChangeShapeType="1"/>
        </xdr:cNvSpPr>
      </xdr:nvSpPr>
      <xdr:spPr bwMode="auto">
        <a:xfrm>
          <a:off x="1143000" y="40302180"/>
          <a:ext cx="11277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525780</xdr:colOff>
      <xdr:row>190</xdr:row>
      <xdr:rowOff>175260</xdr:rowOff>
    </xdr:from>
    <xdr:to>
      <xdr:col>2</xdr:col>
      <xdr:colOff>906780</xdr:colOff>
      <xdr:row>191</xdr:row>
      <xdr:rowOff>0</xdr:rowOff>
    </xdr:to>
    <xdr:sp macro="" textlink="">
      <xdr:nvSpPr>
        <xdr:cNvPr id="16" name="Line 159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SpPr>
          <a:spLocks noChangeShapeType="1"/>
        </xdr:cNvSpPr>
      </xdr:nvSpPr>
      <xdr:spPr bwMode="auto">
        <a:xfrm>
          <a:off x="1143000" y="40355520"/>
          <a:ext cx="111252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525780</xdr:colOff>
      <xdr:row>190</xdr:row>
      <xdr:rowOff>121920</xdr:rowOff>
    </xdr:from>
    <xdr:to>
      <xdr:col>1</xdr:col>
      <xdr:colOff>533400</xdr:colOff>
      <xdr:row>190</xdr:row>
      <xdr:rowOff>175260</xdr:rowOff>
    </xdr:to>
    <xdr:sp macro="" textlink="">
      <xdr:nvSpPr>
        <xdr:cNvPr id="17" name="Line 160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SpPr>
          <a:spLocks noChangeShapeType="1"/>
        </xdr:cNvSpPr>
      </xdr:nvSpPr>
      <xdr:spPr bwMode="auto">
        <a:xfrm>
          <a:off x="1143000" y="40302180"/>
          <a:ext cx="7620" cy="533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7620</xdr:colOff>
      <xdr:row>190</xdr:row>
      <xdr:rowOff>121920</xdr:rowOff>
    </xdr:from>
    <xdr:to>
      <xdr:col>3</xdr:col>
      <xdr:colOff>15240</xdr:colOff>
      <xdr:row>190</xdr:row>
      <xdr:rowOff>175260</xdr:rowOff>
    </xdr:to>
    <xdr:sp macro="" textlink="">
      <xdr:nvSpPr>
        <xdr:cNvPr id="18" name="Line 161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SpPr>
          <a:spLocks noChangeShapeType="1"/>
        </xdr:cNvSpPr>
      </xdr:nvSpPr>
      <xdr:spPr bwMode="auto">
        <a:xfrm>
          <a:off x="2270760" y="40302180"/>
          <a:ext cx="7620" cy="533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594360</xdr:colOff>
      <xdr:row>191</xdr:row>
      <xdr:rowOff>0</xdr:rowOff>
    </xdr:from>
    <xdr:to>
      <xdr:col>1</xdr:col>
      <xdr:colOff>601980</xdr:colOff>
      <xdr:row>199</xdr:row>
      <xdr:rowOff>0</xdr:rowOff>
    </xdr:to>
    <xdr:sp macro="" textlink="">
      <xdr:nvSpPr>
        <xdr:cNvPr id="19" name="Line 162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SpPr>
          <a:spLocks noChangeShapeType="1"/>
        </xdr:cNvSpPr>
      </xdr:nvSpPr>
      <xdr:spPr bwMode="auto">
        <a:xfrm>
          <a:off x="1211580" y="40370760"/>
          <a:ext cx="7620" cy="21183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662940</xdr:colOff>
      <xdr:row>190</xdr:row>
      <xdr:rowOff>175260</xdr:rowOff>
    </xdr:from>
    <xdr:to>
      <xdr:col>1</xdr:col>
      <xdr:colOff>670560</xdr:colOff>
      <xdr:row>198</xdr:row>
      <xdr:rowOff>243840</xdr:rowOff>
    </xdr:to>
    <xdr:sp macro="" textlink="">
      <xdr:nvSpPr>
        <xdr:cNvPr id="20" name="Line 163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SpPr>
          <a:spLocks noChangeShapeType="1"/>
        </xdr:cNvSpPr>
      </xdr:nvSpPr>
      <xdr:spPr bwMode="auto">
        <a:xfrm>
          <a:off x="1280160" y="40355520"/>
          <a:ext cx="7620" cy="21259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853440</xdr:colOff>
      <xdr:row>190</xdr:row>
      <xdr:rowOff>175260</xdr:rowOff>
    </xdr:from>
    <xdr:to>
      <xdr:col>2</xdr:col>
      <xdr:colOff>861060</xdr:colOff>
      <xdr:row>198</xdr:row>
      <xdr:rowOff>243840</xdr:rowOff>
    </xdr:to>
    <xdr:sp macro="" textlink="">
      <xdr:nvSpPr>
        <xdr:cNvPr id="21" name="Line 164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SpPr>
          <a:spLocks noChangeShapeType="1"/>
        </xdr:cNvSpPr>
      </xdr:nvSpPr>
      <xdr:spPr bwMode="auto">
        <a:xfrm>
          <a:off x="2202180" y="40355520"/>
          <a:ext cx="7620" cy="21259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800100</xdr:colOff>
      <xdr:row>190</xdr:row>
      <xdr:rowOff>175260</xdr:rowOff>
    </xdr:from>
    <xdr:to>
      <xdr:col>2</xdr:col>
      <xdr:colOff>815340</xdr:colOff>
      <xdr:row>198</xdr:row>
      <xdr:rowOff>243840</xdr:rowOff>
    </xdr:to>
    <xdr:sp macro="" textlink="">
      <xdr:nvSpPr>
        <xdr:cNvPr id="22" name="Line 165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SpPr>
          <a:spLocks noChangeShapeType="1"/>
        </xdr:cNvSpPr>
      </xdr:nvSpPr>
      <xdr:spPr bwMode="auto">
        <a:xfrm>
          <a:off x="2148840" y="40355520"/>
          <a:ext cx="15240" cy="21259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533400</xdr:colOff>
      <xdr:row>198</xdr:row>
      <xdr:rowOff>243840</xdr:rowOff>
    </xdr:from>
    <xdr:to>
      <xdr:col>2</xdr:col>
      <xdr:colOff>906780</xdr:colOff>
      <xdr:row>199</xdr:row>
      <xdr:rowOff>0</xdr:rowOff>
    </xdr:to>
    <xdr:sp macro="" textlink="">
      <xdr:nvSpPr>
        <xdr:cNvPr id="23" name="Line 166"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SpPr>
          <a:spLocks noChangeShapeType="1"/>
        </xdr:cNvSpPr>
      </xdr:nvSpPr>
      <xdr:spPr bwMode="auto">
        <a:xfrm>
          <a:off x="1150620" y="42481500"/>
          <a:ext cx="11049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533400</xdr:colOff>
      <xdr:row>199</xdr:row>
      <xdr:rowOff>45720</xdr:rowOff>
    </xdr:from>
    <xdr:to>
      <xdr:col>2</xdr:col>
      <xdr:colOff>906780</xdr:colOff>
      <xdr:row>199</xdr:row>
      <xdr:rowOff>60960</xdr:rowOff>
    </xdr:to>
    <xdr:sp macro="" textlink="">
      <xdr:nvSpPr>
        <xdr:cNvPr id="24" name="Line 167"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SpPr>
          <a:spLocks noChangeShapeType="1"/>
        </xdr:cNvSpPr>
      </xdr:nvSpPr>
      <xdr:spPr bwMode="auto">
        <a:xfrm>
          <a:off x="1150620" y="42534840"/>
          <a:ext cx="110490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525780</xdr:colOff>
      <xdr:row>198</xdr:row>
      <xdr:rowOff>243840</xdr:rowOff>
    </xdr:from>
    <xdr:to>
      <xdr:col>1</xdr:col>
      <xdr:colOff>533400</xdr:colOff>
      <xdr:row>199</xdr:row>
      <xdr:rowOff>45720</xdr:rowOff>
    </xdr:to>
    <xdr:sp macro="" textlink="">
      <xdr:nvSpPr>
        <xdr:cNvPr id="25" name="Line 168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SpPr>
          <a:spLocks noChangeShapeType="1"/>
        </xdr:cNvSpPr>
      </xdr:nvSpPr>
      <xdr:spPr bwMode="auto">
        <a:xfrm>
          <a:off x="1143000" y="42481500"/>
          <a:ext cx="7620" cy="533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906780</xdr:colOff>
      <xdr:row>198</xdr:row>
      <xdr:rowOff>243840</xdr:rowOff>
    </xdr:from>
    <xdr:to>
      <xdr:col>3</xdr:col>
      <xdr:colOff>7620</xdr:colOff>
      <xdr:row>199</xdr:row>
      <xdr:rowOff>45720</xdr:rowOff>
    </xdr:to>
    <xdr:sp macro="" textlink="">
      <xdr:nvSpPr>
        <xdr:cNvPr id="26" name="Line 169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SpPr>
          <a:spLocks noChangeShapeType="1"/>
        </xdr:cNvSpPr>
      </xdr:nvSpPr>
      <xdr:spPr bwMode="auto">
        <a:xfrm>
          <a:off x="2255520" y="42481500"/>
          <a:ext cx="15240" cy="533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160020</xdr:colOff>
      <xdr:row>190</xdr:row>
      <xdr:rowOff>121920</xdr:rowOff>
    </xdr:from>
    <xdr:to>
      <xdr:col>1</xdr:col>
      <xdr:colOff>419100</xdr:colOff>
      <xdr:row>190</xdr:row>
      <xdr:rowOff>129540</xdr:rowOff>
    </xdr:to>
    <xdr:sp macro="" textlink="">
      <xdr:nvSpPr>
        <xdr:cNvPr id="27" name="Line 170">
          <a:extLst>
            <a:ext uri="{FF2B5EF4-FFF2-40B4-BE49-F238E27FC236}">
              <a16:creationId xmlns:a16="http://schemas.microsoft.com/office/drawing/2014/main" id="{00000000-0008-0000-0F00-00001B000000}"/>
            </a:ext>
          </a:extLst>
        </xdr:cNvPr>
        <xdr:cNvSpPr>
          <a:spLocks noChangeShapeType="1"/>
        </xdr:cNvSpPr>
      </xdr:nvSpPr>
      <xdr:spPr bwMode="auto">
        <a:xfrm>
          <a:off x="777240" y="40302180"/>
          <a:ext cx="2590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160020</xdr:colOff>
      <xdr:row>190</xdr:row>
      <xdr:rowOff>175260</xdr:rowOff>
    </xdr:from>
    <xdr:to>
      <xdr:col>1</xdr:col>
      <xdr:colOff>411480</xdr:colOff>
      <xdr:row>191</xdr:row>
      <xdr:rowOff>0</xdr:rowOff>
    </xdr:to>
    <xdr:sp macro="" textlink="">
      <xdr:nvSpPr>
        <xdr:cNvPr id="28" name="Line 171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>
          <a:spLocks noChangeShapeType="1"/>
        </xdr:cNvSpPr>
      </xdr:nvSpPr>
      <xdr:spPr bwMode="auto">
        <a:xfrm flipH="1">
          <a:off x="777240" y="40355520"/>
          <a:ext cx="25146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342900</xdr:colOff>
      <xdr:row>190</xdr:row>
      <xdr:rowOff>144780</xdr:rowOff>
    </xdr:from>
    <xdr:to>
      <xdr:col>1</xdr:col>
      <xdr:colOff>358140</xdr:colOff>
      <xdr:row>193</xdr:row>
      <xdr:rowOff>76200</xdr:rowOff>
    </xdr:to>
    <xdr:sp macro="" textlink="">
      <xdr:nvSpPr>
        <xdr:cNvPr id="29" name="Line 172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SpPr>
          <a:spLocks noChangeShapeType="1"/>
        </xdr:cNvSpPr>
      </xdr:nvSpPr>
      <xdr:spPr bwMode="auto">
        <a:xfrm flipV="1">
          <a:off x="960120" y="40325040"/>
          <a:ext cx="15240" cy="5867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358140</xdr:colOff>
      <xdr:row>189</xdr:row>
      <xdr:rowOff>0</xdr:rowOff>
    </xdr:from>
    <xdr:to>
      <xdr:col>1</xdr:col>
      <xdr:colOff>365760</xdr:colOff>
      <xdr:row>190</xdr:row>
      <xdr:rowOff>121920</xdr:rowOff>
    </xdr:to>
    <xdr:sp macro="" textlink="">
      <xdr:nvSpPr>
        <xdr:cNvPr id="30" name="Line 173">
          <a:extLst>
            <a:ext uri="{FF2B5EF4-FFF2-40B4-BE49-F238E27FC236}">
              <a16:creationId xmlns:a16="http://schemas.microsoft.com/office/drawing/2014/main" id="{00000000-0008-0000-0F00-00001E000000}"/>
            </a:ext>
          </a:extLst>
        </xdr:cNvPr>
        <xdr:cNvSpPr>
          <a:spLocks noChangeShapeType="1"/>
        </xdr:cNvSpPr>
      </xdr:nvSpPr>
      <xdr:spPr bwMode="auto">
        <a:xfrm>
          <a:off x="975360" y="39989760"/>
          <a:ext cx="7620" cy="3124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525780</xdr:colOff>
      <xdr:row>189</xdr:row>
      <xdr:rowOff>0</xdr:rowOff>
    </xdr:from>
    <xdr:to>
      <xdr:col>1</xdr:col>
      <xdr:colOff>533400</xdr:colOff>
      <xdr:row>189</xdr:row>
      <xdr:rowOff>167640</xdr:rowOff>
    </xdr:to>
    <xdr:sp macro="" textlink="">
      <xdr:nvSpPr>
        <xdr:cNvPr id="31" name="Line 174">
          <a:extLst>
            <a:ext uri="{FF2B5EF4-FFF2-40B4-BE49-F238E27FC236}">
              <a16:creationId xmlns:a16="http://schemas.microsoft.com/office/drawing/2014/main" id="{00000000-0008-0000-0F00-00001F000000}"/>
            </a:ext>
          </a:extLst>
        </xdr:cNvPr>
        <xdr:cNvSpPr>
          <a:spLocks noChangeShapeType="1"/>
        </xdr:cNvSpPr>
      </xdr:nvSpPr>
      <xdr:spPr bwMode="auto">
        <a:xfrm flipV="1">
          <a:off x="1143000" y="39989760"/>
          <a:ext cx="7620" cy="1676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7620</xdr:colOff>
      <xdr:row>189</xdr:row>
      <xdr:rowOff>7620</xdr:rowOff>
    </xdr:from>
    <xdr:to>
      <xdr:col>3</xdr:col>
      <xdr:colOff>15240</xdr:colOff>
      <xdr:row>189</xdr:row>
      <xdr:rowOff>182880</xdr:rowOff>
    </xdr:to>
    <xdr:sp macro="" textlink="">
      <xdr:nvSpPr>
        <xdr:cNvPr id="32" name="Line 175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SpPr>
          <a:spLocks noChangeShapeType="1"/>
        </xdr:cNvSpPr>
      </xdr:nvSpPr>
      <xdr:spPr bwMode="auto">
        <a:xfrm flipV="1">
          <a:off x="2270760" y="39997380"/>
          <a:ext cx="7620" cy="1752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525780</xdr:colOff>
      <xdr:row>189</xdr:row>
      <xdr:rowOff>167640</xdr:rowOff>
    </xdr:from>
    <xdr:to>
      <xdr:col>2</xdr:col>
      <xdr:colOff>83820</xdr:colOff>
      <xdr:row>189</xdr:row>
      <xdr:rowOff>175260</xdr:rowOff>
    </xdr:to>
    <xdr:sp macro="" textlink="">
      <xdr:nvSpPr>
        <xdr:cNvPr id="33" name="Line 176">
          <a:extLst>
            <a:ext uri="{FF2B5EF4-FFF2-40B4-BE49-F238E27FC236}">
              <a16:creationId xmlns:a16="http://schemas.microsoft.com/office/drawing/2014/main" id="{00000000-0008-0000-0F00-000021000000}"/>
            </a:ext>
          </a:extLst>
        </xdr:cNvPr>
        <xdr:cNvSpPr>
          <a:spLocks noChangeShapeType="1"/>
        </xdr:cNvSpPr>
      </xdr:nvSpPr>
      <xdr:spPr bwMode="auto">
        <a:xfrm flipH="1">
          <a:off x="1143000" y="40157400"/>
          <a:ext cx="2895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594360</xdr:colOff>
      <xdr:row>189</xdr:row>
      <xdr:rowOff>175260</xdr:rowOff>
    </xdr:from>
    <xdr:to>
      <xdr:col>3</xdr:col>
      <xdr:colOff>15240</xdr:colOff>
      <xdr:row>189</xdr:row>
      <xdr:rowOff>182880</xdr:rowOff>
    </xdr:to>
    <xdr:sp macro="" textlink="">
      <xdr:nvSpPr>
        <xdr:cNvPr id="34" name="Line 177">
          <a:extLst>
            <a:ext uri="{FF2B5EF4-FFF2-40B4-BE49-F238E27FC236}">
              <a16:creationId xmlns:a16="http://schemas.microsoft.com/office/drawing/2014/main" id="{00000000-0008-0000-0F00-000022000000}"/>
            </a:ext>
          </a:extLst>
        </xdr:cNvPr>
        <xdr:cNvSpPr>
          <a:spLocks noChangeShapeType="1"/>
        </xdr:cNvSpPr>
      </xdr:nvSpPr>
      <xdr:spPr bwMode="auto">
        <a:xfrm>
          <a:off x="1943100" y="40165020"/>
          <a:ext cx="3352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861060</xdr:colOff>
      <xdr:row>193</xdr:row>
      <xdr:rowOff>220980</xdr:rowOff>
    </xdr:from>
    <xdr:to>
      <xdr:col>3</xdr:col>
      <xdr:colOff>91440</xdr:colOff>
      <xdr:row>193</xdr:row>
      <xdr:rowOff>228600</xdr:rowOff>
    </xdr:to>
    <xdr:sp macro="" textlink="">
      <xdr:nvSpPr>
        <xdr:cNvPr id="35" name="Line 178">
          <a:extLst>
            <a:ext uri="{FF2B5EF4-FFF2-40B4-BE49-F238E27FC236}">
              <a16:creationId xmlns:a16="http://schemas.microsoft.com/office/drawing/2014/main" id="{00000000-0008-0000-0F00-000023000000}"/>
            </a:ext>
          </a:extLst>
        </xdr:cNvPr>
        <xdr:cNvSpPr>
          <a:spLocks noChangeShapeType="1"/>
        </xdr:cNvSpPr>
      </xdr:nvSpPr>
      <xdr:spPr bwMode="auto">
        <a:xfrm flipH="1">
          <a:off x="2209800" y="41056560"/>
          <a:ext cx="1447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571500</xdr:colOff>
      <xdr:row>193</xdr:row>
      <xdr:rowOff>220980</xdr:rowOff>
    </xdr:from>
    <xdr:to>
      <xdr:col>2</xdr:col>
      <xdr:colOff>800100</xdr:colOff>
      <xdr:row>193</xdr:row>
      <xdr:rowOff>228600</xdr:rowOff>
    </xdr:to>
    <xdr:sp macro="" textlink="">
      <xdr:nvSpPr>
        <xdr:cNvPr id="36" name="Line 179">
          <a:extLst>
            <a:ext uri="{FF2B5EF4-FFF2-40B4-BE49-F238E27FC236}">
              <a16:creationId xmlns:a16="http://schemas.microsoft.com/office/drawing/2014/main" id="{00000000-0008-0000-0F00-000024000000}"/>
            </a:ext>
          </a:extLst>
        </xdr:cNvPr>
        <xdr:cNvSpPr>
          <a:spLocks noChangeShapeType="1"/>
        </xdr:cNvSpPr>
      </xdr:nvSpPr>
      <xdr:spPr bwMode="auto">
        <a:xfrm>
          <a:off x="1920240" y="41056560"/>
          <a:ext cx="2286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670560</xdr:colOff>
      <xdr:row>194</xdr:row>
      <xdr:rowOff>30480</xdr:rowOff>
    </xdr:from>
    <xdr:to>
      <xdr:col>2</xdr:col>
      <xdr:colOff>205740</xdr:colOff>
      <xdr:row>194</xdr:row>
      <xdr:rowOff>38100</xdr:rowOff>
    </xdr:to>
    <xdr:sp macro="" textlink="">
      <xdr:nvSpPr>
        <xdr:cNvPr id="37" name="Line 180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SpPr>
          <a:spLocks noChangeShapeType="1"/>
        </xdr:cNvSpPr>
      </xdr:nvSpPr>
      <xdr:spPr bwMode="auto">
        <a:xfrm flipH="1">
          <a:off x="1287780" y="41109900"/>
          <a:ext cx="2667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365760</xdr:colOff>
      <xdr:row>194</xdr:row>
      <xdr:rowOff>30480</xdr:rowOff>
    </xdr:from>
    <xdr:to>
      <xdr:col>1</xdr:col>
      <xdr:colOff>609600</xdr:colOff>
      <xdr:row>194</xdr:row>
      <xdr:rowOff>38100</xdr:rowOff>
    </xdr:to>
    <xdr:sp macro="" textlink="">
      <xdr:nvSpPr>
        <xdr:cNvPr id="38" name="Line 181">
          <a:extLst>
            <a:ext uri="{FF2B5EF4-FFF2-40B4-BE49-F238E27FC236}">
              <a16:creationId xmlns:a16="http://schemas.microsoft.com/office/drawing/2014/main" id="{00000000-0008-0000-0F00-000026000000}"/>
            </a:ext>
          </a:extLst>
        </xdr:cNvPr>
        <xdr:cNvSpPr>
          <a:spLocks noChangeShapeType="1"/>
        </xdr:cNvSpPr>
      </xdr:nvSpPr>
      <xdr:spPr bwMode="auto">
        <a:xfrm flipV="1">
          <a:off x="982980" y="41109900"/>
          <a:ext cx="24384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160020</xdr:colOff>
      <xdr:row>198</xdr:row>
      <xdr:rowOff>243840</xdr:rowOff>
    </xdr:from>
    <xdr:to>
      <xdr:col>1</xdr:col>
      <xdr:colOff>388620</xdr:colOff>
      <xdr:row>199</xdr:row>
      <xdr:rowOff>0</xdr:rowOff>
    </xdr:to>
    <xdr:sp macro="" textlink="">
      <xdr:nvSpPr>
        <xdr:cNvPr id="39" name="Line 182">
          <a:extLst>
            <a:ext uri="{FF2B5EF4-FFF2-40B4-BE49-F238E27FC236}">
              <a16:creationId xmlns:a16="http://schemas.microsoft.com/office/drawing/2014/main" id="{00000000-0008-0000-0F00-000027000000}"/>
            </a:ext>
          </a:extLst>
        </xdr:cNvPr>
        <xdr:cNvSpPr>
          <a:spLocks noChangeShapeType="1"/>
        </xdr:cNvSpPr>
      </xdr:nvSpPr>
      <xdr:spPr bwMode="auto">
        <a:xfrm flipH="1">
          <a:off x="777240" y="42481500"/>
          <a:ext cx="2286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182880</xdr:colOff>
      <xdr:row>199</xdr:row>
      <xdr:rowOff>45720</xdr:rowOff>
    </xdr:from>
    <xdr:to>
      <xdr:col>1</xdr:col>
      <xdr:colOff>388620</xdr:colOff>
      <xdr:row>199</xdr:row>
      <xdr:rowOff>60960</xdr:rowOff>
    </xdr:to>
    <xdr:sp macro="" textlink="">
      <xdr:nvSpPr>
        <xdr:cNvPr id="40" name="Line 183">
          <a:extLst>
            <a:ext uri="{FF2B5EF4-FFF2-40B4-BE49-F238E27FC236}">
              <a16:creationId xmlns:a16="http://schemas.microsoft.com/office/drawing/2014/main" id="{00000000-0008-0000-0F00-000028000000}"/>
            </a:ext>
          </a:extLst>
        </xdr:cNvPr>
        <xdr:cNvSpPr>
          <a:spLocks noChangeShapeType="1"/>
        </xdr:cNvSpPr>
      </xdr:nvSpPr>
      <xdr:spPr bwMode="auto">
        <a:xfrm flipH="1">
          <a:off x="800100" y="42534840"/>
          <a:ext cx="20574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342900</xdr:colOff>
      <xdr:row>195</xdr:row>
      <xdr:rowOff>220980</xdr:rowOff>
    </xdr:from>
    <xdr:to>
      <xdr:col>1</xdr:col>
      <xdr:colOff>358140</xdr:colOff>
      <xdr:row>198</xdr:row>
      <xdr:rowOff>243840</xdr:rowOff>
    </xdr:to>
    <xdr:sp macro="" textlink="">
      <xdr:nvSpPr>
        <xdr:cNvPr id="41" name="Line 184">
          <a:extLst>
            <a:ext uri="{FF2B5EF4-FFF2-40B4-BE49-F238E27FC236}">
              <a16:creationId xmlns:a16="http://schemas.microsoft.com/office/drawing/2014/main" id="{00000000-0008-0000-0F00-000029000000}"/>
            </a:ext>
          </a:extLst>
        </xdr:cNvPr>
        <xdr:cNvSpPr>
          <a:spLocks noChangeShapeType="1"/>
        </xdr:cNvSpPr>
      </xdr:nvSpPr>
      <xdr:spPr bwMode="auto">
        <a:xfrm>
          <a:off x="960120" y="41544240"/>
          <a:ext cx="15240" cy="9372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342900</xdr:colOff>
      <xdr:row>199</xdr:row>
      <xdr:rowOff>60960</xdr:rowOff>
    </xdr:from>
    <xdr:to>
      <xdr:col>1</xdr:col>
      <xdr:colOff>358140</xdr:colOff>
      <xdr:row>200</xdr:row>
      <xdr:rowOff>7620</xdr:rowOff>
    </xdr:to>
    <xdr:sp macro="" textlink="">
      <xdr:nvSpPr>
        <xdr:cNvPr id="42" name="Line 185">
          <a:extLst>
            <a:ext uri="{FF2B5EF4-FFF2-40B4-BE49-F238E27FC236}">
              <a16:creationId xmlns:a16="http://schemas.microsoft.com/office/drawing/2014/main" id="{00000000-0008-0000-0F00-00002A000000}"/>
            </a:ext>
          </a:extLst>
        </xdr:cNvPr>
        <xdr:cNvSpPr>
          <a:spLocks noChangeShapeType="1"/>
        </xdr:cNvSpPr>
      </xdr:nvSpPr>
      <xdr:spPr bwMode="auto">
        <a:xfrm flipV="1">
          <a:off x="960120" y="42550080"/>
          <a:ext cx="15240" cy="1676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99060</xdr:colOff>
      <xdr:row>190</xdr:row>
      <xdr:rowOff>129540</xdr:rowOff>
    </xdr:from>
    <xdr:to>
      <xdr:col>3</xdr:col>
      <xdr:colOff>899160</xdr:colOff>
      <xdr:row>190</xdr:row>
      <xdr:rowOff>137160</xdr:rowOff>
    </xdr:to>
    <xdr:sp macro="" textlink="">
      <xdr:nvSpPr>
        <xdr:cNvPr id="43" name="Line 186">
          <a:extLst>
            <a:ext uri="{FF2B5EF4-FFF2-40B4-BE49-F238E27FC236}">
              <a16:creationId xmlns:a16="http://schemas.microsoft.com/office/drawing/2014/main" id="{00000000-0008-0000-0F00-00002B000000}"/>
            </a:ext>
          </a:extLst>
        </xdr:cNvPr>
        <xdr:cNvSpPr>
          <a:spLocks noChangeShapeType="1"/>
        </xdr:cNvSpPr>
      </xdr:nvSpPr>
      <xdr:spPr bwMode="auto">
        <a:xfrm>
          <a:off x="2362200" y="40309800"/>
          <a:ext cx="8001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68580</xdr:colOff>
      <xdr:row>199</xdr:row>
      <xdr:rowOff>45720</xdr:rowOff>
    </xdr:from>
    <xdr:to>
      <xdr:col>3</xdr:col>
      <xdr:colOff>899160</xdr:colOff>
      <xdr:row>199</xdr:row>
      <xdr:rowOff>60960</xdr:rowOff>
    </xdr:to>
    <xdr:sp macro="" textlink="">
      <xdr:nvSpPr>
        <xdr:cNvPr id="44" name="Line 187">
          <a:extLst>
            <a:ext uri="{FF2B5EF4-FFF2-40B4-BE49-F238E27FC236}">
              <a16:creationId xmlns:a16="http://schemas.microsoft.com/office/drawing/2014/main" id="{00000000-0008-0000-0F00-00002C000000}"/>
            </a:ext>
          </a:extLst>
        </xdr:cNvPr>
        <xdr:cNvSpPr>
          <a:spLocks noChangeShapeType="1"/>
        </xdr:cNvSpPr>
      </xdr:nvSpPr>
      <xdr:spPr bwMode="auto">
        <a:xfrm>
          <a:off x="2331720" y="42534840"/>
          <a:ext cx="83058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388620</xdr:colOff>
      <xdr:row>190</xdr:row>
      <xdr:rowOff>137160</xdr:rowOff>
    </xdr:from>
    <xdr:to>
      <xdr:col>3</xdr:col>
      <xdr:colOff>396240</xdr:colOff>
      <xdr:row>193</xdr:row>
      <xdr:rowOff>76200</xdr:rowOff>
    </xdr:to>
    <xdr:sp macro="" textlink="">
      <xdr:nvSpPr>
        <xdr:cNvPr id="45" name="Line 188">
          <a:extLst>
            <a:ext uri="{FF2B5EF4-FFF2-40B4-BE49-F238E27FC236}">
              <a16:creationId xmlns:a16="http://schemas.microsoft.com/office/drawing/2014/main" id="{00000000-0008-0000-0F00-00002D000000}"/>
            </a:ext>
          </a:extLst>
        </xdr:cNvPr>
        <xdr:cNvSpPr>
          <a:spLocks noChangeShapeType="1"/>
        </xdr:cNvSpPr>
      </xdr:nvSpPr>
      <xdr:spPr bwMode="auto">
        <a:xfrm flipV="1">
          <a:off x="2651760" y="40317420"/>
          <a:ext cx="7620" cy="5943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388620</xdr:colOff>
      <xdr:row>195</xdr:row>
      <xdr:rowOff>144780</xdr:rowOff>
    </xdr:from>
    <xdr:to>
      <xdr:col>3</xdr:col>
      <xdr:colOff>396240</xdr:colOff>
      <xdr:row>199</xdr:row>
      <xdr:rowOff>38100</xdr:rowOff>
    </xdr:to>
    <xdr:sp macro="" textlink="">
      <xdr:nvSpPr>
        <xdr:cNvPr id="46" name="Line 189">
          <a:extLst>
            <a:ext uri="{FF2B5EF4-FFF2-40B4-BE49-F238E27FC236}">
              <a16:creationId xmlns:a16="http://schemas.microsoft.com/office/drawing/2014/main" id="{00000000-0008-0000-0F00-00002E000000}"/>
            </a:ext>
          </a:extLst>
        </xdr:cNvPr>
        <xdr:cNvSpPr>
          <a:spLocks noChangeShapeType="1"/>
        </xdr:cNvSpPr>
      </xdr:nvSpPr>
      <xdr:spPr bwMode="auto">
        <a:xfrm>
          <a:off x="2651760" y="41468040"/>
          <a:ext cx="7620" cy="10591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144780</xdr:colOff>
      <xdr:row>195</xdr:row>
      <xdr:rowOff>144780</xdr:rowOff>
    </xdr:from>
    <xdr:to>
      <xdr:col>3</xdr:col>
      <xdr:colOff>868680</xdr:colOff>
      <xdr:row>195</xdr:row>
      <xdr:rowOff>160020</xdr:rowOff>
    </xdr:to>
    <xdr:sp macro="" textlink="">
      <xdr:nvSpPr>
        <xdr:cNvPr id="47" name="Line 190">
          <a:extLst>
            <a:ext uri="{FF2B5EF4-FFF2-40B4-BE49-F238E27FC236}">
              <a16:creationId xmlns:a16="http://schemas.microsoft.com/office/drawing/2014/main" id="{00000000-0008-0000-0F00-00002F000000}"/>
            </a:ext>
          </a:extLst>
        </xdr:cNvPr>
        <xdr:cNvSpPr>
          <a:spLocks noChangeShapeType="1"/>
        </xdr:cNvSpPr>
      </xdr:nvSpPr>
      <xdr:spPr bwMode="auto">
        <a:xfrm>
          <a:off x="762000" y="41468040"/>
          <a:ext cx="2369820" cy="15240"/>
        </a:xfrm>
        <a:prstGeom prst="line">
          <a:avLst/>
        </a:prstGeom>
        <a:noFill/>
        <a:ln w="0">
          <a:solidFill>
            <a:srgbClr val="0000FF"/>
          </a:solidFill>
          <a:prstDash val="lgDashDot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594360</xdr:colOff>
      <xdr:row>195</xdr:row>
      <xdr:rowOff>144780</xdr:rowOff>
    </xdr:from>
    <xdr:to>
      <xdr:col>3</xdr:col>
      <xdr:colOff>601980</xdr:colOff>
      <xdr:row>196</xdr:row>
      <xdr:rowOff>68580</xdr:rowOff>
    </xdr:to>
    <xdr:sp macro="" textlink="">
      <xdr:nvSpPr>
        <xdr:cNvPr id="48" name="Line 191">
          <a:extLst>
            <a:ext uri="{FF2B5EF4-FFF2-40B4-BE49-F238E27FC236}">
              <a16:creationId xmlns:a16="http://schemas.microsoft.com/office/drawing/2014/main" id="{00000000-0008-0000-0F00-000030000000}"/>
            </a:ext>
          </a:extLst>
        </xdr:cNvPr>
        <xdr:cNvSpPr>
          <a:spLocks noChangeShapeType="1"/>
        </xdr:cNvSpPr>
      </xdr:nvSpPr>
      <xdr:spPr bwMode="auto">
        <a:xfrm flipH="1" flipV="1">
          <a:off x="2857500" y="41468040"/>
          <a:ext cx="7620" cy="3505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594360</xdr:colOff>
      <xdr:row>194</xdr:row>
      <xdr:rowOff>0</xdr:rowOff>
    </xdr:from>
    <xdr:to>
      <xdr:col>3</xdr:col>
      <xdr:colOff>601980</xdr:colOff>
      <xdr:row>195</xdr:row>
      <xdr:rowOff>175260</xdr:rowOff>
    </xdr:to>
    <xdr:sp macro="" textlink="">
      <xdr:nvSpPr>
        <xdr:cNvPr id="49" name="Line 192">
          <a:extLst>
            <a:ext uri="{FF2B5EF4-FFF2-40B4-BE49-F238E27FC236}">
              <a16:creationId xmlns:a16="http://schemas.microsoft.com/office/drawing/2014/main" id="{00000000-0008-0000-0F00-000031000000}"/>
            </a:ext>
          </a:extLst>
        </xdr:cNvPr>
        <xdr:cNvSpPr>
          <a:spLocks noChangeShapeType="1"/>
        </xdr:cNvSpPr>
      </xdr:nvSpPr>
      <xdr:spPr bwMode="auto">
        <a:xfrm>
          <a:off x="2857500" y="41079420"/>
          <a:ext cx="7620" cy="419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594360</xdr:colOff>
      <xdr:row>190</xdr:row>
      <xdr:rowOff>137160</xdr:rowOff>
    </xdr:from>
    <xdr:to>
      <xdr:col>3</xdr:col>
      <xdr:colOff>601980</xdr:colOff>
      <xdr:row>192</xdr:row>
      <xdr:rowOff>190500</xdr:rowOff>
    </xdr:to>
    <xdr:sp macro="" textlink="">
      <xdr:nvSpPr>
        <xdr:cNvPr id="50" name="Line 193">
          <a:extLst>
            <a:ext uri="{FF2B5EF4-FFF2-40B4-BE49-F238E27FC236}">
              <a16:creationId xmlns:a16="http://schemas.microsoft.com/office/drawing/2014/main" id="{00000000-0008-0000-0F00-000032000000}"/>
            </a:ext>
          </a:extLst>
        </xdr:cNvPr>
        <xdr:cNvSpPr>
          <a:spLocks noChangeShapeType="1"/>
        </xdr:cNvSpPr>
      </xdr:nvSpPr>
      <xdr:spPr bwMode="auto">
        <a:xfrm flipV="1">
          <a:off x="2857500" y="40317420"/>
          <a:ext cx="7620" cy="4876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586740</xdr:colOff>
      <xdr:row>197</xdr:row>
      <xdr:rowOff>30480</xdr:rowOff>
    </xdr:from>
    <xdr:to>
      <xdr:col>3</xdr:col>
      <xdr:colOff>594360</xdr:colOff>
      <xdr:row>199</xdr:row>
      <xdr:rowOff>38100</xdr:rowOff>
    </xdr:to>
    <xdr:sp macro="" textlink="">
      <xdr:nvSpPr>
        <xdr:cNvPr id="51" name="Line 194">
          <a:extLst>
            <a:ext uri="{FF2B5EF4-FFF2-40B4-BE49-F238E27FC236}">
              <a16:creationId xmlns:a16="http://schemas.microsoft.com/office/drawing/2014/main" id="{00000000-0008-0000-0F00-000033000000}"/>
            </a:ext>
          </a:extLst>
        </xdr:cNvPr>
        <xdr:cNvSpPr>
          <a:spLocks noChangeShapeType="1"/>
        </xdr:cNvSpPr>
      </xdr:nvSpPr>
      <xdr:spPr bwMode="auto">
        <a:xfrm>
          <a:off x="2849880" y="42024300"/>
          <a:ext cx="7620" cy="5029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716280</xdr:colOff>
      <xdr:row>171</xdr:row>
      <xdr:rowOff>106680</xdr:rowOff>
    </xdr:from>
    <xdr:to>
      <xdr:col>6</xdr:col>
      <xdr:colOff>906780</xdr:colOff>
      <xdr:row>171</xdr:row>
      <xdr:rowOff>114300</xdr:rowOff>
    </xdr:to>
    <xdr:sp macro="" textlink="">
      <xdr:nvSpPr>
        <xdr:cNvPr id="52" name="Line 252">
          <a:extLst>
            <a:ext uri="{FF2B5EF4-FFF2-40B4-BE49-F238E27FC236}">
              <a16:creationId xmlns:a16="http://schemas.microsoft.com/office/drawing/2014/main" id="{00000000-0008-0000-0F00-000034000000}"/>
            </a:ext>
          </a:extLst>
        </xdr:cNvPr>
        <xdr:cNvSpPr>
          <a:spLocks noChangeShapeType="1"/>
        </xdr:cNvSpPr>
      </xdr:nvSpPr>
      <xdr:spPr bwMode="auto">
        <a:xfrm>
          <a:off x="1333500" y="36987480"/>
          <a:ext cx="424434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693420</xdr:colOff>
      <xdr:row>171</xdr:row>
      <xdr:rowOff>121920</xdr:rowOff>
    </xdr:from>
    <xdr:to>
      <xdr:col>1</xdr:col>
      <xdr:colOff>708660</xdr:colOff>
      <xdr:row>177</xdr:row>
      <xdr:rowOff>22860</xdr:rowOff>
    </xdr:to>
    <xdr:sp macro="" textlink="">
      <xdr:nvSpPr>
        <xdr:cNvPr id="53" name="Line 253">
          <a:extLst>
            <a:ext uri="{FF2B5EF4-FFF2-40B4-BE49-F238E27FC236}">
              <a16:creationId xmlns:a16="http://schemas.microsoft.com/office/drawing/2014/main" id="{00000000-0008-0000-0F00-000035000000}"/>
            </a:ext>
          </a:extLst>
        </xdr:cNvPr>
        <xdr:cNvSpPr>
          <a:spLocks noChangeShapeType="1"/>
        </xdr:cNvSpPr>
      </xdr:nvSpPr>
      <xdr:spPr bwMode="auto">
        <a:xfrm flipH="1" flipV="1">
          <a:off x="1310640" y="37002720"/>
          <a:ext cx="15240" cy="9067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883920</xdr:colOff>
      <xdr:row>171</xdr:row>
      <xdr:rowOff>114300</xdr:rowOff>
    </xdr:from>
    <xdr:to>
      <xdr:col>6</xdr:col>
      <xdr:colOff>891540</xdr:colOff>
      <xdr:row>177</xdr:row>
      <xdr:rowOff>45720</xdr:rowOff>
    </xdr:to>
    <xdr:sp macro="" textlink="">
      <xdr:nvSpPr>
        <xdr:cNvPr id="54" name="Line 254">
          <a:extLst>
            <a:ext uri="{FF2B5EF4-FFF2-40B4-BE49-F238E27FC236}">
              <a16:creationId xmlns:a16="http://schemas.microsoft.com/office/drawing/2014/main" id="{00000000-0008-0000-0F00-000036000000}"/>
            </a:ext>
          </a:extLst>
        </xdr:cNvPr>
        <xdr:cNvSpPr>
          <a:spLocks noChangeShapeType="1"/>
        </xdr:cNvSpPr>
      </xdr:nvSpPr>
      <xdr:spPr bwMode="auto">
        <a:xfrm flipV="1">
          <a:off x="5554980" y="36995100"/>
          <a:ext cx="7620" cy="9372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419100</xdr:colOff>
      <xdr:row>169</xdr:row>
      <xdr:rowOff>137160</xdr:rowOff>
    </xdr:from>
    <xdr:to>
      <xdr:col>3</xdr:col>
      <xdr:colOff>434340</xdr:colOff>
      <xdr:row>171</xdr:row>
      <xdr:rowOff>114300</xdr:rowOff>
    </xdr:to>
    <xdr:sp macro="" textlink="">
      <xdr:nvSpPr>
        <xdr:cNvPr id="55" name="Line 255">
          <a:extLst>
            <a:ext uri="{FF2B5EF4-FFF2-40B4-BE49-F238E27FC236}">
              <a16:creationId xmlns:a16="http://schemas.microsoft.com/office/drawing/2014/main" id="{00000000-0008-0000-0F00-000037000000}"/>
            </a:ext>
          </a:extLst>
        </xdr:cNvPr>
        <xdr:cNvSpPr>
          <a:spLocks noChangeShapeType="1"/>
        </xdr:cNvSpPr>
      </xdr:nvSpPr>
      <xdr:spPr bwMode="auto">
        <a:xfrm>
          <a:off x="2682240" y="36682680"/>
          <a:ext cx="15240" cy="3124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121920</xdr:colOff>
      <xdr:row>169</xdr:row>
      <xdr:rowOff>121920</xdr:rowOff>
    </xdr:from>
    <xdr:to>
      <xdr:col>5</xdr:col>
      <xdr:colOff>129540</xdr:colOff>
      <xdr:row>171</xdr:row>
      <xdr:rowOff>106680</xdr:rowOff>
    </xdr:to>
    <xdr:sp macro="" textlink="">
      <xdr:nvSpPr>
        <xdr:cNvPr id="56" name="Line 256">
          <a:extLst>
            <a:ext uri="{FF2B5EF4-FFF2-40B4-BE49-F238E27FC236}">
              <a16:creationId xmlns:a16="http://schemas.microsoft.com/office/drawing/2014/main" id="{00000000-0008-0000-0F00-000038000000}"/>
            </a:ext>
          </a:extLst>
        </xdr:cNvPr>
        <xdr:cNvSpPr>
          <a:spLocks noChangeShapeType="1"/>
        </xdr:cNvSpPr>
      </xdr:nvSpPr>
      <xdr:spPr bwMode="auto">
        <a:xfrm>
          <a:off x="4183380" y="36667440"/>
          <a:ext cx="7620" cy="3200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723900</xdr:colOff>
      <xdr:row>176</xdr:row>
      <xdr:rowOff>15240</xdr:rowOff>
    </xdr:from>
    <xdr:to>
      <xdr:col>4</xdr:col>
      <xdr:colOff>457200</xdr:colOff>
      <xdr:row>176</xdr:row>
      <xdr:rowOff>30480</xdr:rowOff>
    </xdr:to>
    <xdr:sp macro="" textlink="">
      <xdr:nvSpPr>
        <xdr:cNvPr id="57" name="Line 257">
          <a:extLst>
            <a:ext uri="{FF2B5EF4-FFF2-40B4-BE49-F238E27FC236}">
              <a16:creationId xmlns:a16="http://schemas.microsoft.com/office/drawing/2014/main" id="{00000000-0008-0000-0F00-000039000000}"/>
            </a:ext>
          </a:extLst>
        </xdr:cNvPr>
        <xdr:cNvSpPr>
          <a:spLocks noChangeShapeType="1"/>
        </xdr:cNvSpPr>
      </xdr:nvSpPr>
      <xdr:spPr bwMode="auto">
        <a:xfrm flipH="1">
          <a:off x="1341120" y="37734240"/>
          <a:ext cx="231648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419100</xdr:colOff>
      <xdr:row>176</xdr:row>
      <xdr:rowOff>15240</xdr:rowOff>
    </xdr:from>
    <xdr:to>
      <xdr:col>6</xdr:col>
      <xdr:colOff>906780</xdr:colOff>
      <xdr:row>176</xdr:row>
      <xdr:rowOff>30480</xdr:rowOff>
    </xdr:to>
    <xdr:sp macro="" textlink="">
      <xdr:nvSpPr>
        <xdr:cNvPr id="58" name="Line 258">
          <a:extLst>
            <a:ext uri="{FF2B5EF4-FFF2-40B4-BE49-F238E27FC236}">
              <a16:creationId xmlns:a16="http://schemas.microsoft.com/office/drawing/2014/main" id="{00000000-0008-0000-0F00-00003A000000}"/>
            </a:ext>
          </a:extLst>
        </xdr:cNvPr>
        <xdr:cNvSpPr>
          <a:spLocks noChangeShapeType="1"/>
        </xdr:cNvSpPr>
      </xdr:nvSpPr>
      <xdr:spPr bwMode="auto">
        <a:xfrm>
          <a:off x="3619500" y="37734240"/>
          <a:ext cx="195834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7620</xdr:colOff>
      <xdr:row>173</xdr:row>
      <xdr:rowOff>91440</xdr:rowOff>
    </xdr:from>
    <xdr:to>
      <xdr:col>3</xdr:col>
      <xdr:colOff>243840</xdr:colOff>
      <xdr:row>173</xdr:row>
      <xdr:rowOff>106680</xdr:rowOff>
    </xdr:to>
    <xdr:sp macro="" textlink="">
      <xdr:nvSpPr>
        <xdr:cNvPr id="59" name="Line 259">
          <a:extLst>
            <a:ext uri="{FF2B5EF4-FFF2-40B4-BE49-F238E27FC236}">
              <a16:creationId xmlns:a16="http://schemas.microsoft.com/office/drawing/2014/main" id="{00000000-0008-0000-0F00-00003B000000}"/>
            </a:ext>
          </a:extLst>
        </xdr:cNvPr>
        <xdr:cNvSpPr>
          <a:spLocks noChangeShapeType="1"/>
        </xdr:cNvSpPr>
      </xdr:nvSpPr>
      <xdr:spPr bwMode="auto">
        <a:xfrm flipH="1">
          <a:off x="1356360" y="37307520"/>
          <a:ext cx="115062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403860</xdr:colOff>
      <xdr:row>172</xdr:row>
      <xdr:rowOff>15240</xdr:rowOff>
    </xdr:from>
    <xdr:to>
      <xdr:col>3</xdr:col>
      <xdr:colOff>411480</xdr:colOff>
      <xdr:row>175</xdr:row>
      <xdr:rowOff>53340</xdr:rowOff>
    </xdr:to>
    <xdr:sp macro="" textlink="">
      <xdr:nvSpPr>
        <xdr:cNvPr id="60" name="Line 260">
          <a:extLst>
            <a:ext uri="{FF2B5EF4-FFF2-40B4-BE49-F238E27FC236}">
              <a16:creationId xmlns:a16="http://schemas.microsoft.com/office/drawing/2014/main" id="{00000000-0008-0000-0F00-00003C000000}"/>
            </a:ext>
          </a:extLst>
        </xdr:cNvPr>
        <xdr:cNvSpPr>
          <a:spLocks noChangeShapeType="1"/>
        </xdr:cNvSpPr>
      </xdr:nvSpPr>
      <xdr:spPr bwMode="auto">
        <a:xfrm>
          <a:off x="2667000" y="37063680"/>
          <a:ext cx="7620" cy="5410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121920</xdr:colOff>
      <xdr:row>172</xdr:row>
      <xdr:rowOff>15240</xdr:rowOff>
    </xdr:from>
    <xdr:to>
      <xdr:col>5</xdr:col>
      <xdr:colOff>129540</xdr:colOff>
      <xdr:row>175</xdr:row>
      <xdr:rowOff>76200</xdr:rowOff>
    </xdr:to>
    <xdr:sp macro="" textlink="">
      <xdr:nvSpPr>
        <xdr:cNvPr id="61" name="Line 261">
          <a:extLst>
            <a:ext uri="{FF2B5EF4-FFF2-40B4-BE49-F238E27FC236}">
              <a16:creationId xmlns:a16="http://schemas.microsoft.com/office/drawing/2014/main" id="{00000000-0008-0000-0F00-00003D000000}"/>
            </a:ext>
          </a:extLst>
        </xdr:cNvPr>
        <xdr:cNvSpPr>
          <a:spLocks noChangeShapeType="1"/>
        </xdr:cNvSpPr>
      </xdr:nvSpPr>
      <xdr:spPr bwMode="auto">
        <a:xfrm>
          <a:off x="4183380" y="37063680"/>
          <a:ext cx="7620" cy="5638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906780</xdr:colOff>
      <xdr:row>170</xdr:row>
      <xdr:rowOff>99060</xdr:rowOff>
    </xdr:from>
    <xdr:to>
      <xdr:col>3</xdr:col>
      <xdr:colOff>922020</xdr:colOff>
      <xdr:row>172</xdr:row>
      <xdr:rowOff>121920</xdr:rowOff>
    </xdr:to>
    <xdr:sp macro="" textlink="">
      <xdr:nvSpPr>
        <xdr:cNvPr id="62" name="Line 262">
          <a:extLst>
            <a:ext uri="{FF2B5EF4-FFF2-40B4-BE49-F238E27FC236}">
              <a16:creationId xmlns:a16="http://schemas.microsoft.com/office/drawing/2014/main" id="{00000000-0008-0000-0F00-00003E000000}"/>
            </a:ext>
          </a:extLst>
        </xdr:cNvPr>
        <xdr:cNvSpPr>
          <a:spLocks noChangeShapeType="1"/>
        </xdr:cNvSpPr>
      </xdr:nvSpPr>
      <xdr:spPr bwMode="auto">
        <a:xfrm>
          <a:off x="3169920" y="36812220"/>
          <a:ext cx="15240" cy="358140"/>
        </a:xfrm>
        <a:prstGeom prst="line">
          <a:avLst/>
        </a:prstGeom>
        <a:noFill/>
        <a:ln w="12700">
          <a:solidFill>
            <a:srgbClr val="000000"/>
          </a:solidFill>
          <a:prstDash val="lgDashDot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220980</xdr:colOff>
      <xdr:row>173</xdr:row>
      <xdr:rowOff>91440</xdr:rowOff>
    </xdr:from>
    <xdr:to>
      <xdr:col>3</xdr:col>
      <xdr:colOff>411480</xdr:colOff>
      <xdr:row>173</xdr:row>
      <xdr:rowOff>106680</xdr:rowOff>
    </xdr:to>
    <xdr:sp macro="" textlink="">
      <xdr:nvSpPr>
        <xdr:cNvPr id="63" name="Line 263">
          <a:extLst>
            <a:ext uri="{FF2B5EF4-FFF2-40B4-BE49-F238E27FC236}">
              <a16:creationId xmlns:a16="http://schemas.microsoft.com/office/drawing/2014/main" id="{00000000-0008-0000-0F00-00003F000000}"/>
            </a:ext>
          </a:extLst>
        </xdr:cNvPr>
        <xdr:cNvSpPr>
          <a:spLocks noChangeShapeType="1"/>
        </xdr:cNvSpPr>
      </xdr:nvSpPr>
      <xdr:spPr bwMode="auto">
        <a:xfrm>
          <a:off x="2484120" y="37307520"/>
          <a:ext cx="19050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304800</xdr:colOff>
      <xdr:row>170</xdr:row>
      <xdr:rowOff>0</xdr:rowOff>
    </xdr:from>
    <xdr:to>
      <xdr:col>4</xdr:col>
      <xdr:colOff>312420</xdr:colOff>
      <xdr:row>171</xdr:row>
      <xdr:rowOff>106680</xdr:rowOff>
    </xdr:to>
    <xdr:sp macro="" textlink="">
      <xdr:nvSpPr>
        <xdr:cNvPr id="64" name="Line 264">
          <a:extLst>
            <a:ext uri="{FF2B5EF4-FFF2-40B4-BE49-F238E27FC236}">
              <a16:creationId xmlns:a16="http://schemas.microsoft.com/office/drawing/2014/main" id="{00000000-0008-0000-0F00-000040000000}"/>
            </a:ext>
          </a:extLst>
        </xdr:cNvPr>
        <xdr:cNvSpPr>
          <a:spLocks noChangeShapeType="1"/>
        </xdr:cNvSpPr>
      </xdr:nvSpPr>
      <xdr:spPr bwMode="auto">
        <a:xfrm>
          <a:off x="3505200" y="36713160"/>
          <a:ext cx="7620" cy="274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312420</xdr:colOff>
      <xdr:row>171</xdr:row>
      <xdr:rowOff>160020</xdr:rowOff>
    </xdr:from>
    <xdr:to>
      <xdr:col>4</xdr:col>
      <xdr:colOff>320040</xdr:colOff>
      <xdr:row>174</xdr:row>
      <xdr:rowOff>22860</xdr:rowOff>
    </xdr:to>
    <xdr:sp macro="" textlink="">
      <xdr:nvSpPr>
        <xdr:cNvPr id="65" name="Line 265">
          <a:extLst>
            <a:ext uri="{FF2B5EF4-FFF2-40B4-BE49-F238E27FC236}">
              <a16:creationId xmlns:a16="http://schemas.microsoft.com/office/drawing/2014/main" id="{00000000-0008-0000-0F00-000041000000}"/>
            </a:ext>
          </a:extLst>
        </xdr:cNvPr>
        <xdr:cNvSpPr>
          <a:spLocks noChangeShapeType="1"/>
        </xdr:cNvSpPr>
      </xdr:nvSpPr>
      <xdr:spPr bwMode="auto">
        <a:xfrm>
          <a:off x="3512820" y="37040820"/>
          <a:ext cx="7620" cy="3657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411480</xdr:colOff>
      <xdr:row>173</xdr:row>
      <xdr:rowOff>106680</xdr:rowOff>
    </xdr:from>
    <xdr:to>
      <xdr:col>5</xdr:col>
      <xdr:colOff>99060</xdr:colOff>
      <xdr:row>173</xdr:row>
      <xdr:rowOff>114300</xdr:rowOff>
    </xdr:to>
    <xdr:sp macro="" textlink="">
      <xdr:nvSpPr>
        <xdr:cNvPr id="66" name="Line 266">
          <a:extLst>
            <a:ext uri="{FF2B5EF4-FFF2-40B4-BE49-F238E27FC236}">
              <a16:creationId xmlns:a16="http://schemas.microsoft.com/office/drawing/2014/main" id="{00000000-0008-0000-0F00-000042000000}"/>
            </a:ext>
          </a:extLst>
        </xdr:cNvPr>
        <xdr:cNvSpPr>
          <a:spLocks noChangeShapeType="1"/>
        </xdr:cNvSpPr>
      </xdr:nvSpPr>
      <xdr:spPr bwMode="auto">
        <a:xfrm flipH="1">
          <a:off x="2674620" y="37322760"/>
          <a:ext cx="14859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60960</xdr:colOff>
      <xdr:row>173</xdr:row>
      <xdr:rowOff>91440</xdr:rowOff>
    </xdr:from>
    <xdr:to>
      <xdr:col>5</xdr:col>
      <xdr:colOff>160020</xdr:colOff>
      <xdr:row>173</xdr:row>
      <xdr:rowOff>106680</xdr:rowOff>
    </xdr:to>
    <xdr:sp macro="" textlink="">
      <xdr:nvSpPr>
        <xdr:cNvPr id="67" name="Line 267">
          <a:extLst>
            <a:ext uri="{FF2B5EF4-FFF2-40B4-BE49-F238E27FC236}">
              <a16:creationId xmlns:a16="http://schemas.microsoft.com/office/drawing/2014/main" id="{00000000-0008-0000-0F00-000043000000}"/>
            </a:ext>
          </a:extLst>
        </xdr:cNvPr>
        <xdr:cNvSpPr>
          <a:spLocks noChangeShapeType="1"/>
        </xdr:cNvSpPr>
      </xdr:nvSpPr>
      <xdr:spPr bwMode="auto">
        <a:xfrm>
          <a:off x="4122420" y="37307520"/>
          <a:ext cx="9906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266700</xdr:colOff>
      <xdr:row>173</xdr:row>
      <xdr:rowOff>38100</xdr:rowOff>
    </xdr:from>
    <xdr:to>
      <xdr:col>4</xdr:col>
      <xdr:colOff>365760</xdr:colOff>
      <xdr:row>173</xdr:row>
      <xdr:rowOff>137160</xdr:rowOff>
    </xdr:to>
    <xdr:sp macro="" textlink="">
      <xdr:nvSpPr>
        <xdr:cNvPr id="68" name="Line 268">
          <a:extLst>
            <a:ext uri="{FF2B5EF4-FFF2-40B4-BE49-F238E27FC236}">
              <a16:creationId xmlns:a16="http://schemas.microsoft.com/office/drawing/2014/main" id="{00000000-0008-0000-0F00-000044000000}"/>
            </a:ext>
          </a:extLst>
        </xdr:cNvPr>
        <xdr:cNvSpPr>
          <a:spLocks noChangeShapeType="1"/>
        </xdr:cNvSpPr>
      </xdr:nvSpPr>
      <xdr:spPr bwMode="auto">
        <a:xfrm flipV="1">
          <a:off x="3467100" y="37254180"/>
          <a:ext cx="99060" cy="990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213360</xdr:colOff>
      <xdr:row>172</xdr:row>
      <xdr:rowOff>45720</xdr:rowOff>
    </xdr:from>
    <xdr:to>
      <xdr:col>3</xdr:col>
      <xdr:colOff>396240</xdr:colOff>
      <xdr:row>172</xdr:row>
      <xdr:rowOff>53340</xdr:rowOff>
    </xdr:to>
    <xdr:sp macro="" textlink="">
      <xdr:nvSpPr>
        <xdr:cNvPr id="69" name="Line 269">
          <a:extLst>
            <a:ext uri="{FF2B5EF4-FFF2-40B4-BE49-F238E27FC236}">
              <a16:creationId xmlns:a16="http://schemas.microsoft.com/office/drawing/2014/main" id="{00000000-0008-0000-0F00-000045000000}"/>
            </a:ext>
          </a:extLst>
        </xdr:cNvPr>
        <xdr:cNvSpPr>
          <a:spLocks noChangeShapeType="1"/>
        </xdr:cNvSpPr>
      </xdr:nvSpPr>
      <xdr:spPr bwMode="auto">
        <a:xfrm>
          <a:off x="2476500" y="37094160"/>
          <a:ext cx="1828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906780</xdr:colOff>
      <xdr:row>172</xdr:row>
      <xdr:rowOff>30480</xdr:rowOff>
    </xdr:from>
    <xdr:to>
      <xdr:col>4</xdr:col>
      <xdr:colOff>167640</xdr:colOff>
      <xdr:row>172</xdr:row>
      <xdr:rowOff>45720</xdr:rowOff>
    </xdr:to>
    <xdr:sp macro="" textlink="">
      <xdr:nvSpPr>
        <xdr:cNvPr id="70" name="Line 270">
          <a:extLst>
            <a:ext uri="{FF2B5EF4-FFF2-40B4-BE49-F238E27FC236}">
              <a16:creationId xmlns:a16="http://schemas.microsoft.com/office/drawing/2014/main" id="{00000000-0008-0000-0F00-000046000000}"/>
            </a:ext>
          </a:extLst>
        </xdr:cNvPr>
        <xdr:cNvSpPr>
          <a:spLocks noChangeShapeType="1"/>
        </xdr:cNvSpPr>
      </xdr:nvSpPr>
      <xdr:spPr bwMode="auto">
        <a:xfrm flipH="1">
          <a:off x="3169920" y="37078920"/>
          <a:ext cx="19812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411480</xdr:colOff>
      <xdr:row>175</xdr:row>
      <xdr:rowOff>83820</xdr:rowOff>
    </xdr:from>
    <xdr:to>
      <xdr:col>4</xdr:col>
      <xdr:colOff>243840</xdr:colOff>
      <xdr:row>175</xdr:row>
      <xdr:rowOff>91440</xdr:rowOff>
    </xdr:to>
    <xdr:sp macro="" textlink="">
      <xdr:nvSpPr>
        <xdr:cNvPr id="71" name="Line 275">
          <a:extLst>
            <a:ext uri="{FF2B5EF4-FFF2-40B4-BE49-F238E27FC236}">
              <a16:creationId xmlns:a16="http://schemas.microsoft.com/office/drawing/2014/main" id="{00000000-0008-0000-0F00-000047000000}"/>
            </a:ext>
          </a:extLst>
        </xdr:cNvPr>
        <xdr:cNvSpPr>
          <a:spLocks noChangeShapeType="1"/>
        </xdr:cNvSpPr>
      </xdr:nvSpPr>
      <xdr:spPr bwMode="auto">
        <a:xfrm flipH="1">
          <a:off x="2674620" y="37635180"/>
          <a:ext cx="7696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228600</xdr:colOff>
      <xdr:row>175</xdr:row>
      <xdr:rowOff>83820</xdr:rowOff>
    </xdr:from>
    <xdr:to>
      <xdr:col>5</xdr:col>
      <xdr:colOff>114300</xdr:colOff>
      <xdr:row>175</xdr:row>
      <xdr:rowOff>91440</xdr:rowOff>
    </xdr:to>
    <xdr:sp macro="" textlink="">
      <xdr:nvSpPr>
        <xdr:cNvPr id="72" name="Line 276">
          <a:extLst>
            <a:ext uri="{FF2B5EF4-FFF2-40B4-BE49-F238E27FC236}">
              <a16:creationId xmlns:a16="http://schemas.microsoft.com/office/drawing/2014/main" id="{00000000-0008-0000-0F00-000048000000}"/>
            </a:ext>
          </a:extLst>
        </xdr:cNvPr>
        <xdr:cNvSpPr>
          <a:spLocks noChangeShapeType="1"/>
        </xdr:cNvSpPr>
      </xdr:nvSpPr>
      <xdr:spPr bwMode="auto">
        <a:xfrm>
          <a:off x="3429000" y="37635180"/>
          <a:ext cx="7467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510540</xdr:colOff>
      <xdr:row>12</xdr:row>
      <xdr:rowOff>76200</xdr:rowOff>
    </xdr:from>
    <xdr:to>
      <xdr:col>5</xdr:col>
      <xdr:colOff>106680</xdr:colOff>
      <xdr:row>14</xdr:row>
      <xdr:rowOff>129540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pSpPr>
          <a:grpSpLocks/>
        </xdr:cNvGrpSpPr>
      </xdr:nvGrpSpPr>
      <xdr:grpSpPr bwMode="auto">
        <a:xfrm>
          <a:off x="2839403" y="2457450"/>
          <a:ext cx="248602" cy="415290"/>
          <a:chOff x="3006236" y="2291131"/>
          <a:chExt cx="220541" cy="419831"/>
        </a:xfrm>
      </xdr:grpSpPr>
      <xdr:sp macro="" textlink="">
        <xdr:nvSpPr>
          <xdr:cNvPr id="3" name="Straight Connector 2">
            <a:extLst>
              <a:ext uri="{FF2B5EF4-FFF2-40B4-BE49-F238E27FC236}">
                <a16:creationId xmlns:a16="http://schemas.microsoft.com/office/drawing/2014/main" id="{00000000-0008-0000-1000-000003000000}"/>
              </a:ext>
            </a:extLst>
          </xdr:cNvPr>
          <xdr:cNvSpPr>
            <a:spLocks noChangeShapeType="1"/>
          </xdr:cNvSpPr>
        </xdr:nvSpPr>
        <xdr:spPr bwMode="auto">
          <a:xfrm>
            <a:off x="3006236" y="2588602"/>
            <a:ext cx="169985" cy="11430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" name="Straight Connector 3">
            <a:extLst>
              <a:ext uri="{FF2B5EF4-FFF2-40B4-BE49-F238E27FC236}">
                <a16:creationId xmlns:a16="http://schemas.microsoft.com/office/drawing/2014/main" id="{00000000-0008-0000-1000-000004000000}"/>
              </a:ext>
            </a:extLst>
          </xdr:cNvPr>
          <xdr:cNvSpPr>
            <a:spLocks noChangeShapeType="1"/>
          </xdr:cNvSpPr>
        </xdr:nvSpPr>
        <xdr:spPr bwMode="auto">
          <a:xfrm rot="5400000" flipH="1" flipV="1">
            <a:off x="2989752" y="2473938"/>
            <a:ext cx="419831" cy="5421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5</xdr:col>
      <xdr:colOff>114300</xdr:colOff>
      <xdr:row>12</xdr:row>
      <xdr:rowOff>83820</xdr:rowOff>
    </xdr:from>
    <xdr:to>
      <xdr:col>6</xdr:col>
      <xdr:colOff>129540</xdr:colOff>
      <xdr:row>12</xdr:row>
      <xdr:rowOff>99060</xdr:rowOff>
    </xdr:to>
    <xdr:sp macro="" textlink="">
      <xdr:nvSpPr>
        <xdr:cNvPr id="5" name="Straight Connector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>
          <a:spLocks noChangeShapeType="1"/>
        </xdr:cNvSpPr>
      </xdr:nvSpPr>
      <xdr:spPr bwMode="auto">
        <a:xfrm>
          <a:off x="2971800" y="2453640"/>
          <a:ext cx="48768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419100</xdr:colOff>
      <xdr:row>39</xdr:row>
      <xdr:rowOff>144780</xdr:rowOff>
    </xdr:from>
    <xdr:to>
      <xdr:col>5</xdr:col>
      <xdr:colOff>15240</xdr:colOff>
      <xdr:row>42</xdr:row>
      <xdr:rowOff>15240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pSpPr>
          <a:grpSpLocks/>
        </xdr:cNvGrpSpPr>
      </xdr:nvGrpSpPr>
      <xdr:grpSpPr bwMode="auto">
        <a:xfrm>
          <a:off x="2747963" y="7621905"/>
          <a:ext cx="248602" cy="422910"/>
          <a:chOff x="3006236" y="2291131"/>
          <a:chExt cx="220541" cy="419831"/>
        </a:xfrm>
      </xdr:grpSpPr>
      <xdr:sp macro="" textlink="">
        <xdr:nvSpPr>
          <xdr:cNvPr id="7" name="Straight Connector 6">
            <a:extLst>
              <a:ext uri="{FF2B5EF4-FFF2-40B4-BE49-F238E27FC236}">
                <a16:creationId xmlns:a16="http://schemas.microsoft.com/office/drawing/2014/main" id="{00000000-0008-0000-1000-000007000000}"/>
              </a:ext>
            </a:extLst>
          </xdr:cNvPr>
          <xdr:cNvSpPr>
            <a:spLocks noChangeShapeType="1"/>
          </xdr:cNvSpPr>
        </xdr:nvSpPr>
        <xdr:spPr bwMode="auto">
          <a:xfrm>
            <a:off x="3006236" y="2588602"/>
            <a:ext cx="169985" cy="11430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" name="Straight Connector 7">
            <a:extLst>
              <a:ext uri="{FF2B5EF4-FFF2-40B4-BE49-F238E27FC236}">
                <a16:creationId xmlns:a16="http://schemas.microsoft.com/office/drawing/2014/main" id="{00000000-0008-0000-1000-000008000000}"/>
              </a:ext>
            </a:extLst>
          </xdr:cNvPr>
          <xdr:cNvSpPr>
            <a:spLocks noChangeShapeType="1"/>
          </xdr:cNvSpPr>
        </xdr:nvSpPr>
        <xdr:spPr bwMode="auto">
          <a:xfrm rot="5400000" flipH="1" flipV="1">
            <a:off x="2989752" y="2473938"/>
            <a:ext cx="419831" cy="5421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5</xdr:col>
      <xdr:colOff>22860</xdr:colOff>
      <xdr:row>39</xdr:row>
      <xdr:rowOff>152400</xdr:rowOff>
    </xdr:from>
    <xdr:to>
      <xdr:col>6</xdr:col>
      <xdr:colOff>30480</xdr:colOff>
      <xdr:row>39</xdr:row>
      <xdr:rowOff>167640</xdr:rowOff>
    </xdr:to>
    <xdr:sp macro="" textlink="">
      <xdr:nvSpPr>
        <xdr:cNvPr id="9" name="Straight Connector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>
          <a:spLocks noChangeShapeType="1"/>
        </xdr:cNvSpPr>
      </xdr:nvSpPr>
      <xdr:spPr bwMode="auto">
        <a:xfrm>
          <a:off x="2880360" y="7635240"/>
          <a:ext cx="48006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3</xdr:row>
      <xdr:rowOff>91440</xdr:rowOff>
    </xdr:from>
    <xdr:to>
      <xdr:col>0</xdr:col>
      <xdr:colOff>228600</xdr:colOff>
      <xdr:row>3</xdr:row>
      <xdr:rowOff>160020</xdr:rowOff>
    </xdr:to>
    <xdr:sp macro="" textlink="">
      <xdr:nvSpPr>
        <xdr:cNvPr id="2" name="Chevron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>
          <a:spLocks noChangeArrowheads="1"/>
        </xdr:cNvSpPr>
      </xdr:nvSpPr>
      <xdr:spPr bwMode="auto">
        <a:xfrm>
          <a:off x="68580" y="647700"/>
          <a:ext cx="160020" cy="68580"/>
        </a:xfrm>
        <a:prstGeom prst="chevron">
          <a:avLst>
            <a:gd name="adj" fmla="val 48039"/>
          </a:avLst>
        </a:prstGeom>
        <a:solidFill>
          <a:srgbClr val="4F81BD"/>
        </a:solidFill>
        <a:ln w="25400">
          <a:solidFill>
            <a:srgbClr val="395E8A"/>
          </a:solidFill>
          <a:round/>
          <a:headEnd/>
          <a:tailEnd/>
        </a:ln>
      </xdr:spPr>
    </xdr:sp>
    <xdr:clientData/>
  </xdr:twoCellAnchor>
  <xdr:twoCellAnchor>
    <xdr:from>
      <xdr:col>0</xdr:col>
      <xdr:colOff>68580</xdr:colOff>
      <xdr:row>56</xdr:row>
      <xdr:rowOff>121920</xdr:rowOff>
    </xdr:from>
    <xdr:to>
      <xdr:col>0</xdr:col>
      <xdr:colOff>228600</xdr:colOff>
      <xdr:row>57</xdr:row>
      <xdr:rowOff>7620</xdr:rowOff>
    </xdr:to>
    <xdr:sp macro="" textlink="">
      <xdr:nvSpPr>
        <xdr:cNvPr id="3" name="Chevron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>
          <a:spLocks noChangeArrowheads="1"/>
        </xdr:cNvSpPr>
      </xdr:nvSpPr>
      <xdr:spPr bwMode="auto">
        <a:xfrm>
          <a:off x="68580" y="10553700"/>
          <a:ext cx="160020" cy="68580"/>
        </a:xfrm>
        <a:prstGeom prst="chevron">
          <a:avLst>
            <a:gd name="adj" fmla="val 48039"/>
          </a:avLst>
        </a:prstGeom>
        <a:solidFill>
          <a:srgbClr val="4F81BD"/>
        </a:solidFill>
        <a:ln w="25400">
          <a:solidFill>
            <a:srgbClr val="395E8A"/>
          </a:solidFill>
          <a:round/>
          <a:headEnd/>
          <a:tailEnd/>
        </a:ln>
      </xdr:spPr>
    </xdr:sp>
    <xdr:clientData/>
  </xdr:twoCellAnchor>
  <xdr:twoCellAnchor>
    <xdr:from>
      <xdr:col>0</xdr:col>
      <xdr:colOff>68580</xdr:colOff>
      <xdr:row>120</xdr:row>
      <xdr:rowOff>30480</xdr:rowOff>
    </xdr:from>
    <xdr:to>
      <xdr:col>0</xdr:col>
      <xdr:colOff>228600</xdr:colOff>
      <xdr:row>120</xdr:row>
      <xdr:rowOff>99060</xdr:rowOff>
    </xdr:to>
    <xdr:sp macro="" textlink="">
      <xdr:nvSpPr>
        <xdr:cNvPr id="4" name="Chevron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>
          <a:spLocks noChangeArrowheads="1"/>
        </xdr:cNvSpPr>
      </xdr:nvSpPr>
      <xdr:spPr bwMode="auto">
        <a:xfrm>
          <a:off x="68580" y="22174200"/>
          <a:ext cx="160020" cy="68580"/>
        </a:xfrm>
        <a:prstGeom prst="chevron">
          <a:avLst>
            <a:gd name="adj" fmla="val 48039"/>
          </a:avLst>
        </a:prstGeom>
        <a:solidFill>
          <a:srgbClr val="4F81BD"/>
        </a:solidFill>
        <a:ln w="25400">
          <a:solidFill>
            <a:srgbClr val="395E8A"/>
          </a:solidFill>
          <a:round/>
          <a:headEnd/>
          <a:tailEnd/>
        </a:ln>
      </xdr:spPr>
    </xdr:sp>
    <xdr:clientData/>
  </xdr:twoCellAnchor>
  <xdr:twoCellAnchor>
    <xdr:from>
      <xdr:col>0</xdr:col>
      <xdr:colOff>68580</xdr:colOff>
      <xdr:row>141</xdr:row>
      <xdr:rowOff>144780</xdr:rowOff>
    </xdr:from>
    <xdr:to>
      <xdr:col>0</xdr:col>
      <xdr:colOff>228600</xdr:colOff>
      <xdr:row>142</xdr:row>
      <xdr:rowOff>30480</xdr:rowOff>
    </xdr:to>
    <xdr:sp macro="" textlink="">
      <xdr:nvSpPr>
        <xdr:cNvPr id="5" name="Chevron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>
          <a:spLocks noChangeArrowheads="1"/>
        </xdr:cNvSpPr>
      </xdr:nvSpPr>
      <xdr:spPr bwMode="auto">
        <a:xfrm>
          <a:off x="68580" y="26174700"/>
          <a:ext cx="160020" cy="68580"/>
        </a:xfrm>
        <a:prstGeom prst="chevron">
          <a:avLst>
            <a:gd name="adj" fmla="val 48039"/>
          </a:avLst>
        </a:prstGeom>
        <a:solidFill>
          <a:srgbClr val="4F81BD"/>
        </a:solidFill>
        <a:ln w="25400">
          <a:solidFill>
            <a:srgbClr val="395E8A"/>
          </a:solidFill>
          <a:round/>
          <a:headEnd/>
          <a:tailEnd/>
        </a:ln>
      </xdr:spPr>
    </xdr:sp>
    <xdr:clientData/>
  </xdr:twoCellAnchor>
  <xdr:twoCellAnchor>
    <xdr:from>
      <xdr:col>0</xdr:col>
      <xdr:colOff>68580</xdr:colOff>
      <xdr:row>224</xdr:row>
      <xdr:rowOff>106680</xdr:rowOff>
    </xdr:from>
    <xdr:to>
      <xdr:col>0</xdr:col>
      <xdr:colOff>228600</xdr:colOff>
      <xdr:row>224</xdr:row>
      <xdr:rowOff>175260</xdr:rowOff>
    </xdr:to>
    <xdr:sp macro="" textlink="">
      <xdr:nvSpPr>
        <xdr:cNvPr id="6" name="Chevron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>
          <a:spLocks noChangeArrowheads="1"/>
        </xdr:cNvSpPr>
      </xdr:nvSpPr>
      <xdr:spPr bwMode="auto">
        <a:xfrm>
          <a:off x="68580" y="41422320"/>
          <a:ext cx="160020" cy="68580"/>
        </a:xfrm>
        <a:prstGeom prst="chevron">
          <a:avLst>
            <a:gd name="adj" fmla="val 48039"/>
          </a:avLst>
        </a:prstGeom>
        <a:solidFill>
          <a:srgbClr val="4F81BD"/>
        </a:solidFill>
        <a:ln w="25400">
          <a:solidFill>
            <a:srgbClr val="395E8A"/>
          </a:solidFill>
          <a:round/>
          <a:headEnd/>
          <a:tailEnd/>
        </a:ln>
      </xdr:spPr>
    </xdr:sp>
    <xdr:clientData/>
  </xdr:twoCellAnchor>
  <xdr:twoCellAnchor>
    <xdr:from>
      <xdr:col>0</xdr:col>
      <xdr:colOff>68580</xdr:colOff>
      <xdr:row>308</xdr:row>
      <xdr:rowOff>160020</xdr:rowOff>
    </xdr:from>
    <xdr:to>
      <xdr:col>0</xdr:col>
      <xdr:colOff>228600</xdr:colOff>
      <xdr:row>309</xdr:row>
      <xdr:rowOff>45720</xdr:rowOff>
    </xdr:to>
    <xdr:sp macro="" textlink="">
      <xdr:nvSpPr>
        <xdr:cNvPr id="7" name="Chevron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>
          <a:spLocks noChangeArrowheads="1"/>
        </xdr:cNvSpPr>
      </xdr:nvSpPr>
      <xdr:spPr bwMode="auto">
        <a:xfrm>
          <a:off x="68580" y="56875680"/>
          <a:ext cx="160020" cy="68580"/>
        </a:xfrm>
        <a:prstGeom prst="chevron">
          <a:avLst>
            <a:gd name="adj" fmla="val 48039"/>
          </a:avLst>
        </a:prstGeom>
        <a:solidFill>
          <a:srgbClr val="4F81BD"/>
        </a:solidFill>
        <a:ln w="25400">
          <a:solidFill>
            <a:srgbClr val="395E8A"/>
          </a:solidFill>
          <a:round/>
          <a:headEnd/>
          <a:tailEnd/>
        </a:ln>
      </xdr:spPr>
    </xdr:sp>
    <xdr:clientData/>
  </xdr:twoCellAnchor>
  <xdr:twoCellAnchor>
    <xdr:from>
      <xdr:col>0</xdr:col>
      <xdr:colOff>68580</xdr:colOff>
      <xdr:row>38</xdr:row>
      <xdr:rowOff>7620</xdr:rowOff>
    </xdr:from>
    <xdr:to>
      <xdr:col>0</xdr:col>
      <xdr:colOff>228600</xdr:colOff>
      <xdr:row>38</xdr:row>
      <xdr:rowOff>76200</xdr:rowOff>
    </xdr:to>
    <xdr:sp macro="" textlink="">
      <xdr:nvSpPr>
        <xdr:cNvPr id="8" name="Chevron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>
          <a:spLocks noChangeArrowheads="1"/>
        </xdr:cNvSpPr>
      </xdr:nvSpPr>
      <xdr:spPr bwMode="auto">
        <a:xfrm>
          <a:off x="68580" y="7124700"/>
          <a:ext cx="160020" cy="68580"/>
        </a:xfrm>
        <a:prstGeom prst="chevron">
          <a:avLst>
            <a:gd name="adj" fmla="val 48039"/>
          </a:avLst>
        </a:prstGeom>
        <a:solidFill>
          <a:srgbClr val="4F81BD"/>
        </a:solidFill>
        <a:ln w="25400">
          <a:solidFill>
            <a:srgbClr val="395E8A"/>
          </a:solidFill>
          <a:round/>
          <a:headEnd/>
          <a:tailEnd/>
        </a:ln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1</xdr:row>
          <xdr:rowOff>61913</xdr:rowOff>
        </xdr:from>
        <xdr:to>
          <xdr:col>11</xdr:col>
          <xdr:colOff>190500</xdr:colOff>
          <xdr:row>15</xdr:row>
          <xdr:rowOff>85725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  <a:ext uri="{FF2B5EF4-FFF2-40B4-BE49-F238E27FC236}">
                  <a16:creationId xmlns:a16="http://schemas.microsoft.com/office/drawing/2014/main" id="{00000000-0008-0000-1100-000001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18</xdr:row>
          <xdr:rowOff>85725</xdr:rowOff>
        </xdr:from>
        <xdr:to>
          <xdr:col>9</xdr:col>
          <xdr:colOff>276225</xdr:colOff>
          <xdr:row>32</xdr:row>
          <xdr:rowOff>23813</xdr:rowOff>
        </xdr:to>
        <xdr:sp macro="" textlink="">
          <xdr:nvSpPr>
            <xdr:cNvPr id="27650" name="Object 2" hidden="1">
              <a:extLst>
                <a:ext uri="{63B3BB69-23CF-44E3-9099-C40C66FF867C}">
                  <a14:compatExt spid="_x0000_s27650"/>
                </a:ext>
                <a:ext uri="{FF2B5EF4-FFF2-40B4-BE49-F238E27FC236}">
                  <a16:creationId xmlns:a16="http://schemas.microsoft.com/office/drawing/2014/main" id="{00000000-0008-0000-1100-000002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390525</xdr:colOff>
          <xdr:row>1</xdr:row>
          <xdr:rowOff>123825</xdr:rowOff>
        </xdr:from>
        <xdr:to>
          <xdr:col>15</xdr:col>
          <xdr:colOff>1209675</xdr:colOff>
          <xdr:row>17</xdr:row>
          <xdr:rowOff>142875</xdr:rowOff>
        </xdr:to>
        <xdr:sp macro="" textlink="">
          <xdr:nvSpPr>
            <xdr:cNvPr id="27651" name="Object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11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241</xdr:row>
      <xdr:rowOff>15240</xdr:rowOff>
    </xdr:from>
    <xdr:to>
      <xdr:col>1</xdr:col>
      <xdr:colOff>381000</xdr:colOff>
      <xdr:row>241</xdr:row>
      <xdr:rowOff>22860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CxnSpPr>
          <a:cxnSpLocks noChangeShapeType="1"/>
        </xdr:cNvCxnSpPr>
      </xdr:nvCxnSpPr>
      <xdr:spPr bwMode="auto">
        <a:xfrm rot="5400000" flipH="1" flipV="1">
          <a:off x="342900" y="43830240"/>
          <a:ext cx="7620" cy="693420"/>
        </a:xfrm>
        <a:prstGeom prst="straightConnector1">
          <a:avLst/>
        </a:prstGeom>
        <a:noFill/>
        <a:ln w="9525">
          <a:solidFill>
            <a:srgbClr val="4A7DBA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0</xdr:col>
      <xdr:colOff>0</xdr:colOff>
      <xdr:row>255</xdr:row>
      <xdr:rowOff>137160</xdr:rowOff>
    </xdr:from>
    <xdr:to>
      <xdr:col>1</xdr:col>
      <xdr:colOff>381000</xdr:colOff>
      <xdr:row>255</xdr:row>
      <xdr:rowOff>144780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CxnSpPr>
          <a:cxnSpLocks noChangeShapeType="1"/>
        </xdr:cNvCxnSpPr>
      </xdr:nvCxnSpPr>
      <xdr:spPr bwMode="auto">
        <a:xfrm rot="5400000" flipH="1" flipV="1">
          <a:off x="342900" y="46512480"/>
          <a:ext cx="7620" cy="693420"/>
        </a:xfrm>
        <a:prstGeom prst="straightConnector1">
          <a:avLst/>
        </a:prstGeom>
        <a:noFill/>
        <a:ln w="9525">
          <a:solidFill>
            <a:srgbClr val="4A7DBA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0</xdr:col>
      <xdr:colOff>76200</xdr:colOff>
      <xdr:row>925</xdr:row>
      <xdr:rowOff>167640</xdr:rowOff>
    </xdr:from>
    <xdr:to>
      <xdr:col>0</xdr:col>
      <xdr:colOff>236220</xdr:colOff>
      <xdr:row>926</xdr:row>
      <xdr:rowOff>53340</xdr:rowOff>
    </xdr:to>
    <xdr:sp macro="" textlink="">
      <xdr:nvSpPr>
        <xdr:cNvPr id="4" name="Chevron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>
          <a:spLocks noChangeArrowheads="1"/>
        </xdr:cNvSpPr>
      </xdr:nvSpPr>
      <xdr:spPr bwMode="auto">
        <a:xfrm>
          <a:off x="76200" y="169423080"/>
          <a:ext cx="160020" cy="68580"/>
        </a:xfrm>
        <a:prstGeom prst="chevron">
          <a:avLst>
            <a:gd name="adj" fmla="val 48039"/>
          </a:avLst>
        </a:prstGeom>
        <a:solidFill>
          <a:srgbClr val="4F81BD"/>
        </a:solidFill>
        <a:ln w="25400">
          <a:solidFill>
            <a:srgbClr val="395E8A"/>
          </a:solidFill>
          <a:round/>
          <a:headEnd/>
          <a:tailEnd/>
        </a:ln>
      </xdr:spPr>
    </xdr:sp>
    <xdr:clientData/>
  </xdr:twoCellAnchor>
  <xdr:twoCellAnchor>
    <xdr:from>
      <xdr:col>0</xdr:col>
      <xdr:colOff>76200</xdr:colOff>
      <xdr:row>887</xdr:row>
      <xdr:rowOff>68580</xdr:rowOff>
    </xdr:from>
    <xdr:to>
      <xdr:col>0</xdr:col>
      <xdr:colOff>236220</xdr:colOff>
      <xdr:row>887</xdr:row>
      <xdr:rowOff>137160</xdr:rowOff>
    </xdr:to>
    <xdr:sp macro="" textlink="">
      <xdr:nvSpPr>
        <xdr:cNvPr id="5" name="Chevron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>
          <a:spLocks noChangeArrowheads="1"/>
        </xdr:cNvSpPr>
      </xdr:nvSpPr>
      <xdr:spPr bwMode="auto">
        <a:xfrm>
          <a:off x="76200" y="162374580"/>
          <a:ext cx="160020" cy="68580"/>
        </a:xfrm>
        <a:prstGeom prst="chevron">
          <a:avLst>
            <a:gd name="adj" fmla="val 48039"/>
          </a:avLst>
        </a:prstGeom>
        <a:solidFill>
          <a:srgbClr val="4F81BD"/>
        </a:solidFill>
        <a:ln w="25400">
          <a:solidFill>
            <a:srgbClr val="395E8A"/>
          </a:solidFill>
          <a:round/>
          <a:headEnd/>
          <a:tailEnd/>
        </a:ln>
      </xdr:spPr>
    </xdr:sp>
    <xdr:clientData/>
  </xdr:twoCellAnchor>
  <xdr:twoCellAnchor>
    <xdr:from>
      <xdr:col>0</xdr:col>
      <xdr:colOff>76200</xdr:colOff>
      <xdr:row>999</xdr:row>
      <xdr:rowOff>160020</xdr:rowOff>
    </xdr:from>
    <xdr:to>
      <xdr:col>0</xdr:col>
      <xdr:colOff>236220</xdr:colOff>
      <xdr:row>1000</xdr:row>
      <xdr:rowOff>45720</xdr:rowOff>
    </xdr:to>
    <xdr:sp macro="" textlink="">
      <xdr:nvSpPr>
        <xdr:cNvPr id="6" name="Chevron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>
          <a:spLocks noChangeArrowheads="1"/>
        </xdr:cNvSpPr>
      </xdr:nvSpPr>
      <xdr:spPr bwMode="auto">
        <a:xfrm>
          <a:off x="76200" y="182948580"/>
          <a:ext cx="160020" cy="68580"/>
        </a:xfrm>
        <a:prstGeom prst="chevron">
          <a:avLst>
            <a:gd name="adj" fmla="val 48039"/>
          </a:avLst>
        </a:prstGeom>
        <a:solidFill>
          <a:srgbClr val="4F81BD"/>
        </a:solidFill>
        <a:ln w="25400">
          <a:solidFill>
            <a:srgbClr val="395E8A"/>
          </a:solidFill>
          <a:round/>
          <a:headEnd/>
          <a:tailEnd/>
        </a:ln>
      </xdr:spPr>
    </xdr:sp>
    <xdr:clientData/>
  </xdr:twoCellAnchor>
  <xdr:twoCellAnchor>
    <xdr:from>
      <xdr:col>0</xdr:col>
      <xdr:colOff>76200</xdr:colOff>
      <xdr:row>975</xdr:row>
      <xdr:rowOff>167640</xdr:rowOff>
    </xdr:from>
    <xdr:to>
      <xdr:col>0</xdr:col>
      <xdr:colOff>236220</xdr:colOff>
      <xdr:row>976</xdr:row>
      <xdr:rowOff>53340</xdr:rowOff>
    </xdr:to>
    <xdr:sp macro="" textlink="">
      <xdr:nvSpPr>
        <xdr:cNvPr id="7" name="Chevron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>
          <a:spLocks noChangeArrowheads="1"/>
        </xdr:cNvSpPr>
      </xdr:nvSpPr>
      <xdr:spPr bwMode="auto">
        <a:xfrm>
          <a:off x="76200" y="178567080"/>
          <a:ext cx="160020" cy="68580"/>
        </a:xfrm>
        <a:prstGeom prst="chevron">
          <a:avLst>
            <a:gd name="adj" fmla="val 48039"/>
          </a:avLst>
        </a:prstGeom>
        <a:solidFill>
          <a:srgbClr val="4F81BD"/>
        </a:solidFill>
        <a:ln w="25400">
          <a:solidFill>
            <a:srgbClr val="395E8A"/>
          </a:solidFill>
          <a:round/>
          <a:headEnd/>
          <a:tailEnd/>
        </a:ln>
      </xdr:spPr>
    </xdr:sp>
    <xdr:clientData/>
  </xdr:twoCellAnchor>
  <xdr:twoCellAnchor>
    <xdr:from>
      <xdr:col>0</xdr:col>
      <xdr:colOff>76200</xdr:colOff>
      <xdr:row>1</xdr:row>
      <xdr:rowOff>45720</xdr:rowOff>
    </xdr:from>
    <xdr:to>
      <xdr:col>0</xdr:col>
      <xdr:colOff>213360</xdr:colOff>
      <xdr:row>1</xdr:row>
      <xdr:rowOff>167640</xdr:rowOff>
    </xdr:to>
    <xdr:sp macro="" textlink="">
      <xdr:nvSpPr>
        <xdr:cNvPr id="8" name="4-Point Star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>
          <a:spLocks noChangeArrowheads="1"/>
        </xdr:cNvSpPr>
      </xdr:nvSpPr>
      <xdr:spPr bwMode="auto">
        <a:xfrm>
          <a:off x="76200" y="228600"/>
          <a:ext cx="137160" cy="121920"/>
        </a:xfrm>
        <a:prstGeom prst="star4">
          <a:avLst>
            <a:gd name="adj" fmla="val 12500"/>
          </a:avLst>
        </a:prstGeom>
        <a:solidFill>
          <a:srgbClr val="4F81BD"/>
        </a:solidFill>
        <a:ln w="25400">
          <a:solidFill>
            <a:srgbClr val="395E8A"/>
          </a:solidFill>
          <a:round/>
          <a:headEnd/>
          <a:tailEnd/>
        </a:ln>
      </xdr:spPr>
    </xdr:sp>
    <xdr:clientData/>
  </xdr:twoCellAnchor>
  <xdr:twoCellAnchor>
    <xdr:from>
      <xdr:col>0</xdr:col>
      <xdr:colOff>76200</xdr:colOff>
      <xdr:row>41</xdr:row>
      <xdr:rowOff>152400</xdr:rowOff>
    </xdr:from>
    <xdr:to>
      <xdr:col>0</xdr:col>
      <xdr:colOff>213360</xdr:colOff>
      <xdr:row>42</xdr:row>
      <xdr:rowOff>91440</xdr:rowOff>
    </xdr:to>
    <xdr:sp macro="" textlink="">
      <xdr:nvSpPr>
        <xdr:cNvPr id="9" name="4-Point Star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>
          <a:spLocks noChangeArrowheads="1"/>
        </xdr:cNvSpPr>
      </xdr:nvSpPr>
      <xdr:spPr bwMode="auto">
        <a:xfrm>
          <a:off x="76200" y="7658100"/>
          <a:ext cx="137160" cy="121920"/>
        </a:xfrm>
        <a:prstGeom prst="star4">
          <a:avLst>
            <a:gd name="adj" fmla="val 12500"/>
          </a:avLst>
        </a:prstGeom>
        <a:solidFill>
          <a:srgbClr val="4F81BD"/>
        </a:solidFill>
        <a:ln w="25400">
          <a:solidFill>
            <a:srgbClr val="395E8A"/>
          </a:solidFill>
          <a:round/>
          <a:headEnd/>
          <a:tailEnd/>
        </a:ln>
      </xdr:spPr>
    </xdr:sp>
    <xdr:clientData/>
  </xdr:twoCellAnchor>
  <xdr:twoCellAnchor>
    <xdr:from>
      <xdr:col>0</xdr:col>
      <xdr:colOff>76200</xdr:colOff>
      <xdr:row>87</xdr:row>
      <xdr:rowOff>99060</xdr:rowOff>
    </xdr:from>
    <xdr:to>
      <xdr:col>0</xdr:col>
      <xdr:colOff>213360</xdr:colOff>
      <xdr:row>88</xdr:row>
      <xdr:rowOff>38100</xdr:rowOff>
    </xdr:to>
    <xdr:sp macro="" textlink="">
      <xdr:nvSpPr>
        <xdr:cNvPr id="10" name="4-Point Star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>
          <a:spLocks noChangeArrowheads="1"/>
        </xdr:cNvSpPr>
      </xdr:nvSpPr>
      <xdr:spPr bwMode="auto">
        <a:xfrm>
          <a:off x="76200" y="16047720"/>
          <a:ext cx="137160" cy="121920"/>
        </a:xfrm>
        <a:prstGeom prst="star4">
          <a:avLst>
            <a:gd name="adj" fmla="val 12500"/>
          </a:avLst>
        </a:prstGeom>
        <a:solidFill>
          <a:srgbClr val="4F81BD"/>
        </a:solidFill>
        <a:ln w="25400">
          <a:solidFill>
            <a:srgbClr val="395E8A"/>
          </a:solidFill>
          <a:round/>
          <a:headEnd/>
          <a:tailEnd/>
        </a:ln>
      </xdr:spPr>
    </xdr:sp>
    <xdr:clientData/>
  </xdr:twoCellAnchor>
  <xdr:twoCellAnchor>
    <xdr:from>
      <xdr:col>0</xdr:col>
      <xdr:colOff>76200</xdr:colOff>
      <xdr:row>129</xdr:row>
      <xdr:rowOff>38100</xdr:rowOff>
    </xdr:from>
    <xdr:to>
      <xdr:col>0</xdr:col>
      <xdr:colOff>213360</xdr:colOff>
      <xdr:row>129</xdr:row>
      <xdr:rowOff>160020</xdr:rowOff>
    </xdr:to>
    <xdr:sp macro="" textlink="">
      <xdr:nvSpPr>
        <xdr:cNvPr id="11" name="4-Point Star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SpPr>
          <a:spLocks noChangeArrowheads="1"/>
        </xdr:cNvSpPr>
      </xdr:nvSpPr>
      <xdr:spPr bwMode="auto">
        <a:xfrm>
          <a:off x="76200" y="23660100"/>
          <a:ext cx="137160" cy="121920"/>
        </a:xfrm>
        <a:prstGeom prst="star4">
          <a:avLst>
            <a:gd name="adj" fmla="val 12500"/>
          </a:avLst>
        </a:prstGeom>
        <a:solidFill>
          <a:srgbClr val="4F81BD"/>
        </a:solidFill>
        <a:ln w="25400">
          <a:solidFill>
            <a:srgbClr val="395E8A"/>
          </a:solidFill>
          <a:round/>
          <a:headEnd/>
          <a:tailEnd/>
        </a:ln>
      </xdr:spPr>
    </xdr:sp>
    <xdr:clientData/>
  </xdr:twoCellAnchor>
  <xdr:twoCellAnchor>
    <xdr:from>
      <xdr:col>5</xdr:col>
      <xdr:colOff>647700</xdr:colOff>
      <xdr:row>132</xdr:row>
      <xdr:rowOff>30480</xdr:rowOff>
    </xdr:from>
    <xdr:to>
      <xdr:col>10</xdr:col>
      <xdr:colOff>434340</xdr:colOff>
      <xdr:row>132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SpPr>
          <a:spLocks noChangeArrowheads="1"/>
        </xdr:cNvSpPr>
      </xdr:nvSpPr>
      <xdr:spPr bwMode="auto">
        <a:xfrm>
          <a:off x="4221480" y="24201120"/>
          <a:ext cx="3208020" cy="83820"/>
        </a:xfrm>
        <a:prstGeom prst="rect">
          <a:avLst/>
        </a:prstGeom>
        <a:solidFill>
          <a:srgbClr val="4F81BD"/>
        </a:solidFill>
        <a:ln w="25400">
          <a:solidFill>
            <a:srgbClr val="395E8A"/>
          </a:solidFill>
          <a:round/>
          <a:headEnd/>
          <a:tailEnd/>
        </a:ln>
      </xdr:spPr>
    </xdr:sp>
    <xdr:clientData/>
  </xdr:twoCellAnchor>
  <xdr:twoCellAnchor>
    <xdr:from>
      <xdr:col>6</xdr:col>
      <xdr:colOff>205740</xdr:colOff>
      <xdr:row>132</xdr:row>
      <xdr:rowOff>129540</xdr:rowOff>
    </xdr:from>
    <xdr:to>
      <xdr:col>6</xdr:col>
      <xdr:colOff>274320</xdr:colOff>
      <xdr:row>138</xdr:row>
      <xdr:rowOff>60960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>
          <a:spLocks noChangeArrowheads="1"/>
        </xdr:cNvSpPr>
      </xdr:nvSpPr>
      <xdr:spPr bwMode="auto">
        <a:xfrm flipH="1">
          <a:off x="4541520" y="24300180"/>
          <a:ext cx="68580" cy="1036320"/>
        </a:xfrm>
        <a:prstGeom prst="rect">
          <a:avLst/>
        </a:prstGeom>
        <a:solidFill>
          <a:srgbClr val="4F81BD"/>
        </a:solidFill>
        <a:ln w="25400">
          <a:solidFill>
            <a:srgbClr val="395E8A"/>
          </a:solidFill>
          <a:round/>
          <a:headEnd/>
          <a:tailEnd/>
        </a:ln>
      </xdr:spPr>
    </xdr:sp>
    <xdr:clientData/>
  </xdr:twoCellAnchor>
  <xdr:twoCellAnchor>
    <xdr:from>
      <xdr:col>10</xdr:col>
      <xdr:colOff>7620</xdr:colOff>
      <xdr:row>132</xdr:row>
      <xdr:rowOff>121920</xdr:rowOff>
    </xdr:from>
    <xdr:to>
      <xdr:col>10</xdr:col>
      <xdr:colOff>68580</xdr:colOff>
      <xdr:row>138</xdr:row>
      <xdr:rowOff>68580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SpPr>
          <a:spLocks noChangeArrowheads="1"/>
        </xdr:cNvSpPr>
      </xdr:nvSpPr>
      <xdr:spPr bwMode="auto">
        <a:xfrm flipH="1">
          <a:off x="7002780" y="24292560"/>
          <a:ext cx="60960" cy="1051560"/>
        </a:xfrm>
        <a:prstGeom prst="rect">
          <a:avLst/>
        </a:prstGeom>
        <a:solidFill>
          <a:srgbClr val="4F81BD"/>
        </a:solidFill>
        <a:ln w="25400">
          <a:solidFill>
            <a:srgbClr val="395E8A"/>
          </a:solidFill>
          <a:round/>
          <a:headEnd/>
          <a:tailEnd/>
        </a:ln>
      </xdr:spPr>
    </xdr:sp>
    <xdr:clientData/>
  </xdr:twoCellAnchor>
  <xdr:twoCellAnchor>
    <xdr:from>
      <xdr:col>7</xdr:col>
      <xdr:colOff>335280</xdr:colOff>
      <xdr:row>133</xdr:row>
      <xdr:rowOff>106680</xdr:rowOff>
    </xdr:from>
    <xdr:to>
      <xdr:col>8</xdr:col>
      <xdr:colOff>15240</xdr:colOff>
      <xdr:row>133</xdr:row>
      <xdr:rowOff>114300</xdr:rowOff>
    </xdr:to>
    <xdr:sp macro="" textlink="">
      <xdr:nvSpPr>
        <xdr:cNvPr id="15" name="Straight Connector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SpPr>
          <a:spLocks noChangeShapeType="1"/>
        </xdr:cNvSpPr>
      </xdr:nvSpPr>
      <xdr:spPr bwMode="auto">
        <a:xfrm rot="5400000" flipH="1" flipV="1">
          <a:off x="5444490" y="24311610"/>
          <a:ext cx="7620" cy="304800"/>
        </a:xfrm>
        <a:prstGeom prst="line">
          <a:avLst/>
        </a:prstGeom>
        <a:noFill/>
        <a:ln w="9525">
          <a:solidFill>
            <a:srgbClr val="4A7DBA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426720</xdr:colOff>
      <xdr:row>133</xdr:row>
      <xdr:rowOff>99060</xdr:rowOff>
    </xdr:from>
    <xdr:to>
      <xdr:col>9</xdr:col>
      <xdr:colOff>0</xdr:colOff>
      <xdr:row>133</xdr:row>
      <xdr:rowOff>106680</xdr:rowOff>
    </xdr:to>
    <xdr:sp macro="" textlink="">
      <xdr:nvSpPr>
        <xdr:cNvPr id="16" name="Straight Connector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>
          <a:spLocks noChangeShapeType="1"/>
        </xdr:cNvSpPr>
      </xdr:nvSpPr>
      <xdr:spPr bwMode="auto">
        <a:xfrm rot="5400000" flipH="1" flipV="1">
          <a:off x="6156960" y="24307800"/>
          <a:ext cx="7620" cy="297180"/>
        </a:xfrm>
        <a:prstGeom prst="line">
          <a:avLst/>
        </a:prstGeom>
        <a:noFill/>
        <a:ln w="9525">
          <a:solidFill>
            <a:srgbClr val="4A7DBA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266700</xdr:colOff>
      <xdr:row>134</xdr:row>
      <xdr:rowOff>30480</xdr:rowOff>
    </xdr:from>
    <xdr:to>
      <xdr:col>7</xdr:col>
      <xdr:colOff>495300</xdr:colOff>
      <xdr:row>134</xdr:row>
      <xdr:rowOff>38100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CxnSpPr>
          <a:cxnSpLocks noChangeShapeType="1"/>
        </xdr:cNvCxnSpPr>
      </xdr:nvCxnSpPr>
      <xdr:spPr bwMode="auto">
        <a:xfrm>
          <a:off x="4602480" y="24574500"/>
          <a:ext cx="853440" cy="7620"/>
        </a:xfrm>
        <a:prstGeom prst="straightConnector1">
          <a:avLst/>
        </a:prstGeom>
        <a:noFill/>
        <a:ln w="9525">
          <a:solidFill>
            <a:srgbClr val="4A7DBA"/>
          </a:solidFill>
          <a:round/>
          <a:headEnd type="arrow" w="med" len="med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8</xdr:col>
      <xdr:colOff>548640</xdr:colOff>
      <xdr:row>134</xdr:row>
      <xdr:rowOff>30480</xdr:rowOff>
    </xdr:from>
    <xdr:to>
      <xdr:col>10</xdr:col>
      <xdr:colOff>15240</xdr:colOff>
      <xdr:row>134</xdr:row>
      <xdr:rowOff>38100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CxnSpPr>
          <a:cxnSpLocks noChangeShapeType="1"/>
        </xdr:cNvCxnSpPr>
      </xdr:nvCxnSpPr>
      <xdr:spPr bwMode="auto">
        <a:xfrm>
          <a:off x="6134100" y="24574500"/>
          <a:ext cx="876300" cy="7620"/>
        </a:xfrm>
        <a:prstGeom prst="straightConnector1">
          <a:avLst/>
        </a:prstGeom>
        <a:noFill/>
        <a:ln w="9525">
          <a:solidFill>
            <a:srgbClr val="4A7DBA"/>
          </a:solidFill>
          <a:round/>
          <a:headEnd type="arrow" w="med" len="med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7</xdr:col>
      <xdr:colOff>464820</xdr:colOff>
      <xdr:row>134</xdr:row>
      <xdr:rowOff>30480</xdr:rowOff>
    </xdr:from>
    <xdr:to>
      <xdr:col>8</xdr:col>
      <xdr:colOff>563880</xdr:colOff>
      <xdr:row>134</xdr:row>
      <xdr:rowOff>38100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CxnSpPr>
          <a:cxnSpLocks noChangeShapeType="1"/>
        </xdr:cNvCxnSpPr>
      </xdr:nvCxnSpPr>
      <xdr:spPr bwMode="auto">
        <a:xfrm>
          <a:off x="5425440" y="24574500"/>
          <a:ext cx="723900" cy="7620"/>
        </a:xfrm>
        <a:prstGeom prst="straightConnector1">
          <a:avLst/>
        </a:prstGeom>
        <a:noFill/>
        <a:ln w="9525">
          <a:solidFill>
            <a:srgbClr val="4A7DBA"/>
          </a:solidFill>
          <a:round/>
          <a:headEnd type="arrow" w="med" len="med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6</xdr:col>
      <xdr:colOff>274320</xdr:colOff>
      <xdr:row>136</xdr:row>
      <xdr:rowOff>38100</xdr:rowOff>
    </xdr:from>
    <xdr:to>
      <xdr:col>9</xdr:col>
      <xdr:colOff>678180</xdr:colOff>
      <xdr:row>136</xdr:row>
      <xdr:rowOff>45720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CxnSpPr>
          <a:cxnSpLocks noChangeShapeType="1"/>
        </xdr:cNvCxnSpPr>
      </xdr:nvCxnSpPr>
      <xdr:spPr bwMode="auto">
        <a:xfrm>
          <a:off x="4610100" y="24947880"/>
          <a:ext cx="2377440" cy="7620"/>
        </a:xfrm>
        <a:prstGeom prst="straightConnector1">
          <a:avLst/>
        </a:prstGeom>
        <a:noFill/>
        <a:ln w="9525">
          <a:solidFill>
            <a:srgbClr val="4A7DBA"/>
          </a:solidFill>
          <a:round/>
          <a:headEnd type="arrow" w="med" len="med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7</xdr:col>
      <xdr:colOff>594360</xdr:colOff>
      <xdr:row>130</xdr:row>
      <xdr:rowOff>144780</xdr:rowOff>
    </xdr:from>
    <xdr:to>
      <xdr:col>8</xdr:col>
      <xdr:colOff>487680</xdr:colOff>
      <xdr:row>130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CxnSpPr>
          <a:cxnSpLocks noChangeShapeType="1"/>
        </xdr:cNvCxnSpPr>
      </xdr:nvCxnSpPr>
      <xdr:spPr bwMode="auto">
        <a:xfrm rot="5400000">
          <a:off x="5810250" y="23694390"/>
          <a:ext cx="7620" cy="518160"/>
        </a:xfrm>
        <a:prstGeom prst="straightConnector1">
          <a:avLst/>
        </a:prstGeom>
        <a:noFill/>
        <a:ln w="9525">
          <a:solidFill>
            <a:srgbClr val="4A7DBA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6</xdr:col>
      <xdr:colOff>60960</xdr:colOff>
      <xdr:row>138</xdr:row>
      <xdr:rowOff>91440</xdr:rowOff>
    </xdr:from>
    <xdr:to>
      <xdr:col>6</xdr:col>
      <xdr:colOff>426720</xdr:colOff>
      <xdr:row>138</xdr:row>
      <xdr:rowOff>99060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CxnSpPr>
          <a:cxnSpLocks noChangeShapeType="1"/>
        </xdr:cNvCxnSpPr>
      </xdr:nvCxnSpPr>
      <xdr:spPr bwMode="auto">
        <a:xfrm rot="5400000" flipH="1" flipV="1">
          <a:off x="4575810" y="25187910"/>
          <a:ext cx="7620" cy="365760"/>
        </a:xfrm>
        <a:prstGeom prst="straightConnector1">
          <a:avLst/>
        </a:prstGeom>
        <a:noFill/>
        <a:ln w="9525">
          <a:solidFill>
            <a:srgbClr val="4A7DBA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548640</xdr:colOff>
      <xdr:row>138</xdr:row>
      <xdr:rowOff>106680</xdr:rowOff>
    </xdr:from>
    <xdr:to>
      <xdr:col>10</xdr:col>
      <xdr:colOff>213360</xdr:colOff>
      <xdr:row>138</xdr:row>
      <xdr:rowOff>114300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CxnSpPr>
          <a:cxnSpLocks noChangeShapeType="1"/>
        </xdr:cNvCxnSpPr>
      </xdr:nvCxnSpPr>
      <xdr:spPr bwMode="auto">
        <a:xfrm rot="5400000" flipH="1" flipV="1">
          <a:off x="7029450" y="25210770"/>
          <a:ext cx="7620" cy="350520"/>
        </a:xfrm>
        <a:prstGeom prst="straightConnector1">
          <a:avLst/>
        </a:prstGeom>
        <a:noFill/>
        <a:ln w="9525">
          <a:solidFill>
            <a:srgbClr val="4A7DBA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428625</xdr:colOff>
          <xdr:row>99</xdr:row>
          <xdr:rowOff>0</xdr:rowOff>
        </xdr:from>
        <xdr:to>
          <xdr:col>10</xdr:col>
          <xdr:colOff>276225</xdr:colOff>
          <xdr:row>107</xdr:row>
          <xdr:rowOff>142875</xdr:rowOff>
        </xdr:to>
        <xdr:sp macro="" textlink="">
          <xdr:nvSpPr>
            <xdr:cNvPr id="28673" name="Object 1" hidden="1">
              <a:extLst>
                <a:ext uri="{63B3BB69-23CF-44E3-9099-C40C66FF867C}">
                  <a14:compatExt spid="_x0000_s28673"/>
                </a:ext>
                <a:ext uri="{FF2B5EF4-FFF2-40B4-BE49-F238E27FC236}">
                  <a16:creationId xmlns:a16="http://schemas.microsoft.com/office/drawing/2014/main" id="{00000000-0008-0000-1200-00000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228600</xdr:colOff>
          <xdr:row>124</xdr:row>
          <xdr:rowOff>114300</xdr:rowOff>
        </xdr:from>
        <xdr:to>
          <xdr:col>9</xdr:col>
          <xdr:colOff>366713</xdr:colOff>
          <xdr:row>127</xdr:row>
          <xdr:rowOff>76200</xdr:rowOff>
        </xdr:to>
        <xdr:sp macro="" textlink="">
          <xdr:nvSpPr>
            <xdr:cNvPr id="28674" name="Object 2" hidden="1">
              <a:extLst>
                <a:ext uri="{63B3BB69-23CF-44E3-9099-C40C66FF867C}">
                  <a14:compatExt spid="_x0000_s28674"/>
                </a:ext>
                <a:ext uri="{FF2B5EF4-FFF2-40B4-BE49-F238E27FC236}">
                  <a16:creationId xmlns:a16="http://schemas.microsoft.com/office/drawing/2014/main" id="{00000000-0008-0000-1200-00000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214313</xdr:colOff>
          <xdr:row>158</xdr:row>
          <xdr:rowOff>23813</xdr:rowOff>
        </xdr:from>
        <xdr:to>
          <xdr:col>9</xdr:col>
          <xdr:colOff>228600</xdr:colOff>
          <xdr:row>168</xdr:row>
          <xdr:rowOff>123825</xdr:rowOff>
        </xdr:to>
        <xdr:sp macro="" textlink="">
          <xdr:nvSpPr>
            <xdr:cNvPr id="28675" name="Object 3" hidden="1">
              <a:extLst>
                <a:ext uri="{63B3BB69-23CF-44E3-9099-C40C66FF867C}">
                  <a14:compatExt spid="_x0000_s28675"/>
                </a:ext>
                <a:ext uri="{FF2B5EF4-FFF2-40B4-BE49-F238E27FC236}">
                  <a16:creationId xmlns:a16="http://schemas.microsoft.com/office/drawing/2014/main" id="{00000000-0008-0000-1200-00000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59</xdr:row>
      <xdr:rowOff>45720</xdr:rowOff>
    </xdr:from>
    <xdr:to>
      <xdr:col>5</xdr:col>
      <xdr:colOff>601980</xdr:colOff>
      <xdr:row>59</xdr:row>
      <xdr:rowOff>53340</xdr:rowOff>
    </xdr:to>
    <xdr:sp macro="" textlink="">
      <xdr:nvSpPr>
        <xdr:cNvPr id="2" name="Line 72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>
          <a:spLocks noChangeShapeType="1"/>
        </xdr:cNvSpPr>
      </xdr:nvSpPr>
      <xdr:spPr bwMode="auto">
        <a:xfrm>
          <a:off x="624840" y="9966960"/>
          <a:ext cx="32766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617220</xdr:colOff>
      <xdr:row>58</xdr:row>
      <xdr:rowOff>137160</xdr:rowOff>
    </xdr:from>
    <xdr:to>
      <xdr:col>5</xdr:col>
      <xdr:colOff>594360</xdr:colOff>
      <xdr:row>59</xdr:row>
      <xdr:rowOff>45720</xdr:rowOff>
    </xdr:to>
    <xdr:sp macro="" textlink="">
      <xdr:nvSpPr>
        <xdr:cNvPr id="3" name="Freeform 77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>
          <a:spLocks noChangeArrowheads="1"/>
        </xdr:cNvSpPr>
      </xdr:nvSpPr>
      <xdr:spPr bwMode="auto">
        <a:xfrm>
          <a:off x="617220" y="9890760"/>
          <a:ext cx="3276600" cy="76200"/>
        </a:xfrm>
        <a:custGeom>
          <a:avLst/>
          <a:gdLst>
            <a:gd name="T0" fmla="*/ 0 w 3276600"/>
            <a:gd name="T1" fmla="*/ 76200 h 76200"/>
            <a:gd name="T2" fmla="*/ 96113 w 3276600"/>
            <a:gd name="T3" fmla="*/ 28575 h 76200"/>
            <a:gd name="T4" fmla="*/ 183489 w 3276600"/>
            <a:gd name="T5" fmla="*/ 66675 h 76200"/>
            <a:gd name="T6" fmla="*/ 314553 w 3276600"/>
            <a:gd name="T7" fmla="*/ 19050 h 76200"/>
            <a:gd name="T8" fmla="*/ 401929 w 3276600"/>
            <a:gd name="T9" fmla="*/ 76200 h 76200"/>
            <a:gd name="T10" fmla="*/ 532993 w 3276600"/>
            <a:gd name="T11" fmla="*/ 19050 h 76200"/>
            <a:gd name="T12" fmla="*/ 646582 w 3276600"/>
            <a:gd name="T13" fmla="*/ 57150 h 76200"/>
            <a:gd name="T14" fmla="*/ 795121 w 3276600"/>
            <a:gd name="T15" fmla="*/ 0 h 76200"/>
            <a:gd name="T16" fmla="*/ 917448 w 3276600"/>
            <a:gd name="T17" fmla="*/ 66675 h 76200"/>
            <a:gd name="T18" fmla="*/ 1083462 w 3276600"/>
            <a:gd name="T19" fmla="*/ 0 h 76200"/>
            <a:gd name="T20" fmla="*/ 1197051 w 3276600"/>
            <a:gd name="T21" fmla="*/ 66675 h 76200"/>
            <a:gd name="T22" fmla="*/ 1336852 w 3276600"/>
            <a:gd name="T23" fmla="*/ 0 h 76200"/>
            <a:gd name="T24" fmla="*/ 1467916 w 3276600"/>
            <a:gd name="T25" fmla="*/ 66675 h 76200"/>
            <a:gd name="T26" fmla="*/ 1590243 w 3276600"/>
            <a:gd name="T27" fmla="*/ 0 h 76200"/>
            <a:gd name="T28" fmla="*/ 1712569 w 3276600"/>
            <a:gd name="T29" fmla="*/ 66675 h 76200"/>
            <a:gd name="T30" fmla="*/ 1869846 w 3276600"/>
            <a:gd name="T31" fmla="*/ 0 h 76200"/>
            <a:gd name="T32" fmla="*/ 1983435 w 3276600"/>
            <a:gd name="T33" fmla="*/ 66675 h 76200"/>
            <a:gd name="T34" fmla="*/ 2166924 w 3276600"/>
            <a:gd name="T35" fmla="*/ 0 h 76200"/>
            <a:gd name="T36" fmla="*/ 2297988 w 3276600"/>
            <a:gd name="T37" fmla="*/ 57150 h 76200"/>
            <a:gd name="T38" fmla="*/ 2455265 w 3276600"/>
            <a:gd name="T39" fmla="*/ 9525 h 76200"/>
            <a:gd name="T40" fmla="*/ 2568854 w 3276600"/>
            <a:gd name="T41" fmla="*/ 57150 h 76200"/>
            <a:gd name="T42" fmla="*/ 2717393 w 3276600"/>
            <a:gd name="T43" fmla="*/ 0 h 76200"/>
            <a:gd name="T44" fmla="*/ 2848457 w 3276600"/>
            <a:gd name="T45" fmla="*/ 76200 h 76200"/>
            <a:gd name="T46" fmla="*/ 2979521 w 3276600"/>
            <a:gd name="T47" fmla="*/ 0 h 76200"/>
            <a:gd name="T48" fmla="*/ 3066897 w 3276600"/>
            <a:gd name="T49" fmla="*/ 76200 h 76200"/>
            <a:gd name="T50" fmla="*/ 3197961 w 3276600"/>
            <a:gd name="T51" fmla="*/ 0 h 76200"/>
            <a:gd name="T52" fmla="*/ 3276600 w 3276600"/>
            <a:gd name="T53" fmla="*/ 66675 h 76200"/>
            <a:gd name="T54" fmla="*/ 0 w 3276600"/>
            <a:gd name="T55" fmla="*/ 0 h 76200"/>
            <a:gd name="T56" fmla="*/ 3276600 w 3276600"/>
            <a:gd name="T57" fmla="*/ 76200 h 762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  <a:cxn ang="0">
              <a:pos x="T32" y="T33"/>
            </a:cxn>
            <a:cxn ang="0">
              <a:pos x="T34" y="T35"/>
            </a:cxn>
            <a:cxn ang="0">
              <a:pos x="T36" y="T37"/>
            </a:cxn>
            <a:cxn ang="0">
              <a:pos x="T38" y="T39"/>
            </a:cxn>
            <a:cxn ang="0">
              <a:pos x="T40" y="T41"/>
            </a:cxn>
            <a:cxn ang="0">
              <a:pos x="T42" y="T43"/>
            </a:cxn>
            <a:cxn ang="0">
              <a:pos x="T44" y="T45"/>
            </a:cxn>
            <a:cxn ang="0">
              <a:pos x="T46" y="T47"/>
            </a:cxn>
            <a:cxn ang="0">
              <a:pos x="T48" y="T49"/>
            </a:cxn>
            <a:cxn ang="0">
              <a:pos x="T50" y="T51"/>
            </a:cxn>
            <a:cxn ang="0">
              <a:pos x="T52" y="T53"/>
            </a:cxn>
          </a:cxnLst>
          <a:rect l="T54" t="T55" r="T56" b="T57"/>
          <a:pathLst>
            <a:path w="3276600" h="76200">
              <a:moveTo>
                <a:pt x="0" y="76200"/>
              </a:moveTo>
              <a:cubicBezTo>
                <a:pt x="34950" y="47625"/>
                <a:pt x="69900" y="28575"/>
                <a:pt x="96113" y="28575"/>
              </a:cubicBezTo>
              <a:cubicBezTo>
                <a:pt x="122326" y="28575"/>
                <a:pt x="148539" y="66675"/>
                <a:pt x="183489" y="66675"/>
              </a:cubicBezTo>
              <a:cubicBezTo>
                <a:pt x="218440" y="66675"/>
                <a:pt x="279603" y="19050"/>
                <a:pt x="314553" y="19050"/>
              </a:cubicBezTo>
              <a:cubicBezTo>
                <a:pt x="349504" y="19050"/>
                <a:pt x="366979" y="76200"/>
                <a:pt x="401929" y="76200"/>
              </a:cubicBezTo>
              <a:cubicBezTo>
                <a:pt x="436880" y="76200"/>
                <a:pt x="489305" y="19050"/>
                <a:pt x="532993" y="19050"/>
              </a:cubicBezTo>
              <a:cubicBezTo>
                <a:pt x="576681" y="19050"/>
                <a:pt x="602894" y="57150"/>
                <a:pt x="646582" y="57150"/>
              </a:cubicBezTo>
              <a:cubicBezTo>
                <a:pt x="690270" y="57150"/>
                <a:pt x="751433" y="0"/>
                <a:pt x="795121" y="0"/>
              </a:cubicBezTo>
              <a:cubicBezTo>
                <a:pt x="838809" y="0"/>
                <a:pt x="873760" y="66675"/>
                <a:pt x="917448" y="66675"/>
              </a:cubicBezTo>
              <a:cubicBezTo>
                <a:pt x="961136" y="66675"/>
                <a:pt x="1039774" y="0"/>
                <a:pt x="1083462" y="0"/>
              </a:cubicBezTo>
              <a:cubicBezTo>
                <a:pt x="1127150" y="0"/>
                <a:pt x="1153363" y="66675"/>
                <a:pt x="1197051" y="66675"/>
              </a:cubicBezTo>
              <a:cubicBezTo>
                <a:pt x="1240739" y="66675"/>
                <a:pt x="1293164" y="0"/>
                <a:pt x="1336852" y="0"/>
              </a:cubicBezTo>
              <a:cubicBezTo>
                <a:pt x="1380540" y="0"/>
                <a:pt x="1424228" y="66675"/>
                <a:pt x="1467916" y="66675"/>
              </a:cubicBezTo>
              <a:cubicBezTo>
                <a:pt x="1511604" y="66675"/>
                <a:pt x="1546555" y="0"/>
                <a:pt x="1590243" y="0"/>
              </a:cubicBezTo>
              <a:cubicBezTo>
                <a:pt x="1633931" y="0"/>
                <a:pt x="1668881" y="66675"/>
                <a:pt x="1712569" y="66675"/>
              </a:cubicBezTo>
              <a:cubicBezTo>
                <a:pt x="1756257" y="66675"/>
                <a:pt x="1826158" y="0"/>
                <a:pt x="1869846" y="0"/>
              </a:cubicBezTo>
              <a:cubicBezTo>
                <a:pt x="1913534" y="0"/>
                <a:pt x="1931009" y="66675"/>
                <a:pt x="1983435" y="66675"/>
              </a:cubicBezTo>
              <a:cubicBezTo>
                <a:pt x="2035860" y="66675"/>
                <a:pt x="2114499" y="0"/>
                <a:pt x="2166924" y="0"/>
              </a:cubicBezTo>
              <a:cubicBezTo>
                <a:pt x="2219350" y="0"/>
                <a:pt x="2254300" y="57150"/>
                <a:pt x="2297988" y="57150"/>
              </a:cubicBezTo>
              <a:cubicBezTo>
                <a:pt x="2341676" y="57150"/>
                <a:pt x="2411577" y="9525"/>
                <a:pt x="2455265" y="9525"/>
              </a:cubicBezTo>
              <a:cubicBezTo>
                <a:pt x="2498953" y="9525"/>
                <a:pt x="2525166" y="57150"/>
                <a:pt x="2568854" y="57150"/>
              </a:cubicBezTo>
              <a:cubicBezTo>
                <a:pt x="2612542" y="57150"/>
                <a:pt x="2673705" y="0"/>
                <a:pt x="2717393" y="0"/>
              </a:cubicBezTo>
              <a:cubicBezTo>
                <a:pt x="2761081" y="0"/>
                <a:pt x="2804769" y="76200"/>
                <a:pt x="2848457" y="76200"/>
              </a:cubicBezTo>
              <a:cubicBezTo>
                <a:pt x="2892145" y="76200"/>
                <a:pt x="2944571" y="0"/>
                <a:pt x="2979521" y="0"/>
              </a:cubicBezTo>
              <a:cubicBezTo>
                <a:pt x="3014472" y="0"/>
                <a:pt x="3031947" y="76200"/>
                <a:pt x="3066897" y="76200"/>
              </a:cubicBezTo>
              <a:cubicBezTo>
                <a:pt x="3101848" y="76200"/>
                <a:pt x="3163011" y="0"/>
                <a:pt x="3197961" y="0"/>
              </a:cubicBezTo>
              <a:cubicBezTo>
                <a:pt x="3232912" y="0"/>
                <a:pt x="3267862" y="38100"/>
                <a:pt x="3276600" y="66675"/>
              </a:cubicBezTo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289560</xdr:colOff>
      <xdr:row>61</xdr:row>
      <xdr:rowOff>30480</xdr:rowOff>
    </xdr:from>
    <xdr:to>
      <xdr:col>1</xdr:col>
      <xdr:colOff>312420</xdr:colOff>
      <xdr:row>61</xdr:row>
      <xdr:rowOff>38100</xdr:rowOff>
    </xdr:to>
    <xdr:cxnSp macro="">
      <xdr:nvCxnSpPr>
        <xdr:cNvPr id="4" name="Straight Arrow Connector 2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CxnSpPr>
          <a:cxnSpLocks noChangeShapeType="1"/>
        </xdr:cNvCxnSpPr>
      </xdr:nvCxnSpPr>
      <xdr:spPr bwMode="auto">
        <a:xfrm rot="5400000" flipH="1" flipV="1">
          <a:off x="609600" y="9966960"/>
          <a:ext cx="7620" cy="647700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</xdr:col>
      <xdr:colOff>274320</xdr:colOff>
      <xdr:row>61</xdr:row>
      <xdr:rowOff>7620</xdr:rowOff>
    </xdr:from>
    <xdr:to>
      <xdr:col>6</xdr:col>
      <xdr:colOff>228600</xdr:colOff>
      <xdr:row>61</xdr:row>
      <xdr:rowOff>15240</xdr:rowOff>
    </xdr:to>
    <xdr:cxnSp macro="">
      <xdr:nvCxnSpPr>
        <xdr:cNvPr id="5" name="Straight Arrow Connector 29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CxnSpPr>
          <a:cxnSpLocks noChangeShapeType="1"/>
        </xdr:cNvCxnSpPr>
      </xdr:nvCxnSpPr>
      <xdr:spPr bwMode="auto">
        <a:xfrm rot="5400000" flipH="1" flipV="1">
          <a:off x="3890010" y="9947910"/>
          <a:ext cx="7620" cy="640080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0</xdr:col>
      <xdr:colOff>594360</xdr:colOff>
      <xdr:row>63</xdr:row>
      <xdr:rowOff>0</xdr:rowOff>
    </xdr:from>
    <xdr:to>
      <xdr:col>5</xdr:col>
      <xdr:colOff>609600</xdr:colOff>
      <xdr:row>63</xdr:row>
      <xdr:rowOff>7620</xdr:rowOff>
    </xdr:to>
    <xdr:cxnSp macro="">
      <xdr:nvCxnSpPr>
        <xdr:cNvPr id="6" name="Straight Arrow Connector 31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CxnSpPr>
          <a:cxnSpLocks noChangeShapeType="1"/>
        </xdr:cNvCxnSpPr>
      </xdr:nvCxnSpPr>
      <xdr:spPr bwMode="auto">
        <a:xfrm flipV="1">
          <a:off x="594360" y="10591800"/>
          <a:ext cx="3314700" cy="7620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 type="arrow" w="med" len="med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38100</xdr:colOff>
      <xdr:row>60</xdr:row>
      <xdr:rowOff>38100</xdr:rowOff>
    </xdr:from>
    <xdr:to>
      <xdr:col>3</xdr:col>
      <xdr:colOff>647700</xdr:colOff>
      <xdr:row>60</xdr:row>
      <xdr:rowOff>45720</xdr:rowOff>
    </xdr:to>
    <xdr:sp macro="" textlink="">
      <xdr:nvSpPr>
        <xdr:cNvPr id="7" name="Straight Connector 37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>
          <a:spLocks noChangeShapeType="1"/>
        </xdr:cNvSpPr>
      </xdr:nvSpPr>
      <xdr:spPr bwMode="auto">
        <a:xfrm rot="5400000">
          <a:off x="2213610" y="9825990"/>
          <a:ext cx="7620" cy="609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83820</xdr:colOff>
      <xdr:row>58</xdr:row>
      <xdr:rowOff>38100</xdr:rowOff>
    </xdr:from>
    <xdr:to>
      <xdr:col>2</xdr:col>
      <xdr:colOff>464820</xdr:colOff>
      <xdr:row>58</xdr:row>
      <xdr:rowOff>45720</xdr:rowOff>
    </xdr:to>
    <xdr:cxnSp macro="">
      <xdr:nvCxnSpPr>
        <xdr:cNvPr id="8" name="Straight Arrow Connector 40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CxnSpPr>
          <a:cxnSpLocks noChangeShapeType="1"/>
        </xdr:cNvCxnSpPr>
      </xdr:nvCxnSpPr>
      <xdr:spPr bwMode="auto">
        <a:xfrm rot="16200000" flipH="1">
          <a:off x="1520190" y="9605010"/>
          <a:ext cx="7620" cy="381000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106680</xdr:colOff>
      <xdr:row>58</xdr:row>
      <xdr:rowOff>30480</xdr:rowOff>
    </xdr:from>
    <xdr:to>
      <xdr:col>4</xdr:col>
      <xdr:colOff>487680</xdr:colOff>
      <xdr:row>58</xdr:row>
      <xdr:rowOff>38100</xdr:rowOff>
    </xdr:to>
    <xdr:cxnSp macro="">
      <xdr:nvCxnSpPr>
        <xdr:cNvPr id="9" name="Straight Arrow Connector 46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CxnSpPr>
          <a:cxnSpLocks noChangeShapeType="1"/>
        </xdr:cNvCxnSpPr>
      </xdr:nvCxnSpPr>
      <xdr:spPr bwMode="auto">
        <a:xfrm rot="16200000" flipH="1">
          <a:off x="2884170" y="9597390"/>
          <a:ext cx="7620" cy="381000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</xdr:col>
      <xdr:colOff>266700</xdr:colOff>
      <xdr:row>58</xdr:row>
      <xdr:rowOff>60960</xdr:rowOff>
    </xdr:from>
    <xdr:to>
      <xdr:col>4</xdr:col>
      <xdr:colOff>304800</xdr:colOff>
      <xdr:row>58</xdr:row>
      <xdr:rowOff>68580</xdr:rowOff>
    </xdr:to>
    <xdr:cxnSp macro="">
      <xdr:nvCxnSpPr>
        <xdr:cNvPr id="10" name="Straight Arrow Connector 47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CxnSpPr>
          <a:cxnSpLocks noChangeShapeType="1"/>
        </xdr:cNvCxnSpPr>
      </xdr:nvCxnSpPr>
      <xdr:spPr bwMode="auto">
        <a:xfrm flipV="1">
          <a:off x="1516380" y="9814560"/>
          <a:ext cx="1379220" cy="7620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 type="arrow" w="med" len="med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0</xdr:col>
      <xdr:colOff>601980</xdr:colOff>
      <xdr:row>62</xdr:row>
      <xdr:rowOff>22860</xdr:rowOff>
    </xdr:from>
    <xdr:to>
      <xdr:col>3</xdr:col>
      <xdr:colOff>358140</xdr:colOff>
      <xdr:row>62</xdr:row>
      <xdr:rowOff>30480</xdr:rowOff>
    </xdr:to>
    <xdr:cxnSp macro="">
      <xdr:nvCxnSpPr>
        <xdr:cNvPr id="11" name="Straight Arrow Connector 56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CxnSpPr>
          <a:cxnSpLocks noChangeShapeType="1"/>
        </xdr:cNvCxnSpPr>
      </xdr:nvCxnSpPr>
      <xdr:spPr bwMode="auto">
        <a:xfrm flipV="1">
          <a:off x="601980" y="10447020"/>
          <a:ext cx="1630680" cy="7620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 type="arrow" w="med" len="med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327660</xdr:colOff>
      <xdr:row>62</xdr:row>
      <xdr:rowOff>22860</xdr:rowOff>
    </xdr:from>
    <xdr:to>
      <xdr:col>5</xdr:col>
      <xdr:colOff>594360</xdr:colOff>
      <xdr:row>62</xdr:row>
      <xdr:rowOff>30480</xdr:rowOff>
    </xdr:to>
    <xdr:cxnSp macro="">
      <xdr:nvCxnSpPr>
        <xdr:cNvPr id="12" name="Straight Arrow Connector 59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CxnSpPr>
          <a:cxnSpLocks noChangeShapeType="1"/>
        </xdr:cNvCxnSpPr>
      </xdr:nvCxnSpPr>
      <xdr:spPr bwMode="auto">
        <a:xfrm flipV="1">
          <a:off x="2202180" y="10447020"/>
          <a:ext cx="1691640" cy="7620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 type="arrow" w="med" len="med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</xdr:col>
      <xdr:colOff>106680</xdr:colOff>
      <xdr:row>60</xdr:row>
      <xdr:rowOff>45720</xdr:rowOff>
    </xdr:from>
    <xdr:to>
      <xdr:col>2</xdr:col>
      <xdr:colOff>434340</xdr:colOff>
      <xdr:row>60</xdr:row>
      <xdr:rowOff>53340</xdr:rowOff>
    </xdr:to>
    <xdr:sp macro="" textlink="">
      <xdr:nvSpPr>
        <xdr:cNvPr id="13" name="Straight Connector 69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>
          <a:spLocks noChangeShapeType="1"/>
        </xdr:cNvSpPr>
      </xdr:nvSpPr>
      <xdr:spPr bwMode="auto">
        <a:xfrm rot="5400000">
          <a:off x="1516380" y="9974580"/>
          <a:ext cx="7620" cy="3276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259080</xdr:colOff>
      <xdr:row>61</xdr:row>
      <xdr:rowOff>22860</xdr:rowOff>
    </xdr:from>
    <xdr:to>
      <xdr:col>3</xdr:col>
      <xdr:colOff>350520</xdr:colOff>
      <xdr:row>61</xdr:row>
      <xdr:rowOff>30480</xdr:rowOff>
    </xdr:to>
    <xdr:cxnSp macro="">
      <xdr:nvCxnSpPr>
        <xdr:cNvPr id="14" name="Straight Arrow Connector 71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CxnSpPr>
          <a:cxnSpLocks noChangeShapeType="1"/>
        </xdr:cNvCxnSpPr>
      </xdr:nvCxnSpPr>
      <xdr:spPr bwMode="auto">
        <a:xfrm flipV="1">
          <a:off x="1508760" y="10279380"/>
          <a:ext cx="716280" cy="7620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 type="arrow" w="med" len="med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21</xdr:row>
      <xdr:rowOff>30480</xdr:rowOff>
    </xdr:from>
    <xdr:to>
      <xdr:col>9</xdr:col>
      <xdr:colOff>472440</xdr:colOff>
      <xdr:row>21</xdr:row>
      <xdr:rowOff>38100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>
          <a:spLocks noChangeShapeType="1"/>
        </xdr:cNvSpPr>
      </xdr:nvSpPr>
      <xdr:spPr bwMode="auto">
        <a:xfrm>
          <a:off x="4084320" y="3581400"/>
          <a:ext cx="17145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190500</xdr:colOff>
      <xdr:row>21</xdr:row>
      <xdr:rowOff>30480</xdr:rowOff>
    </xdr:from>
    <xdr:to>
      <xdr:col>6</xdr:col>
      <xdr:colOff>205740</xdr:colOff>
      <xdr:row>23</xdr:row>
      <xdr:rowOff>7620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>
          <a:spLocks noChangeShapeType="1"/>
        </xdr:cNvSpPr>
      </xdr:nvSpPr>
      <xdr:spPr bwMode="auto">
        <a:xfrm flipV="1">
          <a:off x="4084320" y="3581400"/>
          <a:ext cx="15240" cy="3124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464820</xdr:colOff>
      <xdr:row>21</xdr:row>
      <xdr:rowOff>30480</xdr:rowOff>
    </xdr:from>
    <xdr:to>
      <xdr:col>9</xdr:col>
      <xdr:colOff>472440</xdr:colOff>
      <xdr:row>23</xdr:row>
      <xdr:rowOff>106680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>
          <a:spLocks noChangeShapeType="1"/>
        </xdr:cNvSpPr>
      </xdr:nvSpPr>
      <xdr:spPr bwMode="auto">
        <a:xfrm flipV="1">
          <a:off x="5791200" y="3581400"/>
          <a:ext cx="7620" cy="4114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388620</xdr:colOff>
      <xdr:row>19</xdr:row>
      <xdr:rowOff>83820</xdr:rowOff>
    </xdr:from>
    <xdr:to>
      <xdr:col>7</xdr:col>
      <xdr:colOff>396240</xdr:colOff>
      <xdr:row>21</xdr:row>
      <xdr:rowOff>38100</xdr:rowOff>
    </xdr:to>
    <xdr:sp macro="" textlink="">
      <xdr:nvSpPr>
        <xdr:cNvPr id="5" name="Lin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SpPr>
          <a:spLocks noChangeShapeType="1"/>
        </xdr:cNvSpPr>
      </xdr:nvSpPr>
      <xdr:spPr bwMode="auto">
        <a:xfrm>
          <a:off x="4579620" y="3268980"/>
          <a:ext cx="7620" cy="3200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129540</xdr:colOff>
      <xdr:row>19</xdr:row>
      <xdr:rowOff>45720</xdr:rowOff>
    </xdr:from>
    <xdr:to>
      <xdr:col>9</xdr:col>
      <xdr:colOff>144780</xdr:colOff>
      <xdr:row>21</xdr:row>
      <xdr:rowOff>38100</xdr:rowOff>
    </xdr:to>
    <xdr:sp macro="" textlink="">
      <xdr:nvSpPr>
        <xdr:cNvPr id="6" name="Lin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>
          <a:spLocks noChangeShapeType="1"/>
        </xdr:cNvSpPr>
      </xdr:nvSpPr>
      <xdr:spPr bwMode="auto">
        <a:xfrm>
          <a:off x="5455920" y="3230880"/>
          <a:ext cx="15240" cy="3581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190500</xdr:colOff>
      <xdr:row>20</xdr:row>
      <xdr:rowOff>7620</xdr:rowOff>
    </xdr:from>
    <xdr:to>
      <xdr:col>9</xdr:col>
      <xdr:colOff>495300</xdr:colOff>
      <xdr:row>20</xdr:row>
      <xdr:rowOff>15240</xdr:rowOff>
    </xdr:to>
    <xdr:sp macro="" textlink="">
      <xdr:nvSpPr>
        <xdr:cNvPr id="7" name="Lin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>
          <a:spLocks noChangeShapeType="1"/>
        </xdr:cNvSpPr>
      </xdr:nvSpPr>
      <xdr:spPr bwMode="auto">
        <a:xfrm>
          <a:off x="4084320" y="3360420"/>
          <a:ext cx="17373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190500</xdr:colOff>
      <xdr:row>19</xdr:row>
      <xdr:rowOff>53340</xdr:rowOff>
    </xdr:from>
    <xdr:to>
      <xdr:col>6</xdr:col>
      <xdr:colOff>205740</xdr:colOff>
      <xdr:row>20</xdr:row>
      <xdr:rowOff>160020</xdr:rowOff>
    </xdr:to>
    <xdr:sp macro="" textlink="">
      <xdr:nvSpPr>
        <xdr:cNvPr id="8" name="Lin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SpPr>
          <a:spLocks noChangeShapeType="1"/>
        </xdr:cNvSpPr>
      </xdr:nvSpPr>
      <xdr:spPr bwMode="auto">
        <a:xfrm flipH="1" flipV="1">
          <a:off x="4084320" y="3238500"/>
          <a:ext cx="15240" cy="274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472440</xdr:colOff>
      <xdr:row>19</xdr:row>
      <xdr:rowOff>15240</xdr:rowOff>
    </xdr:from>
    <xdr:to>
      <xdr:col>9</xdr:col>
      <xdr:colOff>480060</xdr:colOff>
      <xdr:row>20</xdr:row>
      <xdr:rowOff>167640</xdr:rowOff>
    </xdr:to>
    <xdr:sp macro="" textlink="">
      <xdr:nvSpPr>
        <xdr:cNvPr id="9" name="Lin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SpPr>
          <a:spLocks noChangeShapeType="1"/>
        </xdr:cNvSpPr>
      </xdr:nvSpPr>
      <xdr:spPr bwMode="auto">
        <a:xfrm flipV="1">
          <a:off x="5798820" y="3200400"/>
          <a:ext cx="7620" cy="3200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396240</xdr:colOff>
      <xdr:row>20</xdr:row>
      <xdr:rowOff>7620</xdr:rowOff>
    </xdr:from>
    <xdr:to>
      <xdr:col>7</xdr:col>
      <xdr:colOff>457200</xdr:colOff>
      <xdr:row>20</xdr:row>
      <xdr:rowOff>15240</xdr:rowOff>
    </xdr:to>
    <xdr:sp macro="" textlink="">
      <xdr:nvSpPr>
        <xdr:cNvPr id="10" name="Line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SpPr>
          <a:spLocks noChangeShapeType="1"/>
        </xdr:cNvSpPr>
      </xdr:nvSpPr>
      <xdr:spPr bwMode="auto">
        <a:xfrm flipH="1">
          <a:off x="4587240" y="3360420"/>
          <a:ext cx="609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83820</xdr:colOff>
      <xdr:row>20</xdr:row>
      <xdr:rowOff>0</xdr:rowOff>
    </xdr:from>
    <xdr:to>
      <xdr:col>9</xdr:col>
      <xdr:colOff>129540</xdr:colOff>
      <xdr:row>20</xdr:row>
      <xdr:rowOff>7620</xdr:rowOff>
    </xdr:to>
    <xdr:sp macro="" textlink="">
      <xdr:nvSpPr>
        <xdr:cNvPr id="11" name="Line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SpPr>
          <a:spLocks noChangeShapeType="1"/>
        </xdr:cNvSpPr>
      </xdr:nvSpPr>
      <xdr:spPr bwMode="auto">
        <a:xfrm flipV="1">
          <a:off x="5410200" y="3352800"/>
          <a:ext cx="457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525780</xdr:colOff>
      <xdr:row>24</xdr:row>
      <xdr:rowOff>15240</xdr:rowOff>
    </xdr:from>
    <xdr:to>
      <xdr:col>5</xdr:col>
      <xdr:colOff>739140</xdr:colOff>
      <xdr:row>24</xdr:row>
      <xdr:rowOff>22860</xdr:rowOff>
    </xdr:to>
    <xdr:sp macro="" textlink="">
      <xdr:nvSpPr>
        <xdr:cNvPr id="12" name="Line 15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>
          <a:spLocks noChangeShapeType="1"/>
        </xdr:cNvSpPr>
      </xdr:nvSpPr>
      <xdr:spPr bwMode="auto">
        <a:xfrm flipH="1" flipV="1">
          <a:off x="3589020" y="4069080"/>
          <a:ext cx="2133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23</xdr:row>
      <xdr:rowOff>45720</xdr:rowOff>
    </xdr:from>
    <xdr:to>
      <xdr:col>9</xdr:col>
      <xdr:colOff>464820</xdr:colOff>
      <xdr:row>23</xdr:row>
      <xdr:rowOff>53340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>
          <a:spLocks noChangeShapeType="1"/>
        </xdr:cNvSpPr>
      </xdr:nvSpPr>
      <xdr:spPr bwMode="auto">
        <a:xfrm>
          <a:off x="4191000" y="3962400"/>
          <a:ext cx="169164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182880</xdr:colOff>
      <xdr:row>23</xdr:row>
      <xdr:rowOff>45720</xdr:rowOff>
    </xdr:from>
    <xdr:to>
      <xdr:col>6</xdr:col>
      <xdr:colOff>190500</xdr:colOff>
      <xdr:row>24</xdr:row>
      <xdr:rowOff>182880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>
          <a:spLocks noChangeShapeType="1"/>
        </xdr:cNvSpPr>
      </xdr:nvSpPr>
      <xdr:spPr bwMode="auto">
        <a:xfrm flipV="1">
          <a:off x="4191000" y="3962400"/>
          <a:ext cx="7620" cy="3352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464820</xdr:colOff>
      <xdr:row>23</xdr:row>
      <xdr:rowOff>45720</xdr:rowOff>
    </xdr:from>
    <xdr:to>
      <xdr:col>9</xdr:col>
      <xdr:colOff>480060</xdr:colOff>
      <xdr:row>25</xdr:row>
      <xdr:rowOff>15240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>
          <a:spLocks noChangeShapeType="1"/>
        </xdr:cNvSpPr>
      </xdr:nvSpPr>
      <xdr:spPr bwMode="auto">
        <a:xfrm flipH="1" flipV="1">
          <a:off x="5882640" y="3962400"/>
          <a:ext cx="15240" cy="3657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381000</xdr:colOff>
      <xdr:row>21</xdr:row>
      <xdr:rowOff>106680</xdr:rowOff>
    </xdr:from>
    <xdr:to>
      <xdr:col>7</xdr:col>
      <xdr:colOff>388620</xdr:colOff>
      <xdr:row>23</xdr:row>
      <xdr:rowOff>53340</xdr:rowOff>
    </xdr:to>
    <xdr:sp macro="" textlink="">
      <xdr:nvSpPr>
        <xdr:cNvPr id="5" name="Line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>
          <a:spLocks noChangeShapeType="1"/>
        </xdr:cNvSpPr>
      </xdr:nvSpPr>
      <xdr:spPr bwMode="auto">
        <a:xfrm>
          <a:off x="4686300" y="3627120"/>
          <a:ext cx="762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129540</xdr:colOff>
      <xdr:row>21</xdr:row>
      <xdr:rowOff>30480</xdr:rowOff>
    </xdr:from>
    <xdr:to>
      <xdr:col>9</xdr:col>
      <xdr:colOff>137160</xdr:colOff>
      <xdr:row>23</xdr:row>
      <xdr:rowOff>53340</xdr:rowOff>
    </xdr:to>
    <xdr:sp macro="" textlink="">
      <xdr:nvSpPr>
        <xdr:cNvPr id="6" name="Lin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>
          <a:spLocks noChangeShapeType="1"/>
        </xdr:cNvSpPr>
      </xdr:nvSpPr>
      <xdr:spPr bwMode="auto">
        <a:xfrm>
          <a:off x="5547360" y="3550920"/>
          <a:ext cx="7620" cy="419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182880</xdr:colOff>
      <xdr:row>22</xdr:row>
      <xdr:rowOff>53340</xdr:rowOff>
    </xdr:from>
    <xdr:to>
      <xdr:col>9</xdr:col>
      <xdr:colOff>487680</xdr:colOff>
      <xdr:row>22</xdr:row>
      <xdr:rowOff>60960</xdr:rowOff>
    </xdr:to>
    <xdr:sp macro="" textlink="">
      <xdr:nvSpPr>
        <xdr:cNvPr id="7" name="Lin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>
          <a:spLocks noChangeShapeType="1"/>
        </xdr:cNvSpPr>
      </xdr:nvSpPr>
      <xdr:spPr bwMode="auto">
        <a:xfrm>
          <a:off x="4191000" y="3771900"/>
          <a:ext cx="17145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182880</xdr:colOff>
      <xdr:row>21</xdr:row>
      <xdr:rowOff>76200</xdr:rowOff>
    </xdr:from>
    <xdr:to>
      <xdr:col>6</xdr:col>
      <xdr:colOff>190500</xdr:colOff>
      <xdr:row>22</xdr:row>
      <xdr:rowOff>160020</xdr:rowOff>
    </xdr:to>
    <xdr:sp macro="" textlink="">
      <xdr:nvSpPr>
        <xdr:cNvPr id="8" name="Line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SpPr>
          <a:spLocks noChangeShapeType="1"/>
        </xdr:cNvSpPr>
      </xdr:nvSpPr>
      <xdr:spPr bwMode="auto">
        <a:xfrm flipH="1" flipV="1">
          <a:off x="4191000" y="3596640"/>
          <a:ext cx="7620" cy="2819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464820</xdr:colOff>
      <xdr:row>21</xdr:row>
      <xdr:rowOff>0</xdr:rowOff>
    </xdr:from>
    <xdr:to>
      <xdr:col>9</xdr:col>
      <xdr:colOff>480060</xdr:colOff>
      <xdr:row>22</xdr:row>
      <xdr:rowOff>167640</xdr:rowOff>
    </xdr:to>
    <xdr:sp macro="" textlink="">
      <xdr:nvSpPr>
        <xdr:cNvPr id="9" name="Lin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>
          <a:spLocks noChangeShapeType="1"/>
        </xdr:cNvSpPr>
      </xdr:nvSpPr>
      <xdr:spPr bwMode="auto">
        <a:xfrm flipV="1">
          <a:off x="5882640" y="3520440"/>
          <a:ext cx="15240" cy="3657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388620</xdr:colOff>
      <xdr:row>22</xdr:row>
      <xdr:rowOff>53340</xdr:rowOff>
    </xdr:from>
    <xdr:to>
      <xdr:col>7</xdr:col>
      <xdr:colOff>449580</xdr:colOff>
      <xdr:row>22</xdr:row>
      <xdr:rowOff>60960</xdr:rowOff>
    </xdr:to>
    <xdr:sp macro="" textlink="">
      <xdr:nvSpPr>
        <xdr:cNvPr id="10" name="Lin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>
          <a:spLocks noChangeShapeType="1"/>
        </xdr:cNvSpPr>
      </xdr:nvSpPr>
      <xdr:spPr bwMode="auto">
        <a:xfrm flipH="1">
          <a:off x="4693920" y="3771900"/>
          <a:ext cx="609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76200</xdr:colOff>
      <xdr:row>22</xdr:row>
      <xdr:rowOff>53340</xdr:rowOff>
    </xdr:from>
    <xdr:to>
      <xdr:col>9</xdr:col>
      <xdr:colOff>129540</xdr:colOff>
      <xdr:row>22</xdr:row>
      <xdr:rowOff>60960</xdr:rowOff>
    </xdr:to>
    <xdr:sp macro="" textlink="">
      <xdr:nvSpPr>
        <xdr:cNvPr id="11" name="Line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SpPr>
          <a:spLocks noChangeShapeType="1"/>
        </xdr:cNvSpPr>
      </xdr:nvSpPr>
      <xdr:spPr bwMode="auto">
        <a:xfrm flipV="1">
          <a:off x="5494020" y="3771900"/>
          <a:ext cx="5334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182880</xdr:colOff>
      <xdr:row>16</xdr:row>
      <xdr:rowOff>68580</xdr:rowOff>
    </xdr:from>
    <xdr:to>
      <xdr:col>9</xdr:col>
      <xdr:colOff>464820</xdr:colOff>
      <xdr:row>16</xdr:row>
      <xdr:rowOff>76200</xdr:rowOff>
    </xdr:to>
    <xdr:sp macro="" textlink="">
      <xdr:nvSpPr>
        <xdr:cNvPr id="12" name="Lin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>
          <a:spLocks noChangeShapeType="1"/>
        </xdr:cNvSpPr>
      </xdr:nvSpPr>
      <xdr:spPr bwMode="auto">
        <a:xfrm>
          <a:off x="4191000" y="2750820"/>
          <a:ext cx="169164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182880</xdr:colOff>
      <xdr:row>16</xdr:row>
      <xdr:rowOff>68580</xdr:rowOff>
    </xdr:from>
    <xdr:to>
      <xdr:col>6</xdr:col>
      <xdr:colOff>190500</xdr:colOff>
      <xdr:row>17</xdr:row>
      <xdr:rowOff>53340</xdr:rowOff>
    </xdr:to>
    <xdr:sp macro="" textlink="">
      <xdr:nvSpPr>
        <xdr:cNvPr id="13" name="Line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>
          <a:spLocks noChangeShapeType="1"/>
        </xdr:cNvSpPr>
      </xdr:nvSpPr>
      <xdr:spPr bwMode="auto">
        <a:xfrm flipV="1">
          <a:off x="4191000" y="2750820"/>
          <a:ext cx="7620" cy="15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457200</xdr:colOff>
      <xdr:row>16</xdr:row>
      <xdr:rowOff>68580</xdr:rowOff>
    </xdr:from>
    <xdr:to>
      <xdr:col>9</xdr:col>
      <xdr:colOff>464820</xdr:colOff>
      <xdr:row>17</xdr:row>
      <xdr:rowOff>76200</xdr:rowOff>
    </xdr:to>
    <xdr:sp macro="" textlink="">
      <xdr:nvSpPr>
        <xdr:cNvPr id="14" name="Line 1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SpPr>
          <a:spLocks noChangeShapeType="1"/>
        </xdr:cNvSpPr>
      </xdr:nvSpPr>
      <xdr:spPr bwMode="auto">
        <a:xfrm flipV="1">
          <a:off x="5875020" y="2750820"/>
          <a:ext cx="7620" cy="1752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236220</xdr:colOff>
      <xdr:row>15</xdr:row>
      <xdr:rowOff>76200</xdr:rowOff>
    </xdr:from>
    <xdr:to>
      <xdr:col>8</xdr:col>
      <xdr:colOff>243840</xdr:colOff>
      <xdr:row>16</xdr:row>
      <xdr:rowOff>68580</xdr:rowOff>
    </xdr:to>
    <xdr:sp macro="" textlink="">
      <xdr:nvSpPr>
        <xdr:cNvPr id="15" name="Line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>
          <a:spLocks noChangeShapeType="1"/>
        </xdr:cNvSpPr>
      </xdr:nvSpPr>
      <xdr:spPr bwMode="auto">
        <a:xfrm flipH="1">
          <a:off x="5166360" y="2590800"/>
          <a:ext cx="7620" cy="1600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830580</xdr:colOff>
      <xdr:row>5</xdr:row>
      <xdr:rowOff>137160</xdr:rowOff>
    </xdr:from>
    <xdr:to>
      <xdr:col>5</xdr:col>
      <xdr:colOff>510540</xdr:colOff>
      <xdr:row>5</xdr:row>
      <xdr:rowOff>144780</xdr:rowOff>
    </xdr:to>
    <xdr:sp macro="" textlink="">
      <xdr:nvSpPr>
        <xdr:cNvPr id="2" name="Line 12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SpPr>
          <a:spLocks noChangeShapeType="1"/>
        </xdr:cNvSpPr>
      </xdr:nvSpPr>
      <xdr:spPr bwMode="auto">
        <a:xfrm flipV="1">
          <a:off x="1813560" y="975360"/>
          <a:ext cx="131064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205740</xdr:colOff>
      <xdr:row>11</xdr:row>
      <xdr:rowOff>144780</xdr:rowOff>
    </xdr:from>
    <xdr:to>
      <xdr:col>7</xdr:col>
      <xdr:colOff>213360</xdr:colOff>
      <xdr:row>15</xdr:row>
      <xdr:rowOff>91440</xdr:rowOff>
    </xdr:to>
    <xdr:sp macro="" textlink="">
      <xdr:nvSpPr>
        <xdr:cNvPr id="3" name="Line 13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>
          <a:spLocks noChangeShapeType="1"/>
        </xdr:cNvSpPr>
      </xdr:nvSpPr>
      <xdr:spPr bwMode="auto">
        <a:xfrm>
          <a:off x="3489960" y="1912620"/>
          <a:ext cx="7620" cy="647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182880</xdr:colOff>
      <xdr:row>16</xdr:row>
      <xdr:rowOff>91440</xdr:rowOff>
    </xdr:from>
    <xdr:to>
      <xdr:col>7</xdr:col>
      <xdr:colOff>190500</xdr:colOff>
      <xdr:row>17</xdr:row>
      <xdr:rowOff>106680</xdr:rowOff>
    </xdr:to>
    <xdr:sp macro="" textlink="">
      <xdr:nvSpPr>
        <xdr:cNvPr id="4" name="Line 14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>
          <a:spLocks noChangeShapeType="1"/>
        </xdr:cNvSpPr>
      </xdr:nvSpPr>
      <xdr:spPr bwMode="auto">
        <a:xfrm flipV="1">
          <a:off x="3467100" y="2727960"/>
          <a:ext cx="7620" cy="1828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236220</xdr:colOff>
      <xdr:row>5</xdr:row>
      <xdr:rowOff>38100</xdr:rowOff>
    </xdr:from>
    <xdr:to>
      <xdr:col>7</xdr:col>
      <xdr:colOff>251460</xdr:colOff>
      <xdr:row>6</xdr:row>
      <xdr:rowOff>53340</xdr:rowOff>
    </xdr:to>
    <xdr:sp macro="" textlink="">
      <xdr:nvSpPr>
        <xdr:cNvPr id="5" name="Line 15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SpPr>
          <a:spLocks noChangeShapeType="1"/>
        </xdr:cNvSpPr>
      </xdr:nvSpPr>
      <xdr:spPr bwMode="auto">
        <a:xfrm>
          <a:off x="3520440" y="876300"/>
          <a:ext cx="15240" cy="1828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213360</xdr:colOff>
      <xdr:row>7</xdr:row>
      <xdr:rowOff>137160</xdr:rowOff>
    </xdr:from>
    <xdr:to>
      <xdr:col>7</xdr:col>
      <xdr:colOff>220980</xdr:colOff>
      <xdr:row>10</xdr:row>
      <xdr:rowOff>68580</xdr:rowOff>
    </xdr:to>
    <xdr:sp macro="" textlink="">
      <xdr:nvSpPr>
        <xdr:cNvPr id="6" name="Line 16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>
          <a:spLocks noChangeShapeType="1"/>
        </xdr:cNvSpPr>
      </xdr:nvSpPr>
      <xdr:spPr bwMode="auto">
        <a:xfrm flipV="1">
          <a:off x="3497580" y="1234440"/>
          <a:ext cx="7620" cy="4343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320040</xdr:colOff>
      <xdr:row>11</xdr:row>
      <xdr:rowOff>15240</xdr:rowOff>
    </xdr:from>
    <xdr:to>
      <xdr:col>3</xdr:col>
      <xdr:colOff>518160</xdr:colOff>
      <xdr:row>11</xdr:row>
      <xdr:rowOff>22860</xdr:rowOff>
    </xdr:to>
    <xdr:sp macro="" textlink="">
      <xdr:nvSpPr>
        <xdr:cNvPr id="7" name="Line 17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>
          <a:spLocks noChangeShapeType="1"/>
        </xdr:cNvSpPr>
      </xdr:nvSpPr>
      <xdr:spPr bwMode="auto">
        <a:xfrm>
          <a:off x="2164080" y="1783080"/>
          <a:ext cx="1981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53340</xdr:rowOff>
    </xdr:from>
    <xdr:to>
      <xdr:col>5</xdr:col>
      <xdr:colOff>190500</xdr:colOff>
      <xdr:row>11</xdr:row>
      <xdr:rowOff>60960</xdr:rowOff>
    </xdr:to>
    <xdr:sp macro="" textlink="">
      <xdr:nvSpPr>
        <xdr:cNvPr id="8" name="Line 18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>
          <a:spLocks noChangeShapeType="1"/>
        </xdr:cNvSpPr>
      </xdr:nvSpPr>
      <xdr:spPr bwMode="auto">
        <a:xfrm flipH="1">
          <a:off x="2545080" y="1821180"/>
          <a:ext cx="2590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312420</xdr:colOff>
      <xdr:row>12</xdr:row>
      <xdr:rowOff>38100</xdr:rowOff>
    </xdr:from>
    <xdr:to>
      <xdr:col>2</xdr:col>
      <xdr:colOff>320040</xdr:colOff>
      <xdr:row>16</xdr:row>
      <xdr:rowOff>106680</xdr:rowOff>
    </xdr:to>
    <xdr:sp macro="" textlink="">
      <xdr:nvSpPr>
        <xdr:cNvPr id="9" name="Line 19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SpPr>
          <a:spLocks noChangeShapeType="1"/>
        </xdr:cNvSpPr>
      </xdr:nvSpPr>
      <xdr:spPr bwMode="auto">
        <a:xfrm>
          <a:off x="1295400" y="1973580"/>
          <a:ext cx="7620" cy="769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320040</xdr:colOff>
      <xdr:row>6</xdr:row>
      <xdr:rowOff>45720</xdr:rowOff>
    </xdr:from>
    <xdr:to>
      <xdr:col>2</xdr:col>
      <xdr:colOff>327660</xdr:colOff>
      <xdr:row>10</xdr:row>
      <xdr:rowOff>121920</xdr:rowOff>
    </xdr:to>
    <xdr:sp macro="" textlink="">
      <xdr:nvSpPr>
        <xdr:cNvPr id="10" name="Line 20"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SpPr>
          <a:spLocks noChangeShapeType="1"/>
        </xdr:cNvSpPr>
      </xdr:nvSpPr>
      <xdr:spPr bwMode="auto">
        <a:xfrm flipV="1">
          <a:off x="1303020" y="1051560"/>
          <a:ext cx="7620" cy="6705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251460</xdr:colOff>
      <xdr:row>14</xdr:row>
      <xdr:rowOff>7620</xdr:rowOff>
    </xdr:from>
    <xdr:to>
      <xdr:col>5</xdr:col>
      <xdr:colOff>266700</xdr:colOff>
      <xdr:row>15</xdr:row>
      <xdr:rowOff>91440</xdr:rowOff>
    </xdr:to>
    <xdr:sp macro="" textlink="">
      <xdr:nvSpPr>
        <xdr:cNvPr id="11" name="Line 21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SpPr>
          <a:spLocks noChangeShapeType="1"/>
        </xdr:cNvSpPr>
      </xdr:nvSpPr>
      <xdr:spPr bwMode="auto">
        <a:xfrm>
          <a:off x="2865120" y="2278380"/>
          <a:ext cx="15240" cy="2819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99060</xdr:colOff>
      <xdr:row>14</xdr:row>
      <xdr:rowOff>106680</xdr:rowOff>
    </xdr:from>
    <xdr:to>
      <xdr:col>5</xdr:col>
      <xdr:colOff>251460</xdr:colOff>
      <xdr:row>14</xdr:row>
      <xdr:rowOff>121920</xdr:rowOff>
    </xdr:to>
    <xdr:sp macro="" textlink="">
      <xdr:nvSpPr>
        <xdr:cNvPr id="12" name="Line 22"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SpPr>
          <a:spLocks noChangeShapeType="1"/>
        </xdr:cNvSpPr>
      </xdr:nvSpPr>
      <xdr:spPr bwMode="auto">
        <a:xfrm>
          <a:off x="2529840" y="2377440"/>
          <a:ext cx="33528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13</xdr:row>
      <xdr:rowOff>99060</xdr:rowOff>
    </xdr:from>
    <xdr:to>
      <xdr:col>5</xdr:col>
      <xdr:colOff>510540</xdr:colOff>
      <xdr:row>13</xdr:row>
      <xdr:rowOff>106680</xdr:rowOff>
    </xdr:to>
    <xdr:sp macro="" textlink="">
      <xdr:nvSpPr>
        <xdr:cNvPr id="13" name="Line 23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SpPr>
          <a:spLocks noChangeShapeType="1"/>
        </xdr:cNvSpPr>
      </xdr:nvSpPr>
      <xdr:spPr bwMode="auto">
        <a:xfrm>
          <a:off x="2545080" y="2202180"/>
          <a:ext cx="5791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15240</xdr:colOff>
      <xdr:row>4</xdr:row>
      <xdr:rowOff>129540</xdr:rowOff>
    </xdr:from>
    <xdr:to>
      <xdr:col>4</xdr:col>
      <xdr:colOff>22860</xdr:colOff>
      <xdr:row>17</xdr:row>
      <xdr:rowOff>30480</xdr:rowOff>
    </xdr:to>
    <xdr:sp macro="" textlink="">
      <xdr:nvSpPr>
        <xdr:cNvPr id="14" name="Line 24">
          <a:extLst>
            <a:ext uri="{FF2B5EF4-FFF2-40B4-BE49-F238E27FC236}">
              <a16:creationId xmlns:a16="http://schemas.microsoft.com/office/drawing/2014/main" id="{00000000-0008-0000-1B00-00000E000000}"/>
            </a:ext>
          </a:extLst>
        </xdr:cNvPr>
        <xdr:cNvSpPr>
          <a:spLocks noChangeShapeType="1"/>
        </xdr:cNvSpPr>
      </xdr:nvSpPr>
      <xdr:spPr bwMode="auto">
        <a:xfrm flipH="1">
          <a:off x="2446020" y="800100"/>
          <a:ext cx="7620" cy="2034540"/>
        </a:xfrm>
        <a:prstGeom prst="line">
          <a:avLst/>
        </a:prstGeom>
        <a:noFill/>
        <a:ln w="9525">
          <a:solidFill>
            <a:srgbClr val="000000"/>
          </a:solidFill>
          <a:prstDash val="lg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121920</xdr:colOff>
      <xdr:row>11</xdr:row>
      <xdr:rowOff>129540</xdr:rowOff>
    </xdr:from>
    <xdr:to>
      <xdr:col>7</xdr:col>
      <xdr:colOff>434340</xdr:colOff>
      <xdr:row>11</xdr:row>
      <xdr:rowOff>137160</xdr:rowOff>
    </xdr:to>
    <xdr:sp macro="" textlink="">
      <xdr:nvSpPr>
        <xdr:cNvPr id="15" name="Line 25">
          <a:extLst>
            <a:ext uri="{FF2B5EF4-FFF2-40B4-BE49-F238E27FC236}">
              <a16:creationId xmlns:a16="http://schemas.microsoft.com/office/drawing/2014/main" id="{00000000-0008-0000-1B00-00000F000000}"/>
            </a:ext>
          </a:extLst>
        </xdr:cNvPr>
        <xdr:cNvSpPr>
          <a:spLocks noChangeShapeType="1"/>
        </xdr:cNvSpPr>
      </xdr:nvSpPr>
      <xdr:spPr bwMode="auto">
        <a:xfrm flipV="1">
          <a:off x="1104900" y="1897380"/>
          <a:ext cx="2613660" cy="7620"/>
        </a:xfrm>
        <a:prstGeom prst="line">
          <a:avLst/>
        </a:prstGeom>
        <a:noFill/>
        <a:ln w="9525">
          <a:solidFill>
            <a:srgbClr val="000000"/>
          </a:solidFill>
          <a:prstDash val="lg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23</xdr:row>
      <xdr:rowOff>45720</xdr:rowOff>
    </xdr:from>
    <xdr:to>
      <xdr:col>9</xdr:col>
      <xdr:colOff>464820</xdr:colOff>
      <xdr:row>23</xdr:row>
      <xdr:rowOff>53340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>
          <a:spLocks noChangeShapeType="1"/>
        </xdr:cNvSpPr>
      </xdr:nvSpPr>
      <xdr:spPr bwMode="auto">
        <a:xfrm>
          <a:off x="4191000" y="3962400"/>
          <a:ext cx="169164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182880</xdr:colOff>
      <xdr:row>23</xdr:row>
      <xdr:rowOff>45720</xdr:rowOff>
    </xdr:from>
    <xdr:to>
      <xdr:col>6</xdr:col>
      <xdr:colOff>190500</xdr:colOff>
      <xdr:row>24</xdr:row>
      <xdr:rowOff>182880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>
          <a:spLocks noChangeShapeType="1"/>
        </xdr:cNvSpPr>
      </xdr:nvSpPr>
      <xdr:spPr bwMode="auto">
        <a:xfrm flipV="1">
          <a:off x="4191000" y="3962400"/>
          <a:ext cx="7620" cy="3352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464820</xdr:colOff>
      <xdr:row>23</xdr:row>
      <xdr:rowOff>45720</xdr:rowOff>
    </xdr:from>
    <xdr:to>
      <xdr:col>9</xdr:col>
      <xdr:colOff>480060</xdr:colOff>
      <xdr:row>25</xdr:row>
      <xdr:rowOff>15240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>
          <a:spLocks noChangeShapeType="1"/>
        </xdr:cNvSpPr>
      </xdr:nvSpPr>
      <xdr:spPr bwMode="auto">
        <a:xfrm flipH="1" flipV="1">
          <a:off x="5882640" y="3962400"/>
          <a:ext cx="15240" cy="3657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381000</xdr:colOff>
      <xdr:row>21</xdr:row>
      <xdr:rowOff>106680</xdr:rowOff>
    </xdr:from>
    <xdr:to>
      <xdr:col>7</xdr:col>
      <xdr:colOff>388620</xdr:colOff>
      <xdr:row>23</xdr:row>
      <xdr:rowOff>53340</xdr:rowOff>
    </xdr:to>
    <xdr:sp macro="" textlink="">
      <xdr:nvSpPr>
        <xdr:cNvPr id="5" name="Line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SpPr>
          <a:spLocks noChangeShapeType="1"/>
        </xdr:cNvSpPr>
      </xdr:nvSpPr>
      <xdr:spPr bwMode="auto">
        <a:xfrm>
          <a:off x="4686300" y="3627120"/>
          <a:ext cx="762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129540</xdr:colOff>
      <xdr:row>21</xdr:row>
      <xdr:rowOff>30480</xdr:rowOff>
    </xdr:from>
    <xdr:to>
      <xdr:col>9</xdr:col>
      <xdr:colOff>137160</xdr:colOff>
      <xdr:row>23</xdr:row>
      <xdr:rowOff>53340</xdr:rowOff>
    </xdr:to>
    <xdr:sp macro="" textlink="">
      <xdr:nvSpPr>
        <xdr:cNvPr id="6" name="Lin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>
          <a:spLocks noChangeShapeType="1"/>
        </xdr:cNvSpPr>
      </xdr:nvSpPr>
      <xdr:spPr bwMode="auto">
        <a:xfrm>
          <a:off x="5547360" y="3550920"/>
          <a:ext cx="7620" cy="419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182880</xdr:colOff>
      <xdr:row>22</xdr:row>
      <xdr:rowOff>53340</xdr:rowOff>
    </xdr:from>
    <xdr:to>
      <xdr:col>9</xdr:col>
      <xdr:colOff>487680</xdr:colOff>
      <xdr:row>22</xdr:row>
      <xdr:rowOff>60960</xdr:rowOff>
    </xdr:to>
    <xdr:sp macro="" textlink="">
      <xdr:nvSpPr>
        <xdr:cNvPr id="7" name="Lin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>
          <a:spLocks noChangeShapeType="1"/>
        </xdr:cNvSpPr>
      </xdr:nvSpPr>
      <xdr:spPr bwMode="auto">
        <a:xfrm>
          <a:off x="4191000" y="3771900"/>
          <a:ext cx="17145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182880</xdr:colOff>
      <xdr:row>21</xdr:row>
      <xdr:rowOff>76200</xdr:rowOff>
    </xdr:from>
    <xdr:to>
      <xdr:col>6</xdr:col>
      <xdr:colOff>190500</xdr:colOff>
      <xdr:row>22</xdr:row>
      <xdr:rowOff>160020</xdr:rowOff>
    </xdr:to>
    <xdr:sp macro="" textlink="">
      <xdr:nvSpPr>
        <xdr:cNvPr id="8" name="Line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SpPr>
          <a:spLocks noChangeShapeType="1"/>
        </xdr:cNvSpPr>
      </xdr:nvSpPr>
      <xdr:spPr bwMode="auto">
        <a:xfrm flipH="1" flipV="1">
          <a:off x="4191000" y="3596640"/>
          <a:ext cx="7620" cy="2819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464820</xdr:colOff>
      <xdr:row>21</xdr:row>
      <xdr:rowOff>0</xdr:rowOff>
    </xdr:from>
    <xdr:to>
      <xdr:col>9</xdr:col>
      <xdr:colOff>480060</xdr:colOff>
      <xdr:row>22</xdr:row>
      <xdr:rowOff>167640</xdr:rowOff>
    </xdr:to>
    <xdr:sp macro="" textlink="">
      <xdr:nvSpPr>
        <xdr:cNvPr id="9" name="Line 8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>
          <a:spLocks noChangeShapeType="1"/>
        </xdr:cNvSpPr>
      </xdr:nvSpPr>
      <xdr:spPr bwMode="auto">
        <a:xfrm flipV="1">
          <a:off x="5882640" y="3520440"/>
          <a:ext cx="15240" cy="3657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388620</xdr:colOff>
      <xdr:row>22</xdr:row>
      <xdr:rowOff>53340</xdr:rowOff>
    </xdr:from>
    <xdr:to>
      <xdr:col>7</xdr:col>
      <xdr:colOff>449580</xdr:colOff>
      <xdr:row>22</xdr:row>
      <xdr:rowOff>60960</xdr:rowOff>
    </xdr:to>
    <xdr:sp macro="" textlink="">
      <xdr:nvSpPr>
        <xdr:cNvPr id="10" name="Line 9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>
          <a:spLocks noChangeShapeType="1"/>
        </xdr:cNvSpPr>
      </xdr:nvSpPr>
      <xdr:spPr bwMode="auto">
        <a:xfrm flipH="1">
          <a:off x="4693920" y="3771900"/>
          <a:ext cx="609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76200</xdr:colOff>
      <xdr:row>22</xdr:row>
      <xdr:rowOff>53340</xdr:rowOff>
    </xdr:from>
    <xdr:to>
      <xdr:col>9</xdr:col>
      <xdr:colOff>129540</xdr:colOff>
      <xdr:row>22</xdr:row>
      <xdr:rowOff>60960</xdr:rowOff>
    </xdr:to>
    <xdr:sp macro="" textlink="">
      <xdr:nvSpPr>
        <xdr:cNvPr id="11" name="Line 10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SpPr>
          <a:spLocks noChangeShapeType="1"/>
        </xdr:cNvSpPr>
      </xdr:nvSpPr>
      <xdr:spPr bwMode="auto">
        <a:xfrm flipV="1">
          <a:off x="5494020" y="3771900"/>
          <a:ext cx="5334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182880</xdr:colOff>
      <xdr:row>16</xdr:row>
      <xdr:rowOff>68580</xdr:rowOff>
    </xdr:from>
    <xdr:to>
      <xdr:col>9</xdr:col>
      <xdr:colOff>464820</xdr:colOff>
      <xdr:row>16</xdr:row>
      <xdr:rowOff>76200</xdr:rowOff>
    </xdr:to>
    <xdr:sp macro="" textlink="">
      <xdr:nvSpPr>
        <xdr:cNvPr id="12" name="Line 11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>
          <a:spLocks noChangeShapeType="1"/>
        </xdr:cNvSpPr>
      </xdr:nvSpPr>
      <xdr:spPr bwMode="auto">
        <a:xfrm>
          <a:off x="4191000" y="2750820"/>
          <a:ext cx="169164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182880</xdr:colOff>
      <xdr:row>16</xdr:row>
      <xdr:rowOff>68580</xdr:rowOff>
    </xdr:from>
    <xdr:to>
      <xdr:col>6</xdr:col>
      <xdr:colOff>190500</xdr:colOff>
      <xdr:row>17</xdr:row>
      <xdr:rowOff>53340</xdr:rowOff>
    </xdr:to>
    <xdr:sp macro="" textlink="">
      <xdr:nvSpPr>
        <xdr:cNvPr id="13" name="Line 12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SpPr>
          <a:spLocks noChangeShapeType="1"/>
        </xdr:cNvSpPr>
      </xdr:nvSpPr>
      <xdr:spPr bwMode="auto">
        <a:xfrm flipV="1">
          <a:off x="4191000" y="2750820"/>
          <a:ext cx="7620" cy="15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457200</xdr:colOff>
      <xdr:row>16</xdr:row>
      <xdr:rowOff>68580</xdr:rowOff>
    </xdr:from>
    <xdr:to>
      <xdr:col>9</xdr:col>
      <xdr:colOff>464820</xdr:colOff>
      <xdr:row>17</xdr:row>
      <xdr:rowOff>76200</xdr:rowOff>
    </xdr:to>
    <xdr:sp macro="" textlink="">
      <xdr:nvSpPr>
        <xdr:cNvPr id="14" name="Line 13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SpPr>
          <a:spLocks noChangeShapeType="1"/>
        </xdr:cNvSpPr>
      </xdr:nvSpPr>
      <xdr:spPr bwMode="auto">
        <a:xfrm flipV="1">
          <a:off x="5875020" y="2750820"/>
          <a:ext cx="7620" cy="1752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236220</xdr:colOff>
      <xdr:row>15</xdr:row>
      <xdr:rowOff>76200</xdr:rowOff>
    </xdr:from>
    <xdr:to>
      <xdr:col>8</xdr:col>
      <xdr:colOff>243840</xdr:colOff>
      <xdr:row>16</xdr:row>
      <xdr:rowOff>68580</xdr:rowOff>
    </xdr:to>
    <xdr:sp macro="" textlink="">
      <xdr:nvSpPr>
        <xdr:cNvPr id="15" name="Line 14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SpPr>
          <a:spLocks noChangeShapeType="1"/>
        </xdr:cNvSpPr>
      </xdr:nvSpPr>
      <xdr:spPr bwMode="auto">
        <a:xfrm flipH="1">
          <a:off x="5166360" y="2590800"/>
          <a:ext cx="7620" cy="1600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281608</xdr:colOff>
      <xdr:row>0</xdr:row>
      <xdr:rowOff>188843</xdr:rowOff>
    </xdr:from>
    <xdr:to>
      <xdr:col>44</xdr:col>
      <xdr:colOff>441462</xdr:colOff>
      <xdr:row>2</xdr:row>
      <xdr:rowOff>163284</xdr:rowOff>
    </xdr:to>
    <xdr:sp macro="" textlink="">
      <xdr:nvSpPr>
        <xdr:cNvPr id="2" name="Horizontal Scroll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30040429" y="188843"/>
          <a:ext cx="2609140" cy="518727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ELECON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81</xdr:col>
      <xdr:colOff>571501</xdr:colOff>
      <xdr:row>0</xdr:row>
      <xdr:rowOff>149087</xdr:rowOff>
    </xdr:from>
    <xdr:to>
      <xdr:col>86</xdr:col>
      <xdr:colOff>118442</xdr:colOff>
      <xdr:row>2</xdr:row>
      <xdr:rowOff>142460</xdr:rowOff>
    </xdr:to>
    <xdr:sp macro="" textlink="">
      <xdr:nvSpPr>
        <xdr:cNvPr id="3" name="Horizontal Scroll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56007001" y="149087"/>
          <a:ext cx="2594941" cy="545823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Premium</a:t>
          </a:r>
        </a:p>
      </xdr:txBody>
    </xdr:sp>
    <xdr:clientData/>
  </xdr:twoCellAnchor>
  <xdr:twoCellAnchor>
    <xdr:from>
      <xdr:col>5</xdr:col>
      <xdr:colOff>105641</xdr:colOff>
      <xdr:row>134</xdr:row>
      <xdr:rowOff>68508</xdr:rowOff>
    </xdr:from>
    <xdr:to>
      <xdr:col>9</xdr:col>
      <xdr:colOff>400916</xdr:colOff>
      <xdr:row>137</xdr:row>
      <xdr:rowOff>20883</xdr:rowOff>
    </xdr:to>
    <xdr:sp macro="" textlink="">
      <xdr:nvSpPr>
        <xdr:cNvPr id="4" name="Horizontal Scroll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5560868" y="37198690"/>
          <a:ext cx="5248275" cy="783648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Anupam    3177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10</xdr:col>
      <xdr:colOff>542925</xdr:colOff>
      <xdr:row>21</xdr:row>
      <xdr:rowOff>95251</xdr:rowOff>
    </xdr:from>
    <xdr:to>
      <xdr:col>13</xdr:col>
      <xdr:colOff>376229</xdr:colOff>
      <xdr:row>22</xdr:row>
      <xdr:rowOff>218000</xdr:rowOff>
    </xdr:to>
    <xdr:sp macro="" textlink="">
      <xdr:nvSpPr>
        <xdr:cNvPr id="5" name="Horizontal Scroll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SpPr/>
      </xdr:nvSpPr>
      <xdr:spPr>
        <a:xfrm>
          <a:off x="11468100" y="5619751"/>
          <a:ext cx="1662104" cy="398974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gradFill>
            <a:gsLst>
              <a:gs pos="0">
                <a:srgbClr val="825600"/>
              </a:gs>
              <a:gs pos="13000">
                <a:srgbClr val="FFA800"/>
              </a:gs>
              <a:gs pos="28000">
                <a:srgbClr val="825600"/>
              </a:gs>
              <a:gs pos="42999">
                <a:srgbClr val="FFA800"/>
              </a:gs>
              <a:gs pos="58000">
                <a:srgbClr val="825600"/>
              </a:gs>
              <a:gs pos="72000">
                <a:srgbClr val="FFA800"/>
              </a:gs>
              <a:gs pos="87000">
                <a:srgbClr val="825600"/>
              </a:gs>
              <a:gs pos="100000">
                <a:srgbClr val="FFA800"/>
              </a:gs>
            </a:gsLst>
            <a:lin ang="5400000" scaled="0"/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Premium</a:t>
          </a:r>
        </a:p>
      </xdr:txBody>
    </xdr:sp>
    <xdr:clientData/>
  </xdr:twoCellAnchor>
  <xdr:twoCellAnchor>
    <xdr:from>
      <xdr:col>10</xdr:col>
      <xdr:colOff>527188</xdr:colOff>
      <xdr:row>25</xdr:row>
      <xdr:rowOff>152401</xdr:rowOff>
    </xdr:from>
    <xdr:to>
      <xdr:col>13</xdr:col>
      <xdr:colOff>347555</xdr:colOff>
      <xdr:row>26</xdr:row>
      <xdr:rowOff>261436</xdr:rowOff>
    </xdr:to>
    <xdr:sp macro="" textlink="">
      <xdr:nvSpPr>
        <xdr:cNvPr id="6" name="Horizontal Scroll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SpPr/>
      </xdr:nvSpPr>
      <xdr:spPr>
        <a:xfrm>
          <a:off x="11452363" y="6781801"/>
          <a:ext cx="1649167" cy="385260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gradFill>
            <a:gsLst>
              <a:gs pos="0">
                <a:srgbClr val="825600"/>
              </a:gs>
              <a:gs pos="13000">
                <a:srgbClr val="FFA800"/>
              </a:gs>
              <a:gs pos="28000">
                <a:srgbClr val="825600"/>
              </a:gs>
              <a:gs pos="42999">
                <a:srgbClr val="FFA800"/>
              </a:gs>
              <a:gs pos="58000">
                <a:srgbClr val="825600"/>
              </a:gs>
              <a:gs pos="72000">
                <a:srgbClr val="FFA800"/>
              </a:gs>
              <a:gs pos="87000">
                <a:srgbClr val="825600"/>
              </a:gs>
              <a:gs pos="100000">
                <a:srgbClr val="FFA800"/>
              </a:gs>
            </a:gsLst>
            <a:lin ang="5400000" scaled="0"/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ELECON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10</xdr:col>
      <xdr:colOff>506895</xdr:colOff>
      <xdr:row>7</xdr:row>
      <xdr:rowOff>84484</xdr:rowOff>
    </xdr:from>
    <xdr:to>
      <xdr:col>13</xdr:col>
      <xdr:colOff>314325</xdr:colOff>
      <xdr:row>8</xdr:row>
      <xdr:rowOff>228601</xdr:rowOff>
    </xdr:to>
    <xdr:sp macro="" textlink="">
      <xdr:nvSpPr>
        <xdr:cNvPr id="7" name="Horizontal Scroll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SpPr/>
      </xdr:nvSpPr>
      <xdr:spPr>
        <a:xfrm>
          <a:off x="11432070" y="1741834"/>
          <a:ext cx="1636230" cy="420342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gradFill>
            <a:gsLst>
              <a:gs pos="0">
                <a:srgbClr val="825600"/>
              </a:gs>
              <a:gs pos="13000">
                <a:srgbClr val="FFA800"/>
              </a:gs>
              <a:gs pos="28000">
                <a:srgbClr val="825600"/>
              </a:gs>
              <a:gs pos="42999">
                <a:srgbClr val="FFA800"/>
              </a:gs>
              <a:gs pos="58000">
                <a:srgbClr val="825600"/>
              </a:gs>
              <a:gs pos="72000">
                <a:srgbClr val="FFA800"/>
              </a:gs>
              <a:gs pos="87000">
                <a:srgbClr val="825600"/>
              </a:gs>
              <a:gs pos="100000">
                <a:srgbClr val="FFA800"/>
              </a:gs>
            </a:gsLst>
            <a:lin ang="5400000" scaled="0"/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Anupam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10</xdr:col>
      <xdr:colOff>568127</xdr:colOff>
      <xdr:row>14</xdr:row>
      <xdr:rowOff>153228</xdr:rowOff>
    </xdr:from>
    <xdr:to>
      <xdr:col>13</xdr:col>
      <xdr:colOff>371860</xdr:colOff>
      <xdr:row>15</xdr:row>
      <xdr:rowOff>256751</xdr:rowOff>
    </xdr:to>
    <xdr:sp macro="" textlink="">
      <xdr:nvSpPr>
        <xdr:cNvPr id="8" name="Horizontal Scroll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SpPr/>
      </xdr:nvSpPr>
      <xdr:spPr>
        <a:xfrm>
          <a:off x="11493302" y="3744153"/>
          <a:ext cx="1632533" cy="379748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gradFill>
            <a:gsLst>
              <a:gs pos="0">
                <a:srgbClr val="825600"/>
              </a:gs>
              <a:gs pos="13000">
                <a:srgbClr val="FFA800"/>
              </a:gs>
              <a:gs pos="28000">
                <a:srgbClr val="825600"/>
              </a:gs>
              <a:gs pos="42999">
                <a:srgbClr val="FFA800"/>
              </a:gs>
              <a:gs pos="58000">
                <a:srgbClr val="825600"/>
              </a:gs>
              <a:gs pos="72000">
                <a:srgbClr val="FFA800"/>
              </a:gs>
              <a:gs pos="87000">
                <a:srgbClr val="825600"/>
              </a:gs>
              <a:gs pos="100000">
                <a:srgbClr val="FFA800"/>
              </a:gs>
            </a:gsLst>
            <a:lin ang="5400000" scaled="0"/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Anupam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7</xdr:col>
      <xdr:colOff>538370</xdr:colOff>
      <xdr:row>65</xdr:row>
      <xdr:rowOff>41413</xdr:rowOff>
    </xdr:from>
    <xdr:to>
      <xdr:col>11</xdr:col>
      <xdr:colOff>168138</xdr:colOff>
      <xdr:row>67</xdr:row>
      <xdr:rowOff>150743</xdr:rowOff>
    </xdr:to>
    <xdr:sp macro="" textlink="">
      <xdr:nvSpPr>
        <xdr:cNvPr id="9" name="Horizontal Scroll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SpPr/>
      </xdr:nvSpPr>
      <xdr:spPr>
        <a:xfrm>
          <a:off x="8777495" y="13023988"/>
          <a:ext cx="3706468" cy="661780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ELECON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7</xdr:col>
      <xdr:colOff>521804</xdr:colOff>
      <xdr:row>62</xdr:row>
      <xdr:rowOff>66261</xdr:rowOff>
    </xdr:from>
    <xdr:to>
      <xdr:col>11</xdr:col>
      <xdr:colOff>151572</xdr:colOff>
      <xdr:row>64</xdr:row>
      <xdr:rowOff>175591</xdr:rowOff>
    </xdr:to>
    <xdr:sp macro="" textlink="">
      <xdr:nvSpPr>
        <xdr:cNvPr id="10" name="Horizontal Scroll 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SpPr/>
      </xdr:nvSpPr>
      <xdr:spPr>
        <a:xfrm>
          <a:off x="8760929" y="12220161"/>
          <a:ext cx="3706468" cy="661780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Premium</a:t>
          </a:r>
        </a:p>
      </xdr:txBody>
    </xdr:sp>
    <xdr:clientData/>
  </xdr:twoCellAnchor>
  <xdr:twoCellAnchor>
    <xdr:from>
      <xdr:col>7</xdr:col>
      <xdr:colOff>505239</xdr:colOff>
      <xdr:row>59</xdr:row>
      <xdr:rowOff>33130</xdr:rowOff>
    </xdr:from>
    <xdr:to>
      <xdr:col>11</xdr:col>
      <xdr:colOff>135007</xdr:colOff>
      <xdr:row>61</xdr:row>
      <xdr:rowOff>142460</xdr:rowOff>
    </xdr:to>
    <xdr:sp macro="" textlink="">
      <xdr:nvSpPr>
        <xdr:cNvPr id="11" name="Horizontal Scroll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200-00000B000000}"/>
            </a:ext>
          </a:extLst>
        </xdr:cNvPr>
        <xdr:cNvSpPr/>
      </xdr:nvSpPr>
      <xdr:spPr>
        <a:xfrm>
          <a:off x="8744364" y="11358355"/>
          <a:ext cx="3706468" cy="661780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Anupam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105</xdr:col>
      <xdr:colOff>13607</xdr:colOff>
      <xdr:row>0</xdr:row>
      <xdr:rowOff>176893</xdr:rowOff>
    </xdr:from>
    <xdr:to>
      <xdr:col>109</xdr:col>
      <xdr:colOff>172869</xdr:colOff>
      <xdr:row>2</xdr:row>
      <xdr:rowOff>170266</xdr:rowOff>
    </xdr:to>
    <xdr:sp macro="" textlink="">
      <xdr:nvSpPr>
        <xdr:cNvPr id="12" name="Horizontal Scroll 1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SpPr/>
      </xdr:nvSpPr>
      <xdr:spPr>
        <a:xfrm>
          <a:off x="69573321" y="176893"/>
          <a:ext cx="2608548" cy="537659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Premium</a:t>
          </a:r>
        </a:p>
      </xdr:txBody>
    </xdr:sp>
    <xdr:clientData/>
  </xdr:twoCellAnchor>
  <xdr:twoCellAnchor>
    <xdr:from>
      <xdr:col>61</xdr:col>
      <xdr:colOff>517073</xdr:colOff>
      <xdr:row>0</xdr:row>
      <xdr:rowOff>163286</xdr:rowOff>
    </xdr:from>
    <xdr:to>
      <xdr:col>66</xdr:col>
      <xdr:colOff>64605</xdr:colOff>
      <xdr:row>2</xdr:row>
      <xdr:rowOff>137727</xdr:rowOff>
    </xdr:to>
    <xdr:sp macro="" textlink="">
      <xdr:nvSpPr>
        <xdr:cNvPr id="13" name="Horizontal Scroll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SpPr/>
      </xdr:nvSpPr>
      <xdr:spPr>
        <a:xfrm>
          <a:off x="43134644" y="163286"/>
          <a:ext cx="2609140" cy="518727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ELECON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167</xdr:col>
      <xdr:colOff>281608</xdr:colOff>
      <xdr:row>1</xdr:row>
      <xdr:rowOff>188843</xdr:rowOff>
    </xdr:from>
    <xdr:to>
      <xdr:col>171</xdr:col>
      <xdr:colOff>441462</xdr:colOff>
      <xdr:row>3</xdr:row>
      <xdr:rowOff>163284</xdr:rowOff>
    </xdr:to>
    <xdr:sp macro="" textlink="">
      <xdr:nvSpPr>
        <xdr:cNvPr id="14" name="Horizontal Scroll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E000000}"/>
            </a:ext>
          </a:extLst>
        </xdr:cNvPr>
        <xdr:cNvSpPr/>
      </xdr:nvSpPr>
      <xdr:spPr>
        <a:xfrm>
          <a:off x="28856608" y="188843"/>
          <a:ext cx="2445854" cy="545941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ELECON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208</xdr:col>
      <xdr:colOff>571501</xdr:colOff>
      <xdr:row>1</xdr:row>
      <xdr:rowOff>149087</xdr:rowOff>
    </xdr:from>
    <xdr:to>
      <xdr:col>213</xdr:col>
      <xdr:colOff>118442</xdr:colOff>
      <xdr:row>3</xdr:row>
      <xdr:rowOff>142460</xdr:rowOff>
    </xdr:to>
    <xdr:sp macro="" textlink="">
      <xdr:nvSpPr>
        <xdr:cNvPr id="15" name="Horizontal Scroll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F000000}"/>
            </a:ext>
          </a:extLst>
        </xdr:cNvPr>
        <xdr:cNvSpPr/>
      </xdr:nvSpPr>
      <xdr:spPr>
        <a:xfrm>
          <a:off x="52578001" y="149087"/>
          <a:ext cx="2404441" cy="564873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Premium</a:t>
          </a:r>
        </a:p>
      </xdr:txBody>
    </xdr:sp>
    <xdr:clientData/>
  </xdr:twoCellAnchor>
  <xdr:twoCellAnchor>
    <xdr:from>
      <xdr:col>131</xdr:col>
      <xdr:colOff>523315</xdr:colOff>
      <xdr:row>134</xdr:row>
      <xdr:rowOff>210110</xdr:rowOff>
    </xdr:from>
    <xdr:to>
      <xdr:col>138</xdr:col>
      <xdr:colOff>134470</xdr:colOff>
      <xdr:row>137</xdr:row>
      <xdr:rowOff>162485</xdr:rowOff>
    </xdr:to>
    <xdr:sp macro="" textlink="">
      <xdr:nvSpPr>
        <xdr:cNvPr id="16" name="Horizontal Scroll 1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200-000010000000}"/>
            </a:ext>
          </a:extLst>
        </xdr:cNvPr>
        <xdr:cNvSpPr/>
      </xdr:nvSpPr>
      <xdr:spPr>
        <a:xfrm>
          <a:off x="87906786" y="37749816"/>
          <a:ext cx="5415802" cy="792816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Anupam    3177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124</xdr:col>
      <xdr:colOff>95250</xdr:colOff>
      <xdr:row>21</xdr:row>
      <xdr:rowOff>123825</xdr:rowOff>
    </xdr:from>
    <xdr:to>
      <xdr:col>126</xdr:col>
      <xdr:colOff>404606</xdr:colOff>
      <xdr:row>23</xdr:row>
      <xdr:rowOff>89452</xdr:rowOff>
    </xdr:to>
    <xdr:sp macro="" textlink="">
      <xdr:nvSpPr>
        <xdr:cNvPr id="17" name="Horizontal Scroll 1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11000000}"/>
            </a:ext>
          </a:extLst>
        </xdr:cNvPr>
        <xdr:cNvSpPr/>
      </xdr:nvSpPr>
      <xdr:spPr>
        <a:xfrm>
          <a:off x="80962500" y="5924550"/>
          <a:ext cx="1528556" cy="518077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gradFill>
            <a:gsLst>
              <a:gs pos="0">
                <a:srgbClr val="825600"/>
              </a:gs>
              <a:gs pos="13000">
                <a:srgbClr val="FFA800"/>
              </a:gs>
              <a:gs pos="28000">
                <a:srgbClr val="825600"/>
              </a:gs>
              <a:gs pos="42999">
                <a:srgbClr val="FFA800"/>
              </a:gs>
              <a:gs pos="58000">
                <a:srgbClr val="825600"/>
              </a:gs>
              <a:gs pos="72000">
                <a:srgbClr val="FFA800"/>
              </a:gs>
              <a:gs pos="87000">
                <a:srgbClr val="825600"/>
              </a:gs>
              <a:gs pos="100000">
                <a:srgbClr val="FFA800"/>
              </a:gs>
            </a:gsLst>
            <a:lin ang="5400000" scaled="0"/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Premium</a:t>
          </a:r>
        </a:p>
      </xdr:txBody>
    </xdr:sp>
    <xdr:clientData/>
  </xdr:twoCellAnchor>
  <xdr:twoCellAnchor>
    <xdr:from>
      <xdr:col>124</xdr:col>
      <xdr:colOff>98563</xdr:colOff>
      <xdr:row>25</xdr:row>
      <xdr:rowOff>123825</xdr:rowOff>
    </xdr:from>
    <xdr:to>
      <xdr:col>126</xdr:col>
      <xdr:colOff>398394</xdr:colOff>
      <xdr:row>27</xdr:row>
      <xdr:rowOff>71644</xdr:rowOff>
    </xdr:to>
    <xdr:sp macro="" textlink="">
      <xdr:nvSpPr>
        <xdr:cNvPr id="18" name="Horizontal Scroll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12000000}"/>
            </a:ext>
          </a:extLst>
        </xdr:cNvPr>
        <xdr:cNvSpPr/>
      </xdr:nvSpPr>
      <xdr:spPr>
        <a:xfrm>
          <a:off x="80965813" y="7029450"/>
          <a:ext cx="1519031" cy="500269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gradFill>
            <a:gsLst>
              <a:gs pos="0">
                <a:srgbClr val="825600"/>
              </a:gs>
              <a:gs pos="13000">
                <a:srgbClr val="FFA800"/>
              </a:gs>
              <a:gs pos="28000">
                <a:srgbClr val="825600"/>
              </a:gs>
              <a:gs pos="42999">
                <a:srgbClr val="FFA800"/>
              </a:gs>
              <a:gs pos="58000">
                <a:srgbClr val="825600"/>
              </a:gs>
              <a:gs pos="72000">
                <a:srgbClr val="FFA800"/>
              </a:gs>
              <a:gs pos="87000">
                <a:srgbClr val="825600"/>
              </a:gs>
              <a:gs pos="100000">
                <a:srgbClr val="FFA800"/>
              </a:gs>
            </a:gsLst>
            <a:lin ang="5400000" scaled="0"/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ELECON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124</xdr:col>
      <xdr:colOff>106845</xdr:colOff>
      <xdr:row>8</xdr:row>
      <xdr:rowOff>46383</xdr:rowOff>
    </xdr:from>
    <xdr:to>
      <xdr:col>126</xdr:col>
      <xdr:colOff>397151</xdr:colOff>
      <xdr:row>10</xdr:row>
      <xdr:rowOff>39757</xdr:rowOff>
    </xdr:to>
    <xdr:sp macro="" textlink="">
      <xdr:nvSpPr>
        <xdr:cNvPr id="19" name="Horizontal Scroll 1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200-000013000000}"/>
            </a:ext>
          </a:extLst>
        </xdr:cNvPr>
        <xdr:cNvSpPr/>
      </xdr:nvSpPr>
      <xdr:spPr>
        <a:xfrm>
          <a:off x="80974095" y="2256183"/>
          <a:ext cx="1509506" cy="545824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gradFill>
            <a:gsLst>
              <a:gs pos="0">
                <a:srgbClr val="825600"/>
              </a:gs>
              <a:gs pos="13000">
                <a:srgbClr val="FFA800"/>
              </a:gs>
              <a:gs pos="28000">
                <a:srgbClr val="825600"/>
              </a:gs>
              <a:gs pos="42999">
                <a:srgbClr val="FFA800"/>
              </a:gs>
              <a:gs pos="58000">
                <a:srgbClr val="825600"/>
              </a:gs>
              <a:gs pos="72000">
                <a:srgbClr val="FFA800"/>
              </a:gs>
              <a:gs pos="87000">
                <a:srgbClr val="825600"/>
              </a:gs>
              <a:gs pos="100000">
                <a:srgbClr val="FFA800"/>
              </a:gs>
            </a:gsLst>
            <a:lin ang="5400000" scaled="0"/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Anupam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124</xdr:col>
      <xdr:colOff>120453</xdr:colOff>
      <xdr:row>14</xdr:row>
      <xdr:rowOff>181803</xdr:rowOff>
    </xdr:from>
    <xdr:to>
      <xdr:col>126</xdr:col>
      <xdr:colOff>408037</xdr:colOff>
      <xdr:row>16</xdr:row>
      <xdr:rowOff>122465</xdr:rowOff>
    </xdr:to>
    <xdr:sp macro="" textlink="">
      <xdr:nvSpPr>
        <xdr:cNvPr id="20" name="Horizontal Scroll 1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200-000014000000}"/>
            </a:ext>
          </a:extLst>
        </xdr:cNvPr>
        <xdr:cNvSpPr/>
      </xdr:nvSpPr>
      <xdr:spPr>
        <a:xfrm>
          <a:off x="80987703" y="4048953"/>
          <a:ext cx="1506784" cy="493112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gradFill>
            <a:gsLst>
              <a:gs pos="0">
                <a:srgbClr val="825600"/>
              </a:gs>
              <a:gs pos="13000">
                <a:srgbClr val="FFA800"/>
              </a:gs>
              <a:gs pos="28000">
                <a:srgbClr val="825600"/>
              </a:gs>
              <a:gs pos="42999">
                <a:srgbClr val="FFA800"/>
              </a:gs>
              <a:gs pos="58000">
                <a:srgbClr val="825600"/>
              </a:gs>
              <a:gs pos="72000">
                <a:srgbClr val="FFA800"/>
              </a:gs>
              <a:gs pos="87000">
                <a:srgbClr val="825600"/>
              </a:gs>
              <a:gs pos="100000">
                <a:srgbClr val="FFA800"/>
              </a:gs>
            </a:gsLst>
            <a:lin ang="5400000" scaled="0"/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Anupam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134</xdr:col>
      <xdr:colOff>538370</xdr:colOff>
      <xdr:row>65</xdr:row>
      <xdr:rowOff>41413</xdr:rowOff>
    </xdr:from>
    <xdr:to>
      <xdr:col>138</xdr:col>
      <xdr:colOff>168138</xdr:colOff>
      <xdr:row>67</xdr:row>
      <xdr:rowOff>150743</xdr:rowOff>
    </xdr:to>
    <xdr:sp macro="" textlink="">
      <xdr:nvSpPr>
        <xdr:cNvPr id="21" name="Horizontal Scroll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15000000}"/>
            </a:ext>
          </a:extLst>
        </xdr:cNvPr>
        <xdr:cNvSpPr/>
      </xdr:nvSpPr>
      <xdr:spPr>
        <a:xfrm>
          <a:off x="8729870" y="13471663"/>
          <a:ext cx="2868268" cy="680830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ELECON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134</xdr:col>
      <xdr:colOff>521804</xdr:colOff>
      <xdr:row>62</xdr:row>
      <xdr:rowOff>66261</xdr:rowOff>
    </xdr:from>
    <xdr:to>
      <xdr:col>138</xdr:col>
      <xdr:colOff>151572</xdr:colOff>
      <xdr:row>64</xdr:row>
      <xdr:rowOff>175591</xdr:rowOff>
    </xdr:to>
    <xdr:sp macro="" textlink="">
      <xdr:nvSpPr>
        <xdr:cNvPr id="22" name="Horizontal Scroll 2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16000000}"/>
            </a:ext>
          </a:extLst>
        </xdr:cNvPr>
        <xdr:cNvSpPr/>
      </xdr:nvSpPr>
      <xdr:spPr>
        <a:xfrm>
          <a:off x="8713304" y="12639261"/>
          <a:ext cx="2868268" cy="680830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Premium</a:t>
          </a:r>
        </a:p>
      </xdr:txBody>
    </xdr:sp>
    <xdr:clientData/>
  </xdr:twoCellAnchor>
  <xdr:twoCellAnchor>
    <xdr:from>
      <xdr:col>134</xdr:col>
      <xdr:colOff>505239</xdr:colOff>
      <xdr:row>59</xdr:row>
      <xdr:rowOff>33130</xdr:rowOff>
    </xdr:from>
    <xdr:to>
      <xdr:col>138</xdr:col>
      <xdr:colOff>135007</xdr:colOff>
      <xdr:row>61</xdr:row>
      <xdr:rowOff>142460</xdr:rowOff>
    </xdr:to>
    <xdr:sp macro="" textlink="">
      <xdr:nvSpPr>
        <xdr:cNvPr id="23" name="Horizontal Scroll 2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200-000017000000}"/>
            </a:ext>
          </a:extLst>
        </xdr:cNvPr>
        <xdr:cNvSpPr/>
      </xdr:nvSpPr>
      <xdr:spPr>
        <a:xfrm>
          <a:off x="8696739" y="11748880"/>
          <a:ext cx="2868268" cy="680830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Anupam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232</xdr:col>
      <xdr:colOff>13607</xdr:colOff>
      <xdr:row>1</xdr:row>
      <xdr:rowOff>176893</xdr:rowOff>
    </xdr:from>
    <xdr:to>
      <xdr:col>236</xdr:col>
      <xdr:colOff>172869</xdr:colOff>
      <xdr:row>3</xdr:row>
      <xdr:rowOff>170266</xdr:rowOff>
    </xdr:to>
    <xdr:sp macro="" textlink="">
      <xdr:nvSpPr>
        <xdr:cNvPr id="24" name="Horizontal Scroll 2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18000000}"/>
            </a:ext>
          </a:extLst>
        </xdr:cNvPr>
        <xdr:cNvSpPr/>
      </xdr:nvSpPr>
      <xdr:spPr>
        <a:xfrm>
          <a:off x="65736107" y="176893"/>
          <a:ext cx="2445262" cy="564873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Premium</a:t>
          </a:r>
        </a:p>
      </xdr:txBody>
    </xdr:sp>
    <xdr:clientData/>
  </xdr:twoCellAnchor>
  <xdr:twoCellAnchor>
    <xdr:from>
      <xdr:col>188</xdr:col>
      <xdr:colOff>517073</xdr:colOff>
      <xdr:row>1</xdr:row>
      <xdr:rowOff>163286</xdr:rowOff>
    </xdr:from>
    <xdr:to>
      <xdr:col>193</xdr:col>
      <xdr:colOff>64605</xdr:colOff>
      <xdr:row>3</xdr:row>
      <xdr:rowOff>137727</xdr:rowOff>
    </xdr:to>
    <xdr:sp macro="" textlink="">
      <xdr:nvSpPr>
        <xdr:cNvPr id="25" name="Horizontal Scroll 2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19000000}"/>
            </a:ext>
          </a:extLst>
        </xdr:cNvPr>
        <xdr:cNvSpPr/>
      </xdr:nvSpPr>
      <xdr:spPr>
        <a:xfrm>
          <a:off x="41093573" y="163286"/>
          <a:ext cx="2405032" cy="545941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ELECON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4</xdr:col>
      <xdr:colOff>1314450</xdr:colOff>
      <xdr:row>322</xdr:row>
      <xdr:rowOff>47625</xdr:rowOff>
    </xdr:from>
    <xdr:to>
      <xdr:col>9</xdr:col>
      <xdr:colOff>180975</xdr:colOff>
      <xdr:row>325</xdr:row>
      <xdr:rowOff>0</xdr:rowOff>
    </xdr:to>
    <xdr:sp macro="" textlink="">
      <xdr:nvSpPr>
        <xdr:cNvPr id="27" name="Horizontal Scroll 2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200-00001B000000}"/>
            </a:ext>
          </a:extLst>
        </xdr:cNvPr>
        <xdr:cNvSpPr/>
      </xdr:nvSpPr>
      <xdr:spPr>
        <a:xfrm>
          <a:off x="5314950" y="88877775"/>
          <a:ext cx="5229225" cy="781050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Anupam   4137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134</xdr:col>
      <xdr:colOff>0</xdr:colOff>
      <xdr:row>323</xdr:row>
      <xdr:rowOff>0</xdr:rowOff>
    </xdr:from>
    <xdr:to>
      <xdr:col>141</xdr:col>
      <xdr:colOff>171450</xdr:colOff>
      <xdr:row>325</xdr:row>
      <xdr:rowOff>228600</xdr:rowOff>
    </xdr:to>
    <xdr:sp macro="" textlink="">
      <xdr:nvSpPr>
        <xdr:cNvPr id="29" name="Horizontal Scroll 2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200-00001D000000}"/>
            </a:ext>
          </a:extLst>
        </xdr:cNvPr>
        <xdr:cNvSpPr/>
      </xdr:nvSpPr>
      <xdr:spPr>
        <a:xfrm>
          <a:off x="90182700" y="89106375"/>
          <a:ext cx="5229225" cy="781050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Anupam   4137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12</xdr:col>
      <xdr:colOff>745808</xdr:colOff>
      <xdr:row>35</xdr:row>
      <xdr:rowOff>120794</xdr:rowOff>
    </xdr:from>
    <xdr:to>
      <xdr:col>13</xdr:col>
      <xdr:colOff>741011</xdr:colOff>
      <xdr:row>36</xdr:row>
      <xdr:rowOff>90181</xdr:rowOff>
    </xdr:to>
    <xdr:sp macro="" textlink="">
      <xdr:nvSpPr>
        <xdr:cNvPr id="33" name="Down Arrow Callout 3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21000000}"/>
            </a:ext>
          </a:extLst>
        </xdr:cNvPr>
        <xdr:cNvSpPr/>
      </xdr:nvSpPr>
      <xdr:spPr>
        <a:xfrm>
          <a:off x="13097692" y="9764857"/>
          <a:ext cx="746998" cy="244931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8429</xdr:colOff>
      <xdr:row>35</xdr:row>
      <xdr:rowOff>124088</xdr:rowOff>
    </xdr:from>
    <xdr:to>
      <xdr:col>15</xdr:col>
      <xdr:colOff>6391</xdr:colOff>
      <xdr:row>36</xdr:row>
      <xdr:rowOff>82994</xdr:rowOff>
    </xdr:to>
    <xdr:sp macro="" textlink="">
      <xdr:nvSpPr>
        <xdr:cNvPr id="34" name="Down Arrow Callout 33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22000000}"/>
            </a:ext>
          </a:extLst>
        </xdr:cNvPr>
        <xdr:cNvSpPr/>
      </xdr:nvSpPr>
      <xdr:spPr>
        <a:xfrm>
          <a:off x="13867304" y="9791963"/>
          <a:ext cx="75043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9685</xdr:colOff>
      <xdr:row>31</xdr:row>
      <xdr:rowOff>16693</xdr:rowOff>
    </xdr:from>
    <xdr:to>
      <xdr:col>13</xdr:col>
      <xdr:colOff>740569</xdr:colOff>
      <xdr:row>31</xdr:row>
      <xdr:rowOff>271213</xdr:rowOff>
    </xdr:to>
    <xdr:sp macro="" textlink="">
      <xdr:nvSpPr>
        <xdr:cNvPr id="35" name="Up Arrow Callout 3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23000000}"/>
            </a:ext>
          </a:extLst>
        </xdr:cNvPr>
        <xdr:cNvSpPr/>
      </xdr:nvSpPr>
      <xdr:spPr>
        <a:xfrm>
          <a:off x="13116085" y="8579668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14</xdr:col>
      <xdr:colOff>14288</xdr:colOff>
      <xdr:row>31</xdr:row>
      <xdr:rowOff>20598</xdr:rowOff>
    </xdr:from>
    <xdr:to>
      <xdr:col>14</xdr:col>
      <xdr:colOff>744547</xdr:colOff>
      <xdr:row>31</xdr:row>
      <xdr:rowOff>271755</xdr:rowOff>
    </xdr:to>
    <xdr:sp macro="" textlink="">
      <xdr:nvSpPr>
        <xdr:cNvPr id="49" name="Up Arrow Callout 4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31000000}"/>
            </a:ext>
          </a:extLst>
        </xdr:cNvPr>
        <xdr:cNvSpPr/>
      </xdr:nvSpPr>
      <xdr:spPr>
        <a:xfrm>
          <a:off x="13873163" y="8583573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13</xdr:col>
      <xdr:colOff>301</xdr:colOff>
      <xdr:row>34</xdr:row>
      <xdr:rowOff>125214</xdr:rowOff>
    </xdr:from>
    <xdr:to>
      <xdr:col>13</xdr:col>
      <xdr:colOff>742950</xdr:colOff>
      <xdr:row>35</xdr:row>
      <xdr:rowOff>79925</xdr:rowOff>
    </xdr:to>
    <xdr:sp macro="" textlink="">
      <xdr:nvSpPr>
        <xdr:cNvPr id="45" name="Down Arrow Callout 4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2D000000}"/>
            </a:ext>
          </a:extLst>
        </xdr:cNvPr>
        <xdr:cNvSpPr/>
      </xdr:nvSpPr>
      <xdr:spPr>
        <a:xfrm>
          <a:off x="13106701" y="9516864"/>
          <a:ext cx="742649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11906</xdr:colOff>
      <xdr:row>34</xdr:row>
      <xdr:rowOff>124663</xdr:rowOff>
    </xdr:from>
    <xdr:to>
      <xdr:col>15</xdr:col>
      <xdr:colOff>5033</xdr:colOff>
      <xdr:row>35</xdr:row>
      <xdr:rowOff>82945</xdr:rowOff>
    </xdr:to>
    <xdr:sp macro="" textlink="">
      <xdr:nvSpPr>
        <xdr:cNvPr id="50" name="Down Arrow Callout 4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32000000}"/>
            </a:ext>
          </a:extLst>
        </xdr:cNvPr>
        <xdr:cNvSpPr/>
      </xdr:nvSpPr>
      <xdr:spPr>
        <a:xfrm>
          <a:off x="13870781" y="9516313"/>
          <a:ext cx="74560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6569</xdr:colOff>
      <xdr:row>32</xdr:row>
      <xdr:rowOff>25126</xdr:rowOff>
    </xdr:from>
    <xdr:to>
      <xdr:col>13</xdr:col>
      <xdr:colOff>745331</xdr:colOff>
      <xdr:row>33</xdr:row>
      <xdr:rowOff>5950</xdr:rowOff>
    </xdr:to>
    <xdr:sp macro="" textlink="">
      <xdr:nvSpPr>
        <xdr:cNvPr id="51" name="Up Arrow Callout 50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33000000}"/>
            </a:ext>
          </a:extLst>
        </xdr:cNvPr>
        <xdr:cNvSpPr/>
      </xdr:nvSpPr>
      <xdr:spPr>
        <a:xfrm>
          <a:off x="13112969" y="8864326"/>
          <a:ext cx="738762" cy="257049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19707</xdr:colOff>
      <xdr:row>32</xdr:row>
      <xdr:rowOff>22746</xdr:rowOff>
    </xdr:from>
    <xdr:to>
      <xdr:col>15</xdr:col>
      <xdr:colOff>8254</xdr:colOff>
      <xdr:row>32</xdr:row>
      <xdr:rowOff>273904</xdr:rowOff>
    </xdr:to>
    <xdr:sp macro="" textlink="">
      <xdr:nvSpPr>
        <xdr:cNvPr id="52" name="Up Arrow Callout 51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34000000}"/>
            </a:ext>
          </a:extLst>
        </xdr:cNvPr>
        <xdr:cNvSpPr/>
      </xdr:nvSpPr>
      <xdr:spPr>
        <a:xfrm>
          <a:off x="13878582" y="8861946"/>
          <a:ext cx="74102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4763</xdr:colOff>
      <xdr:row>33</xdr:row>
      <xdr:rowOff>19132</xdr:rowOff>
    </xdr:from>
    <xdr:to>
      <xdr:col>13</xdr:col>
      <xdr:colOff>742950</xdr:colOff>
      <xdr:row>34</xdr:row>
      <xdr:rowOff>1150</xdr:rowOff>
    </xdr:to>
    <xdr:sp macro="" textlink="">
      <xdr:nvSpPr>
        <xdr:cNvPr id="55" name="Up Arrow Callout 5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37000000}"/>
            </a:ext>
          </a:extLst>
        </xdr:cNvPr>
        <xdr:cNvSpPr/>
      </xdr:nvSpPr>
      <xdr:spPr>
        <a:xfrm>
          <a:off x="13111163" y="9134557"/>
          <a:ext cx="738187" cy="258243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17400</xdr:colOff>
      <xdr:row>33</xdr:row>
      <xdr:rowOff>22685</xdr:rowOff>
    </xdr:from>
    <xdr:to>
      <xdr:col>15</xdr:col>
      <xdr:colOff>5445</xdr:colOff>
      <xdr:row>33</xdr:row>
      <xdr:rowOff>275211</xdr:rowOff>
    </xdr:to>
    <xdr:sp macro="" textlink="">
      <xdr:nvSpPr>
        <xdr:cNvPr id="56" name="Up Arrow Callout 5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38000000}"/>
            </a:ext>
          </a:extLst>
        </xdr:cNvPr>
        <xdr:cNvSpPr/>
      </xdr:nvSpPr>
      <xdr:spPr>
        <a:xfrm>
          <a:off x="13876275" y="9138110"/>
          <a:ext cx="74052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168088</xdr:colOff>
      <xdr:row>146</xdr:row>
      <xdr:rowOff>193747</xdr:rowOff>
    </xdr:from>
    <xdr:to>
      <xdr:col>2</xdr:col>
      <xdr:colOff>252938</xdr:colOff>
      <xdr:row>147</xdr:row>
      <xdr:rowOff>163134</xdr:rowOff>
    </xdr:to>
    <xdr:sp macro="" textlink="">
      <xdr:nvSpPr>
        <xdr:cNvPr id="57" name="Down Arrow Callout 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39000000}"/>
            </a:ext>
          </a:extLst>
        </xdr:cNvPr>
        <xdr:cNvSpPr/>
      </xdr:nvSpPr>
      <xdr:spPr>
        <a:xfrm>
          <a:off x="649941" y="41095218"/>
          <a:ext cx="745997" cy="249534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271150</xdr:colOff>
      <xdr:row>146</xdr:row>
      <xdr:rowOff>197041</xdr:rowOff>
    </xdr:from>
    <xdr:to>
      <xdr:col>2</xdr:col>
      <xdr:colOff>1019906</xdr:colOff>
      <xdr:row>147</xdr:row>
      <xdr:rowOff>155947</xdr:rowOff>
    </xdr:to>
    <xdr:sp macro="" textlink="">
      <xdr:nvSpPr>
        <xdr:cNvPr id="58" name="Down Arrow Callout 5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3A000000}"/>
            </a:ext>
          </a:extLst>
        </xdr:cNvPr>
        <xdr:cNvSpPr/>
      </xdr:nvSpPr>
      <xdr:spPr>
        <a:xfrm>
          <a:off x="1414150" y="41098512"/>
          <a:ext cx="748756" cy="239053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182759</xdr:colOff>
      <xdr:row>142</xdr:row>
      <xdr:rowOff>89647</xdr:rowOff>
    </xdr:from>
    <xdr:to>
      <xdr:col>2</xdr:col>
      <xdr:colOff>252496</xdr:colOff>
      <xdr:row>143</xdr:row>
      <xdr:rowOff>64020</xdr:rowOff>
    </xdr:to>
    <xdr:sp macro="" textlink="">
      <xdr:nvSpPr>
        <xdr:cNvPr id="59" name="Up Arrow Callout 5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3B000000}"/>
            </a:ext>
          </a:extLst>
        </xdr:cNvPr>
        <xdr:cNvSpPr/>
      </xdr:nvSpPr>
      <xdr:spPr>
        <a:xfrm>
          <a:off x="664612" y="39870529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</xdr:col>
      <xdr:colOff>277009</xdr:colOff>
      <xdr:row>142</xdr:row>
      <xdr:rowOff>93552</xdr:rowOff>
    </xdr:from>
    <xdr:to>
      <xdr:col>2</xdr:col>
      <xdr:colOff>1007268</xdr:colOff>
      <xdr:row>143</xdr:row>
      <xdr:rowOff>64562</xdr:rowOff>
    </xdr:to>
    <xdr:sp macro="" textlink="">
      <xdr:nvSpPr>
        <xdr:cNvPr id="60" name="Up Arrow Callout 5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3C000000}"/>
            </a:ext>
          </a:extLst>
        </xdr:cNvPr>
        <xdr:cNvSpPr/>
      </xdr:nvSpPr>
      <xdr:spPr>
        <a:xfrm>
          <a:off x="1420009" y="39874434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</xdr:col>
      <xdr:colOff>173375</xdr:colOff>
      <xdr:row>145</xdr:row>
      <xdr:rowOff>198167</xdr:rowOff>
    </xdr:from>
    <xdr:to>
      <xdr:col>2</xdr:col>
      <xdr:colOff>254877</xdr:colOff>
      <xdr:row>146</xdr:row>
      <xdr:rowOff>152878</xdr:rowOff>
    </xdr:to>
    <xdr:sp macro="" textlink="">
      <xdr:nvSpPr>
        <xdr:cNvPr id="61" name="Down Arrow Callout 6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3D000000}"/>
            </a:ext>
          </a:extLst>
        </xdr:cNvPr>
        <xdr:cNvSpPr/>
      </xdr:nvSpPr>
      <xdr:spPr>
        <a:xfrm>
          <a:off x="655228" y="40819491"/>
          <a:ext cx="742649" cy="234858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274627</xdr:colOff>
      <xdr:row>145</xdr:row>
      <xdr:rowOff>197616</xdr:rowOff>
    </xdr:from>
    <xdr:to>
      <xdr:col>2</xdr:col>
      <xdr:colOff>1018548</xdr:colOff>
      <xdr:row>146</xdr:row>
      <xdr:rowOff>155898</xdr:rowOff>
    </xdr:to>
    <xdr:sp macro="" textlink="">
      <xdr:nvSpPr>
        <xdr:cNvPr id="62" name="Down Arrow Callout 6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3E000000}"/>
            </a:ext>
          </a:extLst>
        </xdr:cNvPr>
        <xdr:cNvSpPr/>
      </xdr:nvSpPr>
      <xdr:spPr>
        <a:xfrm>
          <a:off x="1417627" y="40818940"/>
          <a:ext cx="743921" cy="238429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179643</xdr:colOff>
      <xdr:row>143</xdr:row>
      <xdr:rowOff>98080</xdr:rowOff>
    </xdr:from>
    <xdr:to>
      <xdr:col>2</xdr:col>
      <xdr:colOff>257258</xdr:colOff>
      <xdr:row>144</xdr:row>
      <xdr:rowOff>78904</xdr:rowOff>
    </xdr:to>
    <xdr:sp macro="" textlink="">
      <xdr:nvSpPr>
        <xdr:cNvPr id="63" name="Up Arrow Callout 6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3F000000}"/>
            </a:ext>
          </a:extLst>
        </xdr:cNvPr>
        <xdr:cNvSpPr/>
      </xdr:nvSpPr>
      <xdr:spPr>
        <a:xfrm>
          <a:off x="661496" y="40159109"/>
          <a:ext cx="738762" cy="260971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282428</xdr:colOff>
      <xdr:row>143</xdr:row>
      <xdr:rowOff>95700</xdr:rowOff>
    </xdr:from>
    <xdr:to>
      <xdr:col>2</xdr:col>
      <xdr:colOff>1021769</xdr:colOff>
      <xdr:row>144</xdr:row>
      <xdr:rowOff>66711</xdr:rowOff>
    </xdr:to>
    <xdr:sp macro="" textlink="">
      <xdr:nvSpPr>
        <xdr:cNvPr id="64" name="Up Arrow Callout 6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40000000}"/>
            </a:ext>
          </a:extLst>
        </xdr:cNvPr>
        <xdr:cNvSpPr/>
      </xdr:nvSpPr>
      <xdr:spPr>
        <a:xfrm>
          <a:off x="1425428" y="40156729"/>
          <a:ext cx="739341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177837</xdr:colOff>
      <xdr:row>144</xdr:row>
      <xdr:rowOff>92086</xdr:rowOff>
    </xdr:from>
    <xdr:to>
      <xdr:col>2</xdr:col>
      <xdr:colOff>254877</xdr:colOff>
      <xdr:row>145</xdr:row>
      <xdr:rowOff>74103</xdr:rowOff>
    </xdr:to>
    <xdr:sp macro="" textlink="">
      <xdr:nvSpPr>
        <xdr:cNvPr id="65" name="Up Arrow Callout 6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41000000}"/>
            </a:ext>
          </a:extLst>
        </xdr:cNvPr>
        <xdr:cNvSpPr/>
      </xdr:nvSpPr>
      <xdr:spPr>
        <a:xfrm>
          <a:off x="659690" y="40433262"/>
          <a:ext cx="738187" cy="262165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280121</xdr:colOff>
      <xdr:row>144</xdr:row>
      <xdr:rowOff>95639</xdr:rowOff>
    </xdr:from>
    <xdr:to>
      <xdr:col>2</xdr:col>
      <xdr:colOff>1018960</xdr:colOff>
      <xdr:row>145</xdr:row>
      <xdr:rowOff>68017</xdr:rowOff>
    </xdr:to>
    <xdr:sp macro="" textlink="">
      <xdr:nvSpPr>
        <xdr:cNvPr id="66" name="Up Arrow Callout 6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42000000}"/>
            </a:ext>
          </a:extLst>
        </xdr:cNvPr>
        <xdr:cNvSpPr/>
      </xdr:nvSpPr>
      <xdr:spPr>
        <a:xfrm>
          <a:off x="1423121" y="40436815"/>
          <a:ext cx="738839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0</xdr:colOff>
      <xdr:row>333</xdr:row>
      <xdr:rowOff>104101</xdr:rowOff>
    </xdr:from>
    <xdr:to>
      <xdr:col>2</xdr:col>
      <xdr:colOff>84850</xdr:colOff>
      <xdr:row>334</xdr:row>
      <xdr:rowOff>73488</xdr:rowOff>
    </xdr:to>
    <xdr:sp macro="" textlink="">
      <xdr:nvSpPr>
        <xdr:cNvPr id="67" name="Down Arrow Callout 6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43000000}"/>
            </a:ext>
          </a:extLst>
        </xdr:cNvPr>
        <xdr:cNvSpPr/>
      </xdr:nvSpPr>
      <xdr:spPr>
        <a:xfrm>
          <a:off x="481853" y="93269807"/>
          <a:ext cx="745997" cy="249534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103062</xdr:colOff>
      <xdr:row>333</xdr:row>
      <xdr:rowOff>107395</xdr:rowOff>
    </xdr:from>
    <xdr:to>
      <xdr:col>2</xdr:col>
      <xdr:colOff>851818</xdr:colOff>
      <xdr:row>334</xdr:row>
      <xdr:rowOff>66301</xdr:rowOff>
    </xdr:to>
    <xdr:sp macro="" textlink="">
      <xdr:nvSpPr>
        <xdr:cNvPr id="68" name="Down Arrow Callout 6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44000000}"/>
            </a:ext>
          </a:extLst>
        </xdr:cNvPr>
        <xdr:cNvSpPr/>
      </xdr:nvSpPr>
      <xdr:spPr>
        <a:xfrm>
          <a:off x="1246062" y="93273101"/>
          <a:ext cx="748756" cy="239053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14671</xdr:colOff>
      <xdr:row>329</xdr:row>
      <xdr:rowOff>0</xdr:rowOff>
    </xdr:from>
    <xdr:to>
      <xdr:col>2</xdr:col>
      <xdr:colOff>84408</xdr:colOff>
      <xdr:row>329</xdr:row>
      <xdr:rowOff>254520</xdr:rowOff>
    </xdr:to>
    <xdr:sp macro="" textlink="">
      <xdr:nvSpPr>
        <xdr:cNvPr id="69" name="Up Arrow Callout 6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45000000}"/>
            </a:ext>
          </a:extLst>
        </xdr:cNvPr>
        <xdr:cNvSpPr/>
      </xdr:nvSpPr>
      <xdr:spPr>
        <a:xfrm>
          <a:off x="496524" y="92045118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</xdr:col>
      <xdr:colOff>108921</xdr:colOff>
      <xdr:row>329</xdr:row>
      <xdr:rowOff>3905</xdr:rowOff>
    </xdr:from>
    <xdr:to>
      <xdr:col>2</xdr:col>
      <xdr:colOff>839180</xdr:colOff>
      <xdr:row>329</xdr:row>
      <xdr:rowOff>255062</xdr:rowOff>
    </xdr:to>
    <xdr:sp macro="" textlink="">
      <xdr:nvSpPr>
        <xdr:cNvPr id="70" name="Up Arrow Callout 6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46000000}"/>
            </a:ext>
          </a:extLst>
        </xdr:cNvPr>
        <xdr:cNvSpPr/>
      </xdr:nvSpPr>
      <xdr:spPr>
        <a:xfrm>
          <a:off x="1251921" y="92049023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</xdr:col>
      <xdr:colOff>5287</xdr:colOff>
      <xdr:row>332</xdr:row>
      <xdr:rowOff>108521</xdr:rowOff>
    </xdr:from>
    <xdr:to>
      <xdr:col>2</xdr:col>
      <xdr:colOff>86789</xdr:colOff>
      <xdr:row>333</xdr:row>
      <xdr:rowOff>63232</xdr:rowOff>
    </xdr:to>
    <xdr:sp macro="" textlink="">
      <xdr:nvSpPr>
        <xdr:cNvPr id="71" name="Down Arrow Callout 7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47000000}"/>
            </a:ext>
          </a:extLst>
        </xdr:cNvPr>
        <xdr:cNvSpPr/>
      </xdr:nvSpPr>
      <xdr:spPr>
        <a:xfrm>
          <a:off x="487140" y="92994080"/>
          <a:ext cx="742649" cy="234858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106539</xdr:colOff>
      <xdr:row>332</xdr:row>
      <xdr:rowOff>107970</xdr:rowOff>
    </xdr:from>
    <xdr:to>
      <xdr:col>2</xdr:col>
      <xdr:colOff>850460</xdr:colOff>
      <xdr:row>333</xdr:row>
      <xdr:rowOff>66252</xdr:rowOff>
    </xdr:to>
    <xdr:sp macro="" textlink="">
      <xdr:nvSpPr>
        <xdr:cNvPr id="72" name="Down Arrow Callout 7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48000000}"/>
            </a:ext>
          </a:extLst>
        </xdr:cNvPr>
        <xdr:cNvSpPr/>
      </xdr:nvSpPr>
      <xdr:spPr>
        <a:xfrm>
          <a:off x="1249539" y="92993529"/>
          <a:ext cx="743921" cy="238429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11555</xdr:colOff>
      <xdr:row>330</xdr:row>
      <xdr:rowOff>8433</xdr:rowOff>
    </xdr:from>
    <xdr:to>
      <xdr:col>2</xdr:col>
      <xdr:colOff>89170</xdr:colOff>
      <xdr:row>330</xdr:row>
      <xdr:rowOff>269404</xdr:rowOff>
    </xdr:to>
    <xdr:sp macro="" textlink="">
      <xdr:nvSpPr>
        <xdr:cNvPr id="73" name="Up Arrow Callout 7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49000000}"/>
            </a:ext>
          </a:extLst>
        </xdr:cNvPr>
        <xdr:cNvSpPr/>
      </xdr:nvSpPr>
      <xdr:spPr>
        <a:xfrm>
          <a:off x="493408" y="92333698"/>
          <a:ext cx="738762" cy="260971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114340</xdr:colOff>
      <xdr:row>330</xdr:row>
      <xdr:rowOff>6053</xdr:rowOff>
    </xdr:from>
    <xdr:to>
      <xdr:col>2</xdr:col>
      <xdr:colOff>853681</xdr:colOff>
      <xdr:row>330</xdr:row>
      <xdr:rowOff>257211</xdr:rowOff>
    </xdr:to>
    <xdr:sp macro="" textlink="">
      <xdr:nvSpPr>
        <xdr:cNvPr id="74" name="Up Arrow Callout 7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4A000000}"/>
            </a:ext>
          </a:extLst>
        </xdr:cNvPr>
        <xdr:cNvSpPr/>
      </xdr:nvSpPr>
      <xdr:spPr>
        <a:xfrm>
          <a:off x="1257340" y="92331318"/>
          <a:ext cx="739341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9749</xdr:colOff>
      <xdr:row>331</xdr:row>
      <xdr:rowOff>2439</xdr:rowOff>
    </xdr:from>
    <xdr:to>
      <xdr:col>2</xdr:col>
      <xdr:colOff>86789</xdr:colOff>
      <xdr:row>331</xdr:row>
      <xdr:rowOff>264604</xdr:rowOff>
    </xdr:to>
    <xdr:sp macro="" textlink="">
      <xdr:nvSpPr>
        <xdr:cNvPr id="75" name="Up Arrow Callout 7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4B000000}"/>
            </a:ext>
          </a:extLst>
        </xdr:cNvPr>
        <xdr:cNvSpPr/>
      </xdr:nvSpPr>
      <xdr:spPr>
        <a:xfrm>
          <a:off x="491602" y="92607851"/>
          <a:ext cx="738187" cy="262165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112033</xdr:colOff>
      <xdr:row>331</xdr:row>
      <xdr:rowOff>5992</xdr:rowOff>
    </xdr:from>
    <xdr:to>
      <xdr:col>2</xdr:col>
      <xdr:colOff>850872</xdr:colOff>
      <xdr:row>331</xdr:row>
      <xdr:rowOff>258518</xdr:rowOff>
    </xdr:to>
    <xdr:sp macro="" textlink="">
      <xdr:nvSpPr>
        <xdr:cNvPr id="76" name="Up Arrow Callout 7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4C000000}"/>
            </a:ext>
          </a:extLst>
        </xdr:cNvPr>
        <xdr:cNvSpPr/>
      </xdr:nvSpPr>
      <xdr:spPr>
        <a:xfrm>
          <a:off x="1255033" y="92611404"/>
          <a:ext cx="738839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59</xdr:col>
      <xdr:colOff>333376</xdr:colOff>
      <xdr:row>329</xdr:row>
      <xdr:rowOff>94575</xdr:rowOff>
    </xdr:from>
    <xdr:to>
      <xdr:col>60</xdr:col>
      <xdr:colOff>376751</xdr:colOff>
      <xdr:row>330</xdr:row>
      <xdr:rowOff>153900</xdr:rowOff>
    </xdr:to>
    <xdr:sp macro="" textlink="">
      <xdr:nvSpPr>
        <xdr:cNvPr id="77" name="Down Arrow Callout 7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4D000000}"/>
            </a:ext>
          </a:extLst>
        </xdr:cNvPr>
        <xdr:cNvSpPr/>
      </xdr:nvSpPr>
      <xdr:spPr>
        <a:xfrm>
          <a:off x="43091101" y="90858300"/>
          <a:ext cx="662500" cy="335550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474537</xdr:colOff>
      <xdr:row>329</xdr:row>
      <xdr:rowOff>97869</xdr:rowOff>
    </xdr:from>
    <xdr:to>
      <xdr:col>61</xdr:col>
      <xdr:colOff>523876</xdr:colOff>
      <xdr:row>330</xdr:row>
      <xdr:rowOff>142875</xdr:rowOff>
    </xdr:to>
    <xdr:sp macro="" textlink="">
      <xdr:nvSpPr>
        <xdr:cNvPr id="78" name="Down Arrow Callout 7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4E000000}"/>
            </a:ext>
          </a:extLst>
        </xdr:cNvPr>
        <xdr:cNvSpPr/>
      </xdr:nvSpPr>
      <xdr:spPr>
        <a:xfrm>
          <a:off x="43851387" y="90861594"/>
          <a:ext cx="668464" cy="3212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59</xdr:col>
      <xdr:colOff>348046</xdr:colOff>
      <xdr:row>324</xdr:row>
      <xdr:rowOff>266701</xdr:rowOff>
    </xdr:from>
    <xdr:to>
      <xdr:col>60</xdr:col>
      <xdr:colOff>377928</xdr:colOff>
      <xdr:row>326</xdr:row>
      <xdr:rowOff>56613</xdr:rowOff>
    </xdr:to>
    <xdr:sp macro="" textlink="">
      <xdr:nvSpPr>
        <xdr:cNvPr id="79" name="Up Arrow Callout 7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4F000000}"/>
            </a:ext>
          </a:extLst>
        </xdr:cNvPr>
        <xdr:cNvSpPr/>
      </xdr:nvSpPr>
      <xdr:spPr>
        <a:xfrm>
          <a:off x="43105771" y="89649301"/>
          <a:ext cx="649007" cy="342362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60</xdr:col>
      <xdr:colOff>480396</xdr:colOff>
      <xdr:row>324</xdr:row>
      <xdr:rowOff>270606</xdr:rowOff>
    </xdr:from>
    <xdr:to>
      <xdr:col>61</xdr:col>
      <xdr:colOff>513222</xdr:colOff>
      <xdr:row>326</xdr:row>
      <xdr:rowOff>55924</xdr:rowOff>
    </xdr:to>
    <xdr:sp macro="" textlink="">
      <xdr:nvSpPr>
        <xdr:cNvPr id="80" name="Up Arrow Callout 7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50000000}"/>
            </a:ext>
          </a:extLst>
        </xdr:cNvPr>
        <xdr:cNvSpPr/>
      </xdr:nvSpPr>
      <xdr:spPr>
        <a:xfrm>
          <a:off x="43857246" y="89653206"/>
          <a:ext cx="651951" cy="33776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59</xdr:col>
      <xdr:colOff>338662</xdr:colOff>
      <xdr:row>328</xdr:row>
      <xdr:rowOff>98995</xdr:rowOff>
    </xdr:from>
    <xdr:to>
      <xdr:col>60</xdr:col>
      <xdr:colOff>379047</xdr:colOff>
      <xdr:row>329</xdr:row>
      <xdr:rowOff>138271</xdr:rowOff>
    </xdr:to>
    <xdr:sp macro="" textlink="">
      <xdr:nvSpPr>
        <xdr:cNvPr id="81" name="Down Arrow Callout 8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51000000}"/>
            </a:ext>
          </a:extLst>
        </xdr:cNvPr>
        <xdr:cNvSpPr/>
      </xdr:nvSpPr>
      <xdr:spPr>
        <a:xfrm>
          <a:off x="43096387" y="90586495"/>
          <a:ext cx="659510" cy="31550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478015</xdr:colOff>
      <xdr:row>328</xdr:row>
      <xdr:rowOff>98444</xdr:rowOff>
    </xdr:from>
    <xdr:to>
      <xdr:col>61</xdr:col>
      <xdr:colOff>523038</xdr:colOff>
      <xdr:row>329</xdr:row>
      <xdr:rowOff>142598</xdr:rowOff>
    </xdr:to>
    <xdr:sp macro="" textlink="">
      <xdr:nvSpPr>
        <xdr:cNvPr id="82" name="Down Arrow Callout 8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52000000}"/>
            </a:ext>
          </a:extLst>
        </xdr:cNvPr>
        <xdr:cNvSpPr/>
      </xdr:nvSpPr>
      <xdr:spPr>
        <a:xfrm>
          <a:off x="43854865" y="90585944"/>
          <a:ext cx="664148" cy="320379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59</xdr:col>
      <xdr:colOff>344930</xdr:colOff>
      <xdr:row>325</xdr:row>
      <xdr:rowOff>275133</xdr:rowOff>
    </xdr:from>
    <xdr:to>
      <xdr:col>60</xdr:col>
      <xdr:colOff>381845</xdr:colOff>
      <xdr:row>327</xdr:row>
      <xdr:rowOff>73858</xdr:rowOff>
    </xdr:to>
    <xdr:sp macro="" textlink="">
      <xdr:nvSpPr>
        <xdr:cNvPr id="83" name="Up Arrow Callout 8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53000000}"/>
            </a:ext>
          </a:extLst>
        </xdr:cNvPr>
        <xdr:cNvSpPr/>
      </xdr:nvSpPr>
      <xdr:spPr>
        <a:xfrm>
          <a:off x="43102655" y="89933958"/>
          <a:ext cx="656040" cy="351175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60</xdr:col>
      <xdr:colOff>485815</xdr:colOff>
      <xdr:row>325</xdr:row>
      <xdr:rowOff>272753</xdr:rowOff>
    </xdr:from>
    <xdr:to>
      <xdr:col>61</xdr:col>
      <xdr:colOff>526749</xdr:colOff>
      <xdr:row>327</xdr:row>
      <xdr:rowOff>58072</xdr:rowOff>
    </xdr:to>
    <xdr:sp macro="" textlink="">
      <xdr:nvSpPr>
        <xdr:cNvPr id="84" name="Up Arrow Callout 8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54000000}"/>
            </a:ext>
          </a:extLst>
        </xdr:cNvPr>
        <xdr:cNvSpPr/>
      </xdr:nvSpPr>
      <xdr:spPr>
        <a:xfrm>
          <a:off x="43862665" y="89931578"/>
          <a:ext cx="660059" cy="337769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59</xdr:col>
      <xdr:colOff>343126</xdr:colOff>
      <xdr:row>326</xdr:row>
      <xdr:rowOff>269139</xdr:rowOff>
    </xdr:from>
    <xdr:to>
      <xdr:col>60</xdr:col>
      <xdr:colOff>379527</xdr:colOff>
      <xdr:row>328</xdr:row>
      <xdr:rowOff>69494</xdr:rowOff>
    </xdr:to>
    <xdr:sp macro="" textlink="">
      <xdr:nvSpPr>
        <xdr:cNvPr id="85" name="Up Arrow Callout 8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55000000}"/>
            </a:ext>
          </a:extLst>
        </xdr:cNvPr>
        <xdr:cNvSpPr/>
      </xdr:nvSpPr>
      <xdr:spPr>
        <a:xfrm>
          <a:off x="43100851" y="90204189"/>
          <a:ext cx="655526" cy="352805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60</xdr:col>
      <xdr:colOff>483509</xdr:colOff>
      <xdr:row>326</xdr:row>
      <xdr:rowOff>272694</xdr:rowOff>
    </xdr:from>
    <xdr:to>
      <xdr:col>61</xdr:col>
      <xdr:colOff>523994</xdr:colOff>
      <xdr:row>328</xdr:row>
      <xdr:rowOff>59880</xdr:rowOff>
    </xdr:to>
    <xdr:sp macro="" textlink="">
      <xdr:nvSpPr>
        <xdr:cNvPr id="86" name="Up Arrow Callout 8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56000000}"/>
            </a:ext>
          </a:extLst>
        </xdr:cNvPr>
        <xdr:cNvSpPr/>
      </xdr:nvSpPr>
      <xdr:spPr>
        <a:xfrm>
          <a:off x="43860359" y="90207744"/>
          <a:ext cx="659610" cy="33963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137</xdr:col>
      <xdr:colOff>0</xdr:colOff>
      <xdr:row>13</xdr:row>
      <xdr:rowOff>104101</xdr:rowOff>
    </xdr:from>
    <xdr:to>
      <xdr:col>137</xdr:col>
      <xdr:colOff>757203</xdr:colOff>
      <xdr:row>14</xdr:row>
      <xdr:rowOff>73488</xdr:rowOff>
    </xdr:to>
    <xdr:sp macro="" textlink="">
      <xdr:nvSpPr>
        <xdr:cNvPr id="87" name="Down Arrow Callout 8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57000000}"/>
            </a:ext>
          </a:extLst>
        </xdr:cNvPr>
        <xdr:cNvSpPr/>
      </xdr:nvSpPr>
      <xdr:spPr>
        <a:xfrm>
          <a:off x="93078300" y="35712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137</xdr:col>
      <xdr:colOff>786621</xdr:colOff>
      <xdr:row>13</xdr:row>
      <xdr:rowOff>107395</xdr:rowOff>
    </xdr:from>
    <xdr:to>
      <xdr:col>139</xdr:col>
      <xdr:colOff>136883</xdr:colOff>
      <xdr:row>14</xdr:row>
      <xdr:rowOff>66301</xdr:rowOff>
    </xdr:to>
    <xdr:sp macro="" textlink="">
      <xdr:nvSpPr>
        <xdr:cNvPr id="88" name="Down Arrow Callout 8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58000000}"/>
            </a:ext>
          </a:extLst>
        </xdr:cNvPr>
        <xdr:cNvSpPr/>
      </xdr:nvSpPr>
      <xdr:spPr>
        <a:xfrm>
          <a:off x="93864921" y="35744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137</xdr:col>
      <xdr:colOff>25877</xdr:colOff>
      <xdr:row>9</xdr:row>
      <xdr:rowOff>0</xdr:rowOff>
    </xdr:from>
    <xdr:to>
      <xdr:col>137</xdr:col>
      <xdr:colOff>756761</xdr:colOff>
      <xdr:row>9</xdr:row>
      <xdr:rowOff>254520</xdr:rowOff>
    </xdr:to>
    <xdr:sp macro="" textlink="">
      <xdr:nvSpPr>
        <xdr:cNvPr id="89" name="Up Arrow Callout 8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59000000}"/>
            </a:ext>
          </a:extLst>
        </xdr:cNvPr>
        <xdr:cNvSpPr/>
      </xdr:nvSpPr>
      <xdr:spPr>
        <a:xfrm>
          <a:off x="93104177" y="24003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137</xdr:col>
      <xdr:colOff>792480</xdr:colOff>
      <xdr:row>9</xdr:row>
      <xdr:rowOff>3905</xdr:rowOff>
    </xdr:from>
    <xdr:to>
      <xdr:col>139</xdr:col>
      <xdr:colOff>113039</xdr:colOff>
      <xdr:row>9</xdr:row>
      <xdr:rowOff>255062</xdr:rowOff>
    </xdr:to>
    <xdr:sp macro="" textlink="">
      <xdr:nvSpPr>
        <xdr:cNvPr id="90" name="Up Arrow Callout 8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5A000000}"/>
            </a:ext>
          </a:extLst>
        </xdr:cNvPr>
        <xdr:cNvSpPr/>
      </xdr:nvSpPr>
      <xdr:spPr>
        <a:xfrm>
          <a:off x="93870780" y="24042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137</xdr:col>
      <xdr:colOff>16493</xdr:colOff>
      <xdr:row>12</xdr:row>
      <xdr:rowOff>108521</xdr:rowOff>
    </xdr:from>
    <xdr:to>
      <xdr:col>137</xdr:col>
      <xdr:colOff>759142</xdr:colOff>
      <xdr:row>13</xdr:row>
      <xdr:rowOff>63232</xdr:rowOff>
    </xdr:to>
    <xdr:sp macro="" textlink="">
      <xdr:nvSpPr>
        <xdr:cNvPr id="91" name="Down Arrow Callout 9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5B000000}"/>
            </a:ext>
          </a:extLst>
        </xdr:cNvPr>
        <xdr:cNvSpPr/>
      </xdr:nvSpPr>
      <xdr:spPr>
        <a:xfrm>
          <a:off x="93094793" y="33089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137</xdr:col>
      <xdr:colOff>790098</xdr:colOff>
      <xdr:row>12</xdr:row>
      <xdr:rowOff>107970</xdr:rowOff>
    </xdr:from>
    <xdr:to>
      <xdr:col>139</xdr:col>
      <xdr:colOff>135525</xdr:colOff>
      <xdr:row>13</xdr:row>
      <xdr:rowOff>66252</xdr:rowOff>
    </xdr:to>
    <xdr:sp macro="" textlink="">
      <xdr:nvSpPr>
        <xdr:cNvPr id="92" name="Down Arrow Callout 9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5C000000}"/>
            </a:ext>
          </a:extLst>
        </xdr:cNvPr>
        <xdr:cNvSpPr/>
      </xdr:nvSpPr>
      <xdr:spPr>
        <a:xfrm>
          <a:off x="93868398" y="33083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137</xdr:col>
      <xdr:colOff>22761</xdr:colOff>
      <xdr:row>10</xdr:row>
      <xdr:rowOff>8433</xdr:rowOff>
    </xdr:from>
    <xdr:to>
      <xdr:col>137</xdr:col>
      <xdr:colOff>761523</xdr:colOff>
      <xdr:row>10</xdr:row>
      <xdr:rowOff>255957</xdr:rowOff>
    </xdr:to>
    <xdr:sp macro="" textlink="">
      <xdr:nvSpPr>
        <xdr:cNvPr id="93" name="Up Arrow Callout 9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5D000000}"/>
            </a:ext>
          </a:extLst>
        </xdr:cNvPr>
        <xdr:cNvSpPr/>
      </xdr:nvSpPr>
      <xdr:spPr>
        <a:xfrm>
          <a:off x="93101061" y="26754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137</xdr:col>
      <xdr:colOff>797899</xdr:colOff>
      <xdr:row>10</xdr:row>
      <xdr:rowOff>6053</xdr:rowOff>
    </xdr:from>
    <xdr:to>
      <xdr:col>139</xdr:col>
      <xdr:colOff>138746</xdr:colOff>
      <xdr:row>10</xdr:row>
      <xdr:rowOff>257211</xdr:rowOff>
    </xdr:to>
    <xdr:sp macro="" textlink="">
      <xdr:nvSpPr>
        <xdr:cNvPr id="94" name="Up Arrow Callout 9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5E000000}"/>
            </a:ext>
          </a:extLst>
        </xdr:cNvPr>
        <xdr:cNvSpPr/>
      </xdr:nvSpPr>
      <xdr:spPr>
        <a:xfrm>
          <a:off x="93876199" y="26730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137</xdr:col>
      <xdr:colOff>20955</xdr:colOff>
      <xdr:row>11</xdr:row>
      <xdr:rowOff>2439</xdr:rowOff>
    </xdr:from>
    <xdr:to>
      <xdr:col>137</xdr:col>
      <xdr:colOff>759142</xdr:colOff>
      <xdr:row>11</xdr:row>
      <xdr:rowOff>251157</xdr:rowOff>
    </xdr:to>
    <xdr:sp macro="" textlink="">
      <xdr:nvSpPr>
        <xdr:cNvPr id="95" name="Up Arrow Callout 9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5F000000}"/>
            </a:ext>
          </a:extLst>
        </xdr:cNvPr>
        <xdr:cNvSpPr/>
      </xdr:nvSpPr>
      <xdr:spPr>
        <a:xfrm>
          <a:off x="93099255" y="29361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137</xdr:col>
      <xdr:colOff>795592</xdr:colOff>
      <xdr:row>11</xdr:row>
      <xdr:rowOff>5992</xdr:rowOff>
    </xdr:from>
    <xdr:to>
      <xdr:col>139</xdr:col>
      <xdr:colOff>135937</xdr:colOff>
      <xdr:row>11</xdr:row>
      <xdr:rowOff>258518</xdr:rowOff>
    </xdr:to>
    <xdr:sp macro="" textlink="">
      <xdr:nvSpPr>
        <xdr:cNvPr id="96" name="Up Arrow Callout 9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60000000}"/>
            </a:ext>
          </a:extLst>
        </xdr:cNvPr>
        <xdr:cNvSpPr/>
      </xdr:nvSpPr>
      <xdr:spPr>
        <a:xfrm>
          <a:off x="93873892" y="29396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172</xdr:col>
      <xdr:colOff>152400</xdr:colOff>
      <xdr:row>75</xdr:row>
      <xdr:rowOff>66001</xdr:rowOff>
    </xdr:from>
    <xdr:to>
      <xdr:col>173</xdr:col>
      <xdr:colOff>300003</xdr:colOff>
      <xdr:row>76</xdr:row>
      <xdr:rowOff>35388</xdr:rowOff>
    </xdr:to>
    <xdr:sp macro="" textlink="">
      <xdr:nvSpPr>
        <xdr:cNvPr id="97" name="Down Arrow Callout 9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61000000}"/>
            </a:ext>
          </a:extLst>
        </xdr:cNvPr>
        <xdr:cNvSpPr/>
      </xdr:nvSpPr>
      <xdr:spPr>
        <a:xfrm>
          <a:off x="114871500" y="200685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173</xdr:col>
      <xdr:colOff>329421</xdr:colOff>
      <xdr:row>75</xdr:row>
      <xdr:rowOff>69295</xdr:rowOff>
    </xdr:from>
    <xdr:to>
      <xdr:col>174</xdr:col>
      <xdr:colOff>479783</xdr:colOff>
      <xdr:row>76</xdr:row>
      <xdr:rowOff>28201</xdr:rowOff>
    </xdr:to>
    <xdr:sp macro="" textlink="">
      <xdr:nvSpPr>
        <xdr:cNvPr id="98" name="Down Arrow Callout 9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62000000}"/>
            </a:ext>
          </a:extLst>
        </xdr:cNvPr>
        <xdr:cNvSpPr/>
      </xdr:nvSpPr>
      <xdr:spPr>
        <a:xfrm>
          <a:off x="115658121" y="200717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172</xdr:col>
      <xdr:colOff>178277</xdr:colOff>
      <xdr:row>70</xdr:row>
      <xdr:rowOff>228600</xdr:rowOff>
    </xdr:from>
    <xdr:to>
      <xdr:col>173</xdr:col>
      <xdr:colOff>299561</xdr:colOff>
      <xdr:row>71</xdr:row>
      <xdr:rowOff>216420</xdr:rowOff>
    </xdr:to>
    <xdr:sp macro="" textlink="">
      <xdr:nvSpPr>
        <xdr:cNvPr id="99" name="Up Arrow Callout 9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63000000}"/>
            </a:ext>
          </a:extLst>
        </xdr:cNvPr>
        <xdr:cNvSpPr/>
      </xdr:nvSpPr>
      <xdr:spPr>
        <a:xfrm>
          <a:off x="114897377" y="188976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173</xdr:col>
      <xdr:colOff>335280</xdr:colOff>
      <xdr:row>70</xdr:row>
      <xdr:rowOff>232505</xdr:rowOff>
    </xdr:from>
    <xdr:to>
      <xdr:col>174</xdr:col>
      <xdr:colOff>455939</xdr:colOff>
      <xdr:row>71</xdr:row>
      <xdr:rowOff>216962</xdr:rowOff>
    </xdr:to>
    <xdr:sp macro="" textlink="">
      <xdr:nvSpPr>
        <xdr:cNvPr id="100" name="Up Arrow Callout 9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64000000}"/>
            </a:ext>
          </a:extLst>
        </xdr:cNvPr>
        <xdr:cNvSpPr/>
      </xdr:nvSpPr>
      <xdr:spPr>
        <a:xfrm>
          <a:off x="115663980" y="189015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172</xdr:col>
      <xdr:colOff>168893</xdr:colOff>
      <xdr:row>74</xdr:row>
      <xdr:rowOff>70421</xdr:rowOff>
    </xdr:from>
    <xdr:to>
      <xdr:col>173</xdr:col>
      <xdr:colOff>301942</xdr:colOff>
      <xdr:row>75</xdr:row>
      <xdr:rowOff>25132</xdr:rowOff>
    </xdr:to>
    <xdr:sp macro="" textlink="">
      <xdr:nvSpPr>
        <xdr:cNvPr id="101" name="Down Arrow Callout 10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65000000}"/>
            </a:ext>
          </a:extLst>
        </xdr:cNvPr>
        <xdr:cNvSpPr/>
      </xdr:nvSpPr>
      <xdr:spPr>
        <a:xfrm>
          <a:off x="114887993" y="198062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173</xdr:col>
      <xdr:colOff>332898</xdr:colOff>
      <xdr:row>74</xdr:row>
      <xdr:rowOff>69870</xdr:rowOff>
    </xdr:from>
    <xdr:to>
      <xdr:col>174</xdr:col>
      <xdr:colOff>478425</xdr:colOff>
      <xdr:row>75</xdr:row>
      <xdr:rowOff>28152</xdr:rowOff>
    </xdr:to>
    <xdr:sp macro="" textlink="">
      <xdr:nvSpPr>
        <xdr:cNvPr id="102" name="Down Arrow Callout 10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66000000}"/>
            </a:ext>
          </a:extLst>
        </xdr:cNvPr>
        <xdr:cNvSpPr/>
      </xdr:nvSpPr>
      <xdr:spPr>
        <a:xfrm>
          <a:off x="115661598" y="198056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172</xdr:col>
      <xdr:colOff>175161</xdr:colOff>
      <xdr:row>71</xdr:row>
      <xdr:rowOff>237033</xdr:rowOff>
    </xdr:from>
    <xdr:to>
      <xdr:col>173</xdr:col>
      <xdr:colOff>304323</xdr:colOff>
      <xdr:row>72</xdr:row>
      <xdr:rowOff>217857</xdr:rowOff>
    </xdr:to>
    <xdr:sp macro="" textlink="">
      <xdr:nvSpPr>
        <xdr:cNvPr id="103" name="Up Arrow Callout 10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67000000}"/>
            </a:ext>
          </a:extLst>
        </xdr:cNvPr>
        <xdr:cNvSpPr/>
      </xdr:nvSpPr>
      <xdr:spPr>
        <a:xfrm>
          <a:off x="114894261" y="191727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173</xdr:col>
      <xdr:colOff>340699</xdr:colOff>
      <xdr:row>71</xdr:row>
      <xdr:rowOff>234653</xdr:rowOff>
    </xdr:from>
    <xdr:to>
      <xdr:col>174</xdr:col>
      <xdr:colOff>481646</xdr:colOff>
      <xdr:row>72</xdr:row>
      <xdr:rowOff>219111</xdr:rowOff>
    </xdr:to>
    <xdr:sp macro="" textlink="">
      <xdr:nvSpPr>
        <xdr:cNvPr id="104" name="Up Arrow Callout 10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68000000}"/>
            </a:ext>
          </a:extLst>
        </xdr:cNvPr>
        <xdr:cNvSpPr/>
      </xdr:nvSpPr>
      <xdr:spPr>
        <a:xfrm>
          <a:off x="115669399" y="191703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172</xdr:col>
      <xdr:colOff>173355</xdr:colOff>
      <xdr:row>72</xdr:row>
      <xdr:rowOff>231039</xdr:rowOff>
    </xdr:from>
    <xdr:to>
      <xdr:col>173</xdr:col>
      <xdr:colOff>301942</xdr:colOff>
      <xdr:row>73</xdr:row>
      <xdr:rowOff>213057</xdr:rowOff>
    </xdr:to>
    <xdr:sp macro="" textlink="">
      <xdr:nvSpPr>
        <xdr:cNvPr id="105" name="Up Arrow Callout 10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69000000}"/>
            </a:ext>
          </a:extLst>
        </xdr:cNvPr>
        <xdr:cNvSpPr/>
      </xdr:nvSpPr>
      <xdr:spPr>
        <a:xfrm>
          <a:off x="114892455" y="194334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173</xdr:col>
      <xdr:colOff>338392</xdr:colOff>
      <xdr:row>72</xdr:row>
      <xdr:rowOff>234592</xdr:rowOff>
    </xdr:from>
    <xdr:to>
      <xdr:col>174</xdr:col>
      <xdr:colOff>478837</xdr:colOff>
      <xdr:row>73</xdr:row>
      <xdr:rowOff>220418</xdr:rowOff>
    </xdr:to>
    <xdr:sp macro="" textlink="">
      <xdr:nvSpPr>
        <xdr:cNvPr id="106" name="Up Arrow Callout 10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6A000000}"/>
            </a:ext>
          </a:extLst>
        </xdr:cNvPr>
        <xdr:cNvSpPr/>
      </xdr:nvSpPr>
      <xdr:spPr>
        <a:xfrm>
          <a:off x="115667092" y="194369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195</xdr:col>
      <xdr:colOff>76200</xdr:colOff>
      <xdr:row>74</xdr:row>
      <xdr:rowOff>66001</xdr:rowOff>
    </xdr:from>
    <xdr:to>
      <xdr:col>196</xdr:col>
      <xdr:colOff>185703</xdr:colOff>
      <xdr:row>75</xdr:row>
      <xdr:rowOff>35388</xdr:rowOff>
    </xdr:to>
    <xdr:sp macro="" textlink="">
      <xdr:nvSpPr>
        <xdr:cNvPr id="107" name="Down Arrow Callout 10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6B000000}"/>
            </a:ext>
          </a:extLst>
        </xdr:cNvPr>
        <xdr:cNvSpPr/>
      </xdr:nvSpPr>
      <xdr:spPr>
        <a:xfrm>
          <a:off x="129006600" y="198018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196</xdr:col>
      <xdr:colOff>215121</xdr:colOff>
      <xdr:row>74</xdr:row>
      <xdr:rowOff>69295</xdr:rowOff>
    </xdr:from>
    <xdr:to>
      <xdr:col>197</xdr:col>
      <xdr:colOff>365483</xdr:colOff>
      <xdr:row>75</xdr:row>
      <xdr:rowOff>28201</xdr:rowOff>
    </xdr:to>
    <xdr:sp macro="" textlink="">
      <xdr:nvSpPr>
        <xdr:cNvPr id="108" name="Down Arrow Callout 10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6C000000}"/>
            </a:ext>
          </a:extLst>
        </xdr:cNvPr>
        <xdr:cNvSpPr/>
      </xdr:nvSpPr>
      <xdr:spPr>
        <a:xfrm>
          <a:off x="129793221" y="198050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195</xdr:col>
      <xdr:colOff>102077</xdr:colOff>
      <xdr:row>69</xdr:row>
      <xdr:rowOff>228600</xdr:rowOff>
    </xdr:from>
    <xdr:to>
      <xdr:col>196</xdr:col>
      <xdr:colOff>185261</xdr:colOff>
      <xdr:row>70</xdr:row>
      <xdr:rowOff>216420</xdr:rowOff>
    </xdr:to>
    <xdr:sp macro="" textlink="">
      <xdr:nvSpPr>
        <xdr:cNvPr id="109" name="Up Arrow Callout 10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6D000000}"/>
            </a:ext>
          </a:extLst>
        </xdr:cNvPr>
        <xdr:cNvSpPr/>
      </xdr:nvSpPr>
      <xdr:spPr>
        <a:xfrm>
          <a:off x="129032477" y="186309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196</xdr:col>
      <xdr:colOff>220980</xdr:colOff>
      <xdr:row>69</xdr:row>
      <xdr:rowOff>232505</xdr:rowOff>
    </xdr:from>
    <xdr:to>
      <xdr:col>197</xdr:col>
      <xdr:colOff>341639</xdr:colOff>
      <xdr:row>70</xdr:row>
      <xdr:rowOff>216962</xdr:rowOff>
    </xdr:to>
    <xdr:sp macro="" textlink="">
      <xdr:nvSpPr>
        <xdr:cNvPr id="110" name="Up Arrow Callout 10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6E000000}"/>
            </a:ext>
          </a:extLst>
        </xdr:cNvPr>
        <xdr:cNvSpPr/>
      </xdr:nvSpPr>
      <xdr:spPr>
        <a:xfrm>
          <a:off x="129799080" y="186348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195</xdr:col>
      <xdr:colOff>92693</xdr:colOff>
      <xdr:row>73</xdr:row>
      <xdr:rowOff>70421</xdr:rowOff>
    </xdr:from>
    <xdr:to>
      <xdr:col>196</xdr:col>
      <xdr:colOff>187642</xdr:colOff>
      <xdr:row>74</xdr:row>
      <xdr:rowOff>25132</xdr:rowOff>
    </xdr:to>
    <xdr:sp macro="" textlink="">
      <xdr:nvSpPr>
        <xdr:cNvPr id="111" name="Down Arrow Callout 11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6F000000}"/>
            </a:ext>
          </a:extLst>
        </xdr:cNvPr>
        <xdr:cNvSpPr/>
      </xdr:nvSpPr>
      <xdr:spPr>
        <a:xfrm>
          <a:off x="129023093" y="195395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196</xdr:col>
      <xdr:colOff>218598</xdr:colOff>
      <xdr:row>73</xdr:row>
      <xdr:rowOff>69870</xdr:rowOff>
    </xdr:from>
    <xdr:to>
      <xdr:col>197</xdr:col>
      <xdr:colOff>364125</xdr:colOff>
      <xdr:row>74</xdr:row>
      <xdr:rowOff>28152</xdr:rowOff>
    </xdr:to>
    <xdr:sp macro="" textlink="">
      <xdr:nvSpPr>
        <xdr:cNvPr id="112" name="Down Arrow Callout 11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70000000}"/>
            </a:ext>
          </a:extLst>
        </xdr:cNvPr>
        <xdr:cNvSpPr/>
      </xdr:nvSpPr>
      <xdr:spPr>
        <a:xfrm>
          <a:off x="129796698" y="195389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195</xdr:col>
      <xdr:colOff>98961</xdr:colOff>
      <xdr:row>70</xdr:row>
      <xdr:rowOff>237033</xdr:rowOff>
    </xdr:from>
    <xdr:to>
      <xdr:col>196</xdr:col>
      <xdr:colOff>190023</xdr:colOff>
      <xdr:row>71</xdr:row>
      <xdr:rowOff>217857</xdr:rowOff>
    </xdr:to>
    <xdr:sp macro="" textlink="">
      <xdr:nvSpPr>
        <xdr:cNvPr id="113" name="Up Arrow Callout 11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71000000}"/>
            </a:ext>
          </a:extLst>
        </xdr:cNvPr>
        <xdr:cNvSpPr/>
      </xdr:nvSpPr>
      <xdr:spPr>
        <a:xfrm>
          <a:off x="129029361" y="189060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196</xdr:col>
      <xdr:colOff>226399</xdr:colOff>
      <xdr:row>70</xdr:row>
      <xdr:rowOff>234653</xdr:rowOff>
    </xdr:from>
    <xdr:to>
      <xdr:col>197</xdr:col>
      <xdr:colOff>367346</xdr:colOff>
      <xdr:row>71</xdr:row>
      <xdr:rowOff>219111</xdr:rowOff>
    </xdr:to>
    <xdr:sp macro="" textlink="">
      <xdr:nvSpPr>
        <xdr:cNvPr id="114" name="Up Arrow Callout 11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72000000}"/>
            </a:ext>
          </a:extLst>
        </xdr:cNvPr>
        <xdr:cNvSpPr/>
      </xdr:nvSpPr>
      <xdr:spPr>
        <a:xfrm>
          <a:off x="129804499" y="189036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195</xdr:col>
      <xdr:colOff>97155</xdr:colOff>
      <xdr:row>71</xdr:row>
      <xdr:rowOff>231039</xdr:rowOff>
    </xdr:from>
    <xdr:to>
      <xdr:col>196</xdr:col>
      <xdr:colOff>187642</xdr:colOff>
      <xdr:row>72</xdr:row>
      <xdr:rowOff>213057</xdr:rowOff>
    </xdr:to>
    <xdr:sp macro="" textlink="">
      <xdr:nvSpPr>
        <xdr:cNvPr id="115" name="Up Arrow Callout 11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73000000}"/>
            </a:ext>
          </a:extLst>
        </xdr:cNvPr>
        <xdr:cNvSpPr/>
      </xdr:nvSpPr>
      <xdr:spPr>
        <a:xfrm>
          <a:off x="129027555" y="191667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196</xdr:col>
      <xdr:colOff>224092</xdr:colOff>
      <xdr:row>71</xdr:row>
      <xdr:rowOff>234592</xdr:rowOff>
    </xdr:from>
    <xdr:to>
      <xdr:col>197</xdr:col>
      <xdr:colOff>364537</xdr:colOff>
      <xdr:row>72</xdr:row>
      <xdr:rowOff>220418</xdr:rowOff>
    </xdr:to>
    <xdr:sp macro="" textlink="">
      <xdr:nvSpPr>
        <xdr:cNvPr id="116" name="Up Arrow Callout 11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74000000}"/>
            </a:ext>
          </a:extLst>
        </xdr:cNvPr>
        <xdr:cNvSpPr/>
      </xdr:nvSpPr>
      <xdr:spPr>
        <a:xfrm>
          <a:off x="129802192" y="191702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216</xdr:col>
      <xdr:colOff>609600</xdr:colOff>
      <xdr:row>74</xdr:row>
      <xdr:rowOff>256501</xdr:rowOff>
    </xdr:from>
    <xdr:to>
      <xdr:col>218</xdr:col>
      <xdr:colOff>109503</xdr:colOff>
      <xdr:row>75</xdr:row>
      <xdr:rowOff>225888</xdr:rowOff>
    </xdr:to>
    <xdr:sp macro="" textlink="">
      <xdr:nvSpPr>
        <xdr:cNvPr id="117" name="Down Arrow Callout 1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75000000}"/>
            </a:ext>
          </a:extLst>
        </xdr:cNvPr>
        <xdr:cNvSpPr/>
      </xdr:nvSpPr>
      <xdr:spPr>
        <a:xfrm>
          <a:off x="142417800" y="199923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218</xdr:col>
      <xdr:colOff>138921</xdr:colOff>
      <xdr:row>74</xdr:row>
      <xdr:rowOff>259795</xdr:rowOff>
    </xdr:from>
    <xdr:to>
      <xdr:col>219</xdr:col>
      <xdr:colOff>174983</xdr:colOff>
      <xdr:row>75</xdr:row>
      <xdr:rowOff>218701</xdr:rowOff>
    </xdr:to>
    <xdr:sp macro="" textlink="">
      <xdr:nvSpPr>
        <xdr:cNvPr id="118" name="Down Arrow Callout 11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76000000}"/>
            </a:ext>
          </a:extLst>
        </xdr:cNvPr>
        <xdr:cNvSpPr/>
      </xdr:nvSpPr>
      <xdr:spPr>
        <a:xfrm>
          <a:off x="143204421" y="199955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216</xdr:col>
      <xdr:colOff>635477</xdr:colOff>
      <xdr:row>70</xdr:row>
      <xdr:rowOff>152400</xdr:rowOff>
    </xdr:from>
    <xdr:to>
      <xdr:col>218</xdr:col>
      <xdr:colOff>109061</xdr:colOff>
      <xdr:row>71</xdr:row>
      <xdr:rowOff>140220</xdr:rowOff>
    </xdr:to>
    <xdr:sp macro="" textlink="">
      <xdr:nvSpPr>
        <xdr:cNvPr id="119" name="Up Arrow Callout 11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77000000}"/>
            </a:ext>
          </a:extLst>
        </xdr:cNvPr>
        <xdr:cNvSpPr/>
      </xdr:nvSpPr>
      <xdr:spPr>
        <a:xfrm>
          <a:off x="142443677" y="188214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218</xdr:col>
      <xdr:colOff>144780</xdr:colOff>
      <xdr:row>70</xdr:row>
      <xdr:rowOff>156305</xdr:rowOff>
    </xdr:from>
    <xdr:to>
      <xdr:col>219</xdr:col>
      <xdr:colOff>151139</xdr:colOff>
      <xdr:row>71</xdr:row>
      <xdr:rowOff>140762</xdr:rowOff>
    </xdr:to>
    <xdr:sp macro="" textlink="">
      <xdr:nvSpPr>
        <xdr:cNvPr id="120" name="Up Arrow Callout 11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78000000}"/>
            </a:ext>
          </a:extLst>
        </xdr:cNvPr>
        <xdr:cNvSpPr/>
      </xdr:nvSpPr>
      <xdr:spPr>
        <a:xfrm>
          <a:off x="143210280" y="188253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216</xdr:col>
      <xdr:colOff>626093</xdr:colOff>
      <xdr:row>73</xdr:row>
      <xdr:rowOff>260921</xdr:rowOff>
    </xdr:from>
    <xdr:to>
      <xdr:col>218</xdr:col>
      <xdr:colOff>111442</xdr:colOff>
      <xdr:row>74</xdr:row>
      <xdr:rowOff>215632</xdr:rowOff>
    </xdr:to>
    <xdr:sp macro="" textlink="">
      <xdr:nvSpPr>
        <xdr:cNvPr id="121" name="Down Arrow Callout 12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79000000}"/>
            </a:ext>
          </a:extLst>
        </xdr:cNvPr>
        <xdr:cNvSpPr/>
      </xdr:nvSpPr>
      <xdr:spPr>
        <a:xfrm>
          <a:off x="142434293" y="197300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218</xdr:col>
      <xdr:colOff>142398</xdr:colOff>
      <xdr:row>73</xdr:row>
      <xdr:rowOff>260370</xdr:rowOff>
    </xdr:from>
    <xdr:to>
      <xdr:col>219</xdr:col>
      <xdr:colOff>173625</xdr:colOff>
      <xdr:row>74</xdr:row>
      <xdr:rowOff>218652</xdr:rowOff>
    </xdr:to>
    <xdr:sp macro="" textlink="">
      <xdr:nvSpPr>
        <xdr:cNvPr id="122" name="Down Arrow Callout 12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7A000000}"/>
            </a:ext>
          </a:extLst>
        </xdr:cNvPr>
        <xdr:cNvSpPr/>
      </xdr:nvSpPr>
      <xdr:spPr>
        <a:xfrm>
          <a:off x="143207898" y="197294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216</xdr:col>
      <xdr:colOff>632361</xdr:colOff>
      <xdr:row>71</xdr:row>
      <xdr:rowOff>160833</xdr:rowOff>
    </xdr:from>
    <xdr:to>
      <xdr:col>218</xdr:col>
      <xdr:colOff>113823</xdr:colOff>
      <xdr:row>72</xdr:row>
      <xdr:rowOff>141657</xdr:rowOff>
    </xdr:to>
    <xdr:sp macro="" textlink="">
      <xdr:nvSpPr>
        <xdr:cNvPr id="123" name="Up Arrow Callout 12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7B000000}"/>
            </a:ext>
          </a:extLst>
        </xdr:cNvPr>
        <xdr:cNvSpPr/>
      </xdr:nvSpPr>
      <xdr:spPr>
        <a:xfrm>
          <a:off x="142440561" y="190965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218</xdr:col>
      <xdr:colOff>150199</xdr:colOff>
      <xdr:row>71</xdr:row>
      <xdr:rowOff>158453</xdr:rowOff>
    </xdr:from>
    <xdr:to>
      <xdr:col>219</xdr:col>
      <xdr:colOff>176846</xdr:colOff>
      <xdr:row>72</xdr:row>
      <xdr:rowOff>142911</xdr:rowOff>
    </xdr:to>
    <xdr:sp macro="" textlink="">
      <xdr:nvSpPr>
        <xdr:cNvPr id="124" name="Up Arrow Callout 12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7C000000}"/>
            </a:ext>
          </a:extLst>
        </xdr:cNvPr>
        <xdr:cNvSpPr/>
      </xdr:nvSpPr>
      <xdr:spPr>
        <a:xfrm>
          <a:off x="143215699" y="190941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216</xdr:col>
      <xdr:colOff>630555</xdr:colOff>
      <xdr:row>72</xdr:row>
      <xdr:rowOff>154839</xdr:rowOff>
    </xdr:from>
    <xdr:to>
      <xdr:col>218</xdr:col>
      <xdr:colOff>111442</xdr:colOff>
      <xdr:row>73</xdr:row>
      <xdr:rowOff>136857</xdr:rowOff>
    </xdr:to>
    <xdr:sp macro="" textlink="">
      <xdr:nvSpPr>
        <xdr:cNvPr id="125" name="Up Arrow Callout 12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7D000000}"/>
            </a:ext>
          </a:extLst>
        </xdr:cNvPr>
        <xdr:cNvSpPr/>
      </xdr:nvSpPr>
      <xdr:spPr>
        <a:xfrm>
          <a:off x="142438755" y="193572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218</xdr:col>
      <xdr:colOff>147892</xdr:colOff>
      <xdr:row>72</xdr:row>
      <xdr:rowOff>158392</xdr:rowOff>
    </xdr:from>
    <xdr:to>
      <xdr:col>219</xdr:col>
      <xdr:colOff>174037</xdr:colOff>
      <xdr:row>73</xdr:row>
      <xdr:rowOff>144218</xdr:rowOff>
    </xdr:to>
    <xdr:sp macro="" textlink="">
      <xdr:nvSpPr>
        <xdr:cNvPr id="126" name="Up Arrow Callout 12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7E000000}"/>
            </a:ext>
          </a:extLst>
        </xdr:cNvPr>
        <xdr:cNvSpPr/>
      </xdr:nvSpPr>
      <xdr:spPr>
        <a:xfrm>
          <a:off x="143213392" y="193607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164</xdr:col>
      <xdr:colOff>0</xdr:colOff>
      <xdr:row>124</xdr:row>
      <xdr:rowOff>104101</xdr:rowOff>
    </xdr:from>
    <xdr:to>
      <xdr:col>165</xdr:col>
      <xdr:colOff>147603</xdr:colOff>
      <xdr:row>125</xdr:row>
      <xdr:rowOff>73488</xdr:rowOff>
    </xdr:to>
    <xdr:sp macro="" textlink="">
      <xdr:nvSpPr>
        <xdr:cNvPr id="127" name="Down Arrow Callout 12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7F000000}"/>
            </a:ext>
          </a:extLst>
        </xdr:cNvPr>
        <xdr:cNvSpPr/>
      </xdr:nvSpPr>
      <xdr:spPr>
        <a:xfrm>
          <a:off x="109804200" y="331749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165</xdr:col>
      <xdr:colOff>177021</xdr:colOff>
      <xdr:row>124</xdr:row>
      <xdr:rowOff>107395</xdr:rowOff>
    </xdr:from>
    <xdr:to>
      <xdr:col>166</xdr:col>
      <xdr:colOff>327383</xdr:colOff>
      <xdr:row>125</xdr:row>
      <xdr:rowOff>66301</xdr:rowOff>
    </xdr:to>
    <xdr:sp macro="" textlink="">
      <xdr:nvSpPr>
        <xdr:cNvPr id="128" name="Down Arrow Callout 12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80000000}"/>
            </a:ext>
          </a:extLst>
        </xdr:cNvPr>
        <xdr:cNvSpPr/>
      </xdr:nvSpPr>
      <xdr:spPr>
        <a:xfrm>
          <a:off x="110590821" y="331781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164</xdr:col>
      <xdr:colOff>25877</xdr:colOff>
      <xdr:row>120</xdr:row>
      <xdr:rowOff>0</xdr:rowOff>
    </xdr:from>
    <xdr:to>
      <xdr:col>165</xdr:col>
      <xdr:colOff>147161</xdr:colOff>
      <xdr:row>120</xdr:row>
      <xdr:rowOff>254520</xdr:rowOff>
    </xdr:to>
    <xdr:sp macro="" textlink="">
      <xdr:nvSpPr>
        <xdr:cNvPr id="129" name="Up Arrow Callout 12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81000000}"/>
            </a:ext>
          </a:extLst>
        </xdr:cNvPr>
        <xdr:cNvSpPr/>
      </xdr:nvSpPr>
      <xdr:spPr>
        <a:xfrm>
          <a:off x="109830077" y="320040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165</xdr:col>
      <xdr:colOff>182880</xdr:colOff>
      <xdr:row>120</xdr:row>
      <xdr:rowOff>3905</xdr:rowOff>
    </xdr:from>
    <xdr:to>
      <xdr:col>166</xdr:col>
      <xdr:colOff>303539</xdr:colOff>
      <xdr:row>120</xdr:row>
      <xdr:rowOff>255062</xdr:rowOff>
    </xdr:to>
    <xdr:sp macro="" textlink="">
      <xdr:nvSpPr>
        <xdr:cNvPr id="130" name="Up Arrow Callout 12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82000000}"/>
            </a:ext>
          </a:extLst>
        </xdr:cNvPr>
        <xdr:cNvSpPr/>
      </xdr:nvSpPr>
      <xdr:spPr>
        <a:xfrm>
          <a:off x="110596680" y="320079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164</xdr:col>
      <xdr:colOff>16493</xdr:colOff>
      <xdr:row>123</xdr:row>
      <xdr:rowOff>108521</xdr:rowOff>
    </xdr:from>
    <xdr:to>
      <xdr:col>165</xdr:col>
      <xdr:colOff>149542</xdr:colOff>
      <xdr:row>124</xdr:row>
      <xdr:rowOff>63232</xdr:rowOff>
    </xdr:to>
    <xdr:sp macro="" textlink="">
      <xdr:nvSpPr>
        <xdr:cNvPr id="131" name="Down Arrow Callout 13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83000000}"/>
            </a:ext>
          </a:extLst>
        </xdr:cNvPr>
        <xdr:cNvSpPr/>
      </xdr:nvSpPr>
      <xdr:spPr>
        <a:xfrm>
          <a:off x="109820693" y="329126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165</xdr:col>
      <xdr:colOff>180498</xdr:colOff>
      <xdr:row>123</xdr:row>
      <xdr:rowOff>107970</xdr:rowOff>
    </xdr:from>
    <xdr:to>
      <xdr:col>166</xdr:col>
      <xdr:colOff>326025</xdr:colOff>
      <xdr:row>124</xdr:row>
      <xdr:rowOff>66252</xdr:rowOff>
    </xdr:to>
    <xdr:sp macro="" textlink="">
      <xdr:nvSpPr>
        <xdr:cNvPr id="132" name="Down Arrow Callout 13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84000000}"/>
            </a:ext>
          </a:extLst>
        </xdr:cNvPr>
        <xdr:cNvSpPr/>
      </xdr:nvSpPr>
      <xdr:spPr>
        <a:xfrm>
          <a:off x="110594298" y="329120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164</xdr:col>
      <xdr:colOff>22761</xdr:colOff>
      <xdr:row>121</xdr:row>
      <xdr:rowOff>8433</xdr:rowOff>
    </xdr:from>
    <xdr:to>
      <xdr:col>165</xdr:col>
      <xdr:colOff>151923</xdr:colOff>
      <xdr:row>121</xdr:row>
      <xdr:rowOff>255957</xdr:rowOff>
    </xdr:to>
    <xdr:sp macro="" textlink="">
      <xdr:nvSpPr>
        <xdr:cNvPr id="133" name="Up Arrow Callout 13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85000000}"/>
            </a:ext>
          </a:extLst>
        </xdr:cNvPr>
        <xdr:cNvSpPr/>
      </xdr:nvSpPr>
      <xdr:spPr>
        <a:xfrm>
          <a:off x="109826961" y="322791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165</xdr:col>
      <xdr:colOff>188299</xdr:colOff>
      <xdr:row>121</xdr:row>
      <xdr:rowOff>6053</xdr:rowOff>
    </xdr:from>
    <xdr:to>
      <xdr:col>166</xdr:col>
      <xdr:colOff>329246</xdr:colOff>
      <xdr:row>121</xdr:row>
      <xdr:rowOff>257211</xdr:rowOff>
    </xdr:to>
    <xdr:sp macro="" textlink="">
      <xdr:nvSpPr>
        <xdr:cNvPr id="134" name="Up Arrow Callout 13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86000000}"/>
            </a:ext>
          </a:extLst>
        </xdr:cNvPr>
        <xdr:cNvSpPr/>
      </xdr:nvSpPr>
      <xdr:spPr>
        <a:xfrm>
          <a:off x="110602099" y="322767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164</xdr:col>
      <xdr:colOff>20955</xdr:colOff>
      <xdr:row>122</xdr:row>
      <xdr:rowOff>2439</xdr:rowOff>
    </xdr:from>
    <xdr:to>
      <xdr:col>165</xdr:col>
      <xdr:colOff>149542</xdr:colOff>
      <xdr:row>122</xdr:row>
      <xdr:rowOff>251157</xdr:rowOff>
    </xdr:to>
    <xdr:sp macro="" textlink="">
      <xdr:nvSpPr>
        <xdr:cNvPr id="135" name="Up Arrow Callout 13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87000000}"/>
            </a:ext>
          </a:extLst>
        </xdr:cNvPr>
        <xdr:cNvSpPr/>
      </xdr:nvSpPr>
      <xdr:spPr>
        <a:xfrm>
          <a:off x="109825155" y="325398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165</xdr:col>
      <xdr:colOff>185992</xdr:colOff>
      <xdr:row>122</xdr:row>
      <xdr:rowOff>5992</xdr:rowOff>
    </xdr:from>
    <xdr:to>
      <xdr:col>166</xdr:col>
      <xdr:colOff>326437</xdr:colOff>
      <xdr:row>122</xdr:row>
      <xdr:rowOff>258518</xdr:rowOff>
    </xdr:to>
    <xdr:sp macro="" textlink="">
      <xdr:nvSpPr>
        <xdr:cNvPr id="136" name="Up Arrow Callout 13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88000000}"/>
            </a:ext>
          </a:extLst>
        </xdr:cNvPr>
        <xdr:cNvSpPr/>
      </xdr:nvSpPr>
      <xdr:spPr>
        <a:xfrm>
          <a:off x="110599792" y="325433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185</xdr:col>
      <xdr:colOff>0</xdr:colOff>
      <xdr:row>124</xdr:row>
      <xdr:rowOff>104101</xdr:rowOff>
    </xdr:from>
    <xdr:to>
      <xdr:col>186</xdr:col>
      <xdr:colOff>147603</xdr:colOff>
      <xdr:row>125</xdr:row>
      <xdr:rowOff>73488</xdr:rowOff>
    </xdr:to>
    <xdr:sp macro="" textlink="">
      <xdr:nvSpPr>
        <xdr:cNvPr id="137" name="Down Arrow Callout 13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89000000}"/>
            </a:ext>
          </a:extLst>
        </xdr:cNvPr>
        <xdr:cNvSpPr/>
      </xdr:nvSpPr>
      <xdr:spPr>
        <a:xfrm>
          <a:off x="122758200" y="331749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186</xdr:col>
      <xdr:colOff>177021</xdr:colOff>
      <xdr:row>124</xdr:row>
      <xdr:rowOff>107395</xdr:rowOff>
    </xdr:from>
    <xdr:to>
      <xdr:col>187</xdr:col>
      <xdr:colOff>327383</xdr:colOff>
      <xdr:row>125</xdr:row>
      <xdr:rowOff>66301</xdr:rowOff>
    </xdr:to>
    <xdr:sp macro="" textlink="">
      <xdr:nvSpPr>
        <xdr:cNvPr id="138" name="Down Arrow Callout 13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8A000000}"/>
            </a:ext>
          </a:extLst>
        </xdr:cNvPr>
        <xdr:cNvSpPr/>
      </xdr:nvSpPr>
      <xdr:spPr>
        <a:xfrm>
          <a:off x="123544821" y="331781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185</xdr:col>
      <xdr:colOff>25877</xdr:colOff>
      <xdr:row>120</xdr:row>
      <xdr:rowOff>0</xdr:rowOff>
    </xdr:from>
    <xdr:to>
      <xdr:col>186</xdr:col>
      <xdr:colOff>147161</xdr:colOff>
      <xdr:row>120</xdr:row>
      <xdr:rowOff>254520</xdr:rowOff>
    </xdr:to>
    <xdr:sp macro="" textlink="">
      <xdr:nvSpPr>
        <xdr:cNvPr id="139" name="Up Arrow Callout 13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8B000000}"/>
            </a:ext>
          </a:extLst>
        </xdr:cNvPr>
        <xdr:cNvSpPr/>
      </xdr:nvSpPr>
      <xdr:spPr>
        <a:xfrm>
          <a:off x="122784077" y="320040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186</xdr:col>
      <xdr:colOff>182880</xdr:colOff>
      <xdr:row>120</xdr:row>
      <xdr:rowOff>3905</xdr:rowOff>
    </xdr:from>
    <xdr:to>
      <xdr:col>187</xdr:col>
      <xdr:colOff>303539</xdr:colOff>
      <xdr:row>120</xdr:row>
      <xdr:rowOff>255062</xdr:rowOff>
    </xdr:to>
    <xdr:sp macro="" textlink="">
      <xdr:nvSpPr>
        <xdr:cNvPr id="140" name="Up Arrow Callout 13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8C000000}"/>
            </a:ext>
          </a:extLst>
        </xdr:cNvPr>
        <xdr:cNvSpPr/>
      </xdr:nvSpPr>
      <xdr:spPr>
        <a:xfrm>
          <a:off x="123550680" y="320079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185</xdr:col>
      <xdr:colOff>16493</xdr:colOff>
      <xdr:row>123</xdr:row>
      <xdr:rowOff>108521</xdr:rowOff>
    </xdr:from>
    <xdr:to>
      <xdr:col>186</xdr:col>
      <xdr:colOff>149542</xdr:colOff>
      <xdr:row>124</xdr:row>
      <xdr:rowOff>63232</xdr:rowOff>
    </xdr:to>
    <xdr:sp macro="" textlink="">
      <xdr:nvSpPr>
        <xdr:cNvPr id="141" name="Down Arrow Callout 14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8D000000}"/>
            </a:ext>
          </a:extLst>
        </xdr:cNvPr>
        <xdr:cNvSpPr/>
      </xdr:nvSpPr>
      <xdr:spPr>
        <a:xfrm>
          <a:off x="122774693" y="329126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186</xdr:col>
      <xdr:colOff>180498</xdr:colOff>
      <xdr:row>123</xdr:row>
      <xdr:rowOff>107970</xdr:rowOff>
    </xdr:from>
    <xdr:to>
      <xdr:col>187</xdr:col>
      <xdr:colOff>326025</xdr:colOff>
      <xdr:row>124</xdr:row>
      <xdr:rowOff>66252</xdr:rowOff>
    </xdr:to>
    <xdr:sp macro="" textlink="">
      <xdr:nvSpPr>
        <xdr:cNvPr id="142" name="Down Arrow Callout 14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8E000000}"/>
            </a:ext>
          </a:extLst>
        </xdr:cNvPr>
        <xdr:cNvSpPr/>
      </xdr:nvSpPr>
      <xdr:spPr>
        <a:xfrm>
          <a:off x="123548298" y="329120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185</xdr:col>
      <xdr:colOff>22761</xdr:colOff>
      <xdr:row>121</xdr:row>
      <xdr:rowOff>8433</xdr:rowOff>
    </xdr:from>
    <xdr:to>
      <xdr:col>186</xdr:col>
      <xdr:colOff>151923</xdr:colOff>
      <xdr:row>121</xdr:row>
      <xdr:rowOff>255957</xdr:rowOff>
    </xdr:to>
    <xdr:sp macro="" textlink="">
      <xdr:nvSpPr>
        <xdr:cNvPr id="143" name="Up Arrow Callout 14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8F000000}"/>
            </a:ext>
          </a:extLst>
        </xdr:cNvPr>
        <xdr:cNvSpPr/>
      </xdr:nvSpPr>
      <xdr:spPr>
        <a:xfrm>
          <a:off x="122780961" y="322791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186</xdr:col>
      <xdr:colOff>188299</xdr:colOff>
      <xdr:row>121</xdr:row>
      <xdr:rowOff>6053</xdr:rowOff>
    </xdr:from>
    <xdr:to>
      <xdr:col>187</xdr:col>
      <xdr:colOff>329246</xdr:colOff>
      <xdr:row>121</xdr:row>
      <xdr:rowOff>257211</xdr:rowOff>
    </xdr:to>
    <xdr:sp macro="" textlink="">
      <xdr:nvSpPr>
        <xdr:cNvPr id="144" name="Up Arrow Callout 14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90000000}"/>
            </a:ext>
          </a:extLst>
        </xdr:cNvPr>
        <xdr:cNvSpPr/>
      </xdr:nvSpPr>
      <xdr:spPr>
        <a:xfrm>
          <a:off x="123556099" y="322767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185</xdr:col>
      <xdr:colOff>20955</xdr:colOff>
      <xdr:row>122</xdr:row>
      <xdr:rowOff>2439</xdr:rowOff>
    </xdr:from>
    <xdr:to>
      <xdr:col>186</xdr:col>
      <xdr:colOff>149542</xdr:colOff>
      <xdr:row>122</xdr:row>
      <xdr:rowOff>251157</xdr:rowOff>
    </xdr:to>
    <xdr:sp macro="" textlink="">
      <xdr:nvSpPr>
        <xdr:cNvPr id="145" name="Up Arrow Callout 14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91000000}"/>
            </a:ext>
          </a:extLst>
        </xdr:cNvPr>
        <xdr:cNvSpPr/>
      </xdr:nvSpPr>
      <xdr:spPr>
        <a:xfrm>
          <a:off x="122779155" y="325398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186</xdr:col>
      <xdr:colOff>185992</xdr:colOff>
      <xdr:row>122</xdr:row>
      <xdr:rowOff>5992</xdr:rowOff>
    </xdr:from>
    <xdr:to>
      <xdr:col>187</xdr:col>
      <xdr:colOff>326437</xdr:colOff>
      <xdr:row>122</xdr:row>
      <xdr:rowOff>258518</xdr:rowOff>
    </xdr:to>
    <xdr:sp macro="" textlink="">
      <xdr:nvSpPr>
        <xdr:cNvPr id="146" name="Up Arrow Callout 14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92000000}"/>
            </a:ext>
          </a:extLst>
        </xdr:cNvPr>
        <xdr:cNvSpPr/>
      </xdr:nvSpPr>
      <xdr:spPr>
        <a:xfrm>
          <a:off x="123553792" y="325433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206</xdr:col>
      <xdr:colOff>0</xdr:colOff>
      <xdr:row>125</xdr:row>
      <xdr:rowOff>104101</xdr:rowOff>
    </xdr:from>
    <xdr:to>
      <xdr:col>207</xdr:col>
      <xdr:colOff>147603</xdr:colOff>
      <xdr:row>126</xdr:row>
      <xdr:rowOff>73488</xdr:rowOff>
    </xdr:to>
    <xdr:sp macro="" textlink="">
      <xdr:nvSpPr>
        <xdr:cNvPr id="147" name="Down Arrow Callout 14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93000000}"/>
            </a:ext>
          </a:extLst>
        </xdr:cNvPr>
        <xdr:cNvSpPr/>
      </xdr:nvSpPr>
      <xdr:spPr>
        <a:xfrm>
          <a:off x="135712200" y="334416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207</xdr:col>
      <xdr:colOff>177021</xdr:colOff>
      <xdr:row>125</xdr:row>
      <xdr:rowOff>107395</xdr:rowOff>
    </xdr:from>
    <xdr:to>
      <xdr:col>208</xdr:col>
      <xdr:colOff>327383</xdr:colOff>
      <xdr:row>126</xdr:row>
      <xdr:rowOff>66301</xdr:rowOff>
    </xdr:to>
    <xdr:sp macro="" textlink="">
      <xdr:nvSpPr>
        <xdr:cNvPr id="148" name="Down Arrow Callout 14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94000000}"/>
            </a:ext>
          </a:extLst>
        </xdr:cNvPr>
        <xdr:cNvSpPr/>
      </xdr:nvSpPr>
      <xdr:spPr>
        <a:xfrm>
          <a:off x="136498821" y="334448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206</xdr:col>
      <xdr:colOff>25877</xdr:colOff>
      <xdr:row>121</xdr:row>
      <xdr:rowOff>0</xdr:rowOff>
    </xdr:from>
    <xdr:to>
      <xdr:col>207</xdr:col>
      <xdr:colOff>147161</xdr:colOff>
      <xdr:row>121</xdr:row>
      <xdr:rowOff>254520</xdr:rowOff>
    </xdr:to>
    <xdr:sp macro="" textlink="">
      <xdr:nvSpPr>
        <xdr:cNvPr id="149" name="Up Arrow Callout 14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95000000}"/>
            </a:ext>
          </a:extLst>
        </xdr:cNvPr>
        <xdr:cNvSpPr/>
      </xdr:nvSpPr>
      <xdr:spPr>
        <a:xfrm>
          <a:off x="135738077" y="322707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207</xdr:col>
      <xdr:colOff>182880</xdr:colOff>
      <xdr:row>121</xdr:row>
      <xdr:rowOff>3905</xdr:rowOff>
    </xdr:from>
    <xdr:to>
      <xdr:col>208</xdr:col>
      <xdr:colOff>303539</xdr:colOff>
      <xdr:row>121</xdr:row>
      <xdr:rowOff>255062</xdr:rowOff>
    </xdr:to>
    <xdr:sp macro="" textlink="">
      <xdr:nvSpPr>
        <xdr:cNvPr id="150" name="Up Arrow Callout 14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96000000}"/>
            </a:ext>
          </a:extLst>
        </xdr:cNvPr>
        <xdr:cNvSpPr/>
      </xdr:nvSpPr>
      <xdr:spPr>
        <a:xfrm>
          <a:off x="136504680" y="322746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206</xdr:col>
      <xdr:colOff>16493</xdr:colOff>
      <xdr:row>124</xdr:row>
      <xdr:rowOff>108521</xdr:rowOff>
    </xdr:from>
    <xdr:to>
      <xdr:col>207</xdr:col>
      <xdr:colOff>149542</xdr:colOff>
      <xdr:row>125</xdr:row>
      <xdr:rowOff>63232</xdr:rowOff>
    </xdr:to>
    <xdr:sp macro="" textlink="">
      <xdr:nvSpPr>
        <xdr:cNvPr id="151" name="Down Arrow Callout 15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97000000}"/>
            </a:ext>
          </a:extLst>
        </xdr:cNvPr>
        <xdr:cNvSpPr/>
      </xdr:nvSpPr>
      <xdr:spPr>
        <a:xfrm>
          <a:off x="135728693" y="331793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207</xdr:col>
      <xdr:colOff>180498</xdr:colOff>
      <xdr:row>124</xdr:row>
      <xdr:rowOff>107970</xdr:rowOff>
    </xdr:from>
    <xdr:to>
      <xdr:col>208</xdr:col>
      <xdr:colOff>326025</xdr:colOff>
      <xdr:row>125</xdr:row>
      <xdr:rowOff>66252</xdr:rowOff>
    </xdr:to>
    <xdr:sp macro="" textlink="">
      <xdr:nvSpPr>
        <xdr:cNvPr id="152" name="Down Arrow Callout 15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98000000}"/>
            </a:ext>
          </a:extLst>
        </xdr:cNvPr>
        <xdr:cNvSpPr/>
      </xdr:nvSpPr>
      <xdr:spPr>
        <a:xfrm>
          <a:off x="136502298" y="331787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206</xdr:col>
      <xdr:colOff>22761</xdr:colOff>
      <xdr:row>122</xdr:row>
      <xdr:rowOff>8433</xdr:rowOff>
    </xdr:from>
    <xdr:to>
      <xdr:col>207</xdr:col>
      <xdr:colOff>151923</xdr:colOff>
      <xdr:row>122</xdr:row>
      <xdr:rowOff>255957</xdr:rowOff>
    </xdr:to>
    <xdr:sp macro="" textlink="">
      <xdr:nvSpPr>
        <xdr:cNvPr id="153" name="Up Arrow Callout 15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99000000}"/>
            </a:ext>
          </a:extLst>
        </xdr:cNvPr>
        <xdr:cNvSpPr/>
      </xdr:nvSpPr>
      <xdr:spPr>
        <a:xfrm>
          <a:off x="135734961" y="325458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207</xdr:col>
      <xdr:colOff>188299</xdr:colOff>
      <xdr:row>122</xdr:row>
      <xdr:rowOff>6053</xdr:rowOff>
    </xdr:from>
    <xdr:to>
      <xdr:col>208</xdr:col>
      <xdr:colOff>329246</xdr:colOff>
      <xdr:row>122</xdr:row>
      <xdr:rowOff>257211</xdr:rowOff>
    </xdr:to>
    <xdr:sp macro="" textlink="">
      <xdr:nvSpPr>
        <xdr:cNvPr id="154" name="Up Arrow Callout 15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9A000000}"/>
            </a:ext>
          </a:extLst>
        </xdr:cNvPr>
        <xdr:cNvSpPr/>
      </xdr:nvSpPr>
      <xdr:spPr>
        <a:xfrm>
          <a:off x="136510099" y="325434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206</xdr:col>
      <xdr:colOff>20955</xdr:colOff>
      <xdr:row>123</xdr:row>
      <xdr:rowOff>2439</xdr:rowOff>
    </xdr:from>
    <xdr:to>
      <xdr:col>207</xdr:col>
      <xdr:colOff>149542</xdr:colOff>
      <xdr:row>123</xdr:row>
      <xdr:rowOff>251157</xdr:rowOff>
    </xdr:to>
    <xdr:sp macro="" textlink="">
      <xdr:nvSpPr>
        <xdr:cNvPr id="155" name="Up Arrow Callout 15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9B000000}"/>
            </a:ext>
          </a:extLst>
        </xdr:cNvPr>
        <xdr:cNvSpPr/>
      </xdr:nvSpPr>
      <xdr:spPr>
        <a:xfrm>
          <a:off x="135733155" y="328065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207</xdr:col>
      <xdr:colOff>185992</xdr:colOff>
      <xdr:row>123</xdr:row>
      <xdr:rowOff>5992</xdr:rowOff>
    </xdr:from>
    <xdr:to>
      <xdr:col>208</xdr:col>
      <xdr:colOff>326437</xdr:colOff>
      <xdr:row>123</xdr:row>
      <xdr:rowOff>258518</xdr:rowOff>
    </xdr:to>
    <xdr:sp macro="" textlink="">
      <xdr:nvSpPr>
        <xdr:cNvPr id="156" name="Up Arrow Callout 15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9C000000}"/>
            </a:ext>
          </a:extLst>
        </xdr:cNvPr>
        <xdr:cNvSpPr/>
      </xdr:nvSpPr>
      <xdr:spPr>
        <a:xfrm>
          <a:off x="136507792" y="328100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225</xdr:col>
      <xdr:colOff>0</xdr:colOff>
      <xdr:row>124</xdr:row>
      <xdr:rowOff>104101</xdr:rowOff>
    </xdr:from>
    <xdr:to>
      <xdr:col>226</xdr:col>
      <xdr:colOff>147603</xdr:colOff>
      <xdr:row>125</xdr:row>
      <xdr:rowOff>73488</xdr:rowOff>
    </xdr:to>
    <xdr:sp macro="" textlink="">
      <xdr:nvSpPr>
        <xdr:cNvPr id="157" name="Down Arrow Callout 1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9D000000}"/>
            </a:ext>
          </a:extLst>
        </xdr:cNvPr>
        <xdr:cNvSpPr/>
      </xdr:nvSpPr>
      <xdr:spPr>
        <a:xfrm>
          <a:off x="147447000" y="331749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226</xdr:col>
      <xdr:colOff>177021</xdr:colOff>
      <xdr:row>124</xdr:row>
      <xdr:rowOff>107395</xdr:rowOff>
    </xdr:from>
    <xdr:to>
      <xdr:col>227</xdr:col>
      <xdr:colOff>327383</xdr:colOff>
      <xdr:row>125</xdr:row>
      <xdr:rowOff>66301</xdr:rowOff>
    </xdr:to>
    <xdr:sp macro="" textlink="">
      <xdr:nvSpPr>
        <xdr:cNvPr id="158" name="Down Arrow Callout 15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9E000000}"/>
            </a:ext>
          </a:extLst>
        </xdr:cNvPr>
        <xdr:cNvSpPr/>
      </xdr:nvSpPr>
      <xdr:spPr>
        <a:xfrm>
          <a:off x="148233621" y="331781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225</xdr:col>
      <xdr:colOff>25877</xdr:colOff>
      <xdr:row>120</xdr:row>
      <xdr:rowOff>0</xdr:rowOff>
    </xdr:from>
    <xdr:to>
      <xdr:col>226</xdr:col>
      <xdr:colOff>147161</xdr:colOff>
      <xdr:row>120</xdr:row>
      <xdr:rowOff>254520</xdr:rowOff>
    </xdr:to>
    <xdr:sp macro="" textlink="">
      <xdr:nvSpPr>
        <xdr:cNvPr id="159" name="Up Arrow Callout 15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9F000000}"/>
            </a:ext>
          </a:extLst>
        </xdr:cNvPr>
        <xdr:cNvSpPr/>
      </xdr:nvSpPr>
      <xdr:spPr>
        <a:xfrm>
          <a:off x="147472877" y="320040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226</xdr:col>
      <xdr:colOff>182880</xdr:colOff>
      <xdr:row>120</xdr:row>
      <xdr:rowOff>3905</xdr:rowOff>
    </xdr:from>
    <xdr:to>
      <xdr:col>227</xdr:col>
      <xdr:colOff>303539</xdr:colOff>
      <xdr:row>120</xdr:row>
      <xdr:rowOff>255062</xdr:rowOff>
    </xdr:to>
    <xdr:sp macro="" textlink="">
      <xdr:nvSpPr>
        <xdr:cNvPr id="160" name="Up Arrow Callout 15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A0000000}"/>
            </a:ext>
          </a:extLst>
        </xdr:cNvPr>
        <xdr:cNvSpPr/>
      </xdr:nvSpPr>
      <xdr:spPr>
        <a:xfrm>
          <a:off x="148239480" y="320079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225</xdr:col>
      <xdr:colOff>16493</xdr:colOff>
      <xdr:row>123</xdr:row>
      <xdr:rowOff>108521</xdr:rowOff>
    </xdr:from>
    <xdr:to>
      <xdr:col>226</xdr:col>
      <xdr:colOff>149542</xdr:colOff>
      <xdr:row>124</xdr:row>
      <xdr:rowOff>63232</xdr:rowOff>
    </xdr:to>
    <xdr:sp macro="" textlink="">
      <xdr:nvSpPr>
        <xdr:cNvPr id="161" name="Down Arrow Callout 16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A1000000}"/>
            </a:ext>
          </a:extLst>
        </xdr:cNvPr>
        <xdr:cNvSpPr/>
      </xdr:nvSpPr>
      <xdr:spPr>
        <a:xfrm>
          <a:off x="147463493" y="329126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226</xdr:col>
      <xdr:colOff>180498</xdr:colOff>
      <xdr:row>123</xdr:row>
      <xdr:rowOff>107970</xdr:rowOff>
    </xdr:from>
    <xdr:to>
      <xdr:col>227</xdr:col>
      <xdr:colOff>326025</xdr:colOff>
      <xdr:row>124</xdr:row>
      <xdr:rowOff>66252</xdr:rowOff>
    </xdr:to>
    <xdr:sp macro="" textlink="">
      <xdr:nvSpPr>
        <xdr:cNvPr id="162" name="Down Arrow Callout 16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A2000000}"/>
            </a:ext>
          </a:extLst>
        </xdr:cNvPr>
        <xdr:cNvSpPr/>
      </xdr:nvSpPr>
      <xdr:spPr>
        <a:xfrm>
          <a:off x="148237098" y="329120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225</xdr:col>
      <xdr:colOff>22761</xdr:colOff>
      <xdr:row>121</xdr:row>
      <xdr:rowOff>8433</xdr:rowOff>
    </xdr:from>
    <xdr:to>
      <xdr:col>226</xdr:col>
      <xdr:colOff>151923</xdr:colOff>
      <xdr:row>121</xdr:row>
      <xdr:rowOff>255957</xdr:rowOff>
    </xdr:to>
    <xdr:sp macro="" textlink="">
      <xdr:nvSpPr>
        <xdr:cNvPr id="163" name="Up Arrow Callout 16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A3000000}"/>
            </a:ext>
          </a:extLst>
        </xdr:cNvPr>
        <xdr:cNvSpPr/>
      </xdr:nvSpPr>
      <xdr:spPr>
        <a:xfrm>
          <a:off x="147469761" y="322791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226</xdr:col>
      <xdr:colOff>188299</xdr:colOff>
      <xdr:row>121</xdr:row>
      <xdr:rowOff>6053</xdr:rowOff>
    </xdr:from>
    <xdr:to>
      <xdr:col>227</xdr:col>
      <xdr:colOff>329246</xdr:colOff>
      <xdr:row>121</xdr:row>
      <xdr:rowOff>257211</xdr:rowOff>
    </xdr:to>
    <xdr:sp macro="" textlink="">
      <xdr:nvSpPr>
        <xdr:cNvPr id="164" name="Up Arrow Callout 16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A4000000}"/>
            </a:ext>
          </a:extLst>
        </xdr:cNvPr>
        <xdr:cNvSpPr/>
      </xdr:nvSpPr>
      <xdr:spPr>
        <a:xfrm>
          <a:off x="148244899" y="322767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225</xdr:col>
      <xdr:colOff>20955</xdr:colOff>
      <xdr:row>122</xdr:row>
      <xdr:rowOff>2439</xdr:rowOff>
    </xdr:from>
    <xdr:to>
      <xdr:col>226</xdr:col>
      <xdr:colOff>149542</xdr:colOff>
      <xdr:row>122</xdr:row>
      <xdr:rowOff>251157</xdr:rowOff>
    </xdr:to>
    <xdr:sp macro="" textlink="">
      <xdr:nvSpPr>
        <xdr:cNvPr id="165" name="Up Arrow Callout 16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A5000000}"/>
            </a:ext>
          </a:extLst>
        </xdr:cNvPr>
        <xdr:cNvSpPr/>
      </xdr:nvSpPr>
      <xdr:spPr>
        <a:xfrm>
          <a:off x="147467955" y="325398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226</xdr:col>
      <xdr:colOff>185992</xdr:colOff>
      <xdr:row>122</xdr:row>
      <xdr:rowOff>5992</xdr:rowOff>
    </xdr:from>
    <xdr:to>
      <xdr:col>227</xdr:col>
      <xdr:colOff>326437</xdr:colOff>
      <xdr:row>122</xdr:row>
      <xdr:rowOff>258518</xdr:rowOff>
    </xdr:to>
    <xdr:sp macro="" textlink="">
      <xdr:nvSpPr>
        <xdr:cNvPr id="166" name="Up Arrow Callout 16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A6000000}"/>
            </a:ext>
          </a:extLst>
        </xdr:cNvPr>
        <xdr:cNvSpPr/>
      </xdr:nvSpPr>
      <xdr:spPr>
        <a:xfrm>
          <a:off x="148242592" y="325433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188</xdr:col>
      <xdr:colOff>0</xdr:colOff>
      <xdr:row>140</xdr:row>
      <xdr:rowOff>104101</xdr:rowOff>
    </xdr:from>
    <xdr:to>
      <xdr:col>189</xdr:col>
      <xdr:colOff>109503</xdr:colOff>
      <xdr:row>141</xdr:row>
      <xdr:rowOff>73488</xdr:rowOff>
    </xdr:to>
    <xdr:sp macro="" textlink="">
      <xdr:nvSpPr>
        <xdr:cNvPr id="167" name="Down Arrow Callout 16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A7000000}"/>
            </a:ext>
          </a:extLst>
        </xdr:cNvPr>
        <xdr:cNvSpPr/>
      </xdr:nvSpPr>
      <xdr:spPr>
        <a:xfrm>
          <a:off x="124587000" y="374421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138921</xdr:colOff>
      <xdr:row>140</xdr:row>
      <xdr:rowOff>107395</xdr:rowOff>
    </xdr:from>
    <xdr:to>
      <xdr:col>190</xdr:col>
      <xdr:colOff>289283</xdr:colOff>
      <xdr:row>141</xdr:row>
      <xdr:rowOff>66301</xdr:rowOff>
    </xdr:to>
    <xdr:sp macro="" textlink="">
      <xdr:nvSpPr>
        <xdr:cNvPr id="168" name="Down Arrow Callout 16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A8000000}"/>
            </a:ext>
          </a:extLst>
        </xdr:cNvPr>
        <xdr:cNvSpPr/>
      </xdr:nvSpPr>
      <xdr:spPr>
        <a:xfrm>
          <a:off x="125373621" y="374453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188</xdr:col>
      <xdr:colOff>25877</xdr:colOff>
      <xdr:row>136</xdr:row>
      <xdr:rowOff>0</xdr:rowOff>
    </xdr:from>
    <xdr:to>
      <xdr:col>189</xdr:col>
      <xdr:colOff>109061</xdr:colOff>
      <xdr:row>136</xdr:row>
      <xdr:rowOff>254520</xdr:rowOff>
    </xdr:to>
    <xdr:sp macro="" textlink="">
      <xdr:nvSpPr>
        <xdr:cNvPr id="169" name="Up Arrow Callout 16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A9000000}"/>
            </a:ext>
          </a:extLst>
        </xdr:cNvPr>
        <xdr:cNvSpPr/>
      </xdr:nvSpPr>
      <xdr:spPr>
        <a:xfrm>
          <a:off x="124612877" y="362712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189</xdr:col>
      <xdr:colOff>144780</xdr:colOff>
      <xdr:row>136</xdr:row>
      <xdr:rowOff>3905</xdr:rowOff>
    </xdr:from>
    <xdr:to>
      <xdr:col>190</xdr:col>
      <xdr:colOff>265439</xdr:colOff>
      <xdr:row>136</xdr:row>
      <xdr:rowOff>255062</xdr:rowOff>
    </xdr:to>
    <xdr:sp macro="" textlink="">
      <xdr:nvSpPr>
        <xdr:cNvPr id="170" name="Up Arrow Callout 16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AA000000}"/>
            </a:ext>
          </a:extLst>
        </xdr:cNvPr>
        <xdr:cNvSpPr/>
      </xdr:nvSpPr>
      <xdr:spPr>
        <a:xfrm>
          <a:off x="125379480" y="362751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188</xdr:col>
      <xdr:colOff>16493</xdr:colOff>
      <xdr:row>139</xdr:row>
      <xdr:rowOff>108521</xdr:rowOff>
    </xdr:from>
    <xdr:to>
      <xdr:col>189</xdr:col>
      <xdr:colOff>111442</xdr:colOff>
      <xdr:row>140</xdr:row>
      <xdr:rowOff>63232</xdr:rowOff>
    </xdr:to>
    <xdr:sp macro="" textlink="">
      <xdr:nvSpPr>
        <xdr:cNvPr id="171" name="Down Arrow Callout 17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AB000000}"/>
            </a:ext>
          </a:extLst>
        </xdr:cNvPr>
        <xdr:cNvSpPr/>
      </xdr:nvSpPr>
      <xdr:spPr>
        <a:xfrm>
          <a:off x="124603493" y="371798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142398</xdr:colOff>
      <xdr:row>139</xdr:row>
      <xdr:rowOff>107970</xdr:rowOff>
    </xdr:from>
    <xdr:to>
      <xdr:col>190</xdr:col>
      <xdr:colOff>287925</xdr:colOff>
      <xdr:row>140</xdr:row>
      <xdr:rowOff>66252</xdr:rowOff>
    </xdr:to>
    <xdr:sp macro="" textlink="">
      <xdr:nvSpPr>
        <xdr:cNvPr id="172" name="Down Arrow Callout 17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AC000000}"/>
            </a:ext>
          </a:extLst>
        </xdr:cNvPr>
        <xdr:cNvSpPr/>
      </xdr:nvSpPr>
      <xdr:spPr>
        <a:xfrm>
          <a:off x="125377098" y="371792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188</xdr:col>
      <xdr:colOff>22761</xdr:colOff>
      <xdr:row>137</xdr:row>
      <xdr:rowOff>8433</xdr:rowOff>
    </xdr:from>
    <xdr:to>
      <xdr:col>189</xdr:col>
      <xdr:colOff>113823</xdr:colOff>
      <xdr:row>137</xdr:row>
      <xdr:rowOff>255957</xdr:rowOff>
    </xdr:to>
    <xdr:sp macro="" textlink="">
      <xdr:nvSpPr>
        <xdr:cNvPr id="173" name="Up Arrow Callout 17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AD000000}"/>
            </a:ext>
          </a:extLst>
        </xdr:cNvPr>
        <xdr:cNvSpPr/>
      </xdr:nvSpPr>
      <xdr:spPr>
        <a:xfrm>
          <a:off x="124609761" y="365463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189</xdr:col>
      <xdr:colOff>150199</xdr:colOff>
      <xdr:row>137</xdr:row>
      <xdr:rowOff>6053</xdr:rowOff>
    </xdr:from>
    <xdr:to>
      <xdr:col>190</xdr:col>
      <xdr:colOff>291146</xdr:colOff>
      <xdr:row>137</xdr:row>
      <xdr:rowOff>257211</xdr:rowOff>
    </xdr:to>
    <xdr:sp macro="" textlink="">
      <xdr:nvSpPr>
        <xdr:cNvPr id="174" name="Up Arrow Callout 17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AE000000}"/>
            </a:ext>
          </a:extLst>
        </xdr:cNvPr>
        <xdr:cNvSpPr/>
      </xdr:nvSpPr>
      <xdr:spPr>
        <a:xfrm>
          <a:off x="125384899" y="365439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188</xdr:col>
      <xdr:colOff>20955</xdr:colOff>
      <xdr:row>138</xdr:row>
      <xdr:rowOff>2439</xdr:rowOff>
    </xdr:from>
    <xdr:to>
      <xdr:col>189</xdr:col>
      <xdr:colOff>111442</xdr:colOff>
      <xdr:row>138</xdr:row>
      <xdr:rowOff>251157</xdr:rowOff>
    </xdr:to>
    <xdr:sp macro="" textlink="">
      <xdr:nvSpPr>
        <xdr:cNvPr id="175" name="Up Arrow Callout 17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AF000000}"/>
            </a:ext>
          </a:extLst>
        </xdr:cNvPr>
        <xdr:cNvSpPr/>
      </xdr:nvSpPr>
      <xdr:spPr>
        <a:xfrm>
          <a:off x="124607955" y="368070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189</xdr:col>
      <xdr:colOff>147892</xdr:colOff>
      <xdr:row>138</xdr:row>
      <xdr:rowOff>5992</xdr:rowOff>
    </xdr:from>
    <xdr:to>
      <xdr:col>190</xdr:col>
      <xdr:colOff>288337</xdr:colOff>
      <xdr:row>138</xdr:row>
      <xdr:rowOff>258518</xdr:rowOff>
    </xdr:to>
    <xdr:sp macro="" textlink="">
      <xdr:nvSpPr>
        <xdr:cNvPr id="176" name="Up Arrow Callout 17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B0000000}"/>
            </a:ext>
          </a:extLst>
        </xdr:cNvPr>
        <xdr:cNvSpPr/>
      </xdr:nvSpPr>
      <xdr:spPr>
        <a:xfrm>
          <a:off x="125382592" y="368105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124</xdr:col>
      <xdr:colOff>0</xdr:colOff>
      <xdr:row>142</xdr:row>
      <xdr:rowOff>104101</xdr:rowOff>
    </xdr:from>
    <xdr:to>
      <xdr:col>125</xdr:col>
      <xdr:colOff>147603</xdr:colOff>
      <xdr:row>143</xdr:row>
      <xdr:rowOff>73488</xdr:rowOff>
    </xdr:to>
    <xdr:sp macro="" textlink="">
      <xdr:nvSpPr>
        <xdr:cNvPr id="177" name="Down Arrow Callout 17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B1000000}"/>
            </a:ext>
          </a:extLst>
        </xdr:cNvPr>
        <xdr:cNvSpPr/>
      </xdr:nvSpPr>
      <xdr:spPr>
        <a:xfrm>
          <a:off x="82753200" y="379755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125</xdr:col>
      <xdr:colOff>177021</xdr:colOff>
      <xdr:row>142</xdr:row>
      <xdr:rowOff>107395</xdr:rowOff>
    </xdr:from>
    <xdr:to>
      <xdr:col>126</xdr:col>
      <xdr:colOff>327383</xdr:colOff>
      <xdr:row>143</xdr:row>
      <xdr:rowOff>66301</xdr:rowOff>
    </xdr:to>
    <xdr:sp macro="" textlink="">
      <xdr:nvSpPr>
        <xdr:cNvPr id="178" name="Down Arrow Callout 17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B2000000}"/>
            </a:ext>
          </a:extLst>
        </xdr:cNvPr>
        <xdr:cNvSpPr/>
      </xdr:nvSpPr>
      <xdr:spPr>
        <a:xfrm>
          <a:off x="83539821" y="379787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124</xdr:col>
      <xdr:colOff>25877</xdr:colOff>
      <xdr:row>138</xdr:row>
      <xdr:rowOff>0</xdr:rowOff>
    </xdr:from>
    <xdr:to>
      <xdr:col>125</xdr:col>
      <xdr:colOff>147161</xdr:colOff>
      <xdr:row>138</xdr:row>
      <xdr:rowOff>254520</xdr:rowOff>
    </xdr:to>
    <xdr:sp macro="" textlink="">
      <xdr:nvSpPr>
        <xdr:cNvPr id="179" name="Up Arrow Callout 17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B3000000}"/>
            </a:ext>
          </a:extLst>
        </xdr:cNvPr>
        <xdr:cNvSpPr/>
      </xdr:nvSpPr>
      <xdr:spPr>
        <a:xfrm>
          <a:off x="82779077" y="368046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125</xdr:col>
      <xdr:colOff>182880</xdr:colOff>
      <xdr:row>138</xdr:row>
      <xdr:rowOff>3905</xdr:rowOff>
    </xdr:from>
    <xdr:to>
      <xdr:col>126</xdr:col>
      <xdr:colOff>303539</xdr:colOff>
      <xdr:row>138</xdr:row>
      <xdr:rowOff>255062</xdr:rowOff>
    </xdr:to>
    <xdr:sp macro="" textlink="">
      <xdr:nvSpPr>
        <xdr:cNvPr id="180" name="Up Arrow Callout 17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B4000000}"/>
            </a:ext>
          </a:extLst>
        </xdr:cNvPr>
        <xdr:cNvSpPr/>
      </xdr:nvSpPr>
      <xdr:spPr>
        <a:xfrm>
          <a:off x="83545680" y="368085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124</xdr:col>
      <xdr:colOff>16493</xdr:colOff>
      <xdr:row>141</xdr:row>
      <xdr:rowOff>108521</xdr:rowOff>
    </xdr:from>
    <xdr:to>
      <xdr:col>125</xdr:col>
      <xdr:colOff>149542</xdr:colOff>
      <xdr:row>142</xdr:row>
      <xdr:rowOff>63232</xdr:rowOff>
    </xdr:to>
    <xdr:sp macro="" textlink="">
      <xdr:nvSpPr>
        <xdr:cNvPr id="181" name="Down Arrow Callout 18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B5000000}"/>
            </a:ext>
          </a:extLst>
        </xdr:cNvPr>
        <xdr:cNvSpPr/>
      </xdr:nvSpPr>
      <xdr:spPr>
        <a:xfrm>
          <a:off x="82769693" y="377132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125</xdr:col>
      <xdr:colOff>180498</xdr:colOff>
      <xdr:row>141</xdr:row>
      <xdr:rowOff>107970</xdr:rowOff>
    </xdr:from>
    <xdr:to>
      <xdr:col>126</xdr:col>
      <xdr:colOff>326025</xdr:colOff>
      <xdr:row>142</xdr:row>
      <xdr:rowOff>66252</xdr:rowOff>
    </xdr:to>
    <xdr:sp macro="" textlink="">
      <xdr:nvSpPr>
        <xdr:cNvPr id="182" name="Down Arrow Callout 18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B6000000}"/>
            </a:ext>
          </a:extLst>
        </xdr:cNvPr>
        <xdr:cNvSpPr/>
      </xdr:nvSpPr>
      <xdr:spPr>
        <a:xfrm>
          <a:off x="83543298" y="377126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124</xdr:col>
      <xdr:colOff>22761</xdr:colOff>
      <xdr:row>139</xdr:row>
      <xdr:rowOff>8433</xdr:rowOff>
    </xdr:from>
    <xdr:to>
      <xdr:col>125</xdr:col>
      <xdr:colOff>151923</xdr:colOff>
      <xdr:row>139</xdr:row>
      <xdr:rowOff>255957</xdr:rowOff>
    </xdr:to>
    <xdr:sp macro="" textlink="">
      <xdr:nvSpPr>
        <xdr:cNvPr id="183" name="Up Arrow Callout 18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B7000000}"/>
            </a:ext>
          </a:extLst>
        </xdr:cNvPr>
        <xdr:cNvSpPr/>
      </xdr:nvSpPr>
      <xdr:spPr>
        <a:xfrm>
          <a:off x="82775961" y="370797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125</xdr:col>
      <xdr:colOff>188299</xdr:colOff>
      <xdr:row>139</xdr:row>
      <xdr:rowOff>6053</xdr:rowOff>
    </xdr:from>
    <xdr:to>
      <xdr:col>126</xdr:col>
      <xdr:colOff>329246</xdr:colOff>
      <xdr:row>139</xdr:row>
      <xdr:rowOff>257211</xdr:rowOff>
    </xdr:to>
    <xdr:sp macro="" textlink="">
      <xdr:nvSpPr>
        <xdr:cNvPr id="184" name="Up Arrow Callout 18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B8000000}"/>
            </a:ext>
          </a:extLst>
        </xdr:cNvPr>
        <xdr:cNvSpPr/>
      </xdr:nvSpPr>
      <xdr:spPr>
        <a:xfrm>
          <a:off x="83551099" y="370773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124</xdr:col>
      <xdr:colOff>20955</xdr:colOff>
      <xdr:row>140</xdr:row>
      <xdr:rowOff>2439</xdr:rowOff>
    </xdr:from>
    <xdr:to>
      <xdr:col>125</xdr:col>
      <xdr:colOff>149542</xdr:colOff>
      <xdr:row>140</xdr:row>
      <xdr:rowOff>251157</xdr:rowOff>
    </xdr:to>
    <xdr:sp macro="" textlink="">
      <xdr:nvSpPr>
        <xdr:cNvPr id="185" name="Up Arrow Callout 18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B9000000}"/>
            </a:ext>
          </a:extLst>
        </xdr:cNvPr>
        <xdr:cNvSpPr/>
      </xdr:nvSpPr>
      <xdr:spPr>
        <a:xfrm>
          <a:off x="82774155" y="373404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125</xdr:col>
      <xdr:colOff>185992</xdr:colOff>
      <xdr:row>140</xdr:row>
      <xdr:rowOff>5992</xdr:rowOff>
    </xdr:from>
    <xdr:to>
      <xdr:col>126</xdr:col>
      <xdr:colOff>326437</xdr:colOff>
      <xdr:row>140</xdr:row>
      <xdr:rowOff>258518</xdr:rowOff>
    </xdr:to>
    <xdr:sp macro="" textlink="">
      <xdr:nvSpPr>
        <xdr:cNvPr id="186" name="Up Arrow Callout 18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BA000000}"/>
            </a:ext>
          </a:extLst>
        </xdr:cNvPr>
        <xdr:cNvSpPr/>
      </xdr:nvSpPr>
      <xdr:spPr>
        <a:xfrm>
          <a:off x="83548792" y="373439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62</xdr:col>
      <xdr:colOff>0</xdr:colOff>
      <xdr:row>142</xdr:row>
      <xdr:rowOff>104101</xdr:rowOff>
    </xdr:from>
    <xdr:to>
      <xdr:col>63</xdr:col>
      <xdr:colOff>147603</xdr:colOff>
      <xdr:row>143</xdr:row>
      <xdr:rowOff>73488</xdr:rowOff>
    </xdr:to>
    <xdr:sp macro="" textlink="">
      <xdr:nvSpPr>
        <xdr:cNvPr id="187" name="Down Arrow Callout 18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BB000000}"/>
            </a:ext>
          </a:extLst>
        </xdr:cNvPr>
        <xdr:cNvSpPr/>
      </xdr:nvSpPr>
      <xdr:spPr>
        <a:xfrm>
          <a:off x="44424600" y="379755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63</xdr:col>
      <xdr:colOff>177021</xdr:colOff>
      <xdr:row>142</xdr:row>
      <xdr:rowOff>107395</xdr:rowOff>
    </xdr:from>
    <xdr:to>
      <xdr:col>64</xdr:col>
      <xdr:colOff>327383</xdr:colOff>
      <xdr:row>143</xdr:row>
      <xdr:rowOff>66301</xdr:rowOff>
    </xdr:to>
    <xdr:sp macro="" textlink="">
      <xdr:nvSpPr>
        <xdr:cNvPr id="188" name="Down Arrow Callout 18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BC000000}"/>
            </a:ext>
          </a:extLst>
        </xdr:cNvPr>
        <xdr:cNvSpPr/>
      </xdr:nvSpPr>
      <xdr:spPr>
        <a:xfrm>
          <a:off x="45211221" y="379787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62</xdr:col>
      <xdr:colOff>25877</xdr:colOff>
      <xdr:row>138</xdr:row>
      <xdr:rowOff>0</xdr:rowOff>
    </xdr:from>
    <xdr:to>
      <xdr:col>63</xdr:col>
      <xdr:colOff>147161</xdr:colOff>
      <xdr:row>138</xdr:row>
      <xdr:rowOff>254520</xdr:rowOff>
    </xdr:to>
    <xdr:sp macro="" textlink="">
      <xdr:nvSpPr>
        <xdr:cNvPr id="189" name="Up Arrow Callout 18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BD000000}"/>
            </a:ext>
          </a:extLst>
        </xdr:cNvPr>
        <xdr:cNvSpPr/>
      </xdr:nvSpPr>
      <xdr:spPr>
        <a:xfrm>
          <a:off x="44450477" y="368046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63</xdr:col>
      <xdr:colOff>182880</xdr:colOff>
      <xdr:row>138</xdr:row>
      <xdr:rowOff>3905</xdr:rowOff>
    </xdr:from>
    <xdr:to>
      <xdr:col>64</xdr:col>
      <xdr:colOff>303539</xdr:colOff>
      <xdr:row>138</xdr:row>
      <xdr:rowOff>255062</xdr:rowOff>
    </xdr:to>
    <xdr:sp macro="" textlink="">
      <xdr:nvSpPr>
        <xdr:cNvPr id="190" name="Up Arrow Callout 18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BE000000}"/>
            </a:ext>
          </a:extLst>
        </xdr:cNvPr>
        <xdr:cNvSpPr/>
      </xdr:nvSpPr>
      <xdr:spPr>
        <a:xfrm>
          <a:off x="45217080" y="368085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62</xdr:col>
      <xdr:colOff>16493</xdr:colOff>
      <xdr:row>141</xdr:row>
      <xdr:rowOff>108521</xdr:rowOff>
    </xdr:from>
    <xdr:to>
      <xdr:col>63</xdr:col>
      <xdr:colOff>149542</xdr:colOff>
      <xdr:row>142</xdr:row>
      <xdr:rowOff>63232</xdr:rowOff>
    </xdr:to>
    <xdr:sp macro="" textlink="">
      <xdr:nvSpPr>
        <xdr:cNvPr id="191" name="Down Arrow Callout 19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BF000000}"/>
            </a:ext>
          </a:extLst>
        </xdr:cNvPr>
        <xdr:cNvSpPr/>
      </xdr:nvSpPr>
      <xdr:spPr>
        <a:xfrm>
          <a:off x="44441093" y="377132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63</xdr:col>
      <xdr:colOff>180498</xdr:colOff>
      <xdr:row>141</xdr:row>
      <xdr:rowOff>107970</xdr:rowOff>
    </xdr:from>
    <xdr:to>
      <xdr:col>64</xdr:col>
      <xdr:colOff>326025</xdr:colOff>
      <xdr:row>142</xdr:row>
      <xdr:rowOff>66252</xdr:rowOff>
    </xdr:to>
    <xdr:sp macro="" textlink="">
      <xdr:nvSpPr>
        <xdr:cNvPr id="192" name="Down Arrow Callout 19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C0000000}"/>
            </a:ext>
          </a:extLst>
        </xdr:cNvPr>
        <xdr:cNvSpPr/>
      </xdr:nvSpPr>
      <xdr:spPr>
        <a:xfrm>
          <a:off x="45214698" y="377126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62</xdr:col>
      <xdr:colOff>22761</xdr:colOff>
      <xdr:row>139</xdr:row>
      <xdr:rowOff>8433</xdr:rowOff>
    </xdr:from>
    <xdr:to>
      <xdr:col>63</xdr:col>
      <xdr:colOff>151923</xdr:colOff>
      <xdr:row>139</xdr:row>
      <xdr:rowOff>255957</xdr:rowOff>
    </xdr:to>
    <xdr:sp macro="" textlink="">
      <xdr:nvSpPr>
        <xdr:cNvPr id="193" name="Up Arrow Callout 19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C1000000}"/>
            </a:ext>
          </a:extLst>
        </xdr:cNvPr>
        <xdr:cNvSpPr/>
      </xdr:nvSpPr>
      <xdr:spPr>
        <a:xfrm>
          <a:off x="44447361" y="370797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63</xdr:col>
      <xdr:colOff>188299</xdr:colOff>
      <xdr:row>139</xdr:row>
      <xdr:rowOff>6053</xdr:rowOff>
    </xdr:from>
    <xdr:to>
      <xdr:col>64</xdr:col>
      <xdr:colOff>329246</xdr:colOff>
      <xdr:row>139</xdr:row>
      <xdr:rowOff>257211</xdr:rowOff>
    </xdr:to>
    <xdr:sp macro="" textlink="">
      <xdr:nvSpPr>
        <xdr:cNvPr id="194" name="Up Arrow Callout 19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C2000000}"/>
            </a:ext>
          </a:extLst>
        </xdr:cNvPr>
        <xdr:cNvSpPr/>
      </xdr:nvSpPr>
      <xdr:spPr>
        <a:xfrm>
          <a:off x="45222499" y="370773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62</xdr:col>
      <xdr:colOff>20955</xdr:colOff>
      <xdr:row>140</xdr:row>
      <xdr:rowOff>2439</xdr:rowOff>
    </xdr:from>
    <xdr:to>
      <xdr:col>63</xdr:col>
      <xdr:colOff>149542</xdr:colOff>
      <xdr:row>140</xdr:row>
      <xdr:rowOff>251157</xdr:rowOff>
    </xdr:to>
    <xdr:sp macro="" textlink="">
      <xdr:nvSpPr>
        <xdr:cNvPr id="195" name="Up Arrow Callout 19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C3000000}"/>
            </a:ext>
          </a:extLst>
        </xdr:cNvPr>
        <xdr:cNvSpPr/>
      </xdr:nvSpPr>
      <xdr:spPr>
        <a:xfrm>
          <a:off x="44445555" y="373404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63</xdr:col>
      <xdr:colOff>185992</xdr:colOff>
      <xdr:row>140</xdr:row>
      <xdr:rowOff>5992</xdr:rowOff>
    </xdr:from>
    <xdr:to>
      <xdr:col>64</xdr:col>
      <xdr:colOff>326437</xdr:colOff>
      <xdr:row>140</xdr:row>
      <xdr:rowOff>258518</xdr:rowOff>
    </xdr:to>
    <xdr:sp macro="" textlink="">
      <xdr:nvSpPr>
        <xdr:cNvPr id="196" name="Up Arrow Callout 19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C4000000}"/>
            </a:ext>
          </a:extLst>
        </xdr:cNvPr>
        <xdr:cNvSpPr/>
      </xdr:nvSpPr>
      <xdr:spPr>
        <a:xfrm>
          <a:off x="45220192" y="373439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46</xdr:col>
      <xdr:colOff>0</xdr:colOff>
      <xdr:row>276</xdr:row>
      <xdr:rowOff>104101</xdr:rowOff>
    </xdr:from>
    <xdr:to>
      <xdr:col>47</xdr:col>
      <xdr:colOff>147603</xdr:colOff>
      <xdr:row>277</xdr:row>
      <xdr:rowOff>73488</xdr:rowOff>
    </xdr:to>
    <xdr:sp macro="" textlink="">
      <xdr:nvSpPr>
        <xdr:cNvPr id="197" name="Down Arrow Callout 19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C5000000}"/>
            </a:ext>
          </a:extLst>
        </xdr:cNvPr>
        <xdr:cNvSpPr/>
      </xdr:nvSpPr>
      <xdr:spPr>
        <a:xfrm>
          <a:off x="34328100" y="735990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47</xdr:col>
      <xdr:colOff>177021</xdr:colOff>
      <xdr:row>276</xdr:row>
      <xdr:rowOff>107395</xdr:rowOff>
    </xdr:from>
    <xdr:to>
      <xdr:col>48</xdr:col>
      <xdr:colOff>251183</xdr:colOff>
      <xdr:row>277</xdr:row>
      <xdr:rowOff>66301</xdr:rowOff>
    </xdr:to>
    <xdr:sp macro="" textlink="">
      <xdr:nvSpPr>
        <xdr:cNvPr id="198" name="Down Arrow Callout 19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C6000000}"/>
            </a:ext>
          </a:extLst>
        </xdr:cNvPr>
        <xdr:cNvSpPr/>
      </xdr:nvSpPr>
      <xdr:spPr>
        <a:xfrm>
          <a:off x="35114721" y="736022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46</xdr:col>
      <xdr:colOff>25877</xdr:colOff>
      <xdr:row>272</xdr:row>
      <xdr:rowOff>0</xdr:rowOff>
    </xdr:from>
    <xdr:to>
      <xdr:col>47</xdr:col>
      <xdr:colOff>147161</xdr:colOff>
      <xdr:row>272</xdr:row>
      <xdr:rowOff>254520</xdr:rowOff>
    </xdr:to>
    <xdr:sp macro="" textlink="">
      <xdr:nvSpPr>
        <xdr:cNvPr id="199" name="Up Arrow Callout 19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C7000000}"/>
            </a:ext>
          </a:extLst>
        </xdr:cNvPr>
        <xdr:cNvSpPr/>
      </xdr:nvSpPr>
      <xdr:spPr>
        <a:xfrm>
          <a:off x="34353977" y="724281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47</xdr:col>
      <xdr:colOff>182880</xdr:colOff>
      <xdr:row>272</xdr:row>
      <xdr:rowOff>3905</xdr:rowOff>
    </xdr:from>
    <xdr:to>
      <xdr:col>48</xdr:col>
      <xdr:colOff>227339</xdr:colOff>
      <xdr:row>272</xdr:row>
      <xdr:rowOff>255062</xdr:rowOff>
    </xdr:to>
    <xdr:sp macro="" textlink="">
      <xdr:nvSpPr>
        <xdr:cNvPr id="200" name="Up Arrow Callout 19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C8000000}"/>
            </a:ext>
          </a:extLst>
        </xdr:cNvPr>
        <xdr:cNvSpPr/>
      </xdr:nvSpPr>
      <xdr:spPr>
        <a:xfrm>
          <a:off x="35120580" y="724320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46</xdr:col>
      <xdr:colOff>16493</xdr:colOff>
      <xdr:row>275</xdr:row>
      <xdr:rowOff>108521</xdr:rowOff>
    </xdr:from>
    <xdr:to>
      <xdr:col>47</xdr:col>
      <xdr:colOff>149542</xdr:colOff>
      <xdr:row>276</xdr:row>
      <xdr:rowOff>63232</xdr:rowOff>
    </xdr:to>
    <xdr:sp macro="" textlink="">
      <xdr:nvSpPr>
        <xdr:cNvPr id="201" name="Down Arrow Callout 20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C9000000}"/>
            </a:ext>
          </a:extLst>
        </xdr:cNvPr>
        <xdr:cNvSpPr/>
      </xdr:nvSpPr>
      <xdr:spPr>
        <a:xfrm>
          <a:off x="34344593" y="733367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47</xdr:col>
      <xdr:colOff>180498</xdr:colOff>
      <xdr:row>275</xdr:row>
      <xdr:rowOff>107970</xdr:rowOff>
    </xdr:from>
    <xdr:to>
      <xdr:col>48</xdr:col>
      <xdr:colOff>249825</xdr:colOff>
      <xdr:row>276</xdr:row>
      <xdr:rowOff>66252</xdr:rowOff>
    </xdr:to>
    <xdr:sp macro="" textlink="">
      <xdr:nvSpPr>
        <xdr:cNvPr id="202" name="Down Arrow Callout 20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CA000000}"/>
            </a:ext>
          </a:extLst>
        </xdr:cNvPr>
        <xdr:cNvSpPr/>
      </xdr:nvSpPr>
      <xdr:spPr>
        <a:xfrm>
          <a:off x="35118198" y="733361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46</xdr:col>
      <xdr:colOff>22761</xdr:colOff>
      <xdr:row>273</xdr:row>
      <xdr:rowOff>8433</xdr:rowOff>
    </xdr:from>
    <xdr:to>
      <xdr:col>47</xdr:col>
      <xdr:colOff>151923</xdr:colOff>
      <xdr:row>273</xdr:row>
      <xdr:rowOff>255957</xdr:rowOff>
    </xdr:to>
    <xdr:sp macro="" textlink="">
      <xdr:nvSpPr>
        <xdr:cNvPr id="203" name="Up Arrow Callout 20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CB000000}"/>
            </a:ext>
          </a:extLst>
        </xdr:cNvPr>
        <xdr:cNvSpPr/>
      </xdr:nvSpPr>
      <xdr:spPr>
        <a:xfrm>
          <a:off x="34350861" y="727032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47</xdr:col>
      <xdr:colOff>188299</xdr:colOff>
      <xdr:row>273</xdr:row>
      <xdr:rowOff>6053</xdr:rowOff>
    </xdr:from>
    <xdr:to>
      <xdr:col>48</xdr:col>
      <xdr:colOff>253046</xdr:colOff>
      <xdr:row>273</xdr:row>
      <xdr:rowOff>257211</xdr:rowOff>
    </xdr:to>
    <xdr:sp macro="" textlink="">
      <xdr:nvSpPr>
        <xdr:cNvPr id="204" name="Up Arrow Callout 20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CC000000}"/>
            </a:ext>
          </a:extLst>
        </xdr:cNvPr>
        <xdr:cNvSpPr/>
      </xdr:nvSpPr>
      <xdr:spPr>
        <a:xfrm>
          <a:off x="35125999" y="727008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46</xdr:col>
      <xdr:colOff>20955</xdr:colOff>
      <xdr:row>274</xdr:row>
      <xdr:rowOff>2439</xdr:rowOff>
    </xdr:from>
    <xdr:to>
      <xdr:col>47</xdr:col>
      <xdr:colOff>149542</xdr:colOff>
      <xdr:row>274</xdr:row>
      <xdr:rowOff>251157</xdr:rowOff>
    </xdr:to>
    <xdr:sp macro="" textlink="">
      <xdr:nvSpPr>
        <xdr:cNvPr id="205" name="Up Arrow Callout 20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CD000000}"/>
            </a:ext>
          </a:extLst>
        </xdr:cNvPr>
        <xdr:cNvSpPr/>
      </xdr:nvSpPr>
      <xdr:spPr>
        <a:xfrm>
          <a:off x="34349055" y="729639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47</xdr:col>
      <xdr:colOff>185992</xdr:colOff>
      <xdr:row>274</xdr:row>
      <xdr:rowOff>5992</xdr:rowOff>
    </xdr:from>
    <xdr:to>
      <xdr:col>48</xdr:col>
      <xdr:colOff>250237</xdr:colOff>
      <xdr:row>274</xdr:row>
      <xdr:rowOff>258518</xdr:rowOff>
    </xdr:to>
    <xdr:sp macro="" textlink="">
      <xdr:nvSpPr>
        <xdr:cNvPr id="206" name="Up Arrow Callout 20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CE000000}"/>
            </a:ext>
          </a:extLst>
        </xdr:cNvPr>
        <xdr:cNvSpPr/>
      </xdr:nvSpPr>
      <xdr:spPr>
        <a:xfrm>
          <a:off x="35123692" y="729674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102</xdr:col>
      <xdr:colOff>0</xdr:colOff>
      <xdr:row>274</xdr:row>
      <xdr:rowOff>104101</xdr:rowOff>
    </xdr:from>
    <xdr:to>
      <xdr:col>103</xdr:col>
      <xdr:colOff>147603</xdr:colOff>
      <xdr:row>275</xdr:row>
      <xdr:rowOff>73488</xdr:rowOff>
    </xdr:to>
    <xdr:sp macro="" textlink="">
      <xdr:nvSpPr>
        <xdr:cNvPr id="207" name="Down Arrow Callout 20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CF000000}"/>
            </a:ext>
          </a:extLst>
        </xdr:cNvPr>
        <xdr:cNvSpPr/>
      </xdr:nvSpPr>
      <xdr:spPr>
        <a:xfrm>
          <a:off x="69227700" y="730656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103</xdr:col>
      <xdr:colOff>177021</xdr:colOff>
      <xdr:row>274</xdr:row>
      <xdr:rowOff>107395</xdr:rowOff>
    </xdr:from>
    <xdr:to>
      <xdr:col>104</xdr:col>
      <xdr:colOff>289283</xdr:colOff>
      <xdr:row>275</xdr:row>
      <xdr:rowOff>66301</xdr:rowOff>
    </xdr:to>
    <xdr:sp macro="" textlink="">
      <xdr:nvSpPr>
        <xdr:cNvPr id="208" name="Down Arrow Callout 20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D0000000}"/>
            </a:ext>
          </a:extLst>
        </xdr:cNvPr>
        <xdr:cNvSpPr/>
      </xdr:nvSpPr>
      <xdr:spPr>
        <a:xfrm>
          <a:off x="70014321" y="730688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102</xdr:col>
      <xdr:colOff>25877</xdr:colOff>
      <xdr:row>270</xdr:row>
      <xdr:rowOff>0</xdr:rowOff>
    </xdr:from>
    <xdr:to>
      <xdr:col>103</xdr:col>
      <xdr:colOff>147161</xdr:colOff>
      <xdr:row>270</xdr:row>
      <xdr:rowOff>254520</xdr:rowOff>
    </xdr:to>
    <xdr:sp macro="" textlink="">
      <xdr:nvSpPr>
        <xdr:cNvPr id="209" name="Up Arrow Callout 20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D1000000}"/>
            </a:ext>
          </a:extLst>
        </xdr:cNvPr>
        <xdr:cNvSpPr/>
      </xdr:nvSpPr>
      <xdr:spPr>
        <a:xfrm>
          <a:off x="69253577" y="718947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103</xdr:col>
      <xdr:colOff>182880</xdr:colOff>
      <xdr:row>270</xdr:row>
      <xdr:rowOff>3905</xdr:rowOff>
    </xdr:from>
    <xdr:to>
      <xdr:col>104</xdr:col>
      <xdr:colOff>265439</xdr:colOff>
      <xdr:row>270</xdr:row>
      <xdr:rowOff>255062</xdr:rowOff>
    </xdr:to>
    <xdr:sp macro="" textlink="">
      <xdr:nvSpPr>
        <xdr:cNvPr id="210" name="Up Arrow Callout 20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D2000000}"/>
            </a:ext>
          </a:extLst>
        </xdr:cNvPr>
        <xdr:cNvSpPr/>
      </xdr:nvSpPr>
      <xdr:spPr>
        <a:xfrm>
          <a:off x="70020180" y="718986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102</xdr:col>
      <xdr:colOff>16493</xdr:colOff>
      <xdr:row>273</xdr:row>
      <xdr:rowOff>108521</xdr:rowOff>
    </xdr:from>
    <xdr:to>
      <xdr:col>103</xdr:col>
      <xdr:colOff>149542</xdr:colOff>
      <xdr:row>274</xdr:row>
      <xdr:rowOff>63232</xdr:rowOff>
    </xdr:to>
    <xdr:sp macro="" textlink="">
      <xdr:nvSpPr>
        <xdr:cNvPr id="211" name="Down Arrow Callout 21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D3000000}"/>
            </a:ext>
          </a:extLst>
        </xdr:cNvPr>
        <xdr:cNvSpPr/>
      </xdr:nvSpPr>
      <xdr:spPr>
        <a:xfrm>
          <a:off x="69244193" y="728033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103</xdr:col>
      <xdr:colOff>180498</xdr:colOff>
      <xdr:row>273</xdr:row>
      <xdr:rowOff>107970</xdr:rowOff>
    </xdr:from>
    <xdr:to>
      <xdr:col>104</xdr:col>
      <xdr:colOff>287925</xdr:colOff>
      <xdr:row>274</xdr:row>
      <xdr:rowOff>66252</xdr:rowOff>
    </xdr:to>
    <xdr:sp macro="" textlink="">
      <xdr:nvSpPr>
        <xdr:cNvPr id="212" name="Down Arrow Callout 21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D4000000}"/>
            </a:ext>
          </a:extLst>
        </xdr:cNvPr>
        <xdr:cNvSpPr/>
      </xdr:nvSpPr>
      <xdr:spPr>
        <a:xfrm>
          <a:off x="70017798" y="728027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102</xdr:col>
      <xdr:colOff>22761</xdr:colOff>
      <xdr:row>271</xdr:row>
      <xdr:rowOff>8433</xdr:rowOff>
    </xdr:from>
    <xdr:to>
      <xdr:col>103</xdr:col>
      <xdr:colOff>151923</xdr:colOff>
      <xdr:row>271</xdr:row>
      <xdr:rowOff>255957</xdr:rowOff>
    </xdr:to>
    <xdr:sp macro="" textlink="">
      <xdr:nvSpPr>
        <xdr:cNvPr id="213" name="Up Arrow Callout 21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D5000000}"/>
            </a:ext>
          </a:extLst>
        </xdr:cNvPr>
        <xdr:cNvSpPr/>
      </xdr:nvSpPr>
      <xdr:spPr>
        <a:xfrm>
          <a:off x="69250461" y="721698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103</xdr:col>
      <xdr:colOff>188299</xdr:colOff>
      <xdr:row>271</xdr:row>
      <xdr:rowOff>6053</xdr:rowOff>
    </xdr:from>
    <xdr:to>
      <xdr:col>104</xdr:col>
      <xdr:colOff>291146</xdr:colOff>
      <xdr:row>271</xdr:row>
      <xdr:rowOff>257211</xdr:rowOff>
    </xdr:to>
    <xdr:sp macro="" textlink="">
      <xdr:nvSpPr>
        <xdr:cNvPr id="214" name="Up Arrow Callout 21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D6000000}"/>
            </a:ext>
          </a:extLst>
        </xdr:cNvPr>
        <xdr:cNvSpPr/>
      </xdr:nvSpPr>
      <xdr:spPr>
        <a:xfrm>
          <a:off x="70025599" y="721674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102</xdr:col>
      <xdr:colOff>20955</xdr:colOff>
      <xdr:row>272</xdr:row>
      <xdr:rowOff>2439</xdr:rowOff>
    </xdr:from>
    <xdr:to>
      <xdr:col>103</xdr:col>
      <xdr:colOff>149542</xdr:colOff>
      <xdr:row>272</xdr:row>
      <xdr:rowOff>251157</xdr:rowOff>
    </xdr:to>
    <xdr:sp macro="" textlink="">
      <xdr:nvSpPr>
        <xdr:cNvPr id="215" name="Up Arrow Callout 21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D7000000}"/>
            </a:ext>
          </a:extLst>
        </xdr:cNvPr>
        <xdr:cNvSpPr/>
      </xdr:nvSpPr>
      <xdr:spPr>
        <a:xfrm>
          <a:off x="69248655" y="724305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103</xdr:col>
      <xdr:colOff>185992</xdr:colOff>
      <xdr:row>272</xdr:row>
      <xdr:rowOff>5992</xdr:rowOff>
    </xdr:from>
    <xdr:to>
      <xdr:col>104</xdr:col>
      <xdr:colOff>288337</xdr:colOff>
      <xdr:row>272</xdr:row>
      <xdr:rowOff>258518</xdr:rowOff>
    </xdr:to>
    <xdr:sp macro="" textlink="">
      <xdr:nvSpPr>
        <xdr:cNvPr id="216" name="Up Arrow Callout 21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D8000000}"/>
            </a:ext>
          </a:extLst>
        </xdr:cNvPr>
        <xdr:cNvSpPr/>
      </xdr:nvSpPr>
      <xdr:spPr>
        <a:xfrm>
          <a:off x="70023292" y="724340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43</xdr:col>
      <xdr:colOff>0</xdr:colOff>
      <xdr:row>489</xdr:row>
      <xdr:rowOff>104101</xdr:rowOff>
    </xdr:from>
    <xdr:to>
      <xdr:col>44</xdr:col>
      <xdr:colOff>109503</xdr:colOff>
      <xdr:row>490</xdr:row>
      <xdr:rowOff>73488</xdr:rowOff>
    </xdr:to>
    <xdr:sp macro="" textlink="">
      <xdr:nvSpPr>
        <xdr:cNvPr id="217" name="Down Arrow Callout 2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D9000000}"/>
            </a:ext>
          </a:extLst>
        </xdr:cNvPr>
        <xdr:cNvSpPr/>
      </xdr:nvSpPr>
      <xdr:spPr>
        <a:xfrm>
          <a:off x="32461200" y="1304061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44</xdr:col>
      <xdr:colOff>138921</xdr:colOff>
      <xdr:row>489</xdr:row>
      <xdr:rowOff>107395</xdr:rowOff>
    </xdr:from>
    <xdr:to>
      <xdr:col>45</xdr:col>
      <xdr:colOff>289283</xdr:colOff>
      <xdr:row>490</xdr:row>
      <xdr:rowOff>66301</xdr:rowOff>
    </xdr:to>
    <xdr:sp macro="" textlink="">
      <xdr:nvSpPr>
        <xdr:cNvPr id="218" name="Down Arrow Callout 21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DA000000}"/>
            </a:ext>
          </a:extLst>
        </xdr:cNvPr>
        <xdr:cNvSpPr/>
      </xdr:nvSpPr>
      <xdr:spPr>
        <a:xfrm>
          <a:off x="33247821" y="1304093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43</xdr:col>
      <xdr:colOff>25877</xdr:colOff>
      <xdr:row>485</xdr:row>
      <xdr:rowOff>0</xdr:rowOff>
    </xdr:from>
    <xdr:to>
      <xdr:col>44</xdr:col>
      <xdr:colOff>109061</xdr:colOff>
      <xdr:row>485</xdr:row>
      <xdr:rowOff>254520</xdr:rowOff>
    </xdr:to>
    <xdr:sp macro="" textlink="">
      <xdr:nvSpPr>
        <xdr:cNvPr id="219" name="Up Arrow Callout 21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DB000000}"/>
            </a:ext>
          </a:extLst>
        </xdr:cNvPr>
        <xdr:cNvSpPr/>
      </xdr:nvSpPr>
      <xdr:spPr>
        <a:xfrm>
          <a:off x="32487077" y="1292352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44</xdr:col>
      <xdr:colOff>144780</xdr:colOff>
      <xdr:row>485</xdr:row>
      <xdr:rowOff>3905</xdr:rowOff>
    </xdr:from>
    <xdr:to>
      <xdr:col>45</xdr:col>
      <xdr:colOff>265439</xdr:colOff>
      <xdr:row>485</xdr:row>
      <xdr:rowOff>255062</xdr:rowOff>
    </xdr:to>
    <xdr:sp macro="" textlink="">
      <xdr:nvSpPr>
        <xdr:cNvPr id="220" name="Up Arrow Callout 21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DC000000}"/>
            </a:ext>
          </a:extLst>
        </xdr:cNvPr>
        <xdr:cNvSpPr/>
      </xdr:nvSpPr>
      <xdr:spPr>
        <a:xfrm>
          <a:off x="33253680" y="1292391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43</xdr:col>
      <xdr:colOff>16493</xdr:colOff>
      <xdr:row>488</xdr:row>
      <xdr:rowOff>108521</xdr:rowOff>
    </xdr:from>
    <xdr:to>
      <xdr:col>44</xdr:col>
      <xdr:colOff>111442</xdr:colOff>
      <xdr:row>489</xdr:row>
      <xdr:rowOff>63232</xdr:rowOff>
    </xdr:to>
    <xdr:sp macro="" textlink="">
      <xdr:nvSpPr>
        <xdr:cNvPr id="221" name="Down Arrow Callout 22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DD000000}"/>
            </a:ext>
          </a:extLst>
        </xdr:cNvPr>
        <xdr:cNvSpPr/>
      </xdr:nvSpPr>
      <xdr:spPr>
        <a:xfrm>
          <a:off x="32477693" y="1301438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44</xdr:col>
      <xdr:colOff>142398</xdr:colOff>
      <xdr:row>488</xdr:row>
      <xdr:rowOff>107970</xdr:rowOff>
    </xdr:from>
    <xdr:to>
      <xdr:col>45</xdr:col>
      <xdr:colOff>287925</xdr:colOff>
      <xdr:row>489</xdr:row>
      <xdr:rowOff>66252</xdr:rowOff>
    </xdr:to>
    <xdr:sp macro="" textlink="">
      <xdr:nvSpPr>
        <xdr:cNvPr id="222" name="Down Arrow Callout 22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DE000000}"/>
            </a:ext>
          </a:extLst>
        </xdr:cNvPr>
        <xdr:cNvSpPr/>
      </xdr:nvSpPr>
      <xdr:spPr>
        <a:xfrm>
          <a:off x="33251298" y="1301432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43</xdr:col>
      <xdr:colOff>22761</xdr:colOff>
      <xdr:row>486</xdr:row>
      <xdr:rowOff>8433</xdr:rowOff>
    </xdr:from>
    <xdr:to>
      <xdr:col>44</xdr:col>
      <xdr:colOff>113823</xdr:colOff>
      <xdr:row>486</xdr:row>
      <xdr:rowOff>255957</xdr:rowOff>
    </xdr:to>
    <xdr:sp macro="" textlink="">
      <xdr:nvSpPr>
        <xdr:cNvPr id="223" name="Up Arrow Callout 22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DF000000}"/>
            </a:ext>
          </a:extLst>
        </xdr:cNvPr>
        <xdr:cNvSpPr/>
      </xdr:nvSpPr>
      <xdr:spPr>
        <a:xfrm>
          <a:off x="32483961" y="1295103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44</xdr:col>
      <xdr:colOff>150199</xdr:colOff>
      <xdr:row>486</xdr:row>
      <xdr:rowOff>6053</xdr:rowOff>
    </xdr:from>
    <xdr:to>
      <xdr:col>45</xdr:col>
      <xdr:colOff>291146</xdr:colOff>
      <xdr:row>486</xdr:row>
      <xdr:rowOff>257211</xdr:rowOff>
    </xdr:to>
    <xdr:sp macro="" textlink="">
      <xdr:nvSpPr>
        <xdr:cNvPr id="224" name="Up Arrow Callout 22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E0000000}"/>
            </a:ext>
          </a:extLst>
        </xdr:cNvPr>
        <xdr:cNvSpPr/>
      </xdr:nvSpPr>
      <xdr:spPr>
        <a:xfrm>
          <a:off x="33259099" y="1295079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43</xdr:col>
      <xdr:colOff>20955</xdr:colOff>
      <xdr:row>487</xdr:row>
      <xdr:rowOff>2439</xdr:rowOff>
    </xdr:from>
    <xdr:to>
      <xdr:col>44</xdr:col>
      <xdr:colOff>111442</xdr:colOff>
      <xdr:row>487</xdr:row>
      <xdr:rowOff>251157</xdr:rowOff>
    </xdr:to>
    <xdr:sp macro="" textlink="">
      <xdr:nvSpPr>
        <xdr:cNvPr id="225" name="Up Arrow Callout 22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E1000000}"/>
            </a:ext>
          </a:extLst>
        </xdr:cNvPr>
        <xdr:cNvSpPr/>
      </xdr:nvSpPr>
      <xdr:spPr>
        <a:xfrm>
          <a:off x="32482155" y="1297710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44</xdr:col>
      <xdr:colOff>147892</xdr:colOff>
      <xdr:row>487</xdr:row>
      <xdr:rowOff>5992</xdr:rowOff>
    </xdr:from>
    <xdr:to>
      <xdr:col>45</xdr:col>
      <xdr:colOff>288337</xdr:colOff>
      <xdr:row>487</xdr:row>
      <xdr:rowOff>258518</xdr:rowOff>
    </xdr:to>
    <xdr:sp macro="" textlink="">
      <xdr:nvSpPr>
        <xdr:cNvPr id="226" name="Up Arrow Callout 22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E2000000}"/>
            </a:ext>
          </a:extLst>
        </xdr:cNvPr>
        <xdr:cNvSpPr/>
      </xdr:nvSpPr>
      <xdr:spPr>
        <a:xfrm>
          <a:off x="33256792" y="1297745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102</xdr:col>
      <xdr:colOff>0</xdr:colOff>
      <xdr:row>489</xdr:row>
      <xdr:rowOff>104101</xdr:rowOff>
    </xdr:from>
    <xdr:to>
      <xdr:col>103</xdr:col>
      <xdr:colOff>147603</xdr:colOff>
      <xdr:row>490</xdr:row>
      <xdr:rowOff>73488</xdr:rowOff>
    </xdr:to>
    <xdr:sp macro="" textlink="">
      <xdr:nvSpPr>
        <xdr:cNvPr id="227" name="Down Arrow Callout 22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E3000000}"/>
            </a:ext>
          </a:extLst>
        </xdr:cNvPr>
        <xdr:cNvSpPr/>
      </xdr:nvSpPr>
      <xdr:spPr>
        <a:xfrm>
          <a:off x="69227700" y="1304061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103</xdr:col>
      <xdr:colOff>177021</xdr:colOff>
      <xdr:row>489</xdr:row>
      <xdr:rowOff>107395</xdr:rowOff>
    </xdr:from>
    <xdr:to>
      <xdr:col>104</xdr:col>
      <xdr:colOff>289283</xdr:colOff>
      <xdr:row>490</xdr:row>
      <xdr:rowOff>66301</xdr:rowOff>
    </xdr:to>
    <xdr:sp macro="" textlink="">
      <xdr:nvSpPr>
        <xdr:cNvPr id="228" name="Down Arrow Callout 22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E4000000}"/>
            </a:ext>
          </a:extLst>
        </xdr:cNvPr>
        <xdr:cNvSpPr/>
      </xdr:nvSpPr>
      <xdr:spPr>
        <a:xfrm>
          <a:off x="70014321" y="1304093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102</xdr:col>
      <xdr:colOff>25877</xdr:colOff>
      <xdr:row>485</xdr:row>
      <xdr:rowOff>0</xdr:rowOff>
    </xdr:from>
    <xdr:to>
      <xdr:col>103</xdr:col>
      <xdr:colOff>147161</xdr:colOff>
      <xdr:row>485</xdr:row>
      <xdr:rowOff>254520</xdr:rowOff>
    </xdr:to>
    <xdr:sp macro="" textlink="">
      <xdr:nvSpPr>
        <xdr:cNvPr id="229" name="Up Arrow Callout 22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E5000000}"/>
            </a:ext>
          </a:extLst>
        </xdr:cNvPr>
        <xdr:cNvSpPr/>
      </xdr:nvSpPr>
      <xdr:spPr>
        <a:xfrm>
          <a:off x="69253577" y="1292352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103</xdr:col>
      <xdr:colOff>182880</xdr:colOff>
      <xdr:row>485</xdr:row>
      <xdr:rowOff>3905</xdr:rowOff>
    </xdr:from>
    <xdr:to>
      <xdr:col>104</xdr:col>
      <xdr:colOff>265439</xdr:colOff>
      <xdr:row>485</xdr:row>
      <xdr:rowOff>255062</xdr:rowOff>
    </xdr:to>
    <xdr:sp macro="" textlink="">
      <xdr:nvSpPr>
        <xdr:cNvPr id="230" name="Up Arrow Callout 22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E6000000}"/>
            </a:ext>
          </a:extLst>
        </xdr:cNvPr>
        <xdr:cNvSpPr/>
      </xdr:nvSpPr>
      <xdr:spPr>
        <a:xfrm>
          <a:off x="70020180" y="1292391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102</xdr:col>
      <xdr:colOff>16493</xdr:colOff>
      <xdr:row>488</xdr:row>
      <xdr:rowOff>108521</xdr:rowOff>
    </xdr:from>
    <xdr:to>
      <xdr:col>103</xdr:col>
      <xdr:colOff>149542</xdr:colOff>
      <xdr:row>489</xdr:row>
      <xdr:rowOff>63232</xdr:rowOff>
    </xdr:to>
    <xdr:sp macro="" textlink="">
      <xdr:nvSpPr>
        <xdr:cNvPr id="231" name="Down Arrow Callout 23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E7000000}"/>
            </a:ext>
          </a:extLst>
        </xdr:cNvPr>
        <xdr:cNvSpPr/>
      </xdr:nvSpPr>
      <xdr:spPr>
        <a:xfrm>
          <a:off x="69244193" y="1301438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103</xdr:col>
      <xdr:colOff>180498</xdr:colOff>
      <xdr:row>488</xdr:row>
      <xdr:rowOff>107970</xdr:rowOff>
    </xdr:from>
    <xdr:to>
      <xdr:col>104</xdr:col>
      <xdr:colOff>287925</xdr:colOff>
      <xdr:row>489</xdr:row>
      <xdr:rowOff>66252</xdr:rowOff>
    </xdr:to>
    <xdr:sp macro="" textlink="">
      <xdr:nvSpPr>
        <xdr:cNvPr id="232" name="Down Arrow Callout 23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E8000000}"/>
            </a:ext>
          </a:extLst>
        </xdr:cNvPr>
        <xdr:cNvSpPr/>
      </xdr:nvSpPr>
      <xdr:spPr>
        <a:xfrm>
          <a:off x="70017798" y="1301432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102</xdr:col>
      <xdr:colOff>22761</xdr:colOff>
      <xdr:row>486</xdr:row>
      <xdr:rowOff>8433</xdr:rowOff>
    </xdr:from>
    <xdr:to>
      <xdr:col>103</xdr:col>
      <xdr:colOff>151923</xdr:colOff>
      <xdr:row>486</xdr:row>
      <xdr:rowOff>255957</xdr:rowOff>
    </xdr:to>
    <xdr:sp macro="" textlink="">
      <xdr:nvSpPr>
        <xdr:cNvPr id="233" name="Up Arrow Callout 23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E9000000}"/>
            </a:ext>
          </a:extLst>
        </xdr:cNvPr>
        <xdr:cNvSpPr/>
      </xdr:nvSpPr>
      <xdr:spPr>
        <a:xfrm>
          <a:off x="69250461" y="1295103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103</xdr:col>
      <xdr:colOff>188299</xdr:colOff>
      <xdr:row>486</xdr:row>
      <xdr:rowOff>6053</xdr:rowOff>
    </xdr:from>
    <xdr:to>
      <xdr:col>104</xdr:col>
      <xdr:colOff>291146</xdr:colOff>
      <xdr:row>486</xdr:row>
      <xdr:rowOff>257211</xdr:rowOff>
    </xdr:to>
    <xdr:sp macro="" textlink="">
      <xdr:nvSpPr>
        <xdr:cNvPr id="234" name="Up Arrow Callout 23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EA000000}"/>
            </a:ext>
          </a:extLst>
        </xdr:cNvPr>
        <xdr:cNvSpPr/>
      </xdr:nvSpPr>
      <xdr:spPr>
        <a:xfrm>
          <a:off x="70025599" y="1295079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102</xdr:col>
      <xdr:colOff>20955</xdr:colOff>
      <xdr:row>487</xdr:row>
      <xdr:rowOff>2439</xdr:rowOff>
    </xdr:from>
    <xdr:to>
      <xdr:col>103</xdr:col>
      <xdr:colOff>149542</xdr:colOff>
      <xdr:row>487</xdr:row>
      <xdr:rowOff>251157</xdr:rowOff>
    </xdr:to>
    <xdr:sp macro="" textlink="">
      <xdr:nvSpPr>
        <xdr:cNvPr id="235" name="Up Arrow Callout 23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EB000000}"/>
            </a:ext>
          </a:extLst>
        </xdr:cNvPr>
        <xdr:cNvSpPr/>
      </xdr:nvSpPr>
      <xdr:spPr>
        <a:xfrm>
          <a:off x="69248655" y="1297710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103</xdr:col>
      <xdr:colOff>185992</xdr:colOff>
      <xdr:row>487</xdr:row>
      <xdr:rowOff>5992</xdr:rowOff>
    </xdr:from>
    <xdr:to>
      <xdr:col>104</xdr:col>
      <xdr:colOff>288337</xdr:colOff>
      <xdr:row>487</xdr:row>
      <xdr:rowOff>258518</xdr:rowOff>
    </xdr:to>
    <xdr:sp macro="" textlink="">
      <xdr:nvSpPr>
        <xdr:cNvPr id="236" name="Up Arrow Callout 23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EC000000}"/>
            </a:ext>
          </a:extLst>
        </xdr:cNvPr>
        <xdr:cNvSpPr/>
      </xdr:nvSpPr>
      <xdr:spPr>
        <a:xfrm>
          <a:off x="70023292" y="1297745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167</xdr:col>
      <xdr:colOff>0</xdr:colOff>
      <xdr:row>496</xdr:row>
      <xdr:rowOff>104101</xdr:rowOff>
    </xdr:from>
    <xdr:to>
      <xdr:col>168</xdr:col>
      <xdr:colOff>147603</xdr:colOff>
      <xdr:row>497</xdr:row>
      <xdr:rowOff>73488</xdr:rowOff>
    </xdr:to>
    <xdr:sp macro="" textlink="">
      <xdr:nvSpPr>
        <xdr:cNvPr id="237" name="Down Arrow Callout 23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ED000000}"/>
            </a:ext>
          </a:extLst>
        </xdr:cNvPr>
        <xdr:cNvSpPr/>
      </xdr:nvSpPr>
      <xdr:spPr>
        <a:xfrm>
          <a:off x="111633000" y="1322730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168</xdr:col>
      <xdr:colOff>177021</xdr:colOff>
      <xdr:row>496</xdr:row>
      <xdr:rowOff>107395</xdr:rowOff>
    </xdr:from>
    <xdr:to>
      <xdr:col>169</xdr:col>
      <xdr:colOff>327383</xdr:colOff>
      <xdr:row>497</xdr:row>
      <xdr:rowOff>66301</xdr:rowOff>
    </xdr:to>
    <xdr:sp macro="" textlink="">
      <xdr:nvSpPr>
        <xdr:cNvPr id="238" name="Down Arrow Callout 23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EE000000}"/>
            </a:ext>
          </a:extLst>
        </xdr:cNvPr>
        <xdr:cNvSpPr/>
      </xdr:nvSpPr>
      <xdr:spPr>
        <a:xfrm>
          <a:off x="112419621" y="1322762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167</xdr:col>
      <xdr:colOff>25877</xdr:colOff>
      <xdr:row>492</xdr:row>
      <xdr:rowOff>0</xdr:rowOff>
    </xdr:from>
    <xdr:to>
      <xdr:col>168</xdr:col>
      <xdr:colOff>147161</xdr:colOff>
      <xdr:row>492</xdr:row>
      <xdr:rowOff>254520</xdr:rowOff>
    </xdr:to>
    <xdr:sp macro="" textlink="">
      <xdr:nvSpPr>
        <xdr:cNvPr id="239" name="Up Arrow Callout 23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EF000000}"/>
            </a:ext>
          </a:extLst>
        </xdr:cNvPr>
        <xdr:cNvSpPr/>
      </xdr:nvSpPr>
      <xdr:spPr>
        <a:xfrm>
          <a:off x="111658877" y="1311021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168</xdr:col>
      <xdr:colOff>182880</xdr:colOff>
      <xdr:row>492</xdr:row>
      <xdr:rowOff>3905</xdr:rowOff>
    </xdr:from>
    <xdr:to>
      <xdr:col>169</xdr:col>
      <xdr:colOff>303539</xdr:colOff>
      <xdr:row>492</xdr:row>
      <xdr:rowOff>255062</xdr:rowOff>
    </xdr:to>
    <xdr:sp macro="" textlink="">
      <xdr:nvSpPr>
        <xdr:cNvPr id="240" name="Up Arrow Callout 23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F0000000}"/>
            </a:ext>
          </a:extLst>
        </xdr:cNvPr>
        <xdr:cNvSpPr/>
      </xdr:nvSpPr>
      <xdr:spPr>
        <a:xfrm>
          <a:off x="112425480" y="1311060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167</xdr:col>
      <xdr:colOff>16493</xdr:colOff>
      <xdr:row>495</xdr:row>
      <xdr:rowOff>108521</xdr:rowOff>
    </xdr:from>
    <xdr:to>
      <xdr:col>168</xdr:col>
      <xdr:colOff>149542</xdr:colOff>
      <xdr:row>496</xdr:row>
      <xdr:rowOff>63232</xdr:rowOff>
    </xdr:to>
    <xdr:sp macro="" textlink="">
      <xdr:nvSpPr>
        <xdr:cNvPr id="241" name="Down Arrow Callout 24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F1000000}"/>
            </a:ext>
          </a:extLst>
        </xdr:cNvPr>
        <xdr:cNvSpPr/>
      </xdr:nvSpPr>
      <xdr:spPr>
        <a:xfrm>
          <a:off x="111649493" y="1320107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168</xdr:col>
      <xdr:colOff>180498</xdr:colOff>
      <xdr:row>495</xdr:row>
      <xdr:rowOff>107970</xdr:rowOff>
    </xdr:from>
    <xdr:to>
      <xdr:col>169</xdr:col>
      <xdr:colOff>326025</xdr:colOff>
      <xdr:row>496</xdr:row>
      <xdr:rowOff>66252</xdr:rowOff>
    </xdr:to>
    <xdr:sp macro="" textlink="">
      <xdr:nvSpPr>
        <xdr:cNvPr id="242" name="Down Arrow Callout 24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F2000000}"/>
            </a:ext>
          </a:extLst>
        </xdr:cNvPr>
        <xdr:cNvSpPr/>
      </xdr:nvSpPr>
      <xdr:spPr>
        <a:xfrm>
          <a:off x="112423098" y="1320101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167</xdr:col>
      <xdr:colOff>22761</xdr:colOff>
      <xdr:row>493</xdr:row>
      <xdr:rowOff>8433</xdr:rowOff>
    </xdr:from>
    <xdr:to>
      <xdr:col>168</xdr:col>
      <xdr:colOff>151923</xdr:colOff>
      <xdr:row>493</xdr:row>
      <xdr:rowOff>255957</xdr:rowOff>
    </xdr:to>
    <xdr:sp macro="" textlink="">
      <xdr:nvSpPr>
        <xdr:cNvPr id="243" name="Up Arrow Callout 24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F3000000}"/>
            </a:ext>
          </a:extLst>
        </xdr:cNvPr>
        <xdr:cNvSpPr/>
      </xdr:nvSpPr>
      <xdr:spPr>
        <a:xfrm>
          <a:off x="111655761" y="1313772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168</xdr:col>
      <xdr:colOff>188299</xdr:colOff>
      <xdr:row>493</xdr:row>
      <xdr:rowOff>6053</xdr:rowOff>
    </xdr:from>
    <xdr:to>
      <xdr:col>169</xdr:col>
      <xdr:colOff>329246</xdr:colOff>
      <xdr:row>493</xdr:row>
      <xdr:rowOff>257211</xdr:rowOff>
    </xdr:to>
    <xdr:sp macro="" textlink="">
      <xdr:nvSpPr>
        <xdr:cNvPr id="244" name="Up Arrow Callout 24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F4000000}"/>
            </a:ext>
          </a:extLst>
        </xdr:cNvPr>
        <xdr:cNvSpPr/>
      </xdr:nvSpPr>
      <xdr:spPr>
        <a:xfrm>
          <a:off x="112430899" y="1313748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167</xdr:col>
      <xdr:colOff>20955</xdr:colOff>
      <xdr:row>494</xdr:row>
      <xdr:rowOff>2439</xdr:rowOff>
    </xdr:from>
    <xdr:to>
      <xdr:col>168</xdr:col>
      <xdr:colOff>149542</xdr:colOff>
      <xdr:row>494</xdr:row>
      <xdr:rowOff>251157</xdr:rowOff>
    </xdr:to>
    <xdr:sp macro="" textlink="">
      <xdr:nvSpPr>
        <xdr:cNvPr id="245" name="Up Arrow Callout 24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F5000000}"/>
            </a:ext>
          </a:extLst>
        </xdr:cNvPr>
        <xdr:cNvSpPr/>
      </xdr:nvSpPr>
      <xdr:spPr>
        <a:xfrm>
          <a:off x="111653955" y="1316379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168</xdr:col>
      <xdr:colOff>185992</xdr:colOff>
      <xdr:row>494</xdr:row>
      <xdr:rowOff>5992</xdr:rowOff>
    </xdr:from>
    <xdr:to>
      <xdr:col>169</xdr:col>
      <xdr:colOff>326437</xdr:colOff>
      <xdr:row>494</xdr:row>
      <xdr:rowOff>258518</xdr:rowOff>
    </xdr:to>
    <xdr:sp macro="" textlink="">
      <xdr:nvSpPr>
        <xdr:cNvPr id="246" name="Up Arrow Callout 24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F6000000}"/>
            </a:ext>
          </a:extLst>
        </xdr:cNvPr>
        <xdr:cNvSpPr/>
      </xdr:nvSpPr>
      <xdr:spPr>
        <a:xfrm>
          <a:off x="112428592" y="1316414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234</xdr:col>
      <xdr:colOff>0</xdr:colOff>
      <xdr:row>490</xdr:row>
      <xdr:rowOff>104101</xdr:rowOff>
    </xdr:from>
    <xdr:to>
      <xdr:col>235</xdr:col>
      <xdr:colOff>147603</xdr:colOff>
      <xdr:row>491</xdr:row>
      <xdr:rowOff>73488</xdr:rowOff>
    </xdr:to>
    <xdr:sp macro="" textlink="">
      <xdr:nvSpPr>
        <xdr:cNvPr id="247" name="Down Arrow Callout 24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F7000000}"/>
            </a:ext>
          </a:extLst>
        </xdr:cNvPr>
        <xdr:cNvSpPr/>
      </xdr:nvSpPr>
      <xdr:spPr>
        <a:xfrm>
          <a:off x="152971500" y="1306728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235</xdr:col>
      <xdr:colOff>177021</xdr:colOff>
      <xdr:row>490</xdr:row>
      <xdr:rowOff>107395</xdr:rowOff>
    </xdr:from>
    <xdr:to>
      <xdr:col>236</xdr:col>
      <xdr:colOff>327383</xdr:colOff>
      <xdr:row>491</xdr:row>
      <xdr:rowOff>66301</xdr:rowOff>
    </xdr:to>
    <xdr:sp macro="" textlink="">
      <xdr:nvSpPr>
        <xdr:cNvPr id="248" name="Down Arrow Callout 24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F8000000}"/>
            </a:ext>
          </a:extLst>
        </xdr:cNvPr>
        <xdr:cNvSpPr/>
      </xdr:nvSpPr>
      <xdr:spPr>
        <a:xfrm>
          <a:off x="153758121" y="1306760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234</xdr:col>
      <xdr:colOff>25877</xdr:colOff>
      <xdr:row>486</xdr:row>
      <xdr:rowOff>0</xdr:rowOff>
    </xdr:from>
    <xdr:to>
      <xdr:col>235</xdr:col>
      <xdr:colOff>147161</xdr:colOff>
      <xdr:row>486</xdr:row>
      <xdr:rowOff>254520</xdr:rowOff>
    </xdr:to>
    <xdr:sp macro="" textlink="">
      <xdr:nvSpPr>
        <xdr:cNvPr id="249" name="Up Arrow Callout 24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F9000000}"/>
            </a:ext>
          </a:extLst>
        </xdr:cNvPr>
        <xdr:cNvSpPr/>
      </xdr:nvSpPr>
      <xdr:spPr>
        <a:xfrm>
          <a:off x="152997377" y="1295019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235</xdr:col>
      <xdr:colOff>182880</xdr:colOff>
      <xdr:row>486</xdr:row>
      <xdr:rowOff>3905</xdr:rowOff>
    </xdr:from>
    <xdr:to>
      <xdr:col>236</xdr:col>
      <xdr:colOff>303539</xdr:colOff>
      <xdr:row>486</xdr:row>
      <xdr:rowOff>255062</xdr:rowOff>
    </xdr:to>
    <xdr:sp macro="" textlink="">
      <xdr:nvSpPr>
        <xdr:cNvPr id="250" name="Up Arrow Callout 24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FA000000}"/>
            </a:ext>
          </a:extLst>
        </xdr:cNvPr>
        <xdr:cNvSpPr/>
      </xdr:nvSpPr>
      <xdr:spPr>
        <a:xfrm>
          <a:off x="153763980" y="1295058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234</xdr:col>
      <xdr:colOff>16493</xdr:colOff>
      <xdr:row>489</xdr:row>
      <xdr:rowOff>108521</xdr:rowOff>
    </xdr:from>
    <xdr:to>
      <xdr:col>235</xdr:col>
      <xdr:colOff>149542</xdr:colOff>
      <xdr:row>490</xdr:row>
      <xdr:rowOff>63232</xdr:rowOff>
    </xdr:to>
    <xdr:sp macro="" textlink="">
      <xdr:nvSpPr>
        <xdr:cNvPr id="251" name="Down Arrow Callout 25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FB000000}"/>
            </a:ext>
          </a:extLst>
        </xdr:cNvPr>
        <xdr:cNvSpPr/>
      </xdr:nvSpPr>
      <xdr:spPr>
        <a:xfrm>
          <a:off x="152987993" y="1304105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235</xdr:col>
      <xdr:colOff>180498</xdr:colOff>
      <xdr:row>489</xdr:row>
      <xdr:rowOff>107970</xdr:rowOff>
    </xdr:from>
    <xdr:to>
      <xdr:col>236</xdr:col>
      <xdr:colOff>326025</xdr:colOff>
      <xdr:row>490</xdr:row>
      <xdr:rowOff>66252</xdr:rowOff>
    </xdr:to>
    <xdr:sp macro="" textlink="">
      <xdr:nvSpPr>
        <xdr:cNvPr id="252" name="Down Arrow Callout 25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FC000000}"/>
            </a:ext>
          </a:extLst>
        </xdr:cNvPr>
        <xdr:cNvSpPr/>
      </xdr:nvSpPr>
      <xdr:spPr>
        <a:xfrm>
          <a:off x="153761598" y="1304099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234</xdr:col>
      <xdr:colOff>22761</xdr:colOff>
      <xdr:row>487</xdr:row>
      <xdr:rowOff>8433</xdr:rowOff>
    </xdr:from>
    <xdr:to>
      <xdr:col>235</xdr:col>
      <xdr:colOff>151923</xdr:colOff>
      <xdr:row>487</xdr:row>
      <xdr:rowOff>255957</xdr:rowOff>
    </xdr:to>
    <xdr:sp macro="" textlink="">
      <xdr:nvSpPr>
        <xdr:cNvPr id="253" name="Up Arrow Callout 25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FD000000}"/>
            </a:ext>
          </a:extLst>
        </xdr:cNvPr>
        <xdr:cNvSpPr/>
      </xdr:nvSpPr>
      <xdr:spPr>
        <a:xfrm>
          <a:off x="152994261" y="1297770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235</xdr:col>
      <xdr:colOff>188299</xdr:colOff>
      <xdr:row>487</xdr:row>
      <xdr:rowOff>6053</xdr:rowOff>
    </xdr:from>
    <xdr:to>
      <xdr:col>236</xdr:col>
      <xdr:colOff>329246</xdr:colOff>
      <xdr:row>487</xdr:row>
      <xdr:rowOff>257211</xdr:rowOff>
    </xdr:to>
    <xdr:sp macro="" textlink="">
      <xdr:nvSpPr>
        <xdr:cNvPr id="254" name="Up Arrow Callout 25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FE000000}"/>
            </a:ext>
          </a:extLst>
        </xdr:cNvPr>
        <xdr:cNvSpPr/>
      </xdr:nvSpPr>
      <xdr:spPr>
        <a:xfrm>
          <a:off x="153769399" y="1297746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234</xdr:col>
      <xdr:colOff>20955</xdr:colOff>
      <xdr:row>488</xdr:row>
      <xdr:rowOff>2439</xdr:rowOff>
    </xdr:from>
    <xdr:to>
      <xdr:col>235</xdr:col>
      <xdr:colOff>149542</xdr:colOff>
      <xdr:row>488</xdr:row>
      <xdr:rowOff>251157</xdr:rowOff>
    </xdr:to>
    <xdr:sp macro="" textlink="">
      <xdr:nvSpPr>
        <xdr:cNvPr id="255" name="Up Arrow Callout 25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FF000000}"/>
            </a:ext>
          </a:extLst>
        </xdr:cNvPr>
        <xdr:cNvSpPr/>
      </xdr:nvSpPr>
      <xdr:spPr>
        <a:xfrm>
          <a:off x="152992455" y="1300377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235</xdr:col>
      <xdr:colOff>185992</xdr:colOff>
      <xdr:row>488</xdr:row>
      <xdr:rowOff>5992</xdr:rowOff>
    </xdr:from>
    <xdr:to>
      <xdr:col>236</xdr:col>
      <xdr:colOff>326437</xdr:colOff>
      <xdr:row>488</xdr:row>
      <xdr:rowOff>258518</xdr:rowOff>
    </xdr:to>
    <xdr:sp macro="" textlink="">
      <xdr:nvSpPr>
        <xdr:cNvPr id="256" name="Up Arrow Callout 25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00010000}"/>
            </a:ext>
          </a:extLst>
        </xdr:cNvPr>
        <xdr:cNvSpPr/>
      </xdr:nvSpPr>
      <xdr:spPr>
        <a:xfrm>
          <a:off x="153767092" y="1300412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188</xdr:col>
      <xdr:colOff>0</xdr:colOff>
      <xdr:row>327</xdr:row>
      <xdr:rowOff>104101</xdr:rowOff>
    </xdr:from>
    <xdr:to>
      <xdr:col>189</xdr:col>
      <xdr:colOff>109503</xdr:colOff>
      <xdr:row>328</xdr:row>
      <xdr:rowOff>73488</xdr:rowOff>
    </xdr:to>
    <xdr:sp macro="" textlink="">
      <xdr:nvSpPr>
        <xdr:cNvPr id="257" name="Down Arrow Callout 2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01010000}"/>
            </a:ext>
          </a:extLst>
        </xdr:cNvPr>
        <xdr:cNvSpPr/>
      </xdr:nvSpPr>
      <xdr:spPr>
        <a:xfrm>
          <a:off x="124587000" y="872007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138921</xdr:colOff>
      <xdr:row>327</xdr:row>
      <xdr:rowOff>107395</xdr:rowOff>
    </xdr:from>
    <xdr:to>
      <xdr:col>190</xdr:col>
      <xdr:colOff>289283</xdr:colOff>
      <xdr:row>328</xdr:row>
      <xdr:rowOff>66301</xdr:rowOff>
    </xdr:to>
    <xdr:sp macro="" textlink="">
      <xdr:nvSpPr>
        <xdr:cNvPr id="258" name="Down Arrow Callout 25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02010000}"/>
            </a:ext>
          </a:extLst>
        </xdr:cNvPr>
        <xdr:cNvSpPr/>
      </xdr:nvSpPr>
      <xdr:spPr>
        <a:xfrm>
          <a:off x="125373621" y="872039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188</xdr:col>
      <xdr:colOff>25877</xdr:colOff>
      <xdr:row>323</xdr:row>
      <xdr:rowOff>0</xdr:rowOff>
    </xdr:from>
    <xdr:to>
      <xdr:col>189</xdr:col>
      <xdr:colOff>109061</xdr:colOff>
      <xdr:row>323</xdr:row>
      <xdr:rowOff>254520</xdr:rowOff>
    </xdr:to>
    <xdr:sp macro="" textlink="">
      <xdr:nvSpPr>
        <xdr:cNvPr id="259" name="Up Arrow Callout 25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03010000}"/>
            </a:ext>
          </a:extLst>
        </xdr:cNvPr>
        <xdr:cNvSpPr/>
      </xdr:nvSpPr>
      <xdr:spPr>
        <a:xfrm>
          <a:off x="124612877" y="860298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189</xdr:col>
      <xdr:colOff>144780</xdr:colOff>
      <xdr:row>323</xdr:row>
      <xdr:rowOff>3905</xdr:rowOff>
    </xdr:from>
    <xdr:to>
      <xdr:col>190</xdr:col>
      <xdr:colOff>265439</xdr:colOff>
      <xdr:row>323</xdr:row>
      <xdr:rowOff>255062</xdr:rowOff>
    </xdr:to>
    <xdr:sp macro="" textlink="">
      <xdr:nvSpPr>
        <xdr:cNvPr id="260" name="Up Arrow Callout 25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04010000}"/>
            </a:ext>
          </a:extLst>
        </xdr:cNvPr>
        <xdr:cNvSpPr/>
      </xdr:nvSpPr>
      <xdr:spPr>
        <a:xfrm>
          <a:off x="125379480" y="860337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188</xdr:col>
      <xdr:colOff>16493</xdr:colOff>
      <xdr:row>326</xdr:row>
      <xdr:rowOff>108521</xdr:rowOff>
    </xdr:from>
    <xdr:to>
      <xdr:col>189</xdr:col>
      <xdr:colOff>111442</xdr:colOff>
      <xdr:row>327</xdr:row>
      <xdr:rowOff>63232</xdr:rowOff>
    </xdr:to>
    <xdr:sp macro="" textlink="">
      <xdr:nvSpPr>
        <xdr:cNvPr id="261" name="Down Arrow Callout 26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05010000}"/>
            </a:ext>
          </a:extLst>
        </xdr:cNvPr>
        <xdr:cNvSpPr/>
      </xdr:nvSpPr>
      <xdr:spPr>
        <a:xfrm>
          <a:off x="124603493" y="869384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142398</xdr:colOff>
      <xdr:row>326</xdr:row>
      <xdr:rowOff>107970</xdr:rowOff>
    </xdr:from>
    <xdr:to>
      <xdr:col>190</xdr:col>
      <xdr:colOff>287925</xdr:colOff>
      <xdr:row>327</xdr:row>
      <xdr:rowOff>66252</xdr:rowOff>
    </xdr:to>
    <xdr:sp macro="" textlink="">
      <xdr:nvSpPr>
        <xdr:cNvPr id="262" name="Down Arrow Callout 26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06010000}"/>
            </a:ext>
          </a:extLst>
        </xdr:cNvPr>
        <xdr:cNvSpPr/>
      </xdr:nvSpPr>
      <xdr:spPr>
        <a:xfrm>
          <a:off x="125377098" y="869378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188</xdr:col>
      <xdr:colOff>22761</xdr:colOff>
      <xdr:row>324</xdr:row>
      <xdr:rowOff>8433</xdr:rowOff>
    </xdr:from>
    <xdr:to>
      <xdr:col>189</xdr:col>
      <xdr:colOff>113823</xdr:colOff>
      <xdr:row>324</xdr:row>
      <xdr:rowOff>255957</xdr:rowOff>
    </xdr:to>
    <xdr:sp macro="" textlink="">
      <xdr:nvSpPr>
        <xdr:cNvPr id="263" name="Up Arrow Callout 26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07010000}"/>
            </a:ext>
          </a:extLst>
        </xdr:cNvPr>
        <xdr:cNvSpPr/>
      </xdr:nvSpPr>
      <xdr:spPr>
        <a:xfrm>
          <a:off x="124609761" y="863049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189</xdr:col>
      <xdr:colOff>150199</xdr:colOff>
      <xdr:row>324</xdr:row>
      <xdr:rowOff>6053</xdr:rowOff>
    </xdr:from>
    <xdr:to>
      <xdr:col>190</xdr:col>
      <xdr:colOff>291146</xdr:colOff>
      <xdr:row>324</xdr:row>
      <xdr:rowOff>257211</xdr:rowOff>
    </xdr:to>
    <xdr:sp macro="" textlink="">
      <xdr:nvSpPr>
        <xdr:cNvPr id="264" name="Up Arrow Callout 26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08010000}"/>
            </a:ext>
          </a:extLst>
        </xdr:cNvPr>
        <xdr:cNvSpPr/>
      </xdr:nvSpPr>
      <xdr:spPr>
        <a:xfrm>
          <a:off x="125384899" y="863025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188</xdr:col>
      <xdr:colOff>20955</xdr:colOff>
      <xdr:row>325</xdr:row>
      <xdr:rowOff>2439</xdr:rowOff>
    </xdr:from>
    <xdr:to>
      <xdr:col>189</xdr:col>
      <xdr:colOff>111442</xdr:colOff>
      <xdr:row>325</xdr:row>
      <xdr:rowOff>251157</xdr:rowOff>
    </xdr:to>
    <xdr:sp macro="" textlink="">
      <xdr:nvSpPr>
        <xdr:cNvPr id="265" name="Up Arrow Callout 26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09010000}"/>
            </a:ext>
          </a:extLst>
        </xdr:cNvPr>
        <xdr:cNvSpPr/>
      </xdr:nvSpPr>
      <xdr:spPr>
        <a:xfrm>
          <a:off x="124607955" y="865656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189</xdr:col>
      <xdr:colOff>147892</xdr:colOff>
      <xdr:row>325</xdr:row>
      <xdr:rowOff>5992</xdr:rowOff>
    </xdr:from>
    <xdr:to>
      <xdr:col>190</xdr:col>
      <xdr:colOff>288337</xdr:colOff>
      <xdr:row>325</xdr:row>
      <xdr:rowOff>258518</xdr:rowOff>
    </xdr:to>
    <xdr:sp macro="" textlink="">
      <xdr:nvSpPr>
        <xdr:cNvPr id="266" name="Up Arrow Callout 26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0A010000}"/>
            </a:ext>
          </a:extLst>
        </xdr:cNvPr>
        <xdr:cNvSpPr/>
      </xdr:nvSpPr>
      <xdr:spPr>
        <a:xfrm>
          <a:off x="125382592" y="865691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239</xdr:col>
      <xdr:colOff>0</xdr:colOff>
      <xdr:row>295</xdr:row>
      <xdr:rowOff>104101</xdr:rowOff>
    </xdr:from>
    <xdr:to>
      <xdr:col>240</xdr:col>
      <xdr:colOff>147603</xdr:colOff>
      <xdr:row>296</xdr:row>
      <xdr:rowOff>73488</xdr:rowOff>
    </xdr:to>
    <xdr:sp macro="" textlink="">
      <xdr:nvSpPr>
        <xdr:cNvPr id="267" name="Down Arrow Callout 26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0B010000}"/>
            </a:ext>
          </a:extLst>
        </xdr:cNvPr>
        <xdr:cNvSpPr/>
      </xdr:nvSpPr>
      <xdr:spPr>
        <a:xfrm>
          <a:off x="156019500" y="786663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240</xdr:col>
      <xdr:colOff>177021</xdr:colOff>
      <xdr:row>295</xdr:row>
      <xdr:rowOff>107395</xdr:rowOff>
    </xdr:from>
    <xdr:to>
      <xdr:col>241</xdr:col>
      <xdr:colOff>327383</xdr:colOff>
      <xdr:row>296</xdr:row>
      <xdr:rowOff>66301</xdr:rowOff>
    </xdr:to>
    <xdr:sp macro="" textlink="">
      <xdr:nvSpPr>
        <xdr:cNvPr id="268" name="Down Arrow Callout 26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0C010000}"/>
            </a:ext>
          </a:extLst>
        </xdr:cNvPr>
        <xdr:cNvSpPr/>
      </xdr:nvSpPr>
      <xdr:spPr>
        <a:xfrm>
          <a:off x="156806121" y="786695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239</xdr:col>
      <xdr:colOff>25877</xdr:colOff>
      <xdr:row>291</xdr:row>
      <xdr:rowOff>0</xdr:rowOff>
    </xdr:from>
    <xdr:to>
      <xdr:col>240</xdr:col>
      <xdr:colOff>147161</xdr:colOff>
      <xdr:row>291</xdr:row>
      <xdr:rowOff>254520</xdr:rowOff>
    </xdr:to>
    <xdr:sp macro="" textlink="">
      <xdr:nvSpPr>
        <xdr:cNvPr id="269" name="Up Arrow Callout 26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0D010000}"/>
            </a:ext>
          </a:extLst>
        </xdr:cNvPr>
        <xdr:cNvSpPr/>
      </xdr:nvSpPr>
      <xdr:spPr>
        <a:xfrm>
          <a:off x="156045377" y="774954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240</xdr:col>
      <xdr:colOff>182880</xdr:colOff>
      <xdr:row>291</xdr:row>
      <xdr:rowOff>3905</xdr:rowOff>
    </xdr:from>
    <xdr:to>
      <xdr:col>241</xdr:col>
      <xdr:colOff>303539</xdr:colOff>
      <xdr:row>291</xdr:row>
      <xdr:rowOff>255062</xdr:rowOff>
    </xdr:to>
    <xdr:sp macro="" textlink="">
      <xdr:nvSpPr>
        <xdr:cNvPr id="270" name="Up Arrow Callout 26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0E010000}"/>
            </a:ext>
          </a:extLst>
        </xdr:cNvPr>
        <xdr:cNvSpPr/>
      </xdr:nvSpPr>
      <xdr:spPr>
        <a:xfrm>
          <a:off x="156811980" y="774993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239</xdr:col>
      <xdr:colOff>16493</xdr:colOff>
      <xdr:row>294</xdr:row>
      <xdr:rowOff>108521</xdr:rowOff>
    </xdr:from>
    <xdr:to>
      <xdr:col>240</xdr:col>
      <xdr:colOff>149542</xdr:colOff>
      <xdr:row>295</xdr:row>
      <xdr:rowOff>63232</xdr:rowOff>
    </xdr:to>
    <xdr:sp macro="" textlink="">
      <xdr:nvSpPr>
        <xdr:cNvPr id="271" name="Down Arrow Callout 27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0F010000}"/>
            </a:ext>
          </a:extLst>
        </xdr:cNvPr>
        <xdr:cNvSpPr/>
      </xdr:nvSpPr>
      <xdr:spPr>
        <a:xfrm>
          <a:off x="156035993" y="784040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240</xdr:col>
      <xdr:colOff>180498</xdr:colOff>
      <xdr:row>294</xdr:row>
      <xdr:rowOff>107970</xdr:rowOff>
    </xdr:from>
    <xdr:to>
      <xdr:col>241</xdr:col>
      <xdr:colOff>326025</xdr:colOff>
      <xdr:row>295</xdr:row>
      <xdr:rowOff>66252</xdr:rowOff>
    </xdr:to>
    <xdr:sp macro="" textlink="">
      <xdr:nvSpPr>
        <xdr:cNvPr id="272" name="Down Arrow Callout 27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10010000}"/>
            </a:ext>
          </a:extLst>
        </xdr:cNvPr>
        <xdr:cNvSpPr/>
      </xdr:nvSpPr>
      <xdr:spPr>
        <a:xfrm>
          <a:off x="156809598" y="784034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239</xdr:col>
      <xdr:colOff>22761</xdr:colOff>
      <xdr:row>292</xdr:row>
      <xdr:rowOff>8433</xdr:rowOff>
    </xdr:from>
    <xdr:to>
      <xdr:col>240</xdr:col>
      <xdr:colOff>151923</xdr:colOff>
      <xdr:row>292</xdr:row>
      <xdr:rowOff>255957</xdr:rowOff>
    </xdr:to>
    <xdr:sp macro="" textlink="">
      <xdr:nvSpPr>
        <xdr:cNvPr id="273" name="Up Arrow Callout 27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11010000}"/>
            </a:ext>
          </a:extLst>
        </xdr:cNvPr>
        <xdr:cNvSpPr/>
      </xdr:nvSpPr>
      <xdr:spPr>
        <a:xfrm>
          <a:off x="156042261" y="777705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240</xdr:col>
      <xdr:colOff>188299</xdr:colOff>
      <xdr:row>292</xdr:row>
      <xdr:rowOff>6053</xdr:rowOff>
    </xdr:from>
    <xdr:to>
      <xdr:col>241</xdr:col>
      <xdr:colOff>329246</xdr:colOff>
      <xdr:row>292</xdr:row>
      <xdr:rowOff>257211</xdr:rowOff>
    </xdr:to>
    <xdr:sp macro="" textlink="">
      <xdr:nvSpPr>
        <xdr:cNvPr id="274" name="Up Arrow Callout 27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12010000}"/>
            </a:ext>
          </a:extLst>
        </xdr:cNvPr>
        <xdr:cNvSpPr/>
      </xdr:nvSpPr>
      <xdr:spPr>
        <a:xfrm>
          <a:off x="156817399" y="777681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239</xdr:col>
      <xdr:colOff>20955</xdr:colOff>
      <xdr:row>293</xdr:row>
      <xdr:rowOff>2439</xdr:rowOff>
    </xdr:from>
    <xdr:to>
      <xdr:col>240</xdr:col>
      <xdr:colOff>149542</xdr:colOff>
      <xdr:row>293</xdr:row>
      <xdr:rowOff>251157</xdr:rowOff>
    </xdr:to>
    <xdr:sp macro="" textlink="">
      <xdr:nvSpPr>
        <xdr:cNvPr id="275" name="Up Arrow Callout 27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13010000}"/>
            </a:ext>
          </a:extLst>
        </xdr:cNvPr>
        <xdr:cNvSpPr/>
      </xdr:nvSpPr>
      <xdr:spPr>
        <a:xfrm>
          <a:off x="156040455" y="780312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240</xdr:col>
      <xdr:colOff>185992</xdr:colOff>
      <xdr:row>293</xdr:row>
      <xdr:rowOff>5992</xdr:rowOff>
    </xdr:from>
    <xdr:to>
      <xdr:col>241</xdr:col>
      <xdr:colOff>326437</xdr:colOff>
      <xdr:row>293</xdr:row>
      <xdr:rowOff>258518</xdr:rowOff>
    </xdr:to>
    <xdr:sp macro="" textlink="">
      <xdr:nvSpPr>
        <xdr:cNvPr id="276" name="Up Arrow Callout 27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14010000}"/>
            </a:ext>
          </a:extLst>
        </xdr:cNvPr>
        <xdr:cNvSpPr/>
      </xdr:nvSpPr>
      <xdr:spPr>
        <a:xfrm>
          <a:off x="156815092" y="780347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170</xdr:col>
      <xdr:colOff>0</xdr:colOff>
      <xdr:row>301</xdr:row>
      <xdr:rowOff>104101</xdr:rowOff>
    </xdr:from>
    <xdr:to>
      <xdr:col>171</xdr:col>
      <xdr:colOff>109503</xdr:colOff>
      <xdr:row>302</xdr:row>
      <xdr:rowOff>73488</xdr:rowOff>
    </xdr:to>
    <xdr:sp macro="" textlink="">
      <xdr:nvSpPr>
        <xdr:cNvPr id="277" name="Down Arrow Callout 27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15010000}"/>
            </a:ext>
          </a:extLst>
        </xdr:cNvPr>
        <xdr:cNvSpPr/>
      </xdr:nvSpPr>
      <xdr:spPr>
        <a:xfrm>
          <a:off x="113461800" y="802665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171</xdr:col>
      <xdr:colOff>138921</xdr:colOff>
      <xdr:row>301</xdr:row>
      <xdr:rowOff>107395</xdr:rowOff>
    </xdr:from>
    <xdr:to>
      <xdr:col>172</xdr:col>
      <xdr:colOff>289283</xdr:colOff>
      <xdr:row>302</xdr:row>
      <xdr:rowOff>66301</xdr:rowOff>
    </xdr:to>
    <xdr:sp macro="" textlink="">
      <xdr:nvSpPr>
        <xdr:cNvPr id="278" name="Down Arrow Callout 27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16010000}"/>
            </a:ext>
          </a:extLst>
        </xdr:cNvPr>
        <xdr:cNvSpPr/>
      </xdr:nvSpPr>
      <xdr:spPr>
        <a:xfrm>
          <a:off x="114248421" y="802697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25877</xdr:colOff>
      <xdr:row>297</xdr:row>
      <xdr:rowOff>0</xdr:rowOff>
    </xdr:from>
    <xdr:to>
      <xdr:col>171</xdr:col>
      <xdr:colOff>109061</xdr:colOff>
      <xdr:row>297</xdr:row>
      <xdr:rowOff>254520</xdr:rowOff>
    </xdr:to>
    <xdr:sp macro="" textlink="">
      <xdr:nvSpPr>
        <xdr:cNvPr id="279" name="Up Arrow Callout 27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17010000}"/>
            </a:ext>
          </a:extLst>
        </xdr:cNvPr>
        <xdr:cNvSpPr/>
      </xdr:nvSpPr>
      <xdr:spPr>
        <a:xfrm>
          <a:off x="113487677" y="790956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171</xdr:col>
      <xdr:colOff>144780</xdr:colOff>
      <xdr:row>297</xdr:row>
      <xdr:rowOff>3905</xdr:rowOff>
    </xdr:from>
    <xdr:to>
      <xdr:col>172</xdr:col>
      <xdr:colOff>265439</xdr:colOff>
      <xdr:row>297</xdr:row>
      <xdr:rowOff>255062</xdr:rowOff>
    </xdr:to>
    <xdr:sp macro="" textlink="">
      <xdr:nvSpPr>
        <xdr:cNvPr id="280" name="Up Arrow Callout 27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18010000}"/>
            </a:ext>
          </a:extLst>
        </xdr:cNvPr>
        <xdr:cNvSpPr/>
      </xdr:nvSpPr>
      <xdr:spPr>
        <a:xfrm>
          <a:off x="114254280" y="790995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170</xdr:col>
      <xdr:colOff>16493</xdr:colOff>
      <xdr:row>300</xdr:row>
      <xdr:rowOff>108521</xdr:rowOff>
    </xdr:from>
    <xdr:to>
      <xdr:col>171</xdr:col>
      <xdr:colOff>111442</xdr:colOff>
      <xdr:row>301</xdr:row>
      <xdr:rowOff>63232</xdr:rowOff>
    </xdr:to>
    <xdr:sp macro="" textlink="">
      <xdr:nvSpPr>
        <xdr:cNvPr id="281" name="Down Arrow Callout 28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19010000}"/>
            </a:ext>
          </a:extLst>
        </xdr:cNvPr>
        <xdr:cNvSpPr/>
      </xdr:nvSpPr>
      <xdr:spPr>
        <a:xfrm>
          <a:off x="113478293" y="800042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171</xdr:col>
      <xdr:colOff>142398</xdr:colOff>
      <xdr:row>300</xdr:row>
      <xdr:rowOff>107970</xdr:rowOff>
    </xdr:from>
    <xdr:to>
      <xdr:col>172</xdr:col>
      <xdr:colOff>287925</xdr:colOff>
      <xdr:row>301</xdr:row>
      <xdr:rowOff>66252</xdr:rowOff>
    </xdr:to>
    <xdr:sp macro="" textlink="">
      <xdr:nvSpPr>
        <xdr:cNvPr id="282" name="Down Arrow Callout 28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1A010000}"/>
            </a:ext>
          </a:extLst>
        </xdr:cNvPr>
        <xdr:cNvSpPr/>
      </xdr:nvSpPr>
      <xdr:spPr>
        <a:xfrm>
          <a:off x="114251898" y="800036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22761</xdr:colOff>
      <xdr:row>298</xdr:row>
      <xdr:rowOff>8433</xdr:rowOff>
    </xdr:from>
    <xdr:to>
      <xdr:col>171</xdr:col>
      <xdr:colOff>113823</xdr:colOff>
      <xdr:row>298</xdr:row>
      <xdr:rowOff>255957</xdr:rowOff>
    </xdr:to>
    <xdr:sp macro="" textlink="">
      <xdr:nvSpPr>
        <xdr:cNvPr id="283" name="Up Arrow Callout 28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1B010000}"/>
            </a:ext>
          </a:extLst>
        </xdr:cNvPr>
        <xdr:cNvSpPr/>
      </xdr:nvSpPr>
      <xdr:spPr>
        <a:xfrm>
          <a:off x="113484561" y="793707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171</xdr:col>
      <xdr:colOff>150199</xdr:colOff>
      <xdr:row>298</xdr:row>
      <xdr:rowOff>6053</xdr:rowOff>
    </xdr:from>
    <xdr:to>
      <xdr:col>172</xdr:col>
      <xdr:colOff>291146</xdr:colOff>
      <xdr:row>298</xdr:row>
      <xdr:rowOff>257211</xdr:rowOff>
    </xdr:to>
    <xdr:sp macro="" textlink="">
      <xdr:nvSpPr>
        <xdr:cNvPr id="284" name="Up Arrow Callout 28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1C010000}"/>
            </a:ext>
          </a:extLst>
        </xdr:cNvPr>
        <xdr:cNvSpPr/>
      </xdr:nvSpPr>
      <xdr:spPr>
        <a:xfrm>
          <a:off x="114259699" y="793683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170</xdr:col>
      <xdr:colOff>20955</xdr:colOff>
      <xdr:row>299</xdr:row>
      <xdr:rowOff>2439</xdr:rowOff>
    </xdr:from>
    <xdr:to>
      <xdr:col>171</xdr:col>
      <xdr:colOff>111442</xdr:colOff>
      <xdr:row>299</xdr:row>
      <xdr:rowOff>251157</xdr:rowOff>
    </xdr:to>
    <xdr:sp macro="" textlink="">
      <xdr:nvSpPr>
        <xdr:cNvPr id="285" name="Up Arrow Callout 28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1D010000}"/>
            </a:ext>
          </a:extLst>
        </xdr:cNvPr>
        <xdr:cNvSpPr/>
      </xdr:nvSpPr>
      <xdr:spPr>
        <a:xfrm>
          <a:off x="113482755" y="796314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171</xdr:col>
      <xdr:colOff>147892</xdr:colOff>
      <xdr:row>299</xdr:row>
      <xdr:rowOff>5992</xdr:rowOff>
    </xdr:from>
    <xdr:to>
      <xdr:col>172</xdr:col>
      <xdr:colOff>288337</xdr:colOff>
      <xdr:row>299</xdr:row>
      <xdr:rowOff>258518</xdr:rowOff>
    </xdr:to>
    <xdr:sp macro="" textlink="">
      <xdr:nvSpPr>
        <xdr:cNvPr id="286" name="Up Arrow Callout 28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1E010000}"/>
            </a:ext>
          </a:extLst>
        </xdr:cNvPr>
        <xdr:cNvSpPr/>
      </xdr:nvSpPr>
      <xdr:spPr>
        <a:xfrm>
          <a:off x="114257392" y="796349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35</xdr:col>
      <xdr:colOff>0</xdr:colOff>
      <xdr:row>125</xdr:row>
      <xdr:rowOff>104101</xdr:rowOff>
    </xdr:from>
    <xdr:to>
      <xdr:col>36</xdr:col>
      <xdr:colOff>147603</xdr:colOff>
      <xdr:row>126</xdr:row>
      <xdr:rowOff>73488</xdr:rowOff>
    </xdr:to>
    <xdr:sp macro="" textlink="">
      <xdr:nvSpPr>
        <xdr:cNvPr id="287" name="Down Arrow Callout 28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1F010000}"/>
            </a:ext>
          </a:extLst>
        </xdr:cNvPr>
        <xdr:cNvSpPr/>
      </xdr:nvSpPr>
      <xdr:spPr>
        <a:xfrm>
          <a:off x="27584400" y="334416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177021</xdr:colOff>
      <xdr:row>125</xdr:row>
      <xdr:rowOff>107395</xdr:rowOff>
    </xdr:from>
    <xdr:to>
      <xdr:col>37</xdr:col>
      <xdr:colOff>327383</xdr:colOff>
      <xdr:row>126</xdr:row>
      <xdr:rowOff>66301</xdr:rowOff>
    </xdr:to>
    <xdr:sp macro="" textlink="">
      <xdr:nvSpPr>
        <xdr:cNvPr id="288" name="Down Arrow Callout 28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20010000}"/>
            </a:ext>
          </a:extLst>
        </xdr:cNvPr>
        <xdr:cNvSpPr/>
      </xdr:nvSpPr>
      <xdr:spPr>
        <a:xfrm>
          <a:off x="28371021" y="334448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25877</xdr:colOff>
      <xdr:row>121</xdr:row>
      <xdr:rowOff>0</xdr:rowOff>
    </xdr:from>
    <xdr:to>
      <xdr:col>36</xdr:col>
      <xdr:colOff>147161</xdr:colOff>
      <xdr:row>121</xdr:row>
      <xdr:rowOff>254520</xdr:rowOff>
    </xdr:to>
    <xdr:sp macro="" textlink="">
      <xdr:nvSpPr>
        <xdr:cNvPr id="289" name="Up Arrow Callout 28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21010000}"/>
            </a:ext>
          </a:extLst>
        </xdr:cNvPr>
        <xdr:cNvSpPr/>
      </xdr:nvSpPr>
      <xdr:spPr>
        <a:xfrm>
          <a:off x="27610277" y="322707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36</xdr:col>
      <xdr:colOff>182880</xdr:colOff>
      <xdr:row>121</xdr:row>
      <xdr:rowOff>3905</xdr:rowOff>
    </xdr:from>
    <xdr:to>
      <xdr:col>37</xdr:col>
      <xdr:colOff>303539</xdr:colOff>
      <xdr:row>121</xdr:row>
      <xdr:rowOff>255062</xdr:rowOff>
    </xdr:to>
    <xdr:sp macro="" textlink="">
      <xdr:nvSpPr>
        <xdr:cNvPr id="290" name="Up Arrow Callout 28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22010000}"/>
            </a:ext>
          </a:extLst>
        </xdr:cNvPr>
        <xdr:cNvSpPr/>
      </xdr:nvSpPr>
      <xdr:spPr>
        <a:xfrm>
          <a:off x="28376880" y="322746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35</xdr:col>
      <xdr:colOff>16493</xdr:colOff>
      <xdr:row>124</xdr:row>
      <xdr:rowOff>108521</xdr:rowOff>
    </xdr:from>
    <xdr:to>
      <xdr:col>36</xdr:col>
      <xdr:colOff>149542</xdr:colOff>
      <xdr:row>125</xdr:row>
      <xdr:rowOff>63232</xdr:rowOff>
    </xdr:to>
    <xdr:sp macro="" textlink="">
      <xdr:nvSpPr>
        <xdr:cNvPr id="291" name="Down Arrow Callout 29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23010000}"/>
            </a:ext>
          </a:extLst>
        </xdr:cNvPr>
        <xdr:cNvSpPr/>
      </xdr:nvSpPr>
      <xdr:spPr>
        <a:xfrm>
          <a:off x="27600893" y="331793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180498</xdr:colOff>
      <xdr:row>124</xdr:row>
      <xdr:rowOff>107970</xdr:rowOff>
    </xdr:from>
    <xdr:to>
      <xdr:col>37</xdr:col>
      <xdr:colOff>326025</xdr:colOff>
      <xdr:row>125</xdr:row>
      <xdr:rowOff>66252</xdr:rowOff>
    </xdr:to>
    <xdr:sp macro="" textlink="">
      <xdr:nvSpPr>
        <xdr:cNvPr id="292" name="Down Arrow Callout 29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24010000}"/>
            </a:ext>
          </a:extLst>
        </xdr:cNvPr>
        <xdr:cNvSpPr/>
      </xdr:nvSpPr>
      <xdr:spPr>
        <a:xfrm>
          <a:off x="28374498" y="331787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22761</xdr:colOff>
      <xdr:row>122</xdr:row>
      <xdr:rowOff>8433</xdr:rowOff>
    </xdr:from>
    <xdr:to>
      <xdr:col>36</xdr:col>
      <xdr:colOff>151923</xdr:colOff>
      <xdr:row>122</xdr:row>
      <xdr:rowOff>255957</xdr:rowOff>
    </xdr:to>
    <xdr:sp macro="" textlink="">
      <xdr:nvSpPr>
        <xdr:cNvPr id="293" name="Up Arrow Callout 29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25010000}"/>
            </a:ext>
          </a:extLst>
        </xdr:cNvPr>
        <xdr:cNvSpPr/>
      </xdr:nvSpPr>
      <xdr:spPr>
        <a:xfrm>
          <a:off x="27607161" y="325458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188299</xdr:colOff>
      <xdr:row>122</xdr:row>
      <xdr:rowOff>6053</xdr:rowOff>
    </xdr:from>
    <xdr:to>
      <xdr:col>37</xdr:col>
      <xdr:colOff>329246</xdr:colOff>
      <xdr:row>122</xdr:row>
      <xdr:rowOff>257211</xdr:rowOff>
    </xdr:to>
    <xdr:sp macro="" textlink="">
      <xdr:nvSpPr>
        <xdr:cNvPr id="294" name="Up Arrow Callout 29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26010000}"/>
            </a:ext>
          </a:extLst>
        </xdr:cNvPr>
        <xdr:cNvSpPr/>
      </xdr:nvSpPr>
      <xdr:spPr>
        <a:xfrm>
          <a:off x="28382299" y="325434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35</xdr:col>
      <xdr:colOff>20955</xdr:colOff>
      <xdr:row>123</xdr:row>
      <xdr:rowOff>2439</xdr:rowOff>
    </xdr:from>
    <xdr:to>
      <xdr:col>36</xdr:col>
      <xdr:colOff>149542</xdr:colOff>
      <xdr:row>123</xdr:row>
      <xdr:rowOff>251157</xdr:rowOff>
    </xdr:to>
    <xdr:sp macro="" textlink="">
      <xdr:nvSpPr>
        <xdr:cNvPr id="295" name="Up Arrow Callout 29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27010000}"/>
            </a:ext>
          </a:extLst>
        </xdr:cNvPr>
        <xdr:cNvSpPr/>
      </xdr:nvSpPr>
      <xdr:spPr>
        <a:xfrm>
          <a:off x="27605355" y="328065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185992</xdr:colOff>
      <xdr:row>123</xdr:row>
      <xdr:rowOff>5992</xdr:rowOff>
    </xdr:from>
    <xdr:to>
      <xdr:col>37</xdr:col>
      <xdr:colOff>326437</xdr:colOff>
      <xdr:row>123</xdr:row>
      <xdr:rowOff>258518</xdr:rowOff>
    </xdr:to>
    <xdr:sp macro="" textlink="">
      <xdr:nvSpPr>
        <xdr:cNvPr id="296" name="Up Arrow Callout 29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28010000}"/>
            </a:ext>
          </a:extLst>
        </xdr:cNvPr>
        <xdr:cNvSpPr/>
      </xdr:nvSpPr>
      <xdr:spPr>
        <a:xfrm>
          <a:off x="28379992" y="328100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57</xdr:col>
      <xdr:colOff>0</xdr:colOff>
      <xdr:row>124</xdr:row>
      <xdr:rowOff>104101</xdr:rowOff>
    </xdr:from>
    <xdr:to>
      <xdr:col>58</xdr:col>
      <xdr:colOff>147603</xdr:colOff>
      <xdr:row>125</xdr:row>
      <xdr:rowOff>73488</xdr:rowOff>
    </xdr:to>
    <xdr:sp macro="" textlink="">
      <xdr:nvSpPr>
        <xdr:cNvPr id="297" name="Down Arrow Callout 29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29010000}"/>
            </a:ext>
          </a:extLst>
        </xdr:cNvPr>
        <xdr:cNvSpPr/>
      </xdr:nvSpPr>
      <xdr:spPr>
        <a:xfrm>
          <a:off x="41338500" y="331749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58</xdr:col>
      <xdr:colOff>177021</xdr:colOff>
      <xdr:row>124</xdr:row>
      <xdr:rowOff>107395</xdr:rowOff>
    </xdr:from>
    <xdr:to>
      <xdr:col>59</xdr:col>
      <xdr:colOff>327383</xdr:colOff>
      <xdr:row>125</xdr:row>
      <xdr:rowOff>66301</xdr:rowOff>
    </xdr:to>
    <xdr:sp macro="" textlink="">
      <xdr:nvSpPr>
        <xdr:cNvPr id="298" name="Down Arrow Callout 29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2A010000}"/>
            </a:ext>
          </a:extLst>
        </xdr:cNvPr>
        <xdr:cNvSpPr/>
      </xdr:nvSpPr>
      <xdr:spPr>
        <a:xfrm>
          <a:off x="42125121" y="331781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57</xdr:col>
      <xdr:colOff>25877</xdr:colOff>
      <xdr:row>120</xdr:row>
      <xdr:rowOff>0</xdr:rowOff>
    </xdr:from>
    <xdr:to>
      <xdr:col>58</xdr:col>
      <xdr:colOff>147161</xdr:colOff>
      <xdr:row>120</xdr:row>
      <xdr:rowOff>254520</xdr:rowOff>
    </xdr:to>
    <xdr:sp macro="" textlink="">
      <xdr:nvSpPr>
        <xdr:cNvPr id="299" name="Up Arrow Callout 29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2B010000}"/>
            </a:ext>
          </a:extLst>
        </xdr:cNvPr>
        <xdr:cNvSpPr/>
      </xdr:nvSpPr>
      <xdr:spPr>
        <a:xfrm>
          <a:off x="41364377" y="320040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58</xdr:col>
      <xdr:colOff>182880</xdr:colOff>
      <xdr:row>120</xdr:row>
      <xdr:rowOff>3905</xdr:rowOff>
    </xdr:from>
    <xdr:to>
      <xdr:col>59</xdr:col>
      <xdr:colOff>303539</xdr:colOff>
      <xdr:row>120</xdr:row>
      <xdr:rowOff>255062</xdr:rowOff>
    </xdr:to>
    <xdr:sp macro="" textlink="">
      <xdr:nvSpPr>
        <xdr:cNvPr id="300" name="Up Arrow Callout 29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2C010000}"/>
            </a:ext>
          </a:extLst>
        </xdr:cNvPr>
        <xdr:cNvSpPr/>
      </xdr:nvSpPr>
      <xdr:spPr>
        <a:xfrm>
          <a:off x="42130980" y="320079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57</xdr:col>
      <xdr:colOff>16493</xdr:colOff>
      <xdr:row>123</xdr:row>
      <xdr:rowOff>108521</xdr:rowOff>
    </xdr:from>
    <xdr:to>
      <xdr:col>58</xdr:col>
      <xdr:colOff>149542</xdr:colOff>
      <xdr:row>124</xdr:row>
      <xdr:rowOff>63232</xdr:rowOff>
    </xdr:to>
    <xdr:sp macro="" textlink="">
      <xdr:nvSpPr>
        <xdr:cNvPr id="301" name="Down Arrow Callout 30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2D010000}"/>
            </a:ext>
          </a:extLst>
        </xdr:cNvPr>
        <xdr:cNvSpPr/>
      </xdr:nvSpPr>
      <xdr:spPr>
        <a:xfrm>
          <a:off x="41354993" y="329126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58</xdr:col>
      <xdr:colOff>180498</xdr:colOff>
      <xdr:row>123</xdr:row>
      <xdr:rowOff>107970</xdr:rowOff>
    </xdr:from>
    <xdr:to>
      <xdr:col>59</xdr:col>
      <xdr:colOff>326025</xdr:colOff>
      <xdr:row>124</xdr:row>
      <xdr:rowOff>66252</xdr:rowOff>
    </xdr:to>
    <xdr:sp macro="" textlink="">
      <xdr:nvSpPr>
        <xdr:cNvPr id="302" name="Down Arrow Callout 30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2E010000}"/>
            </a:ext>
          </a:extLst>
        </xdr:cNvPr>
        <xdr:cNvSpPr/>
      </xdr:nvSpPr>
      <xdr:spPr>
        <a:xfrm>
          <a:off x="42128598" y="329120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57</xdr:col>
      <xdr:colOff>22761</xdr:colOff>
      <xdr:row>121</xdr:row>
      <xdr:rowOff>8433</xdr:rowOff>
    </xdr:from>
    <xdr:to>
      <xdr:col>58</xdr:col>
      <xdr:colOff>151923</xdr:colOff>
      <xdr:row>121</xdr:row>
      <xdr:rowOff>255957</xdr:rowOff>
    </xdr:to>
    <xdr:sp macro="" textlink="">
      <xdr:nvSpPr>
        <xdr:cNvPr id="303" name="Up Arrow Callout 30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2F010000}"/>
            </a:ext>
          </a:extLst>
        </xdr:cNvPr>
        <xdr:cNvSpPr/>
      </xdr:nvSpPr>
      <xdr:spPr>
        <a:xfrm>
          <a:off x="41361261" y="322791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58</xdr:col>
      <xdr:colOff>188299</xdr:colOff>
      <xdr:row>121</xdr:row>
      <xdr:rowOff>6053</xdr:rowOff>
    </xdr:from>
    <xdr:to>
      <xdr:col>59</xdr:col>
      <xdr:colOff>329246</xdr:colOff>
      <xdr:row>121</xdr:row>
      <xdr:rowOff>257211</xdr:rowOff>
    </xdr:to>
    <xdr:sp macro="" textlink="">
      <xdr:nvSpPr>
        <xdr:cNvPr id="304" name="Up Arrow Callout 30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30010000}"/>
            </a:ext>
          </a:extLst>
        </xdr:cNvPr>
        <xdr:cNvSpPr/>
      </xdr:nvSpPr>
      <xdr:spPr>
        <a:xfrm>
          <a:off x="42136399" y="322767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57</xdr:col>
      <xdr:colOff>20955</xdr:colOff>
      <xdr:row>122</xdr:row>
      <xdr:rowOff>2439</xdr:rowOff>
    </xdr:from>
    <xdr:to>
      <xdr:col>58</xdr:col>
      <xdr:colOff>149542</xdr:colOff>
      <xdr:row>122</xdr:row>
      <xdr:rowOff>251157</xdr:rowOff>
    </xdr:to>
    <xdr:sp macro="" textlink="">
      <xdr:nvSpPr>
        <xdr:cNvPr id="305" name="Up Arrow Callout 30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31010000}"/>
            </a:ext>
          </a:extLst>
        </xdr:cNvPr>
        <xdr:cNvSpPr/>
      </xdr:nvSpPr>
      <xdr:spPr>
        <a:xfrm>
          <a:off x="41359455" y="325398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58</xdr:col>
      <xdr:colOff>185992</xdr:colOff>
      <xdr:row>122</xdr:row>
      <xdr:rowOff>5992</xdr:rowOff>
    </xdr:from>
    <xdr:to>
      <xdr:col>59</xdr:col>
      <xdr:colOff>326437</xdr:colOff>
      <xdr:row>122</xdr:row>
      <xdr:rowOff>258518</xdr:rowOff>
    </xdr:to>
    <xdr:sp macro="" textlink="">
      <xdr:nvSpPr>
        <xdr:cNvPr id="306" name="Up Arrow Callout 30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32010000}"/>
            </a:ext>
          </a:extLst>
        </xdr:cNvPr>
        <xdr:cNvSpPr/>
      </xdr:nvSpPr>
      <xdr:spPr>
        <a:xfrm>
          <a:off x="42134092" y="325433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78</xdr:col>
      <xdr:colOff>0</xdr:colOff>
      <xdr:row>124</xdr:row>
      <xdr:rowOff>104101</xdr:rowOff>
    </xdr:from>
    <xdr:to>
      <xdr:col>79</xdr:col>
      <xdr:colOff>147603</xdr:colOff>
      <xdr:row>125</xdr:row>
      <xdr:rowOff>73488</xdr:rowOff>
    </xdr:to>
    <xdr:sp macro="" textlink="">
      <xdr:nvSpPr>
        <xdr:cNvPr id="307" name="Down Arrow Callout 30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33010000}"/>
            </a:ext>
          </a:extLst>
        </xdr:cNvPr>
        <xdr:cNvSpPr/>
      </xdr:nvSpPr>
      <xdr:spPr>
        <a:xfrm>
          <a:off x="54368700" y="331749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177021</xdr:colOff>
      <xdr:row>124</xdr:row>
      <xdr:rowOff>107395</xdr:rowOff>
    </xdr:from>
    <xdr:to>
      <xdr:col>80</xdr:col>
      <xdr:colOff>327383</xdr:colOff>
      <xdr:row>125</xdr:row>
      <xdr:rowOff>66301</xdr:rowOff>
    </xdr:to>
    <xdr:sp macro="" textlink="">
      <xdr:nvSpPr>
        <xdr:cNvPr id="308" name="Down Arrow Callout 30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34010000}"/>
            </a:ext>
          </a:extLst>
        </xdr:cNvPr>
        <xdr:cNvSpPr/>
      </xdr:nvSpPr>
      <xdr:spPr>
        <a:xfrm>
          <a:off x="55155321" y="331781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78</xdr:col>
      <xdr:colOff>25877</xdr:colOff>
      <xdr:row>120</xdr:row>
      <xdr:rowOff>0</xdr:rowOff>
    </xdr:from>
    <xdr:to>
      <xdr:col>79</xdr:col>
      <xdr:colOff>147161</xdr:colOff>
      <xdr:row>120</xdr:row>
      <xdr:rowOff>254520</xdr:rowOff>
    </xdr:to>
    <xdr:sp macro="" textlink="">
      <xdr:nvSpPr>
        <xdr:cNvPr id="309" name="Up Arrow Callout 30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35010000}"/>
            </a:ext>
          </a:extLst>
        </xdr:cNvPr>
        <xdr:cNvSpPr/>
      </xdr:nvSpPr>
      <xdr:spPr>
        <a:xfrm>
          <a:off x="54394577" y="320040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79</xdr:col>
      <xdr:colOff>182880</xdr:colOff>
      <xdr:row>120</xdr:row>
      <xdr:rowOff>3905</xdr:rowOff>
    </xdr:from>
    <xdr:to>
      <xdr:col>80</xdr:col>
      <xdr:colOff>303539</xdr:colOff>
      <xdr:row>120</xdr:row>
      <xdr:rowOff>255062</xdr:rowOff>
    </xdr:to>
    <xdr:sp macro="" textlink="">
      <xdr:nvSpPr>
        <xdr:cNvPr id="310" name="Up Arrow Callout 30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36010000}"/>
            </a:ext>
          </a:extLst>
        </xdr:cNvPr>
        <xdr:cNvSpPr/>
      </xdr:nvSpPr>
      <xdr:spPr>
        <a:xfrm>
          <a:off x="55161180" y="320079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78</xdr:col>
      <xdr:colOff>16493</xdr:colOff>
      <xdr:row>123</xdr:row>
      <xdr:rowOff>108521</xdr:rowOff>
    </xdr:from>
    <xdr:to>
      <xdr:col>79</xdr:col>
      <xdr:colOff>149542</xdr:colOff>
      <xdr:row>124</xdr:row>
      <xdr:rowOff>63232</xdr:rowOff>
    </xdr:to>
    <xdr:sp macro="" textlink="">
      <xdr:nvSpPr>
        <xdr:cNvPr id="311" name="Down Arrow Callout 31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37010000}"/>
            </a:ext>
          </a:extLst>
        </xdr:cNvPr>
        <xdr:cNvSpPr/>
      </xdr:nvSpPr>
      <xdr:spPr>
        <a:xfrm>
          <a:off x="54385193" y="329126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180498</xdr:colOff>
      <xdr:row>123</xdr:row>
      <xdr:rowOff>107970</xdr:rowOff>
    </xdr:from>
    <xdr:to>
      <xdr:col>80</xdr:col>
      <xdr:colOff>326025</xdr:colOff>
      <xdr:row>124</xdr:row>
      <xdr:rowOff>66252</xdr:rowOff>
    </xdr:to>
    <xdr:sp macro="" textlink="">
      <xdr:nvSpPr>
        <xdr:cNvPr id="312" name="Down Arrow Callout 31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38010000}"/>
            </a:ext>
          </a:extLst>
        </xdr:cNvPr>
        <xdr:cNvSpPr/>
      </xdr:nvSpPr>
      <xdr:spPr>
        <a:xfrm>
          <a:off x="55158798" y="329120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78</xdr:col>
      <xdr:colOff>22761</xdr:colOff>
      <xdr:row>121</xdr:row>
      <xdr:rowOff>8433</xdr:rowOff>
    </xdr:from>
    <xdr:to>
      <xdr:col>79</xdr:col>
      <xdr:colOff>151923</xdr:colOff>
      <xdr:row>121</xdr:row>
      <xdr:rowOff>255957</xdr:rowOff>
    </xdr:to>
    <xdr:sp macro="" textlink="">
      <xdr:nvSpPr>
        <xdr:cNvPr id="313" name="Up Arrow Callout 31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39010000}"/>
            </a:ext>
          </a:extLst>
        </xdr:cNvPr>
        <xdr:cNvSpPr/>
      </xdr:nvSpPr>
      <xdr:spPr>
        <a:xfrm>
          <a:off x="54391461" y="322791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79</xdr:col>
      <xdr:colOff>188299</xdr:colOff>
      <xdr:row>121</xdr:row>
      <xdr:rowOff>6053</xdr:rowOff>
    </xdr:from>
    <xdr:to>
      <xdr:col>80</xdr:col>
      <xdr:colOff>329246</xdr:colOff>
      <xdr:row>121</xdr:row>
      <xdr:rowOff>257211</xdr:rowOff>
    </xdr:to>
    <xdr:sp macro="" textlink="">
      <xdr:nvSpPr>
        <xdr:cNvPr id="314" name="Up Arrow Callout 31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3A010000}"/>
            </a:ext>
          </a:extLst>
        </xdr:cNvPr>
        <xdr:cNvSpPr/>
      </xdr:nvSpPr>
      <xdr:spPr>
        <a:xfrm>
          <a:off x="55166599" y="322767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78</xdr:col>
      <xdr:colOff>20955</xdr:colOff>
      <xdr:row>122</xdr:row>
      <xdr:rowOff>2439</xdr:rowOff>
    </xdr:from>
    <xdr:to>
      <xdr:col>79</xdr:col>
      <xdr:colOff>149542</xdr:colOff>
      <xdr:row>122</xdr:row>
      <xdr:rowOff>251157</xdr:rowOff>
    </xdr:to>
    <xdr:sp macro="" textlink="">
      <xdr:nvSpPr>
        <xdr:cNvPr id="315" name="Up Arrow Callout 31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3B010000}"/>
            </a:ext>
          </a:extLst>
        </xdr:cNvPr>
        <xdr:cNvSpPr/>
      </xdr:nvSpPr>
      <xdr:spPr>
        <a:xfrm>
          <a:off x="54389655" y="325398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79</xdr:col>
      <xdr:colOff>185992</xdr:colOff>
      <xdr:row>122</xdr:row>
      <xdr:rowOff>5992</xdr:rowOff>
    </xdr:from>
    <xdr:to>
      <xdr:col>80</xdr:col>
      <xdr:colOff>326437</xdr:colOff>
      <xdr:row>122</xdr:row>
      <xdr:rowOff>258518</xdr:rowOff>
    </xdr:to>
    <xdr:sp macro="" textlink="">
      <xdr:nvSpPr>
        <xdr:cNvPr id="316" name="Up Arrow Callout 31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3C010000}"/>
            </a:ext>
          </a:extLst>
        </xdr:cNvPr>
        <xdr:cNvSpPr/>
      </xdr:nvSpPr>
      <xdr:spPr>
        <a:xfrm>
          <a:off x="55164292" y="325433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98</xdr:col>
      <xdr:colOff>0</xdr:colOff>
      <xdr:row>124</xdr:row>
      <xdr:rowOff>104101</xdr:rowOff>
    </xdr:from>
    <xdr:to>
      <xdr:col>99</xdr:col>
      <xdr:colOff>147603</xdr:colOff>
      <xdr:row>125</xdr:row>
      <xdr:rowOff>73488</xdr:rowOff>
    </xdr:to>
    <xdr:sp macro="" textlink="">
      <xdr:nvSpPr>
        <xdr:cNvPr id="317" name="Down Arrow Callout 3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3D010000}"/>
            </a:ext>
          </a:extLst>
        </xdr:cNvPr>
        <xdr:cNvSpPr/>
      </xdr:nvSpPr>
      <xdr:spPr>
        <a:xfrm>
          <a:off x="66789300" y="331749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99</xdr:col>
      <xdr:colOff>177021</xdr:colOff>
      <xdr:row>124</xdr:row>
      <xdr:rowOff>107395</xdr:rowOff>
    </xdr:from>
    <xdr:to>
      <xdr:col>100</xdr:col>
      <xdr:colOff>327383</xdr:colOff>
      <xdr:row>125</xdr:row>
      <xdr:rowOff>66301</xdr:rowOff>
    </xdr:to>
    <xdr:sp macro="" textlink="">
      <xdr:nvSpPr>
        <xdr:cNvPr id="318" name="Down Arrow Callout 31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3E010000}"/>
            </a:ext>
          </a:extLst>
        </xdr:cNvPr>
        <xdr:cNvSpPr/>
      </xdr:nvSpPr>
      <xdr:spPr>
        <a:xfrm>
          <a:off x="67575921" y="331781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98</xdr:col>
      <xdr:colOff>25877</xdr:colOff>
      <xdr:row>120</xdr:row>
      <xdr:rowOff>0</xdr:rowOff>
    </xdr:from>
    <xdr:to>
      <xdr:col>99</xdr:col>
      <xdr:colOff>147161</xdr:colOff>
      <xdr:row>120</xdr:row>
      <xdr:rowOff>254520</xdr:rowOff>
    </xdr:to>
    <xdr:sp macro="" textlink="">
      <xdr:nvSpPr>
        <xdr:cNvPr id="319" name="Up Arrow Callout 31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3F010000}"/>
            </a:ext>
          </a:extLst>
        </xdr:cNvPr>
        <xdr:cNvSpPr/>
      </xdr:nvSpPr>
      <xdr:spPr>
        <a:xfrm>
          <a:off x="66815177" y="320040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99</xdr:col>
      <xdr:colOff>182880</xdr:colOff>
      <xdr:row>120</xdr:row>
      <xdr:rowOff>3905</xdr:rowOff>
    </xdr:from>
    <xdr:to>
      <xdr:col>100</xdr:col>
      <xdr:colOff>303539</xdr:colOff>
      <xdr:row>120</xdr:row>
      <xdr:rowOff>255062</xdr:rowOff>
    </xdr:to>
    <xdr:sp macro="" textlink="">
      <xdr:nvSpPr>
        <xdr:cNvPr id="320" name="Up Arrow Callout 31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40010000}"/>
            </a:ext>
          </a:extLst>
        </xdr:cNvPr>
        <xdr:cNvSpPr/>
      </xdr:nvSpPr>
      <xdr:spPr>
        <a:xfrm>
          <a:off x="67581780" y="320079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98</xdr:col>
      <xdr:colOff>16493</xdr:colOff>
      <xdr:row>123</xdr:row>
      <xdr:rowOff>108521</xdr:rowOff>
    </xdr:from>
    <xdr:to>
      <xdr:col>99</xdr:col>
      <xdr:colOff>149542</xdr:colOff>
      <xdr:row>124</xdr:row>
      <xdr:rowOff>63232</xdr:rowOff>
    </xdr:to>
    <xdr:sp macro="" textlink="">
      <xdr:nvSpPr>
        <xdr:cNvPr id="321" name="Down Arrow Callout 32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41010000}"/>
            </a:ext>
          </a:extLst>
        </xdr:cNvPr>
        <xdr:cNvSpPr/>
      </xdr:nvSpPr>
      <xdr:spPr>
        <a:xfrm>
          <a:off x="66805793" y="329126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99</xdr:col>
      <xdr:colOff>180498</xdr:colOff>
      <xdr:row>123</xdr:row>
      <xdr:rowOff>107970</xdr:rowOff>
    </xdr:from>
    <xdr:to>
      <xdr:col>100</xdr:col>
      <xdr:colOff>326025</xdr:colOff>
      <xdr:row>124</xdr:row>
      <xdr:rowOff>66252</xdr:rowOff>
    </xdr:to>
    <xdr:sp macro="" textlink="">
      <xdr:nvSpPr>
        <xdr:cNvPr id="322" name="Down Arrow Callout 32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42010000}"/>
            </a:ext>
          </a:extLst>
        </xdr:cNvPr>
        <xdr:cNvSpPr/>
      </xdr:nvSpPr>
      <xdr:spPr>
        <a:xfrm>
          <a:off x="67579398" y="329120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98</xdr:col>
      <xdr:colOff>22761</xdr:colOff>
      <xdr:row>121</xdr:row>
      <xdr:rowOff>8433</xdr:rowOff>
    </xdr:from>
    <xdr:to>
      <xdr:col>99</xdr:col>
      <xdr:colOff>151923</xdr:colOff>
      <xdr:row>121</xdr:row>
      <xdr:rowOff>255957</xdr:rowOff>
    </xdr:to>
    <xdr:sp macro="" textlink="">
      <xdr:nvSpPr>
        <xdr:cNvPr id="323" name="Up Arrow Callout 32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43010000}"/>
            </a:ext>
          </a:extLst>
        </xdr:cNvPr>
        <xdr:cNvSpPr/>
      </xdr:nvSpPr>
      <xdr:spPr>
        <a:xfrm>
          <a:off x="66812061" y="322791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99</xdr:col>
      <xdr:colOff>188299</xdr:colOff>
      <xdr:row>121</xdr:row>
      <xdr:rowOff>6053</xdr:rowOff>
    </xdr:from>
    <xdr:to>
      <xdr:col>100</xdr:col>
      <xdr:colOff>329246</xdr:colOff>
      <xdr:row>121</xdr:row>
      <xdr:rowOff>257211</xdr:rowOff>
    </xdr:to>
    <xdr:sp macro="" textlink="">
      <xdr:nvSpPr>
        <xdr:cNvPr id="324" name="Up Arrow Callout 32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44010000}"/>
            </a:ext>
          </a:extLst>
        </xdr:cNvPr>
        <xdr:cNvSpPr/>
      </xdr:nvSpPr>
      <xdr:spPr>
        <a:xfrm>
          <a:off x="67587199" y="322767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98</xdr:col>
      <xdr:colOff>20955</xdr:colOff>
      <xdr:row>122</xdr:row>
      <xdr:rowOff>2439</xdr:rowOff>
    </xdr:from>
    <xdr:to>
      <xdr:col>99</xdr:col>
      <xdr:colOff>149542</xdr:colOff>
      <xdr:row>122</xdr:row>
      <xdr:rowOff>251157</xdr:rowOff>
    </xdr:to>
    <xdr:sp macro="" textlink="">
      <xdr:nvSpPr>
        <xdr:cNvPr id="325" name="Up Arrow Callout 32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45010000}"/>
            </a:ext>
          </a:extLst>
        </xdr:cNvPr>
        <xdr:cNvSpPr/>
      </xdr:nvSpPr>
      <xdr:spPr>
        <a:xfrm>
          <a:off x="66810255" y="325398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99</xdr:col>
      <xdr:colOff>185992</xdr:colOff>
      <xdr:row>122</xdr:row>
      <xdr:rowOff>5992</xdr:rowOff>
    </xdr:from>
    <xdr:to>
      <xdr:col>100</xdr:col>
      <xdr:colOff>326437</xdr:colOff>
      <xdr:row>122</xdr:row>
      <xdr:rowOff>258518</xdr:rowOff>
    </xdr:to>
    <xdr:sp macro="" textlink="">
      <xdr:nvSpPr>
        <xdr:cNvPr id="326" name="Up Arrow Callout 32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46010000}"/>
            </a:ext>
          </a:extLst>
        </xdr:cNvPr>
        <xdr:cNvSpPr/>
      </xdr:nvSpPr>
      <xdr:spPr>
        <a:xfrm>
          <a:off x="67584892" y="325433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122</xdr:col>
      <xdr:colOff>0</xdr:colOff>
      <xdr:row>204</xdr:row>
      <xdr:rowOff>104101</xdr:rowOff>
    </xdr:from>
    <xdr:to>
      <xdr:col>123</xdr:col>
      <xdr:colOff>147603</xdr:colOff>
      <xdr:row>205</xdr:row>
      <xdr:rowOff>73488</xdr:rowOff>
    </xdr:to>
    <xdr:sp macro="" textlink="">
      <xdr:nvSpPr>
        <xdr:cNvPr id="327" name="Down Arrow Callout 32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47010000}"/>
            </a:ext>
          </a:extLst>
        </xdr:cNvPr>
        <xdr:cNvSpPr/>
      </xdr:nvSpPr>
      <xdr:spPr>
        <a:xfrm>
          <a:off x="81534000" y="54510901"/>
          <a:ext cx="757203" cy="23608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123</xdr:col>
      <xdr:colOff>177021</xdr:colOff>
      <xdr:row>204</xdr:row>
      <xdr:rowOff>107395</xdr:rowOff>
    </xdr:from>
    <xdr:to>
      <xdr:col>124</xdr:col>
      <xdr:colOff>327383</xdr:colOff>
      <xdr:row>205</xdr:row>
      <xdr:rowOff>66301</xdr:rowOff>
    </xdr:to>
    <xdr:sp macro="" textlink="">
      <xdr:nvSpPr>
        <xdr:cNvPr id="328" name="Down Arrow Callout 32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48010000}"/>
            </a:ext>
          </a:extLst>
        </xdr:cNvPr>
        <xdr:cNvSpPr/>
      </xdr:nvSpPr>
      <xdr:spPr>
        <a:xfrm>
          <a:off x="82320621" y="54514195"/>
          <a:ext cx="759962" cy="22560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122</xdr:col>
      <xdr:colOff>25877</xdr:colOff>
      <xdr:row>200</xdr:row>
      <xdr:rowOff>0</xdr:rowOff>
    </xdr:from>
    <xdr:to>
      <xdr:col>123</xdr:col>
      <xdr:colOff>147161</xdr:colOff>
      <xdr:row>200</xdr:row>
      <xdr:rowOff>254520</xdr:rowOff>
    </xdr:to>
    <xdr:sp macro="" textlink="">
      <xdr:nvSpPr>
        <xdr:cNvPr id="329" name="Up Arrow Callout 32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49010000}"/>
            </a:ext>
          </a:extLst>
        </xdr:cNvPr>
        <xdr:cNvSpPr/>
      </xdr:nvSpPr>
      <xdr:spPr>
        <a:xfrm>
          <a:off x="81559877" y="53340000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123</xdr:col>
      <xdr:colOff>182880</xdr:colOff>
      <xdr:row>200</xdr:row>
      <xdr:rowOff>3905</xdr:rowOff>
    </xdr:from>
    <xdr:to>
      <xdr:col>124</xdr:col>
      <xdr:colOff>303539</xdr:colOff>
      <xdr:row>200</xdr:row>
      <xdr:rowOff>255062</xdr:rowOff>
    </xdr:to>
    <xdr:sp macro="" textlink="">
      <xdr:nvSpPr>
        <xdr:cNvPr id="330" name="Up Arrow Callout 32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4A010000}"/>
            </a:ext>
          </a:extLst>
        </xdr:cNvPr>
        <xdr:cNvSpPr/>
      </xdr:nvSpPr>
      <xdr:spPr>
        <a:xfrm>
          <a:off x="82326480" y="5334390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122</xdr:col>
      <xdr:colOff>16493</xdr:colOff>
      <xdr:row>203</xdr:row>
      <xdr:rowOff>108521</xdr:rowOff>
    </xdr:from>
    <xdr:to>
      <xdr:col>123</xdr:col>
      <xdr:colOff>149542</xdr:colOff>
      <xdr:row>204</xdr:row>
      <xdr:rowOff>63232</xdr:rowOff>
    </xdr:to>
    <xdr:sp macro="" textlink="">
      <xdr:nvSpPr>
        <xdr:cNvPr id="331" name="Down Arrow Callout 33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4B010000}"/>
            </a:ext>
          </a:extLst>
        </xdr:cNvPr>
        <xdr:cNvSpPr/>
      </xdr:nvSpPr>
      <xdr:spPr>
        <a:xfrm>
          <a:off x="81550493" y="54248621"/>
          <a:ext cx="742649" cy="22141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123</xdr:col>
      <xdr:colOff>180498</xdr:colOff>
      <xdr:row>203</xdr:row>
      <xdr:rowOff>107970</xdr:rowOff>
    </xdr:from>
    <xdr:to>
      <xdr:col>124</xdr:col>
      <xdr:colOff>326025</xdr:colOff>
      <xdr:row>204</xdr:row>
      <xdr:rowOff>66252</xdr:rowOff>
    </xdr:to>
    <xdr:sp macro="" textlink="">
      <xdr:nvSpPr>
        <xdr:cNvPr id="332" name="Down Arrow Callout 33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4C010000}"/>
            </a:ext>
          </a:extLst>
        </xdr:cNvPr>
        <xdr:cNvSpPr/>
      </xdr:nvSpPr>
      <xdr:spPr>
        <a:xfrm>
          <a:off x="82324098" y="54248070"/>
          <a:ext cx="755127" cy="22498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122</xdr:col>
      <xdr:colOff>22761</xdr:colOff>
      <xdr:row>201</xdr:row>
      <xdr:rowOff>8433</xdr:rowOff>
    </xdr:from>
    <xdr:to>
      <xdr:col>123</xdr:col>
      <xdr:colOff>151923</xdr:colOff>
      <xdr:row>201</xdr:row>
      <xdr:rowOff>255957</xdr:rowOff>
    </xdr:to>
    <xdr:sp macro="" textlink="">
      <xdr:nvSpPr>
        <xdr:cNvPr id="333" name="Up Arrow Callout 33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4D010000}"/>
            </a:ext>
          </a:extLst>
        </xdr:cNvPr>
        <xdr:cNvSpPr/>
      </xdr:nvSpPr>
      <xdr:spPr>
        <a:xfrm>
          <a:off x="81556761" y="53615133"/>
          <a:ext cx="738762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123</xdr:col>
      <xdr:colOff>188299</xdr:colOff>
      <xdr:row>201</xdr:row>
      <xdr:rowOff>6053</xdr:rowOff>
    </xdr:from>
    <xdr:to>
      <xdr:col>124</xdr:col>
      <xdr:colOff>329246</xdr:colOff>
      <xdr:row>201</xdr:row>
      <xdr:rowOff>257211</xdr:rowOff>
    </xdr:to>
    <xdr:sp macro="" textlink="">
      <xdr:nvSpPr>
        <xdr:cNvPr id="334" name="Up Arrow Callout 33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4E010000}"/>
            </a:ext>
          </a:extLst>
        </xdr:cNvPr>
        <xdr:cNvSpPr/>
      </xdr:nvSpPr>
      <xdr:spPr>
        <a:xfrm>
          <a:off x="82331899" y="53612753"/>
          <a:ext cx="750547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122</xdr:col>
      <xdr:colOff>20955</xdr:colOff>
      <xdr:row>202</xdr:row>
      <xdr:rowOff>2439</xdr:rowOff>
    </xdr:from>
    <xdr:to>
      <xdr:col>123</xdr:col>
      <xdr:colOff>149542</xdr:colOff>
      <xdr:row>202</xdr:row>
      <xdr:rowOff>251157</xdr:rowOff>
    </xdr:to>
    <xdr:sp macro="" textlink="">
      <xdr:nvSpPr>
        <xdr:cNvPr id="335" name="Up Arrow Callout 33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4F010000}"/>
            </a:ext>
          </a:extLst>
        </xdr:cNvPr>
        <xdr:cNvSpPr/>
      </xdr:nvSpPr>
      <xdr:spPr>
        <a:xfrm>
          <a:off x="81554955" y="538758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123</xdr:col>
      <xdr:colOff>185992</xdr:colOff>
      <xdr:row>202</xdr:row>
      <xdr:rowOff>5992</xdr:rowOff>
    </xdr:from>
    <xdr:to>
      <xdr:col>124</xdr:col>
      <xdr:colOff>326437</xdr:colOff>
      <xdr:row>202</xdr:row>
      <xdr:rowOff>258518</xdr:rowOff>
    </xdr:to>
    <xdr:sp macro="" textlink="">
      <xdr:nvSpPr>
        <xdr:cNvPr id="336" name="Up Arrow Callout 33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50010000}"/>
            </a:ext>
          </a:extLst>
        </xdr:cNvPr>
        <xdr:cNvSpPr/>
      </xdr:nvSpPr>
      <xdr:spPr>
        <a:xfrm>
          <a:off x="82329592" y="53879392"/>
          <a:ext cx="750045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0</xdr:colOff>
      <xdr:row>63</xdr:row>
      <xdr:rowOff>104101</xdr:rowOff>
    </xdr:from>
    <xdr:to>
      <xdr:col>13</xdr:col>
      <xdr:colOff>746318</xdr:colOff>
      <xdr:row>64</xdr:row>
      <xdr:rowOff>73488</xdr:rowOff>
    </xdr:to>
    <xdr:sp macro="" textlink="">
      <xdr:nvSpPr>
        <xdr:cNvPr id="337" name="Down Arrow Callout 33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51010000}"/>
            </a:ext>
          </a:extLst>
        </xdr:cNvPr>
        <xdr:cNvSpPr/>
      </xdr:nvSpPr>
      <xdr:spPr>
        <a:xfrm>
          <a:off x="13122729" y="17592001"/>
          <a:ext cx="746318" cy="246973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13736</xdr:colOff>
      <xdr:row>63</xdr:row>
      <xdr:rowOff>107395</xdr:rowOff>
    </xdr:from>
    <xdr:to>
      <xdr:col>15</xdr:col>
      <xdr:colOff>11698</xdr:colOff>
      <xdr:row>64</xdr:row>
      <xdr:rowOff>66301</xdr:rowOff>
    </xdr:to>
    <xdr:sp macro="" textlink="">
      <xdr:nvSpPr>
        <xdr:cNvPr id="338" name="Down Arrow Callout 33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52010000}"/>
            </a:ext>
          </a:extLst>
        </xdr:cNvPr>
        <xdr:cNvSpPr/>
      </xdr:nvSpPr>
      <xdr:spPr>
        <a:xfrm>
          <a:off x="13887579" y="17595295"/>
          <a:ext cx="749076" cy="23649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14992</xdr:colOff>
      <xdr:row>59</xdr:row>
      <xdr:rowOff>0</xdr:rowOff>
    </xdr:from>
    <xdr:to>
      <xdr:col>13</xdr:col>
      <xdr:colOff>745876</xdr:colOff>
      <xdr:row>59</xdr:row>
      <xdr:rowOff>254520</xdr:rowOff>
    </xdr:to>
    <xdr:sp macro="" textlink="">
      <xdr:nvSpPr>
        <xdr:cNvPr id="339" name="Up Arrow Callout 33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53010000}"/>
            </a:ext>
          </a:extLst>
        </xdr:cNvPr>
        <xdr:cNvSpPr/>
      </xdr:nvSpPr>
      <xdr:spPr>
        <a:xfrm>
          <a:off x="13137721" y="16377557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14</xdr:col>
      <xdr:colOff>19595</xdr:colOff>
      <xdr:row>59</xdr:row>
      <xdr:rowOff>3905</xdr:rowOff>
    </xdr:from>
    <xdr:to>
      <xdr:col>14</xdr:col>
      <xdr:colOff>749854</xdr:colOff>
      <xdr:row>59</xdr:row>
      <xdr:rowOff>255062</xdr:rowOff>
    </xdr:to>
    <xdr:sp macro="" textlink="">
      <xdr:nvSpPr>
        <xdr:cNvPr id="340" name="Up Arrow Callout 33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54010000}"/>
            </a:ext>
          </a:extLst>
        </xdr:cNvPr>
        <xdr:cNvSpPr/>
      </xdr:nvSpPr>
      <xdr:spPr>
        <a:xfrm>
          <a:off x="13893438" y="16381462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13</xdr:col>
      <xdr:colOff>5608</xdr:colOff>
      <xdr:row>62</xdr:row>
      <xdr:rowOff>108521</xdr:rowOff>
    </xdr:from>
    <xdr:to>
      <xdr:col>13</xdr:col>
      <xdr:colOff>748257</xdr:colOff>
      <xdr:row>63</xdr:row>
      <xdr:rowOff>63232</xdr:rowOff>
    </xdr:to>
    <xdr:sp macro="" textlink="">
      <xdr:nvSpPr>
        <xdr:cNvPr id="341" name="Down Arrow Callout 34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55010000}"/>
            </a:ext>
          </a:extLst>
        </xdr:cNvPr>
        <xdr:cNvSpPr/>
      </xdr:nvSpPr>
      <xdr:spPr>
        <a:xfrm>
          <a:off x="13128337" y="17318835"/>
          <a:ext cx="742649" cy="232297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17213</xdr:colOff>
      <xdr:row>62</xdr:row>
      <xdr:rowOff>107970</xdr:rowOff>
    </xdr:from>
    <xdr:to>
      <xdr:col>15</xdr:col>
      <xdr:colOff>10340</xdr:colOff>
      <xdr:row>63</xdr:row>
      <xdr:rowOff>66252</xdr:rowOff>
    </xdr:to>
    <xdr:sp macro="" textlink="">
      <xdr:nvSpPr>
        <xdr:cNvPr id="342" name="Down Arrow Callout 34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56010000}"/>
            </a:ext>
          </a:extLst>
        </xdr:cNvPr>
        <xdr:cNvSpPr/>
      </xdr:nvSpPr>
      <xdr:spPr>
        <a:xfrm>
          <a:off x="13891056" y="17318284"/>
          <a:ext cx="744241" cy="235868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11876</xdr:colOff>
      <xdr:row>60</xdr:row>
      <xdr:rowOff>8433</xdr:rowOff>
    </xdr:from>
    <xdr:to>
      <xdr:col>13</xdr:col>
      <xdr:colOff>750638</xdr:colOff>
      <xdr:row>60</xdr:row>
      <xdr:rowOff>266843</xdr:rowOff>
    </xdr:to>
    <xdr:sp macro="" textlink="">
      <xdr:nvSpPr>
        <xdr:cNvPr id="343" name="Up Arrow Callout 34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57010000}"/>
            </a:ext>
          </a:extLst>
        </xdr:cNvPr>
        <xdr:cNvSpPr/>
      </xdr:nvSpPr>
      <xdr:spPr>
        <a:xfrm>
          <a:off x="13134605" y="16663576"/>
          <a:ext cx="738762" cy="258410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25014</xdr:colOff>
      <xdr:row>60</xdr:row>
      <xdr:rowOff>6053</xdr:rowOff>
    </xdr:from>
    <xdr:to>
      <xdr:col>15</xdr:col>
      <xdr:colOff>13561</xdr:colOff>
      <xdr:row>60</xdr:row>
      <xdr:rowOff>257211</xdr:rowOff>
    </xdr:to>
    <xdr:sp macro="" textlink="">
      <xdr:nvSpPr>
        <xdr:cNvPr id="344" name="Up Arrow Callout 34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58010000}"/>
            </a:ext>
          </a:extLst>
        </xdr:cNvPr>
        <xdr:cNvSpPr/>
      </xdr:nvSpPr>
      <xdr:spPr>
        <a:xfrm>
          <a:off x="13898857" y="16661196"/>
          <a:ext cx="739661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10070</xdr:colOff>
      <xdr:row>61</xdr:row>
      <xdr:rowOff>2439</xdr:rowOff>
    </xdr:from>
    <xdr:to>
      <xdr:col>13</xdr:col>
      <xdr:colOff>748257</xdr:colOff>
      <xdr:row>61</xdr:row>
      <xdr:rowOff>262042</xdr:rowOff>
    </xdr:to>
    <xdr:sp macro="" textlink="">
      <xdr:nvSpPr>
        <xdr:cNvPr id="345" name="Up Arrow Callout 34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59010000}"/>
            </a:ext>
          </a:extLst>
        </xdr:cNvPr>
        <xdr:cNvSpPr/>
      </xdr:nvSpPr>
      <xdr:spPr>
        <a:xfrm>
          <a:off x="13132799" y="16935168"/>
          <a:ext cx="738187" cy="259603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22707</xdr:colOff>
      <xdr:row>61</xdr:row>
      <xdr:rowOff>5992</xdr:rowOff>
    </xdr:from>
    <xdr:to>
      <xdr:col>15</xdr:col>
      <xdr:colOff>10752</xdr:colOff>
      <xdr:row>61</xdr:row>
      <xdr:rowOff>258518</xdr:rowOff>
    </xdr:to>
    <xdr:sp macro="" textlink="">
      <xdr:nvSpPr>
        <xdr:cNvPr id="346" name="Up Arrow Callout 34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5A010000}"/>
            </a:ext>
          </a:extLst>
        </xdr:cNvPr>
        <xdr:cNvSpPr/>
      </xdr:nvSpPr>
      <xdr:spPr>
        <a:xfrm>
          <a:off x="13896550" y="16938721"/>
          <a:ext cx="739159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709498</xdr:colOff>
      <xdr:row>5</xdr:row>
      <xdr:rowOff>223100</xdr:rowOff>
    </xdr:from>
    <xdr:to>
      <xdr:col>14</xdr:col>
      <xdr:colOff>222993</xdr:colOff>
      <xdr:row>6</xdr:row>
      <xdr:rowOff>230821</xdr:rowOff>
    </xdr:to>
    <xdr:sp macro="" textlink="">
      <xdr:nvSpPr>
        <xdr:cNvPr id="347" name="Down Arrow Callout 34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5B010000}"/>
            </a:ext>
          </a:extLst>
        </xdr:cNvPr>
        <xdr:cNvSpPr/>
      </xdr:nvSpPr>
      <xdr:spPr>
        <a:xfrm>
          <a:off x="12310948" y="1604225"/>
          <a:ext cx="1770920" cy="283946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304902</xdr:colOff>
      <xdr:row>5</xdr:row>
      <xdr:rowOff>235743</xdr:rowOff>
    </xdr:from>
    <xdr:to>
      <xdr:col>16</xdr:col>
      <xdr:colOff>582681</xdr:colOff>
      <xdr:row>6</xdr:row>
      <xdr:rowOff>229076</xdr:rowOff>
    </xdr:to>
    <xdr:sp macro="" textlink="">
      <xdr:nvSpPr>
        <xdr:cNvPr id="348" name="Down Arrow Callout 34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5C010000}"/>
            </a:ext>
          </a:extLst>
        </xdr:cNvPr>
        <xdr:cNvSpPr/>
      </xdr:nvSpPr>
      <xdr:spPr>
        <a:xfrm>
          <a:off x="14163777" y="1616868"/>
          <a:ext cx="1782729" cy="269558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737336</xdr:colOff>
      <xdr:row>1</xdr:row>
      <xdr:rowOff>121641</xdr:rowOff>
    </xdr:from>
    <xdr:to>
      <xdr:col>14</xdr:col>
      <xdr:colOff>214242</xdr:colOff>
      <xdr:row>2</xdr:row>
      <xdr:rowOff>135628</xdr:rowOff>
    </xdr:to>
    <xdr:sp macro="" textlink="">
      <xdr:nvSpPr>
        <xdr:cNvPr id="349" name="Up Arrow Callout 34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5D010000}"/>
            </a:ext>
          </a:extLst>
        </xdr:cNvPr>
        <xdr:cNvSpPr/>
      </xdr:nvSpPr>
      <xdr:spPr>
        <a:xfrm>
          <a:off x="12338786" y="397866"/>
          <a:ext cx="1734331" cy="290212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14</xdr:col>
      <xdr:colOff>326422</xdr:colOff>
      <xdr:row>1</xdr:row>
      <xdr:rowOff>131479</xdr:rowOff>
    </xdr:from>
    <xdr:to>
      <xdr:col>16</xdr:col>
      <xdr:colOff>559594</xdr:colOff>
      <xdr:row>2</xdr:row>
      <xdr:rowOff>141613</xdr:rowOff>
    </xdr:to>
    <xdr:sp macro="" textlink="">
      <xdr:nvSpPr>
        <xdr:cNvPr id="350" name="Up Arrow Callout 34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5E010000}"/>
            </a:ext>
          </a:extLst>
        </xdr:cNvPr>
        <xdr:cNvSpPr/>
      </xdr:nvSpPr>
      <xdr:spPr>
        <a:xfrm>
          <a:off x="14185297" y="407704"/>
          <a:ext cx="1738122" cy="286359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11</xdr:col>
      <xdr:colOff>718160</xdr:colOff>
      <xdr:row>4</xdr:row>
      <xdr:rowOff>232037</xdr:rowOff>
    </xdr:from>
    <xdr:to>
      <xdr:col>14</xdr:col>
      <xdr:colOff>222956</xdr:colOff>
      <xdr:row>5</xdr:row>
      <xdr:rowOff>221925</xdr:rowOff>
    </xdr:to>
    <xdr:sp macro="" textlink="">
      <xdr:nvSpPr>
        <xdr:cNvPr id="351" name="Down Arrow Callout 35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200-00005F010000}"/>
            </a:ext>
          </a:extLst>
        </xdr:cNvPr>
        <xdr:cNvSpPr/>
      </xdr:nvSpPr>
      <xdr:spPr>
        <a:xfrm>
          <a:off x="12319610" y="1336937"/>
          <a:ext cx="1762221" cy="266113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312403</xdr:colOff>
      <xdr:row>4</xdr:row>
      <xdr:rowOff>236409</xdr:rowOff>
    </xdr:from>
    <xdr:to>
      <xdr:col>16</xdr:col>
      <xdr:colOff>578720</xdr:colOff>
      <xdr:row>5</xdr:row>
      <xdr:rowOff>229028</xdr:rowOff>
    </xdr:to>
    <xdr:sp macro="" textlink="">
      <xdr:nvSpPr>
        <xdr:cNvPr id="352" name="Down Arrow Callout 35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200-000060010000}"/>
            </a:ext>
          </a:extLst>
        </xdr:cNvPr>
        <xdr:cNvSpPr/>
      </xdr:nvSpPr>
      <xdr:spPr>
        <a:xfrm>
          <a:off x="14171278" y="1341309"/>
          <a:ext cx="1771267" cy="268844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727664</xdr:colOff>
      <xdr:row>2</xdr:row>
      <xdr:rowOff>129509</xdr:rowOff>
    </xdr:from>
    <xdr:to>
      <xdr:col>14</xdr:col>
      <xdr:colOff>223245</xdr:colOff>
      <xdr:row>3</xdr:row>
      <xdr:rowOff>147950</xdr:rowOff>
    </xdr:to>
    <xdr:sp macro="" textlink="">
      <xdr:nvSpPr>
        <xdr:cNvPr id="353" name="Up Arrow Callout 35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200-000061010000}"/>
            </a:ext>
          </a:extLst>
        </xdr:cNvPr>
        <xdr:cNvSpPr/>
      </xdr:nvSpPr>
      <xdr:spPr>
        <a:xfrm>
          <a:off x="12329114" y="681959"/>
          <a:ext cx="1753006" cy="294666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324017</xdr:colOff>
      <xdr:row>2</xdr:row>
      <xdr:rowOff>133628</xdr:rowOff>
    </xdr:from>
    <xdr:to>
      <xdr:col>16</xdr:col>
      <xdr:colOff>579477</xdr:colOff>
      <xdr:row>3</xdr:row>
      <xdr:rowOff>143762</xdr:rowOff>
    </xdr:to>
    <xdr:sp macro="" textlink="">
      <xdr:nvSpPr>
        <xdr:cNvPr id="354" name="Up Arrow Callout 35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200-000062010000}"/>
            </a:ext>
          </a:extLst>
        </xdr:cNvPr>
        <xdr:cNvSpPr/>
      </xdr:nvSpPr>
      <xdr:spPr>
        <a:xfrm>
          <a:off x="14182892" y="686078"/>
          <a:ext cx="1760410" cy="286359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726336</xdr:colOff>
      <xdr:row>3</xdr:row>
      <xdr:rowOff>123341</xdr:rowOff>
    </xdr:from>
    <xdr:to>
      <xdr:col>14</xdr:col>
      <xdr:colOff>220555</xdr:colOff>
      <xdr:row>4</xdr:row>
      <xdr:rowOff>143148</xdr:rowOff>
    </xdr:to>
    <xdr:sp macro="" textlink="">
      <xdr:nvSpPr>
        <xdr:cNvPr id="355" name="Up Arrow Callout 35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200-000063010000}"/>
            </a:ext>
          </a:extLst>
        </xdr:cNvPr>
        <xdr:cNvSpPr/>
      </xdr:nvSpPr>
      <xdr:spPr>
        <a:xfrm>
          <a:off x="12327786" y="952016"/>
          <a:ext cx="1751644" cy="296032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322126</xdr:colOff>
      <xdr:row>3</xdr:row>
      <xdr:rowOff>133368</xdr:rowOff>
    </xdr:from>
    <xdr:to>
      <xdr:col>16</xdr:col>
      <xdr:colOff>576396</xdr:colOff>
      <xdr:row>4</xdr:row>
      <xdr:rowOff>145068</xdr:rowOff>
    </xdr:to>
    <xdr:sp macro="" textlink="">
      <xdr:nvSpPr>
        <xdr:cNvPr id="356" name="Up Arrow Callout 35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200-000064010000}"/>
            </a:ext>
          </a:extLst>
        </xdr:cNvPr>
        <xdr:cNvSpPr/>
      </xdr:nvSpPr>
      <xdr:spPr>
        <a:xfrm>
          <a:off x="14181001" y="962043"/>
          <a:ext cx="1759220" cy="287925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281608</xdr:colOff>
      <xdr:row>0</xdr:row>
      <xdr:rowOff>188843</xdr:rowOff>
    </xdr:from>
    <xdr:to>
      <xdr:col>44</xdr:col>
      <xdr:colOff>441462</xdr:colOff>
      <xdr:row>2</xdr:row>
      <xdr:rowOff>163284</xdr:rowOff>
    </xdr:to>
    <xdr:sp macro="" textlink="">
      <xdr:nvSpPr>
        <xdr:cNvPr id="2" name="Horizontal Scroll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30980683" y="188843"/>
          <a:ext cx="2674454" cy="526891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ELECON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81</xdr:col>
      <xdr:colOff>571501</xdr:colOff>
      <xdr:row>0</xdr:row>
      <xdr:rowOff>149087</xdr:rowOff>
    </xdr:from>
    <xdr:to>
      <xdr:col>86</xdr:col>
      <xdr:colOff>118442</xdr:colOff>
      <xdr:row>2</xdr:row>
      <xdr:rowOff>142460</xdr:rowOff>
    </xdr:to>
    <xdr:sp macro="" textlink="">
      <xdr:nvSpPr>
        <xdr:cNvPr id="3" name="Horizontal Scroll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57150001" y="149087"/>
          <a:ext cx="2642566" cy="545823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Premium</a:t>
          </a:r>
        </a:p>
      </xdr:txBody>
    </xdr:sp>
    <xdr:clientData/>
  </xdr:twoCellAnchor>
  <xdr:twoCellAnchor>
    <xdr:from>
      <xdr:col>5</xdr:col>
      <xdr:colOff>105641</xdr:colOff>
      <xdr:row>136</xdr:row>
      <xdr:rowOff>68508</xdr:rowOff>
    </xdr:from>
    <xdr:to>
      <xdr:col>9</xdr:col>
      <xdr:colOff>400916</xdr:colOff>
      <xdr:row>139</xdr:row>
      <xdr:rowOff>20883</xdr:rowOff>
    </xdr:to>
    <xdr:sp macro="" textlink="">
      <xdr:nvSpPr>
        <xdr:cNvPr id="4" name="Horizontal Scroll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5534891" y="37082658"/>
          <a:ext cx="5229225" cy="781050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Anupam    3177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10</xdr:col>
      <xdr:colOff>542925</xdr:colOff>
      <xdr:row>21</xdr:row>
      <xdr:rowOff>95251</xdr:rowOff>
    </xdr:from>
    <xdr:to>
      <xdr:col>13</xdr:col>
      <xdr:colOff>376229</xdr:colOff>
      <xdr:row>22</xdr:row>
      <xdr:rowOff>218000</xdr:rowOff>
    </xdr:to>
    <xdr:sp macro="" textlink="">
      <xdr:nvSpPr>
        <xdr:cNvPr id="5" name="Horizontal Scroll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SpPr/>
      </xdr:nvSpPr>
      <xdr:spPr>
        <a:xfrm>
          <a:off x="11525250" y="5895976"/>
          <a:ext cx="1957379" cy="398974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gradFill>
            <a:gsLst>
              <a:gs pos="0">
                <a:srgbClr val="825600"/>
              </a:gs>
              <a:gs pos="13000">
                <a:srgbClr val="FFA800"/>
              </a:gs>
              <a:gs pos="28000">
                <a:srgbClr val="825600"/>
              </a:gs>
              <a:gs pos="42999">
                <a:srgbClr val="FFA800"/>
              </a:gs>
              <a:gs pos="58000">
                <a:srgbClr val="825600"/>
              </a:gs>
              <a:gs pos="72000">
                <a:srgbClr val="FFA800"/>
              </a:gs>
              <a:gs pos="87000">
                <a:srgbClr val="825600"/>
              </a:gs>
              <a:gs pos="100000">
                <a:srgbClr val="FFA800"/>
              </a:gs>
            </a:gsLst>
            <a:lin ang="5400000" scaled="0"/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Premium</a:t>
          </a:r>
        </a:p>
      </xdr:txBody>
    </xdr:sp>
    <xdr:clientData/>
  </xdr:twoCellAnchor>
  <xdr:twoCellAnchor>
    <xdr:from>
      <xdr:col>10</xdr:col>
      <xdr:colOff>527188</xdr:colOff>
      <xdr:row>25</xdr:row>
      <xdr:rowOff>152401</xdr:rowOff>
    </xdr:from>
    <xdr:to>
      <xdr:col>13</xdr:col>
      <xdr:colOff>347555</xdr:colOff>
      <xdr:row>26</xdr:row>
      <xdr:rowOff>261436</xdr:rowOff>
    </xdr:to>
    <xdr:sp macro="" textlink="">
      <xdr:nvSpPr>
        <xdr:cNvPr id="6" name="Horizontal Scroll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SpPr/>
      </xdr:nvSpPr>
      <xdr:spPr>
        <a:xfrm>
          <a:off x="11509513" y="7058026"/>
          <a:ext cx="1944442" cy="385260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gradFill>
            <a:gsLst>
              <a:gs pos="0">
                <a:srgbClr val="825600"/>
              </a:gs>
              <a:gs pos="13000">
                <a:srgbClr val="FFA800"/>
              </a:gs>
              <a:gs pos="28000">
                <a:srgbClr val="825600"/>
              </a:gs>
              <a:gs pos="42999">
                <a:srgbClr val="FFA800"/>
              </a:gs>
              <a:gs pos="58000">
                <a:srgbClr val="825600"/>
              </a:gs>
              <a:gs pos="72000">
                <a:srgbClr val="FFA800"/>
              </a:gs>
              <a:gs pos="87000">
                <a:srgbClr val="825600"/>
              </a:gs>
              <a:gs pos="100000">
                <a:srgbClr val="FFA800"/>
              </a:gs>
            </a:gsLst>
            <a:lin ang="5400000" scaled="0"/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ELECON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10</xdr:col>
      <xdr:colOff>506895</xdr:colOff>
      <xdr:row>7</xdr:row>
      <xdr:rowOff>84484</xdr:rowOff>
    </xdr:from>
    <xdr:to>
      <xdr:col>13</xdr:col>
      <xdr:colOff>314325</xdr:colOff>
      <xdr:row>8</xdr:row>
      <xdr:rowOff>228601</xdr:rowOff>
    </xdr:to>
    <xdr:sp macro="" textlink="">
      <xdr:nvSpPr>
        <xdr:cNvPr id="7" name="Horizontal Scroll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SpPr/>
      </xdr:nvSpPr>
      <xdr:spPr>
        <a:xfrm>
          <a:off x="11489220" y="2018059"/>
          <a:ext cx="1931505" cy="420342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gradFill>
            <a:gsLst>
              <a:gs pos="0">
                <a:srgbClr val="825600"/>
              </a:gs>
              <a:gs pos="13000">
                <a:srgbClr val="FFA800"/>
              </a:gs>
              <a:gs pos="28000">
                <a:srgbClr val="825600"/>
              </a:gs>
              <a:gs pos="42999">
                <a:srgbClr val="FFA800"/>
              </a:gs>
              <a:gs pos="58000">
                <a:srgbClr val="825600"/>
              </a:gs>
              <a:gs pos="72000">
                <a:srgbClr val="FFA800"/>
              </a:gs>
              <a:gs pos="87000">
                <a:srgbClr val="825600"/>
              </a:gs>
              <a:gs pos="100000">
                <a:srgbClr val="FFA800"/>
              </a:gs>
            </a:gsLst>
            <a:lin ang="5400000" scaled="0"/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Anupam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10</xdr:col>
      <xdr:colOff>568127</xdr:colOff>
      <xdr:row>14</xdr:row>
      <xdr:rowOff>153228</xdr:rowOff>
    </xdr:from>
    <xdr:to>
      <xdr:col>13</xdr:col>
      <xdr:colOff>371860</xdr:colOff>
      <xdr:row>15</xdr:row>
      <xdr:rowOff>256751</xdr:rowOff>
    </xdr:to>
    <xdr:sp macro="" textlink="">
      <xdr:nvSpPr>
        <xdr:cNvPr id="8" name="Horizontal Scroll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SpPr/>
      </xdr:nvSpPr>
      <xdr:spPr>
        <a:xfrm>
          <a:off x="11550452" y="4020378"/>
          <a:ext cx="1927808" cy="379748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gradFill>
            <a:gsLst>
              <a:gs pos="0">
                <a:srgbClr val="825600"/>
              </a:gs>
              <a:gs pos="13000">
                <a:srgbClr val="FFA800"/>
              </a:gs>
              <a:gs pos="28000">
                <a:srgbClr val="825600"/>
              </a:gs>
              <a:gs pos="42999">
                <a:srgbClr val="FFA800"/>
              </a:gs>
              <a:gs pos="58000">
                <a:srgbClr val="825600"/>
              </a:gs>
              <a:gs pos="72000">
                <a:srgbClr val="FFA800"/>
              </a:gs>
              <a:gs pos="87000">
                <a:srgbClr val="825600"/>
              </a:gs>
              <a:gs pos="100000">
                <a:srgbClr val="FFA800"/>
              </a:gs>
            </a:gsLst>
            <a:lin ang="5400000" scaled="0"/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Anupam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7</xdr:col>
      <xdr:colOff>538370</xdr:colOff>
      <xdr:row>65</xdr:row>
      <xdr:rowOff>41413</xdr:rowOff>
    </xdr:from>
    <xdr:to>
      <xdr:col>11</xdr:col>
      <xdr:colOff>168138</xdr:colOff>
      <xdr:row>67</xdr:row>
      <xdr:rowOff>150743</xdr:rowOff>
    </xdr:to>
    <xdr:sp macro="" textlink="">
      <xdr:nvSpPr>
        <xdr:cNvPr id="9" name="Horizontal Scroll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SpPr/>
      </xdr:nvSpPr>
      <xdr:spPr>
        <a:xfrm>
          <a:off x="8825120" y="17996038"/>
          <a:ext cx="2944468" cy="661780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ELECON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7</xdr:col>
      <xdr:colOff>521804</xdr:colOff>
      <xdr:row>62</xdr:row>
      <xdr:rowOff>66261</xdr:rowOff>
    </xdr:from>
    <xdr:to>
      <xdr:col>11</xdr:col>
      <xdr:colOff>151572</xdr:colOff>
      <xdr:row>64</xdr:row>
      <xdr:rowOff>175591</xdr:rowOff>
    </xdr:to>
    <xdr:sp macro="" textlink="">
      <xdr:nvSpPr>
        <xdr:cNvPr id="10" name="Horizontal Scroll 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A000000}"/>
            </a:ext>
          </a:extLst>
        </xdr:cNvPr>
        <xdr:cNvSpPr/>
      </xdr:nvSpPr>
      <xdr:spPr>
        <a:xfrm>
          <a:off x="8808554" y="17192211"/>
          <a:ext cx="2944468" cy="661780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Premium</a:t>
          </a:r>
        </a:p>
      </xdr:txBody>
    </xdr:sp>
    <xdr:clientData/>
  </xdr:twoCellAnchor>
  <xdr:twoCellAnchor>
    <xdr:from>
      <xdr:col>7</xdr:col>
      <xdr:colOff>505239</xdr:colOff>
      <xdr:row>59</xdr:row>
      <xdr:rowOff>33130</xdr:rowOff>
    </xdr:from>
    <xdr:to>
      <xdr:col>11</xdr:col>
      <xdr:colOff>135007</xdr:colOff>
      <xdr:row>61</xdr:row>
      <xdr:rowOff>142460</xdr:rowOff>
    </xdr:to>
    <xdr:sp macro="" textlink="">
      <xdr:nvSpPr>
        <xdr:cNvPr id="11" name="Horizontal Scroll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300-00000B000000}"/>
            </a:ext>
          </a:extLst>
        </xdr:cNvPr>
        <xdr:cNvSpPr/>
      </xdr:nvSpPr>
      <xdr:spPr>
        <a:xfrm>
          <a:off x="8791989" y="16330405"/>
          <a:ext cx="2944468" cy="661780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Anupam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105</xdr:col>
      <xdr:colOff>13607</xdr:colOff>
      <xdr:row>0</xdr:row>
      <xdr:rowOff>176893</xdr:rowOff>
    </xdr:from>
    <xdr:to>
      <xdr:col>109</xdr:col>
      <xdr:colOff>172869</xdr:colOff>
      <xdr:row>2</xdr:row>
      <xdr:rowOff>170266</xdr:rowOff>
    </xdr:to>
    <xdr:sp macro="" textlink="">
      <xdr:nvSpPr>
        <xdr:cNvPr id="12" name="Horizontal Scroll 1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C000000}"/>
            </a:ext>
          </a:extLst>
        </xdr:cNvPr>
        <xdr:cNvSpPr/>
      </xdr:nvSpPr>
      <xdr:spPr>
        <a:xfrm>
          <a:off x="71689232" y="176893"/>
          <a:ext cx="2635762" cy="545823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Premium</a:t>
          </a:r>
        </a:p>
      </xdr:txBody>
    </xdr:sp>
    <xdr:clientData/>
  </xdr:twoCellAnchor>
  <xdr:twoCellAnchor>
    <xdr:from>
      <xdr:col>61</xdr:col>
      <xdr:colOff>517073</xdr:colOff>
      <xdr:row>0</xdr:row>
      <xdr:rowOff>163286</xdr:rowOff>
    </xdr:from>
    <xdr:to>
      <xdr:col>66</xdr:col>
      <xdr:colOff>64605</xdr:colOff>
      <xdr:row>2</xdr:row>
      <xdr:rowOff>137727</xdr:rowOff>
    </xdr:to>
    <xdr:sp macro="" textlink="">
      <xdr:nvSpPr>
        <xdr:cNvPr id="13" name="Horizontal Scroll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D000000}"/>
            </a:ext>
          </a:extLst>
        </xdr:cNvPr>
        <xdr:cNvSpPr/>
      </xdr:nvSpPr>
      <xdr:spPr>
        <a:xfrm>
          <a:off x="44513048" y="163286"/>
          <a:ext cx="2719357" cy="526891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ELECON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4</xdr:col>
      <xdr:colOff>1314450</xdr:colOff>
      <xdr:row>367</xdr:row>
      <xdr:rowOff>47625</xdr:rowOff>
    </xdr:from>
    <xdr:to>
      <xdr:col>9</xdr:col>
      <xdr:colOff>180975</xdr:colOff>
      <xdr:row>370</xdr:row>
      <xdr:rowOff>0</xdr:rowOff>
    </xdr:to>
    <xdr:sp macro="" textlink="">
      <xdr:nvSpPr>
        <xdr:cNvPr id="26" name="Horizontal Scroll 2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300-00001A000000}"/>
            </a:ext>
          </a:extLst>
        </xdr:cNvPr>
        <xdr:cNvSpPr/>
      </xdr:nvSpPr>
      <xdr:spPr>
        <a:xfrm>
          <a:off x="5314950" y="88877775"/>
          <a:ext cx="5229225" cy="781050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Anupam   4137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12</xdr:col>
      <xdr:colOff>745808</xdr:colOff>
      <xdr:row>35</xdr:row>
      <xdr:rowOff>120794</xdr:rowOff>
    </xdr:from>
    <xdr:to>
      <xdr:col>13</xdr:col>
      <xdr:colOff>741011</xdr:colOff>
      <xdr:row>36</xdr:row>
      <xdr:rowOff>90181</xdr:rowOff>
    </xdr:to>
    <xdr:sp macro="" textlink="">
      <xdr:nvSpPr>
        <xdr:cNvPr id="28" name="Down Arrow Callout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1C000000}"/>
            </a:ext>
          </a:extLst>
        </xdr:cNvPr>
        <xdr:cNvSpPr/>
      </xdr:nvSpPr>
      <xdr:spPr>
        <a:xfrm>
          <a:off x="13099733" y="9788669"/>
          <a:ext cx="74767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8429</xdr:colOff>
      <xdr:row>35</xdr:row>
      <xdr:rowOff>124088</xdr:rowOff>
    </xdr:from>
    <xdr:to>
      <xdr:col>15</xdr:col>
      <xdr:colOff>6391</xdr:colOff>
      <xdr:row>36</xdr:row>
      <xdr:rowOff>82994</xdr:rowOff>
    </xdr:to>
    <xdr:sp macro="" textlink="">
      <xdr:nvSpPr>
        <xdr:cNvPr id="29" name="Down Arrow Callout 2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1D000000}"/>
            </a:ext>
          </a:extLst>
        </xdr:cNvPr>
        <xdr:cNvSpPr/>
      </xdr:nvSpPr>
      <xdr:spPr>
        <a:xfrm>
          <a:off x="13867304" y="9791963"/>
          <a:ext cx="75043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9685</xdr:colOff>
      <xdr:row>31</xdr:row>
      <xdr:rowOff>16693</xdr:rowOff>
    </xdr:from>
    <xdr:to>
      <xdr:col>13</xdr:col>
      <xdr:colOff>740569</xdr:colOff>
      <xdr:row>31</xdr:row>
      <xdr:rowOff>271213</xdr:rowOff>
    </xdr:to>
    <xdr:sp macro="" textlink="">
      <xdr:nvSpPr>
        <xdr:cNvPr id="30" name="Up Arrow Callout 2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1E000000}"/>
            </a:ext>
          </a:extLst>
        </xdr:cNvPr>
        <xdr:cNvSpPr/>
      </xdr:nvSpPr>
      <xdr:spPr>
        <a:xfrm>
          <a:off x="13116085" y="8579668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14</xdr:col>
      <xdr:colOff>14288</xdr:colOff>
      <xdr:row>31</xdr:row>
      <xdr:rowOff>20598</xdr:rowOff>
    </xdr:from>
    <xdr:to>
      <xdr:col>14</xdr:col>
      <xdr:colOff>744547</xdr:colOff>
      <xdr:row>31</xdr:row>
      <xdr:rowOff>271755</xdr:rowOff>
    </xdr:to>
    <xdr:sp macro="" textlink="">
      <xdr:nvSpPr>
        <xdr:cNvPr id="31" name="Up Arrow Callout 3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1F000000}"/>
            </a:ext>
          </a:extLst>
        </xdr:cNvPr>
        <xdr:cNvSpPr/>
      </xdr:nvSpPr>
      <xdr:spPr>
        <a:xfrm>
          <a:off x="13873163" y="8583573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13</xdr:col>
      <xdr:colOff>301</xdr:colOff>
      <xdr:row>34</xdr:row>
      <xdr:rowOff>125214</xdr:rowOff>
    </xdr:from>
    <xdr:to>
      <xdr:col>13</xdr:col>
      <xdr:colOff>742950</xdr:colOff>
      <xdr:row>35</xdr:row>
      <xdr:rowOff>79925</xdr:rowOff>
    </xdr:to>
    <xdr:sp macro="" textlink="">
      <xdr:nvSpPr>
        <xdr:cNvPr id="32" name="Down Arrow Callout 3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20000000}"/>
            </a:ext>
          </a:extLst>
        </xdr:cNvPr>
        <xdr:cNvSpPr/>
      </xdr:nvSpPr>
      <xdr:spPr>
        <a:xfrm>
          <a:off x="13106701" y="9516864"/>
          <a:ext cx="742649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11906</xdr:colOff>
      <xdr:row>34</xdr:row>
      <xdr:rowOff>124663</xdr:rowOff>
    </xdr:from>
    <xdr:to>
      <xdr:col>15</xdr:col>
      <xdr:colOff>5033</xdr:colOff>
      <xdr:row>35</xdr:row>
      <xdr:rowOff>82945</xdr:rowOff>
    </xdr:to>
    <xdr:sp macro="" textlink="">
      <xdr:nvSpPr>
        <xdr:cNvPr id="33" name="Down Arrow Callout 3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21000000}"/>
            </a:ext>
          </a:extLst>
        </xdr:cNvPr>
        <xdr:cNvSpPr/>
      </xdr:nvSpPr>
      <xdr:spPr>
        <a:xfrm>
          <a:off x="13870781" y="9516313"/>
          <a:ext cx="74560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6569</xdr:colOff>
      <xdr:row>32</xdr:row>
      <xdr:rowOff>25126</xdr:rowOff>
    </xdr:from>
    <xdr:to>
      <xdr:col>13</xdr:col>
      <xdr:colOff>745331</xdr:colOff>
      <xdr:row>33</xdr:row>
      <xdr:rowOff>5950</xdr:rowOff>
    </xdr:to>
    <xdr:sp macro="" textlink="">
      <xdr:nvSpPr>
        <xdr:cNvPr id="34" name="Up Arrow Callout 3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22000000}"/>
            </a:ext>
          </a:extLst>
        </xdr:cNvPr>
        <xdr:cNvSpPr/>
      </xdr:nvSpPr>
      <xdr:spPr>
        <a:xfrm>
          <a:off x="13112969" y="8864326"/>
          <a:ext cx="738762" cy="257049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19707</xdr:colOff>
      <xdr:row>32</xdr:row>
      <xdr:rowOff>22746</xdr:rowOff>
    </xdr:from>
    <xdr:to>
      <xdr:col>15</xdr:col>
      <xdr:colOff>8254</xdr:colOff>
      <xdr:row>32</xdr:row>
      <xdr:rowOff>273904</xdr:rowOff>
    </xdr:to>
    <xdr:sp macro="" textlink="">
      <xdr:nvSpPr>
        <xdr:cNvPr id="35" name="Up Arrow Callout 3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23000000}"/>
            </a:ext>
          </a:extLst>
        </xdr:cNvPr>
        <xdr:cNvSpPr/>
      </xdr:nvSpPr>
      <xdr:spPr>
        <a:xfrm>
          <a:off x="13878582" y="8861946"/>
          <a:ext cx="74102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4763</xdr:colOff>
      <xdr:row>33</xdr:row>
      <xdr:rowOff>19132</xdr:rowOff>
    </xdr:from>
    <xdr:to>
      <xdr:col>13</xdr:col>
      <xdr:colOff>742950</xdr:colOff>
      <xdr:row>34</xdr:row>
      <xdr:rowOff>1150</xdr:rowOff>
    </xdr:to>
    <xdr:sp macro="" textlink="">
      <xdr:nvSpPr>
        <xdr:cNvPr id="36" name="Up Arrow Callout 3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24000000}"/>
            </a:ext>
          </a:extLst>
        </xdr:cNvPr>
        <xdr:cNvSpPr/>
      </xdr:nvSpPr>
      <xdr:spPr>
        <a:xfrm>
          <a:off x="13111163" y="9134557"/>
          <a:ext cx="738187" cy="258243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17400</xdr:colOff>
      <xdr:row>33</xdr:row>
      <xdr:rowOff>22685</xdr:rowOff>
    </xdr:from>
    <xdr:to>
      <xdr:col>15</xdr:col>
      <xdr:colOff>5445</xdr:colOff>
      <xdr:row>33</xdr:row>
      <xdr:rowOff>275211</xdr:rowOff>
    </xdr:to>
    <xdr:sp macro="" textlink="">
      <xdr:nvSpPr>
        <xdr:cNvPr id="37" name="Up Arrow Callout 3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25000000}"/>
            </a:ext>
          </a:extLst>
        </xdr:cNvPr>
        <xdr:cNvSpPr/>
      </xdr:nvSpPr>
      <xdr:spPr>
        <a:xfrm>
          <a:off x="13876275" y="9138110"/>
          <a:ext cx="74052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168088</xdr:colOff>
      <xdr:row>148</xdr:row>
      <xdr:rowOff>193747</xdr:rowOff>
    </xdr:from>
    <xdr:to>
      <xdr:col>2</xdr:col>
      <xdr:colOff>252938</xdr:colOff>
      <xdr:row>149</xdr:row>
      <xdr:rowOff>163134</xdr:rowOff>
    </xdr:to>
    <xdr:sp macro="" textlink="">
      <xdr:nvSpPr>
        <xdr:cNvPr id="38" name="Down Arrow Callout 3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26000000}"/>
            </a:ext>
          </a:extLst>
        </xdr:cNvPr>
        <xdr:cNvSpPr/>
      </xdr:nvSpPr>
      <xdr:spPr>
        <a:xfrm>
          <a:off x="653863" y="40522597"/>
          <a:ext cx="742075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271150</xdr:colOff>
      <xdr:row>148</xdr:row>
      <xdr:rowOff>197041</xdr:rowOff>
    </xdr:from>
    <xdr:to>
      <xdr:col>2</xdr:col>
      <xdr:colOff>1019906</xdr:colOff>
      <xdr:row>149</xdr:row>
      <xdr:rowOff>155947</xdr:rowOff>
    </xdr:to>
    <xdr:sp macro="" textlink="">
      <xdr:nvSpPr>
        <xdr:cNvPr id="39" name="Down Arrow Callout 3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27000000}"/>
            </a:ext>
          </a:extLst>
        </xdr:cNvPr>
        <xdr:cNvSpPr/>
      </xdr:nvSpPr>
      <xdr:spPr>
        <a:xfrm>
          <a:off x="1414150" y="40525891"/>
          <a:ext cx="748756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182759</xdr:colOff>
      <xdr:row>144</xdr:row>
      <xdr:rowOff>89647</xdr:rowOff>
    </xdr:from>
    <xdr:to>
      <xdr:col>2</xdr:col>
      <xdr:colOff>252496</xdr:colOff>
      <xdr:row>145</xdr:row>
      <xdr:rowOff>64020</xdr:rowOff>
    </xdr:to>
    <xdr:sp macro="" textlink="">
      <xdr:nvSpPr>
        <xdr:cNvPr id="40" name="Up Arrow Callout 3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28000000}"/>
            </a:ext>
          </a:extLst>
        </xdr:cNvPr>
        <xdr:cNvSpPr/>
      </xdr:nvSpPr>
      <xdr:spPr>
        <a:xfrm>
          <a:off x="668534" y="39313597"/>
          <a:ext cx="726962" cy="250598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</xdr:col>
      <xdr:colOff>277009</xdr:colOff>
      <xdr:row>144</xdr:row>
      <xdr:rowOff>93552</xdr:rowOff>
    </xdr:from>
    <xdr:to>
      <xdr:col>2</xdr:col>
      <xdr:colOff>1007268</xdr:colOff>
      <xdr:row>145</xdr:row>
      <xdr:rowOff>64562</xdr:rowOff>
    </xdr:to>
    <xdr:sp macro="" textlink="">
      <xdr:nvSpPr>
        <xdr:cNvPr id="41" name="Up Arrow Callout 4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29000000}"/>
            </a:ext>
          </a:extLst>
        </xdr:cNvPr>
        <xdr:cNvSpPr/>
      </xdr:nvSpPr>
      <xdr:spPr>
        <a:xfrm>
          <a:off x="1420009" y="39317502"/>
          <a:ext cx="730259" cy="247235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</xdr:col>
      <xdr:colOff>173375</xdr:colOff>
      <xdr:row>147</xdr:row>
      <xdr:rowOff>198167</xdr:rowOff>
    </xdr:from>
    <xdr:to>
      <xdr:col>2</xdr:col>
      <xdr:colOff>254877</xdr:colOff>
      <xdr:row>148</xdr:row>
      <xdr:rowOff>152878</xdr:rowOff>
    </xdr:to>
    <xdr:sp macro="" textlink="">
      <xdr:nvSpPr>
        <xdr:cNvPr id="42" name="Down Arrow Callout 4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2A000000}"/>
            </a:ext>
          </a:extLst>
        </xdr:cNvPr>
        <xdr:cNvSpPr/>
      </xdr:nvSpPr>
      <xdr:spPr>
        <a:xfrm>
          <a:off x="659150" y="40250792"/>
          <a:ext cx="738727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274627</xdr:colOff>
      <xdr:row>147</xdr:row>
      <xdr:rowOff>197616</xdr:rowOff>
    </xdr:from>
    <xdr:to>
      <xdr:col>2</xdr:col>
      <xdr:colOff>1018548</xdr:colOff>
      <xdr:row>148</xdr:row>
      <xdr:rowOff>155898</xdr:rowOff>
    </xdr:to>
    <xdr:sp macro="" textlink="">
      <xdr:nvSpPr>
        <xdr:cNvPr id="43" name="Down Arrow Callout 4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2B000000}"/>
            </a:ext>
          </a:extLst>
        </xdr:cNvPr>
        <xdr:cNvSpPr/>
      </xdr:nvSpPr>
      <xdr:spPr>
        <a:xfrm>
          <a:off x="1417627" y="40250241"/>
          <a:ext cx="743921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179643</xdr:colOff>
      <xdr:row>145</xdr:row>
      <xdr:rowOff>98080</xdr:rowOff>
    </xdr:from>
    <xdr:to>
      <xdr:col>2</xdr:col>
      <xdr:colOff>257258</xdr:colOff>
      <xdr:row>146</xdr:row>
      <xdr:rowOff>78904</xdr:rowOff>
    </xdr:to>
    <xdr:sp macro="" textlink="">
      <xdr:nvSpPr>
        <xdr:cNvPr id="44" name="Up Arrow Callout 4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2C000000}"/>
            </a:ext>
          </a:extLst>
        </xdr:cNvPr>
        <xdr:cNvSpPr/>
      </xdr:nvSpPr>
      <xdr:spPr>
        <a:xfrm>
          <a:off x="665418" y="39598255"/>
          <a:ext cx="734840" cy="257049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282428</xdr:colOff>
      <xdr:row>145</xdr:row>
      <xdr:rowOff>95700</xdr:rowOff>
    </xdr:from>
    <xdr:to>
      <xdr:col>2</xdr:col>
      <xdr:colOff>1021769</xdr:colOff>
      <xdr:row>146</xdr:row>
      <xdr:rowOff>66711</xdr:rowOff>
    </xdr:to>
    <xdr:sp macro="" textlink="">
      <xdr:nvSpPr>
        <xdr:cNvPr id="45" name="Up Arrow Callout 4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2D000000}"/>
            </a:ext>
          </a:extLst>
        </xdr:cNvPr>
        <xdr:cNvSpPr/>
      </xdr:nvSpPr>
      <xdr:spPr>
        <a:xfrm>
          <a:off x="1425428" y="39595875"/>
          <a:ext cx="739341" cy="24723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177837</xdr:colOff>
      <xdr:row>146</xdr:row>
      <xdr:rowOff>92086</xdr:rowOff>
    </xdr:from>
    <xdr:to>
      <xdr:col>2</xdr:col>
      <xdr:colOff>254877</xdr:colOff>
      <xdr:row>147</xdr:row>
      <xdr:rowOff>74103</xdr:rowOff>
    </xdr:to>
    <xdr:sp macro="" textlink="">
      <xdr:nvSpPr>
        <xdr:cNvPr id="46" name="Up Arrow Callout 4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2E000000}"/>
            </a:ext>
          </a:extLst>
        </xdr:cNvPr>
        <xdr:cNvSpPr/>
      </xdr:nvSpPr>
      <xdr:spPr>
        <a:xfrm>
          <a:off x="663612" y="39868486"/>
          <a:ext cx="734265" cy="258242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280121</xdr:colOff>
      <xdr:row>146</xdr:row>
      <xdr:rowOff>95639</xdr:rowOff>
    </xdr:from>
    <xdr:to>
      <xdr:col>2</xdr:col>
      <xdr:colOff>1018960</xdr:colOff>
      <xdr:row>147</xdr:row>
      <xdr:rowOff>68017</xdr:rowOff>
    </xdr:to>
    <xdr:sp macro="" textlink="">
      <xdr:nvSpPr>
        <xdr:cNvPr id="47" name="Up Arrow Callout 4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2F000000}"/>
            </a:ext>
          </a:extLst>
        </xdr:cNvPr>
        <xdr:cNvSpPr/>
      </xdr:nvSpPr>
      <xdr:spPr>
        <a:xfrm>
          <a:off x="1423121" y="39872039"/>
          <a:ext cx="738839" cy="248603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0</xdr:colOff>
      <xdr:row>378</xdr:row>
      <xdr:rowOff>104101</xdr:rowOff>
    </xdr:from>
    <xdr:to>
      <xdr:col>2</xdr:col>
      <xdr:colOff>84850</xdr:colOff>
      <xdr:row>379</xdr:row>
      <xdr:rowOff>73488</xdr:rowOff>
    </xdr:to>
    <xdr:sp macro="" textlink="">
      <xdr:nvSpPr>
        <xdr:cNvPr id="48" name="Down Arrow Callout 4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30000000}"/>
            </a:ext>
          </a:extLst>
        </xdr:cNvPr>
        <xdr:cNvSpPr/>
      </xdr:nvSpPr>
      <xdr:spPr>
        <a:xfrm>
          <a:off x="485775" y="91972726"/>
          <a:ext cx="742075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103062</xdr:colOff>
      <xdr:row>378</xdr:row>
      <xdr:rowOff>107395</xdr:rowOff>
    </xdr:from>
    <xdr:to>
      <xdr:col>2</xdr:col>
      <xdr:colOff>851818</xdr:colOff>
      <xdr:row>379</xdr:row>
      <xdr:rowOff>66301</xdr:rowOff>
    </xdr:to>
    <xdr:sp macro="" textlink="">
      <xdr:nvSpPr>
        <xdr:cNvPr id="49" name="Down Arrow Callout 4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31000000}"/>
            </a:ext>
          </a:extLst>
        </xdr:cNvPr>
        <xdr:cNvSpPr/>
      </xdr:nvSpPr>
      <xdr:spPr>
        <a:xfrm>
          <a:off x="1246062" y="91976020"/>
          <a:ext cx="748756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14671</xdr:colOff>
      <xdr:row>374</xdr:row>
      <xdr:rowOff>0</xdr:rowOff>
    </xdr:from>
    <xdr:to>
      <xdr:col>2</xdr:col>
      <xdr:colOff>84408</xdr:colOff>
      <xdr:row>374</xdr:row>
      <xdr:rowOff>254520</xdr:rowOff>
    </xdr:to>
    <xdr:sp macro="" textlink="">
      <xdr:nvSpPr>
        <xdr:cNvPr id="50" name="Up Arrow Callout 4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32000000}"/>
            </a:ext>
          </a:extLst>
        </xdr:cNvPr>
        <xdr:cNvSpPr/>
      </xdr:nvSpPr>
      <xdr:spPr>
        <a:xfrm>
          <a:off x="500446" y="90763725"/>
          <a:ext cx="726962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</xdr:col>
      <xdr:colOff>108921</xdr:colOff>
      <xdr:row>374</xdr:row>
      <xdr:rowOff>3905</xdr:rowOff>
    </xdr:from>
    <xdr:to>
      <xdr:col>2</xdr:col>
      <xdr:colOff>839180</xdr:colOff>
      <xdr:row>374</xdr:row>
      <xdr:rowOff>255062</xdr:rowOff>
    </xdr:to>
    <xdr:sp macro="" textlink="">
      <xdr:nvSpPr>
        <xdr:cNvPr id="51" name="Up Arrow Callout 5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33000000}"/>
            </a:ext>
          </a:extLst>
        </xdr:cNvPr>
        <xdr:cNvSpPr/>
      </xdr:nvSpPr>
      <xdr:spPr>
        <a:xfrm>
          <a:off x="1251921" y="90767630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</xdr:col>
      <xdr:colOff>5287</xdr:colOff>
      <xdr:row>377</xdr:row>
      <xdr:rowOff>108521</xdr:rowOff>
    </xdr:from>
    <xdr:to>
      <xdr:col>2</xdr:col>
      <xdr:colOff>86789</xdr:colOff>
      <xdr:row>378</xdr:row>
      <xdr:rowOff>63232</xdr:rowOff>
    </xdr:to>
    <xdr:sp macro="" textlink="">
      <xdr:nvSpPr>
        <xdr:cNvPr id="52" name="Down Arrow Callout 5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34000000}"/>
            </a:ext>
          </a:extLst>
        </xdr:cNvPr>
        <xdr:cNvSpPr/>
      </xdr:nvSpPr>
      <xdr:spPr>
        <a:xfrm>
          <a:off x="491062" y="91700921"/>
          <a:ext cx="738727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106539</xdr:colOff>
      <xdr:row>377</xdr:row>
      <xdr:rowOff>107970</xdr:rowOff>
    </xdr:from>
    <xdr:to>
      <xdr:col>2</xdr:col>
      <xdr:colOff>850460</xdr:colOff>
      <xdr:row>378</xdr:row>
      <xdr:rowOff>66252</xdr:rowOff>
    </xdr:to>
    <xdr:sp macro="" textlink="">
      <xdr:nvSpPr>
        <xdr:cNvPr id="53" name="Down Arrow Callout 5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35000000}"/>
            </a:ext>
          </a:extLst>
        </xdr:cNvPr>
        <xdr:cNvSpPr/>
      </xdr:nvSpPr>
      <xdr:spPr>
        <a:xfrm>
          <a:off x="1249539" y="91700370"/>
          <a:ext cx="743921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11555</xdr:colOff>
      <xdr:row>375</xdr:row>
      <xdr:rowOff>8433</xdr:rowOff>
    </xdr:from>
    <xdr:to>
      <xdr:col>2</xdr:col>
      <xdr:colOff>89170</xdr:colOff>
      <xdr:row>375</xdr:row>
      <xdr:rowOff>269404</xdr:rowOff>
    </xdr:to>
    <xdr:sp macro="" textlink="">
      <xdr:nvSpPr>
        <xdr:cNvPr id="54" name="Up Arrow Callout 5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36000000}"/>
            </a:ext>
          </a:extLst>
        </xdr:cNvPr>
        <xdr:cNvSpPr/>
      </xdr:nvSpPr>
      <xdr:spPr>
        <a:xfrm>
          <a:off x="497330" y="91048383"/>
          <a:ext cx="734840" cy="260971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114340</xdr:colOff>
      <xdr:row>375</xdr:row>
      <xdr:rowOff>6053</xdr:rowOff>
    </xdr:from>
    <xdr:to>
      <xdr:col>2</xdr:col>
      <xdr:colOff>853681</xdr:colOff>
      <xdr:row>375</xdr:row>
      <xdr:rowOff>257211</xdr:rowOff>
    </xdr:to>
    <xdr:sp macro="" textlink="">
      <xdr:nvSpPr>
        <xdr:cNvPr id="55" name="Up Arrow Callout 5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37000000}"/>
            </a:ext>
          </a:extLst>
        </xdr:cNvPr>
        <xdr:cNvSpPr/>
      </xdr:nvSpPr>
      <xdr:spPr>
        <a:xfrm>
          <a:off x="1257340" y="91046003"/>
          <a:ext cx="739341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9749</xdr:colOff>
      <xdr:row>376</xdr:row>
      <xdr:rowOff>2439</xdr:rowOff>
    </xdr:from>
    <xdr:to>
      <xdr:col>2</xdr:col>
      <xdr:colOff>86789</xdr:colOff>
      <xdr:row>376</xdr:row>
      <xdr:rowOff>264604</xdr:rowOff>
    </xdr:to>
    <xdr:sp macro="" textlink="">
      <xdr:nvSpPr>
        <xdr:cNvPr id="56" name="Up Arrow Callout 5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38000000}"/>
            </a:ext>
          </a:extLst>
        </xdr:cNvPr>
        <xdr:cNvSpPr/>
      </xdr:nvSpPr>
      <xdr:spPr>
        <a:xfrm>
          <a:off x="495524" y="91318614"/>
          <a:ext cx="734265" cy="262165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112033</xdr:colOff>
      <xdr:row>376</xdr:row>
      <xdr:rowOff>5992</xdr:rowOff>
    </xdr:from>
    <xdr:to>
      <xdr:col>2</xdr:col>
      <xdr:colOff>850872</xdr:colOff>
      <xdr:row>376</xdr:row>
      <xdr:rowOff>258518</xdr:rowOff>
    </xdr:to>
    <xdr:sp macro="" textlink="">
      <xdr:nvSpPr>
        <xdr:cNvPr id="57" name="Up Arrow Callout 5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39000000}"/>
            </a:ext>
          </a:extLst>
        </xdr:cNvPr>
        <xdr:cNvSpPr/>
      </xdr:nvSpPr>
      <xdr:spPr>
        <a:xfrm>
          <a:off x="1255033" y="91322167"/>
          <a:ext cx="738839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59</xdr:col>
      <xdr:colOff>333376</xdr:colOff>
      <xdr:row>374</xdr:row>
      <xdr:rowOff>94575</xdr:rowOff>
    </xdr:from>
    <xdr:to>
      <xdr:col>60</xdr:col>
      <xdr:colOff>376751</xdr:colOff>
      <xdr:row>375</xdr:row>
      <xdr:rowOff>153900</xdr:rowOff>
    </xdr:to>
    <xdr:sp macro="" textlink="">
      <xdr:nvSpPr>
        <xdr:cNvPr id="58" name="Down Arrow Callout 5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3A000000}"/>
            </a:ext>
          </a:extLst>
        </xdr:cNvPr>
        <xdr:cNvSpPr/>
      </xdr:nvSpPr>
      <xdr:spPr>
        <a:xfrm>
          <a:off x="43091101" y="90858300"/>
          <a:ext cx="662500" cy="335550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474537</xdr:colOff>
      <xdr:row>374</xdr:row>
      <xdr:rowOff>97869</xdr:rowOff>
    </xdr:from>
    <xdr:to>
      <xdr:col>61</xdr:col>
      <xdr:colOff>523876</xdr:colOff>
      <xdr:row>375</xdr:row>
      <xdr:rowOff>142875</xdr:rowOff>
    </xdr:to>
    <xdr:sp macro="" textlink="">
      <xdr:nvSpPr>
        <xdr:cNvPr id="59" name="Down Arrow Callout 5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3B000000}"/>
            </a:ext>
          </a:extLst>
        </xdr:cNvPr>
        <xdr:cNvSpPr/>
      </xdr:nvSpPr>
      <xdr:spPr>
        <a:xfrm>
          <a:off x="43851387" y="90861594"/>
          <a:ext cx="668464" cy="3212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59</xdr:col>
      <xdr:colOff>348046</xdr:colOff>
      <xdr:row>369</xdr:row>
      <xdr:rowOff>266701</xdr:rowOff>
    </xdr:from>
    <xdr:to>
      <xdr:col>60</xdr:col>
      <xdr:colOff>377928</xdr:colOff>
      <xdr:row>371</xdr:row>
      <xdr:rowOff>56613</xdr:rowOff>
    </xdr:to>
    <xdr:sp macro="" textlink="">
      <xdr:nvSpPr>
        <xdr:cNvPr id="60" name="Up Arrow Callout 5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3C000000}"/>
            </a:ext>
          </a:extLst>
        </xdr:cNvPr>
        <xdr:cNvSpPr/>
      </xdr:nvSpPr>
      <xdr:spPr>
        <a:xfrm>
          <a:off x="43105771" y="89649301"/>
          <a:ext cx="649007" cy="342362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60</xdr:col>
      <xdr:colOff>480396</xdr:colOff>
      <xdr:row>369</xdr:row>
      <xdr:rowOff>270606</xdr:rowOff>
    </xdr:from>
    <xdr:to>
      <xdr:col>61</xdr:col>
      <xdr:colOff>513222</xdr:colOff>
      <xdr:row>371</xdr:row>
      <xdr:rowOff>55924</xdr:rowOff>
    </xdr:to>
    <xdr:sp macro="" textlink="">
      <xdr:nvSpPr>
        <xdr:cNvPr id="61" name="Up Arrow Callout 6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3D000000}"/>
            </a:ext>
          </a:extLst>
        </xdr:cNvPr>
        <xdr:cNvSpPr/>
      </xdr:nvSpPr>
      <xdr:spPr>
        <a:xfrm>
          <a:off x="43857246" y="89653206"/>
          <a:ext cx="651951" cy="33776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59</xdr:col>
      <xdr:colOff>338662</xdr:colOff>
      <xdr:row>373</xdr:row>
      <xdr:rowOff>98995</xdr:rowOff>
    </xdr:from>
    <xdr:to>
      <xdr:col>60</xdr:col>
      <xdr:colOff>379047</xdr:colOff>
      <xdr:row>374</xdr:row>
      <xdr:rowOff>138271</xdr:rowOff>
    </xdr:to>
    <xdr:sp macro="" textlink="">
      <xdr:nvSpPr>
        <xdr:cNvPr id="62" name="Down Arrow Callout 6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3E000000}"/>
            </a:ext>
          </a:extLst>
        </xdr:cNvPr>
        <xdr:cNvSpPr/>
      </xdr:nvSpPr>
      <xdr:spPr>
        <a:xfrm>
          <a:off x="43096387" y="90586495"/>
          <a:ext cx="659510" cy="31550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478015</xdr:colOff>
      <xdr:row>373</xdr:row>
      <xdr:rowOff>98444</xdr:rowOff>
    </xdr:from>
    <xdr:to>
      <xdr:col>61</xdr:col>
      <xdr:colOff>523038</xdr:colOff>
      <xdr:row>374</xdr:row>
      <xdr:rowOff>142598</xdr:rowOff>
    </xdr:to>
    <xdr:sp macro="" textlink="">
      <xdr:nvSpPr>
        <xdr:cNvPr id="63" name="Down Arrow Callout 6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3F000000}"/>
            </a:ext>
          </a:extLst>
        </xdr:cNvPr>
        <xdr:cNvSpPr/>
      </xdr:nvSpPr>
      <xdr:spPr>
        <a:xfrm>
          <a:off x="43854865" y="90585944"/>
          <a:ext cx="664148" cy="320379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59</xdr:col>
      <xdr:colOff>344930</xdr:colOff>
      <xdr:row>370</xdr:row>
      <xdr:rowOff>275133</xdr:rowOff>
    </xdr:from>
    <xdr:to>
      <xdr:col>60</xdr:col>
      <xdr:colOff>381845</xdr:colOff>
      <xdr:row>372</xdr:row>
      <xdr:rowOff>73858</xdr:rowOff>
    </xdr:to>
    <xdr:sp macro="" textlink="">
      <xdr:nvSpPr>
        <xdr:cNvPr id="64" name="Up Arrow Callout 6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40000000}"/>
            </a:ext>
          </a:extLst>
        </xdr:cNvPr>
        <xdr:cNvSpPr/>
      </xdr:nvSpPr>
      <xdr:spPr>
        <a:xfrm>
          <a:off x="43102655" y="89933958"/>
          <a:ext cx="656040" cy="351175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60</xdr:col>
      <xdr:colOff>485815</xdr:colOff>
      <xdr:row>370</xdr:row>
      <xdr:rowOff>272753</xdr:rowOff>
    </xdr:from>
    <xdr:to>
      <xdr:col>61</xdr:col>
      <xdr:colOff>526749</xdr:colOff>
      <xdr:row>372</xdr:row>
      <xdr:rowOff>58072</xdr:rowOff>
    </xdr:to>
    <xdr:sp macro="" textlink="">
      <xdr:nvSpPr>
        <xdr:cNvPr id="65" name="Up Arrow Callout 6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41000000}"/>
            </a:ext>
          </a:extLst>
        </xdr:cNvPr>
        <xdr:cNvSpPr/>
      </xdr:nvSpPr>
      <xdr:spPr>
        <a:xfrm>
          <a:off x="43862665" y="89931578"/>
          <a:ext cx="660059" cy="337769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59</xdr:col>
      <xdr:colOff>343126</xdr:colOff>
      <xdr:row>371</xdr:row>
      <xdr:rowOff>269139</xdr:rowOff>
    </xdr:from>
    <xdr:to>
      <xdr:col>60</xdr:col>
      <xdr:colOff>379527</xdr:colOff>
      <xdr:row>373</xdr:row>
      <xdr:rowOff>69494</xdr:rowOff>
    </xdr:to>
    <xdr:sp macro="" textlink="">
      <xdr:nvSpPr>
        <xdr:cNvPr id="66" name="Up Arrow Callout 6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42000000}"/>
            </a:ext>
          </a:extLst>
        </xdr:cNvPr>
        <xdr:cNvSpPr/>
      </xdr:nvSpPr>
      <xdr:spPr>
        <a:xfrm>
          <a:off x="43100851" y="90204189"/>
          <a:ext cx="655526" cy="352805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60</xdr:col>
      <xdr:colOff>483509</xdr:colOff>
      <xdr:row>371</xdr:row>
      <xdr:rowOff>272694</xdr:rowOff>
    </xdr:from>
    <xdr:to>
      <xdr:col>61</xdr:col>
      <xdr:colOff>523994</xdr:colOff>
      <xdr:row>373</xdr:row>
      <xdr:rowOff>59880</xdr:rowOff>
    </xdr:to>
    <xdr:sp macro="" textlink="">
      <xdr:nvSpPr>
        <xdr:cNvPr id="67" name="Up Arrow Callout 6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43000000}"/>
            </a:ext>
          </a:extLst>
        </xdr:cNvPr>
        <xdr:cNvSpPr/>
      </xdr:nvSpPr>
      <xdr:spPr>
        <a:xfrm>
          <a:off x="43860359" y="90207744"/>
          <a:ext cx="659610" cy="33963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62</xdr:col>
      <xdr:colOff>0</xdr:colOff>
      <xdr:row>144</xdr:row>
      <xdr:rowOff>104101</xdr:rowOff>
    </xdr:from>
    <xdr:to>
      <xdr:col>63</xdr:col>
      <xdr:colOff>147603</xdr:colOff>
      <xdr:row>145</xdr:row>
      <xdr:rowOff>73488</xdr:rowOff>
    </xdr:to>
    <xdr:sp macro="" textlink="">
      <xdr:nvSpPr>
        <xdr:cNvPr id="168" name="Down Arrow Callout 16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A8000000}"/>
            </a:ext>
          </a:extLst>
        </xdr:cNvPr>
        <xdr:cNvSpPr/>
      </xdr:nvSpPr>
      <xdr:spPr>
        <a:xfrm>
          <a:off x="44653200" y="39328051"/>
          <a:ext cx="76672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63</xdr:col>
      <xdr:colOff>177021</xdr:colOff>
      <xdr:row>144</xdr:row>
      <xdr:rowOff>107395</xdr:rowOff>
    </xdr:from>
    <xdr:to>
      <xdr:col>64</xdr:col>
      <xdr:colOff>327383</xdr:colOff>
      <xdr:row>145</xdr:row>
      <xdr:rowOff>66301</xdr:rowOff>
    </xdr:to>
    <xdr:sp macro="" textlink="">
      <xdr:nvSpPr>
        <xdr:cNvPr id="169" name="Down Arrow Callout 16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A9000000}"/>
            </a:ext>
          </a:extLst>
        </xdr:cNvPr>
        <xdr:cNvSpPr/>
      </xdr:nvSpPr>
      <xdr:spPr>
        <a:xfrm>
          <a:off x="45449346" y="39331345"/>
          <a:ext cx="76948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62</xdr:col>
      <xdr:colOff>25877</xdr:colOff>
      <xdr:row>140</xdr:row>
      <xdr:rowOff>0</xdr:rowOff>
    </xdr:from>
    <xdr:to>
      <xdr:col>63</xdr:col>
      <xdr:colOff>147161</xdr:colOff>
      <xdr:row>140</xdr:row>
      <xdr:rowOff>254520</xdr:rowOff>
    </xdr:to>
    <xdr:sp macro="" textlink="">
      <xdr:nvSpPr>
        <xdr:cNvPr id="170" name="Up Arrow Callout 16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AA000000}"/>
            </a:ext>
          </a:extLst>
        </xdr:cNvPr>
        <xdr:cNvSpPr/>
      </xdr:nvSpPr>
      <xdr:spPr>
        <a:xfrm>
          <a:off x="44679077" y="38119050"/>
          <a:ext cx="740409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63</xdr:col>
      <xdr:colOff>182880</xdr:colOff>
      <xdr:row>140</xdr:row>
      <xdr:rowOff>3905</xdr:rowOff>
    </xdr:from>
    <xdr:to>
      <xdr:col>64</xdr:col>
      <xdr:colOff>303539</xdr:colOff>
      <xdr:row>140</xdr:row>
      <xdr:rowOff>255062</xdr:rowOff>
    </xdr:to>
    <xdr:sp macro="" textlink="">
      <xdr:nvSpPr>
        <xdr:cNvPr id="171" name="Up Arrow Callout 17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AB000000}"/>
            </a:ext>
          </a:extLst>
        </xdr:cNvPr>
        <xdr:cNvSpPr/>
      </xdr:nvSpPr>
      <xdr:spPr>
        <a:xfrm>
          <a:off x="45455205" y="38122955"/>
          <a:ext cx="739784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62</xdr:col>
      <xdr:colOff>16493</xdr:colOff>
      <xdr:row>143</xdr:row>
      <xdr:rowOff>108521</xdr:rowOff>
    </xdr:from>
    <xdr:to>
      <xdr:col>63</xdr:col>
      <xdr:colOff>149542</xdr:colOff>
      <xdr:row>144</xdr:row>
      <xdr:rowOff>63232</xdr:rowOff>
    </xdr:to>
    <xdr:sp macro="" textlink="">
      <xdr:nvSpPr>
        <xdr:cNvPr id="172" name="Down Arrow Callout 17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AC000000}"/>
            </a:ext>
          </a:extLst>
        </xdr:cNvPr>
        <xdr:cNvSpPr/>
      </xdr:nvSpPr>
      <xdr:spPr>
        <a:xfrm>
          <a:off x="44669693" y="39056246"/>
          <a:ext cx="752174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63</xdr:col>
      <xdr:colOff>180498</xdr:colOff>
      <xdr:row>143</xdr:row>
      <xdr:rowOff>107970</xdr:rowOff>
    </xdr:from>
    <xdr:to>
      <xdr:col>64</xdr:col>
      <xdr:colOff>326025</xdr:colOff>
      <xdr:row>144</xdr:row>
      <xdr:rowOff>66252</xdr:rowOff>
    </xdr:to>
    <xdr:sp macro="" textlink="">
      <xdr:nvSpPr>
        <xdr:cNvPr id="173" name="Down Arrow Callout 17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AD000000}"/>
            </a:ext>
          </a:extLst>
        </xdr:cNvPr>
        <xdr:cNvSpPr/>
      </xdr:nvSpPr>
      <xdr:spPr>
        <a:xfrm>
          <a:off x="45452823" y="39055695"/>
          <a:ext cx="76465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62</xdr:col>
      <xdr:colOff>22761</xdr:colOff>
      <xdr:row>141</xdr:row>
      <xdr:rowOff>8433</xdr:rowOff>
    </xdr:from>
    <xdr:to>
      <xdr:col>63</xdr:col>
      <xdr:colOff>151923</xdr:colOff>
      <xdr:row>141</xdr:row>
      <xdr:rowOff>255957</xdr:rowOff>
    </xdr:to>
    <xdr:sp macro="" textlink="">
      <xdr:nvSpPr>
        <xdr:cNvPr id="174" name="Up Arrow Callout 17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AE000000}"/>
            </a:ext>
          </a:extLst>
        </xdr:cNvPr>
        <xdr:cNvSpPr/>
      </xdr:nvSpPr>
      <xdr:spPr>
        <a:xfrm>
          <a:off x="44675961" y="38403708"/>
          <a:ext cx="748287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63</xdr:col>
      <xdr:colOff>188299</xdr:colOff>
      <xdr:row>141</xdr:row>
      <xdr:rowOff>6053</xdr:rowOff>
    </xdr:from>
    <xdr:to>
      <xdr:col>64</xdr:col>
      <xdr:colOff>329246</xdr:colOff>
      <xdr:row>141</xdr:row>
      <xdr:rowOff>257211</xdr:rowOff>
    </xdr:to>
    <xdr:sp macro="" textlink="">
      <xdr:nvSpPr>
        <xdr:cNvPr id="175" name="Up Arrow Callout 17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AF000000}"/>
            </a:ext>
          </a:extLst>
        </xdr:cNvPr>
        <xdr:cNvSpPr/>
      </xdr:nvSpPr>
      <xdr:spPr>
        <a:xfrm>
          <a:off x="45460624" y="38401328"/>
          <a:ext cx="76007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62</xdr:col>
      <xdr:colOff>20955</xdr:colOff>
      <xdr:row>142</xdr:row>
      <xdr:rowOff>2439</xdr:rowOff>
    </xdr:from>
    <xdr:to>
      <xdr:col>63</xdr:col>
      <xdr:colOff>149542</xdr:colOff>
      <xdr:row>142</xdr:row>
      <xdr:rowOff>251157</xdr:rowOff>
    </xdr:to>
    <xdr:sp macro="" textlink="">
      <xdr:nvSpPr>
        <xdr:cNvPr id="176" name="Up Arrow Callout 17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B0000000}"/>
            </a:ext>
          </a:extLst>
        </xdr:cNvPr>
        <xdr:cNvSpPr/>
      </xdr:nvSpPr>
      <xdr:spPr>
        <a:xfrm>
          <a:off x="44674155" y="38673939"/>
          <a:ext cx="747712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63</xdr:col>
      <xdr:colOff>185992</xdr:colOff>
      <xdr:row>142</xdr:row>
      <xdr:rowOff>5992</xdr:rowOff>
    </xdr:from>
    <xdr:to>
      <xdr:col>64</xdr:col>
      <xdr:colOff>326437</xdr:colOff>
      <xdr:row>142</xdr:row>
      <xdr:rowOff>258518</xdr:rowOff>
    </xdr:to>
    <xdr:sp macro="" textlink="">
      <xdr:nvSpPr>
        <xdr:cNvPr id="177" name="Up Arrow Callout 17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B1000000}"/>
            </a:ext>
          </a:extLst>
        </xdr:cNvPr>
        <xdr:cNvSpPr/>
      </xdr:nvSpPr>
      <xdr:spPr>
        <a:xfrm>
          <a:off x="45458317" y="38677492"/>
          <a:ext cx="75957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46</xdr:col>
      <xdr:colOff>0</xdr:colOff>
      <xdr:row>278</xdr:row>
      <xdr:rowOff>104101</xdr:rowOff>
    </xdr:from>
    <xdr:to>
      <xdr:col>47</xdr:col>
      <xdr:colOff>147603</xdr:colOff>
      <xdr:row>279</xdr:row>
      <xdr:rowOff>73488</xdr:rowOff>
    </xdr:to>
    <xdr:sp macro="" textlink="">
      <xdr:nvSpPr>
        <xdr:cNvPr id="178" name="Down Arrow Callout 17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B2000000}"/>
            </a:ext>
          </a:extLst>
        </xdr:cNvPr>
        <xdr:cNvSpPr/>
      </xdr:nvSpPr>
      <xdr:spPr>
        <a:xfrm>
          <a:off x="34451925" y="76227901"/>
          <a:ext cx="76672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47</xdr:col>
      <xdr:colOff>177021</xdr:colOff>
      <xdr:row>278</xdr:row>
      <xdr:rowOff>107395</xdr:rowOff>
    </xdr:from>
    <xdr:to>
      <xdr:col>48</xdr:col>
      <xdr:colOff>251183</xdr:colOff>
      <xdr:row>279</xdr:row>
      <xdr:rowOff>66301</xdr:rowOff>
    </xdr:to>
    <xdr:sp macro="" textlink="">
      <xdr:nvSpPr>
        <xdr:cNvPr id="179" name="Down Arrow Callout 17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B3000000}"/>
            </a:ext>
          </a:extLst>
        </xdr:cNvPr>
        <xdr:cNvSpPr/>
      </xdr:nvSpPr>
      <xdr:spPr>
        <a:xfrm>
          <a:off x="35248071" y="76231195"/>
          <a:ext cx="76948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46</xdr:col>
      <xdr:colOff>25877</xdr:colOff>
      <xdr:row>274</xdr:row>
      <xdr:rowOff>0</xdr:rowOff>
    </xdr:from>
    <xdr:to>
      <xdr:col>47</xdr:col>
      <xdr:colOff>147161</xdr:colOff>
      <xdr:row>274</xdr:row>
      <xdr:rowOff>254520</xdr:rowOff>
    </xdr:to>
    <xdr:sp macro="" textlink="">
      <xdr:nvSpPr>
        <xdr:cNvPr id="180" name="Up Arrow Callout 17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B4000000}"/>
            </a:ext>
          </a:extLst>
        </xdr:cNvPr>
        <xdr:cNvSpPr/>
      </xdr:nvSpPr>
      <xdr:spPr>
        <a:xfrm>
          <a:off x="34477802" y="75018900"/>
          <a:ext cx="740409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47</xdr:col>
      <xdr:colOff>182880</xdr:colOff>
      <xdr:row>274</xdr:row>
      <xdr:rowOff>3905</xdr:rowOff>
    </xdr:from>
    <xdr:to>
      <xdr:col>48</xdr:col>
      <xdr:colOff>227339</xdr:colOff>
      <xdr:row>274</xdr:row>
      <xdr:rowOff>255062</xdr:rowOff>
    </xdr:to>
    <xdr:sp macro="" textlink="">
      <xdr:nvSpPr>
        <xdr:cNvPr id="181" name="Up Arrow Callout 18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B5000000}"/>
            </a:ext>
          </a:extLst>
        </xdr:cNvPr>
        <xdr:cNvSpPr/>
      </xdr:nvSpPr>
      <xdr:spPr>
        <a:xfrm>
          <a:off x="35253930" y="75022805"/>
          <a:ext cx="739784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46</xdr:col>
      <xdr:colOff>16493</xdr:colOff>
      <xdr:row>277</xdr:row>
      <xdr:rowOff>108521</xdr:rowOff>
    </xdr:from>
    <xdr:to>
      <xdr:col>47</xdr:col>
      <xdr:colOff>149542</xdr:colOff>
      <xdr:row>278</xdr:row>
      <xdr:rowOff>63232</xdr:rowOff>
    </xdr:to>
    <xdr:sp macro="" textlink="">
      <xdr:nvSpPr>
        <xdr:cNvPr id="182" name="Down Arrow Callout 18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B6000000}"/>
            </a:ext>
          </a:extLst>
        </xdr:cNvPr>
        <xdr:cNvSpPr/>
      </xdr:nvSpPr>
      <xdr:spPr>
        <a:xfrm>
          <a:off x="34468418" y="75956096"/>
          <a:ext cx="752174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47</xdr:col>
      <xdr:colOff>180498</xdr:colOff>
      <xdr:row>277</xdr:row>
      <xdr:rowOff>107970</xdr:rowOff>
    </xdr:from>
    <xdr:to>
      <xdr:col>48</xdr:col>
      <xdr:colOff>249825</xdr:colOff>
      <xdr:row>278</xdr:row>
      <xdr:rowOff>66252</xdr:rowOff>
    </xdr:to>
    <xdr:sp macro="" textlink="">
      <xdr:nvSpPr>
        <xdr:cNvPr id="183" name="Down Arrow Callout 18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B7000000}"/>
            </a:ext>
          </a:extLst>
        </xdr:cNvPr>
        <xdr:cNvSpPr/>
      </xdr:nvSpPr>
      <xdr:spPr>
        <a:xfrm>
          <a:off x="35251548" y="75955545"/>
          <a:ext cx="76465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46</xdr:col>
      <xdr:colOff>22761</xdr:colOff>
      <xdr:row>275</xdr:row>
      <xdr:rowOff>8433</xdr:rowOff>
    </xdr:from>
    <xdr:to>
      <xdr:col>47</xdr:col>
      <xdr:colOff>151923</xdr:colOff>
      <xdr:row>275</xdr:row>
      <xdr:rowOff>255957</xdr:rowOff>
    </xdr:to>
    <xdr:sp macro="" textlink="">
      <xdr:nvSpPr>
        <xdr:cNvPr id="184" name="Up Arrow Callout 18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B8000000}"/>
            </a:ext>
          </a:extLst>
        </xdr:cNvPr>
        <xdr:cNvSpPr/>
      </xdr:nvSpPr>
      <xdr:spPr>
        <a:xfrm>
          <a:off x="34474686" y="75303558"/>
          <a:ext cx="748287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47</xdr:col>
      <xdr:colOff>188299</xdr:colOff>
      <xdr:row>275</xdr:row>
      <xdr:rowOff>6053</xdr:rowOff>
    </xdr:from>
    <xdr:to>
      <xdr:col>48</xdr:col>
      <xdr:colOff>253046</xdr:colOff>
      <xdr:row>275</xdr:row>
      <xdr:rowOff>257211</xdr:rowOff>
    </xdr:to>
    <xdr:sp macro="" textlink="">
      <xdr:nvSpPr>
        <xdr:cNvPr id="185" name="Up Arrow Callout 18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B9000000}"/>
            </a:ext>
          </a:extLst>
        </xdr:cNvPr>
        <xdr:cNvSpPr/>
      </xdr:nvSpPr>
      <xdr:spPr>
        <a:xfrm>
          <a:off x="35259349" y="75301178"/>
          <a:ext cx="76007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46</xdr:col>
      <xdr:colOff>20955</xdr:colOff>
      <xdr:row>276</xdr:row>
      <xdr:rowOff>2439</xdr:rowOff>
    </xdr:from>
    <xdr:to>
      <xdr:col>47</xdr:col>
      <xdr:colOff>149542</xdr:colOff>
      <xdr:row>276</xdr:row>
      <xdr:rowOff>251157</xdr:rowOff>
    </xdr:to>
    <xdr:sp macro="" textlink="">
      <xdr:nvSpPr>
        <xdr:cNvPr id="186" name="Up Arrow Callout 18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BA000000}"/>
            </a:ext>
          </a:extLst>
        </xdr:cNvPr>
        <xdr:cNvSpPr/>
      </xdr:nvSpPr>
      <xdr:spPr>
        <a:xfrm>
          <a:off x="34472880" y="75573789"/>
          <a:ext cx="747712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47</xdr:col>
      <xdr:colOff>185992</xdr:colOff>
      <xdr:row>276</xdr:row>
      <xdr:rowOff>5992</xdr:rowOff>
    </xdr:from>
    <xdr:to>
      <xdr:col>48</xdr:col>
      <xdr:colOff>250237</xdr:colOff>
      <xdr:row>276</xdr:row>
      <xdr:rowOff>258518</xdr:rowOff>
    </xdr:to>
    <xdr:sp macro="" textlink="">
      <xdr:nvSpPr>
        <xdr:cNvPr id="187" name="Up Arrow Callout 18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BB000000}"/>
            </a:ext>
          </a:extLst>
        </xdr:cNvPr>
        <xdr:cNvSpPr/>
      </xdr:nvSpPr>
      <xdr:spPr>
        <a:xfrm>
          <a:off x="35257042" y="75577342"/>
          <a:ext cx="75957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102</xdr:col>
      <xdr:colOff>0</xdr:colOff>
      <xdr:row>276</xdr:row>
      <xdr:rowOff>104101</xdr:rowOff>
    </xdr:from>
    <xdr:to>
      <xdr:col>103</xdr:col>
      <xdr:colOff>147603</xdr:colOff>
      <xdr:row>277</xdr:row>
      <xdr:rowOff>73488</xdr:rowOff>
    </xdr:to>
    <xdr:sp macro="" textlink="">
      <xdr:nvSpPr>
        <xdr:cNvPr id="188" name="Down Arrow Callout 18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BC000000}"/>
            </a:ext>
          </a:extLst>
        </xdr:cNvPr>
        <xdr:cNvSpPr/>
      </xdr:nvSpPr>
      <xdr:spPr>
        <a:xfrm>
          <a:off x="69780150" y="75675451"/>
          <a:ext cx="76672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103</xdr:col>
      <xdr:colOff>177021</xdr:colOff>
      <xdr:row>276</xdr:row>
      <xdr:rowOff>107395</xdr:rowOff>
    </xdr:from>
    <xdr:to>
      <xdr:col>104</xdr:col>
      <xdr:colOff>289283</xdr:colOff>
      <xdr:row>277</xdr:row>
      <xdr:rowOff>66301</xdr:rowOff>
    </xdr:to>
    <xdr:sp macro="" textlink="">
      <xdr:nvSpPr>
        <xdr:cNvPr id="189" name="Down Arrow Callout 18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BD000000}"/>
            </a:ext>
          </a:extLst>
        </xdr:cNvPr>
        <xdr:cNvSpPr/>
      </xdr:nvSpPr>
      <xdr:spPr>
        <a:xfrm>
          <a:off x="70576296" y="75678745"/>
          <a:ext cx="76948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102</xdr:col>
      <xdr:colOff>25877</xdr:colOff>
      <xdr:row>272</xdr:row>
      <xdr:rowOff>0</xdr:rowOff>
    </xdr:from>
    <xdr:to>
      <xdr:col>103</xdr:col>
      <xdr:colOff>147161</xdr:colOff>
      <xdr:row>272</xdr:row>
      <xdr:rowOff>254520</xdr:rowOff>
    </xdr:to>
    <xdr:sp macro="" textlink="">
      <xdr:nvSpPr>
        <xdr:cNvPr id="190" name="Up Arrow Callout 18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BE000000}"/>
            </a:ext>
          </a:extLst>
        </xdr:cNvPr>
        <xdr:cNvSpPr/>
      </xdr:nvSpPr>
      <xdr:spPr>
        <a:xfrm>
          <a:off x="69806027" y="74466450"/>
          <a:ext cx="740409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103</xdr:col>
      <xdr:colOff>182880</xdr:colOff>
      <xdr:row>272</xdr:row>
      <xdr:rowOff>3905</xdr:rowOff>
    </xdr:from>
    <xdr:to>
      <xdr:col>104</xdr:col>
      <xdr:colOff>265439</xdr:colOff>
      <xdr:row>272</xdr:row>
      <xdr:rowOff>255062</xdr:rowOff>
    </xdr:to>
    <xdr:sp macro="" textlink="">
      <xdr:nvSpPr>
        <xdr:cNvPr id="191" name="Up Arrow Callout 19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BF000000}"/>
            </a:ext>
          </a:extLst>
        </xdr:cNvPr>
        <xdr:cNvSpPr/>
      </xdr:nvSpPr>
      <xdr:spPr>
        <a:xfrm>
          <a:off x="70582155" y="74470355"/>
          <a:ext cx="739784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102</xdr:col>
      <xdr:colOff>16493</xdr:colOff>
      <xdr:row>275</xdr:row>
      <xdr:rowOff>108521</xdr:rowOff>
    </xdr:from>
    <xdr:to>
      <xdr:col>103</xdr:col>
      <xdr:colOff>149542</xdr:colOff>
      <xdr:row>276</xdr:row>
      <xdr:rowOff>63232</xdr:rowOff>
    </xdr:to>
    <xdr:sp macro="" textlink="">
      <xdr:nvSpPr>
        <xdr:cNvPr id="192" name="Down Arrow Callout 19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C0000000}"/>
            </a:ext>
          </a:extLst>
        </xdr:cNvPr>
        <xdr:cNvSpPr/>
      </xdr:nvSpPr>
      <xdr:spPr>
        <a:xfrm>
          <a:off x="69796643" y="75403646"/>
          <a:ext cx="752174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103</xdr:col>
      <xdr:colOff>180498</xdr:colOff>
      <xdr:row>275</xdr:row>
      <xdr:rowOff>107970</xdr:rowOff>
    </xdr:from>
    <xdr:to>
      <xdr:col>104</xdr:col>
      <xdr:colOff>287925</xdr:colOff>
      <xdr:row>276</xdr:row>
      <xdr:rowOff>66252</xdr:rowOff>
    </xdr:to>
    <xdr:sp macro="" textlink="">
      <xdr:nvSpPr>
        <xdr:cNvPr id="193" name="Down Arrow Callout 19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C1000000}"/>
            </a:ext>
          </a:extLst>
        </xdr:cNvPr>
        <xdr:cNvSpPr/>
      </xdr:nvSpPr>
      <xdr:spPr>
        <a:xfrm>
          <a:off x="70579773" y="75403095"/>
          <a:ext cx="76465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102</xdr:col>
      <xdr:colOff>22761</xdr:colOff>
      <xdr:row>273</xdr:row>
      <xdr:rowOff>8433</xdr:rowOff>
    </xdr:from>
    <xdr:to>
      <xdr:col>103</xdr:col>
      <xdr:colOff>151923</xdr:colOff>
      <xdr:row>273</xdr:row>
      <xdr:rowOff>255957</xdr:rowOff>
    </xdr:to>
    <xdr:sp macro="" textlink="">
      <xdr:nvSpPr>
        <xdr:cNvPr id="194" name="Up Arrow Callout 19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C2000000}"/>
            </a:ext>
          </a:extLst>
        </xdr:cNvPr>
        <xdr:cNvSpPr/>
      </xdr:nvSpPr>
      <xdr:spPr>
        <a:xfrm>
          <a:off x="69802911" y="74751108"/>
          <a:ext cx="748287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103</xdr:col>
      <xdr:colOff>188299</xdr:colOff>
      <xdr:row>273</xdr:row>
      <xdr:rowOff>6053</xdr:rowOff>
    </xdr:from>
    <xdr:to>
      <xdr:col>104</xdr:col>
      <xdr:colOff>291146</xdr:colOff>
      <xdr:row>273</xdr:row>
      <xdr:rowOff>257211</xdr:rowOff>
    </xdr:to>
    <xdr:sp macro="" textlink="">
      <xdr:nvSpPr>
        <xdr:cNvPr id="195" name="Up Arrow Callout 19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C3000000}"/>
            </a:ext>
          </a:extLst>
        </xdr:cNvPr>
        <xdr:cNvSpPr/>
      </xdr:nvSpPr>
      <xdr:spPr>
        <a:xfrm>
          <a:off x="70587574" y="74748728"/>
          <a:ext cx="76007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102</xdr:col>
      <xdr:colOff>20955</xdr:colOff>
      <xdr:row>274</xdr:row>
      <xdr:rowOff>2439</xdr:rowOff>
    </xdr:from>
    <xdr:to>
      <xdr:col>103</xdr:col>
      <xdr:colOff>149542</xdr:colOff>
      <xdr:row>274</xdr:row>
      <xdr:rowOff>251157</xdr:rowOff>
    </xdr:to>
    <xdr:sp macro="" textlink="">
      <xdr:nvSpPr>
        <xdr:cNvPr id="196" name="Up Arrow Callout 19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C4000000}"/>
            </a:ext>
          </a:extLst>
        </xdr:cNvPr>
        <xdr:cNvSpPr/>
      </xdr:nvSpPr>
      <xdr:spPr>
        <a:xfrm>
          <a:off x="69801105" y="75021339"/>
          <a:ext cx="747712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103</xdr:col>
      <xdr:colOff>185992</xdr:colOff>
      <xdr:row>274</xdr:row>
      <xdr:rowOff>5992</xdr:rowOff>
    </xdr:from>
    <xdr:to>
      <xdr:col>104</xdr:col>
      <xdr:colOff>288337</xdr:colOff>
      <xdr:row>274</xdr:row>
      <xdr:rowOff>258518</xdr:rowOff>
    </xdr:to>
    <xdr:sp macro="" textlink="">
      <xdr:nvSpPr>
        <xdr:cNvPr id="197" name="Up Arrow Callout 19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C5000000}"/>
            </a:ext>
          </a:extLst>
        </xdr:cNvPr>
        <xdr:cNvSpPr/>
      </xdr:nvSpPr>
      <xdr:spPr>
        <a:xfrm>
          <a:off x="70585267" y="75024892"/>
          <a:ext cx="75957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43</xdr:col>
      <xdr:colOff>0</xdr:colOff>
      <xdr:row>534</xdr:row>
      <xdr:rowOff>104101</xdr:rowOff>
    </xdr:from>
    <xdr:to>
      <xdr:col>44</xdr:col>
      <xdr:colOff>109503</xdr:colOff>
      <xdr:row>535</xdr:row>
      <xdr:rowOff>73488</xdr:rowOff>
    </xdr:to>
    <xdr:sp macro="" textlink="">
      <xdr:nvSpPr>
        <xdr:cNvPr id="198" name="Down Arrow Callout 19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C6000000}"/>
            </a:ext>
          </a:extLst>
        </xdr:cNvPr>
        <xdr:cNvSpPr/>
      </xdr:nvSpPr>
      <xdr:spPr>
        <a:xfrm>
          <a:off x="32556450" y="135063826"/>
          <a:ext cx="76672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44</xdr:col>
      <xdr:colOff>138921</xdr:colOff>
      <xdr:row>534</xdr:row>
      <xdr:rowOff>107395</xdr:rowOff>
    </xdr:from>
    <xdr:to>
      <xdr:col>45</xdr:col>
      <xdr:colOff>289283</xdr:colOff>
      <xdr:row>535</xdr:row>
      <xdr:rowOff>66301</xdr:rowOff>
    </xdr:to>
    <xdr:sp macro="" textlink="">
      <xdr:nvSpPr>
        <xdr:cNvPr id="199" name="Down Arrow Callout 19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C7000000}"/>
            </a:ext>
          </a:extLst>
        </xdr:cNvPr>
        <xdr:cNvSpPr/>
      </xdr:nvSpPr>
      <xdr:spPr>
        <a:xfrm>
          <a:off x="33352596" y="135067120"/>
          <a:ext cx="76948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43</xdr:col>
      <xdr:colOff>25877</xdr:colOff>
      <xdr:row>530</xdr:row>
      <xdr:rowOff>0</xdr:rowOff>
    </xdr:from>
    <xdr:to>
      <xdr:col>44</xdr:col>
      <xdr:colOff>109061</xdr:colOff>
      <xdr:row>530</xdr:row>
      <xdr:rowOff>254520</xdr:rowOff>
    </xdr:to>
    <xdr:sp macro="" textlink="">
      <xdr:nvSpPr>
        <xdr:cNvPr id="200" name="Up Arrow Callout 19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C8000000}"/>
            </a:ext>
          </a:extLst>
        </xdr:cNvPr>
        <xdr:cNvSpPr/>
      </xdr:nvSpPr>
      <xdr:spPr>
        <a:xfrm>
          <a:off x="32582327" y="133854825"/>
          <a:ext cx="740409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44</xdr:col>
      <xdr:colOff>144780</xdr:colOff>
      <xdr:row>530</xdr:row>
      <xdr:rowOff>3905</xdr:rowOff>
    </xdr:from>
    <xdr:to>
      <xdr:col>45</xdr:col>
      <xdr:colOff>265439</xdr:colOff>
      <xdr:row>530</xdr:row>
      <xdr:rowOff>255062</xdr:rowOff>
    </xdr:to>
    <xdr:sp macro="" textlink="">
      <xdr:nvSpPr>
        <xdr:cNvPr id="201" name="Up Arrow Callout 20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C9000000}"/>
            </a:ext>
          </a:extLst>
        </xdr:cNvPr>
        <xdr:cNvSpPr/>
      </xdr:nvSpPr>
      <xdr:spPr>
        <a:xfrm>
          <a:off x="33358455" y="133858730"/>
          <a:ext cx="739784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43</xdr:col>
      <xdr:colOff>16493</xdr:colOff>
      <xdr:row>533</xdr:row>
      <xdr:rowOff>108521</xdr:rowOff>
    </xdr:from>
    <xdr:to>
      <xdr:col>44</xdr:col>
      <xdr:colOff>111442</xdr:colOff>
      <xdr:row>534</xdr:row>
      <xdr:rowOff>63232</xdr:rowOff>
    </xdr:to>
    <xdr:sp macro="" textlink="">
      <xdr:nvSpPr>
        <xdr:cNvPr id="202" name="Down Arrow Callout 20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CA000000}"/>
            </a:ext>
          </a:extLst>
        </xdr:cNvPr>
        <xdr:cNvSpPr/>
      </xdr:nvSpPr>
      <xdr:spPr>
        <a:xfrm>
          <a:off x="32572943" y="134792021"/>
          <a:ext cx="752174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44</xdr:col>
      <xdr:colOff>142398</xdr:colOff>
      <xdr:row>533</xdr:row>
      <xdr:rowOff>107970</xdr:rowOff>
    </xdr:from>
    <xdr:to>
      <xdr:col>45</xdr:col>
      <xdr:colOff>287925</xdr:colOff>
      <xdr:row>534</xdr:row>
      <xdr:rowOff>66252</xdr:rowOff>
    </xdr:to>
    <xdr:sp macro="" textlink="">
      <xdr:nvSpPr>
        <xdr:cNvPr id="203" name="Down Arrow Callout 20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CB000000}"/>
            </a:ext>
          </a:extLst>
        </xdr:cNvPr>
        <xdr:cNvSpPr/>
      </xdr:nvSpPr>
      <xdr:spPr>
        <a:xfrm>
          <a:off x="33356073" y="134791470"/>
          <a:ext cx="76465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43</xdr:col>
      <xdr:colOff>22761</xdr:colOff>
      <xdr:row>531</xdr:row>
      <xdr:rowOff>8433</xdr:rowOff>
    </xdr:from>
    <xdr:to>
      <xdr:col>44</xdr:col>
      <xdr:colOff>113823</xdr:colOff>
      <xdr:row>531</xdr:row>
      <xdr:rowOff>255957</xdr:rowOff>
    </xdr:to>
    <xdr:sp macro="" textlink="">
      <xdr:nvSpPr>
        <xdr:cNvPr id="204" name="Up Arrow Callout 20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CC000000}"/>
            </a:ext>
          </a:extLst>
        </xdr:cNvPr>
        <xdr:cNvSpPr/>
      </xdr:nvSpPr>
      <xdr:spPr>
        <a:xfrm>
          <a:off x="32579211" y="134139483"/>
          <a:ext cx="748287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44</xdr:col>
      <xdr:colOff>150199</xdr:colOff>
      <xdr:row>531</xdr:row>
      <xdr:rowOff>6053</xdr:rowOff>
    </xdr:from>
    <xdr:to>
      <xdr:col>45</xdr:col>
      <xdr:colOff>291146</xdr:colOff>
      <xdr:row>531</xdr:row>
      <xdr:rowOff>257211</xdr:rowOff>
    </xdr:to>
    <xdr:sp macro="" textlink="">
      <xdr:nvSpPr>
        <xdr:cNvPr id="205" name="Up Arrow Callout 20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CD000000}"/>
            </a:ext>
          </a:extLst>
        </xdr:cNvPr>
        <xdr:cNvSpPr/>
      </xdr:nvSpPr>
      <xdr:spPr>
        <a:xfrm>
          <a:off x="33363874" y="134137103"/>
          <a:ext cx="76007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43</xdr:col>
      <xdr:colOff>20955</xdr:colOff>
      <xdr:row>532</xdr:row>
      <xdr:rowOff>2439</xdr:rowOff>
    </xdr:from>
    <xdr:to>
      <xdr:col>44</xdr:col>
      <xdr:colOff>111442</xdr:colOff>
      <xdr:row>532</xdr:row>
      <xdr:rowOff>251157</xdr:rowOff>
    </xdr:to>
    <xdr:sp macro="" textlink="">
      <xdr:nvSpPr>
        <xdr:cNvPr id="206" name="Up Arrow Callout 20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CE000000}"/>
            </a:ext>
          </a:extLst>
        </xdr:cNvPr>
        <xdr:cNvSpPr/>
      </xdr:nvSpPr>
      <xdr:spPr>
        <a:xfrm>
          <a:off x="32577405" y="134409714"/>
          <a:ext cx="747712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44</xdr:col>
      <xdr:colOff>147892</xdr:colOff>
      <xdr:row>532</xdr:row>
      <xdr:rowOff>5992</xdr:rowOff>
    </xdr:from>
    <xdr:to>
      <xdr:col>45</xdr:col>
      <xdr:colOff>288337</xdr:colOff>
      <xdr:row>532</xdr:row>
      <xdr:rowOff>258518</xdr:rowOff>
    </xdr:to>
    <xdr:sp macro="" textlink="">
      <xdr:nvSpPr>
        <xdr:cNvPr id="207" name="Up Arrow Callout 20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CF000000}"/>
            </a:ext>
          </a:extLst>
        </xdr:cNvPr>
        <xdr:cNvSpPr/>
      </xdr:nvSpPr>
      <xdr:spPr>
        <a:xfrm>
          <a:off x="33361567" y="134413267"/>
          <a:ext cx="75957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102</xdr:col>
      <xdr:colOff>0</xdr:colOff>
      <xdr:row>534</xdr:row>
      <xdr:rowOff>104101</xdr:rowOff>
    </xdr:from>
    <xdr:to>
      <xdr:col>103</xdr:col>
      <xdr:colOff>147603</xdr:colOff>
      <xdr:row>535</xdr:row>
      <xdr:rowOff>73488</xdr:rowOff>
    </xdr:to>
    <xdr:sp macro="" textlink="">
      <xdr:nvSpPr>
        <xdr:cNvPr id="208" name="Down Arrow Callout 20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D0000000}"/>
            </a:ext>
          </a:extLst>
        </xdr:cNvPr>
        <xdr:cNvSpPr/>
      </xdr:nvSpPr>
      <xdr:spPr>
        <a:xfrm>
          <a:off x="69780150" y="135063826"/>
          <a:ext cx="76672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103</xdr:col>
      <xdr:colOff>177021</xdr:colOff>
      <xdr:row>534</xdr:row>
      <xdr:rowOff>107395</xdr:rowOff>
    </xdr:from>
    <xdr:to>
      <xdr:col>104</xdr:col>
      <xdr:colOff>289283</xdr:colOff>
      <xdr:row>535</xdr:row>
      <xdr:rowOff>66301</xdr:rowOff>
    </xdr:to>
    <xdr:sp macro="" textlink="">
      <xdr:nvSpPr>
        <xdr:cNvPr id="209" name="Down Arrow Callout 20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D1000000}"/>
            </a:ext>
          </a:extLst>
        </xdr:cNvPr>
        <xdr:cNvSpPr/>
      </xdr:nvSpPr>
      <xdr:spPr>
        <a:xfrm>
          <a:off x="70576296" y="135067120"/>
          <a:ext cx="76948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102</xdr:col>
      <xdr:colOff>25877</xdr:colOff>
      <xdr:row>530</xdr:row>
      <xdr:rowOff>0</xdr:rowOff>
    </xdr:from>
    <xdr:to>
      <xdr:col>103</xdr:col>
      <xdr:colOff>147161</xdr:colOff>
      <xdr:row>530</xdr:row>
      <xdr:rowOff>254520</xdr:rowOff>
    </xdr:to>
    <xdr:sp macro="" textlink="">
      <xdr:nvSpPr>
        <xdr:cNvPr id="210" name="Up Arrow Callout 20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D2000000}"/>
            </a:ext>
          </a:extLst>
        </xdr:cNvPr>
        <xdr:cNvSpPr/>
      </xdr:nvSpPr>
      <xdr:spPr>
        <a:xfrm>
          <a:off x="69806027" y="133854825"/>
          <a:ext cx="740409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103</xdr:col>
      <xdr:colOff>182880</xdr:colOff>
      <xdr:row>530</xdr:row>
      <xdr:rowOff>3905</xdr:rowOff>
    </xdr:from>
    <xdr:to>
      <xdr:col>104</xdr:col>
      <xdr:colOff>265439</xdr:colOff>
      <xdr:row>530</xdr:row>
      <xdr:rowOff>255062</xdr:rowOff>
    </xdr:to>
    <xdr:sp macro="" textlink="">
      <xdr:nvSpPr>
        <xdr:cNvPr id="211" name="Up Arrow Callout 2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D3000000}"/>
            </a:ext>
          </a:extLst>
        </xdr:cNvPr>
        <xdr:cNvSpPr/>
      </xdr:nvSpPr>
      <xdr:spPr>
        <a:xfrm>
          <a:off x="70582155" y="133858730"/>
          <a:ext cx="739784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102</xdr:col>
      <xdr:colOff>16493</xdr:colOff>
      <xdr:row>533</xdr:row>
      <xdr:rowOff>108521</xdr:rowOff>
    </xdr:from>
    <xdr:to>
      <xdr:col>103</xdr:col>
      <xdr:colOff>149542</xdr:colOff>
      <xdr:row>534</xdr:row>
      <xdr:rowOff>63232</xdr:rowOff>
    </xdr:to>
    <xdr:sp macro="" textlink="">
      <xdr:nvSpPr>
        <xdr:cNvPr id="212" name="Down Arrow Callout 2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D4000000}"/>
            </a:ext>
          </a:extLst>
        </xdr:cNvPr>
        <xdr:cNvSpPr/>
      </xdr:nvSpPr>
      <xdr:spPr>
        <a:xfrm>
          <a:off x="69796643" y="134792021"/>
          <a:ext cx="752174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103</xdr:col>
      <xdr:colOff>180498</xdr:colOff>
      <xdr:row>533</xdr:row>
      <xdr:rowOff>107970</xdr:rowOff>
    </xdr:from>
    <xdr:to>
      <xdr:col>104</xdr:col>
      <xdr:colOff>287925</xdr:colOff>
      <xdr:row>534</xdr:row>
      <xdr:rowOff>66252</xdr:rowOff>
    </xdr:to>
    <xdr:sp macro="" textlink="">
      <xdr:nvSpPr>
        <xdr:cNvPr id="213" name="Down Arrow Callout 21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D5000000}"/>
            </a:ext>
          </a:extLst>
        </xdr:cNvPr>
        <xdr:cNvSpPr/>
      </xdr:nvSpPr>
      <xdr:spPr>
        <a:xfrm>
          <a:off x="70579773" y="134791470"/>
          <a:ext cx="76465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102</xdr:col>
      <xdr:colOff>22761</xdr:colOff>
      <xdr:row>531</xdr:row>
      <xdr:rowOff>8433</xdr:rowOff>
    </xdr:from>
    <xdr:to>
      <xdr:col>103</xdr:col>
      <xdr:colOff>151923</xdr:colOff>
      <xdr:row>531</xdr:row>
      <xdr:rowOff>255957</xdr:rowOff>
    </xdr:to>
    <xdr:sp macro="" textlink="">
      <xdr:nvSpPr>
        <xdr:cNvPr id="214" name="Up Arrow Callout 21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D6000000}"/>
            </a:ext>
          </a:extLst>
        </xdr:cNvPr>
        <xdr:cNvSpPr/>
      </xdr:nvSpPr>
      <xdr:spPr>
        <a:xfrm>
          <a:off x="69802911" y="134139483"/>
          <a:ext cx="748287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103</xdr:col>
      <xdr:colOff>188299</xdr:colOff>
      <xdr:row>531</xdr:row>
      <xdr:rowOff>6053</xdr:rowOff>
    </xdr:from>
    <xdr:to>
      <xdr:col>104</xdr:col>
      <xdr:colOff>291146</xdr:colOff>
      <xdr:row>531</xdr:row>
      <xdr:rowOff>257211</xdr:rowOff>
    </xdr:to>
    <xdr:sp macro="" textlink="">
      <xdr:nvSpPr>
        <xdr:cNvPr id="215" name="Up Arrow Callout 21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D7000000}"/>
            </a:ext>
          </a:extLst>
        </xdr:cNvPr>
        <xdr:cNvSpPr/>
      </xdr:nvSpPr>
      <xdr:spPr>
        <a:xfrm>
          <a:off x="70587574" y="134137103"/>
          <a:ext cx="76007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102</xdr:col>
      <xdr:colOff>20955</xdr:colOff>
      <xdr:row>532</xdr:row>
      <xdr:rowOff>2439</xdr:rowOff>
    </xdr:from>
    <xdr:to>
      <xdr:col>103</xdr:col>
      <xdr:colOff>149542</xdr:colOff>
      <xdr:row>532</xdr:row>
      <xdr:rowOff>251157</xdr:rowOff>
    </xdr:to>
    <xdr:sp macro="" textlink="">
      <xdr:nvSpPr>
        <xdr:cNvPr id="216" name="Up Arrow Callout 21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D8000000}"/>
            </a:ext>
          </a:extLst>
        </xdr:cNvPr>
        <xdr:cNvSpPr/>
      </xdr:nvSpPr>
      <xdr:spPr>
        <a:xfrm>
          <a:off x="69801105" y="134409714"/>
          <a:ext cx="747712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103</xdr:col>
      <xdr:colOff>185992</xdr:colOff>
      <xdr:row>532</xdr:row>
      <xdr:rowOff>5992</xdr:rowOff>
    </xdr:from>
    <xdr:to>
      <xdr:col>104</xdr:col>
      <xdr:colOff>288337</xdr:colOff>
      <xdr:row>532</xdr:row>
      <xdr:rowOff>258518</xdr:rowOff>
    </xdr:to>
    <xdr:sp macro="" textlink="">
      <xdr:nvSpPr>
        <xdr:cNvPr id="217" name="Up Arrow Callout 21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D9000000}"/>
            </a:ext>
          </a:extLst>
        </xdr:cNvPr>
        <xdr:cNvSpPr/>
      </xdr:nvSpPr>
      <xdr:spPr>
        <a:xfrm>
          <a:off x="70585267" y="134413267"/>
          <a:ext cx="75957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35</xdr:col>
      <xdr:colOff>0</xdr:colOff>
      <xdr:row>125</xdr:row>
      <xdr:rowOff>104101</xdr:rowOff>
    </xdr:from>
    <xdr:to>
      <xdr:col>36</xdr:col>
      <xdr:colOff>147603</xdr:colOff>
      <xdr:row>126</xdr:row>
      <xdr:rowOff>73488</xdr:rowOff>
    </xdr:to>
    <xdr:sp macro="" textlink="">
      <xdr:nvSpPr>
        <xdr:cNvPr id="268" name="Down Arrow Callout 26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0C010000}"/>
            </a:ext>
          </a:extLst>
        </xdr:cNvPr>
        <xdr:cNvSpPr/>
      </xdr:nvSpPr>
      <xdr:spPr>
        <a:xfrm>
          <a:off x="27603450" y="34632226"/>
          <a:ext cx="76672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177021</xdr:colOff>
      <xdr:row>125</xdr:row>
      <xdr:rowOff>107395</xdr:rowOff>
    </xdr:from>
    <xdr:to>
      <xdr:col>37</xdr:col>
      <xdr:colOff>327383</xdr:colOff>
      <xdr:row>126</xdr:row>
      <xdr:rowOff>66301</xdr:rowOff>
    </xdr:to>
    <xdr:sp macro="" textlink="">
      <xdr:nvSpPr>
        <xdr:cNvPr id="269" name="Down Arrow Callout 26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0D010000}"/>
            </a:ext>
          </a:extLst>
        </xdr:cNvPr>
        <xdr:cNvSpPr/>
      </xdr:nvSpPr>
      <xdr:spPr>
        <a:xfrm>
          <a:off x="28399596" y="34635520"/>
          <a:ext cx="76948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25877</xdr:colOff>
      <xdr:row>121</xdr:row>
      <xdr:rowOff>0</xdr:rowOff>
    </xdr:from>
    <xdr:to>
      <xdr:col>36</xdr:col>
      <xdr:colOff>147161</xdr:colOff>
      <xdr:row>121</xdr:row>
      <xdr:rowOff>254520</xdr:rowOff>
    </xdr:to>
    <xdr:sp macro="" textlink="">
      <xdr:nvSpPr>
        <xdr:cNvPr id="270" name="Up Arrow Callout 26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0E010000}"/>
            </a:ext>
          </a:extLst>
        </xdr:cNvPr>
        <xdr:cNvSpPr/>
      </xdr:nvSpPr>
      <xdr:spPr>
        <a:xfrm>
          <a:off x="27629327" y="33423225"/>
          <a:ext cx="740409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36</xdr:col>
      <xdr:colOff>182880</xdr:colOff>
      <xdr:row>121</xdr:row>
      <xdr:rowOff>3905</xdr:rowOff>
    </xdr:from>
    <xdr:to>
      <xdr:col>37</xdr:col>
      <xdr:colOff>303539</xdr:colOff>
      <xdr:row>121</xdr:row>
      <xdr:rowOff>255062</xdr:rowOff>
    </xdr:to>
    <xdr:sp macro="" textlink="">
      <xdr:nvSpPr>
        <xdr:cNvPr id="271" name="Up Arrow Callout 27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0F010000}"/>
            </a:ext>
          </a:extLst>
        </xdr:cNvPr>
        <xdr:cNvSpPr/>
      </xdr:nvSpPr>
      <xdr:spPr>
        <a:xfrm>
          <a:off x="28405455" y="33427130"/>
          <a:ext cx="739784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35</xdr:col>
      <xdr:colOff>16493</xdr:colOff>
      <xdr:row>124</xdr:row>
      <xdr:rowOff>108521</xdr:rowOff>
    </xdr:from>
    <xdr:to>
      <xdr:col>36</xdr:col>
      <xdr:colOff>149542</xdr:colOff>
      <xdr:row>125</xdr:row>
      <xdr:rowOff>63232</xdr:rowOff>
    </xdr:to>
    <xdr:sp macro="" textlink="">
      <xdr:nvSpPr>
        <xdr:cNvPr id="272" name="Down Arrow Callout 27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10010000}"/>
            </a:ext>
          </a:extLst>
        </xdr:cNvPr>
        <xdr:cNvSpPr/>
      </xdr:nvSpPr>
      <xdr:spPr>
        <a:xfrm>
          <a:off x="27619943" y="34360421"/>
          <a:ext cx="752174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180498</xdr:colOff>
      <xdr:row>124</xdr:row>
      <xdr:rowOff>107970</xdr:rowOff>
    </xdr:from>
    <xdr:to>
      <xdr:col>37</xdr:col>
      <xdr:colOff>326025</xdr:colOff>
      <xdr:row>125</xdr:row>
      <xdr:rowOff>66252</xdr:rowOff>
    </xdr:to>
    <xdr:sp macro="" textlink="">
      <xdr:nvSpPr>
        <xdr:cNvPr id="273" name="Down Arrow Callout 27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11010000}"/>
            </a:ext>
          </a:extLst>
        </xdr:cNvPr>
        <xdr:cNvSpPr/>
      </xdr:nvSpPr>
      <xdr:spPr>
        <a:xfrm>
          <a:off x="28403073" y="34359870"/>
          <a:ext cx="76465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22761</xdr:colOff>
      <xdr:row>122</xdr:row>
      <xdr:rowOff>8433</xdr:rowOff>
    </xdr:from>
    <xdr:to>
      <xdr:col>36</xdr:col>
      <xdr:colOff>151923</xdr:colOff>
      <xdr:row>122</xdr:row>
      <xdr:rowOff>255957</xdr:rowOff>
    </xdr:to>
    <xdr:sp macro="" textlink="">
      <xdr:nvSpPr>
        <xdr:cNvPr id="274" name="Up Arrow Callout 27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12010000}"/>
            </a:ext>
          </a:extLst>
        </xdr:cNvPr>
        <xdr:cNvSpPr/>
      </xdr:nvSpPr>
      <xdr:spPr>
        <a:xfrm>
          <a:off x="27626211" y="33707883"/>
          <a:ext cx="748287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188299</xdr:colOff>
      <xdr:row>122</xdr:row>
      <xdr:rowOff>6053</xdr:rowOff>
    </xdr:from>
    <xdr:to>
      <xdr:col>37</xdr:col>
      <xdr:colOff>329246</xdr:colOff>
      <xdr:row>122</xdr:row>
      <xdr:rowOff>257211</xdr:rowOff>
    </xdr:to>
    <xdr:sp macro="" textlink="">
      <xdr:nvSpPr>
        <xdr:cNvPr id="275" name="Up Arrow Callout 27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13010000}"/>
            </a:ext>
          </a:extLst>
        </xdr:cNvPr>
        <xdr:cNvSpPr/>
      </xdr:nvSpPr>
      <xdr:spPr>
        <a:xfrm>
          <a:off x="28410874" y="33705503"/>
          <a:ext cx="76007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35</xdr:col>
      <xdr:colOff>20955</xdr:colOff>
      <xdr:row>123</xdr:row>
      <xdr:rowOff>2439</xdr:rowOff>
    </xdr:from>
    <xdr:to>
      <xdr:col>36</xdr:col>
      <xdr:colOff>149542</xdr:colOff>
      <xdr:row>123</xdr:row>
      <xdr:rowOff>251157</xdr:rowOff>
    </xdr:to>
    <xdr:sp macro="" textlink="">
      <xdr:nvSpPr>
        <xdr:cNvPr id="276" name="Up Arrow Callout 27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14010000}"/>
            </a:ext>
          </a:extLst>
        </xdr:cNvPr>
        <xdr:cNvSpPr/>
      </xdr:nvSpPr>
      <xdr:spPr>
        <a:xfrm>
          <a:off x="27624405" y="33978114"/>
          <a:ext cx="747712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185992</xdr:colOff>
      <xdr:row>123</xdr:row>
      <xdr:rowOff>5992</xdr:rowOff>
    </xdr:from>
    <xdr:to>
      <xdr:col>37</xdr:col>
      <xdr:colOff>326437</xdr:colOff>
      <xdr:row>123</xdr:row>
      <xdr:rowOff>258518</xdr:rowOff>
    </xdr:to>
    <xdr:sp macro="" textlink="">
      <xdr:nvSpPr>
        <xdr:cNvPr id="277" name="Up Arrow Callout 27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15010000}"/>
            </a:ext>
          </a:extLst>
        </xdr:cNvPr>
        <xdr:cNvSpPr/>
      </xdr:nvSpPr>
      <xdr:spPr>
        <a:xfrm>
          <a:off x="28408567" y="33981667"/>
          <a:ext cx="75957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57</xdr:col>
      <xdr:colOff>0</xdr:colOff>
      <xdr:row>124</xdr:row>
      <xdr:rowOff>104101</xdr:rowOff>
    </xdr:from>
    <xdr:to>
      <xdr:col>58</xdr:col>
      <xdr:colOff>147603</xdr:colOff>
      <xdr:row>125</xdr:row>
      <xdr:rowOff>73488</xdr:rowOff>
    </xdr:to>
    <xdr:sp macro="" textlink="">
      <xdr:nvSpPr>
        <xdr:cNvPr id="278" name="Down Arrow Callout 27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16010000}"/>
            </a:ext>
          </a:extLst>
        </xdr:cNvPr>
        <xdr:cNvSpPr/>
      </xdr:nvSpPr>
      <xdr:spPr>
        <a:xfrm>
          <a:off x="41519475" y="34356001"/>
          <a:ext cx="76672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58</xdr:col>
      <xdr:colOff>177021</xdr:colOff>
      <xdr:row>124</xdr:row>
      <xdr:rowOff>107395</xdr:rowOff>
    </xdr:from>
    <xdr:to>
      <xdr:col>59</xdr:col>
      <xdr:colOff>327383</xdr:colOff>
      <xdr:row>125</xdr:row>
      <xdr:rowOff>66301</xdr:rowOff>
    </xdr:to>
    <xdr:sp macro="" textlink="">
      <xdr:nvSpPr>
        <xdr:cNvPr id="279" name="Down Arrow Callout 27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17010000}"/>
            </a:ext>
          </a:extLst>
        </xdr:cNvPr>
        <xdr:cNvSpPr/>
      </xdr:nvSpPr>
      <xdr:spPr>
        <a:xfrm>
          <a:off x="42315621" y="34359295"/>
          <a:ext cx="76948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57</xdr:col>
      <xdr:colOff>25877</xdr:colOff>
      <xdr:row>120</xdr:row>
      <xdr:rowOff>0</xdr:rowOff>
    </xdr:from>
    <xdr:to>
      <xdr:col>58</xdr:col>
      <xdr:colOff>147161</xdr:colOff>
      <xdr:row>120</xdr:row>
      <xdr:rowOff>254520</xdr:rowOff>
    </xdr:to>
    <xdr:sp macro="" textlink="">
      <xdr:nvSpPr>
        <xdr:cNvPr id="280" name="Up Arrow Callout 27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18010000}"/>
            </a:ext>
          </a:extLst>
        </xdr:cNvPr>
        <xdr:cNvSpPr/>
      </xdr:nvSpPr>
      <xdr:spPr>
        <a:xfrm>
          <a:off x="41545352" y="33147000"/>
          <a:ext cx="740409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58</xdr:col>
      <xdr:colOff>182880</xdr:colOff>
      <xdr:row>120</xdr:row>
      <xdr:rowOff>3905</xdr:rowOff>
    </xdr:from>
    <xdr:to>
      <xdr:col>59</xdr:col>
      <xdr:colOff>303539</xdr:colOff>
      <xdr:row>120</xdr:row>
      <xdr:rowOff>255062</xdr:rowOff>
    </xdr:to>
    <xdr:sp macro="" textlink="">
      <xdr:nvSpPr>
        <xdr:cNvPr id="281" name="Up Arrow Callout 28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19010000}"/>
            </a:ext>
          </a:extLst>
        </xdr:cNvPr>
        <xdr:cNvSpPr/>
      </xdr:nvSpPr>
      <xdr:spPr>
        <a:xfrm>
          <a:off x="42321480" y="33150905"/>
          <a:ext cx="739784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57</xdr:col>
      <xdr:colOff>16493</xdr:colOff>
      <xdr:row>123</xdr:row>
      <xdr:rowOff>108521</xdr:rowOff>
    </xdr:from>
    <xdr:to>
      <xdr:col>58</xdr:col>
      <xdr:colOff>149542</xdr:colOff>
      <xdr:row>124</xdr:row>
      <xdr:rowOff>63232</xdr:rowOff>
    </xdr:to>
    <xdr:sp macro="" textlink="">
      <xdr:nvSpPr>
        <xdr:cNvPr id="282" name="Down Arrow Callout 28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1A010000}"/>
            </a:ext>
          </a:extLst>
        </xdr:cNvPr>
        <xdr:cNvSpPr/>
      </xdr:nvSpPr>
      <xdr:spPr>
        <a:xfrm>
          <a:off x="41535968" y="34084196"/>
          <a:ext cx="752174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58</xdr:col>
      <xdr:colOff>180498</xdr:colOff>
      <xdr:row>123</xdr:row>
      <xdr:rowOff>107970</xdr:rowOff>
    </xdr:from>
    <xdr:to>
      <xdr:col>59</xdr:col>
      <xdr:colOff>326025</xdr:colOff>
      <xdr:row>124</xdr:row>
      <xdr:rowOff>66252</xdr:rowOff>
    </xdr:to>
    <xdr:sp macro="" textlink="">
      <xdr:nvSpPr>
        <xdr:cNvPr id="283" name="Down Arrow Callout 28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1B010000}"/>
            </a:ext>
          </a:extLst>
        </xdr:cNvPr>
        <xdr:cNvSpPr/>
      </xdr:nvSpPr>
      <xdr:spPr>
        <a:xfrm>
          <a:off x="42319098" y="34083645"/>
          <a:ext cx="76465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57</xdr:col>
      <xdr:colOff>22761</xdr:colOff>
      <xdr:row>121</xdr:row>
      <xdr:rowOff>8433</xdr:rowOff>
    </xdr:from>
    <xdr:to>
      <xdr:col>58</xdr:col>
      <xdr:colOff>151923</xdr:colOff>
      <xdr:row>121</xdr:row>
      <xdr:rowOff>255957</xdr:rowOff>
    </xdr:to>
    <xdr:sp macro="" textlink="">
      <xdr:nvSpPr>
        <xdr:cNvPr id="284" name="Up Arrow Callout 28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1C010000}"/>
            </a:ext>
          </a:extLst>
        </xdr:cNvPr>
        <xdr:cNvSpPr/>
      </xdr:nvSpPr>
      <xdr:spPr>
        <a:xfrm>
          <a:off x="41542236" y="33431658"/>
          <a:ext cx="748287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58</xdr:col>
      <xdr:colOff>188299</xdr:colOff>
      <xdr:row>121</xdr:row>
      <xdr:rowOff>6053</xdr:rowOff>
    </xdr:from>
    <xdr:to>
      <xdr:col>59</xdr:col>
      <xdr:colOff>329246</xdr:colOff>
      <xdr:row>121</xdr:row>
      <xdr:rowOff>257211</xdr:rowOff>
    </xdr:to>
    <xdr:sp macro="" textlink="">
      <xdr:nvSpPr>
        <xdr:cNvPr id="285" name="Up Arrow Callout 28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1D010000}"/>
            </a:ext>
          </a:extLst>
        </xdr:cNvPr>
        <xdr:cNvSpPr/>
      </xdr:nvSpPr>
      <xdr:spPr>
        <a:xfrm>
          <a:off x="42326899" y="33429278"/>
          <a:ext cx="76007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57</xdr:col>
      <xdr:colOff>20955</xdr:colOff>
      <xdr:row>122</xdr:row>
      <xdr:rowOff>2439</xdr:rowOff>
    </xdr:from>
    <xdr:to>
      <xdr:col>58</xdr:col>
      <xdr:colOff>149542</xdr:colOff>
      <xdr:row>122</xdr:row>
      <xdr:rowOff>251157</xdr:rowOff>
    </xdr:to>
    <xdr:sp macro="" textlink="">
      <xdr:nvSpPr>
        <xdr:cNvPr id="286" name="Up Arrow Callout 28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1E010000}"/>
            </a:ext>
          </a:extLst>
        </xdr:cNvPr>
        <xdr:cNvSpPr/>
      </xdr:nvSpPr>
      <xdr:spPr>
        <a:xfrm>
          <a:off x="41540430" y="33701889"/>
          <a:ext cx="747712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58</xdr:col>
      <xdr:colOff>185992</xdr:colOff>
      <xdr:row>122</xdr:row>
      <xdr:rowOff>5992</xdr:rowOff>
    </xdr:from>
    <xdr:to>
      <xdr:col>59</xdr:col>
      <xdr:colOff>326437</xdr:colOff>
      <xdr:row>122</xdr:row>
      <xdr:rowOff>258518</xdr:rowOff>
    </xdr:to>
    <xdr:sp macro="" textlink="">
      <xdr:nvSpPr>
        <xdr:cNvPr id="287" name="Up Arrow Callout 28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1F010000}"/>
            </a:ext>
          </a:extLst>
        </xdr:cNvPr>
        <xdr:cNvSpPr/>
      </xdr:nvSpPr>
      <xdr:spPr>
        <a:xfrm>
          <a:off x="42324592" y="33705442"/>
          <a:ext cx="75957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78</xdr:col>
      <xdr:colOff>0</xdr:colOff>
      <xdr:row>124</xdr:row>
      <xdr:rowOff>104101</xdr:rowOff>
    </xdr:from>
    <xdr:to>
      <xdr:col>79</xdr:col>
      <xdr:colOff>147603</xdr:colOff>
      <xdr:row>125</xdr:row>
      <xdr:rowOff>73488</xdr:rowOff>
    </xdr:to>
    <xdr:sp macro="" textlink="">
      <xdr:nvSpPr>
        <xdr:cNvPr id="288" name="Down Arrow Callout 28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20010000}"/>
            </a:ext>
          </a:extLst>
        </xdr:cNvPr>
        <xdr:cNvSpPr/>
      </xdr:nvSpPr>
      <xdr:spPr>
        <a:xfrm>
          <a:off x="54721125" y="34356001"/>
          <a:ext cx="76672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177021</xdr:colOff>
      <xdr:row>124</xdr:row>
      <xdr:rowOff>107395</xdr:rowOff>
    </xdr:from>
    <xdr:to>
      <xdr:col>80</xdr:col>
      <xdr:colOff>327383</xdr:colOff>
      <xdr:row>125</xdr:row>
      <xdr:rowOff>66301</xdr:rowOff>
    </xdr:to>
    <xdr:sp macro="" textlink="">
      <xdr:nvSpPr>
        <xdr:cNvPr id="289" name="Down Arrow Callout 28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21010000}"/>
            </a:ext>
          </a:extLst>
        </xdr:cNvPr>
        <xdr:cNvSpPr/>
      </xdr:nvSpPr>
      <xdr:spPr>
        <a:xfrm>
          <a:off x="55517271" y="34359295"/>
          <a:ext cx="76948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78</xdr:col>
      <xdr:colOff>25877</xdr:colOff>
      <xdr:row>120</xdr:row>
      <xdr:rowOff>0</xdr:rowOff>
    </xdr:from>
    <xdr:to>
      <xdr:col>79</xdr:col>
      <xdr:colOff>147161</xdr:colOff>
      <xdr:row>120</xdr:row>
      <xdr:rowOff>254520</xdr:rowOff>
    </xdr:to>
    <xdr:sp macro="" textlink="">
      <xdr:nvSpPr>
        <xdr:cNvPr id="290" name="Up Arrow Callout 28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22010000}"/>
            </a:ext>
          </a:extLst>
        </xdr:cNvPr>
        <xdr:cNvSpPr/>
      </xdr:nvSpPr>
      <xdr:spPr>
        <a:xfrm>
          <a:off x="54747002" y="33147000"/>
          <a:ext cx="740409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79</xdr:col>
      <xdr:colOff>182880</xdr:colOff>
      <xdr:row>120</xdr:row>
      <xdr:rowOff>3905</xdr:rowOff>
    </xdr:from>
    <xdr:to>
      <xdr:col>80</xdr:col>
      <xdr:colOff>303539</xdr:colOff>
      <xdr:row>120</xdr:row>
      <xdr:rowOff>255062</xdr:rowOff>
    </xdr:to>
    <xdr:sp macro="" textlink="">
      <xdr:nvSpPr>
        <xdr:cNvPr id="291" name="Up Arrow Callout 29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23010000}"/>
            </a:ext>
          </a:extLst>
        </xdr:cNvPr>
        <xdr:cNvSpPr/>
      </xdr:nvSpPr>
      <xdr:spPr>
        <a:xfrm>
          <a:off x="55523130" y="33150905"/>
          <a:ext cx="739784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78</xdr:col>
      <xdr:colOff>16493</xdr:colOff>
      <xdr:row>123</xdr:row>
      <xdr:rowOff>108521</xdr:rowOff>
    </xdr:from>
    <xdr:to>
      <xdr:col>79</xdr:col>
      <xdr:colOff>149542</xdr:colOff>
      <xdr:row>124</xdr:row>
      <xdr:rowOff>63232</xdr:rowOff>
    </xdr:to>
    <xdr:sp macro="" textlink="">
      <xdr:nvSpPr>
        <xdr:cNvPr id="292" name="Down Arrow Callout 29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24010000}"/>
            </a:ext>
          </a:extLst>
        </xdr:cNvPr>
        <xdr:cNvSpPr/>
      </xdr:nvSpPr>
      <xdr:spPr>
        <a:xfrm>
          <a:off x="54737618" y="34084196"/>
          <a:ext cx="752174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180498</xdr:colOff>
      <xdr:row>123</xdr:row>
      <xdr:rowOff>107970</xdr:rowOff>
    </xdr:from>
    <xdr:to>
      <xdr:col>80</xdr:col>
      <xdr:colOff>326025</xdr:colOff>
      <xdr:row>124</xdr:row>
      <xdr:rowOff>66252</xdr:rowOff>
    </xdr:to>
    <xdr:sp macro="" textlink="">
      <xdr:nvSpPr>
        <xdr:cNvPr id="293" name="Down Arrow Callout 29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25010000}"/>
            </a:ext>
          </a:extLst>
        </xdr:cNvPr>
        <xdr:cNvSpPr/>
      </xdr:nvSpPr>
      <xdr:spPr>
        <a:xfrm>
          <a:off x="55520748" y="34083645"/>
          <a:ext cx="76465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78</xdr:col>
      <xdr:colOff>22761</xdr:colOff>
      <xdr:row>121</xdr:row>
      <xdr:rowOff>8433</xdr:rowOff>
    </xdr:from>
    <xdr:to>
      <xdr:col>79</xdr:col>
      <xdr:colOff>151923</xdr:colOff>
      <xdr:row>121</xdr:row>
      <xdr:rowOff>255957</xdr:rowOff>
    </xdr:to>
    <xdr:sp macro="" textlink="">
      <xdr:nvSpPr>
        <xdr:cNvPr id="294" name="Up Arrow Callout 29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26010000}"/>
            </a:ext>
          </a:extLst>
        </xdr:cNvPr>
        <xdr:cNvSpPr/>
      </xdr:nvSpPr>
      <xdr:spPr>
        <a:xfrm>
          <a:off x="54743886" y="33431658"/>
          <a:ext cx="748287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79</xdr:col>
      <xdr:colOff>188299</xdr:colOff>
      <xdr:row>121</xdr:row>
      <xdr:rowOff>6053</xdr:rowOff>
    </xdr:from>
    <xdr:to>
      <xdr:col>80</xdr:col>
      <xdr:colOff>329246</xdr:colOff>
      <xdr:row>121</xdr:row>
      <xdr:rowOff>257211</xdr:rowOff>
    </xdr:to>
    <xdr:sp macro="" textlink="">
      <xdr:nvSpPr>
        <xdr:cNvPr id="295" name="Up Arrow Callout 29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27010000}"/>
            </a:ext>
          </a:extLst>
        </xdr:cNvPr>
        <xdr:cNvSpPr/>
      </xdr:nvSpPr>
      <xdr:spPr>
        <a:xfrm>
          <a:off x="55528549" y="33429278"/>
          <a:ext cx="76007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78</xdr:col>
      <xdr:colOff>20955</xdr:colOff>
      <xdr:row>122</xdr:row>
      <xdr:rowOff>2439</xdr:rowOff>
    </xdr:from>
    <xdr:to>
      <xdr:col>79</xdr:col>
      <xdr:colOff>149542</xdr:colOff>
      <xdr:row>122</xdr:row>
      <xdr:rowOff>251157</xdr:rowOff>
    </xdr:to>
    <xdr:sp macro="" textlink="">
      <xdr:nvSpPr>
        <xdr:cNvPr id="296" name="Up Arrow Callout 29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28010000}"/>
            </a:ext>
          </a:extLst>
        </xdr:cNvPr>
        <xdr:cNvSpPr/>
      </xdr:nvSpPr>
      <xdr:spPr>
        <a:xfrm>
          <a:off x="54742080" y="33701889"/>
          <a:ext cx="747712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79</xdr:col>
      <xdr:colOff>185992</xdr:colOff>
      <xdr:row>122</xdr:row>
      <xdr:rowOff>5992</xdr:rowOff>
    </xdr:from>
    <xdr:to>
      <xdr:col>80</xdr:col>
      <xdr:colOff>326437</xdr:colOff>
      <xdr:row>122</xdr:row>
      <xdr:rowOff>258518</xdr:rowOff>
    </xdr:to>
    <xdr:sp macro="" textlink="">
      <xdr:nvSpPr>
        <xdr:cNvPr id="297" name="Up Arrow Callout 29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29010000}"/>
            </a:ext>
          </a:extLst>
        </xdr:cNvPr>
        <xdr:cNvSpPr/>
      </xdr:nvSpPr>
      <xdr:spPr>
        <a:xfrm>
          <a:off x="55526242" y="33705442"/>
          <a:ext cx="75957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98</xdr:col>
      <xdr:colOff>0</xdr:colOff>
      <xdr:row>124</xdr:row>
      <xdr:rowOff>104101</xdr:rowOff>
    </xdr:from>
    <xdr:to>
      <xdr:col>99</xdr:col>
      <xdr:colOff>147603</xdr:colOff>
      <xdr:row>125</xdr:row>
      <xdr:rowOff>73488</xdr:rowOff>
    </xdr:to>
    <xdr:sp macro="" textlink="">
      <xdr:nvSpPr>
        <xdr:cNvPr id="298" name="Down Arrow Callout 29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2A010000}"/>
            </a:ext>
          </a:extLst>
        </xdr:cNvPr>
        <xdr:cNvSpPr/>
      </xdr:nvSpPr>
      <xdr:spPr>
        <a:xfrm>
          <a:off x="67303650" y="34356001"/>
          <a:ext cx="76672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99</xdr:col>
      <xdr:colOff>177021</xdr:colOff>
      <xdr:row>124</xdr:row>
      <xdr:rowOff>107395</xdr:rowOff>
    </xdr:from>
    <xdr:to>
      <xdr:col>100</xdr:col>
      <xdr:colOff>327383</xdr:colOff>
      <xdr:row>125</xdr:row>
      <xdr:rowOff>66301</xdr:rowOff>
    </xdr:to>
    <xdr:sp macro="" textlink="">
      <xdr:nvSpPr>
        <xdr:cNvPr id="299" name="Down Arrow Callout 29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2B010000}"/>
            </a:ext>
          </a:extLst>
        </xdr:cNvPr>
        <xdr:cNvSpPr/>
      </xdr:nvSpPr>
      <xdr:spPr>
        <a:xfrm>
          <a:off x="68099796" y="34359295"/>
          <a:ext cx="76948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98</xdr:col>
      <xdr:colOff>25877</xdr:colOff>
      <xdr:row>120</xdr:row>
      <xdr:rowOff>0</xdr:rowOff>
    </xdr:from>
    <xdr:to>
      <xdr:col>99</xdr:col>
      <xdr:colOff>147161</xdr:colOff>
      <xdr:row>120</xdr:row>
      <xdr:rowOff>254520</xdr:rowOff>
    </xdr:to>
    <xdr:sp macro="" textlink="">
      <xdr:nvSpPr>
        <xdr:cNvPr id="300" name="Up Arrow Callout 29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2C010000}"/>
            </a:ext>
          </a:extLst>
        </xdr:cNvPr>
        <xdr:cNvSpPr/>
      </xdr:nvSpPr>
      <xdr:spPr>
        <a:xfrm>
          <a:off x="67329527" y="33147000"/>
          <a:ext cx="740409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99</xdr:col>
      <xdr:colOff>182880</xdr:colOff>
      <xdr:row>120</xdr:row>
      <xdr:rowOff>3905</xdr:rowOff>
    </xdr:from>
    <xdr:to>
      <xdr:col>100</xdr:col>
      <xdr:colOff>303539</xdr:colOff>
      <xdr:row>120</xdr:row>
      <xdr:rowOff>255062</xdr:rowOff>
    </xdr:to>
    <xdr:sp macro="" textlink="">
      <xdr:nvSpPr>
        <xdr:cNvPr id="301" name="Up Arrow Callout 30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2D010000}"/>
            </a:ext>
          </a:extLst>
        </xdr:cNvPr>
        <xdr:cNvSpPr/>
      </xdr:nvSpPr>
      <xdr:spPr>
        <a:xfrm>
          <a:off x="68105655" y="33150905"/>
          <a:ext cx="739784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98</xdr:col>
      <xdr:colOff>16493</xdr:colOff>
      <xdr:row>123</xdr:row>
      <xdr:rowOff>108521</xdr:rowOff>
    </xdr:from>
    <xdr:to>
      <xdr:col>99</xdr:col>
      <xdr:colOff>149542</xdr:colOff>
      <xdr:row>124</xdr:row>
      <xdr:rowOff>63232</xdr:rowOff>
    </xdr:to>
    <xdr:sp macro="" textlink="">
      <xdr:nvSpPr>
        <xdr:cNvPr id="302" name="Down Arrow Callout 30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2E010000}"/>
            </a:ext>
          </a:extLst>
        </xdr:cNvPr>
        <xdr:cNvSpPr/>
      </xdr:nvSpPr>
      <xdr:spPr>
        <a:xfrm>
          <a:off x="67320143" y="34084196"/>
          <a:ext cx="752174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99</xdr:col>
      <xdr:colOff>180498</xdr:colOff>
      <xdr:row>123</xdr:row>
      <xdr:rowOff>107970</xdr:rowOff>
    </xdr:from>
    <xdr:to>
      <xdr:col>100</xdr:col>
      <xdr:colOff>326025</xdr:colOff>
      <xdr:row>124</xdr:row>
      <xdr:rowOff>66252</xdr:rowOff>
    </xdr:to>
    <xdr:sp macro="" textlink="">
      <xdr:nvSpPr>
        <xdr:cNvPr id="303" name="Down Arrow Callout 30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2F010000}"/>
            </a:ext>
          </a:extLst>
        </xdr:cNvPr>
        <xdr:cNvSpPr/>
      </xdr:nvSpPr>
      <xdr:spPr>
        <a:xfrm>
          <a:off x="68103273" y="34083645"/>
          <a:ext cx="76465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98</xdr:col>
      <xdr:colOff>22761</xdr:colOff>
      <xdr:row>121</xdr:row>
      <xdr:rowOff>8433</xdr:rowOff>
    </xdr:from>
    <xdr:to>
      <xdr:col>99</xdr:col>
      <xdr:colOff>151923</xdr:colOff>
      <xdr:row>121</xdr:row>
      <xdr:rowOff>255957</xdr:rowOff>
    </xdr:to>
    <xdr:sp macro="" textlink="">
      <xdr:nvSpPr>
        <xdr:cNvPr id="304" name="Up Arrow Callout 30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30010000}"/>
            </a:ext>
          </a:extLst>
        </xdr:cNvPr>
        <xdr:cNvSpPr/>
      </xdr:nvSpPr>
      <xdr:spPr>
        <a:xfrm>
          <a:off x="67326411" y="33431658"/>
          <a:ext cx="748287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99</xdr:col>
      <xdr:colOff>188299</xdr:colOff>
      <xdr:row>121</xdr:row>
      <xdr:rowOff>6053</xdr:rowOff>
    </xdr:from>
    <xdr:to>
      <xdr:col>100</xdr:col>
      <xdr:colOff>329246</xdr:colOff>
      <xdr:row>121</xdr:row>
      <xdr:rowOff>257211</xdr:rowOff>
    </xdr:to>
    <xdr:sp macro="" textlink="">
      <xdr:nvSpPr>
        <xdr:cNvPr id="305" name="Up Arrow Callout 30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31010000}"/>
            </a:ext>
          </a:extLst>
        </xdr:cNvPr>
        <xdr:cNvSpPr/>
      </xdr:nvSpPr>
      <xdr:spPr>
        <a:xfrm>
          <a:off x="68111074" y="33429278"/>
          <a:ext cx="76007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98</xdr:col>
      <xdr:colOff>20955</xdr:colOff>
      <xdr:row>122</xdr:row>
      <xdr:rowOff>2439</xdr:rowOff>
    </xdr:from>
    <xdr:to>
      <xdr:col>99</xdr:col>
      <xdr:colOff>149542</xdr:colOff>
      <xdr:row>122</xdr:row>
      <xdr:rowOff>251157</xdr:rowOff>
    </xdr:to>
    <xdr:sp macro="" textlink="">
      <xdr:nvSpPr>
        <xdr:cNvPr id="306" name="Up Arrow Callout 30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32010000}"/>
            </a:ext>
          </a:extLst>
        </xdr:cNvPr>
        <xdr:cNvSpPr/>
      </xdr:nvSpPr>
      <xdr:spPr>
        <a:xfrm>
          <a:off x="67324605" y="33701889"/>
          <a:ext cx="747712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99</xdr:col>
      <xdr:colOff>185992</xdr:colOff>
      <xdr:row>122</xdr:row>
      <xdr:rowOff>5992</xdr:rowOff>
    </xdr:from>
    <xdr:to>
      <xdr:col>100</xdr:col>
      <xdr:colOff>326437</xdr:colOff>
      <xdr:row>122</xdr:row>
      <xdr:rowOff>258518</xdr:rowOff>
    </xdr:to>
    <xdr:sp macro="" textlink="">
      <xdr:nvSpPr>
        <xdr:cNvPr id="307" name="Up Arrow Callout 30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33010000}"/>
            </a:ext>
          </a:extLst>
        </xdr:cNvPr>
        <xdr:cNvSpPr/>
      </xdr:nvSpPr>
      <xdr:spPr>
        <a:xfrm>
          <a:off x="68108767" y="33705442"/>
          <a:ext cx="75957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0</xdr:colOff>
      <xdr:row>63</xdr:row>
      <xdr:rowOff>104101</xdr:rowOff>
    </xdr:from>
    <xdr:to>
      <xdr:col>13</xdr:col>
      <xdr:colOff>746318</xdr:colOff>
      <xdr:row>64</xdr:row>
      <xdr:rowOff>73488</xdr:rowOff>
    </xdr:to>
    <xdr:sp macro="" textlink="">
      <xdr:nvSpPr>
        <xdr:cNvPr id="318" name="Down Arrow Callout 31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3E010000}"/>
            </a:ext>
          </a:extLst>
        </xdr:cNvPr>
        <xdr:cNvSpPr/>
      </xdr:nvSpPr>
      <xdr:spPr>
        <a:xfrm>
          <a:off x="13106400" y="17506276"/>
          <a:ext cx="74631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13736</xdr:colOff>
      <xdr:row>63</xdr:row>
      <xdr:rowOff>107395</xdr:rowOff>
    </xdr:from>
    <xdr:to>
      <xdr:col>15</xdr:col>
      <xdr:colOff>11698</xdr:colOff>
      <xdr:row>64</xdr:row>
      <xdr:rowOff>66301</xdr:rowOff>
    </xdr:to>
    <xdr:sp macro="" textlink="">
      <xdr:nvSpPr>
        <xdr:cNvPr id="319" name="Down Arrow Callout 31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3F010000}"/>
            </a:ext>
          </a:extLst>
        </xdr:cNvPr>
        <xdr:cNvSpPr/>
      </xdr:nvSpPr>
      <xdr:spPr>
        <a:xfrm>
          <a:off x="13872611" y="17509570"/>
          <a:ext cx="75043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14992</xdr:colOff>
      <xdr:row>59</xdr:row>
      <xdr:rowOff>0</xdr:rowOff>
    </xdr:from>
    <xdr:to>
      <xdr:col>13</xdr:col>
      <xdr:colOff>745876</xdr:colOff>
      <xdr:row>59</xdr:row>
      <xdr:rowOff>254520</xdr:rowOff>
    </xdr:to>
    <xdr:sp macro="" textlink="">
      <xdr:nvSpPr>
        <xdr:cNvPr id="320" name="Up Arrow Callout 31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40010000}"/>
            </a:ext>
          </a:extLst>
        </xdr:cNvPr>
        <xdr:cNvSpPr/>
      </xdr:nvSpPr>
      <xdr:spPr>
        <a:xfrm>
          <a:off x="13121392" y="16297275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14</xdr:col>
      <xdr:colOff>19595</xdr:colOff>
      <xdr:row>59</xdr:row>
      <xdr:rowOff>3905</xdr:rowOff>
    </xdr:from>
    <xdr:to>
      <xdr:col>14</xdr:col>
      <xdr:colOff>749854</xdr:colOff>
      <xdr:row>59</xdr:row>
      <xdr:rowOff>255062</xdr:rowOff>
    </xdr:to>
    <xdr:sp macro="" textlink="">
      <xdr:nvSpPr>
        <xdr:cNvPr id="321" name="Up Arrow Callout 32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41010000}"/>
            </a:ext>
          </a:extLst>
        </xdr:cNvPr>
        <xdr:cNvSpPr/>
      </xdr:nvSpPr>
      <xdr:spPr>
        <a:xfrm>
          <a:off x="13878470" y="16301180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13</xdr:col>
      <xdr:colOff>5608</xdr:colOff>
      <xdr:row>62</xdr:row>
      <xdr:rowOff>108521</xdr:rowOff>
    </xdr:from>
    <xdr:to>
      <xdr:col>13</xdr:col>
      <xdr:colOff>748257</xdr:colOff>
      <xdr:row>63</xdr:row>
      <xdr:rowOff>63232</xdr:rowOff>
    </xdr:to>
    <xdr:sp macro="" textlink="">
      <xdr:nvSpPr>
        <xdr:cNvPr id="322" name="Down Arrow Callout 32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42010000}"/>
            </a:ext>
          </a:extLst>
        </xdr:cNvPr>
        <xdr:cNvSpPr/>
      </xdr:nvSpPr>
      <xdr:spPr>
        <a:xfrm>
          <a:off x="13112008" y="17234471"/>
          <a:ext cx="742649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17213</xdr:colOff>
      <xdr:row>62</xdr:row>
      <xdr:rowOff>107970</xdr:rowOff>
    </xdr:from>
    <xdr:to>
      <xdr:col>15</xdr:col>
      <xdr:colOff>10340</xdr:colOff>
      <xdr:row>63</xdr:row>
      <xdr:rowOff>66252</xdr:rowOff>
    </xdr:to>
    <xdr:sp macro="" textlink="">
      <xdr:nvSpPr>
        <xdr:cNvPr id="323" name="Down Arrow Callout 32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43010000}"/>
            </a:ext>
          </a:extLst>
        </xdr:cNvPr>
        <xdr:cNvSpPr/>
      </xdr:nvSpPr>
      <xdr:spPr>
        <a:xfrm>
          <a:off x="13876088" y="17233920"/>
          <a:ext cx="74560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11876</xdr:colOff>
      <xdr:row>60</xdr:row>
      <xdr:rowOff>8433</xdr:rowOff>
    </xdr:from>
    <xdr:to>
      <xdr:col>13</xdr:col>
      <xdr:colOff>750638</xdr:colOff>
      <xdr:row>60</xdr:row>
      <xdr:rowOff>266843</xdr:rowOff>
    </xdr:to>
    <xdr:sp macro="" textlink="">
      <xdr:nvSpPr>
        <xdr:cNvPr id="324" name="Up Arrow Callout 32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44010000}"/>
            </a:ext>
          </a:extLst>
        </xdr:cNvPr>
        <xdr:cNvSpPr/>
      </xdr:nvSpPr>
      <xdr:spPr>
        <a:xfrm>
          <a:off x="13118276" y="16581933"/>
          <a:ext cx="738762" cy="258410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25014</xdr:colOff>
      <xdr:row>60</xdr:row>
      <xdr:rowOff>6053</xdr:rowOff>
    </xdr:from>
    <xdr:to>
      <xdr:col>15</xdr:col>
      <xdr:colOff>13561</xdr:colOff>
      <xdr:row>60</xdr:row>
      <xdr:rowOff>257211</xdr:rowOff>
    </xdr:to>
    <xdr:sp macro="" textlink="">
      <xdr:nvSpPr>
        <xdr:cNvPr id="325" name="Up Arrow Callout 32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45010000}"/>
            </a:ext>
          </a:extLst>
        </xdr:cNvPr>
        <xdr:cNvSpPr/>
      </xdr:nvSpPr>
      <xdr:spPr>
        <a:xfrm>
          <a:off x="13883889" y="16579553"/>
          <a:ext cx="74102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10070</xdr:colOff>
      <xdr:row>61</xdr:row>
      <xdr:rowOff>2439</xdr:rowOff>
    </xdr:from>
    <xdr:to>
      <xdr:col>13</xdr:col>
      <xdr:colOff>748257</xdr:colOff>
      <xdr:row>61</xdr:row>
      <xdr:rowOff>262042</xdr:rowOff>
    </xdr:to>
    <xdr:sp macro="" textlink="">
      <xdr:nvSpPr>
        <xdr:cNvPr id="326" name="Up Arrow Callout 32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46010000}"/>
            </a:ext>
          </a:extLst>
        </xdr:cNvPr>
        <xdr:cNvSpPr/>
      </xdr:nvSpPr>
      <xdr:spPr>
        <a:xfrm>
          <a:off x="13116470" y="16852164"/>
          <a:ext cx="738187" cy="259603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22707</xdr:colOff>
      <xdr:row>61</xdr:row>
      <xdr:rowOff>5992</xdr:rowOff>
    </xdr:from>
    <xdr:to>
      <xdr:col>15</xdr:col>
      <xdr:colOff>10752</xdr:colOff>
      <xdr:row>61</xdr:row>
      <xdr:rowOff>258518</xdr:rowOff>
    </xdr:to>
    <xdr:sp macro="" textlink="">
      <xdr:nvSpPr>
        <xdr:cNvPr id="327" name="Up Arrow Callout 32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47010000}"/>
            </a:ext>
          </a:extLst>
        </xdr:cNvPr>
        <xdr:cNvSpPr/>
      </xdr:nvSpPr>
      <xdr:spPr>
        <a:xfrm>
          <a:off x="13881582" y="16855717"/>
          <a:ext cx="74052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709498</xdr:colOff>
      <xdr:row>5</xdr:row>
      <xdr:rowOff>223100</xdr:rowOff>
    </xdr:from>
    <xdr:to>
      <xdr:col>14</xdr:col>
      <xdr:colOff>222993</xdr:colOff>
      <xdr:row>6</xdr:row>
      <xdr:rowOff>230821</xdr:rowOff>
    </xdr:to>
    <xdr:sp macro="" textlink="">
      <xdr:nvSpPr>
        <xdr:cNvPr id="328" name="Down Arrow Callout 3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48010000}"/>
            </a:ext>
          </a:extLst>
        </xdr:cNvPr>
        <xdr:cNvSpPr/>
      </xdr:nvSpPr>
      <xdr:spPr>
        <a:xfrm>
          <a:off x="12310948" y="1604225"/>
          <a:ext cx="1770920" cy="283946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304902</xdr:colOff>
      <xdr:row>5</xdr:row>
      <xdr:rowOff>235743</xdr:rowOff>
    </xdr:from>
    <xdr:to>
      <xdr:col>16</xdr:col>
      <xdr:colOff>582681</xdr:colOff>
      <xdr:row>6</xdr:row>
      <xdr:rowOff>229076</xdr:rowOff>
    </xdr:to>
    <xdr:sp macro="" textlink="">
      <xdr:nvSpPr>
        <xdr:cNvPr id="329" name="Down Arrow Callout 32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49010000}"/>
            </a:ext>
          </a:extLst>
        </xdr:cNvPr>
        <xdr:cNvSpPr/>
      </xdr:nvSpPr>
      <xdr:spPr>
        <a:xfrm>
          <a:off x="14163777" y="1616868"/>
          <a:ext cx="1782729" cy="269558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737336</xdr:colOff>
      <xdr:row>1</xdr:row>
      <xdr:rowOff>121641</xdr:rowOff>
    </xdr:from>
    <xdr:to>
      <xdr:col>14</xdr:col>
      <xdr:colOff>214242</xdr:colOff>
      <xdr:row>2</xdr:row>
      <xdr:rowOff>135628</xdr:rowOff>
    </xdr:to>
    <xdr:sp macro="" textlink="">
      <xdr:nvSpPr>
        <xdr:cNvPr id="330" name="Up Arrow Callout 32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4A010000}"/>
            </a:ext>
          </a:extLst>
        </xdr:cNvPr>
        <xdr:cNvSpPr/>
      </xdr:nvSpPr>
      <xdr:spPr>
        <a:xfrm>
          <a:off x="12338786" y="397866"/>
          <a:ext cx="1734331" cy="290212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14</xdr:col>
      <xdr:colOff>326422</xdr:colOff>
      <xdr:row>1</xdr:row>
      <xdr:rowOff>131479</xdr:rowOff>
    </xdr:from>
    <xdr:to>
      <xdr:col>16</xdr:col>
      <xdr:colOff>559594</xdr:colOff>
      <xdr:row>2</xdr:row>
      <xdr:rowOff>141613</xdr:rowOff>
    </xdr:to>
    <xdr:sp macro="" textlink="">
      <xdr:nvSpPr>
        <xdr:cNvPr id="331" name="Up Arrow Callout 33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4B010000}"/>
            </a:ext>
          </a:extLst>
        </xdr:cNvPr>
        <xdr:cNvSpPr/>
      </xdr:nvSpPr>
      <xdr:spPr>
        <a:xfrm>
          <a:off x="14185297" y="407704"/>
          <a:ext cx="1738122" cy="286359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11</xdr:col>
      <xdr:colOff>718160</xdr:colOff>
      <xdr:row>4</xdr:row>
      <xdr:rowOff>232037</xdr:rowOff>
    </xdr:from>
    <xdr:to>
      <xdr:col>14</xdr:col>
      <xdr:colOff>222956</xdr:colOff>
      <xdr:row>5</xdr:row>
      <xdr:rowOff>221925</xdr:rowOff>
    </xdr:to>
    <xdr:sp macro="" textlink="">
      <xdr:nvSpPr>
        <xdr:cNvPr id="332" name="Down Arrow Callout 33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4C010000}"/>
            </a:ext>
          </a:extLst>
        </xdr:cNvPr>
        <xdr:cNvSpPr/>
      </xdr:nvSpPr>
      <xdr:spPr>
        <a:xfrm>
          <a:off x="12319610" y="1336937"/>
          <a:ext cx="1762221" cy="266113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312403</xdr:colOff>
      <xdr:row>4</xdr:row>
      <xdr:rowOff>236409</xdr:rowOff>
    </xdr:from>
    <xdr:to>
      <xdr:col>16</xdr:col>
      <xdr:colOff>578720</xdr:colOff>
      <xdr:row>5</xdr:row>
      <xdr:rowOff>229028</xdr:rowOff>
    </xdr:to>
    <xdr:sp macro="" textlink="">
      <xdr:nvSpPr>
        <xdr:cNvPr id="333" name="Down Arrow Callout 33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4D010000}"/>
            </a:ext>
          </a:extLst>
        </xdr:cNvPr>
        <xdr:cNvSpPr/>
      </xdr:nvSpPr>
      <xdr:spPr>
        <a:xfrm>
          <a:off x="14171278" y="1341309"/>
          <a:ext cx="1771267" cy="268844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727664</xdr:colOff>
      <xdr:row>2</xdr:row>
      <xdr:rowOff>129509</xdr:rowOff>
    </xdr:from>
    <xdr:to>
      <xdr:col>14</xdr:col>
      <xdr:colOff>223245</xdr:colOff>
      <xdr:row>3</xdr:row>
      <xdr:rowOff>147950</xdr:rowOff>
    </xdr:to>
    <xdr:sp macro="" textlink="">
      <xdr:nvSpPr>
        <xdr:cNvPr id="334" name="Up Arrow Callout 33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4E010000}"/>
            </a:ext>
          </a:extLst>
        </xdr:cNvPr>
        <xdr:cNvSpPr/>
      </xdr:nvSpPr>
      <xdr:spPr>
        <a:xfrm>
          <a:off x="12329114" y="681959"/>
          <a:ext cx="1753006" cy="294666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324017</xdr:colOff>
      <xdr:row>2</xdr:row>
      <xdr:rowOff>133628</xdr:rowOff>
    </xdr:from>
    <xdr:to>
      <xdr:col>16</xdr:col>
      <xdr:colOff>579477</xdr:colOff>
      <xdr:row>3</xdr:row>
      <xdr:rowOff>143762</xdr:rowOff>
    </xdr:to>
    <xdr:sp macro="" textlink="">
      <xdr:nvSpPr>
        <xdr:cNvPr id="335" name="Up Arrow Callout 33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4F010000}"/>
            </a:ext>
          </a:extLst>
        </xdr:cNvPr>
        <xdr:cNvSpPr/>
      </xdr:nvSpPr>
      <xdr:spPr>
        <a:xfrm>
          <a:off x="14182892" y="686078"/>
          <a:ext cx="1760410" cy="286359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726336</xdr:colOff>
      <xdr:row>3</xdr:row>
      <xdr:rowOff>123341</xdr:rowOff>
    </xdr:from>
    <xdr:to>
      <xdr:col>14</xdr:col>
      <xdr:colOff>220555</xdr:colOff>
      <xdr:row>4</xdr:row>
      <xdr:rowOff>143148</xdr:rowOff>
    </xdr:to>
    <xdr:sp macro="" textlink="">
      <xdr:nvSpPr>
        <xdr:cNvPr id="336" name="Up Arrow Callout 33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50010000}"/>
            </a:ext>
          </a:extLst>
        </xdr:cNvPr>
        <xdr:cNvSpPr/>
      </xdr:nvSpPr>
      <xdr:spPr>
        <a:xfrm>
          <a:off x="12327786" y="952016"/>
          <a:ext cx="1751644" cy="296032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322126</xdr:colOff>
      <xdr:row>3</xdr:row>
      <xdr:rowOff>133368</xdr:rowOff>
    </xdr:from>
    <xdr:to>
      <xdr:col>16</xdr:col>
      <xdr:colOff>576396</xdr:colOff>
      <xdr:row>4</xdr:row>
      <xdr:rowOff>145068</xdr:rowOff>
    </xdr:to>
    <xdr:sp macro="" textlink="">
      <xdr:nvSpPr>
        <xdr:cNvPr id="337" name="Up Arrow Callout 33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51010000}"/>
            </a:ext>
          </a:extLst>
        </xdr:cNvPr>
        <xdr:cNvSpPr/>
      </xdr:nvSpPr>
      <xdr:spPr>
        <a:xfrm>
          <a:off x="14181001" y="962043"/>
          <a:ext cx="1759220" cy="287925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40</xdr:col>
      <xdr:colOff>281608</xdr:colOff>
      <xdr:row>0</xdr:row>
      <xdr:rowOff>188843</xdr:rowOff>
    </xdr:from>
    <xdr:to>
      <xdr:col>44</xdr:col>
      <xdr:colOff>441462</xdr:colOff>
      <xdr:row>2</xdr:row>
      <xdr:rowOff>163284</xdr:rowOff>
    </xdr:to>
    <xdr:sp macro="" textlink="">
      <xdr:nvSpPr>
        <xdr:cNvPr id="338" name="Horizontal Scroll 33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52010000}"/>
            </a:ext>
          </a:extLst>
        </xdr:cNvPr>
        <xdr:cNvSpPr/>
      </xdr:nvSpPr>
      <xdr:spPr>
        <a:xfrm>
          <a:off x="24846583" y="188843"/>
          <a:ext cx="2598254" cy="469741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ELECON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81</xdr:col>
      <xdr:colOff>571501</xdr:colOff>
      <xdr:row>0</xdr:row>
      <xdr:rowOff>149087</xdr:rowOff>
    </xdr:from>
    <xdr:to>
      <xdr:col>86</xdr:col>
      <xdr:colOff>118442</xdr:colOff>
      <xdr:row>2</xdr:row>
      <xdr:rowOff>142460</xdr:rowOff>
    </xdr:to>
    <xdr:sp macro="" textlink="">
      <xdr:nvSpPr>
        <xdr:cNvPr id="339" name="Horizontal Scroll 33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53010000}"/>
            </a:ext>
          </a:extLst>
        </xdr:cNvPr>
        <xdr:cNvSpPr/>
      </xdr:nvSpPr>
      <xdr:spPr>
        <a:xfrm>
          <a:off x="50130076" y="149087"/>
          <a:ext cx="2594941" cy="488673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Premium</a:t>
          </a:r>
        </a:p>
      </xdr:txBody>
    </xdr:sp>
    <xdr:clientData/>
  </xdr:twoCellAnchor>
  <xdr:twoCellAnchor>
    <xdr:from>
      <xdr:col>105</xdr:col>
      <xdr:colOff>13607</xdr:colOff>
      <xdr:row>0</xdr:row>
      <xdr:rowOff>176893</xdr:rowOff>
    </xdr:from>
    <xdr:to>
      <xdr:col>109</xdr:col>
      <xdr:colOff>172869</xdr:colOff>
      <xdr:row>2</xdr:row>
      <xdr:rowOff>170266</xdr:rowOff>
    </xdr:to>
    <xdr:sp macro="" textlink="">
      <xdr:nvSpPr>
        <xdr:cNvPr id="340" name="Horizontal Scroll 33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54010000}"/>
            </a:ext>
          </a:extLst>
        </xdr:cNvPr>
        <xdr:cNvSpPr/>
      </xdr:nvSpPr>
      <xdr:spPr>
        <a:xfrm>
          <a:off x="64202582" y="176893"/>
          <a:ext cx="2597662" cy="488673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Premium</a:t>
          </a:r>
        </a:p>
      </xdr:txBody>
    </xdr:sp>
    <xdr:clientData/>
  </xdr:twoCellAnchor>
  <xdr:twoCellAnchor>
    <xdr:from>
      <xdr:col>61</xdr:col>
      <xdr:colOff>517073</xdr:colOff>
      <xdr:row>0</xdr:row>
      <xdr:rowOff>163286</xdr:rowOff>
    </xdr:from>
    <xdr:to>
      <xdr:col>66</xdr:col>
      <xdr:colOff>64605</xdr:colOff>
      <xdr:row>2</xdr:row>
      <xdr:rowOff>137727</xdr:rowOff>
    </xdr:to>
    <xdr:sp macro="" textlink="">
      <xdr:nvSpPr>
        <xdr:cNvPr id="341" name="Horizontal Scroll 34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55010000}"/>
            </a:ext>
          </a:extLst>
        </xdr:cNvPr>
        <xdr:cNvSpPr/>
      </xdr:nvSpPr>
      <xdr:spPr>
        <a:xfrm>
          <a:off x="37883648" y="163286"/>
          <a:ext cx="2595532" cy="469741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ELECON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35</xdr:col>
      <xdr:colOff>0</xdr:colOff>
      <xdr:row>125</xdr:row>
      <xdr:rowOff>104101</xdr:rowOff>
    </xdr:from>
    <xdr:to>
      <xdr:col>36</xdr:col>
      <xdr:colOff>147603</xdr:colOff>
      <xdr:row>126</xdr:row>
      <xdr:rowOff>73488</xdr:rowOff>
    </xdr:to>
    <xdr:sp macro="" textlink="">
      <xdr:nvSpPr>
        <xdr:cNvPr id="342" name="Down Arrow Callout 34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56010000}"/>
            </a:ext>
          </a:extLst>
        </xdr:cNvPr>
        <xdr:cNvSpPr/>
      </xdr:nvSpPr>
      <xdr:spPr>
        <a:xfrm>
          <a:off x="21516975" y="31060351"/>
          <a:ext cx="757203" cy="21703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177021</xdr:colOff>
      <xdr:row>125</xdr:row>
      <xdr:rowOff>107395</xdr:rowOff>
    </xdr:from>
    <xdr:to>
      <xdr:col>37</xdr:col>
      <xdr:colOff>327383</xdr:colOff>
      <xdr:row>126</xdr:row>
      <xdr:rowOff>66301</xdr:rowOff>
    </xdr:to>
    <xdr:sp macro="" textlink="">
      <xdr:nvSpPr>
        <xdr:cNvPr id="343" name="Down Arrow Callout 34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57010000}"/>
            </a:ext>
          </a:extLst>
        </xdr:cNvPr>
        <xdr:cNvSpPr/>
      </xdr:nvSpPr>
      <xdr:spPr>
        <a:xfrm>
          <a:off x="22303596" y="31063645"/>
          <a:ext cx="759962" cy="20655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25877</xdr:colOff>
      <xdr:row>121</xdr:row>
      <xdr:rowOff>0</xdr:rowOff>
    </xdr:from>
    <xdr:to>
      <xdr:col>36</xdr:col>
      <xdr:colOff>147161</xdr:colOff>
      <xdr:row>121</xdr:row>
      <xdr:rowOff>254520</xdr:rowOff>
    </xdr:to>
    <xdr:sp macro="" textlink="">
      <xdr:nvSpPr>
        <xdr:cNvPr id="344" name="Up Arrow Callout 34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58010000}"/>
            </a:ext>
          </a:extLst>
        </xdr:cNvPr>
        <xdr:cNvSpPr/>
      </xdr:nvSpPr>
      <xdr:spPr>
        <a:xfrm>
          <a:off x="21542852" y="29965650"/>
          <a:ext cx="730884" cy="244995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36</xdr:col>
      <xdr:colOff>182880</xdr:colOff>
      <xdr:row>121</xdr:row>
      <xdr:rowOff>3905</xdr:rowOff>
    </xdr:from>
    <xdr:to>
      <xdr:col>37</xdr:col>
      <xdr:colOff>303539</xdr:colOff>
      <xdr:row>121</xdr:row>
      <xdr:rowOff>255062</xdr:rowOff>
    </xdr:to>
    <xdr:sp macro="" textlink="">
      <xdr:nvSpPr>
        <xdr:cNvPr id="345" name="Up Arrow Callout 34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59010000}"/>
            </a:ext>
          </a:extLst>
        </xdr:cNvPr>
        <xdr:cNvSpPr/>
      </xdr:nvSpPr>
      <xdr:spPr>
        <a:xfrm>
          <a:off x="22309455" y="29969555"/>
          <a:ext cx="730259" cy="241632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35</xdr:col>
      <xdr:colOff>16493</xdr:colOff>
      <xdr:row>124</xdr:row>
      <xdr:rowOff>108521</xdr:rowOff>
    </xdr:from>
    <xdr:to>
      <xdr:col>36</xdr:col>
      <xdr:colOff>149542</xdr:colOff>
      <xdr:row>125</xdr:row>
      <xdr:rowOff>63232</xdr:rowOff>
    </xdr:to>
    <xdr:sp macro="" textlink="">
      <xdr:nvSpPr>
        <xdr:cNvPr id="346" name="Down Arrow Callout 34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5A010000}"/>
            </a:ext>
          </a:extLst>
        </xdr:cNvPr>
        <xdr:cNvSpPr/>
      </xdr:nvSpPr>
      <xdr:spPr>
        <a:xfrm>
          <a:off x="21533468" y="30817121"/>
          <a:ext cx="742649" cy="20236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180498</xdr:colOff>
      <xdr:row>124</xdr:row>
      <xdr:rowOff>107970</xdr:rowOff>
    </xdr:from>
    <xdr:to>
      <xdr:col>37</xdr:col>
      <xdr:colOff>326025</xdr:colOff>
      <xdr:row>125</xdr:row>
      <xdr:rowOff>66252</xdr:rowOff>
    </xdr:to>
    <xdr:sp macro="" textlink="">
      <xdr:nvSpPr>
        <xdr:cNvPr id="347" name="Down Arrow Callout 34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5B010000}"/>
            </a:ext>
          </a:extLst>
        </xdr:cNvPr>
        <xdr:cNvSpPr/>
      </xdr:nvSpPr>
      <xdr:spPr>
        <a:xfrm>
          <a:off x="22307073" y="30816570"/>
          <a:ext cx="755127" cy="20593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22761</xdr:colOff>
      <xdr:row>122</xdr:row>
      <xdr:rowOff>8433</xdr:rowOff>
    </xdr:from>
    <xdr:to>
      <xdr:col>36</xdr:col>
      <xdr:colOff>151923</xdr:colOff>
      <xdr:row>122</xdr:row>
      <xdr:rowOff>255957</xdr:rowOff>
    </xdr:to>
    <xdr:sp macro="" textlink="">
      <xdr:nvSpPr>
        <xdr:cNvPr id="348" name="Up Arrow Callout 34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5C010000}"/>
            </a:ext>
          </a:extLst>
        </xdr:cNvPr>
        <xdr:cNvSpPr/>
      </xdr:nvSpPr>
      <xdr:spPr>
        <a:xfrm>
          <a:off x="21539736" y="30221733"/>
          <a:ext cx="738762" cy="237999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188299</xdr:colOff>
      <xdr:row>122</xdr:row>
      <xdr:rowOff>6053</xdr:rowOff>
    </xdr:from>
    <xdr:to>
      <xdr:col>37</xdr:col>
      <xdr:colOff>329246</xdr:colOff>
      <xdr:row>122</xdr:row>
      <xdr:rowOff>257211</xdr:rowOff>
    </xdr:to>
    <xdr:sp macro="" textlink="">
      <xdr:nvSpPr>
        <xdr:cNvPr id="349" name="Up Arrow Callout 34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5D010000}"/>
            </a:ext>
          </a:extLst>
        </xdr:cNvPr>
        <xdr:cNvSpPr/>
      </xdr:nvSpPr>
      <xdr:spPr>
        <a:xfrm>
          <a:off x="22314874" y="30219353"/>
          <a:ext cx="750547" cy="241633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35</xdr:col>
      <xdr:colOff>20955</xdr:colOff>
      <xdr:row>123</xdr:row>
      <xdr:rowOff>2439</xdr:rowOff>
    </xdr:from>
    <xdr:to>
      <xdr:col>36</xdr:col>
      <xdr:colOff>149542</xdr:colOff>
      <xdr:row>123</xdr:row>
      <xdr:rowOff>251157</xdr:rowOff>
    </xdr:to>
    <xdr:sp macro="" textlink="">
      <xdr:nvSpPr>
        <xdr:cNvPr id="350" name="Up Arrow Callout 349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5E010000}"/>
            </a:ext>
          </a:extLst>
        </xdr:cNvPr>
        <xdr:cNvSpPr/>
      </xdr:nvSpPr>
      <xdr:spPr>
        <a:xfrm>
          <a:off x="21537930" y="3046338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185992</xdr:colOff>
      <xdr:row>123</xdr:row>
      <xdr:rowOff>5992</xdr:rowOff>
    </xdr:from>
    <xdr:to>
      <xdr:col>37</xdr:col>
      <xdr:colOff>326437</xdr:colOff>
      <xdr:row>123</xdr:row>
      <xdr:rowOff>258518</xdr:rowOff>
    </xdr:to>
    <xdr:sp macro="" textlink="">
      <xdr:nvSpPr>
        <xdr:cNvPr id="351" name="Up Arrow Callout 350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5F010000}"/>
            </a:ext>
          </a:extLst>
        </xdr:cNvPr>
        <xdr:cNvSpPr/>
      </xdr:nvSpPr>
      <xdr:spPr>
        <a:xfrm>
          <a:off x="22312567" y="30466942"/>
          <a:ext cx="750045" cy="243001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57</xdr:col>
      <xdr:colOff>0</xdr:colOff>
      <xdr:row>124</xdr:row>
      <xdr:rowOff>104101</xdr:rowOff>
    </xdr:from>
    <xdr:to>
      <xdr:col>58</xdr:col>
      <xdr:colOff>147603</xdr:colOff>
      <xdr:row>125</xdr:row>
      <xdr:rowOff>73488</xdr:rowOff>
    </xdr:to>
    <xdr:sp macro="" textlink="">
      <xdr:nvSpPr>
        <xdr:cNvPr id="352" name="Down Arrow Callout 35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60010000}"/>
            </a:ext>
          </a:extLst>
        </xdr:cNvPr>
        <xdr:cNvSpPr/>
      </xdr:nvSpPr>
      <xdr:spPr>
        <a:xfrm>
          <a:off x="34928175" y="30812701"/>
          <a:ext cx="757203" cy="21703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58</xdr:col>
      <xdr:colOff>177021</xdr:colOff>
      <xdr:row>124</xdr:row>
      <xdr:rowOff>107395</xdr:rowOff>
    </xdr:from>
    <xdr:to>
      <xdr:col>59</xdr:col>
      <xdr:colOff>327383</xdr:colOff>
      <xdr:row>125</xdr:row>
      <xdr:rowOff>66301</xdr:rowOff>
    </xdr:to>
    <xdr:sp macro="" textlink="">
      <xdr:nvSpPr>
        <xdr:cNvPr id="353" name="Down Arrow Callout 35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61010000}"/>
            </a:ext>
          </a:extLst>
        </xdr:cNvPr>
        <xdr:cNvSpPr/>
      </xdr:nvSpPr>
      <xdr:spPr>
        <a:xfrm>
          <a:off x="35714796" y="30815995"/>
          <a:ext cx="759962" cy="20655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57</xdr:col>
      <xdr:colOff>25877</xdr:colOff>
      <xdr:row>120</xdr:row>
      <xdr:rowOff>0</xdr:rowOff>
    </xdr:from>
    <xdr:to>
      <xdr:col>58</xdr:col>
      <xdr:colOff>147161</xdr:colOff>
      <xdr:row>120</xdr:row>
      <xdr:rowOff>254520</xdr:rowOff>
    </xdr:to>
    <xdr:sp macro="" textlink="">
      <xdr:nvSpPr>
        <xdr:cNvPr id="354" name="Up Arrow Callout 35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62010000}"/>
            </a:ext>
          </a:extLst>
        </xdr:cNvPr>
        <xdr:cNvSpPr/>
      </xdr:nvSpPr>
      <xdr:spPr>
        <a:xfrm>
          <a:off x="34954052" y="29718000"/>
          <a:ext cx="730884" cy="244995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58</xdr:col>
      <xdr:colOff>182880</xdr:colOff>
      <xdr:row>120</xdr:row>
      <xdr:rowOff>3905</xdr:rowOff>
    </xdr:from>
    <xdr:to>
      <xdr:col>59</xdr:col>
      <xdr:colOff>303539</xdr:colOff>
      <xdr:row>120</xdr:row>
      <xdr:rowOff>255062</xdr:rowOff>
    </xdr:to>
    <xdr:sp macro="" textlink="">
      <xdr:nvSpPr>
        <xdr:cNvPr id="355" name="Up Arrow Callout 35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63010000}"/>
            </a:ext>
          </a:extLst>
        </xdr:cNvPr>
        <xdr:cNvSpPr/>
      </xdr:nvSpPr>
      <xdr:spPr>
        <a:xfrm>
          <a:off x="35720655" y="29721905"/>
          <a:ext cx="730259" cy="241632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57</xdr:col>
      <xdr:colOff>16493</xdr:colOff>
      <xdr:row>123</xdr:row>
      <xdr:rowOff>108521</xdr:rowOff>
    </xdr:from>
    <xdr:to>
      <xdr:col>58</xdr:col>
      <xdr:colOff>149542</xdr:colOff>
      <xdr:row>124</xdr:row>
      <xdr:rowOff>63232</xdr:rowOff>
    </xdr:to>
    <xdr:sp macro="" textlink="">
      <xdr:nvSpPr>
        <xdr:cNvPr id="356" name="Down Arrow Callout 35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64010000}"/>
            </a:ext>
          </a:extLst>
        </xdr:cNvPr>
        <xdr:cNvSpPr/>
      </xdr:nvSpPr>
      <xdr:spPr>
        <a:xfrm>
          <a:off x="34944668" y="30569471"/>
          <a:ext cx="742649" cy="20236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58</xdr:col>
      <xdr:colOff>180498</xdr:colOff>
      <xdr:row>123</xdr:row>
      <xdr:rowOff>107970</xdr:rowOff>
    </xdr:from>
    <xdr:to>
      <xdr:col>59</xdr:col>
      <xdr:colOff>326025</xdr:colOff>
      <xdr:row>124</xdr:row>
      <xdr:rowOff>66252</xdr:rowOff>
    </xdr:to>
    <xdr:sp macro="" textlink="">
      <xdr:nvSpPr>
        <xdr:cNvPr id="357" name="Down Arrow Callout 35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65010000}"/>
            </a:ext>
          </a:extLst>
        </xdr:cNvPr>
        <xdr:cNvSpPr/>
      </xdr:nvSpPr>
      <xdr:spPr>
        <a:xfrm>
          <a:off x="35718273" y="30568920"/>
          <a:ext cx="755127" cy="20593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57</xdr:col>
      <xdr:colOff>22761</xdr:colOff>
      <xdr:row>121</xdr:row>
      <xdr:rowOff>8433</xdr:rowOff>
    </xdr:from>
    <xdr:to>
      <xdr:col>58</xdr:col>
      <xdr:colOff>151923</xdr:colOff>
      <xdr:row>121</xdr:row>
      <xdr:rowOff>255957</xdr:rowOff>
    </xdr:to>
    <xdr:sp macro="" textlink="">
      <xdr:nvSpPr>
        <xdr:cNvPr id="358" name="Up Arrow Callout 35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66010000}"/>
            </a:ext>
          </a:extLst>
        </xdr:cNvPr>
        <xdr:cNvSpPr/>
      </xdr:nvSpPr>
      <xdr:spPr>
        <a:xfrm>
          <a:off x="34950936" y="29974083"/>
          <a:ext cx="738762" cy="237999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58</xdr:col>
      <xdr:colOff>188299</xdr:colOff>
      <xdr:row>121</xdr:row>
      <xdr:rowOff>6053</xdr:rowOff>
    </xdr:from>
    <xdr:to>
      <xdr:col>59</xdr:col>
      <xdr:colOff>329246</xdr:colOff>
      <xdr:row>121</xdr:row>
      <xdr:rowOff>257211</xdr:rowOff>
    </xdr:to>
    <xdr:sp macro="" textlink="">
      <xdr:nvSpPr>
        <xdr:cNvPr id="359" name="Up Arrow Callout 35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67010000}"/>
            </a:ext>
          </a:extLst>
        </xdr:cNvPr>
        <xdr:cNvSpPr/>
      </xdr:nvSpPr>
      <xdr:spPr>
        <a:xfrm>
          <a:off x="35726074" y="29971703"/>
          <a:ext cx="750547" cy="241633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57</xdr:col>
      <xdr:colOff>20955</xdr:colOff>
      <xdr:row>122</xdr:row>
      <xdr:rowOff>2439</xdr:rowOff>
    </xdr:from>
    <xdr:to>
      <xdr:col>58</xdr:col>
      <xdr:colOff>149542</xdr:colOff>
      <xdr:row>122</xdr:row>
      <xdr:rowOff>251157</xdr:rowOff>
    </xdr:to>
    <xdr:sp macro="" textlink="">
      <xdr:nvSpPr>
        <xdr:cNvPr id="360" name="Up Arrow Callout 359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68010000}"/>
            </a:ext>
          </a:extLst>
        </xdr:cNvPr>
        <xdr:cNvSpPr/>
      </xdr:nvSpPr>
      <xdr:spPr>
        <a:xfrm>
          <a:off x="34949130" y="302157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58</xdr:col>
      <xdr:colOff>185992</xdr:colOff>
      <xdr:row>122</xdr:row>
      <xdr:rowOff>5992</xdr:rowOff>
    </xdr:from>
    <xdr:to>
      <xdr:col>59</xdr:col>
      <xdr:colOff>326437</xdr:colOff>
      <xdr:row>122</xdr:row>
      <xdr:rowOff>258518</xdr:rowOff>
    </xdr:to>
    <xdr:sp macro="" textlink="">
      <xdr:nvSpPr>
        <xdr:cNvPr id="361" name="Up Arrow Callout 360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69010000}"/>
            </a:ext>
          </a:extLst>
        </xdr:cNvPr>
        <xdr:cNvSpPr/>
      </xdr:nvSpPr>
      <xdr:spPr>
        <a:xfrm>
          <a:off x="35723767" y="30219292"/>
          <a:ext cx="750045" cy="243001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78</xdr:col>
      <xdr:colOff>0</xdr:colOff>
      <xdr:row>124</xdr:row>
      <xdr:rowOff>104101</xdr:rowOff>
    </xdr:from>
    <xdr:to>
      <xdr:col>79</xdr:col>
      <xdr:colOff>147603</xdr:colOff>
      <xdr:row>125</xdr:row>
      <xdr:rowOff>73488</xdr:rowOff>
    </xdr:to>
    <xdr:sp macro="" textlink="">
      <xdr:nvSpPr>
        <xdr:cNvPr id="362" name="Down Arrow Callout 36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6A010000}"/>
            </a:ext>
          </a:extLst>
        </xdr:cNvPr>
        <xdr:cNvSpPr/>
      </xdr:nvSpPr>
      <xdr:spPr>
        <a:xfrm>
          <a:off x="47729775" y="30812701"/>
          <a:ext cx="757203" cy="21703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177021</xdr:colOff>
      <xdr:row>124</xdr:row>
      <xdr:rowOff>107395</xdr:rowOff>
    </xdr:from>
    <xdr:to>
      <xdr:col>80</xdr:col>
      <xdr:colOff>327383</xdr:colOff>
      <xdr:row>125</xdr:row>
      <xdr:rowOff>66301</xdr:rowOff>
    </xdr:to>
    <xdr:sp macro="" textlink="">
      <xdr:nvSpPr>
        <xdr:cNvPr id="363" name="Down Arrow Callout 36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6B010000}"/>
            </a:ext>
          </a:extLst>
        </xdr:cNvPr>
        <xdr:cNvSpPr/>
      </xdr:nvSpPr>
      <xdr:spPr>
        <a:xfrm>
          <a:off x="48516396" y="30815995"/>
          <a:ext cx="759962" cy="20655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78</xdr:col>
      <xdr:colOff>25877</xdr:colOff>
      <xdr:row>120</xdr:row>
      <xdr:rowOff>0</xdr:rowOff>
    </xdr:from>
    <xdr:to>
      <xdr:col>79</xdr:col>
      <xdr:colOff>147161</xdr:colOff>
      <xdr:row>120</xdr:row>
      <xdr:rowOff>254520</xdr:rowOff>
    </xdr:to>
    <xdr:sp macro="" textlink="">
      <xdr:nvSpPr>
        <xdr:cNvPr id="364" name="Up Arrow Callout 36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6C010000}"/>
            </a:ext>
          </a:extLst>
        </xdr:cNvPr>
        <xdr:cNvSpPr/>
      </xdr:nvSpPr>
      <xdr:spPr>
        <a:xfrm>
          <a:off x="47755652" y="29718000"/>
          <a:ext cx="730884" cy="244995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79</xdr:col>
      <xdr:colOff>182880</xdr:colOff>
      <xdr:row>120</xdr:row>
      <xdr:rowOff>3905</xdr:rowOff>
    </xdr:from>
    <xdr:to>
      <xdr:col>80</xdr:col>
      <xdr:colOff>303539</xdr:colOff>
      <xdr:row>120</xdr:row>
      <xdr:rowOff>255062</xdr:rowOff>
    </xdr:to>
    <xdr:sp macro="" textlink="">
      <xdr:nvSpPr>
        <xdr:cNvPr id="365" name="Up Arrow Callout 36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6D010000}"/>
            </a:ext>
          </a:extLst>
        </xdr:cNvPr>
        <xdr:cNvSpPr/>
      </xdr:nvSpPr>
      <xdr:spPr>
        <a:xfrm>
          <a:off x="48522255" y="29721905"/>
          <a:ext cx="730259" cy="241632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78</xdr:col>
      <xdr:colOff>16493</xdr:colOff>
      <xdr:row>123</xdr:row>
      <xdr:rowOff>108521</xdr:rowOff>
    </xdr:from>
    <xdr:to>
      <xdr:col>79</xdr:col>
      <xdr:colOff>149542</xdr:colOff>
      <xdr:row>124</xdr:row>
      <xdr:rowOff>63232</xdr:rowOff>
    </xdr:to>
    <xdr:sp macro="" textlink="">
      <xdr:nvSpPr>
        <xdr:cNvPr id="366" name="Down Arrow Callout 36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6E010000}"/>
            </a:ext>
          </a:extLst>
        </xdr:cNvPr>
        <xdr:cNvSpPr/>
      </xdr:nvSpPr>
      <xdr:spPr>
        <a:xfrm>
          <a:off x="47746268" y="30569471"/>
          <a:ext cx="742649" cy="20236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180498</xdr:colOff>
      <xdr:row>123</xdr:row>
      <xdr:rowOff>107970</xdr:rowOff>
    </xdr:from>
    <xdr:to>
      <xdr:col>80</xdr:col>
      <xdr:colOff>326025</xdr:colOff>
      <xdr:row>124</xdr:row>
      <xdr:rowOff>66252</xdr:rowOff>
    </xdr:to>
    <xdr:sp macro="" textlink="">
      <xdr:nvSpPr>
        <xdr:cNvPr id="367" name="Down Arrow Callout 36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6F010000}"/>
            </a:ext>
          </a:extLst>
        </xdr:cNvPr>
        <xdr:cNvSpPr/>
      </xdr:nvSpPr>
      <xdr:spPr>
        <a:xfrm>
          <a:off x="48519873" y="30568920"/>
          <a:ext cx="755127" cy="20593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78</xdr:col>
      <xdr:colOff>22761</xdr:colOff>
      <xdr:row>121</xdr:row>
      <xdr:rowOff>8433</xdr:rowOff>
    </xdr:from>
    <xdr:to>
      <xdr:col>79</xdr:col>
      <xdr:colOff>151923</xdr:colOff>
      <xdr:row>121</xdr:row>
      <xdr:rowOff>255957</xdr:rowOff>
    </xdr:to>
    <xdr:sp macro="" textlink="">
      <xdr:nvSpPr>
        <xdr:cNvPr id="368" name="Up Arrow Callout 36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70010000}"/>
            </a:ext>
          </a:extLst>
        </xdr:cNvPr>
        <xdr:cNvSpPr/>
      </xdr:nvSpPr>
      <xdr:spPr>
        <a:xfrm>
          <a:off x="47752536" y="29974083"/>
          <a:ext cx="738762" cy="237999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79</xdr:col>
      <xdr:colOff>188299</xdr:colOff>
      <xdr:row>121</xdr:row>
      <xdr:rowOff>6053</xdr:rowOff>
    </xdr:from>
    <xdr:to>
      <xdr:col>80</xdr:col>
      <xdr:colOff>329246</xdr:colOff>
      <xdr:row>121</xdr:row>
      <xdr:rowOff>257211</xdr:rowOff>
    </xdr:to>
    <xdr:sp macro="" textlink="">
      <xdr:nvSpPr>
        <xdr:cNvPr id="369" name="Up Arrow Callout 36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71010000}"/>
            </a:ext>
          </a:extLst>
        </xdr:cNvPr>
        <xdr:cNvSpPr/>
      </xdr:nvSpPr>
      <xdr:spPr>
        <a:xfrm>
          <a:off x="48527674" y="29971703"/>
          <a:ext cx="750547" cy="241633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78</xdr:col>
      <xdr:colOff>20955</xdr:colOff>
      <xdr:row>122</xdr:row>
      <xdr:rowOff>2439</xdr:rowOff>
    </xdr:from>
    <xdr:to>
      <xdr:col>79</xdr:col>
      <xdr:colOff>149542</xdr:colOff>
      <xdr:row>122</xdr:row>
      <xdr:rowOff>251157</xdr:rowOff>
    </xdr:to>
    <xdr:sp macro="" textlink="">
      <xdr:nvSpPr>
        <xdr:cNvPr id="370" name="Up Arrow Callout 369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72010000}"/>
            </a:ext>
          </a:extLst>
        </xdr:cNvPr>
        <xdr:cNvSpPr/>
      </xdr:nvSpPr>
      <xdr:spPr>
        <a:xfrm>
          <a:off x="47750730" y="302157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79</xdr:col>
      <xdr:colOff>185992</xdr:colOff>
      <xdr:row>122</xdr:row>
      <xdr:rowOff>5992</xdr:rowOff>
    </xdr:from>
    <xdr:to>
      <xdr:col>80</xdr:col>
      <xdr:colOff>326437</xdr:colOff>
      <xdr:row>122</xdr:row>
      <xdr:rowOff>258518</xdr:rowOff>
    </xdr:to>
    <xdr:sp macro="" textlink="">
      <xdr:nvSpPr>
        <xdr:cNvPr id="371" name="Up Arrow Callout 370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73010000}"/>
            </a:ext>
          </a:extLst>
        </xdr:cNvPr>
        <xdr:cNvSpPr/>
      </xdr:nvSpPr>
      <xdr:spPr>
        <a:xfrm>
          <a:off x="48525367" y="30219292"/>
          <a:ext cx="750045" cy="243001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98</xdr:col>
      <xdr:colOff>0</xdr:colOff>
      <xdr:row>124</xdr:row>
      <xdr:rowOff>104101</xdr:rowOff>
    </xdr:from>
    <xdr:to>
      <xdr:col>99</xdr:col>
      <xdr:colOff>147603</xdr:colOff>
      <xdr:row>125</xdr:row>
      <xdr:rowOff>73488</xdr:rowOff>
    </xdr:to>
    <xdr:sp macro="" textlink="">
      <xdr:nvSpPr>
        <xdr:cNvPr id="372" name="Down Arrow Callout 37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74010000}"/>
            </a:ext>
          </a:extLst>
        </xdr:cNvPr>
        <xdr:cNvSpPr/>
      </xdr:nvSpPr>
      <xdr:spPr>
        <a:xfrm>
          <a:off x="59921775" y="30812701"/>
          <a:ext cx="757203" cy="217037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99</xdr:col>
      <xdr:colOff>177021</xdr:colOff>
      <xdr:row>124</xdr:row>
      <xdr:rowOff>107395</xdr:rowOff>
    </xdr:from>
    <xdr:to>
      <xdr:col>100</xdr:col>
      <xdr:colOff>327383</xdr:colOff>
      <xdr:row>125</xdr:row>
      <xdr:rowOff>66301</xdr:rowOff>
    </xdr:to>
    <xdr:sp macro="" textlink="">
      <xdr:nvSpPr>
        <xdr:cNvPr id="373" name="Down Arrow Callout 37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75010000}"/>
            </a:ext>
          </a:extLst>
        </xdr:cNvPr>
        <xdr:cNvSpPr/>
      </xdr:nvSpPr>
      <xdr:spPr>
        <a:xfrm>
          <a:off x="60708396" y="30815995"/>
          <a:ext cx="759962" cy="206556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98</xdr:col>
      <xdr:colOff>25877</xdr:colOff>
      <xdr:row>120</xdr:row>
      <xdr:rowOff>0</xdr:rowOff>
    </xdr:from>
    <xdr:to>
      <xdr:col>99</xdr:col>
      <xdr:colOff>147161</xdr:colOff>
      <xdr:row>120</xdr:row>
      <xdr:rowOff>254520</xdr:rowOff>
    </xdr:to>
    <xdr:sp macro="" textlink="">
      <xdr:nvSpPr>
        <xdr:cNvPr id="374" name="Up Arrow Callout 37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76010000}"/>
            </a:ext>
          </a:extLst>
        </xdr:cNvPr>
        <xdr:cNvSpPr/>
      </xdr:nvSpPr>
      <xdr:spPr>
        <a:xfrm>
          <a:off x="59947652" y="29718000"/>
          <a:ext cx="730884" cy="244995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99</xdr:col>
      <xdr:colOff>182880</xdr:colOff>
      <xdr:row>120</xdr:row>
      <xdr:rowOff>3905</xdr:rowOff>
    </xdr:from>
    <xdr:to>
      <xdr:col>100</xdr:col>
      <xdr:colOff>303539</xdr:colOff>
      <xdr:row>120</xdr:row>
      <xdr:rowOff>255062</xdr:rowOff>
    </xdr:to>
    <xdr:sp macro="" textlink="">
      <xdr:nvSpPr>
        <xdr:cNvPr id="375" name="Up Arrow Callout 37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77010000}"/>
            </a:ext>
          </a:extLst>
        </xdr:cNvPr>
        <xdr:cNvSpPr/>
      </xdr:nvSpPr>
      <xdr:spPr>
        <a:xfrm>
          <a:off x="60714255" y="29721905"/>
          <a:ext cx="730259" cy="241632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98</xdr:col>
      <xdr:colOff>16493</xdr:colOff>
      <xdr:row>123</xdr:row>
      <xdr:rowOff>108521</xdr:rowOff>
    </xdr:from>
    <xdr:to>
      <xdr:col>99</xdr:col>
      <xdr:colOff>149542</xdr:colOff>
      <xdr:row>124</xdr:row>
      <xdr:rowOff>63232</xdr:rowOff>
    </xdr:to>
    <xdr:sp macro="" textlink="">
      <xdr:nvSpPr>
        <xdr:cNvPr id="376" name="Down Arrow Callout 37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78010000}"/>
            </a:ext>
          </a:extLst>
        </xdr:cNvPr>
        <xdr:cNvSpPr/>
      </xdr:nvSpPr>
      <xdr:spPr>
        <a:xfrm>
          <a:off x="59938268" y="30569471"/>
          <a:ext cx="742649" cy="20236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99</xdr:col>
      <xdr:colOff>180498</xdr:colOff>
      <xdr:row>123</xdr:row>
      <xdr:rowOff>107970</xdr:rowOff>
    </xdr:from>
    <xdr:to>
      <xdr:col>100</xdr:col>
      <xdr:colOff>326025</xdr:colOff>
      <xdr:row>124</xdr:row>
      <xdr:rowOff>66252</xdr:rowOff>
    </xdr:to>
    <xdr:sp macro="" textlink="">
      <xdr:nvSpPr>
        <xdr:cNvPr id="377" name="Down Arrow Callout 37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79010000}"/>
            </a:ext>
          </a:extLst>
        </xdr:cNvPr>
        <xdr:cNvSpPr/>
      </xdr:nvSpPr>
      <xdr:spPr>
        <a:xfrm>
          <a:off x="60711873" y="30568920"/>
          <a:ext cx="755127" cy="205932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98</xdr:col>
      <xdr:colOff>22761</xdr:colOff>
      <xdr:row>121</xdr:row>
      <xdr:rowOff>8433</xdr:rowOff>
    </xdr:from>
    <xdr:to>
      <xdr:col>99</xdr:col>
      <xdr:colOff>151923</xdr:colOff>
      <xdr:row>121</xdr:row>
      <xdr:rowOff>255957</xdr:rowOff>
    </xdr:to>
    <xdr:sp macro="" textlink="">
      <xdr:nvSpPr>
        <xdr:cNvPr id="378" name="Up Arrow Callout 37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7A010000}"/>
            </a:ext>
          </a:extLst>
        </xdr:cNvPr>
        <xdr:cNvSpPr/>
      </xdr:nvSpPr>
      <xdr:spPr>
        <a:xfrm>
          <a:off x="59944536" y="29974083"/>
          <a:ext cx="738762" cy="237999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99</xdr:col>
      <xdr:colOff>188299</xdr:colOff>
      <xdr:row>121</xdr:row>
      <xdr:rowOff>6053</xdr:rowOff>
    </xdr:from>
    <xdr:to>
      <xdr:col>100</xdr:col>
      <xdr:colOff>329246</xdr:colOff>
      <xdr:row>121</xdr:row>
      <xdr:rowOff>257211</xdr:rowOff>
    </xdr:to>
    <xdr:sp macro="" textlink="">
      <xdr:nvSpPr>
        <xdr:cNvPr id="379" name="Up Arrow Callout 37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7B010000}"/>
            </a:ext>
          </a:extLst>
        </xdr:cNvPr>
        <xdr:cNvSpPr/>
      </xdr:nvSpPr>
      <xdr:spPr>
        <a:xfrm>
          <a:off x="60719674" y="29971703"/>
          <a:ext cx="750547" cy="241633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98</xdr:col>
      <xdr:colOff>20955</xdr:colOff>
      <xdr:row>122</xdr:row>
      <xdr:rowOff>2439</xdr:rowOff>
    </xdr:from>
    <xdr:to>
      <xdr:col>99</xdr:col>
      <xdr:colOff>149542</xdr:colOff>
      <xdr:row>122</xdr:row>
      <xdr:rowOff>251157</xdr:rowOff>
    </xdr:to>
    <xdr:sp macro="" textlink="">
      <xdr:nvSpPr>
        <xdr:cNvPr id="380" name="Up Arrow Callout 379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7C010000}"/>
            </a:ext>
          </a:extLst>
        </xdr:cNvPr>
        <xdr:cNvSpPr/>
      </xdr:nvSpPr>
      <xdr:spPr>
        <a:xfrm>
          <a:off x="59942730" y="30215739"/>
          <a:ext cx="738187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99</xdr:col>
      <xdr:colOff>185992</xdr:colOff>
      <xdr:row>122</xdr:row>
      <xdr:rowOff>5992</xdr:rowOff>
    </xdr:from>
    <xdr:to>
      <xdr:col>100</xdr:col>
      <xdr:colOff>326437</xdr:colOff>
      <xdr:row>122</xdr:row>
      <xdr:rowOff>258518</xdr:rowOff>
    </xdr:to>
    <xdr:sp macro="" textlink="">
      <xdr:nvSpPr>
        <xdr:cNvPr id="381" name="Up Arrow Callout 380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7D010000}"/>
            </a:ext>
          </a:extLst>
        </xdr:cNvPr>
        <xdr:cNvSpPr/>
      </xdr:nvSpPr>
      <xdr:spPr>
        <a:xfrm>
          <a:off x="60717367" y="30219292"/>
          <a:ext cx="750045" cy="243001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166</xdr:col>
      <xdr:colOff>281608</xdr:colOff>
      <xdr:row>0</xdr:row>
      <xdr:rowOff>188843</xdr:rowOff>
    </xdr:from>
    <xdr:to>
      <xdr:col>170</xdr:col>
      <xdr:colOff>441462</xdr:colOff>
      <xdr:row>2</xdr:row>
      <xdr:rowOff>163284</xdr:rowOff>
    </xdr:to>
    <xdr:sp macro="" textlink="">
      <xdr:nvSpPr>
        <xdr:cNvPr id="218" name="Horizontal Scroll 2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DA000000}"/>
            </a:ext>
          </a:extLst>
        </xdr:cNvPr>
        <xdr:cNvSpPr/>
      </xdr:nvSpPr>
      <xdr:spPr>
        <a:xfrm>
          <a:off x="31056883" y="188843"/>
          <a:ext cx="2674454" cy="526891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ELECON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207</xdr:col>
      <xdr:colOff>571501</xdr:colOff>
      <xdr:row>0</xdr:row>
      <xdr:rowOff>149087</xdr:rowOff>
    </xdr:from>
    <xdr:to>
      <xdr:col>212</xdr:col>
      <xdr:colOff>118442</xdr:colOff>
      <xdr:row>2</xdr:row>
      <xdr:rowOff>142460</xdr:rowOff>
    </xdr:to>
    <xdr:sp macro="" textlink="">
      <xdr:nvSpPr>
        <xdr:cNvPr id="219" name="Horizontal Scroll 21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DB000000}"/>
            </a:ext>
          </a:extLst>
        </xdr:cNvPr>
        <xdr:cNvSpPr/>
      </xdr:nvSpPr>
      <xdr:spPr>
        <a:xfrm>
          <a:off x="57226201" y="149087"/>
          <a:ext cx="2642566" cy="545823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Premium</a:t>
          </a:r>
        </a:p>
      </xdr:txBody>
    </xdr:sp>
    <xdr:clientData/>
  </xdr:twoCellAnchor>
  <xdr:twoCellAnchor>
    <xdr:from>
      <xdr:col>131</xdr:col>
      <xdr:colOff>105641</xdr:colOff>
      <xdr:row>136</xdr:row>
      <xdr:rowOff>68508</xdr:rowOff>
    </xdr:from>
    <xdr:to>
      <xdr:col>135</xdr:col>
      <xdr:colOff>400916</xdr:colOff>
      <xdr:row>139</xdr:row>
      <xdr:rowOff>20883</xdr:rowOff>
    </xdr:to>
    <xdr:sp macro="" textlink="">
      <xdr:nvSpPr>
        <xdr:cNvPr id="220" name="Horizontal Scroll 21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300-0000DC000000}"/>
            </a:ext>
          </a:extLst>
        </xdr:cNvPr>
        <xdr:cNvSpPr/>
      </xdr:nvSpPr>
      <xdr:spPr>
        <a:xfrm>
          <a:off x="5534891" y="37635108"/>
          <a:ext cx="5229225" cy="781050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Anupam    3177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136</xdr:col>
      <xdr:colOff>542925</xdr:colOff>
      <xdr:row>21</xdr:row>
      <xdr:rowOff>95251</xdr:rowOff>
    </xdr:from>
    <xdr:to>
      <xdr:col>139</xdr:col>
      <xdr:colOff>376229</xdr:colOff>
      <xdr:row>22</xdr:row>
      <xdr:rowOff>218000</xdr:rowOff>
    </xdr:to>
    <xdr:sp macro="" textlink="">
      <xdr:nvSpPr>
        <xdr:cNvPr id="221" name="Horizontal Scroll 22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DD000000}"/>
            </a:ext>
          </a:extLst>
        </xdr:cNvPr>
        <xdr:cNvSpPr/>
      </xdr:nvSpPr>
      <xdr:spPr>
        <a:xfrm>
          <a:off x="11525250" y="5895976"/>
          <a:ext cx="1957379" cy="398974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gradFill>
            <a:gsLst>
              <a:gs pos="0">
                <a:srgbClr val="825600"/>
              </a:gs>
              <a:gs pos="13000">
                <a:srgbClr val="FFA800"/>
              </a:gs>
              <a:gs pos="28000">
                <a:srgbClr val="825600"/>
              </a:gs>
              <a:gs pos="42999">
                <a:srgbClr val="FFA800"/>
              </a:gs>
              <a:gs pos="58000">
                <a:srgbClr val="825600"/>
              </a:gs>
              <a:gs pos="72000">
                <a:srgbClr val="FFA800"/>
              </a:gs>
              <a:gs pos="87000">
                <a:srgbClr val="825600"/>
              </a:gs>
              <a:gs pos="100000">
                <a:srgbClr val="FFA800"/>
              </a:gs>
            </a:gsLst>
            <a:lin ang="5400000" scaled="0"/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Premium</a:t>
          </a:r>
        </a:p>
      </xdr:txBody>
    </xdr:sp>
    <xdr:clientData/>
  </xdr:twoCellAnchor>
  <xdr:twoCellAnchor>
    <xdr:from>
      <xdr:col>136</xdr:col>
      <xdr:colOff>527188</xdr:colOff>
      <xdr:row>25</xdr:row>
      <xdr:rowOff>152401</xdr:rowOff>
    </xdr:from>
    <xdr:to>
      <xdr:col>139</xdr:col>
      <xdr:colOff>347555</xdr:colOff>
      <xdr:row>26</xdr:row>
      <xdr:rowOff>261436</xdr:rowOff>
    </xdr:to>
    <xdr:sp macro="" textlink="">
      <xdr:nvSpPr>
        <xdr:cNvPr id="222" name="Horizontal Scroll 2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DE000000}"/>
            </a:ext>
          </a:extLst>
        </xdr:cNvPr>
        <xdr:cNvSpPr/>
      </xdr:nvSpPr>
      <xdr:spPr>
        <a:xfrm>
          <a:off x="11509513" y="7058026"/>
          <a:ext cx="1944442" cy="385260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gradFill>
            <a:gsLst>
              <a:gs pos="0">
                <a:srgbClr val="825600"/>
              </a:gs>
              <a:gs pos="13000">
                <a:srgbClr val="FFA800"/>
              </a:gs>
              <a:gs pos="28000">
                <a:srgbClr val="825600"/>
              </a:gs>
              <a:gs pos="42999">
                <a:srgbClr val="FFA800"/>
              </a:gs>
              <a:gs pos="58000">
                <a:srgbClr val="825600"/>
              </a:gs>
              <a:gs pos="72000">
                <a:srgbClr val="FFA800"/>
              </a:gs>
              <a:gs pos="87000">
                <a:srgbClr val="825600"/>
              </a:gs>
              <a:gs pos="100000">
                <a:srgbClr val="FFA800"/>
              </a:gs>
            </a:gsLst>
            <a:lin ang="5400000" scaled="0"/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ELECON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136</xdr:col>
      <xdr:colOff>506895</xdr:colOff>
      <xdr:row>7</xdr:row>
      <xdr:rowOff>84484</xdr:rowOff>
    </xdr:from>
    <xdr:to>
      <xdr:col>139</xdr:col>
      <xdr:colOff>314325</xdr:colOff>
      <xdr:row>8</xdr:row>
      <xdr:rowOff>228601</xdr:rowOff>
    </xdr:to>
    <xdr:sp macro="" textlink="">
      <xdr:nvSpPr>
        <xdr:cNvPr id="223" name="Horizontal Scroll 22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300-0000DF000000}"/>
            </a:ext>
          </a:extLst>
        </xdr:cNvPr>
        <xdr:cNvSpPr/>
      </xdr:nvSpPr>
      <xdr:spPr>
        <a:xfrm>
          <a:off x="11489220" y="2018059"/>
          <a:ext cx="1931505" cy="420342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gradFill>
            <a:gsLst>
              <a:gs pos="0">
                <a:srgbClr val="825600"/>
              </a:gs>
              <a:gs pos="13000">
                <a:srgbClr val="FFA800"/>
              </a:gs>
              <a:gs pos="28000">
                <a:srgbClr val="825600"/>
              </a:gs>
              <a:gs pos="42999">
                <a:srgbClr val="FFA800"/>
              </a:gs>
              <a:gs pos="58000">
                <a:srgbClr val="825600"/>
              </a:gs>
              <a:gs pos="72000">
                <a:srgbClr val="FFA800"/>
              </a:gs>
              <a:gs pos="87000">
                <a:srgbClr val="825600"/>
              </a:gs>
              <a:gs pos="100000">
                <a:srgbClr val="FFA800"/>
              </a:gs>
            </a:gsLst>
            <a:lin ang="5400000" scaled="0"/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Anupam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136</xdr:col>
      <xdr:colOff>568127</xdr:colOff>
      <xdr:row>14</xdr:row>
      <xdr:rowOff>153228</xdr:rowOff>
    </xdr:from>
    <xdr:to>
      <xdr:col>139</xdr:col>
      <xdr:colOff>371860</xdr:colOff>
      <xdr:row>15</xdr:row>
      <xdr:rowOff>256751</xdr:rowOff>
    </xdr:to>
    <xdr:sp macro="" textlink="">
      <xdr:nvSpPr>
        <xdr:cNvPr id="224" name="Horizontal Scroll 22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300-0000E0000000}"/>
            </a:ext>
          </a:extLst>
        </xdr:cNvPr>
        <xdr:cNvSpPr/>
      </xdr:nvSpPr>
      <xdr:spPr>
        <a:xfrm>
          <a:off x="11550452" y="4020378"/>
          <a:ext cx="1927808" cy="379748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gradFill>
            <a:gsLst>
              <a:gs pos="0">
                <a:srgbClr val="825600"/>
              </a:gs>
              <a:gs pos="13000">
                <a:srgbClr val="FFA800"/>
              </a:gs>
              <a:gs pos="28000">
                <a:srgbClr val="825600"/>
              </a:gs>
              <a:gs pos="42999">
                <a:srgbClr val="FFA800"/>
              </a:gs>
              <a:gs pos="58000">
                <a:srgbClr val="825600"/>
              </a:gs>
              <a:gs pos="72000">
                <a:srgbClr val="FFA800"/>
              </a:gs>
              <a:gs pos="87000">
                <a:srgbClr val="825600"/>
              </a:gs>
              <a:gs pos="100000">
                <a:srgbClr val="FFA800"/>
              </a:gs>
            </a:gsLst>
            <a:lin ang="5400000" scaled="0"/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Anupam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133</xdr:col>
      <xdr:colOff>538370</xdr:colOff>
      <xdr:row>65</xdr:row>
      <xdr:rowOff>41413</xdr:rowOff>
    </xdr:from>
    <xdr:to>
      <xdr:col>137</xdr:col>
      <xdr:colOff>168138</xdr:colOff>
      <xdr:row>67</xdr:row>
      <xdr:rowOff>150743</xdr:rowOff>
    </xdr:to>
    <xdr:sp macro="" textlink="">
      <xdr:nvSpPr>
        <xdr:cNvPr id="225" name="Horizontal Scroll 22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E1000000}"/>
            </a:ext>
          </a:extLst>
        </xdr:cNvPr>
        <xdr:cNvSpPr/>
      </xdr:nvSpPr>
      <xdr:spPr>
        <a:xfrm>
          <a:off x="8825120" y="17996038"/>
          <a:ext cx="2944468" cy="661780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ELECON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133</xdr:col>
      <xdr:colOff>521804</xdr:colOff>
      <xdr:row>62</xdr:row>
      <xdr:rowOff>66261</xdr:rowOff>
    </xdr:from>
    <xdr:to>
      <xdr:col>137</xdr:col>
      <xdr:colOff>151572</xdr:colOff>
      <xdr:row>64</xdr:row>
      <xdr:rowOff>175591</xdr:rowOff>
    </xdr:to>
    <xdr:sp macro="" textlink="">
      <xdr:nvSpPr>
        <xdr:cNvPr id="226" name="Horizontal Scroll 22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E2000000}"/>
            </a:ext>
          </a:extLst>
        </xdr:cNvPr>
        <xdr:cNvSpPr/>
      </xdr:nvSpPr>
      <xdr:spPr>
        <a:xfrm>
          <a:off x="8808554" y="17192211"/>
          <a:ext cx="2944468" cy="661780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Premium</a:t>
          </a:r>
        </a:p>
      </xdr:txBody>
    </xdr:sp>
    <xdr:clientData/>
  </xdr:twoCellAnchor>
  <xdr:twoCellAnchor>
    <xdr:from>
      <xdr:col>133</xdr:col>
      <xdr:colOff>505239</xdr:colOff>
      <xdr:row>59</xdr:row>
      <xdr:rowOff>33130</xdr:rowOff>
    </xdr:from>
    <xdr:to>
      <xdr:col>137</xdr:col>
      <xdr:colOff>135007</xdr:colOff>
      <xdr:row>61</xdr:row>
      <xdr:rowOff>142460</xdr:rowOff>
    </xdr:to>
    <xdr:sp macro="" textlink="">
      <xdr:nvSpPr>
        <xdr:cNvPr id="227" name="Horizontal Scroll 22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300-0000E3000000}"/>
            </a:ext>
          </a:extLst>
        </xdr:cNvPr>
        <xdr:cNvSpPr/>
      </xdr:nvSpPr>
      <xdr:spPr>
        <a:xfrm>
          <a:off x="8791989" y="16330405"/>
          <a:ext cx="2944468" cy="661780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Anupam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231</xdr:col>
      <xdr:colOff>13607</xdr:colOff>
      <xdr:row>0</xdr:row>
      <xdr:rowOff>176893</xdr:rowOff>
    </xdr:from>
    <xdr:to>
      <xdr:col>235</xdr:col>
      <xdr:colOff>172869</xdr:colOff>
      <xdr:row>2</xdr:row>
      <xdr:rowOff>170266</xdr:rowOff>
    </xdr:to>
    <xdr:sp macro="" textlink="">
      <xdr:nvSpPr>
        <xdr:cNvPr id="228" name="Horizontal Scroll 22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E4000000}"/>
            </a:ext>
          </a:extLst>
        </xdr:cNvPr>
        <xdr:cNvSpPr/>
      </xdr:nvSpPr>
      <xdr:spPr>
        <a:xfrm>
          <a:off x="71765432" y="176893"/>
          <a:ext cx="2635762" cy="545823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Premium</a:t>
          </a:r>
        </a:p>
      </xdr:txBody>
    </xdr:sp>
    <xdr:clientData/>
  </xdr:twoCellAnchor>
  <xdr:twoCellAnchor>
    <xdr:from>
      <xdr:col>187</xdr:col>
      <xdr:colOff>517073</xdr:colOff>
      <xdr:row>0</xdr:row>
      <xdr:rowOff>163286</xdr:rowOff>
    </xdr:from>
    <xdr:to>
      <xdr:col>192</xdr:col>
      <xdr:colOff>64605</xdr:colOff>
      <xdr:row>2</xdr:row>
      <xdr:rowOff>137727</xdr:rowOff>
    </xdr:to>
    <xdr:sp macro="" textlink="">
      <xdr:nvSpPr>
        <xdr:cNvPr id="229" name="Horizontal Scroll 22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E5000000}"/>
            </a:ext>
          </a:extLst>
        </xdr:cNvPr>
        <xdr:cNvSpPr/>
      </xdr:nvSpPr>
      <xdr:spPr>
        <a:xfrm>
          <a:off x="44589248" y="163286"/>
          <a:ext cx="2719357" cy="526891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ELECON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130</xdr:col>
      <xdr:colOff>1314450</xdr:colOff>
      <xdr:row>367</xdr:row>
      <xdr:rowOff>47625</xdr:rowOff>
    </xdr:from>
    <xdr:to>
      <xdr:col>135</xdr:col>
      <xdr:colOff>180975</xdr:colOff>
      <xdr:row>370</xdr:row>
      <xdr:rowOff>0</xdr:rowOff>
    </xdr:to>
    <xdr:sp macro="" textlink="">
      <xdr:nvSpPr>
        <xdr:cNvPr id="230" name="Horizontal Scroll 22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300-0000E6000000}"/>
            </a:ext>
          </a:extLst>
        </xdr:cNvPr>
        <xdr:cNvSpPr/>
      </xdr:nvSpPr>
      <xdr:spPr>
        <a:xfrm>
          <a:off x="5314950" y="101307900"/>
          <a:ext cx="5229225" cy="781050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Anupam   4137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138</xdr:col>
      <xdr:colOff>745808</xdr:colOff>
      <xdr:row>35</xdr:row>
      <xdr:rowOff>120794</xdr:rowOff>
    </xdr:from>
    <xdr:to>
      <xdr:col>139</xdr:col>
      <xdr:colOff>741011</xdr:colOff>
      <xdr:row>36</xdr:row>
      <xdr:rowOff>90181</xdr:rowOff>
    </xdr:to>
    <xdr:sp macro="" textlink="">
      <xdr:nvSpPr>
        <xdr:cNvPr id="231" name="Down Arrow Callout 23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E7000000}"/>
            </a:ext>
          </a:extLst>
        </xdr:cNvPr>
        <xdr:cNvSpPr/>
      </xdr:nvSpPr>
      <xdr:spPr>
        <a:xfrm>
          <a:off x="13099733" y="9788669"/>
          <a:ext cx="74767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8429</xdr:colOff>
      <xdr:row>35</xdr:row>
      <xdr:rowOff>124088</xdr:rowOff>
    </xdr:from>
    <xdr:to>
      <xdr:col>141</xdr:col>
      <xdr:colOff>6391</xdr:colOff>
      <xdr:row>36</xdr:row>
      <xdr:rowOff>82994</xdr:rowOff>
    </xdr:to>
    <xdr:sp macro="" textlink="">
      <xdr:nvSpPr>
        <xdr:cNvPr id="232" name="Down Arrow Callout 23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E8000000}"/>
            </a:ext>
          </a:extLst>
        </xdr:cNvPr>
        <xdr:cNvSpPr/>
      </xdr:nvSpPr>
      <xdr:spPr>
        <a:xfrm>
          <a:off x="13867304" y="9791963"/>
          <a:ext cx="75043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139</xdr:col>
      <xdr:colOff>9685</xdr:colOff>
      <xdr:row>31</xdr:row>
      <xdr:rowOff>16693</xdr:rowOff>
    </xdr:from>
    <xdr:to>
      <xdr:col>139</xdr:col>
      <xdr:colOff>740569</xdr:colOff>
      <xdr:row>31</xdr:row>
      <xdr:rowOff>271213</xdr:rowOff>
    </xdr:to>
    <xdr:sp macro="" textlink="">
      <xdr:nvSpPr>
        <xdr:cNvPr id="233" name="Up Arrow Callout 23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E9000000}"/>
            </a:ext>
          </a:extLst>
        </xdr:cNvPr>
        <xdr:cNvSpPr/>
      </xdr:nvSpPr>
      <xdr:spPr>
        <a:xfrm>
          <a:off x="13116085" y="8579668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140</xdr:col>
      <xdr:colOff>14288</xdr:colOff>
      <xdr:row>31</xdr:row>
      <xdr:rowOff>20598</xdr:rowOff>
    </xdr:from>
    <xdr:to>
      <xdr:col>140</xdr:col>
      <xdr:colOff>744547</xdr:colOff>
      <xdr:row>31</xdr:row>
      <xdr:rowOff>271755</xdr:rowOff>
    </xdr:to>
    <xdr:sp macro="" textlink="">
      <xdr:nvSpPr>
        <xdr:cNvPr id="234" name="Up Arrow Callout 23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EA000000}"/>
            </a:ext>
          </a:extLst>
        </xdr:cNvPr>
        <xdr:cNvSpPr/>
      </xdr:nvSpPr>
      <xdr:spPr>
        <a:xfrm>
          <a:off x="13873163" y="8583573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139</xdr:col>
      <xdr:colOff>301</xdr:colOff>
      <xdr:row>34</xdr:row>
      <xdr:rowOff>125214</xdr:rowOff>
    </xdr:from>
    <xdr:to>
      <xdr:col>139</xdr:col>
      <xdr:colOff>742950</xdr:colOff>
      <xdr:row>35</xdr:row>
      <xdr:rowOff>79925</xdr:rowOff>
    </xdr:to>
    <xdr:sp macro="" textlink="">
      <xdr:nvSpPr>
        <xdr:cNvPr id="235" name="Down Arrow Callout 23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EB000000}"/>
            </a:ext>
          </a:extLst>
        </xdr:cNvPr>
        <xdr:cNvSpPr/>
      </xdr:nvSpPr>
      <xdr:spPr>
        <a:xfrm>
          <a:off x="13106701" y="9516864"/>
          <a:ext cx="742649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11906</xdr:colOff>
      <xdr:row>34</xdr:row>
      <xdr:rowOff>124663</xdr:rowOff>
    </xdr:from>
    <xdr:to>
      <xdr:col>141</xdr:col>
      <xdr:colOff>5033</xdr:colOff>
      <xdr:row>35</xdr:row>
      <xdr:rowOff>82945</xdr:rowOff>
    </xdr:to>
    <xdr:sp macro="" textlink="">
      <xdr:nvSpPr>
        <xdr:cNvPr id="236" name="Down Arrow Callout 23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EC000000}"/>
            </a:ext>
          </a:extLst>
        </xdr:cNvPr>
        <xdr:cNvSpPr/>
      </xdr:nvSpPr>
      <xdr:spPr>
        <a:xfrm>
          <a:off x="13870781" y="9516313"/>
          <a:ext cx="74560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139</xdr:col>
      <xdr:colOff>6569</xdr:colOff>
      <xdr:row>32</xdr:row>
      <xdr:rowOff>25126</xdr:rowOff>
    </xdr:from>
    <xdr:to>
      <xdr:col>139</xdr:col>
      <xdr:colOff>745331</xdr:colOff>
      <xdr:row>33</xdr:row>
      <xdr:rowOff>5950</xdr:rowOff>
    </xdr:to>
    <xdr:sp macro="" textlink="">
      <xdr:nvSpPr>
        <xdr:cNvPr id="237" name="Up Arrow Callout 23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ED000000}"/>
            </a:ext>
          </a:extLst>
        </xdr:cNvPr>
        <xdr:cNvSpPr/>
      </xdr:nvSpPr>
      <xdr:spPr>
        <a:xfrm>
          <a:off x="13112969" y="8864326"/>
          <a:ext cx="738762" cy="257049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140</xdr:col>
      <xdr:colOff>19707</xdr:colOff>
      <xdr:row>32</xdr:row>
      <xdr:rowOff>22746</xdr:rowOff>
    </xdr:from>
    <xdr:to>
      <xdr:col>141</xdr:col>
      <xdr:colOff>8254</xdr:colOff>
      <xdr:row>32</xdr:row>
      <xdr:rowOff>273904</xdr:rowOff>
    </xdr:to>
    <xdr:sp macro="" textlink="">
      <xdr:nvSpPr>
        <xdr:cNvPr id="238" name="Up Arrow Callout 237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EE000000}"/>
            </a:ext>
          </a:extLst>
        </xdr:cNvPr>
        <xdr:cNvSpPr/>
      </xdr:nvSpPr>
      <xdr:spPr>
        <a:xfrm>
          <a:off x="13878582" y="8861946"/>
          <a:ext cx="74102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139</xdr:col>
      <xdr:colOff>4763</xdr:colOff>
      <xdr:row>33</xdr:row>
      <xdr:rowOff>19132</xdr:rowOff>
    </xdr:from>
    <xdr:to>
      <xdr:col>139</xdr:col>
      <xdr:colOff>742950</xdr:colOff>
      <xdr:row>34</xdr:row>
      <xdr:rowOff>1150</xdr:rowOff>
    </xdr:to>
    <xdr:sp macro="" textlink="">
      <xdr:nvSpPr>
        <xdr:cNvPr id="239" name="Up Arrow Callout 23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EF000000}"/>
            </a:ext>
          </a:extLst>
        </xdr:cNvPr>
        <xdr:cNvSpPr/>
      </xdr:nvSpPr>
      <xdr:spPr>
        <a:xfrm>
          <a:off x="13111163" y="9134557"/>
          <a:ext cx="738187" cy="258243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140</xdr:col>
      <xdr:colOff>17400</xdr:colOff>
      <xdr:row>33</xdr:row>
      <xdr:rowOff>22685</xdr:rowOff>
    </xdr:from>
    <xdr:to>
      <xdr:col>141</xdr:col>
      <xdr:colOff>5445</xdr:colOff>
      <xdr:row>33</xdr:row>
      <xdr:rowOff>275211</xdr:rowOff>
    </xdr:to>
    <xdr:sp macro="" textlink="">
      <xdr:nvSpPr>
        <xdr:cNvPr id="240" name="Up Arrow Callout 23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F0000000}"/>
            </a:ext>
          </a:extLst>
        </xdr:cNvPr>
        <xdr:cNvSpPr/>
      </xdr:nvSpPr>
      <xdr:spPr>
        <a:xfrm>
          <a:off x="13876275" y="9138110"/>
          <a:ext cx="74052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127</xdr:col>
      <xdr:colOff>168088</xdr:colOff>
      <xdr:row>148</xdr:row>
      <xdr:rowOff>193747</xdr:rowOff>
    </xdr:from>
    <xdr:to>
      <xdr:col>128</xdr:col>
      <xdr:colOff>252938</xdr:colOff>
      <xdr:row>149</xdr:row>
      <xdr:rowOff>163134</xdr:rowOff>
    </xdr:to>
    <xdr:sp macro="" textlink="">
      <xdr:nvSpPr>
        <xdr:cNvPr id="241" name="Down Arrow Callout 24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F1000000}"/>
            </a:ext>
          </a:extLst>
        </xdr:cNvPr>
        <xdr:cNvSpPr/>
      </xdr:nvSpPr>
      <xdr:spPr>
        <a:xfrm>
          <a:off x="653863" y="41075047"/>
          <a:ext cx="742075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128</xdr:col>
      <xdr:colOff>271150</xdr:colOff>
      <xdr:row>148</xdr:row>
      <xdr:rowOff>197041</xdr:rowOff>
    </xdr:from>
    <xdr:to>
      <xdr:col>128</xdr:col>
      <xdr:colOff>1019906</xdr:colOff>
      <xdr:row>149</xdr:row>
      <xdr:rowOff>155947</xdr:rowOff>
    </xdr:to>
    <xdr:sp macro="" textlink="">
      <xdr:nvSpPr>
        <xdr:cNvPr id="242" name="Down Arrow Callout 24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F2000000}"/>
            </a:ext>
          </a:extLst>
        </xdr:cNvPr>
        <xdr:cNvSpPr/>
      </xdr:nvSpPr>
      <xdr:spPr>
        <a:xfrm>
          <a:off x="1414150" y="41078341"/>
          <a:ext cx="748756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127</xdr:col>
      <xdr:colOff>182759</xdr:colOff>
      <xdr:row>144</xdr:row>
      <xdr:rowOff>89647</xdr:rowOff>
    </xdr:from>
    <xdr:to>
      <xdr:col>128</xdr:col>
      <xdr:colOff>252496</xdr:colOff>
      <xdr:row>145</xdr:row>
      <xdr:rowOff>64020</xdr:rowOff>
    </xdr:to>
    <xdr:sp macro="" textlink="">
      <xdr:nvSpPr>
        <xdr:cNvPr id="243" name="Up Arrow Callout 24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F3000000}"/>
            </a:ext>
          </a:extLst>
        </xdr:cNvPr>
        <xdr:cNvSpPr/>
      </xdr:nvSpPr>
      <xdr:spPr>
        <a:xfrm>
          <a:off x="668534" y="39866047"/>
          <a:ext cx="726962" cy="250598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128</xdr:col>
      <xdr:colOff>277009</xdr:colOff>
      <xdr:row>144</xdr:row>
      <xdr:rowOff>93552</xdr:rowOff>
    </xdr:from>
    <xdr:to>
      <xdr:col>128</xdr:col>
      <xdr:colOff>1007268</xdr:colOff>
      <xdr:row>145</xdr:row>
      <xdr:rowOff>64562</xdr:rowOff>
    </xdr:to>
    <xdr:sp macro="" textlink="">
      <xdr:nvSpPr>
        <xdr:cNvPr id="244" name="Up Arrow Callout 24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F4000000}"/>
            </a:ext>
          </a:extLst>
        </xdr:cNvPr>
        <xdr:cNvSpPr/>
      </xdr:nvSpPr>
      <xdr:spPr>
        <a:xfrm>
          <a:off x="1420009" y="39869952"/>
          <a:ext cx="730259" cy="247235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127</xdr:col>
      <xdr:colOff>173375</xdr:colOff>
      <xdr:row>147</xdr:row>
      <xdr:rowOff>198167</xdr:rowOff>
    </xdr:from>
    <xdr:to>
      <xdr:col>128</xdr:col>
      <xdr:colOff>254877</xdr:colOff>
      <xdr:row>148</xdr:row>
      <xdr:rowOff>152878</xdr:rowOff>
    </xdr:to>
    <xdr:sp macro="" textlink="">
      <xdr:nvSpPr>
        <xdr:cNvPr id="245" name="Down Arrow Callout 24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F5000000}"/>
            </a:ext>
          </a:extLst>
        </xdr:cNvPr>
        <xdr:cNvSpPr/>
      </xdr:nvSpPr>
      <xdr:spPr>
        <a:xfrm>
          <a:off x="659150" y="40803242"/>
          <a:ext cx="738727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128</xdr:col>
      <xdr:colOff>274627</xdr:colOff>
      <xdr:row>147</xdr:row>
      <xdr:rowOff>197616</xdr:rowOff>
    </xdr:from>
    <xdr:to>
      <xdr:col>128</xdr:col>
      <xdr:colOff>1018548</xdr:colOff>
      <xdr:row>148</xdr:row>
      <xdr:rowOff>155898</xdr:rowOff>
    </xdr:to>
    <xdr:sp macro="" textlink="">
      <xdr:nvSpPr>
        <xdr:cNvPr id="246" name="Down Arrow Callout 24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F6000000}"/>
            </a:ext>
          </a:extLst>
        </xdr:cNvPr>
        <xdr:cNvSpPr/>
      </xdr:nvSpPr>
      <xdr:spPr>
        <a:xfrm>
          <a:off x="1417627" y="40802691"/>
          <a:ext cx="743921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127</xdr:col>
      <xdr:colOff>179643</xdr:colOff>
      <xdr:row>145</xdr:row>
      <xdr:rowOff>98080</xdr:rowOff>
    </xdr:from>
    <xdr:to>
      <xdr:col>128</xdr:col>
      <xdr:colOff>257258</xdr:colOff>
      <xdr:row>146</xdr:row>
      <xdr:rowOff>78904</xdr:rowOff>
    </xdr:to>
    <xdr:sp macro="" textlink="">
      <xdr:nvSpPr>
        <xdr:cNvPr id="247" name="Up Arrow Callout 24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F7000000}"/>
            </a:ext>
          </a:extLst>
        </xdr:cNvPr>
        <xdr:cNvSpPr/>
      </xdr:nvSpPr>
      <xdr:spPr>
        <a:xfrm>
          <a:off x="665418" y="40150705"/>
          <a:ext cx="734840" cy="257049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128</xdr:col>
      <xdr:colOff>282428</xdr:colOff>
      <xdr:row>145</xdr:row>
      <xdr:rowOff>95700</xdr:rowOff>
    </xdr:from>
    <xdr:to>
      <xdr:col>128</xdr:col>
      <xdr:colOff>1021769</xdr:colOff>
      <xdr:row>146</xdr:row>
      <xdr:rowOff>66711</xdr:rowOff>
    </xdr:to>
    <xdr:sp macro="" textlink="">
      <xdr:nvSpPr>
        <xdr:cNvPr id="248" name="Up Arrow Callout 247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F8000000}"/>
            </a:ext>
          </a:extLst>
        </xdr:cNvPr>
        <xdr:cNvSpPr/>
      </xdr:nvSpPr>
      <xdr:spPr>
        <a:xfrm>
          <a:off x="1425428" y="40148325"/>
          <a:ext cx="739341" cy="24723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127</xdr:col>
      <xdr:colOff>177837</xdr:colOff>
      <xdr:row>146</xdr:row>
      <xdr:rowOff>92086</xdr:rowOff>
    </xdr:from>
    <xdr:to>
      <xdr:col>128</xdr:col>
      <xdr:colOff>254877</xdr:colOff>
      <xdr:row>147</xdr:row>
      <xdr:rowOff>74103</xdr:rowOff>
    </xdr:to>
    <xdr:sp macro="" textlink="">
      <xdr:nvSpPr>
        <xdr:cNvPr id="249" name="Up Arrow Callout 24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F9000000}"/>
            </a:ext>
          </a:extLst>
        </xdr:cNvPr>
        <xdr:cNvSpPr/>
      </xdr:nvSpPr>
      <xdr:spPr>
        <a:xfrm>
          <a:off x="663612" y="40420936"/>
          <a:ext cx="734265" cy="258242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128</xdr:col>
      <xdr:colOff>280121</xdr:colOff>
      <xdr:row>146</xdr:row>
      <xdr:rowOff>95639</xdr:rowOff>
    </xdr:from>
    <xdr:to>
      <xdr:col>128</xdr:col>
      <xdr:colOff>1018960</xdr:colOff>
      <xdr:row>147</xdr:row>
      <xdr:rowOff>68017</xdr:rowOff>
    </xdr:to>
    <xdr:sp macro="" textlink="">
      <xdr:nvSpPr>
        <xdr:cNvPr id="250" name="Up Arrow Callout 24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FA000000}"/>
            </a:ext>
          </a:extLst>
        </xdr:cNvPr>
        <xdr:cNvSpPr/>
      </xdr:nvSpPr>
      <xdr:spPr>
        <a:xfrm>
          <a:off x="1423121" y="40424489"/>
          <a:ext cx="738839" cy="248603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127</xdr:col>
      <xdr:colOff>0</xdr:colOff>
      <xdr:row>378</xdr:row>
      <xdr:rowOff>104101</xdr:rowOff>
    </xdr:from>
    <xdr:to>
      <xdr:col>128</xdr:col>
      <xdr:colOff>84850</xdr:colOff>
      <xdr:row>379</xdr:row>
      <xdr:rowOff>73488</xdr:rowOff>
    </xdr:to>
    <xdr:sp macro="" textlink="">
      <xdr:nvSpPr>
        <xdr:cNvPr id="251" name="Down Arrow Callout 25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FB000000}"/>
            </a:ext>
          </a:extLst>
        </xdr:cNvPr>
        <xdr:cNvSpPr/>
      </xdr:nvSpPr>
      <xdr:spPr>
        <a:xfrm>
          <a:off x="485775" y="104402851"/>
          <a:ext cx="742075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128</xdr:col>
      <xdr:colOff>103062</xdr:colOff>
      <xdr:row>378</xdr:row>
      <xdr:rowOff>107395</xdr:rowOff>
    </xdr:from>
    <xdr:to>
      <xdr:col>128</xdr:col>
      <xdr:colOff>851818</xdr:colOff>
      <xdr:row>379</xdr:row>
      <xdr:rowOff>66301</xdr:rowOff>
    </xdr:to>
    <xdr:sp macro="" textlink="">
      <xdr:nvSpPr>
        <xdr:cNvPr id="252" name="Down Arrow Callout 25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FC000000}"/>
            </a:ext>
          </a:extLst>
        </xdr:cNvPr>
        <xdr:cNvSpPr/>
      </xdr:nvSpPr>
      <xdr:spPr>
        <a:xfrm>
          <a:off x="1246062" y="104406145"/>
          <a:ext cx="748756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127</xdr:col>
      <xdr:colOff>14671</xdr:colOff>
      <xdr:row>374</xdr:row>
      <xdr:rowOff>0</xdr:rowOff>
    </xdr:from>
    <xdr:to>
      <xdr:col>128</xdr:col>
      <xdr:colOff>84408</xdr:colOff>
      <xdr:row>374</xdr:row>
      <xdr:rowOff>254520</xdr:rowOff>
    </xdr:to>
    <xdr:sp macro="" textlink="">
      <xdr:nvSpPr>
        <xdr:cNvPr id="253" name="Up Arrow Callout 25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FD000000}"/>
            </a:ext>
          </a:extLst>
        </xdr:cNvPr>
        <xdr:cNvSpPr/>
      </xdr:nvSpPr>
      <xdr:spPr>
        <a:xfrm>
          <a:off x="500446" y="103193850"/>
          <a:ext cx="726962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128</xdr:col>
      <xdr:colOff>108921</xdr:colOff>
      <xdr:row>374</xdr:row>
      <xdr:rowOff>3905</xdr:rowOff>
    </xdr:from>
    <xdr:to>
      <xdr:col>128</xdr:col>
      <xdr:colOff>839180</xdr:colOff>
      <xdr:row>374</xdr:row>
      <xdr:rowOff>255062</xdr:rowOff>
    </xdr:to>
    <xdr:sp macro="" textlink="">
      <xdr:nvSpPr>
        <xdr:cNvPr id="254" name="Up Arrow Callout 25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FE000000}"/>
            </a:ext>
          </a:extLst>
        </xdr:cNvPr>
        <xdr:cNvSpPr/>
      </xdr:nvSpPr>
      <xdr:spPr>
        <a:xfrm>
          <a:off x="1251921" y="103197755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127</xdr:col>
      <xdr:colOff>5287</xdr:colOff>
      <xdr:row>377</xdr:row>
      <xdr:rowOff>108521</xdr:rowOff>
    </xdr:from>
    <xdr:to>
      <xdr:col>128</xdr:col>
      <xdr:colOff>86789</xdr:colOff>
      <xdr:row>378</xdr:row>
      <xdr:rowOff>63232</xdr:rowOff>
    </xdr:to>
    <xdr:sp macro="" textlink="">
      <xdr:nvSpPr>
        <xdr:cNvPr id="255" name="Down Arrow Callout 25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FF000000}"/>
            </a:ext>
          </a:extLst>
        </xdr:cNvPr>
        <xdr:cNvSpPr/>
      </xdr:nvSpPr>
      <xdr:spPr>
        <a:xfrm>
          <a:off x="491062" y="104131046"/>
          <a:ext cx="738727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128</xdr:col>
      <xdr:colOff>106539</xdr:colOff>
      <xdr:row>377</xdr:row>
      <xdr:rowOff>107970</xdr:rowOff>
    </xdr:from>
    <xdr:to>
      <xdr:col>128</xdr:col>
      <xdr:colOff>850460</xdr:colOff>
      <xdr:row>378</xdr:row>
      <xdr:rowOff>66252</xdr:rowOff>
    </xdr:to>
    <xdr:sp macro="" textlink="">
      <xdr:nvSpPr>
        <xdr:cNvPr id="256" name="Down Arrow Callout 25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00010000}"/>
            </a:ext>
          </a:extLst>
        </xdr:cNvPr>
        <xdr:cNvSpPr/>
      </xdr:nvSpPr>
      <xdr:spPr>
        <a:xfrm>
          <a:off x="1249539" y="104130495"/>
          <a:ext cx="743921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127</xdr:col>
      <xdr:colOff>11555</xdr:colOff>
      <xdr:row>375</xdr:row>
      <xdr:rowOff>8433</xdr:rowOff>
    </xdr:from>
    <xdr:to>
      <xdr:col>128</xdr:col>
      <xdr:colOff>89170</xdr:colOff>
      <xdr:row>375</xdr:row>
      <xdr:rowOff>269404</xdr:rowOff>
    </xdr:to>
    <xdr:sp macro="" textlink="">
      <xdr:nvSpPr>
        <xdr:cNvPr id="257" name="Up Arrow Callout 25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01010000}"/>
            </a:ext>
          </a:extLst>
        </xdr:cNvPr>
        <xdr:cNvSpPr/>
      </xdr:nvSpPr>
      <xdr:spPr>
        <a:xfrm>
          <a:off x="497330" y="103478508"/>
          <a:ext cx="734840" cy="260971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128</xdr:col>
      <xdr:colOff>114340</xdr:colOff>
      <xdr:row>375</xdr:row>
      <xdr:rowOff>6053</xdr:rowOff>
    </xdr:from>
    <xdr:to>
      <xdr:col>128</xdr:col>
      <xdr:colOff>853681</xdr:colOff>
      <xdr:row>375</xdr:row>
      <xdr:rowOff>257211</xdr:rowOff>
    </xdr:to>
    <xdr:sp macro="" textlink="">
      <xdr:nvSpPr>
        <xdr:cNvPr id="258" name="Up Arrow Callout 257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02010000}"/>
            </a:ext>
          </a:extLst>
        </xdr:cNvPr>
        <xdr:cNvSpPr/>
      </xdr:nvSpPr>
      <xdr:spPr>
        <a:xfrm>
          <a:off x="1257340" y="103476128"/>
          <a:ext cx="739341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127</xdr:col>
      <xdr:colOff>9749</xdr:colOff>
      <xdr:row>376</xdr:row>
      <xdr:rowOff>2439</xdr:rowOff>
    </xdr:from>
    <xdr:to>
      <xdr:col>128</xdr:col>
      <xdr:colOff>86789</xdr:colOff>
      <xdr:row>376</xdr:row>
      <xdr:rowOff>264604</xdr:rowOff>
    </xdr:to>
    <xdr:sp macro="" textlink="">
      <xdr:nvSpPr>
        <xdr:cNvPr id="259" name="Up Arrow Callout 25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03010000}"/>
            </a:ext>
          </a:extLst>
        </xdr:cNvPr>
        <xdr:cNvSpPr/>
      </xdr:nvSpPr>
      <xdr:spPr>
        <a:xfrm>
          <a:off x="495524" y="103748739"/>
          <a:ext cx="734265" cy="262165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128</xdr:col>
      <xdr:colOff>112033</xdr:colOff>
      <xdr:row>376</xdr:row>
      <xdr:rowOff>5992</xdr:rowOff>
    </xdr:from>
    <xdr:to>
      <xdr:col>128</xdr:col>
      <xdr:colOff>850872</xdr:colOff>
      <xdr:row>376</xdr:row>
      <xdr:rowOff>258518</xdr:rowOff>
    </xdr:to>
    <xdr:sp macro="" textlink="">
      <xdr:nvSpPr>
        <xdr:cNvPr id="260" name="Up Arrow Callout 25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04010000}"/>
            </a:ext>
          </a:extLst>
        </xdr:cNvPr>
        <xdr:cNvSpPr/>
      </xdr:nvSpPr>
      <xdr:spPr>
        <a:xfrm>
          <a:off x="1255033" y="103752292"/>
          <a:ext cx="738839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185</xdr:col>
      <xdr:colOff>333376</xdr:colOff>
      <xdr:row>374</xdr:row>
      <xdr:rowOff>94575</xdr:rowOff>
    </xdr:from>
    <xdr:to>
      <xdr:col>186</xdr:col>
      <xdr:colOff>376751</xdr:colOff>
      <xdr:row>375</xdr:row>
      <xdr:rowOff>153900</xdr:rowOff>
    </xdr:to>
    <xdr:sp macro="" textlink="">
      <xdr:nvSpPr>
        <xdr:cNvPr id="261" name="Down Arrow Callout 26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05010000}"/>
            </a:ext>
          </a:extLst>
        </xdr:cNvPr>
        <xdr:cNvSpPr/>
      </xdr:nvSpPr>
      <xdr:spPr>
        <a:xfrm>
          <a:off x="43167301" y="103288425"/>
          <a:ext cx="662500" cy="335550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186</xdr:col>
      <xdr:colOff>474537</xdr:colOff>
      <xdr:row>374</xdr:row>
      <xdr:rowOff>97869</xdr:rowOff>
    </xdr:from>
    <xdr:to>
      <xdr:col>187</xdr:col>
      <xdr:colOff>523876</xdr:colOff>
      <xdr:row>375</xdr:row>
      <xdr:rowOff>142875</xdr:rowOff>
    </xdr:to>
    <xdr:sp macro="" textlink="">
      <xdr:nvSpPr>
        <xdr:cNvPr id="262" name="Down Arrow Callout 26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06010000}"/>
            </a:ext>
          </a:extLst>
        </xdr:cNvPr>
        <xdr:cNvSpPr/>
      </xdr:nvSpPr>
      <xdr:spPr>
        <a:xfrm>
          <a:off x="43927587" y="103291719"/>
          <a:ext cx="668464" cy="3212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185</xdr:col>
      <xdr:colOff>348046</xdr:colOff>
      <xdr:row>369</xdr:row>
      <xdr:rowOff>266701</xdr:rowOff>
    </xdr:from>
    <xdr:to>
      <xdr:col>186</xdr:col>
      <xdr:colOff>377928</xdr:colOff>
      <xdr:row>371</xdr:row>
      <xdr:rowOff>56613</xdr:rowOff>
    </xdr:to>
    <xdr:sp macro="" textlink="">
      <xdr:nvSpPr>
        <xdr:cNvPr id="263" name="Up Arrow Callout 26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07010000}"/>
            </a:ext>
          </a:extLst>
        </xdr:cNvPr>
        <xdr:cNvSpPr/>
      </xdr:nvSpPr>
      <xdr:spPr>
        <a:xfrm>
          <a:off x="43181971" y="102079426"/>
          <a:ext cx="649007" cy="342362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186</xdr:col>
      <xdr:colOff>480396</xdr:colOff>
      <xdr:row>369</xdr:row>
      <xdr:rowOff>270606</xdr:rowOff>
    </xdr:from>
    <xdr:to>
      <xdr:col>187</xdr:col>
      <xdr:colOff>513222</xdr:colOff>
      <xdr:row>371</xdr:row>
      <xdr:rowOff>55924</xdr:rowOff>
    </xdr:to>
    <xdr:sp macro="" textlink="">
      <xdr:nvSpPr>
        <xdr:cNvPr id="264" name="Up Arrow Callout 26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08010000}"/>
            </a:ext>
          </a:extLst>
        </xdr:cNvPr>
        <xdr:cNvSpPr/>
      </xdr:nvSpPr>
      <xdr:spPr>
        <a:xfrm>
          <a:off x="43933446" y="102083331"/>
          <a:ext cx="651951" cy="33776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185</xdr:col>
      <xdr:colOff>338662</xdr:colOff>
      <xdr:row>373</xdr:row>
      <xdr:rowOff>98995</xdr:rowOff>
    </xdr:from>
    <xdr:to>
      <xdr:col>186</xdr:col>
      <xdr:colOff>379047</xdr:colOff>
      <xdr:row>374</xdr:row>
      <xdr:rowOff>138271</xdr:rowOff>
    </xdr:to>
    <xdr:sp macro="" textlink="">
      <xdr:nvSpPr>
        <xdr:cNvPr id="265" name="Down Arrow Callout 26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09010000}"/>
            </a:ext>
          </a:extLst>
        </xdr:cNvPr>
        <xdr:cNvSpPr/>
      </xdr:nvSpPr>
      <xdr:spPr>
        <a:xfrm>
          <a:off x="43172587" y="103016620"/>
          <a:ext cx="659510" cy="315501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186</xdr:col>
      <xdr:colOff>478015</xdr:colOff>
      <xdr:row>373</xdr:row>
      <xdr:rowOff>98444</xdr:rowOff>
    </xdr:from>
    <xdr:to>
      <xdr:col>187</xdr:col>
      <xdr:colOff>523038</xdr:colOff>
      <xdr:row>374</xdr:row>
      <xdr:rowOff>142598</xdr:rowOff>
    </xdr:to>
    <xdr:sp macro="" textlink="">
      <xdr:nvSpPr>
        <xdr:cNvPr id="266" name="Down Arrow Callout 26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0A010000}"/>
            </a:ext>
          </a:extLst>
        </xdr:cNvPr>
        <xdr:cNvSpPr/>
      </xdr:nvSpPr>
      <xdr:spPr>
        <a:xfrm>
          <a:off x="43931065" y="103016069"/>
          <a:ext cx="664148" cy="320379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185</xdr:col>
      <xdr:colOff>344930</xdr:colOff>
      <xdr:row>370</xdr:row>
      <xdr:rowOff>275133</xdr:rowOff>
    </xdr:from>
    <xdr:to>
      <xdr:col>186</xdr:col>
      <xdr:colOff>381845</xdr:colOff>
      <xdr:row>372</xdr:row>
      <xdr:rowOff>73858</xdr:rowOff>
    </xdr:to>
    <xdr:sp macro="" textlink="">
      <xdr:nvSpPr>
        <xdr:cNvPr id="267" name="Up Arrow Callout 26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0B010000}"/>
            </a:ext>
          </a:extLst>
        </xdr:cNvPr>
        <xdr:cNvSpPr/>
      </xdr:nvSpPr>
      <xdr:spPr>
        <a:xfrm>
          <a:off x="43178855" y="102364083"/>
          <a:ext cx="656040" cy="351175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186</xdr:col>
      <xdr:colOff>485815</xdr:colOff>
      <xdr:row>370</xdr:row>
      <xdr:rowOff>272753</xdr:rowOff>
    </xdr:from>
    <xdr:to>
      <xdr:col>187</xdr:col>
      <xdr:colOff>526749</xdr:colOff>
      <xdr:row>372</xdr:row>
      <xdr:rowOff>58072</xdr:rowOff>
    </xdr:to>
    <xdr:sp macro="" textlink="">
      <xdr:nvSpPr>
        <xdr:cNvPr id="308" name="Up Arrow Callout 307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34010000}"/>
            </a:ext>
          </a:extLst>
        </xdr:cNvPr>
        <xdr:cNvSpPr/>
      </xdr:nvSpPr>
      <xdr:spPr>
        <a:xfrm>
          <a:off x="43938865" y="102361703"/>
          <a:ext cx="660059" cy="337769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185</xdr:col>
      <xdr:colOff>343126</xdr:colOff>
      <xdr:row>371</xdr:row>
      <xdr:rowOff>269139</xdr:rowOff>
    </xdr:from>
    <xdr:to>
      <xdr:col>186</xdr:col>
      <xdr:colOff>379527</xdr:colOff>
      <xdr:row>373</xdr:row>
      <xdr:rowOff>69494</xdr:rowOff>
    </xdr:to>
    <xdr:sp macro="" textlink="">
      <xdr:nvSpPr>
        <xdr:cNvPr id="309" name="Up Arrow Callout 30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35010000}"/>
            </a:ext>
          </a:extLst>
        </xdr:cNvPr>
        <xdr:cNvSpPr/>
      </xdr:nvSpPr>
      <xdr:spPr>
        <a:xfrm>
          <a:off x="43177051" y="102634314"/>
          <a:ext cx="655526" cy="352805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186</xdr:col>
      <xdr:colOff>483509</xdr:colOff>
      <xdr:row>371</xdr:row>
      <xdr:rowOff>272694</xdr:rowOff>
    </xdr:from>
    <xdr:to>
      <xdr:col>187</xdr:col>
      <xdr:colOff>523994</xdr:colOff>
      <xdr:row>373</xdr:row>
      <xdr:rowOff>59880</xdr:rowOff>
    </xdr:to>
    <xdr:sp macro="" textlink="">
      <xdr:nvSpPr>
        <xdr:cNvPr id="310" name="Up Arrow Callout 30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36010000}"/>
            </a:ext>
          </a:extLst>
        </xdr:cNvPr>
        <xdr:cNvSpPr/>
      </xdr:nvSpPr>
      <xdr:spPr>
        <a:xfrm>
          <a:off x="43936559" y="102637869"/>
          <a:ext cx="659610" cy="33963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188</xdr:col>
      <xdr:colOff>0</xdr:colOff>
      <xdr:row>144</xdr:row>
      <xdr:rowOff>104101</xdr:rowOff>
    </xdr:from>
    <xdr:to>
      <xdr:col>189</xdr:col>
      <xdr:colOff>147603</xdr:colOff>
      <xdr:row>145</xdr:row>
      <xdr:rowOff>73488</xdr:rowOff>
    </xdr:to>
    <xdr:sp macro="" textlink="">
      <xdr:nvSpPr>
        <xdr:cNvPr id="311" name="Down Arrow Callout 3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37010000}"/>
            </a:ext>
          </a:extLst>
        </xdr:cNvPr>
        <xdr:cNvSpPr/>
      </xdr:nvSpPr>
      <xdr:spPr>
        <a:xfrm>
          <a:off x="44729400" y="39880501"/>
          <a:ext cx="76672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177021</xdr:colOff>
      <xdr:row>144</xdr:row>
      <xdr:rowOff>107395</xdr:rowOff>
    </xdr:from>
    <xdr:to>
      <xdr:col>190</xdr:col>
      <xdr:colOff>327383</xdr:colOff>
      <xdr:row>145</xdr:row>
      <xdr:rowOff>66301</xdr:rowOff>
    </xdr:to>
    <xdr:sp macro="" textlink="">
      <xdr:nvSpPr>
        <xdr:cNvPr id="312" name="Down Arrow Callout 3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38010000}"/>
            </a:ext>
          </a:extLst>
        </xdr:cNvPr>
        <xdr:cNvSpPr/>
      </xdr:nvSpPr>
      <xdr:spPr>
        <a:xfrm>
          <a:off x="45525546" y="39883795"/>
          <a:ext cx="76948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188</xdr:col>
      <xdr:colOff>25877</xdr:colOff>
      <xdr:row>140</xdr:row>
      <xdr:rowOff>0</xdr:rowOff>
    </xdr:from>
    <xdr:to>
      <xdr:col>189</xdr:col>
      <xdr:colOff>147161</xdr:colOff>
      <xdr:row>140</xdr:row>
      <xdr:rowOff>254520</xdr:rowOff>
    </xdr:to>
    <xdr:sp macro="" textlink="">
      <xdr:nvSpPr>
        <xdr:cNvPr id="313" name="Up Arrow Callout 3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39010000}"/>
            </a:ext>
          </a:extLst>
        </xdr:cNvPr>
        <xdr:cNvSpPr/>
      </xdr:nvSpPr>
      <xdr:spPr>
        <a:xfrm>
          <a:off x="44755277" y="38671500"/>
          <a:ext cx="740409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189</xdr:col>
      <xdr:colOff>182880</xdr:colOff>
      <xdr:row>140</xdr:row>
      <xdr:rowOff>3905</xdr:rowOff>
    </xdr:from>
    <xdr:to>
      <xdr:col>190</xdr:col>
      <xdr:colOff>303539</xdr:colOff>
      <xdr:row>140</xdr:row>
      <xdr:rowOff>255062</xdr:rowOff>
    </xdr:to>
    <xdr:sp macro="" textlink="">
      <xdr:nvSpPr>
        <xdr:cNvPr id="314" name="Up Arrow Callout 3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3A010000}"/>
            </a:ext>
          </a:extLst>
        </xdr:cNvPr>
        <xdr:cNvSpPr/>
      </xdr:nvSpPr>
      <xdr:spPr>
        <a:xfrm>
          <a:off x="45531405" y="38675405"/>
          <a:ext cx="739784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188</xdr:col>
      <xdr:colOff>16493</xdr:colOff>
      <xdr:row>143</xdr:row>
      <xdr:rowOff>108521</xdr:rowOff>
    </xdr:from>
    <xdr:to>
      <xdr:col>189</xdr:col>
      <xdr:colOff>149542</xdr:colOff>
      <xdr:row>144</xdr:row>
      <xdr:rowOff>63232</xdr:rowOff>
    </xdr:to>
    <xdr:sp macro="" textlink="">
      <xdr:nvSpPr>
        <xdr:cNvPr id="315" name="Down Arrow Callout 3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3B010000}"/>
            </a:ext>
          </a:extLst>
        </xdr:cNvPr>
        <xdr:cNvSpPr/>
      </xdr:nvSpPr>
      <xdr:spPr>
        <a:xfrm>
          <a:off x="44745893" y="39608696"/>
          <a:ext cx="752174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180498</xdr:colOff>
      <xdr:row>143</xdr:row>
      <xdr:rowOff>107970</xdr:rowOff>
    </xdr:from>
    <xdr:to>
      <xdr:col>190</xdr:col>
      <xdr:colOff>326025</xdr:colOff>
      <xdr:row>144</xdr:row>
      <xdr:rowOff>66252</xdr:rowOff>
    </xdr:to>
    <xdr:sp macro="" textlink="">
      <xdr:nvSpPr>
        <xdr:cNvPr id="316" name="Down Arrow Callout 3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3C010000}"/>
            </a:ext>
          </a:extLst>
        </xdr:cNvPr>
        <xdr:cNvSpPr/>
      </xdr:nvSpPr>
      <xdr:spPr>
        <a:xfrm>
          <a:off x="45529023" y="39608145"/>
          <a:ext cx="76465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188</xdr:col>
      <xdr:colOff>22761</xdr:colOff>
      <xdr:row>141</xdr:row>
      <xdr:rowOff>8433</xdr:rowOff>
    </xdr:from>
    <xdr:to>
      <xdr:col>189</xdr:col>
      <xdr:colOff>151923</xdr:colOff>
      <xdr:row>141</xdr:row>
      <xdr:rowOff>255957</xdr:rowOff>
    </xdr:to>
    <xdr:sp macro="" textlink="">
      <xdr:nvSpPr>
        <xdr:cNvPr id="317" name="Up Arrow Callout 3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3D010000}"/>
            </a:ext>
          </a:extLst>
        </xdr:cNvPr>
        <xdr:cNvSpPr/>
      </xdr:nvSpPr>
      <xdr:spPr>
        <a:xfrm>
          <a:off x="44752161" y="38956158"/>
          <a:ext cx="748287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189</xdr:col>
      <xdr:colOff>188299</xdr:colOff>
      <xdr:row>141</xdr:row>
      <xdr:rowOff>6053</xdr:rowOff>
    </xdr:from>
    <xdr:to>
      <xdr:col>190</xdr:col>
      <xdr:colOff>329246</xdr:colOff>
      <xdr:row>141</xdr:row>
      <xdr:rowOff>257211</xdr:rowOff>
    </xdr:to>
    <xdr:sp macro="" textlink="">
      <xdr:nvSpPr>
        <xdr:cNvPr id="382" name="Up Arrow Callout 381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7E010000}"/>
            </a:ext>
          </a:extLst>
        </xdr:cNvPr>
        <xdr:cNvSpPr/>
      </xdr:nvSpPr>
      <xdr:spPr>
        <a:xfrm>
          <a:off x="45536824" y="38953778"/>
          <a:ext cx="76007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188</xdr:col>
      <xdr:colOff>20955</xdr:colOff>
      <xdr:row>142</xdr:row>
      <xdr:rowOff>2439</xdr:rowOff>
    </xdr:from>
    <xdr:to>
      <xdr:col>189</xdr:col>
      <xdr:colOff>149542</xdr:colOff>
      <xdr:row>142</xdr:row>
      <xdr:rowOff>251157</xdr:rowOff>
    </xdr:to>
    <xdr:sp macro="" textlink="">
      <xdr:nvSpPr>
        <xdr:cNvPr id="383" name="Up Arrow Callout 382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7F010000}"/>
            </a:ext>
          </a:extLst>
        </xdr:cNvPr>
        <xdr:cNvSpPr/>
      </xdr:nvSpPr>
      <xdr:spPr>
        <a:xfrm>
          <a:off x="44750355" y="39226389"/>
          <a:ext cx="747712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189</xdr:col>
      <xdr:colOff>185992</xdr:colOff>
      <xdr:row>142</xdr:row>
      <xdr:rowOff>5992</xdr:rowOff>
    </xdr:from>
    <xdr:to>
      <xdr:col>190</xdr:col>
      <xdr:colOff>326437</xdr:colOff>
      <xdr:row>142</xdr:row>
      <xdr:rowOff>258518</xdr:rowOff>
    </xdr:to>
    <xdr:sp macro="" textlink="">
      <xdr:nvSpPr>
        <xdr:cNvPr id="384" name="Up Arrow Callout 383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80010000}"/>
            </a:ext>
          </a:extLst>
        </xdr:cNvPr>
        <xdr:cNvSpPr/>
      </xdr:nvSpPr>
      <xdr:spPr>
        <a:xfrm>
          <a:off x="45534517" y="39229942"/>
          <a:ext cx="75957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172</xdr:col>
      <xdr:colOff>0</xdr:colOff>
      <xdr:row>278</xdr:row>
      <xdr:rowOff>104101</xdr:rowOff>
    </xdr:from>
    <xdr:to>
      <xdr:col>173</xdr:col>
      <xdr:colOff>147603</xdr:colOff>
      <xdr:row>279</xdr:row>
      <xdr:rowOff>73488</xdr:rowOff>
    </xdr:to>
    <xdr:sp macro="" textlink="">
      <xdr:nvSpPr>
        <xdr:cNvPr id="385" name="Down Arrow Callout 38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81010000}"/>
            </a:ext>
          </a:extLst>
        </xdr:cNvPr>
        <xdr:cNvSpPr/>
      </xdr:nvSpPr>
      <xdr:spPr>
        <a:xfrm>
          <a:off x="34528125" y="76780351"/>
          <a:ext cx="76672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173</xdr:col>
      <xdr:colOff>177021</xdr:colOff>
      <xdr:row>278</xdr:row>
      <xdr:rowOff>107395</xdr:rowOff>
    </xdr:from>
    <xdr:to>
      <xdr:col>174</xdr:col>
      <xdr:colOff>251183</xdr:colOff>
      <xdr:row>279</xdr:row>
      <xdr:rowOff>66301</xdr:rowOff>
    </xdr:to>
    <xdr:sp macro="" textlink="">
      <xdr:nvSpPr>
        <xdr:cNvPr id="386" name="Down Arrow Callout 38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82010000}"/>
            </a:ext>
          </a:extLst>
        </xdr:cNvPr>
        <xdr:cNvSpPr/>
      </xdr:nvSpPr>
      <xdr:spPr>
        <a:xfrm>
          <a:off x="35324271" y="76783645"/>
          <a:ext cx="76948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172</xdr:col>
      <xdr:colOff>25877</xdr:colOff>
      <xdr:row>274</xdr:row>
      <xdr:rowOff>0</xdr:rowOff>
    </xdr:from>
    <xdr:to>
      <xdr:col>173</xdr:col>
      <xdr:colOff>147161</xdr:colOff>
      <xdr:row>274</xdr:row>
      <xdr:rowOff>254520</xdr:rowOff>
    </xdr:to>
    <xdr:sp macro="" textlink="">
      <xdr:nvSpPr>
        <xdr:cNvPr id="387" name="Up Arrow Callout 38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83010000}"/>
            </a:ext>
          </a:extLst>
        </xdr:cNvPr>
        <xdr:cNvSpPr/>
      </xdr:nvSpPr>
      <xdr:spPr>
        <a:xfrm>
          <a:off x="34554002" y="75571350"/>
          <a:ext cx="740409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173</xdr:col>
      <xdr:colOff>182880</xdr:colOff>
      <xdr:row>274</xdr:row>
      <xdr:rowOff>3905</xdr:rowOff>
    </xdr:from>
    <xdr:to>
      <xdr:col>174</xdr:col>
      <xdr:colOff>227339</xdr:colOff>
      <xdr:row>274</xdr:row>
      <xdr:rowOff>255062</xdr:rowOff>
    </xdr:to>
    <xdr:sp macro="" textlink="">
      <xdr:nvSpPr>
        <xdr:cNvPr id="388" name="Up Arrow Callout 38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84010000}"/>
            </a:ext>
          </a:extLst>
        </xdr:cNvPr>
        <xdr:cNvSpPr/>
      </xdr:nvSpPr>
      <xdr:spPr>
        <a:xfrm>
          <a:off x="35330130" y="75575255"/>
          <a:ext cx="739784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172</xdr:col>
      <xdr:colOff>16493</xdr:colOff>
      <xdr:row>277</xdr:row>
      <xdr:rowOff>108521</xdr:rowOff>
    </xdr:from>
    <xdr:to>
      <xdr:col>173</xdr:col>
      <xdr:colOff>149542</xdr:colOff>
      <xdr:row>278</xdr:row>
      <xdr:rowOff>63232</xdr:rowOff>
    </xdr:to>
    <xdr:sp macro="" textlink="">
      <xdr:nvSpPr>
        <xdr:cNvPr id="389" name="Down Arrow Callout 38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85010000}"/>
            </a:ext>
          </a:extLst>
        </xdr:cNvPr>
        <xdr:cNvSpPr/>
      </xdr:nvSpPr>
      <xdr:spPr>
        <a:xfrm>
          <a:off x="34544618" y="76508546"/>
          <a:ext cx="752174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173</xdr:col>
      <xdr:colOff>180498</xdr:colOff>
      <xdr:row>277</xdr:row>
      <xdr:rowOff>107970</xdr:rowOff>
    </xdr:from>
    <xdr:to>
      <xdr:col>174</xdr:col>
      <xdr:colOff>249825</xdr:colOff>
      <xdr:row>278</xdr:row>
      <xdr:rowOff>66252</xdr:rowOff>
    </xdr:to>
    <xdr:sp macro="" textlink="">
      <xdr:nvSpPr>
        <xdr:cNvPr id="390" name="Down Arrow Callout 38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86010000}"/>
            </a:ext>
          </a:extLst>
        </xdr:cNvPr>
        <xdr:cNvSpPr/>
      </xdr:nvSpPr>
      <xdr:spPr>
        <a:xfrm>
          <a:off x="35327748" y="76507995"/>
          <a:ext cx="76465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172</xdr:col>
      <xdr:colOff>22761</xdr:colOff>
      <xdr:row>275</xdr:row>
      <xdr:rowOff>8433</xdr:rowOff>
    </xdr:from>
    <xdr:to>
      <xdr:col>173</xdr:col>
      <xdr:colOff>151923</xdr:colOff>
      <xdr:row>275</xdr:row>
      <xdr:rowOff>255957</xdr:rowOff>
    </xdr:to>
    <xdr:sp macro="" textlink="">
      <xdr:nvSpPr>
        <xdr:cNvPr id="391" name="Up Arrow Callout 390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87010000}"/>
            </a:ext>
          </a:extLst>
        </xdr:cNvPr>
        <xdr:cNvSpPr/>
      </xdr:nvSpPr>
      <xdr:spPr>
        <a:xfrm>
          <a:off x="34550886" y="75856008"/>
          <a:ext cx="748287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173</xdr:col>
      <xdr:colOff>188299</xdr:colOff>
      <xdr:row>275</xdr:row>
      <xdr:rowOff>6053</xdr:rowOff>
    </xdr:from>
    <xdr:to>
      <xdr:col>174</xdr:col>
      <xdr:colOff>253046</xdr:colOff>
      <xdr:row>275</xdr:row>
      <xdr:rowOff>257211</xdr:rowOff>
    </xdr:to>
    <xdr:sp macro="" textlink="">
      <xdr:nvSpPr>
        <xdr:cNvPr id="392" name="Up Arrow Callout 391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88010000}"/>
            </a:ext>
          </a:extLst>
        </xdr:cNvPr>
        <xdr:cNvSpPr/>
      </xdr:nvSpPr>
      <xdr:spPr>
        <a:xfrm>
          <a:off x="35335549" y="75853628"/>
          <a:ext cx="76007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172</xdr:col>
      <xdr:colOff>20955</xdr:colOff>
      <xdr:row>276</xdr:row>
      <xdr:rowOff>2439</xdr:rowOff>
    </xdr:from>
    <xdr:to>
      <xdr:col>173</xdr:col>
      <xdr:colOff>149542</xdr:colOff>
      <xdr:row>276</xdr:row>
      <xdr:rowOff>251157</xdr:rowOff>
    </xdr:to>
    <xdr:sp macro="" textlink="">
      <xdr:nvSpPr>
        <xdr:cNvPr id="393" name="Up Arrow Callout 392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89010000}"/>
            </a:ext>
          </a:extLst>
        </xdr:cNvPr>
        <xdr:cNvSpPr/>
      </xdr:nvSpPr>
      <xdr:spPr>
        <a:xfrm>
          <a:off x="34549080" y="76126239"/>
          <a:ext cx="747712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173</xdr:col>
      <xdr:colOff>185992</xdr:colOff>
      <xdr:row>276</xdr:row>
      <xdr:rowOff>5992</xdr:rowOff>
    </xdr:from>
    <xdr:to>
      <xdr:col>174</xdr:col>
      <xdr:colOff>250237</xdr:colOff>
      <xdr:row>276</xdr:row>
      <xdr:rowOff>258518</xdr:rowOff>
    </xdr:to>
    <xdr:sp macro="" textlink="">
      <xdr:nvSpPr>
        <xdr:cNvPr id="394" name="Up Arrow Callout 393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8A010000}"/>
            </a:ext>
          </a:extLst>
        </xdr:cNvPr>
        <xdr:cNvSpPr/>
      </xdr:nvSpPr>
      <xdr:spPr>
        <a:xfrm>
          <a:off x="35333242" y="76129792"/>
          <a:ext cx="75957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228</xdr:col>
      <xdr:colOff>0</xdr:colOff>
      <xdr:row>276</xdr:row>
      <xdr:rowOff>104101</xdr:rowOff>
    </xdr:from>
    <xdr:to>
      <xdr:col>229</xdr:col>
      <xdr:colOff>147603</xdr:colOff>
      <xdr:row>277</xdr:row>
      <xdr:rowOff>73488</xdr:rowOff>
    </xdr:to>
    <xdr:sp macro="" textlink="">
      <xdr:nvSpPr>
        <xdr:cNvPr id="395" name="Down Arrow Callout 39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8B010000}"/>
            </a:ext>
          </a:extLst>
        </xdr:cNvPr>
        <xdr:cNvSpPr/>
      </xdr:nvSpPr>
      <xdr:spPr>
        <a:xfrm>
          <a:off x="69856350" y="76227901"/>
          <a:ext cx="76672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229</xdr:col>
      <xdr:colOff>177021</xdr:colOff>
      <xdr:row>276</xdr:row>
      <xdr:rowOff>107395</xdr:rowOff>
    </xdr:from>
    <xdr:to>
      <xdr:col>230</xdr:col>
      <xdr:colOff>289283</xdr:colOff>
      <xdr:row>277</xdr:row>
      <xdr:rowOff>66301</xdr:rowOff>
    </xdr:to>
    <xdr:sp macro="" textlink="">
      <xdr:nvSpPr>
        <xdr:cNvPr id="396" name="Down Arrow Callout 39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8C010000}"/>
            </a:ext>
          </a:extLst>
        </xdr:cNvPr>
        <xdr:cNvSpPr/>
      </xdr:nvSpPr>
      <xdr:spPr>
        <a:xfrm>
          <a:off x="70652496" y="76231195"/>
          <a:ext cx="76948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228</xdr:col>
      <xdr:colOff>25877</xdr:colOff>
      <xdr:row>272</xdr:row>
      <xdr:rowOff>0</xdr:rowOff>
    </xdr:from>
    <xdr:to>
      <xdr:col>229</xdr:col>
      <xdr:colOff>147161</xdr:colOff>
      <xdr:row>272</xdr:row>
      <xdr:rowOff>254520</xdr:rowOff>
    </xdr:to>
    <xdr:sp macro="" textlink="">
      <xdr:nvSpPr>
        <xdr:cNvPr id="397" name="Up Arrow Callout 39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8D010000}"/>
            </a:ext>
          </a:extLst>
        </xdr:cNvPr>
        <xdr:cNvSpPr/>
      </xdr:nvSpPr>
      <xdr:spPr>
        <a:xfrm>
          <a:off x="69882227" y="75018900"/>
          <a:ext cx="740409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229</xdr:col>
      <xdr:colOff>182880</xdr:colOff>
      <xdr:row>272</xdr:row>
      <xdr:rowOff>3905</xdr:rowOff>
    </xdr:from>
    <xdr:to>
      <xdr:col>230</xdr:col>
      <xdr:colOff>265439</xdr:colOff>
      <xdr:row>272</xdr:row>
      <xdr:rowOff>255062</xdr:rowOff>
    </xdr:to>
    <xdr:sp macro="" textlink="">
      <xdr:nvSpPr>
        <xdr:cNvPr id="398" name="Up Arrow Callout 39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8E010000}"/>
            </a:ext>
          </a:extLst>
        </xdr:cNvPr>
        <xdr:cNvSpPr/>
      </xdr:nvSpPr>
      <xdr:spPr>
        <a:xfrm>
          <a:off x="70658355" y="75022805"/>
          <a:ext cx="739784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228</xdr:col>
      <xdr:colOff>16493</xdr:colOff>
      <xdr:row>275</xdr:row>
      <xdr:rowOff>108521</xdr:rowOff>
    </xdr:from>
    <xdr:to>
      <xdr:col>229</xdr:col>
      <xdr:colOff>149542</xdr:colOff>
      <xdr:row>276</xdr:row>
      <xdr:rowOff>63232</xdr:rowOff>
    </xdr:to>
    <xdr:sp macro="" textlink="">
      <xdr:nvSpPr>
        <xdr:cNvPr id="399" name="Down Arrow Callout 39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8F010000}"/>
            </a:ext>
          </a:extLst>
        </xdr:cNvPr>
        <xdr:cNvSpPr/>
      </xdr:nvSpPr>
      <xdr:spPr>
        <a:xfrm>
          <a:off x="69872843" y="75956096"/>
          <a:ext cx="752174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229</xdr:col>
      <xdr:colOff>180498</xdr:colOff>
      <xdr:row>275</xdr:row>
      <xdr:rowOff>107970</xdr:rowOff>
    </xdr:from>
    <xdr:to>
      <xdr:col>230</xdr:col>
      <xdr:colOff>287925</xdr:colOff>
      <xdr:row>276</xdr:row>
      <xdr:rowOff>66252</xdr:rowOff>
    </xdr:to>
    <xdr:sp macro="" textlink="">
      <xdr:nvSpPr>
        <xdr:cNvPr id="400" name="Down Arrow Callout 39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90010000}"/>
            </a:ext>
          </a:extLst>
        </xdr:cNvPr>
        <xdr:cNvSpPr/>
      </xdr:nvSpPr>
      <xdr:spPr>
        <a:xfrm>
          <a:off x="70655973" y="75955545"/>
          <a:ext cx="76465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228</xdr:col>
      <xdr:colOff>22761</xdr:colOff>
      <xdr:row>273</xdr:row>
      <xdr:rowOff>8433</xdr:rowOff>
    </xdr:from>
    <xdr:to>
      <xdr:col>229</xdr:col>
      <xdr:colOff>151923</xdr:colOff>
      <xdr:row>273</xdr:row>
      <xdr:rowOff>255957</xdr:rowOff>
    </xdr:to>
    <xdr:sp macro="" textlink="">
      <xdr:nvSpPr>
        <xdr:cNvPr id="401" name="Up Arrow Callout 400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91010000}"/>
            </a:ext>
          </a:extLst>
        </xdr:cNvPr>
        <xdr:cNvSpPr/>
      </xdr:nvSpPr>
      <xdr:spPr>
        <a:xfrm>
          <a:off x="69879111" y="75303558"/>
          <a:ext cx="748287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229</xdr:col>
      <xdr:colOff>188299</xdr:colOff>
      <xdr:row>273</xdr:row>
      <xdr:rowOff>6053</xdr:rowOff>
    </xdr:from>
    <xdr:to>
      <xdr:col>230</xdr:col>
      <xdr:colOff>291146</xdr:colOff>
      <xdr:row>273</xdr:row>
      <xdr:rowOff>257211</xdr:rowOff>
    </xdr:to>
    <xdr:sp macro="" textlink="">
      <xdr:nvSpPr>
        <xdr:cNvPr id="402" name="Up Arrow Callout 401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92010000}"/>
            </a:ext>
          </a:extLst>
        </xdr:cNvPr>
        <xdr:cNvSpPr/>
      </xdr:nvSpPr>
      <xdr:spPr>
        <a:xfrm>
          <a:off x="70663774" y="75301178"/>
          <a:ext cx="76007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228</xdr:col>
      <xdr:colOff>20955</xdr:colOff>
      <xdr:row>274</xdr:row>
      <xdr:rowOff>2439</xdr:rowOff>
    </xdr:from>
    <xdr:to>
      <xdr:col>229</xdr:col>
      <xdr:colOff>149542</xdr:colOff>
      <xdr:row>274</xdr:row>
      <xdr:rowOff>251157</xdr:rowOff>
    </xdr:to>
    <xdr:sp macro="" textlink="">
      <xdr:nvSpPr>
        <xdr:cNvPr id="403" name="Up Arrow Callout 402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93010000}"/>
            </a:ext>
          </a:extLst>
        </xdr:cNvPr>
        <xdr:cNvSpPr/>
      </xdr:nvSpPr>
      <xdr:spPr>
        <a:xfrm>
          <a:off x="69877305" y="75573789"/>
          <a:ext cx="747712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229</xdr:col>
      <xdr:colOff>185992</xdr:colOff>
      <xdr:row>274</xdr:row>
      <xdr:rowOff>5992</xdr:rowOff>
    </xdr:from>
    <xdr:to>
      <xdr:col>230</xdr:col>
      <xdr:colOff>288337</xdr:colOff>
      <xdr:row>274</xdr:row>
      <xdr:rowOff>258518</xdr:rowOff>
    </xdr:to>
    <xdr:sp macro="" textlink="">
      <xdr:nvSpPr>
        <xdr:cNvPr id="404" name="Up Arrow Callout 403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94010000}"/>
            </a:ext>
          </a:extLst>
        </xdr:cNvPr>
        <xdr:cNvSpPr/>
      </xdr:nvSpPr>
      <xdr:spPr>
        <a:xfrm>
          <a:off x="70661467" y="75577342"/>
          <a:ext cx="75957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169</xdr:col>
      <xdr:colOff>0</xdr:colOff>
      <xdr:row>534</xdr:row>
      <xdr:rowOff>104101</xdr:rowOff>
    </xdr:from>
    <xdr:to>
      <xdr:col>170</xdr:col>
      <xdr:colOff>109503</xdr:colOff>
      <xdr:row>535</xdr:row>
      <xdr:rowOff>73488</xdr:rowOff>
    </xdr:to>
    <xdr:sp macro="" textlink="">
      <xdr:nvSpPr>
        <xdr:cNvPr id="405" name="Down Arrow Callout 40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95010000}"/>
            </a:ext>
          </a:extLst>
        </xdr:cNvPr>
        <xdr:cNvSpPr/>
      </xdr:nvSpPr>
      <xdr:spPr>
        <a:xfrm>
          <a:off x="32632650" y="147493951"/>
          <a:ext cx="76672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138921</xdr:colOff>
      <xdr:row>534</xdr:row>
      <xdr:rowOff>107395</xdr:rowOff>
    </xdr:from>
    <xdr:to>
      <xdr:col>171</xdr:col>
      <xdr:colOff>289283</xdr:colOff>
      <xdr:row>535</xdr:row>
      <xdr:rowOff>66301</xdr:rowOff>
    </xdr:to>
    <xdr:sp macro="" textlink="">
      <xdr:nvSpPr>
        <xdr:cNvPr id="406" name="Down Arrow Callout 40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96010000}"/>
            </a:ext>
          </a:extLst>
        </xdr:cNvPr>
        <xdr:cNvSpPr/>
      </xdr:nvSpPr>
      <xdr:spPr>
        <a:xfrm>
          <a:off x="33428796" y="147497245"/>
          <a:ext cx="76948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169</xdr:col>
      <xdr:colOff>25877</xdr:colOff>
      <xdr:row>530</xdr:row>
      <xdr:rowOff>0</xdr:rowOff>
    </xdr:from>
    <xdr:to>
      <xdr:col>170</xdr:col>
      <xdr:colOff>109061</xdr:colOff>
      <xdr:row>530</xdr:row>
      <xdr:rowOff>254520</xdr:rowOff>
    </xdr:to>
    <xdr:sp macro="" textlink="">
      <xdr:nvSpPr>
        <xdr:cNvPr id="407" name="Up Arrow Callout 40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97010000}"/>
            </a:ext>
          </a:extLst>
        </xdr:cNvPr>
        <xdr:cNvSpPr/>
      </xdr:nvSpPr>
      <xdr:spPr>
        <a:xfrm>
          <a:off x="32658527" y="146284950"/>
          <a:ext cx="740409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170</xdr:col>
      <xdr:colOff>144780</xdr:colOff>
      <xdr:row>530</xdr:row>
      <xdr:rowOff>3905</xdr:rowOff>
    </xdr:from>
    <xdr:to>
      <xdr:col>171</xdr:col>
      <xdr:colOff>265439</xdr:colOff>
      <xdr:row>530</xdr:row>
      <xdr:rowOff>255062</xdr:rowOff>
    </xdr:to>
    <xdr:sp macro="" textlink="">
      <xdr:nvSpPr>
        <xdr:cNvPr id="408" name="Up Arrow Callout 40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98010000}"/>
            </a:ext>
          </a:extLst>
        </xdr:cNvPr>
        <xdr:cNvSpPr/>
      </xdr:nvSpPr>
      <xdr:spPr>
        <a:xfrm>
          <a:off x="33434655" y="146288855"/>
          <a:ext cx="739784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169</xdr:col>
      <xdr:colOff>16493</xdr:colOff>
      <xdr:row>533</xdr:row>
      <xdr:rowOff>108521</xdr:rowOff>
    </xdr:from>
    <xdr:to>
      <xdr:col>170</xdr:col>
      <xdr:colOff>111442</xdr:colOff>
      <xdr:row>534</xdr:row>
      <xdr:rowOff>63232</xdr:rowOff>
    </xdr:to>
    <xdr:sp macro="" textlink="">
      <xdr:nvSpPr>
        <xdr:cNvPr id="409" name="Down Arrow Callout 40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99010000}"/>
            </a:ext>
          </a:extLst>
        </xdr:cNvPr>
        <xdr:cNvSpPr/>
      </xdr:nvSpPr>
      <xdr:spPr>
        <a:xfrm>
          <a:off x="32649143" y="147222146"/>
          <a:ext cx="752174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142398</xdr:colOff>
      <xdr:row>533</xdr:row>
      <xdr:rowOff>107970</xdr:rowOff>
    </xdr:from>
    <xdr:to>
      <xdr:col>171</xdr:col>
      <xdr:colOff>287925</xdr:colOff>
      <xdr:row>534</xdr:row>
      <xdr:rowOff>66252</xdr:rowOff>
    </xdr:to>
    <xdr:sp macro="" textlink="">
      <xdr:nvSpPr>
        <xdr:cNvPr id="410" name="Down Arrow Callout 40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9A010000}"/>
            </a:ext>
          </a:extLst>
        </xdr:cNvPr>
        <xdr:cNvSpPr/>
      </xdr:nvSpPr>
      <xdr:spPr>
        <a:xfrm>
          <a:off x="33432273" y="147221595"/>
          <a:ext cx="76465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169</xdr:col>
      <xdr:colOff>22761</xdr:colOff>
      <xdr:row>531</xdr:row>
      <xdr:rowOff>8433</xdr:rowOff>
    </xdr:from>
    <xdr:to>
      <xdr:col>170</xdr:col>
      <xdr:colOff>113823</xdr:colOff>
      <xdr:row>531</xdr:row>
      <xdr:rowOff>255957</xdr:rowOff>
    </xdr:to>
    <xdr:sp macro="" textlink="">
      <xdr:nvSpPr>
        <xdr:cNvPr id="411" name="Up Arrow Callout 410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9B010000}"/>
            </a:ext>
          </a:extLst>
        </xdr:cNvPr>
        <xdr:cNvSpPr/>
      </xdr:nvSpPr>
      <xdr:spPr>
        <a:xfrm>
          <a:off x="32655411" y="146569608"/>
          <a:ext cx="748287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170</xdr:col>
      <xdr:colOff>150199</xdr:colOff>
      <xdr:row>531</xdr:row>
      <xdr:rowOff>6053</xdr:rowOff>
    </xdr:from>
    <xdr:to>
      <xdr:col>171</xdr:col>
      <xdr:colOff>291146</xdr:colOff>
      <xdr:row>531</xdr:row>
      <xdr:rowOff>257211</xdr:rowOff>
    </xdr:to>
    <xdr:sp macro="" textlink="">
      <xdr:nvSpPr>
        <xdr:cNvPr id="412" name="Up Arrow Callout 411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9C010000}"/>
            </a:ext>
          </a:extLst>
        </xdr:cNvPr>
        <xdr:cNvSpPr/>
      </xdr:nvSpPr>
      <xdr:spPr>
        <a:xfrm>
          <a:off x="33440074" y="146567228"/>
          <a:ext cx="76007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169</xdr:col>
      <xdr:colOff>20955</xdr:colOff>
      <xdr:row>532</xdr:row>
      <xdr:rowOff>2439</xdr:rowOff>
    </xdr:from>
    <xdr:to>
      <xdr:col>170</xdr:col>
      <xdr:colOff>111442</xdr:colOff>
      <xdr:row>532</xdr:row>
      <xdr:rowOff>251157</xdr:rowOff>
    </xdr:to>
    <xdr:sp macro="" textlink="">
      <xdr:nvSpPr>
        <xdr:cNvPr id="413" name="Up Arrow Callout 412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9D010000}"/>
            </a:ext>
          </a:extLst>
        </xdr:cNvPr>
        <xdr:cNvSpPr/>
      </xdr:nvSpPr>
      <xdr:spPr>
        <a:xfrm>
          <a:off x="32653605" y="146839839"/>
          <a:ext cx="747712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170</xdr:col>
      <xdr:colOff>147892</xdr:colOff>
      <xdr:row>532</xdr:row>
      <xdr:rowOff>5992</xdr:rowOff>
    </xdr:from>
    <xdr:to>
      <xdr:col>171</xdr:col>
      <xdr:colOff>288337</xdr:colOff>
      <xdr:row>532</xdr:row>
      <xdr:rowOff>258518</xdr:rowOff>
    </xdr:to>
    <xdr:sp macro="" textlink="">
      <xdr:nvSpPr>
        <xdr:cNvPr id="414" name="Up Arrow Callout 413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9E010000}"/>
            </a:ext>
          </a:extLst>
        </xdr:cNvPr>
        <xdr:cNvSpPr/>
      </xdr:nvSpPr>
      <xdr:spPr>
        <a:xfrm>
          <a:off x="33437767" y="146843392"/>
          <a:ext cx="75957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228</xdr:col>
      <xdr:colOff>0</xdr:colOff>
      <xdr:row>534</xdr:row>
      <xdr:rowOff>104101</xdr:rowOff>
    </xdr:from>
    <xdr:to>
      <xdr:col>229</xdr:col>
      <xdr:colOff>147603</xdr:colOff>
      <xdr:row>535</xdr:row>
      <xdr:rowOff>73488</xdr:rowOff>
    </xdr:to>
    <xdr:sp macro="" textlink="">
      <xdr:nvSpPr>
        <xdr:cNvPr id="415" name="Down Arrow Callout 4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9F010000}"/>
            </a:ext>
          </a:extLst>
        </xdr:cNvPr>
        <xdr:cNvSpPr/>
      </xdr:nvSpPr>
      <xdr:spPr>
        <a:xfrm>
          <a:off x="69856350" y="147493951"/>
          <a:ext cx="76672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229</xdr:col>
      <xdr:colOff>177021</xdr:colOff>
      <xdr:row>534</xdr:row>
      <xdr:rowOff>107395</xdr:rowOff>
    </xdr:from>
    <xdr:to>
      <xdr:col>230</xdr:col>
      <xdr:colOff>289283</xdr:colOff>
      <xdr:row>535</xdr:row>
      <xdr:rowOff>66301</xdr:rowOff>
    </xdr:to>
    <xdr:sp macro="" textlink="">
      <xdr:nvSpPr>
        <xdr:cNvPr id="416" name="Down Arrow Callout 4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A0010000}"/>
            </a:ext>
          </a:extLst>
        </xdr:cNvPr>
        <xdr:cNvSpPr/>
      </xdr:nvSpPr>
      <xdr:spPr>
        <a:xfrm>
          <a:off x="70652496" y="147497245"/>
          <a:ext cx="76948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228</xdr:col>
      <xdr:colOff>25877</xdr:colOff>
      <xdr:row>530</xdr:row>
      <xdr:rowOff>0</xdr:rowOff>
    </xdr:from>
    <xdr:to>
      <xdr:col>229</xdr:col>
      <xdr:colOff>147161</xdr:colOff>
      <xdr:row>530</xdr:row>
      <xdr:rowOff>254520</xdr:rowOff>
    </xdr:to>
    <xdr:sp macro="" textlink="">
      <xdr:nvSpPr>
        <xdr:cNvPr id="417" name="Up Arrow Callout 41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A1010000}"/>
            </a:ext>
          </a:extLst>
        </xdr:cNvPr>
        <xdr:cNvSpPr/>
      </xdr:nvSpPr>
      <xdr:spPr>
        <a:xfrm>
          <a:off x="69882227" y="146284950"/>
          <a:ext cx="740409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229</xdr:col>
      <xdr:colOff>182880</xdr:colOff>
      <xdr:row>530</xdr:row>
      <xdr:rowOff>3905</xdr:rowOff>
    </xdr:from>
    <xdr:to>
      <xdr:col>230</xdr:col>
      <xdr:colOff>265439</xdr:colOff>
      <xdr:row>530</xdr:row>
      <xdr:rowOff>255062</xdr:rowOff>
    </xdr:to>
    <xdr:sp macro="" textlink="">
      <xdr:nvSpPr>
        <xdr:cNvPr id="418" name="Up Arrow Callout 41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A2010000}"/>
            </a:ext>
          </a:extLst>
        </xdr:cNvPr>
        <xdr:cNvSpPr/>
      </xdr:nvSpPr>
      <xdr:spPr>
        <a:xfrm>
          <a:off x="70658355" y="146288855"/>
          <a:ext cx="739784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228</xdr:col>
      <xdr:colOff>16493</xdr:colOff>
      <xdr:row>533</xdr:row>
      <xdr:rowOff>108521</xdr:rowOff>
    </xdr:from>
    <xdr:to>
      <xdr:col>229</xdr:col>
      <xdr:colOff>149542</xdr:colOff>
      <xdr:row>534</xdr:row>
      <xdr:rowOff>63232</xdr:rowOff>
    </xdr:to>
    <xdr:sp macro="" textlink="">
      <xdr:nvSpPr>
        <xdr:cNvPr id="419" name="Down Arrow Callout 41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A3010000}"/>
            </a:ext>
          </a:extLst>
        </xdr:cNvPr>
        <xdr:cNvSpPr/>
      </xdr:nvSpPr>
      <xdr:spPr>
        <a:xfrm>
          <a:off x="69872843" y="147222146"/>
          <a:ext cx="752174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229</xdr:col>
      <xdr:colOff>180498</xdr:colOff>
      <xdr:row>533</xdr:row>
      <xdr:rowOff>107970</xdr:rowOff>
    </xdr:from>
    <xdr:to>
      <xdr:col>230</xdr:col>
      <xdr:colOff>287925</xdr:colOff>
      <xdr:row>534</xdr:row>
      <xdr:rowOff>66252</xdr:rowOff>
    </xdr:to>
    <xdr:sp macro="" textlink="">
      <xdr:nvSpPr>
        <xdr:cNvPr id="420" name="Down Arrow Callout 41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A4010000}"/>
            </a:ext>
          </a:extLst>
        </xdr:cNvPr>
        <xdr:cNvSpPr/>
      </xdr:nvSpPr>
      <xdr:spPr>
        <a:xfrm>
          <a:off x="70655973" y="147221595"/>
          <a:ext cx="76465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228</xdr:col>
      <xdr:colOff>22761</xdr:colOff>
      <xdr:row>531</xdr:row>
      <xdr:rowOff>8433</xdr:rowOff>
    </xdr:from>
    <xdr:to>
      <xdr:col>229</xdr:col>
      <xdr:colOff>151923</xdr:colOff>
      <xdr:row>531</xdr:row>
      <xdr:rowOff>255957</xdr:rowOff>
    </xdr:to>
    <xdr:sp macro="" textlink="">
      <xdr:nvSpPr>
        <xdr:cNvPr id="421" name="Up Arrow Callout 420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A5010000}"/>
            </a:ext>
          </a:extLst>
        </xdr:cNvPr>
        <xdr:cNvSpPr/>
      </xdr:nvSpPr>
      <xdr:spPr>
        <a:xfrm>
          <a:off x="69879111" y="146569608"/>
          <a:ext cx="748287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229</xdr:col>
      <xdr:colOff>188299</xdr:colOff>
      <xdr:row>531</xdr:row>
      <xdr:rowOff>6053</xdr:rowOff>
    </xdr:from>
    <xdr:to>
      <xdr:col>230</xdr:col>
      <xdr:colOff>291146</xdr:colOff>
      <xdr:row>531</xdr:row>
      <xdr:rowOff>257211</xdr:rowOff>
    </xdr:to>
    <xdr:sp macro="" textlink="">
      <xdr:nvSpPr>
        <xdr:cNvPr id="422" name="Up Arrow Callout 421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A6010000}"/>
            </a:ext>
          </a:extLst>
        </xdr:cNvPr>
        <xdr:cNvSpPr/>
      </xdr:nvSpPr>
      <xdr:spPr>
        <a:xfrm>
          <a:off x="70663774" y="146567228"/>
          <a:ext cx="76007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228</xdr:col>
      <xdr:colOff>20955</xdr:colOff>
      <xdr:row>532</xdr:row>
      <xdr:rowOff>2439</xdr:rowOff>
    </xdr:from>
    <xdr:to>
      <xdr:col>229</xdr:col>
      <xdr:colOff>149542</xdr:colOff>
      <xdr:row>532</xdr:row>
      <xdr:rowOff>251157</xdr:rowOff>
    </xdr:to>
    <xdr:sp macro="" textlink="">
      <xdr:nvSpPr>
        <xdr:cNvPr id="423" name="Up Arrow Callout 422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A7010000}"/>
            </a:ext>
          </a:extLst>
        </xdr:cNvPr>
        <xdr:cNvSpPr/>
      </xdr:nvSpPr>
      <xdr:spPr>
        <a:xfrm>
          <a:off x="69877305" y="146839839"/>
          <a:ext cx="747712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229</xdr:col>
      <xdr:colOff>185992</xdr:colOff>
      <xdr:row>532</xdr:row>
      <xdr:rowOff>5992</xdr:rowOff>
    </xdr:from>
    <xdr:to>
      <xdr:col>230</xdr:col>
      <xdr:colOff>288337</xdr:colOff>
      <xdr:row>532</xdr:row>
      <xdr:rowOff>258518</xdr:rowOff>
    </xdr:to>
    <xdr:sp macro="" textlink="">
      <xdr:nvSpPr>
        <xdr:cNvPr id="424" name="Up Arrow Callout 423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A8010000}"/>
            </a:ext>
          </a:extLst>
        </xdr:cNvPr>
        <xdr:cNvSpPr/>
      </xdr:nvSpPr>
      <xdr:spPr>
        <a:xfrm>
          <a:off x="70661467" y="146843392"/>
          <a:ext cx="75957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161</xdr:col>
      <xdr:colOff>0</xdr:colOff>
      <xdr:row>125</xdr:row>
      <xdr:rowOff>104101</xdr:rowOff>
    </xdr:from>
    <xdr:to>
      <xdr:col>162</xdr:col>
      <xdr:colOff>147603</xdr:colOff>
      <xdr:row>126</xdr:row>
      <xdr:rowOff>73488</xdr:rowOff>
    </xdr:to>
    <xdr:sp macro="" textlink="">
      <xdr:nvSpPr>
        <xdr:cNvPr id="425" name="Down Arrow Callout 42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A9010000}"/>
            </a:ext>
          </a:extLst>
        </xdr:cNvPr>
        <xdr:cNvSpPr/>
      </xdr:nvSpPr>
      <xdr:spPr>
        <a:xfrm>
          <a:off x="27679650" y="34632226"/>
          <a:ext cx="76672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162</xdr:col>
      <xdr:colOff>177021</xdr:colOff>
      <xdr:row>125</xdr:row>
      <xdr:rowOff>107395</xdr:rowOff>
    </xdr:from>
    <xdr:to>
      <xdr:col>163</xdr:col>
      <xdr:colOff>327383</xdr:colOff>
      <xdr:row>126</xdr:row>
      <xdr:rowOff>66301</xdr:rowOff>
    </xdr:to>
    <xdr:sp macro="" textlink="">
      <xdr:nvSpPr>
        <xdr:cNvPr id="426" name="Down Arrow Callout 42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AA010000}"/>
            </a:ext>
          </a:extLst>
        </xdr:cNvPr>
        <xdr:cNvSpPr/>
      </xdr:nvSpPr>
      <xdr:spPr>
        <a:xfrm>
          <a:off x="28475796" y="34635520"/>
          <a:ext cx="76948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161</xdr:col>
      <xdr:colOff>25877</xdr:colOff>
      <xdr:row>121</xdr:row>
      <xdr:rowOff>0</xdr:rowOff>
    </xdr:from>
    <xdr:to>
      <xdr:col>162</xdr:col>
      <xdr:colOff>147161</xdr:colOff>
      <xdr:row>121</xdr:row>
      <xdr:rowOff>254520</xdr:rowOff>
    </xdr:to>
    <xdr:sp macro="" textlink="">
      <xdr:nvSpPr>
        <xdr:cNvPr id="427" name="Up Arrow Callout 42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AB010000}"/>
            </a:ext>
          </a:extLst>
        </xdr:cNvPr>
        <xdr:cNvSpPr/>
      </xdr:nvSpPr>
      <xdr:spPr>
        <a:xfrm>
          <a:off x="27705527" y="33423225"/>
          <a:ext cx="740409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162</xdr:col>
      <xdr:colOff>182880</xdr:colOff>
      <xdr:row>121</xdr:row>
      <xdr:rowOff>3905</xdr:rowOff>
    </xdr:from>
    <xdr:to>
      <xdr:col>163</xdr:col>
      <xdr:colOff>303539</xdr:colOff>
      <xdr:row>121</xdr:row>
      <xdr:rowOff>255062</xdr:rowOff>
    </xdr:to>
    <xdr:sp macro="" textlink="">
      <xdr:nvSpPr>
        <xdr:cNvPr id="428" name="Up Arrow Callout 42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AC010000}"/>
            </a:ext>
          </a:extLst>
        </xdr:cNvPr>
        <xdr:cNvSpPr/>
      </xdr:nvSpPr>
      <xdr:spPr>
        <a:xfrm>
          <a:off x="28481655" y="33427130"/>
          <a:ext cx="739784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161</xdr:col>
      <xdr:colOff>16493</xdr:colOff>
      <xdr:row>124</xdr:row>
      <xdr:rowOff>108521</xdr:rowOff>
    </xdr:from>
    <xdr:to>
      <xdr:col>162</xdr:col>
      <xdr:colOff>149542</xdr:colOff>
      <xdr:row>125</xdr:row>
      <xdr:rowOff>63232</xdr:rowOff>
    </xdr:to>
    <xdr:sp macro="" textlink="">
      <xdr:nvSpPr>
        <xdr:cNvPr id="429" name="Down Arrow Callout 42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AD010000}"/>
            </a:ext>
          </a:extLst>
        </xdr:cNvPr>
        <xdr:cNvSpPr/>
      </xdr:nvSpPr>
      <xdr:spPr>
        <a:xfrm>
          <a:off x="27696143" y="34360421"/>
          <a:ext cx="752174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162</xdr:col>
      <xdr:colOff>180498</xdr:colOff>
      <xdr:row>124</xdr:row>
      <xdr:rowOff>107970</xdr:rowOff>
    </xdr:from>
    <xdr:to>
      <xdr:col>163</xdr:col>
      <xdr:colOff>326025</xdr:colOff>
      <xdr:row>125</xdr:row>
      <xdr:rowOff>66252</xdr:rowOff>
    </xdr:to>
    <xdr:sp macro="" textlink="">
      <xdr:nvSpPr>
        <xdr:cNvPr id="430" name="Down Arrow Callout 42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AE010000}"/>
            </a:ext>
          </a:extLst>
        </xdr:cNvPr>
        <xdr:cNvSpPr/>
      </xdr:nvSpPr>
      <xdr:spPr>
        <a:xfrm>
          <a:off x="28479273" y="34359870"/>
          <a:ext cx="76465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161</xdr:col>
      <xdr:colOff>22761</xdr:colOff>
      <xdr:row>122</xdr:row>
      <xdr:rowOff>8433</xdr:rowOff>
    </xdr:from>
    <xdr:to>
      <xdr:col>162</xdr:col>
      <xdr:colOff>151923</xdr:colOff>
      <xdr:row>122</xdr:row>
      <xdr:rowOff>255957</xdr:rowOff>
    </xdr:to>
    <xdr:sp macro="" textlink="">
      <xdr:nvSpPr>
        <xdr:cNvPr id="431" name="Up Arrow Callout 430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AF010000}"/>
            </a:ext>
          </a:extLst>
        </xdr:cNvPr>
        <xdr:cNvSpPr/>
      </xdr:nvSpPr>
      <xdr:spPr>
        <a:xfrm>
          <a:off x="27702411" y="33707883"/>
          <a:ext cx="748287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162</xdr:col>
      <xdr:colOff>188299</xdr:colOff>
      <xdr:row>122</xdr:row>
      <xdr:rowOff>6053</xdr:rowOff>
    </xdr:from>
    <xdr:to>
      <xdr:col>163</xdr:col>
      <xdr:colOff>329246</xdr:colOff>
      <xdr:row>122</xdr:row>
      <xdr:rowOff>257211</xdr:rowOff>
    </xdr:to>
    <xdr:sp macro="" textlink="">
      <xdr:nvSpPr>
        <xdr:cNvPr id="432" name="Up Arrow Callout 431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B0010000}"/>
            </a:ext>
          </a:extLst>
        </xdr:cNvPr>
        <xdr:cNvSpPr/>
      </xdr:nvSpPr>
      <xdr:spPr>
        <a:xfrm>
          <a:off x="28487074" y="33705503"/>
          <a:ext cx="76007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161</xdr:col>
      <xdr:colOff>20955</xdr:colOff>
      <xdr:row>123</xdr:row>
      <xdr:rowOff>2439</xdr:rowOff>
    </xdr:from>
    <xdr:to>
      <xdr:col>162</xdr:col>
      <xdr:colOff>149542</xdr:colOff>
      <xdr:row>123</xdr:row>
      <xdr:rowOff>251157</xdr:rowOff>
    </xdr:to>
    <xdr:sp macro="" textlink="">
      <xdr:nvSpPr>
        <xdr:cNvPr id="433" name="Up Arrow Callout 432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B1010000}"/>
            </a:ext>
          </a:extLst>
        </xdr:cNvPr>
        <xdr:cNvSpPr/>
      </xdr:nvSpPr>
      <xdr:spPr>
        <a:xfrm>
          <a:off x="27700605" y="33978114"/>
          <a:ext cx="747712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162</xdr:col>
      <xdr:colOff>185992</xdr:colOff>
      <xdr:row>123</xdr:row>
      <xdr:rowOff>5992</xdr:rowOff>
    </xdr:from>
    <xdr:to>
      <xdr:col>163</xdr:col>
      <xdr:colOff>326437</xdr:colOff>
      <xdr:row>123</xdr:row>
      <xdr:rowOff>258518</xdr:rowOff>
    </xdr:to>
    <xdr:sp macro="" textlink="">
      <xdr:nvSpPr>
        <xdr:cNvPr id="434" name="Up Arrow Callout 433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B2010000}"/>
            </a:ext>
          </a:extLst>
        </xdr:cNvPr>
        <xdr:cNvSpPr/>
      </xdr:nvSpPr>
      <xdr:spPr>
        <a:xfrm>
          <a:off x="28484767" y="33981667"/>
          <a:ext cx="75957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183</xdr:col>
      <xdr:colOff>0</xdr:colOff>
      <xdr:row>124</xdr:row>
      <xdr:rowOff>104101</xdr:rowOff>
    </xdr:from>
    <xdr:to>
      <xdr:col>184</xdr:col>
      <xdr:colOff>147603</xdr:colOff>
      <xdr:row>125</xdr:row>
      <xdr:rowOff>73488</xdr:rowOff>
    </xdr:to>
    <xdr:sp macro="" textlink="">
      <xdr:nvSpPr>
        <xdr:cNvPr id="435" name="Down Arrow Callout 43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B3010000}"/>
            </a:ext>
          </a:extLst>
        </xdr:cNvPr>
        <xdr:cNvSpPr/>
      </xdr:nvSpPr>
      <xdr:spPr>
        <a:xfrm>
          <a:off x="41595675" y="34356001"/>
          <a:ext cx="76672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184</xdr:col>
      <xdr:colOff>177021</xdr:colOff>
      <xdr:row>124</xdr:row>
      <xdr:rowOff>107395</xdr:rowOff>
    </xdr:from>
    <xdr:to>
      <xdr:col>185</xdr:col>
      <xdr:colOff>327383</xdr:colOff>
      <xdr:row>125</xdr:row>
      <xdr:rowOff>66301</xdr:rowOff>
    </xdr:to>
    <xdr:sp macro="" textlink="">
      <xdr:nvSpPr>
        <xdr:cNvPr id="436" name="Down Arrow Callout 43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B4010000}"/>
            </a:ext>
          </a:extLst>
        </xdr:cNvPr>
        <xdr:cNvSpPr/>
      </xdr:nvSpPr>
      <xdr:spPr>
        <a:xfrm>
          <a:off x="42391821" y="34359295"/>
          <a:ext cx="76948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183</xdr:col>
      <xdr:colOff>25877</xdr:colOff>
      <xdr:row>120</xdr:row>
      <xdr:rowOff>0</xdr:rowOff>
    </xdr:from>
    <xdr:to>
      <xdr:col>184</xdr:col>
      <xdr:colOff>147161</xdr:colOff>
      <xdr:row>120</xdr:row>
      <xdr:rowOff>254520</xdr:rowOff>
    </xdr:to>
    <xdr:sp macro="" textlink="">
      <xdr:nvSpPr>
        <xdr:cNvPr id="437" name="Up Arrow Callout 43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B5010000}"/>
            </a:ext>
          </a:extLst>
        </xdr:cNvPr>
        <xdr:cNvSpPr/>
      </xdr:nvSpPr>
      <xdr:spPr>
        <a:xfrm>
          <a:off x="41621552" y="33147000"/>
          <a:ext cx="740409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184</xdr:col>
      <xdr:colOff>182880</xdr:colOff>
      <xdr:row>120</xdr:row>
      <xdr:rowOff>3905</xdr:rowOff>
    </xdr:from>
    <xdr:to>
      <xdr:col>185</xdr:col>
      <xdr:colOff>303539</xdr:colOff>
      <xdr:row>120</xdr:row>
      <xdr:rowOff>255062</xdr:rowOff>
    </xdr:to>
    <xdr:sp macro="" textlink="">
      <xdr:nvSpPr>
        <xdr:cNvPr id="438" name="Up Arrow Callout 43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B6010000}"/>
            </a:ext>
          </a:extLst>
        </xdr:cNvPr>
        <xdr:cNvSpPr/>
      </xdr:nvSpPr>
      <xdr:spPr>
        <a:xfrm>
          <a:off x="42397680" y="33150905"/>
          <a:ext cx="739784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183</xdr:col>
      <xdr:colOff>16493</xdr:colOff>
      <xdr:row>123</xdr:row>
      <xdr:rowOff>108521</xdr:rowOff>
    </xdr:from>
    <xdr:to>
      <xdr:col>184</xdr:col>
      <xdr:colOff>149542</xdr:colOff>
      <xdr:row>124</xdr:row>
      <xdr:rowOff>63232</xdr:rowOff>
    </xdr:to>
    <xdr:sp macro="" textlink="">
      <xdr:nvSpPr>
        <xdr:cNvPr id="439" name="Down Arrow Callout 43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B7010000}"/>
            </a:ext>
          </a:extLst>
        </xdr:cNvPr>
        <xdr:cNvSpPr/>
      </xdr:nvSpPr>
      <xdr:spPr>
        <a:xfrm>
          <a:off x="41612168" y="34084196"/>
          <a:ext cx="752174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184</xdr:col>
      <xdr:colOff>180498</xdr:colOff>
      <xdr:row>123</xdr:row>
      <xdr:rowOff>107970</xdr:rowOff>
    </xdr:from>
    <xdr:to>
      <xdr:col>185</xdr:col>
      <xdr:colOff>326025</xdr:colOff>
      <xdr:row>124</xdr:row>
      <xdr:rowOff>66252</xdr:rowOff>
    </xdr:to>
    <xdr:sp macro="" textlink="">
      <xdr:nvSpPr>
        <xdr:cNvPr id="440" name="Down Arrow Callout 43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B8010000}"/>
            </a:ext>
          </a:extLst>
        </xdr:cNvPr>
        <xdr:cNvSpPr/>
      </xdr:nvSpPr>
      <xdr:spPr>
        <a:xfrm>
          <a:off x="42395298" y="34083645"/>
          <a:ext cx="76465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183</xdr:col>
      <xdr:colOff>22761</xdr:colOff>
      <xdr:row>121</xdr:row>
      <xdr:rowOff>8433</xdr:rowOff>
    </xdr:from>
    <xdr:to>
      <xdr:col>184</xdr:col>
      <xdr:colOff>151923</xdr:colOff>
      <xdr:row>121</xdr:row>
      <xdr:rowOff>255957</xdr:rowOff>
    </xdr:to>
    <xdr:sp macro="" textlink="">
      <xdr:nvSpPr>
        <xdr:cNvPr id="441" name="Up Arrow Callout 440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B9010000}"/>
            </a:ext>
          </a:extLst>
        </xdr:cNvPr>
        <xdr:cNvSpPr/>
      </xdr:nvSpPr>
      <xdr:spPr>
        <a:xfrm>
          <a:off x="41618436" y="33431658"/>
          <a:ext cx="748287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184</xdr:col>
      <xdr:colOff>188299</xdr:colOff>
      <xdr:row>121</xdr:row>
      <xdr:rowOff>6053</xdr:rowOff>
    </xdr:from>
    <xdr:to>
      <xdr:col>185</xdr:col>
      <xdr:colOff>329246</xdr:colOff>
      <xdr:row>121</xdr:row>
      <xdr:rowOff>257211</xdr:rowOff>
    </xdr:to>
    <xdr:sp macro="" textlink="">
      <xdr:nvSpPr>
        <xdr:cNvPr id="442" name="Up Arrow Callout 441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BA010000}"/>
            </a:ext>
          </a:extLst>
        </xdr:cNvPr>
        <xdr:cNvSpPr/>
      </xdr:nvSpPr>
      <xdr:spPr>
        <a:xfrm>
          <a:off x="42403099" y="33429278"/>
          <a:ext cx="76007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183</xdr:col>
      <xdr:colOff>20955</xdr:colOff>
      <xdr:row>122</xdr:row>
      <xdr:rowOff>2439</xdr:rowOff>
    </xdr:from>
    <xdr:to>
      <xdr:col>184</xdr:col>
      <xdr:colOff>149542</xdr:colOff>
      <xdr:row>122</xdr:row>
      <xdr:rowOff>251157</xdr:rowOff>
    </xdr:to>
    <xdr:sp macro="" textlink="">
      <xdr:nvSpPr>
        <xdr:cNvPr id="443" name="Up Arrow Callout 442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BB010000}"/>
            </a:ext>
          </a:extLst>
        </xdr:cNvPr>
        <xdr:cNvSpPr/>
      </xdr:nvSpPr>
      <xdr:spPr>
        <a:xfrm>
          <a:off x="41616630" y="33701889"/>
          <a:ext cx="747712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184</xdr:col>
      <xdr:colOff>185992</xdr:colOff>
      <xdr:row>122</xdr:row>
      <xdr:rowOff>5992</xdr:rowOff>
    </xdr:from>
    <xdr:to>
      <xdr:col>185</xdr:col>
      <xdr:colOff>326437</xdr:colOff>
      <xdr:row>122</xdr:row>
      <xdr:rowOff>258518</xdr:rowOff>
    </xdr:to>
    <xdr:sp macro="" textlink="">
      <xdr:nvSpPr>
        <xdr:cNvPr id="444" name="Up Arrow Callout 443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BC010000}"/>
            </a:ext>
          </a:extLst>
        </xdr:cNvPr>
        <xdr:cNvSpPr/>
      </xdr:nvSpPr>
      <xdr:spPr>
        <a:xfrm>
          <a:off x="42400792" y="33705442"/>
          <a:ext cx="75957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204</xdr:col>
      <xdr:colOff>0</xdr:colOff>
      <xdr:row>124</xdr:row>
      <xdr:rowOff>104101</xdr:rowOff>
    </xdr:from>
    <xdr:to>
      <xdr:col>205</xdr:col>
      <xdr:colOff>147603</xdr:colOff>
      <xdr:row>125</xdr:row>
      <xdr:rowOff>73488</xdr:rowOff>
    </xdr:to>
    <xdr:sp macro="" textlink="">
      <xdr:nvSpPr>
        <xdr:cNvPr id="445" name="Down Arrow Callout 44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BD010000}"/>
            </a:ext>
          </a:extLst>
        </xdr:cNvPr>
        <xdr:cNvSpPr/>
      </xdr:nvSpPr>
      <xdr:spPr>
        <a:xfrm>
          <a:off x="54797325" y="34356001"/>
          <a:ext cx="76672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205</xdr:col>
      <xdr:colOff>177021</xdr:colOff>
      <xdr:row>124</xdr:row>
      <xdr:rowOff>107395</xdr:rowOff>
    </xdr:from>
    <xdr:to>
      <xdr:col>206</xdr:col>
      <xdr:colOff>327383</xdr:colOff>
      <xdr:row>125</xdr:row>
      <xdr:rowOff>66301</xdr:rowOff>
    </xdr:to>
    <xdr:sp macro="" textlink="">
      <xdr:nvSpPr>
        <xdr:cNvPr id="446" name="Down Arrow Callout 44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BE010000}"/>
            </a:ext>
          </a:extLst>
        </xdr:cNvPr>
        <xdr:cNvSpPr/>
      </xdr:nvSpPr>
      <xdr:spPr>
        <a:xfrm>
          <a:off x="55593471" y="34359295"/>
          <a:ext cx="76948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204</xdr:col>
      <xdr:colOff>25877</xdr:colOff>
      <xdr:row>120</xdr:row>
      <xdr:rowOff>0</xdr:rowOff>
    </xdr:from>
    <xdr:to>
      <xdr:col>205</xdr:col>
      <xdr:colOff>147161</xdr:colOff>
      <xdr:row>120</xdr:row>
      <xdr:rowOff>254520</xdr:rowOff>
    </xdr:to>
    <xdr:sp macro="" textlink="">
      <xdr:nvSpPr>
        <xdr:cNvPr id="447" name="Up Arrow Callout 44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BF010000}"/>
            </a:ext>
          </a:extLst>
        </xdr:cNvPr>
        <xdr:cNvSpPr/>
      </xdr:nvSpPr>
      <xdr:spPr>
        <a:xfrm>
          <a:off x="54823202" y="33147000"/>
          <a:ext cx="740409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205</xdr:col>
      <xdr:colOff>182880</xdr:colOff>
      <xdr:row>120</xdr:row>
      <xdr:rowOff>3905</xdr:rowOff>
    </xdr:from>
    <xdr:to>
      <xdr:col>206</xdr:col>
      <xdr:colOff>303539</xdr:colOff>
      <xdr:row>120</xdr:row>
      <xdr:rowOff>255062</xdr:rowOff>
    </xdr:to>
    <xdr:sp macro="" textlink="">
      <xdr:nvSpPr>
        <xdr:cNvPr id="448" name="Up Arrow Callout 44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C0010000}"/>
            </a:ext>
          </a:extLst>
        </xdr:cNvPr>
        <xdr:cNvSpPr/>
      </xdr:nvSpPr>
      <xdr:spPr>
        <a:xfrm>
          <a:off x="55599330" y="33150905"/>
          <a:ext cx="739784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204</xdr:col>
      <xdr:colOff>16493</xdr:colOff>
      <xdr:row>123</xdr:row>
      <xdr:rowOff>108521</xdr:rowOff>
    </xdr:from>
    <xdr:to>
      <xdr:col>205</xdr:col>
      <xdr:colOff>149542</xdr:colOff>
      <xdr:row>124</xdr:row>
      <xdr:rowOff>63232</xdr:rowOff>
    </xdr:to>
    <xdr:sp macro="" textlink="">
      <xdr:nvSpPr>
        <xdr:cNvPr id="449" name="Down Arrow Callout 44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C1010000}"/>
            </a:ext>
          </a:extLst>
        </xdr:cNvPr>
        <xdr:cNvSpPr/>
      </xdr:nvSpPr>
      <xdr:spPr>
        <a:xfrm>
          <a:off x="54813818" y="34084196"/>
          <a:ext cx="752174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205</xdr:col>
      <xdr:colOff>180498</xdr:colOff>
      <xdr:row>123</xdr:row>
      <xdr:rowOff>107970</xdr:rowOff>
    </xdr:from>
    <xdr:to>
      <xdr:col>206</xdr:col>
      <xdr:colOff>326025</xdr:colOff>
      <xdr:row>124</xdr:row>
      <xdr:rowOff>66252</xdr:rowOff>
    </xdr:to>
    <xdr:sp macro="" textlink="">
      <xdr:nvSpPr>
        <xdr:cNvPr id="450" name="Down Arrow Callout 44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C2010000}"/>
            </a:ext>
          </a:extLst>
        </xdr:cNvPr>
        <xdr:cNvSpPr/>
      </xdr:nvSpPr>
      <xdr:spPr>
        <a:xfrm>
          <a:off x="55596948" y="34083645"/>
          <a:ext cx="76465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204</xdr:col>
      <xdr:colOff>22761</xdr:colOff>
      <xdr:row>121</xdr:row>
      <xdr:rowOff>8433</xdr:rowOff>
    </xdr:from>
    <xdr:to>
      <xdr:col>205</xdr:col>
      <xdr:colOff>151923</xdr:colOff>
      <xdr:row>121</xdr:row>
      <xdr:rowOff>255957</xdr:rowOff>
    </xdr:to>
    <xdr:sp macro="" textlink="">
      <xdr:nvSpPr>
        <xdr:cNvPr id="451" name="Up Arrow Callout 450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C3010000}"/>
            </a:ext>
          </a:extLst>
        </xdr:cNvPr>
        <xdr:cNvSpPr/>
      </xdr:nvSpPr>
      <xdr:spPr>
        <a:xfrm>
          <a:off x="54820086" y="33431658"/>
          <a:ext cx="748287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205</xdr:col>
      <xdr:colOff>188299</xdr:colOff>
      <xdr:row>121</xdr:row>
      <xdr:rowOff>6053</xdr:rowOff>
    </xdr:from>
    <xdr:to>
      <xdr:col>206</xdr:col>
      <xdr:colOff>329246</xdr:colOff>
      <xdr:row>121</xdr:row>
      <xdr:rowOff>257211</xdr:rowOff>
    </xdr:to>
    <xdr:sp macro="" textlink="">
      <xdr:nvSpPr>
        <xdr:cNvPr id="452" name="Up Arrow Callout 451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C4010000}"/>
            </a:ext>
          </a:extLst>
        </xdr:cNvPr>
        <xdr:cNvSpPr/>
      </xdr:nvSpPr>
      <xdr:spPr>
        <a:xfrm>
          <a:off x="55604749" y="33429278"/>
          <a:ext cx="76007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204</xdr:col>
      <xdr:colOff>20955</xdr:colOff>
      <xdr:row>122</xdr:row>
      <xdr:rowOff>2439</xdr:rowOff>
    </xdr:from>
    <xdr:to>
      <xdr:col>205</xdr:col>
      <xdr:colOff>149542</xdr:colOff>
      <xdr:row>122</xdr:row>
      <xdr:rowOff>251157</xdr:rowOff>
    </xdr:to>
    <xdr:sp macro="" textlink="">
      <xdr:nvSpPr>
        <xdr:cNvPr id="453" name="Up Arrow Callout 452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C5010000}"/>
            </a:ext>
          </a:extLst>
        </xdr:cNvPr>
        <xdr:cNvSpPr/>
      </xdr:nvSpPr>
      <xdr:spPr>
        <a:xfrm>
          <a:off x="54818280" y="33701889"/>
          <a:ext cx="747712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205</xdr:col>
      <xdr:colOff>185992</xdr:colOff>
      <xdr:row>122</xdr:row>
      <xdr:rowOff>5992</xdr:rowOff>
    </xdr:from>
    <xdr:to>
      <xdr:col>206</xdr:col>
      <xdr:colOff>326437</xdr:colOff>
      <xdr:row>122</xdr:row>
      <xdr:rowOff>258518</xdr:rowOff>
    </xdr:to>
    <xdr:sp macro="" textlink="">
      <xdr:nvSpPr>
        <xdr:cNvPr id="454" name="Up Arrow Callout 453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C6010000}"/>
            </a:ext>
          </a:extLst>
        </xdr:cNvPr>
        <xdr:cNvSpPr/>
      </xdr:nvSpPr>
      <xdr:spPr>
        <a:xfrm>
          <a:off x="55602442" y="33705442"/>
          <a:ext cx="75957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224</xdr:col>
      <xdr:colOff>0</xdr:colOff>
      <xdr:row>124</xdr:row>
      <xdr:rowOff>104101</xdr:rowOff>
    </xdr:from>
    <xdr:to>
      <xdr:col>225</xdr:col>
      <xdr:colOff>147603</xdr:colOff>
      <xdr:row>125</xdr:row>
      <xdr:rowOff>73488</xdr:rowOff>
    </xdr:to>
    <xdr:sp macro="" textlink="">
      <xdr:nvSpPr>
        <xdr:cNvPr id="455" name="Down Arrow Callout 45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C7010000}"/>
            </a:ext>
          </a:extLst>
        </xdr:cNvPr>
        <xdr:cNvSpPr/>
      </xdr:nvSpPr>
      <xdr:spPr>
        <a:xfrm>
          <a:off x="67379850" y="34356001"/>
          <a:ext cx="76672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225</xdr:col>
      <xdr:colOff>177021</xdr:colOff>
      <xdr:row>124</xdr:row>
      <xdr:rowOff>107395</xdr:rowOff>
    </xdr:from>
    <xdr:to>
      <xdr:col>226</xdr:col>
      <xdr:colOff>327383</xdr:colOff>
      <xdr:row>125</xdr:row>
      <xdr:rowOff>66301</xdr:rowOff>
    </xdr:to>
    <xdr:sp macro="" textlink="">
      <xdr:nvSpPr>
        <xdr:cNvPr id="456" name="Down Arrow Callout 45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C8010000}"/>
            </a:ext>
          </a:extLst>
        </xdr:cNvPr>
        <xdr:cNvSpPr/>
      </xdr:nvSpPr>
      <xdr:spPr>
        <a:xfrm>
          <a:off x="68175996" y="34359295"/>
          <a:ext cx="76948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224</xdr:col>
      <xdr:colOff>25877</xdr:colOff>
      <xdr:row>120</xdr:row>
      <xdr:rowOff>0</xdr:rowOff>
    </xdr:from>
    <xdr:to>
      <xdr:col>225</xdr:col>
      <xdr:colOff>147161</xdr:colOff>
      <xdr:row>120</xdr:row>
      <xdr:rowOff>254520</xdr:rowOff>
    </xdr:to>
    <xdr:sp macro="" textlink="">
      <xdr:nvSpPr>
        <xdr:cNvPr id="457" name="Up Arrow Callout 45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C9010000}"/>
            </a:ext>
          </a:extLst>
        </xdr:cNvPr>
        <xdr:cNvSpPr/>
      </xdr:nvSpPr>
      <xdr:spPr>
        <a:xfrm>
          <a:off x="67405727" y="33147000"/>
          <a:ext cx="740409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225</xdr:col>
      <xdr:colOff>182880</xdr:colOff>
      <xdr:row>120</xdr:row>
      <xdr:rowOff>3905</xdr:rowOff>
    </xdr:from>
    <xdr:to>
      <xdr:col>226</xdr:col>
      <xdr:colOff>303539</xdr:colOff>
      <xdr:row>120</xdr:row>
      <xdr:rowOff>255062</xdr:rowOff>
    </xdr:to>
    <xdr:sp macro="" textlink="">
      <xdr:nvSpPr>
        <xdr:cNvPr id="458" name="Up Arrow Callout 45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CA010000}"/>
            </a:ext>
          </a:extLst>
        </xdr:cNvPr>
        <xdr:cNvSpPr/>
      </xdr:nvSpPr>
      <xdr:spPr>
        <a:xfrm>
          <a:off x="68181855" y="33150905"/>
          <a:ext cx="739784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224</xdr:col>
      <xdr:colOff>16493</xdr:colOff>
      <xdr:row>123</xdr:row>
      <xdr:rowOff>108521</xdr:rowOff>
    </xdr:from>
    <xdr:to>
      <xdr:col>225</xdr:col>
      <xdr:colOff>149542</xdr:colOff>
      <xdr:row>124</xdr:row>
      <xdr:rowOff>63232</xdr:rowOff>
    </xdr:to>
    <xdr:sp macro="" textlink="">
      <xdr:nvSpPr>
        <xdr:cNvPr id="459" name="Down Arrow Callout 45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CB010000}"/>
            </a:ext>
          </a:extLst>
        </xdr:cNvPr>
        <xdr:cNvSpPr/>
      </xdr:nvSpPr>
      <xdr:spPr>
        <a:xfrm>
          <a:off x="67396343" y="34084196"/>
          <a:ext cx="752174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225</xdr:col>
      <xdr:colOff>180498</xdr:colOff>
      <xdr:row>123</xdr:row>
      <xdr:rowOff>107970</xdr:rowOff>
    </xdr:from>
    <xdr:to>
      <xdr:col>226</xdr:col>
      <xdr:colOff>326025</xdr:colOff>
      <xdr:row>124</xdr:row>
      <xdr:rowOff>66252</xdr:rowOff>
    </xdr:to>
    <xdr:sp macro="" textlink="">
      <xdr:nvSpPr>
        <xdr:cNvPr id="460" name="Down Arrow Callout 45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CC010000}"/>
            </a:ext>
          </a:extLst>
        </xdr:cNvPr>
        <xdr:cNvSpPr/>
      </xdr:nvSpPr>
      <xdr:spPr>
        <a:xfrm>
          <a:off x="68179473" y="34083645"/>
          <a:ext cx="76465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224</xdr:col>
      <xdr:colOff>22761</xdr:colOff>
      <xdr:row>121</xdr:row>
      <xdr:rowOff>8433</xdr:rowOff>
    </xdr:from>
    <xdr:to>
      <xdr:col>225</xdr:col>
      <xdr:colOff>151923</xdr:colOff>
      <xdr:row>121</xdr:row>
      <xdr:rowOff>255957</xdr:rowOff>
    </xdr:to>
    <xdr:sp macro="" textlink="">
      <xdr:nvSpPr>
        <xdr:cNvPr id="461" name="Up Arrow Callout 460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CD010000}"/>
            </a:ext>
          </a:extLst>
        </xdr:cNvPr>
        <xdr:cNvSpPr/>
      </xdr:nvSpPr>
      <xdr:spPr>
        <a:xfrm>
          <a:off x="67402611" y="33431658"/>
          <a:ext cx="748287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225</xdr:col>
      <xdr:colOff>188299</xdr:colOff>
      <xdr:row>121</xdr:row>
      <xdr:rowOff>6053</xdr:rowOff>
    </xdr:from>
    <xdr:to>
      <xdr:col>226</xdr:col>
      <xdr:colOff>329246</xdr:colOff>
      <xdr:row>121</xdr:row>
      <xdr:rowOff>257211</xdr:rowOff>
    </xdr:to>
    <xdr:sp macro="" textlink="">
      <xdr:nvSpPr>
        <xdr:cNvPr id="462" name="Up Arrow Callout 461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CE010000}"/>
            </a:ext>
          </a:extLst>
        </xdr:cNvPr>
        <xdr:cNvSpPr/>
      </xdr:nvSpPr>
      <xdr:spPr>
        <a:xfrm>
          <a:off x="68187274" y="33429278"/>
          <a:ext cx="76007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224</xdr:col>
      <xdr:colOff>20955</xdr:colOff>
      <xdr:row>122</xdr:row>
      <xdr:rowOff>2439</xdr:rowOff>
    </xdr:from>
    <xdr:to>
      <xdr:col>225</xdr:col>
      <xdr:colOff>149542</xdr:colOff>
      <xdr:row>122</xdr:row>
      <xdr:rowOff>251157</xdr:rowOff>
    </xdr:to>
    <xdr:sp macro="" textlink="">
      <xdr:nvSpPr>
        <xdr:cNvPr id="463" name="Up Arrow Callout 462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CF010000}"/>
            </a:ext>
          </a:extLst>
        </xdr:cNvPr>
        <xdr:cNvSpPr/>
      </xdr:nvSpPr>
      <xdr:spPr>
        <a:xfrm>
          <a:off x="67400805" y="33701889"/>
          <a:ext cx="747712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225</xdr:col>
      <xdr:colOff>185992</xdr:colOff>
      <xdr:row>122</xdr:row>
      <xdr:rowOff>5992</xdr:rowOff>
    </xdr:from>
    <xdr:to>
      <xdr:col>226</xdr:col>
      <xdr:colOff>326437</xdr:colOff>
      <xdr:row>122</xdr:row>
      <xdr:rowOff>258518</xdr:rowOff>
    </xdr:to>
    <xdr:sp macro="" textlink="">
      <xdr:nvSpPr>
        <xdr:cNvPr id="464" name="Up Arrow Callout 463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D0010000}"/>
            </a:ext>
          </a:extLst>
        </xdr:cNvPr>
        <xdr:cNvSpPr/>
      </xdr:nvSpPr>
      <xdr:spPr>
        <a:xfrm>
          <a:off x="68184967" y="33705442"/>
          <a:ext cx="75957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139</xdr:col>
      <xdr:colOff>0</xdr:colOff>
      <xdr:row>63</xdr:row>
      <xdr:rowOff>104101</xdr:rowOff>
    </xdr:from>
    <xdr:to>
      <xdr:col>139</xdr:col>
      <xdr:colOff>746318</xdr:colOff>
      <xdr:row>64</xdr:row>
      <xdr:rowOff>73488</xdr:rowOff>
    </xdr:to>
    <xdr:sp macro="" textlink="">
      <xdr:nvSpPr>
        <xdr:cNvPr id="465" name="Down Arrow Callout 46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D1010000}"/>
            </a:ext>
          </a:extLst>
        </xdr:cNvPr>
        <xdr:cNvSpPr/>
      </xdr:nvSpPr>
      <xdr:spPr>
        <a:xfrm>
          <a:off x="13106400" y="17506276"/>
          <a:ext cx="74631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13736</xdr:colOff>
      <xdr:row>63</xdr:row>
      <xdr:rowOff>107395</xdr:rowOff>
    </xdr:from>
    <xdr:to>
      <xdr:col>141</xdr:col>
      <xdr:colOff>11698</xdr:colOff>
      <xdr:row>64</xdr:row>
      <xdr:rowOff>66301</xdr:rowOff>
    </xdr:to>
    <xdr:sp macro="" textlink="">
      <xdr:nvSpPr>
        <xdr:cNvPr id="466" name="Down Arrow Callout 46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D2010000}"/>
            </a:ext>
          </a:extLst>
        </xdr:cNvPr>
        <xdr:cNvSpPr/>
      </xdr:nvSpPr>
      <xdr:spPr>
        <a:xfrm>
          <a:off x="13872611" y="17509570"/>
          <a:ext cx="75043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139</xdr:col>
      <xdr:colOff>14992</xdr:colOff>
      <xdr:row>59</xdr:row>
      <xdr:rowOff>0</xdr:rowOff>
    </xdr:from>
    <xdr:to>
      <xdr:col>139</xdr:col>
      <xdr:colOff>745876</xdr:colOff>
      <xdr:row>59</xdr:row>
      <xdr:rowOff>254520</xdr:rowOff>
    </xdr:to>
    <xdr:sp macro="" textlink="">
      <xdr:nvSpPr>
        <xdr:cNvPr id="467" name="Up Arrow Callout 46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D3010000}"/>
            </a:ext>
          </a:extLst>
        </xdr:cNvPr>
        <xdr:cNvSpPr/>
      </xdr:nvSpPr>
      <xdr:spPr>
        <a:xfrm>
          <a:off x="13121392" y="16297275"/>
          <a:ext cx="730884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140</xdr:col>
      <xdr:colOff>19595</xdr:colOff>
      <xdr:row>59</xdr:row>
      <xdr:rowOff>3905</xdr:rowOff>
    </xdr:from>
    <xdr:to>
      <xdr:col>140</xdr:col>
      <xdr:colOff>749854</xdr:colOff>
      <xdr:row>59</xdr:row>
      <xdr:rowOff>255062</xdr:rowOff>
    </xdr:to>
    <xdr:sp macro="" textlink="">
      <xdr:nvSpPr>
        <xdr:cNvPr id="468" name="Up Arrow Callout 46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D4010000}"/>
            </a:ext>
          </a:extLst>
        </xdr:cNvPr>
        <xdr:cNvSpPr/>
      </xdr:nvSpPr>
      <xdr:spPr>
        <a:xfrm>
          <a:off x="13878470" y="16301180"/>
          <a:ext cx="730259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139</xdr:col>
      <xdr:colOff>5608</xdr:colOff>
      <xdr:row>62</xdr:row>
      <xdr:rowOff>108521</xdr:rowOff>
    </xdr:from>
    <xdr:to>
      <xdr:col>139</xdr:col>
      <xdr:colOff>748257</xdr:colOff>
      <xdr:row>63</xdr:row>
      <xdr:rowOff>63232</xdr:rowOff>
    </xdr:to>
    <xdr:sp macro="" textlink="">
      <xdr:nvSpPr>
        <xdr:cNvPr id="469" name="Down Arrow Callout 46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D5010000}"/>
            </a:ext>
          </a:extLst>
        </xdr:cNvPr>
        <xdr:cNvSpPr/>
      </xdr:nvSpPr>
      <xdr:spPr>
        <a:xfrm>
          <a:off x="13112008" y="17234471"/>
          <a:ext cx="742649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17213</xdr:colOff>
      <xdr:row>62</xdr:row>
      <xdr:rowOff>107970</xdr:rowOff>
    </xdr:from>
    <xdr:to>
      <xdr:col>141</xdr:col>
      <xdr:colOff>10340</xdr:colOff>
      <xdr:row>63</xdr:row>
      <xdr:rowOff>66252</xdr:rowOff>
    </xdr:to>
    <xdr:sp macro="" textlink="">
      <xdr:nvSpPr>
        <xdr:cNvPr id="470" name="Down Arrow Callout 46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D6010000}"/>
            </a:ext>
          </a:extLst>
        </xdr:cNvPr>
        <xdr:cNvSpPr/>
      </xdr:nvSpPr>
      <xdr:spPr>
        <a:xfrm>
          <a:off x="13876088" y="17233920"/>
          <a:ext cx="74560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139</xdr:col>
      <xdr:colOff>11876</xdr:colOff>
      <xdr:row>60</xdr:row>
      <xdr:rowOff>8433</xdr:rowOff>
    </xdr:from>
    <xdr:to>
      <xdr:col>139</xdr:col>
      <xdr:colOff>750638</xdr:colOff>
      <xdr:row>60</xdr:row>
      <xdr:rowOff>266843</xdr:rowOff>
    </xdr:to>
    <xdr:sp macro="" textlink="">
      <xdr:nvSpPr>
        <xdr:cNvPr id="471" name="Up Arrow Callout 470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D7010000}"/>
            </a:ext>
          </a:extLst>
        </xdr:cNvPr>
        <xdr:cNvSpPr/>
      </xdr:nvSpPr>
      <xdr:spPr>
        <a:xfrm>
          <a:off x="13118276" y="16581933"/>
          <a:ext cx="738762" cy="258410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140</xdr:col>
      <xdr:colOff>25014</xdr:colOff>
      <xdr:row>60</xdr:row>
      <xdr:rowOff>6053</xdr:rowOff>
    </xdr:from>
    <xdr:to>
      <xdr:col>141</xdr:col>
      <xdr:colOff>13561</xdr:colOff>
      <xdr:row>60</xdr:row>
      <xdr:rowOff>257211</xdr:rowOff>
    </xdr:to>
    <xdr:sp macro="" textlink="">
      <xdr:nvSpPr>
        <xdr:cNvPr id="472" name="Up Arrow Callout 471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D8010000}"/>
            </a:ext>
          </a:extLst>
        </xdr:cNvPr>
        <xdr:cNvSpPr/>
      </xdr:nvSpPr>
      <xdr:spPr>
        <a:xfrm>
          <a:off x="13883889" y="16579553"/>
          <a:ext cx="74102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139</xdr:col>
      <xdr:colOff>10070</xdr:colOff>
      <xdr:row>61</xdr:row>
      <xdr:rowOff>2439</xdr:rowOff>
    </xdr:from>
    <xdr:to>
      <xdr:col>139</xdr:col>
      <xdr:colOff>748257</xdr:colOff>
      <xdr:row>61</xdr:row>
      <xdr:rowOff>262042</xdr:rowOff>
    </xdr:to>
    <xdr:sp macro="" textlink="">
      <xdr:nvSpPr>
        <xdr:cNvPr id="473" name="Up Arrow Callout 472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D9010000}"/>
            </a:ext>
          </a:extLst>
        </xdr:cNvPr>
        <xdr:cNvSpPr/>
      </xdr:nvSpPr>
      <xdr:spPr>
        <a:xfrm>
          <a:off x="13116470" y="16852164"/>
          <a:ext cx="738187" cy="259603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140</xdr:col>
      <xdr:colOff>22707</xdr:colOff>
      <xdr:row>61</xdr:row>
      <xdr:rowOff>5992</xdr:rowOff>
    </xdr:from>
    <xdr:to>
      <xdr:col>141</xdr:col>
      <xdr:colOff>10752</xdr:colOff>
      <xdr:row>61</xdr:row>
      <xdr:rowOff>258518</xdr:rowOff>
    </xdr:to>
    <xdr:sp macro="" textlink="">
      <xdr:nvSpPr>
        <xdr:cNvPr id="474" name="Up Arrow Callout 473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DA010000}"/>
            </a:ext>
          </a:extLst>
        </xdr:cNvPr>
        <xdr:cNvSpPr/>
      </xdr:nvSpPr>
      <xdr:spPr>
        <a:xfrm>
          <a:off x="13881582" y="16855717"/>
          <a:ext cx="74052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137</xdr:col>
      <xdr:colOff>709498</xdr:colOff>
      <xdr:row>5</xdr:row>
      <xdr:rowOff>223100</xdr:rowOff>
    </xdr:from>
    <xdr:to>
      <xdr:col>140</xdr:col>
      <xdr:colOff>222993</xdr:colOff>
      <xdr:row>6</xdr:row>
      <xdr:rowOff>230821</xdr:rowOff>
    </xdr:to>
    <xdr:sp macro="" textlink="">
      <xdr:nvSpPr>
        <xdr:cNvPr id="475" name="Down Arrow Callout 47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DB010000}"/>
            </a:ext>
          </a:extLst>
        </xdr:cNvPr>
        <xdr:cNvSpPr/>
      </xdr:nvSpPr>
      <xdr:spPr>
        <a:xfrm>
          <a:off x="12310948" y="1604225"/>
          <a:ext cx="1770920" cy="283946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304902</xdr:colOff>
      <xdr:row>5</xdr:row>
      <xdr:rowOff>235743</xdr:rowOff>
    </xdr:from>
    <xdr:to>
      <xdr:col>142</xdr:col>
      <xdr:colOff>582681</xdr:colOff>
      <xdr:row>6</xdr:row>
      <xdr:rowOff>229076</xdr:rowOff>
    </xdr:to>
    <xdr:sp macro="" textlink="">
      <xdr:nvSpPr>
        <xdr:cNvPr id="476" name="Down Arrow Callout 47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DC010000}"/>
            </a:ext>
          </a:extLst>
        </xdr:cNvPr>
        <xdr:cNvSpPr/>
      </xdr:nvSpPr>
      <xdr:spPr>
        <a:xfrm>
          <a:off x="14163777" y="1616868"/>
          <a:ext cx="1782729" cy="269558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137</xdr:col>
      <xdr:colOff>737336</xdr:colOff>
      <xdr:row>1</xdr:row>
      <xdr:rowOff>121641</xdr:rowOff>
    </xdr:from>
    <xdr:to>
      <xdr:col>140</xdr:col>
      <xdr:colOff>214242</xdr:colOff>
      <xdr:row>2</xdr:row>
      <xdr:rowOff>135628</xdr:rowOff>
    </xdr:to>
    <xdr:sp macro="" textlink="">
      <xdr:nvSpPr>
        <xdr:cNvPr id="477" name="Up Arrow Callout 47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DD010000}"/>
            </a:ext>
          </a:extLst>
        </xdr:cNvPr>
        <xdr:cNvSpPr/>
      </xdr:nvSpPr>
      <xdr:spPr>
        <a:xfrm>
          <a:off x="12338786" y="397866"/>
          <a:ext cx="1734331" cy="290212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140</xdr:col>
      <xdr:colOff>326422</xdr:colOff>
      <xdr:row>1</xdr:row>
      <xdr:rowOff>131479</xdr:rowOff>
    </xdr:from>
    <xdr:to>
      <xdr:col>142</xdr:col>
      <xdr:colOff>559594</xdr:colOff>
      <xdr:row>2</xdr:row>
      <xdr:rowOff>141613</xdr:rowOff>
    </xdr:to>
    <xdr:sp macro="" textlink="">
      <xdr:nvSpPr>
        <xdr:cNvPr id="478" name="Up Arrow Callout 47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DE010000}"/>
            </a:ext>
          </a:extLst>
        </xdr:cNvPr>
        <xdr:cNvSpPr/>
      </xdr:nvSpPr>
      <xdr:spPr>
        <a:xfrm>
          <a:off x="14185297" y="407704"/>
          <a:ext cx="1738122" cy="286359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137</xdr:col>
      <xdr:colOff>718160</xdr:colOff>
      <xdr:row>4</xdr:row>
      <xdr:rowOff>232037</xdr:rowOff>
    </xdr:from>
    <xdr:to>
      <xdr:col>140</xdr:col>
      <xdr:colOff>222956</xdr:colOff>
      <xdr:row>5</xdr:row>
      <xdr:rowOff>221925</xdr:rowOff>
    </xdr:to>
    <xdr:sp macro="" textlink="">
      <xdr:nvSpPr>
        <xdr:cNvPr id="479" name="Down Arrow Callout 47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DF010000}"/>
            </a:ext>
          </a:extLst>
        </xdr:cNvPr>
        <xdr:cNvSpPr/>
      </xdr:nvSpPr>
      <xdr:spPr>
        <a:xfrm>
          <a:off x="12319610" y="1336937"/>
          <a:ext cx="1762221" cy="266113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312403</xdr:colOff>
      <xdr:row>4</xdr:row>
      <xdr:rowOff>236409</xdr:rowOff>
    </xdr:from>
    <xdr:to>
      <xdr:col>142</xdr:col>
      <xdr:colOff>578720</xdr:colOff>
      <xdr:row>5</xdr:row>
      <xdr:rowOff>229028</xdr:rowOff>
    </xdr:to>
    <xdr:sp macro="" textlink="">
      <xdr:nvSpPr>
        <xdr:cNvPr id="480" name="Down Arrow Callout 47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E0010000}"/>
            </a:ext>
          </a:extLst>
        </xdr:cNvPr>
        <xdr:cNvSpPr/>
      </xdr:nvSpPr>
      <xdr:spPr>
        <a:xfrm>
          <a:off x="14171278" y="1341309"/>
          <a:ext cx="1771267" cy="268844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137</xdr:col>
      <xdr:colOff>727664</xdr:colOff>
      <xdr:row>2</xdr:row>
      <xdr:rowOff>129509</xdr:rowOff>
    </xdr:from>
    <xdr:to>
      <xdr:col>140</xdr:col>
      <xdr:colOff>223245</xdr:colOff>
      <xdr:row>3</xdr:row>
      <xdr:rowOff>147950</xdr:rowOff>
    </xdr:to>
    <xdr:sp macro="" textlink="">
      <xdr:nvSpPr>
        <xdr:cNvPr id="481" name="Up Arrow Callout 480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E1010000}"/>
            </a:ext>
          </a:extLst>
        </xdr:cNvPr>
        <xdr:cNvSpPr/>
      </xdr:nvSpPr>
      <xdr:spPr>
        <a:xfrm>
          <a:off x="12329114" y="681959"/>
          <a:ext cx="1753006" cy="294666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140</xdr:col>
      <xdr:colOff>324017</xdr:colOff>
      <xdr:row>2</xdr:row>
      <xdr:rowOff>133628</xdr:rowOff>
    </xdr:from>
    <xdr:to>
      <xdr:col>142</xdr:col>
      <xdr:colOff>579477</xdr:colOff>
      <xdr:row>3</xdr:row>
      <xdr:rowOff>143762</xdr:rowOff>
    </xdr:to>
    <xdr:sp macro="" textlink="">
      <xdr:nvSpPr>
        <xdr:cNvPr id="482" name="Up Arrow Callout 481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E2010000}"/>
            </a:ext>
          </a:extLst>
        </xdr:cNvPr>
        <xdr:cNvSpPr/>
      </xdr:nvSpPr>
      <xdr:spPr>
        <a:xfrm>
          <a:off x="14182892" y="686078"/>
          <a:ext cx="1760410" cy="286359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137</xdr:col>
      <xdr:colOff>726336</xdr:colOff>
      <xdr:row>3</xdr:row>
      <xdr:rowOff>123341</xdr:rowOff>
    </xdr:from>
    <xdr:to>
      <xdr:col>140</xdr:col>
      <xdr:colOff>220555</xdr:colOff>
      <xdr:row>4</xdr:row>
      <xdr:rowOff>143148</xdr:rowOff>
    </xdr:to>
    <xdr:sp macro="" textlink="">
      <xdr:nvSpPr>
        <xdr:cNvPr id="483" name="Up Arrow Callout 482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E3010000}"/>
            </a:ext>
          </a:extLst>
        </xdr:cNvPr>
        <xdr:cNvSpPr/>
      </xdr:nvSpPr>
      <xdr:spPr>
        <a:xfrm>
          <a:off x="12327786" y="952016"/>
          <a:ext cx="1751644" cy="296032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140</xdr:col>
      <xdr:colOff>322126</xdr:colOff>
      <xdr:row>3</xdr:row>
      <xdr:rowOff>133368</xdr:rowOff>
    </xdr:from>
    <xdr:to>
      <xdr:col>142</xdr:col>
      <xdr:colOff>576396</xdr:colOff>
      <xdr:row>4</xdr:row>
      <xdr:rowOff>145068</xdr:rowOff>
    </xdr:to>
    <xdr:sp macro="" textlink="">
      <xdr:nvSpPr>
        <xdr:cNvPr id="484" name="Up Arrow Callout 483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E4010000}"/>
            </a:ext>
          </a:extLst>
        </xdr:cNvPr>
        <xdr:cNvSpPr/>
      </xdr:nvSpPr>
      <xdr:spPr>
        <a:xfrm>
          <a:off x="14181001" y="962043"/>
          <a:ext cx="1759220" cy="287925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166</xdr:col>
      <xdr:colOff>281608</xdr:colOff>
      <xdr:row>0</xdr:row>
      <xdr:rowOff>188843</xdr:rowOff>
    </xdr:from>
    <xdr:to>
      <xdr:col>170</xdr:col>
      <xdr:colOff>441462</xdr:colOff>
      <xdr:row>2</xdr:row>
      <xdr:rowOff>163284</xdr:rowOff>
    </xdr:to>
    <xdr:sp macro="" textlink="">
      <xdr:nvSpPr>
        <xdr:cNvPr id="485" name="Horizontal Scroll 48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E5010000}"/>
            </a:ext>
          </a:extLst>
        </xdr:cNvPr>
        <xdr:cNvSpPr/>
      </xdr:nvSpPr>
      <xdr:spPr>
        <a:xfrm>
          <a:off x="31056883" y="188843"/>
          <a:ext cx="2674454" cy="526891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ELECON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207</xdr:col>
      <xdr:colOff>571501</xdr:colOff>
      <xdr:row>0</xdr:row>
      <xdr:rowOff>149087</xdr:rowOff>
    </xdr:from>
    <xdr:to>
      <xdr:col>212</xdr:col>
      <xdr:colOff>118442</xdr:colOff>
      <xdr:row>2</xdr:row>
      <xdr:rowOff>142460</xdr:rowOff>
    </xdr:to>
    <xdr:sp macro="" textlink="">
      <xdr:nvSpPr>
        <xdr:cNvPr id="486" name="Horizontal Scroll 48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E6010000}"/>
            </a:ext>
          </a:extLst>
        </xdr:cNvPr>
        <xdr:cNvSpPr/>
      </xdr:nvSpPr>
      <xdr:spPr>
        <a:xfrm>
          <a:off x="57226201" y="149087"/>
          <a:ext cx="2642566" cy="545823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Premium</a:t>
          </a:r>
        </a:p>
      </xdr:txBody>
    </xdr:sp>
    <xdr:clientData/>
  </xdr:twoCellAnchor>
  <xdr:twoCellAnchor>
    <xdr:from>
      <xdr:col>231</xdr:col>
      <xdr:colOff>13607</xdr:colOff>
      <xdr:row>0</xdr:row>
      <xdr:rowOff>176893</xdr:rowOff>
    </xdr:from>
    <xdr:to>
      <xdr:col>235</xdr:col>
      <xdr:colOff>172869</xdr:colOff>
      <xdr:row>2</xdr:row>
      <xdr:rowOff>170266</xdr:rowOff>
    </xdr:to>
    <xdr:sp macro="" textlink="">
      <xdr:nvSpPr>
        <xdr:cNvPr id="487" name="Horizontal Scroll 48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E7010000}"/>
            </a:ext>
          </a:extLst>
        </xdr:cNvPr>
        <xdr:cNvSpPr/>
      </xdr:nvSpPr>
      <xdr:spPr>
        <a:xfrm>
          <a:off x="71765432" y="176893"/>
          <a:ext cx="2635762" cy="545823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Premium</a:t>
          </a:r>
        </a:p>
      </xdr:txBody>
    </xdr:sp>
    <xdr:clientData/>
  </xdr:twoCellAnchor>
  <xdr:twoCellAnchor>
    <xdr:from>
      <xdr:col>187</xdr:col>
      <xdr:colOff>517073</xdr:colOff>
      <xdr:row>0</xdr:row>
      <xdr:rowOff>163286</xdr:rowOff>
    </xdr:from>
    <xdr:to>
      <xdr:col>192</xdr:col>
      <xdr:colOff>64605</xdr:colOff>
      <xdr:row>2</xdr:row>
      <xdr:rowOff>137727</xdr:rowOff>
    </xdr:to>
    <xdr:sp macro="" textlink="">
      <xdr:nvSpPr>
        <xdr:cNvPr id="488" name="Horizontal Scroll 48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E8010000}"/>
            </a:ext>
          </a:extLst>
        </xdr:cNvPr>
        <xdr:cNvSpPr/>
      </xdr:nvSpPr>
      <xdr:spPr>
        <a:xfrm>
          <a:off x="44589248" y="163286"/>
          <a:ext cx="2719357" cy="526891"/>
        </a:xfrm>
        <a:prstGeom prst="horizontalScroll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400" b="1" u="sng">
              <a:solidFill>
                <a:schemeClr val="accent6">
                  <a:lumMod val="50000"/>
                </a:schemeClr>
              </a:solidFill>
              <a:latin typeface="Baskerville Old Face" pitchFamily="18" charset="0"/>
            </a:rPr>
            <a:t>ELECON</a:t>
          </a:r>
          <a:endParaRPr lang="en-US" sz="1100" b="1" u="sng">
            <a:solidFill>
              <a:schemeClr val="accent6">
                <a:lumMod val="50000"/>
              </a:schemeClr>
            </a:solidFill>
            <a:latin typeface="Baskerville Old Face" pitchFamily="18" charset="0"/>
          </a:endParaRPr>
        </a:p>
      </xdr:txBody>
    </xdr:sp>
    <xdr:clientData/>
  </xdr:twoCellAnchor>
  <xdr:twoCellAnchor>
    <xdr:from>
      <xdr:col>161</xdr:col>
      <xdr:colOff>0</xdr:colOff>
      <xdr:row>125</xdr:row>
      <xdr:rowOff>104101</xdr:rowOff>
    </xdr:from>
    <xdr:to>
      <xdr:col>162</xdr:col>
      <xdr:colOff>147603</xdr:colOff>
      <xdr:row>126</xdr:row>
      <xdr:rowOff>73488</xdr:rowOff>
    </xdr:to>
    <xdr:sp macro="" textlink="">
      <xdr:nvSpPr>
        <xdr:cNvPr id="489" name="Down Arrow Callout 48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E9010000}"/>
            </a:ext>
          </a:extLst>
        </xdr:cNvPr>
        <xdr:cNvSpPr/>
      </xdr:nvSpPr>
      <xdr:spPr>
        <a:xfrm>
          <a:off x="27679650" y="34632226"/>
          <a:ext cx="76672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162</xdr:col>
      <xdr:colOff>177021</xdr:colOff>
      <xdr:row>125</xdr:row>
      <xdr:rowOff>107395</xdr:rowOff>
    </xdr:from>
    <xdr:to>
      <xdr:col>163</xdr:col>
      <xdr:colOff>327383</xdr:colOff>
      <xdr:row>126</xdr:row>
      <xdr:rowOff>66301</xdr:rowOff>
    </xdr:to>
    <xdr:sp macro="" textlink="">
      <xdr:nvSpPr>
        <xdr:cNvPr id="490" name="Down Arrow Callout 48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EA010000}"/>
            </a:ext>
          </a:extLst>
        </xdr:cNvPr>
        <xdr:cNvSpPr/>
      </xdr:nvSpPr>
      <xdr:spPr>
        <a:xfrm>
          <a:off x="28475796" y="34635520"/>
          <a:ext cx="76948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161</xdr:col>
      <xdr:colOff>25877</xdr:colOff>
      <xdr:row>121</xdr:row>
      <xdr:rowOff>0</xdr:rowOff>
    </xdr:from>
    <xdr:to>
      <xdr:col>162</xdr:col>
      <xdr:colOff>147161</xdr:colOff>
      <xdr:row>121</xdr:row>
      <xdr:rowOff>254520</xdr:rowOff>
    </xdr:to>
    <xdr:sp macro="" textlink="">
      <xdr:nvSpPr>
        <xdr:cNvPr id="491" name="Up Arrow Callout 49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EB010000}"/>
            </a:ext>
          </a:extLst>
        </xdr:cNvPr>
        <xdr:cNvSpPr/>
      </xdr:nvSpPr>
      <xdr:spPr>
        <a:xfrm>
          <a:off x="27705527" y="33423225"/>
          <a:ext cx="740409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162</xdr:col>
      <xdr:colOff>182880</xdr:colOff>
      <xdr:row>121</xdr:row>
      <xdr:rowOff>3905</xdr:rowOff>
    </xdr:from>
    <xdr:to>
      <xdr:col>163</xdr:col>
      <xdr:colOff>303539</xdr:colOff>
      <xdr:row>121</xdr:row>
      <xdr:rowOff>255062</xdr:rowOff>
    </xdr:to>
    <xdr:sp macro="" textlink="">
      <xdr:nvSpPr>
        <xdr:cNvPr id="492" name="Up Arrow Callout 49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EC010000}"/>
            </a:ext>
          </a:extLst>
        </xdr:cNvPr>
        <xdr:cNvSpPr/>
      </xdr:nvSpPr>
      <xdr:spPr>
        <a:xfrm>
          <a:off x="28481655" y="33427130"/>
          <a:ext cx="739784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161</xdr:col>
      <xdr:colOff>16493</xdr:colOff>
      <xdr:row>124</xdr:row>
      <xdr:rowOff>108521</xdr:rowOff>
    </xdr:from>
    <xdr:to>
      <xdr:col>162</xdr:col>
      <xdr:colOff>149542</xdr:colOff>
      <xdr:row>125</xdr:row>
      <xdr:rowOff>63232</xdr:rowOff>
    </xdr:to>
    <xdr:sp macro="" textlink="">
      <xdr:nvSpPr>
        <xdr:cNvPr id="493" name="Down Arrow Callout 49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ED010000}"/>
            </a:ext>
          </a:extLst>
        </xdr:cNvPr>
        <xdr:cNvSpPr/>
      </xdr:nvSpPr>
      <xdr:spPr>
        <a:xfrm>
          <a:off x="27696143" y="34360421"/>
          <a:ext cx="752174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162</xdr:col>
      <xdr:colOff>180498</xdr:colOff>
      <xdr:row>124</xdr:row>
      <xdr:rowOff>107970</xdr:rowOff>
    </xdr:from>
    <xdr:to>
      <xdr:col>163</xdr:col>
      <xdr:colOff>326025</xdr:colOff>
      <xdr:row>125</xdr:row>
      <xdr:rowOff>66252</xdr:rowOff>
    </xdr:to>
    <xdr:sp macro="" textlink="">
      <xdr:nvSpPr>
        <xdr:cNvPr id="494" name="Down Arrow Callout 49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EE010000}"/>
            </a:ext>
          </a:extLst>
        </xdr:cNvPr>
        <xdr:cNvSpPr/>
      </xdr:nvSpPr>
      <xdr:spPr>
        <a:xfrm>
          <a:off x="28479273" y="34359870"/>
          <a:ext cx="76465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161</xdr:col>
      <xdr:colOff>22761</xdr:colOff>
      <xdr:row>122</xdr:row>
      <xdr:rowOff>8433</xdr:rowOff>
    </xdr:from>
    <xdr:to>
      <xdr:col>162</xdr:col>
      <xdr:colOff>151923</xdr:colOff>
      <xdr:row>122</xdr:row>
      <xdr:rowOff>255957</xdr:rowOff>
    </xdr:to>
    <xdr:sp macro="" textlink="">
      <xdr:nvSpPr>
        <xdr:cNvPr id="495" name="Up Arrow Callout 49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EF010000}"/>
            </a:ext>
          </a:extLst>
        </xdr:cNvPr>
        <xdr:cNvSpPr/>
      </xdr:nvSpPr>
      <xdr:spPr>
        <a:xfrm>
          <a:off x="27702411" y="33707883"/>
          <a:ext cx="748287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162</xdr:col>
      <xdr:colOff>188299</xdr:colOff>
      <xdr:row>122</xdr:row>
      <xdr:rowOff>6053</xdr:rowOff>
    </xdr:from>
    <xdr:to>
      <xdr:col>163</xdr:col>
      <xdr:colOff>329246</xdr:colOff>
      <xdr:row>122</xdr:row>
      <xdr:rowOff>257211</xdr:rowOff>
    </xdr:to>
    <xdr:sp macro="" textlink="">
      <xdr:nvSpPr>
        <xdr:cNvPr id="496" name="Up Arrow Callout 49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F0010000}"/>
            </a:ext>
          </a:extLst>
        </xdr:cNvPr>
        <xdr:cNvSpPr/>
      </xdr:nvSpPr>
      <xdr:spPr>
        <a:xfrm>
          <a:off x="28487074" y="33705503"/>
          <a:ext cx="76007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161</xdr:col>
      <xdr:colOff>20955</xdr:colOff>
      <xdr:row>123</xdr:row>
      <xdr:rowOff>2439</xdr:rowOff>
    </xdr:from>
    <xdr:to>
      <xdr:col>162</xdr:col>
      <xdr:colOff>149542</xdr:colOff>
      <xdr:row>123</xdr:row>
      <xdr:rowOff>251157</xdr:rowOff>
    </xdr:to>
    <xdr:sp macro="" textlink="">
      <xdr:nvSpPr>
        <xdr:cNvPr id="497" name="Up Arrow Callout 496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F1010000}"/>
            </a:ext>
          </a:extLst>
        </xdr:cNvPr>
        <xdr:cNvSpPr/>
      </xdr:nvSpPr>
      <xdr:spPr>
        <a:xfrm>
          <a:off x="27700605" y="33978114"/>
          <a:ext cx="747712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162</xdr:col>
      <xdr:colOff>185992</xdr:colOff>
      <xdr:row>123</xdr:row>
      <xdr:rowOff>5992</xdr:rowOff>
    </xdr:from>
    <xdr:to>
      <xdr:col>163</xdr:col>
      <xdr:colOff>326437</xdr:colOff>
      <xdr:row>123</xdr:row>
      <xdr:rowOff>258518</xdr:rowOff>
    </xdr:to>
    <xdr:sp macro="" textlink="">
      <xdr:nvSpPr>
        <xdr:cNvPr id="498" name="Up Arrow Callout 497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F2010000}"/>
            </a:ext>
          </a:extLst>
        </xdr:cNvPr>
        <xdr:cNvSpPr/>
      </xdr:nvSpPr>
      <xdr:spPr>
        <a:xfrm>
          <a:off x="28484767" y="33981667"/>
          <a:ext cx="75957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183</xdr:col>
      <xdr:colOff>0</xdr:colOff>
      <xdr:row>124</xdr:row>
      <xdr:rowOff>104101</xdr:rowOff>
    </xdr:from>
    <xdr:to>
      <xdr:col>184</xdr:col>
      <xdr:colOff>147603</xdr:colOff>
      <xdr:row>125</xdr:row>
      <xdr:rowOff>73488</xdr:rowOff>
    </xdr:to>
    <xdr:sp macro="" textlink="">
      <xdr:nvSpPr>
        <xdr:cNvPr id="499" name="Down Arrow Callout 49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F3010000}"/>
            </a:ext>
          </a:extLst>
        </xdr:cNvPr>
        <xdr:cNvSpPr/>
      </xdr:nvSpPr>
      <xdr:spPr>
        <a:xfrm>
          <a:off x="41595675" y="34356001"/>
          <a:ext cx="76672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184</xdr:col>
      <xdr:colOff>177021</xdr:colOff>
      <xdr:row>124</xdr:row>
      <xdr:rowOff>107395</xdr:rowOff>
    </xdr:from>
    <xdr:to>
      <xdr:col>185</xdr:col>
      <xdr:colOff>327383</xdr:colOff>
      <xdr:row>125</xdr:row>
      <xdr:rowOff>66301</xdr:rowOff>
    </xdr:to>
    <xdr:sp macro="" textlink="">
      <xdr:nvSpPr>
        <xdr:cNvPr id="500" name="Down Arrow Callout 49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F4010000}"/>
            </a:ext>
          </a:extLst>
        </xdr:cNvPr>
        <xdr:cNvSpPr/>
      </xdr:nvSpPr>
      <xdr:spPr>
        <a:xfrm>
          <a:off x="42391821" y="34359295"/>
          <a:ext cx="76948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183</xdr:col>
      <xdr:colOff>25877</xdr:colOff>
      <xdr:row>120</xdr:row>
      <xdr:rowOff>0</xdr:rowOff>
    </xdr:from>
    <xdr:to>
      <xdr:col>184</xdr:col>
      <xdr:colOff>147161</xdr:colOff>
      <xdr:row>120</xdr:row>
      <xdr:rowOff>254520</xdr:rowOff>
    </xdr:to>
    <xdr:sp macro="" textlink="">
      <xdr:nvSpPr>
        <xdr:cNvPr id="501" name="Up Arrow Callout 50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F5010000}"/>
            </a:ext>
          </a:extLst>
        </xdr:cNvPr>
        <xdr:cNvSpPr/>
      </xdr:nvSpPr>
      <xdr:spPr>
        <a:xfrm>
          <a:off x="41621552" y="33147000"/>
          <a:ext cx="740409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184</xdr:col>
      <xdr:colOff>182880</xdr:colOff>
      <xdr:row>120</xdr:row>
      <xdr:rowOff>3905</xdr:rowOff>
    </xdr:from>
    <xdr:to>
      <xdr:col>185</xdr:col>
      <xdr:colOff>303539</xdr:colOff>
      <xdr:row>120</xdr:row>
      <xdr:rowOff>255062</xdr:rowOff>
    </xdr:to>
    <xdr:sp macro="" textlink="">
      <xdr:nvSpPr>
        <xdr:cNvPr id="502" name="Up Arrow Callout 50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F6010000}"/>
            </a:ext>
          </a:extLst>
        </xdr:cNvPr>
        <xdr:cNvSpPr/>
      </xdr:nvSpPr>
      <xdr:spPr>
        <a:xfrm>
          <a:off x="42397680" y="33150905"/>
          <a:ext cx="739784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183</xdr:col>
      <xdr:colOff>16493</xdr:colOff>
      <xdr:row>123</xdr:row>
      <xdr:rowOff>108521</xdr:rowOff>
    </xdr:from>
    <xdr:to>
      <xdr:col>184</xdr:col>
      <xdr:colOff>149542</xdr:colOff>
      <xdr:row>124</xdr:row>
      <xdr:rowOff>63232</xdr:rowOff>
    </xdr:to>
    <xdr:sp macro="" textlink="">
      <xdr:nvSpPr>
        <xdr:cNvPr id="503" name="Down Arrow Callout 50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F7010000}"/>
            </a:ext>
          </a:extLst>
        </xdr:cNvPr>
        <xdr:cNvSpPr/>
      </xdr:nvSpPr>
      <xdr:spPr>
        <a:xfrm>
          <a:off x="41612168" y="34084196"/>
          <a:ext cx="752174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184</xdr:col>
      <xdr:colOff>180498</xdr:colOff>
      <xdr:row>123</xdr:row>
      <xdr:rowOff>107970</xdr:rowOff>
    </xdr:from>
    <xdr:to>
      <xdr:col>185</xdr:col>
      <xdr:colOff>326025</xdr:colOff>
      <xdr:row>124</xdr:row>
      <xdr:rowOff>66252</xdr:rowOff>
    </xdr:to>
    <xdr:sp macro="" textlink="">
      <xdr:nvSpPr>
        <xdr:cNvPr id="504" name="Down Arrow Callout 50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F8010000}"/>
            </a:ext>
          </a:extLst>
        </xdr:cNvPr>
        <xdr:cNvSpPr/>
      </xdr:nvSpPr>
      <xdr:spPr>
        <a:xfrm>
          <a:off x="42395298" y="34083645"/>
          <a:ext cx="76465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183</xdr:col>
      <xdr:colOff>22761</xdr:colOff>
      <xdr:row>121</xdr:row>
      <xdr:rowOff>8433</xdr:rowOff>
    </xdr:from>
    <xdr:to>
      <xdr:col>184</xdr:col>
      <xdr:colOff>151923</xdr:colOff>
      <xdr:row>121</xdr:row>
      <xdr:rowOff>255957</xdr:rowOff>
    </xdr:to>
    <xdr:sp macro="" textlink="">
      <xdr:nvSpPr>
        <xdr:cNvPr id="505" name="Up Arrow Callout 50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F9010000}"/>
            </a:ext>
          </a:extLst>
        </xdr:cNvPr>
        <xdr:cNvSpPr/>
      </xdr:nvSpPr>
      <xdr:spPr>
        <a:xfrm>
          <a:off x="41618436" y="33431658"/>
          <a:ext cx="748287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184</xdr:col>
      <xdr:colOff>188299</xdr:colOff>
      <xdr:row>121</xdr:row>
      <xdr:rowOff>6053</xdr:rowOff>
    </xdr:from>
    <xdr:to>
      <xdr:col>185</xdr:col>
      <xdr:colOff>329246</xdr:colOff>
      <xdr:row>121</xdr:row>
      <xdr:rowOff>257211</xdr:rowOff>
    </xdr:to>
    <xdr:sp macro="" textlink="">
      <xdr:nvSpPr>
        <xdr:cNvPr id="506" name="Up Arrow Callout 50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FA010000}"/>
            </a:ext>
          </a:extLst>
        </xdr:cNvPr>
        <xdr:cNvSpPr/>
      </xdr:nvSpPr>
      <xdr:spPr>
        <a:xfrm>
          <a:off x="42403099" y="33429278"/>
          <a:ext cx="76007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183</xdr:col>
      <xdr:colOff>20955</xdr:colOff>
      <xdr:row>122</xdr:row>
      <xdr:rowOff>2439</xdr:rowOff>
    </xdr:from>
    <xdr:to>
      <xdr:col>184</xdr:col>
      <xdr:colOff>149542</xdr:colOff>
      <xdr:row>122</xdr:row>
      <xdr:rowOff>251157</xdr:rowOff>
    </xdr:to>
    <xdr:sp macro="" textlink="">
      <xdr:nvSpPr>
        <xdr:cNvPr id="507" name="Up Arrow Callout 506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FB010000}"/>
            </a:ext>
          </a:extLst>
        </xdr:cNvPr>
        <xdr:cNvSpPr/>
      </xdr:nvSpPr>
      <xdr:spPr>
        <a:xfrm>
          <a:off x="41616630" y="33701889"/>
          <a:ext cx="747712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184</xdr:col>
      <xdr:colOff>185992</xdr:colOff>
      <xdr:row>122</xdr:row>
      <xdr:rowOff>5992</xdr:rowOff>
    </xdr:from>
    <xdr:to>
      <xdr:col>185</xdr:col>
      <xdr:colOff>326437</xdr:colOff>
      <xdr:row>122</xdr:row>
      <xdr:rowOff>258518</xdr:rowOff>
    </xdr:to>
    <xdr:sp macro="" textlink="">
      <xdr:nvSpPr>
        <xdr:cNvPr id="508" name="Up Arrow Callout 507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FC010000}"/>
            </a:ext>
          </a:extLst>
        </xdr:cNvPr>
        <xdr:cNvSpPr/>
      </xdr:nvSpPr>
      <xdr:spPr>
        <a:xfrm>
          <a:off x="42400792" y="33705442"/>
          <a:ext cx="75957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204</xdr:col>
      <xdr:colOff>0</xdr:colOff>
      <xdr:row>124</xdr:row>
      <xdr:rowOff>104101</xdr:rowOff>
    </xdr:from>
    <xdr:to>
      <xdr:col>205</xdr:col>
      <xdr:colOff>147603</xdr:colOff>
      <xdr:row>125</xdr:row>
      <xdr:rowOff>73488</xdr:rowOff>
    </xdr:to>
    <xdr:sp macro="" textlink="">
      <xdr:nvSpPr>
        <xdr:cNvPr id="509" name="Down Arrow Callout 50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FD010000}"/>
            </a:ext>
          </a:extLst>
        </xdr:cNvPr>
        <xdr:cNvSpPr/>
      </xdr:nvSpPr>
      <xdr:spPr>
        <a:xfrm>
          <a:off x="54797325" y="34356001"/>
          <a:ext cx="76672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205</xdr:col>
      <xdr:colOff>177021</xdr:colOff>
      <xdr:row>124</xdr:row>
      <xdr:rowOff>107395</xdr:rowOff>
    </xdr:from>
    <xdr:to>
      <xdr:col>206</xdr:col>
      <xdr:colOff>327383</xdr:colOff>
      <xdr:row>125</xdr:row>
      <xdr:rowOff>66301</xdr:rowOff>
    </xdr:to>
    <xdr:sp macro="" textlink="">
      <xdr:nvSpPr>
        <xdr:cNvPr id="510" name="Down Arrow Callout 50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FE010000}"/>
            </a:ext>
          </a:extLst>
        </xdr:cNvPr>
        <xdr:cNvSpPr/>
      </xdr:nvSpPr>
      <xdr:spPr>
        <a:xfrm>
          <a:off x="55593471" y="34359295"/>
          <a:ext cx="76948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204</xdr:col>
      <xdr:colOff>25877</xdr:colOff>
      <xdr:row>120</xdr:row>
      <xdr:rowOff>0</xdr:rowOff>
    </xdr:from>
    <xdr:to>
      <xdr:col>205</xdr:col>
      <xdr:colOff>147161</xdr:colOff>
      <xdr:row>120</xdr:row>
      <xdr:rowOff>254520</xdr:rowOff>
    </xdr:to>
    <xdr:sp macro="" textlink="">
      <xdr:nvSpPr>
        <xdr:cNvPr id="511" name="Up Arrow Callout 5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FF010000}"/>
            </a:ext>
          </a:extLst>
        </xdr:cNvPr>
        <xdr:cNvSpPr/>
      </xdr:nvSpPr>
      <xdr:spPr>
        <a:xfrm>
          <a:off x="54823202" y="33147000"/>
          <a:ext cx="740409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205</xdr:col>
      <xdr:colOff>182880</xdr:colOff>
      <xdr:row>120</xdr:row>
      <xdr:rowOff>3905</xdr:rowOff>
    </xdr:from>
    <xdr:to>
      <xdr:col>206</xdr:col>
      <xdr:colOff>303539</xdr:colOff>
      <xdr:row>120</xdr:row>
      <xdr:rowOff>255062</xdr:rowOff>
    </xdr:to>
    <xdr:sp macro="" textlink="">
      <xdr:nvSpPr>
        <xdr:cNvPr id="512" name="Up Arrow Callout 51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00020000}"/>
            </a:ext>
          </a:extLst>
        </xdr:cNvPr>
        <xdr:cNvSpPr/>
      </xdr:nvSpPr>
      <xdr:spPr>
        <a:xfrm>
          <a:off x="55599330" y="33150905"/>
          <a:ext cx="739784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204</xdr:col>
      <xdr:colOff>16493</xdr:colOff>
      <xdr:row>123</xdr:row>
      <xdr:rowOff>108521</xdr:rowOff>
    </xdr:from>
    <xdr:to>
      <xdr:col>205</xdr:col>
      <xdr:colOff>149542</xdr:colOff>
      <xdr:row>124</xdr:row>
      <xdr:rowOff>63232</xdr:rowOff>
    </xdr:to>
    <xdr:sp macro="" textlink="">
      <xdr:nvSpPr>
        <xdr:cNvPr id="513" name="Down Arrow Callout 51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01020000}"/>
            </a:ext>
          </a:extLst>
        </xdr:cNvPr>
        <xdr:cNvSpPr/>
      </xdr:nvSpPr>
      <xdr:spPr>
        <a:xfrm>
          <a:off x="54813818" y="34084196"/>
          <a:ext cx="752174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205</xdr:col>
      <xdr:colOff>180498</xdr:colOff>
      <xdr:row>123</xdr:row>
      <xdr:rowOff>107970</xdr:rowOff>
    </xdr:from>
    <xdr:to>
      <xdr:col>206</xdr:col>
      <xdr:colOff>326025</xdr:colOff>
      <xdr:row>124</xdr:row>
      <xdr:rowOff>66252</xdr:rowOff>
    </xdr:to>
    <xdr:sp macro="" textlink="">
      <xdr:nvSpPr>
        <xdr:cNvPr id="514" name="Down Arrow Callout 51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02020000}"/>
            </a:ext>
          </a:extLst>
        </xdr:cNvPr>
        <xdr:cNvSpPr/>
      </xdr:nvSpPr>
      <xdr:spPr>
        <a:xfrm>
          <a:off x="55596948" y="34083645"/>
          <a:ext cx="76465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204</xdr:col>
      <xdr:colOff>22761</xdr:colOff>
      <xdr:row>121</xdr:row>
      <xdr:rowOff>8433</xdr:rowOff>
    </xdr:from>
    <xdr:to>
      <xdr:col>205</xdr:col>
      <xdr:colOff>151923</xdr:colOff>
      <xdr:row>121</xdr:row>
      <xdr:rowOff>255957</xdr:rowOff>
    </xdr:to>
    <xdr:sp macro="" textlink="">
      <xdr:nvSpPr>
        <xdr:cNvPr id="515" name="Up Arrow Callout 51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03020000}"/>
            </a:ext>
          </a:extLst>
        </xdr:cNvPr>
        <xdr:cNvSpPr/>
      </xdr:nvSpPr>
      <xdr:spPr>
        <a:xfrm>
          <a:off x="54820086" y="33431658"/>
          <a:ext cx="748287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205</xdr:col>
      <xdr:colOff>188299</xdr:colOff>
      <xdr:row>121</xdr:row>
      <xdr:rowOff>6053</xdr:rowOff>
    </xdr:from>
    <xdr:to>
      <xdr:col>206</xdr:col>
      <xdr:colOff>329246</xdr:colOff>
      <xdr:row>121</xdr:row>
      <xdr:rowOff>257211</xdr:rowOff>
    </xdr:to>
    <xdr:sp macro="" textlink="">
      <xdr:nvSpPr>
        <xdr:cNvPr id="516" name="Up Arrow Callout 51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04020000}"/>
            </a:ext>
          </a:extLst>
        </xdr:cNvPr>
        <xdr:cNvSpPr/>
      </xdr:nvSpPr>
      <xdr:spPr>
        <a:xfrm>
          <a:off x="55604749" y="33429278"/>
          <a:ext cx="76007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204</xdr:col>
      <xdr:colOff>20955</xdr:colOff>
      <xdr:row>122</xdr:row>
      <xdr:rowOff>2439</xdr:rowOff>
    </xdr:from>
    <xdr:to>
      <xdr:col>205</xdr:col>
      <xdr:colOff>149542</xdr:colOff>
      <xdr:row>122</xdr:row>
      <xdr:rowOff>251157</xdr:rowOff>
    </xdr:to>
    <xdr:sp macro="" textlink="">
      <xdr:nvSpPr>
        <xdr:cNvPr id="517" name="Up Arrow Callout 516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05020000}"/>
            </a:ext>
          </a:extLst>
        </xdr:cNvPr>
        <xdr:cNvSpPr/>
      </xdr:nvSpPr>
      <xdr:spPr>
        <a:xfrm>
          <a:off x="54818280" y="33701889"/>
          <a:ext cx="747712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205</xdr:col>
      <xdr:colOff>185992</xdr:colOff>
      <xdr:row>122</xdr:row>
      <xdr:rowOff>5992</xdr:rowOff>
    </xdr:from>
    <xdr:to>
      <xdr:col>206</xdr:col>
      <xdr:colOff>326437</xdr:colOff>
      <xdr:row>122</xdr:row>
      <xdr:rowOff>258518</xdr:rowOff>
    </xdr:to>
    <xdr:sp macro="" textlink="">
      <xdr:nvSpPr>
        <xdr:cNvPr id="518" name="Up Arrow Callout 517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06020000}"/>
            </a:ext>
          </a:extLst>
        </xdr:cNvPr>
        <xdr:cNvSpPr/>
      </xdr:nvSpPr>
      <xdr:spPr>
        <a:xfrm>
          <a:off x="55602442" y="33705442"/>
          <a:ext cx="75957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224</xdr:col>
      <xdr:colOff>0</xdr:colOff>
      <xdr:row>124</xdr:row>
      <xdr:rowOff>104101</xdr:rowOff>
    </xdr:from>
    <xdr:to>
      <xdr:col>225</xdr:col>
      <xdr:colOff>147603</xdr:colOff>
      <xdr:row>125</xdr:row>
      <xdr:rowOff>73488</xdr:rowOff>
    </xdr:to>
    <xdr:sp macro="" textlink="">
      <xdr:nvSpPr>
        <xdr:cNvPr id="519" name="Down Arrow Callout 51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07020000}"/>
            </a:ext>
          </a:extLst>
        </xdr:cNvPr>
        <xdr:cNvSpPr/>
      </xdr:nvSpPr>
      <xdr:spPr>
        <a:xfrm>
          <a:off x="67379850" y="34356001"/>
          <a:ext cx="766728" cy="245612"/>
        </a:xfrm>
        <a:prstGeom prst="downArrowCallout">
          <a:avLst>
            <a:gd name="adj1" fmla="val 27660"/>
            <a:gd name="adj2" fmla="val 36589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225</xdr:col>
      <xdr:colOff>177021</xdr:colOff>
      <xdr:row>124</xdr:row>
      <xdr:rowOff>107395</xdr:rowOff>
    </xdr:from>
    <xdr:to>
      <xdr:col>226</xdr:col>
      <xdr:colOff>327383</xdr:colOff>
      <xdr:row>125</xdr:row>
      <xdr:rowOff>66301</xdr:rowOff>
    </xdr:to>
    <xdr:sp macro="" textlink="">
      <xdr:nvSpPr>
        <xdr:cNvPr id="520" name="Down Arrow Callout 51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08020000}"/>
            </a:ext>
          </a:extLst>
        </xdr:cNvPr>
        <xdr:cNvSpPr/>
      </xdr:nvSpPr>
      <xdr:spPr>
        <a:xfrm>
          <a:off x="68175996" y="34359295"/>
          <a:ext cx="769487" cy="235131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latin typeface="+mn-lt"/>
              <a:ea typeface="+mn-ea"/>
              <a:cs typeface="+mn-cs"/>
            </a:rPr>
            <a:t>4131</a:t>
          </a:r>
          <a:r>
            <a:rPr lang="en-US" sz="1000" baseline="0">
              <a:latin typeface="+mn-lt"/>
              <a:ea typeface="+mn-ea"/>
              <a:cs typeface="+mn-cs"/>
            </a:rPr>
            <a:t>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224</xdr:col>
      <xdr:colOff>25877</xdr:colOff>
      <xdr:row>120</xdr:row>
      <xdr:rowOff>0</xdr:rowOff>
    </xdr:from>
    <xdr:to>
      <xdr:col>225</xdr:col>
      <xdr:colOff>147161</xdr:colOff>
      <xdr:row>120</xdr:row>
      <xdr:rowOff>254520</xdr:rowOff>
    </xdr:to>
    <xdr:sp macro="" textlink="">
      <xdr:nvSpPr>
        <xdr:cNvPr id="521" name="Up Arrow Callout 52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09020000}"/>
            </a:ext>
          </a:extLst>
        </xdr:cNvPr>
        <xdr:cNvSpPr/>
      </xdr:nvSpPr>
      <xdr:spPr>
        <a:xfrm>
          <a:off x="67405727" y="33147000"/>
          <a:ext cx="740409" cy="254520"/>
        </a:xfrm>
        <a:prstGeom prst="upArrowCallou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A1</a:t>
          </a:r>
          <a:r>
            <a:rPr lang="en-US" sz="1100" b="1" i="0" u="none" baseline="0">
              <a:solidFill>
                <a:srgbClr val="C00000"/>
              </a:solidFill>
            </a:rPr>
            <a:t> : MH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225</xdr:col>
      <xdr:colOff>182880</xdr:colOff>
      <xdr:row>120</xdr:row>
      <xdr:rowOff>3905</xdr:rowOff>
    </xdr:from>
    <xdr:to>
      <xdr:col>226</xdr:col>
      <xdr:colOff>303539</xdr:colOff>
      <xdr:row>120</xdr:row>
      <xdr:rowOff>255062</xdr:rowOff>
    </xdr:to>
    <xdr:sp macro="" textlink="">
      <xdr:nvSpPr>
        <xdr:cNvPr id="522" name="Up Arrow Callout 52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0A020000}"/>
            </a:ext>
          </a:extLst>
        </xdr:cNvPr>
        <xdr:cNvSpPr/>
      </xdr:nvSpPr>
      <xdr:spPr>
        <a:xfrm>
          <a:off x="68181855" y="33150905"/>
          <a:ext cx="739784" cy="251157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9"/>
          <a:tile tx="0" ty="0" sx="100000" sy="100000" flip="none" algn="tl"/>
        </a:blipFill>
        <a:ln>
          <a:gradFill>
            <a:gsLst>
              <a:gs pos="0">
                <a:srgbClr val="A603AB"/>
              </a:gs>
              <a:gs pos="21001">
                <a:srgbClr val="0819FB"/>
              </a:gs>
              <a:gs pos="35001">
                <a:srgbClr val="1A8D48"/>
              </a:gs>
              <a:gs pos="52000">
                <a:srgbClr val="FFFF00"/>
              </a:gs>
              <a:gs pos="73000">
                <a:srgbClr val="EE3F17"/>
              </a:gs>
              <a:gs pos="88000">
                <a:srgbClr val="E81766"/>
              </a:gs>
              <a:gs pos="100000">
                <a:srgbClr val="A603AB"/>
              </a:gs>
            </a:gsLst>
            <a:lin ang="5400000" scaled="0"/>
          </a:gradFill>
        </a:ln>
      </xdr:spPr>
      <xdr:txBody>
        <a:bodyPr rtlCol="0" anchor="ctr"/>
        <a:lstStyle/>
        <a:p>
          <a:pPr algn="ctr"/>
          <a:r>
            <a:rPr lang="en-US" sz="1100" b="1" i="0" u="none">
              <a:solidFill>
                <a:srgbClr val="C00000"/>
              </a:solidFill>
            </a:rPr>
            <a:t>DS1</a:t>
          </a:r>
          <a:r>
            <a:rPr lang="en-US" sz="1100" b="1" i="0" u="none" baseline="0">
              <a:solidFill>
                <a:srgbClr val="C00000"/>
              </a:solidFill>
            </a:rPr>
            <a:t> : AH</a:t>
          </a:r>
          <a:endParaRPr lang="en-US" sz="1100" b="1" i="0" u="none">
            <a:solidFill>
              <a:srgbClr val="C00000"/>
            </a:solidFill>
          </a:endParaRPr>
        </a:p>
      </xdr:txBody>
    </xdr:sp>
    <xdr:clientData/>
  </xdr:twoCellAnchor>
  <xdr:twoCellAnchor>
    <xdr:from>
      <xdr:col>224</xdr:col>
      <xdr:colOff>16493</xdr:colOff>
      <xdr:row>123</xdr:row>
      <xdr:rowOff>108521</xdr:rowOff>
    </xdr:from>
    <xdr:to>
      <xdr:col>225</xdr:col>
      <xdr:colOff>149542</xdr:colOff>
      <xdr:row>124</xdr:row>
      <xdr:rowOff>63232</xdr:rowOff>
    </xdr:to>
    <xdr:sp macro="" textlink="">
      <xdr:nvSpPr>
        <xdr:cNvPr id="523" name="Down Arrow Callout 52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300-00000B020000}"/>
            </a:ext>
          </a:extLst>
        </xdr:cNvPr>
        <xdr:cNvSpPr/>
      </xdr:nvSpPr>
      <xdr:spPr>
        <a:xfrm>
          <a:off x="67396343" y="34084196"/>
          <a:ext cx="752174" cy="230936"/>
        </a:xfrm>
        <a:prstGeom prst="downArrowCallout">
          <a:avLst>
            <a:gd name="adj1" fmla="val 29283"/>
            <a:gd name="adj2" fmla="val 35621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MH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225</xdr:col>
      <xdr:colOff>180498</xdr:colOff>
      <xdr:row>123</xdr:row>
      <xdr:rowOff>107970</xdr:rowOff>
    </xdr:from>
    <xdr:to>
      <xdr:col>226</xdr:col>
      <xdr:colOff>326025</xdr:colOff>
      <xdr:row>124</xdr:row>
      <xdr:rowOff>66252</xdr:rowOff>
    </xdr:to>
    <xdr:sp macro="" textlink="">
      <xdr:nvSpPr>
        <xdr:cNvPr id="524" name="Down Arrow Callout 52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0C020000}"/>
            </a:ext>
          </a:extLst>
        </xdr:cNvPr>
        <xdr:cNvSpPr/>
      </xdr:nvSpPr>
      <xdr:spPr>
        <a:xfrm>
          <a:off x="68179473" y="34083645"/>
          <a:ext cx="764652" cy="234507"/>
        </a:xfrm>
        <a:prstGeom prst="downArrowCallout">
          <a:avLst>
            <a:gd name="adj1" fmla="val 27777"/>
            <a:gd name="adj2" fmla="val 42777"/>
            <a:gd name="adj3" fmla="val 25000"/>
            <a:gd name="adj4" fmla="val 64977"/>
          </a:avLst>
        </a:prstGeom>
        <a:blipFill>
          <a:blip xmlns:r="http://schemas.openxmlformats.org/officeDocument/2006/relationships" r:embed="rId6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latin typeface="+mn-lt"/>
              <a:ea typeface="+mn-ea"/>
              <a:cs typeface="+mn-cs"/>
            </a:rPr>
            <a:t>3177 : AH</a:t>
          </a:r>
          <a:endParaRPr 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224</xdr:col>
      <xdr:colOff>22761</xdr:colOff>
      <xdr:row>121</xdr:row>
      <xdr:rowOff>8433</xdr:rowOff>
    </xdr:from>
    <xdr:to>
      <xdr:col>225</xdr:col>
      <xdr:colOff>151923</xdr:colOff>
      <xdr:row>121</xdr:row>
      <xdr:rowOff>255957</xdr:rowOff>
    </xdr:to>
    <xdr:sp macro="" textlink="">
      <xdr:nvSpPr>
        <xdr:cNvPr id="525" name="Up Arrow Callout 52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0D020000}"/>
            </a:ext>
          </a:extLst>
        </xdr:cNvPr>
        <xdr:cNvSpPr/>
      </xdr:nvSpPr>
      <xdr:spPr>
        <a:xfrm>
          <a:off x="67402611" y="33431658"/>
          <a:ext cx="748287" cy="247524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>
              <a:solidFill>
                <a:schemeClr val="bg1"/>
              </a:solidFill>
            </a:rPr>
            <a:t>ELE</a:t>
          </a:r>
          <a:r>
            <a:rPr lang="en-US" sz="1100" b="1" i="1" u="sng" baseline="0">
              <a:solidFill>
                <a:schemeClr val="bg1"/>
              </a:solidFill>
            </a:rPr>
            <a:t>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225</xdr:col>
      <xdr:colOff>188299</xdr:colOff>
      <xdr:row>121</xdr:row>
      <xdr:rowOff>6053</xdr:rowOff>
    </xdr:from>
    <xdr:to>
      <xdr:col>226</xdr:col>
      <xdr:colOff>329246</xdr:colOff>
      <xdr:row>121</xdr:row>
      <xdr:rowOff>257211</xdr:rowOff>
    </xdr:to>
    <xdr:sp macro="" textlink="">
      <xdr:nvSpPr>
        <xdr:cNvPr id="526" name="Up Arrow Callout 52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0E020000}"/>
            </a:ext>
          </a:extLst>
        </xdr:cNvPr>
        <xdr:cNvSpPr/>
      </xdr:nvSpPr>
      <xdr:spPr>
        <a:xfrm>
          <a:off x="68187274" y="33429278"/>
          <a:ext cx="760072" cy="251158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ELE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224</xdr:col>
      <xdr:colOff>20955</xdr:colOff>
      <xdr:row>122</xdr:row>
      <xdr:rowOff>2439</xdr:rowOff>
    </xdr:from>
    <xdr:to>
      <xdr:col>225</xdr:col>
      <xdr:colOff>149542</xdr:colOff>
      <xdr:row>122</xdr:row>
      <xdr:rowOff>251157</xdr:rowOff>
    </xdr:to>
    <xdr:sp macro="" textlink="">
      <xdr:nvSpPr>
        <xdr:cNvPr id="527" name="Up Arrow Callout 526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0F020000}"/>
            </a:ext>
          </a:extLst>
        </xdr:cNvPr>
        <xdr:cNvSpPr/>
      </xdr:nvSpPr>
      <xdr:spPr>
        <a:xfrm>
          <a:off x="67400805" y="33701889"/>
          <a:ext cx="747712" cy="248718"/>
        </a:xfrm>
        <a:prstGeom prst="upArrowCallout">
          <a:avLst/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Pre: MH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  <xdr:twoCellAnchor>
    <xdr:from>
      <xdr:col>225</xdr:col>
      <xdr:colOff>185992</xdr:colOff>
      <xdr:row>122</xdr:row>
      <xdr:rowOff>5992</xdr:rowOff>
    </xdr:from>
    <xdr:to>
      <xdr:col>226</xdr:col>
      <xdr:colOff>326437</xdr:colOff>
      <xdr:row>122</xdr:row>
      <xdr:rowOff>258518</xdr:rowOff>
    </xdr:to>
    <xdr:sp macro="" textlink="">
      <xdr:nvSpPr>
        <xdr:cNvPr id="528" name="Up Arrow Callout 527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10020000}"/>
            </a:ext>
          </a:extLst>
        </xdr:cNvPr>
        <xdr:cNvSpPr/>
      </xdr:nvSpPr>
      <xdr:spPr>
        <a:xfrm>
          <a:off x="68184967" y="33705442"/>
          <a:ext cx="759570" cy="252526"/>
        </a:xfrm>
        <a:prstGeom prst="upArrowCallout">
          <a:avLst>
            <a:gd name="adj1" fmla="val 25000"/>
            <a:gd name="adj2" fmla="val 37771"/>
            <a:gd name="adj3" fmla="val 25000"/>
            <a:gd name="adj4" fmla="val 64977"/>
          </a:avLst>
        </a:prstGeom>
        <a:blipFill>
          <a:blip xmlns:r="http://schemas.openxmlformats.org/officeDocument/2006/relationships" r:embed="rId14"/>
          <a:tile tx="0" ty="0" sx="100000" sy="100000" flip="none" algn="tl"/>
        </a:blipFill>
        <a:ln>
          <a:noFill/>
        </a:ln>
      </xdr:spPr>
      <xdr:txBody>
        <a:bodyPr rtlCol="0" anchor="ctr"/>
        <a:lstStyle/>
        <a:p>
          <a:pPr algn="ctr"/>
          <a:r>
            <a:rPr lang="en-US" sz="1100" b="1" i="1" u="sng" baseline="0">
              <a:solidFill>
                <a:schemeClr val="bg1"/>
              </a:solidFill>
            </a:rPr>
            <a:t>Pre :AH</a:t>
          </a:r>
          <a:endParaRPr lang="en-US" sz="1100" b="1" i="1" u="sng">
            <a:solidFill>
              <a:schemeClr val="bg1"/>
            </a:solidFill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194</xdr:row>
      <xdr:rowOff>205740</xdr:rowOff>
    </xdr:from>
    <xdr:to>
      <xdr:col>2</xdr:col>
      <xdr:colOff>15240</xdr:colOff>
      <xdr:row>194</xdr:row>
      <xdr:rowOff>213360</xdr:rowOff>
    </xdr:to>
    <xdr:sp macro="" textlink="">
      <xdr:nvSpPr>
        <xdr:cNvPr id="16385" name="Line 1">
          <a:extLst>
            <a:ext uri="{FF2B5EF4-FFF2-40B4-BE49-F238E27FC236}">
              <a16:creationId xmlns:a16="http://schemas.microsoft.com/office/drawing/2014/main" id="{00000000-0008-0000-2500-000001400000}"/>
            </a:ext>
          </a:extLst>
        </xdr:cNvPr>
        <xdr:cNvSpPr>
          <a:spLocks noChangeShapeType="1"/>
        </xdr:cNvSpPr>
      </xdr:nvSpPr>
      <xdr:spPr bwMode="auto">
        <a:xfrm>
          <a:off x="1257300" y="3604260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297180</xdr:colOff>
      <xdr:row>194</xdr:row>
      <xdr:rowOff>205740</xdr:rowOff>
    </xdr:from>
    <xdr:to>
      <xdr:col>3</xdr:col>
      <xdr:colOff>312420</xdr:colOff>
      <xdr:row>194</xdr:row>
      <xdr:rowOff>213360</xdr:rowOff>
    </xdr:to>
    <xdr:sp macro="" textlink="">
      <xdr:nvSpPr>
        <xdr:cNvPr id="16386" name="Line 2">
          <a:extLst>
            <a:ext uri="{FF2B5EF4-FFF2-40B4-BE49-F238E27FC236}">
              <a16:creationId xmlns:a16="http://schemas.microsoft.com/office/drawing/2014/main" id="{00000000-0008-0000-2500-000002400000}"/>
            </a:ext>
          </a:extLst>
        </xdr:cNvPr>
        <xdr:cNvSpPr>
          <a:spLocks noChangeShapeType="1"/>
        </xdr:cNvSpPr>
      </xdr:nvSpPr>
      <xdr:spPr bwMode="auto">
        <a:xfrm>
          <a:off x="2407920" y="36042600"/>
          <a:ext cx="152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556260</xdr:colOff>
      <xdr:row>194</xdr:row>
      <xdr:rowOff>205740</xdr:rowOff>
    </xdr:from>
    <xdr:to>
      <xdr:col>3</xdr:col>
      <xdr:colOff>563880</xdr:colOff>
      <xdr:row>194</xdr:row>
      <xdr:rowOff>213360</xdr:rowOff>
    </xdr:to>
    <xdr:sp macro="" textlink="">
      <xdr:nvSpPr>
        <xdr:cNvPr id="16387" name="Line 3">
          <a:extLst>
            <a:ext uri="{FF2B5EF4-FFF2-40B4-BE49-F238E27FC236}">
              <a16:creationId xmlns:a16="http://schemas.microsoft.com/office/drawing/2014/main" id="{00000000-0008-0000-2500-000003400000}"/>
            </a:ext>
          </a:extLst>
        </xdr:cNvPr>
        <xdr:cNvSpPr>
          <a:spLocks noChangeShapeType="1"/>
        </xdr:cNvSpPr>
      </xdr:nvSpPr>
      <xdr:spPr bwMode="auto">
        <a:xfrm>
          <a:off x="2667000" y="3604260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594360</xdr:colOff>
      <xdr:row>194</xdr:row>
      <xdr:rowOff>205740</xdr:rowOff>
    </xdr:from>
    <xdr:to>
      <xdr:col>1</xdr:col>
      <xdr:colOff>601980</xdr:colOff>
      <xdr:row>194</xdr:row>
      <xdr:rowOff>213360</xdr:rowOff>
    </xdr:to>
    <xdr:sp macro="" textlink="">
      <xdr:nvSpPr>
        <xdr:cNvPr id="16388" name="Line 4">
          <a:extLst>
            <a:ext uri="{FF2B5EF4-FFF2-40B4-BE49-F238E27FC236}">
              <a16:creationId xmlns:a16="http://schemas.microsoft.com/office/drawing/2014/main" id="{00000000-0008-0000-2500-000004400000}"/>
            </a:ext>
          </a:extLst>
        </xdr:cNvPr>
        <xdr:cNvSpPr>
          <a:spLocks noChangeShapeType="1"/>
        </xdr:cNvSpPr>
      </xdr:nvSpPr>
      <xdr:spPr bwMode="auto">
        <a:xfrm>
          <a:off x="1219200" y="3604260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594360</xdr:colOff>
      <xdr:row>194</xdr:row>
      <xdr:rowOff>205740</xdr:rowOff>
    </xdr:from>
    <xdr:to>
      <xdr:col>1</xdr:col>
      <xdr:colOff>601980</xdr:colOff>
      <xdr:row>194</xdr:row>
      <xdr:rowOff>213360</xdr:rowOff>
    </xdr:to>
    <xdr:sp macro="" textlink="">
      <xdr:nvSpPr>
        <xdr:cNvPr id="16389" name="Line 5">
          <a:extLst>
            <a:ext uri="{FF2B5EF4-FFF2-40B4-BE49-F238E27FC236}">
              <a16:creationId xmlns:a16="http://schemas.microsoft.com/office/drawing/2014/main" id="{00000000-0008-0000-2500-000005400000}"/>
            </a:ext>
          </a:extLst>
        </xdr:cNvPr>
        <xdr:cNvSpPr>
          <a:spLocks noChangeShapeType="1"/>
        </xdr:cNvSpPr>
      </xdr:nvSpPr>
      <xdr:spPr bwMode="auto">
        <a:xfrm>
          <a:off x="1219200" y="3604260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556260</xdr:colOff>
      <xdr:row>194</xdr:row>
      <xdr:rowOff>205740</xdr:rowOff>
    </xdr:from>
    <xdr:to>
      <xdr:col>3</xdr:col>
      <xdr:colOff>563880</xdr:colOff>
      <xdr:row>194</xdr:row>
      <xdr:rowOff>213360</xdr:rowOff>
    </xdr:to>
    <xdr:sp macro="" textlink="">
      <xdr:nvSpPr>
        <xdr:cNvPr id="16390" name="Line 6">
          <a:extLst>
            <a:ext uri="{FF2B5EF4-FFF2-40B4-BE49-F238E27FC236}">
              <a16:creationId xmlns:a16="http://schemas.microsoft.com/office/drawing/2014/main" id="{00000000-0008-0000-2500-000006400000}"/>
            </a:ext>
          </a:extLst>
        </xdr:cNvPr>
        <xdr:cNvSpPr>
          <a:spLocks noChangeShapeType="1"/>
        </xdr:cNvSpPr>
      </xdr:nvSpPr>
      <xdr:spPr bwMode="auto">
        <a:xfrm>
          <a:off x="2667000" y="3604260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38100</xdr:colOff>
      <xdr:row>194</xdr:row>
      <xdr:rowOff>205740</xdr:rowOff>
    </xdr:from>
    <xdr:to>
      <xdr:col>2</xdr:col>
      <xdr:colOff>45720</xdr:colOff>
      <xdr:row>194</xdr:row>
      <xdr:rowOff>213360</xdr:rowOff>
    </xdr:to>
    <xdr:sp macro="" textlink="">
      <xdr:nvSpPr>
        <xdr:cNvPr id="16391" name="Line 7">
          <a:extLst>
            <a:ext uri="{FF2B5EF4-FFF2-40B4-BE49-F238E27FC236}">
              <a16:creationId xmlns:a16="http://schemas.microsoft.com/office/drawing/2014/main" id="{00000000-0008-0000-2500-000007400000}"/>
            </a:ext>
          </a:extLst>
        </xdr:cNvPr>
        <xdr:cNvSpPr>
          <a:spLocks noChangeShapeType="1"/>
        </xdr:cNvSpPr>
      </xdr:nvSpPr>
      <xdr:spPr bwMode="auto">
        <a:xfrm>
          <a:off x="1287780" y="3604260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259080</xdr:colOff>
      <xdr:row>194</xdr:row>
      <xdr:rowOff>205740</xdr:rowOff>
    </xdr:from>
    <xdr:to>
      <xdr:col>3</xdr:col>
      <xdr:colOff>266700</xdr:colOff>
      <xdr:row>194</xdr:row>
      <xdr:rowOff>213360</xdr:rowOff>
    </xdr:to>
    <xdr:sp macro="" textlink="">
      <xdr:nvSpPr>
        <xdr:cNvPr id="16392" name="Line 8">
          <a:extLst>
            <a:ext uri="{FF2B5EF4-FFF2-40B4-BE49-F238E27FC236}">
              <a16:creationId xmlns:a16="http://schemas.microsoft.com/office/drawing/2014/main" id="{00000000-0008-0000-2500-000008400000}"/>
            </a:ext>
          </a:extLst>
        </xdr:cNvPr>
        <xdr:cNvSpPr>
          <a:spLocks noChangeShapeType="1"/>
        </xdr:cNvSpPr>
      </xdr:nvSpPr>
      <xdr:spPr bwMode="auto">
        <a:xfrm>
          <a:off x="2369820" y="3604260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594360</xdr:colOff>
      <xdr:row>194</xdr:row>
      <xdr:rowOff>205740</xdr:rowOff>
    </xdr:from>
    <xdr:to>
      <xdr:col>1</xdr:col>
      <xdr:colOff>601980</xdr:colOff>
      <xdr:row>194</xdr:row>
      <xdr:rowOff>213360</xdr:rowOff>
    </xdr:to>
    <xdr:sp macro="" textlink="">
      <xdr:nvSpPr>
        <xdr:cNvPr id="16393" name="Line 9">
          <a:extLst>
            <a:ext uri="{FF2B5EF4-FFF2-40B4-BE49-F238E27FC236}">
              <a16:creationId xmlns:a16="http://schemas.microsoft.com/office/drawing/2014/main" id="{00000000-0008-0000-2500-000009400000}"/>
            </a:ext>
          </a:extLst>
        </xdr:cNvPr>
        <xdr:cNvSpPr>
          <a:spLocks noChangeShapeType="1"/>
        </xdr:cNvSpPr>
      </xdr:nvSpPr>
      <xdr:spPr bwMode="auto">
        <a:xfrm flipV="1">
          <a:off x="1219200" y="3604260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556260</xdr:colOff>
      <xdr:row>194</xdr:row>
      <xdr:rowOff>205740</xdr:rowOff>
    </xdr:from>
    <xdr:to>
      <xdr:col>3</xdr:col>
      <xdr:colOff>563880</xdr:colOff>
      <xdr:row>194</xdr:row>
      <xdr:rowOff>213360</xdr:rowOff>
    </xdr:to>
    <xdr:sp macro="" textlink="">
      <xdr:nvSpPr>
        <xdr:cNvPr id="16394" name="Line 10">
          <a:extLst>
            <a:ext uri="{FF2B5EF4-FFF2-40B4-BE49-F238E27FC236}">
              <a16:creationId xmlns:a16="http://schemas.microsoft.com/office/drawing/2014/main" id="{00000000-0008-0000-2500-00000A400000}"/>
            </a:ext>
          </a:extLst>
        </xdr:cNvPr>
        <xdr:cNvSpPr>
          <a:spLocks noChangeShapeType="1"/>
        </xdr:cNvSpPr>
      </xdr:nvSpPr>
      <xdr:spPr bwMode="auto">
        <a:xfrm flipV="1">
          <a:off x="2667000" y="3604260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594360</xdr:colOff>
      <xdr:row>194</xdr:row>
      <xdr:rowOff>205740</xdr:rowOff>
    </xdr:from>
    <xdr:to>
      <xdr:col>1</xdr:col>
      <xdr:colOff>601980</xdr:colOff>
      <xdr:row>194</xdr:row>
      <xdr:rowOff>213360</xdr:rowOff>
    </xdr:to>
    <xdr:sp macro="" textlink="">
      <xdr:nvSpPr>
        <xdr:cNvPr id="16395" name="Line 11">
          <a:extLst>
            <a:ext uri="{FF2B5EF4-FFF2-40B4-BE49-F238E27FC236}">
              <a16:creationId xmlns:a16="http://schemas.microsoft.com/office/drawing/2014/main" id="{00000000-0008-0000-2500-00000B400000}"/>
            </a:ext>
          </a:extLst>
        </xdr:cNvPr>
        <xdr:cNvSpPr>
          <a:spLocks noChangeShapeType="1"/>
        </xdr:cNvSpPr>
      </xdr:nvSpPr>
      <xdr:spPr bwMode="auto">
        <a:xfrm>
          <a:off x="1219200" y="3604260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556260</xdr:colOff>
      <xdr:row>194</xdr:row>
      <xdr:rowOff>205740</xdr:rowOff>
    </xdr:from>
    <xdr:to>
      <xdr:col>3</xdr:col>
      <xdr:colOff>563880</xdr:colOff>
      <xdr:row>194</xdr:row>
      <xdr:rowOff>213360</xdr:rowOff>
    </xdr:to>
    <xdr:sp macro="" textlink="">
      <xdr:nvSpPr>
        <xdr:cNvPr id="16396" name="Line 12">
          <a:extLst>
            <a:ext uri="{FF2B5EF4-FFF2-40B4-BE49-F238E27FC236}">
              <a16:creationId xmlns:a16="http://schemas.microsoft.com/office/drawing/2014/main" id="{00000000-0008-0000-2500-00000C400000}"/>
            </a:ext>
          </a:extLst>
        </xdr:cNvPr>
        <xdr:cNvSpPr>
          <a:spLocks noChangeShapeType="1"/>
        </xdr:cNvSpPr>
      </xdr:nvSpPr>
      <xdr:spPr bwMode="auto">
        <a:xfrm>
          <a:off x="2667000" y="3604260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510540</xdr:colOff>
      <xdr:row>194</xdr:row>
      <xdr:rowOff>205740</xdr:rowOff>
    </xdr:from>
    <xdr:to>
      <xdr:col>5</xdr:col>
      <xdr:colOff>518160</xdr:colOff>
      <xdr:row>194</xdr:row>
      <xdr:rowOff>213360</xdr:rowOff>
    </xdr:to>
    <xdr:sp macro="" textlink="">
      <xdr:nvSpPr>
        <xdr:cNvPr id="16397" name="Line 13">
          <a:extLst>
            <a:ext uri="{FF2B5EF4-FFF2-40B4-BE49-F238E27FC236}">
              <a16:creationId xmlns:a16="http://schemas.microsoft.com/office/drawing/2014/main" id="{00000000-0008-0000-2500-00000D400000}"/>
            </a:ext>
          </a:extLst>
        </xdr:cNvPr>
        <xdr:cNvSpPr>
          <a:spLocks noChangeShapeType="1"/>
        </xdr:cNvSpPr>
      </xdr:nvSpPr>
      <xdr:spPr bwMode="auto">
        <a:xfrm flipV="1">
          <a:off x="4267200" y="3604260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449580</xdr:colOff>
      <xdr:row>183</xdr:row>
      <xdr:rowOff>68580</xdr:rowOff>
    </xdr:from>
    <xdr:to>
      <xdr:col>2</xdr:col>
      <xdr:colOff>853440</xdr:colOff>
      <xdr:row>183</xdr:row>
      <xdr:rowOff>76200</xdr:rowOff>
    </xdr:to>
    <xdr:sp macro="" textlink="">
      <xdr:nvSpPr>
        <xdr:cNvPr id="16398" name="Line 14">
          <a:extLst>
            <a:ext uri="{FF2B5EF4-FFF2-40B4-BE49-F238E27FC236}">
              <a16:creationId xmlns:a16="http://schemas.microsoft.com/office/drawing/2014/main" id="{00000000-0008-0000-2500-00000E400000}"/>
            </a:ext>
          </a:extLst>
        </xdr:cNvPr>
        <xdr:cNvSpPr>
          <a:spLocks noChangeShapeType="1"/>
        </xdr:cNvSpPr>
      </xdr:nvSpPr>
      <xdr:spPr bwMode="auto">
        <a:xfrm>
          <a:off x="1074420" y="33627060"/>
          <a:ext cx="10287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449580</xdr:colOff>
      <xdr:row>183</xdr:row>
      <xdr:rowOff>99060</xdr:rowOff>
    </xdr:from>
    <xdr:to>
      <xdr:col>2</xdr:col>
      <xdr:colOff>845820</xdr:colOff>
      <xdr:row>183</xdr:row>
      <xdr:rowOff>106680</xdr:rowOff>
    </xdr:to>
    <xdr:sp macro="" textlink="">
      <xdr:nvSpPr>
        <xdr:cNvPr id="16399" name="Line 15">
          <a:extLst>
            <a:ext uri="{FF2B5EF4-FFF2-40B4-BE49-F238E27FC236}">
              <a16:creationId xmlns:a16="http://schemas.microsoft.com/office/drawing/2014/main" id="{00000000-0008-0000-2500-00000F400000}"/>
            </a:ext>
          </a:extLst>
        </xdr:cNvPr>
        <xdr:cNvSpPr>
          <a:spLocks noChangeShapeType="1"/>
        </xdr:cNvSpPr>
      </xdr:nvSpPr>
      <xdr:spPr bwMode="auto">
        <a:xfrm>
          <a:off x="1074420" y="33657540"/>
          <a:ext cx="10210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449580</xdr:colOff>
      <xdr:row>183</xdr:row>
      <xdr:rowOff>68580</xdr:rowOff>
    </xdr:from>
    <xdr:to>
      <xdr:col>1</xdr:col>
      <xdr:colOff>457200</xdr:colOff>
      <xdr:row>183</xdr:row>
      <xdr:rowOff>99060</xdr:rowOff>
    </xdr:to>
    <xdr:sp macro="" textlink="">
      <xdr:nvSpPr>
        <xdr:cNvPr id="16400" name="Line 16">
          <a:extLst>
            <a:ext uri="{FF2B5EF4-FFF2-40B4-BE49-F238E27FC236}">
              <a16:creationId xmlns:a16="http://schemas.microsoft.com/office/drawing/2014/main" id="{00000000-0008-0000-2500-000010400000}"/>
            </a:ext>
          </a:extLst>
        </xdr:cNvPr>
        <xdr:cNvSpPr>
          <a:spLocks noChangeShapeType="1"/>
        </xdr:cNvSpPr>
      </xdr:nvSpPr>
      <xdr:spPr bwMode="auto">
        <a:xfrm>
          <a:off x="1074420" y="33627060"/>
          <a:ext cx="7620" cy="304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853440</xdr:colOff>
      <xdr:row>183</xdr:row>
      <xdr:rowOff>68580</xdr:rowOff>
    </xdr:from>
    <xdr:to>
      <xdr:col>3</xdr:col>
      <xdr:colOff>7620</xdr:colOff>
      <xdr:row>183</xdr:row>
      <xdr:rowOff>99060</xdr:rowOff>
    </xdr:to>
    <xdr:sp macro="" textlink="">
      <xdr:nvSpPr>
        <xdr:cNvPr id="16401" name="Line 17">
          <a:extLst>
            <a:ext uri="{FF2B5EF4-FFF2-40B4-BE49-F238E27FC236}">
              <a16:creationId xmlns:a16="http://schemas.microsoft.com/office/drawing/2014/main" id="{00000000-0008-0000-2500-000011400000}"/>
            </a:ext>
          </a:extLst>
        </xdr:cNvPr>
        <xdr:cNvSpPr>
          <a:spLocks noChangeShapeType="1"/>
        </xdr:cNvSpPr>
      </xdr:nvSpPr>
      <xdr:spPr bwMode="auto">
        <a:xfrm>
          <a:off x="2103120" y="33627060"/>
          <a:ext cx="15240" cy="304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510540</xdr:colOff>
      <xdr:row>183</xdr:row>
      <xdr:rowOff>106680</xdr:rowOff>
    </xdr:from>
    <xdr:to>
      <xdr:col>1</xdr:col>
      <xdr:colOff>518160</xdr:colOff>
      <xdr:row>191</xdr:row>
      <xdr:rowOff>213360</xdr:rowOff>
    </xdr:to>
    <xdr:sp macro="" textlink="">
      <xdr:nvSpPr>
        <xdr:cNvPr id="16402" name="Line 18">
          <a:extLst>
            <a:ext uri="{FF2B5EF4-FFF2-40B4-BE49-F238E27FC236}">
              <a16:creationId xmlns:a16="http://schemas.microsoft.com/office/drawing/2014/main" id="{00000000-0008-0000-2500-000012400000}"/>
            </a:ext>
          </a:extLst>
        </xdr:cNvPr>
        <xdr:cNvSpPr>
          <a:spLocks noChangeShapeType="1"/>
        </xdr:cNvSpPr>
      </xdr:nvSpPr>
      <xdr:spPr bwMode="auto">
        <a:xfrm>
          <a:off x="1135380" y="33665160"/>
          <a:ext cx="7620" cy="1828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563880</xdr:colOff>
      <xdr:row>183</xdr:row>
      <xdr:rowOff>99060</xdr:rowOff>
    </xdr:from>
    <xdr:to>
      <xdr:col>1</xdr:col>
      <xdr:colOff>579120</xdr:colOff>
      <xdr:row>191</xdr:row>
      <xdr:rowOff>213360</xdr:rowOff>
    </xdr:to>
    <xdr:sp macro="" textlink="">
      <xdr:nvSpPr>
        <xdr:cNvPr id="16403" name="Line 19">
          <a:extLst>
            <a:ext uri="{FF2B5EF4-FFF2-40B4-BE49-F238E27FC236}">
              <a16:creationId xmlns:a16="http://schemas.microsoft.com/office/drawing/2014/main" id="{00000000-0008-0000-2500-000013400000}"/>
            </a:ext>
          </a:extLst>
        </xdr:cNvPr>
        <xdr:cNvSpPr>
          <a:spLocks noChangeShapeType="1"/>
        </xdr:cNvSpPr>
      </xdr:nvSpPr>
      <xdr:spPr bwMode="auto">
        <a:xfrm>
          <a:off x="1188720" y="33657540"/>
          <a:ext cx="15240" cy="18364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807720</xdr:colOff>
      <xdr:row>183</xdr:row>
      <xdr:rowOff>99060</xdr:rowOff>
    </xdr:from>
    <xdr:to>
      <xdr:col>2</xdr:col>
      <xdr:colOff>815340</xdr:colOff>
      <xdr:row>191</xdr:row>
      <xdr:rowOff>213360</xdr:rowOff>
    </xdr:to>
    <xdr:sp macro="" textlink="">
      <xdr:nvSpPr>
        <xdr:cNvPr id="16404" name="Line 20">
          <a:extLst>
            <a:ext uri="{FF2B5EF4-FFF2-40B4-BE49-F238E27FC236}">
              <a16:creationId xmlns:a16="http://schemas.microsoft.com/office/drawing/2014/main" id="{00000000-0008-0000-2500-000014400000}"/>
            </a:ext>
          </a:extLst>
        </xdr:cNvPr>
        <xdr:cNvSpPr>
          <a:spLocks noChangeShapeType="1"/>
        </xdr:cNvSpPr>
      </xdr:nvSpPr>
      <xdr:spPr bwMode="auto">
        <a:xfrm>
          <a:off x="2057400" y="33657540"/>
          <a:ext cx="7620" cy="18364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388620</xdr:colOff>
      <xdr:row>183</xdr:row>
      <xdr:rowOff>99060</xdr:rowOff>
    </xdr:from>
    <xdr:to>
      <xdr:col>2</xdr:col>
      <xdr:colOff>396240</xdr:colOff>
      <xdr:row>191</xdr:row>
      <xdr:rowOff>213360</xdr:rowOff>
    </xdr:to>
    <xdr:sp macro="" textlink="">
      <xdr:nvSpPr>
        <xdr:cNvPr id="16405" name="Line 21">
          <a:extLst>
            <a:ext uri="{FF2B5EF4-FFF2-40B4-BE49-F238E27FC236}">
              <a16:creationId xmlns:a16="http://schemas.microsoft.com/office/drawing/2014/main" id="{00000000-0008-0000-2500-000015400000}"/>
            </a:ext>
          </a:extLst>
        </xdr:cNvPr>
        <xdr:cNvSpPr>
          <a:spLocks noChangeShapeType="1"/>
        </xdr:cNvSpPr>
      </xdr:nvSpPr>
      <xdr:spPr bwMode="auto">
        <a:xfrm>
          <a:off x="1638300" y="33657540"/>
          <a:ext cx="7620" cy="18364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449580</xdr:colOff>
      <xdr:row>191</xdr:row>
      <xdr:rowOff>213360</xdr:rowOff>
    </xdr:from>
    <xdr:to>
      <xdr:col>2</xdr:col>
      <xdr:colOff>845820</xdr:colOff>
      <xdr:row>191</xdr:row>
      <xdr:rowOff>220980</xdr:rowOff>
    </xdr:to>
    <xdr:sp macro="" textlink="">
      <xdr:nvSpPr>
        <xdr:cNvPr id="16406" name="Line 22">
          <a:extLst>
            <a:ext uri="{FF2B5EF4-FFF2-40B4-BE49-F238E27FC236}">
              <a16:creationId xmlns:a16="http://schemas.microsoft.com/office/drawing/2014/main" id="{00000000-0008-0000-2500-000016400000}"/>
            </a:ext>
          </a:extLst>
        </xdr:cNvPr>
        <xdr:cNvSpPr>
          <a:spLocks noChangeShapeType="1"/>
        </xdr:cNvSpPr>
      </xdr:nvSpPr>
      <xdr:spPr bwMode="auto">
        <a:xfrm>
          <a:off x="1074420" y="35493960"/>
          <a:ext cx="10210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449580</xdr:colOff>
      <xdr:row>191</xdr:row>
      <xdr:rowOff>236220</xdr:rowOff>
    </xdr:from>
    <xdr:to>
      <xdr:col>2</xdr:col>
      <xdr:colOff>845820</xdr:colOff>
      <xdr:row>191</xdr:row>
      <xdr:rowOff>243840</xdr:rowOff>
    </xdr:to>
    <xdr:sp macro="" textlink="">
      <xdr:nvSpPr>
        <xdr:cNvPr id="16407" name="Line 23">
          <a:extLst>
            <a:ext uri="{FF2B5EF4-FFF2-40B4-BE49-F238E27FC236}">
              <a16:creationId xmlns:a16="http://schemas.microsoft.com/office/drawing/2014/main" id="{00000000-0008-0000-2500-000017400000}"/>
            </a:ext>
          </a:extLst>
        </xdr:cNvPr>
        <xdr:cNvSpPr>
          <a:spLocks noChangeShapeType="1"/>
        </xdr:cNvSpPr>
      </xdr:nvSpPr>
      <xdr:spPr bwMode="auto">
        <a:xfrm>
          <a:off x="1074420" y="35493960"/>
          <a:ext cx="10210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449580</xdr:colOff>
      <xdr:row>191</xdr:row>
      <xdr:rowOff>213360</xdr:rowOff>
    </xdr:from>
    <xdr:to>
      <xdr:col>1</xdr:col>
      <xdr:colOff>457200</xdr:colOff>
      <xdr:row>191</xdr:row>
      <xdr:rowOff>236220</xdr:rowOff>
    </xdr:to>
    <xdr:sp macro="" textlink="">
      <xdr:nvSpPr>
        <xdr:cNvPr id="16408" name="Line 24">
          <a:extLst>
            <a:ext uri="{FF2B5EF4-FFF2-40B4-BE49-F238E27FC236}">
              <a16:creationId xmlns:a16="http://schemas.microsoft.com/office/drawing/2014/main" id="{00000000-0008-0000-2500-000018400000}"/>
            </a:ext>
          </a:extLst>
        </xdr:cNvPr>
        <xdr:cNvSpPr>
          <a:spLocks noChangeShapeType="1"/>
        </xdr:cNvSpPr>
      </xdr:nvSpPr>
      <xdr:spPr bwMode="auto">
        <a:xfrm>
          <a:off x="1074420" y="3549396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845820</xdr:colOff>
      <xdr:row>191</xdr:row>
      <xdr:rowOff>213360</xdr:rowOff>
    </xdr:from>
    <xdr:to>
      <xdr:col>2</xdr:col>
      <xdr:colOff>853440</xdr:colOff>
      <xdr:row>191</xdr:row>
      <xdr:rowOff>236220</xdr:rowOff>
    </xdr:to>
    <xdr:sp macro="" textlink="">
      <xdr:nvSpPr>
        <xdr:cNvPr id="16409" name="Line 25">
          <a:extLst>
            <a:ext uri="{FF2B5EF4-FFF2-40B4-BE49-F238E27FC236}">
              <a16:creationId xmlns:a16="http://schemas.microsoft.com/office/drawing/2014/main" id="{00000000-0008-0000-2500-000019400000}"/>
            </a:ext>
          </a:extLst>
        </xdr:cNvPr>
        <xdr:cNvSpPr>
          <a:spLocks noChangeShapeType="1"/>
        </xdr:cNvSpPr>
      </xdr:nvSpPr>
      <xdr:spPr bwMode="auto">
        <a:xfrm>
          <a:off x="2095500" y="35493960"/>
          <a:ext cx="76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137160</xdr:colOff>
      <xdr:row>183</xdr:row>
      <xdr:rowOff>68580</xdr:rowOff>
    </xdr:from>
    <xdr:to>
      <xdr:col>1</xdr:col>
      <xdr:colOff>358140</xdr:colOff>
      <xdr:row>183</xdr:row>
      <xdr:rowOff>76200</xdr:rowOff>
    </xdr:to>
    <xdr:sp macro="" textlink="">
      <xdr:nvSpPr>
        <xdr:cNvPr id="16410" name="Line 26">
          <a:extLst>
            <a:ext uri="{FF2B5EF4-FFF2-40B4-BE49-F238E27FC236}">
              <a16:creationId xmlns:a16="http://schemas.microsoft.com/office/drawing/2014/main" id="{00000000-0008-0000-2500-00001A400000}"/>
            </a:ext>
          </a:extLst>
        </xdr:cNvPr>
        <xdr:cNvSpPr>
          <a:spLocks noChangeShapeType="1"/>
        </xdr:cNvSpPr>
      </xdr:nvSpPr>
      <xdr:spPr bwMode="auto">
        <a:xfrm>
          <a:off x="762000" y="33627060"/>
          <a:ext cx="2209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137160</xdr:colOff>
      <xdr:row>183</xdr:row>
      <xdr:rowOff>99060</xdr:rowOff>
    </xdr:from>
    <xdr:to>
      <xdr:col>1</xdr:col>
      <xdr:colOff>350520</xdr:colOff>
      <xdr:row>183</xdr:row>
      <xdr:rowOff>106680</xdr:rowOff>
    </xdr:to>
    <xdr:sp macro="" textlink="">
      <xdr:nvSpPr>
        <xdr:cNvPr id="16411" name="Line 27">
          <a:extLst>
            <a:ext uri="{FF2B5EF4-FFF2-40B4-BE49-F238E27FC236}">
              <a16:creationId xmlns:a16="http://schemas.microsoft.com/office/drawing/2014/main" id="{00000000-0008-0000-2500-00001B400000}"/>
            </a:ext>
          </a:extLst>
        </xdr:cNvPr>
        <xdr:cNvSpPr>
          <a:spLocks noChangeShapeType="1"/>
        </xdr:cNvSpPr>
      </xdr:nvSpPr>
      <xdr:spPr bwMode="auto">
        <a:xfrm flipH="1">
          <a:off x="762000" y="33657540"/>
          <a:ext cx="2133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289560</xdr:colOff>
      <xdr:row>183</xdr:row>
      <xdr:rowOff>83820</xdr:rowOff>
    </xdr:from>
    <xdr:to>
      <xdr:col>1</xdr:col>
      <xdr:colOff>297180</xdr:colOff>
      <xdr:row>185</xdr:row>
      <xdr:rowOff>175260</xdr:rowOff>
    </xdr:to>
    <xdr:sp macro="" textlink="">
      <xdr:nvSpPr>
        <xdr:cNvPr id="16412" name="Line 28">
          <a:extLst>
            <a:ext uri="{FF2B5EF4-FFF2-40B4-BE49-F238E27FC236}">
              <a16:creationId xmlns:a16="http://schemas.microsoft.com/office/drawing/2014/main" id="{00000000-0008-0000-2500-00001C400000}"/>
            </a:ext>
          </a:extLst>
        </xdr:cNvPr>
        <xdr:cNvSpPr>
          <a:spLocks noChangeShapeType="1"/>
        </xdr:cNvSpPr>
      </xdr:nvSpPr>
      <xdr:spPr bwMode="auto">
        <a:xfrm flipV="1">
          <a:off x="914400" y="33642300"/>
          <a:ext cx="7620" cy="4800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297180</xdr:colOff>
      <xdr:row>181</xdr:row>
      <xdr:rowOff>220980</xdr:rowOff>
    </xdr:from>
    <xdr:to>
      <xdr:col>1</xdr:col>
      <xdr:colOff>304800</xdr:colOff>
      <xdr:row>183</xdr:row>
      <xdr:rowOff>68580</xdr:rowOff>
    </xdr:to>
    <xdr:sp macro="" textlink="">
      <xdr:nvSpPr>
        <xdr:cNvPr id="16413" name="Line 29">
          <a:extLst>
            <a:ext uri="{FF2B5EF4-FFF2-40B4-BE49-F238E27FC236}">
              <a16:creationId xmlns:a16="http://schemas.microsoft.com/office/drawing/2014/main" id="{00000000-0008-0000-2500-00001D400000}"/>
            </a:ext>
          </a:extLst>
        </xdr:cNvPr>
        <xdr:cNvSpPr>
          <a:spLocks noChangeShapeType="1"/>
        </xdr:cNvSpPr>
      </xdr:nvSpPr>
      <xdr:spPr bwMode="auto">
        <a:xfrm>
          <a:off x="922020" y="33375600"/>
          <a:ext cx="7620" cy="2514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449580</xdr:colOff>
      <xdr:row>181</xdr:row>
      <xdr:rowOff>220980</xdr:rowOff>
    </xdr:from>
    <xdr:to>
      <xdr:col>1</xdr:col>
      <xdr:colOff>457200</xdr:colOff>
      <xdr:row>182</xdr:row>
      <xdr:rowOff>137160</xdr:rowOff>
    </xdr:to>
    <xdr:sp macro="" textlink="">
      <xdr:nvSpPr>
        <xdr:cNvPr id="16414" name="Line 30">
          <a:extLst>
            <a:ext uri="{FF2B5EF4-FFF2-40B4-BE49-F238E27FC236}">
              <a16:creationId xmlns:a16="http://schemas.microsoft.com/office/drawing/2014/main" id="{00000000-0008-0000-2500-00001E400000}"/>
            </a:ext>
          </a:extLst>
        </xdr:cNvPr>
        <xdr:cNvSpPr>
          <a:spLocks noChangeShapeType="1"/>
        </xdr:cNvSpPr>
      </xdr:nvSpPr>
      <xdr:spPr bwMode="auto">
        <a:xfrm flipV="1">
          <a:off x="1074420" y="33375600"/>
          <a:ext cx="7620" cy="1371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853440</xdr:colOff>
      <xdr:row>181</xdr:row>
      <xdr:rowOff>228600</xdr:rowOff>
    </xdr:from>
    <xdr:to>
      <xdr:col>3</xdr:col>
      <xdr:colOff>7620</xdr:colOff>
      <xdr:row>182</xdr:row>
      <xdr:rowOff>152400</xdr:rowOff>
    </xdr:to>
    <xdr:sp macro="" textlink="">
      <xdr:nvSpPr>
        <xdr:cNvPr id="16415" name="Line 31">
          <a:extLst>
            <a:ext uri="{FF2B5EF4-FFF2-40B4-BE49-F238E27FC236}">
              <a16:creationId xmlns:a16="http://schemas.microsoft.com/office/drawing/2014/main" id="{00000000-0008-0000-2500-00001F400000}"/>
            </a:ext>
          </a:extLst>
        </xdr:cNvPr>
        <xdr:cNvSpPr>
          <a:spLocks noChangeShapeType="1"/>
        </xdr:cNvSpPr>
      </xdr:nvSpPr>
      <xdr:spPr bwMode="auto">
        <a:xfrm flipV="1">
          <a:off x="2103120" y="33375600"/>
          <a:ext cx="15240" cy="15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449580</xdr:colOff>
      <xdr:row>182</xdr:row>
      <xdr:rowOff>137160</xdr:rowOff>
    </xdr:from>
    <xdr:to>
      <xdr:col>2</xdr:col>
      <xdr:colOff>30480</xdr:colOff>
      <xdr:row>182</xdr:row>
      <xdr:rowOff>144780</xdr:rowOff>
    </xdr:to>
    <xdr:sp macro="" textlink="">
      <xdr:nvSpPr>
        <xdr:cNvPr id="16416" name="Line 32">
          <a:extLst>
            <a:ext uri="{FF2B5EF4-FFF2-40B4-BE49-F238E27FC236}">
              <a16:creationId xmlns:a16="http://schemas.microsoft.com/office/drawing/2014/main" id="{00000000-0008-0000-2500-000020400000}"/>
            </a:ext>
          </a:extLst>
        </xdr:cNvPr>
        <xdr:cNvSpPr>
          <a:spLocks noChangeShapeType="1"/>
        </xdr:cNvSpPr>
      </xdr:nvSpPr>
      <xdr:spPr bwMode="auto">
        <a:xfrm flipH="1">
          <a:off x="1074420" y="33512760"/>
          <a:ext cx="20574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281940</xdr:colOff>
      <xdr:row>182</xdr:row>
      <xdr:rowOff>144780</xdr:rowOff>
    </xdr:from>
    <xdr:to>
      <xdr:col>2</xdr:col>
      <xdr:colOff>853440</xdr:colOff>
      <xdr:row>182</xdr:row>
      <xdr:rowOff>152400</xdr:rowOff>
    </xdr:to>
    <xdr:sp macro="" textlink="">
      <xdr:nvSpPr>
        <xdr:cNvPr id="16417" name="Line 33">
          <a:extLst>
            <a:ext uri="{FF2B5EF4-FFF2-40B4-BE49-F238E27FC236}">
              <a16:creationId xmlns:a16="http://schemas.microsoft.com/office/drawing/2014/main" id="{00000000-0008-0000-2500-000021400000}"/>
            </a:ext>
          </a:extLst>
        </xdr:cNvPr>
        <xdr:cNvSpPr>
          <a:spLocks noChangeShapeType="1"/>
        </xdr:cNvSpPr>
      </xdr:nvSpPr>
      <xdr:spPr bwMode="auto">
        <a:xfrm>
          <a:off x="1531620" y="33520380"/>
          <a:ext cx="5715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815340</xdr:colOff>
      <xdr:row>186</xdr:row>
      <xdr:rowOff>167640</xdr:rowOff>
    </xdr:from>
    <xdr:to>
      <xdr:col>3</xdr:col>
      <xdr:colOff>53340</xdr:colOff>
      <xdr:row>186</xdr:row>
      <xdr:rowOff>175260</xdr:rowOff>
    </xdr:to>
    <xdr:sp macro="" textlink="">
      <xdr:nvSpPr>
        <xdr:cNvPr id="16418" name="Line 34">
          <a:extLst>
            <a:ext uri="{FF2B5EF4-FFF2-40B4-BE49-F238E27FC236}">
              <a16:creationId xmlns:a16="http://schemas.microsoft.com/office/drawing/2014/main" id="{00000000-0008-0000-2500-000022400000}"/>
            </a:ext>
          </a:extLst>
        </xdr:cNvPr>
        <xdr:cNvSpPr>
          <a:spLocks noChangeShapeType="1"/>
        </xdr:cNvSpPr>
      </xdr:nvSpPr>
      <xdr:spPr bwMode="auto">
        <a:xfrm flipH="1">
          <a:off x="2065020" y="34297620"/>
          <a:ext cx="990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274320</xdr:colOff>
      <xdr:row>186</xdr:row>
      <xdr:rowOff>167640</xdr:rowOff>
    </xdr:from>
    <xdr:to>
      <xdr:col>2</xdr:col>
      <xdr:colOff>388620</xdr:colOff>
      <xdr:row>186</xdr:row>
      <xdr:rowOff>175260</xdr:rowOff>
    </xdr:to>
    <xdr:sp macro="" textlink="">
      <xdr:nvSpPr>
        <xdr:cNvPr id="16419" name="Line 35">
          <a:extLst>
            <a:ext uri="{FF2B5EF4-FFF2-40B4-BE49-F238E27FC236}">
              <a16:creationId xmlns:a16="http://schemas.microsoft.com/office/drawing/2014/main" id="{00000000-0008-0000-2500-000023400000}"/>
            </a:ext>
          </a:extLst>
        </xdr:cNvPr>
        <xdr:cNvSpPr>
          <a:spLocks noChangeShapeType="1"/>
        </xdr:cNvSpPr>
      </xdr:nvSpPr>
      <xdr:spPr bwMode="auto">
        <a:xfrm>
          <a:off x="1524000" y="34297620"/>
          <a:ext cx="1143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563880</xdr:colOff>
      <xdr:row>186</xdr:row>
      <xdr:rowOff>190500</xdr:rowOff>
    </xdr:from>
    <xdr:to>
      <xdr:col>2</xdr:col>
      <xdr:colOff>83820</xdr:colOff>
      <xdr:row>187</xdr:row>
      <xdr:rowOff>0</xdr:rowOff>
    </xdr:to>
    <xdr:sp macro="" textlink="">
      <xdr:nvSpPr>
        <xdr:cNvPr id="16420" name="Line 36">
          <a:extLst>
            <a:ext uri="{FF2B5EF4-FFF2-40B4-BE49-F238E27FC236}">
              <a16:creationId xmlns:a16="http://schemas.microsoft.com/office/drawing/2014/main" id="{00000000-0008-0000-2500-000024400000}"/>
            </a:ext>
          </a:extLst>
        </xdr:cNvPr>
        <xdr:cNvSpPr>
          <a:spLocks noChangeShapeType="1"/>
        </xdr:cNvSpPr>
      </xdr:nvSpPr>
      <xdr:spPr bwMode="auto">
        <a:xfrm flipH="1">
          <a:off x="1188720" y="34320480"/>
          <a:ext cx="14478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304800</xdr:colOff>
      <xdr:row>186</xdr:row>
      <xdr:rowOff>190500</xdr:rowOff>
    </xdr:from>
    <xdr:to>
      <xdr:col>1</xdr:col>
      <xdr:colOff>518160</xdr:colOff>
      <xdr:row>187</xdr:row>
      <xdr:rowOff>0</xdr:rowOff>
    </xdr:to>
    <xdr:sp macro="" textlink="">
      <xdr:nvSpPr>
        <xdr:cNvPr id="16421" name="Line 37">
          <a:extLst>
            <a:ext uri="{FF2B5EF4-FFF2-40B4-BE49-F238E27FC236}">
              <a16:creationId xmlns:a16="http://schemas.microsoft.com/office/drawing/2014/main" id="{00000000-0008-0000-2500-000025400000}"/>
            </a:ext>
          </a:extLst>
        </xdr:cNvPr>
        <xdr:cNvSpPr>
          <a:spLocks noChangeShapeType="1"/>
        </xdr:cNvSpPr>
      </xdr:nvSpPr>
      <xdr:spPr bwMode="auto">
        <a:xfrm flipV="1">
          <a:off x="929640" y="34320480"/>
          <a:ext cx="21336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137160</xdr:colOff>
      <xdr:row>191</xdr:row>
      <xdr:rowOff>213360</xdr:rowOff>
    </xdr:from>
    <xdr:to>
      <xdr:col>1</xdr:col>
      <xdr:colOff>335280</xdr:colOff>
      <xdr:row>191</xdr:row>
      <xdr:rowOff>220980</xdr:rowOff>
    </xdr:to>
    <xdr:sp macro="" textlink="">
      <xdr:nvSpPr>
        <xdr:cNvPr id="16422" name="Line 38">
          <a:extLst>
            <a:ext uri="{FF2B5EF4-FFF2-40B4-BE49-F238E27FC236}">
              <a16:creationId xmlns:a16="http://schemas.microsoft.com/office/drawing/2014/main" id="{00000000-0008-0000-2500-000026400000}"/>
            </a:ext>
          </a:extLst>
        </xdr:cNvPr>
        <xdr:cNvSpPr>
          <a:spLocks noChangeShapeType="1"/>
        </xdr:cNvSpPr>
      </xdr:nvSpPr>
      <xdr:spPr bwMode="auto">
        <a:xfrm flipH="1">
          <a:off x="762000" y="35493960"/>
          <a:ext cx="1981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152400</xdr:colOff>
      <xdr:row>191</xdr:row>
      <xdr:rowOff>236220</xdr:rowOff>
    </xdr:from>
    <xdr:to>
      <xdr:col>1</xdr:col>
      <xdr:colOff>335280</xdr:colOff>
      <xdr:row>191</xdr:row>
      <xdr:rowOff>243840</xdr:rowOff>
    </xdr:to>
    <xdr:sp macro="" textlink="">
      <xdr:nvSpPr>
        <xdr:cNvPr id="16423" name="Line 39">
          <a:extLst>
            <a:ext uri="{FF2B5EF4-FFF2-40B4-BE49-F238E27FC236}">
              <a16:creationId xmlns:a16="http://schemas.microsoft.com/office/drawing/2014/main" id="{00000000-0008-0000-2500-000027400000}"/>
            </a:ext>
          </a:extLst>
        </xdr:cNvPr>
        <xdr:cNvSpPr>
          <a:spLocks noChangeShapeType="1"/>
        </xdr:cNvSpPr>
      </xdr:nvSpPr>
      <xdr:spPr bwMode="auto">
        <a:xfrm flipH="1">
          <a:off x="777240" y="35493960"/>
          <a:ext cx="1828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289560</xdr:colOff>
      <xdr:row>187</xdr:row>
      <xdr:rowOff>205740</xdr:rowOff>
    </xdr:from>
    <xdr:to>
      <xdr:col>1</xdr:col>
      <xdr:colOff>297180</xdr:colOff>
      <xdr:row>191</xdr:row>
      <xdr:rowOff>213360</xdr:rowOff>
    </xdr:to>
    <xdr:sp macro="" textlink="">
      <xdr:nvSpPr>
        <xdr:cNvPr id="16424" name="Line 40">
          <a:extLst>
            <a:ext uri="{FF2B5EF4-FFF2-40B4-BE49-F238E27FC236}">
              <a16:creationId xmlns:a16="http://schemas.microsoft.com/office/drawing/2014/main" id="{00000000-0008-0000-2500-000028400000}"/>
            </a:ext>
          </a:extLst>
        </xdr:cNvPr>
        <xdr:cNvSpPr>
          <a:spLocks noChangeShapeType="1"/>
        </xdr:cNvSpPr>
      </xdr:nvSpPr>
      <xdr:spPr bwMode="auto">
        <a:xfrm>
          <a:off x="914400" y="34541460"/>
          <a:ext cx="7620" cy="9525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289560</xdr:colOff>
      <xdr:row>191</xdr:row>
      <xdr:rowOff>243840</xdr:rowOff>
    </xdr:from>
    <xdr:to>
      <xdr:col>1</xdr:col>
      <xdr:colOff>297180</xdr:colOff>
      <xdr:row>192</xdr:row>
      <xdr:rowOff>190500</xdr:rowOff>
    </xdr:to>
    <xdr:sp macro="" textlink="">
      <xdr:nvSpPr>
        <xdr:cNvPr id="16425" name="Line 41">
          <a:extLst>
            <a:ext uri="{FF2B5EF4-FFF2-40B4-BE49-F238E27FC236}">
              <a16:creationId xmlns:a16="http://schemas.microsoft.com/office/drawing/2014/main" id="{00000000-0008-0000-2500-000029400000}"/>
            </a:ext>
          </a:extLst>
        </xdr:cNvPr>
        <xdr:cNvSpPr>
          <a:spLocks noChangeShapeType="1"/>
        </xdr:cNvSpPr>
      </xdr:nvSpPr>
      <xdr:spPr bwMode="auto">
        <a:xfrm flipV="1">
          <a:off x="914400" y="35493960"/>
          <a:ext cx="7620" cy="1828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53340</xdr:colOff>
      <xdr:row>183</xdr:row>
      <xdr:rowOff>76200</xdr:rowOff>
    </xdr:from>
    <xdr:to>
      <xdr:col>3</xdr:col>
      <xdr:colOff>571500</xdr:colOff>
      <xdr:row>183</xdr:row>
      <xdr:rowOff>83820</xdr:rowOff>
    </xdr:to>
    <xdr:sp macro="" textlink="">
      <xdr:nvSpPr>
        <xdr:cNvPr id="16426" name="Line 42">
          <a:extLst>
            <a:ext uri="{FF2B5EF4-FFF2-40B4-BE49-F238E27FC236}">
              <a16:creationId xmlns:a16="http://schemas.microsoft.com/office/drawing/2014/main" id="{00000000-0008-0000-2500-00002A400000}"/>
            </a:ext>
          </a:extLst>
        </xdr:cNvPr>
        <xdr:cNvSpPr>
          <a:spLocks noChangeShapeType="1"/>
        </xdr:cNvSpPr>
      </xdr:nvSpPr>
      <xdr:spPr bwMode="auto">
        <a:xfrm>
          <a:off x="2164080" y="33634680"/>
          <a:ext cx="5181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30480</xdr:colOff>
      <xdr:row>191</xdr:row>
      <xdr:rowOff>236220</xdr:rowOff>
    </xdr:from>
    <xdr:to>
      <xdr:col>3</xdr:col>
      <xdr:colOff>571500</xdr:colOff>
      <xdr:row>191</xdr:row>
      <xdr:rowOff>243840</xdr:rowOff>
    </xdr:to>
    <xdr:sp macro="" textlink="">
      <xdr:nvSpPr>
        <xdr:cNvPr id="16427" name="Line 43">
          <a:extLst>
            <a:ext uri="{FF2B5EF4-FFF2-40B4-BE49-F238E27FC236}">
              <a16:creationId xmlns:a16="http://schemas.microsoft.com/office/drawing/2014/main" id="{00000000-0008-0000-2500-00002B400000}"/>
            </a:ext>
          </a:extLst>
        </xdr:cNvPr>
        <xdr:cNvSpPr>
          <a:spLocks noChangeShapeType="1"/>
        </xdr:cNvSpPr>
      </xdr:nvSpPr>
      <xdr:spPr bwMode="auto">
        <a:xfrm>
          <a:off x="2141220" y="35493960"/>
          <a:ext cx="5410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243840</xdr:colOff>
      <xdr:row>183</xdr:row>
      <xdr:rowOff>83820</xdr:rowOff>
    </xdr:from>
    <xdr:to>
      <xdr:col>3</xdr:col>
      <xdr:colOff>251460</xdr:colOff>
      <xdr:row>185</xdr:row>
      <xdr:rowOff>175260</xdr:rowOff>
    </xdr:to>
    <xdr:sp macro="" textlink="">
      <xdr:nvSpPr>
        <xdr:cNvPr id="16428" name="Line 44">
          <a:extLst>
            <a:ext uri="{FF2B5EF4-FFF2-40B4-BE49-F238E27FC236}">
              <a16:creationId xmlns:a16="http://schemas.microsoft.com/office/drawing/2014/main" id="{00000000-0008-0000-2500-00002C400000}"/>
            </a:ext>
          </a:extLst>
        </xdr:cNvPr>
        <xdr:cNvSpPr>
          <a:spLocks noChangeShapeType="1"/>
        </xdr:cNvSpPr>
      </xdr:nvSpPr>
      <xdr:spPr bwMode="auto">
        <a:xfrm flipV="1">
          <a:off x="2354580" y="33642300"/>
          <a:ext cx="7620" cy="4800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243840</xdr:colOff>
      <xdr:row>187</xdr:row>
      <xdr:rowOff>198120</xdr:rowOff>
    </xdr:from>
    <xdr:to>
      <xdr:col>3</xdr:col>
      <xdr:colOff>251460</xdr:colOff>
      <xdr:row>191</xdr:row>
      <xdr:rowOff>228600</xdr:rowOff>
    </xdr:to>
    <xdr:sp macro="" textlink="">
      <xdr:nvSpPr>
        <xdr:cNvPr id="16429" name="Line 45">
          <a:extLst>
            <a:ext uri="{FF2B5EF4-FFF2-40B4-BE49-F238E27FC236}">
              <a16:creationId xmlns:a16="http://schemas.microsoft.com/office/drawing/2014/main" id="{00000000-0008-0000-2500-00002D400000}"/>
            </a:ext>
          </a:extLst>
        </xdr:cNvPr>
        <xdr:cNvSpPr>
          <a:spLocks noChangeShapeType="1"/>
        </xdr:cNvSpPr>
      </xdr:nvSpPr>
      <xdr:spPr bwMode="auto">
        <a:xfrm>
          <a:off x="2354580" y="34533840"/>
          <a:ext cx="7620" cy="9601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121920</xdr:colOff>
      <xdr:row>187</xdr:row>
      <xdr:rowOff>198120</xdr:rowOff>
    </xdr:from>
    <xdr:to>
      <xdr:col>3</xdr:col>
      <xdr:colOff>563880</xdr:colOff>
      <xdr:row>188</xdr:row>
      <xdr:rowOff>0</xdr:rowOff>
    </xdr:to>
    <xdr:sp macro="" textlink="">
      <xdr:nvSpPr>
        <xdr:cNvPr id="16430" name="Line 46">
          <a:extLst>
            <a:ext uri="{FF2B5EF4-FFF2-40B4-BE49-F238E27FC236}">
              <a16:creationId xmlns:a16="http://schemas.microsoft.com/office/drawing/2014/main" id="{00000000-0008-0000-2500-00002E400000}"/>
            </a:ext>
          </a:extLst>
        </xdr:cNvPr>
        <xdr:cNvSpPr>
          <a:spLocks noChangeShapeType="1"/>
        </xdr:cNvSpPr>
      </xdr:nvSpPr>
      <xdr:spPr bwMode="auto">
        <a:xfrm>
          <a:off x="746760" y="34533840"/>
          <a:ext cx="1927860" cy="7620"/>
        </a:xfrm>
        <a:prstGeom prst="line">
          <a:avLst/>
        </a:prstGeom>
        <a:noFill/>
        <a:ln w="0">
          <a:solidFill>
            <a:srgbClr val="0000FF"/>
          </a:solidFill>
          <a:prstDash val="lgDashDot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388620</xdr:colOff>
      <xdr:row>187</xdr:row>
      <xdr:rowOff>198120</xdr:rowOff>
    </xdr:from>
    <xdr:to>
      <xdr:col>3</xdr:col>
      <xdr:colOff>396240</xdr:colOff>
      <xdr:row>188</xdr:row>
      <xdr:rowOff>297180</xdr:rowOff>
    </xdr:to>
    <xdr:sp macro="" textlink="">
      <xdr:nvSpPr>
        <xdr:cNvPr id="16431" name="Line 47">
          <a:extLst>
            <a:ext uri="{FF2B5EF4-FFF2-40B4-BE49-F238E27FC236}">
              <a16:creationId xmlns:a16="http://schemas.microsoft.com/office/drawing/2014/main" id="{00000000-0008-0000-2500-00002F400000}"/>
            </a:ext>
          </a:extLst>
        </xdr:cNvPr>
        <xdr:cNvSpPr>
          <a:spLocks noChangeShapeType="1"/>
        </xdr:cNvSpPr>
      </xdr:nvSpPr>
      <xdr:spPr bwMode="auto">
        <a:xfrm flipH="1" flipV="1">
          <a:off x="2499360" y="34533840"/>
          <a:ext cx="7620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388620</xdr:colOff>
      <xdr:row>186</xdr:row>
      <xdr:rowOff>175260</xdr:rowOff>
    </xdr:from>
    <xdr:to>
      <xdr:col>3</xdr:col>
      <xdr:colOff>396240</xdr:colOff>
      <xdr:row>188</xdr:row>
      <xdr:rowOff>0</xdr:rowOff>
    </xdr:to>
    <xdr:sp macro="" textlink="">
      <xdr:nvSpPr>
        <xdr:cNvPr id="16432" name="Line 48">
          <a:extLst>
            <a:ext uri="{FF2B5EF4-FFF2-40B4-BE49-F238E27FC236}">
              <a16:creationId xmlns:a16="http://schemas.microsoft.com/office/drawing/2014/main" id="{00000000-0008-0000-2500-000030400000}"/>
            </a:ext>
          </a:extLst>
        </xdr:cNvPr>
        <xdr:cNvSpPr>
          <a:spLocks noChangeShapeType="1"/>
        </xdr:cNvSpPr>
      </xdr:nvSpPr>
      <xdr:spPr bwMode="auto">
        <a:xfrm>
          <a:off x="2499360" y="34305240"/>
          <a:ext cx="7620" cy="236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388620</xdr:colOff>
      <xdr:row>183</xdr:row>
      <xdr:rowOff>83820</xdr:rowOff>
    </xdr:from>
    <xdr:to>
      <xdr:col>3</xdr:col>
      <xdr:colOff>396240</xdr:colOff>
      <xdr:row>185</xdr:row>
      <xdr:rowOff>137160</xdr:rowOff>
    </xdr:to>
    <xdr:sp macro="" textlink="">
      <xdr:nvSpPr>
        <xdr:cNvPr id="16433" name="Line 49">
          <a:extLst>
            <a:ext uri="{FF2B5EF4-FFF2-40B4-BE49-F238E27FC236}">
              <a16:creationId xmlns:a16="http://schemas.microsoft.com/office/drawing/2014/main" id="{00000000-0008-0000-2500-000031400000}"/>
            </a:ext>
          </a:extLst>
        </xdr:cNvPr>
        <xdr:cNvSpPr>
          <a:spLocks noChangeShapeType="1"/>
        </xdr:cNvSpPr>
      </xdr:nvSpPr>
      <xdr:spPr bwMode="auto">
        <a:xfrm flipV="1">
          <a:off x="2499360" y="33642300"/>
          <a:ext cx="7620" cy="4419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373380</xdr:colOff>
      <xdr:row>189</xdr:row>
      <xdr:rowOff>190500</xdr:rowOff>
    </xdr:from>
    <xdr:to>
      <xdr:col>3</xdr:col>
      <xdr:colOff>388620</xdr:colOff>
      <xdr:row>191</xdr:row>
      <xdr:rowOff>228600</xdr:rowOff>
    </xdr:to>
    <xdr:sp macro="" textlink="">
      <xdr:nvSpPr>
        <xdr:cNvPr id="16434" name="Line 50">
          <a:extLst>
            <a:ext uri="{FF2B5EF4-FFF2-40B4-BE49-F238E27FC236}">
              <a16:creationId xmlns:a16="http://schemas.microsoft.com/office/drawing/2014/main" id="{00000000-0008-0000-2500-000032400000}"/>
            </a:ext>
          </a:extLst>
        </xdr:cNvPr>
        <xdr:cNvSpPr>
          <a:spLocks noChangeShapeType="1"/>
        </xdr:cNvSpPr>
      </xdr:nvSpPr>
      <xdr:spPr bwMode="auto">
        <a:xfrm>
          <a:off x="2484120" y="35074860"/>
          <a:ext cx="15240" cy="419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601980</xdr:colOff>
      <xdr:row>164</xdr:row>
      <xdr:rowOff>83820</xdr:rowOff>
    </xdr:from>
    <xdr:to>
      <xdr:col>6</xdr:col>
      <xdr:colOff>708660</xdr:colOff>
      <xdr:row>164</xdr:row>
      <xdr:rowOff>137160</xdr:rowOff>
    </xdr:to>
    <xdr:sp macro="" textlink="">
      <xdr:nvSpPr>
        <xdr:cNvPr id="16435" name="Line 51">
          <a:extLst>
            <a:ext uri="{FF2B5EF4-FFF2-40B4-BE49-F238E27FC236}">
              <a16:creationId xmlns:a16="http://schemas.microsoft.com/office/drawing/2014/main" id="{00000000-0008-0000-2500-000033400000}"/>
            </a:ext>
          </a:extLst>
        </xdr:cNvPr>
        <xdr:cNvSpPr>
          <a:spLocks noChangeShapeType="1"/>
        </xdr:cNvSpPr>
      </xdr:nvSpPr>
      <xdr:spPr bwMode="auto">
        <a:xfrm>
          <a:off x="1226820" y="30167580"/>
          <a:ext cx="3863340" cy="533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594360</xdr:colOff>
      <xdr:row>164</xdr:row>
      <xdr:rowOff>152400</xdr:rowOff>
    </xdr:from>
    <xdr:to>
      <xdr:col>1</xdr:col>
      <xdr:colOff>601980</xdr:colOff>
      <xdr:row>170</xdr:row>
      <xdr:rowOff>7620</xdr:rowOff>
    </xdr:to>
    <xdr:sp macro="" textlink="">
      <xdr:nvSpPr>
        <xdr:cNvPr id="16436" name="Line 52">
          <a:extLst>
            <a:ext uri="{FF2B5EF4-FFF2-40B4-BE49-F238E27FC236}">
              <a16:creationId xmlns:a16="http://schemas.microsoft.com/office/drawing/2014/main" id="{00000000-0008-0000-2500-000034400000}"/>
            </a:ext>
          </a:extLst>
        </xdr:cNvPr>
        <xdr:cNvSpPr>
          <a:spLocks noChangeShapeType="1"/>
        </xdr:cNvSpPr>
      </xdr:nvSpPr>
      <xdr:spPr bwMode="auto">
        <a:xfrm flipH="1" flipV="1">
          <a:off x="1219200" y="30236160"/>
          <a:ext cx="7620" cy="9525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693420</xdr:colOff>
      <xdr:row>164</xdr:row>
      <xdr:rowOff>137160</xdr:rowOff>
    </xdr:from>
    <xdr:to>
      <xdr:col>6</xdr:col>
      <xdr:colOff>708660</xdr:colOff>
      <xdr:row>170</xdr:row>
      <xdr:rowOff>30480</xdr:rowOff>
    </xdr:to>
    <xdr:sp macro="" textlink="">
      <xdr:nvSpPr>
        <xdr:cNvPr id="16437" name="Line 53">
          <a:extLst>
            <a:ext uri="{FF2B5EF4-FFF2-40B4-BE49-F238E27FC236}">
              <a16:creationId xmlns:a16="http://schemas.microsoft.com/office/drawing/2014/main" id="{00000000-0008-0000-2500-000035400000}"/>
            </a:ext>
          </a:extLst>
        </xdr:cNvPr>
        <xdr:cNvSpPr>
          <a:spLocks noChangeShapeType="1"/>
        </xdr:cNvSpPr>
      </xdr:nvSpPr>
      <xdr:spPr bwMode="auto">
        <a:xfrm flipV="1">
          <a:off x="5074920" y="30220920"/>
          <a:ext cx="15240" cy="990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266700</xdr:colOff>
      <xdr:row>162</xdr:row>
      <xdr:rowOff>160020</xdr:rowOff>
    </xdr:from>
    <xdr:to>
      <xdr:col>3</xdr:col>
      <xdr:colOff>281940</xdr:colOff>
      <xdr:row>164</xdr:row>
      <xdr:rowOff>137160</xdr:rowOff>
    </xdr:to>
    <xdr:sp macro="" textlink="">
      <xdr:nvSpPr>
        <xdr:cNvPr id="16438" name="Line 54">
          <a:extLst>
            <a:ext uri="{FF2B5EF4-FFF2-40B4-BE49-F238E27FC236}">
              <a16:creationId xmlns:a16="http://schemas.microsoft.com/office/drawing/2014/main" id="{00000000-0008-0000-2500-000036400000}"/>
            </a:ext>
          </a:extLst>
        </xdr:cNvPr>
        <xdr:cNvSpPr>
          <a:spLocks noChangeShapeType="1"/>
        </xdr:cNvSpPr>
      </xdr:nvSpPr>
      <xdr:spPr bwMode="auto">
        <a:xfrm>
          <a:off x="2377440" y="29878020"/>
          <a:ext cx="1524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137160</xdr:colOff>
      <xdr:row>162</xdr:row>
      <xdr:rowOff>152400</xdr:rowOff>
    </xdr:from>
    <xdr:to>
      <xdr:col>5</xdr:col>
      <xdr:colOff>144780</xdr:colOff>
      <xdr:row>164</xdr:row>
      <xdr:rowOff>83820</xdr:rowOff>
    </xdr:to>
    <xdr:sp macro="" textlink="">
      <xdr:nvSpPr>
        <xdr:cNvPr id="16439" name="Line 55">
          <a:extLst>
            <a:ext uri="{FF2B5EF4-FFF2-40B4-BE49-F238E27FC236}">
              <a16:creationId xmlns:a16="http://schemas.microsoft.com/office/drawing/2014/main" id="{00000000-0008-0000-2500-000037400000}"/>
            </a:ext>
          </a:extLst>
        </xdr:cNvPr>
        <xdr:cNvSpPr>
          <a:spLocks noChangeShapeType="1"/>
        </xdr:cNvSpPr>
      </xdr:nvSpPr>
      <xdr:spPr bwMode="auto">
        <a:xfrm>
          <a:off x="3893820" y="29870400"/>
          <a:ext cx="7620" cy="2971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601980</xdr:colOff>
      <xdr:row>169</xdr:row>
      <xdr:rowOff>15240</xdr:rowOff>
    </xdr:from>
    <xdr:to>
      <xdr:col>4</xdr:col>
      <xdr:colOff>167640</xdr:colOff>
      <xdr:row>169</xdr:row>
      <xdr:rowOff>22860</xdr:rowOff>
    </xdr:to>
    <xdr:sp macro="" textlink="">
      <xdr:nvSpPr>
        <xdr:cNvPr id="16440" name="Line 56">
          <a:extLst>
            <a:ext uri="{FF2B5EF4-FFF2-40B4-BE49-F238E27FC236}">
              <a16:creationId xmlns:a16="http://schemas.microsoft.com/office/drawing/2014/main" id="{00000000-0008-0000-2500-000038400000}"/>
            </a:ext>
          </a:extLst>
        </xdr:cNvPr>
        <xdr:cNvSpPr>
          <a:spLocks noChangeShapeType="1"/>
        </xdr:cNvSpPr>
      </xdr:nvSpPr>
      <xdr:spPr bwMode="auto">
        <a:xfrm flipH="1">
          <a:off x="1226820" y="31013400"/>
          <a:ext cx="16764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152400</xdr:colOff>
      <xdr:row>169</xdr:row>
      <xdr:rowOff>15240</xdr:rowOff>
    </xdr:from>
    <xdr:to>
      <xdr:col>6</xdr:col>
      <xdr:colOff>708660</xdr:colOff>
      <xdr:row>169</xdr:row>
      <xdr:rowOff>22860</xdr:rowOff>
    </xdr:to>
    <xdr:sp macro="" textlink="">
      <xdr:nvSpPr>
        <xdr:cNvPr id="16441" name="Line 57">
          <a:extLst>
            <a:ext uri="{FF2B5EF4-FFF2-40B4-BE49-F238E27FC236}">
              <a16:creationId xmlns:a16="http://schemas.microsoft.com/office/drawing/2014/main" id="{00000000-0008-0000-2500-000039400000}"/>
            </a:ext>
          </a:extLst>
        </xdr:cNvPr>
        <xdr:cNvSpPr>
          <a:spLocks noChangeShapeType="1"/>
        </xdr:cNvSpPr>
      </xdr:nvSpPr>
      <xdr:spPr bwMode="auto">
        <a:xfrm>
          <a:off x="2887980" y="31013400"/>
          <a:ext cx="22021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609600</xdr:colOff>
      <xdr:row>166</xdr:row>
      <xdr:rowOff>68580</xdr:rowOff>
    </xdr:from>
    <xdr:to>
      <xdr:col>3</xdr:col>
      <xdr:colOff>144780</xdr:colOff>
      <xdr:row>166</xdr:row>
      <xdr:rowOff>129540</xdr:rowOff>
    </xdr:to>
    <xdr:sp macro="" textlink="">
      <xdr:nvSpPr>
        <xdr:cNvPr id="16442" name="Line 58">
          <a:extLst>
            <a:ext uri="{FF2B5EF4-FFF2-40B4-BE49-F238E27FC236}">
              <a16:creationId xmlns:a16="http://schemas.microsoft.com/office/drawing/2014/main" id="{00000000-0008-0000-2500-00003A400000}"/>
            </a:ext>
          </a:extLst>
        </xdr:cNvPr>
        <xdr:cNvSpPr>
          <a:spLocks noChangeShapeType="1"/>
        </xdr:cNvSpPr>
      </xdr:nvSpPr>
      <xdr:spPr bwMode="auto">
        <a:xfrm flipH="1">
          <a:off x="1234440" y="30518100"/>
          <a:ext cx="1021080" cy="609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259080</xdr:colOff>
      <xdr:row>165</xdr:row>
      <xdr:rowOff>15240</xdr:rowOff>
    </xdr:from>
    <xdr:to>
      <xdr:col>3</xdr:col>
      <xdr:colOff>266700</xdr:colOff>
      <xdr:row>168</xdr:row>
      <xdr:rowOff>38100</xdr:rowOff>
    </xdr:to>
    <xdr:sp macro="" textlink="">
      <xdr:nvSpPr>
        <xdr:cNvPr id="16443" name="Line 59">
          <a:extLst>
            <a:ext uri="{FF2B5EF4-FFF2-40B4-BE49-F238E27FC236}">
              <a16:creationId xmlns:a16="http://schemas.microsoft.com/office/drawing/2014/main" id="{00000000-0008-0000-2500-00003B400000}"/>
            </a:ext>
          </a:extLst>
        </xdr:cNvPr>
        <xdr:cNvSpPr>
          <a:spLocks noChangeShapeType="1"/>
        </xdr:cNvSpPr>
      </xdr:nvSpPr>
      <xdr:spPr bwMode="auto">
        <a:xfrm>
          <a:off x="2369820" y="30281880"/>
          <a:ext cx="7620" cy="5715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137160</xdr:colOff>
      <xdr:row>165</xdr:row>
      <xdr:rowOff>15240</xdr:rowOff>
    </xdr:from>
    <xdr:to>
      <xdr:col>5</xdr:col>
      <xdr:colOff>144780</xdr:colOff>
      <xdr:row>168</xdr:row>
      <xdr:rowOff>60960</xdr:rowOff>
    </xdr:to>
    <xdr:sp macro="" textlink="">
      <xdr:nvSpPr>
        <xdr:cNvPr id="16444" name="Line 60">
          <a:extLst>
            <a:ext uri="{FF2B5EF4-FFF2-40B4-BE49-F238E27FC236}">
              <a16:creationId xmlns:a16="http://schemas.microsoft.com/office/drawing/2014/main" id="{00000000-0008-0000-2500-00003C400000}"/>
            </a:ext>
          </a:extLst>
        </xdr:cNvPr>
        <xdr:cNvSpPr>
          <a:spLocks noChangeShapeType="1"/>
        </xdr:cNvSpPr>
      </xdr:nvSpPr>
      <xdr:spPr bwMode="auto">
        <a:xfrm>
          <a:off x="3893820" y="30281880"/>
          <a:ext cx="7620" cy="5943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571500</xdr:colOff>
      <xdr:row>163</xdr:row>
      <xdr:rowOff>91440</xdr:rowOff>
    </xdr:from>
    <xdr:to>
      <xdr:col>3</xdr:col>
      <xdr:colOff>586740</xdr:colOff>
      <xdr:row>165</xdr:row>
      <xdr:rowOff>144780</xdr:rowOff>
    </xdr:to>
    <xdr:sp macro="" textlink="">
      <xdr:nvSpPr>
        <xdr:cNvPr id="16445" name="Line 61">
          <a:extLst>
            <a:ext uri="{FF2B5EF4-FFF2-40B4-BE49-F238E27FC236}">
              <a16:creationId xmlns:a16="http://schemas.microsoft.com/office/drawing/2014/main" id="{00000000-0008-0000-2500-00003D400000}"/>
            </a:ext>
          </a:extLst>
        </xdr:cNvPr>
        <xdr:cNvSpPr>
          <a:spLocks noChangeShapeType="1"/>
        </xdr:cNvSpPr>
      </xdr:nvSpPr>
      <xdr:spPr bwMode="auto">
        <a:xfrm>
          <a:off x="2682240" y="29992320"/>
          <a:ext cx="15240" cy="419100"/>
        </a:xfrm>
        <a:prstGeom prst="line">
          <a:avLst/>
        </a:prstGeom>
        <a:noFill/>
        <a:ln w="12700">
          <a:solidFill>
            <a:srgbClr val="000000"/>
          </a:solidFill>
          <a:prstDash val="lgDashDot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137160</xdr:colOff>
      <xdr:row>166</xdr:row>
      <xdr:rowOff>68580</xdr:rowOff>
    </xdr:from>
    <xdr:to>
      <xdr:col>3</xdr:col>
      <xdr:colOff>259080</xdr:colOff>
      <xdr:row>166</xdr:row>
      <xdr:rowOff>129540</xdr:rowOff>
    </xdr:to>
    <xdr:sp macro="" textlink="">
      <xdr:nvSpPr>
        <xdr:cNvPr id="16446" name="Line 62">
          <a:extLst>
            <a:ext uri="{FF2B5EF4-FFF2-40B4-BE49-F238E27FC236}">
              <a16:creationId xmlns:a16="http://schemas.microsoft.com/office/drawing/2014/main" id="{00000000-0008-0000-2500-00003E400000}"/>
            </a:ext>
          </a:extLst>
        </xdr:cNvPr>
        <xdr:cNvSpPr>
          <a:spLocks noChangeShapeType="1"/>
        </xdr:cNvSpPr>
      </xdr:nvSpPr>
      <xdr:spPr bwMode="auto">
        <a:xfrm>
          <a:off x="2247900" y="30518100"/>
          <a:ext cx="121920" cy="609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99060</xdr:colOff>
      <xdr:row>163</xdr:row>
      <xdr:rowOff>0</xdr:rowOff>
    </xdr:from>
    <xdr:to>
      <xdr:col>4</xdr:col>
      <xdr:colOff>114300</xdr:colOff>
      <xdr:row>164</xdr:row>
      <xdr:rowOff>83820</xdr:rowOff>
    </xdr:to>
    <xdr:sp macro="" textlink="">
      <xdr:nvSpPr>
        <xdr:cNvPr id="16447" name="Line 63">
          <a:extLst>
            <a:ext uri="{FF2B5EF4-FFF2-40B4-BE49-F238E27FC236}">
              <a16:creationId xmlns:a16="http://schemas.microsoft.com/office/drawing/2014/main" id="{00000000-0008-0000-2500-00003F400000}"/>
            </a:ext>
          </a:extLst>
        </xdr:cNvPr>
        <xdr:cNvSpPr>
          <a:spLocks noChangeShapeType="1"/>
        </xdr:cNvSpPr>
      </xdr:nvSpPr>
      <xdr:spPr bwMode="auto">
        <a:xfrm>
          <a:off x="2834640" y="29900880"/>
          <a:ext cx="15240" cy="266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99060</xdr:colOff>
      <xdr:row>165</xdr:row>
      <xdr:rowOff>0</xdr:rowOff>
    </xdr:from>
    <xdr:to>
      <xdr:col>4</xdr:col>
      <xdr:colOff>114300</xdr:colOff>
      <xdr:row>167</xdr:row>
      <xdr:rowOff>15240</xdr:rowOff>
    </xdr:to>
    <xdr:sp macro="" textlink="">
      <xdr:nvSpPr>
        <xdr:cNvPr id="16448" name="Line 64">
          <a:extLst>
            <a:ext uri="{FF2B5EF4-FFF2-40B4-BE49-F238E27FC236}">
              <a16:creationId xmlns:a16="http://schemas.microsoft.com/office/drawing/2014/main" id="{00000000-0008-0000-2500-000040400000}"/>
            </a:ext>
          </a:extLst>
        </xdr:cNvPr>
        <xdr:cNvSpPr>
          <a:spLocks noChangeShapeType="1"/>
        </xdr:cNvSpPr>
      </xdr:nvSpPr>
      <xdr:spPr bwMode="auto">
        <a:xfrm>
          <a:off x="2834640" y="30266640"/>
          <a:ext cx="15240" cy="381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259080</xdr:colOff>
      <xdr:row>166</xdr:row>
      <xdr:rowOff>129540</xdr:rowOff>
    </xdr:from>
    <xdr:to>
      <xdr:col>5</xdr:col>
      <xdr:colOff>121920</xdr:colOff>
      <xdr:row>166</xdr:row>
      <xdr:rowOff>137160</xdr:rowOff>
    </xdr:to>
    <xdr:sp macro="" textlink="">
      <xdr:nvSpPr>
        <xdr:cNvPr id="16449" name="Line 65">
          <a:extLst>
            <a:ext uri="{FF2B5EF4-FFF2-40B4-BE49-F238E27FC236}">
              <a16:creationId xmlns:a16="http://schemas.microsoft.com/office/drawing/2014/main" id="{00000000-0008-0000-2500-000041400000}"/>
            </a:ext>
          </a:extLst>
        </xdr:cNvPr>
        <xdr:cNvSpPr>
          <a:spLocks noChangeShapeType="1"/>
        </xdr:cNvSpPr>
      </xdr:nvSpPr>
      <xdr:spPr bwMode="auto">
        <a:xfrm flipH="1">
          <a:off x="2369820" y="30579060"/>
          <a:ext cx="15087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83820</xdr:colOff>
      <xdr:row>166</xdr:row>
      <xdr:rowOff>68580</xdr:rowOff>
    </xdr:from>
    <xdr:to>
      <xdr:col>5</xdr:col>
      <xdr:colOff>175260</xdr:colOff>
      <xdr:row>166</xdr:row>
      <xdr:rowOff>129540</xdr:rowOff>
    </xdr:to>
    <xdr:sp macro="" textlink="">
      <xdr:nvSpPr>
        <xdr:cNvPr id="16450" name="Line 66">
          <a:extLst>
            <a:ext uri="{FF2B5EF4-FFF2-40B4-BE49-F238E27FC236}">
              <a16:creationId xmlns:a16="http://schemas.microsoft.com/office/drawing/2014/main" id="{00000000-0008-0000-2500-000042400000}"/>
            </a:ext>
          </a:extLst>
        </xdr:cNvPr>
        <xdr:cNvSpPr>
          <a:spLocks noChangeShapeType="1"/>
        </xdr:cNvSpPr>
      </xdr:nvSpPr>
      <xdr:spPr bwMode="auto">
        <a:xfrm>
          <a:off x="3840480" y="30518100"/>
          <a:ext cx="91440" cy="609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91440</xdr:colOff>
      <xdr:row>166</xdr:row>
      <xdr:rowOff>30480</xdr:rowOff>
    </xdr:from>
    <xdr:to>
      <xdr:col>4</xdr:col>
      <xdr:colOff>129540</xdr:colOff>
      <xdr:row>166</xdr:row>
      <xdr:rowOff>144780</xdr:rowOff>
    </xdr:to>
    <xdr:sp macro="" textlink="">
      <xdr:nvSpPr>
        <xdr:cNvPr id="16451" name="Line 67">
          <a:extLst>
            <a:ext uri="{FF2B5EF4-FFF2-40B4-BE49-F238E27FC236}">
              <a16:creationId xmlns:a16="http://schemas.microsoft.com/office/drawing/2014/main" id="{00000000-0008-0000-2500-000043400000}"/>
            </a:ext>
          </a:extLst>
        </xdr:cNvPr>
        <xdr:cNvSpPr>
          <a:spLocks noChangeShapeType="1"/>
        </xdr:cNvSpPr>
      </xdr:nvSpPr>
      <xdr:spPr bwMode="auto">
        <a:xfrm flipV="1">
          <a:off x="2827020" y="30480000"/>
          <a:ext cx="3810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129540</xdr:colOff>
      <xdr:row>165</xdr:row>
      <xdr:rowOff>38100</xdr:rowOff>
    </xdr:from>
    <xdr:to>
      <xdr:col>3</xdr:col>
      <xdr:colOff>251460</xdr:colOff>
      <xdr:row>165</xdr:row>
      <xdr:rowOff>45720</xdr:rowOff>
    </xdr:to>
    <xdr:sp macro="" textlink="">
      <xdr:nvSpPr>
        <xdr:cNvPr id="16452" name="Line 68">
          <a:extLst>
            <a:ext uri="{FF2B5EF4-FFF2-40B4-BE49-F238E27FC236}">
              <a16:creationId xmlns:a16="http://schemas.microsoft.com/office/drawing/2014/main" id="{00000000-0008-0000-2500-000044400000}"/>
            </a:ext>
          </a:extLst>
        </xdr:cNvPr>
        <xdr:cNvSpPr>
          <a:spLocks noChangeShapeType="1"/>
        </xdr:cNvSpPr>
      </xdr:nvSpPr>
      <xdr:spPr bwMode="auto">
        <a:xfrm>
          <a:off x="2240280" y="30304740"/>
          <a:ext cx="1219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571500</xdr:colOff>
      <xdr:row>165</xdr:row>
      <xdr:rowOff>30480</xdr:rowOff>
    </xdr:from>
    <xdr:to>
      <xdr:col>4</xdr:col>
      <xdr:colOff>45720</xdr:colOff>
      <xdr:row>165</xdr:row>
      <xdr:rowOff>38100</xdr:rowOff>
    </xdr:to>
    <xdr:sp macro="" textlink="">
      <xdr:nvSpPr>
        <xdr:cNvPr id="16453" name="Line 69">
          <a:extLst>
            <a:ext uri="{FF2B5EF4-FFF2-40B4-BE49-F238E27FC236}">
              <a16:creationId xmlns:a16="http://schemas.microsoft.com/office/drawing/2014/main" id="{00000000-0008-0000-2500-000045400000}"/>
            </a:ext>
          </a:extLst>
        </xdr:cNvPr>
        <xdr:cNvSpPr>
          <a:spLocks noChangeShapeType="1"/>
        </xdr:cNvSpPr>
      </xdr:nvSpPr>
      <xdr:spPr bwMode="auto">
        <a:xfrm flipH="1">
          <a:off x="2682240" y="30297120"/>
          <a:ext cx="990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259080</xdr:colOff>
      <xdr:row>168</xdr:row>
      <xdr:rowOff>60960</xdr:rowOff>
    </xdr:from>
    <xdr:to>
      <xdr:col>4</xdr:col>
      <xdr:colOff>76200</xdr:colOff>
      <xdr:row>168</xdr:row>
      <xdr:rowOff>114300</xdr:rowOff>
    </xdr:to>
    <xdr:sp macro="" textlink="">
      <xdr:nvSpPr>
        <xdr:cNvPr id="16454" name="Line 70">
          <a:extLst>
            <a:ext uri="{FF2B5EF4-FFF2-40B4-BE49-F238E27FC236}">
              <a16:creationId xmlns:a16="http://schemas.microsoft.com/office/drawing/2014/main" id="{00000000-0008-0000-2500-000046400000}"/>
            </a:ext>
          </a:extLst>
        </xdr:cNvPr>
        <xdr:cNvSpPr>
          <a:spLocks noChangeShapeType="1"/>
        </xdr:cNvSpPr>
      </xdr:nvSpPr>
      <xdr:spPr bwMode="auto">
        <a:xfrm flipH="1">
          <a:off x="2369820" y="30876240"/>
          <a:ext cx="441960" cy="533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76200</xdr:colOff>
      <xdr:row>168</xdr:row>
      <xdr:rowOff>60960</xdr:rowOff>
    </xdr:from>
    <xdr:to>
      <xdr:col>5</xdr:col>
      <xdr:colOff>129540</xdr:colOff>
      <xdr:row>168</xdr:row>
      <xdr:rowOff>114300</xdr:rowOff>
    </xdr:to>
    <xdr:sp macro="" textlink="">
      <xdr:nvSpPr>
        <xdr:cNvPr id="16455" name="Line 71">
          <a:extLst>
            <a:ext uri="{FF2B5EF4-FFF2-40B4-BE49-F238E27FC236}">
              <a16:creationId xmlns:a16="http://schemas.microsoft.com/office/drawing/2014/main" id="{00000000-0008-0000-2500-000047400000}"/>
            </a:ext>
          </a:extLst>
        </xdr:cNvPr>
        <xdr:cNvSpPr>
          <a:spLocks noChangeShapeType="1"/>
        </xdr:cNvSpPr>
      </xdr:nvSpPr>
      <xdr:spPr bwMode="auto">
        <a:xfrm>
          <a:off x="2811780" y="30876240"/>
          <a:ext cx="1074420" cy="533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502920</xdr:colOff>
      <xdr:row>4</xdr:row>
      <xdr:rowOff>144780</xdr:rowOff>
    </xdr:from>
    <xdr:to>
      <xdr:col>2</xdr:col>
      <xdr:colOff>617220</xdr:colOff>
      <xdr:row>5</xdr:row>
      <xdr:rowOff>45720</xdr:rowOff>
    </xdr:to>
    <xdr:sp macro="" textlink="">
      <xdr:nvSpPr>
        <xdr:cNvPr id="17409" name="Line 1">
          <a:extLst>
            <a:ext uri="{FF2B5EF4-FFF2-40B4-BE49-F238E27FC236}">
              <a16:creationId xmlns:a16="http://schemas.microsoft.com/office/drawing/2014/main" id="{00000000-0008-0000-2600-000001440000}"/>
            </a:ext>
          </a:extLst>
        </xdr:cNvPr>
        <xdr:cNvSpPr>
          <a:spLocks noChangeShapeType="1"/>
        </xdr:cNvSpPr>
      </xdr:nvSpPr>
      <xdr:spPr bwMode="auto">
        <a:xfrm>
          <a:off x="777240" y="876300"/>
          <a:ext cx="739140" cy="838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502920</xdr:colOff>
      <xdr:row>5</xdr:row>
      <xdr:rowOff>76200</xdr:rowOff>
    </xdr:from>
    <xdr:to>
      <xdr:col>2</xdr:col>
      <xdr:colOff>609600</xdr:colOff>
      <xdr:row>5</xdr:row>
      <xdr:rowOff>83820</xdr:rowOff>
    </xdr:to>
    <xdr:sp macro="" textlink="">
      <xdr:nvSpPr>
        <xdr:cNvPr id="17410" name="Line 2">
          <a:extLst>
            <a:ext uri="{FF2B5EF4-FFF2-40B4-BE49-F238E27FC236}">
              <a16:creationId xmlns:a16="http://schemas.microsoft.com/office/drawing/2014/main" id="{00000000-0008-0000-2600-000002440000}"/>
            </a:ext>
          </a:extLst>
        </xdr:cNvPr>
        <xdr:cNvSpPr>
          <a:spLocks noChangeShapeType="1"/>
        </xdr:cNvSpPr>
      </xdr:nvSpPr>
      <xdr:spPr bwMode="auto">
        <a:xfrm>
          <a:off x="777240" y="990600"/>
          <a:ext cx="7315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502920</xdr:colOff>
      <xdr:row>5</xdr:row>
      <xdr:rowOff>38100</xdr:rowOff>
    </xdr:from>
    <xdr:to>
      <xdr:col>1</xdr:col>
      <xdr:colOff>518160</xdr:colOff>
      <xdr:row>5</xdr:row>
      <xdr:rowOff>76200</xdr:rowOff>
    </xdr:to>
    <xdr:sp macro="" textlink="">
      <xdr:nvSpPr>
        <xdr:cNvPr id="17411" name="Line 3">
          <a:extLst>
            <a:ext uri="{FF2B5EF4-FFF2-40B4-BE49-F238E27FC236}">
              <a16:creationId xmlns:a16="http://schemas.microsoft.com/office/drawing/2014/main" id="{00000000-0008-0000-2600-000003440000}"/>
            </a:ext>
          </a:extLst>
        </xdr:cNvPr>
        <xdr:cNvSpPr>
          <a:spLocks noChangeShapeType="1"/>
        </xdr:cNvSpPr>
      </xdr:nvSpPr>
      <xdr:spPr bwMode="auto">
        <a:xfrm>
          <a:off x="777240" y="952500"/>
          <a:ext cx="15240" cy="38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617220</xdr:colOff>
      <xdr:row>5</xdr:row>
      <xdr:rowOff>38100</xdr:rowOff>
    </xdr:from>
    <xdr:to>
      <xdr:col>3</xdr:col>
      <xdr:colOff>0</xdr:colOff>
      <xdr:row>5</xdr:row>
      <xdr:rowOff>76200</xdr:rowOff>
    </xdr:to>
    <xdr:sp macro="" textlink="">
      <xdr:nvSpPr>
        <xdr:cNvPr id="17412" name="Line 4">
          <a:extLst>
            <a:ext uri="{FF2B5EF4-FFF2-40B4-BE49-F238E27FC236}">
              <a16:creationId xmlns:a16="http://schemas.microsoft.com/office/drawing/2014/main" id="{00000000-0008-0000-2600-000004440000}"/>
            </a:ext>
          </a:extLst>
        </xdr:cNvPr>
        <xdr:cNvSpPr>
          <a:spLocks noChangeShapeType="1"/>
        </xdr:cNvSpPr>
      </xdr:nvSpPr>
      <xdr:spPr bwMode="auto">
        <a:xfrm>
          <a:off x="1516380" y="952500"/>
          <a:ext cx="7620" cy="38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601980</xdr:colOff>
      <xdr:row>5</xdr:row>
      <xdr:rowOff>76200</xdr:rowOff>
    </xdr:from>
    <xdr:to>
      <xdr:col>1</xdr:col>
      <xdr:colOff>609600</xdr:colOff>
      <xdr:row>13</xdr:row>
      <xdr:rowOff>91440</xdr:rowOff>
    </xdr:to>
    <xdr:sp macro="" textlink="">
      <xdr:nvSpPr>
        <xdr:cNvPr id="17413" name="Line 5">
          <a:extLst>
            <a:ext uri="{FF2B5EF4-FFF2-40B4-BE49-F238E27FC236}">
              <a16:creationId xmlns:a16="http://schemas.microsoft.com/office/drawing/2014/main" id="{00000000-0008-0000-2600-000005440000}"/>
            </a:ext>
          </a:extLst>
        </xdr:cNvPr>
        <xdr:cNvSpPr>
          <a:spLocks noChangeShapeType="1"/>
        </xdr:cNvSpPr>
      </xdr:nvSpPr>
      <xdr:spPr bwMode="auto">
        <a:xfrm>
          <a:off x="876300" y="990600"/>
          <a:ext cx="7620" cy="1752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</xdr:colOff>
      <xdr:row>5</xdr:row>
      <xdr:rowOff>76200</xdr:rowOff>
    </xdr:from>
    <xdr:to>
      <xdr:col>2</xdr:col>
      <xdr:colOff>22860</xdr:colOff>
      <xdr:row>13</xdr:row>
      <xdr:rowOff>91440</xdr:rowOff>
    </xdr:to>
    <xdr:sp macro="" textlink="">
      <xdr:nvSpPr>
        <xdr:cNvPr id="17414" name="Line 6">
          <a:extLst>
            <a:ext uri="{FF2B5EF4-FFF2-40B4-BE49-F238E27FC236}">
              <a16:creationId xmlns:a16="http://schemas.microsoft.com/office/drawing/2014/main" id="{00000000-0008-0000-2600-000006440000}"/>
            </a:ext>
          </a:extLst>
        </xdr:cNvPr>
        <xdr:cNvSpPr>
          <a:spLocks noChangeShapeType="1"/>
        </xdr:cNvSpPr>
      </xdr:nvSpPr>
      <xdr:spPr bwMode="auto">
        <a:xfrm>
          <a:off x="914400" y="990600"/>
          <a:ext cx="7620" cy="1752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563880</xdr:colOff>
      <xdr:row>5</xdr:row>
      <xdr:rowOff>76200</xdr:rowOff>
    </xdr:from>
    <xdr:to>
      <xdr:col>2</xdr:col>
      <xdr:colOff>586740</xdr:colOff>
      <xdr:row>13</xdr:row>
      <xdr:rowOff>91440</xdr:rowOff>
    </xdr:to>
    <xdr:sp macro="" textlink="">
      <xdr:nvSpPr>
        <xdr:cNvPr id="17415" name="Line 7">
          <a:extLst>
            <a:ext uri="{FF2B5EF4-FFF2-40B4-BE49-F238E27FC236}">
              <a16:creationId xmlns:a16="http://schemas.microsoft.com/office/drawing/2014/main" id="{00000000-0008-0000-2600-000007440000}"/>
            </a:ext>
          </a:extLst>
        </xdr:cNvPr>
        <xdr:cNvSpPr>
          <a:spLocks noChangeShapeType="1"/>
        </xdr:cNvSpPr>
      </xdr:nvSpPr>
      <xdr:spPr bwMode="auto">
        <a:xfrm>
          <a:off x="1463040" y="990600"/>
          <a:ext cx="22860" cy="1752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533400</xdr:colOff>
      <xdr:row>5</xdr:row>
      <xdr:rowOff>76200</xdr:rowOff>
    </xdr:from>
    <xdr:to>
      <xdr:col>2</xdr:col>
      <xdr:colOff>541020</xdr:colOff>
      <xdr:row>13</xdr:row>
      <xdr:rowOff>91440</xdr:rowOff>
    </xdr:to>
    <xdr:sp macro="" textlink="">
      <xdr:nvSpPr>
        <xdr:cNvPr id="17416" name="Line 8">
          <a:extLst>
            <a:ext uri="{FF2B5EF4-FFF2-40B4-BE49-F238E27FC236}">
              <a16:creationId xmlns:a16="http://schemas.microsoft.com/office/drawing/2014/main" id="{00000000-0008-0000-2600-000008440000}"/>
            </a:ext>
          </a:extLst>
        </xdr:cNvPr>
        <xdr:cNvSpPr>
          <a:spLocks noChangeShapeType="1"/>
        </xdr:cNvSpPr>
      </xdr:nvSpPr>
      <xdr:spPr bwMode="auto">
        <a:xfrm>
          <a:off x="1432560" y="990600"/>
          <a:ext cx="7620" cy="1752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518160</xdr:colOff>
      <xdr:row>12</xdr:row>
      <xdr:rowOff>198120</xdr:rowOff>
    </xdr:from>
    <xdr:to>
      <xdr:col>2</xdr:col>
      <xdr:colOff>609600</xdr:colOff>
      <xdr:row>13</xdr:row>
      <xdr:rowOff>91440</xdr:rowOff>
    </xdr:to>
    <xdr:sp macro="" textlink="">
      <xdr:nvSpPr>
        <xdr:cNvPr id="17417" name="Line 9">
          <a:extLst>
            <a:ext uri="{FF2B5EF4-FFF2-40B4-BE49-F238E27FC236}">
              <a16:creationId xmlns:a16="http://schemas.microsoft.com/office/drawing/2014/main" id="{00000000-0008-0000-2600-000009440000}"/>
            </a:ext>
          </a:extLst>
        </xdr:cNvPr>
        <xdr:cNvSpPr>
          <a:spLocks noChangeShapeType="1"/>
        </xdr:cNvSpPr>
      </xdr:nvSpPr>
      <xdr:spPr bwMode="auto">
        <a:xfrm>
          <a:off x="792480" y="2644140"/>
          <a:ext cx="716280" cy="990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518160</xdr:colOff>
      <xdr:row>13</xdr:row>
      <xdr:rowOff>114300</xdr:rowOff>
    </xdr:from>
    <xdr:to>
      <xdr:col>2</xdr:col>
      <xdr:colOff>609600</xdr:colOff>
      <xdr:row>13</xdr:row>
      <xdr:rowOff>121920</xdr:rowOff>
    </xdr:to>
    <xdr:sp macro="" textlink="">
      <xdr:nvSpPr>
        <xdr:cNvPr id="17418" name="Line 10">
          <a:extLst>
            <a:ext uri="{FF2B5EF4-FFF2-40B4-BE49-F238E27FC236}">
              <a16:creationId xmlns:a16="http://schemas.microsoft.com/office/drawing/2014/main" id="{00000000-0008-0000-2600-00000A440000}"/>
            </a:ext>
          </a:extLst>
        </xdr:cNvPr>
        <xdr:cNvSpPr>
          <a:spLocks noChangeShapeType="1"/>
        </xdr:cNvSpPr>
      </xdr:nvSpPr>
      <xdr:spPr bwMode="auto">
        <a:xfrm>
          <a:off x="792480" y="2766060"/>
          <a:ext cx="7162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502920</xdr:colOff>
      <xdr:row>13</xdr:row>
      <xdr:rowOff>76200</xdr:rowOff>
    </xdr:from>
    <xdr:to>
      <xdr:col>1</xdr:col>
      <xdr:colOff>518160</xdr:colOff>
      <xdr:row>13</xdr:row>
      <xdr:rowOff>114300</xdr:rowOff>
    </xdr:to>
    <xdr:sp macro="" textlink="">
      <xdr:nvSpPr>
        <xdr:cNvPr id="17419" name="Line 11">
          <a:extLst>
            <a:ext uri="{FF2B5EF4-FFF2-40B4-BE49-F238E27FC236}">
              <a16:creationId xmlns:a16="http://schemas.microsoft.com/office/drawing/2014/main" id="{00000000-0008-0000-2600-00000B440000}"/>
            </a:ext>
          </a:extLst>
        </xdr:cNvPr>
        <xdr:cNvSpPr>
          <a:spLocks noChangeShapeType="1"/>
        </xdr:cNvSpPr>
      </xdr:nvSpPr>
      <xdr:spPr bwMode="auto">
        <a:xfrm>
          <a:off x="777240" y="2727960"/>
          <a:ext cx="15240" cy="38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609600</xdr:colOff>
      <xdr:row>13</xdr:row>
      <xdr:rowOff>76200</xdr:rowOff>
    </xdr:from>
    <xdr:to>
      <xdr:col>2</xdr:col>
      <xdr:colOff>617220</xdr:colOff>
      <xdr:row>13</xdr:row>
      <xdr:rowOff>114300</xdr:rowOff>
    </xdr:to>
    <xdr:sp macro="" textlink="">
      <xdr:nvSpPr>
        <xdr:cNvPr id="17420" name="Line 12">
          <a:extLst>
            <a:ext uri="{FF2B5EF4-FFF2-40B4-BE49-F238E27FC236}">
              <a16:creationId xmlns:a16="http://schemas.microsoft.com/office/drawing/2014/main" id="{00000000-0008-0000-2600-00000C440000}"/>
            </a:ext>
          </a:extLst>
        </xdr:cNvPr>
        <xdr:cNvSpPr>
          <a:spLocks noChangeShapeType="1"/>
        </xdr:cNvSpPr>
      </xdr:nvSpPr>
      <xdr:spPr bwMode="auto">
        <a:xfrm>
          <a:off x="1508760" y="2727960"/>
          <a:ext cx="7620" cy="38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167640</xdr:colOff>
      <xdr:row>4</xdr:row>
      <xdr:rowOff>144780</xdr:rowOff>
    </xdr:from>
    <xdr:to>
      <xdr:col>1</xdr:col>
      <xdr:colOff>403860</xdr:colOff>
      <xdr:row>5</xdr:row>
      <xdr:rowOff>45720</xdr:rowOff>
    </xdr:to>
    <xdr:sp macro="" textlink="">
      <xdr:nvSpPr>
        <xdr:cNvPr id="17421" name="Line 13">
          <a:extLst>
            <a:ext uri="{FF2B5EF4-FFF2-40B4-BE49-F238E27FC236}">
              <a16:creationId xmlns:a16="http://schemas.microsoft.com/office/drawing/2014/main" id="{00000000-0008-0000-2600-00000D440000}"/>
            </a:ext>
          </a:extLst>
        </xdr:cNvPr>
        <xdr:cNvSpPr>
          <a:spLocks noChangeShapeType="1"/>
        </xdr:cNvSpPr>
      </xdr:nvSpPr>
      <xdr:spPr bwMode="auto">
        <a:xfrm>
          <a:off x="441960" y="876300"/>
          <a:ext cx="236220" cy="838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167640</xdr:colOff>
      <xdr:row>5</xdr:row>
      <xdr:rowOff>76200</xdr:rowOff>
    </xdr:from>
    <xdr:to>
      <xdr:col>1</xdr:col>
      <xdr:colOff>396240</xdr:colOff>
      <xdr:row>5</xdr:row>
      <xdr:rowOff>83820</xdr:rowOff>
    </xdr:to>
    <xdr:sp macro="" textlink="">
      <xdr:nvSpPr>
        <xdr:cNvPr id="17422" name="Line 14">
          <a:extLst>
            <a:ext uri="{FF2B5EF4-FFF2-40B4-BE49-F238E27FC236}">
              <a16:creationId xmlns:a16="http://schemas.microsoft.com/office/drawing/2014/main" id="{00000000-0008-0000-2600-00000E440000}"/>
            </a:ext>
          </a:extLst>
        </xdr:cNvPr>
        <xdr:cNvSpPr>
          <a:spLocks noChangeShapeType="1"/>
        </xdr:cNvSpPr>
      </xdr:nvSpPr>
      <xdr:spPr bwMode="auto">
        <a:xfrm flipH="1">
          <a:off x="441960" y="990600"/>
          <a:ext cx="2286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259080</xdr:colOff>
      <xdr:row>5</xdr:row>
      <xdr:rowOff>76200</xdr:rowOff>
    </xdr:from>
    <xdr:to>
      <xdr:col>1</xdr:col>
      <xdr:colOff>266700</xdr:colOff>
      <xdr:row>8</xdr:row>
      <xdr:rowOff>0</xdr:rowOff>
    </xdr:to>
    <xdr:sp macro="" textlink="">
      <xdr:nvSpPr>
        <xdr:cNvPr id="17423" name="Line 15">
          <a:extLst>
            <a:ext uri="{FF2B5EF4-FFF2-40B4-BE49-F238E27FC236}">
              <a16:creationId xmlns:a16="http://schemas.microsoft.com/office/drawing/2014/main" id="{00000000-0008-0000-2600-00000F440000}"/>
            </a:ext>
          </a:extLst>
        </xdr:cNvPr>
        <xdr:cNvSpPr>
          <a:spLocks noChangeShapeType="1"/>
        </xdr:cNvSpPr>
      </xdr:nvSpPr>
      <xdr:spPr bwMode="auto">
        <a:xfrm flipV="1">
          <a:off x="533400" y="990600"/>
          <a:ext cx="7620" cy="495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259080</xdr:colOff>
      <xdr:row>3</xdr:row>
      <xdr:rowOff>114300</xdr:rowOff>
    </xdr:from>
    <xdr:to>
      <xdr:col>1</xdr:col>
      <xdr:colOff>266700</xdr:colOff>
      <xdr:row>4</xdr:row>
      <xdr:rowOff>144780</xdr:rowOff>
    </xdr:to>
    <xdr:sp macro="" textlink="">
      <xdr:nvSpPr>
        <xdr:cNvPr id="17424" name="Line 16">
          <a:extLst>
            <a:ext uri="{FF2B5EF4-FFF2-40B4-BE49-F238E27FC236}">
              <a16:creationId xmlns:a16="http://schemas.microsoft.com/office/drawing/2014/main" id="{00000000-0008-0000-2600-000010440000}"/>
            </a:ext>
          </a:extLst>
        </xdr:cNvPr>
        <xdr:cNvSpPr>
          <a:spLocks noChangeShapeType="1"/>
        </xdr:cNvSpPr>
      </xdr:nvSpPr>
      <xdr:spPr bwMode="auto">
        <a:xfrm>
          <a:off x="533400" y="662940"/>
          <a:ext cx="7620" cy="2133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502920</xdr:colOff>
      <xdr:row>3</xdr:row>
      <xdr:rowOff>114300</xdr:rowOff>
    </xdr:from>
    <xdr:to>
      <xdr:col>1</xdr:col>
      <xdr:colOff>518160</xdr:colOff>
      <xdr:row>4</xdr:row>
      <xdr:rowOff>106680</xdr:rowOff>
    </xdr:to>
    <xdr:sp macro="" textlink="">
      <xdr:nvSpPr>
        <xdr:cNvPr id="17425" name="Line 17">
          <a:extLst>
            <a:ext uri="{FF2B5EF4-FFF2-40B4-BE49-F238E27FC236}">
              <a16:creationId xmlns:a16="http://schemas.microsoft.com/office/drawing/2014/main" id="{00000000-0008-0000-2600-000011440000}"/>
            </a:ext>
          </a:extLst>
        </xdr:cNvPr>
        <xdr:cNvSpPr>
          <a:spLocks noChangeShapeType="1"/>
        </xdr:cNvSpPr>
      </xdr:nvSpPr>
      <xdr:spPr bwMode="auto">
        <a:xfrm flipV="1">
          <a:off x="777240" y="662940"/>
          <a:ext cx="15240" cy="1752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617220</xdr:colOff>
      <xdr:row>3</xdr:row>
      <xdr:rowOff>129540</xdr:rowOff>
    </xdr:from>
    <xdr:to>
      <xdr:col>3</xdr:col>
      <xdr:colOff>0</xdr:colOff>
      <xdr:row>4</xdr:row>
      <xdr:rowOff>121920</xdr:rowOff>
    </xdr:to>
    <xdr:sp macro="" textlink="">
      <xdr:nvSpPr>
        <xdr:cNvPr id="17426" name="Line 18">
          <a:extLst>
            <a:ext uri="{FF2B5EF4-FFF2-40B4-BE49-F238E27FC236}">
              <a16:creationId xmlns:a16="http://schemas.microsoft.com/office/drawing/2014/main" id="{00000000-0008-0000-2600-000012440000}"/>
            </a:ext>
          </a:extLst>
        </xdr:cNvPr>
        <xdr:cNvSpPr>
          <a:spLocks noChangeShapeType="1"/>
        </xdr:cNvSpPr>
      </xdr:nvSpPr>
      <xdr:spPr bwMode="auto">
        <a:xfrm flipV="1">
          <a:off x="1516380" y="678180"/>
          <a:ext cx="7620" cy="1752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502920</xdr:colOff>
      <xdr:row>4</xdr:row>
      <xdr:rowOff>76200</xdr:rowOff>
    </xdr:from>
    <xdr:to>
      <xdr:col>2</xdr:col>
      <xdr:colOff>60960</xdr:colOff>
      <xdr:row>4</xdr:row>
      <xdr:rowOff>83820</xdr:rowOff>
    </xdr:to>
    <xdr:sp macro="" textlink="">
      <xdr:nvSpPr>
        <xdr:cNvPr id="17427" name="Line 19">
          <a:extLst>
            <a:ext uri="{FF2B5EF4-FFF2-40B4-BE49-F238E27FC236}">
              <a16:creationId xmlns:a16="http://schemas.microsoft.com/office/drawing/2014/main" id="{00000000-0008-0000-2600-000013440000}"/>
            </a:ext>
          </a:extLst>
        </xdr:cNvPr>
        <xdr:cNvSpPr>
          <a:spLocks noChangeShapeType="1"/>
        </xdr:cNvSpPr>
      </xdr:nvSpPr>
      <xdr:spPr bwMode="auto">
        <a:xfrm flipH="1">
          <a:off x="777240" y="807720"/>
          <a:ext cx="1828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335280</xdr:colOff>
      <xdr:row>4</xdr:row>
      <xdr:rowOff>76200</xdr:rowOff>
    </xdr:from>
    <xdr:to>
      <xdr:col>2</xdr:col>
      <xdr:colOff>617220</xdr:colOff>
      <xdr:row>4</xdr:row>
      <xdr:rowOff>83820</xdr:rowOff>
    </xdr:to>
    <xdr:sp macro="" textlink="">
      <xdr:nvSpPr>
        <xdr:cNvPr id="17428" name="Line 20">
          <a:extLst>
            <a:ext uri="{FF2B5EF4-FFF2-40B4-BE49-F238E27FC236}">
              <a16:creationId xmlns:a16="http://schemas.microsoft.com/office/drawing/2014/main" id="{00000000-0008-0000-2600-000014440000}"/>
            </a:ext>
          </a:extLst>
        </xdr:cNvPr>
        <xdr:cNvSpPr>
          <a:spLocks noChangeShapeType="1"/>
        </xdr:cNvSpPr>
      </xdr:nvSpPr>
      <xdr:spPr bwMode="auto">
        <a:xfrm>
          <a:off x="1234440" y="807720"/>
          <a:ext cx="28194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586740</xdr:colOff>
      <xdr:row>8</xdr:row>
      <xdr:rowOff>30480</xdr:rowOff>
    </xdr:from>
    <xdr:to>
      <xdr:col>3</xdr:col>
      <xdr:colOff>7620</xdr:colOff>
      <xdr:row>8</xdr:row>
      <xdr:rowOff>68580</xdr:rowOff>
    </xdr:to>
    <xdr:sp macro="" textlink="">
      <xdr:nvSpPr>
        <xdr:cNvPr id="17429" name="Line 21">
          <a:extLst>
            <a:ext uri="{FF2B5EF4-FFF2-40B4-BE49-F238E27FC236}">
              <a16:creationId xmlns:a16="http://schemas.microsoft.com/office/drawing/2014/main" id="{00000000-0008-0000-2600-000015440000}"/>
            </a:ext>
          </a:extLst>
        </xdr:cNvPr>
        <xdr:cNvSpPr>
          <a:spLocks noChangeShapeType="1"/>
        </xdr:cNvSpPr>
      </xdr:nvSpPr>
      <xdr:spPr bwMode="auto">
        <a:xfrm flipH="1">
          <a:off x="1485900" y="1516380"/>
          <a:ext cx="45720" cy="38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381000</xdr:colOff>
      <xdr:row>8</xdr:row>
      <xdr:rowOff>30480</xdr:rowOff>
    </xdr:from>
    <xdr:to>
      <xdr:col>2</xdr:col>
      <xdr:colOff>533400</xdr:colOff>
      <xdr:row>8</xdr:row>
      <xdr:rowOff>68580</xdr:rowOff>
    </xdr:to>
    <xdr:sp macro="" textlink="">
      <xdr:nvSpPr>
        <xdr:cNvPr id="17430" name="Line 22">
          <a:extLst>
            <a:ext uri="{FF2B5EF4-FFF2-40B4-BE49-F238E27FC236}">
              <a16:creationId xmlns:a16="http://schemas.microsoft.com/office/drawing/2014/main" id="{00000000-0008-0000-2600-000016440000}"/>
            </a:ext>
          </a:extLst>
        </xdr:cNvPr>
        <xdr:cNvSpPr>
          <a:spLocks noChangeShapeType="1"/>
        </xdr:cNvSpPr>
      </xdr:nvSpPr>
      <xdr:spPr bwMode="auto">
        <a:xfrm>
          <a:off x="1280160" y="1516380"/>
          <a:ext cx="152400" cy="38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</xdr:colOff>
      <xdr:row>8</xdr:row>
      <xdr:rowOff>30480</xdr:rowOff>
    </xdr:from>
    <xdr:to>
      <xdr:col>2</xdr:col>
      <xdr:colOff>198120</xdr:colOff>
      <xdr:row>8</xdr:row>
      <xdr:rowOff>68580</xdr:rowOff>
    </xdr:to>
    <xdr:sp macro="" textlink="">
      <xdr:nvSpPr>
        <xdr:cNvPr id="17431" name="Line 23">
          <a:extLst>
            <a:ext uri="{FF2B5EF4-FFF2-40B4-BE49-F238E27FC236}">
              <a16:creationId xmlns:a16="http://schemas.microsoft.com/office/drawing/2014/main" id="{00000000-0008-0000-2600-000017440000}"/>
            </a:ext>
          </a:extLst>
        </xdr:cNvPr>
        <xdr:cNvSpPr>
          <a:spLocks noChangeShapeType="1"/>
        </xdr:cNvSpPr>
      </xdr:nvSpPr>
      <xdr:spPr bwMode="auto">
        <a:xfrm flipH="1">
          <a:off x="914400" y="1516380"/>
          <a:ext cx="182880" cy="38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403860</xdr:colOff>
      <xdr:row>8</xdr:row>
      <xdr:rowOff>30480</xdr:rowOff>
    </xdr:from>
    <xdr:to>
      <xdr:col>1</xdr:col>
      <xdr:colOff>556260</xdr:colOff>
      <xdr:row>8</xdr:row>
      <xdr:rowOff>68580</xdr:rowOff>
    </xdr:to>
    <xdr:sp macro="" textlink="">
      <xdr:nvSpPr>
        <xdr:cNvPr id="17432" name="Line 24">
          <a:extLst>
            <a:ext uri="{FF2B5EF4-FFF2-40B4-BE49-F238E27FC236}">
              <a16:creationId xmlns:a16="http://schemas.microsoft.com/office/drawing/2014/main" id="{00000000-0008-0000-2600-000018440000}"/>
            </a:ext>
          </a:extLst>
        </xdr:cNvPr>
        <xdr:cNvSpPr>
          <a:spLocks noChangeShapeType="1"/>
        </xdr:cNvSpPr>
      </xdr:nvSpPr>
      <xdr:spPr bwMode="auto">
        <a:xfrm>
          <a:off x="678180" y="1516380"/>
          <a:ext cx="152400" cy="38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167640</xdr:colOff>
      <xdr:row>12</xdr:row>
      <xdr:rowOff>198120</xdr:rowOff>
    </xdr:from>
    <xdr:to>
      <xdr:col>1</xdr:col>
      <xdr:colOff>373380</xdr:colOff>
      <xdr:row>13</xdr:row>
      <xdr:rowOff>91440</xdr:rowOff>
    </xdr:to>
    <xdr:sp macro="" textlink="">
      <xdr:nvSpPr>
        <xdr:cNvPr id="17433" name="Line 25">
          <a:extLst>
            <a:ext uri="{FF2B5EF4-FFF2-40B4-BE49-F238E27FC236}">
              <a16:creationId xmlns:a16="http://schemas.microsoft.com/office/drawing/2014/main" id="{00000000-0008-0000-2600-000019440000}"/>
            </a:ext>
          </a:extLst>
        </xdr:cNvPr>
        <xdr:cNvSpPr>
          <a:spLocks noChangeShapeType="1"/>
        </xdr:cNvSpPr>
      </xdr:nvSpPr>
      <xdr:spPr bwMode="auto">
        <a:xfrm flipH="1">
          <a:off x="441960" y="2644140"/>
          <a:ext cx="205740" cy="990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182880</xdr:colOff>
      <xdr:row>13</xdr:row>
      <xdr:rowOff>114300</xdr:rowOff>
    </xdr:from>
    <xdr:to>
      <xdr:col>1</xdr:col>
      <xdr:colOff>373380</xdr:colOff>
      <xdr:row>13</xdr:row>
      <xdr:rowOff>121920</xdr:rowOff>
    </xdr:to>
    <xdr:sp macro="" textlink="">
      <xdr:nvSpPr>
        <xdr:cNvPr id="17434" name="Line 26">
          <a:extLst>
            <a:ext uri="{FF2B5EF4-FFF2-40B4-BE49-F238E27FC236}">
              <a16:creationId xmlns:a16="http://schemas.microsoft.com/office/drawing/2014/main" id="{00000000-0008-0000-2600-00001A440000}"/>
            </a:ext>
          </a:extLst>
        </xdr:cNvPr>
        <xdr:cNvSpPr>
          <a:spLocks noChangeShapeType="1"/>
        </xdr:cNvSpPr>
      </xdr:nvSpPr>
      <xdr:spPr bwMode="auto">
        <a:xfrm flipH="1">
          <a:off x="457200" y="2766060"/>
          <a:ext cx="1905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259080</xdr:colOff>
      <xdr:row>9</xdr:row>
      <xdr:rowOff>114300</xdr:rowOff>
    </xdr:from>
    <xdr:to>
      <xdr:col>1</xdr:col>
      <xdr:colOff>266700</xdr:colOff>
      <xdr:row>13</xdr:row>
      <xdr:rowOff>91440</xdr:rowOff>
    </xdr:to>
    <xdr:sp macro="" textlink="">
      <xdr:nvSpPr>
        <xdr:cNvPr id="17435" name="Line 27">
          <a:extLst>
            <a:ext uri="{FF2B5EF4-FFF2-40B4-BE49-F238E27FC236}">
              <a16:creationId xmlns:a16="http://schemas.microsoft.com/office/drawing/2014/main" id="{00000000-0008-0000-2600-00001B440000}"/>
            </a:ext>
          </a:extLst>
        </xdr:cNvPr>
        <xdr:cNvSpPr>
          <a:spLocks noChangeShapeType="1"/>
        </xdr:cNvSpPr>
      </xdr:nvSpPr>
      <xdr:spPr bwMode="auto">
        <a:xfrm>
          <a:off x="533400" y="1943100"/>
          <a:ext cx="7620" cy="800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259080</xdr:colOff>
      <xdr:row>13</xdr:row>
      <xdr:rowOff>121920</xdr:rowOff>
    </xdr:from>
    <xdr:to>
      <xdr:col>1</xdr:col>
      <xdr:colOff>266700</xdr:colOff>
      <xdr:row>14</xdr:row>
      <xdr:rowOff>91440</xdr:rowOff>
    </xdr:to>
    <xdr:sp macro="" textlink="">
      <xdr:nvSpPr>
        <xdr:cNvPr id="17436" name="Line 28">
          <a:extLst>
            <a:ext uri="{FF2B5EF4-FFF2-40B4-BE49-F238E27FC236}">
              <a16:creationId xmlns:a16="http://schemas.microsoft.com/office/drawing/2014/main" id="{00000000-0008-0000-2600-00001C440000}"/>
            </a:ext>
          </a:extLst>
        </xdr:cNvPr>
        <xdr:cNvSpPr>
          <a:spLocks noChangeShapeType="1"/>
        </xdr:cNvSpPr>
      </xdr:nvSpPr>
      <xdr:spPr bwMode="auto">
        <a:xfrm flipV="1">
          <a:off x="533400" y="2773680"/>
          <a:ext cx="7620" cy="1752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15240</xdr:colOff>
      <xdr:row>5</xdr:row>
      <xdr:rowOff>45720</xdr:rowOff>
    </xdr:from>
    <xdr:to>
      <xdr:col>3</xdr:col>
      <xdr:colOff>617220</xdr:colOff>
      <xdr:row>5</xdr:row>
      <xdr:rowOff>53340</xdr:rowOff>
    </xdr:to>
    <xdr:sp macro="" textlink="">
      <xdr:nvSpPr>
        <xdr:cNvPr id="17437" name="Line 29">
          <a:extLst>
            <a:ext uri="{FF2B5EF4-FFF2-40B4-BE49-F238E27FC236}">
              <a16:creationId xmlns:a16="http://schemas.microsoft.com/office/drawing/2014/main" id="{00000000-0008-0000-2600-00001D440000}"/>
            </a:ext>
          </a:extLst>
        </xdr:cNvPr>
        <xdr:cNvSpPr>
          <a:spLocks noChangeShapeType="1"/>
        </xdr:cNvSpPr>
      </xdr:nvSpPr>
      <xdr:spPr bwMode="auto">
        <a:xfrm>
          <a:off x="1539240" y="960120"/>
          <a:ext cx="60198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7620</xdr:colOff>
      <xdr:row>13</xdr:row>
      <xdr:rowOff>114300</xdr:rowOff>
    </xdr:from>
    <xdr:to>
      <xdr:col>3</xdr:col>
      <xdr:colOff>617220</xdr:colOff>
      <xdr:row>13</xdr:row>
      <xdr:rowOff>121920</xdr:rowOff>
    </xdr:to>
    <xdr:sp macro="" textlink="">
      <xdr:nvSpPr>
        <xdr:cNvPr id="17438" name="Line 30">
          <a:extLst>
            <a:ext uri="{FF2B5EF4-FFF2-40B4-BE49-F238E27FC236}">
              <a16:creationId xmlns:a16="http://schemas.microsoft.com/office/drawing/2014/main" id="{00000000-0008-0000-2600-00001E440000}"/>
            </a:ext>
          </a:extLst>
        </xdr:cNvPr>
        <xdr:cNvSpPr>
          <a:spLocks noChangeShapeType="1"/>
        </xdr:cNvSpPr>
      </xdr:nvSpPr>
      <xdr:spPr bwMode="auto">
        <a:xfrm>
          <a:off x="1531620" y="2766060"/>
          <a:ext cx="60960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60960</xdr:colOff>
      <xdr:row>5</xdr:row>
      <xdr:rowOff>53340</xdr:rowOff>
    </xdr:from>
    <xdr:to>
      <xdr:col>3</xdr:col>
      <xdr:colOff>68580</xdr:colOff>
      <xdr:row>8</xdr:row>
      <xdr:rowOff>0</xdr:rowOff>
    </xdr:to>
    <xdr:sp macro="" textlink="">
      <xdr:nvSpPr>
        <xdr:cNvPr id="17439" name="Line 31">
          <a:extLst>
            <a:ext uri="{FF2B5EF4-FFF2-40B4-BE49-F238E27FC236}">
              <a16:creationId xmlns:a16="http://schemas.microsoft.com/office/drawing/2014/main" id="{00000000-0008-0000-2600-00001F440000}"/>
            </a:ext>
          </a:extLst>
        </xdr:cNvPr>
        <xdr:cNvSpPr>
          <a:spLocks noChangeShapeType="1"/>
        </xdr:cNvSpPr>
      </xdr:nvSpPr>
      <xdr:spPr bwMode="auto">
        <a:xfrm flipV="1">
          <a:off x="1584960" y="967740"/>
          <a:ext cx="7620" cy="5181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60960</xdr:colOff>
      <xdr:row>9</xdr:row>
      <xdr:rowOff>60960</xdr:rowOff>
    </xdr:from>
    <xdr:to>
      <xdr:col>3</xdr:col>
      <xdr:colOff>68580</xdr:colOff>
      <xdr:row>13</xdr:row>
      <xdr:rowOff>114300</xdr:rowOff>
    </xdr:to>
    <xdr:sp macro="" textlink="">
      <xdr:nvSpPr>
        <xdr:cNvPr id="17440" name="Line 32">
          <a:extLst>
            <a:ext uri="{FF2B5EF4-FFF2-40B4-BE49-F238E27FC236}">
              <a16:creationId xmlns:a16="http://schemas.microsoft.com/office/drawing/2014/main" id="{00000000-0008-0000-2600-000020440000}"/>
            </a:ext>
          </a:extLst>
        </xdr:cNvPr>
        <xdr:cNvSpPr>
          <a:spLocks noChangeShapeType="1"/>
        </xdr:cNvSpPr>
      </xdr:nvSpPr>
      <xdr:spPr bwMode="auto">
        <a:xfrm>
          <a:off x="1584960" y="1889760"/>
          <a:ext cx="7620" cy="876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144780</xdr:colOff>
      <xdr:row>9</xdr:row>
      <xdr:rowOff>53340</xdr:rowOff>
    </xdr:from>
    <xdr:to>
      <xdr:col>3</xdr:col>
      <xdr:colOff>609600</xdr:colOff>
      <xdr:row>9</xdr:row>
      <xdr:rowOff>60960</xdr:rowOff>
    </xdr:to>
    <xdr:sp macro="" textlink="">
      <xdr:nvSpPr>
        <xdr:cNvPr id="17441" name="Line 33">
          <a:extLst>
            <a:ext uri="{FF2B5EF4-FFF2-40B4-BE49-F238E27FC236}">
              <a16:creationId xmlns:a16="http://schemas.microsoft.com/office/drawing/2014/main" id="{00000000-0008-0000-2600-000021440000}"/>
            </a:ext>
          </a:extLst>
        </xdr:cNvPr>
        <xdr:cNvSpPr>
          <a:spLocks noChangeShapeType="1"/>
        </xdr:cNvSpPr>
      </xdr:nvSpPr>
      <xdr:spPr bwMode="auto">
        <a:xfrm>
          <a:off x="419100" y="1882140"/>
          <a:ext cx="1714500" cy="7620"/>
        </a:xfrm>
        <a:prstGeom prst="line">
          <a:avLst/>
        </a:prstGeom>
        <a:noFill/>
        <a:ln w="0">
          <a:solidFill>
            <a:srgbClr val="0000FF"/>
          </a:solidFill>
          <a:prstDash val="lgDashDot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190500</xdr:colOff>
      <xdr:row>9</xdr:row>
      <xdr:rowOff>53340</xdr:rowOff>
    </xdr:from>
    <xdr:to>
      <xdr:col>3</xdr:col>
      <xdr:colOff>198120</xdr:colOff>
      <xdr:row>10</xdr:row>
      <xdr:rowOff>68580</xdr:rowOff>
    </xdr:to>
    <xdr:sp macro="" textlink="">
      <xdr:nvSpPr>
        <xdr:cNvPr id="17442" name="Line 34">
          <a:extLst>
            <a:ext uri="{FF2B5EF4-FFF2-40B4-BE49-F238E27FC236}">
              <a16:creationId xmlns:a16="http://schemas.microsoft.com/office/drawing/2014/main" id="{00000000-0008-0000-2600-000022440000}"/>
            </a:ext>
          </a:extLst>
        </xdr:cNvPr>
        <xdr:cNvSpPr>
          <a:spLocks noChangeShapeType="1"/>
        </xdr:cNvSpPr>
      </xdr:nvSpPr>
      <xdr:spPr bwMode="auto">
        <a:xfrm flipV="1">
          <a:off x="1714500" y="1882140"/>
          <a:ext cx="7620" cy="2209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190500</xdr:colOff>
      <xdr:row>8</xdr:row>
      <xdr:rowOff>53340</xdr:rowOff>
    </xdr:from>
    <xdr:to>
      <xdr:col>3</xdr:col>
      <xdr:colOff>198120</xdr:colOff>
      <xdr:row>9</xdr:row>
      <xdr:rowOff>76200</xdr:rowOff>
    </xdr:to>
    <xdr:sp macro="" textlink="">
      <xdr:nvSpPr>
        <xdr:cNvPr id="17443" name="Line 35">
          <a:extLst>
            <a:ext uri="{FF2B5EF4-FFF2-40B4-BE49-F238E27FC236}">
              <a16:creationId xmlns:a16="http://schemas.microsoft.com/office/drawing/2014/main" id="{00000000-0008-0000-2600-000023440000}"/>
            </a:ext>
          </a:extLst>
        </xdr:cNvPr>
        <xdr:cNvSpPr>
          <a:spLocks noChangeShapeType="1"/>
        </xdr:cNvSpPr>
      </xdr:nvSpPr>
      <xdr:spPr bwMode="auto">
        <a:xfrm>
          <a:off x="1714500" y="1539240"/>
          <a:ext cx="7620" cy="3657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198120</xdr:colOff>
      <xdr:row>4</xdr:row>
      <xdr:rowOff>144780</xdr:rowOff>
    </xdr:from>
    <xdr:to>
      <xdr:col>3</xdr:col>
      <xdr:colOff>213360</xdr:colOff>
      <xdr:row>6</xdr:row>
      <xdr:rowOff>160020</xdr:rowOff>
    </xdr:to>
    <xdr:sp macro="" textlink="">
      <xdr:nvSpPr>
        <xdr:cNvPr id="17444" name="Line 36">
          <a:extLst>
            <a:ext uri="{FF2B5EF4-FFF2-40B4-BE49-F238E27FC236}">
              <a16:creationId xmlns:a16="http://schemas.microsoft.com/office/drawing/2014/main" id="{00000000-0008-0000-2600-000024440000}"/>
            </a:ext>
          </a:extLst>
        </xdr:cNvPr>
        <xdr:cNvSpPr>
          <a:spLocks noChangeShapeType="1"/>
        </xdr:cNvSpPr>
      </xdr:nvSpPr>
      <xdr:spPr bwMode="auto">
        <a:xfrm flipV="1">
          <a:off x="1722120" y="876300"/>
          <a:ext cx="15240" cy="381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190500</xdr:colOff>
      <xdr:row>11</xdr:row>
      <xdr:rowOff>91440</xdr:rowOff>
    </xdr:from>
    <xdr:to>
      <xdr:col>3</xdr:col>
      <xdr:colOff>198120</xdr:colOff>
      <xdr:row>13</xdr:row>
      <xdr:rowOff>106680</xdr:rowOff>
    </xdr:to>
    <xdr:sp macro="" textlink="">
      <xdr:nvSpPr>
        <xdr:cNvPr id="17445" name="Line 37">
          <a:extLst>
            <a:ext uri="{FF2B5EF4-FFF2-40B4-BE49-F238E27FC236}">
              <a16:creationId xmlns:a16="http://schemas.microsoft.com/office/drawing/2014/main" id="{00000000-0008-0000-2600-000025440000}"/>
            </a:ext>
          </a:extLst>
        </xdr:cNvPr>
        <xdr:cNvSpPr>
          <a:spLocks noChangeShapeType="1"/>
        </xdr:cNvSpPr>
      </xdr:nvSpPr>
      <xdr:spPr bwMode="auto">
        <a:xfrm>
          <a:off x="1714500" y="2331720"/>
          <a:ext cx="7620" cy="4267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556260</xdr:colOff>
      <xdr:row>30</xdr:row>
      <xdr:rowOff>144780</xdr:rowOff>
    </xdr:from>
    <xdr:to>
      <xdr:col>6</xdr:col>
      <xdr:colOff>510540</xdr:colOff>
      <xdr:row>31</xdr:row>
      <xdr:rowOff>22860</xdr:rowOff>
    </xdr:to>
    <xdr:sp macro="" textlink="">
      <xdr:nvSpPr>
        <xdr:cNvPr id="17446" name="Line 38">
          <a:extLst>
            <a:ext uri="{FF2B5EF4-FFF2-40B4-BE49-F238E27FC236}">
              <a16:creationId xmlns:a16="http://schemas.microsoft.com/office/drawing/2014/main" id="{00000000-0008-0000-2600-000026440000}"/>
            </a:ext>
          </a:extLst>
        </xdr:cNvPr>
        <xdr:cNvSpPr>
          <a:spLocks noChangeShapeType="1"/>
        </xdr:cNvSpPr>
      </xdr:nvSpPr>
      <xdr:spPr bwMode="auto">
        <a:xfrm>
          <a:off x="830580" y="6012180"/>
          <a:ext cx="3482340" cy="76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274320</xdr:colOff>
      <xdr:row>29</xdr:row>
      <xdr:rowOff>38100</xdr:rowOff>
    </xdr:from>
    <xdr:to>
      <xdr:col>2</xdr:col>
      <xdr:colOff>281940</xdr:colOff>
      <xdr:row>30</xdr:row>
      <xdr:rowOff>144780</xdr:rowOff>
    </xdr:to>
    <xdr:sp macro="" textlink="">
      <xdr:nvSpPr>
        <xdr:cNvPr id="17447" name="Line 39">
          <a:extLst>
            <a:ext uri="{FF2B5EF4-FFF2-40B4-BE49-F238E27FC236}">
              <a16:creationId xmlns:a16="http://schemas.microsoft.com/office/drawing/2014/main" id="{00000000-0008-0000-2600-000027440000}"/>
            </a:ext>
          </a:extLst>
        </xdr:cNvPr>
        <xdr:cNvSpPr>
          <a:spLocks noChangeShapeType="1"/>
        </xdr:cNvSpPr>
      </xdr:nvSpPr>
      <xdr:spPr bwMode="auto">
        <a:xfrm>
          <a:off x="1173480" y="5722620"/>
          <a:ext cx="7620" cy="2895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601980</xdr:colOff>
      <xdr:row>31</xdr:row>
      <xdr:rowOff>22860</xdr:rowOff>
    </xdr:from>
    <xdr:to>
      <xdr:col>1</xdr:col>
      <xdr:colOff>609600</xdr:colOff>
      <xdr:row>33</xdr:row>
      <xdr:rowOff>91440</xdr:rowOff>
    </xdr:to>
    <xdr:sp macro="" textlink="">
      <xdr:nvSpPr>
        <xdr:cNvPr id="17448" name="Line 40">
          <a:extLst>
            <a:ext uri="{FF2B5EF4-FFF2-40B4-BE49-F238E27FC236}">
              <a16:creationId xmlns:a16="http://schemas.microsoft.com/office/drawing/2014/main" id="{00000000-0008-0000-2600-000028440000}"/>
            </a:ext>
          </a:extLst>
        </xdr:cNvPr>
        <xdr:cNvSpPr>
          <a:spLocks noChangeShapeType="1"/>
        </xdr:cNvSpPr>
      </xdr:nvSpPr>
      <xdr:spPr bwMode="auto">
        <a:xfrm flipV="1">
          <a:off x="876300" y="6088380"/>
          <a:ext cx="7620" cy="4343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114300</xdr:colOff>
      <xdr:row>28</xdr:row>
      <xdr:rowOff>129540</xdr:rowOff>
    </xdr:from>
    <xdr:to>
      <xdr:col>3</xdr:col>
      <xdr:colOff>121920</xdr:colOff>
      <xdr:row>30</xdr:row>
      <xdr:rowOff>144780</xdr:rowOff>
    </xdr:to>
    <xdr:sp macro="" textlink="">
      <xdr:nvSpPr>
        <xdr:cNvPr id="17449" name="Line 41">
          <a:extLst>
            <a:ext uri="{FF2B5EF4-FFF2-40B4-BE49-F238E27FC236}">
              <a16:creationId xmlns:a16="http://schemas.microsoft.com/office/drawing/2014/main" id="{00000000-0008-0000-2600-000029440000}"/>
            </a:ext>
          </a:extLst>
        </xdr:cNvPr>
        <xdr:cNvSpPr>
          <a:spLocks noChangeShapeType="1"/>
        </xdr:cNvSpPr>
      </xdr:nvSpPr>
      <xdr:spPr bwMode="auto">
        <a:xfrm>
          <a:off x="1638300" y="5631180"/>
          <a:ext cx="7620" cy="381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525780</xdr:colOff>
      <xdr:row>31</xdr:row>
      <xdr:rowOff>15240</xdr:rowOff>
    </xdr:from>
    <xdr:to>
      <xdr:col>6</xdr:col>
      <xdr:colOff>533400</xdr:colOff>
      <xdr:row>32</xdr:row>
      <xdr:rowOff>160020</xdr:rowOff>
    </xdr:to>
    <xdr:sp macro="" textlink="">
      <xdr:nvSpPr>
        <xdr:cNvPr id="17450" name="Line 42">
          <a:extLst>
            <a:ext uri="{FF2B5EF4-FFF2-40B4-BE49-F238E27FC236}">
              <a16:creationId xmlns:a16="http://schemas.microsoft.com/office/drawing/2014/main" id="{00000000-0008-0000-2600-00002A440000}"/>
            </a:ext>
          </a:extLst>
        </xdr:cNvPr>
        <xdr:cNvSpPr>
          <a:spLocks noChangeShapeType="1"/>
        </xdr:cNvSpPr>
      </xdr:nvSpPr>
      <xdr:spPr bwMode="auto">
        <a:xfrm flipV="1">
          <a:off x="4328160" y="6080760"/>
          <a:ext cx="7620" cy="3276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556260</xdr:colOff>
      <xdr:row>34</xdr:row>
      <xdr:rowOff>15240</xdr:rowOff>
    </xdr:from>
    <xdr:to>
      <xdr:col>4</xdr:col>
      <xdr:colOff>213360</xdr:colOff>
      <xdr:row>34</xdr:row>
      <xdr:rowOff>99060</xdr:rowOff>
    </xdr:to>
    <xdr:sp macro="" textlink="">
      <xdr:nvSpPr>
        <xdr:cNvPr id="17451" name="Line 43">
          <a:extLst>
            <a:ext uri="{FF2B5EF4-FFF2-40B4-BE49-F238E27FC236}">
              <a16:creationId xmlns:a16="http://schemas.microsoft.com/office/drawing/2014/main" id="{00000000-0008-0000-2600-00002B440000}"/>
            </a:ext>
          </a:extLst>
        </xdr:cNvPr>
        <xdr:cNvSpPr>
          <a:spLocks noChangeShapeType="1"/>
        </xdr:cNvSpPr>
      </xdr:nvSpPr>
      <xdr:spPr bwMode="auto">
        <a:xfrm flipH="1" flipV="1">
          <a:off x="830580" y="6629400"/>
          <a:ext cx="1562100" cy="838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182880</xdr:colOff>
      <xdr:row>34</xdr:row>
      <xdr:rowOff>15240</xdr:rowOff>
    </xdr:from>
    <xdr:to>
      <xdr:col>6</xdr:col>
      <xdr:colOff>525780</xdr:colOff>
      <xdr:row>34</xdr:row>
      <xdr:rowOff>99060</xdr:rowOff>
    </xdr:to>
    <xdr:sp macro="" textlink="">
      <xdr:nvSpPr>
        <xdr:cNvPr id="17452" name="Line 44">
          <a:extLst>
            <a:ext uri="{FF2B5EF4-FFF2-40B4-BE49-F238E27FC236}">
              <a16:creationId xmlns:a16="http://schemas.microsoft.com/office/drawing/2014/main" id="{00000000-0008-0000-2600-00002C440000}"/>
            </a:ext>
          </a:extLst>
        </xdr:cNvPr>
        <xdr:cNvSpPr>
          <a:spLocks noChangeShapeType="1"/>
        </xdr:cNvSpPr>
      </xdr:nvSpPr>
      <xdr:spPr bwMode="auto">
        <a:xfrm>
          <a:off x="2362200" y="6629400"/>
          <a:ext cx="1965960" cy="838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594360</xdr:colOff>
      <xdr:row>31</xdr:row>
      <xdr:rowOff>76200</xdr:rowOff>
    </xdr:from>
    <xdr:to>
      <xdr:col>2</xdr:col>
      <xdr:colOff>609600</xdr:colOff>
      <xdr:row>33</xdr:row>
      <xdr:rowOff>0</xdr:rowOff>
    </xdr:to>
    <xdr:sp macro="" textlink="">
      <xdr:nvSpPr>
        <xdr:cNvPr id="17453" name="Line 45">
          <a:extLst>
            <a:ext uri="{FF2B5EF4-FFF2-40B4-BE49-F238E27FC236}">
              <a16:creationId xmlns:a16="http://schemas.microsoft.com/office/drawing/2014/main" id="{00000000-0008-0000-2600-00002D440000}"/>
            </a:ext>
          </a:extLst>
        </xdr:cNvPr>
        <xdr:cNvSpPr>
          <a:spLocks noChangeShapeType="1"/>
        </xdr:cNvSpPr>
      </xdr:nvSpPr>
      <xdr:spPr bwMode="auto">
        <a:xfrm>
          <a:off x="1493520" y="6141720"/>
          <a:ext cx="15240" cy="2895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601980</xdr:colOff>
      <xdr:row>33</xdr:row>
      <xdr:rowOff>114300</xdr:rowOff>
    </xdr:from>
    <xdr:to>
      <xdr:col>1</xdr:col>
      <xdr:colOff>609600</xdr:colOff>
      <xdr:row>35</xdr:row>
      <xdr:rowOff>7620</xdr:rowOff>
    </xdr:to>
    <xdr:sp macro="" textlink="">
      <xdr:nvSpPr>
        <xdr:cNvPr id="17454" name="Line 46">
          <a:extLst>
            <a:ext uri="{FF2B5EF4-FFF2-40B4-BE49-F238E27FC236}">
              <a16:creationId xmlns:a16="http://schemas.microsoft.com/office/drawing/2014/main" id="{00000000-0008-0000-2600-00002E440000}"/>
            </a:ext>
          </a:extLst>
        </xdr:cNvPr>
        <xdr:cNvSpPr>
          <a:spLocks noChangeShapeType="1"/>
        </xdr:cNvSpPr>
      </xdr:nvSpPr>
      <xdr:spPr bwMode="auto">
        <a:xfrm>
          <a:off x="876300" y="6545580"/>
          <a:ext cx="7620" cy="2590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510540</xdr:colOff>
      <xdr:row>33</xdr:row>
      <xdr:rowOff>114300</xdr:rowOff>
    </xdr:from>
    <xdr:to>
      <xdr:col>6</xdr:col>
      <xdr:colOff>525780</xdr:colOff>
      <xdr:row>35</xdr:row>
      <xdr:rowOff>114300</xdr:rowOff>
    </xdr:to>
    <xdr:sp macro="" textlink="">
      <xdr:nvSpPr>
        <xdr:cNvPr id="17455" name="Line 47">
          <a:extLst>
            <a:ext uri="{FF2B5EF4-FFF2-40B4-BE49-F238E27FC236}">
              <a16:creationId xmlns:a16="http://schemas.microsoft.com/office/drawing/2014/main" id="{00000000-0008-0000-2600-00002F440000}"/>
            </a:ext>
          </a:extLst>
        </xdr:cNvPr>
        <xdr:cNvSpPr>
          <a:spLocks noChangeShapeType="1"/>
        </xdr:cNvSpPr>
      </xdr:nvSpPr>
      <xdr:spPr bwMode="auto">
        <a:xfrm flipH="1">
          <a:off x="4312920" y="6545580"/>
          <a:ext cx="15240" cy="3657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403860</xdr:colOff>
      <xdr:row>32</xdr:row>
      <xdr:rowOff>114300</xdr:rowOff>
    </xdr:from>
    <xdr:to>
      <xdr:col>4</xdr:col>
      <xdr:colOff>243840</xdr:colOff>
      <xdr:row>32</xdr:row>
      <xdr:rowOff>121920</xdr:rowOff>
    </xdr:to>
    <xdr:sp macro="" textlink="">
      <xdr:nvSpPr>
        <xdr:cNvPr id="17456" name="Line 48">
          <a:extLst>
            <a:ext uri="{FF2B5EF4-FFF2-40B4-BE49-F238E27FC236}">
              <a16:creationId xmlns:a16="http://schemas.microsoft.com/office/drawing/2014/main" id="{00000000-0008-0000-2600-000030440000}"/>
            </a:ext>
          </a:extLst>
        </xdr:cNvPr>
        <xdr:cNvSpPr>
          <a:spLocks noChangeShapeType="1"/>
        </xdr:cNvSpPr>
      </xdr:nvSpPr>
      <xdr:spPr bwMode="auto">
        <a:xfrm>
          <a:off x="1303020" y="6362700"/>
          <a:ext cx="112014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541020</xdr:colOff>
      <xdr:row>32</xdr:row>
      <xdr:rowOff>114300</xdr:rowOff>
    </xdr:from>
    <xdr:to>
      <xdr:col>6</xdr:col>
      <xdr:colOff>510540</xdr:colOff>
      <xdr:row>32</xdr:row>
      <xdr:rowOff>121920</xdr:rowOff>
    </xdr:to>
    <xdr:sp macro="" textlink="">
      <xdr:nvSpPr>
        <xdr:cNvPr id="17457" name="Line 49">
          <a:extLst>
            <a:ext uri="{FF2B5EF4-FFF2-40B4-BE49-F238E27FC236}">
              <a16:creationId xmlns:a16="http://schemas.microsoft.com/office/drawing/2014/main" id="{00000000-0008-0000-2600-000031440000}"/>
            </a:ext>
          </a:extLst>
        </xdr:cNvPr>
        <xdr:cNvSpPr>
          <a:spLocks noChangeShapeType="1"/>
        </xdr:cNvSpPr>
      </xdr:nvSpPr>
      <xdr:spPr bwMode="auto">
        <a:xfrm>
          <a:off x="3718560" y="6362700"/>
          <a:ext cx="5943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548640</xdr:colOff>
      <xdr:row>32</xdr:row>
      <xdr:rowOff>91440</xdr:rowOff>
    </xdr:from>
    <xdr:to>
      <xdr:col>3</xdr:col>
      <xdr:colOff>7620</xdr:colOff>
      <xdr:row>32</xdr:row>
      <xdr:rowOff>152400</xdr:rowOff>
    </xdr:to>
    <xdr:sp macro="" textlink="">
      <xdr:nvSpPr>
        <xdr:cNvPr id="17458" name="Line 50">
          <a:extLst>
            <a:ext uri="{FF2B5EF4-FFF2-40B4-BE49-F238E27FC236}">
              <a16:creationId xmlns:a16="http://schemas.microsoft.com/office/drawing/2014/main" id="{00000000-0008-0000-2600-000032440000}"/>
            </a:ext>
          </a:extLst>
        </xdr:cNvPr>
        <xdr:cNvSpPr>
          <a:spLocks noChangeShapeType="1"/>
        </xdr:cNvSpPr>
      </xdr:nvSpPr>
      <xdr:spPr bwMode="auto">
        <a:xfrm flipV="1">
          <a:off x="1447800" y="6339840"/>
          <a:ext cx="83820" cy="609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556260</xdr:colOff>
      <xdr:row>32</xdr:row>
      <xdr:rowOff>121920</xdr:rowOff>
    </xdr:from>
    <xdr:to>
      <xdr:col>2</xdr:col>
      <xdr:colOff>106680</xdr:colOff>
      <xdr:row>32</xdr:row>
      <xdr:rowOff>137160</xdr:rowOff>
    </xdr:to>
    <xdr:sp macro="" textlink="">
      <xdr:nvSpPr>
        <xdr:cNvPr id="17459" name="Line 51">
          <a:extLst>
            <a:ext uri="{FF2B5EF4-FFF2-40B4-BE49-F238E27FC236}">
              <a16:creationId xmlns:a16="http://schemas.microsoft.com/office/drawing/2014/main" id="{00000000-0008-0000-2600-000033440000}"/>
            </a:ext>
          </a:extLst>
        </xdr:cNvPr>
        <xdr:cNvSpPr>
          <a:spLocks noChangeShapeType="1"/>
        </xdr:cNvSpPr>
      </xdr:nvSpPr>
      <xdr:spPr bwMode="auto">
        <a:xfrm flipH="1" flipV="1">
          <a:off x="830580" y="6370320"/>
          <a:ext cx="17526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609600</xdr:colOff>
      <xdr:row>62</xdr:row>
      <xdr:rowOff>129540</xdr:rowOff>
    </xdr:from>
    <xdr:to>
      <xdr:col>6</xdr:col>
      <xdr:colOff>525780</xdr:colOff>
      <xdr:row>63</xdr:row>
      <xdr:rowOff>15240</xdr:rowOff>
    </xdr:to>
    <xdr:sp macro="" textlink="">
      <xdr:nvSpPr>
        <xdr:cNvPr id="17460" name="Line 52">
          <a:extLst>
            <a:ext uri="{FF2B5EF4-FFF2-40B4-BE49-F238E27FC236}">
              <a16:creationId xmlns:a16="http://schemas.microsoft.com/office/drawing/2014/main" id="{00000000-0008-0000-2600-000034440000}"/>
            </a:ext>
          </a:extLst>
        </xdr:cNvPr>
        <xdr:cNvSpPr>
          <a:spLocks noChangeShapeType="1"/>
        </xdr:cNvSpPr>
      </xdr:nvSpPr>
      <xdr:spPr bwMode="auto">
        <a:xfrm>
          <a:off x="883920" y="11925300"/>
          <a:ext cx="3444240" cy="685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601980</xdr:colOff>
      <xdr:row>63</xdr:row>
      <xdr:rowOff>22860</xdr:rowOff>
    </xdr:from>
    <xdr:to>
      <xdr:col>1</xdr:col>
      <xdr:colOff>609600</xdr:colOff>
      <xdr:row>65</xdr:row>
      <xdr:rowOff>144780</xdr:rowOff>
    </xdr:to>
    <xdr:sp macro="" textlink="">
      <xdr:nvSpPr>
        <xdr:cNvPr id="17461" name="Line 53">
          <a:extLst>
            <a:ext uri="{FF2B5EF4-FFF2-40B4-BE49-F238E27FC236}">
              <a16:creationId xmlns:a16="http://schemas.microsoft.com/office/drawing/2014/main" id="{00000000-0008-0000-2600-000035440000}"/>
            </a:ext>
          </a:extLst>
        </xdr:cNvPr>
        <xdr:cNvSpPr>
          <a:spLocks noChangeShapeType="1"/>
        </xdr:cNvSpPr>
      </xdr:nvSpPr>
      <xdr:spPr bwMode="auto">
        <a:xfrm flipV="1">
          <a:off x="876300" y="12001500"/>
          <a:ext cx="7620" cy="4876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525780</xdr:colOff>
      <xdr:row>63</xdr:row>
      <xdr:rowOff>22860</xdr:rowOff>
    </xdr:from>
    <xdr:to>
      <xdr:col>6</xdr:col>
      <xdr:colOff>533400</xdr:colOff>
      <xdr:row>65</xdr:row>
      <xdr:rowOff>121920</xdr:rowOff>
    </xdr:to>
    <xdr:sp macro="" textlink="">
      <xdr:nvSpPr>
        <xdr:cNvPr id="17462" name="Line 54">
          <a:extLst>
            <a:ext uri="{FF2B5EF4-FFF2-40B4-BE49-F238E27FC236}">
              <a16:creationId xmlns:a16="http://schemas.microsoft.com/office/drawing/2014/main" id="{00000000-0008-0000-2600-000036440000}"/>
            </a:ext>
          </a:extLst>
        </xdr:cNvPr>
        <xdr:cNvSpPr>
          <a:spLocks noChangeShapeType="1"/>
        </xdr:cNvSpPr>
      </xdr:nvSpPr>
      <xdr:spPr bwMode="auto">
        <a:xfrm flipV="1">
          <a:off x="4328160" y="12001500"/>
          <a:ext cx="7620" cy="4648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30480</xdr:colOff>
      <xdr:row>61</xdr:row>
      <xdr:rowOff>7620</xdr:rowOff>
    </xdr:from>
    <xdr:to>
      <xdr:col>5</xdr:col>
      <xdr:colOff>38100</xdr:colOff>
      <xdr:row>62</xdr:row>
      <xdr:rowOff>129540</xdr:rowOff>
    </xdr:to>
    <xdr:sp macro="" textlink="">
      <xdr:nvSpPr>
        <xdr:cNvPr id="17463" name="Line 55">
          <a:extLst>
            <a:ext uri="{FF2B5EF4-FFF2-40B4-BE49-F238E27FC236}">
              <a16:creationId xmlns:a16="http://schemas.microsoft.com/office/drawing/2014/main" id="{00000000-0008-0000-2600-000037440000}"/>
            </a:ext>
          </a:extLst>
        </xdr:cNvPr>
        <xdr:cNvSpPr>
          <a:spLocks noChangeShapeType="1"/>
        </xdr:cNvSpPr>
      </xdr:nvSpPr>
      <xdr:spPr bwMode="auto">
        <a:xfrm>
          <a:off x="3208020" y="11620500"/>
          <a:ext cx="7620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556260</xdr:colOff>
      <xdr:row>69</xdr:row>
      <xdr:rowOff>83820</xdr:rowOff>
    </xdr:from>
    <xdr:to>
      <xdr:col>4</xdr:col>
      <xdr:colOff>213360</xdr:colOff>
      <xdr:row>69</xdr:row>
      <xdr:rowOff>99060</xdr:rowOff>
    </xdr:to>
    <xdr:sp macro="" textlink="">
      <xdr:nvSpPr>
        <xdr:cNvPr id="17464" name="Line 56">
          <a:extLst>
            <a:ext uri="{FF2B5EF4-FFF2-40B4-BE49-F238E27FC236}">
              <a16:creationId xmlns:a16="http://schemas.microsoft.com/office/drawing/2014/main" id="{00000000-0008-0000-2600-000038440000}"/>
            </a:ext>
          </a:extLst>
        </xdr:cNvPr>
        <xdr:cNvSpPr>
          <a:spLocks noChangeShapeType="1"/>
        </xdr:cNvSpPr>
      </xdr:nvSpPr>
      <xdr:spPr bwMode="auto">
        <a:xfrm flipH="1" flipV="1">
          <a:off x="830580" y="13159740"/>
          <a:ext cx="156210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182880</xdr:colOff>
      <xdr:row>69</xdr:row>
      <xdr:rowOff>83820</xdr:rowOff>
    </xdr:from>
    <xdr:to>
      <xdr:col>6</xdr:col>
      <xdr:colOff>525780</xdr:colOff>
      <xdr:row>69</xdr:row>
      <xdr:rowOff>99060</xdr:rowOff>
    </xdr:to>
    <xdr:sp macro="" textlink="">
      <xdr:nvSpPr>
        <xdr:cNvPr id="17465" name="Line 57">
          <a:extLst>
            <a:ext uri="{FF2B5EF4-FFF2-40B4-BE49-F238E27FC236}">
              <a16:creationId xmlns:a16="http://schemas.microsoft.com/office/drawing/2014/main" id="{00000000-0008-0000-2600-000039440000}"/>
            </a:ext>
          </a:extLst>
        </xdr:cNvPr>
        <xdr:cNvSpPr>
          <a:spLocks noChangeShapeType="1"/>
        </xdr:cNvSpPr>
      </xdr:nvSpPr>
      <xdr:spPr bwMode="auto">
        <a:xfrm>
          <a:off x="2362200" y="13159740"/>
          <a:ext cx="1965960" cy="152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30480</xdr:colOff>
      <xdr:row>63</xdr:row>
      <xdr:rowOff>60960</xdr:rowOff>
    </xdr:from>
    <xdr:to>
      <xdr:col>5</xdr:col>
      <xdr:colOff>38100</xdr:colOff>
      <xdr:row>65</xdr:row>
      <xdr:rowOff>152400</xdr:rowOff>
    </xdr:to>
    <xdr:sp macro="" textlink="">
      <xdr:nvSpPr>
        <xdr:cNvPr id="17466" name="Line 58">
          <a:extLst>
            <a:ext uri="{FF2B5EF4-FFF2-40B4-BE49-F238E27FC236}">
              <a16:creationId xmlns:a16="http://schemas.microsoft.com/office/drawing/2014/main" id="{00000000-0008-0000-2600-00003A440000}"/>
            </a:ext>
          </a:extLst>
        </xdr:cNvPr>
        <xdr:cNvSpPr>
          <a:spLocks noChangeShapeType="1"/>
        </xdr:cNvSpPr>
      </xdr:nvSpPr>
      <xdr:spPr bwMode="auto">
        <a:xfrm>
          <a:off x="3208020" y="12039600"/>
          <a:ext cx="762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601980</xdr:colOff>
      <xdr:row>61</xdr:row>
      <xdr:rowOff>114300</xdr:rowOff>
    </xdr:from>
    <xdr:to>
      <xdr:col>3</xdr:col>
      <xdr:colOff>609600</xdr:colOff>
      <xdr:row>65</xdr:row>
      <xdr:rowOff>144780</xdr:rowOff>
    </xdr:to>
    <xdr:sp macro="" textlink="">
      <xdr:nvSpPr>
        <xdr:cNvPr id="17467" name="Line 59">
          <a:extLst>
            <a:ext uri="{FF2B5EF4-FFF2-40B4-BE49-F238E27FC236}">
              <a16:creationId xmlns:a16="http://schemas.microsoft.com/office/drawing/2014/main" id="{00000000-0008-0000-2600-00003B440000}"/>
            </a:ext>
          </a:extLst>
        </xdr:cNvPr>
        <xdr:cNvSpPr>
          <a:spLocks noChangeShapeType="1"/>
        </xdr:cNvSpPr>
      </xdr:nvSpPr>
      <xdr:spPr bwMode="auto">
        <a:xfrm>
          <a:off x="2125980" y="11727180"/>
          <a:ext cx="7620" cy="762000"/>
        </a:xfrm>
        <a:prstGeom prst="line">
          <a:avLst/>
        </a:prstGeom>
        <a:noFill/>
        <a:ln w="9525">
          <a:solidFill>
            <a:srgbClr val="000000"/>
          </a:solidFill>
          <a:prstDash val="lg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586740</xdr:colOff>
      <xdr:row>74</xdr:row>
      <xdr:rowOff>0</xdr:rowOff>
    </xdr:from>
    <xdr:to>
      <xdr:col>3</xdr:col>
      <xdr:colOff>106680</xdr:colOff>
      <xdr:row>74</xdr:row>
      <xdr:rowOff>83820</xdr:rowOff>
    </xdr:to>
    <xdr:sp macro="" textlink="">
      <xdr:nvSpPr>
        <xdr:cNvPr id="17468" name="Line 60">
          <a:extLst>
            <a:ext uri="{FF2B5EF4-FFF2-40B4-BE49-F238E27FC236}">
              <a16:creationId xmlns:a16="http://schemas.microsoft.com/office/drawing/2014/main" id="{00000000-0008-0000-2600-00003C440000}"/>
            </a:ext>
          </a:extLst>
        </xdr:cNvPr>
        <xdr:cNvSpPr>
          <a:spLocks noChangeShapeType="1"/>
        </xdr:cNvSpPr>
      </xdr:nvSpPr>
      <xdr:spPr bwMode="auto">
        <a:xfrm>
          <a:off x="1485900" y="13990320"/>
          <a:ext cx="144780" cy="838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609600</xdr:colOff>
      <xdr:row>103</xdr:row>
      <xdr:rowOff>45720</xdr:rowOff>
    </xdr:from>
    <xdr:to>
      <xdr:col>6</xdr:col>
      <xdr:colOff>525780</xdr:colOff>
      <xdr:row>103</xdr:row>
      <xdr:rowOff>99060</xdr:rowOff>
    </xdr:to>
    <xdr:sp macro="" textlink="">
      <xdr:nvSpPr>
        <xdr:cNvPr id="17469" name="Line 61">
          <a:extLst>
            <a:ext uri="{FF2B5EF4-FFF2-40B4-BE49-F238E27FC236}">
              <a16:creationId xmlns:a16="http://schemas.microsoft.com/office/drawing/2014/main" id="{00000000-0008-0000-2600-00003D440000}"/>
            </a:ext>
          </a:extLst>
        </xdr:cNvPr>
        <xdr:cNvSpPr>
          <a:spLocks noChangeShapeType="1"/>
        </xdr:cNvSpPr>
      </xdr:nvSpPr>
      <xdr:spPr bwMode="auto">
        <a:xfrm>
          <a:off x="883920" y="19339560"/>
          <a:ext cx="3444240" cy="533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601980</xdr:colOff>
      <xdr:row>103</xdr:row>
      <xdr:rowOff>106680</xdr:rowOff>
    </xdr:from>
    <xdr:to>
      <xdr:col>1</xdr:col>
      <xdr:colOff>609600</xdr:colOff>
      <xdr:row>105</xdr:row>
      <xdr:rowOff>160020</xdr:rowOff>
    </xdr:to>
    <xdr:sp macro="" textlink="">
      <xdr:nvSpPr>
        <xdr:cNvPr id="17470" name="Line 62">
          <a:extLst>
            <a:ext uri="{FF2B5EF4-FFF2-40B4-BE49-F238E27FC236}">
              <a16:creationId xmlns:a16="http://schemas.microsoft.com/office/drawing/2014/main" id="{00000000-0008-0000-2600-00003E440000}"/>
            </a:ext>
          </a:extLst>
        </xdr:cNvPr>
        <xdr:cNvSpPr>
          <a:spLocks noChangeShapeType="1"/>
        </xdr:cNvSpPr>
      </xdr:nvSpPr>
      <xdr:spPr bwMode="auto">
        <a:xfrm flipV="1">
          <a:off x="876300" y="19400520"/>
          <a:ext cx="7620" cy="419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525780</xdr:colOff>
      <xdr:row>103</xdr:row>
      <xdr:rowOff>106680</xdr:rowOff>
    </xdr:from>
    <xdr:to>
      <xdr:col>6</xdr:col>
      <xdr:colOff>533400</xdr:colOff>
      <xdr:row>105</xdr:row>
      <xdr:rowOff>144780</xdr:rowOff>
    </xdr:to>
    <xdr:sp macro="" textlink="">
      <xdr:nvSpPr>
        <xdr:cNvPr id="17471" name="Line 63">
          <a:extLst>
            <a:ext uri="{FF2B5EF4-FFF2-40B4-BE49-F238E27FC236}">
              <a16:creationId xmlns:a16="http://schemas.microsoft.com/office/drawing/2014/main" id="{00000000-0008-0000-2600-00003F440000}"/>
            </a:ext>
          </a:extLst>
        </xdr:cNvPr>
        <xdr:cNvSpPr>
          <a:spLocks noChangeShapeType="1"/>
        </xdr:cNvSpPr>
      </xdr:nvSpPr>
      <xdr:spPr bwMode="auto">
        <a:xfrm flipV="1">
          <a:off x="4328160" y="19400520"/>
          <a:ext cx="7620" cy="4038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548640</xdr:colOff>
      <xdr:row>107</xdr:row>
      <xdr:rowOff>15240</xdr:rowOff>
    </xdr:from>
    <xdr:to>
      <xdr:col>4</xdr:col>
      <xdr:colOff>213360</xdr:colOff>
      <xdr:row>107</xdr:row>
      <xdr:rowOff>22860</xdr:rowOff>
    </xdr:to>
    <xdr:sp macro="" textlink="">
      <xdr:nvSpPr>
        <xdr:cNvPr id="17472" name="Line 64">
          <a:extLst>
            <a:ext uri="{FF2B5EF4-FFF2-40B4-BE49-F238E27FC236}">
              <a16:creationId xmlns:a16="http://schemas.microsoft.com/office/drawing/2014/main" id="{00000000-0008-0000-2600-000040440000}"/>
            </a:ext>
          </a:extLst>
        </xdr:cNvPr>
        <xdr:cNvSpPr>
          <a:spLocks noChangeShapeType="1"/>
        </xdr:cNvSpPr>
      </xdr:nvSpPr>
      <xdr:spPr bwMode="auto">
        <a:xfrm flipH="1" flipV="1">
          <a:off x="822960" y="20040600"/>
          <a:ext cx="156972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182880</xdr:colOff>
      <xdr:row>107</xdr:row>
      <xdr:rowOff>15240</xdr:rowOff>
    </xdr:from>
    <xdr:to>
      <xdr:col>6</xdr:col>
      <xdr:colOff>525780</xdr:colOff>
      <xdr:row>107</xdr:row>
      <xdr:rowOff>22860</xdr:rowOff>
    </xdr:to>
    <xdr:sp macro="" textlink="">
      <xdr:nvSpPr>
        <xdr:cNvPr id="17473" name="Line 65">
          <a:extLst>
            <a:ext uri="{FF2B5EF4-FFF2-40B4-BE49-F238E27FC236}">
              <a16:creationId xmlns:a16="http://schemas.microsoft.com/office/drawing/2014/main" id="{00000000-0008-0000-2600-000041440000}"/>
            </a:ext>
          </a:extLst>
        </xdr:cNvPr>
        <xdr:cNvSpPr>
          <a:spLocks noChangeShapeType="1"/>
        </xdr:cNvSpPr>
      </xdr:nvSpPr>
      <xdr:spPr bwMode="auto">
        <a:xfrm>
          <a:off x="2362200" y="20040600"/>
          <a:ext cx="19659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609600</xdr:colOff>
      <xdr:row>102</xdr:row>
      <xdr:rowOff>160020</xdr:rowOff>
    </xdr:from>
    <xdr:to>
      <xdr:col>6</xdr:col>
      <xdr:colOff>518160</xdr:colOff>
      <xdr:row>103</xdr:row>
      <xdr:rowOff>45720</xdr:rowOff>
    </xdr:to>
    <xdr:sp macro="" textlink="">
      <xdr:nvSpPr>
        <xdr:cNvPr id="17474" name="Freeform 66">
          <a:extLst>
            <a:ext uri="{FF2B5EF4-FFF2-40B4-BE49-F238E27FC236}">
              <a16:creationId xmlns:a16="http://schemas.microsoft.com/office/drawing/2014/main" id="{00000000-0008-0000-2600-000042440000}"/>
            </a:ext>
          </a:extLst>
        </xdr:cNvPr>
        <xdr:cNvSpPr>
          <a:spLocks noChangeArrowheads="1"/>
        </xdr:cNvSpPr>
      </xdr:nvSpPr>
      <xdr:spPr bwMode="auto">
        <a:xfrm>
          <a:off x="883920" y="19270980"/>
          <a:ext cx="3436620" cy="68580"/>
        </a:xfrm>
        <a:custGeom>
          <a:avLst/>
          <a:gdLst>
            <a:gd name="T0" fmla="*/ 0 w 375"/>
            <a:gd name="T1" fmla="*/ 8 h 8"/>
            <a:gd name="T2" fmla="*/ 11 w 375"/>
            <a:gd name="T3" fmla="*/ 3 h 8"/>
            <a:gd name="T4" fmla="*/ 21 w 375"/>
            <a:gd name="T5" fmla="*/ 7 h 8"/>
            <a:gd name="T6" fmla="*/ 36 w 375"/>
            <a:gd name="T7" fmla="*/ 2 h 8"/>
            <a:gd name="T8" fmla="*/ 46 w 375"/>
            <a:gd name="T9" fmla="*/ 8 h 8"/>
            <a:gd name="T10" fmla="*/ 61 w 375"/>
            <a:gd name="T11" fmla="*/ 2 h 8"/>
            <a:gd name="T12" fmla="*/ 74 w 375"/>
            <a:gd name="T13" fmla="*/ 6 h 8"/>
            <a:gd name="T14" fmla="*/ 91 w 375"/>
            <a:gd name="T15" fmla="*/ 0 h 8"/>
            <a:gd name="T16" fmla="*/ 105 w 375"/>
            <a:gd name="T17" fmla="*/ 7 h 8"/>
            <a:gd name="T18" fmla="*/ 124 w 375"/>
            <a:gd name="T19" fmla="*/ 0 h 8"/>
            <a:gd name="T20" fmla="*/ 137 w 375"/>
            <a:gd name="T21" fmla="*/ 7 h 8"/>
            <a:gd name="T22" fmla="*/ 153 w 375"/>
            <a:gd name="T23" fmla="*/ 0 h 8"/>
            <a:gd name="T24" fmla="*/ 168 w 375"/>
            <a:gd name="T25" fmla="*/ 7 h 8"/>
            <a:gd name="T26" fmla="*/ 182 w 375"/>
            <a:gd name="T27" fmla="*/ 0 h 8"/>
            <a:gd name="T28" fmla="*/ 196 w 375"/>
            <a:gd name="T29" fmla="*/ 7 h 8"/>
            <a:gd name="T30" fmla="*/ 214 w 375"/>
            <a:gd name="T31" fmla="*/ 0 h 8"/>
            <a:gd name="T32" fmla="*/ 227 w 375"/>
            <a:gd name="T33" fmla="*/ 7 h 8"/>
            <a:gd name="T34" fmla="*/ 248 w 375"/>
            <a:gd name="T35" fmla="*/ 0 h 8"/>
            <a:gd name="T36" fmla="*/ 263 w 375"/>
            <a:gd name="T37" fmla="*/ 6 h 8"/>
            <a:gd name="T38" fmla="*/ 281 w 375"/>
            <a:gd name="T39" fmla="*/ 1 h 8"/>
            <a:gd name="T40" fmla="*/ 294 w 375"/>
            <a:gd name="T41" fmla="*/ 6 h 8"/>
            <a:gd name="T42" fmla="*/ 311 w 375"/>
            <a:gd name="T43" fmla="*/ 0 h 8"/>
            <a:gd name="T44" fmla="*/ 326 w 375"/>
            <a:gd name="T45" fmla="*/ 8 h 8"/>
            <a:gd name="T46" fmla="*/ 341 w 375"/>
            <a:gd name="T47" fmla="*/ 0 h 8"/>
            <a:gd name="T48" fmla="*/ 351 w 375"/>
            <a:gd name="T49" fmla="*/ 8 h 8"/>
            <a:gd name="T50" fmla="*/ 366 w 375"/>
            <a:gd name="T51" fmla="*/ 0 h 8"/>
            <a:gd name="T52" fmla="*/ 375 w 375"/>
            <a:gd name="T53" fmla="*/ 7 h 8"/>
            <a:gd name="T54" fmla="*/ 0 w 375"/>
            <a:gd name="T55" fmla="*/ 0 h 8"/>
            <a:gd name="T56" fmla="*/ 375 w 375"/>
            <a:gd name="T57" fmla="*/ 8 h 8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  <a:cxn ang="0">
              <a:pos x="T32" y="T33"/>
            </a:cxn>
            <a:cxn ang="0">
              <a:pos x="T34" y="T35"/>
            </a:cxn>
            <a:cxn ang="0">
              <a:pos x="T36" y="T37"/>
            </a:cxn>
            <a:cxn ang="0">
              <a:pos x="T38" y="T39"/>
            </a:cxn>
            <a:cxn ang="0">
              <a:pos x="T40" y="T41"/>
            </a:cxn>
            <a:cxn ang="0">
              <a:pos x="T42" y="T43"/>
            </a:cxn>
            <a:cxn ang="0">
              <a:pos x="T44" y="T45"/>
            </a:cxn>
            <a:cxn ang="0">
              <a:pos x="T46" y="T47"/>
            </a:cxn>
            <a:cxn ang="0">
              <a:pos x="T48" y="T49"/>
            </a:cxn>
            <a:cxn ang="0">
              <a:pos x="T50" y="T51"/>
            </a:cxn>
            <a:cxn ang="0">
              <a:pos x="T52" y="T53"/>
            </a:cxn>
          </a:cxnLst>
          <a:rect l="T54" t="T55" r="T56" b="T57"/>
          <a:pathLst>
            <a:path w="375" h="8">
              <a:moveTo>
                <a:pt x="0" y="8"/>
              </a:moveTo>
              <a:cubicBezTo>
                <a:pt x="4" y="5"/>
                <a:pt x="8" y="3"/>
                <a:pt x="11" y="3"/>
              </a:cubicBezTo>
              <a:cubicBezTo>
                <a:pt x="14" y="3"/>
                <a:pt x="17" y="7"/>
                <a:pt x="21" y="7"/>
              </a:cubicBezTo>
              <a:cubicBezTo>
                <a:pt x="25" y="7"/>
                <a:pt x="32" y="2"/>
                <a:pt x="36" y="2"/>
              </a:cubicBezTo>
              <a:cubicBezTo>
                <a:pt x="40" y="2"/>
                <a:pt x="42" y="8"/>
                <a:pt x="46" y="8"/>
              </a:cubicBezTo>
              <a:cubicBezTo>
                <a:pt x="50" y="8"/>
                <a:pt x="56" y="2"/>
                <a:pt x="61" y="2"/>
              </a:cubicBezTo>
              <a:cubicBezTo>
                <a:pt x="66" y="2"/>
                <a:pt x="69" y="6"/>
                <a:pt x="74" y="6"/>
              </a:cubicBezTo>
              <a:cubicBezTo>
                <a:pt x="79" y="6"/>
                <a:pt x="86" y="0"/>
                <a:pt x="91" y="0"/>
              </a:cubicBezTo>
              <a:cubicBezTo>
                <a:pt x="96" y="0"/>
                <a:pt x="100" y="7"/>
                <a:pt x="105" y="7"/>
              </a:cubicBezTo>
              <a:cubicBezTo>
                <a:pt x="110" y="7"/>
                <a:pt x="119" y="0"/>
                <a:pt x="124" y="0"/>
              </a:cubicBezTo>
              <a:cubicBezTo>
                <a:pt x="129" y="0"/>
                <a:pt x="132" y="7"/>
                <a:pt x="137" y="7"/>
              </a:cubicBezTo>
              <a:cubicBezTo>
                <a:pt x="142" y="7"/>
                <a:pt x="148" y="0"/>
                <a:pt x="153" y="0"/>
              </a:cubicBezTo>
              <a:cubicBezTo>
                <a:pt x="158" y="0"/>
                <a:pt x="163" y="7"/>
                <a:pt x="168" y="7"/>
              </a:cubicBezTo>
              <a:cubicBezTo>
                <a:pt x="173" y="7"/>
                <a:pt x="177" y="0"/>
                <a:pt x="182" y="0"/>
              </a:cubicBezTo>
              <a:cubicBezTo>
                <a:pt x="187" y="0"/>
                <a:pt x="191" y="7"/>
                <a:pt x="196" y="7"/>
              </a:cubicBezTo>
              <a:cubicBezTo>
                <a:pt x="201" y="7"/>
                <a:pt x="209" y="0"/>
                <a:pt x="214" y="0"/>
              </a:cubicBezTo>
              <a:cubicBezTo>
                <a:pt x="219" y="0"/>
                <a:pt x="221" y="7"/>
                <a:pt x="227" y="7"/>
              </a:cubicBezTo>
              <a:cubicBezTo>
                <a:pt x="233" y="7"/>
                <a:pt x="242" y="0"/>
                <a:pt x="248" y="0"/>
              </a:cubicBezTo>
              <a:cubicBezTo>
                <a:pt x="254" y="0"/>
                <a:pt x="258" y="6"/>
                <a:pt x="263" y="6"/>
              </a:cubicBezTo>
              <a:cubicBezTo>
                <a:pt x="268" y="6"/>
                <a:pt x="276" y="1"/>
                <a:pt x="281" y="1"/>
              </a:cubicBezTo>
              <a:cubicBezTo>
                <a:pt x="286" y="1"/>
                <a:pt x="289" y="6"/>
                <a:pt x="294" y="6"/>
              </a:cubicBezTo>
              <a:cubicBezTo>
                <a:pt x="299" y="6"/>
                <a:pt x="306" y="0"/>
                <a:pt x="311" y="0"/>
              </a:cubicBezTo>
              <a:cubicBezTo>
                <a:pt x="316" y="0"/>
                <a:pt x="321" y="8"/>
                <a:pt x="326" y="8"/>
              </a:cubicBezTo>
              <a:cubicBezTo>
                <a:pt x="331" y="8"/>
                <a:pt x="337" y="0"/>
                <a:pt x="341" y="0"/>
              </a:cubicBezTo>
              <a:cubicBezTo>
                <a:pt x="345" y="0"/>
                <a:pt x="347" y="8"/>
                <a:pt x="351" y="8"/>
              </a:cubicBezTo>
              <a:cubicBezTo>
                <a:pt x="355" y="8"/>
                <a:pt x="362" y="0"/>
                <a:pt x="366" y="0"/>
              </a:cubicBezTo>
              <a:cubicBezTo>
                <a:pt x="370" y="0"/>
                <a:pt x="374" y="4"/>
                <a:pt x="375" y="7"/>
              </a:cubicBezTo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30480</xdr:colOff>
      <xdr:row>101</xdr:row>
      <xdr:rowOff>99060</xdr:rowOff>
    </xdr:from>
    <xdr:to>
      <xdr:col>5</xdr:col>
      <xdr:colOff>129540</xdr:colOff>
      <xdr:row>103</xdr:row>
      <xdr:rowOff>15240</xdr:rowOff>
    </xdr:to>
    <xdr:sp macro="" textlink="">
      <xdr:nvSpPr>
        <xdr:cNvPr id="17475" name="Line 67">
          <a:extLst>
            <a:ext uri="{FF2B5EF4-FFF2-40B4-BE49-F238E27FC236}">
              <a16:creationId xmlns:a16="http://schemas.microsoft.com/office/drawing/2014/main" id="{00000000-0008-0000-2600-000043440000}"/>
            </a:ext>
          </a:extLst>
        </xdr:cNvPr>
        <xdr:cNvSpPr>
          <a:spLocks noChangeShapeType="1"/>
        </xdr:cNvSpPr>
      </xdr:nvSpPr>
      <xdr:spPr bwMode="auto">
        <a:xfrm flipH="1">
          <a:off x="3208020" y="19027140"/>
          <a:ext cx="99060" cy="2819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129540</xdr:colOff>
      <xdr:row>101</xdr:row>
      <xdr:rowOff>7620</xdr:rowOff>
    </xdr:from>
    <xdr:to>
      <xdr:col>6</xdr:col>
      <xdr:colOff>129540</xdr:colOff>
      <xdr:row>101</xdr:row>
      <xdr:rowOff>99060</xdr:rowOff>
    </xdr:to>
    <xdr:sp macro="" textlink="">
      <xdr:nvSpPr>
        <xdr:cNvPr id="17476" name="Line 68">
          <a:extLst>
            <a:ext uri="{FF2B5EF4-FFF2-40B4-BE49-F238E27FC236}">
              <a16:creationId xmlns:a16="http://schemas.microsoft.com/office/drawing/2014/main" id="{00000000-0008-0000-2600-000044440000}"/>
            </a:ext>
          </a:extLst>
        </xdr:cNvPr>
        <xdr:cNvSpPr>
          <a:spLocks noChangeShapeType="1"/>
        </xdr:cNvSpPr>
      </xdr:nvSpPr>
      <xdr:spPr bwMode="auto">
        <a:xfrm>
          <a:off x="3307080" y="18935700"/>
          <a:ext cx="624840" cy="914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76200</xdr:colOff>
      <xdr:row>101</xdr:row>
      <xdr:rowOff>83820</xdr:rowOff>
    </xdr:from>
    <xdr:to>
      <xdr:col>4</xdr:col>
      <xdr:colOff>91440</xdr:colOff>
      <xdr:row>103</xdr:row>
      <xdr:rowOff>22860</xdr:rowOff>
    </xdr:to>
    <xdr:sp macro="" textlink="">
      <xdr:nvSpPr>
        <xdr:cNvPr id="17477" name="Line 69">
          <a:extLst>
            <a:ext uri="{FF2B5EF4-FFF2-40B4-BE49-F238E27FC236}">
              <a16:creationId xmlns:a16="http://schemas.microsoft.com/office/drawing/2014/main" id="{00000000-0008-0000-2600-000045440000}"/>
            </a:ext>
          </a:extLst>
        </xdr:cNvPr>
        <xdr:cNvSpPr>
          <a:spLocks noChangeShapeType="1"/>
        </xdr:cNvSpPr>
      </xdr:nvSpPr>
      <xdr:spPr bwMode="auto">
        <a:xfrm>
          <a:off x="2255520" y="19011900"/>
          <a:ext cx="15240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243840</xdr:colOff>
      <xdr:row>61</xdr:row>
      <xdr:rowOff>38100</xdr:rowOff>
    </xdr:from>
    <xdr:to>
      <xdr:col>3</xdr:col>
      <xdr:colOff>259080</xdr:colOff>
      <xdr:row>63</xdr:row>
      <xdr:rowOff>22860</xdr:rowOff>
    </xdr:to>
    <xdr:sp macro="" textlink="">
      <xdr:nvSpPr>
        <xdr:cNvPr id="17478" name="Line 70">
          <a:extLst>
            <a:ext uri="{FF2B5EF4-FFF2-40B4-BE49-F238E27FC236}">
              <a16:creationId xmlns:a16="http://schemas.microsoft.com/office/drawing/2014/main" id="{00000000-0008-0000-2600-000046440000}"/>
            </a:ext>
          </a:extLst>
        </xdr:cNvPr>
        <xdr:cNvSpPr>
          <a:spLocks noChangeShapeType="1"/>
        </xdr:cNvSpPr>
      </xdr:nvSpPr>
      <xdr:spPr bwMode="auto">
        <a:xfrm>
          <a:off x="1767840" y="11650980"/>
          <a:ext cx="15240" cy="3505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99060</xdr:colOff>
      <xdr:row>61</xdr:row>
      <xdr:rowOff>45720</xdr:rowOff>
    </xdr:from>
    <xdr:to>
      <xdr:col>4</xdr:col>
      <xdr:colOff>106680</xdr:colOff>
      <xdr:row>63</xdr:row>
      <xdr:rowOff>22860</xdr:rowOff>
    </xdr:to>
    <xdr:sp macro="" textlink="">
      <xdr:nvSpPr>
        <xdr:cNvPr id="17479" name="Line 71">
          <a:extLst>
            <a:ext uri="{FF2B5EF4-FFF2-40B4-BE49-F238E27FC236}">
              <a16:creationId xmlns:a16="http://schemas.microsoft.com/office/drawing/2014/main" id="{00000000-0008-0000-2600-000047440000}"/>
            </a:ext>
          </a:extLst>
        </xdr:cNvPr>
        <xdr:cNvSpPr>
          <a:spLocks noChangeShapeType="1"/>
        </xdr:cNvSpPr>
      </xdr:nvSpPr>
      <xdr:spPr bwMode="auto">
        <a:xfrm>
          <a:off x="2278380" y="11658600"/>
          <a:ext cx="762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236220</xdr:colOff>
      <xdr:row>63</xdr:row>
      <xdr:rowOff>68580</xdr:rowOff>
    </xdr:from>
    <xdr:to>
      <xdr:col>3</xdr:col>
      <xdr:colOff>243840</xdr:colOff>
      <xdr:row>67</xdr:row>
      <xdr:rowOff>38100</xdr:rowOff>
    </xdr:to>
    <xdr:sp macro="" textlink="">
      <xdr:nvSpPr>
        <xdr:cNvPr id="17480" name="Line 72">
          <a:extLst>
            <a:ext uri="{FF2B5EF4-FFF2-40B4-BE49-F238E27FC236}">
              <a16:creationId xmlns:a16="http://schemas.microsoft.com/office/drawing/2014/main" id="{00000000-0008-0000-2600-000048440000}"/>
            </a:ext>
          </a:extLst>
        </xdr:cNvPr>
        <xdr:cNvSpPr>
          <a:spLocks noChangeShapeType="1"/>
        </xdr:cNvSpPr>
      </xdr:nvSpPr>
      <xdr:spPr bwMode="auto">
        <a:xfrm>
          <a:off x="1760220" y="12047220"/>
          <a:ext cx="7620" cy="7010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66</xdr:row>
      <xdr:rowOff>53340</xdr:rowOff>
    </xdr:from>
    <xdr:to>
      <xdr:col>4</xdr:col>
      <xdr:colOff>121920</xdr:colOff>
      <xdr:row>67</xdr:row>
      <xdr:rowOff>91440</xdr:rowOff>
    </xdr:to>
    <xdr:sp macro="" textlink="">
      <xdr:nvSpPr>
        <xdr:cNvPr id="17481" name="Line 73">
          <a:extLst>
            <a:ext uri="{FF2B5EF4-FFF2-40B4-BE49-F238E27FC236}">
              <a16:creationId xmlns:a16="http://schemas.microsoft.com/office/drawing/2014/main" id="{00000000-0008-0000-2600-000049440000}"/>
            </a:ext>
          </a:extLst>
        </xdr:cNvPr>
        <xdr:cNvSpPr>
          <a:spLocks noChangeShapeType="1"/>
        </xdr:cNvSpPr>
      </xdr:nvSpPr>
      <xdr:spPr bwMode="auto">
        <a:xfrm>
          <a:off x="2293620" y="12580620"/>
          <a:ext cx="7620" cy="2209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274320</xdr:colOff>
      <xdr:row>66</xdr:row>
      <xdr:rowOff>129540</xdr:rowOff>
    </xdr:from>
    <xdr:to>
      <xdr:col>4</xdr:col>
      <xdr:colOff>114300</xdr:colOff>
      <xdr:row>67</xdr:row>
      <xdr:rowOff>38100</xdr:rowOff>
    </xdr:to>
    <xdr:sp macro="" textlink="">
      <xdr:nvSpPr>
        <xdr:cNvPr id="17482" name="Line 74">
          <a:extLst>
            <a:ext uri="{FF2B5EF4-FFF2-40B4-BE49-F238E27FC236}">
              <a16:creationId xmlns:a16="http://schemas.microsoft.com/office/drawing/2014/main" id="{00000000-0008-0000-2600-00004A440000}"/>
            </a:ext>
          </a:extLst>
        </xdr:cNvPr>
        <xdr:cNvSpPr>
          <a:spLocks noChangeShapeType="1"/>
        </xdr:cNvSpPr>
      </xdr:nvSpPr>
      <xdr:spPr bwMode="auto">
        <a:xfrm>
          <a:off x="1798320" y="12656820"/>
          <a:ext cx="495300" cy="914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243840</xdr:colOff>
      <xdr:row>67</xdr:row>
      <xdr:rowOff>30480</xdr:rowOff>
    </xdr:from>
    <xdr:to>
      <xdr:col>3</xdr:col>
      <xdr:colOff>266700</xdr:colOff>
      <xdr:row>67</xdr:row>
      <xdr:rowOff>38100</xdr:rowOff>
    </xdr:to>
    <xdr:sp macro="" textlink="">
      <xdr:nvSpPr>
        <xdr:cNvPr id="17483" name="Line 75">
          <a:extLst>
            <a:ext uri="{FF2B5EF4-FFF2-40B4-BE49-F238E27FC236}">
              <a16:creationId xmlns:a16="http://schemas.microsoft.com/office/drawing/2014/main" id="{00000000-0008-0000-2600-00004B440000}"/>
            </a:ext>
          </a:extLst>
        </xdr:cNvPr>
        <xdr:cNvSpPr>
          <a:spLocks noChangeShapeType="1"/>
        </xdr:cNvSpPr>
      </xdr:nvSpPr>
      <xdr:spPr bwMode="auto">
        <a:xfrm flipH="1">
          <a:off x="1767840" y="12740640"/>
          <a:ext cx="228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601980</xdr:colOff>
      <xdr:row>65</xdr:row>
      <xdr:rowOff>60960</xdr:rowOff>
    </xdr:from>
    <xdr:to>
      <xdr:col>6</xdr:col>
      <xdr:colOff>525780</xdr:colOff>
      <xdr:row>65</xdr:row>
      <xdr:rowOff>68580</xdr:rowOff>
    </xdr:to>
    <xdr:sp macro="" textlink="">
      <xdr:nvSpPr>
        <xdr:cNvPr id="17484" name="Line 76">
          <a:extLst>
            <a:ext uri="{FF2B5EF4-FFF2-40B4-BE49-F238E27FC236}">
              <a16:creationId xmlns:a16="http://schemas.microsoft.com/office/drawing/2014/main" id="{00000000-0008-0000-2600-00004C440000}"/>
            </a:ext>
          </a:extLst>
        </xdr:cNvPr>
        <xdr:cNvSpPr>
          <a:spLocks noChangeShapeType="1"/>
        </xdr:cNvSpPr>
      </xdr:nvSpPr>
      <xdr:spPr bwMode="auto">
        <a:xfrm>
          <a:off x="876300" y="12405360"/>
          <a:ext cx="3451860" cy="7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525780</xdr:colOff>
      <xdr:row>65</xdr:row>
      <xdr:rowOff>38100</xdr:rowOff>
    </xdr:from>
    <xdr:to>
      <xdr:col>2</xdr:col>
      <xdr:colOff>7620</xdr:colOff>
      <xdr:row>65</xdr:row>
      <xdr:rowOff>91440</xdr:rowOff>
    </xdr:to>
    <xdr:sp macro="" textlink="">
      <xdr:nvSpPr>
        <xdr:cNvPr id="17485" name="Line 77">
          <a:extLst>
            <a:ext uri="{FF2B5EF4-FFF2-40B4-BE49-F238E27FC236}">
              <a16:creationId xmlns:a16="http://schemas.microsoft.com/office/drawing/2014/main" id="{00000000-0008-0000-2600-00004D440000}"/>
            </a:ext>
          </a:extLst>
        </xdr:cNvPr>
        <xdr:cNvSpPr>
          <a:spLocks noChangeShapeType="1"/>
        </xdr:cNvSpPr>
      </xdr:nvSpPr>
      <xdr:spPr bwMode="auto">
        <a:xfrm flipH="1">
          <a:off x="800100" y="12382500"/>
          <a:ext cx="106680" cy="533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220980</xdr:colOff>
      <xdr:row>64</xdr:row>
      <xdr:rowOff>106680</xdr:rowOff>
    </xdr:from>
    <xdr:to>
      <xdr:col>3</xdr:col>
      <xdr:colOff>243840</xdr:colOff>
      <xdr:row>65</xdr:row>
      <xdr:rowOff>114300</xdr:rowOff>
    </xdr:to>
    <xdr:sp macro="" textlink="">
      <xdr:nvSpPr>
        <xdr:cNvPr id="17486" name="Line 78">
          <a:extLst>
            <a:ext uri="{FF2B5EF4-FFF2-40B4-BE49-F238E27FC236}">
              <a16:creationId xmlns:a16="http://schemas.microsoft.com/office/drawing/2014/main" id="{00000000-0008-0000-2600-00004E440000}"/>
            </a:ext>
          </a:extLst>
        </xdr:cNvPr>
        <xdr:cNvSpPr>
          <a:spLocks noChangeShapeType="1"/>
        </xdr:cNvSpPr>
      </xdr:nvSpPr>
      <xdr:spPr bwMode="auto">
        <a:xfrm flipH="1">
          <a:off x="1744980" y="12268200"/>
          <a:ext cx="22860" cy="1905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990600</xdr:colOff>
      <xdr:row>64</xdr:row>
      <xdr:rowOff>114300</xdr:rowOff>
    </xdr:from>
    <xdr:to>
      <xdr:col>5</xdr:col>
      <xdr:colOff>60960</xdr:colOff>
      <xdr:row>65</xdr:row>
      <xdr:rowOff>91440</xdr:rowOff>
    </xdr:to>
    <xdr:sp macro="" textlink="">
      <xdr:nvSpPr>
        <xdr:cNvPr id="17487" name="Line 79">
          <a:extLst>
            <a:ext uri="{FF2B5EF4-FFF2-40B4-BE49-F238E27FC236}">
              <a16:creationId xmlns:a16="http://schemas.microsoft.com/office/drawing/2014/main" id="{00000000-0008-0000-2600-00004F440000}"/>
            </a:ext>
          </a:extLst>
        </xdr:cNvPr>
        <xdr:cNvSpPr>
          <a:spLocks noChangeShapeType="1"/>
        </xdr:cNvSpPr>
      </xdr:nvSpPr>
      <xdr:spPr bwMode="auto">
        <a:xfrm flipH="1">
          <a:off x="3169920" y="12275820"/>
          <a:ext cx="68580" cy="1600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ff_stop"/>
      <sheetName val="gir_bend"/>
      <sheetName val="rail"/>
      <sheetName val="main_gir"/>
      <sheetName val="duty"/>
      <sheetName val="fatigue"/>
      <sheetName val="comp"/>
      <sheetName val="skew_bolt value"/>
      <sheetName val="skew"/>
      <sheetName val="diaphragm"/>
      <sheetName val="endtie"/>
      <sheetName val="et fatigue "/>
      <sheetName val="et comp"/>
      <sheetName val="web_stiffener"/>
      <sheetName val="1024"/>
      <sheetName val="input"/>
      <sheetName val="CALCU"/>
      <sheetName val="OUTPUT"/>
      <sheetName val="Damping time"/>
      <sheetName val="BUCKLING CALC PARTIAL SEGMENT"/>
      <sheetName val="DIAPHRAGM CALC"/>
      <sheetName val="SEISMIC-1893"/>
      <sheetName val="I_REVISED"/>
      <sheetName val="CRAB_WT"/>
      <sheetName val="Sheet1"/>
      <sheetName val="Gantry Girder_cal (2)"/>
      <sheetName val="prop+plate  (2)"/>
      <sheetName val="prop+plate "/>
      <sheetName val="sft"/>
      <sheetName val="npcil"/>
      <sheetName val="GEAR_COSTING"/>
      <sheetName val="GG_cal"/>
      <sheetName val="pp"/>
      <sheetName val="MTSHAFT"/>
      <sheetName val="Sheet2"/>
      <sheetName val="Sheet1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aimin Patel" id="{5718E7A4-CA0F-4D77-A123-8DAA42648BF0}" userId="S::Jaimin@4dk4rf.onmicrosoft.com::33f6934a-b458-4072-bc04-ab52312cb2d6" providerId="AD"/>
</personList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solidFill>
          <a:srgbClr val="FFFFFF">
            <a:alpha val="73000"/>
          </a:srgbClr>
        </a:solidFill>
        <a:ln>
          <a:noFill/>
        </a:ln>
      </a:spPr>
      <a:bodyPr/>
      <a:lstStyle/>
    </a:sp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0" dT="2023-08-12T04:38:26.08" personId="{5718E7A4-CA0F-4D77-A123-8DAA42648BF0}" id="{4A67963D-67F8-4D30-9FC1-0B19F06E5268}">
    <text>From Master Dropdown</text>
  </threadedComment>
  <threadedComment ref="D13" dT="2023-08-12T04:39:08.17" personId="{5718E7A4-CA0F-4D77-A123-8DAA42648BF0}" id="{F32AC3C5-91BF-4ECB-8EC5-AE00D519E00F}">
    <text>Mandatory Input</text>
  </threadedComment>
  <threadedComment ref="D14" dT="2023-08-12T04:39:17.02" personId="{5718E7A4-CA0F-4D77-A123-8DAA42648BF0}" id="{869EF9A7-96F1-4152-9835-0C0A3859591A}">
    <text>Optional Input</text>
  </threadedComment>
  <threadedComment ref="D16" dT="2023-08-12T04:39:46.08" personId="{5718E7A4-CA0F-4D77-A123-8DAA42648BF0}" id="{15152893-AA41-4DCA-8E97-118E89EA7939}">
    <text>Mandatory Input</text>
  </threadedComment>
  <threadedComment ref="D17" dT="2023-08-12T04:39:58.59" personId="{5718E7A4-CA0F-4D77-A123-8DAA42648BF0}" id="{2E36FA41-E3BD-42ED-87EA-0ADB7FB80DDF}">
    <text>Mandatory Input</text>
  </threadedComment>
  <threadedComment ref="B19" dT="2023-08-12T04:43:25.27" personId="{5718E7A4-CA0F-4D77-A123-8DAA42648BF0}" id="{8C754D3F-C32F-4409-99E9-FEE6D5669D4F}">
    <text>Above Floor Level Mandatory
Below Floor Level Optional</text>
  </threadedComment>
  <threadedComment ref="B25" dT="2023-08-12T04:45:02.81" personId="{5718E7A4-CA0F-4D77-A123-8DAA42648BF0}" id="{37054DBF-40F2-4ACD-826B-280BDF6EB015}">
    <text>Duty Class is Master available?</text>
  </threadedComment>
  <threadedComment ref="D46" dT="2023-08-12T04:57:06.32" personId="{5718E7A4-CA0F-4D77-A123-8DAA42648BF0}" id="{987C27EB-7F65-4F9A-941E-1265DE228332}">
    <text>From Master Dropdown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5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6" Type="http://schemas.openxmlformats.org/officeDocument/2006/relationships/image" Target="../media/image10.emf"/><Relationship Id="rId5" Type="http://schemas.openxmlformats.org/officeDocument/2006/relationships/oleObject" Target="../embeddings/oleObject2.bin"/><Relationship Id="rId4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2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.bin"/><Relationship Id="rId3" Type="http://schemas.openxmlformats.org/officeDocument/2006/relationships/vmlDrawing" Target="../drawings/vmlDrawing7.vml"/><Relationship Id="rId7" Type="http://schemas.openxmlformats.org/officeDocument/2006/relationships/image" Target="../media/image18.emf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18.xml"/><Relationship Id="rId6" Type="http://schemas.openxmlformats.org/officeDocument/2006/relationships/oleObject" Target="../embeddings/oleObject4.bin"/><Relationship Id="rId5" Type="http://schemas.openxmlformats.org/officeDocument/2006/relationships/image" Target="../media/image17.emf"/><Relationship Id="rId4" Type="http://schemas.openxmlformats.org/officeDocument/2006/relationships/oleObject" Target="../embeddings/oleObject3.bin"/><Relationship Id="rId9" Type="http://schemas.openxmlformats.org/officeDocument/2006/relationships/image" Target="../media/image19.emf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8.bin"/><Relationship Id="rId3" Type="http://schemas.openxmlformats.org/officeDocument/2006/relationships/vmlDrawing" Target="../drawings/vmlDrawing9.vml"/><Relationship Id="rId7" Type="http://schemas.openxmlformats.org/officeDocument/2006/relationships/image" Target="../media/image21.emf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19.xml"/><Relationship Id="rId6" Type="http://schemas.openxmlformats.org/officeDocument/2006/relationships/oleObject" Target="../embeddings/oleObject7.bin"/><Relationship Id="rId5" Type="http://schemas.openxmlformats.org/officeDocument/2006/relationships/image" Target="../media/image20.emf"/><Relationship Id="rId4" Type="http://schemas.openxmlformats.org/officeDocument/2006/relationships/oleObject" Target="../embeddings/oleObject6.bin"/><Relationship Id="rId9" Type="http://schemas.openxmlformats.org/officeDocument/2006/relationships/image" Target="../media/image22.emf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0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8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9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1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H106"/>
  <sheetViews>
    <sheetView showGridLines="0" view="pageBreakPreview" topLeftCell="A37" zoomScaleNormal="130" zoomScaleSheetLayoutView="100" workbookViewId="0">
      <selection activeCell="M53" sqref="M53"/>
    </sheetView>
  </sheetViews>
  <sheetFormatPr defaultColWidth="9.1328125" defaultRowHeight="14.25"/>
  <cols>
    <col min="1" max="1" width="8.86328125" style="22" customWidth="1"/>
    <col min="2" max="2" width="13.46484375" style="22" customWidth="1"/>
    <col min="3" max="3" width="10.33203125" style="22" customWidth="1"/>
    <col min="4" max="5" width="14.6640625" style="22" customWidth="1"/>
    <col min="6" max="6" width="11.46484375" style="22" customWidth="1"/>
    <col min="7" max="7" width="10.6640625" style="22" customWidth="1"/>
    <col min="8" max="8" width="19" style="22" customWidth="1"/>
    <col min="9" max="9" width="6.86328125" style="22" customWidth="1"/>
    <col min="10" max="10" width="14" style="22" customWidth="1"/>
    <col min="11" max="11" width="9.1328125" style="22"/>
    <col min="12" max="12" width="17.46484375" style="22" customWidth="1"/>
    <col min="13" max="16" width="9.1328125" style="22"/>
    <col min="17" max="17" width="9.86328125" style="22" customWidth="1"/>
    <col min="18" max="39" width="9.1328125" style="22"/>
    <col min="40" max="78" width="9.6640625" style="22"/>
    <col min="79" max="100" width="10.86328125" style="22"/>
    <col min="101" max="109" width="9.6640625" style="22"/>
    <col min="110" max="130" width="10.86328125" style="22"/>
    <col min="131" max="139" width="9.6640625" style="22"/>
    <col min="140" max="161" width="10.86328125" style="22"/>
    <col min="162" max="170" width="9.1328125" style="22"/>
    <col min="171" max="192" width="9.6640625" style="22"/>
    <col min="193" max="201" width="9.1328125" style="22"/>
    <col min="202" max="220" width="9.6640625" style="22"/>
    <col min="221" max="229" width="9.1328125" style="22"/>
    <col min="230" max="251" width="9.6640625" style="22"/>
    <col min="252" max="260" width="9.1328125" style="22"/>
    <col min="261" max="268" width="9.6640625" style="22"/>
    <col min="269" max="16384" width="9.1328125" style="22"/>
  </cols>
  <sheetData>
    <row r="1" spans="1:268">
      <c r="A1" s="3696" t="s">
        <v>1</v>
      </c>
      <c r="B1" s="3696"/>
      <c r="C1" s="3696"/>
      <c r="D1" s="3696" t="s">
        <v>3953</v>
      </c>
      <c r="E1" s="3696"/>
      <c r="F1" s="3696"/>
      <c r="G1" s="3696" t="s">
        <v>2</v>
      </c>
      <c r="H1" s="3696"/>
      <c r="I1" s="3696"/>
      <c r="J1" s="17"/>
      <c r="K1" s="18"/>
      <c r="L1" s="19"/>
      <c r="M1" s="17"/>
      <c r="N1" s="20"/>
      <c r="O1" s="20"/>
      <c r="P1" s="17"/>
      <c r="Q1" s="17"/>
      <c r="R1" s="17"/>
      <c r="S1" s="17"/>
      <c r="T1" s="17"/>
      <c r="U1" s="21" t="s">
        <v>5</v>
      </c>
      <c r="V1" s="21" t="s">
        <v>6</v>
      </c>
      <c r="W1" s="17"/>
      <c r="X1" s="17" t="s">
        <v>7</v>
      </c>
      <c r="Y1" s="17" t="s">
        <v>8</v>
      </c>
      <c r="Z1" s="17" t="s">
        <v>9</v>
      </c>
      <c r="AA1" s="17" t="s">
        <v>10</v>
      </c>
      <c r="AB1" s="17" t="s">
        <v>11</v>
      </c>
      <c r="AC1" s="17" t="s">
        <v>12</v>
      </c>
      <c r="AD1" s="17" t="s">
        <v>13</v>
      </c>
      <c r="AE1" s="17" t="s">
        <v>14</v>
      </c>
      <c r="AF1" s="17" t="s">
        <v>15</v>
      </c>
      <c r="AG1" s="17" t="s">
        <v>16</v>
      </c>
      <c r="AH1" s="17" t="s">
        <v>17</v>
      </c>
      <c r="AI1" s="17" t="s">
        <v>18</v>
      </c>
      <c r="AJ1" s="17" t="s">
        <v>19</v>
      </c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>
        <v>43425</v>
      </c>
      <c r="DR1" s="23">
        <v>43426</v>
      </c>
      <c r="DS1" s="23">
        <v>43427</v>
      </c>
      <c r="DT1" s="23">
        <v>43428</v>
      </c>
      <c r="DU1" s="23">
        <v>43429</v>
      </c>
      <c r="DV1" s="23">
        <v>43430</v>
      </c>
      <c r="DW1" s="23">
        <v>43431</v>
      </c>
      <c r="DX1" s="23">
        <v>43432</v>
      </c>
      <c r="DY1" s="23">
        <v>43433</v>
      </c>
      <c r="DZ1" s="23">
        <v>43434</v>
      </c>
      <c r="EA1" s="23">
        <v>43435</v>
      </c>
      <c r="EB1" s="23">
        <v>43436</v>
      </c>
      <c r="EC1" s="23">
        <v>43437</v>
      </c>
      <c r="ED1" s="23">
        <v>43438</v>
      </c>
      <c r="EE1" s="23">
        <v>43439</v>
      </c>
      <c r="EF1" s="23">
        <v>43440</v>
      </c>
      <c r="EG1" s="23">
        <v>43441</v>
      </c>
      <c r="EH1" s="23">
        <v>43442</v>
      </c>
      <c r="EI1" s="23">
        <v>43443</v>
      </c>
      <c r="EJ1" s="23">
        <v>43444</v>
      </c>
      <c r="EK1" s="23">
        <v>43445</v>
      </c>
      <c r="EL1" s="23">
        <v>43446</v>
      </c>
      <c r="EM1" s="23">
        <v>43447</v>
      </c>
      <c r="EN1" s="23">
        <v>43448</v>
      </c>
      <c r="EO1" s="23">
        <v>43449</v>
      </c>
      <c r="EP1" s="23">
        <v>43450</v>
      </c>
      <c r="EQ1" s="23">
        <v>43451</v>
      </c>
      <c r="ER1" s="23">
        <v>43452</v>
      </c>
      <c r="ES1" s="23">
        <v>43453</v>
      </c>
      <c r="ET1" s="23">
        <v>43454</v>
      </c>
      <c r="EU1" s="23">
        <v>43455</v>
      </c>
      <c r="EV1" s="23">
        <v>43456</v>
      </c>
      <c r="EW1" s="23">
        <v>43457</v>
      </c>
      <c r="EX1" s="23">
        <v>43458</v>
      </c>
      <c r="EY1" s="23">
        <v>43459</v>
      </c>
      <c r="EZ1" s="23">
        <v>43460</v>
      </c>
      <c r="FA1" s="23">
        <v>43461</v>
      </c>
      <c r="FB1" s="23">
        <v>43462</v>
      </c>
      <c r="FC1" s="23">
        <v>43463</v>
      </c>
      <c r="FD1" s="23">
        <v>43464</v>
      </c>
      <c r="FE1" s="23">
        <v>43465</v>
      </c>
      <c r="FF1" s="23">
        <v>43466</v>
      </c>
      <c r="FG1" s="23">
        <v>43467</v>
      </c>
      <c r="FH1" s="23">
        <v>43468</v>
      </c>
      <c r="FI1" s="23">
        <v>43469</v>
      </c>
      <c r="FJ1" s="23">
        <v>43470</v>
      </c>
      <c r="FK1" s="23">
        <v>43471</v>
      </c>
      <c r="FL1" s="23">
        <v>43472</v>
      </c>
      <c r="FM1" s="23">
        <v>43473</v>
      </c>
      <c r="FN1" s="23">
        <v>43474</v>
      </c>
      <c r="FO1" s="23">
        <v>43475</v>
      </c>
      <c r="FP1" s="23">
        <v>43476</v>
      </c>
      <c r="FQ1" s="23">
        <v>43477</v>
      </c>
      <c r="FR1" s="23">
        <v>43478</v>
      </c>
      <c r="FS1" s="23">
        <v>43479</v>
      </c>
      <c r="FT1" s="23">
        <v>43480</v>
      </c>
      <c r="FU1" s="23">
        <v>43481</v>
      </c>
      <c r="FV1" s="23">
        <v>43482</v>
      </c>
      <c r="FW1" s="23">
        <v>43483</v>
      </c>
      <c r="FX1" s="23">
        <v>43484</v>
      </c>
      <c r="FY1" s="23">
        <v>43485</v>
      </c>
      <c r="FZ1" s="23">
        <v>43486</v>
      </c>
      <c r="GA1" s="23">
        <v>43487</v>
      </c>
      <c r="GB1" s="23">
        <v>43488</v>
      </c>
      <c r="GC1" s="23">
        <v>43489</v>
      </c>
      <c r="GD1" s="23">
        <v>43490</v>
      </c>
      <c r="GE1" s="23">
        <v>43491</v>
      </c>
      <c r="GF1" s="23">
        <v>43492</v>
      </c>
      <c r="GG1" s="23">
        <v>43493</v>
      </c>
      <c r="GH1" s="23">
        <v>43494</v>
      </c>
      <c r="GI1" s="23">
        <v>43495</v>
      </c>
      <c r="GJ1" s="23">
        <v>43496</v>
      </c>
      <c r="GK1" s="23">
        <v>43497</v>
      </c>
      <c r="GL1" s="23">
        <v>43498</v>
      </c>
      <c r="GM1" s="23">
        <v>43499</v>
      </c>
      <c r="GN1" s="23">
        <v>43500</v>
      </c>
      <c r="GO1" s="23">
        <v>43501</v>
      </c>
      <c r="GP1" s="23">
        <v>43502</v>
      </c>
      <c r="GQ1" s="23">
        <v>43503</v>
      </c>
      <c r="GR1" s="23">
        <v>43504</v>
      </c>
      <c r="GS1" s="23">
        <v>43505</v>
      </c>
      <c r="GT1" s="23">
        <v>43506</v>
      </c>
      <c r="GU1" s="23">
        <v>43507</v>
      </c>
      <c r="GV1" s="23">
        <v>43508</v>
      </c>
      <c r="GW1" s="23">
        <v>43509</v>
      </c>
      <c r="GX1" s="23">
        <v>43510</v>
      </c>
      <c r="GY1" s="23">
        <v>43511</v>
      </c>
      <c r="GZ1" s="23">
        <v>43512</v>
      </c>
      <c r="HA1" s="23">
        <v>43513</v>
      </c>
      <c r="HB1" s="23">
        <v>43514</v>
      </c>
      <c r="HC1" s="23">
        <v>43515</v>
      </c>
      <c r="HD1" s="23">
        <v>43516</v>
      </c>
      <c r="HE1" s="23">
        <v>43517</v>
      </c>
      <c r="HF1" s="23">
        <v>43518</v>
      </c>
      <c r="HG1" s="23">
        <v>43519</v>
      </c>
      <c r="HH1" s="23">
        <v>43520</v>
      </c>
      <c r="HI1" s="23">
        <v>43521</v>
      </c>
      <c r="HJ1" s="23">
        <v>43522</v>
      </c>
      <c r="HK1" s="23">
        <v>43523</v>
      </c>
      <c r="HL1" s="23">
        <v>43524</v>
      </c>
      <c r="HM1" s="23">
        <v>43525</v>
      </c>
      <c r="HN1" s="23">
        <v>43526</v>
      </c>
      <c r="HO1" s="23">
        <v>43527</v>
      </c>
      <c r="HP1" s="23">
        <v>43528</v>
      </c>
      <c r="HQ1" s="23">
        <v>43529</v>
      </c>
      <c r="HR1" s="23">
        <v>43530</v>
      </c>
      <c r="HS1" s="23">
        <v>43531</v>
      </c>
      <c r="HT1" s="23">
        <v>43532</v>
      </c>
      <c r="HU1" s="23">
        <v>43533</v>
      </c>
      <c r="HV1" s="23">
        <v>43534</v>
      </c>
      <c r="HW1" s="23">
        <v>43535</v>
      </c>
      <c r="HX1" s="23">
        <v>43536</v>
      </c>
      <c r="HY1" s="23">
        <v>43537</v>
      </c>
      <c r="HZ1" s="23">
        <v>43538</v>
      </c>
      <c r="IA1" s="23">
        <v>43539</v>
      </c>
      <c r="IB1" s="23">
        <v>43540</v>
      </c>
      <c r="IC1" s="23">
        <v>43541</v>
      </c>
      <c r="ID1" s="23">
        <v>43542</v>
      </c>
      <c r="IE1" s="23">
        <v>43543</v>
      </c>
      <c r="IF1" s="23">
        <v>43544</v>
      </c>
      <c r="IG1" s="23">
        <v>43545</v>
      </c>
      <c r="IH1" s="23">
        <v>43546</v>
      </c>
      <c r="II1" s="23">
        <v>43547</v>
      </c>
      <c r="IJ1" s="23">
        <v>43548</v>
      </c>
      <c r="IK1" s="23">
        <v>43549</v>
      </c>
      <c r="IL1" s="23">
        <v>43550</v>
      </c>
      <c r="IM1" s="23">
        <v>43551</v>
      </c>
      <c r="IN1" s="23">
        <v>43552</v>
      </c>
      <c r="IO1" s="23">
        <v>43553</v>
      </c>
      <c r="IP1" s="23">
        <v>43554</v>
      </c>
      <c r="IQ1" s="23">
        <v>43555</v>
      </c>
      <c r="IR1" s="23">
        <v>43556</v>
      </c>
      <c r="IS1" s="23">
        <v>43557</v>
      </c>
      <c r="IT1" s="23">
        <v>43558</v>
      </c>
      <c r="IU1" s="23">
        <v>43559</v>
      </c>
      <c r="IV1" s="23">
        <v>43560</v>
      </c>
      <c r="IW1" s="23">
        <v>43561</v>
      </c>
      <c r="IX1" s="23">
        <v>43562</v>
      </c>
      <c r="IY1" s="23">
        <v>43563</v>
      </c>
      <c r="IZ1" s="23">
        <v>43564</v>
      </c>
      <c r="JA1" s="23">
        <v>43565</v>
      </c>
      <c r="JB1" s="23">
        <v>43566</v>
      </c>
      <c r="JC1" s="23">
        <v>43567</v>
      </c>
      <c r="JD1" s="23">
        <v>43568</v>
      </c>
      <c r="JE1" s="23">
        <v>43569</v>
      </c>
      <c r="JF1" s="23">
        <v>43570</v>
      </c>
      <c r="JG1" s="23">
        <v>43571</v>
      </c>
      <c r="JH1" s="23">
        <v>43572</v>
      </c>
    </row>
    <row r="2" spans="1:268" ht="14.65" thickBot="1">
      <c r="A2" s="3698" t="s">
        <v>3954</v>
      </c>
      <c r="B2" s="3698"/>
      <c r="C2" s="3698"/>
      <c r="D2" s="3699" t="str">
        <f>IF(D14&gt;0,D13&amp;"/"&amp;D14&amp;"T"&amp;" "&amp;D10,D13&amp;"T"&amp;" "&amp;D10)</f>
        <v xml:space="preserve">25/15T D/G EOT CRANE  </v>
      </c>
      <c r="E2" s="3699"/>
      <c r="F2" s="3699"/>
      <c r="G2" s="3700">
        <f>D7</f>
        <v>0</v>
      </c>
      <c r="H2" s="3700"/>
      <c r="I2" s="3700"/>
      <c r="K2" s="24"/>
      <c r="L2" s="19"/>
      <c r="M2" s="19"/>
      <c r="N2" s="17"/>
      <c r="O2" s="20"/>
      <c r="P2" s="25"/>
      <c r="Q2" s="17"/>
      <c r="R2" s="17"/>
      <c r="S2" s="17"/>
      <c r="T2" s="17"/>
      <c r="U2" s="20" t="s">
        <v>20</v>
      </c>
      <c r="V2" s="20" t="s">
        <v>21</v>
      </c>
      <c r="W2" s="20" t="s">
        <v>22</v>
      </c>
      <c r="X2" s="20" t="s">
        <v>23</v>
      </c>
      <c r="Y2" s="20" t="s">
        <v>24</v>
      </c>
      <c r="Z2" s="20" t="s">
        <v>25</v>
      </c>
      <c r="AA2" s="26" t="s">
        <v>26</v>
      </c>
      <c r="AN2" s="23"/>
    </row>
    <row r="3" spans="1:268" ht="14.45" customHeight="1" thickBot="1">
      <c r="A3" s="3697"/>
      <c r="B3" s="3697"/>
      <c r="C3" s="3697"/>
      <c r="D3" s="3698"/>
      <c r="E3" s="3698"/>
      <c r="F3" s="3698"/>
      <c r="G3" s="3696" t="s">
        <v>27</v>
      </c>
      <c r="H3" s="3696"/>
      <c r="I3" s="3696"/>
      <c r="J3" s="17"/>
      <c r="K3" s="198" t="s">
        <v>28</v>
      </c>
      <c r="L3" s="199" t="s">
        <v>29</v>
      </c>
      <c r="M3" s="200" t="s">
        <v>30</v>
      </c>
      <c r="N3" s="201" t="s">
        <v>31</v>
      </c>
      <c r="O3" s="202" t="s">
        <v>26</v>
      </c>
      <c r="P3" s="20"/>
      <c r="V3" s="17"/>
      <c r="W3" s="17"/>
      <c r="X3" s="17"/>
      <c r="Y3" s="17"/>
      <c r="Z3" s="17"/>
      <c r="AA3" s="17"/>
      <c r="AN3" s="23"/>
    </row>
    <row r="4" spans="1:268">
      <c r="A4" s="29" t="s">
        <v>32</v>
      </c>
      <c r="B4" s="29" t="str">
        <f>D6</f>
        <v>R00</v>
      </c>
      <c r="C4" s="30"/>
      <c r="D4" s="3700" t="str">
        <f>IF(D8=0," ",D8)</f>
        <v xml:space="preserve"> </v>
      </c>
      <c r="E4" s="3700"/>
      <c r="F4" s="3700"/>
      <c r="G4" s="3696"/>
      <c r="H4" s="3696"/>
      <c r="I4" s="3696"/>
      <c r="J4" s="31"/>
      <c r="K4" s="32" t="s">
        <v>33</v>
      </c>
      <c r="L4" s="33" t="s">
        <v>34</v>
      </c>
      <c r="M4" s="34" t="s">
        <v>35</v>
      </c>
      <c r="N4" s="35" t="s">
        <v>36</v>
      </c>
      <c r="U4" s="31"/>
      <c r="V4" s="31"/>
      <c r="W4" s="31"/>
      <c r="X4" s="31"/>
      <c r="Y4" s="31"/>
      <c r="Z4" s="31"/>
      <c r="AA4" s="31"/>
      <c r="AN4" s="23"/>
    </row>
    <row r="5" spans="1:268">
      <c r="A5" s="36"/>
      <c r="B5" s="20"/>
      <c r="C5" s="20"/>
      <c r="D5" s="37"/>
      <c r="E5" s="37"/>
      <c r="F5" s="37"/>
      <c r="G5" s="37"/>
      <c r="H5" s="37"/>
      <c r="I5" s="38"/>
      <c r="J5" s="20"/>
      <c r="K5" s="39" t="s">
        <v>37</v>
      </c>
      <c r="L5" s="40" t="s">
        <v>38</v>
      </c>
      <c r="M5" s="41" t="s">
        <v>39</v>
      </c>
      <c r="N5" s="42" t="s">
        <v>40</v>
      </c>
      <c r="U5" s="17"/>
      <c r="V5" s="17"/>
      <c r="W5" s="17"/>
      <c r="X5" s="17"/>
      <c r="Y5" s="17"/>
      <c r="Z5" s="17"/>
      <c r="AA5" s="17"/>
      <c r="AN5" s="23"/>
    </row>
    <row r="6" spans="1:268" ht="20.100000000000001" customHeight="1">
      <c r="A6" s="20"/>
      <c r="B6" s="43" t="s">
        <v>2577</v>
      </c>
      <c r="C6" s="20"/>
      <c r="D6" s="2474" t="s">
        <v>7</v>
      </c>
      <c r="E6" s="2475"/>
      <c r="I6" s="31"/>
      <c r="J6" s="44"/>
      <c r="K6" s="39" t="s">
        <v>41</v>
      </c>
      <c r="L6" s="40" t="s">
        <v>42</v>
      </c>
      <c r="M6" s="41" t="s">
        <v>43</v>
      </c>
      <c r="N6" s="42" t="s">
        <v>44</v>
      </c>
      <c r="U6" s="17" t="str">
        <f>IF(D14&gt;0,D13&amp;"/"&amp;D14&amp;"T",D13&amp;"T")</f>
        <v>25/15T</v>
      </c>
      <c r="W6" s="17"/>
      <c r="X6" s="17"/>
      <c r="Y6" s="17"/>
      <c r="Z6" s="17"/>
      <c r="AA6" s="20" t="str">
        <f>+"Main hoist is"&amp;D19&amp;"m"&amp;" &amp; Auxiliary hoist is "&amp;D20&amp;"m"</f>
        <v>Main hoist is15m &amp; Auxiliary hoist is 15m</v>
      </c>
      <c r="AN6" s="23"/>
    </row>
    <row r="7" spans="1:268" ht="20.100000000000001" customHeight="1" thickBot="1">
      <c r="A7" s="3694" t="s">
        <v>2578</v>
      </c>
      <c r="B7" s="3694"/>
      <c r="C7" s="17"/>
      <c r="D7" s="3701"/>
      <c r="E7" s="3701"/>
      <c r="F7" s="3701"/>
      <c r="G7" s="3701"/>
      <c r="H7" s="2142"/>
      <c r="I7" s="31"/>
      <c r="J7" s="20"/>
      <c r="K7" s="45" t="s">
        <v>45</v>
      </c>
      <c r="L7" s="46" t="s">
        <v>46</v>
      </c>
      <c r="M7" s="47" t="s">
        <v>47</v>
      </c>
      <c r="N7" s="48" t="s">
        <v>48</v>
      </c>
      <c r="T7" s="17"/>
      <c r="U7" s="31" t="str">
        <f>IF(D20&gt;0,IF(D19=D20,AA6,AA7),AA8)</f>
        <v>Main hoist is15m &amp; Auxiliary hoist is 15m</v>
      </c>
      <c r="W7" s="17"/>
      <c r="X7" s="17"/>
      <c r="Y7" s="17"/>
      <c r="Z7" s="17"/>
      <c r="AA7" s="20" t="str">
        <f>+"both Main hoist &amp; Auxiliary hoist is "&amp;D19&amp;"m"</f>
        <v>both Main hoist &amp; Auxiliary hoist is 15m</v>
      </c>
      <c r="AN7" s="23"/>
    </row>
    <row r="8" spans="1:268" ht="17.100000000000001" customHeight="1">
      <c r="A8" s="3695" t="s">
        <v>2587</v>
      </c>
      <c r="B8" s="3695"/>
      <c r="C8" s="17"/>
      <c r="D8" s="2476"/>
      <c r="E8" s="2476"/>
      <c r="F8" s="2476"/>
      <c r="G8" s="2476"/>
      <c r="H8" s="2142"/>
      <c r="I8" s="31"/>
      <c r="J8" s="20"/>
      <c r="K8" s="50"/>
      <c r="T8" s="17"/>
      <c r="W8" s="17"/>
      <c r="X8" s="17"/>
      <c r="Y8" s="17"/>
      <c r="Z8" s="17"/>
      <c r="AA8" s="20" t="str">
        <f>"hoist is "&amp;D19&amp;"m"</f>
        <v>hoist is 15m</v>
      </c>
      <c r="AN8" s="23"/>
    </row>
    <row r="9" spans="1:268" ht="17.25" customHeight="1">
      <c r="A9" s="19"/>
      <c r="B9" s="43"/>
      <c r="C9" s="31"/>
      <c r="D9" s="31"/>
      <c r="E9" s="31"/>
      <c r="F9" s="31"/>
      <c r="H9" s="31"/>
      <c r="I9" s="31"/>
      <c r="J9" s="52"/>
      <c r="K9" s="50"/>
      <c r="T9" s="17"/>
      <c r="V9" s="17"/>
      <c r="W9" s="17"/>
      <c r="X9" s="17"/>
      <c r="Y9" s="17"/>
      <c r="Z9" s="17"/>
      <c r="AA9" s="17"/>
      <c r="AN9" s="23"/>
    </row>
    <row r="10" spans="1:268" ht="20.100000000000001" customHeight="1" thickBot="1">
      <c r="A10" s="3694" t="s">
        <v>2579</v>
      </c>
      <c r="B10" s="3694"/>
      <c r="C10" s="31"/>
      <c r="D10" s="3701" t="s">
        <v>2660</v>
      </c>
      <c r="E10" s="3701"/>
      <c r="F10" s="3701"/>
      <c r="G10" s="3701"/>
      <c r="H10" s="1231"/>
      <c r="I10" s="31"/>
      <c r="J10" s="20"/>
      <c r="P10" s="20"/>
      <c r="T10" s="17"/>
      <c r="V10" s="17"/>
      <c r="W10" s="17"/>
      <c r="X10" s="17"/>
      <c r="Y10" s="17"/>
      <c r="Z10" s="17"/>
      <c r="AA10" s="17"/>
      <c r="AN10" s="23"/>
    </row>
    <row r="11" spans="1:268" ht="20.100000000000001" customHeight="1" thickBot="1">
      <c r="A11" s="3694" t="s">
        <v>2566</v>
      </c>
      <c r="B11" s="3694"/>
      <c r="C11" s="31"/>
      <c r="D11" s="3702"/>
      <c r="E11" s="3702"/>
      <c r="F11" s="3702"/>
      <c r="G11" s="3702"/>
      <c r="H11" s="3702"/>
      <c r="I11" s="31"/>
      <c r="J11" s="20"/>
      <c r="M11" s="20"/>
      <c r="N11" s="3703" t="s">
        <v>49</v>
      </c>
      <c r="O11" s="3708" t="s">
        <v>50</v>
      </c>
      <c r="P11" s="54"/>
      <c r="T11" s="17"/>
      <c r="U11" s="17"/>
      <c r="V11" s="17"/>
      <c r="W11" s="17"/>
      <c r="X11" s="17"/>
      <c r="Y11" s="17"/>
      <c r="Z11" s="17"/>
      <c r="AA11" s="17"/>
      <c r="AN11" s="23"/>
    </row>
    <row r="12" spans="1:268" ht="17.25" customHeight="1" thickBot="1">
      <c r="A12" s="20"/>
      <c r="B12" s="55"/>
      <c r="I12" s="31"/>
      <c r="J12" s="20"/>
      <c r="K12" s="56" t="s">
        <v>51</v>
      </c>
      <c r="L12" s="57" t="s">
        <v>52</v>
      </c>
      <c r="M12" s="20"/>
      <c r="N12" s="3704"/>
      <c r="O12" s="3709"/>
      <c r="P12" s="20"/>
      <c r="T12" s="17"/>
      <c r="U12" s="17"/>
      <c r="V12" s="17"/>
      <c r="W12" s="17"/>
      <c r="X12" s="17"/>
      <c r="Y12" s="17"/>
      <c r="Z12" s="17"/>
      <c r="AA12" s="17"/>
      <c r="AN12" s="23"/>
    </row>
    <row r="13" spans="1:268" ht="20.100000000000001" customHeight="1">
      <c r="A13" s="20"/>
      <c r="B13" s="43" t="s">
        <v>53</v>
      </c>
      <c r="C13" s="59" t="s">
        <v>54</v>
      </c>
      <c r="D13" s="2477">
        <v>25</v>
      </c>
      <c r="E13" s="31" t="s">
        <v>55</v>
      </c>
      <c r="I13" s="31"/>
      <c r="J13" s="20"/>
      <c r="K13" s="61" t="s">
        <v>56</v>
      </c>
      <c r="L13" s="62">
        <v>1</v>
      </c>
      <c r="M13" s="20"/>
      <c r="N13" s="61">
        <v>40</v>
      </c>
      <c r="O13" s="63">
        <v>1</v>
      </c>
      <c r="P13" s="20"/>
      <c r="T13" s="17"/>
      <c r="U13" s="17"/>
      <c r="V13" s="17"/>
      <c r="W13" s="17"/>
      <c r="X13" s="17"/>
      <c r="Y13" s="17"/>
      <c r="Z13" s="17"/>
      <c r="AA13" s="17"/>
      <c r="AN13" s="23"/>
    </row>
    <row r="14" spans="1:268" ht="20.100000000000001" customHeight="1">
      <c r="A14" s="20"/>
      <c r="B14" s="43"/>
      <c r="C14" s="59" t="s">
        <v>57</v>
      </c>
      <c r="D14" s="2477">
        <v>15</v>
      </c>
      <c r="E14" s="31" t="s">
        <v>55</v>
      </c>
      <c r="G14" s="31"/>
      <c r="H14" s="203"/>
      <c r="I14" s="31"/>
      <c r="J14" s="20"/>
      <c r="K14" s="64" t="s">
        <v>58</v>
      </c>
      <c r="L14" s="65">
        <v>0.92</v>
      </c>
      <c r="M14" s="20"/>
      <c r="N14" s="64">
        <v>45</v>
      </c>
      <c r="O14" s="66">
        <v>0.95</v>
      </c>
      <c r="P14" s="20"/>
      <c r="T14" s="17"/>
      <c r="U14" s="17"/>
      <c r="V14" s="17"/>
      <c r="W14" s="17"/>
      <c r="X14" s="17"/>
      <c r="Y14" s="17"/>
      <c r="Z14" s="17"/>
      <c r="AA14" s="17"/>
      <c r="AN14" s="23"/>
    </row>
    <row r="15" spans="1:268" ht="17.25" customHeight="1">
      <c r="A15" s="19"/>
      <c r="B15" s="67"/>
      <c r="C15" s="20"/>
      <c r="D15" s="20"/>
      <c r="E15" s="20"/>
      <c r="H15" s="203"/>
      <c r="I15" s="31"/>
      <c r="J15" s="20"/>
      <c r="K15" s="64" t="s">
        <v>59</v>
      </c>
      <c r="L15" s="65">
        <v>0.92</v>
      </c>
      <c r="M15" s="20"/>
      <c r="N15" s="64">
        <v>50</v>
      </c>
      <c r="O15" s="66">
        <v>0.88</v>
      </c>
      <c r="P15" s="20"/>
      <c r="T15" s="17"/>
      <c r="U15" s="17"/>
      <c r="V15" s="17"/>
      <c r="W15" s="17"/>
      <c r="X15" s="17"/>
      <c r="Y15" s="17"/>
      <c r="Z15" s="17"/>
      <c r="AA15" s="17"/>
      <c r="AN15" s="23"/>
    </row>
    <row r="16" spans="1:268" ht="20.100000000000001" customHeight="1" thickBot="1">
      <c r="A16" s="19"/>
      <c r="B16" s="43" t="s">
        <v>2580</v>
      </c>
      <c r="C16" s="59"/>
      <c r="D16" s="2477">
        <v>15</v>
      </c>
      <c r="E16" s="31" t="s">
        <v>60</v>
      </c>
      <c r="G16" s="17"/>
      <c r="H16" s="31"/>
      <c r="I16" s="31"/>
      <c r="J16" s="68"/>
      <c r="K16" s="69" t="s">
        <v>61</v>
      </c>
      <c r="L16" s="70" t="str">
        <f>IF(D32=40,"1",IF(D32=45,"0.95",IF(D32=50,"0.88",IF(D32=55,"0.83",IF(D32=60,"0.75")))))</f>
        <v>0.88</v>
      </c>
      <c r="M16" s="20"/>
      <c r="N16" s="64">
        <v>55</v>
      </c>
      <c r="O16" s="66">
        <v>0.83</v>
      </c>
      <c r="P16" s="20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N16" s="23"/>
    </row>
    <row r="17" spans="1:40" ht="20.100000000000001" customHeight="1" thickBot="1">
      <c r="A17" s="19"/>
      <c r="B17" s="43" t="s">
        <v>2581</v>
      </c>
      <c r="C17" s="31"/>
      <c r="D17" s="2477">
        <v>100</v>
      </c>
      <c r="E17" s="31" t="s">
        <v>60</v>
      </c>
      <c r="F17" s="20"/>
      <c r="G17" s="17"/>
      <c r="H17" s="59"/>
      <c r="I17" s="31"/>
      <c r="J17" s="20"/>
      <c r="M17" s="20"/>
      <c r="N17" s="69">
        <v>60</v>
      </c>
      <c r="O17" s="71">
        <v>0.75</v>
      </c>
      <c r="P17" s="20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N17" s="23"/>
    </row>
    <row r="18" spans="1:40" ht="17.25" customHeight="1" thickBot="1">
      <c r="A18" s="19"/>
      <c r="B18" s="67"/>
      <c r="C18" s="20"/>
      <c r="D18" s="17"/>
      <c r="E18" s="19" t="s">
        <v>62</v>
      </c>
      <c r="F18" s="19" t="s">
        <v>63</v>
      </c>
      <c r="G18" s="31"/>
      <c r="H18" s="17"/>
      <c r="I18" s="31"/>
      <c r="J18" s="20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N18" s="23"/>
    </row>
    <row r="19" spans="1:40" ht="20.100000000000001" customHeight="1" thickBot="1">
      <c r="A19" s="20"/>
      <c r="B19" s="43" t="s">
        <v>2569</v>
      </c>
      <c r="C19" s="59" t="s">
        <v>54</v>
      </c>
      <c r="D19" s="204">
        <f>E19+F19</f>
        <v>15</v>
      </c>
      <c r="E19" s="2478">
        <v>15</v>
      </c>
      <c r="F19" s="2478">
        <v>0</v>
      </c>
      <c r="G19" s="31" t="s">
        <v>60</v>
      </c>
      <c r="H19" s="17"/>
      <c r="I19" s="31"/>
      <c r="J19" s="20"/>
      <c r="K19" s="73" t="s">
        <v>64</v>
      </c>
      <c r="L19" s="74" t="s">
        <v>65</v>
      </c>
      <c r="M19" s="75" t="s">
        <v>1832</v>
      </c>
      <c r="N19" s="76" t="str">
        <f>VLOOKUP(D30,L19:M20,2,0)</f>
        <v>A</v>
      </c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N19" s="23"/>
    </row>
    <row r="20" spans="1:40" ht="20.100000000000001" customHeight="1" thickBot="1">
      <c r="A20" s="20"/>
      <c r="B20" s="43"/>
      <c r="C20" s="59" t="s">
        <v>57</v>
      </c>
      <c r="D20" s="204">
        <f>E20+F20</f>
        <v>15</v>
      </c>
      <c r="E20" s="2478">
        <v>15</v>
      </c>
      <c r="F20" s="2479">
        <v>0</v>
      </c>
      <c r="G20" s="31" t="s">
        <v>60</v>
      </c>
      <c r="H20" s="17"/>
      <c r="I20" s="31"/>
      <c r="J20" s="20"/>
      <c r="K20" s="53"/>
      <c r="L20" s="77" t="s">
        <v>66</v>
      </c>
      <c r="M20" s="78" t="s">
        <v>1873</v>
      </c>
      <c r="N20" s="79"/>
      <c r="S20" s="17"/>
      <c r="T20" s="17"/>
      <c r="U20" s="17"/>
      <c r="V20" s="17"/>
      <c r="W20" s="17"/>
      <c r="X20" s="17"/>
      <c r="Y20" s="17"/>
      <c r="Z20" s="17"/>
      <c r="AA20" s="17"/>
      <c r="AN20" s="23"/>
    </row>
    <row r="21" spans="1:40" ht="20.100000000000001" customHeight="1">
      <c r="A21" s="3694" t="s">
        <v>2568</v>
      </c>
      <c r="B21" s="3694"/>
      <c r="D21" s="2480" t="s">
        <v>26</v>
      </c>
      <c r="E21" s="31" t="s">
        <v>60</v>
      </c>
      <c r="F21" s="206"/>
      <c r="G21" s="31"/>
      <c r="H21" s="17"/>
      <c r="I21" s="31"/>
      <c r="J21" s="19" t="s">
        <v>2633</v>
      </c>
      <c r="K21" s="53"/>
      <c r="L21" s="80"/>
      <c r="M21" s="79"/>
      <c r="N21" s="79"/>
      <c r="S21" s="17"/>
      <c r="T21" s="17"/>
      <c r="U21" s="17"/>
      <c r="V21" s="17"/>
      <c r="W21" s="17"/>
      <c r="X21" s="17"/>
      <c r="Y21" s="17"/>
      <c r="Z21" s="17"/>
      <c r="AA21" s="17"/>
      <c r="AN21" s="23"/>
    </row>
    <row r="22" spans="1:40" ht="17.25" customHeight="1" thickBot="1">
      <c r="A22" s="20"/>
      <c r="B22" s="67"/>
      <c r="C22" s="20"/>
      <c r="D22" s="20"/>
      <c r="E22" s="20"/>
      <c r="F22" s="20"/>
      <c r="G22" s="17"/>
      <c r="H22" s="31"/>
      <c r="I22" s="31"/>
      <c r="S22" s="17"/>
      <c r="T22" s="17"/>
      <c r="U22" s="17"/>
      <c r="V22" s="17"/>
      <c r="W22" s="17"/>
      <c r="X22" s="17"/>
      <c r="Y22" s="17"/>
      <c r="Z22" s="17"/>
      <c r="AA22" s="17"/>
      <c r="AN22" s="23"/>
    </row>
    <row r="23" spans="1:40" ht="15" customHeight="1" thickBot="1">
      <c r="A23" s="20"/>
      <c r="B23" s="43"/>
      <c r="C23" s="31"/>
      <c r="D23" s="3711" t="s">
        <v>28</v>
      </c>
      <c r="E23" s="3711"/>
      <c r="F23" s="3711" t="s">
        <v>29</v>
      </c>
      <c r="G23" s="3711"/>
      <c r="H23" s="59"/>
      <c r="I23" s="59"/>
      <c r="K23" s="81" t="s">
        <v>67</v>
      </c>
      <c r="L23" s="82"/>
      <c r="M23" s="82"/>
      <c r="N23" s="81">
        <f>D26</f>
        <v>1.25</v>
      </c>
      <c r="X23" s="17"/>
      <c r="Y23" s="17"/>
      <c r="Z23" s="17"/>
      <c r="AA23" s="17"/>
      <c r="AN23" s="23"/>
    </row>
    <row r="24" spans="1:40" ht="15" customHeight="1">
      <c r="A24" s="20"/>
      <c r="B24" s="55"/>
      <c r="C24" s="31"/>
      <c r="D24" s="83" t="s">
        <v>68</v>
      </c>
      <c r="E24" s="83" t="s">
        <v>69</v>
      </c>
      <c r="F24" s="83" t="s">
        <v>68</v>
      </c>
      <c r="G24" s="83" t="s">
        <v>69</v>
      </c>
      <c r="H24" s="31"/>
      <c r="I24" s="31"/>
      <c r="K24" s="84" t="s">
        <v>70</v>
      </c>
      <c r="L24" s="85" t="s">
        <v>71</v>
      </c>
      <c r="M24" s="86" t="s">
        <v>71</v>
      </c>
      <c r="N24" s="3705" t="s">
        <v>72</v>
      </c>
      <c r="X24" s="87"/>
      <c r="Y24" s="17"/>
      <c r="Z24" s="17"/>
      <c r="AA24" s="17"/>
      <c r="AN24" s="23"/>
    </row>
    <row r="25" spans="1:40" ht="20.100000000000001" customHeight="1">
      <c r="A25" s="20"/>
      <c r="B25" s="43" t="s">
        <v>2582</v>
      </c>
      <c r="C25" s="31"/>
      <c r="D25" s="2481" t="s">
        <v>37</v>
      </c>
      <c r="E25" s="2481" t="str">
        <f>VLOOKUP(D25,K4:N7,4,0)</f>
        <v>M5</v>
      </c>
      <c r="F25" s="2481" t="str">
        <f>VLOOKUP(D25,K4:L7,2,0)</f>
        <v>Ele-II</v>
      </c>
      <c r="G25" s="2481" t="str">
        <f>E25</f>
        <v>M5</v>
      </c>
      <c r="H25" s="31"/>
      <c r="I25" s="31"/>
      <c r="K25" s="84" t="s">
        <v>73</v>
      </c>
      <c r="L25" s="88" t="s">
        <v>74</v>
      </c>
      <c r="M25" s="89" t="s">
        <v>74</v>
      </c>
      <c r="N25" s="3706"/>
      <c r="X25" s="87"/>
      <c r="Y25" s="17"/>
      <c r="Z25" s="17"/>
      <c r="AA25" s="17"/>
      <c r="AN25" s="23"/>
    </row>
    <row r="26" spans="1:40" ht="14.65" thickBot="1">
      <c r="A26" s="20"/>
      <c r="B26" s="43" t="s">
        <v>2503</v>
      </c>
      <c r="C26" s="31"/>
      <c r="D26" s="207">
        <f>VLOOKUP(E25,K27:L34,2,FALSE)</f>
        <v>1.25</v>
      </c>
      <c r="E26" s="207">
        <f>VLOOKUP(E25,K27:M34,3,FALSE)</f>
        <v>1.5</v>
      </c>
      <c r="F26" s="207">
        <f>VLOOKUP(G25,K27:L34,2,FALSE)</f>
        <v>1.25</v>
      </c>
      <c r="G26" s="207">
        <f>VLOOKUP(G25,K27:M34,3,FALSE)</f>
        <v>1.5</v>
      </c>
      <c r="H26" s="31"/>
      <c r="I26" s="31"/>
      <c r="J26" s="20"/>
      <c r="K26" s="91" t="s">
        <v>75</v>
      </c>
      <c r="L26" s="92" t="s">
        <v>76</v>
      </c>
      <c r="M26" s="93" t="s">
        <v>77</v>
      </c>
      <c r="N26" s="3707"/>
      <c r="X26" s="87"/>
      <c r="Y26" s="17"/>
      <c r="Z26" s="17"/>
      <c r="AA26" s="17"/>
      <c r="AN26" s="23"/>
    </row>
    <row r="27" spans="1:40" ht="17.25" customHeight="1">
      <c r="A27" s="20"/>
      <c r="B27" s="55"/>
      <c r="E27" s="17"/>
      <c r="F27" s="31"/>
      <c r="G27" s="31"/>
      <c r="H27" s="31"/>
      <c r="I27" s="31"/>
      <c r="J27" s="20"/>
      <c r="K27" s="94" t="s">
        <v>79</v>
      </c>
      <c r="L27" s="95">
        <v>1</v>
      </c>
      <c r="M27" s="95">
        <v>1.18</v>
      </c>
      <c r="N27" s="96">
        <v>1.32</v>
      </c>
      <c r="X27" s="17"/>
      <c r="Y27" s="17"/>
      <c r="Z27" s="17"/>
      <c r="AA27" s="17"/>
      <c r="AN27" s="23"/>
    </row>
    <row r="28" spans="1:40" ht="20.100000000000001" customHeight="1">
      <c r="A28" s="20"/>
      <c r="B28" s="43" t="s">
        <v>2583</v>
      </c>
      <c r="C28" s="31"/>
      <c r="D28" s="131" t="s">
        <v>78</v>
      </c>
      <c r="F28" s="17"/>
      <c r="G28" s="31"/>
      <c r="H28" s="97"/>
      <c r="I28" s="31"/>
      <c r="J28" s="98" t="str">
        <f>HYPERLINK("\\Manish-pc\e\03 General\Manish\Selection\IS\IS 3177-1999.pdf","IS : 3177-1999")</f>
        <v>IS : 3177-1999</v>
      </c>
      <c r="K28" s="99" t="s">
        <v>81</v>
      </c>
      <c r="L28" s="100">
        <v>1.06</v>
      </c>
      <c r="M28" s="100">
        <v>1.25</v>
      </c>
      <c r="N28" s="101">
        <v>1.4</v>
      </c>
      <c r="X28" s="17"/>
      <c r="Y28" s="17"/>
      <c r="Z28" s="17"/>
      <c r="AA28" s="17"/>
      <c r="AN28" s="23"/>
    </row>
    <row r="29" spans="1:40" ht="20.100000000000001" customHeight="1">
      <c r="A29" s="20"/>
      <c r="B29" s="43" t="s">
        <v>2584</v>
      </c>
      <c r="C29" s="31"/>
      <c r="D29" s="131" t="s">
        <v>80</v>
      </c>
      <c r="F29" s="17"/>
      <c r="G29" s="31"/>
      <c r="H29" s="31"/>
      <c r="I29" s="31"/>
      <c r="J29" s="98" t="str">
        <f>HYPERLINK("\\Manish-pc\e\03 General\Manish\Selection\IS\3177_2006.pdf","IS : 3177-2006")</f>
        <v>IS : 3177-2006</v>
      </c>
      <c r="K29" s="99" t="s">
        <v>36</v>
      </c>
      <c r="L29" s="100">
        <v>1.1200000000000001</v>
      </c>
      <c r="M29" s="100">
        <v>1.32</v>
      </c>
      <c r="N29" s="101">
        <v>1.5</v>
      </c>
      <c r="X29" s="17"/>
      <c r="Y29" s="17"/>
      <c r="Z29" s="17"/>
      <c r="AA29" s="17"/>
      <c r="AN29" s="23"/>
    </row>
    <row r="30" spans="1:40" ht="18" customHeight="1">
      <c r="A30" s="20"/>
      <c r="B30" s="43" t="s">
        <v>2585</v>
      </c>
      <c r="C30" s="31"/>
      <c r="D30" s="208" t="s">
        <v>65</v>
      </c>
      <c r="I30" s="31"/>
      <c r="J30" s="98" t="str">
        <f>HYPERLINK("\\Manish-pc\e\03 General\Manish\Selection\IS\4137_2015.pdf","IS : 4137-2015")</f>
        <v>IS : 4137-2015</v>
      </c>
      <c r="K30" s="99" t="s">
        <v>82</v>
      </c>
      <c r="L30" s="100">
        <v>1.18</v>
      </c>
      <c r="M30" s="100">
        <v>1.4</v>
      </c>
      <c r="N30" s="101">
        <v>1.6</v>
      </c>
      <c r="X30" s="17"/>
      <c r="Y30" s="17"/>
      <c r="Z30" s="17"/>
      <c r="AA30" s="17"/>
      <c r="AN30" s="23"/>
    </row>
    <row r="31" spans="1:40" ht="20.100000000000001" customHeight="1">
      <c r="A31" s="20"/>
      <c r="B31" s="55"/>
      <c r="E31" s="208"/>
      <c r="F31" s="17"/>
      <c r="H31" s="31"/>
      <c r="I31" s="31"/>
      <c r="K31" s="99" t="s">
        <v>40</v>
      </c>
      <c r="L31" s="100">
        <v>1.25</v>
      </c>
      <c r="M31" s="100">
        <v>1.5</v>
      </c>
      <c r="N31" s="101">
        <v>1.7</v>
      </c>
      <c r="X31" s="17"/>
      <c r="Y31" s="17"/>
      <c r="Z31" s="17"/>
      <c r="AA31" s="17"/>
      <c r="AN31" s="23"/>
    </row>
    <row r="32" spans="1:40">
      <c r="A32" s="20"/>
      <c r="B32" s="43" t="s">
        <v>2570</v>
      </c>
      <c r="C32" s="31"/>
      <c r="D32" s="2482">
        <v>50</v>
      </c>
      <c r="E32" s="31" t="s">
        <v>83</v>
      </c>
      <c r="F32" s="59"/>
      <c r="H32" s="31"/>
      <c r="I32" s="31"/>
      <c r="J32" s="20"/>
      <c r="K32" s="99" t="s">
        <v>85</v>
      </c>
      <c r="L32" s="100">
        <v>1.32</v>
      </c>
      <c r="M32" s="100">
        <v>1.6</v>
      </c>
      <c r="N32" s="101">
        <v>1.8</v>
      </c>
      <c r="X32" s="17"/>
      <c r="Y32" s="17"/>
      <c r="Z32" s="17"/>
      <c r="AA32" s="17"/>
      <c r="AN32" s="23"/>
    </row>
    <row r="33" spans="1:40">
      <c r="A33" s="20"/>
      <c r="B33" s="43" t="s">
        <v>2571</v>
      </c>
      <c r="C33" s="31"/>
      <c r="D33" s="209">
        <v>1</v>
      </c>
      <c r="E33" s="31" t="s">
        <v>84</v>
      </c>
      <c r="H33" s="31"/>
      <c r="I33" s="31"/>
      <c r="K33" s="99" t="s">
        <v>44</v>
      </c>
      <c r="L33" s="100">
        <v>1.4</v>
      </c>
      <c r="M33" s="100">
        <v>1.6</v>
      </c>
      <c r="N33" s="101">
        <v>1.9</v>
      </c>
      <c r="X33" s="17"/>
      <c r="Y33" s="17"/>
      <c r="Z33" s="17"/>
      <c r="AA33" s="17"/>
      <c r="AN33" s="23"/>
    </row>
    <row r="34" spans="1:40" ht="14.65" thickBot="1">
      <c r="A34" s="20"/>
      <c r="B34" s="43" t="s">
        <v>2571</v>
      </c>
      <c r="C34" s="31"/>
      <c r="D34" s="209">
        <v>1</v>
      </c>
      <c r="E34" s="31" t="s">
        <v>86</v>
      </c>
      <c r="H34" s="31"/>
      <c r="I34" s="31"/>
      <c r="K34" s="103" t="s">
        <v>48</v>
      </c>
      <c r="L34" s="104">
        <v>1.5</v>
      </c>
      <c r="M34" s="104">
        <v>1.7</v>
      </c>
      <c r="N34" s="105">
        <v>2</v>
      </c>
      <c r="X34" s="17"/>
      <c r="Y34" s="17"/>
      <c r="Z34" s="17"/>
      <c r="AA34" s="17"/>
      <c r="AN34" s="23"/>
    </row>
    <row r="35" spans="1:40" ht="17.25" customHeight="1" thickBot="1">
      <c r="A35" s="20"/>
      <c r="B35" s="67"/>
      <c r="C35" s="20"/>
      <c r="D35" s="20"/>
      <c r="E35" s="17"/>
      <c r="F35" s="59"/>
      <c r="H35" s="31"/>
      <c r="I35" s="31"/>
      <c r="K35" s="107" t="str">
        <f>E25</f>
        <v>M5</v>
      </c>
      <c r="M35" s="20"/>
      <c r="N35" s="107">
        <f>E26</f>
        <v>1.5</v>
      </c>
      <c r="X35" s="17"/>
      <c r="Y35" s="17"/>
      <c r="Z35" s="17"/>
      <c r="AA35" s="17"/>
      <c r="AN35" s="23"/>
    </row>
    <row r="36" spans="1:40" ht="17.100000000000001" customHeight="1" thickBot="1">
      <c r="A36" s="20"/>
      <c r="B36" s="43" t="s">
        <v>87</v>
      </c>
      <c r="C36" s="59" t="s">
        <v>54</v>
      </c>
      <c r="D36" s="2478">
        <v>3</v>
      </c>
      <c r="E36" s="59" t="s">
        <v>88</v>
      </c>
      <c r="F36" s="210"/>
      <c r="H36" s="31"/>
      <c r="I36" s="31"/>
      <c r="R36" s="17"/>
      <c r="X36" s="17"/>
      <c r="Y36" s="17"/>
      <c r="Z36" s="17"/>
      <c r="AA36" s="17"/>
      <c r="AN36" s="23"/>
    </row>
    <row r="37" spans="1:40" ht="17.100000000000001" customHeight="1" thickBot="1">
      <c r="A37" s="20"/>
      <c r="B37" s="43"/>
      <c r="C37" s="59" t="s">
        <v>57</v>
      </c>
      <c r="D37" s="2478">
        <v>5</v>
      </c>
      <c r="E37" s="59" t="s">
        <v>88</v>
      </c>
      <c r="F37" s="106"/>
      <c r="H37" s="31"/>
      <c r="I37" s="31"/>
      <c r="J37" s="20"/>
      <c r="L37" s="109" t="s">
        <v>80</v>
      </c>
      <c r="M37" s="110">
        <v>0</v>
      </c>
      <c r="R37" s="17"/>
      <c r="X37" s="17"/>
      <c r="Y37" s="17"/>
      <c r="Z37" s="17"/>
      <c r="AA37" s="17"/>
      <c r="AN37" s="23"/>
    </row>
    <row r="38" spans="1:40" ht="17.100000000000001" customHeight="1" thickBot="1">
      <c r="A38" s="20"/>
      <c r="B38" s="43"/>
      <c r="C38" s="59" t="s">
        <v>89</v>
      </c>
      <c r="D38" s="2478">
        <v>20</v>
      </c>
      <c r="E38" s="59" t="s">
        <v>88</v>
      </c>
      <c r="F38" s="106"/>
      <c r="H38" s="31"/>
      <c r="I38" s="31"/>
      <c r="J38" s="20"/>
      <c r="K38" s="73" t="s">
        <v>91</v>
      </c>
      <c r="L38" s="111" t="s">
        <v>92</v>
      </c>
      <c r="M38" s="78">
        <v>1</v>
      </c>
      <c r="N38" s="112">
        <f>VLOOKUP(D29,L37:M38,2,0)</f>
        <v>0</v>
      </c>
      <c r="R38" s="17"/>
      <c r="S38" s="17"/>
      <c r="T38" s="17"/>
      <c r="U38" s="17"/>
      <c r="V38" s="17"/>
      <c r="W38" s="17"/>
      <c r="X38" s="17"/>
      <c r="Y38" s="17"/>
      <c r="Z38" s="17"/>
      <c r="AA38" s="17"/>
      <c r="AN38" s="23"/>
    </row>
    <row r="39" spans="1:40" ht="17.100000000000001" customHeight="1">
      <c r="A39" s="20"/>
      <c r="B39" s="43"/>
      <c r="C39" s="59" t="s">
        <v>90</v>
      </c>
      <c r="D39" s="2478">
        <v>25</v>
      </c>
      <c r="E39" s="59" t="s">
        <v>88</v>
      </c>
      <c r="F39" s="106"/>
      <c r="H39" s="31"/>
      <c r="I39" s="31"/>
      <c r="J39" s="20"/>
      <c r="P39" s="3526" t="s">
        <v>3955</v>
      </c>
      <c r="Q39" s="22">
        <v>4</v>
      </c>
      <c r="R39" s="17"/>
      <c r="S39" s="17"/>
      <c r="T39" s="17"/>
      <c r="U39" s="17"/>
      <c r="V39" s="17"/>
      <c r="W39" s="17"/>
      <c r="X39" s="17"/>
      <c r="Y39" s="17"/>
      <c r="Z39" s="17"/>
      <c r="AA39" s="17"/>
      <c r="AN39" s="23"/>
    </row>
    <row r="40" spans="1:40" ht="17.25" customHeight="1">
      <c r="A40" s="20"/>
      <c r="B40" s="67"/>
      <c r="C40" s="20"/>
      <c r="D40" s="20"/>
      <c r="E40" s="17"/>
      <c r="F40" s="106"/>
      <c r="H40" s="31"/>
      <c r="I40" s="31"/>
      <c r="J40" s="113">
        <f>Tech!L142</f>
        <v>1</v>
      </c>
      <c r="O40" s="17"/>
      <c r="P40" s="17" t="s">
        <v>3956</v>
      </c>
      <c r="Q40" s="17">
        <v>8</v>
      </c>
      <c r="R40" s="17"/>
      <c r="S40" s="17"/>
      <c r="T40" s="17"/>
      <c r="U40" s="17"/>
      <c r="V40" s="17"/>
      <c r="W40" s="17"/>
      <c r="X40" s="17"/>
      <c r="Y40" s="17"/>
      <c r="Z40" s="17"/>
      <c r="AA40" s="17"/>
      <c r="AN40" s="23"/>
    </row>
    <row r="41" spans="1:40" ht="17.100000000000001" customHeight="1">
      <c r="A41" s="20"/>
      <c r="B41" s="43" t="s">
        <v>2572</v>
      </c>
      <c r="C41" s="31"/>
      <c r="D41" s="2478">
        <v>4</v>
      </c>
      <c r="E41" s="31"/>
      <c r="F41" s="106"/>
      <c r="H41" s="31"/>
      <c r="I41" s="31"/>
      <c r="J41" s="114">
        <f>ESt!A203</f>
        <v>0</v>
      </c>
      <c r="K41" s="20"/>
      <c r="L41" s="17"/>
      <c r="P41" s="22" t="s">
        <v>3957</v>
      </c>
      <c r="Q41" s="17">
        <v>12</v>
      </c>
      <c r="R41" s="17"/>
      <c r="S41" s="17"/>
      <c r="T41" s="17"/>
      <c r="U41" s="17"/>
      <c r="V41" s="17"/>
      <c r="W41" s="17"/>
      <c r="X41" s="17"/>
      <c r="Y41" s="17"/>
      <c r="Z41" s="17"/>
      <c r="AA41" s="17"/>
      <c r="AN41" s="23"/>
    </row>
    <row r="42" spans="1:40" ht="17.100000000000001" customHeight="1" thickBot="1">
      <c r="A42" s="20"/>
      <c r="B42" s="43" t="s">
        <v>2573</v>
      </c>
      <c r="C42" s="31"/>
      <c r="D42" s="2478">
        <v>4</v>
      </c>
      <c r="E42" s="31"/>
      <c r="F42" s="106"/>
      <c r="G42" s="211"/>
      <c r="H42" s="31"/>
      <c r="I42" s="31"/>
      <c r="J42" s="116">
        <f>ESt!A202</f>
        <v>0</v>
      </c>
      <c r="L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N42" s="23"/>
    </row>
    <row r="43" spans="1:40" ht="20.100000000000001" customHeight="1">
      <c r="A43" s="20"/>
      <c r="B43" s="43" t="s">
        <v>2574</v>
      </c>
      <c r="C43" s="31"/>
      <c r="D43" s="2478">
        <v>17</v>
      </c>
      <c r="E43" s="31" t="s">
        <v>55</v>
      </c>
      <c r="F43" s="106"/>
      <c r="G43" s="20"/>
      <c r="H43" s="17"/>
      <c r="I43" s="31"/>
      <c r="J43" s="117">
        <f>ESt!K199/1000</f>
        <v>17.028651935483872</v>
      </c>
      <c r="K43" s="118"/>
      <c r="L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N43" s="23"/>
    </row>
    <row r="44" spans="1:40" ht="20.100000000000001" customHeight="1" thickBot="1">
      <c r="A44" s="20"/>
      <c r="B44" s="43" t="s">
        <v>2575</v>
      </c>
      <c r="C44" s="31"/>
      <c r="D44" s="2478">
        <v>5</v>
      </c>
      <c r="E44" s="31" t="s">
        <v>55</v>
      </c>
      <c r="F44" s="20"/>
      <c r="G44" s="17"/>
      <c r="H44" s="17"/>
      <c r="I44" s="31"/>
      <c r="J44" s="119">
        <f>ESt!K104/1000</f>
        <v>5.0686519354838708</v>
      </c>
      <c r="K44" s="118"/>
      <c r="L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N44" s="23"/>
    </row>
    <row r="45" spans="1:40" ht="14.65" thickBot="1">
      <c r="A45" s="20"/>
      <c r="B45" s="43"/>
      <c r="C45" s="31"/>
      <c r="D45" s="59"/>
      <c r="E45" s="31"/>
      <c r="F45" s="20"/>
      <c r="G45" s="17"/>
      <c r="H45" s="17"/>
      <c r="I45" s="31"/>
      <c r="J45" s="120">
        <f>LT_wh!I23</f>
        <v>16.600000000000001</v>
      </c>
      <c r="K45" s="31" t="s">
        <v>2281</v>
      </c>
      <c r="L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N45" s="23"/>
    </row>
    <row r="46" spans="1:40" ht="15.95" customHeight="1">
      <c r="A46" s="20"/>
      <c r="B46" s="43" t="s">
        <v>2576</v>
      </c>
      <c r="C46" s="43"/>
      <c r="D46" s="3710" t="s">
        <v>3958</v>
      </c>
      <c r="E46" s="3710"/>
      <c r="F46" s="3710"/>
      <c r="G46" s="3710"/>
      <c r="H46" s="3710"/>
      <c r="I46" s="31"/>
      <c r="L46" s="20"/>
      <c r="M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N46" s="23"/>
    </row>
    <row r="47" spans="1:40" ht="15.95" customHeight="1">
      <c r="A47" s="20"/>
      <c r="B47" s="43" t="s">
        <v>1169</v>
      </c>
      <c r="C47" s="43"/>
      <c r="D47" s="2478">
        <v>50</v>
      </c>
      <c r="E47" s="3579"/>
      <c r="F47" s="3579"/>
      <c r="G47" s="3579"/>
      <c r="H47" s="3579"/>
      <c r="I47" s="31"/>
      <c r="L47" s="20"/>
      <c r="M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N47" s="23"/>
    </row>
    <row r="48" spans="1:40" ht="15.95" customHeight="1">
      <c r="A48" s="20"/>
      <c r="B48" s="43" t="s">
        <v>1070</v>
      </c>
      <c r="C48" s="43"/>
      <c r="D48" s="2478" t="s">
        <v>3965</v>
      </c>
      <c r="E48" s="3579"/>
      <c r="F48" s="3579"/>
      <c r="G48" s="3579"/>
      <c r="H48" s="3579"/>
      <c r="I48" s="31"/>
      <c r="L48" s="20"/>
      <c r="M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N48" s="23"/>
    </row>
    <row r="49" spans="1:40" ht="15.95" customHeight="1">
      <c r="A49" s="20"/>
      <c r="B49" s="43" t="s">
        <v>3959</v>
      </c>
      <c r="C49" s="43"/>
      <c r="D49" s="2478">
        <v>4</v>
      </c>
      <c r="E49" s="3579" t="s">
        <v>1539</v>
      </c>
      <c r="F49" s="3579"/>
      <c r="G49" s="3579"/>
      <c r="H49" s="3579"/>
      <c r="I49" s="31"/>
      <c r="L49" s="20"/>
      <c r="M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N49" s="23"/>
    </row>
    <row r="50" spans="1:40" ht="15.95" customHeight="1" thickBot="1">
      <c r="A50" s="20"/>
      <c r="B50" s="43" t="s">
        <v>3960</v>
      </c>
      <c r="C50" s="43"/>
      <c r="D50" s="2478">
        <v>4</v>
      </c>
      <c r="E50" s="3579" t="s">
        <v>1539</v>
      </c>
      <c r="F50" s="3579"/>
      <c r="G50" s="3579"/>
      <c r="H50" s="3579"/>
      <c r="I50" s="31"/>
      <c r="L50" s="20"/>
      <c r="M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N50" s="23"/>
    </row>
    <row r="51" spans="1:40" ht="14.65" thickBot="1">
      <c r="A51" s="212"/>
      <c r="B51" s="121"/>
      <c r="C51" s="121"/>
      <c r="D51" s="121"/>
      <c r="E51" s="121"/>
      <c r="F51" s="121"/>
      <c r="G51" s="121"/>
      <c r="H51" s="121"/>
      <c r="I51" s="122"/>
      <c r="J51" s="213">
        <f>ESt!D197</f>
        <v>2790000</v>
      </c>
      <c r="K51" s="123" t="s">
        <v>95</v>
      </c>
      <c r="L51" s="20"/>
      <c r="M51" s="20"/>
      <c r="N51" s="17"/>
      <c r="Q51" s="17"/>
      <c r="R51" s="22" t="s">
        <v>2793</v>
      </c>
      <c r="S51" s="17"/>
      <c r="T51" s="17"/>
      <c r="U51" s="29">
        <v>50</v>
      </c>
      <c r="V51" s="17"/>
      <c r="W51" s="17"/>
      <c r="X51" s="17"/>
      <c r="Y51" s="17"/>
      <c r="Z51" s="17"/>
      <c r="AA51" s="17"/>
      <c r="AN51" s="23"/>
    </row>
    <row r="52" spans="1:40" ht="14.65" thickBot="1">
      <c r="A52" s="214" t="s">
        <v>2596</v>
      </c>
      <c r="C52" s="124" t="s">
        <v>2506</v>
      </c>
      <c r="D52" s="125" t="s">
        <v>837</v>
      </c>
      <c r="E52" s="126" t="s">
        <v>334</v>
      </c>
      <c r="F52" s="126" t="s">
        <v>290</v>
      </c>
      <c r="G52" s="126" t="s">
        <v>428</v>
      </c>
      <c r="H52" s="126" t="s">
        <v>2662</v>
      </c>
      <c r="I52" s="215">
        <v>3000</v>
      </c>
      <c r="J52" s="127">
        <f>ROUNDUP(J51/K52,-4)</f>
        <v>3290000</v>
      </c>
      <c r="K52" s="128">
        <f>ESt!D198</f>
        <v>0.85</v>
      </c>
      <c r="L52" s="20"/>
      <c r="M52" s="20"/>
      <c r="N52" s="17"/>
      <c r="Q52" s="17"/>
      <c r="R52" s="22" t="s">
        <v>2794</v>
      </c>
      <c r="S52" s="17"/>
      <c r="T52" s="17"/>
      <c r="U52" s="29">
        <v>63</v>
      </c>
      <c r="V52" s="17"/>
      <c r="W52" s="17"/>
      <c r="X52" s="17"/>
      <c r="Y52" s="17"/>
      <c r="Z52" s="17"/>
      <c r="AA52" s="17"/>
      <c r="AN52" s="23"/>
    </row>
    <row r="53" spans="1:40">
      <c r="A53" s="36"/>
      <c r="F53" s="31"/>
      <c r="G53" s="31"/>
      <c r="H53" s="31"/>
      <c r="I53" s="129"/>
      <c r="L53" s="20"/>
      <c r="M53" s="20"/>
      <c r="N53" s="17"/>
      <c r="O53" s="19"/>
      <c r="P53" s="19"/>
      <c r="Q53" s="17"/>
      <c r="R53" s="22" t="s">
        <v>2660</v>
      </c>
      <c r="S53" s="17"/>
      <c r="T53" s="17"/>
      <c r="U53" s="29">
        <v>30</v>
      </c>
      <c r="V53" s="17"/>
      <c r="W53" s="17"/>
      <c r="X53" s="17"/>
      <c r="Y53" s="17"/>
      <c r="Z53" s="17"/>
      <c r="AA53" s="17"/>
      <c r="AN53" s="23"/>
    </row>
    <row r="54" spans="1:40" ht="14.65" thickBot="1">
      <c r="A54" s="130"/>
      <c r="B54" s="131"/>
      <c r="C54" s="132" t="s">
        <v>94</v>
      </c>
      <c r="D54" s="133"/>
      <c r="E54" s="134"/>
      <c r="F54" s="135"/>
      <c r="G54" s="135"/>
      <c r="H54" s="135"/>
      <c r="I54" s="136"/>
      <c r="K54" s="17"/>
      <c r="L54" s="137"/>
      <c r="M54" s="20"/>
      <c r="N54" s="20"/>
      <c r="O54" s="20"/>
      <c r="P54" s="17"/>
      <c r="Q54" s="17"/>
      <c r="R54" s="22" t="s">
        <v>2661</v>
      </c>
      <c r="S54" s="17"/>
      <c r="T54" s="17"/>
      <c r="U54" s="29">
        <v>60</v>
      </c>
      <c r="V54" s="17"/>
      <c r="W54" s="17"/>
      <c r="X54" s="17"/>
      <c r="Y54" s="17"/>
      <c r="Z54" s="17"/>
      <c r="AA54" s="17"/>
      <c r="AN54" s="23"/>
    </row>
    <row r="55" spans="1:40">
      <c r="B55" s="88"/>
      <c r="G55" s="20"/>
      <c r="H55" s="20"/>
      <c r="I55" s="17"/>
      <c r="L55" s="137"/>
      <c r="M55" s="53"/>
      <c r="N55" s="20"/>
      <c r="O55" s="20"/>
      <c r="P55" s="17"/>
      <c r="Q55" s="17"/>
      <c r="R55" s="17" t="s">
        <v>2797</v>
      </c>
      <c r="S55" s="17"/>
      <c r="T55" s="17"/>
      <c r="U55" s="29">
        <v>90</v>
      </c>
      <c r="V55" s="17"/>
      <c r="W55" s="17"/>
      <c r="X55" s="17"/>
      <c r="Y55" s="17"/>
      <c r="Z55" s="17"/>
      <c r="AA55" s="17"/>
      <c r="AN55" s="23"/>
    </row>
    <row r="56" spans="1:40">
      <c r="F56" s="20"/>
      <c r="G56" s="52"/>
      <c r="H56" s="20"/>
      <c r="I56" s="17"/>
      <c r="J56" s="20"/>
      <c r="K56" s="17"/>
      <c r="L56" s="137"/>
      <c r="M56" s="20"/>
      <c r="N56" s="20"/>
      <c r="O56" s="20"/>
      <c r="P56" s="17"/>
      <c r="Q56" s="17"/>
      <c r="R56" s="17" t="s">
        <v>2798</v>
      </c>
      <c r="S56" s="17"/>
      <c r="T56" s="17"/>
      <c r="U56" s="29">
        <v>105</v>
      </c>
      <c r="V56" s="17"/>
      <c r="W56" s="17"/>
      <c r="X56" s="17"/>
      <c r="Y56" s="17"/>
      <c r="Z56" s="17"/>
      <c r="AA56" s="17"/>
      <c r="AN56" s="23"/>
    </row>
    <row r="57" spans="1:40">
      <c r="A57" s="20"/>
      <c r="B57" s="20"/>
      <c r="C57" s="20"/>
      <c r="D57" s="20"/>
      <c r="F57" s="20"/>
      <c r="G57" s="138"/>
      <c r="H57" s="53"/>
      <c r="I57" s="53"/>
      <c r="J57" s="139" t="str">
        <f>HYPERLINK("\\Manish-pc\e\03 General\Manish\Selection\","Selection")</f>
        <v>Selection</v>
      </c>
      <c r="K57" s="79"/>
      <c r="L57" s="83"/>
      <c r="M57" s="20"/>
      <c r="N57" s="20"/>
      <c r="O57" s="20"/>
      <c r="P57" s="17"/>
      <c r="Q57" s="17"/>
      <c r="R57" s="17" t="s">
        <v>2799</v>
      </c>
      <c r="S57" s="17"/>
      <c r="T57" s="17"/>
      <c r="U57" s="29">
        <v>80</v>
      </c>
      <c r="V57" s="17"/>
      <c r="W57" s="17"/>
      <c r="X57" s="17"/>
      <c r="Y57" s="17"/>
      <c r="Z57" s="17"/>
      <c r="AA57" s="17"/>
      <c r="AN57" s="23"/>
    </row>
    <row r="58" spans="1:40">
      <c r="B58" s="20"/>
      <c r="C58" s="20"/>
      <c r="D58" s="20"/>
      <c r="E58" s="20"/>
      <c r="F58" s="20"/>
      <c r="G58" s="138"/>
      <c r="H58" s="140" t="str">
        <f>HYPERLINK("\\Manish-pc\e\03 General\Manish\Selection\Galvi_EHT_Brake.pdf","Galvi")</f>
        <v>Galvi</v>
      </c>
      <c r="I58" s="141" t="str">
        <f>HYPERLINK("\\Manish-pc\e\03 General\Manish\Selection\VD_Series_6Pole.pdf","M Sq 6 Pole")</f>
        <v>M Sq 6 Pole</v>
      </c>
      <c r="J58" s="142"/>
      <c r="K58" s="141" t="str">
        <f>HYPERLINK("\\Manish-pc\e\03 General\Manish\Selection\Wheel_Selection.xls","Wheel Load")</f>
        <v>Wheel Load</v>
      </c>
      <c r="L58" s="143"/>
      <c r="M58" s="20"/>
      <c r="N58" s="20"/>
      <c r="O58" s="20"/>
      <c r="P58" s="17"/>
      <c r="Q58" s="17"/>
      <c r="R58" s="17"/>
      <c r="S58" s="17"/>
      <c r="T58" s="17"/>
      <c r="U58" s="29">
        <v>100</v>
      </c>
      <c r="V58" s="17"/>
      <c r="W58" s="17"/>
      <c r="X58" s="17"/>
      <c r="Y58" s="17"/>
      <c r="Z58" s="17"/>
      <c r="AA58" s="17"/>
      <c r="AN58" s="23"/>
    </row>
    <row r="59" spans="1:40">
      <c r="E59" s="22" t="s">
        <v>2793</v>
      </c>
      <c r="G59" s="138"/>
      <c r="H59" s="140" t="str">
        <f>HYPERLINK("\\Manish-pc\e\03 General\Manish\Selection\BCH_DCEM_Brake.pdf","BCH")</f>
        <v>BCH</v>
      </c>
      <c r="I59" s="141" t="str">
        <f>HYPERLINK("\\Manish-pc\e\03 General\Manish\Selection\M_Sq_Price.pdf","M Sq Price")</f>
        <v>M Sq Price</v>
      </c>
      <c r="J59" s="144"/>
      <c r="K59" s="140" t="str">
        <f>HYPERLINK("\\Manish-pc\e\03 General\Manish\Selection\Fag_Bearing_Price.pdf","Fag B Price")</f>
        <v>Fag B Price</v>
      </c>
      <c r="L59" s="145"/>
      <c r="U59" s="29">
        <v>120</v>
      </c>
      <c r="AN59" s="23"/>
    </row>
    <row r="60" spans="1:40">
      <c r="A60" s="131" t="s">
        <v>96</v>
      </c>
      <c r="B60" s="131" t="s">
        <v>65</v>
      </c>
      <c r="C60" s="131" t="s">
        <v>97</v>
      </c>
      <c r="D60" s="131"/>
      <c r="E60" s="22" t="s">
        <v>2794</v>
      </c>
      <c r="G60" s="138"/>
      <c r="H60" s="140" t="str">
        <f>HYPERLINK("\\Manish-pc\e\03 General\Manish\Selection\SNT_Brake.pdf","SNT Brake")</f>
        <v>SNT Brake</v>
      </c>
      <c r="I60" s="141" t="str">
        <f>HYPERLINK("\\Manish-pc\e\03 General\Manish\Selection\Slipring_Motor.pdf","Slip Ring Motor")</f>
        <v>Slip Ring Motor</v>
      </c>
      <c r="J60" s="144"/>
      <c r="K60" s="140" t="str">
        <f>HYPERLINK("\\Manish-pc\e\03 General\Manish\Selection\Drive_Summery_Cost.pdf","Drive 2010")</f>
        <v>Drive 2010</v>
      </c>
      <c r="L60" s="145"/>
      <c r="U60" s="29" t="s">
        <v>878</v>
      </c>
      <c r="AN60" s="23"/>
    </row>
    <row r="61" spans="1:40">
      <c r="A61" s="131" t="s">
        <v>96</v>
      </c>
      <c r="B61" s="131" t="s">
        <v>78</v>
      </c>
      <c r="C61" s="131" t="s">
        <v>98</v>
      </c>
      <c r="D61" s="131"/>
      <c r="E61" s="22" t="s">
        <v>2660</v>
      </c>
      <c r="G61" s="138"/>
      <c r="H61" s="140" t="str">
        <f>HYPERLINK("\\Manish-pc\e\03 General\Manish\Selection\SOC_Brake.pdf","SOC Brake")</f>
        <v>SOC Brake</v>
      </c>
      <c r="I61" s="141" t="str">
        <f>HYPERLINK("\\Manish-pc\e\03 General\Manish\Selection\Marathon_LP.pdf","SlipRing Price")</f>
        <v>SlipRing Price</v>
      </c>
      <c r="J61" s="144"/>
      <c r="K61" s="140" t="str">
        <f>HYPERLINK("\\Manish-pc\e\03 General\Manish\Selection\Price_Sheet_2013.pdf","Price Sheet")</f>
        <v>Price Sheet</v>
      </c>
      <c r="L61" s="145"/>
      <c r="U61" s="29">
        <v>10000</v>
      </c>
      <c r="AN61" s="23"/>
    </row>
    <row r="62" spans="1:40">
      <c r="A62" s="131" t="s">
        <v>96</v>
      </c>
      <c r="B62" s="131" t="s">
        <v>80</v>
      </c>
      <c r="C62" s="131" t="s">
        <v>92</v>
      </c>
      <c r="D62" s="131"/>
      <c r="E62" s="22" t="s">
        <v>2661</v>
      </c>
      <c r="G62" s="138"/>
      <c r="H62" s="140" t="str">
        <f>HYPERLINK("\\Manish-pc\e\03 General\Manish\Selection\Price_Sheet_2013.pdf","Price Sheet")</f>
        <v>Price Sheet</v>
      </c>
      <c r="I62" s="141" t="str">
        <f>HYPERLINK("\\Manish-pc\e\03 General\Manish\Selection\Siemens_Motor.pdf","Siemens Motor")</f>
        <v>Siemens Motor</v>
      </c>
      <c r="J62" s="144"/>
      <c r="K62" s="140" t="str">
        <f>HYPERLINK("\\Manish-pc\e\03 General\Manish\Selection\Weight.pdf","Weight")</f>
        <v>Weight</v>
      </c>
      <c r="L62" s="145"/>
      <c r="O62" s="146"/>
      <c r="AN62" s="23"/>
    </row>
    <row r="63" spans="1:40">
      <c r="D63" s="80"/>
      <c r="E63" s="80"/>
      <c r="G63" s="138"/>
      <c r="H63" s="140" t="str">
        <f>HYPERLINK("\\Manish-pc\e\03 General\Manish\Selection\BCH_ Price.pdf","BCH Price")</f>
        <v>BCH Price</v>
      </c>
      <c r="I63" s="144"/>
      <c r="J63" s="144"/>
      <c r="K63" s="144"/>
      <c r="L63" s="145"/>
    </row>
    <row r="64" spans="1:40" ht="12.75" customHeight="1">
      <c r="A64" s="147" t="s">
        <v>99</v>
      </c>
      <c r="B64" s="148" t="s">
        <v>100</v>
      </c>
      <c r="C64" s="149"/>
      <c r="D64" s="150"/>
      <c r="E64" s="145" t="s">
        <v>96</v>
      </c>
      <c r="F64" s="145" t="s">
        <v>275</v>
      </c>
      <c r="G64" s="53"/>
      <c r="H64" s="144"/>
      <c r="I64" s="140" t="str">
        <f>HYPERLINK("\\Manish-pc\e\03 General\Manish\Selection\Wire_Rope_Price.pdf","Wire Rope Price")</f>
        <v>Wire Rope Price</v>
      </c>
      <c r="J64" s="144"/>
      <c r="K64" s="140" t="str">
        <f>HYPERLINK("\\Manish-pc\e\03 General\Manish\Selection\SCHNEIDER_DRIVE_PRICE.pdf","Schneider_Drive")</f>
        <v>Schneider_Drive</v>
      </c>
      <c r="L64" s="145"/>
    </row>
    <row r="65" spans="1:12" ht="12.75" customHeight="1">
      <c r="A65" s="151"/>
      <c r="B65" s="131" t="str">
        <f>E65&amp;" + "&amp;E66</f>
        <v>Pendant Push Button (Movable Type) + RRC (Push Button Type)</v>
      </c>
      <c r="C65" s="131"/>
      <c r="D65" s="131"/>
      <c r="E65" s="152" t="str">
        <f>+B66</f>
        <v>Pendant Push Button (Movable Type)</v>
      </c>
      <c r="F65" s="131">
        <v>0</v>
      </c>
      <c r="H65" s="140" t="str">
        <f>HYPERLINK("\\Manish-pc\e\03 General\Manish\Selection\Elite_Gear_Box.pdf","Elite GB")</f>
        <v>Elite GB</v>
      </c>
      <c r="I65" s="140" t="str">
        <f>HYPERLINK("\\Manish-pc\e\03 General\Manish\Selection\USHA_MARTIN_ROPE.pdf","Usha Martine Catalog")</f>
        <v>Usha Martine Catalog</v>
      </c>
      <c r="J65" s="144"/>
      <c r="K65" s="140" t="str">
        <f>HYPERLINK("\\Manish-pc\e\03 General\Manish\Selection\Coupling_Price.pdf","Coupling Price")</f>
        <v>Coupling Price</v>
      </c>
      <c r="L65" s="145"/>
    </row>
    <row r="66" spans="1:12" ht="28.5">
      <c r="A66" s="153"/>
      <c r="B66" s="131" t="s">
        <v>2780</v>
      </c>
      <c r="C66" s="131"/>
      <c r="D66" s="131"/>
      <c r="E66" s="152" t="str">
        <f>+B69</f>
        <v>RRC (Push Button Type)</v>
      </c>
      <c r="F66" s="131">
        <v>0</v>
      </c>
      <c r="H66" s="140" t="str">
        <f>HYPERLINK("\\Manish-pc\e\03 General\Manish\Selection\ELECON_ET-SERIES.pdf","Elecon GB")</f>
        <v>Elecon GB</v>
      </c>
      <c r="I66" s="154"/>
      <c r="J66" s="144"/>
      <c r="K66" s="154"/>
      <c r="L66" s="145"/>
    </row>
    <row r="67" spans="1:12" ht="12" customHeight="1">
      <c r="A67" s="153"/>
      <c r="B67" s="131" t="s">
        <v>2646</v>
      </c>
      <c r="C67" s="131"/>
      <c r="D67" s="131"/>
      <c r="E67" s="131"/>
      <c r="F67" s="131">
        <v>0</v>
      </c>
      <c r="H67" s="140" t="str">
        <f>HYPERLINK("\\Manish-pc\e\03 General\Manish\Selection\Premium_Gear_Box.pdf","Premium GB")</f>
        <v>Premium GB</v>
      </c>
      <c r="I67" s="140" t="str">
        <f>HYPERLINK("\\Manish-pc\e\03 General\Manish\Selection\J_S_Tube.pdf","J S Tube")</f>
        <v>J S Tube</v>
      </c>
      <c r="J67" s="144"/>
      <c r="K67" s="154"/>
      <c r="L67" s="145"/>
    </row>
    <row r="68" spans="1:12">
      <c r="A68" s="153"/>
      <c r="B68" s="131" t="s">
        <v>101</v>
      </c>
      <c r="C68" s="131"/>
      <c r="D68" s="131"/>
      <c r="E68" s="131"/>
      <c r="F68" s="131">
        <v>0</v>
      </c>
      <c r="H68" s="53"/>
      <c r="J68" s="53"/>
      <c r="L68" s="53"/>
    </row>
    <row r="69" spans="1:12">
      <c r="A69" s="153"/>
      <c r="B69" s="131" t="s">
        <v>102</v>
      </c>
      <c r="C69" s="131"/>
      <c r="D69" s="131"/>
      <c r="E69" s="131"/>
      <c r="F69" s="131">
        <v>0</v>
      </c>
      <c r="H69" s="145"/>
      <c r="I69" s="140" t="str">
        <f>HYPERLINK("\\Manish-pc\e\03 General\Manish\Selection\IS\3177_2006.pdf","IS : 3177-2006")</f>
        <v>IS : 3177-2006</v>
      </c>
      <c r="J69" s="131"/>
      <c r="K69" s="53"/>
      <c r="L69" s="53"/>
    </row>
    <row r="70" spans="1:12">
      <c r="A70" s="153"/>
      <c r="B70" s="131" t="s">
        <v>2781</v>
      </c>
      <c r="C70" s="131"/>
      <c r="D70" s="131"/>
      <c r="E70" s="131"/>
      <c r="F70" s="131">
        <v>0</v>
      </c>
      <c r="H70" s="145"/>
      <c r="I70" s="140" t="str">
        <f>HYPERLINK("\\Manish-pc\e\03 General\Manish\Selection\IS\IS 3177-1999.pdf","IS : 3177-1999")</f>
        <v>IS : 3177-1999</v>
      </c>
      <c r="J70" s="145"/>
      <c r="K70" s="53"/>
      <c r="L70" s="53"/>
    </row>
    <row r="71" spans="1:12">
      <c r="A71" s="153"/>
      <c r="B71" s="131" t="s">
        <v>2782</v>
      </c>
      <c r="C71" s="131"/>
      <c r="D71" s="131"/>
      <c r="E71" s="131"/>
      <c r="F71" s="131">
        <v>0</v>
      </c>
      <c r="H71" s="145"/>
      <c r="I71" s="140" t="str">
        <f>HYPERLINK("\\Manish-pc\e\03 General\Manish\Selection\IS\4137_2015.pdf","IS : 4137-2015")</f>
        <v>IS : 4137-2015</v>
      </c>
      <c r="J71" s="145"/>
      <c r="K71" s="155"/>
      <c r="L71" s="53"/>
    </row>
    <row r="72" spans="1:12">
      <c r="A72" s="153"/>
      <c r="B72" s="131" t="s">
        <v>103</v>
      </c>
      <c r="C72" s="131"/>
      <c r="D72" s="131"/>
      <c r="E72" s="131"/>
      <c r="F72" s="131">
        <v>700</v>
      </c>
      <c r="H72" s="131"/>
      <c r="I72" s="140" t="str">
        <f>HYPERLINK("\\Manish-pc\e\03 General\Manish\Selection\IS\IS_4137-1985.pdf","IS : 4137-1985")</f>
        <v>IS : 4137-1985</v>
      </c>
      <c r="J72" s="145"/>
      <c r="K72" s="53"/>
      <c r="L72" s="53"/>
    </row>
    <row r="73" spans="1:12">
      <c r="A73" s="153"/>
      <c r="B73" s="131" t="s">
        <v>104</v>
      </c>
      <c r="C73" s="131"/>
      <c r="D73" s="131"/>
      <c r="E73" s="131"/>
      <c r="F73" s="131">
        <v>1200</v>
      </c>
      <c r="H73" s="131"/>
      <c r="I73" s="140" t="str">
        <f>HYPERLINK("\\Manish-pc\e\03 General\Manish\Selection\IS\FEM.pdf","FEM")</f>
        <v>FEM</v>
      </c>
      <c r="J73" s="145"/>
      <c r="K73" s="53"/>
      <c r="L73" s="53"/>
    </row>
    <row r="74" spans="1:12">
      <c r="A74" s="153"/>
      <c r="B74" s="131" t="s">
        <v>2586</v>
      </c>
      <c r="C74" s="131"/>
      <c r="D74" s="131"/>
      <c r="E74" s="131"/>
      <c r="F74" s="131">
        <v>1000</v>
      </c>
      <c r="H74" s="131"/>
      <c r="I74" s="140" t="str">
        <f>HYPERLINK("\\Manish-pc\e\03 General\Manish\Selection\IS\IS 2266_Wire-Rope.pdf","IS : 2266_Wire-Rope")</f>
        <v>IS : 2266_Wire-Rope</v>
      </c>
      <c r="J74" s="145"/>
      <c r="K74" s="53"/>
      <c r="L74" s="53"/>
    </row>
    <row r="75" spans="1:12">
      <c r="A75" s="153"/>
      <c r="B75" s="131" t="s">
        <v>105</v>
      </c>
      <c r="C75" s="131"/>
      <c r="D75" s="131"/>
      <c r="E75" s="131"/>
      <c r="F75" s="131">
        <v>1000</v>
      </c>
      <c r="H75" s="131"/>
      <c r="I75" s="140" t="str">
        <f>HYPERLINK("\\Manish-pc\e\03 General\Manish\Selection\IS\IS 3443-1980_Rail.pdf","IS : 3443-1980_Rail")</f>
        <v>IS : 3443-1980_Rail</v>
      </c>
      <c r="J75" s="145"/>
      <c r="L75" s="53"/>
    </row>
    <row r="76" spans="1:12">
      <c r="A76" s="147" t="s">
        <v>106</v>
      </c>
      <c r="B76" s="149"/>
      <c r="C76" s="149"/>
      <c r="D76" s="149"/>
      <c r="E76" s="150"/>
      <c r="F76" s="131">
        <f>+VLOOKUP(D46,B65:F75,5,0)</f>
        <v>0</v>
      </c>
      <c r="G76" s="53"/>
      <c r="H76" s="53"/>
      <c r="I76" s="156"/>
      <c r="J76" s="53"/>
      <c r="K76" s="53"/>
      <c r="L76" s="53"/>
    </row>
    <row r="77" spans="1:12">
      <c r="G77" s="53"/>
      <c r="I77" s="157"/>
      <c r="L77" s="53"/>
    </row>
    <row r="78" spans="1:12">
      <c r="G78" s="53"/>
      <c r="H78" s="157"/>
      <c r="I78" s="157"/>
      <c r="J78" s="157"/>
      <c r="L78" s="53"/>
    </row>
    <row r="79" spans="1:12" ht="20.100000000000001" customHeight="1">
      <c r="I79" s="53"/>
      <c r="J79" s="53"/>
      <c r="K79" s="53"/>
      <c r="L79" s="53"/>
    </row>
    <row r="80" spans="1:12" ht="20.100000000000001" customHeight="1">
      <c r="H80" s="53"/>
      <c r="I80" s="158"/>
      <c r="J80" s="53"/>
      <c r="K80" s="53"/>
      <c r="L80" s="53"/>
    </row>
    <row r="81" spans="1:13" ht="20.100000000000001" customHeight="1">
      <c r="A81" s="159" t="s">
        <v>96</v>
      </c>
      <c r="B81" s="159" t="s">
        <v>259</v>
      </c>
      <c r="C81" s="159" t="s">
        <v>263</v>
      </c>
      <c r="D81" s="131"/>
    </row>
    <row r="82" spans="1:13" ht="20.100000000000001" customHeight="1">
      <c r="A82" s="160" t="s">
        <v>648</v>
      </c>
      <c r="B82" s="159" t="s">
        <v>2662</v>
      </c>
      <c r="C82" s="161" t="s">
        <v>656</v>
      </c>
      <c r="D82" s="161" t="s">
        <v>660</v>
      </c>
    </row>
    <row r="83" spans="1:13" ht="20.100000000000001" customHeight="1">
      <c r="A83" s="162" t="s">
        <v>96</v>
      </c>
      <c r="B83" s="162" t="s">
        <v>837</v>
      </c>
      <c r="C83" s="162" t="s">
        <v>859</v>
      </c>
      <c r="D83" s="163"/>
      <c r="K83" s="20"/>
      <c r="L83" s="17"/>
      <c r="M83" s="137"/>
    </row>
    <row r="84" spans="1:13" ht="20.100000000000001" customHeight="1" thickBot="1">
      <c r="A84" s="159" t="s">
        <v>96</v>
      </c>
      <c r="B84" s="164" t="s">
        <v>334</v>
      </c>
      <c r="C84" s="164" t="s">
        <v>335</v>
      </c>
      <c r="D84" s="165" t="s">
        <v>336</v>
      </c>
      <c r="J84" s="166"/>
      <c r="K84" s="20"/>
      <c r="L84" s="17"/>
      <c r="M84" s="137"/>
    </row>
    <row r="85" spans="1:13" ht="20.100000000000001" customHeight="1">
      <c r="A85" s="167" t="s">
        <v>345</v>
      </c>
      <c r="B85" s="168" t="s">
        <v>428</v>
      </c>
      <c r="C85" s="169" t="s">
        <v>2506</v>
      </c>
      <c r="D85" s="145" t="s">
        <v>2086</v>
      </c>
      <c r="E85" s="159" t="s">
        <v>259</v>
      </c>
      <c r="F85" s="145" t="s">
        <v>2803</v>
      </c>
      <c r="J85" s="166"/>
    </row>
    <row r="86" spans="1:13" ht="20.100000000000001" customHeight="1">
      <c r="A86" s="145" t="s">
        <v>290</v>
      </c>
      <c r="B86" s="170" t="s">
        <v>404</v>
      </c>
      <c r="C86" s="169" t="s">
        <v>2507</v>
      </c>
      <c r="D86" s="145" t="s">
        <v>2086</v>
      </c>
      <c r="E86" s="159" t="s">
        <v>259</v>
      </c>
      <c r="F86" s="145" t="s">
        <v>2804</v>
      </c>
      <c r="J86" s="166"/>
      <c r="L86" s="166"/>
    </row>
    <row r="87" spans="1:13" ht="20.100000000000001" customHeight="1" thickBot="1">
      <c r="A87" s="171" t="s">
        <v>298</v>
      </c>
      <c r="B87" s="172" t="s">
        <v>444</v>
      </c>
      <c r="C87" s="169" t="s">
        <v>2509</v>
      </c>
      <c r="D87" s="145" t="s">
        <v>2564</v>
      </c>
      <c r="E87" s="159" t="s">
        <v>259</v>
      </c>
      <c r="F87" s="145" t="s">
        <v>261</v>
      </c>
      <c r="J87" s="166"/>
    </row>
    <row r="88" spans="1:13" ht="20.100000000000001" customHeight="1">
      <c r="A88" s="59" t="s">
        <v>2458</v>
      </c>
      <c r="C88" s="169" t="s">
        <v>2510</v>
      </c>
      <c r="D88" s="145" t="s">
        <v>2565</v>
      </c>
      <c r="E88" s="159" t="s">
        <v>259</v>
      </c>
      <c r="F88" s="145" t="s">
        <v>2803</v>
      </c>
      <c r="I88" s="158"/>
      <c r="J88" s="166"/>
      <c r="K88" s="166"/>
    </row>
    <row r="89" spans="1:13" ht="20.100000000000001" customHeight="1">
      <c r="A89" s="173" t="s">
        <v>359</v>
      </c>
      <c r="C89" s="174" t="str">
        <f>C52</f>
        <v xml:space="preserve">SQ Marathon </v>
      </c>
      <c r="D89" s="175" t="str">
        <f>VLOOKUP(C89,'E Data'!C85:D88,2,0)</f>
        <v>F</v>
      </c>
      <c r="E89" s="174" t="str">
        <f>VLOOKUP(C89,'E Data'!C85:E88,3,0)</f>
        <v>Sq. Cage Motor</v>
      </c>
      <c r="F89" s="174" t="str">
        <f>VLOOKUP(C89,C85:F88,4,0)</f>
        <v>BBL</v>
      </c>
      <c r="J89" s="166"/>
    </row>
    <row r="90" spans="1:13" ht="20.100000000000001" customHeight="1">
      <c r="A90" s="53" t="s">
        <v>2458</v>
      </c>
      <c r="C90" s="176" t="str">
        <f>IF(D52="Conventional Motor",E89,"Sq. Cage Motor")</f>
        <v>Sq. Cage Motor</v>
      </c>
      <c r="I90" s="158" t="str">
        <f>HYPERLINK("","")</f>
        <v/>
      </c>
      <c r="J90" s="166"/>
    </row>
    <row r="91" spans="1:13" ht="20.100000000000001" customHeight="1">
      <c r="A91" s="177" t="s">
        <v>289</v>
      </c>
      <c r="I91" s="158" t="str">
        <f>HYPERLINK("","")</f>
        <v/>
      </c>
      <c r="K91" s="166"/>
    </row>
    <row r="92" spans="1:13" ht="20.100000000000001" customHeight="1">
      <c r="A92" s="171" t="s">
        <v>290</v>
      </c>
      <c r="J92" s="166"/>
    </row>
    <row r="93" spans="1:13" ht="20.100000000000001" customHeight="1">
      <c r="A93" s="178" t="s">
        <v>368</v>
      </c>
      <c r="J93" s="166"/>
    </row>
    <row r="94" spans="1:13" ht="20.100000000000001" customHeight="1">
      <c r="A94" s="177" t="s">
        <v>374</v>
      </c>
      <c r="J94" s="166"/>
    </row>
    <row r="95" spans="1:13" ht="20.100000000000001" customHeight="1">
      <c r="A95" s="177" t="s">
        <v>377</v>
      </c>
      <c r="J95" s="166"/>
    </row>
    <row r="96" spans="1:13" ht="20.100000000000001" customHeight="1">
      <c r="A96" s="173" t="s">
        <v>382</v>
      </c>
      <c r="J96" s="166"/>
    </row>
    <row r="97" spans="1:10" ht="20.100000000000001" customHeight="1">
      <c r="A97" s="173" t="s">
        <v>386</v>
      </c>
      <c r="J97" s="166"/>
    </row>
    <row r="98" spans="1:10" ht="20.100000000000001" customHeight="1">
      <c r="A98" s="173" t="s">
        <v>391</v>
      </c>
      <c r="J98" s="166"/>
    </row>
    <row r="99" spans="1:10" ht="20.100000000000001" customHeight="1">
      <c r="A99" s="179" t="s">
        <v>394</v>
      </c>
      <c r="J99" s="166"/>
    </row>
    <row r="100" spans="1:10">
      <c r="J100" s="166"/>
    </row>
    <row r="102" spans="1:10">
      <c r="J102" s="166"/>
    </row>
    <row r="103" spans="1:10">
      <c r="J103" s="166"/>
    </row>
    <row r="104" spans="1:10">
      <c r="J104" s="166"/>
    </row>
    <row r="105" spans="1:10">
      <c r="J105" s="166"/>
    </row>
    <row r="106" spans="1:10">
      <c r="J106" s="180"/>
    </row>
  </sheetData>
  <mergeCells count="24">
    <mergeCell ref="N11:N12"/>
    <mergeCell ref="N24:N26"/>
    <mergeCell ref="O11:O12"/>
    <mergeCell ref="D46:H46"/>
    <mergeCell ref="D10:G10"/>
    <mergeCell ref="D23:E23"/>
    <mergeCell ref="F23:G23"/>
    <mergeCell ref="D3:F3"/>
    <mergeCell ref="D4:F4"/>
    <mergeCell ref="D7:G7"/>
    <mergeCell ref="G3:I4"/>
    <mergeCell ref="D11:H11"/>
    <mergeCell ref="D1:F1"/>
    <mergeCell ref="G1:I1"/>
    <mergeCell ref="A2:C2"/>
    <mergeCell ref="D2:F2"/>
    <mergeCell ref="G2:I2"/>
    <mergeCell ref="A11:B11"/>
    <mergeCell ref="A21:B21"/>
    <mergeCell ref="A8:B8"/>
    <mergeCell ref="A10:B10"/>
    <mergeCell ref="A1:C1"/>
    <mergeCell ref="A3:C3"/>
    <mergeCell ref="A7:B7"/>
  </mergeCells>
  <dataValidations count="10">
    <dataValidation type="list" allowBlank="1" showInputMessage="1" showErrorMessage="1" sqref="H52 O3 E31 E47 A83:A86 A89 A81:C81 B86:B87 B84:D84 E85:E88 E25:G25 D6 D30" xr:uid="{A22D1074-E375-47A2-9BAA-D05213947E34}">
      <formula1>$D$55:$D$59</formula1>
    </dataValidation>
    <dataValidation type="list" allowBlank="1" showInputMessage="1" showErrorMessage="1" sqref="D10:G10" xr:uid="{8300B15A-C9D8-434C-80E1-2198F8E67199}">
      <formula1>$R$51:$R$60</formula1>
    </dataValidation>
    <dataValidation type="list" allowBlank="1" showInputMessage="1" showErrorMessage="1" sqref="D46:H46" xr:uid="{57BE2F43-9CE0-4EC7-BA49-9A9DE40657B3}">
      <formula1>$B$65:$B$75</formula1>
    </dataValidation>
    <dataValidation type="list" allowBlank="1" showInputMessage="1" showErrorMessage="1" sqref="D25" xr:uid="{F2AC462B-68F5-4BF8-9A25-DC90C1DE7567}">
      <formula1>$K$4:$K$7</formula1>
    </dataValidation>
    <dataValidation allowBlank="1" showDropDown="1" showInputMessage="1" showErrorMessage="1" sqref="D54" xr:uid="{E9DCB912-B5F0-4FA3-9192-A3301F4649C8}"/>
    <dataValidation type="list" allowBlank="1" showInputMessage="1" showErrorMessage="1" sqref="C52" xr:uid="{EE6C23D6-0D23-470E-8AFD-F542CA1ED191}">
      <formula1>$C$85:$C$92</formula1>
    </dataValidation>
    <dataValidation type="list" allowBlank="1" showInputMessage="1" showErrorMessage="1" sqref="D52" xr:uid="{6A2DCA07-7059-4EF3-A3FC-8E8F6DC76372}">
      <formula1>$B$83:$D$83</formula1>
    </dataValidation>
    <dataValidation type="list" allowBlank="1" showInputMessage="1" showErrorMessage="1" sqref="E52" xr:uid="{F5246FB8-5EC4-4797-8773-892E8D872B09}">
      <formula1>$B$84:$D$84</formula1>
    </dataValidation>
    <dataValidation type="list" allowBlank="1" showInputMessage="1" showErrorMessage="1" sqref="F52" xr:uid="{54181049-8063-4470-BF5A-097B002B9111}">
      <formula1>$A$85:$A$103</formula1>
    </dataValidation>
    <dataValidation type="list" allowBlank="1" showInputMessage="1" showErrorMessage="1" sqref="G52" xr:uid="{E287667C-2033-4165-9E56-81436A586A58}">
      <formula1>$B$85:$B$87</formula1>
    </dataValidation>
  </dataValidations>
  <pageMargins left="0.27500000000000002" right="0.196527777777778" top="0.55000000000000004" bottom="0.15625" header="0.27500000000000002" footer="0.15625"/>
  <pageSetup paperSize="9" scale="90" fitToWidth="0" fitToHeight="0" orientation="portrait" useFirstPageNumber="1" errors="NA" r:id="rId1"/>
  <headerFooter alignWithMargins="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A358"/>
  <sheetViews>
    <sheetView showGridLines="0" view="pageBreakPreview" zoomScale="85" zoomScaleSheetLayoutView="85" workbookViewId="0">
      <selection activeCell="A4" sqref="A4"/>
    </sheetView>
  </sheetViews>
  <sheetFormatPr defaultColWidth="9.1328125" defaultRowHeight="14.25"/>
  <cols>
    <col min="1" max="1" width="9.1328125" style="22"/>
    <col min="2" max="2" width="7.46484375" style="22" customWidth="1"/>
    <col min="3" max="3" width="9.1328125" style="22"/>
    <col min="4" max="4" width="5.1328125" style="22" customWidth="1"/>
    <col min="5" max="5" width="7.46484375" style="22" customWidth="1"/>
    <col min="6" max="6" width="11" style="22"/>
    <col min="7" max="7" width="13.1328125" style="22" customWidth="1"/>
    <col min="8" max="8" width="12.33203125" style="22" customWidth="1"/>
    <col min="9" max="9" width="15.86328125" style="22" customWidth="1"/>
    <col min="10" max="10" width="16.6640625" style="22" customWidth="1"/>
    <col min="11" max="11" width="10.86328125" style="22" customWidth="1"/>
    <col min="12" max="12" width="13.33203125" style="22" customWidth="1"/>
    <col min="13" max="13" width="16.46484375" style="22" customWidth="1"/>
    <col min="14" max="14" width="16.6640625" style="22" customWidth="1"/>
    <col min="15" max="18" width="14.86328125" style="22" customWidth="1"/>
    <col min="19" max="20" width="10.53125" style="22" customWidth="1"/>
    <col min="21" max="21" width="12.86328125" style="22" customWidth="1"/>
    <col min="22" max="22" width="11.1328125" style="22" customWidth="1"/>
    <col min="23" max="23" width="24.46484375" style="22" customWidth="1"/>
    <col min="24" max="24" width="14.86328125" style="22" customWidth="1"/>
    <col min="25" max="27" width="9.1328125" style="22"/>
    <col min="28" max="30" width="17.33203125" style="22" customWidth="1"/>
    <col min="31" max="31" width="24.6640625" style="22" bestFit="1" customWidth="1"/>
    <col min="32" max="32" width="12.86328125" style="22"/>
    <col min="33" max="34" width="9.1328125" style="22"/>
    <col min="35" max="35" width="9.53125" style="22" bestFit="1" customWidth="1"/>
    <col min="36" max="37" width="9.1328125" style="22"/>
    <col min="38" max="38" width="12.86328125" style="22"/>
    <col min="39" max="40" width="9.1328125" style="22"/>
    <col min="41" max="41" width="11" style="22" customWidth="1"/>
    <col min="42" max="42" width="9.1328125" style="22"/>
    <col min="43" max="43" width="12.6640625" style="22" customWidth="1"/>
    <col min="44" max="44" width="9.1328125" style="22"/>
    <col min="45" max="45" width="11.53125" style="22" customWidth="1"/>
    <col min="46" max="61" width="9.1328125" style="22"/>
    <col min="62" max="62" width="10.53125" style="22" bestFit="1" customWidth="1"/>
    <col min="63" max="16384" width="9.1328125" style="22"/>
  </cols>
  <sheetData>
    <row r="1" spans="1:58">
      <c r="A1" s="3698" t="s">
        <v>1</v>
      </c>
      <c r="B1" s="3698"/>
      <c r="C1" s="3698"/>
      <c r="D1" s="3698"/>
      <c r="E1" s="3698"/>
      <c r="F1" s="3698" t="s">
        <v>109</v>
      </c>
      <c r="G1" s="3698"/>
      <c r="H1" s="3698"/>
      <c r="I1" s="3696" t="s">
        <v>2</v>
      </c>
      <c r="J1" s="3696"/>
      <c r="K1" s="3696"/>
      <c r="L1" s="19"/>
      <c r="M1" s="17"/>
      <c r="N1" s="17"/>
      <c r="O1" s="17"/>
      <c r="P1" s="17"/>
      <c r="Q1" s="3712"/>
      <c r="R1" s="3712"/>
      <c r="S1" s="3712"/>
      <c r="T1" s="3715"/>
      <c r="U1" s="3713"/>
      <c r="V1" s="3714"/>
      <c r="W1" s="3713"/>
      <c r="X1" s="3713"/>
      <c r="Y1" s="3713"/>
      <c r="Z1" s="3713"/>
      <c r="AA1" s="3713"/>
      <c r="AC1" s="3712"/>
      <c r="AD1" s="3712"/>
      <c r="AG1" s="3712"/>
      <c r="AH1" s="3712"/>
      <c r="AI1" s="3712"/>
      <c r="AJ1" s="3715"/>
      <c r="AK1" s="3713"/>
      <c r="AL1" s="3714"/>
      <c r="AN1" s="3712"/>
      <c r="AO1" s="3712"/>
      <c r="AR1" s="3712"/>
      <c r="AS1" s="3712"/>
      <c r="AT1" s="3712"/>
      <c r="AU1" s="3715"/>
      <c r="AV1" s="3713"/>
      <c r="AW1" s="3714"/>
      <c r="AX1" s="3713"/>
      <c r="AY1" s="3713"/>
      <c r="AZ1" s="3713"/>
      <c r="BA1" s="3713"/>
      <c r="BB1" s="3713"/>
      <c r="BE1" s="3712"/>
      <c r="BF1" s="3712"/>
    </row>
    <row r="2" spans="1:58">
      <c r="A2" s="3698" t="str">
        <f>+'E Data'!A2</f>
        <v>ELITEMHE INDUSTRIES LIMITED</v>
      </c>
      <c r="B2" s="3698"/>
      <c r="C2" s="3698"/>
      <c r="D2" s="3698"/>
      <c r="E2" s="3698"/>
      <c r="F2" s="3698" t="str">
        <f>'E Data'!D2</f>
        <v xml:space="preserve">25/15T D/G EOT CRANE  </v>
      </c>
      <c r="G2" s="3698"/>
      <c r="H2" s="3698"/>
      <c r="I2" s="3696">
        <f>I85</f>
        <v>0</v>
      </c>
      <c r="J2" s="3696"/>
      <c r="K2" s="3696"/>
      <c r="L2" s="19"/>
      <c r="M2" s="19"/>
      <c r="N2" s="17"/>
      <c r="O2" s="17"/>
      <c r="P2" s="17"/>
      <c r="Q2" s="287"/>
      <c r="R2" s="288"/>
      <c r="S2" s="289"/>
      <c r="T2" s="290"/>
      <c r="U2" s="3713"/>
      <c r="V2" s="3714"/>
      <c r="W2" s="3713"/>
      <c r="X2" s="3713"/>
      <c r="Y2" s="3713"/>
      <c r="Z2" s="3713"/>
      <c r="AA2" s="3713"/>
      <c r="AC2" s="291"/>
      <c r="AD2" s="292"/>
      <c r="AG2" s="287"/>
      <c r="AH2" s="288"/>
      <c r="AI2" s="289"/>
      <c r="AJ2" s="290"/>
      <c r="AK2" s="3713"/>
      <c r="AL2" s="3714"/>
      <c r="AN2" s="291"/>
      <c r="AO2" s="292"/>
      <c r="AP2" s="80"/>
      <c r="AR2" s="287"/>
      <c r="AS2" s="288"/>
      <c r="AT2" s="289"/>
      <c r="AU2" s="290"/>
      <c r="AV2" s="3713"/>
      <c r="AW2" s="3714"/>
      <c r="AX2" s="3713"/>
      <c r="AY2" s="3713"/>
      <c r="AZ2" s="3713"/>
      <c r="BA2" s="3713"/>
      <c r="BB2" s="3713"/>
      <c r="BE2" s="291"/>
      <c r="BF2" s="292"/>
    </row>
    <row r="3" spans="1:58">
      <c r="A3" s="3696"/>
      <c r="B3" s="3696"/>
      <c r="C3" s="3696"/>
      <c r="D3" s="3696"/>
      <c r="E3" s="3696"/>
      <c r="F3" s="3696" t="s">
        <v>122</v>
      </c>
      <c r="G3" s="3696"/>
      <c r="H3" s="3696"/>
      <c r="I3" s="3696" t="s">
        <v>123</v>
      </c>
      <c r="J3" s="3696"/>
      <c r="K3" s="3696"/>
      <c r="L3" s="19"/>
      <c r="M3" s="17"/>
      <c r="N3" s="17"/>
      <c r="O3" s="17"/>
      <c r="P3" s="17"/>
      <c r="Q3" s="293"/>
      <c r="R3" s="19"/>
      <c r="S3" s="294"/>
      <c r="T3" s="19"/>
      <c r="U3" s="19"/>
      <c r="V3" s="295"/>
      <c r="W3" s="20"/>
      <c r="X3" s="20"/>
      <c r="Y3" s="20"/>
      <c r="Z3" s="20"/>
      <c r="AA3" s="20"/>
      <c r="AC3" s="19"/>
      <c r="AD3" s="19"/>
      <c r="AG3" s="293"/>
      <c r="AI3" s="53"/>
      <c r="AJ3" s="80"/>
      <c r="AK3" s="19"/>
      <c r="AL3" s="19"/>
      <c r="AN3" s="53"/>
      <c r="AP3" s="80"/>
      <c r="AR3" s="293"/>
      <c r="AS3" s="53"/>
      <c r="AT3" s="53"/>
      <c r="AU3" s="80"/>
      <c r="AV3" s="19"/>
      <c r="AW3" s="19"/>
      <c r="AX3" s="20"/>
      <c r="AY3" s="20"/>
      <c r="AZ3" s="20"/>
      <c r="BA3" s="20"/>
      <c r="BB3" s="20"/>
      <c r="BE3" s="53"/>
      <c r="BF3" s="80"/>
    </row>
    <row r="4" spans="1:58">
      <c r="A4" s="160" t="s">
        <v>127</v>
      </c>
      <c r="B4" s="131"/>
      <c r="C4" s="311" t="e">
        <f>#REF!</f>
        <v>#REF!</v>
      </c>
      <c r="D4" s="311"/>
      <c r="E4" s="2459"/>
      <c r="F4" s="3698" t="str">
        <f>'E Data'!D4</f>
        <v xml:space="preserve"> </v>
      </c>
      <c r="G4" s="3698"/>
      <c r="H4" s="3698"/>
      <c r="I4" s="3696"/>
      <c r="J4" s="3696"/>
      <c r="K4" s="3696"/>
      <c r="L4" s="19"/>
      <c r="M4" s="17"/>
      <c r="N4" s="17"/>
      <c r="O4" s="17"/>
      <c r="P4" s="17"/>
      <c r="Q4" s="298"/>
      <c r="R4" s="19"/>
      <c r="S4" s="294"/>
      <c r="T4" s="19"/>
      <c r="U4" s="19"/>
      <c r="V4" s="295"/>
      <c r="W4" s="20"/>
      <c r="X4" s="20"/>
      <c r="Y4" s="20"/>
      <c r="Z4" s="20"/>
      <c r="AA4" s="20"/>
      <c r="AC4" s="19"/>
      <c r="AD4" s="19"/>
      <c r="AG4" s="299"/>
      <c r="AH4" s="17"/>
      <c r="AI4" s="53"/>
      <c r="AJ4" s="80"/>
      <c r="AK4" s="19"/>
      <c r="AL4" s="19"/>
      <c r="AN4" s="53"/>
      <c r="AP4" s="80"/>
      <c r="AR4" s="299"/>
      <c r="AS4" s="216"/>
      <c r="AT4" s="53"/>
      <c r="AU4" s="80"/>
      <c r="AV4" s="19"/>
      <c r="AW4" s="19"/>
      <c r="AX4" s="20"/>
      <c r="AY4" s="20"/>
      <c r="AZ4" s="20"/>
      <c r="BA4" s="20"/>
      <c r="BB4" s="20"/>
      <c r="BE4" s="53"/>
      <c r="BF4" s="80"/>
    </row>
    <row r="5" spans="1:58">
      <c r="A5" s="1792"/>
      <c r="B5" s="37"/>
      <c r="C5" s="37"/>
      <c r="D5" s="37"/>
      <c r="E5" s="37"/>
      <c r="F5" s="37"/>
      <c r="G5" s="37"/>
      <c r="H5" s="301"/>
      <c r="I5" s="37"/>
      <c r="J5" s="37"/>
      <c r="K5" s="402"/>
      <c r="L5" s="302">
        <f>(I12+I13+I14)*I15*I17/(6120*I25)</f>
        <v>14.857314197811444</v>
      </c>
      <c r="M5" s="17"/>
      <c r="N5" s="17"/>
      <c r="O5" s="17"/>
      <c r="P5" s="17"/>
      <c r="Q5" s="303"/>
      <c r="R5" s="19"/>
      <c r="S5" s="294"/>
      <c r="T5" s="19"/>
      <c r="U5" s="19"/>
      <c r="V5" s="295"/>
      <c r="W5" s="20"/>
      <c r="X5" s="20"/>
      <c r="Y5" s="20"/>
      <c r="Z5" s="20"/>
      <c r="AA5" s="20"/>
      <c r="AC5" s="19"/>
      <c r="AD5" s="19"/>
      <c r="AG5" s="299"/>
      <c r="AH5" s="17"/>
      <c r="AI5" s="53"/>
      <c r="AJ5" s="80"/>
      <c r="AK5" s="19"/>
      <c r="AL5" s="19"/>
      <c r="AN5" s="53"/>
      <c r="AP5" s="80"/>
      <c r="AR5" s="299"/>
      <c r="AS5" s="216"/>
      <c r="AT5" s="53"/>
      <c r="AU5" s="80"/>
      <c r="AV5" s="19"/>
      <c r="AW5" s="19"/>
      <c r="AX5" s="20"/>
      <c r="AY5" s="20"/>
      <c r="AZ5" s="20"/>
      <c r="BA5" s="20"/>
      <c r="BB5" s="20"/>
      <c r="BE5" s="53"/>
    </row>
    <row r="6" spans="1:58">
      <c r="A6" s="2075"/>
      <c r="B6" s="20"/>
      <c r="C6" s="20"/>
      <c r="D6" s="20"/>
      <c r="E6" s="20"/>
      <c r="F6" s="20"/>
      <c r="G6" s="20"/>
      <c r="H6" s="20"/>
      <c r="I6" s="20"/>
      <c r="J6" s="20"/>
      <c r="K6" s="405"/>
      <c r="L6" s="302">
        <f>(I12+I13+I14)*I15*I18*I26*I17/(6120*I25)/I27</f>
        <v>14.931600768800502</v>
      </c>
      <c r="M6" s="17"/>
      <c r="N6" s="17"/>
      <c r="O6" s="17"/>
      <c r="P6" s="17"/>
      <c r="Q6" s="298"/>
      <c r="R6" s="19"/>
      <c r="S6" s="294"/>
      <c r="T6" s="19"/>
      <c r="U6" s="19"/>
      <c r="V6" s="295"/>
      <c r="W6" s="20"/>
      <c r="X6" s="20"/>
      <c r="Y6" s="20"/>
      <c r="Z6" s="20"/>
      <c r="AA6" s="20"/>
      <c r="AC6" s="19"/>
      <c r="AD6" s="19"/>
      <c r="AG6" s="299"/>
      <c r="AH6" s="19"/>
      <c r="AI6" s="53"/>
      <c r="AJ6" s="80"/>
      <c r="AK6" s="19"/>
      <c r="AL6" s="19"/>
      <c r="AN6" s="53"/>
      <c r="AP6" s="80"/>
      <c r="AR6" s="299"/>
      <c r="AS6" s="19"/>
      <c r="AT6" s="53"/>
      <c r="AU6" s="80"/>
      <c r="AV6" s="19"/>
      <c r="AW6" s="19"/>
      <c r="AX6" s="20"/>
      <c r="AY6" s="20"/>
      <c r="AZ6" s="20"/>
      <c r="BA6" s="20"/>
      <c r="BB6" s="20"/>
      <c r="BE6" s="53"/>
    </row>
    <row r="7" spans="1:58">
      <c r="A7" s="2458">
        <v>1</v>
      </c>
      <c r="B7" s="182" t="s">
        <v>137</v>
      </c>
      <c r="C7" s="20"/>
      <c r="D7" s="20"/>
      <c r="E7" s="20"/>
      <c r="F7" s="20"/>
      <c r="G7" s="20"/>
      <c r="H7" s="20"/>
      <c r="I7" s="20"/>
      <c r="J7" s="20"/>
      <c r="K7" s="405"/>
      <c r="L7" s="19"/>
      <c r="M7" s="17"/>
      <c r="N7" s="17"/>
      <c r="O7" s="17"/>
      <c r="P7" s="17"/>
      <c r="Q7" s="303"/>
      <c r="R7" s="19"/>
      <c r="S7" s="294"/>
      <c r="T7" s="19"/>
      <c r="U7" s="19"/>
      <c r="V7" s="295"/>
      <c r="W7" s="20"/>
      <c r="X7" s="20"/>
      <c r="Y7" s="20"/>
      <c r="Z7" s="20"/>
      <c r="AA7" s="20"/>
      <c r="AC7" s="19"/>
      <c r="AD7" s="19"/>
      <c r="AG7" s="299"/>
      <c r="AH7" s="19"/>
      <c r="AI7" s="53"/>
      <c r="AJ7" s="80"/>
      <c r="AK7" s="19"/>
      <c r="AL7" s="19"/>
      <c r="AN7" s="53"/>
      <c r="AP7" s="80"/>
      <c r="AR7" s="299"/>
      <c r="AS7" s="19"/>
      <c r="AT7" s="53"/>
      <c r="AU7" s="80"/>
      <c r="AV7" s="19"/>
      <c r="AW7" s="19"/>
      <c r="AX7" s="20"/>
      <c r="AY7" s="20"/>
      <c r="AZ7" s="20"/>
      <c r="BA7" s="20"/>
      <c r="BB7" s="20"/>
      <c r="BE7" s="53"/>
    </row>
    <row r="8" spans="1:58">
      <c r="A8" s="2075"/>
      <c r="B8" s="306"/>
      <c r="C8" s="20"/>
      <c r="D8" s="20"/>
      <c r="E8" s="20"/>
      <c r="F8" s="20"/>
      <c r="G8" s="20"/>
      <c r="H8" s="20"/>
      <c r="I8" s="20"/>
      <c r="J8" s="20"/>
      <c r="K8" s="2460"/>
      <c r="L8" s="19"/>
      <c r="M8" s="17"/>
      <c r="N8" s="17"/>
      <c r="O8" s="17"/>
      <c r="P8" s="17"/>
      <c r="Q8" s="298"/>
      <c r="R8" s="19"/>
      <c r="S8" s="294"/>
      <c r="T8" s="19"/>
      <c r="U8" s="19"/>
      <c r="V8" s="295"/>
      <c r="W8" s="20"/>
      <c r="X8" s="20"/>
      <c r="Y8" s="20"/>
      <c r="Z8" s="20"/>
      <c r="AA8" s="20"/>
      <c r="AC8" s="19"/>
      <c r="AD8" s="19"/>
      <c r="AG8" s="299"/>
      <c r="AH8" s="19"/>
      <c r="AI8" s="53"/>
      <c r="AJ8" s="80"/>
      <c r="AK8" s="19"/>
      <c r="AL8" s="19"/>
      <c r="AN8" s="53"/>
      <c r="AP8" s="80"/>
      <c r="AR8" s="299"/>
      <c r="AS8" s="19"/>
      <c r="AT8" s="53"/>
      <c r="AU8" s="80"/>
      <c r="AV8" s="19"/>
      <c r="AW8" s="19"/>
      <c r="AX8" s="20"/>
      <c r="AY8" s="20"/>
      <c r="AZ8" s="20"/>
      <c r="BA8" s="20"/>
      <c r="BB8" s="20"/>
      <c r="BE8" s="53"/>
    </row>
    <row r="9" spans="1:58">
      <c r="A9" s="2075"/>
      <c r="B9" s="20" t="s">
        <v>144</v>
      </c>
      <c r="C9" s="20"/>
      <c r="D9" s="20"/>
      <c r="E9" s="20"/>
      <c r="F9" s="20"/>
      <c r="G9" s="306" t="s">
        <v>2719</v>
      </c>
      <c r="H9" s="308"/>
      <c r="I9" s="309"/>
      <c r="J9" s="309"/>
      <c r="K9" s="2460"/>
      <c r="L9" s="17"/>
      <c r="M9" s="17"/>
      <c r="N9" s="17"/>
      <c r="O9" s="17"/>
      <c r="P9" s="17"/>
      <c r="Q9" s="303"/>
      <c r="R9" s="19"/>
      <c r="S9" s="294"/>
      <c r="T9" s="19"/>
      <c r="U9" s="19"/>
      <c r="V9" s="295"/>
      <c r="W9" s="20"/>
      <c r="X9" s="20"/>
      <c r="Y9" s="20"/>
      <c r="Z9" s="20"/>
      <c r="AA9" s="20"/>
      <c r="AC9" s="19"/>
      <c r="AD9" s="19"/>
      <c r="AG9" s="299"/>
      <c r="AH9" s="19"/>
      <c r="AI9" s="53"/>
      <c r="AJ9" s="80"/>
      <c r="AK9" s="19"/>
      <c r="AL9" s="19"/>
      <c r="AN9" s="53"/>
      <c r="AP9" s="80"/>
      <c r="AR9" s="299"/>
      <c r="AS9" s="19"/>
      <c r="AT9" s="53"/>
      <c r="AU9" s="80"/>
      <c r="AV9" s="19"/>
      <c r="AW9" s="19"/>
      <c r="AX9" s="20"/>
      <c r="AY9" s="20"/>
      <c r="AZ9" s="20"/>
      <c r="BA9" s="20"/>
      <c r="BB9" s="20"/>
      <c r="BE9" s="53"/>
    </row>
    <row r="10" spans="1:58">
      <c r="A10" s="2075"/>
      <c r="B10" s="20"/>
      <c r="C10" s="20"/>
      <c r="D10" s="20"/>
      <c r="E10" s="20"/>
      <c r="F10" s="20"/>
      <c r="G10" s="20" t="s">
        <v>148</v>
      </c>
      <c r="H10" s="20"/>
      <c r="I10" s="310"/>
      <c r="J10" s="310"/>
      <c r="K10" s="405"/>
      <c r="L10" s="17"/>
      <c r="M10" s="17"/>
      <c r="N10" s="17"/>
      <c r="O10" s="17"/>
      <c r="P10" s="17"/>
      <c r="Q10" s="298"/>
      <c r="R10" s="19"/>
      <c r="S10" s="294"/>
      <c r="T10" s="19"/>
      <c r="U10" s="19"/>
      <c r="V10" s="295"/>
      <c r="W10" s="20"/>
      <c r="X10" s="20"/>
      <c r="Y10" s="20"/>
      <c r="Z10" s="20"/>
      <c r="AA10" s="20"/>
      <c r="AC10" s="19"/>
      <c r="AD10" s="19"/>
      <c r="AG10" s="299"/>
      <c r="AH10" s="19"/>
      <c r="AI10" s="53"/>
      <c r="AJ10" s="80"/>
      <c r="AK10" s="19"/>
      <c r="AL10" s="19"/>
      <c r="AN10" s="53"/>
      <c r="AP10" s="80"/>
      <c r="AR10" s="299"/>
      <c r="AS10" s="19"/>
      <c r="AT10" s="53"/>
      <c r="AU10" s="80"/>
      <c r="AV10" s="19"/>
      <c r="AW10" s="19"/>
      <c r="AX10" s="20"/>
      <c r="AY10" s="20"/>
      <c r="AZ10" s="20"/>
      <c r="BA10" s="20"/>
      <c r="BB10" s="20"/>
      <c r="BE10" s="53"/>
    </row>
    <row r="11" spans="1:58">
      <c r="A11" s="2075"/>
      <c r="B11" s="67" t="s">
        <v>152</v>
      </c>
      <c r="C11" s="20" t="s">
        <v>153</v>
      </c>
      <c r="D11" s="20"/>
      <c r="E11" s="20"/>
      <c r="F11" s="20"/>
      <c r="G11" s="20"/>
      <c r="H11" s="20"/>
      <c r="I11" s="20"/>
      <c r="J11" s="26" t="s">
        <v>154</v>
      </c>
      <c r="K11" s="405"/>
      <c r="L11" s="17"/>
      <c r="M11" s="17"/>
      <c r="N11" s="17"/>
      <c r="O11" s="17"/>
      <c r="P11" s="17"/>
      <c r="Q11" s="303"/>
      <c r="R11" s="19"/>
      <c r="S11" s="294"/>
      <c r="T11" s="311">
        <f>((I12+I13)/1000*J99*J100/J98*9.81)</f>
        <v>329.93789062500002</v>
      </c>
      <c r="U11" s="311">
        <f>VLOOKUP(T11,BA85:BA116,1)</f>
        <v>279</v>
      </c>
      <c r="V11" s="295"/>
      <c r="W11" s="20"/>
      <c r="X11" s="20"/>
      <c r="Y11" s="20"/>
      <c r="Z11" s="20"/>
      <c r="AA11" s="20"/>
      <c r="AC11" s="19"/>
      <c r="AD11" s="19"/>
      <c r="AG11" s="299"/>
      <c r="AH11" s="19"/>
      <c r="AI11" s="53"/>
      <c r="AJ11" s="80"/>
      <c r="AK11" s="19"/>
      <c r="AL11" s="19"/>
      <c r="AN11" s="53"/>
      <c r="AP11" s="80"/>
      <c r="AR11" s="299"/>
      <c r="AS11" s="19"/>
      <c r="AT11" s="53"/>
      <c r="AU11" s="80"/>
      <c r="AV11" s="19"/>
      <c r="AW11" s="19"/>
      <c r="AX11" s="20"/>
      <c r="AY11" s="20"/>
      <c r="AZ11" s="20"/>
      <c r="BA11" s="20"/>
      <c r="BB11" s="20"/>
      <c r="BE11" s="53"/>
    </row>
    <row r="12" spans="1:58">
      <c r="A12" s="2075"/>
      <c r="B12" s="67" t="s">
        <v>158</v>
      </c>
      <c r="C12" s="20" t="s">
        <v>159</v>
      </c>
      <c r="D12" s="20"/>
      <c r="E12" s="20"/>
      <c r="F12" s="20"/>
      <c r="G12" s="20"/>
      <c r="H12" s="67" t="s">
        <v>160</v>
      </c>
      <c r="I12" s="19">
        <f>'E Data'!D13*1000</f>
        <v>25000</v>
      </c>
      <c r="J12" s="19"/>
      <c r="K12" s="405"/>
      <c r="L12" s="17"/>
      <c r="M12" s="17"/>
      <c r="N12" s="17"/>
      <c r="O12" s="17"/>
      <c r="P12" s="17"/>
      <c r="Q12" s="298"/>
      <c r="R12" s="19"/>
      <c r="S12" s="294"/>
      <c r="T12" s="311">
        <f>VLOOKUP(U11,BA85:BB116,2,0)</f>
        <v>338</v>
      </c>
      <c r="U12" s="145">
        <f>VLOOKUP(T12,Q90:T121,4,0)/100</f>
        <v>2.02</v>
      </c>
      <c r="V12" s="295"/>
      <c r="W12" s="20"/>
      <c r="X12" s="20"/>
      <c r="Y12" s="20"/>
      <c r="Z12" s="20"/>
      <c r="AA12" s="20"/>
      <c r="AC12" s="19"/>
      <c r="AD12" s="19"/>
      <c r="AG12" s="299"/>
      <c r="AH12" s="19"/>
      <c r="AI12" s="53"/>
      <c r="AJ12" s="80"/>
      <c r="AK12" s="19"/>
      <c r="AL12" s="19"/>
      <c r="AN12" s="53"/>
      <c r="AP12" s="80"/>
      <c r="AR12" s="299"/>
      <c r="AS12" s="19"/>
      <c r="AT12" s="53"/>
      <c r="AU12" s="80"/>
      <c r="AV12" s="19"/>
      <c r="AW12" s="19"/>
      <c r="AX12" s="20"/>
      <c r="AY12" s="20"/>
      <c r="AZ12" s="20"/>
      <c r="BA12" s="20"/>
      <c r="BB12" s="20"/>
      <c r="BE12" s="53"/>
    </row>
    <row r="13" spans="1:58">
      <c r="A13" s="2075"/>
      <c r="B13" s="67" t="s">
        <v>164</v>
      </c>
      <c r="C13" s="20" t="s">
        <v>165</v>
      </c>
      <c r="D13" s="20"/>
      <c r="E13" s="20"/>
      <c r="F13" s="20"/>
      <c r="G13" s="20"/>
      <c r="H13" s="67" t="s">
        <v>160</v>
      </c>
      <c r="I13" s="83">
        <f>I12*K13/100</f>
        <v>625</v>
      </c>
      <c r="J13" s="17"/>
      <c r="K13" s="2461">
        <v>2.5</v>
      </c>
      <c r="L13" s="118" t="s">
        <v>166</v>
      </c>
      <c r="M13" s="17"/>
      <c r="N13" s="17"/>
      <c r="O13" s="17"/>
      <c r="P13" s="17"/>
      <c r="Q13" s="298"/>
      <c r="R13" s="19"/>
      <c r="S13" s="294"/>
      <c r="T13" s="312" t="s">
        <v>2515</v>
      </c>
      <c r="U13" s="145">
        <f>U12*F115</f>
        <v>151.5</v>
      </c>
      <c r="V13" s="295"/>
      <c r="W13" s="20"/>
      <c r="X13" s="20"/>
      <c r="Y13" s="20"/>
      <c r="Z13" s="20"/>
      <c r="AA13" s="20"/>
      <c r="AC13" s="19"/>
      <c r="AD13" s="19"/>
      <c r="AG13" s="299"/>
      <c r="AH13" s="19"/>
      <c r="AI13" s="53"/>
      <c r="AJ13" s="80"/>
      <c r="AK13" s="19"/>
      <c r="AL13" s="19"/>
      <c r="AN13" s="53"/>
      <c r="AP13" s="80"/>
      <c r="AR13" s="299"/>
      <c r="AS13" s="19"/>
      <c r="AT13" s="53"/>
      <c r="AU13" s="80"/>
      <c r="AV13" s="19"/>
      <c r="AW13" s="19"/>
      <c r="AX13" s="20"/>
      <c r="AY13" s="20"/>
      <c r="AZ13" s="20"/>
      <c r="BA13" s="20"/>
      <c r="BB13" s="20"/>
      <c r="BE13" s="53"/>
    </row>
    <row r="14" spans="1:58">
      <c r="A14" s="2456"/>
      <c r="B14" s="67" t="s">
        <v>170</v>
      </c>
      <c r="C14" s="20" t="s">
        <v>171</v>
      </c>
      <c r="D14" s="20"/>
      <c r="E14" s="20"/>
      <c r="F14" s="20"/>
      <c r="G14" s="17"/>
      <c r="H14" s="314" t="str">
        <f>"("&amp;ROUNDUP(F116,1)&amp;")       ="</f>
        <v>(151.5)       =</v>
      </c>
      <c r="I14" s="315">
        <v>101.25</v>
      </c>
      <c r="J14" s="17"/>
      <c r="K14" s="405"/>
      <c r="M14" s="217" t="s">
        <v>172</v>
      </c>
      <c r="N14" s="316">
        <f>F116</f>
        <v>151.5</v>
      </c>
      <c r="O14" s="317">
        <f>+U13</f>
        <v>151.5</v>
      </c>
      <c r="Q14" s="303"/>
      <c r="R14" s="19"/>
      <c r="S14" s="294"/>
      <c r="T14" s="19"/>
      <c r="U14" s="19"/>
      <c r="V14" s="295"/>
      <c r="W14" s="20"/>
      <c r="X14" s="20"/>
      <c r="Y14" s="20"/>
      <c r="Z14" s="20"/>
      <c r="AA14" s="20"/>
      <c r="AC14" s="19"/>
      <c r="AD14" s="19"/>
      <c r="AG14" s="299"/>
      <c r="AH14" s="17"/>
      <c r="AI14" s="53"/>
      <c r="AJ14" s="80"/>
      <c r="AK14" s="19"/>
      <c r="AL14" s="19"/>
      <c r="AN14" s="53"/>
      <c r="AP14" s="80"/>
      <c r="AR14" s="299"/>
      <c r="AS14" s="216"/>
      <c r="AT14" s="53"/>
      <c r="AU14" s="80"/>
      <c r="AV14" s="19"/>
      <c r="AW14" s="19"/>
      <c r="AX14" s="20"/>
      <c r="AY14" s="20"/>
      <c r="AZ14" s="20"/>
      <c r="BA14" s="20"/>
      <c r="BB14" s="20"/>
      <c r="BE14" s="53"/>
    </row>
    <row r="15" spans="1:58">
      <c r="A15" s="2456"/>
      <c r="B15" s="67" t="s">
        <v>176</v>
      </c>
      <c r="C15" s="20" t="s">
        <v>177</v>
      </c>
      <c r="D15" s="20"/>
      <c r="E15" s="20"/>
      <c r="F15" s="20"/>
      <c r="G15" s="20"/>
      <c r="H15" s="67" t="s">
        <v>160</v>
      </c>
      <c r="I15" s="19">
        <f>'E Data'!D36</f>
        <v>3</v>
      </c>
      <c r="J15" s="19"/>
      <c r="K15" s="2462"/>
      <c r="N15" s="216"/>
      <c r="P15" s="17"/>
      <c r="Q15" s="298"/>
      <c r="R15" s="19"/>
      <c r="S15" s="294"/>
      <c r="T15" s="19"/>
      <c r="U15" s="19"/>
      <c r="V15" s="295"/>
      <c r="W15" s="20"/>
      <c r="X15" s="20"/>
      <c r="Y15" s="20"/>
      <c r="Z15" s="20"/>
      <c r="AA15" s="20"/>
      <c r="AC15" s="19"/>
      <c r="AD15" s="19"/>
      <c r="AG15" s="299"/>
      <c r="AH15" s="17"/>
      <c r="AI15" s="53"/>
      <c r="AJ15" s="80"/>
      <c r="AK15" s="19"/>
      <c r="AL15" s="19"/>
      <c r="AN15" s="53"/>
      <c r="AP15" s="80"/>
      <c r="AR15" s="299"/>
      <c r="AS15" s="216"/>
      <c r="AT15" s="53"/>
      <c r="AU15" s="80"/>
      <c r="AV15" s="19"/>
      <c r="AW15" s="19"/>
      <c r="AX15" s="20"/>
      <c r="AY15" s="20"/>
      <c r="AZ15" s="20"/>
      <c r="BA15" s="20"/>
      <c r="BB15" s="20"/>
      <c r="BE15" s="53"/>
    </row>
    <row r="16" spans="1:58">
      <c r="A16" s="2075"/>
      <c r="B16" s="67"/>
      <c r="E16" s="20"/>
      <c r="F16" s="20"/>
      <c r="G16" s="20" t="s">
        <v>181</v>
      </c>
      <c r="H16" s="67" t="s">
        <v>160</v>
      </c>
      <c r="I16" s="319">
        <v>1</v>
      </c>
      <c r="J16" s="19"/>
      <c r="K16" s="405"/>
      <c r="L16" s="17"/>
      <c r="M16" s="17"/>
      <c r="N16" s="17"/>
      <c r="O16" s="17"/>
      <c r="P16" s="17"/>
      <c r="Q16" s="298"/>
      <c r="R16" s="19"/>
      <c r="S16" s="294"/>
      <c r="T16" s="19"/>
      <c r="U16" s="19"/>
      <c r="V16" s="295"/>
      <c r="W16" s="20"/>
      <c r="X16" s="20"/>
      <c r="Y16" s="20"/>
      <c r="Z16" s="20"/>
      <c r="AA16" s="20"/>
      <c r="AC16" s="19"/>
      <c r="AD16" s="19"/>
      <c r="AG16" s="299"/>
      <c r="AH16" s="17"/>
      <c r="AI16" s="53"/>
      <c r="AJ16" s="80"/>
      <c r="AK16" s="19"/>
      <c r="AL16" s="19"/>
      <c r="AN16" s="53"/>
      <c r="AP16" s="80"/>
      <c r="AR16" s="299"/>
      <c r="AS16" s="216"/>
      <c r="AT16" s="53"/>
      <c r="AU16" s="80"/>
      <c r="AV16" s="19"/>
      <c r="AW16" s="19"/>
      <c r="AX16" s="20"/>
      <c r="AY16" s="20"/>
      <c r="AZ16" s="20"/>
      <c r="BA16" s="20"/>
      <c r="BB16" s="20"/>
      <c r="BE16" s="53"/>
    </row>
    <row r="17" spans="1:57">
      <c r="A17" s="2075"/>
      <c r="B17" s="67" t="s">
        <v>185</v>
      </c>
      <c r="C17" s="20" t="s">
        <v>186</v>
      </c>
      <c r="D17" s="20"/>
      <c r="E17" s="20"/>
      <c r="F17" s="20"/>
      <c r="G17" s="17"/>
      <c r="H17" s="67" t="s">
        <v>160</v>
      </c>
      <c r="I17" s="59">
        <f>1/I16</f>
        <v>1</v>
      </c>
      <c r="J17" s="17"/>
      <c r="K17" s="405"/>
      <c r="L17" s="320" t="str">
        <f>J283</f>
        <v>Elite</v>
      </c>
      <c r="M17" s="22" t="str">
        <f>VLOOKUP(L17,T19:U21,2,0)</f>
        <v>For Antifriction Bearing</v>
      </c>
      <c r="N17" s="17"/>
      <c r="O17" s="17"/>
      <c r="P17" s="17"/>
      <c r="Q17" s="303"/>
      <c r="R17" s="19"/>
      <c r="S17" s="294"/>
      <c r="T17" s="19"/>
      <c r="U17" s="19"/>
      <c r="V17" s="295"/>
      <c r="W17" s="20"/>
      <c r="X17" s="20"/>
      <c r="Y17" s="20"/>
      <c r="Z17" s="20"/>
      <c r="AA17" s="20"/>
      <c r="AC17" s="19"/>
      <c r="AD17" s="19"/>
      <c r="AG17" s="299"/>
      <c r="AH17" s="17"/>
      <c r="AI17" s="53"/>
      <c r="AJ17" s="80"/>
      <c r="AK17" s="19"/>
      <c r="AL17" s="19"/>
      <c r="AN17" s="53"/>
      <c r="AP17" s="80"/>
      <c r="AR17" s="299"/>
      <c r="AS17" s="216"/>
      <c r="AT17" s="53"/>
      <c r="AU17" s="80"/>
      <c r="AV17" s="19"/>
      <c r="AW17" s="19"/>
      <c r="AX17" s="20"/>
      <c r="AY17" s="20"/>
      <c r="AZ17" s="20"/>
      <c r="BA17" s="20"/>
      <c r="BB17" s="20"/>
      <c r="BE17" s="53"/>
    </row>
    <row r="18" spans="1:57">
      <c r="A18" s="2075"/>
      <c r="B18" s="67" t="s">
        <v>190</v>
      </c>
      <c r="C18" s="20" t="s">
        <v>191</v>
      </c>
      <c r="D18" s="20"/>
      <c r="E18" s="20"/>
      <c r="F18" s="20"/>
      <c r="G18" s="20"/>
      <c r="H18" s="67" t="s">
        <v>160</v>
      </c>
      <c r="I18" s="19">
        <v>0.67</v>
      </c>
      <c r="J18" s="19"/>
      <c r="K18" s="405"/>
      <c r="L18" s="150" t="s">
        <v>192</v>
      </c>
      <c r="M18" s="321" t="s">
        <v>193</v>
      </c>
      <c r="N18" s="322"/>
      <c r="O18" s="322" t="s">
        <v>100</v>
      </c>
      <c r="P18" s="323">
        <f>IF(I20="For Sleeve Bearing",1,IF(I20="For Antifriction Bearing",2,IF(I20="For Hardened profile ground &amp; oil splashed Lubricator",3)))</f>
        <v>2</v>
      </c>
      <c r="Q18" s="322" t="s">
        <v>217</v>
      </c>
      <c r="R18" s="322" t="s">
        <v>218</v>
      </c>
      <c r="S18" s="22" t="str">
        <f>IF(S19=C21,"Right","Wrong")</f>
        <v>Right</v>
      </c>
      <c r="V18" s="295"/>
      <c r="W18" s="20"/>
      <c r="X18" s="20"/>
      <c r="Y18" s="20"/>
      <c r="Z18" s="20"/>
      <c r="AA18" s="20"/>
      <c r="AC18" s="19"/>
      <c r="AD18" s="19"/>
      <c r="AG18" s="299"/>
      <c r="AH18" s="19"/>
      <c r="AI18" s="53"/>
      <c r="AJ18" s="80"/>
      <c r="AK18" s="19"/>
      <c r="AL18" s="19"/>
      <c r="AN18" s="53"/>
      <c r="AP18" s="80"/>
      <c r="AR18" s="299"/>
      <c r="AS18" s="19"/>
      <c r="AT18" s="53"/>
      <c r="AU18" s="80"/>
      <c r="AV18" s="19"/>
      <c r="AW18" s="19"/>
      <c r="AX18" s="20"/>
      <c r="AY18" s="20"/>
      <c r="AZ18" s="20"/>
      <c r="BA18" s="20"/>
      <c r="BB18" s="20"/>
      <c r="BE18" s="53"/>
    </row>
    <row r="19" spans="1:57">
      <c r="A19" s="2075"/>
      <c r="B19" s="20"/>
      <c r="C19" s="20"/>
      <c r="D19" s="20"/>
      <c r="E19" s="20"/>
      <c r="F19" s="20"/>
      <c r="G19" s="20"/>
      <c r="H19" s="20"/>
      <c r="I19" s="17"/>
      <c r="J19" s="19"/>
      <c r="K19" s="405"/>
      <c r="L19" s="324">
        <v>1</v>
      </c>
      <c r="M19" s="3698" t="s">
        <v>197</v>
      </c>
      <c r="N19" s="3698"/>
      <c r="O19" s="161" t="s">
        <v>198</v>
      </c>
      <c r="P19" s="311">
        <v>1</v>
      </c>
      <c r="Q19" s="325">
        <v>0.93</v>
      </c>
      <c r="R19" s="325">
        <v>0.98</v>
      </c>
      <c r="S19" s="80">
        <f>IF(I20="For Antifriction Bearing",0.95,IF(I20="For Hardened profile ground &amp; oil splashed Lubricator",0.985))</f>
        <v>0.95</v>
      </c>
      <c r="T19" s="145" t="s">
        <v>2662</v>
      </c>
      <c r="U19" s="161" t="s">
        <v>204</v>
      </c>
      <c r="W19" s="20"/>
      <c r="X19" s="20"/>
      <c r="Y19" s="20"/>
      <c r="Z19" s="20"/>
      <c r="AA19" s="20"/>
      <c r="AC19" s="19"/>
      <c r="AD19" s="19"/>
      <c r="AG19" s="299"/>
      <c r="AH19" s="19"/>
      <c r="AI19" s="53"/>
      <c r="AJ19" s="80"/>
      <c r="AK19" s="19"/>
      <c r="AL19" s="19"/>
      <c r="AN19" s="53"/>
      <c r="AP19" s="80"/>
      <c r="AR19" s="299"/>
      <c r="AS19" s="19"/>
      <c r="AT19" s="53"/>
      <c r="AU19" s="80"/>
      <c r="AV19" s="19"/>
      <c r="AW19" s="19"/>
      <c r="AX19" s="20"/>
      <c r="AY19" s="20"/>
      <c r="AZ19" s="20"/>
      <c r="BA19" s="20"/>
      <c r="BB19" s="20"/>
      <c r="BE19" s="53"/>
    </row>
    <row r="20" spans="1:57">
      <c r="A20" s="2463"/>
      <c r="B20" s="43" t="s">
        <v>202</v>
      </c>
      <c r="C20" s="31" t="s">
        <v>203</v>
      </c>
      <c r="D20" s="31"/>
      <c r="E20" s="20"/>
      <c r="F20" s="20"/>
      <c r="G20" s="20"/>
      <c r="H20" s="17"/>
      <c r="I20" s="3716" t="str">
        <f>+M17</f>
        <v>For Antifriction Bearing</v>
      </c>
      <c r="J20" s="3716"/>
      <c r="K20" s="437"/>
      <c r="L20" s="324">
        <v>2</v>
      </c>
      <c r="M20" s="3698" t="s">
        <v>205</v>
      </c>
      <c r="N20" s="3698"/>
      <c r="O20" s="161" t="s">
        <v>204</v>
      </c>
      <c r="P20" s="311">
        <v>2</v>
      </c>
      <c r="Q20" s="325">
        <v>0.95</v>
      </c>
      <c r="R20" s="325">
        <v>0.99</v>
      </c>
      <c r="S20" s="22" t="s">
        <v>2662</v>
      </c>
      <c r="T20" s="145" t="s">
        <v>656</v>
      </c>
      <c r="U20" s="161" t="s">
        <v>212</v>
      </c>
      <c r="W20" s="20"/>
      <c r="X20" s="20"/>
      <c r="Y20" s="20"/>
      <c r="Z20" s="20"/>
      <c r="AA20" s="20"/>
      <c r="AC20" s="19"/>
      <c r="AD20" s="19"/>
      <c r="AG20" s="299"/>
      <c r="AH20" s="19"/>
      <c r="AI20" s="53"/>
      <c r="AJ20" s="80"/>
      <c r="AK20" s="19"/>
      <c r="AL20" s="19"/>
      <c r="AN20" s="53"/>
      <c r="AP20" s="80"/>
      <c r="AR20" s="299"/>
      <c r="AS20" s="19"/>
      <c r="AT20" s="53"/>
      <c r="AU20" s="80"/>
      <c r="AV20" s="19"/>
      <c r="AW20" s="19"/>
      <c r="AX20" s="20"/>
      <c r="AY20" s="20"/>
      <c r="AZ20" s="20"/>
      <c r="BA20" s="20"/>
      <c r="BB20" s="20"/>
      <c r="BE20" s="53"/>
    </row>
    <row r="21" spans="1:57">
      <c r="A21" s="2463"/>
      <c r="B21" s="43" t="s">
        <v>202</v>
      </c>
      <c r="C21" s="327">
        <f>VLOOKUP(P18,P19:Q21,2,0)</f>
        <v>0.95</v>
      </c>
      <c r="D21" s="328" t="s">
        <v>209</v>
      </c>
      <c r="E21" s="327">
        <f>VLOOKUP(P18,P19:R21,3,0)</f>
        <v>0.99</v>
      </c>
      <c r="F21" s="329" t="s">
        <v>210</v>
      </c>
      <c r="H21" s="310"/>
      <c r="I21" s="17"/>
      <c r="J21" s="19"/>
      <c r="K21" s="405"/>
      <c r="L21" s="324">
        <v>3</v>
      </c>
      <c r="M21" s="3698" t="s">
        <v>211</v>
      </c>
      <c r="N21" s="3698"/>
      <c r="O21" s="161" t="s">
        <v>212</v>
      </c>
      <c r="P21" s="311">
        <v>3</v>
      </c>
      <c r="Q21" s="330">
        <v>0.98499999999999999</v>
      </c>
      <c r="R21" s="325">
        <v>0.99</v>
      </c>
      <c r="S21" s="88" t="s">
        <v>231</v>
      </c>
      <c r="T21" s="145" t="s">
        <v>660</v>
      </c>
      <c r="U21" s="161" t="s">
        <v>212</v>
      </c>
      <c r="W21" s="20"/>
      <c r="X21" s="20"/>
      <c r="Y21" s="20"/>
      <c r="Z21" s="20"/>
      <c r="AA21" s="20"/>
      <c r="AC21" s="19"/>
      <c r="AD21" s="19"/>
      <c r="AG21" s="299"/>
      <c r="AH21" s="17"/>
      <c r="AI21" s="53"/>
      <c r="AJ21" s="80"/>
      <c r="AK21" s="19"/>
      <c r="AL21" s="19"/>
      <c r="AN21" s="53"/>
      <c r="AP21" s="88"/>
      <c r="AR21" s="299"/>
      <c r="AS21" s="19"/>
      <c r="AT21" s="53"/>
      <c r="AU21" s="80"/>
      <c r="AV21" s="19"/>
      <c r="AW21" s="19"/>
      <c r="AX21" s="20"/>
      <c r="AY21" s="20"/>
      <c r="AZ21" s="20"/>
      <c r="BA21" s="20"/>
      <c r="BB21" s="20"/>
      <c r="BE21" s="53"/>
    </row>
    <row r="22" spans="1:57">
      <c r="A22" s="2464"/>
      <c r="B22" s="331"/>
      <c r="C22" s="20" t="s">
        <v>216</v>
      </c>
      <c r="D22" s="20"/>
      <c r="E22" s="17"/>
      <c r="F22" s="20"/>
      <c r="G22" s="20"/>
      <c r="H22" s="43" t="s">
        <v>160</v>
      </c>
      <c r="I22" s="332">
        <v>3</v>
      </c>
      <c r="J22" s="19"/>
      <c r="K22" s="405"/>
      <c r="Q22" s="298"/>
      <c r="R22" s="19"/>
      <c r="S22" s="294"/>
      <c r="T22" s="19"/>
      <c r="U22" s="19"/>
      <c r="V22" s="295"/>
      <c r="W22" s="20"/>
      <c r="X22" s="20"/>
      <c r="Y22" s="20"/>
      <c r="Z22" s="20"/>
      <c r="AA22" s="20"/>
      <c r="AC22" s="19"/>
      <c r="AD22" s="19"/>
      <c r="AG22" s="299"/>
      <c r="AI22" s="216"/>
      <c r="AJ22" s="88"/>
      <c r="AK22" s="19"/>
      <c r="AL22" s="19"/>
      <c r="AN22" s="53"/>
      <c r="AP22" s="218"/>
      <c r="AR22" s="299"/>
      <c r="AS22" s="216"/>
      <c r="AT22" s="216"/>
      <c r="AU22" s="88"/>
      <c r="AV22" s="19"/>
      <c r="AW22" s="19"/>
      <c r="AX22" s="20"/>
      <c r="AY22" s="20"/>
      <c r="AZ22" s="20"/>
      <c r="BA22" s="20"/>
      <c r="BB22" s="20"/>
      <c r="BE22" s="53"/>
    </row>
    <row r="23" spans="1:57">
      <c r="A23" s="1206"/>
      <c r="B23" s="331"/>
      <c r="C23" s="20" t="s">
        <v>222</v>
      </c>
      <c r="D23" s="20"/>
      <c r="E23" s="17"/>
      <c r="F23" s="20"/>
      <c r="G23" s="20"/>
      <c r="H23" s="67" t="s">
        <v>160</v>
      </c>
      <c r="I23" s="333">
        <f>'E Data'!D41/2-1</f>
        <v>1</v>
      </c>
      <c r="J23" s="19"/>
      <c r="K23" s="437"/>
      <c r="Q23" s="303"/>
      <c r="R23" s="334"/>
      <c r="S23" s="294"/>
      <c r="T23" s="19"/>
      <c r="U23" s="19"/>
      <c r="V23" s="295"/>
      <c r="W23" s="20"/>
      <c r="X23" s="20"/>
      <c r="Y23" s="20"/>
      <c r="Z23" s="20"/>
      <c r="AA23" s="20"/>
      <c r="AC23" s="19"/>
      <c r="AD23" s="19"/>
      <c r="AG23" s="219"/>
      <c r="AI23" s="216"/>
      <c r="AJ23" s="218"/>
      <c r="AK23" s="19"/>
      <c r="AL23" s="19"/>
      <c r="AN23" s="53"/>
      <c r="AP23" s="80"/>
      <c r="AR23" s="219"/>
      <c r="AS23" s="53"/>
      <c r="AT23" s="216"/>
      <c r="AU23" s="218"/>
      <c r="AV23" s="19"/>
      <c r="AW23" s="19"/>
      <c r="AX23" s="20"/>
      <c r="AY23" s="20"/>
      <c r="AZ23" s="20"/>
      <c r="BA23" s="20"/>
      <c r="BB23" s="20"/>
      <c r="BE23" s="53"/>
    </row>
    <row r="24" spans="1:57">
      <c r="A24" s="2075"/>
      <c r="B24" s="335"/>
      <c r="C24" s="20" t="s">
        <v>226</v>
      </c>
      <c r="D24" s="20"/>
      <c r="E24" s="20"/>
      <c r="F24" s="20"/>
      <c r="G24" s="20"/>
      <c r="H24" s="20"/>
      <c r="I24" s="20"/>
      <c r="J24" s="17"/>
      <c r="K24" s="405"/>
      <c r="P24" s="17"/>
      <c r="Q24" s="298"/>
      <c r="R24" s="19"/>
      <c r="S24" s="294"/>
      <c r="T24" s="19"/>
      <c r="U24" s="19"/>
      <c r="V24" s="295"/>
      <c r="W24" s="20"/>
      <c r="X24" s="20"/>
      <c r="Y24" s="20"/>
      <c r="Z24" s="20"/>
      <c r="AA24" s="20"/>
      <c r="AC24" s="19"/>
      <c r="AD24" s="19"/>
      <c r="AG24" s="219"/>
      <c r="AI24" s="19"/>
      <c r="AJ24" s="80"/>
      <c r="AK24" s="19"/>
      <c r="AL24" s="19"/>
      <c r="AN24" s="53"/>
      <c r="AP24" s="80"/>
      <c r="AR24" s="219"/>
      <c r="AS24" s="53"/>
      <c r="AT24" s="19"/>
      <c r="AU24" s="80"/>
      <c r="AV24" s="19"/>
      <c r="AW24" s="19"/>
      <c r="AX24" s="20"/>
      <c r="AY24" s="20"/>
      <c r="AZ24" s="20"/>
      <c r="BA24" s="20"/>
      <c r="BB24" s="20"/>
      <c r="BE24" s="53"/>
    </row>
    <row r="25" spans="1:57">
      <c r="A25" s="2075"/>
      <c r="B25" s="67"/>
      <c r="C25" s="20" t="s">
        <v>230</v>
      </c>
      <c r="D25" s="20"/>
      <c r="E25" s="20"/>
      <c r="F25" s="20"/>
      <c r="G25" s="20"/>
      <c r="H25" s="67" t="s">
        <v>160</v>
      </c>
      <c r="I25" s="302">
        <f>(POWER(C21,I22)*POWER(E21,I23))</f>
        <v>0.84880124999999984</v>
      </c>
      <c r="J25" s="302"/>
      <c r="K25" s="2465"/>
      <c r="P25" s="19"/>
      <c r="Q25" s="303"/>
      <c r="R25" s="19"/>
      <c r="S25" s="294"/>
      <c r="T25" s="19"/>
      <c r="U25" s="19"/>
      <c r="V25" s="295"/>
      <c r="W25" s="20"/>
      <c r="X25" s="20"/>
      <c r="Y25" s="20"/>
      <c r="Z25" s="20"/>
      <c r="AA25" s="20"/>
      <c r="AC25" s="19"/>
      <c r="AD25" s="19"/>
      <c r="AG25" s="298"/>
      <c r="AI25" s="19"/>
      <c r="AJ25" s="80"/>
      <c r="AK25" s="19"/>
      <c r="AL25" s="19"/>
      <c r="AN25" s="53"/>
      <c r="AP25" s="80"/>
      <c r="AR25" s="298"/>
      <c r="AS25" s="53"/>
      <c r="AT25" s="19"/>
      <c r="AU25" s="80"/>
      <c r="AV25" s="19"/>
      <c r="AW25" s="19"/>
      <c r="AX25" s="20"/>
      <c r="AY25" s="20"/>
      <c r="AZ25" s="20"/>
      <c r="BA25" s="20"/>
      <c r="BB25" s="20"/>
      <c r="BE25" s="53"/>
    </row>
    <row r="26" spans="1:57">
      <c r="A26" s="2075"/>
      <c r="B26" s="67" t="s">
        <v>235</v>
      </c>
      <c r="C26" s="20" t="s">
        <v>236</v>
      </c>
      <c r="D26" s="20"/>
      <c r="E26" s="20"/>
      <c r="F26" s="19"/>
      <c r="G26" s="19" t="str">
        <f>'E Data'!F25&amp;"   &amp;   "&amp;'E Data'!G25</f>
        <v>Ele-II   &amp;   M5</v>
      </c>
      <c r="H26" s="67" t="s">
        <v>160</v>
      </c>
      <c r="I26" s="51">
        <f>'E Data'!G26</f>
        <v>1.5</v>
      </c>
      <c r="J26" s="302"/>
      <c r="K26" s="2460"/>
      <c r="N26" s="2511" t="str">
        <f>HYPERLINK("\\\\SERVER\e\07 Data Bank\Motor\BBL Crane Duty Catalogue.pdf","BBL Catalogue")</f>
        <v>BBL Catalogue</v>
      </c>
      <c r="O26" s="22" t="s">
        <v>2800</v>
      </c>
      <c r="Q26" s="298"/>
      <c r="R26" s="19"/>
      <c r="S26" s="294"/>
      <c r="T26" s="19"/>
      <c r="U26" s="19"/>
      <c r="V26" s="295"/>
      <c r="W26" s="20"/>
      <c r="X26" s="20"/>
      <c r="Y26" s="20"/>
      <c r="Z26" s="20"/>
      <c r="AA26" s="20"/>
      <c r="AC26" s="19"/>
      <c r="AD26" s="19"/>
      <c r="AG26" s="298"/>
      <c r="AI26" s="19"/>
      <c r="AJ26" s="80"/>
      <c r="AK26" s="19"/>
      <c r="AL26" s="19"/>
      <c r="AN26" s="53"/>
      <c r="AP26" s="218"/>
      <c r="AR26" s="298"/>
      <c r="AS26" s="53"/>
      <c r="AT26" s="19"/>
      <c r="AU26" s="80"/>
      <c r="AV26" s="19"/>
      <c r="AW26" s="19"/>
      <c r="AX26" s="20"/>
      <c r="AY26" s="20"/>
      <c r="AZ26" s="20"/>
      <c r="BA26" s="20"/>
      <c r="BB26" s="20"/>
      <c r="BE26" s="53"/>
    </row>
    <row r="27" spans="1:57" ht="15.75">
      <c r="A27" s="2075"/>
      <c r="B27" s="67" t="s">
        <v>240</v>
      </c>
      <c r="C27" s="20" t="s">
        <v>2720</v>
      </c>
      <c r="D27" s="20"/>
      <c r="E27" s="20"/>
      <c r="F27" s="20"/>
      <c r="G27" s="19" t="str">
        <f>'E Data'!D32&amp;"  ©  "</f>
        <v>50  ©  </v>
      </c>
      <c r="H27" s="67" t="s">
        <v>160</v>
      </c>
      <c r="I27" s="59">
        <f>'E Data'!D33</f>
        <v>1</v>
      </c>
      <c r="K27" s="2460"/>
      <c r="N27" s="2511" t="str">
        <f>HYPERLINK("\\\\SERVER\e\07 Data Bank\Motor\BBL Motors Price List 26.05.22.pdf","BBL Price")</f>
        <v>BBL Price</v>
      </c>
      <c r="O27" s="22" t="s">
        <v>2801</v>
      </c>
      <c r="Q27" s="303"/>
      <c r="R27" s="19"/>
      <c r="S27" s="294"/>
      <c r="T27" s="19"/>
      <c r="U27" s="19"/>
      <c r="V27" s="295"/>
      <c r="W27" s="20"/>
      <c r="X27" s="20"/>
      <c r="Y27" s="20"/>
      <c r="Z27" s="20"/>
      <c r="AA27" s="20"/>
      <c r="AC27" s="19"/>
      <c r="AD27" s="19"/>
      <c r="AG27" s="298"/>
      <c r="AI27" s="19"/>
      <c r="AJ27" s="218"/>
      <c r="AK27" s="19"/>
      <c r="AL27" s="19"/>
      <c r="AN27" s="53"/>
      <c r="AP27" s="218"/>
    </row>
    <row r="28" spans="1:57">
      <c r="A28" s="2456"/>
      <c r="B28" s="20" t="s">
        <v>243</v>
      </c>
      <c r="C28" s="20"/>
      <c r="D28" s="20"/>
      <c r="E28" s="20"/>
      <c r="F28" s="20"/>
      <c r="G28" s="337" t="s">
        <v>244</v>
      </c>
      <c r="H28" s="67" t="s">
        <v>160</v>
      </c>
      <c r="I28" s="302">
        <f>(I12+I13+I14)*I15*I18*I26*I17/(6120*I25)/I27</f>
        <v>14.931600768800502</v>
      </c>
      <c r="J28" s="338" t="s">
        <v>245</v>
      </c>
      <c r="K28" s="2466"/>
      <c r="L28" s="334" t="str">
        <f>IF(I34="Slipring",IF(H30=6%,IF(I30&lt;I41,"Right","Wrong"),"Wrong"),IF(I30&lt;I41,"Right","Wrong"))</f>
        <v>Right</v>
      </c>
      <c r="N28" s="2511" t="str">
        <f>HYPERLINK("\\\\SERVER\e\07 Data Bank\Motor\CG Motor Price List 15.04.23.pdf","CG Price")</f>
        <v>CG Price</v>
      </c>
      <c r="O28" s="22" t="s">
        <v>2802</v>
      </c>
      <c r="Q28" s="298"/>
      <c r="R28" s="19"/>
      <c r="S28" s="294"/>
      <c r="T28" s="19"/>
      <c r="U28" s="19"/>
      <c r="V28" s="295"/>
      <c r="W28" s="182"/>
      <c r="X28" s="20"/>
      <c r="Y28" s="20"/>
      <c r="Z28" s="20"/>
      <c r="AA28" s="20"/>
      <c r="AC28" s="19"/>
      <c r="AD28" s="19"/>
      <c r="AG28" s="298"/>
      <c r="AI28" s="59"/>
      <c r="AJ28" s="218"/>
      <c r="AK28" s="19"/>
      <c r="AL28" s="19"/>
      <c r="AN28" s="53"/>
      <c r="AP28" s="88"/>
      <c r="AW28" s="340"/>
    </row>
    <row r="29" spans="1:57">
      <c r="A29" s="2456"/>
      <c r="B29" s="20"/>
      <c r="C29" s="20"/>
      <c r="D29" s="20"/>
      <c r="E29" s="20"/>
      <c r="F29" s="20"/>
      <c r="G29" s="341"/>
      <c r="H29" s="20"/>
      <c r="I29" s="342"/>
      <c r="J29" s="220">
        <f>(I12+I13+I14)*I15*I17/(6120*I25)</f>
        <v>14.857314197811444</v>
      </c>
      <c r="K29" s="2466"/>
      <c r="L29" s="343">
        <f>VLOOKUP(I34,V35:W36,2,0)</f>
        <v>0</v>
      </c>
      <c r="N29" s="2511" t="str">
        <f>HYPERLINK("\\\\SERVER\e\07 Data Bank\Motor\BBL Price 01.07.2023.pdf","BBL Price")</f>
        <v>BBL Price</v>
      </c>
      <c r="Q29" s="303"/>
      <c r="R29" s="19"/>
      <c r="S29" s="294"/>
      <c r="T29" s="19"/>
      <c r="U29" s="19"/>
      <c r="V29" s="295"/>
      <c r="W29" s="182"/>
      <c r="X29" s="20"/>
      <c r="Y29" s="20"/>
      <c r="Z29" s="20"/>
      <c r="AA29" s="20"/>
      <c r="AC29" s="19"/>
      <c r="AD29" s="19"/>
      <c r="AG29" s="344"/>
      <c r="AI29" s="19"/>
      <c r="AJ29" s="88"/>
      <c r="AK29" s="19"/>
      <c r="AL29" s="345"/>
      <c r="AN29" s="53"/>
      <c r="AP29" s="88"/>
    </row>
    <row r="30" spans="1:57">
      <c r="A30" s="2075"/>
      <c r="B30" s="20"/>
      <c r="C30" s="346"/>
      <c r="D30" s="346"/>
      <c r="E30" s="346"/>
      <c r="F30" s="17"/>
      <c r="G30" s="347" t="s">
        <v>250</v>
      </c>
      <c r="H30" s="348">
        <v>0</v>
      </c>
      <c r="I30" s="349">
        <f>I28+I28*H30</f>
        <v>14.931600768800502</v>
      </c>
      <c r="J30" s="350"/>
      <c r="K30" s="2460"/>
      <c r="L30" s="351"/>
      <c r="Q30" s="298"/>
      <c r="R30" s="19"/>
      <c r="S30" s="294"/>
      <c r="T30" s="19"/>
      <c r="U30" s="19"/>
      <c r="V30" s="295"/>
      <c r="W30" s="182"/>
      <c r="X30" s="20"/>
      <c r="Y30" s="20"/>
      <c r="Z30" s="20"/>
      <c r="AA30" s="20"/>
      <c r="AC30" s="19"/>
      <c r="AD30" s="19"/>
      <c r="AG30" s="298"/>
      <c r="AI30" s="19"/>
      <c r="AJ30" s="88"/>
      <c r="AK30" s="19"/>
      <c r="AL30" s="345"/>
      <c r="AN30" s="53"/>
      <c r="AP30" s="80"/>
    </row>
    <row r="31" spans="1:57">
      <c r="A31" s="2075"/>
      <c r="B31" s="352"/>
      <c r="C31" s="352"/>
      <c r="D31" s="352"/>
      <c r="E31" s="352"/>
      <c r="F31" s="352"/>
      <c r="G31" s="346" t="str">
        <f>IF(I34="Slipring","Slip Ring Factor 6 %","")</f>
        <v/>
      </c>
      <c r="I31" s="353"/>
      <c r="J31" s="354"/>
      <c r="K31" s="2467"/>
      <c r="L31" s="355"/>
      <c r="Q31" s="303"/>
      <c r="R31" s="19"/>
      <c r="S31" s="294"/>
      <c r="T31" s="19"/>
      <c r="U31" s="19"/>
      <c r="V31" s="295"/>
      <c r="W31" s="182"/>
      <c r="X31" s="20"/>
      <c r="Y31" s="20"/>
      <c r="Z31" s="20"/>
      <c r="AA31" s="20"/>
      <c r="AC31" s="19"/>
      <c r="AD31" s="19"/>
      <c r="AG31" s="298"/>
      <c r="AI31" s="53"/>
      <c r="AJ31" s="80"/>
      <c r="AK31" s="19"/>
      <c r="AL31" s="345"/>
      <c r="AN31" s="53"/>
      <c r="AP31" s="80"/>
    </row>
    <row r="32" spans="1:57">
      <c r="A32" s="2075"/>
      <c r="B32" s="182" t="s">
        <v>255</v>
      </c>
      <c r="C32" s="182"/>
      <c r="D32" s="182"/>
      <c r="E32" s="182"/>
      <c r="F32" s="182"/>
      <c r="G32" s="182"/>
      <c r="H32" s="182"/>
      <c r="I32" s="182"/>
      <c r="J32" s="310"/>
      <c r="K32" s="405"/>
      <c r="M32" s="356"/>
      <c r="T32" s="19" t="str">
        <f>'E Data'!C52</f>
        <v xml:space="preserve">SQ Marathon </v>
      </c>
      <c r="U32" s="19"/>
      <c r="V32" s="295"/>
      <c r="W32" s="182"/>
      <c r="X32" s="20"/>
      <c r="Y32" s="20"/>
      <c r="Z32" s="20"/>
      <c r="AA32" s="20"/>
      <c r="AC32" s="19"/>
      <c r="AD32" s="19"/>
      <c r="AG32" s="299"/>
      <c r="AI32" s="53"/>
      <c r="AJ32" s="80"/>
      <c r="AK32" s="19"/>
      <c r="AL32" s="345"/>
      <c r="AN32" s="53"/>
    </row>
    <row r="33" spans="1:64">
      <c r="A33" s="2075"/>
      <c r="B33" s="182"/>
      <c r="C33" s="182"/>
      <c r="D33" s="182"/>
      <c r="E33" s="182"/>
      <c r="F33" s="182"/>
      <c r="G33" s="182"/>
      <c r="H33" s="182"/>
      <c r="I33" s="357"/>
      <c r="J33" s="358"/>
      <c r="K33" s="2468"/>
      <c r="L33" s="359" t="s">
        <v>347</v>
      </c>
      <c r="M33" s="360" t="s">
        <v>2593</v>
      </c>
      <c r="N33" s="361" t="s">
        <v>2496</v>
      </c>
      <c r="O33" s="361" t="s">
        <v>119</v>
      </c>
      <c r="P33" s="361" t="s">
        <v>121</v>
      </c>
      <c r="Q33" s="361" t="s">
        <v>274</v>
      </c>
      <c r="R33" s="361" t="s">
        <v>2497</v>
      </c>
      <c r="S33" s="362" t="s">
        <v>451</v>
      </c>
      <c r="T33" s="363"/>
      <c r="V33" s="364" t="s">
        <v>96</v>
      </c>
      <c r="W33" s="159" t="s">
        <v>259</v>
      </c>
      <c r="X33" s="159" t="s">
        <v>263</v>
      </c>
      <c r="Y33" s="159"/>
    </row>
    <row r="34" spans="1:64">
      <c r="A34" s="2075"/>
      <c r="B34" s="20"/>
      <c r="C34" s="31" t="s">
        <v>258</v>
      </c>
      <c r="D34" s="186"/>
      <c r="E34" s="186"/>
      <c r="F34" s="182"/>
      <c r="G34" s="182"/>
      <c r="H34" s="182"/>
      <c r="I34" s="29" t="str">
        <f>'E Data'!E89</f>
        <v>Sq. Cage Motor</v>
      </c>
      <c r="J34" s="365"/>
      <c r="K34" s="2468"/>
      <c r="L34" s="366"/>
      <c r="M34" s="145" t="s">
        <v>2594</v>
      </c>
      <c r="N34" s="145"/>
      <c r="O34" s="145"/>
      <c r="P34" s="145"/>
      <c r="Q34" s="145"/>
      <c r="R34" s="145"/>
      <c r="S34" s="367"/>
      <c r="T34" s="53" t="str">
        <f>VLOOKUP(T32,L35:S38,4,0)</f>
        <v>180L</v>
      </c>
      <c r="V34" s="368" t="s">
        <v>96</v>
      </c>
      <c r="W34" s="369" t="s">
        <v>261</v>
      </c>
      <c r="X34" s="160" t="s">
        <v>2803</v>
      </c>
      <c r="Y34" s="370" t="s">
        <v>266</v>
      </c>
    </row>
    <row r="35" spans="1:64">
      <c r="A35" s="2075"/>
      <c r="B35" s="20"/>
      <c r="C35" s="20"/>
      <c r="D35" s="20"/>
      <c r="E35" s="20"/>
      <c r="F35" s="20"/>
      <c r="G35" s="20"/>
      <c r="H35" s="20"/>
      <c r="I35" s="17"/>
      <c r="J35" s="59"/>
      <c r="K35" s="2468"/>
      <c r="L35" s="371" t="str">
        <f>'E Motor &amp; Drive'!C55</f>
        <v xml:space="preserve">SQ Marathon </v>
      </c>
      <c r="M35" s="372" t="str">
        <f>'E Motor &amp; Drive'!AB55</f>
        <v>40%</v>
      </c>
      <c r="N35" s="372">
        <f>'E Motor &amp; Drive'!AC55</f>
        <v>18</v>
      </c>
      <c r="O35" s="372" t="str">
        <f>'E Motor &amp; Drive'!AD55</f>
        <v>180L</v>
      </c>
      <c r="P35" s="372">
        <f>'E Motor &amp; Drive'!AE55</f>
        <v>960</v>
      </c>
      <c r="Q35" s="373">
        <f>'E Motor &amp; Drive'!AF55-'E Motor &amp; Drive'!AM55</f>
        <v>107500</v>
      </c>
      <c r="R35" s="372">
        <f>'E Motor &amp; Drive'!AG55</f>
        <v>175</v>
      </c>
      <c r="S35" s="374">
        <f>'E Motor &amp; Drive'!AH55</f>
        <v>0.4</v>
      </c>
      <c r="T35" s="53">
        <f>VLOOKUP(T32,L35:S38,3,0)</f>
        <v>18</v>
      </c>
      <c r="V35" s="159" t="s">
        <v>259</v>
      </c>
      <c r="W35" s="145">
        <v>0</v>
      </c>
    </row>
    <row r="36" spans="1:64">
      <c r="A36" s="2075"/>
      <c r="B36" s="20"/>
      <c r="C36" s="31" t="s">
        <v>260</v>
      </c>
      <c r="D36" s="186"/>
      <c r="E36" s="186"/>
      <c r="F36" s="182"/>
      <c r="G36" s="182"/>
      <c r="H36" s="182"/>
      <c r="I36" s="375" t="s">
        <v>266</v>
      </c>
      <c r="J36" s="376"/>
      <c r="K36" s="2468"/>
      <c r="L36" s="371" t="str">
        <f>'E Motor &amp; Drive'!C56</f>
        <v xml:space="preserve">Slipring Marathon </v>
      </c>
      <c r="M36" s="372" t="str">
        <f>'E Motor &amp; Drive'!AB56</f>
        <v>40%</v>
      </c>
      <c r="N36" s="372">
        <f>'E Motor &amp; Drive'!AC56</f>
        <v>17</v>
      </c>
      <c r="O36" s="372" t="str">
        <f>'E Motor &amp; Drive'!AD56</f>
        <v>KS200L1</v>
      </c>
      <c r="P36" s="372">
        <f>'E Motor &amp; Drive'!AE56</f>
        <v>972</v>
      </c>
      <c r="Q36" s="372">
        <f>'E Motor &amp; Drive'!AF56</f>
        <v>139800</v>
      </c>
      <c r="R36" s="372">
        <f>'E Motor &amp; Drive'!AG56</f>
        <v>375</v>
      </c>
      <c r="S36" s="374">
        <f>'E Motor &amp; Drive'!AH56</f>
        <v>0.4</v>
      </c>
      <c r="T36" s="53">
        <f>VLOOKUP(T32,L35:S38,5,0)</f>
        <v>960</v>
      </c>
      <c r="V36" s="145" t="s">
        <v>263</v>
      </c>
      <c r="W36" s="145">
        <v>1</v>
      </c>
    </row>
    <row r="37" spans="1:64">
      <c r="A37" s="2075"/>
      <c r="B37" s="20"/>
      <c r="C37" s="31" t="s">
        <v>262</v>
      </c>
      <c r="D37" s="31"/>
      <c r="E37" s="186"/>
      <c r="F37" s="182"/>
      <c r="G37" s="182"/>
      <c r="H37" s="182"/>
      <c r="I37" s="377">
        <v>6</v>
      </c>
      <c r="J37" s="31"/>
      <c r="K37" s="2468"/>
      <c r="L37" s="371" t="str">
        <f>'E Motor &amp; Drive'!C57</f>
        <v>Siemens H/F</v>
      </c>
      <c r="M37" s="372" t="str">
        <f>'E Motor &amp; Drive'!AB57</f>
        <v>40%</v>
      </c>
      <c r="N37" s="372">
        <f>'E Motor &amp; Drive'!AC57</f>
        <v>17</v>
      </c>
      <c r="O37" s="372" t="str">
        <f>'E Motor &amp; Drive'!AD57</f>
        <v>180L</v>
      </c>
      <c r="P37" s="372">
        <f>'E Motor &amp; Drive'!AE57</f>
        <v>970</v>
      </c>
      <c r="Q37" s="372">
        <f>'E Motor &amp; Drive'!AF57</f>
        <v>85554</v>
      </c>
      <c r="R37" s="372">
        <f>'E Motor &amp; Drive'!AG57</f>
        <v>204</v>
      </c>
      <c r="S37" s="374">
        <f>'E Motor &amp; Drive'!AH57</f>
        <v>0.68</v>
      </c>
      <c r="T37" s="53">
        <f>VLOOKUP(T32,L35:S38,6,0)</f>
        <v>107500</v>
      </c>
      <c r="W37" s="53"/>
      <c r="X37" s="19"/>
      <c r="Y37" s="20"/>
      <c r="Z37" s="20"/>
      <c r="AA37" s="20"/>
      <c r="AB37" s="20"/>
      <c r="AC37" s="20"/>
      <c r="AE37" s="20"/>
      <c r="AF37" s="20"/>
      <c r="AG37" s="20"/>
      <c r="AL37" s="20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</row>
    <row r="38" spans="1:64">
      <c r="A38" s="2075"/>
      <c r="B38" s="20"/>
      <c r="C38" s="31" t="s">
        <v>264</v>
      </c>
      <c r="D38" s="31"/>
      <c r="E38" s="186"/>
      <c r="F38" s="182"/>
      <c r="G38" s="182"/>
      <c r="H38" s="182"/>
      <c r="I38" s="378" t="s">
        <v>2512</v>
      </c>
      <c r="J38" s="379"/>
      <c r="K38" s="2468"/>
      <c r="L38" s="371" t="str">
        <f>'E Motor &amp; Drive'!C58</f>
        <v>Siemens F/B</v>
      </c>
      <c r="M38" s="372" t="str">
        <f>'E Motor &amp; Drive'!AB58</f>
        <v>40%</v>
      </c>
      <c r="N38" s="372">
        <f>'E Motor &amp; Drive'!AC58</f>
        <v>15</v>
      </c>
      <c r="O38" s="372" t="str">
        <f>'E Motor &amp; Drive'!AD58</f>
        <v>180L</v>
      </c>
      <c r="P38" s="372">
        <f>'E Motor &amp; Drive'!AE58</f>
        <v>970</v>
      </c>
      <c r="Q38" s="372">
        <f>'E Motor &amp; Drive'!AF58</f>
        <v>85554</v>
      </c>
      <c r="R38" s="372">
        <f>'E Motor &amp; Drive'!AG58</f>
        <v>204</v>
      </c>
      <c r="S38" s="374">
        <f>'E Motor &amp; Drive'!AH58</f>
        <v>0.68</v>
      </c>
      <c r="T38" s="53">
        <f>VLOOKUP(T32,L35:S38,7,0)</f>
        <v>175</v>
      </c>
      <c r="V38" s="22" t="str">
        <f>LEFT(I40,3)</f>
        <v>180</v>
      </c>
      <c r="W38" s="22" t="str">
        <f>IF(V38="VD3", "Please Chek Price","")</f>
        <v/>
      </c>
      <c r="AF38" s="20"/>
      <c r="AG38" s="20"/>
      <c r="AL38" s="20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</row>
    <row r="39" spans="1:64">
      <c r="A39" s="2075"/>
      <c r="B39" s="20"/>
      <c r="C39" s="31" t="s">
        <v>267</v>
      </c>
      <c r="D39" s="31"/>
      <c r="E39" s="186"/>
      <c r="F39" s="182"/>
      <c r="G39" s="182"/>
      <c r="H39" s="182"/>
      <c r="I39" s="380">
        <v>150</v>
      </c>
      <c r="J39" s="379"/>
      <c r="K39" s="2468"/>
      <c r="AF39" s="20"/>
      <c r="AG39" s="20"/>
      <c r="AL39" s="20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</row>
    <row r="40" spans="1:64">
      <c r="A40" s="2075"/>
      <c r="B40" s="20"/>
      <c r="C40" s="31" t="s">
        <v>268</v>
      </c>
      <c r="D40" s="31"/>
      <c r="E40" s="186"/>
      <c r="F40" s="182"/>
      <c r="G40" s="182"/>
      <c r="H40" s="182"/>
      <c r="I40" s="2591" t="str">
        <f>+T34</f>
        <v>180L</v>
      </c>
      <c r="J40" s="365" t="s">
        <v>269</v>
      </c>
      <c r="K40" s="437"/>
      <c r="L40" s="366" t="s">
        <v>451</v>
      </c>
      <c r="M40" s="381" t="s">
        <v>2591</v>
      </c>
      <c r="N40" s="382" t="s">
        <v>113</v>
      </c>
      <c r="O40" s="382" t="s">
        <v>114</v>
      </c>
      <c r="P40" s="382" t="s">
        <v>115</v>
      </c>
      <c r="Q40" s="382" t="s">
        <v>116</v>
      </c>
      <c r="R40" s="382" t="s">
        <v>117</v>
      </c>
      <c r="S40" s="361"/>
      <c r="AF40" s="20"/>
      <c r="AG40" s="20"/>
      <c r="AL40" s="20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</row>
    <row r="41" spans="1:64">
      <c r="A41" s="2075"/>
      <c r="B41" s="20"/>
      <c r="C41" s="31" t="s">
        <v>270</v>
      </c>
      <c r="D41" s="31"/>
      <c r="E41" s="186"/>
      <c r="F41" s="182"/>
      <c r="G41" s="182"/>
      <c r="H41" s="182"/>
      <c r="I41" s="3576">
        <f>+T35</f>
        <v>18</v>
      </c>
      <c r="J41" s="383" t="s">
        <v>271</v>
      </c>
      <c r="K41" s="2468"/>
      <c r="L41" s="366"/>
      <c r="M41" s="381" t="s">
        <v>2592</v>
      </c>
      <c r="N41" s="145"/>
      <c r="O41" s="145"/>
      <c r="P41" s="145"/>
      <c r="Q41" s="145"/>
      <c r="R41" s="145"/>
      <c r="S41" s="145"/>
      <c r="AF41" s="20"/>
      <c r="AG41" s="20"/>
      <c r="AH41" s="20"/>
      <c r="AI41" s="20"/>
      <c r="AJ41" s="20"/>
      <c r="AK41" s="19"/>
      <c r="AL41" s="20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</row>
    <row r="42" spans="1:64">
      <c r="A42" s="2075"/>
      <c r="B42" s="20"/>
      <c r="C42" s="31" t="s">
        <v>273</v>
      </c>
      <c r="D42" s="31"/>
      <c r="E42" s="186"/>
      <c r="F42" s="182"/>
      <c r="G42" s="182"/>
      <c r="H42" s="182"/>
      <c r="I42" s="2591">
        <f>+T36</f>
        <v>960</v>
      </c>
      <c r="J42" s="383" t="s">
        <v>121</v>
      </c>
      <c r="K42" s="3786"/>
      <c r="L42" s="384">
        <v>0.38500000000000001</v>
      </c>
      <c r="M42" s="385">
        <f>(N42*(1-L42)*1.03)+O42+P42+Q42+R42</f>
        <v>0</v>
      </c>
      <c r="N42" s="145">
        <f>'E Motor &amp; Drive'!AL55</f>
        <v>0</v>
      </c>
      <c r="O42" s="145">
        <f>'E Motor &amp; Drive'!AM55</f>
        <v>0</v>
      </c>
      <c r="P42" s="145">
        <f>'E Motor &amp; Drive'!AN55</f>
        <v>0</v>
      </c>
      <c r="Q42" s="145">
        <f>'E Motor &amp; Drive'!AO55</f>
        <v>0</v>
      </c>
      <c r="R42" s="145">
        <f>'E Motor &amp; Drive'!AP55</f>
        <v>0</v>
      </c>
      <c r="S42" s="175" t="b">
        <f>'E Motor &amp; Drive'!AQ55</f>
        <v>0</v>
      </c>
      <c r="T42" s="386" t="str">
        <f>IF(M42=Q35,"Same","NotSame")</f>
        <v>NotSame</v>
      </c>
      <c r="X42" s="385"/>
      <c r="Y42" s="385"/>
      <c r="AF42" s="20"/>
      <c r="AG42" s="20"/>
      <c r="AH42" s="20"/>
      <c r="AI42" s="20"/>
      <c r="AJ42" s="20"/>
      <c r="AK42" s="19"/>
      <c r="AL42" s="20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</row>
    <row r="43" spans="1:64">
      <c r="A43" s="2075"/>
      <c r="B43" s="20"/>
      <c r="C43" s="88" t="s">
        <v>274</v>
      </c>
      <c r="D43" s="88"/>
      <c r="E43" s="221"/>
      <c r="F43" s="221"/>
      <c r="G43" s="221"/>
      <c r="H43" s="221"/>
      <c r="I43" s="2591">
        <f>+T37</f>
        <v>107500</v>
      </c>
      <c r="J43" s="387" t="s">
        <v>389</v>
      </c>
      <c r="K43" s="3786"/>
      <c r="L43" s="384">
        <v>0.38500000000000001</v>
      </c>
      <c r="M43" s="385">
        <f>N43*(1-L43)</f>
        <v>143295</v>
      </c>
      <c r="N43" s="145">
        <f>'E Motor &amp; Drive'!AL56</f>
        <v>233000</v>
      </c>
      <c r="O43" s="145">
        <f>'E Motor &amp; Drive'!AM56</f>
        <v>0</v>
      </c>
      <c r="P43" s="145">
        <f>'E Motor &amp; Drive'!AN56</f>
        <v>0</v>
      </c>
      <c r="Q43" s="145">
        <f>'E Motor &amp; Drive'!AO56</f>
        <v>0</v>
      </c>
      <c r="R43" s="145">
        <f>'E Motor &amp; Drive'!AP56</f>
        <v>0</v>
      </c>
      <c r="S43" s="175" t="str">
        <f>'E Motor &amp; Drive'!AQ56</f>
        <v>Right</v>
      </c>
      <c r="T43" s="386" t="str">
        <f>IF(M43=Q36,"Same","NotSame")</f>
        <v>NotSame</v>
      </c>
      <c r="X43" s="385"/>
      <c r="Y43" s="385"/>
      <c r="AF43" s="20"/>
      <c r="AG43" s="20"/>
      <c r="AH43" s="20"/>
      <c r="AI43" s="20"/>
      <c r="AJ43" s="20"/>
      <c r="AK43" s="19"/>
      <c r="AL43" s="20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</row>
    <row r="44" spans="1:64">
      <c r="A44" s="2075"/>
      <c r="B44" s="20"/>
      <c r="C44" s="88" t="s">
        <v>275</v>
      </c>
      <c r="D44" s="88"/>
      <c r="E44" s="221"/>
      <c r="F44" s="221"/>
      <c r="G44" s="221"/>
      <c r="H44" s="221"/>
      <c r="I44" s="2591">
        <f>+T38</f>
        <v>175</v>
      </c>
      <c r="J44" s="383" t="s">
        <v>276</v>
      </c>
      <c r="K44" s="437"/>
      <c r="L44" s="384">
        <v>0.68</v>
      </c>
      <c r="M44" s="385">
        <f>(N44*(1-L44))+O44+P44+Q44+R44</f>
        <v>85554</v>
      </c>
      <c r="N44" s="145">
        <f>'E Motor &amp; Drive'!AL57</f>
        <v>154200</v>
      </c>
      <c r="O44" s="145">
        <f>'E Motor &amp; Drive'!AM57</f>
        <v>17500</v>
      </c>
      <c r="P44" s="145">
        <f>'E Motor &amp; Drive'!AN57</f>
        <v>4000</v>
      </c>
      <c r="Q44" s="145">
        <f>'E Motor &amp; Drive'!AO57</f>
        <v>7000</v>
      </c>
      <c r="R44" s="145">
        <f>'E Motor &amp; Drive'!AP57</f>
        <v>7710</v>
      </c>
      <c r="S44" s="175" t="str">
        <f>'E Motor &amp; Drive'!AQ57</f>
        <v>Right</v>
      </c>
      <c r="T44" s="386" t="str">
        <f>IF(M44=Q37,"Same","NotSame")</f>
        <v>Same</v>
      </c>
      <c r="X44" s="385"/>
      <c r="Y44" s="385"/>
      <c r="AB44" s="20"/>
      <c r="AC44" s="20"/>
      <c r="AD44" s="20"/>
      <c r="AE44" s="20"/>
      <c r="AF44" s="20"/>
      <c r="AG44" s="20"/>
      <c r="AH44" s="20"/>
      <c r="AI44" s="20"/>
      <c r="AJ44" s="20"/>
      <c r="AK44" s="19"/>
      <c r="AL44" s="20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</row>
    <row r="45" spans="1:64">
      <c r="A45" s="2075"/>
      <c r="B45" s="20"/>
      <c r="C45" s="20"/>
      <c r="D45" s="20"/>
      <c r="E45" s="20"/>
      <c r="F45" s="20"/>
      <c r="G45" s="20"/>
      <c r="H45" s="17"/>
      <c r="I45" s="388"/>
      <c r="J45" s="358"/>
      <c r="K45" s="2469"/>
      <c r="L45" s="384">
        <v>0.68</v>
      </c>
      <c r="M45" s="385">
        <f>(N45*(1-L45))+O45+P45+Q45+R45</f>
        <v>85554</v>
      </c>
      <c r="N45" s="145">
        <f>'E Motor &amp; Drive'!AL58</f>
        <v>154200</v>
      </c>
      <c r="O45" s="145">
        <f>'E Motor &amp; Drive'!AM58</f>
        <v>17500</v>
      </c>
      <c r="P45" s="145">
        <f>'E Motor &amp; Drive'!AN58</f>
        <v>4000</v>
      </c>
      <c r="Q45" s="145">
        <f>'E Motor &amp; Drive'!AO58</f>
        <v>7000</v>
      </c>
      <c r="R45" s="145">
        <f>'E Motor &amp; Drive'!AP58</f>
        <v>7710</v>
      </c>
      <c r="S45" s="175" t="str">
        <f>'E Motor &amp; Drive'!AQ58</f>
        <v>Right</v>
      </c>
      <c r="T45" s="386" t="str">
        <f>IF(M45=Q38,"Same","NotSame")</f>
        <v>Same</v>
      </c>
      <c r="X45" s="385"/>
      <c r="Y45" s="311"/>
      <c r="AB45" s="20"/>
      <c r="AC45" s="20"/>
      <c r="AD45" s="20"/>
      <c r="AE45" s="20"/>
      <c r="AF45" s="20"/>
      <c r="AG45" s="20"/>
      <c r="AH45" s="20"/>
      <c r="AI45" s="20"/>
      <c r="AJ45" s="20"/>
      <c r="AK45" s="19"/>
      <c r="AL45" s="20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</row>
    <row r="46" spans="1:64">
      <c r="A46" s="2075"/>
      <c r="B46" s="20"/>
      <c r="C46" s="31" t="s">
        <v>277</v>
      </c>
      <c r="D46" s="186"/>
      <c r="E46" s="31"/>
      <c r="F46" s="20"/>
      <c r="G46" s="20"/>
      <c r="H46" s="20"/>
      <c r="I46" s="390" t="s">
        <v>278</v>
      </c>
      <c r="J46" s="358"/>
      <c r="K46" s="2469"/>
      <c r="L46" s="2507" t="str">
        <f>HYPERLINK("\\Manish-pc\e\03 General\Manish\Selection\MARATHON CAGE &amp; SLIPERING CRANE DUTY LP W.E.F 15.10.20.pdf","M Sq 6 Pole")</f>
        <v>M Sq 6 Pole</v>
      </c>
      <c r="M46" s="391" t="str">
        <f>HYPERLINK("\\Manish-pc\e\03 General\Manish\Selection\Price_Sheet_2013.pdf","Pr Sheet")</f>
        <v>Pr Sheet</v>
      </c>
      <c r="N46" s="391" t="str">
        <f>HYPERLINK("\\Manish-pc\e\03 General\Manish\Selection\Slipring_Motor.pdf","M Slip Motor")</f>
        <v>M Slip Motor</v>
      </c>
      <c r="O46" s="391" t="str">
        <f>HYPERLINK("\\Manish-pc\e\03 General\Manish\Selection\","Selection Folder")</f>
        <v>Selection Folder</v>
      </c>
      <c r="P46" s="19"/>
      <c r="Q46" s="19"/>
      <c r="R46" s="19"/>
      <c r="S46" s="19"/>
      <c r="T46" s="19"/>
      <c r="U46" s="19"/>
      <c r="X46" s="385"/>
      <c r="Y46" s="385"/>
      <c r="AB46" s="20"/>
      <c r="AC46" s="20"/>
      <c r="AD46" s="20"/>
      <c r="AE46" s="20"/>
      <c r="AF46" s="20"/>
      <c r="AG46" s="20"/>
      <c r="AH46" s="20"/>
      <c r="AI46" s="20"/>
      <c r="AJ46" s="20"/>
      <c r="AK46" s="19"/>
      <c r="AL46" s="20"/>
      <c r="AM46" s="17"/>
      <c r="AN46" s="17"/>
      <c r="AO46" s="17"/>
      <c r="AP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</row>
    <row r="47" spans="1:64">
      <c r="A47" s="2075"/>
      <c r="B47" s="20"/>
      <c r="C47" s="31" t="s">
        <v>279</v>
      </c>
      <c r="D47" s="186"/>
      <c r="E47" s="31"/>
      <c r="F47" s="20"/>
      <c r="G47" s="20"/>
      <c r="H47" s="20"/>
      <c r="I47" s="392" t="s">
        <v>280</v>
      </c>
      <c r="J47" s="358"/>
      <c r="K47" s="2468"/>
      <c r="L47" s="391" t="str">
        <f>HYPERLINK("\\Manish-pc\e\03 General\Manish\Selection\M_Sq_Price.pdf","M Sq Pr")</f>
        <v>M Sq Pr</v>
      </c>
      <c r="M47" s="391" t="str">
        <f>HYPERLINK("\\Manish-pc\e\03 General\Manish\Selection\Weight.pdf","Weight")</f>
        <v>Weight</v>
      </c>
      <c r="N47" s="391" t="str">
        <f>HYPERLINK("\\Manish-pc\e\03 General\Manish\Selection\Marathon_LP.pdf","M Slip Price")</f>
        <v>M Slip Price</v>
      </c>
      <c r="O47" s="19"/>
      <c r="P47" s="19"/>
      <c r="Q47" s="19"/>
      <c r="R47" s="17"/>
      <c r="S47" s="3734"/>
      <c r="T47" s="3734"/>
      <c r="U47" s="3734"/>
      <c r="X47" s="385"/>
      <c r="Y47" s="311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19"/>
      <c r="AL47" s="20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</row>
    <row r="48" spans="1:64">
      <c r="A48" s="2075"/>
      <c r="B48" s="20"/>
      <c r="C48" s="31" t="s">
        <v>281</v>
      </c>
      <c r="D48" s="186"/>
      <c r="E48" s="31"/>
      <c r="F48" s="20"/>
      <c r="G48" s="20"/>
      <c r="H48" s="20"/>
      <c r="I48" s="319" t="s">
        <v>282</v>
      </c>
      <c r="J48" s="358"/>
      <c r="K48" s="2468"/>
      <c r="L48" s="2507" t="str">
        <f>HYPERLINK("\\Manish-pc\e\03 General\Manish\Selection\M_Sq_Price.xls","M Sq Pr Exl")</f>
        <v>M Sq Pr Exl</v>
      </c>
      <c r="M48" s="391" t="str">
        <f>HYPERLINK("\\Manish-pc\e\03 General\Manish\Selection\Siemens_Motor.pdf","Sie Nor H-F")</f>
        <v>Sie Nor H-F</v>
      </c>
      <c r="N48" s="391" t="str">
        <f>HYPERLINK("\\Manish-pc\e\03 General\Manish\Selection\Siemens_F-B.pdf","Siem F-B")</f>
        <v>Siem F-B</v>
      </c>
      <c r="O48" s="294"/>
      <c r="P48" s="294"/>
      <c r="Q48" s="294"/>
      <c r="R48" s="294"/>
      <c r="S48" s="294"/>
      <c r="T48" s="294"/>
      <c r="U48" s="393"/>
      <c r="X48" s="385"/>
      <c r="Y48" s="385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19"/>
      <c r="AL48" s="20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</row>
    <row r="49" spans="1:64">
      <c r="A49" s="1794"/>
      <c r="B49" s="459"/>
      <c r="C49" s="247"/>
      <c r="D49" s="247"/>
      <c r="E49" s="247"/>
      <c r="F49" s="247"/>
      <c r="G49" s="247"/>
      <c r="H49" s="247"/>
      <c r="I49" s="247"/>
      <c r="J49" s="247"/>
      <c r="K49" s="455"/>
      <c r="L49" s="396"/>
      <c r="M49" s="397" t="str">
        <f>HYPERLINK("\\Manish-pc\e\03 General\Manish\Selection\Siemens_Price.pdf","Siem Pr 2017")</f>
        <v>Siem Pr 2017</v>
      </c>
      <c r="N49" s="391" t="str">
        <f>HYPERLINK("\\Manish-pc\e\03 General\Manish\Selection\Siemens_H-F.pdf","Siem H-F")</f>
        <v>Siem H-F</v>
      </c>
      <c r="U49" s="393"/>
      <c r="Y49" s="294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19"/>
      <c r="AL49" s="20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</row>
    <row r="50" spans="1:64">
      <c r="A50" s="3698" t="s">
        <v>1</v>
      </c>
      <c r="B50" s="3698"/>
      <c r="C50" s="3698"/>
      <c r="D50" s="3698"/>
      <c r="E50" s="3698"/>
      <c r="F50" s="3698" t="s">
        <v>109</v>
      </c>
      <c r="G50" s="3698"/>
      <c r="H50" s="3698"/>
      <c r="I50" s="3696" t="s">
        <v>2</v>
      </c>
      <c r="J50" s="3696"/>
      <c r="K50" s="3696"/>
      <c r="M50" s="19"/>
      <c r="U50" s="333"/>
      <c r="Y50" s="17"/>
      <c r="Z50" s="17"/>
      <c r="AA50" s="17"/>
      <c r="AB50" s="17"/>
      <c r="AC50" s="17"/>
      <c r="AD50" s="17"/>
      <c r="AE50" s="17"/>
      <c r="AF50" s="17"/>
      <c r="AG50" s="17"/>
      <c r="AH50" s="20"/>
      <c r="AI50" s="20"/>
      <c r="AJ50" s="20"/>
      <c r="AK50" s="20"/>
      <c r="AL50" s="20"/>
      <c r="AM50" s="20"/>
      <c r="AN50" s="20"/>
      <c r="AO50" s="20"/>
      <c r="AP50" s="20"/>
      <c r="AR50" s="19"/>
      <c r="AS50" s="20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</row>
    <row r="51" spans="1:64">
      <c r="A51" s="3698" t="str">
        <f>+A2</f>
        <v>ELITEMHE INDUSTRIES LIMITED</v>
      </c>
      <c r="B51" s="3698"/>
      <c r="C51" s="3698"/>
      <c r="D51" s="3698"/>
      <c r="E51" s="3698"/>
      <c r="F51" s="3698" t="str">
        <f>F2</f>
        <v xml:space="preserve">25/15T D/G EOT CRANE  </v>
      </c>
      <c r="G51" s="3698"/>
      <c r="H51" s="3698"/>
      <c r="I51" s="3698">
        <f>I2</f>
        <v>0</v>
      </c>
      <c r="J51" s="3698"/>
      <c r="K51" s="3698"/>
      <c r="O51" s="398"/>
      <c r="P51" s="301"/>
      <c r="Q51" s="223"/>
      <c r="R51" s="399"/>
      <c r="S51" s="400"/>
      <c r="T51" s="400"/>
      <c r="U51" s="400"/>
      <c r="V51" s="224"/>
      <c r="W51" s="401"/>
      <c r="Y51" s="399"/>
      <c r="Z51" s="399"/>
      <c r="AA51" s="399"/>
      <c r="AB51" s="223"/>
      <c r="AC51" s="223"/>
      <c r="AD51" s="223"/>
      <c r="AE51" s="223"/>
      <c r="AF51" s="223"/>
      <c r="AG51" s="223"/>
      <c r="AH51" s="223"/>
      <c r="AI51" s="223"/>
      <c r="AJ51" s="223"/>
      <c r="AK51" s="37"/>
      <c r="AL51" s="37"/>
      <c r="AM51" s="37"/>
      <c r="AN51" s="37"/>
      <c r="AO51" s="37"/>
      <c r="AP51" s="402"/>
      <c r="AQ51" s="151"/>
      <c r="AR51" s="399"/>
      <c r="AS51" s="399"/>
      <c r="AT51" s="223"/>
      <c r="AU51" s="223"/>
      <c r="AV51" s="223"/>
      <c r="AW51" s="223"/>
      <c r="AX51" s="225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</row>
    <row r="52" spans="1:64">
      <c r="A52" s="3698">
        <f>A3</f>
        <v>0</v>
      </c>
      <c r="B52" s="3698"/>
      <c r="C52" s="3698"/>
      <c r="D52" s="3698"/>
      <c r="E52" s="3698"/>
      <c r="F52" s="3696" t="s">
        <v>122</v>
      </c>
      <c r="G52" s="3696"/>
      <c r="H52" s="3696"/>
      <c r="I52" s="3696" t="s">
        <v>284</v>
      </c>
      <c r="J52" s="3696"/>
      <c r="K52" s="3696"/>
      <c r="L52" s="977"/>
      <c r="O52" s="226"/>
      <c r="P52" s="59"/>
      <c r="Q52" s="3722" t="s">
        <v>294</v>
      </c>
      <c r="R52" s="3722" t="s">
        <v>283</v>
      </c>
      <c r="S52" s="3722"/>
      <c r="T52" s="3722"/>
      <c r="U52" s="3722"/>
      <c r="V52" s="3722"/>
      <c r="W52" s="3722"/>
      <c r="X52" s="2524"/>
      <c r="Y52" s="2524"/>
      <c r="AB52" s="17"/>
      <c r="AC52" s="17"/>
      <c r="AD52" s="17"/>
      <c r="AE52" s="17"/>
      <c r="AF52" s="17"/>
      <c r="AG52" s="17"/>
      <c r="AH52" s="17"/>
      <c r="AI52" s="17"/>
      <c r="AJ52" s="17"/>
      <c r="AK52" s="20"/>
      <c r="AL52" s="20"/>
      <c r="AM52" s="20"/>
      <c r="AN52" s="20"/>
      <c r="AO52" s="20"/>
      <c r="AP52" s="405"/>
      <c r="AQ52" s="153"/>
      <c r="AT52" s="17"/>
      <c r="AU52" s="17"/>
      <c r="AV52" s="17"/>
      <c r="AW52" s="17"/>
      <c r="AX52" s="22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</row>
    <row r="53" spans="1:64">
      <c r="A53" s="311" t="s">
        <v>32</v>
      </c>
      <c r="B53" s="311" t="e">
        <f>C4</f>
        <v>#REF!</v>
      </c>
      <c r="C53" s="311"/>
      <c r="D53" s="311"/>
      <c r="E53" s="2459"/>
      <c r="F53" s="3696" t="str">
        <f>F4</f>
        <v xml:space="preserve"> </v>
      </c>
      <c r="G53" s="3696"/>
      <c r="H53" s="3696"/>
      <c r="I53" s="3696"/>
      <c r="J53" s="3696"/>
      <c r="K53" s="3696"/>
      <c r="O53" s="226"/>
      <c r="P53" s="19"/>
      <c r="Q53" s="3722"/>
      <c r="R53" s="3721" t="s">
        <v>285</v>
      </c>
      <c r="S53" s="3721" t="s">
        <v>286</v>
      </c>
      <c r="T53" s="3722" t="s">
        <v>287</v>
      </c>
      <c r="U53" s="3721" t="s">
        <v>2807</v>
      </c>
      <c r="V53" s="3721" t="s">
        <v>2808</v>
      </c>
      <c r="W53" s="3721"/>
      <c r="X53" s="2525"/>
      <c r="Y53" s="2527"/>
      <c r="AB53" s="17"/>
      <c r="AC53" s="17"/>
      <c r="AD53" s="17"/>
      <c r="AE53" s="17"/>
      <c r="AF53" s="17"/>
      <c r="AG53" s="17"/>
      <c r="AH53" s="17"/>
      <c r="AI53" s="17"/>
      <c r="AJ53" s="17"/>
      <c r="AK53" s="20"/>
      <c r="AL53" s="20"/>
      <c r="AM53" s="20"/>
      <c r="AN53" s="20"/>
      <c r="AO53" s="20"/>
      <c r="AP53" s="405"/>
      <c r="AQ53" s="153"/>
      <c r="AT53" s="17"/>
      <c r="AU53" s="17"/>
      <c r="AV53" s="17"/>
      <c r="AW53" s="17"/>
      <c r="AX53" s="22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</row>
    <row r="54" spans="1:64">
      <c r="A54" s="1792"/>
      <c r="B54" s="37"/>
      <c r="C54" s="37"/>
      <c r="D54" s="37"/>
      <c r="E54" s="37"/>
      <c r="F54" s="37"/>
      <c r="G54" s="37"/>
      <c r="H54" s="37"/>
      <c r="I54" s="37"/>
      <c r="J54" s="37"/>
      <c r="K54" s="402"/>
      <c r="O54" s="226"/>
      <c r="P54" s="19"/>
      <c r="Q54" s="3722"/>
      <c r="R54" s="3721"/>
      <c r="S54" s="3721"/>
      <c r="T54" s="3722"/>
      <c r="U54" s="3722"/>
      <c r="V54" s="3722"/>
      <c r="W54" s="3722"/>
      <c r="X54" s="2525"/>
      <c r="Y54" s="2525"/>
      <c r="AB54" s="17"/>
      <c r="AC54" s="17"/>
      <c r="AD54" s="17"/>
      <c r="AE54" s="17"/>
      <c r="AF54" s="17"/>
      <c r="AG54" s="17"/>
      <c r="AH54" s="17"/>
      <c r="AI54" s="17"/>
      <c r="AJ54" s="17"/>
      <c r="AK54" s="20"/>
      <c r="AL54" s="20"/>
      <c r="AM54" s="20"/>
      <c r="AN54" s="20"/>
      <c r="AO54" s="20"/>
      <c r="AP54" s="405"/>
      <c r="AQ54" s="412" t="s">
        <v>2406</v>
      </c>
      <c r="AR54" s="231">
        <f>+AD57</f>
        <v>222.04139995862033</v>
      </c>
      <c r="AT54" s="17"/>
      <c r="AU54" s="17"/>
      <c r="AV54" s="17"/>
      <c r="AW54" s="17"/>
      <c r="AX54" s="22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</row>
    <row r="55" spans="1:64">
      <c r="A55" s="2075"/>
      <c r="B55" s="20"/>
      <c r="C55" s="20"/>
      <c r="D55" s="20"/>
      <c r="E55" s="20"/>
      <c r="F55" s="20"/>
      <c r="G55" s="20"/>
      <c r="H55" s="20"/>
      <c r="I55" s="20"/>
      <c r="J55" s="20"/>
      <c r="K55" s="405"/>
      <c r="O55" s="226"/>
      <c r="P55" s="19"/>
      <c r="Q55" s="3722"/>
      <c r="R55" s="3721"/>
      <c r="S55" s="3721"/>
      <c r="T55" s="3722"/>
      <c r="U55" s="3722"/>
      <c r="V55" s="3722"/>
      <c r="W55" s="3722"/>
      <c r="X55" s="2525"/>
      <c r="Y55" s="2525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20"/>
      <c r="AL55" s="20"/>
      <c r="AM55" s="20"/>
      <c r="AN55" s="20"/>
      <c r="AO55" s="20"/>
      <c r="AP55" s="405"/>
      <c r="AQ55" s="131" t="s">
        <v>2408</v>
      </c>
      <c r="AR55" s="131" t="s">
        <v>2409</v>
      </c>
      <c r="AS55" s="131" t="s">
        <v>2410</v>
      </c>
      <c r="AT55" s="228" t="s">
        <v>400</v>
      </c>
      <c r="AU55" s="228" t="s">
        <v>275</v>
      </c>
      <c r="AV55" s="228" t="s">
        <v>274</v>
      </c>
      <c r="AW55" s="17"/>
      <c r="AX55" s="22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</row>
    <row r="56" spans="1:64">
      <c r="A56" s="2458">
        <v>2</v>
      </c>
      <c r="B56" s="182" t="s">
        <v>295</v>
      </c>
      <c r="C56" s="20"/>
      <c r="D56" s="20"/>
      <c r="E56" s="20"/>
      <c r="F56" s="20"/>
      <c r="G56" s="20"/>
      <c r="H56" s="20"/>
      <c r="I56" s="20"/>
      <c r="J56" s="20"/>
      <c r="K56" s="405"/>
      <c r="O56" s="226"/>
      <c r="P56" s="413"/>
      <c r="Q56" s="2519">
        <v>0</v>
      </c>
      <c r="R56" s="2518">
        <v>10</v>
      </c>
      <c r="S56" s="2518">
        <v>160</v>
      </c>
      <c r="T56" s="2518">
        <v>36</v>
      </c>
      <c r="U56" s="2528">
        <f>(61565+64445)*0.95</f>
        <v>119709.5</v>
      </c>
      <c r="V56" s="2529">
        <f>(42775+44950)*0.9</f>
        <v>78952.5</v>
      </c>
      <c r="W56" s="2518">
        <v>0</v>
      </c>
      <c r="X56" s="2526"/>
      <c r="Y56" s="2526"/>
      <c r="Z56" s="17"/>
      <c r="AB56" s="17"/>
      <c r="AC56" s="414" t="s">
        <v>2407</v>
      </c>
      <c r="AD56" s="233">
        <f>+I66</f>
        <v>22.634189598228371</v>
      </c>
      <c r="AF56" s="17"/>
      <c r="AG56" s="17"/>
      <c r="AH56" s="17"/>
      <c r="AI56" s="17"/>
      <c r="AJ56" s="17"/>
      <c r="AK56" s="20"/>
      <c r="AL56" s="20"/>
      <c r="AM56" s="20"/>
      <c r="AN56" s="20"/>
      <c r="AO56" s="20"/>
      <c r="AP56" s="405"/>
      <c r="AQ56" s="131"/>
      <c r="AR56" s="131"/>
      <c r="AS56" s="131"/>
      <c r="AT56" s="131"/>
      <c r="AU56" s="131"/>
      <c r="AV56" s="131"/>
      <c r="AW56" s="17"/>
      <c r="AX56" s="22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</row>
    <row r="57" spans="1:64">
      <c r="A57" s="2075"/>
      <c r="B57" s="20"/>
      <c r="C57" s="20"/>
      <c r="D57" s="20"/>
      <c r="E57" s="20"/>
      <c r="F57" s="20"/>
      <c r="G57" s="20"/>
      <c r="H57" s="20"/>
      <c r="I57" s="20"/>
      <c r="J57" s="20"/>
      <c r="K57" s="405"/>
      <c r="O57" s="226"/>
      <c r="P57" s="413"/>
      <c r="Q57" s="2519">
        <v>8</v>
      </c>
      <c r="R57" s="2518">
        <v>13.8</v>
      </c>
      <c r="S57" s="2518">
        <v>200</v>
      </c>
      <c r="T57" s="2518">
        <v>41</v>
      </c>
      <c r="U57" s="2528">
        <f>(72470+71840)*0.95</f>
        <v>137094.5</v>
      </c>
      <c r="V57" s="2529">
        <f>(50335+50065)*0.9</f>
        <v>90360</v>
      </c>
      <c r="W57" s="2518">
        <v>0</v>
      </c>
      <c r="X57" s="2526"/>
      <c r="Y57" s="2526"/>
      <c r="Z57" s="17"/>
      <c r="AB57" s="17"/>
      <c r="AC57" s="414" t="s">
        <v>2406</v>
      </c>
      <c r="AD57" s="234">
        <f>+I67</f>
        <v>222.04139995862033</v>
      </c>
      <c r="AF57" s="17"/>
      <c r="AG57" s="17"/>
      <c r="AH57" s="17"/>
      <c r="AI57" s="17"/>
      <c r="AJ57" s="17"/>
      <c r="AK57" s="20"/>
      <c r="AL57" s="20"/>
      <c r="AM57" s="20"/>
      <c r="AN57" s="20"/>
      <c r="AO57" s="20"/>
      <c r="AP57" s="405"/>
      <c r="AQ57" s="145" t="s">
        <v>2434</v>
      </c>
      <c r="AR57" s="145">
        <v>10</v>
      </c>
      <c r="AS57" s="145" t="s">
        <v>2411</v>
      </c>
      <c r="AT57" s="235">
        <v>200</v>
      </c>
      <c r="AU57" s="235">
        <v>19</v>
      </c>
      <c r="AV57" s="235">
        <v>50000</v>
      </c>
      <c r="AW57" s="216"/>
      <c r="AX57" s="22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</row>
    <row r="58" spans="1:64">
      <c r="A58" s="2456"/>
      <c r="B58" s="20" t="s">
        <v>296</v>
      </c>
      <c r="C58" s="20"/>
      <c r="D58" s="20"/>
      <c r="E58" s="20"/>
      <c r="F58" s="20"/>
      <c r="G58" s="306" t="s">
        <v>297</v>
      </c>
      <c r="H58" s="20"/>
      <c r="I58" s="20"/>
      <c r="J58" s="20"/>
      <c r="K58" s="405"/>
      <c r="O58" s="226"/>
      <c r="P58" s="413"/>
      <c r="Q58" s="2519">
        <v>13.8</v>
      </c>
      <c r="R58" s="2518">
        <v>27.7</v>
      </c>
      <c r="S58" s="2518">
        <v>250</v>
      </c>
      <c r="T58" s="2518">
        <v>71</v>
      </c>
      <c r="U58" s="2528">
        <f>(88965+76225)*0.95</f>
        <v>156930.5</v>
      </c>
      <c r="V58" s="2529">
        <f>(61800+53115)*0.9</f>
        <v>103423.5</v>
      </c>
      <c r="W58" s="2518">
        <v>0</v>
      </c>
      <c r="X58" s="2526"/>
      <c r="Y58" s="2526"/>
      <c r="Z58" s="17"/>
      <c r="AB58" s="415" t="s">
        <v>314</v>
      </c>
      <c r="AC58" s="236" t="s">
        <v>315</v>
      </c>
      <c r="AD58" s="236" t="s">
        <v>316</v>
      </c>
      <c r="AF58" s="17"/>
      <c r="AG58" s="237" t="s">
        <v>298</v>
      </c>
      <c r="AH58" s="237"/>
      <c r="AI58" s="237"/>
      <c r="AJ58" s="237"/>
      <c r="AK58" s="237"/>
      <c r="AL58" s="237"/>
      <c r="AM58" s="238"/>
      <c r="AN58" s="238"/>
      <c r="AO58" s="416"/>
      <c r="AP58" s="405"/>
      <c r="AQ58" s="145" t="s">
        <v>2435</v>
      </c>
      <c r="AR58" s="145">
        <v>20</v>
      </c>
      <c r="AS58" s="145" t="s">
        <v>2412</v>
      </c>
      <c r="AT58" s="311">
        <v>200</v>
      </c>
      <c r="AU58" s="235">
        <v>19</v>
      </c>
      <c r="AV58" s="235">
        <f>+AV57+5000</f>
        <v>55000</v>
      </c>
      <c r="AW58" s="216"/>
      <c r="AX58" s="22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</row>
    <row r="59" spans="1:64">
      <c r="A59" s="2075"/>
      <c r="B59" s="20"/>
      <c r="C59" s="20"/>
      <c r="D59" s="20"/>
      <c r="E59" s="20"/>
      <c r="F59" s="20"/>
      <c r="G59" s="20"/>
      <c r="H59" s="20" t="s">
        <v>299</v>
      </c>
      <c r="I59" s="20"/>
      <c r="J59" s="358"/>
      <c r="K59" s="405"/>
      <c r="O59" s="226"/>
      <c r="P59" s="413"/>
      <c r="Q59" s="2519">
        <v>27.7</v>
      </c>
      <c r="R59" s="2518">
        <v>76</v>
      </c>
      <c r="S59" s="2518">
        <v>300</v>
      </c>
      <c r="T59" s="2518">
        <v>95</v>
      </c>
      <c r="U59" s="2528">
        <f>(145645+82195)*0.95</f>
        <v>216448</v>
      </c>
      <c r="V59" s="2529">
        <f>(101215+57295)*0.9</f>
        <v>142659</v>
      </c>
      <c r="W59" s="2518">
        <v>0</v>
      </c>
      <c r="X59" s="2526"/>
      <c r="Y59" s="2525"/>
      <c r="Z59" s="17"/>
      <c r="AB59" s="311"/>
      <c r="AC59" s="228"/>
      <c r="AD59" s="311">
        <f>VLOOKUP(AD60,AG61:AH80,2,0)</f>
        <v>250</v>
      </c>
      <c r="AF59" s="17"/>
      <c r="AG59" s="228"/>
      <c r="AH59" s="179" t="s">
        <v>300</v>
      </c>
      <c r="AI59" s="418" t="s">
        <v>301</v>
      </c>
      <c r="AJ59" s="179"/>
      <c r="AK59" s="416"/>
      <c r="AL59" s="416"/>
      <c r="AM59" s="417" t="s">
        <v>302</v>
      </c>
      <c r="AN59" s="417"/>
      <c r="AO59" s="416"/>
      <c r="AP59" s="405"/>
      <c r="AQ59" s="145" t="s">
        <v>2436</v>
      </c>
      <c r="AR59" s="145">
        <v>10</v>
      </c>
      <c r="AS59" s="145" t="s">
        <v>2413</v>
      </c>
      <c r="AT59" s="311">
        <v>250</v>
      </c>
      <c r="AU59" s="235">
        <v>30</v>
      </c>
      <c r="AV59" s="235">
        <v>60000</v>
      </c>
      <c r="AW59" s="216"/>
      <c r="AX59" s="22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</row>
    <row r="60" spans="1:64">
      <c r="A60" s="2075"/>
      <c r="B60" s="20" t="s">
        <v>303</v>
      </c>
      <c r="C60" s="20"/>
      <c r="D60" s="20"/>
      <c r="E60" s="20"/>
      <c r="F60" s="20"/>
      <c r="G60" s="20"/>
      <c r="H60" s="20"/>
      <c r="I60" s="20"/>
      <c r="J60" s="358"/>
      <c r="K60" s="405"/>
      <c r="O60" s="153"/>
      <c r="P60" s="413"/>
      <c r="Q60" s="2519">
        <v>76</v>
      </c>
      <c r="R60" s="2518">
        <v>138.30000000000001</v>
      </c>
      <c r="S60" s="2518">
        <v>400</v>
      </c>
      <c r="T60" s="2518">
        <f>1*240</f>
        <v>240</v>
      </c>
      <c r="U60" s="2528">
        <f>(234435+96640)*0.95</f>
        <v>314521.25</v>
      </c>
      <c r="V60" s="2529">
        <f>(162865+66000)*0.9</f>
        <v>205978.5</v>
      </c>
      <c r="W60" s="2518">
        <v>0</v>
      </c>
      <c r="X60" s="2526"/>
      <c r="Y60" s="2526"/>
      <c r="Z60" s="17"/>
      <c r="AB60" s="160" t="s">
        <v>329</v>
      </c>
      <c r="AC60" s="228">
        <f>VLOOKUP(AD56,S69:S82,1)</f>
        <v>20</v>
      </c>
      <c r="AD60" s="418">
        <f>VLOOKUP(AD57,AG61:AG80,1)</f>
        <v>0</v>
      </c>
      <c r="AF60" s="17"/>
      <c r="AG60" s="228" t="s">
        <v>118</v>
      </c>
      <c r="AH60" s="179" t="s">
        <v>304</v>
      </c>
      <c r="AI60" s="419"/>
      <c r="AJ60" s="179" t="s">
        <v>305</v>
      </c>
      <c r="AK60" s="29" t="s">
        <v>275</v>
      </c>
      <c r="AL60" s="416" t="s">
        <v>274</v>
      </c>
      <c r="AM60" s="29" t="s">
        <v>306</v>
      </c>
      <c r="AN60" s="29" t="s">
        <v>307</v>
      </c>
      <c r="AO60" s="416"/>
      <c r="AP60" s="405"/>
      <c r="AQ60" s="145" t="s">
        <v>2437</v>
      </c>
      <c r="AR60" s="145">
        <v>20</v>
      </c>
      <c r="AS60" s="145" t="s">
        <v>2414</v>
      </c>
      <c r="AT60" s="311">
        <v>250</v>
      </c>
      <c r="AU60" s="235">
        <v>30</v>
      </c>
      <c r="AV60" s="235">
        <f>+AV59+5000</f>
        <v>65000</v>
      </c>
      <c r="AW60" s="216"/>
      <c r="AX60" s="22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</row>
    <row r="61" spans="1:64">
      <c r="A61" s="2075"/>
      <c r="B61" s="20"/>
      <c r="C61" s="20" t="s">
        <v>308</v>
      </c>
      <c r="D61" s="20"/>
      <c r="E61" s="20"/>
      <c r="F61" s="20"/>
      <c r="G61" s="20"/>
      <c r="H61" s="43" t="s">
        <v>160</v>
      </c>
      <c r="I61" s="420">
        <v>1.5</v>
      </c>
      <c r="J61" s="358"/>
      <c r="K61" s="405"/>
      <c r="O61" s="153"/>
      <c r="P61" s="413"/>
      <c r="Q61" s="2519">
        <v>138.30000000000001</v>
      </c>
      <c r="R61" s="2518">
        <v>277</v>
      </c>
      <c r="S61" s="2518">
        <v>500</v>
      </c>
      <c r="T61" s="2518">
        <f>1*310</f>
        <v>310</v>
      </c>
      <c r="U61" s="2528">
        <f>(377940+114435)*0.95</f>
        <v>467756.25</v>
      </c>
      <c r="V61" s="2529">
        <f>(260330+79750)*0.9</f>
        <v>306072</v>
      </c>
      <c r="W61" s="2518">
        <v>0</v>
      </c>
      <c r="X61" s="2526"/>
      <c r="Y61" s="2525"/>
      <c r="Z61" s="17"/>
      <c r="AB61" s="421" t="s">
        <v>331</v>
      </c>
      <c r="AC61" s="179">
        <f>VLOOKUP(AC60,S69:T82,2,0)</f>
        <v>32</v>
      </c>
      <c r="AD61" s="179" t="str">
        <f>VLOOKUP(AD59,AH61:AI80,2,0)</f>
        <v>25-250</v>
      </c>
      <c r="AF61" s="17"/>
      <c r="AG61" s="240">
        <v>0</v>
      </c>
      <c r="AH61" s="179">
        <v>250</v>
      </c>
      <c r="AI61" s="179" t="s">
        <v>309</v>
      </c>
      <c r="AJ61" s="179">
        <v>160</v>
      </c>
      <c r="AK61" s="29">
        <v>23</v>
      </c>
      <c r="AL61" s="416">
        <v>24593</v>
      </c>
      <c r="AM61" s="416" t="s">
        <v>2518</v>
      </c>
      <c r="AN61" s="416" t="str">
        <f>"N(NV)."&amp;AJ61&amp;"."&amp;AM61</f>
        <v>N(NV).160.HYD.023/05</v>
      </c>
      <c r="AO61" s="416"/>
      <c r="AP61" s="405"/>
      <c r="AQ61" s="145" t="s">
        <v>2438</v>
      </c>
      <c r="AR61" s="145">
        <v>30</v>
      </c>
      <c r="AS61" s="145" t="s">
        <v>2415</v>
      </c>
      <c r="AT61" s="311">
        <v>250</v>
      </c>
      <c r="AU61" s="235">
        <v>30</v>
      </c>
      <c r="AV61" s="235">
        <v>70000</v>
      </c>
      <c r="AW61" s="216"/>
      <c r="AX61" s="22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</row>
    <row r="62" spans="1:64">
      <c r="A62" s="2075"/>
      <c r="B62" s="20"/>
      <c r="C62" s="20" t="s">
        <v>310</v>
      </c>
      <c r="D62" s="20"/>
      <c r="E62" s="20"/>
      <c r="F62" s="20"/>
      <c r="G62" s="20"/>
      <c r="H62" s="43" t="s">
        <v>160</v>
      </c>
      <c r="I62" s="302">
        <f>J29</f>
        <v>14.857314197811444</v>
      </c>
      <c r="J62" s="357"/>
      <c r="K62" s="227"/>
      <c r="O62" s="153"/>
      <c r="P62" s="413"/>
      <c r="Q62" s="2519">
        <v>277</v>
      </c>
      <c r="R62" s="2518">
        <v>555</v>
      </c>
      <c r="S62" s="2518">
        <v>600</v>
      </c>
      <c r="T62" s="2518">
        <f>1*410</f>
        <v>410</v>
      </c>
      <c r="U62" s="2528">
        <f>(598150+147545)*0.95</f>
        <v>708410.25</v>
      </c>
      <c r="V62" s="2529">
        <f>(415580+102850)*0.9</f>
        <v>466587</v>
      </c>
      <c r="W62" s="2518">
        <v>0</v>
      </c>
      <c r="X62" s="2526"/>
      <c r="Y62" s="2526"/>
      <c r="Z62" s="17"/>
      <c r="AB62" s="421" t="s">
        <v>337</v>
      </c>
      <c r="AC62" s="179">
        <f>VLOOKUP(AC61,T69:U82,2,0)</f>
        <v>34</v>
      </c>
      <c r="AD62" s="241" t="str">
        <f>VLOOKUP(AD59,AH61:AM80,6,0)</f>
        <v>HYD.023/05</v>
      </c>
      <c r="AF62" s="17"/>
      <c r="AG62" s="242">
        <v>250</v>
      </c>
      <c r="AH62" s="179">
        <v>310</v>
      </c>
      <c r="AI62" s="179" t="s">
        <v>311</v>
      </c>
      <c r="AJ62" s="179">
        <v>200</v>
      </c>
      <c r="AK62" s="29">
        <v>27</v>
      </c>
      <c r="AL62" s="416">
        <v>28500</v>
      </c>
      <c r="AM62" s="416" t="s">
        <v>2518</v>
      </c>
      <c r="AN62" s="416" t="str">
        <f t="shared" ref="AN62:AN80" si="0">"N(NV)."&amp;AJ62&amp;"."&amp;AM62</f>
        <v>N(NV).200.HYD.023/05</v>
      </c>
      <c r="AO62" s="416"/>
      <c r="AP62" s="405"/>
      <c r="AQ62" s="145" t="s">
        <v>2439</v>
      </c>
      <c r="AR62" s="145">
        <v>10</v>
      </c>
      <c r="AS62" s="145" t="s">
        <v>2416</v>
      </c>
      <c r="AT62" s="311">
        <v>315</v>
      </c>
      <c r="AU62" s="235">
        <v>50</v>
      </c>
      <c r="AV62" s="235">
        <f>+AV61+5000</f>
        <v>75000</v>
      </c>
      <c r="AW62" s="216"/>
      <c r="AX62" s="22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</row>
    <row r="63" spans="1:64">
      <c r="A63" s="2456"/>
      <c r="B63" s="20"/>
      <c r="C63" s="20" t="s">
        <v>312</v>
      </c>
      <c r="D63" s="20"/>
      <c r="E63" s="20"/>
      <c r="F63" s="346"/>
      <c r="G63" s="20"/>
      <c r="H63" s="43" t="s">
        <v>160</v>
      </c>
      <c r="I63" s="345">
        <f>I42</f>
        <v>960</v>
      </c>
      <c r="J63" s="357"/>
      <c r="K63" s="227"/>
      <c r="O63" s="153"/>
      <c r="P63" s="422"/>
      <c r="Y63" s="19"/>
      <c r="Z63" s="17"/>
      <c r="AB63" s="421" t="s">
        <v>341</v>
      </c>
      <c r="AC63" s="179">
        <f>VLOOKUP(AC61,T69:V82,3,0)</f>
        <v>200</v>
      </c>
      <c r="AD63" s="179">
        <f>VLOOKUP(AD59,AH61:AJ80,3,0)</f>
        <v>160</v>
      </c>
      <c r="AF63" s="17"/>
      <c r="AG63" s="242">
        <v>310</v>
      </c>
      <c r="AH63" s="179">
        <v>400</v>
      </c>
      <c r="AI63" s="179" t="s">
        <v>313</v>
      </c>
      <c r="AJ63" s="179">
        <v>200</v>
      </c>
      <c r="AK63" s="29">
        <v>31</v>
      </c>
      <c r="AL63" s="416">
        <f t="shared" ref="AL63" si="1">AL62</f>
        <v>28500</v>
      </c>
      <c r="AM63" s="416" t="s">
        <v>2519</v>
      </c>
      <c r="AN63" s="416" t="str">
        <f t="shared" si="0"/>
        <v>N(NV).200.HYD.030/05</v>
      </c>
      <c r="AO63" s="416"/>
      <c r="AP63" s="405"/>
      <c r="AQ63" s="145" t="s">
        <v>2440</v>
      </c>
      <c r="AR63" s="145">
        <v>20</v>
      </c>
      <c r="AS63" s="145" t="s">
        <v>2417</v>
      </c>
      <c r="AT63" s="311">
        <v>315</v>
      </c>
      <c r="AU63" s="235">
        <v>50</v>
      </c>
      <c r="AV63" s="235">
        <f>+AV62+5000</f>
        <v>80000</v>
      </c>
      <c r="AW63" s="216"/>
      <c r="AX63" s="22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</row>
    <row r="64" spans="1:64">
      <c r="A64" s="2075"/>
      <c r="B64" s="20"/>
      <c r="C64" s="20"/>
      <c r="D64" s="20"/>
      <c r="E64" s="20"/>
      <c r="F64" s="20"/>
      <c r="G64" s="20"/>
      <c r="H64" s="20"/>
      <c r="I64" s="19"/>
      <c r="J64" s="358"/>
      <c r="K64" s="405"/>
      <c r="O64" s="153"/>
      <c r="P64" s="422"/>
      <c r="R64" s="17"/>
      <c r="Y64" s="17"/>
      <c r="AB64" s="160" t="s">
        <v>344</v>
      </c>
      <c r="AC64" s="179">
        <f>VLOOKUP(AC61,T69:X82,5,0)</f>
        <v>27</v>
      </c>
      <c r="AD64" s="179">
        <f>VLOOKUP(AD59,AH61:AK80,4,0)</f>
        <v>23</v>
      </c>
      <c r="AF64" s="17"/>
      <c r="AG64" s="242">
        <v>400</v>
      </c>
      <c r="AH64" s="179">
        <v>330</v>
      </c>
      <c r="AI64" s="179" t="s">
        <v>317</v>
      </c>
      <c r="AJ64" s="179">
        <v>250</v>
      </c>
      <c r="AK64" s="29">
        <v>35</v>
      </c>
      <c r="AL64" s="416">
        <v>33200</v>
      </c>
      <c r="AM64" s="416" t="s">
        <v>2518</v>
      </c>
      <c r="AN64" s="416" t="str">
        <f t="shared" si="0"/>
        <v>N(NV).250.HYD.023/05</v>
      </c>
      <c r="AO64" s="416"/>
      <c r="AP64" s="405"/>
      <c r="AQ64" s="145" t="s">
        <v>2441</v>
      </c>
      <c r="AR64" s="145">
        <v>30</v>
      </c>
      <c r="AS64" s="145" t="s">
        <v>2418</v>
      </c>
      <c r="AT64" s="311">
        <v>315</v>
      </c>
      <c r="AU64" s="235">
        <v>50</v>
      </c>
      <c r="AV64" s="235">
        <f>+AV63+5000</f>
        <v>85000</v>
      </c>
      <c r="AW64" s="216"/>
      <c r="AX64" s="22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</row>
    <row r="65" spans="1:64">
      <c r="A65" s="2075"/>
      <c r="B65" s="20"/>
      <c r="C65" s="20"/>
      <c r="D65" s="20"/>
      <c r="E65" s="20"/>
      <c r="F65" s="20"/>
      <c r="G65" s="20"/>
      <c r="H65" s="43" t="s">
        <v>160</v>
      </c>
      <c r="I65" s="654">
        <f>(975*I62*I61/I63)</f>
        <v>22.634189598228371</v>
      </c>
      <c r="J65" s="358"/>
      <c r="K65" s="405"/>
      <c r="O65" s="391" t="str">
        <f>HYPERLINK("\\Manish-pc\e\03 General\Manish\Selection\","Selection Folder")</f>
        <v>Selection Folder</v>
      </c>
      <c r="P65" s="59"/>
      <c r="Q65" s="391" t="str">
        <f>HYPERLINK("\\Manish-pc\e\03 General\Manish\Selection\Sibre_Thruster_Drum_Brake.pdf","Sibre EHT")</f>
        <v>Sibre EHT</v>
      </c>
      <c r="S65" s="2514" t="s">
        <v>318</v>
      </c>
      <c r="T65" s="2515" t="s">
        <v>319</v>
      </c>
      <c r="U65" s="2515"/>
      <c r="V65" s="2515"/>
      <c r="W65" s="2515"/>
      <c r="X65" s="2515"/>
      <c r="Y65" s="2515"/>
      <c r="Z65" s="2516" t="s">
        <v>2805</v>
      </c>
      <c r="AA65" s="3721" t="s">
        <v>2806</v>
      </c>
      <c r="AB65" s="2512" t="s">
        <v>350</v>
      </c>
      <c r="AC65" s="179">
        <f>VLOOKUP(AC63,AB72:AC80,2,0)</f>
        <v>23.5</v>
      </c>
      <c r="AD65" s="179">
        <f>VLOOKUP(AD63,AB72:AC80,2,0)</f>
        <v>13.7</v>
      </c>
      <c r="AE65" s="167" t="s">
        <v>345</v>
      </c>
      <c r="AF65" s="17"/>
      <c r="AG65" s="242">
        <v>330</v>
      </c>
      <c r="AH65" s="179">
        <v>440</v>
      </c>
      <c r="AI65" s="179" t="s">
        <v>320</v>
      </c>
      <c r="AJ65" s="179">
        <v>250</v>
      </c>
      <c r="AK65" s="29">
        <v>39</v>
      </c>
      <c r="AL65" s="416">
        <f>AL64</f>
        <v>33200</v>
      </c>
      <c r="AM65" s="416" t="s">
        <v>2518</v>
      </c>
      <c r="AN65" s="416" t="str">
        <f>"N(NV)."&amp;AJ65&amp;"."&amp;AM65</f>
        <v>N(NV).250.HYD.023/05</v>
      </c>
      <c r="AO65" s="416"/>
      <c r="AP65" s="405"/>
      <c r="AQ65" s="145" t="s">
        <v>2442</v>
      </c>
      <c r="AR65" s="145">
        <v>40</v>
      </c>
      <c r="AS65" s="145" t="s">
        <v>2419</v>
      </c>
      <c r="AT65" s="311">
        <v>315</v>
      </c>
      <c r="AU65" s="235">
        <v>50</v>
      </c>
      <c r="AV65" s="235">
        <f>+AV64+5000</f>
        <v>90000</v>
      </c>
      <c r="AW65" s="216"/>
      <c r="AX65" s="22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</row>
    <row r="66" spans="1:64">
      <c r="A66" s="2075"/>
      <c r="B66" s="20" t="s">
        <v>321</v>
      </c>
      <c r="C66" s="20"/>
      <c r="D66" s="20"/>
      <c r="E66" s="17"/>
      <c r="F66" s="20"/>
      <c r="G66" s="426" t="s">
        <v>250</v>
      </c>
      <c r="H66" s="427">
        <v>0</v>
      </c>
      <c r="I66" s="428">
        <f>I65*H66+I65</f>
        <v>22.634189598228371</v>
      </c>
      <c r="J66" s="358" t="s">
        <v>322</v>
      </c>
      <c r="K66" s="2466"/>
      <c r="O66" s="429" t="str">
        <f>HYPERLINK("\\Manish-pc\e\03 General\Manish\Selection\Price_Sheet_2013.pdf","Price Sheet")</f>
        <v>Price Sheet</v>
      </c>
      <c r="P66" s="391" t="str">
        <f>HYPERLINK("\\Manish-pc\e\03 General\Manish\Selection\BCH_DCEM_Brake.pdf","BCH")</f>
        <v>BCH</v>
      </c>
      <c r="Q66" s="391" t="str">
        <f>HYPERLINK("\\Manish-pc\e\03 General\Manish\Selection\SNT_Brake.pdf","SNT Brake")</f>
        <v>SNT Brake</v>
      </c>
      <c r="S66" s="3730" t="s">
        <v>294</v>
      </c>
      <c r="T66" s="3729" t="s">
        <v>323</v>
      </c>
      <c r="U66" s="3729" t="s">
        <v>324</v>
      </c>
      <c r="V66" s="3729" t="s">
        <v>325</v>
      </c>
      <c r="W66" s="3731" t="s">
        <v>100</v>
      </c>
      <c r="X66" s="3729" t="s">
        <v>326</v>
      </c>
      <c r="Y66" s="3729" t="s">
        <v>327</v>
      </c>
      <c r="Z66" s="3729" t="s">
        <v>328</v>
      </c>
      <c r="AA66" s="3722"/>
      <c r="AB66" s="2512" t="s">
        <v>354</v>
      </c>
      <c r="AC66" s="179">
        <f>VLOOKUP(AC61,T69:Z82,7,0)</f>
        <v>11784.5</v>
      </c>
      <c r="AD66" s="179">
        <f>VLOOKUP(AD59,AH61:AL80,5,0)</f>
        <v>24593</v>
      </c>
      <c r="AE66" s="145" t="s">
        <v>290</v>
      </c>
      <c r="AF66" s="17"/>
      <c r="AG66" s="242">
        <v>440</v>
      </c>
      <c r="AH66" s="179">
        <v>720</v>
      </c>
      <c r="AI66" s="179" t="s">
        <v>330</v>
      </c>
      <c r="AJ66" s="179">
        <v>250</v>
      </c>
      <c r="AK66" s="29">
        <v>51</v>
      </c>
      <c r="AL66" s="416">
        <f>AL65</f>
        <v>33200</v>
      </c>
      <c r="AM66" s="416" t="s">
        <v>2520</v>
      </c>
      <c r="AN66" s="416" t="str">
        <f t="shared" si="0"/>
        <v>N(NV).250.HYD.050/06</v>
      </c>
      <c r="AO66" s="416"/>
      <c r="AP66" s="405"/>
      <c r="AQ66" s="145" t="s">
        <v>2443</v>
      </c>
      <c r="AR66" s="145">
        <v>20</v>
      </c>
      <c r="AS66" s="145" t="s">
        <v>2420</v>
      </c>
      <c r="AT66" s="311">
        <v>400</v>
      </c>
      <c r="AU66" s="235">
        <v>85</v>
      </c>
      <c r="AV66" s="235">
        <v>100000</v>
      </c>
      <c r="AW66" s="216"/>
      <c r="AX66" s="22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</row>
    <row r="67" spans="1:64">
      <c r="A67" s="2075"/>
      <c r="B67" s="20"/>
      <c r="C67" s="182"/>
      <c r="D67" s="182"/>
      <c r="E67" s="182"/>
      <c r="F67" s="182"/>
      <c r="G67" s="182"/>
      <c r="H67" s="182"/>
      <c r="I67" s="737">
        <f>I66*9.81</f>
        <v>222.04139995862033</v>
      </c>
      <c r="J67" s="182" t="s">
        <v>304</v>
      </c>
      <c r="K67" s="405"/>
      <c r="O67" s="429" t="str">
        <f>HYPERLINK("\\Manish-pc\e\03 General\Manish\Selection\BCH_ Price.pdf","BCH Price")</f>
        <v>BCH Price</v>
      </c>
      <c r="P67" s="391" t="str">
        <f>HYPERLINK("\\Manish-pc\e\03 General\Manish\Selection\SOC_Brake.pdf","SOC Brake")</f>
        <v>SOC Brake</v>
      </c>
      <c r="Q67" s="391" t="str">
        <f>HYPERLINK("\\Manish-pc\e\03 General\Manish\Selection\Galvi_EHT_Brake.pdf","Galvi")</f>
        <v>Galvi</v>
      </c>
      <c r="S67" s="3730"/>
      <c r="T67" s="3729"/>
      <c r="U67" s="3729"/>
      <c r="V67" s="3729"/>
      <c r="W67" s="3731"/>
      <c r="X67" s="3729"/>
      <c r="Y67" s="3729"/>
      <c r="Z67" s="3729"/>
      <c r="AA67" s="3722"/>
      <c r="AB67" s="2512" t="s">
        <v>358</v>
      </c>
      <c r="AC67" s="179">
        <f>VLOOKUP(AC63,AB72:AD80,3,0)</f>
        <v>5800</v>
      </c>
      <c r="AD67" s="179">
        <f>VLOOKUP(AD63,AB72:AD80,3,0)</f>
        <v>3200</v>
      </c>
      <c r="AE67" s="171" t="s">
        <v>298</v>
      </c>
      <c r="AF67" s="17"/>
      <c r="AG67" s="242">
        <v>720</v>
      </c>
      <c r="AH67" s="179">
        <v>520</v>
      </c>
      <c r="AI67" s="179" t="s">
        <v>332</v>
      </c>
      <c r="AJ67" s="179">
        <v>315</v>
      </c>
      <c r="AK67" s="29">
        <v>60</v>
      </c>
      <c r="AL67" s="416">
        <v>39250</v>
      </c>
      <c r="AM67" s="416" t="s">
        <v>2519</v>
      </c>
      <c r="AN67" s="416" t="str">
        <f t="shared" si="0"/>
        <v>N(NV).315.HYD.030/05</v>
      </c>
      <c r="AO67" s="416"/>
      <c r="AP67" s="405"/>
      <c r="AQ67" s="145" t="s">
        <v>2444</v>
      </c>
      <c r="AR67" s="145">
        <v>30</v>
      </c>
      <c r="AS67" s="145" t="s">
        <v>2421</v>
      </c>
      <c r="AT67" s="311">
        <v>400</v>
      </c>
      <c r="AU67" s="235">
        <v>85</v>
      </c>
      <c r="AV67" s="235">
        <f>+AV66+5000</f>
        <v>105000</v>
      </c>
      <c r="AW67" s="216"/>
      <c r="AX67" s="22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</row>
    <row r="68" spans="1:64">
      <c r="A68" s="2075"/>
      <c r="B68" s="182" t="s">
        <v>333</v>
      </c>
      <c r="C68" s="182"/>
      <c r="D68" s="182"/>
      <c r="E68" s="182"/>
      <c r="F68" s="182"/>
      <c r="G68" s="182"/>
      <c r="H68" s="182"/>
      <c r="I68" s="182"/>
      <c r="K68" s="405"/>
      <c r="O68" s="164" t="s">
        <v>334</v>
      </c>
      <c r="P68" s="164" t="s">
        <v>335</v>
      </c>
      <c r="Q68" s="165" t="s">
        <v>336</v>
      </c>
      <c r="R68" s="432"/>
      <c r="S68" s="3730"/>
      <c r="T68" s="3729"/>
      <c r="U68" s="3729"/>
      <c r="V68" s="3729"/>
      <c r="W68" s="3731"/>
      <c r="X68" s="3729"/>
      <c r="Y68" s="3729"/>
      <c r="Z68" s="3729"/>
      <c r="AA68" s="3722"/>
      <c r="AB68" s="2513" t="s">
        <v>302</v>
      </c>
      <c r="AC68" s="29" t="str">
        <f>VLOOKUP(AC61,T69:W82,4,0)</f>
        <v>MDT 200-34</v>
      </c>
      <c r="AD68" s="235" t="str">
        <f>VLOOKUP(AD59,AH61:AN80,7,0)</f>
        <v>N(NV).160.HYD.023/05</v>
      </c>
      <c r="AE68" s="59"/>
      <c r="AF68" s="17"/>
      <c r="AG68" s="242">
        <v>520</v>
      </c>
      <c r="AH68" s="29">
        <v>870</v>
      </c>
      <c r="AI68" s="179" t="s">
        <v>338</v>
      </c>
      <c r="AJ68" s="179">
        <v>315</v>
      </c>
      <c r="AK68" s="29">
        <v>70</v>
      </c>
      <c r="AL68" s="416">
        <f t="shared" ref="AL68" si="2">AL67</f>
        <v>39250</v>
      </c>
      <c r="AM68" s="416" t="s">
        <v>2520</v>
      </c>
      <c r="AN68" s="416" t="str">
        <f t="shared" si="0"/>
        <v>N(NV).315.HYD.050/06</v>
      </c>
      <c r="AO68" s="416"/>
      <c r="AP68" s="405"/>
      <c r="AQ68" s="145" t="s">
        <v>2445</v>
      </c>
      <c r="AR68" s="145">
        <v>40</v>
      </c>
      <c r="AS68" s="145" t="s">
        <v>2422</v>
      </c>
      <c r="AT68" s="311">
        <v>400</v>
      </c>
      <c r="AU68" s="235">
        <v>85</v>
      </c>
      <c r="AV68" s="235">
        <f>+AV67+5000</f>
        <v>110000</v>
      </c>
      <c r="AW68" s="216"/>
      <c r="AX68" s="22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</row>
    <row r="69" spans="1:64">
      <c r="A69" s="2075"/>
      <c r="B69" s="182"/>
      <c r="C69" s="20" t="s">
        <v>339</v>
      </c>
      <c r="D69" s="182"/>
      <c r="E69" s="182"/>
      <c r="F69" s="182"/>
      <c r="G69" s="182"/>
      <c r="H69" s="434"/>
      <c r="I69" s="2472" t="s">
        <v>334</v>
      </c>
      <c r="J69" s="182" t="s">
        <v>93</v>
      </c>
      <c r="K69" s="405"/>
      <c r="L69" s="977" t="str">
        <f>IF(I66&lt;I72,"Right","Wrong")</f>
        <v>Right</v>
      </c>
      <c r="M69" s="244" t="s">
        <v>2457</v>
      </c>
      <c r="N69" s="436" t="str">
        <f>I69</f>
        <v>EHT</v>
      </c>
      <c r="O69" s="311"/>
      <c r="P69" s="311"/>
      <c r="Q69" s="145"/>
      <c r="R69" s="437"/>
      <c r="S69" s="2520">
        <v>0</v>
      </c>
      <c r="T69" s="2520">
        <v>9</v>
      </c>
      <c r="U69" s="2520">
        <v>18</v>
      </c>
      <c r="V69" s="2520">
        <v>160</v>
      </c>
      <c r="W69" s="2520" t="s">
        <v>340</v>
      </c>
      <c r="X69" s="2520">
        <v>20</v>
      </c>
      <c r="Y69" s="2520">
        <v>13.7</v>
      </c>
      <c r="Z69" s="2518">
        <f>+AA69*0.7</f>
        <v>8683.5</v>
      </c>
      <c r="AA69" s="2521">
        <v>12405</v>
      </c>
      <c r="AB69" s="2513"/>
      <c r="AC69" s="243"/>
      <c r="AD69" s="243"/>
      <c r="AE69" s="173" t="s">
        <v>359</v>
      </c>
      <c r="AF69" s="17"/>
      <c r="AG69" s="439">
        <v>870</v>
      </c>
      <c r="AH69" s="179">
        <v>1550</v>
      </c>
      <c r="AI69" s="179" t="s">
        <v>342</v>
      </c>
      <c r="AJ69" s="179">
        <v>315</v>
      </c>
      <c r="AK69" s="29">
        <v>71</v>
      </c>
      <c r="AL69" s="416">
        <f>AL68</f>
        <v>39250</v>
      </c>
      <c r="AM69" s="416" t="s">
        <v>2521</v>
      </c>
      <c r="AN69" s="416" t="str">
        <f t="shared" si="0"/>
        <v>N(NV).315.HYD.080/06</v>
      </c>
      <c r="AO69" s="416"/>
      <c r="AP69" s="405"/>
      <c r="AQ69" s="145" t="s">
        <v>2446</v>
      </c>
      <c r="AR69" s="145">
        <v>50</v>
      </c>
      <c r="AS69" s="145" t="s">
        <v>2423</v>
      </c>
      <c r="AT69" s="311">
        <v>400</v>
      </c>
      <c r="AU69" s="235">
        <v>85</v>
      </c>
      <c r="AV69" s="235">
        <f>+AV68+5000</f>
        <v>115000</v>
      </c>
      <c r="AW69" s="216"/>
      <c r="AX69" s="22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</row>
    <row r="70" spans="1:64">
      <c r="A70" s="2075"/>
      <c r="B70" s="182"/>
      <c r="C70" s="182"/>
      <c r="D70" s="182"/>
      <c r="E70" s="182"/>
      <c r="F70" s="20"/>
      <c r="G70" s="17"/>
      <c r="H70" s="358"/>
      <c r="I70" s="2473"/>
      <c r="J70" s="434"/>
      <c r="K70" s="3719" t="str">
        <f>IFERROR(IF(O70="GALVI","Always Check Galvi Catalog",""),"")</f>
        <v/>
      </c>
      <c r="L70" s="53"/>
      <c r="M70" s="440" t="s">
        <v>2434</v>
      </c>
      <c r="N70" s="441"/>
      <c r="O70" s="442" t="str">
        <f>IF(N69="EHT",N71,IF(N69="EHT + DCEM",IF(N71="SOC + BCH","SOC",IF(N71="SOC + KAKKU","SOC",IF(N71="GALVI + BCH","GALVI",IF(N71="GALVI + KAKKU","GALVI",IF(N71="GALVI + SOC","GALVI",IF(N71="SOC + SOC","SOC"))))))))</f>
        <v>SOC</v>
      </c>
      <c r="P70" s="442" t="b">
        <f>IF(N69="DCEM",N71,IF(N69="EHT + DCEM",IF(N71="SOC + BCH","BCH",IF(N71="SOC + KAKKU","KAKKU",IF(N71="GALVI + BCH","BCH",IF(N71="GALVI + KAKKU","KAKKU",IF(N71="SOC + SOC","SOC",IF(N71="GALVI + SOC","SOC"))))))))</f>
        <v>0</v>
      </c>
      <c r="Q70" s="442" t="str">
        <f>O70&amp;" + "&amp;P70</f>
        <v>SOC + FALSE</v>
      </c>
      <c r="R70" s="437"/>
      <c r="S70" s="2520">
        <v>9</v>
      </c>
      <c r="T70" s="2520">
        <v>20</v>
      </c>
      <c r="U70" s="2520">
        <v>18</v>
      </c>
      <c r="V70" s="2520">
        <v>200</v>
      </c>
      <c r="W70" s="2520" t="s">
        <v>343</v>
      </c>
      <c r="X70" s="2520">
        <v>27</v>
      </c>
      <c r="Y70" s="2520">
        <v>23.5</v>
      </c>
      <c r="Z70" s="2518">
        <f t="shared" ref="Z70:Z82" si="3">+AA70*0.7</f>
        <v>9835</v>
      </c>
      <c r="AA70" s="2521">
        <v>14050</v>
      </c>
      <c r="AB70" s="19"/>
      <c r="AC70" s="17"/>
      <c r="AD70" s="17"/>
      <c r="AE70" s="53"/>
      <c r="AF70" s="17"/>
      <c r="AG70" s="242">
        <v>1550</v>
      </c>
      <c r="AH70" s="179">
        <v>860</v>
      </c>
      <c r="AI70" s="179" t="s">
        <v>346</v>
      </c>
      <c r="AJ70" s="179">
        <v>400</v>
      </c>
      <c r="AK70" s="29">
        <v>95</v>
      </c>
      <c r="AL70" s="416">
        <v>46500</v>
      </c>
      <c r="AM70" s="416" t="s">
        <v>2520</v>
      </c>
      <c r="AN70" s="416" t="str">
        <f t="shared" si="0"/>
        <v>N(NV).400.HYD.050/06</v>
      </c>
      <c r="AO70" s="416"/>
      <c r="AP70" s="405"/>
      <c r="AQ70" s="145" t="s">
        <v>2447</v>
      </c>
      <c r="AR70" s="145">
        <v>30</v>
      </c>
      <c r="AS70" s="145" t="s">
        <v>2424</v>
      </c>
      <c r="AT70" s="311">
        <v>500</v>
      </c>
      <c r="AU70" s="235">
        <v>130</v>
      </c>
      <c r="AV70" s="235">
        <v>120000</v>
      </c>
      <c r="AW70" s="216"/>
      <c r="AX70" s="22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</row>
    <row r="71" spans="1:64">
      <c r="A71" s="2075"/>
      <c r="B71" s="182"/>
      <c r="C71" s="20" t="s">
        <v>347</v>
      </c>
      <c r="D71" s="182"/>
      <c r="E71" s="182"/>
      <c r="F71" s="20"/>
      <c r="G71" s="20"/>
      <c r="H71" s="17"/>
      <c r="I71" s="2472" t="s">
        <v>290</v>
      </c>
      <c r="J71" s="358"/>
      <c r="K71" s="3719"/>
      <c r="L71" s="53"/>
      <c r="M71" s="53"/>
      <c r="N71" s="444" t="str">
        <f>I71</f>
        <v>SOC</v>
      </c>
      <c r="O71" s="445">
        <f>IF(O70="SOC",AC60,IF(O70="GALVI",AD60,0))</f>
        <v>20</v>
      </c>
      <c r="P71" s="445">
        <f>VLOOKUP(AD56,Q56:Q62,1)</f>
        <v>13.8</v>
      </c>
      <c r="Q71" s="145"/>
      <c r="R71" s="437"/>
      <c r="S71" s="2520">
        <v>20</v>
      </c>
      <c r="T71" s="2520">
        <v>32</v>
      </c>
      <c r="U71" s="2520">
        <v>34</v>
      </c>
      <c r="V71" s="2520">
        <v>200</v>
      </c>
      <c r="W71" s="2520" t="s">
        <v>349</v>
      </c>
      <c r="X71" s="2520">
        <v>27</v>
      </c>
      <c r="Y71" s="2520">
        <v>23.5</v>
      </c>
      <c r="Z71" s="2518">
        <f t="shared" si="3"/>
        <v>11784.5</v>
      </c>
      <c r="AA71" s="2521">
        <v>16835</v>
      </c>
      <c r="AB71" s="2522" t="s">
        <v>372</v>
      </c>
      <c r="AC71" s="2226" t="s">
        <v>373</v>
      </c>
      <c r="AD71" s="2522" t="s">
        <v>274</v>
      </c>
      <c r="AE71" s="177" t="s">
        <v>289</v>
      </c>
      <c r="AF71" s="17"/>
      <c r="AG71" s="242">
        <v>860</v>
      </c>
      <c r="AH71" s="179">
        <v>1620</v>
      </c>
      <c r="AI71" s="179" t="s">
        <v>351</v>
      </c>
      <c r="AJ71" s="179">
        <v>400</v>
      </c>
      <c r="AK71" s="29">
        <v>96</v>
      </c>
      <c r="AL71" s="416">
        <f>AL70</f>
        <v>46500</v>
      </c>
      <c r="AM71" s="416" t="s">
        <v>2521</v>
      </c>
      <c r="AN71" s="416" t="str">
        <f t="shared" si="0"/>
        <v>N(NV).400.HYD.080/06</v>
      </c>
      <c r="AO71" s="416"/>
      <c r="AP71" s="405"/>
      <c r="AQ71" s="145" t="s">
        <v>2448</v>
      </c>
      <c r="AR71" s="145">
        <v>40</v>
      </c>
      <c r="AS71" s="145" t="s">
        <v>2425</v>
      </c>
      <c r="AT71" s="311">
        <v>500</v>
      </c>
      <c r="AU71" s="235">
        <v>130</v>
      </c>
      <c r="AV71" s="235">
        <f>+AV70+5000</f>
        <v>125000</v>
      </c>
      <c r="AW71" s="216"/>
      <c r="AX71" s="22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</row>
    <row r="72" spans="1:64">
      <c r="A72" s="2075"/>
      <c r="B72" s="182"/>
      <c r="C72" s="20" t="s">
        <v>352</v>
      </c>
      <c r="D72" s="182"/>
      <c r="E72" s="182"/>
      <c r="F72" s="310"/>
      <c r="G72" s="17"/>
      <c r="H72" s="59"/>
      <c r="I72" s="434">
        <f>+L72</f>
        <v>32</v>
      </c>
      <c r="J72" s="434"/>
      <c r="K72" s="3719"/>
      <c r="L72" s="53">
        <f>IF($I$71="SIBRE",M72,N72)</f>
        <v>32</v>
      </c>
      <c r="M72" s="53" t="str">
        <f>VLOOKUP(M70,AQ57:AV79,3,0)</f>
        <v>50-300</v>
      </c>
      <c r="N72" s="434">
        <f>IF(N69="EHT",O72,IF(N69="DCEM",P72,IF(N69="EHT + DCEM",Q72,0)))</f>
        <v>32</v>
      </c>
      <c r="O72" s="311">
        <f>IF(O70="SOC",AC61,IF(O70="GALVI",AD61,0))</f>
        <v>32</v>
      </c>
      <c r="P72" s="311">
        <f>VLOOKUP(P71,Q56:R62,2,0)</f>
        <v>27.7</v>
      </c>
      <c r="Q72" s="145" t="str">
        <f>O72&amp;" + "&amp;P72</f>
        <v>32 + 27.7</v>
      </c>
      <c r="R72" s="437"/>
      <c r="S72" s="2520">
        <v>32</v>
      </c>
      <c r="T72" s="2520">
        <v>35</v>
      </c>
      <c r="U72" s="2520">
        <v>18</v>
      </c>
      <c r="V72" s="2520">
        <v>250</v>
      </c>
      <c r="W72" s="2520" t="s">
        <v>353</v>
      </c>
      <c r="X72" s="2520">
        <v>30</v>
      </c>
      <c r="Y72" s="2520">
        <v>41</v>
      </c>
      <c r="Z72" s="2518">
        <f t="shared" si="3"/>
        <v>10850</v>
      </c>
      <c r="AA72" s="2521">
        <v>15500</v>
      </c>
      <c r="AB72" s="2522">
        <v>150</v>
      </c>
      <c r="AC72" s="2522">
        <v>11.5</v>
      </c>
      <c r="AD72" s="2522">
        <v>3000</v>
      </c>
      <c r="AE72" s="171" t="s">
        <v>290</v>
      </c>
      <c r="AF72" s="17"/>
      <c r="AG72" s="242">
        <v>1620</v>
      </c>
      <c r="AH72" s="179">
        <v>2670</v>
      </c>
      <c r="AI72" s="179" t="s">
        <v>355</v>
      </c>
      <c r="AJ72" s="179">
        <v>400</v>
      </c>
      <c r="AK72" s="29">
        <v>117</v>
      </c>
      <c r="AL72" s="416">
        <v>57000</v>
      </c>
      <c r="AM72" s="416" t="s">
        <v>2522</v>
      </c>
      <c r="AN72" s="416" t="str">
        <f t="shared" si="0"/>
        <v>N(NV).400.HYD.121/06</v>
      </c>
      <c r="AO72" s="416"/>
      <c r="AP72" s="405"/>
      <c r="AQ72" s="145" t="s">
        <v>2449</v>
      </c>
      <c r="AR72" s="145">
        <v>50</v>
      </c>
      <c r="AS72" s="145" t="s">
        <v>2426</v>
      </c>
      <c r="AT72" s="311">
        <v>500</v>
      </c>
      <c r="AU72" s="235">
        <v>130</v>
      </c>
      <c r="AV72" s="235">
        <f>+AV71+5000</f>
        <v>130000</v>
      </c>
      <c r="AW72" s="216"/>
      <c r="AX72" s="22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</row>
    <row r="73" spans="1:64">
      <c r="A73" s="2075"/>
      <c r="B73" s="182"/>
      <c r="C73" s="20" t="s">
        <v>356</v>
      </c>
      <c r="D73" s="182"/>
      <c r="E73" s="182"/>
      <c r="F73" s="182"/>
      <c r="G73" s="346"/>
      <c r="H73" s="346"/>
      <c r="I73" s="434">
        <f>+L73</f>
        <v>34</v>
      </c>
      <c r="J73" s="434"/>
      <c r="K73" s="3719"/>
      <c r="L73" s="53">
        <f>IF($I$71="SIBRE",M73,N73)</f>
        <v>34</v>
      </c>
      <c r="M73" s="53">
        <f>VLOOKUP(M70,AQ57:AV79,2,0)</f>
        <v>10</v>
      </c>
      <c r="N73" s="434">
        <f>IF(N69="EHT",O73,IF(N69="DCEM",P73,IF(N69="EHT + DCEM",Q73,0)))</f>
        <v>34</v>
      </c>
      <c r="O73" s="311">
        <f>IF(O70="SOC",AC62,IF(O70="GALVI",AD62,0))</f>
        <v>34</v>
      </c>
      <c r="P73" s="311" t="s">
        <v>26</v>
      </c>
      <c r="Q73" s="145" t="str">
        <f>IF(N71="SOC + BCH",O73,IF(N71="SOC + KAKKU",O73,"-"))</f>
        <v>-</v>
      </c>
      <c r="R73" s="437"/>
      <c r="S73" s="2520">
        <v>35</v>
      </c>
      <c r="T73" s="2520">
        <v>42</v>
      </c>
      <c r="U73" s="2520">
        <v>34</v>
      </c>
      <c r="V73" s="2520">
        <v>250</v>
      </c>
      <c r="W73" s="2520" t="s">
        <v>357</v>
      </c>
      <c r="X73" s="2520">
        <v>30</v>
      </c>
      <c r="Y73" s="2520">
        <v>41</v>
      </c>
      <c r="Z73" s="2518">
        <f t="shared" si="3"/>
        <v>12554.5</v>
      </c>
      <c r="AA73" s="2521">
        <v>17935</v>
      </c>
      <c r="AB73" s="2522">
        <v>160</v>
      </c>
      <c r="AC73" s="2522">
        <v>13.7</v>
      </c>
      <c r="AD73" s="2522">
        <v>3200</v>
      </c>
      <c r="AE73" s="178"/>
      <c r="AF73" s="17"/>
      <c r="AG73" s="242">
        <v>2670</v>
      </c>
      <c r="AH73" s="179">
        <v>1600</v>
      </c>
      <c r="AI73" s="179" t="s">
        <v>360</v>
      </c>
      <c r="AJ73" s="179">
        <v>500</v>
      </c>
      <c r="AK73" s="29">
        <v>150</v>
      </c>
      <c r="AL73" s="416">
        <v>57600</v>
      </c>
      <c r="AM73" s="416" t="s">
        <v>2521</v>
      </c>
      <c r="AN73" s="416" t="str">
        <f t="shared" si="0"/>
        <v>N(NV).500.HYD.080/06</v>
      </c>
      <c r="AO73" s="416"/>
      <c r="AP73" s="405"/>
      <c r="AQ73" s="145" t="s">
        <v>2450</v>
      </c>
      <c r="AR73" s="145">
        <v>60</v>
      </c>
      <c r="AS73" s="145" t="s">
        <v>2427</v>
      </c>
      <c r="AT73" s="311">
        <v>500</v>
      </c>
      <c r="AU73" s="235">
        <v>130</v>
      </c>
      <c r="AV73" s="235">
        <f>+AV72+5000</f>
        <v>135000</v>
      </c>
      <c r="AW73" s="216"/>
      <c r="AX73" s="22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</row>
    <row r="74" spans="1:64">
      <c r="A74" s="2075"/>
      <c r="B74" s="182"/>
      <c r="C74" s="20" t="s">
        <v>361</v>
      </c>
      <c r="D74" s="182"/>
      <c r="E74" s="182"/>
      <c r="F74" s="20"/>
      <c r="G74" s="346"/>
      <c r="H74" s="346"/>
      <c r="I74" s="434">
        <f>+L74</f>
        <v>200</v>
      </c>
      <c r="J74" s="434"/>
      <c r="K74" s="2468"/>
      <c r="L74" s="53">
        <f>IF($I$71="SIBRE",M74,N74)</f>
        <v>200</v>
      </c>
      <c r="M74" s="53">
        <f>VLOOKUP(M70,AQ57:AV79,4,0)</f>
        <v>200</v>
      </c>
      <c r="N74" s="434">
        <f>IF(N69="EHT",O74,IF(N69="DCEM",P74,IF(N69="EHT + DCEM",Q74,0)))</f>
        <v>200</v>
      </c>
      <c r="O74" s="311">
        <f>IF(O70="SOC",AC63,IF(O70="GALVI",AD63,0))</f>
        <v>200</v>
      </c>
      <c r="P74" s="311">
        <f>VLOOKUP(P72,R56:S62,2,0)</f>
        <v>250</v>
      </c>
      <c r="Q74" s="145" t="str">
        <f>O74&amp;" + "&amp;P74</f>
        <v>200 + 250</v>
      </c>
      <c r="R74" s="437"/>
      <c r="S74" s="2520">
        <v>42</v>
      </c>
      <c r="T74" s="2518">
        <v>62</v>
      </c>
      <c r="U74" s="2518">
        <v>34</v>
      </c>
      <c r="V74" s="2520">
        <v>300</v>
      </c>
      <c r="W74" s="2520" t="s">
        <v>362</v>
      </c>
      <c r="X74" s="2520">
        <v>70</v>
      </c>
      <c r="Y74" s="2520">
        <v>72</v>
      </c>
      <c r="Z74" s="2518">
        <f t="shared" si="3"/>
        <v>14745.499999999998</v>
      </c>
      <c r="AA74" s="2521">
        <v>21065</v>
      </c>
      <c r="AB74" s="2522">
        <v>200</v>
      </c>
      <c r="AC74" s="2522">
        <v>23.5</v>
      </c>
      <c r="AD74" s="2522">
        <v>5800</v>
      </c>
      <c r="AE74" s="177" t="s">
        <v>374</v>
      </c>
      <c r="AF74" s="17"/>
      <c r="AG74" s="242">
        <v>1600</v>
      </c>
      <c r="AH74" s="179">
        <v>2910</v>
      </c>
      <c r="AI74" s="179" t="s">
        <v>363</v>
      </c>
      <c r="AJ74" s="179">
        <v>500</v>
      </c>
      <c r="AK74" s="29">
        <v>161</v>
      </c>
      <c r="AL74" s="416">
        <v>68100</v>
      </c>
      <c r="AM74" s="416" t="s">
        <v>2522</v>
      </c>
      <c r="AN74" s="416" t="str">
        <f t="shared" si="0"/>
        <v>N(NV).500.HYD.121/06</v>
      </c>
      <c r="AO74" s="416"/>
      <c r="AP74" s="405"/>
      <c r="AQ74" s="145" t="s">
        <v>2451</v>
      </c>
      <c r="AR74" s="145">
        <v>50</v>
      </c>
      <c r="AS74" s="145" t="s">
        <v>2428</v>
      </c>
      <c r="AT74" s="311">
        <v>630</v>
      </c>
      <c r="AU74" s="235">
        <v>206</v>
      </c>
      <c r="AV74" s="235">
        <v>140000</v>
      </c>
      <c r="AW74" s="216"/>
      <c r="AX74" s="22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</row>
    <row r="75" spans="1:64" ht="28.5">
      <c r="A75" s="2075"/>
      <c r="B75" s="182"/>
      <c r="C75" s="31" t="s">
        <v>364</v>
      </c>
      <c r="D75" s="186"/>
      <c r="E75" s="182"/>
      <c r="F75" s="310"/>
      <c r="G75" s="17"/>
      <c r="H75" s="17"/>
      <c r="I75" s="434" t="str">
        <f>+L75</f>
        <v>MDT 200-34</v>
      </c>
      <c r="J75" s="434"/>
      <c r="K75" s="2468"/>
      <c r="L75" s="447" t="str">
        <f t="shared" ref="L75:L82" si="4">IF($I$71="SIBRE",M75,N75)</f>
        <v>MDT 200-34</v>
      </c>
      <c r="M75" s="447" t="str">
        <f>M70</f>
        <v>TE 200 (10)</v>
      </c>
      <c r="N75" s="448" t="str">
        <f>IF(N69="EHT",O75,IF(N69="DCEM","-",IF(N69="EHT + DCEM",Q75,0)))</f>
        <v>MDT 200-34</v>
      </c>
      <c r="O75" s="1094" t="str">
        <f>IF(O70="SOC",AC68,IF(O70="GALVI",AD68))</f>
        <v>MDT 200-34</v>
      </c>
      <c r="P75" s="235"/>
      <c r="Q75" s="2121" t="str">
        <f>O75&amp;" (For EHT)"</f>
        <v>MDT 200-34 (For EHT)</v>
      </c>
      <c r="R75" s="437"/>
      <c r="S75" s="2518">
        <v>62</v>
      </c>
      <c r="T75" s="2520">
        <v>90</v>
      </c>
      <c r="U75" s="2520">
        <v>34</v>
      </c>
      <c r="V75" s="2520">
        <v>400</v>
      </c>
      <c r="W75" s="2520" t="s">
        <v>2792</v>
      </c>
      <c r="X75" s="2520">
        <v>85</v>
      </c>
      <c r="Y75" s="2520">
        <v>160</v>
      </c>
      <c r="Z75" s="2518">
        <f t="shared" si="3"/>
        <v>18210.5</v>
      </c>
      <c r="AA75" s="2521">
        <v>26015</v>
      </c>
      <c r="AB75" s="2522">
        <v>250</v>
      </c>
      <c r="AC75" s="2522">
        <v>41</v>
      </c>
      <c r="AD75" s="2522">
        <v>7700</v>
      </c>
      <c r="AE75" s="177" t="s">
        <v>377</v>
      </c>
      <c r="AF75" s="17"/>
      <c r="AG75" s="242">
        <v>2910</v>
      </c>
      <c r="AH75" s="179">
        <v>5220</v>
      </c>
      <c r="AI75" s="179" t="s">
        <v>366</v>
      </c>
      <c r="AJ75" s="179">
        <v>500</v>
      </c>
      <c r="AK75" s="29">
        <v>161</v>
      </c>
      <c r="AL75" s="416">
        <f t="shared" ref="AL75" si="5">AL74</f>
        <v>68100</v>
      </c>
      <c r="AM75" s="416" t="s">
        <v>2523</v>
      </c>
      <c r="AN75" s="416" t="str">
        <f t="shared" si="0"/>
        <v>N(NV).500.HYD.201/06</v>
      </c>
      <c r="AO75" s="416"/>
      <c r="AP75" s="405"/>
      <c r="AQ75" s="145" t="s">
        <v>2452</v>
      </c>
      <c r="AR75" s="145">
        <v>60</v>
      </c>
      <c r="AS75" s="145" t="s">
        <v>2429</v>
      </c>
      <c r="AT75" s="311">
        <v>630</v>
      </c>
      <c r="AU75" s="235">
        <v>206</v>
      </c>
      <c r="AV75" s="235">
        <f>+AV74+5000</f>
        <v>145000</v>
      </c>
      <c r="AW75" s="216"/>
      <c r="AX75" s="22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</row>
    <row r="76" spans="1:64">
      <c r="A76" s="2075"/>
      <c r="B76" s="20"/>
      <c r="C76" s="917"/>
      <c r="D76" s="917"/>
      <c r="E76" s="917"/>
      <c r="J76" s="434"/>
      <c r="K76" s="2468"/>
      <c r="L76" s="53"/>
      <c r="M76" s="53"/>
      <c r="O76" s="145"/>
      <c r="P76" s="145"/>
      <c r="Q76" s="145"/>
      <c r="R76" s="437"/>
      <c r="S76" s="2520">
        <v>90</v>
      </c>
      <c r="T76" s="2520">
        <v>110</v>
      </c>
      <c r="U76" s="2520">
        <v>46</v>
      </c>
      <c r="V76" s="2520">
        <v>400</v>
      </c>
      <c r="W76" s="2520" t="s">
        <v>367</v>
      </c>
      <c r="X76" s="2520">
        <v>85</v>
      </c>
      <c r="Y76" s="2520">
        <v>160</v>
      </c>
      <c r="Z76" s="2518">
        <f t="shared" si="3"/>
        <v>19596.5</v>
      </c>
      <c r="AA76" s="2521">
        <v>27995</v>
      </c>
      <c r="AB76" s="2522">
        <v>300</v>
      </c>
      <c r="AC76" s="2522">
        <v>72</v>
      </c>
      <c r="AD76" s="2522">
        <v>15300</v>
      </c>
      <c r="AE76" s="173"/>
      <c r="AF76" s="17"/>
      <c r="AG76" s="242">
        <v>5220</v>
      </c>
      <c r="AH76" s="179">
        <v>3210</v>
      </c>
      <c r="AI76" s="179" t="s">
        <v>369</v>
      </c>
      <c r="AJ76" s="179">
        <v>630</v>
      </c>
      <c r="AK76" s="29">
        <v>242</v>
      </c>
      <c r="AL76" s="416">
        <v>94200</v>
      </c>
      <c r="AM76" s="416" t="s">
        <v>2522</v>
      </c>
      <c r="AN76" s="416" t="str">
        <f t="shared" si="0"/>
        <v>N(NV).630.HYD.121/06</v>
      </c>
      <c r="AO76" s="416"/>
      <c r="AP76" s="405"/>
      <c r="AQ76" s="145" t="s">
        <v>2453</v>
      </c>
      <c r="AR76" s="145">
        <v>70</v>
      </c>
      <c r="AS76" s="145" t="s">
        <v>2430</v>
      </c>
      <c r="AT76" s="311">
        <v>630</v>
      </c>
      <c r="AU76" s="235">
        <v>206</v>
      </c>
      <c r="AV76" s="235">
        <f>+AV75+5000</f>
        <v>150000</v>
      </c>
      <c r="AW76" s="216"/>
      <c r="AX76" s="22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</row>
    <row r="77" spans="1:64">
      <c r="A77" s="1206"/>
      <c r="B77" s="346"/>
      <c r="C77" s="182" t="s">
        <v>370</v>
      </c>
      <c r="D77" s="115"/>
      <c r="E77" s="182"/>
      <c r="F77" s="20"/>
      <c r="G77" s="20"/>
      <c r="H77" s="43" t="s">
        <v>160</v>
      </c>
      <c r="I77" s="452">
        <v>1</v>
      </c>
      <c r="J77" s="358"/>
      <c r="K77" s="2468"/>
      <c r="L77" s="53">
        <f>I77</f>
        <v>1</v>
      </c>
      <c r="M77" s="53">
        <f>I77</f>
        <v>1</v>
      </c>
      <c r="N77" s="72">
        <f>I77</f>
        <v>1</v>
      </c>
      <c r="O77" s="311"/>
      <c r="P77" s="311"/>
      <c r="Q77" s="145"/>
      <c r="R77" s="437"/>
      <c r="S77" s="2520">
        <v>110</v>
      </c>
      <c r="T77" s="2520">
        <v>170</v>
      </c>
      <c r="U77" s="2520">
        <v>68</v>
      </c>
      <c r="V77" s="2520">
        <v>400</v>
      </c>
      <c r="W77" s="2520" t="s">
        <v>371</v>
      </c>
      <c r="X77" s="2520">
        <v>88</v>
      </c>
      <c r="Y77" s="2520">
        <v>160</v>
      </c>
      <c r="Z77" s="2518">
        <f t="shared" si="3"/>
        <v>22575</v>
      </c>
      <c r="AA77" s="2521">
        <v>32250</v>
      </c>
      <c r="AB77" s="2522">
        <v>400</v>
      </c>
      <c r="AC77" s="2522">
        <v>160</v>
      </c>
      <c r="AD77" s="2522">
        <v>31500</v>
      </c>
      <c r="AE77" s="173"/>
      <c r="AF77" s="17"/>
      <c r="AG77" s="242">
        <v>3210</v>
      </c>
      <c r="AH77" s="179">
        <v>7700</v>
      </c>
      <c r="AI77" s="179" t="s">
        <v>375</v>
      </c>
      <c r="AJ77" s="179">
        <v>630</v>
      </c>
      <c r="AK77" s="29">
        <v>243</v>
      </c>
      <c r="AL77" s="416">
        <f>AL76</f>
        <v>94200</v>
      </c>
      <c r="AM77" s="416" t="s">
        <v>2524</v>
      </c>
      <c r="AN77" s="416" t="str">
        <f t="shared" si="0"/>
        <v>N(NV).630.HYD.301/06</v>
      </c>
      <c r="AO77" s="416"/>
      <c r="AP77" s="405"/>
      <c r="AQ77" s="145" t="s">
        <v>2454</v>
      </c>
      <c r="AR77" s="145">
        <v>50</v>
      </c>
      <c r="AS77" s="145" t="s">
        <v>2431</v>
      </c>
      <c r="AT77" s="311">
        <v>710</v>
      </c>
      <c r="AU77" s="235">
        <v>268</v>
      </c>
      <c r="AV77" s="235">
        <v>160000</v>
      </c>
      <c r="AW77" s="216"/>
      <c r="AX77" s="22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</row>
    <row r="78" spans="1:64">
      <c r="A78" s="1206"/>
      <c r="D78" s="917"/>
      <c r="E78" s="917"/>
      <c r="K78" s="2468"/>
      <c r="L78" s="53"/>
      <c r="M78" s="53"/>
      <c r="O78" s="145"/>
      <c r="P78" s="145"/>
      <c r="Q78" s="145"/>
      <c r="R78" s="437"/>
      <c r="S78" s="2520">
        <v>170</v>
      </c>
      <c r="T78" s="2520">
        <v>190</v>
      </c>
      <c r="U78" s="2520">
        <v>46</v>
      </c>
      <c r="V78" s="2520">
        <v>500</v>
      </c>
      <c r="W78" s="2520" t="s">
        <v>376</v>
      </c>
      <c r="X78" s="2520">
        <v>125</v>
      </c>
      <c r="Y78" s="2520">
        <v>175</v>
      </c>
      <c r="Z78" s="2518">
        <f t="shared" si="3"/>
        <v>28248.5</v>
      </c>
      <c r="AA78" s="2521">
        <v>40355</v>
      </c>
      <c r="AB78" s="2522">
        <v>500</v>
      </c>
      <c r="AC78" s="2522">
        <v>175</v>
      </c>
      <c r="AD78" s="2522">
        <v>37800</v>
      </c>
      <c r="AE78" s="173"/>
      <c r="AF78" s="17"/>
      <c r="AG78" s="242">
        <v>7700</v>
      </c>
      <c r="AH78" s="179">
        <v>3620</v>
      </c>
      <c r="AI78" s="179" t="s">
        <v>378</v>
      </c>
      <c r="AJ78" s="179">
        <v>710</v>
      </c>
      <c r="AK78" s="29">
        <v>307</v>
      </c>
      <c r="AL78" s="416">
        <v>122415</v>
      </c>
      <c r="AM78" s="416" t="s">
        <v>2522</v>
      </c>
      <c r="AN78" s="416" t="str">
        <f t="shared" si="0"/>
        <v>N(NV).710.HYD.121/06</v>
      </c>
      <c r="AO78" s="416"/>
      <c r="AP78" s="405"/>
      <c r="AQ78" s="145" t="s">
        <v>2455</v>
      </c>
      <c r="AR78" s="145">
        <v>60</v>
      </c>
      <c r="AS78" s="145" t="s">
        <v>2432</v>
      </c>
      <c r="AT78" s="311">
        <v>710</v>
      </c>
      <c r="AU78" s="235">
        <v>268</v>
      </c>
      <c r="AV78" s="235">
        <f>+AV77+5000</f>
        <v>165000</v>
      </c>
      <c r="AW78" s="216"/>
      <c r="AX78" s="22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</row>
    <row r="79" spans="1:64">
      <c r="A79" s="2075"/>
      <c r="B79" s="346"/>
      <c r="C79" s="365" t="s">
        <v>379</v>
      </c>
      <c r="D79" s="453"/>
      <c r="E79" s="346"/>
      <c r="F79" s="20"/>
      <c r="G79" s="346"/>
      <c r="H79" s="434"/>
      <c r="I79" s="434">
        <f>+L79</f>
        <v>27</v>
      </c>
      <c r="J79" s="454" t="s">
        <v>380</v>
      </c>
      <c r="K79" s="2470"/>
      <c r="L79" s="53">
        <f t="shared" si="4"/>
        <v>27</v>
      </c>
      <c r="M79" s="53">
        <f>VLOOKUP(M70,AQ57:AV79,5,0)</f>
        <v>19</v>
      </c>
      <c r="N79" s="434">
        <f>IF(N69="EHT",O79,IF(N69="DCEM",P79,IF(N69="EHT + DCEM",Q79,0)))</f>
        <v>27</v>
      </c>
      <c r="O79" s="311">
        <f>IF(O70="SOC",AC64,IF(O70="GALVI",AD64,0))</f>
        <v>27</v>
      </c>
      <c r="P79" s="311">
        <f>VLOOKUP(P72,R56:T62,3,0)</f>
        <v>71</v>
      </c>
      <c r="Q79" s="145">
        <f t="shared" ref="Q79" si="6">O79+P79</f>
        <v>98</v>
      </c>
      <c r="R79" s="437"/>
      <c r="S79" s="2520">
        <v>190</v>
      </c>
      <c r="T79" s="2520">
        <v>290</v>
      </c>
      <c r="U79" s="2520">
        <v>68</v>
      </c>
      <c r="V79" s="2520">
        <v>500</v>
      </c>
      <c r="W79" s="2520" t="s">
        <v>381</v>
      </c>
      <c r="X79" s="2520">
        <v>125</v>
      </c>
      <c r="Y79" s="2520">
        <v>175</v>
      </c>
      <c r="Z79" s="2518">
        <f t="shared" si="3"/>
        <v>30999.499999999996</v>
      </c>
      <c r="AA79" s="2521">
        <v>44285</v>
      </c>
      <c r="AB79" s="2523">
        <v>600</v>
      </c>
      <c r="AC79" s="2522">
        <v>268</v>
      </c>
      <c r="AD79" s="2522">
        <v>48000</v>
      </c>
      <c r="AE79" s="179" t="s">
        <v>394</v>
      </c>
      <c r="AF79" s="17"/>
      <c r="AG79" s="242">
        <v>3620</v>
      </c>
      <c r="AH79" s="179">
        <v>5800</v>
      </c>
      <c r="AI79" s="179" t="s">
        <v>383</v>
      </c>
      <c r="AJ79" s="179">
        <v>710</v>
      </c>
      <c r="AK79" s="29">
        <v>307</v>
      </c>
      <c r="AL79" s="416">
        <v>150660</v>
      </c>
      <c r="AM79" s="416" t="s">
        <v>2523</v>
      </c>
      <c r="AN79" s="416" t="str">
        <f t="shared" si="0"/>
        <v>N(NV).710.HYD.201/06</v>
      </c>
      <c r="AO79" s="416"/>
      <c r="AP79" s="405"/>
      <c r="AQ79" s="145" t="s">
        <v>2456</v>
      </c>
      <c r="AR79" s="145">
        <v>70</v>
      </c>
      <c r="AS79" s="145" t="s">
        <v>2433</v>
      </c>
      <c r="AT79" s="311">
        <v>710</v>
      </c>
      <c r="AU79" s="235">
        <v>268</v>
      </c>
      <c r="AV79" s="235">
        <f>+AV78+5000</f>
        <v>170000</v>
      </c>
      <c r="AW79" s="216"/>
      <c r="AX79" s="22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</row>
    <row r="80" spans="1:64">
      <c r="A80" s="2075"/>
      <c r="B80" s="346"/>
      <c r="C80" s="31" t="s">
        <v>384</v>
      </c>
      <c r="D80" s="186"/>
      <c r="E80" s="182"/>
      <c r="F80" s="182"/>
      <c r="G80" s="346"/>
      <c r="H80" s="434"/>
      <c r="I80" s="434">
        <f>+L80</f>
        <v>23.5</v>
      </c>
      <c r="J80" s="454" t="s">
        <v>380</v>
      </c>
      <c r="K80" s="2468"/>
      <c r="L80" s="53">
        <f t="shared" si="4"/>
        <v>23.5</v>
      </c>
      <c r="M80" s="53">
        <f>VLOOKUP(M74,AB72:AC80,2,0)</f>
        <v>23.5</v>
      </c>
      <c r="N80" s="434">
        <f>IF(N69="EHT",O80,IF(N69="DCEM",P80,IF(N69="EHT + DCEM",Q80,0)))</f>
        <v>23.5</v>
      </c>
      <c r="O80" s="311">
        <f>IF(O70="SOC",AC65,IF(O70="GALVI",AD65,0))</f>
        <v>23.5</v>
      </c>
      <c r="P80" s="311">
        <f>VLOOKUP(P74,AB72:AC80,2,0)</f>
        <v>41</v>
      </c>
      <c r="Q80" s="145">
        <f>O80+P80</f>
        <v>64.5</v>
      </c>
      <c r="R80" s="437"/>
      <c r="S80" s="2520">
        <v>290</v>
      </c>
      <c r="T80" s="2520">
        <v>350</v>
      </c>
      <c r="U80" s="2520">
        <v>68</v>
      </c>
      <c r="V80" s="2520">
        <v>600</v>
      </c>
      <c r="W80" s="2520" t="s">
        <v>385</v>
      </c>
      <c r="X80" s="2520">
        <v>190</v>
      </c>
      <c r="Y80" s="2520">
        <v>268</v>
      </c>
      <c r="Z80" s="2518">
        <f t="shared" si="3"/>
        <v>40530</v>
      </c>
      <c r="AA80" s="2521">
        <v>57900</v>
      </c>
      <c r="AB80" s="324"/>
      <c r="AC80" s="29"/>
      <c r="AD80" s="29"/>
      <c r="AE80" s="173"/>
      <c r="AF80" s="17"/>
      <c r="AG80" s="242">
        <v>5800</v>
      </c>
      <c r="AH80" s="179">
        <v>8700</v>
      </c>
      <c r="AI80" s="179" t="s">
        <v>387</v>
      </c>
      <c r="AJ80" s="179">
        <v>710</v>
      </c>
      <c r="AK80" s="29">
        <v>308</v>
      </c>
      <c r="AL80" s="416">
        <f>AL79</f>
        <v>150660</v>
      </c>
      <c r="AM80" s="416" t="s">
        <v>2524</v>
      </c>
      <c r="AN80" s="416" t="str">
        <f t="shared" si="0"/>
        <v>N(NV).710.HYD.301/06</v>
      </c>
      <c r="AO80" s="416"/>
      <c r="AP80" s="405"/>
      <c r="AQ80" s="153"/>
      <c r="AT80" s="20"/>
      <c r="AU80" s="17"/>
      <c r="AV80" s="17"/>
      <c r="AW80" s="17"/>
      <c r="AX80" s="22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</row>
    <row r="81" spans="1:79">
      <c r="A81" s="2075"/>
      <c r="B81" s="310"/>
      <c r="C81" s="3728" t="s">
        <v>388</v>
      </c>
      <c r="D81" s="3728"/>
      <c r="E81" s="3728"/>
      <c r="F81" s="182"/>
      <c r="G81" s="59"/>
      <c r="H81" s="59"/>
      <c r="I81" s="454">
        <f>+L81</f>
        <v>11784.5</v>
      </c>
      <c r="J81" s="246" t="s">
        <v>389</v>
      </c>
      <c r="K81" s="2468"/>
      <c r="L81" s="53">
        <f>IF($I$71="SIBRE",M81,N81)</f>
        <v>11784.5</v>
      </c>
      <c r="M81" s="53">
        <f>VLOOKUP(M70,AQ57:AV79,6,0)</f>
        <v>50000</v>
      </c>
      <c r="N81" s="434">
        <f>IF(N69="EHT",O81,IF(N69="DCEM",P81,IF(N69="EHT + DCEM",Q81,0)))</f>
        <v>11784.5</v>
      </c>
      <c r="O81" s="311">
        <f>IF(O70="SOC",AC66,IF(O70="GALVI",AD66))</f>
        <v>11784.5</v>
      </c>
      <c r="P81" s="29" t="b">
        <f>IF(P70="BCH",VLOOKUP(P72,R56:U62,4,0),IF(P70="SOC",VLOOKUP(P72,R56:V62,5,0),IF(P70="KAKKU",VLOOKUP(P72,R56:W62,6,0))))</f>
        <v>0</v>
      </c>
      <c r="Q81" s="145">
        <f>O81+P81</f>
        <v>11784.5</v>
      </c>
      <c r="R81" s="437"/>
      <c r="S81" s="2520">
        <v>350</v>
      </c>
      <c r="T81" s="2520">
        <v>485</v>
      </c>
      <c r="U81" s="2520">
        <v>114</v>
      </c>
      <c r="V81" s="2520">
        <v>500</v>
      </c>
      <c r="W81" s="2520" t="s">
        <v>390</v>
      </c>
      <c r="X81" s="2520">
        <v>125</v>
      </c>
      <c r="Y81" s="2520">
        <v>175</v>
      </c>
      <c r="Z81" s="2518">
        <f t="shared" si="3"/>
        <v>34940.5</v>
      </c>
      <c r="AA81" s="2521">
        <v>49915</v>
      </c>
      <c r="AE81" s="17"/>
      <c r="AF81" s="17"/>
      <c r="AG81" s="53"/>
      <c r="AH81" s="17"/>
      <c r="AI81" s="17"/>
      <c r="AJ81" s="17"/>
      <c r="AK81" s="20"/>
      <c r="AL81" s="20"/>
      <c r="AM81" s="20"/>
      <c r="AN81" s="20"/>
      <c r="AO81" s="20"/>
      <c r="AP81" s="405"/>
      <c r="AQ81" s="153"/>
      <c r="AT81" s="17"/>
      <c r="AU81" s="17"/>
      <c r="AV81" s="17"/>
      <c r="AW81" s="17"/>
      <c r="AX81" s="22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</row>
    <row r="82" spans="1:79" ht="14.65" thickBot="1">
      <c r="A82" s="2075"/>
      <c r="B82" s="20"/>
      <c r="C82" s="3723" t="s">
        <v>392</v>
      </c>
      <c r="D82" s="3723"/>
      <c r="E82" s="3723"/>
      <c r="F82" s="182"/>
      <c r="G82" s="59"/>
      <c r="H82" s="59"/>
      <c r="I82" s="454">
        <f>+L82</f>
        <v>5800</v>
      </c>
      <c r="J82" s="246" t="s">
        <v>389</v>
      </c>
      <c r="K82" s="405"/>
      <c r="L82" s="53">
        <f t="shared" si="4"/>
        <v>5800</v>
      </c>
      <c r="M82" s="53">
        <f>VLOOKUP(M74,AB72:AD80,3,0)</f>
        <v>5800</v>
      </c>
      <c r="N82" s="434">
        <f>IF(N69="EHT",O82,IF(N69="DCEM",P82,IF(N69="EHT + DCEM",Q82,0)))</f>
        <v>5800</v>
      </c>
      <c r="O82" s="311">
        <f>IF(O70="SOC",AC67,IF(O70="GALVI",AD67))</f>
        <v>5800</v>
      </c>
      <c r="P82" s="311">
        <f>VLOOKUP(P74,AB72:AD80,3,0)</f>
        <v>7700</v>
      </c>
      <c r="Q82" s="145">
        <f>O82+P82</f>
        <v>13500</v>
      </c>
      <c r="R82" s="455"/>
      <c r="S82" s="2520">
        <v>485</v>
      </c>
      <c r="T82" s="2520">
        <v>580</v>
      </c>
      <c r="U82" s="2520">
        <v>114</v>
      </c>
      <c r="V82" s="2520">
        <v>600</v>
      </c>
      <c r="W82" s="2518" t="s">
        <v>393</v>
      </c>
      <c r="X82" s="2517">
        <v>190</v>
      </c>
      <c r="Y82" s="2517">
        <v>268</v>
      </c>
      <c r="Z82" s="2518">
        <f t="shared" si="3"/>
        <v>43323</v>
      </c>
      <c r="AA82" s="2521">
        <v>61890</v>
      </c>
      <c r="AB82" s="456"/>
      <c r="AC82" s="456"/>
      <c r="AD82" s="456"/>
      <c r="AE82" s="407"/>
      <c r="AF82" s="407"/>
      <c r="AG82" s="457"/>
      <c r="AH82" s="458"/>
      <c r="AI82" s="407"/>
      <c r="AJ82" s="459"/>
      <c r="AK82" s="459"/>
      <c r="AL82" s="459"/>
      <c r="AM82" s="459"/>
      <c r="AN82" s="459"/>
      <c r="AO82" s="459"/>
      <c r="AP82" s="460"/>
      <c r="AQ82" s="461"/>
      <c r="AR82" s="456"/>
      <c r="AS82" s="456"/>
      <c r="AT82" s="247"/>
      <c r="AU82" s="247"/>
      <c r="AV82" s="247"/>
      <c r="AW82" s="247"/>
      <c r="AX82" s="248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</row>
    <row r="83" spans="1:79" ht="14.65" thickBot="1">
      <c r="A83" s="1794"/>
      <c r="B83" s="459"/>
      <c r="C83" s="2081"/>
      <c r="D83" s="2081"/>
      <c r="E83" s="2081"/>
      <c r="F83" s="2081"/>
      <c r="G83" s="2457"/>
      <c r="H83" s="2457"/>
      <c r="I83" s="2471"/>
      <c r="J83" s="459"/>
      <c r="K83" s="460"/>
      <c r="L83" s="88"/>
      <c r="M83" s="19"/>
      <c r="N83" s="19"/>
      <c r="O83" s="17"/>
      <c r="P83" s="294"/>
      <c r="Q83" s="294"/>
      <c r="R83" s="294"/>
      <c r="S83" s="294"/>
      <c r="T83" s="19"/>
      <c r="U83" s="19"/>
      <c r="V83" s="19"/>
      <c r="AB83" s="17"/>
      <c r="AC83" s="17"/>
      <c r="AD83" s="345"/>
      <c r="AE83" s="20"/>
      <c r="AF83" s="462"/>
      <c r="AG83" s="20"/>
      <c r="AH83" s="20"/>
      <c r="AI83" s="20"/>
      <c r="AJ83" s="20"/>
      <c r="AK83" s="20"/>
      <c r="AL83" s="20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3717" t="s">
        <v>395</v>
      </c>
      <c r="AY83" s="3718"/>
      <c r="AZ83" s="17"/>
      <c r="BA83" s="3717" t="s">
        <v>395</v>
      </c>
      <c r="BB83" s="3723"/>
      <c r="BC83" s="20"/>
      <c r="BD83" s="20"/>
      <c r="BE83" s="19"/>
      <c r="BF83" s="20"/>
      <c r="BG83" s="17"/>
      <c r="BH83" s="17"/>
      <c r="BI83" s="181"/>
      <c r="BJ83" s="917" t="s">
        <v>2810</v>
      </c>
      <c r="BK83" s="181"/>
      <c r="BL83" s="181"/>
      <c r="BM83" s="917"/>
      <c r="BN83" s="917"/>
      <c r="BO83" s="917"/>
      <c r="BP83" s="917"/>
      <c r="BQ83" s="917"/>
      <c r="BR83" s="917"/>
      <c r="BS83" s="917"/>
      <c r="BT83" s="917"/>
      <c r="BU83" s="917"/>
      <c r="BV83" s="917" t="s">
        <v>2809</v>
      </c>
      <c r="BW83" s="917"/>
      <c r="BX83" s="917"/>
      <c r="BY83" s="917"/>
      <c r="BZ83" s="917"/>
      <c r="CA83" s="917"/>
    </row>
    <row r="84" spans="1:79" ht="14.65" thickBot="1">
      <c r="A84" s="3698" t="s">
        <v>1</v>
      </c>
      <c r="B84" s="3698"/>
      <c r="C84" s="3698"/>
      <c r="D84" s="3698"/>
      <c r="E84" s="3698"/>
      <c r="F84" s="3698" t="s">
        <v>109</v>
      </c>
      <c r="G84" s="3698"/>
      <c r="H84" s="3698"/>
      <c r="I84" s="3696" t="s">
        <v>2</v>
      </c>
      <c r="J84" s="3696"/>
      <c r="K84" s="3696"/>
      <c r="L84" s="463"/>
      <c r="M84" s="463"/>
      <c r="N84" s="19"/>
      <c r="O84" s="17"/>
      <c r="P84" s="294"/>
      <c r="Q84" s="294"/>
      <c r="R84" s="294"/>
      <c r="S84" s="294"/>
      <c r="T84" s="19"/>
      <c r="U84" s="19"/>
      <c r="V84" s="19"/>
      <c r="AB84" s="17"/>
      <c r="AC84" s="17"/>
      <c r="AD84" s="17"/>
      <c r="AE84" s="20"/>
      <c r="AF84" s="462"/>
      <c r="AG84" s="17"/>
      <c r="AH84" s="3724" t="s">
        <v>396</v>
      </c>
      <c r="AI84" s="3725"/>
      <c r="AJ84" s="3726"/>
      <c r="AK84" s="3725"/>
      <c r="AL84" s="3725"/>
      <c r="AM84" s="3725"/>
      <c r="AN84" s="3725"/>
      <c r="AO84" s="3727"/>
      <c r="AP84" s="17"/>
      <c r="AQ84" s="17"/>
      <c r="AR84" s="17"/>
      <c r="AS84" s="17"/>
      <c r="AT84" s="3717" t="s">
        <v>395</v>
      </c>
      <c r="AU84" s="3718"/>
      <c r="AV84" s="17"/>
      <c r="AW84" s="17"/>
      <c r="AX84" s="17">
        <v>1770</v>
      </c>
      <c r="AY84" s="17" t="s">
        <v>397</v>
      </c>
      <c r="AZ84" s="17"/>
      <c r="BA84" s="17">
        <v>1960</v>
      </c>
      <c r="BB84" s="17" t="s">
        <v>397</v>
      </c>
      <c r="BC84" s="20"/>
      <c r="BD84" s="20"/>
      <c r="BE84" s="19"/>
      <c r="BF84" s="20"/>
      <c r="BG84" s="17"/>
      <c r="BH84" s="17"/>
      <c r="BI84" s="181"/>
      <c r="BJ84" s="181"/>
      <c r="BK84" s="181"/>
      <c r="BL84" s="181"/>
      <c r="BM84" s="917"/>
      <c r="BN84" s="917"/>
      <c r="BO84" s="917"/>
      <c r="BP84" s="917"/>
      <c r="BQ84" s="917"/>
      <c r="BR84" s="917"/>
      <c r="BS84" s="917"/>
      <c r="BT84" s="917"/>
      <c r="BU84" s="917"/>
      <c r="BV84" s="917"/>
      <c r="BW84" s="917"/>
      <c r="BX84" s="917"/>
      <c r="BY84" s="917"/>
      <c r="BZ84" s="917"/>
      <c r="CA84" s="917"/>
    </row>
    <row r="85" spans="1:79" ht="14.65" thickBot="1">
      <c r="A85" s="3698" t="str">
        <f>+A51</f>
        <v>ELITEMHE INDUSTRIES LIMITED</v>
      </c>
      <c r="B85" s="3698"/>
      <c r="C85" s="3698"/>
      <c r="D85" s="3698"/>
      <c r="E85" s="3698"/>
      <c r="F85" s="3698" t="str">
        <f>F2</f>
        <v xml:space="preserve">25/15T D/G EOT CRANE  </v>
      </c>
      <c r="G85" s="3698"/>
      <c r="H85" s="3698"/>
      <c r="I85" s="3696">
        <f>'E Data'!G2</f>
        <v>0</v>
      </c>
      <c r="J85" s="3696"/>
      <c r="K85" s="3696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AB85" s="17"/>
      <c r="AC85" s="17"/>
      <c r="AD85" s="17"/>
      <c r="AE85" s="20"/>
      <c r="AF85" s="462"/>
      <c r="AG85" s="217" t="s">
        <v>512</v>
      </c>
      <c r="AH85" s="249" t="s">
        <v>398</v>
      </c>
      <c r="AI85" s="250" t="s">
        <v>399</v>
      </c>
      <c r="AJ85" s="250" t="s">
        <v>399</v>
      </c>
      <c r="AK85" s="250" t="s">
        <v>400</v>
      </c>
      <c r="AL85" s="464" t="s">
        <v>401</v>
      </c>
      <c r="AM85" s="17"/>
      <c r="AN85" s="228" t="s">
        <v>402</v>
      </c>
      <c r="AO85" s="465" t="s">
        <v>403</v>
      </c>
      <c r="AP85" s="17"/>
      <c r="AQ85" s="17"/>
      <c r="AR85" s="17"/>
      <c r="AS85" s="17"/>
      <c r="AT85" s="466" t="s">
        <v>402</v>
      </c>
      <c r="AU85" s="17" t="s">
        <v>404</v>
      </c>
      <c r="AV85" s="17"/>
      <c r="AW85" s="17"/>
      <c r="AX85" s="34">
        <v>0</v>
      </c>
      <c r="AY85" s="251">
        <v>40</v>
      </c>
      <c r="AZ85" s="17"/>
      <c r="BA85" s="34">
        <v>0</v>
      </c>
      <c r="BB85" s="251">
        <v>45</v>
      </c>
      <c r="BC85" s="20"/>
      <c r="BD85" s="20"/>
      <c r="BE85" s="19"/>
      <c r="BF85" s="20"/>
      <c r="BG85" s="17"/>
      <c r="BH85" s="17"/>
      <c r="BI85" s="2113" t="s">
        <v>2291</v>
      </c>
      <c r="BJ85" s="2530"/>
      <c r="BK85" s="2113" t="s">
        <v>2293</v>
      </c>
      <c r="BL85" s="2530"/>
      <c r="BM85" s="2113" t="s">
        <v>2294</v>
      </c>
      <c r="BN85" s="2530"/>
      <c r="BO85" s="2113" t="s">
        <v>2292</v>
      </c>
      <c r="BP85" s="2530"/>
      <c r="BQ85" s="917"/>
      <c r="BR85" s="917"/>
      <c r="BS85" s="917"/>
      <c r="BT85" s="2113" t="s">
        <v>2291</v>
      </c>
      <c r="BU85" s="197"/>
      <c r="BV85" s="2113" t="s">
        <v>2293</v>
      </c>
      <c r="BW85" s="197"/>
      <c r="BX85" s="2113" t="s">
        <v>2294</v>
      </c>
      <c r="BY85" s="197"/>
      <c r="BZ85" s="2113" t="s">
        <v>2292</v>
      </c>
      <c r="CA85" s="197"/>
    </row>
    <row r="86" spans="1:79">
      <c r="A86" s="3696" t="e">
        <f>#REF!</f>
        <v>#REF!</v>
      </c>
      <c r="B86" s="3696"/>
      <c r="C86" s="3696"/>
      <c r="D86" s="3696"/>
      <c r="E86" s="3696"/>
      <c r="F86" s="3698" t="s">
        <v>122</v>
      </c>
      <c r="G86" s="3698"/>
      <c r="H86" s="3698"/>
      <c r="I86" s="3696" t="s">
        <v>405</v>
      </c>
      <c r="J86" s="3696"/>
      <c r="K86" s="3696"/>
      <c r="N86" s="3720" t="s">
        <v>407</v>
      </c>
      <c r="O86" s="3720"/>
      <c r="P86" s="3720" t="s">
        <v>408</v>
      </c>
      <c r="Q86" s="3720"/>
      <c r="R86" s="3776"/>
      <c r="S86" s="3720" t="s">
        <v>409</v>
      </c>
      <c r="T86" s="3720"/>
      <c r="U86" s="19"/>
      <c r="V86" s="19"/>
      <c r="AB86" s="17"/>
      <c r="AC86" s="17"/>
      <c r="AD86" s="17"/>
      <c r="AE86" s="20"/>
      <c r="AF86" s="462"/>
      <c r="AG86" s="67">
        <v>0</v>
      </c>
      <c r="AH86" s="249">
        <v>37</v>
      </c>
      <c r="AI86" s="228" t="s">
        <v>410</v>
      </c>
      <c r="AJ86" s="228">
        <v>1770</v>
      </c>
      <c r="AK86" s="228">
        <v>8</v>
      </c>
      <c r="AL86" s="228">
        <v>24.3</v>
      </c>
      <c r="AM86" s="228"/>
      <c r="AN86" s="228">
        <v>0</v>
      </c>
      <c r="AO86" s="465">
        <v>37</v>
      </c>
      <c r="AP86" s="17"/>
      <c r="AQ86" s="17"/>
      <c r="AR86" s="17"/>
      <c r="AS86" s="17"/>
      <c r="AT86" s="34">
        <v>0</v>
      </c>
      <c r="AU86" s="35">
        <v>40</v>
      </c>
      <c r="AV86" s="17"/>
      <c r="AW86" s="17"/>
      <c r="AX86" s="252">
        <v>40</v>
      </c>
      <c r="AY86" s="253">
        <v>51</v>
      </c>
      <c r="AZ86" s="17"/>
      <c r="BA86" s="252">
        <v>45</v>
      </c>
      <c r="BB86" s="253">
        <v>57</v>
      </c>
      <c r="BC86" s="20"/>
      <c r="BD86" s="20"/>
      <c r="BE86" s="19"/>
      <c r="BF86" s="20"/>
      <c r="BG86" s="17"/>
      <c r="BH86" s="17"/>
      <c r="BI86" s="2531">
        <v>37</v>
      </c>
      <c r="BJ86" s="2532">
        <v>74.12</v>
      </c>
      <c r="BK86" s="2531">
        <v>41</v>
      </c>
      <c r="BL86" s="2532">
        <v>81</v>
      </c>
      <c r="BM86" s="2531">
        <v>40</v>
      </c>
      <c r="BN86" s="2532">
        <v>82.84</v>
      </c>
      <c r="BO86" s="2533">
        <v>45</v>
      </c>
      <c r="BP86" s="2532">
        <v>90</v>
      </c>
      <c r="BQ86" s="917"/>
      <c r="BR86" s="917"/>
      <c r="BS86" s="917"/>
      <c r="BT86" s="2534">
        <v>37</v>
      </c>
      <c r="BU86" s="2532">
        <v>86.9</v>
      </c>
      <c r="BV86" s="2534">
        <v>41</v>
      </c>
      <c r="BW86" s="2532">
        <v>94.600000000000009</v>
      </c>
      <c r="BX86" s="2534">
        <v>40</v>
      </c>
      <c r="BY86" s="2532">
        <v>96.800000000000011</v>
      </c>
      <c r="BZ86" s="2535">
        <v>45</v>
      </c>
      <c r="CA86" s="2532">
        <v>105.60000000000001</v>
      </c>
    </row>
    <row r="87" spans="1:79">
      <c r="A87" s="311" t="s">
        <v>32</v>
      </c>
      <c r="B87" s="311" t="e">
        <f>#REF!</f>
        <v>#REF!</v>
      </c>
      <c r="C87" s="311"/>
      <c r="D87" s="311"/>
      <c r="E87" s="2459"/>
      <c r="F87" s="3696" t="str">
        <f>F4</f>
        <v xml:space="preserve"> </v>
      </c>
      <c r="G87" s="3696"/>
      <c r="H87" s="3696"/>
      <c r="I87" s="3696"/>
      <c r="J87" s="3696"/>
      <c r="K87" s="3696"/>
      <c r="N87" s="3720"/>
      <c r="O87" s="3720"/>
      <c r="P87" s="3720"/>
      <c r="Q87" s="3720"/>
      <c r="R87" s="3776"/>
      <c r="S87" s="3720"/>
      <c r="T87" s="3720"/>
      <c r="U87" s="19"/>
      <c r="V87" s="19"/>
      <c r="W87" s="17"/>
      <c r="AB87" s="17"/>
      <c r="AC87" s="17"/>
      <c r="AD87" s="17" t="str">
        <f>VLOOKUP(V91,AH86:AK211,2,0)</f>
        <v>Fiber core</v>
      </c>
      <c r="AE87" s="20"/>
      <c r="AF87" s="462"/>
      <c r="AG87" s="17">
        <v>37</v>
      </c>
      <c r="AH87" s="249">
        <v>47</v>
      </c>
      <c r="AI87" s="228" t="s">
        <v>410</v>
      </c>
      <c r="AJ87" s="228">
        <v>1770</v>
      </c>
      <c r="AK87" s="228">
        <v>9</v>
      </c>
      <c r="AL87" s="100">
        <v>30.8</v>
      </c>
      <c r="AM87" s="416"/>
      <c r="AN87" s="322">
        <v>37</v>
      </c>
      <c r="AO87" s="465">
        <v>40</v>
      </c>
      <c r="AP87" s="17"/>
      <c r="AQ87" s="17"/>
      <c r="AR87" s="17"/>
      <c r="AS87" s="17"/>
      <c r="AT87" s="41">
        <v>40</v>
      </c>
      <c r="AU87" s="42">
        <v>45</v>
      </c>
      <c r="AV87" s="17"/>
      <c r="AW87" s="17"/>
      <c r="AX87" s="249">
        <v>51</v>
      </c>
      <c r="AY87" s="253">
        <v>63</v>
      </c>
      <c r="AZ87" s="17"/>
      <c r="BA87" s="249">
        <v>57</v>
      </c>
      <c r="BB87" s="253">
        <v>70</v>
      </c>
      <c r="BC87" s="20"/>
      <c r="BD87" s="20"/>
      <c r="BE87" s="19"/>
      <c r="BF87" s="20"/>
      <c r="BG87" s="17"/>
      <c r="BH87" s="17"/>
      <c r="BI87" s="2531">
        <v>47</v>
      </c>
      <c r="BJ87" s="2532">
        <v>94.830000000000013</v>
      </c>
      <c r="BK87" s="2531">
        <v>52</v>
      </c>
      <c r="BL87" s="2532">
        <v>104</v>
      </c>
      <c r="BM87" s="2531">
        <v>51</v>
      </c>
      <c r="BN87" s="2532">
        <v>105.73</v>
      </c>
      <c r="BO87" s="2531">
        <v>57</v>
      </c>
      <c r="BP87" s="2532">
        <v>115</v>
      </c>
      <c r="BQ87" s="917"/>
      <c r="BR87" s="917"/>
      <c r="BS87" s="917"/>
      <c r="BT87" s="2534">
        <v>47</v>
      </c>
      <c r="BU87" s="2532">
        <v>111.10000000000001</v>
      </c>
      <c r="BV87" s="2534">
        <v>52</v>
      </c>
      <c r="BW87" s="2532">
        <v>121.00000000000001</v>
      </c>
      <c r="BX87" s="2534">
        <v>51</v>
      </c>
      <c r="BY87" s="2532">
        <v>123.20000000000002</v>
      </c>
      <c r="BZ87" s="2534">
        <v>57</v>
      </c>
      <c r="CA87" s="2532">
        <v>134.20000000000002</v>
      </c>
    </row>
    <row r="88" spans="1:79">
      <c r="A88" s="313"/>
      <c r="B88" s="19"/>
      <c r="C88" s="19"/>
      <c r="D88" s="19"/>
      <c r="E88" s="297"/>
      <c r="F88" s="108"/>
      <c r="G88" s="108"/>
      <c r="H88" s="108"/>
      <c r="I88" s="59"/>
      <c r="J88" s="59"/>
      <c r="K88" s="468"/>
      <c r="N88" s="513" t="s">
        <v>410</v>
      </c>
      <c r="O88" s="513" t="s">
        <v>404</v>
      </c>
      <c r="P88" s="513" t="s">
        <v>410</v>
      </c>
      <c r="Q88" s="513" t="s">
        <v>404</v>
      </c>
      <c r="R88" s="513" t="s">
        <v>400</v>
      </c>
      <c r="S88" s="513" t="s">
        <v>410</v>
      </c>
      <c r="T88" s="513" t="s">
        <v>404</v>
      </c>
      <c r="U88" s="19"/>
      <c r="V88" s="19"/>
      <c r="W88" s="17"/>
      <c r="AB88" s="17"/>
      <c r="AC88" s="17"/>
      <c r="AD88" s="17">
        <f>VLOOKUP(V91,AH86:AK211,3,0)</f>
        <v>1770</v>
      </c>
      <c r="AE88" s="20"/>
      <c r="AF88" s="462"/>
      <c r="AG88" s="17">
        <v>47</v>
      </c>
      <c r="AH88" s="249">
        <v>58</v>
      </c>
      <c r="AI88" s="228" t="s">
        <v>410</v>
      </c>
      <c r="AJ88" s="228">
        <v>1770</v>
      </c>
      <c r="AK88" s="228">
        <v>10</v>
      </c>
      <c r="AL88" s="100">
        <v>38</v>
      </c>
      <c r="AM88" s="416"/>
      <c r="AN88" s="322">
        <v>40</v>
      </c>
      <c r="AO88" s="465">
        <v>41</v>
      </c>
      <c r="AP88" s="17"/>
      <c r="AQ88" s="17"/>
      <c r="AR88" s="17"/>
      <c r="AS88" s="17"/>
      <c r="AT88" s="41">
        <v>45</v>
      </c>
      <c r="AU88" s="42">
        <v>51</v>
      </c>
      <c r="AV88" s="17"/>
      <c r="AW88" s="17"/>
      <c r="AX88" s="249">
        <v>63</v>
      </c>
      <c r="AY88" s="253">
        <v>76</v>
      </c>
      <c r="AZ88" s="17"/>
      <c r="BA88" s="249">
        <v>70</v>
      </c>
      <c r="BB88" s="253">
        <v>85</v>
      </c>
      <c r="BC88" s="20"/>
      <c r="BD88" s="20"/>
      <c r="BE88" s="19"/>
      <c r="BF88" s="20"/>
      <c r="BG88" s="17"/>
      <c r="BH88" s="17"/>
      <c r="BI88" s="2531">
        <v>58</v>
      </c>
      <c r="BJ88" s="2532">
        <v>110.09</v>
      </c>
      <c r="BK88" s="2531">
        <v>65</v>
      </c>
      <c r="BL88" s="2532">
        <v>120</v>
      </c>
      <c r="BM88" s="2531">
        <v>63</v>
      </c>
      <c r="BN88" s="2532">
        <v>123.17000000000002</v>
      </c>
      <c r="BO88" s="2531">
        <v>70</v>
      </c>
      <c r="BP88" s="2532">
        <v>135</v>
      </c>
      <c r="BQ88" s="917"/>
      <c r="BR88" s="917"/>
      <c r="BS88" s="917"/>
      <c r="BT88" s="2534">
        <v>58</v>
      </c>
      <c r="BU88" s="2532">
        <v>128.70000000000002</v>
      </c>
      <c r="BV88" s="2534">
        <v>65</v>
      </c>
      <c r="BW88" s="2532">
        <v>140.80000000000001</v>
      </c>
      <c r="BX88" s="2534">
        <v>63</v>
      </c>
      <c r="BY88" s="2532">
        <v>144.10000000000002</v>
      </c>
      <c r="BZ88" s="2534">
        <v>70</v>
      </c>
      <c r="CA88" s="2532">
        <v>157.30000000000001</v>
      </c>
    </row>
    <row r="89" spans="1:79">
      <c r="A89" s="305">
        <v>7</v>
      </c>
      <c r="B89" s="182" t="s">
        <v>411</v>
      </c>
      <c r="C89" s="20"/>
      <c r="D89" s="20"/>
      <c r="E89" s="20"/>
      <c r="F89" s="20"/>
      <c r="G89" s="20"/>
      <c r="H89" s="20"/>
      <c r="I89" s="20"/>
      <c r="J89" s="20"/>
      <c r="K89" s="304"/>
      <c r="N89" s="469"/>
      <c r="O89" s="469"/>
      <c r="P89" s="469"/>
      <c r="Q89" s="469"/>
      <c r="R89" s="100"/>
      <c r="S89" s="100"/>
      <c r="T89" s="100"/>
      <c r="V89" s="470" t="s">
        <v>406</v>
      </c>
      <c r="W89" s="470" t="s">
        <v>413</v>
      </c>
      <c r="X89" s="470" t="s">
        <v>425</v>
      </c>
      <c r="AB89" s="17"/>
      <c r="AC89" s="17"/>
      <c r="AD89" s="20">
        <f>VLOOKUP(V91,AH86:AK211,4,0)</f>
        <v>24</v>
      </c>
      <c r="AE89" s="17"/>
      <c r="AF89" s="462"/>
      <c r="AG89" s="17">
        <v>58</v>
      </c>
      <c r="AH89" s="249">
        <v>71</v>
      </c>
      <c r="AI89" s="228" t="s">
        <v>410</v>
      </c>
      <c r="AJ89" s="228">
        <v>1770</v>
      </c>
      <c r="AK89" s="228">
        <v>11</v>
      </c>
      <c r="AL89" s="100">
        <v>46</v>
      </c>
      <c r="AM89" s="416"/>
      <c r="AN89" s="322">
        <v>41</v>
      </c>
      <c r="AO89" s="465">
        <v>45</v>
      </c>
      <c r="AP89" s="17"/>
      <c r="AQ89" s="17"/>
      <c r="AR89" s="17"/>
      <c r="AS89" s="17"/>
      <c r="AT89" s="41">
        <v>51</v>
      </c>
      <c r="AU89" s="42">
        <v>57</v>
      </c>
      <c r="AV89" s="17"/>
      <c r="AW89" s="17"/>
      <c r="AX89" s="249">
        <v>76</v>
      </c>
      <c r="AY89" s="253">
        <v>91</v>
      </c>
      <c r="AZ89" s="17"/>
      <c r="BA89" s="249">
        <v>85</v>
      </c>
      <c r="BB89" s="253">
        <v>101</v>
      </c>
      <c r="BC89" s="20"/>
      <c r="BD89" s="20"/>
      <c r="BE89" s="19"/>
      <c r="BF89" s="20"/>
      <c r="BG89" s="17"/>
      <c r="BH89" s="17"/>
      <c r="BI89" s="2531">
        <v>71</v>
      </c>
      <c r="BJ89" s="2532">
        <v>129.71</v>
      </c>
      <c r="BK89" s="2531">
        <v>78</v>
      </c>
      <c r="BL89" s="2532">
        <v>141</v>
      </c>
      <c r="BM89" s="2531">
        <v>76</v>
      </c>
      <c r="BN89" s="2532">
        <v>143.88000000000002</v>
      </c>
      <c r="BO89" s="2531">
        <v>85</v>
      </c>
      <c r="BP89" s="2532">
        <v>157</v>
      </c>
      <c r="BQ89" s="917"/>
      <c r="BR89" s="917"/>
      <c r="BS89" s="917"/>
      <c r="BT89" s="2534">
        <v>71</v>
      </c>
      <c r="BU89" s="2532">
        <v>151.80000000000001</v>
      </c>
      <c r="BV89" s="2534">
        <v>78</v>
      </c>
      <c r="BW89" s="2532">
        <v>165</v>
      </c>
      <c r="BX89" s="2534">
        <v>76</v>
      </c>
      <c r="BY89" s="2532">
        <v>169.4</v>
      </c>
      <c r="BZ89" s="2534">
        <v>85</v>
      </c>
      <c r="CA89" s="2532">
        <v>183.70000000000002</v>
      </c>
    </row>
    <row r="90" spans="1:79">
      <c r="A90" s="36"/>
      <c r="B90" s="471"/>
      <c r="C90" s="20"/>
      <c r="D90" s="20"/>
      <c r="E90" s="20"/>
      <c r="F90" s="20"/>
      <c r="G90" s="20"/>
      <c r="H90" s="20"/>
      <c r="I90" s="20"/>
      <c r="J90" s="20"/>
      <c r="K90" s="304"/>
      <c r="M90" s="413" t="str">
        <f>IFERROR(IF(F109=R90,"→"," "),"")</f>
        <v xml:space="preserve"> </v>
      </c>
      <c r="N90" s="469">
        <v>37</v>
      </c>
      <c r="O90" s="469">
        <v>40</v>
      </c>
      <c r="P90" s="469">
        <v>41</v>
      </c>
      <c r="Q90" s="469">
        <v>45</v>
      </c>
      <c r="R90" s="472">
        <v>8</v>
      </c>
      <c r="S90" s="100">
        <v>24.3</v>
      </c>
      <c r="T90" s="100">
        <v>26.8</v>
      </c>
      <c r="U90" s="473"/>
      <c r="V90" s="474">
        <f>VLOOKUP(J102,AN86:AN211,1)</f>
        <v>313</v>
      </c>
      <c r="W90" s="475">
        <f>VLOOKUP(J102,AT86:AT148,1)</f>
        <v>305</v>
      </c>
      <c r="X90" s="254">
        <f>VLOOKUP(J102,BA85:BA116,1)</f>
        <v>279</v>
      </c>
      <c r="AA90" s="17"/>
      <c r="AB90" s="17"/>
      <c r="AC90" s="17"/>
      <c r="AD90" s="17"/>
      <c r="AE90" s="17"/>
      <c r="AF90" s="462"/>
      <c r="AG90" s="17">
        <v>71</v>
      </c>
      <c r="AH90" s="249">
        <v>84</v>
      </c>
      <c r="AI90" s="228" t="s">
        <v>410</v>
      </c>
      <c r="AJ90" s="228">
        <v>1770</v>
      </c>
      <c r="AK90" s="228">
        <v>12</v>
      </c>
      <c r="AL90" s="100">
        <v>54.7</v>
      </c>
      <c r="AM90" s="416"/>
      <c r="AN90" s="322">
        <v>45</v>
      </c>
      <c r="AO90" s="465">
        <v>47</v>
      </c>
      <c r="AP90" s="17"/>
      <c r="AQ90" s="17"/>
      <c r="AR90" s="17"/>
      <c r="AS90" s="17"/>
      <c r="AT90" s="41">
        <v>57</v>
      </c>
      <c r="AU90" s="42">
        <v>63</v>
      </c>
      <c r="AV90" s="17"/>
      <c r="AW90" s="17"/>
      <c r="AX90" s="249">
        <v>91</v>
      </c>
      <c r="AY90" s="253">
        <v>107</v>
      </c>
      <c r="AZ90" s="17"/>
      <c r="BA90" s="249">
        <v>101</v>
      </c>
      <c r="BB90" s="253">
        <v>118</v>
      </c>
      <c r="BC90" s="20"/>
      <c r="BD90" s="20"/>
      <c r="BG90" s="17"/>
      <c r="BH90" s="17"/>
      <c r="BI90" s="2531">
        <v>84</v>
      </c>
      <c r="BJ90" s="2532">
        <v>150.42000000000002</v>
      </c>
      <c r="BK90" s="2531">
        <v>93</v>
      </c>
      <c r="BL90" s="2532">
        <v>159</v>
      </c>
      <c r="BM90" s="2531">
        <v>91</v>
      </c>
      <c r="BN90" s="2532">
        <v>167.86</v>
      </c>
      <c r="BO90" s="2531">
        <v>101</v>
      </c>
      <c r="BP90" s="2532">
        <v>177</v>
      </c>
      <c r="BQ90" s="917"/>
      <c r="BR90" s="917"/>
      <c r="BS90" s="917"/>
      <c r="BT90" s="2534">
        <v>84</v>
      </c>
      <c r="BU90" s="2532">
        <v>177.10000000000002</v>
      </c>
      <c r="BV90" s="2534">
        <v>93</v>
      </c>
      <c r="BW90" s="2532">
        <v>192.50000000000003</v>
      </c>
      <c r="BX90" s="2534">
        <v>91</v>
      </c>
      <c r="BY90" s="2532">
        <v>196.9</v>
      </c>
      <c r="BZ90" s="2534">
        <v>101</v>
      </c>
      <c r="CA90" s="2532">
        <v>214.50000000000003</v>
      </c>
    </row>
    <row r="91" spans="1:79">
      <c r="A91" s="36"/>
      <c r="B91" s="20" t="s">
        <v>2721</v>
      </c>
      <c r="C91" s="20"/>
      <c r="D91" s="20"/>
      <c r="E91" s="20"/>
      <c r="F91" s="20"/>
      <c r="G91" s="20"/>
      <c r="H91" s="20"/>
      <c r="I91" s="20"/>
      <c r="J91" s="20"/>
      <c r="K91" s="304"/>
      <c r="M91" s="413" t="str">
        <f>IFERROR(IF(F109=R91,"→"," "),"")</f>
        <v xml:space="preserve"> </v>
      </c>
      <c r="N91" s="469">
        <v>47</v>
      </c>
      <c r="O91" s="469">
        <v>51</v>
      </c>
      <c r="P91" s="469">
        <v>52</v>
      </c>
      <c r="Q91" s="469">
        <v>57</v>
      </c>
      <c r="R91" s="472">
        <v>9</v>
      </c>
      <c r="S91" s="100">
        <v>30.8</v>
      </c>
      <c r="T91" s="100">
        <v>33.9</v>
      </c>
      <c r="U91" s="473"/>
      <c r="V91" s="476">
        <f>VLOOKUP(V90,AN86:AO211,2,0)</f>
        <v>336</v>
      </c>
      <c r="W91" s="476">
        <f>VLOOKUP(W90,AT86:AU148,2,0)</f>
        <v>338</v>
      </c>
      <c r="X91" s="476">
        <f>VLOOKUP(X90,BA85:BB116,2,0)</f>
        <v>338</v>
      </c>
      <c r="AA91" s="17"/>
      <c r="AB91" s="17"/>
      <c r="AC91" s="17"/>
      <c r="AD91" s="17"/>
      <c r="AE91" s="17"/>
      <c r="AF91" s="462"/>
      <c r="AG91" s="17">
        <v>84</v>
      </c>
      <c r="AH91" s="249">
        <v>99</v>
      </c>
      <c r="AI91" s="228" t="s">
        <v>410</v>
      </c>
      <c r="AJ91" s="228">
        <v>1770</v>
      </c>
      <c r="AK91" s="228">
        <v>13</v>
      </c>
      <c r="AL91" s="100">
        <v>64.3</v>
      </c>
      <c r="AM91" s="416"/>
      <c r="AN91" s="322">
        <v>47</v>
      </c>
      <c r="AO91" s="465">
        <v>51</v>
      </c>
      <c r="AP91" s="17"/>
      <c r="AQ91" s="17"/>
      <c r="AR91" s="17"/>
      <c r="AS91" s="17"/>
      <c r="AT91" s="41">
        <v>63</v>
      </c>
      <c r="AU91" s="42">
        <v>70</v>
      </c>
      <c r="AV91" s="17"/>
      <c r="AW91" s="17"/>
      <c r="AX91" s="249">
        <v>107</v>
      </c>
      <c r="AY91" s="253">
        <v>124</v>
      </c>
      <c r="AZ91" s="17"/>
      <c r="BA91" s="249">
        <v>118</v>
      </c>
      <c r="BB91" s="253">
        <v>137</v>
      </c>
      <c r="BC91" s="20"/>
      <c r="BD91" s="20"/>
      <c r="BG91" s="17"/>
      <c r="BH91" s="17"/>
      <c r="BI91" s="2531">
        <v>99</v>
      </c>
      <c r="BJ91" s="2532">
        <v>173.31</v>
      </c>
      <c r="BK91" s="2531">
        <v>109</v>
      </c>
      <c r="BL91" s="2532">
        <v>183</v>
      </c>
      <c r="BM91" s="2531">
        <v>107</v>
      </c>
      <c r="BN91" s="2532">
        <v>194.02</v>
      </c>
      <c r="BO91" s="2531">
        <v>118</v>
      </c>
      <c r="BP91" s="2532">
        <v>204</v>
      </c>
      <c r="BQ91" s="917"/>
      <c r="BR91" s="917"/>
      <c r="BS91" s="917"/>
      <c r="BT91" s="2534">
        <v>99</v>
      </c>
      <c r="BU91" s="2532">
        <v>203.50000000000003</v>
      </c>
      <c r="BV91" s="2534">
        <v>109</v>
      </c>
      <c r="BW91" s="2532">
        <v>221.10000000000002</v>
      </c>
      <c r="BX91" s="2534">
        <v>107</v>
      </c>
      <c r="BY91" s="2532">
        <v>226.60000000000002</v>
      </c>
      <c r="BZ91" s="2534">
        <v>118</v>
      </c>
      <c r="CA91" s="2532">
        <v>247.50000000000003</v>
      </c>
    </row>
    <row r="92" spans="1:79">
      <c r="A92" s="36"/>
      <c r="B92" s="20"/>
      <c r="C92" s="20"/>
      <c r="D92" s="20"/>
      <c r="E92" s="20"/>
      <c r="F92" s="20"/>
      <c r="G92" s="20"/>
      <c r="H92" s="20" t="s">
        <v>412</v>
      </c>
      <c r="J92" s="20"/>
      <c r="K92" s="304"/>
      <c r="M92" s="413" t="str">
        <f>IFERROR(IF(F109=R92,"→"," "),"")</f>
        <v xml:space="preserve"> </v>
      </c>
      <c r="N92" s="469">
        <v>58</v>
      </c>
      <c r="O92" s="469">
        <v>63</v>
      </c>
      <c r="P92" s="469">
        <v>65</v>
      </c>
      <c r="Q92" s="469">
        <v>70</v>
      </c>
      <c r="R92" s="472">
        <v>10</v>
      </c>
      <c r="S92" s="100">
        <v>38</v>
      </c>
      <c r="T92" s="100">
        <v>41.8</v>
      </c>
      <c r="U92" s="473"/>
      <c r="V92" s="29" t="str">
        <f>VLOOKUP(V91,AH86:AJ211,2,0)</f>
        <v>Fiber core</v>
      </c>
      <c r="W92" s="311">
        <f>VLOOKUP(W91,AH86:AK211,4,0)</f>
        <v>22</v>
      </c>
      <c r="X92" s="235">
        <f>VLOOKUP(X91,AH86:AK211,4,0)</f>
        <v>22</v>
      </c>
      <c r="Y92" s="19"/>
      <c r="Z92" s="17"/>
      <c r="AA92" s="17"/>
      <c r="AB92" s="17"/>
      <c r="AC92" s="17"/>
      <c r="AD92" s="17"/>
      <c r="AE92" s="17"/>
      <c r="AF92" s="17"/>
      <c r="AG92" s="17">
        <v>99</v>
      </c>
      <c r="AH92" s="249">
        <v>114</v>
      </c>
      <c r="AI92" s="228" t="s">
        <v>410</v>
      </c>
      <c r="AJ92" s="228">
        <v>1770</v>
      </c>
      <c r="AK92" s="228">
        <v>14</v>
      </c>
      <c r="AL92" s="100">
        <v>74.5</v>
      </c>
      <c r="AM92" s="416"/>
      <c r="AN92" s="322">
        <v>51</v>
      </c>
      <c r="AO92" s="465">
        <v>52</v>
      </c>
      <c r="AP92" s="17"/>
      <c r="AQ92" s="17"/>
      <c r="AR92" s="17"/>
      <c r="AS92" s="17"/>
      <c r="AT92" s="41">
        <v>70</v>
      </c>
      <c r="AU92" s="42">
        <v>76</v>
      </c>
      <c r="AV92" s="17"/>
      <c r="AW92" s="17"/>
      <c r="AX92" s="249">
        <v>124</v>
      </c>
      <c r="AY92" s="253">
        <v>161</v>
      </c>
      <c r="AZ92" s="17"/>
      <c r="BA92" s="249">
        <v>137</v>
      </c>
      <c r="BB92" s="253">
        <v>179</v>
      </c>
      <c r="BC92" s="20"/>
      <c r="BD92" s="20"/>
      <c r="BG92" s="17"/>
      <c r="BH92" s="17"/>
      <c r="BI92" s="2531">
        <v>114</v>
      </c>
      <c r="BJ92" s="2532">
        <v>192.93</v>
      </c>
      <c r="BK92" s="2531">
        <v>127</v>
      </c>
      <c r="BL92" s="2532">
        <v>204</v>
      </c>
      <c r="BM92" s="2531">
        <v>124</v>
      </c>
      <c r="BN92" s="2532">
        <v>213.64000000000001</v>
      </c>
      <c r="BO92" s="2531">
        <v>137</v>
      </c>
      <c r="BP92" s="2532">
        <v>226</v>
      </c>
      <c r="BQ92" s="917"/>
      <c r="BR92" s="917"/>
      <c r="BS92" s="917"/>
      <c r="BT92" s="2534">
        <v>114</v>
      </c>
      <c r="BU92" s="2532">
        <v>226.60000000000002</v>
      </c>
      <c r="BV92" s="2534">
        <v>127</v>
      </c>
      <c r="BW92" s="2532">
        <v>246.40000000000003</v>
      </c>
      <c r="BX92" s="2534">
        <v>124</v>
      </c>
      <c r="BY92" s="2532">
        <v>251.90000000000003</v>
      </c>
      <c r="BZ92" s="2534">
        <v>137</v>
      </c>
      <c r="CA92" s="2532">
        <v>273.90000000000003</v>
      </c>
    </row>
    <row r="93" spans="1:79">
      <c r="A93" s="36"/>
      <c r="B93" s="20"/>
      <c r="C93" s="20"/>
      <c r="D93" s="20"/>
      <c r="E93" s="20"/>
      <c r="F93" s="20"/>
      <c r="G93" s="20"/>
      <c r="H93" s="20"/>
      <c r="I93" s="20"/>
      <c r="J93" s="20"/>
      <c r="K93" s="304"/>
      <c r="L93" s="17"/>
      <c r="M93" s="413" t="str">
        <f>IFERROR(IF(F109=R93,"→"," "),"")</f>
        <v xml:space="preserve"> </v>
      </c>
      <c r="N93" s="469">
        <v>71</v>
      </c>
      <c r="O93" s="469">
        <v>76</v>
      </c>
      <c r="P93" s="469">
        <v>78</v>
      </c>
      <c r="Q93" s="469">
        <v>85</v>
      </c>
      <c r="R93" s="472">
        <v>11</v>
      </c>
      <c r="S93" s="100">
        <v>46</v>
      </c>
      <c r="T93" s="100">
        <v>50.6</v>
      </c>
      <c r="U93" s="473"/>
      <c r="V93" s="29">
        <f>VLOOKUP(V91,AH86:AJ211,3,0)</f>
        <v>1770</v>
      </c>
      <c r="W93" s="235">
        <f>VLOOKUP(W91,AH86:AL211,5,0)</f>
        <v>202</v>
      </c>
      <c r="X93" s="311">
        <f>VLOOKUP(X91,AH86:AL211,5,0)</f>
        <v>202</v>
      </c>
      <c r="Y93" s="19"/>
      <c r="Z93" s="17"/>
      <c r="AA93" s="17"/>
      <c r="AB93" s="17"/>
      <c r="AC93" s="17"/>
      <c r="AD93" s="17"/>
      <c r="AE93" s="17"/>
      <c r="AF93" s="17"/>
      <c r="AG93" s="17">
        <v>114</v>
      </c>
      <c r="AH93" s="249">
        <v>149</v>
      </c>
      <c r="AI93" s="228" t="s">
        <v>410</v>
      </c>
      <c r="AJ93" s="228">
        <v>1770</v>
      </c>
      <c r="AK93" s="228">
        <v>16</v>
      </c>
      <c r="AL93" s="100">
        <v>97.3</v>
      </c>
      <c r="AM93" s="416"/>
      <c r="AN93" s="322">
        <v>52</v>
      </c>
      <c r="AO93" s="465">
        <v>57</v>
      </c>
      <c r="AP93" s="17"/>
      <c r="AQ93" s="17"/>
      <c r="AR93" s="17"/>
      <c r="AS93" s="17"/>
      <c r="AT93" s="41">
        <v>76</v>
      </c>
      <c r="AU93" s="42">
        <v>85</v>
      </c>
      <c r="AV93" s="17"/>
      <c r="AW93" s="17"/>
      <c r="AX93" s="249">
        <v>161</v>
      </c>
      <c r="AY93" s="253">
        <v>204</v>
      </c>
      <c r="AZ93" s="17"/>
      <c r="BA93" s="249">
        <v>179</v>
      </c>
      <c r="BB93" s="253">
        <v>226</v>
      </c>
      <c r="BC93" s="20"/>
      <c r="BD93" s="20"/>
      <c r="BF93" s="20"/>
      <c r="BG93" s="17"/>
      <c r="BH93" s="17"/>
      <c r="BI93" s="2531">
        <v>149</v>
      </c>
      <c r="BJ93" s="2532">
        <v>219.09</v>
      </c>
      <c r="BK93" s="2531">
        <v>166</v>
      </c>
      <c r="BL93" s="2532">
        <v>235</v>
      </c>
      <c r="BM93" s="2531">
        <v>161</v>
      </c>
      <c r="BN93" s="2532">
        <v>243.07000000000002</v>
      </c>
      <c r="BO93" s="2531">
        <v>179</v>
      </c>
      <c r="BP93" s="2532">
        <v>260</v>
      </c>
      <c r="BQ93" s="917"/>
      <c r="BR93" s="917"/>
      <c r="BS93" s="917"/>
      <c r="BT93" s="2534">
        <v>149</v>
      </c>
      <c r="BU93" s="2532">
        <v>257.40000000000003</v>
      </c>
      <c r="BV93" s="2534">
        <v>166</v>
      </c>
      <c r="BW93" s="2532">
        <v>279.40000000000003</v>
      </c>
      <c r="BX93" s="2534">
        <v>161</v>
      </c>
      <c r="BY93" s="2532">
        <v>286</v>
      </c>
      <c r="BZ93" s="2534">
        <v>179</v>
      </c>
      <c r="CA93" s="2532">
        <v>310.20000000000005</v>
      </c>
    </row>
    <row r="94" spans="1:79">
      <c r="A94" s="36"/>
      <c r="B94" s="20" t="s">
        <v>303</v>
      </c>
      <c r="C94" s="20"/>
      <c r="D94" s="20"/>
      <c r="E94" s="20"/>
      <c r="F94" s="20"/>
      <c r="G94" s="20"/>
      <c r="H94" s="20"/>
      <c r="I94" s="20"/>
      <c r="J94" s="20"/>
      <c r="K94" s="304"/>
      <c r="M94" s="413" t="str">
        <f>IFERROR(IF(F109=R94,"→"," "),"")</f>
        <v xml:space="preserve"> </v>
      </c>
      <c r="N94" s="469">
        <v>84</v>
      </c>
      <c r="O94" s="469">
        <v>91</v>
      </c>
      <c r="P94" s="469">
        <v>93</v>
      </c>
      <c r="Q94" s="469">
        <v>101</v>
      </c>
      <c r="R94" s="472">
        <v>12</v>
      </c>
      <c r="S94" s="100">
        <v>54.7</v>
      </c>
      <c r="T94" s="100">
        <v>60.2</v>
      </c>
      <c r="U94" s="473"/>
      <c r="V94" s="29">
        <f>VLOOKUP(V91,AH86:AK211,4,0)</f>
        <v>24</v>
      </c>
      <c r="W94" s="311">
        <f>VLOOKUP(W91,AH86:AJ211,3,0)</f>
        <v>1960</v>
      </c>
      <c r="Y94" s="19"/>
      <c r="Z94" s="17"/>
      <c r="AA94" s="17"/>
      <c r="AB94" s="17"/>
      <c r="AF94" s="17"/>
      <c r="AG94" s="17">
        <v>149</v>
      </c>
      <c r="AH94" s="249">
        <v>189</v>
      </c>
      <c r="AI94" s="228" t="s">
        <v>410</v>
      </c>
      <c r="AJ94" s="228">
        <v>1770</v>
      </c>
      <c r="AK94" s="228">
        <v>18</v>
      </c>
      <c r="AL94" s="100">
        <v>123</v>
      </c>
      <c r="AM94" s="416"/>
      <c r="AN94" s="322">
        <v>57</v>
      </c>
      <c r="AO94" s="465">
        <v>58</v>
      </c>
      <c r="AP94" s="17"/>
      <c r="AQ94" s="17"/>
      <c r="AR94" s="17"/>
      <c r="AS94" s="17"/>
      <c r="AT94" s="41">
        <v>85</v>
      </c>
      <c r="AU94" s="42">
        <v>91</v>
      </c>
      <c r="AV94" s="17"/>
      <c r="AW94" s="17"/>
      <c r="AX94" s="249">
        <v>204</v>
      </c>
      <c r="AY94" s="253">
        <v>228</v>
      </c>
      <c r="AZ94" s="17"/>
      <c r="BA94" s="249">
        <v>226</v>
      </c>
      <c r="BB94" s="253">
        <v>252</v>
      </c>
      <c r="BC94" s="20"/>
      <c r="BD94" s="20"/>
      <c r="BF94" s="20"/>
      <c r="BG94" s="17"/>
      <c r="BH94" s="17"/>
      <c r="BI94" s="2531">
        <v>189</v>
      </c>
      <c r="BJ94" s="2532">
        <v>284.49</v>
      </c>
      <c r="BK94" s="2531">
        <v>209</v>
      </c>
      <c r="BL94" s="2532">
        <v>303</v>
      </c>
      <c r="BM94" s="2531">
        <v>204</v>
      </c>
      <c r="BN94" s="2532">
        <v>315.01000000000005</v>
      </c>
      <c r="BO94" s="2531">
        <v>226</v>
      </c>
      <c r="BP94" s="2532">
        <v>336</v>
      </c>
      <c r="BQ94" s="917"/>
      <c r="BR94" s="917"/>
      <c r="BS94" s="917"/>
      <c r="BT94" s="2534">
        <v>189</v>
      </c>
      <c r="BU94" s="2532">
        <v>334.40000000000003</v>
      </c>
      <c r="BV94" s="2534">
        <v>209</v>
      </c>
      <c r="BW94" s="2532">
        <v>363.00000000000006</v>
      </c>
      <c r="BX94" s="2534">
        <v>204</v>
      </c>
      <c r="BY94" s="2532">
        <v>370.70000000000005</v>
      </c>
      <c r="BZ94" s="2534">
        <v>226</v>
      </c>
      <c r="CA94" s="2532">
        <v>401.50000000000006</v>
      </c>
    </row>
    <row r="95" spans="1:79">
      <c r="A95" s="36"/>
      <c r="B95" s="67" t="s">
        <v>158</v>
      </c>
      <c r="C95" s="20" t="s">
        <v>414</v>
      </c>
      <c r="D95" s="20"/>
      <c r="E95" s="20"/>
      <c r="F95" s="20"/>
      <c r="G95" s="20"/>
      <c r="H95" s="20"/>
      <c r="I95" s="43" t="s">
        <v>160</v>
      </c>
      <c r="J95" s="59">
        <f>'E Data'!D13</f>
        <v>25</v>
      </c>
      <c r="K95" s="304"/>
      <c r="M95" s="413" t="str">
        <f>IFERROR(IF(F109=R95,"→"," "),"")</f>
        <v xml:space="preserve"> </v>
      </c>
      <c r="N95" s="469">
        <v>99</v>
      </c>
      <c r="O95" s="469">
        <v>107</v>
      </c>
      <c r="P95" s="469">
        <v>109</v>
      </c>
      <c r="Q95" s="469">
        <v>118</v>
      </c>
      <c r="R95" s="472">
        <v>13</v>
      </c>
      <c r="S95" s="100">
        <v>64.3</v>
      </c>
      <c r="T95" s="100">
        <v>70.069999999999993</v>
      </c>
      <c r="U95" s="473"/>
      <c r="V95" s="29">
        <f>VLOOKUP(V91,AH86:AL211,5,0)</f>
        <v>219</v>
      </c>
      <c r="Y95" s="19"/>
      <c r="Z95" s="17"/>
      <c r="AA95" s="17"/>
      <c r="AB95" s="17"/>
      <c r="AF95" s="17"/>
      <c r="AG95" s="17">
        <v>189</v>
      </c>
      <c r="AH95" s="249">
        <v>211</v>
      </c>
      <c r="AI95" s="228" t="s">
        <v>410</v>
      </c>
      <c r="AJ95" s="228">
        <v>1770</v>
      </c>
      <c r="AK95" s="228">
        <v>19</v>
      </c>
      <c r="AL95" s="100">
        <v>137</v>
      </c>
      <c r="AM95" s="416"/>
      <c r="AN95" s="322">
        <v>58</v>
      </c>
      <c r="AO95" s="465">
        <v>63</v>
      </c>
      <c r="AP95" s="17"/>
      <c r="AQ95" s="17"/>
      <c r="AR95" s="17"/>
      <c r="AS95" s="17"/>
      <c r="AT95" s="41">
        <v>91</v>
      </c>
      <c r="AU95" s="42">
        <v>101</v>
      </c>
      <c r="AV95" s="17"/>
      <c r="AW95" s="17"/>
      <c r="AX95" s="249">
        <v>228</v>
      </c>
      <c r="AY95" s="253">
        <v>305</v>
      </c>
      <c r="AZ95" s="17"/>
      <c r="BA95" s="249">
        <v>252</v>
      </c>
      <c r="BB95" s="253">
        <v>279</v>
      </c>
      <c r="BC95" s="20"/>
      <c r="BD95" s="20"/>
      <c r="BF95" s="20"/>
      <c r="BG95" s="17"/>
      <c r="BH95" s="17"/>
      <c r="BI95" s="2531">
        <v>211</v>
      </c>
      <c r="BJ95" s="2532">
        <v>309.56</v>
      </c>
      <c r="BK95" s="2531">
        <v>233</v>
      </c>
      <c r="BL95" s="2532">
        <v>330</v>
      </c>
      <c r="BM95" s="2531">
        <v>228</v>
      </c>
      <c r="BN95" s="2532">
        <v>343.35</v>
      </c>
      <c r="BO95" s="2531">
        <v>252</v>
      </c>
      <c r="BP95" s="2532">
        <v>366</v>
      </c>
      <c r="BQ95" s="917"/>
      <c r="BR95" s="917"/>
      <c r="BS95" s="917"/>
      <c r="BT95" s="2534">
        <v>211</v>
      </c>
      <c r="BU95" s="2532">
        <v>364.1</v>
      </c>
      <c r="BV95" s="2534">
        <v>233</v>
      </c>
      <c r="BW95" s="2532">
        <v>394.90000000000003</v>
      </c>
      <c r="BX95" s="2534">
        <v>228</v>
      </c>
      <c r="BY95" s="2532">
        <v>403.70000000000005</v>
      </c>
      <c r="BZ95" s="2534">
        <v>252</v>
      </c>
      <c r="CA95" s="2532">
        <v>437.8</v>
      </c>
    </row>
    <row r="96" spans="1:79">
      <c r="A96" s="36"/>
      <c r="B96" s="67" t="s">
        <v>415</v>
      </c>
      <c r="C96" s="20" t="s">
        <v>416</v>
      </c>
      <c r="D96" s="20"/>
      <c r="E96" s="20"/>
      <c r="F96" s="20"/>
      <c r="G96" s="20"/>
      <c r="H96" s="20"/>
      <c r="I96" s="43" t="s">
        <v>160</v>
      </c>
      <c r="J96" s="654">
        <f>J95*K13/100</f>
        <v>0.625</v>
      </c>
      <c r="K96" s="304"/>
      <c r="M96" s="413" t="str">
        <f>IFERROR(IF(F109=R96,"→"," "),"")</f>
        <v xml:space="preserve"> </v>
      </c>
      <c r="N96" s="469">
        <v>114</v>
      </c>
      <c r="O96" s="469">
        <v>124</v>
      </c>
      <c r="P96" s="469">
        <v>127</v>
      </c>
      <c r="Q96" s="469">
        <v>137</v>
      </c>
      <c r="R96" s="472">
        <v>14</v>
      </c>
      <c r="S96" s="100">
        <v>74.5</v>
      </c>
      <c r="T96" s="100">
        <v>82</v>
      </c>
      <c r="U96" s="473"/>
      <c r="Y96" s="19"/>
      <c r="Z96" s="17"/>
      <c r="AA96" s="17"/>
      <c r="AB96" s="17"/>
      <c r="AF96" s="17"/>
      <c r="AG96" s="17">
        <v>211</v>
      </c>
      <c r="AH96" s="249">
        <v>234</v>
      </c>
      <c r="AI96" s="228" t="s">
        <v>410</v>
      </c>
      <c r="AJ96" s="228">
        <v>1770</v>
      </c>
      <c r="AK96" s="228">
        <v>20</v>
      </c>
      <c r="AL96" s="311">
        <v>152</v>
      </c>
      <c r="AM96" s="416"/>
      <c r="AN96" s="322">
        <v>63</v>
      </c>
      <c r="AO96" s="465">
        <v>65</v>
      </c>
      <c r="AP96" s="17"/>
      <c r="AQ96" s="17"/>
      <c r="AR96" s="17"/>
      <c r="AS96" s="17"/>
      <c r="AT96" s="41">
        <v>101</v>
      </c>
      <c r="AU96" s="42">
        <v>107</v>
      </c>
      <c r="AV96" s="17"/>
      <c r="AW96" s="17"/>
      <c r="AX96" s="249">
        <v>305</v>
      </c>
      <c r="AY96" s="253">
        <v>363</v>
      </c>
      <c r="AZ96" s="17"/>
      <c r="BA96" s="249">
        <v>279</v>
      </c>
      <c r="BB96" s="253">
        <v>338</v>
      </c>
      <c r="BC96" s="20"/>
      <c r="BD96" s="20"/>
      <c r="BF96" s="20"/>
      <c r="BG96" s="17"/>
      <c r="BH96" s="17"/>
      <c r="BI96" s="2531">
        <v>234</v>
      </c>
      <c r="BJ96" s="2532">
        <v>337.90000000000003</v>
      </c>
      <c r="BK96" s="2531">
        <v>259</v>
      </c>
      <c r="BL96" s="2532">
        <v>361</v>
      </c>
      <c r="BM96" s="2531">
        <v>252</v>
      </c>
      <c r="BN96" s="2532">
        <v>374.96000000000004</v>
      </c>
      <c r="BO96" s="2531">
        <v>279</v>
      </c>
      <c r="BP96" s="2532">
        <v>400</v>
      </c>
      <c r="BQ96" s="917"/>
      <c r="BR96" s="917"/>
      <c r="BS96" s="917"/>
      <c r="BT96" s="2534">
        <v>234</v>
      </c>
      <c r="BU96" s="2532">
        <v>398.20000000000005</v>
      </c>
      <c r="BV96" s="2534">
        <v>259</v>
      </c>
      <c r="BW96" s="2532">
        <v>432.3</v>
      </c>
      <c r="BX96" s="2534">
        <v>252</v>
      </c>
      <c r="BY96" s="2532">
        <v>441.1</v>
      </c>
      <c r="BZ96" s="2534">
        <v>279</v>
      </c>
      <c r="CA96" s="2532">
        <v>478.50000000000006</v>
      </c>
    </row>
    <row r="97" spans="1:79">
      <c r="A97" s="36"/>
      <c r="B97" s="67" t="s">
        <v>417</v>
      </c>
      <c r="C97" s="20" t="s">
        <v>171</v>
      </c>
      <c r="D97" s="20"/>
      <c r="E97" s="20"/>
      <c r="F97" s="20"/>
      <c r="G97" s="20"/>
      <c r="H97" s="20"/>
      <c r="I97" s="43" t="s">
        <v>160</v>
      </c>
      <c r="J97" s="477">
        <f>I14/1000</f>
        <v>0.10125000000000001</v>
      </c>
      <c r="K97" s="304"/>
      <c r="M97" s="413" t="str">
        <f>IFERROR(IF(F109=R97,"→"," "),"")</f>
        <v xml:space="preserve"> </v>
      </c>
      <c r="N97" s="469">
        <v>149</v>
      </c>
      <c r="O97" s="469">
        <v>161</v>
      </c>
      <c r="P97" s="469">
        <v>166</v>
      </c>
      <c r="Q97" s="469">
        <v>179</v>
      </c>
      <c r="R97" s="472">
        <v>16</v>
      </c>
      <c r="S97" s="100">
        <v>97.3</v>
      </c>
      <c r="T97" s="100">
        <v>107</v>
      </c>
      <c r="U97" s="473"/>
      <c r="Y97" s="19"/>
      <c r="Z97" s="17"/>
      <c r="AA97" s="17"/>
      <c r="AB97" s="17"/>
      <c r="AF97" s="17"/>
      <c r="AG97" s="17">
        <v>234</v>
      </c>
      <c r="AH97" s="249">
        <v>283</v>
      </c>
      <c r="AI97" s="228" t="s">
        <v>410</v>
      </c>
      <c r="AJ97" s="228">
        <v>1770</v>
      </c>
      <c r="AK97" s="228">
        <v>22</v>
      </c>
      <c r="AL97" s="100">
        <v>184</v>
      </c>
      <c r="AM97" s="416"/>
      <c r="AN97" s="322">
        <v>65</v>
      </c>
      <c r="AO97" s="465">
        <v>70</v>
      </c>
      <c r="AP97" s="17"/>
      <c r="AQ97" s="17"/>
      <c r="AR97" s="17"/>
      <c r="AS97" s="17"/>
      <c r="AT97" s="41">
        <v>107</v>
      </c>
      <c r="AU97" s="42">
        <v>118</v>
      </c>
      <c r="AV97" s="17"/>
      <c r="AW97" s="17"/>
      <c r="AX97" s="249">
        <v>363</v>
      </c>
      <c r="AY97" s="253">
        <v>426</v>
      </c>
      <c r="AZ97" s="17"/>
      <c r="BA97" s="249">
        <v>338</v>
      </c>
      <c r="BB97" s="253">
        <v>402</v>
      </c>
      <c r="BC97" s="20"/>
      <c r="BD97" s="20"/>
      <c r="BF97" s="20"/>
      <c r="BG97" s="17"/>
      <c r="BH97" s="17"/>
      <c r="BI97" s="2531">
        <v>283</v>
      </c>
      <c r="BJ97" s="2532">
        <v>396.76000000000005</v>
      </c>
      <c r="BK97" s="2531">
        <v>313</v>
      </c>
      <c r="BL97" s="2532">
        <v>425</v>
      </c>
      <c r="BM97" s="2531">
        <v>305</v>
      </c>
      <c r="BN97" s="2532">
        <v>439.27000000000004</v>
      </c>
      <c r="BO97" s="2531">
        <v>338</v>
      </c>
      <c r="BP97" s="2532">
        <v>471</v>
      </c>
      <c r="BQ97" s="917"/>
      <c r="BR97" s="917"/>
      <c r="BS97" s="917"/>
      <c r="BT97" s="2534">
        <v>283</v>
      </c>
      <c r="BU97" s="2532">
        <v>467.50000000000006</v>
      </c>
      <c r="BV97" s="2534">
        <v>313</v>
      </c>
      <c r="BW97" s="2532">
        <v>507.1</v>
      </c>
      <c r="BX97" s="2534">
        <v>305</v>
      </c>
      <c r="BY97" s="2532">
        <v>518.1</v>
      </c>
      <c r="BZ97" s="2534">
        <v>338</v>
      </c>
      <c r="CA97" s="2532">
        <v>562.1</v>
      </c>
    </row>
    <row r="98" spans="1:79" ht="14.65" thickBot="1">
      <c r="A98" s="36"/>
      <c r="B98" s="67" t="s">
        <v>418</v>
      </c>
      <c r="C98" s="20" t="s">
        <v>419</v>
      </c>
      <c r="D98" s="20"/>
      <c r="E98" s="20"/>
      <c r="F98" s="20"/>
      <c r="G98" s="20"/>
      <c r="H98" s="20"/>
      <c r="I98" s="43" t="s">
        <v>160</v>
      </c>
      <c r="J98" s="59">
        <f>'E Data'!D41</f>
        <v>4</v>
      </c>
      <c r="K98" s="304"/>
      <c r="M98" s="413" t="str">
        <f>IFERROR(IF(F109=R98,"→"," "),"")</f>
        <v xml:space="preserve"> </v>
      </c>
      <c r="N98" s="469">
        <v>189</v>
      </c>
      <c r="O98" s="469">
        <v>204</v>
      </c>
      <c r="P98" s="469">
        <v>209</v>
      </c>
      <c r="Q98" s="469">
        <v>226</v>
      </c>
      <c r="R98" s="472">
        <v>18</v>
      </c>
      <c r="S98" s="100">
        <v>123</v>
      </c>
      <c r="T98" s="100">
        <v>135</v>
      </c>
      <c r="U98" s="473"/>
      <c r="Y98" s="59"/>
      <c r="Z98" s="79"/>
      <c r="AA98" s="79">
        <f>F108</f>
        <v>338</v>
      </c>
      <c r="AB98" s="79">
        <f>F109</f>
        <v>22</v>
      </c>
      <c r="AC98" s="53">
        <f>F114</f>
        <v>2.02</v>
      </c>
      <c r="AD98" s="53" t="str">
        <f>F111</f>
        <v>Steel Core</v>
      </c>
      <c r="AE98" s="53">
        <f>F112</f>
        <v>1960</v>
      </c>
      <c r="AF98" s="17"/>
      <c r="AG98" s="17">
        <v>283</v>
      </c>
      <c r="AH98" s="249">
        <v>336</v>
      </c>
      <c r="AI98" s="228" t="s">
        <v>410</v>
      </c>
      <c r="AJ98" s="228">
        <v>1770</v>
      </c>
      <c r="AK98" s="228">
        <v>24</v>
      </c>
      <c r="AL98" s="100">
        <v>219</v>
      </c>
      <c r="AM98" s="416"/>
      <c r="AN98" s="322">
        <v>70</v>
      </c>
      <c r="AO98" s="465">
        <v>71</v>
      </c>
      <c r="AP98" s="17"/>
      <c r="AR98" s="17"/>
      <c r="AS98" s="17"/>
      <c r="AT98" s="41">
        <v>118</v>
      </c>
      <c r="AU98" s="42">
        <v>124</v>
      </c>
      <c r="AV98" s="17"/>
      <c r="AW98" s="17"/>
      <c r="AX98" s="249">
        <v>426</v>
      </c>
      <c r="AY98" s="253">
        <v>494</v>
      </c>
      <c r="AZ98" s="17"/>
      <c r="BA98" s="249">
        <v>402</v>
      </c>
      <c r="BB98" s="253">
        <v>472</v>
      </c>
      <c r="BC98" s="20"/>
      <c r="BD98" s="20"/>
      <c r="BE98" s="19"/>
      <c r="BF98" s="20"/>
      <c r="BG98" s="17"/>
      <c r="BH98" s="17"/>
      <c r="BI98" s="2531">
        <v>336</v>
      </c>
      <c r="BJ98" s="2532">
        <v>476.33000000000004</v>
      </c>
      <c r="BK98" s="2531">
        <v>372</v>
      </c>
      <c r="BL98" s="2532">
        <v>510</v>
      </c>
      <c r="BM98" s="2531">
        <v>363</v>
      </c>
      <c r="BN98" s="2532">
        <v>527.56000000000006</v>
      </c>
      <c r="BO98" s="2531">
        <v>402</v>
      </c>
      <c r="BP98" s="2532">
        <v>564</v>
      </c>
      <c r="BQ98" s="917"/>
      <c r="BR98" s="917"/>
      <c r="BS98" s="917"/>
      <c r="BT98" s="2534">
        <v>336</v>
      </c>
      <c r="BU98" s="2532">
        <v>562.1</v>
      </c>
      <c r="BV98" s="2534">
        <v>372</v>
      </c>
      <c r="BW98" s="2532">
        <v>609.40000000000009</v>
      </c>
      <c r="BX98" s="2534">
        <v>363</v>
      </c>
      <c r="BY98" s="2532">
        <v>621.5</v>
      </c>
      <c r="BZ98" s="2534">
        <v>402</v>
      </c>
      <c r="CA98" s="2532">
        <v>674.30000000000007</v>
      </c>
    </row>
    <row r="99" spans="1:79" ht="14.65" thickBot="1">
      <c r="A99" s="36"/>
      <c r="B99" s="67" t="s">
        <v>420</v>
      </c>
      <c r="C99" s="20" t="s">
        <v>421</v>
      </c>
      <c r="D99" s="20"/>
      <c r="E99" s="20"/>
      <c r="F99" s="20"/>
      <c r="G99" s="19" t="str">
        <f>'E Data'!D25</f>
        <v>Mech-II</v>
      </c>
      <c r="H99" s="19" t="str">
        <f>'E Data'!E25</f>
        <v>M5</v>
      </c>
      <c r="I99" s="43" t="s">
        <v>160</v>
      </c>
      <c r="J99" s="478">
        <v>3.5</v>
      </c>
      <c r="K99" s="304"/>
      <c r="L99" s="479" t="str">
        <f>IF(X105="Right",IF(X106="Right","Right","Wrong"),"KN Wrong")</f>
        <v>Right</v>
      </c>
      <c r="M99" s="413" t="str">
        <f>IFERROR(IF(F109=R99,"→"," "),"")</f>
        <v xml:space="preserve"> </v>
      </c>
      <c r="N99" s="469">
        <v>211</v>
      </c>
      <c r="O99" s="469">
        <v>228</v>
      </c>
      <c r="P99" s="469">
        <v>233</v>
      </c>
      <c r="Q99" s="469">
        <v>252</v>
      </c>
      <c r="R99" s="472">
        <v>19</v>
      </c>
      <c r="S99" s="100">
        <v>137</v>
      </c>
      <c r="T99" s="100">
        <v>151</v>
      </c>
      <c r="U99" s="473"/>
      <c r="X99" s="22" t="b">
        <v>1</v>
      </c>
      <c r="Y99" s="179" t="s">
        <v>100</v>
      </c>
      <c r="Z99" s="179" t="s">
        <v>2295</v>
      </c>
      <c r="AA99" s="179" t="s">
        <v>398</v>
      </c>
      <c r="AB99" s="179" t="s">
        <v>400</v>
      </c>
      <c r="AC99" s="179" t="s">
        <v>401</v>
      </c>
      <c r="AD99" s="179" t="s">
        <v>100</v>
      </c>
      <c r="AE99" s="145" t="s">
        <v>100</v>
      </c>
      <c r="AF99" s="17"/>
      <c r="AG99" s="17">
        <v>336</v>
      </c>
      <c r="AH99" s="249">
        <v>395</v>
      </c>
      <c r="AI99" s="228" t="s">
        <v>410</v>
      </c>
      <c r="AJ99" s="228">
        <v>1770</v>
      </c>
      <c r="AK99" s="228">
        <v>26</v>
      </c>
      <c r="AL99" s="100">
        <v>257</v>
      </c>
      <c r="AM99" s="416"/>
      <c r="AN99" s="322">
        <v>71</v>
      </c>
      <c r="AO99" s="465">
        <v>76</v>
      </c>
      <c r="AP99" s="17"/>
      <c r="AR99" s="17"/>
      <c r="AS99" s="17"/>
      <c r="AT99" s="41">
        <v>124</v>
      </c>
      <c r="AU99" s="42">
        <v>137</v>
      </c>
      <c r="AV99" s="17"/>
      <c r="AW99" s="17"/>
      <c r="AX99" s="249">
        <v>494</v>
      </c>
      <c r="AY99" s="253">
        <v>646</v>
      </c>
      <c r="AZ99" s="17"/>
      <c r="BA99" s="249">
        <v>472</v>
      </c>
      <c r="BB99" s="253">
        <v>548</v>
      </c>
      <c r="BC99" s="20"/>
      <c r="BD99" s="20"/>
      <c r="BE99" s="19"/>
      <c r="BF99" s="20"/>
      <c r="BG99" s="17"/>
      <c r="BH99" s="17"/>
      <c r="BI99" s="2531">
        <v>395</v>
      </c>
      <c r="BJ99" s="2532">
        <v>558.08000000000004</v>
      </c>
      <c r="BK99" s="2531">
        <v>437</v>
      </c>
      <c r="BL99" s="2532">
        <v>597</v>
      </c>
      <c r="BM99" s="2531">
        <v>426</v>
      </c>
      <c r="BN99" s="2532">
        <v>618.03000000000009</v>
      </c>
      <c r="BO99" s="2531">
        <v>472</v>
      </c>
      <c r="BP99" s="2532">
        <v>662</v>
      </c>
      <c r="BQ99" s="917"/>
      <c r="BR99" s="917"/>
      <c r="BS99" s="917"/>
      <c r="BT99" s="2534">
        <v>395</v>
      </c>
      <c r="BU99" s="2532">
        <v>657.80000000000007</v>
      </c>
      <c r="BV99" s="2534">
        <v>437</v>
      </c>
      <c r="BW99" s="2532">
        <v>712.80000000000007</v>
      </c>
      <c r="BX99" s="2534">
        <v>426</v>
      </c>
      <c r="BY99" s="2532">
        <v>728.2</v>
      </c>
      <c r="BZ99" s="2534">
        <v>472</v>
      </c>
      <c r="CA99" s="2532">
        <v>790.90000000000009</v>
      </c>
    </row>
    <row r="100" spans="1:79">
      <c r="A100" s="36"/>
      <c r="B100" s="67" t="s">
        <v>422</v>
      </c>
      <c r="C100" s="20" t="s">
        <v>423</v>
      </c>
      <c r="D100" s="20"/>
      <c r="E100" s="20"/>
      <c r="F100" s="20"/>
      <c r="G100" s="20"/>
      <c r="H100" s="19" t="str">
        <f>H99</f>
        <v>M5</v>
      </c>
      <c r="I100" s="43" t="s">
        <v>160</v>
      </c>
      <c r="J100" s="59">
        <f>'E Data'!E26</f>
        <v>1.5</v>
      </c>
      <c r="K100" s="304"/>
      <c r="L100" s="17"/>
      <c r="M100" s="413" t="str">
        <f>IFERROR(IF(F109=R100,"→"," "),"")</f>
        <v xml:space="preserve"> </v>
      </c>
      <c r="N100" s="469">
        <v>234</v>
      </c>
      <c r="O100" s="469">
        <v>252</v>
      </c>
      <c r="P100" s="469">
        <v>259</v>
      </c>
      <c r="Q100" s="469">
        <v>279</v>
      </c>
      <c r="R100" s="480">
        <v>20</v>
      </c>
      <c r="S100" s="311">
        <v>152</v>
      </c>
      <c r="T100" s="311">
        <v>167</v>
      </c>
      <c r="U100" s="473"/>
      <c r="X100" s="22" t="b">
        <f>AND(AA100=AA104,AB104=AB100)</f>
        <v>0</v>
      </c>
      <c r="Y100" s="179" t="s">
        <v>2291</v>
      </c>
      <c r="Z100" s="179">
        <f>VLOOKUP(J102,AH86:AH116,1)</f>
        <v>283</v>
      </c>
      <c r="AA100" s="179">
        <f>VLOOKUP(Z100,AG86:AH116,2,0)</f>
        <v>336</v>
      </c>
      <c r="AB100" s="179">
        <f>VLOOKUP(AA100,AH86:AK116,4,0)</f>
        <v>24</v>
      </c>
      <c r="AC100" s="179">
        <f>VLOOKUP(AA100,AH86:AL116,5,0)/100</f>
        <v>2.19</v>
      </c>
      <c r="AD100" s="179" t="s">
        <v>410</v>
      </c>
      <c r="AE100" s="145">
        <v>1770</v>
      </c>
      <c r="AF100" s="22">
        <f>+AA100</f>
        <v>336</v>
      </c>
      <c r="AG100" s="17">
        <v>395</v>
      </c>
      <c r="AH100" s="249">
        <v>458</v>
      </c>
      <c r="AI100" s="228" t="s">
        <v>410</v>
      </c>
      <c r="AJ100" s="228">
        <v>1770</v>
      </c>
      <c r="AK100" s="228">
        <v>28</v>
      </c>
      <c r="AL100" s="100">
        <v>298</v>
      </c>
      <c r="AM100" s="416"/>
      <c r="AN100" s="322">
        <v>76</v>
      </c>
      <c r="AO100" s="465">
        <v>78</v>
      </c>
      <c r="AP100" s="17"/>
      <c r="AR100" s="17"/>
      <c r="AS100" s="17"/>
      <c r="AT100" s="41">
        <v>137</v>
      </c>
      <c r="AU100" s="42">
        <v>161</v>
      </c>
      <c r="AV100" s="17"/>
      <c r="AW100" s="17"/>
      <c r="AX100" s="249">
        <v>646</v>
      </c>
      <c r="AY100" s="253">
        <v>817</v>
      </c>
      <c r="AZ100" s="17"/>
      <c r="BA100" s="249">
        <v>548</v>
      </c>
      <c r="BB100" s="253">
        <v>715</v>
      </c>
      <c r="BC100" s="20"/>
      <c r="BD100" s="20"/>
      <c r="BE100" s="19"/>
      <c r="BF100" s="20"/>
      <c r="BG100" s="17"/>
      <c r="BH100" s="17"/>
      <c r="BI100" s="2531">
        <v>458</v>
      </c>
      <c r="BJ100" s="2532">
        <v>640.92000000000007</v>
      </c>
      <c r="BK100" s="2531">
        <v>507</v>
      </c>
      <c r="BL100" s="2532">
        <v>687</v>
      </c>
      <c r="BM100" s="2531">
        <v>494</v>
      </c>
      <c r="BN100" s="2532">
        <v>706.32</v>
      </c>
      <c r="BO100" s="2531">
        <v>548</v>
      </c>
      <c r="BP100" s="2532">
        <v>757</v>
      </c>
      <c r="BQ100" s="917"/>
      <c r="BR100" s="917"/>
      <c r="BS100" s="917"/>
      <c r="BT100" s="2534">
        <v>458</v>
      </c>
      <c r="BU100" s="2532">
        <v>755.7</v>
      </c>
      <c r="BV100" s="2534">
        <v>507</v>
      </c>
      <c r="BW100" s="2532">
        <v>819.50000000000011</v>
      </c>
      <c r="BX100" s="2534">
        <v>494</v>
      </c>
      <c r="BY100" s="2532">
        <v>833.80000000000007</v>
      </c>
      <c r="BZ100" s="2534">
        <v>548</v>
      </c>
      <c r="CA100" s="2532">
        <v>904.2</v>
      </c>
    </row>
    <row r="101" spans="1:79">
      <c r="A101" s="36"/>
      <c r="B101" s="20"/>
      <c r="C101" s="20" t="s">
        <v>424</v>
      </c>
      <c r="D101" s="20"/>
      <c r="E101" s="20"/>
      <c r="F101" s="20"/>
      <c r="G101" s="20"/>
      <c r="H101" s="20"/>
      <c r="I101" s="43" t="s">
        <v>160</v>
      </c>
      <c r="J101" s="477">
        <f>(J95+J96+J97)*J99*J100/J98</f>
        <v>33.765703125000002</v>
      </c>
      <c r="K101" s="507" t="s">
        <v>55</v>
      </c>
      <c r="L101" s="17"/>
      <c r="M101" s="413" t="str">
        <f>IFERROR(IF(F109=R101,"→"," "),"")</f>
        <v>→</v>
      </c>
      <c r="N101" s="469">
        <v>283</v>
      </c>
      <c r="O101" s="469">
        <v>305</v>
      </c>
      <c r="P101" s="469">
        <v>313</v>
      </c>
      <c r="Q101" s="469">
        <v>338</v>
      </c>
      <c r="R101" s="472">
        <v>22</v>
      </c>
      <c r="S101" s="100">
        <v>184</v>
      </c>
      <c r="T101" s="100">
        <v>202</v>
      </c>
      <c r="U101" s="473"/>
      <c r="X101" s="22" t="b">
        <f>AND(AA101=AA104,AB104=AB101)</f>
        <v>0</v>
      </c>
      <c r="Y101" s="179" t="s">
        <v>2293</v>
      </c>
      <c r="Z101" s="179">
        <f>VLOOKUP(J102,AH148:AH179,1)</f>
        <v>313</v>
      </c>
      <c r="AA101" s="179">
        <f>VLOOKUP(Z101,AG148:AH179,2,0)</f>
        <v>372</v>
      </c>
      <c r="AB101" s="179">
        <f>VLOOKUP(AA101,AH148:AK179,4,0)</f>
        <v>24</v>
      </c>
      <c r="AC101" s="179">
        <f>VLOOKUP(AA101,AH148:AL179,5,0)/100</f>
        <v>2.19</v>
      </c>
      <c r="AD101" s="179" t="s">
        <v>410</v>
      </c>
      <c r="AE101" s="145">
        <v>1960</v>
      </c>
      <c r="AF101" s="22">
        <f>+AA101</f>
        <v>372</v>
      </c>
      <c r="AG101" s="17">
        <v>458</v>
      </c>
      <c r="AH101" s="249">
        <v>598</v>
      </c>
      <c r="AI101" s="228" t="s">
        <v>410</v>
      </c>
      <c r="AJ101" s="228">
        <v>1770</v>
      </c>
      <c r="AK101" s="228">
        <v>32</v>
      </c>
      <c r="AL101" s="100">
        <v>389</v>
      </c>
      <c r="AM101" s="416"/>
      <c r="AN101" s="322">
        <v>78</v>
      </c>
      <c r="AO101" s="465">
        <v>84</v>
      </c>
      <c r="AP101" s="17"/>
      <c r="AQ101" s="17"/>
      <c r="AR101" s="17"/>
      <c r="AS101" s="17"/>
      <c r="AT101" s="41">
        <v>161</v>
      </c>
      <c r="AU101" s="42">
        <v>179</v>
      </c>
      <c r="AV101" s="17"/>
      <c r="AW101" s="17"/>
      <c r="AX101" s="249">
        <v>817</v>
      </c>
      <c r="AY101" s="253">
        <v>911</v>
      </c>
      <c r="AZ101" s="17"/>
      <c r="BA101" s="249">
        <v>715</v>
      </c>
      <c r="BB101" s="253">
        <v>905</v>
      </c>
      <c r="BC101" s="20"/>
      <c r="BD101" s="20"/>
      <c r="BE101" s="19"/>
      <c r="BF101" s="20"/>
      <c r="BG101" s="17"/>
      <c r="BH101" s="17"/>
      <c r="BI101" s="2531">
        <v>598</v>
      </c>
      <c r="BJ101" s="2532">
        <v>827.31000000000006</v>
      </c>
      <c r="BK101" s="2531">
        <v>662</v>
      </c>
      <c r="BL101" s="2532">
        <v>887</v>
      </c>
      <c r="BM101" s="2531">
        <v>646</v>
      </c>
      <c r="BN101" s="2532">
        <v>915.6</v>
      </c>
      <c r="BO101" s="2531">
        <v>715</v>
      </c>
      <c r="BP101" s="2532">
        <v>982</v>
      </c>
      <c r="BQ101" s="917"/>
      <c r="BR101" s="917"/>
      <c r="BS101" s="917"/>
      <c r="BT101" s="2534">
        <v>598</v>
      </c>
      <c r="BU101" s="2532">
        <v>976.80000000000007</v>
      </c>
      <c r="BV101" s="2534">
        <v>662</v>
      </c>
      <c r="BW101" s="2532">
        <v>1059.3000000000002</v>
      </c>
      <c r="BX101" s="2534">
        <v>646</v>
      </c>
      <c r="BY101" s="2532">
        <v>1081.3000000000002</v>
      </c>
      <c r="BZ101" s="2534">
        <v>715</v>
      </c>
      <c r="CA101" s="2532">
        <v>1172.6000000000001</v>
      </c>
    </row>
    <row r="102" spans="1:79">
      <c r="A102" s="36"/>
      <c r="B102" s="20"/>
      <c r="C102" s="20"/>
      <c r="D102" s="20"/>
      <c r="E102" s="20"/>
      <c r="F102" s="20"/>
      <c r="G102" s="20"/>
      <c r="H102" s="20"/>
      <c r="I102" s="43" t="s">
        <v>160</v>
      </c>
      <c r="J102" s="482">
        <f>J101*9.81</f>
        <v>331.24154765625002</v>
      </c>
      <c r="K102" s="507" t="s">
        <v>398</v>
      </c>
      <c r="M102" s="413" t="str">
        <f>IFERROR(IF(F109=R102,"→"," "),"")</f>
        <v xml:space="preserve"> </v>
      </c>
      <c r="N102" s="469">
        <v>336</v>
      </c>
      <c r="O102" s="483">
        <v>363</v>
      </c>
      <c r="P102" s="483">
        <v>372</v>
      </c>
      <c r="Q102" s="469">
        <v>402</v>
      </c>
      <c r="R102" s="472">
        <v>24</v>
      </c>
      <c r="S102" s="100">
        <v>219</v>
      </c>
      <c r="T102" s="100">
        <v>241</v>
      </c>
      <c r="U102" s="473"/>
      <c r="X102" s="22" t="b">
        <f>AND(AA102=AA104,AB104=AB102)</f>
        <v>0</v>
      </c>
      <c r="Y102" s="179" t="s">
        <v>2294</v>
      </c>
      <c r="Z102" s="179">
        <f>VLOOKUP(J102,AH117:AH147,1)</f>
        <v>305</v>
      </c>
      <c r="AA102" s="179">
        <f>VLOOKUP(Z102,AG117:AH147,2,0)</f>
        <v>363</v>
      </c>
      <c r="AB102" s="179">
        <f>VLOOKUP(AA102,AH117:AK147,4,0)</f>
        <v>24</v>
      </c>
      <c r="AC102" s="179">
        <f>VLOOKUP(AA102,AH117:AL147,5,0)/100</f>
        <v>2.41</v>
      </c>
      <c r="AD102" s="179" t="s">
        <v>404</v>
      </c>
      <c r="AE102" s="145">
        <v>1770</v>
      </c>
      <c r="AF102" s="22">
        <f>+AA102</f>
        <v>363</v>
      </c>
      <c r="AG102" s="17">
        <v>598</v>
      </c>
      <c r="AH102" s="249">
        <v>757</v>
      </c>
      <c r="AI102" s="228" t="s">
        <v>410</v>
      </c>
      <c r="AJ102" s="228">
        <v>1770</v>
      </c>
      <c r="AK102" s="228">
        <v>36</v>
      </c>
      <c r="AL102" s="100">
        <v>493</v>
      </c>
      <c r="AM102" s="416"/>
      <c r="AN102" s="322">
        <v>84</v>
      </c>
      <c r="AO102" s="465">
        <v>85</v>
      </c>
      <c r="AP102" s="17"/>
      <c r="AQ102" s="17"/>
      <c r="AR102" s="17"/>
      <c r="AS102" s="17"/>
      <c r="AT102" s="41">
        <v>179</v>
      </c>
      <c r="AU102" s="42">
        <v>204</v>
      </c>
      <c r="AV102" s="17"/>
      <c r="AW102" s="17"/>
      <c r="AX102" s="249">
        <v>911</v>
      </c>
      <c r="AY102" s="253">
        <v>1009</v>
      </c>
      <c r="AZ102" s="17"/>
      <c r="BA102" s="249">
        <v>905</v>
      </c>
      <c r="BB102" s="253">
        <v>1008</v>
      </c>
      <c r="BC102" s="20"/>
      <c r="BD102" s="20"/>
      <c r="BE102" s="19"/>
      <c r="BF102" s="20"/>
      <c r="BG102" s="17"/>
      <c r="BH102" s="17"/>
      <c r="BI102" s="2531">
        <v>757</v>
      </c>
      <c r="BJ102" s="2532">
        <v>1059.1499999999999</v>
      </c>
      <c r="BK102" s="2531">
        <v>838</v>
      </c>
      <c r="BL102" s="2532">
        <v>1130</v>
      </c>
      <c r="BM102" s="2531">
        <v>817</v>
      </c>
      <c r="BN102" s="2532">
        <v>1175.3</v>
      </c>
      <c r="BO102" s="2531">
        <v>905</v>
      </c>
      <c r="BP102" s="2532">
        <v>1254</v>
      </c>
      <c r="BQ102" s="917"/>
      <c r="BR102" s="917"/>
      <c r="BS102" s="917"/>
      <c r="BT102" s="2534">
        <v>757</v>
      </c>
      <c r="BU102" s="2532">
        <v>1243.1499999999999</v>
      </c>
      <c r="BV102" s="2534">
        <v>838</v>
      </c>
      <c r="BW102" s="2532">
        <v>1351.25</v>
      </c>
      <c r="BX102" s="2534">
        <v>817</v>
      </c>
      <c r="BY102" s="2532">
        <v>1378.85</v>
      </c>
      <c r="BZ102" s="2534">
        <v>905</v>
      </c>
      <c r="CA102" s="2532">
        <v>1499.6</v>
      </c>
    </row>
    <row r="103" spans="1:79">
      <c r="A103" s="36"/>
      <c r="B103" s="358" t="s">
        <v>763</v>
      </c>
      <c r="C103" s="20"/>
      <c r="D103" s="20"/>
      <c r="E103" s="20"/>
      <c r="F103" s="20"/>
      <c r="G103" s="20"/>
      <c r="H103" s="20"/>
      <c r="I103" s="20"/>
      <c r="J103" s="19"/>
      <c r="K103" s="507"/>
      <c r="M103" s="413" t="str">
        <f>IFERROR(IF(F109=R103,"→"," "),"")</f>
        <v xml:space="preserve"> </v>
      </c>
      <c r="N103" s="469">
        <v>395</v>
      </c>
      <c r="O103" s="483">
        <v>426</v>
      </c>
      <c r="P103" s="483">
        <v>437</v>
      </c>
      <c r="Q103" s="469">
        <v>472</v>
      </c>
      <c r="R103" s="472">
        <v>26</v>
      </c>
      <c r="S103" s="100">
        <v>257</v>
      </c>
      <c r="T103" s="100">
        <v>283</v>
      </c>
      <c r="U103" s="473"/>
      <c r="X103" s="22" t="b">
        <f>AND(AA103=AA104,AB104=AB103)</f>
        <v>1</v>
      </c>
      <c r="Y103" s="179" t="s">
        <v>2292</v>
      </c>
      <c r="Z103" s="179">
        <f>VLOOKUP(J102,AH180:AH211,1)</f>
        <v>279</v>
      </c>
      <c r="AA103" s="179">
        <f>VLOOKUP(Z103,AG180:AH211,2,0)</f>
        <v>338</v>
      </c>
      <c r="AB103" s="179">
        <f>VLOOKUP(AA103,AH180:AK211,4,0)</f>
        <v>22</v>
      </c>
      <c r="AC103" s="179">
        <f>VLOOKUP(AA103,AH180:AL211,5,0)/100</f>
        <v>2.02</v>
      </c>
      <c r="AD103" s="179" t="s">
        <v>404</v>
      </c>
      <c r="AE103" s="145">
        <v>1960</v>
      </c>
      <c r="AF103" s="22">
        <f>+AA103</f>
        <v>338</v>
      </c>
      <c r="AG103" s="17">
        <v>757</v>
      </c>
      <c r="AH103" s="249">
        <v>843</v>
      </c>
      <c r="AI103" s="228" t="s">
        <v>410</v>
      </c>
      <c r="AJ103" s="228">
        <v>1770</v>
      </c>
      <c r="AK103" s="228">
        <v>38</v>
      </c>
      <c r="AL103" s="100">
        <v>549</v>
      </c>
      <c r="AM103" s="416"/>
      <c r="AN103" s="322">
        <v>85</v>
      </c>
      <c r="AO103" s="465">
        <v>91</v>
      </c>
      <c r="AP103" s="17"/>
      <c r="AQ103" s="17"/>
      <c r="AR103" s="17"/>
      <c r="AS103" s="17"/>
      <c r="AT103" s="41">
        <v>204</v>
      </c>
      <c r="AU103" s="42">
        <v>226</v>
      </c>
      <c r="AV103" s="17"/>
      <c r="AW103" s="17"/>
      <c r="AX103" s="249">
        <v>1009</v>
      </c>
      <c r="AY103" s="253">
        <v>1221</v>
      </c>
      <c r="AZ103" s="17"/>
      <c r="BA103" s="249">
        <v>1008</v>
      </c>
      <c r="BB103" s="253">
        <v>1117</v>
      </c>
      <c r="BC103" s="20"/>
      <c r="BD103" s="20"/>
      <c r="BE103" s="19"/>
      <c r="BF103" s="20"/>
      <c r="BG103" s="17"/>
      <c r="BH103" s="17"/>
      <c r="BI103" s="2531">
        <v>843</v>
      </c>
      <c r="BJ103" s="2532">
        <v>1316.9</v>
      </c>
      <c r="BK103" s="2531">
        <v>934</v>
      </c>
      <c r="BL103" s="2532">
        <v>1312</v>
      </c>
      <c r="BM103" s="2531">
        <v>911</v>
      </c>
      <c r="BN103" s="2532">
        <v>1462.5</v>
      </c>
      <c r="BO103" s="2531">
        <v>1008</v>
      </c>
      <c r="BP103" s="2532">
        <v>1457</v>
      </c>
      <c r="BQ103" s="917"/>
      <c r="BR103" s="917"/>
      <c r="BS103" s="917"/>
      <c r="BT103" s="2534">
        <v>843</v>
      </c>
      <c r="BU103" s="2532">
        <v>1437.8</v>
      </c>
      <c r="BV103" s="2534">
        <v>934</v>
      </c>
      <c r="BW103" s="2532">
        <v>1437.8</v>
      </c>
      <c r="BX103" s="2534">
        <v>911</v>
      </c>
      <c r="BY103" s="2532">
        <v>1596.4</v>
      </c>
      <c r="BZ103" s="2534">
        <v>1008</v>
      </c>
      <c r="CA103" s="2532">
        <v>1596.4</v>
      </c>
    </row>
    <row r="104" spans="1:79">
      <c r="A104" s="36"/>
      <c r="B104" s="20"/>
      <c r="C104" s="20"/>
      <c r="D104" s="20"/>
      <c r="E104" s="20"/>
      <c r="F104" s="20"/>
      <c r="G104" s="20"/>
      <c r="H104" s="20"/>
      <c r="I104" s="17"/>
      <c r="J104" s="20"/>
      <c r="K104" s="304"/>
      <c r="M104" s="413" t="str">
        <f>IFERROR(IF(F109=R104,"→"," "),"")</f>
        <v xml:space="preserve"> </v>
      </c>
      <c r="N104" s="469">
        <v>458</v>
      </c>
      <c r="O104" s="483">
        <v>494</v>
      </c>
      <c r="P104" s="483">
        <v>507</v>
      </c>
      <c r="Q104" s="469">
        <v>548</v>
      </c>
      <c r="R104" s="472">
        <v>28</v>
      </c>
      <c r="S104" s="100">
        <v>298</v>
      </c>
      <c r="T104" s="100">
        <v>328</v>
      </c>
      <c r="U104" s="473"/>
      <c r="Y104" s="19"/>
      <c r="Z104" s="53"/>
      <c r="AA104" s="484">
        <f>VLOOKUP(AB104,AB100:AF103,5,0)</f>
        <v>338</v>
      </c>
      <c r="AB104" s="484">
        <f>SMALL(AB100:AB103,1)</f>
        <v>22</v>
      </c>
      <c r="AC104" s="53"/>
      <c r="AD104" s="53"/>
      <c r="AE104" s="53"/>
      <c r="AF104" s="17"/>
      <c r="AG104" s="17">
        <v>843</v>
      </c>
      <c r="AH104" s="249">
        <v>1130</v>
      </c>
      <c r="AI104" s="228" t="s">
        <v>410</v>
      </c>
      <c r="AJ104" s="228">
        <v>1770</v>
      </c>
      <c r="AK104" s="228">
        <v>44</v>
      </c>
      <c r="AL104" s="100">
        <v>736</v>
      </c>
      <c r="AM104" s="416"/>
      <c r="AN104" s="322">
        <v>91</v>
      </c>
      <c r="AO104" s="465">
        <v>93</v>
      </c>
      <c r="AP104" s="17"/>
      <c r="AQ104" s="17"/>
      <c r="AR104" s="17"/>
      <c r="AS104" s="17"/>
      <c r="AT104" s="41">
        <v>226</v>
      </c>
      <c r="AU104" s="42">
        <v>228</v>
      </c>
      <c r="AV104" s="17"/>
      <c r="AW104" s="17"/>
      <c r="AX104" s="249">
        <v>1221</v>
      </c>
      <c r="AY104" s="253">
        <v>1453</v>
      </c>
      <c r="AZ104" s="17"/>
      <c r="BA104" s="249">
        <v>1117</v>
      </c>
      <c r="BB104" s="253">
        <v>1352</v>
      </c>
      <c r="BC104" s="20"/>
      <c r="BD104" s="20"/>
      <c r="BE104" s="19"/>
      <c r="BF104" s="20"/>
      <c r="BG104" s="17"/>
      <c r="BH104" s="17"/>
      <c r="BI104" s="2531">
        <v>934</v>
      </c>
      <c r="BJ104" s="2532">
        <v>1463.8</v>
      </c>
      <c r="BK104" s="2531">
        <v>1035</v>
      </c>
      <c r="BL104" s="2532">
        <v>1460</v>
      </c>
      <c r="BM104" s="2531">
        <v>1009</v>
      </c>
      <c r="BN104" s="2532">
        <v>1625</v>
      </c>
      <c r="BO104" s="2531">
        <v>1117</v>
      </c>
      <c r="BP104" s="2532">
        <v>1620</v>
      </c>
      <c r="BQ104" s="917"/>
      <c r="BR104" s="917"/>
      <c r="BS104" s="917"/>
      <c r="BT104" s="2534">
        <v>934</v>
      </c>
      <c r="BU104" s="2532">
        <v>1599</v>
      </c>
      <c r="BV104" s="2534">
        <v>1035</v>
      </c>
      <c r="BW104" s="2532">
        <v>1599</v>
      </c>
      <c r="BX104" s="2534">
        <v>1009</v>
      </c>
      <c r="BY104" s="2532">
        <v>1774.5</v>
      </c>
      <c r="BZ104" s="2534">
        <v>1117</v>
      </c>
      <c r="CA104" s="2532">
        <v>1774.5</v>
      </c>
    </row>
    <row r="105" spans="1:79">
      <c r="A105" s="36"/>
      <c r="B105" s="485" t="s">
        <v>426</v>
      </c>
      <c r="C105" s="31"/>
      <c r="D105" s="31"/>
      <c r="E105" s="20"/>
      <c r="F105" s="20"/>
      <c r="G105" s="20"/>
      <c r="H105" s="20"/>
      <c r="I105" s="20"/>
      <c r="J105" s="20"/>
      <c r="K105" s="304"/>
      <c r="M105" s="413" t="str">
        <f>IFERROR(IF(F109=R105,"→"," "),"")</f>
        <v xml:space="preserve"> </v>
      </c>
      <c r="N105" s="469">
        <v>598</v>
      </c>
      <c r="O105" s="483">
        <v>646</v>
      </c>
      <c r="P105" s="483">
        <v>662</v>
      </c>
      <c r="Q105" s="469">
        <v>715</v>
      </c>
      <c r="R105" s="472">
        <v>32</v>
      </c>
      <c r="S105" s="100">
        <v>389</v>
      </c>
      <c r="T105" s="100">
        <v>428</v>
      </c>
      <c r="U105" s="473"/>
      <c r="X105" s="163" t="str">
        <f>IF(F109=EVEN(F109),"Right","Worng")</f>
        <v>Right</v>
      </c>
      <c r="Z105" s="216" t="s">
        <v>428</v>
      </c>
      <c r="AA105" s="79">
        <f>VLOOKUP(X99,X100:AA103,4,0)</f>
        <v>338</v>
      </c>
      <c r="AB105" s="79">
        <f>SMALL(AB100:AB103,1)</f>
        <v>22</v>
      </c>
      <c r="AC105" s="79">
        <f>VLOOKUP(AA105,AA100:AC103,3,0)</f>
        <v>2.02</v>
      </c>
      <c r="AD105" s="79" t="str">
        <f>VLOOKUP(AA105,AA100:AD103,4,0)</f>
        <v>Steel Core</v>
      </c>
      <c r="AE105" s="79">
        <f>VLOOKUP(AA105,AA100:AE103,5,0)</f>
        <v>1960</v>
      </c>
      <c r="AF105" s="17"/>
      <c r="AG105" s="17">
        <v>1130</v>
      </c>
      <c r="AH105" s="249">
        <v>1345</v>
      </c>
      <c r="AI105" s="228" t="s">
        <v>410</v>
      </c>
      <c r="AJ105" s="228">
        <v>1770</v>
      </c>
      <c r="AK105" s="228">
        <v>48</v>
      </c>
      <c r="AL105" s="100">
        <v>876</v>
      </c>
      <c r="AM105" s="416"/>
      <c r="AN105" s="322">
        <v>93</v>
      </c>
      <c r="AO105" s="465">
        <v>99</v>
      </c>
      <c r="AP105" s="17"/>
      <c r="AQ105" s="17"/>
      <c r="AR105" s="17"/>
      <c r="AS105" s="17"/>
      <c r="AT105" s="41">
        <v>228</v>
      </c>
      <c r="AU105" s="42">
        <v>252</v>
      </c>
      <c r="AV105" s="17"/>
      <c r="AW105" s="17"/>
      <c r="AX105" s="249">
        <v>1453</v>
      </c>
      <c r="AY105" s="253">
        <v>1705</v>
      </c>
      <c r="AZ105" s="17"/>
      <c r="BA105" s="249">
        <v>1352</v>
      </c>
      <c r="BB105" s="253">
        <v>1609</v>
      </c>
      <c r="BC105" s="20"/>
      <c r="BD105" s="20"/>
      <c r="BE105" s="19"/>
      <c r="BF105" s="20"/>
      <c r="BG105" s="17"/>
      <c r="BH105" s="17"/>
      <c r="BI105" s="2531">
        <v>1130</v>
      </c>
      <c r="BJ105" s="2532">
        <v>1771.9</v>
      </c>
      <c r="BK105" s="2531">
        <v>1252</v>
      </c>
      <c r="BL105" s="2532">
        <v>1767</v>
      </c>
      <c r="BM105" s="2531">
        <v>1221</v>
      </c>
      <c r="BN105" s="2532">
        <v>1969.5</v>
      </c>
      <c r="BO105" s="2531">
        <v>1352</v>
      </c>
      <c r="BP105" s="2532">
        <v>1964</v>
      </c>
      <c r="BQ105" s="917"/>
      <c r="BR105" s="917"/>
      <c r="BS105" s="917"/>
      <c r="BT105" s="2534"/>
      <c r="BU105" s="2536"/>
      <c r="BV105" s="2534"/>
      <c r="BW105" s="2536"/>
      <c r="BX105" s="2534"/>
      <c r="BY105" s="2536"/>
      <c r="BZ105" s="2534"/>
      <c r="CA105" s="2536"/>
    </row>
    <row r="106" spans="1:79">
      <c r="A106" s="36"/>
      <c r="B106" s="31" t="s">
        <v>427</v>
      </c>
      <c r="C106" s="20"/>
      <c r="D106" s="20"/>
      <c r="E106" s="17"/>
      <c r="F106" s="3781" t="s">
        <v>404</v>
      </c>
      <c r="G106" s="3781"/>
      <c r="H106" s="20"/>
      <c r="I106" s="20"/>
      <c r="J106" s="20"/>
      <c r="K106" s="304"/>
      <c r="M106" s="413"/>
      <c r="N106" s="469">
        <v>757</v>
      </c>
      <c r="O106" s="483">
        <v>817</v>
      </c>
      <c r="P106" s="483">
        <v>838</v>
      </c>
      <c r="Q106" s="469">
        <v>905</v>
      </c>
      <c r="R106" s="472">
        <v>36</v>
      </c>
      <c r="S106" s="100">
        <v>493</v>
      </c>
      <c r="T106" s="100">
        <v>542</v>
      </c>
      <c r="U106" s="473"/>
      <c r="X106" s="486" t="str">
        <f>IF(J102&lt;F108,"Right","Wrong")</f>
        <v>Right</v>
      </c>
      <c r="Y106" s="19"/>
      <c r="Z106" s="53" t="s">
        <v>404</v>
      </c>
      <c r="AA106" s="53">
        <f>IF(AB105=AB103,AA103,IF(AB105=AB102,AA102))</f>
        <v>338</v>
      </c>
      <c r="AB106" s="79">
        <f>SMALL(AB102:AB103,1)</f>
        <v>22</v>
      </c>
      <c r="AC106" s="79">
        <f>VLOOKUP(AA106,AA102:AC103,3,0)</f>
        <v>2.02</v>
      </c>
      <c r="AD106" s="79" t="str">
        <f>VLOOKUP(AA106,AA102:AD103,4,0)</f>
        <v>Steel Core</v>
      </c>
      <c r="AE106" s="79">
        <f>VLOOKUP(AA106,AA102:AE103,5,0)</f>
        <v>1960</v>
      </c>
      <c r="AF106" s="17"/>
      <c r="AG106" s="17">
        <v>1345</v>
      </c>
      <c r="AH106" s="249">
        <v>1579</v>
      </c>
      <c r="AI106" s="228" t="s">
        <v>410</v>
      </c>
      <c r="AJ106" s="228">
        <v>1770</v>
      </c>
      <c r="AK106" s="228">
        <v>52</v>
      </c>
      <c r="AL106" s="100">
        <v>1028</v>
      </c>
      <c r="AM106" s="416"/>
      <c r="AN106" s="322">
        <v>99</v>
      </c>
      <c r="AO106" s="465">
        <v>101</v>
      </c>
      <c r="AP106" s="17"/>
      <c r="AQ106" s="17"/>
      <c r="AR106" s="17"/>
      <c r="AS106" s="17"/>
      <c r="AT106" s="41">
        <v>252</v>
      </c>
      <c r="AU106" s="42">
        <v>279</v>
      </c>
      <c r="AV106" s="17"/>
      <c r="AW106" s="17"/>
      <c r="AX106" s="249">
        <v>1705</v>
      </c>
      <c r="AY106" s="253">
        <v>1978</v>
      </c>
      <c r="AZ106" s="17"/>
      <c r="BA106" s="249">
        <v>1609</v>
      </c>
      <c r="BB106" s="253">
        <v>1888</v>
      </c>
      <c r="BC106" s="20"/>
      <c r="BD106" s="20"/>
      <c r="BE106" s="19"/>
      <c r="BF106" s="20"/>
      <c r="BG106" s="17"/>
      <c r="BH106" s="17"/>
      <c r="BI106" s="2531">
        <v>1345</v>
      </c>
      <c r="BJ106" s="2532">
        <v>2138.5</v>
      </c>
      <c r="BK106" s="2531">
        <v>1490</v>
      </c>
      <c r="BL106" s="2532">
        <v>2131</v>
      </c>
      <c r="BM106" s="2531">
        <v>1453</v>
      </c>
      <c r="BN106" s="2532">
        <v>2362.1</v>
      </c>
      <c r="BO106" s="2531">
        <v>1609</v>
      </c>
      <c r="BP106" s="2532">
        <v>2355</v>
      </c>
      <c r="BQ106" s="917"/>
      <c r="BR106" s="917"/>
      <c r="BS106" s="917"/>
      <c r="BT106" s="2537"/>
      <c r="BU106" s="2538"/>
      <c r="BV106" s="2537"/>
      <c r="BW106" s="2538"/>
      <c r="BX106" s="2537"/>
      <c r="BY106" s="2538"/>
      <c r="BZ106" s="2537"/>
      <c r="CA106" s="2538"/>
    </row>
    <row r="107" spans="1:79">
      <c r="A107" s="36"/>
      <c r="B107" s="20"/>
      <c r="C107" s="20"/>
      <c r="D107" s="20"/>
      <c r="E107" s="20"/>
      <c r="F107" s="20"/>
      <c r="G107" s="17"/>
      <c r="H107" s="20"/>
      <c r="I107" s="20"/>
      <c r="J107" s="20"/>
      <c r="K107" s="304"/>
      <c r="L107" s="413" t="str">
        <f>IFERROR(IF(F109=R107,"→"," "),"")</f>
        <v xml:space="preserve"> </v>
      </c>
      <c r="M107" s="413" t="str">
        <f>IFERROR(IF(F109=R107,"→"," "),"")</f>
        <v xml:space="preserve"> </v>
      </c>
      <c r="N107" s="469">
        <v>843</v>
      </c>
      <c r="O107" s="483">
        <v>911</v>
      </c>
      <c r="P107" s="483">
        <v>934</v>
      </c>
      <c r="Q107" s="469">
        <v>1008</v>
      </c>
      <c r="R107" s="472">
        <v>38</v>
      </c>
      <c r="S107" s="100">
        <v>549</v>
      </c>
      <c r="T107" s="100">
        <v>604</v>
      </c>
      <c r="U107" s="473"/>
      <c r="Y107" s="19"/>
      <c r="Z107" s="216" t="s">
        <v>444</v>
      </c>
      <c r="AA107" s="216">
        <f>AA103</f>
        <v>338</v>
      </c>
      <c r="AB107" s="53">
        <f>AB103</f>
        <v>22</v>
      </c>
      <c r="AC107" s="216">
        <f>AC103</f>
        <v>2.02</v>
      </c>
      <c r="AD107" s="216" t="str">
        <f>AD103</f>
        <v>Steel Core</v>
      </c>
      <c r="AE107" s="216">
        <f>AE103</f>
        <v>1960</v>
      </c>
      <c r="AF107" s="17"/>
      <c r="AG107" s="17">
        <v>1579</v>
      </c>
      <c r="AH107" s="249">
        <v>1831</v>
      </c>
      <c r="AI107" s="228" t="s">
        <v>410</v>
      </c>
      <c r="AJ107" s="228">
        <v>1770</v>
      </c>
      <c r="AK107" s="228">
        <v>56</v>
      </c>
      <c r="AL107" s="100">
        <v>1192</v>
      </c>
      <c r="AM107" s="416"/>
      <c r="AN107" s="322">
        <v>101</v>
      </c>
      <c r="AO107" s="465">
        <v>107</v>
      </c>
      <c r="AP107" s="17"/>
      <c r="AQ107" s="17"/>
      <c r="AR107" s="17"/>
      <c r="AS107" s="17"/>
      <c r="AT107" s="41">
        <v>279</v>
      </c>
      <c r="AU107" s="42">
        <v>305</v>
      </c>
      <c r="AV107" s="17"/>
      <c r="AW107" s="17"/>
      <c r="AX107" s="249">
        <v>1978</v>
      </c>
      <c r="AY107" s="253">
        <v>2270</v>
      </c>
      <c r="AZ107" s="17"/>
      <c r="BA107" s="249">
        <v>1888</v>
      </c>
      <c r="BB107" s="253">
        <v>2190</v>
      </c>
      <c r="BC107" s="20"/>
      <c r="BD107" s="20"/>
      <c r="BE107" s="19"/>
      <c r="BF107" s="20"/>
      <c r="BG107" s="17"/>
      <c r="BH107" s="17"/>
      <c r="BI107" s="2531"/>
      <c r="BJ107" s="2539"/>
      <c r="BK107" s="2531"/>
      <c r="BL107" s="2539"/>
      <c r="BM107" s="2531"/>
      <c r="BN107" s="2539"/>
      <c r="BO107" s="2531"/>
      <c r="BP107" s="2539"/>
      <c r="BQ107" s="917"/>
      <c r="BR107" s="917"/>
      <c r="BS107" s="917"/>
      <c r="BT107" s="2537"/>
      <c r="BU107" s="2538"/>
      <c r="BV107" s="2537"/>
      <c r="BW107" s="2538"/>
      <c r="BX107" s="2537"/>
      <c r="BY107" s="2538"/>
      <c r="BZ107" s="2537"/>
      <c r="CA107" s="2538"/>
    </row>
    <row r="108" spans="1:79">
      <c r="A108" s="36"/>
      <c r="B108" s="31" t="s">
        <v>429</v>
      </c>
      <c r="C108" s="31"/>
      <c r="D108" s="31"/>
      <c r="E108" s="31"/>
      <c r="F108" s="90">
        <f>IF(F106="Any Type",V91,IF(F106="Steel Core",W91,IF(F106="Steel Core 1960 N/mm^2",X91,)))</f>
        <v>338</v>
      </c>
      <c r="G108" s="31"/>
      <c r="H108" s="31"/>
      <c r="I108" s="31"/>
      <c r="J108" s="31"/>
      <c r="K108" s="304"/>
      <c r="L108" s="413" t="str">
        <f>IFERROR(IF(F109=R108,"→"," "),"")</f>
        <v xml:space="preserve"> </v>
      </c>
      <c r="M108" s="413" t="str">
        <f>IFERROR(IF(F109=R108,"→"," "),"")</f>
        <v xml:space="preserve"> </v>
      </c>
      <c r="N108" s="469">
        <v>934</v>
      </c>
      <c r="O108" s="483">
        <v>1009</v>
      </c>
      <c r="P108" s="483">
        <v>1035</v>
      </c>
      <c r="Q108" s="469">
        <v>1117</v>
      </c>
      <c r="R108" s="472">
        <v>40</v>
      </c>
      <c r="S108" s="100">
        <v>608</v>
      </c>
      <c r="T108" s="100">
        <v>669</v>
      </c>
      <c r="U108" s="473"/>
      <c r="Y108" s="19"/>
      <c r="Z108" s="216"/>
      <c r="AA108" s="216"/>
      <c r="AB108" s="216"/>
      <c r="AC108" s="216"/>
      <c r="AD108" s="216"/>
      <c r="AE108" s="216"/>
      <c r="AF108" s="17"/>
      <c r="AG108" s="17">
        <v>1831</v>
      </c>
      <c r="AH108" s="249">
        <v>2102</v>
      </c>
      <c r="AI108" s="228" t="s">
        <v>410</v>
      </c>
      <c r="AJ108" s="228">
        <v>1770</v>
      </c>
      <c r="AK108" s="228">
        <v>60</v>
      </c>
      <c r="AL108" s="100">
        <v>1369</v>
      </c>
      <c r="AM108" s="416"/>
      <c r="AN108" s="322">
        <v>107</v>
      </c>
      <c r="AO108" s="465">
        <v>109</v>
      </c>
      <c r="AP108" s="17"/>
      <c r="AQ108" s="17"/>
      <c r="AR108" s="17"/>
      <c r="AS108" s="17"/>
      <c r="AT108" s="41">
        <v>305</v>
      </c>
      <c r="AU108" s="42">
        <v>338</v>
      </c>
      <c r="AV108" s="17"/>
      <c r="AW108" s="17"/>
      <c r="AX108" s="249">
        <v>2270</v>
      </c>
      <c r="AY108" s="253">
        <v>2583</v>
      </c>
      <c r="AZ108" s="17"/>
      <c r="BA108" s="249">
        <v>2190</v>
      </c>
      <c r="BB108" s="253">
        <v>2514</v>
      </c>
      <c r="BC108" s="20"/>
      <c r="BD108" s="20"/>
      <c r="BE108" s="19"/>
      <c r="BF108" s="20"/>
      <c r="BG108" s="17"/>
      <c r="BH108" s="17"/>
      <c r="BI108" s="17"/>
      <c r="BJ108" s="17"/>
      <c r="BK108" s="17"/>
      <c r="BL108" s="17"/>
    </row>
    <row r="109" spans="1:79" ht="14.65" thickBot="1">
      <c r="A109" s="36"/>
      <c r="B109" s="118" t="s">
        <v>430</v>
      </c>
      <c r="C109" s="31"/>
      <c r="D109" s="31"/>
      <c r="E109" s="31"/>
      <c r="F109" s="332">
        <f>IF(F106="Any Type",V94,IF(F106="Steel Core",W92,IF(F106="Steel Core 1960 N/mm^2",X92,)))</f>
        <v>22</v>
      </c>
      <c r="G109" s="90"/>
      <c r="H109" s="31" t="s">
        <v>431</v>
      </c>
      <c r="I109" s="487" t="s">
        <v>432</v>
      </c>
      <c r="J109" s="488">
        <f>J100*J99</f>
        <v>5.25</v>
      </c>
      <c r="K109" s="304"/>
      <c r="L109" s="489" t="str">
        <f>HYPERLINK("\\Manish-pc\e\03 General\Manish\Selection\IS\IS 2266_Wire-Rope.pdf","IS : 2266_Wire-Rope")</f>
        <v>IS : 2266_Wire-Rope</v>
      </c>
      <c r="M109" s="413" t="str">
        <f>IFERROR(IF(F109=R109,"→"," "),"")</f>
        <v xml:space="preserve"> </v>
      </c>
      <c r="N109" s="469">
        <v>1130</v>
      </c>
      <c r="O109" s="483">
        <v>1221</v>
      </c>
      <c r="P109" s="483">
        <v>1252</v>
      </c>
      <c r="Q109" s="469">
        <v>1352</v>
      </c>
      <c r="R109" s="472">
        <v>44</v>
      </c>
      <c r="S109" s="100">
        <v>736</v>
      </c>
      <c r="T109" s="100">
        <v>810</v>
      </c>
      <c r="U109" s="473"/>
      <c r="Y109" s="19"/>
      <c r="Z109" s="216" t="str">
        <f>F106</f>
        <v>Steel Core</v>
      </c>
      <c r="AA109" s="216">
        <f>VLOOKUP(Z109,Z105:AE107,2,0)</f>
        <v>338</v>
      </c>
      <c r="AB109" s="216">
        <f>VLOOKUP(Z109,Z105:AE107,3,0)</f>
        <v>22</v>
      </c>
      <c r="AC109" s="216">
        <f>VLOOKUP(Z109,Z105:AE107,4,0)</f>
        <v>2.02</v>
      </c>
      <c r="AD109" s="216" t="str">
        <f>VLOOKUP(Z109,Z105:AE107,5,0)</f>
        <v>Steel Core</v>
      </c>
      <c r="AE109" s="216">
        <f>VLOOKUP(Z109,Z105:AE107,6,0)</f>
        <v>1960</v>
      </c>
      <c r="AF109" s="17"/>
      <c r="AG109" s="17">
        <v>2102</v>
      </c>
      <c r="AH109" s="249">
        <v>2392</v>
      </c>
      <c r="AI109" s="228" t="s">
        <v>410</v>
      </c>
      <c r="AJ109" s="228">
        <v>1770</v>
      </c>
      <c r="AK109" s="228">
        <v>64</v>
      </c>
      <c r="AL109" s="100">
        <v>1557</v>
      </c>
      <c r="AM109" s="416"/>
      <c r="AN109" s="322">
        <v>109</v>
      </c>
      <c r="AO109" s="465">
        <v>114</v>
      </c>
      <c r="AP109" s="17"/>
      <c r="AQ109" s="17"/>
      <c r="AR109" s="17"/>
      <c r="AS109" s="17"/>
      <c r="AT109" s="41">
        <v>338</v>
      </c>
      <c r="AU109" s="42">
        <v>363</v>
      </c>
      <c r="AV109" s="17"/>
      <c r="AW109" s="17"/>
      <c r="AX109" s="249">
        <v>2583</v>
      </c>
      <c r="AY109" s="253">
        <v>2916</v>
      </c>
      <c r="AZ109" s="17"/>
      <c r="BA109" s="249">
        <v>2514</v>
      </c>
      <c r="BB109" s="253">
        <v>2860</v>
      </c>
      <c r="BC109" s="20"/>
      <c r="BD109" s="20"/>
      <c r="BE109" s="19"/>
      <c r="BF109" s="20"/>
      <c r="BG109" s="17"/>
      <c r="BH109" s="17" t="s">
        <v>398</v>
      </c>
      <c r="BI109" s="255">
        <f>F108</f>
        <v>338</v>
      </c>
      <c r="BJ109" s="17">
        <f>IFERROR(VLOOKUP(BI109,BI86:BJ107,2,0),0)</f>
        <v>0</v>
      </c>
      <c r="BK109" s="17"/>
      <c r="BL109" s="17">
        <f>IFERROR(VLOOKUP(BI109,BK86:BL107,2,0),0)</f>
        <v>0</v>
      </c>
      <c r="BN109" s="17">
        <f>IFERROR(VLOOKUP(BI109,BM86:BN107,2,0),0)</f>
        <v>0</v>
      </c>
      <c r="BP109" s="17">
        <f>IFERROR(VLOOKUP(BI109,BO86:BP107,2,0),0)</f>
        <v>471</v>
      </c>
      <c r="BS109" s="17" t="s">
        <v>398</v>
      </c>
      <c r="BT109" s="255">
        <f>BI109</f>
        <v>338</v>
      </c>
      <c r="BU109" s="17">
        <f>IFERROR(VLOOKUP(BT109,BT86:BU107,2,0),0)</f>
        <v>0</v>
      </c>
      <c r="BV109" s="17"/>
      <c r="BW109" s="17">
        <f>IFERROR(VLOOKUP(BT109,BV86:BW107,2,0),0)</f>
        <v>0</v>
      </c>
      <c r="BY109" s="17">
        <f>IFERROR(VLOOKUP(BT109,BX86:BY107,2,0),0)</f>
        <v>0</v>
      </c>
      <c r="CA109" s="17">
        <f>IFERROR(VLOOKUP(BT109,BZ86:CA107,2,0),0)</f>
        <v>562.1</v>
      </c>
    </row>
    <row r="110" spans="1:79" ht="14.65" thickBot="1">
      <c r="A110" s="36"/>
      <c r="B110" s="118" t="s">
        <v>433</v>
      </c>
      <c r="C110" s="31"/>
      <c r="D110" s="31"/>
      <c r="E110" s="31"/>
      <c r="F110" s="59" t="s">
        <v>434</v>
      </c>
      <c r="G110" s="31"/>
      <c r="H110" s="31" t="s">
        <v>435</v>
      </c>
      <c r="I110" s="31"/>
      <c r="J110" s="490">
        <f>F108*J98/(J95+J96+J97)/9.81</f>
        <v>5.3571178270230435</v>
      </c>
      <c r="K110" s="304"/>
      <c r="L110" s="413" t="str">
        <f>IFERROR(IF(F109=R110,"→"," "),"")</f>
        <v xml:space="preserve"> </v>
      </c>
      <c r="M110" s="413" t="str">
        <f>IFERROR(IF(F109=R110,"→"," "),"")</f>
        <v xml:space="preserve"> </v>
      </c>
      <c r="N110" s="469">
        <v>1345</v>
      </c>
      <c r="O110" s="483">
        <v>1453</v>
      </c>
      <c r="P110" s="483">
        <v>1490</v>
      </c>
      <c r="Q110" s="469">
        <v>1609</v>
      </c>
      <c r="R110" s="472">
        <v>48</v>
      </c>
      <c r="S110" s="100">
        <v>876</v>
      </c>
      <c r="T110" s="100">
        <v>964</v>
      </c>
      <c r="U110" s="473"/>
      <c r="Y110" s="17"/>
      <c r="Z110" s="479" t="str">
        <f>IF(AC110="Right",IF(AB110="Right",IF(AD110="Right",IF(AE110="Right",IF(AA110="Right","All Right","Wrong"),"Wrong"),"Wrong"),"Wrong"),"Wrong")</f>
        <v>All Right</v>
      </c>
      <c r="AA110" s="216" t="str">
        <f>IF(AA109=AA111,"Right","Worng")</f>
        <v>Right</v>
      </c>
      <c r="AB110" s="216" t="str">
        <f>IF(AB109=AB111,"Right","Worng")</f>
        <v>Right</v>
      </c>
      <c r="AC110" s="216" t="str">
        <f>IF(AC109=AC111,"Right","Worng")</f>
        <v>Right</v>
      </c>
      <c r="AD110" s="216" t="str">
        <f>IF(AD109=AD111,"Right","Worng")</f>
        <v>Right</v>
      </c>
      <c r="AE110" s="216" t="str">
        <f>IF(AE109=AE111,"Right","Worng")</f>
        <v>Right</v>
      </c>
      <c r="AF110" s="17"/>
      <c r="AG110" s="17">
        <v>2392</v>
      </c>
      <c r="AH110" s="249">
        <v>2700</v>
      </c>
      <c r="AI110" s="228" t="s">
        <v>410</v>
      </c>
      <c r="AJ110" s="228">
        <v>1770</v>
      </c>
      <c r="AK110" s="228">
        <v>68</v>
      </c>
      <c r="AL110" s="100">
        <v>1758</v>
      </c>
      <c r="AM110" s="416"/>
      <c r="AN110" s="322">
        <v>114</v>
      </c>
      <c r="AO110" s="465">
        <v>118</v>
      </c>
      <c r="AP110" s="17"/>
      <c r="AQ110" s="17"/>
      <c r="AR110" s="17"/>
      <c r="AS110" s="17"/>
      <c r="AT110" s="41">
        <v>363</v>
      </c>
      <c r="AU110" s="42">
        <v>402</v>
      </c>
      <c r="AV110" s="17"/>
      <c r="AW110" s="17"/>
      <c r="AX110" s="249">
        <v>2916</v>
      </c>
      <c r="AY110" s="253">
        <v>3090</v>
      </c>
      <c r="AZ110" s="17"/>
      <c r="BA110" s="249">
        <v>2860</v>
      </c>
      <c r="BB110" s="253">
        <v>3229</v>
      </c>
      <c r="BC110" s="20"/>
      <c r="BD110" s="20"/>
      <c r="BE110" s="19"/>
      <c r="BF110" s="20"/>
      <c r="BG110" s="17"/>
      <c r="BH110" s="17" t="s">
        <v>274</v>
      </c>
      <c r="BI110" s="22">
        <f>IF(BJ109&gt;0,BJ109,IF(BL109&gt;0,BL109,IF(BN109&gt;0,BN109,IF(BP109&gt;0,BP109))))</f>
        <v>471</v>
      </c>
      <c r="BJ110" s="17"/>
      <c r="BK110" s="17"/>
      <c r="BL110" s="17"/>
      <c r="BS110" s="17" t="s">
        <v>274</v>
      </c>
      <c r="BT110" s="22">
        <f>IF(BU109&gt;0,BU109,IF(BW109&gt;0,BW109,IF(BY109&gt;0,BY109,IF(CA109&gt;0,CA109))))</f>
        <v>562.1</v>
      </c>
    </row>
    <row r="111" spans="1:79">
      <c r="A111" s="36"/>
      <c r="B111" s="118" t="s">
        <v>436</v>
      </c>
      <c r="C111" s="31"/>
      <c r="D111" s="31"/>
      <c r="E111" s="31"/>
      <c r="F111" s="491" t="str">
        <f>IF(F106="Any Type",V92,"Steel Core")</f>
        <v>Steel Core</v>
      </c>
      <c r="G111" s="31"/>
      <c r="H111" s="31"/>
      <c r="I111" s="31"/>
      <c r="J111" s="20"/>
      <c r="K111" s="304"/>
      <c r="L111" s="413" t="str">
        <f>IFERROR(IF(F109=R111,"→"," "),"")</f>
        <v xml:space="preserve"> </v>
      </c>
      <c r="M111" s="413" t="str">
        <f>IFERROR(IF(F109=R111,"→"," "),"")</f>
        <v xml:space="preserve"> </v>
      </c>
      <c r="N111" s="469">
        <v>1579</v>
      </c>
      <c r="O111" s="483">
        <v>1705</v>
      </c>
      <c r="P111" s="483">
        <v>1748</v>
      </c>
      <c r="Q111" s="469">
        <v>1888</v>
      </c>
      <c r="R111" s="472">
        <v>52</v>
      </c>
      <c r="S111" s="100">
        <v>1028</v>
      </c>
      <c r="T111" s="100">
        <v>1131</v>
      </c>
      <c r="U111" s="473"/>
      <c r="V111" s="29" t="s">
        <v>96</v>
      </c>
      <c r="W111" s="29" t="s">
        <v>96</v>
      </c>
      <c r="X111" s="19"/>
      <c r="Y111" s="493"/>
      <c r="Z111" s="216"/>
      <c r="AA111" s="494">
        <f>F108</f>
        <v>338</v>
      </c>
      <c r="AB111" s="495">
        <f>F109:F109</f>
        <v>22</v>
      </c>
      <c r="AC111" s="495">
        <f>F114</f>
        <v>2.02</v>
      </c>
      <c r="AD111" s="496" t="str">
        <f>F111</f>
        <v>Steel Core</v>
      </c>
      <c r="AE111" s="496">
        <f>F112</f>
        <v>1960</v>
      </c>
      <c r="AF111" s="17"/>
      <c r="AG111" s="17">
        <v>2700</v>
      </c>
      <c r="AH111" s="249">
        <v>2861</v>
      </c>
      <c r="AI111" s="228" t="s">
        <v>410</v>
      </c>
      <c r="AJ111" s="228">
        <v>1770</v>
      </c>
      <c r="AK111" s="228">
        <v>70</v>
      </c>
      <c r="AL111" s="100">
        <v>1863</v>
      </c>
      <c r="AM111" s="416"/>
      <c r="AN111" s="322">
        <v>118</v>
      </c>
      <c r="AO111" s="465">
        <v>124</v>
      </c>
      <c r="AP111" s="17"/>
      <c r="AQ111" s="17"/>
      <c r="AR111" s="17"/>
      <c r="AS111" s="17"/>
      <c r="AT111" s="41">
        <v>402</v>
      </c>
      <c r="AU111" s="42">
        <v>426</v>
      </c>
      <c r="AV111" s="17"/>
      <c r="AW111" s="17"/>
      <c r="AX111" s="249">
        <v>3090</v>
      </c>
      <c r="AY111" s="253">
        <v>3269</v>
      </c>
      <c r="AZ111" s="17"/>
      <c r="BA111" s="249">
        <v>3229</v>
      </c>
      <c r="BB111" s="253">
        <v>3422</v>
      </c>
      <c r="BC111" s="20"/>
      <c r="BD111" s="20"/>
      <c r="BE111" s="19"/>
      <c r="BF111" s="20"/>
      <c r="BG111" s="17"/>
      <c r="BH111" s="17"/>
      <c r="BI111" s="17"/>
      <c r="BJ111" s="17"/>
      <c r="BK111" s="17"/>
      <c r="BL111" s="17"/>
    </row>
    <row r="112" spans="1:79">
      <c r="A112" s="36"/>
      <c r="B112" s="118" t="s">
        <v>437</v>
      </c>
      <c r="C112" s="31"/>
      <c r="D112" s="31"/>
      <c r="E112" s="31"/>
      <c r="F112" s="102">
        <f>IF(F106="Any Type",V93,IF(F106="Steel Core",W94,1960))</f>
        <v>1960</v>
      </c>
      <c r="G112" s="31" t="s">
        <v>438</v>
      </c>
      <c r="H112" s="20"/>
      <c r="I112" s="20"/>
      <c r="J112" s="17"/>
      <c r="K112" s="304"/>
      <c r="M112" s="413" t="str">
        <f>IFERROR(IF(F109=R112,"→"," "),"")</f>
        <v xml:space="preserve"> </v>
      </c>
      <c r="N112" s="469">
        <v>1831</v>
      </c>
      <c r="O112" s="483">
        <v>1978</v>
      </c>
      <c r="P112" s="483">
        <v>2028</v>
      </c>
      <c r="Q112" s="469">
        <v>2190</v>
      </c>
      <c r="R112" s="472">
        <v>56</v>
      </c>
      <c r="S112" s="100">
        <v>1192</v>
      </c>
      <c r="T112" s="100">
        <v>1311</v>
      </c>
      <c r="U112" s="473"/>
      <c r="V112" s="29" t="s">
        <v>434</v>
      </c>
      <c r="W112" s="29" t="s">
        <v>428</v>
      </c>
      <c r="X112" s="19"/>
      <c r="Y112" s="19"/>
      <c r="Z112" s="17"/>
      <c r="AA112" s="17"/>
      <c r="AB112" s="17"/>
      <c r="AC112" s="17"/>
      <c r="AD112" s="17"/>
      <c r="AE112" s="17"/>
      <c r="AF112" s="17"/>
      <c r="AG112" s="17">
        <v>2861</v>
      </c>
      <c r="AH112" s="249">
        <v>3027</v>
      </c>
      <c r="AI112" s="228" t="s">
        <v>410</v>
      </c>
      <c r="AJ112" s="228">
        <v>1770</v>
      </c>
      <c r="AK112" s="228">
        <v>72</v>
      </c>
      <c r="AL112" s="100">
        <v>1971</v>
      </c>
      <c r="AM112" s="416"/>
      <c r="AN112" s="322">
        <v>124</v>
      </c>
      <c r="AO112" s="465">
        <v>127</v>
      </c>
      <c r="AP112" s="17"/>
      <c r="AQ112" s="17"/>
      <c r="AR112" s="17"/>
      <c r="AS112" s="17"/>
      <c r="AT112" s="41">
        <v>426</v>
      </c>
      <c r="AU112" s="42">
        <v>472</v>
      </c>
      <c r="AV112" s="17"/>
      <c r="AW112" s="17"/>
      <c r="AX112" s="249">
        <v>3269</v>
      </c>
      <c r="AY112" s="253">
        <v>3643</v>
      </c>
      <c r="AZ112" s="17"/>
      <c r="BA112" s="249">
        <v>3422</v>
      </c>
      <c r="BB112" s="253">
        <v>3620</v>
      </c>
      <c r="BC112" s="20"/>
      <c r="BD112" s="20"/>
      <c r="BE112" s="19"/>
      <c r="BF112" s="20"/>
      <c r="BG112" s="17"/>
      <c r="BH112" s="17"/>
      <c r="BI112" s="17"/>
      <c r="BJ112" s="17"/>
      <c r="BK112" s="17"/>
      <c r="BL112" s="17"/>
    </row>
    <row r="113" spans="1:64">
      <c r="A113" s="36"/>
      <c r="B113" s="31" t="s">
        <v>347</v>
      </c>
      <c r="C113" s="31"/>
      <c r="D113" s="31"/>
      <c r="E113" s="31"/>
      <c r="F113" s="83" t="s">
        <v>439</v>
      </c>
      <c r="G113" s="31"/>
      <c r="H113" s="31"/>
      <c r="I113" s="31"/>
      <c r="J113" s="31"/>
      <c r="K113" s="304"/>
      <c r="M113" s="413" t="str">
        <f>IFERROR(IF(F109=R113,"→"," "),"")</f>
        <v xml:space="preserve"> </v>
      </c>
      <c r="N113" s="469">
        <v>2102</v>
      </c>
      <c r="O113" s="483">
        <v>2270</v>
      </c>
      <c r="P113" s="483">
        <v>2328</v>
      </c>
      <c r="Q113" s="469">
        <v>2514</v>
      </c>
      <c r="R113" s="472">
        <v>60</v>
      </c>
      <c r="S113" s="100">
        <v>1369</v>
      </c>
      <c r="T113" s="100">
        <v>1506</v>
      </c>
      <c r="U113" s="473"/>
      <c r="V113" s="29" t="s">
        <v>440</v>
      </c>
      <c r="W113" s="29" t="s">
        <v>404</v>
      </c>
      <c r="X113" s="19"/>
      <c r="Y113" s="19"/>
      <c r="Z113" s="17"/>
      <c r="AA113" s="17"/>
      <c r="AB113" s="17"/>
      <c r="AC113" s="17"/>
      <c r="AD113" s="17"/>
      <c r="AE113" s="17"/>
      <c r="AF113" s="17"/>
      <c r="AG113" s="17">
        <v>3027</v>
      </c>
      <c r="AH113" s="249">
        <v>3373</v>
      </c>
      <c r="AI113" s="228" t="s">
        <v>410</v>
      </c>
      <c r="AJ113" s="228">
        <v>1770</v>
      </c>
      <c r="AK113" s="228">
        <v>76</v>
      </c>
      <c r="AL113" s="100">
        <v>2196</v>
      </c>
      <c r="AM113" s="416"/>
      <c r="AN113" s="322">
        <v>127</v>
      </c>
      <c r="AO113" s="465">
        <v>137</v>
      </c>
      <c r="AP113" s="17"/>
      <c r="AQ113" s="17"/>
      <c r="AR113" s="17"/>
      <c r="AS113" s="17"/>
      <c r="AT113" s="41">
        <v>472</v>
      </c>
      <c r="AU113" s="42">
        <v>494</v>
      </c>
      <c r="AV113" s="17"/>
      <c r="AW113" s="17"/>
      <c r="AX113" s="249">
        <v>3643</v>
      </c>
      <c r="AY113" s="253">
        <v>4036</v>
      </c>
      <c r="AZ113" s="17"/>
      <c r="BA113" s="249">
        <v>3620</v>
      </c>
      <c r="BB113" s="253">
        <v>4034</v>
      </c>
      <c r="BC113" s="20"/>
      <c r="BD113" s="20"/>
      <c r="BE113" s="19"/>
      <c r="BF113" s="20"/>
      <c r="BG113" s="17"/>
      <c r="BH113" s="17"/>
      <c r="BI113" s="17"/>
      <c r="BJ113" s="17"/>
      <c r="BK113" s="17"/>
      <c r="BL113" s="17"/>
    </row>
    <row r="114" spans="1:64">
      <c r="A114" s="36"/>
      <c r="B114" s="118" t="s">
        <v>441</v>
      </c>
      <c r="C114" s="31"/>
      <c r="D114" s="31"/>
      <c r="E114" s="31"/>
      <c r="F114" s="499">
        <f>IF(F106="Any Type",V95,IF(F106="Steel Core",W93,IF(F106="Steel Core 1960 N/mm^2",X93,)))/100</f>
        <v>2.02</v>
      </c>
      <c r="G114" s="31" t="s">
        <v>442</v>
      </c>
      <c r="H114" s="17"/>
      <c r="I114" s="31"/>
      <c r="J114" s="31"/>
      <c r="K114" s="304"/>
      <c r="L114" s="500" t="str">
        <f>HYPERLINK("\\Manish-pc\e\03 General\Manish\Selection\USHA_MARTIN_ROPE.pdf","Usha Martine Catalog")</f>
        <v>Usha Martine Catalog</v>
      </c>
      <c r="M114" s="413" t="str">
        <f>IFERROR(IF(F109=R114,"→"," "),"")</f>
        <v xml:space="preserve"> </v>
      </c>
      <c r="N114" s="469">
        <v>2392</v>
      </c>
      <c r="O114" s="483">
        <v>2583</v>
      </c>
      <c r="P114" s="483">
        <v>2648</v>
      </c>
      <c r="Q114" s="469">
        <v>2860</v>
      </c>
      <c r="R114" s="472">
        <v>64</v>
      </c>
      <c r="S114" s="100">
        <v>1557</v>
      </c>
      <c r="T114" s="100">
        <v>1713</v>
      </c>
      <c r="U114" s="473"/>
      <c r="V114" s="29" t="s">
        <v>443</v>
      </c>
      <c r="W114" s="143" t="s">
        <v>444</v>
      </c>
      <c r="X114" s="19"/>
      <c r="Y114" s="19"/>
      <c r="Z114" s="17"/>
      <c r="AA114" s="17"/>
      <c r="AB114" s="17"/>
      <c r="AC114" s="17"/>
      <c r="AD114" s="17"/>
      <c r="AE114" s="17"/>
      <c r="AF114" s="17"/>
      <c r="AG114" s="17">
        <v>3373</v>
      </c>
      <c r="AH114" s="249">
        <v>3737</v>
      </c>
      <c r="AI114" s="228" t="s">
        <v>410</v>
      </c>
      <c r="AJ114" s="228">
        <v>1770</v>
      </c>
      <c r="AK114" s="228">
        <v>80</v>
      </c>
      <c r="AL114" s="100">
        <v>2433</v>
      </c>
      <c r="AM114" s="416"/>
      <c r="AN114" s="322">
        <v>137</v>
      </c>
      <c r="AO114" s="465">
        <v>149</v>
      </c>
      <c r="AP114" s="17"/>
      <c r="AQ114" s="17"/>
      <c r="AR114" s="17"/>
      <c r="AS114" s="17"/>
      <c r="AT114" s="41">
        <v>494</v>
      </c>
      <c r="AU114" s="42">
        <v>548</v>
      </c>
      <c r="AV114" s="17"/>
      <c r="AW114" s="17"/>
      <c r="AX114" s="249">
        <v>4036</v>
      </c>
      <c r="AY114" s="253">
        <v>4450</v>
      </c>
      <c r="AZ114" s="17"/>
      <c r="BA114" s="249">
        <v>4034</v>
      </c>
      <c r="BB114" s="253">
        <v>4469</v>
      </c>
      <c r="BC114" s="20"/>
      <c r="BD114" s="20"/>
      <c r="BE114" s="19"/>
      <c r="BF114" s="20"/>
      <c r="BG114" s="17"/>
      <c r="BH114" s="17"/>
      <c r="BI114" s="17"/>
      <c r="BJ114" s="17"/>
      <c r="BK114" s="17"/>
      <c r="BL114" s="17"/>
    </row>
    <row r="115" spans="1:64" ht="14.65" thickBot="1">
      <c r="A115" s="36"/>
      <c r="B115" s="31" t="s">
        <v>445</v>
      </c>
      <c r="C115" s="31"/>
      <c r="D115" s="31"/>
      <c r="E115" s="31"/>
      <c r="F115" s="502">
        <f>'E Data'!D19*1.25*'E Data'!D41</f>
        <v>75</v>
      </c>
      <c r="G115" s="31" t="s">
        <v>446</v>
      </c>
      <c r="H115" s="31"/>
      <c r="I115" s="31"/>
      <c r="J115" s="31"/>
      <c r="K115" s="304"/>
      <c r="L115" s="157" t="str">
        <f>HYPERLINK("Z:\Marketing Common\Dhrumil\Selection\","Selection Folder")</f>
        <v>Selection Folder</v>
      </c>
      <c r="M115" s="413" t="str">
        <f>IFERROR(IF(F109=R115,"→"," "),"")</f>
        <v xml:space="preserve"> </v>
      </c>
      <c r="N115" s="469">
        <v>2700</v>
      </c>
      <c r="O115" s="483">
        <v>2916</v>
      </c>
      <c r="P115" s="483">
        <v>2990</v>
      </c>
      <c r="Q115" s="469">
        <v>3229</v>
      </c>
      <c r="R115" s="472">
        <v>68</v>
      </c>
      <c r="S115" s="100">
        <v>1758</v>
      </c>
      <c r="T115" s="100">
        <v>1934</v>
      </c>
      <c r="U115" s="473"/>
      <c r="V115" s="143" t="s">
        <v>447</v>
      </c>
      <c r="W115" s="19"/>
      <c r="X115" s="19"/>
      <c r="Y115" s="19"/>
      <c r="Z115" s="17"/>
      <c r="AA115" s="17"/>
      <c r="AB115" s="17"/>
      <c r="AC115" s="17"/>
      <c r="AD115" s="17"/>
      <c r="AE115" s="17"/>
      <c r="AF115" s="17"/>
      <c r="AG115" s="17">
        <v>3737</v>
      </c>
      <c r="AH115" s="249">
        <v>4120</v>
      </c>
      <c r="AI115" s="228" t="s">
        <v>410</v>
      </c>
      <c r="AJ115" s="228">
        <v>1770</v>
      </c>
      <c r="AK115" s="228">
        <v>84</v>
      </c>
      <c r="AL115" s="100">
        <v>2683</v>
      </c>
      <c r="AM115" s="416"/>
      <c r="AN115" s="322">
        <v>149</v>
      </c>
      <c r="AO115" s="465">
        <v>161</v>
      </c>
      <c r="AP115" s="17"/>
      <c r="AQ115" s="17"/>
      <c r="AR115" s="17"/>
      <c r="AS115" s="17"/>
      <c r="AT115" s="41">
        <v>548</v>
      </c>
      <c r="AU115" s="42">
        <v>646</v>
      </c>
      <c r="AV115" s="17"/>
      <c r="AW115" s="17"/>
      <c r="AX115" s="256">
        <v>4450</v>
      </c>
      <c r="AY115" s="257">
        <v>4664</v>
      </c>
      <c r="AZ115" s="17"/>
      <c r="BA115" s="249">
        <v>4469</v>
      </c>
      <c r="BB115" s="253">
        <v>4928</v>
      </c>
      <c r="BC115" s="20"/>
      <c r="BD115" s="20"/>
      <c r="BE115" s="19"/>
      <c r="BF115" s="20"/>
      <c r="BG115" s="17"/>
      <c r="BH115" s="17"/>
      <c r="BI115" s="17"/>
      <c r="BJ115" s="17"/>
      <c r="BK115" s="17"/>
      <c r="BL115" s="17"/>
    </row>
    <row r="116" spans="1:64" ht="14.65" thickBot="1">
      <c r="A116" s="36"/>
      <c r="B116" s="182" t="s">
        <v>448</v>
      </c>
      <c r="C116" s="20"/>
      <c r="D116" s="20"/>
      <c r="E116" s="20"/>
      <c r="F116" s="504">
        <f>F114*F115</f>
        <v>151.5</v>
      </c>
      <c r="G116" s="31" t="s">
        <v>449</v>
      </c>
      <c r="H116" s="20"/>
      <c r="I116" s="20"/>
      <c r="J116" s="20"/>
      <c r="K116" s="304"/>
      <c r="M116" s="413" t="str">
        <f>IFERROR(IF(F109=R116,"→"," "),"")</f>
        <v xml:space="preserve"> </v>
      </c>
      <c r="N116" s="469">
        <v>2861</v>
      </c>
      <c r="O116" s="483">
        <v>3090</v>
      </c>
      <c r="P116" s="483">
        <v>3168</v>
      </c>
      <c r="Q116" s="469">
        <v>3422</v>
      </c>
      <c r="R116" s="472">
        <v>70</v>
      </c>
      <c r="S116" s="100">
        <v>1863</v>
      </c>
      <c r="T116" s="100">
        <v>2049</v>
      </c>
      <c r="U116" s="473"/>
      <c r="V116" s="143" t="s">
        <v>450</v>
      </c>
      <c r="W116" s="19"/>
      <c r="X116" s="19"/>
      <c r="Y116" s="19"/>
      <c r="Z116" s="17"/>
      <c r="AA116" s="17"/>
      <c r="AB116" s="17"/>
      <c r="AC116" s="17"/>
      <c r="AD116" s="17"/>
      <c r="AE116" s="17"/>
      <c r="AF116" s="17"/>
      <c r="AG116" s="17">
        <v>4120</v>
      </c>
      <c r="AH116" s="249">
        <v>4319</v>
      </c>
      <c r="AI116" s="228" t="s">
        <v>410</v>
      </c>
      <c r="AJ116" s="228">
        <v>1770</v>
      </c>
      <c r="AK116" s="228">
        <v>86</v>
      </c>
      <c r="AL116" s="100">
        <v>2812</v>
      </c>
      <c r="AM116" s="416"/>
      <c r="AN116" s="322">
        <v>161</v>
      </c>
      <c r="AO116" s="465">
        <v>166</v>
      </c>
      <c r="AP116" s="17"/>
      <c r="AQ116" s="17"/>
      <c r="AR116" s="17"/>
      <c r="AS116" s="17"/>
      <c r="AT116" s="41">
        <v>646</v>
      </c>
      <c r="AU116" s="42">
        <v>715</v>
      </c>
      <c r="AV116" s="17"/>
      <c r="AW116" s="17"/>
      <c r="AX116" s="258">
        <v>4664</v>
      </c>
      <c r="AY116" s="17"/>
      <c r="AZ116" s="17"/>
      <c r="BA116" s="256">
        <v>4928</v>
      </c>
      <c r="BB116" s="257">
        <v>5165</v>
      </c>
      <c r="BC116" s="20"/>
      <c r="BD116" s="20"/>
      <c r="BE116" s="19"/>
      <c r="BF116" s="20"/>
      <c r="BG116" s="17"/>
      <c r="BH116" s="17"/>
      <c r="BI116" s="17"/>
      <c r="BJ116" s="17"/>
      <c r="BK116" s="17"/>
      <c r="BL116" s="17"/>
    </row>
    <row r="117" spans="1:64" ht="14.65" thickBot="1">
      <c r="A117" s="36"/>
      <c r="B117" s="20"/>
      <c r="C117" s="20"/>
      <c r="D117" s="20"/>
      <c r="E117" s="20"/>
      <c r="F117" s="20"/>
      <c r="G117" s="17"/>
      <c r="H117" s="20"/>
      <c r="I117" s="20"/>
      <c r="J117" s="20"/>
      <c r="K117" s="20"/>
      <c r="M117" s="413" t="str">
        <f>IFERROR(IF(F109=R117,"→"," "),"")</f>
        <v xml:space="preserve"> </v>
      </c>
      <c r="N117" s="469">
        <v>3027</v>
      </c>
      <c r="O117" s="483">
        <v>3269</v>
      </c>
      <c r="P117" s="483">
        <v>3352</v>
      </c>
      <c r="Q117" s="469">
        <v>3620</v>
      </c>
      <c r="R117" s="472">
        <v>72</v>
      </c>
      <c r="S117" s="100">
        <v>1971</v>
      </c>
      <c r="T117" s="100">
        <v>2168</v>
      </c>
      <c r="U117" s="473"/>
      <c r="V117" s="19"/>
      <c r="W117" s="19"/>
      <c r="X117" s="19"/>
      <c r="Y117" s="19"/>
      <c r="Z117" s="17"/>
      <c r="AA117" s="17"/>
      <c r="AB117" s="17"/>
      <c r="AC117" s="17"/>
      <c r="AD117" s="17"/>
      <c r="AE117" s="17"/>
      <c r="AF117" s="17"/>
      <c r="AG117" s="20">
        <v>0</v>
      </c>
      <c r="AH117" s="252">
        <v>40</v>
      </c>
      <c r="AI117" s="259" t="s">
        <v>404</v>
      </c>
      <c r="AJ117" s="259">
        <v>1770</v>
      </c>
      <c r="AK117" s="259">
        <v>8</v>
      </c>
      <c r="AL117" s="100">
        <v>26.8</v>
      </c>
      <c r="AM117" s="416"/>
      <c r="AN117" s="322">
        <v>166</v>
      </c>
      <c r="AO117" s="465">
        <v>179</v>
      </c>
      <c r="AP117" s="17"/>
      <c r="AQ117" s="17"/>
      <c r="AR117" s="17"/>
      <c r="AS117" s="17"/>
      <c r="AT117" s="41">
        <v>715</v>
      </c>
      <c r="AU117" s="42">
        <v>817</v>
      </c>
      <c r="AV117" s="17"/>
      <c r="AW117" s="17"/>
      <c r="AX117" s="17"/>
      <c r="AY117" s="17"/>
      <c r="AZ117" s="17"/>
      <c r="BA117" s="260">
        <v>5165</v>
      </c>
      <c r="BB117" s="20"/>
      <c r="BC117" s="20"/>
      <c r="BD117" s="20"/>
      <c r="BE117" s="19"/>
      <c r="BF117" s="20"/>
      <c r="BG117" s="17"/>
      <c r="BH117" s="17"/>
      <c r="BI117" s="17"/>
      <c r="BJ117" s="17"/>
      <c r="BK117" s="17"/>
      <c r="BL117" s="17"/>
    </row>
    <row r="118" spans="1:64" ht="14.65" thickBot="1">
      <c r="A118" s="36"/>
      <c r="B118" s="182" t="s">
        <v>274</v>
      </c>
      <c r="C118" s="20"/>
      <c r="D118" s="20"/>
      <c r="E118" s="17"/>
      <c r="F118" s="2483">
        <f>BI110</f>
        <v>471</v>
      </c>
      <c r="G118" s="31" t="s">
        <v>389</v>
      </c>
      <c r="H118" s="417" t="s">
        <v>451</v>
      </c>
      <c r="I118" s="505">
        <v>0.15</v>
      </c>
      <c r="J118" s="3527">
        <f>(100%-I118)*F118</f>
        <v>400.34999999999997</v>
      </c>
      <c r="K118" s="507" t="s">
        <v>389</v>
      </c>
      <c r="L118" s="2511" t="str">
        <f>HYPERLINK("\\\\\\SERVER\e\07 Data Bank\Wire Rope\Wire Rope Price 1.7.23.pdf","Wire Rope")</f>
        <v>Wire Rope</v>
      </c>
      <c r="M118" s="413" t="str">
        <f>IFERROR(IF(F109=R118,"→"," "),"")</f>
        <v xml:space="preserve"> </v>
      </c>
      <c r="N118" s="469">
        <v>3373</v>
      </c>
      <c r="O118" s="469">
        <v>3643</v>
      </c>
      <c r="P118" s="469">
        <v>3735</v>
      </c>
      <c r="Q118" s="469">
        <v>4034</v>
      </c>
      <c r="R118" s="472">
        <v>76</v>
      </c>
      <c r="S118" s="100">
        <v>2196</v>
      </c>
      <c r="T118" s="100">
        <v>2416</v>
      </c>
      <c r="U118" s="473"/>
      <c r="V118" s="19"/>
      <c r="W118" s="19"/>
      <c r="X118" s="19"/>
      <c r="Y118" s="19"/>
      <c r="Z118" s="17"/>
      <c r="AA118" s="17"/>
      <c r="AB118" s="17"/>
      <c r="AC118" s="17"/>
      <c r="AD118" s="17"/>
      <c r="AE118" s="17"/>
      <c r="AF118" s="17"/>
      <c r="AG118" s="67">
        <v>40</v>
      </c>
      <c r="AH118" s="249">
        <v>51</v>
      </c>
      <c r="AI118" s="228" t="s">
        <v>404</v>
      </c>
      <c r="AJ118" s="228">
        <v>1770</v>
      </c>
      <c r="AK118" s="228">
        <v>9</v>
      </c>
      <c r="AL118" s="100">
        <v>33.9</v>
      </c>
      <c r="AM118" s="416"/>
      <c r="AN118" s="322">
        <v>179</v>
      </c>
      <c r="AO118" s="465">
        <v>189</v>
      </c>
      <c r="AP118" s="17"/>
      <c r="AQ118" s="17"/>
      <c r="AR118" s="17"/>
      <c r="AS118" s="17"/>
      <c r="AT118" s="41">
        <v>817</v>
      </c>
      <c r="AU118" s="42">
        <v>905</v>
      </c>
      <c r="AV118" s="20"/>
      <c r="AW118" s="20"/>
      <c r="AX118" s="20"/>
      <c r="AY118" s="20"/>
      <c r="AZ118" s="19"/>
      <c r="BA118" s="20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</row>
    <row r="119" spans="1:64" ht="14.65" thickBot="1">
      <c r="A119" s="36"/>
      <c r="B119" s="20"/>
      <c r="C119" s="20"/>
      <c r="D119" s="20"/>
      <c r="E119" s="20"/>
      <c r="F119" s="508"/>
      <c r="G119" s="20"/>
      <c r="H119" s="20"/>
      <c r="I119" s="20"/>
      <c r="J119" s="20"/>
      <c r="K119" s="304"/>
      <c r="M119" s="413" t="str">
        <f>IFERROR(IF(F109=R119,"→"," "),"")</f>
        <v xml:space="preserve"> </v>
      </c>
      <c r="N119" s="469">
        <v>3737</v>
      </c>
      <c r="O119" s="469">
        <v>4036</v>
      </c>
      <c r="P119" s="469">
        <v>4138</v>
      </c>
      <c r="Q119" s="469">
        <v>4469</v>
      </c>
      <c r="R119" s="472">
        <v>80</v>
      </c>
      <c r="S119" s="100">
        <v>2433</v>
      </c>
      <c r="T119" s="100">
        <v>2676</v>
      </c>
      <c r="U119" s="473"/>
      <c r="V119" s="19"/>
      <c r="AF119" s="17"/>
      <c r="AG119" s="17">
        <v>51</v>
      </c>
      <c r="AH119" s="249">
        <v>63</v>
      </c>
      <c r="AI119" s="228" t="s">
        <v>404</v>
      </c>
      <c r="AJ119" s="228">
        <v>1770</v>
      </c>
      <c r="AK119" s="228">
        <v>10</v>
      </c>
      <c r="AL119" s="100">
        <v>41.8</v>
      </c>
      <c r="AM119" s="416"/>
      <c r="AN119" s="322">
        <v>189</v>
      </c>
      <c r="AO119" s="465">
        <v>204</v>
      </c>
      <c r="AP119" s="17"/>
      <c r="AQ119" s="17"/>
      <c r="AR119" s="17"/>
      <c r="AS119" s="17"/>
      <c r="AT119" s="41">
        <v>905</v>
      </c>
      <c r="AU119" s="42">
        <v>911</v>
      </c>
      <c r="AV119" s="20"/>
      <c r="AW119" s="20"/>
      <c r="AX119" s="20"/>
      <c r="AY119" s="20"/>
      <c r="AZ119" s="19"/>
      <c r="BA119" s="20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</row>
    <row r="120" spans="1:64">
      <c r="A120" s="3769" t="s">
        <v>1</v>
      </c>
      <c r="B120" s="3770"/>
      <c r="C120" s="3770"/>
      <c r="D120" s="3770"/>
      <c r="E120" s="3771"/>
      <c r="F120" s="3735" t="s">
        <v>109</v>
      </c>
      <c r="G120" s="3736"/>
      <c r="H120" s="3737"/>
      <c r="I120" s="3738" t="s">
        <v>2</v>
      </c>
      <c r="J120" s="3739"/>
      <c r="K120" s="3740"/>
      <c r="M120" s="413" t="str">
        <f>IFERROR(IF(F109=R120,"→"," "),"")</f>
        <v xml:space="preserve"> </v>
      </c>
      <c r="N120" s="469">
        <v>4120</v>
      </c>
      <c r="O120" s="469">
        <v>4450</v>
      </c>
      <c r="P120" s="469">
        <v>4562</v>
      </c>
      <c r="Q120" s="469">
        <v>4928</v>
      </c>
      <c r="R120" s="472">
        <v>84</v>
      </c>
      <c r="S120" s="100">
        <v>2683</v>
      </c>
      <c r="T120" s="100">
        <v>2951</v>
      </c>
      <c r="U120" s="473"/>
      <c r="V120" s="19"/>
      <c r="AF120" s="17"/>
      <c r="AG120" s="17">
        <v>63</v>
      </c>
      <c r="AH120" s="249">
        <v>76</v>
      </c>
      <c r="AI120" s="228" t="s">
        <v>404</v>
      </c>
      <c r="AJ120" s="228">
        <v>1770</v>
      </c>
      <c r="AK120" s="228">
        <v>11</v>
      </c>
      <c r="AL120" s="100">
        <v>50.6</v>
      </c>
      <c r="AM120" s="416"/>
      <c r="AN120" s="322">
        <v>204</v>
      </c>
      <c r="AO120" s="465">
        <v>209</v>
      </c>
      <c r="AP120" s="17"/>
      <c r="AQ120" s="17"/>
      <c r="AR120" s="17"/>
      <c r="AS120" s="17"/>
      <c r="AT120" s="41">
        <v>911</v>
      </c>
      <c r="AU120" s="42">
        <v>1008</v>
      </c>
      <c r="AV120" s="20"/>
      <c r="AW120" s="20"/>
      <c r="AX120" s="20"/>
      <c r="AY120" s="20"/>
      <c r="AZ120" s="19"/>
      <c r="BA120" s="20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</row>
    <row r="121" spans="1:64">
      <c r="A121" s="3741" t="str">
        <f>+A85</f>
        <v>ELITEMHE INDUSTRIES LIMITED</v>
      </c>
      <c r="B121" s="3742"/>
      <c r="C121" s="3742"/>
      <c r="D121" s="3742"/>
      <c r="E121" s="3743"/>
      <c r="F121" s="3744" t="str">
        <f>F85</f>
        <v xml:space="preserve">25/15T D/G EOT CRANE  </v>
      </c>
      <c r="G121" s="3695"/>
      <c r="H121" s="3745"/>
      <c r="I121" s="3746">
        <f>I85</f>
        <v>0</v>
      </c>
      <c r="J121" s="3747"/>
      <c r="K121" s="3748"/>
      <c r="L121" s="19"/>
      <c r="M121" s="413" t="str">
        <f>IFERROR(IF(F109=R121,"→"," "),"")</f>
        <v xml:space="preserve"> </v>
      </c>
      <c r="N121" s="469">
        <v>4319</v>
      </c>
      <c r="O121" s="469">
        <v>4664</v>
      </c>
      <c r="P121" s="469">
        <v>4782</v>
      </c>
      <c r="Q121" s="469">
        <v>5165</v>
      </c>
      <c r="R121" s="472">
        <v>86</v>
      </c>
      <c r="S121" s="100">
        <v>2812</v>
      </c>
      <c r="T121" s="100">
        <v>3093</v>
      </c>
      <c r="U121" s="473"/>
      <c r="V121" s="19"/>
      <c r="AF121" s="17"/>
      <c r="AG121" s="17">
        <v>76</v>
      </c>
      <c r="AH121" s="249">
        <v>91</v>
      </c>
      <c r="AI121" s="228" t="s">
        <v>404</v>
      </c>
      <c r="AJ121" s="228">
        <v>1770</v>
      </c>
      <c r="AK121" s="228">
        <v>12</v>
      </c>
      <c r="AL121" s="100">
        <v>60.2</v>
      </c>
      <c r="AM121" s="416"/>
      <c r="AN121" s="322">
        <v>209</v>
      </c>
      <c r="AO121" s="338">
        <v>211</v>
      </c>
      <c r="AP121" s="17"/>
      <c r="AQ121" s="17"/>
      <c r="AR121" s="17"/>
      <c r="AS121" s="17"/>
      <c r="AT121" s="41">
        <v>1008</v>
      </c>
      <c r="AU121" s="42">
        <v>1009</v>
      </c>
      <c r="AV121" s="20"/>
      <c r="AW121" s="20"/>
      <c r="AX121" s="20"/>
      <c r="AY121" s="20"/>
      <c r="AZ121" s="19"/>
      <c r="BA121" s="20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</row>
    <row r="122" spans="1:64">
      <c r="A122" s="3756" t="e">
        <f>A86</f>
        <v>#REF!</v>
      </c>
      <c r="B122" s="3757"/>
      <c r="C122" s="3757"/>
      <c r="D122" s="3757"/>
      <c r="E122" s="3758"/>
      <c r="F122" s="3759" t="s">
        <v>122</v>
      </c>
      <c r="G122" s="3760"/>
      <c r="H122" s="3761"/>
      <c r="I122" s="3750" t="s">
        <v>452</v>
      </c>
      <c r="J122" s="3751"/>
      <c r="K122" s="3752"/>
      <c r="L122" s="19"/>
      <c r="M122" s="19"/>
      <c r="O122" s="19"/>
      <c r="P122" s="19"/>
      <c r="Q122" s="19"/>
      <c r="R122" s="19"/>
      <c r="S122" s="19"/>
      <c r="T122" s="19"/>
      <c r="U122" s="19"/>
      <c r="V122" s="19"/>
      <c r="AF122" s="17"/>
      <c r="AG122" s="17">
        <v>91</v>
      </c>
      <c r="AH122" s="249">
        <v>107</v>
      </c>
      <c r="AI122" s="228" t="s">
        <v>404</v>
      </c>
      <c r="AJ122" s="228">
        <v>1770</v>
      </c>
      <c r="AK122" s="228">
        <v>13</v>
      </c>
      <c r="AL122" s="100">
        <v>70.069999999999993</v>
      </c>
      <c r="AM122" s="416"/>
      <c r="AN122" s="311">
        <v>211</v>
      </c>
      <c r="AO122" s="338">
        <v>226</v>
      </c>
      <c r="AP122" s="17"/>
      <c r="AQ122" s="17"/>
      <c r="AR122" s="17"/>
      <c r="AS122" s="17"/>
      <c r="AT122" s="41">
        <v>1009</v>
      </c>
      <c r="AU122" s="42">
        <v>1117</v>
      </c>
      <c r="AV122" s="20"/>
      <c r="AW122" s="20"/>
      <c r="AX122" s="20"/>
      <c r="AY122" s="20"/>
      <c r="AZ122" s="19"/>
      <c r="BA122" s="20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</row>
    <row r="123" spans="1:64">
      <c r="A123" s="406" t="s">
        <v>32</v>
      </c>
      <c r="B123" s="407" t="e">
        <f>B87</f>
        <v>#REF!</v>
      </c>
      <c r="C123" s="407"/>
      <c r="D123" s="407"/>
      <c r="E123" s="408"/>
      <c r="F123" s="3762" t="str">
        <f>F87</f>
        <v xml:space="preserve"> </v>
      </c>
      <c r="G123" s="3742"/>
      <c r="H123" s="3743"/>
      <c r="I123" s="3753"/>
      <c r="J123" s="3754"/>
      <c r="K123" s="3755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AF123" s="17"/>
      <c r="AG123" s="17">
        <v>107</v>
      </c>
      <c r="AH123" s="249">
        <v>124</v>
      </c>
      <c r="AI123" s="228" t="s">
        <v>404</v>
      </c>
      <c r="AJ123" s="228">
        <v>1770</v>
      </c>
      <c r="AK123" s="228">
        <v>14</v>
      </c>
      <c r="AL123" s="100">
        <v>82</v>
      </c>
      <c r="AM123" s="416"/>
      <c r="AN123" s="311">
        <v>226</v>
      </c>
      <c r="AO123" s="465">
        <v>228</v>
      </c>
      <c r="AP123" s="17"/>
      <c r="AQ123" s="17"/>
      <c r="AR123" s="17"/>
      <c r="AS123" s="17"/>
      <c r="AT123" s="41">
        <v>1117</v>
      </c>
      <c r="AU123" s="42">
        <v>1221</v>
      </c>
      <c r="AV123" s="20"/>
      <c r="AW123" s="20"/>
      <c r="AX123" s="20"/>
      <c r="AY123" s="20"/>
      <c r="AZ123" s="19"/>
      <c r="BA123" s="20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</row>
    <row r="124" spans="1:64">
      <c r="A124" s="313"/>
      <c r="B124" s="19"/>
      <c r="C124" s="19"/>
      <c r="D124" s="19"/>
      <c r="E124" s="297"/>
      <c r="F124" s="51"/>
      <c r="G124" s="51"/>
      <c r="H124" s="51"/>
      <c r="I124" s="59"/>
      <c r="J124" s="59"/>
      <c r="K124" s="468"/>
      <c r="L124" s="294"/>
      <c r="M124" s="510"/>
      <c r="N124" s="510"/>
      <c r="O124" s="511"/>
      <c r="P124" s="2546" t="s">
        <v>453</v>
      </c>
      <c r="Q124" s="2546" t="s">
        <v>454</v>
      </c>
      <c r="T124" s="17"/>
      <c r="AF124" s="17"/>
      <c r="AG124" s="17">
        <v>124</v>
      </c>
      <c r="AH124" s="249">
        <v>161</v>
      </c>
      <c r="AI124" s="228" t="s">
        <v>404</v>
      </c>
      <c r="AJ124" s="228">
        <v>1770</v>
      </c>
      <c r="AK124" s="228">
        <v>16</v>
      </c>
      <c r="AL124" s="100">
        <v>107</v>
      </c>
      <c r="AM124" s="416"/>
      <c r="AN124" s="322">
        <v>228</v>
      </c>
      <c r="AO124" s="465">
        <v>233</v>
      </c>
      <c r="AP124" s="17"/>
      <c r="AQ124" s="17"/>
      <c r="AR124" s="17"/>
      <c r="AS124" s="17"/>
      <c r="AT124" s="41">
        <v>1221</v>
      </c>
      <c r="AU124" s="42">
        <v>1352</v>
      </c>
      <c r="AV124" s="20"/>
      <c r="AW124" s="20"/>
      <c r="AX124" s="20"/>
      <c r="AY124" s="20"/>
      <c r="AZ124" s="19"/>
      <c r="BA124" s="20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</row>
    <row r="125" spans="1:64">
      <c r="A125" s="305">
        <v>8</v>
      </c>
      <c r="B125" s="182" t="s">
        <v>455</v>
      </c>
      <c r="C125" s="20"/>
      <c r="D125" s="20"/>
      <c r="E125" s="20"/>
      <c r="F125" s="20"/>
      <c r="G125" s="20"/>
      <c r="H125" s="20"/>
      <c r="I125" s="20"/>
      <c r="J125" s="88"/>
      <c r="K125" s="304"/>
      <c r="L125" s="17"/>
      <c r="M125" s="2547" t="s">
        <v>456</v>
      </c>
      <c r="N125" s="2548" t="s">
        <v>457</v>
      </c>
      <c r="O125" s="17"/>
      <c r="P125" s="311">
        <v>1</v>
      </c>
      <c r="Q125" s="311" t="s">
        <v>458</v>
      </c>
      <c r="T125" s="17"/>
      <c r="AF125" s="17"/>
      <c r="AG125" s="17">
        <v>161</v>
      </c>
      <c r="AH125" s="249">
        <v>204</v>
      </c>
      <c r="AI125" s="228" t="s">
        <v>404</v>
      </c>
      <c r="AJ125" s="228">
        <v>1770</v>
      </c>
      <c r="AK125" s="228">
        <v>18</v>
      </c>
      <c r="AL125" s="100">
        <v>135</v>
      </c>
      <c r="AM125" s="416"/>
      <c r="AN125" s="322">
        <v>233</v>
      </c>
      <c r="AO125" s="338">
        <v>234</v>
      </c>
      <c r="AP125" s="17"/>
      <c r="AQ125" s="17"/>
      <c r="AR125" s="17"/>
      <c r="AS125" s="17"/>
      <c r="AT125" s="41">
        <v>1352</v>
      </c>
      <c r="AU125" s="42">
        <v>1453</v>
      </c>
      <c r="AV125" s="20"/>
      <c r="AW125" s="20"/>
      <c r="AX125" s="20"/>
      <c r="AY125" s="20"/>
      <c r="AZ125" s="19"/>
      <c r="BA125" s="20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</row>
    <row r="126" spans="1:64">
      <c r="A126" s="36"/>
      <c r="B126" s="20"/>
      <c r="C126" s="20"/>
      <c r="D126" s="20"/>
      <c r="E126" s="20"/>
      <c r="F126" s="20"/>
      <c r="G126" s="20"/>
      <c r="H126" s="20"/>
      <c r="I126" s="20"/>
      <c r="J126" s="513" t="str">
        <f>IF(J132&lt;=609.6,"Seamless Tube","Fabricated")</f>
        <v>Seamless Tube</v>
      </c>
      <c r="K126" s="304"/>
      <c r="L126" s="17"/>
      <c r="M126" s="2549" t="s">
        <v>459</v>
      </c>
      <c r="N126" s="2549">
        <v>1</v>
      </c>
      <c r="O126" s="19"/>
      <c r="P126" s="311">
        <v>1.1200000000000001</v>
      </c>
      <c r="Q126" s="311" t="s">
        <v>460</v>
      </c>
      <c r="T126" s="17"/>
      <c r="AF126" s="17"/>
      <c r="AG126" s="17">
        <v>204</v>
      </c>
      <c r="AH126" s="249">
        <v>228</v>
      </c>
      <c r="AI126" s="228" t="s">
        <v>404</v>
      </c>
      <c r="AJ126" s="228">
        <v>1770</v>
      </c>
      <c r="AK126" s="228">
        <v>19</v>
      </c>
      <c r="AL126" s="100">
        <v>151</v>
      </c>
      <c r="AM126" s="416"/>
      <c r="AN126" s="311">
        <v>234</v>
      </c>
      <c r="AO126" s="338">
        <v>252</v>
      </c>
      <c r="AP126" s="17"/>
      <c r="AQ126" s="17"/>
      <c r="AR126" s="17"/>
      <c r="AS126" s="17"/>
      <c r="AT126" s="41">
        <v>1453</v>
      </c>
      <c r="AU126" s="42">
        <v>1609</v>
      </c>
      <c r="AV126" s="20"/>
      <c r="AW126" s="20"/>
      <c r="AX126" s="20"/>
      <c r="AY126" s="20"/>
      <c r="AZ126" s="19"/>
      <c r="BA126" s="20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</row>
    <row r="127" spans="1:64">
      <c r="A127" s="36"/>
      <c r="B127" s="20" t="s">
        <v>461</v>
      </c>
      <c r="C127" s="20"/>
      <c r="D127" s="20"/>
      <c r="E127" s="20"/>
      <c r="F127" s="20" t="s">
        <v>462</v>
      </c>
      <c r="G127" s="20"/>
      <c r="H127" s="20"/>
      <c r="I127" s="20"/>
      <c r="J127" s="20"/>
      <c r="K127" s="304"/>
      <c r="L127" s="17"/>
      <c r="M127" s="2549" t="s">
        <v>463</v>
      </c>
      <c r="N127" s="2549">
        <v>1.1200000000000001</v>
      </c>
      <c r="O127" s="19"/>
      <c r="P127" s="311">
        <v>1.25</v>
      </c>
      <c r="Q127" s="311" t="s">
        <v>464</v>
      </c>
      <c r="R127" s="17"/>
      <c r="T127" s="19"/>
      <c r="AF127" s="17"/>
      <c r="AG127" s="17">
        <v>228</v>
      </c>
      <c r="AH127" s="249">
        <v>305</v>
      </c>
      <c r="AI127" s="228" t="s">
        <v>404</v>
      </c>
      <c r="AJ127" s="228">
        <v>1770</v>
      </c>
      <c r="AK127" s="228">
        <v>22</v>
      </c>
      <c r="AL127" s="100">
        <v>202</v>
      </c>
      <c r="AM127" s="416"/>
      <c r="AN127" s="322">
        <v>252</v>
      </c>
      <c r="AO127" s="465">
        <v>259</v>
      </c>
      <c r="AP127" s="17"/>
      <c r="AQ127" s="17"/>
      <c r="AR127" s="17"/>
      <c r="AS127" s="17"/>
      <c r="AT127" s="41">
        <v>1609</v>
      </c>
      <c r="AU127" s="42">
        <v>1705</v>
      </c>
      <c r="AV127" s="20"/>
      <c r="AW127" s="20"/>
      <c r="AX127" s="20"/>
      <c r="AY127" s="20"/>
      <c r="AZ127" s="19"/>
      <c r="BA127" s="20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</row>
    <row r="128" spans="1:64">
      <c r="A128" s="36"/>
      <c r="B128" s="20" t="s">
        <v>422</v>
      </c>
      <c r="C128" s="51">
        <f>J100</f>
        <v>1.5</v>
      </c>
      <c r="D128" s="51"/>
      <c r="E128" s="20"/>
      <c r="F128" s="20" t="s">
        <v>465</v>
      </c>
      <c r="G128" s="516">
        <f>F109</f>
        <v>22</v>
      </c>
      <c r="H128" s="20" t="s">
        <v>466</v>
      </c>
      <c r="I128" s="20"/>
      <c r="J128" s="20"/>
      <c r="K128" s="304"/>
      <c r="L128" s="17"/>
      <c r="M128" s="2549" t="s">
        <v>467</v>
      </c>
      <c r="N128" s="2549">
        <v>1.25</v>
      </c>
      <c r="O128" s="19"/>
      <c r="P128" s="1094" t="s">
        <v>96</v>
      </c>
      <c r="Q128" s="449" t="s">
        <v>468</v>
      </c>
      <c r="R128" s="1094" t="s">
        <v>469</v>
      </c>
      <c r="T128" s="19"/>
      <c r="U128" s="19"/>
      <c r="V128" s="19"/>
      <c r="AF128" s="17"/>
      <c r="AG128" s="17">
        <v>305</v>
      </c>
      <c r="AH128" s="249">
        <v>363</v>
      </c>
      <c r="AI128" s="228" t="s">
        <v>404</v>
      </c>
      <c r="AJ128" s="228">
        <v>1770</v>
      </c>
      <c r="AK128" s="228">
        <v>24</v>
      </c>
      <c r="AL128" s="100">
        <v>241</v>
      </c>
      <c r="AM128" s="416"/>
      <c r="AN128" s="322">
        <v>259</v>
      </c>
      <c r="AO128" s="465">
        <v>279</v>
      </c>
      <c r="AP128" s="17"/>
      <c r="AQ128" s="17"/>
      <c r="AR128" s="17"/>
      <c r="AS128" s="17"/>
      <c r="AT128" s="41">
        <v>1705</v>
      </c>
      <c r="AU128" s="42">
        <v>1888</v>
      </c>
      <c r="AV128" s="20"/>
      <c r="AW128" s="20"/>
      <c r="AX128" s="20"/>
      <c r="AY128" s="20"/>
      <c r="AZ128" s="19"/>
      <c r="BA128" s="20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</row>
    <row r="129" spans="1:64">
      <c r="A129" s="313"/>
      <c r="B129" s="67" t="s">
        <v>470</v>
      </c>
      <c r="C129" s="20" t="s">
        <v>471</v>
      </c>
      <c r="D129" s="20"/>
      <c r="E129" s="20"/>
      <c r="F129" s="20"/>
      <c r="G129" s="20"/>
      <c r="H129" s="20"/>
      <c r="I129" s="17"/>
      <c r="J129" s="332">
        <f>IF(F110="6X36",1,IF(F110="6X38",1,IF(F110="6X24",1.12,IF(F110="6X19",1.25,IF(F110="18X7",0.95)))))</f>
        <v>1</v>
      </c>
      <c r="K129" s="304"/>
      <c r="L129" s="19"/>
      <c r="M129" s="19"/>
      <c r="N129" s="19"/>
      <c r="O129" s="19"/>
      <c r="P129" s="17"/>
      <c r="T129" s="19"/>
      <c r="U129" s="19"/>
      <c r="V129" s="19"/>
      <c r="AF129" s="17"/>
      <c r="AG129" s="17">
        <v>363</v>
      </c>
      <c r="AH129" s="249">
        <v>426</v>
      </c>
      <c r="AI129" s="228" t="s">
        <v>404</v>
      </c>
      <c r="AJ129" s="228">
        <v>1770</v>
      </c>
      <c r="AK129" s="228">
        <v>26</v>
      </c>
      <c r="AL129" s="100">
        <v>283</v>
      </c>
      <c r="AM129" s="416"/>
      <c r="AN129" s="322">
        <v>279</v>
      </c>
      <c r="AO129" s="465">
        <v>283</v>
      </c>
      <c r="AP129" s="17"/>
      <c r="AQ129" s="17"/>
      <c r="AR129" s="17"/>
      <c r="AS129" s="17"/>
      <c r="AT129" s="41">
        <v>1888</v>
      </c>
      <c r="AU129" s="42">
        <v>1978</v>
      </c>
      <c r="AV129" s="20"/>
      <c r="AW129" s="20"/>
      <c r="AX129" s="20"/>
      <c r="AY129" s="20"/>
      <c r="AZ129" s="19"/>
      <c r="BA129" s="20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</row>
    <row r="130" spans="1:64">
      <c r="A130" s="36"/>
      <c r="B130" s="20" t="s">
        <v>472</v>
      </c>
      <c r="C130" s="20"/>
      <c r="D130" s="20"/>
      <c r="E130" s="20"/>
      <c r="F130" s="20"/>
      <c r="G130" s="20"/>
      <c r="H130" s="20"/>
      <c r="I130" s="67" t="s">
        <v>160</v>
      </c>
      <c r="J130" s="519">
        <f>12*G128*C128*J129</f>
        <v>396</v>
      </c>
      <c r="K130" s="304"/>
      <c r="L130" s="391" t="str">
        <f>HYPERLINK("\\Manish-pc\e\03 General\Manish\Selection\J_S_Tube.pdf","J S Tube")</f>
        <v>J S Tube</v>
      </c>
      <c r="M130" s="19"/>
      <c r="N130" s="17"/>
      <c r="T130" s="19"/>
      <c r="U130" s="19"/>
      <c r="V130" s="19"/>
      <c r="AF130" s="17"/>
      <c r="AG130" s="17">
        <v>426</v>
      </c>
      <c r="AH130" s="249">
        <v>494</v>
      </c>
      <c r="AI130" s="228" t="s">
        <v>404</v>
      </c>
      <c r="AJ130" s="228">
        <v>1770</v>
      </c>
      <c r="AK130" s="228">
        <v>28</v>
      </c>
      <c r="AL130" s="100">
        <v>328</v>
      </c>
      <c r="AM130" s="416"/>
      <c r="AN130" s="322">
        <v>283</v>
      </c>
      <c r="AO130" s="465">
        <v>305</v>
      </c>
      <c r="AP130" s="17"/>
      <c r="AQ130" s="17"/>
      <c r="AR130" s="17"/>
      <c r="AS130" s="17"/>
      <c r="AT130" s="41">
        <v>1978</v>
      </c>
      <c r="AU130" s="42">
        <v>2190</v>
      </c>
      <c r="AV130" s="20"/>
      <c r="AW130" s="20"/>
      <c r="AX130" s="20"/>
      <c r="AY130" s="20"/>
      <c r="AZ130" s="19"/>
      <c r="BA130" s="20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</row>
    <row r="131" spans="1:64">
      <c r="A131" s="36"/>
      <c r="B131" s="20" t="s">
        <v>473</v>
      </c>
      <c r="C131" s="20"/>
      <c r="D131" s="20"/>
      <c r="E131" s="20"/>
      <c r="F131" s="20"/>
      <c r="G131" s="20"/>
      <c r="H131" s="20"/>
      <c r="I131" s="20"/>
      <c r="J131" s="19"/>
      <c r="K131" s="304"/>
      <c r="L131" s="520" t="s">
        <v>474</v>
      </c>
      <c r="M131" s="19"/>
      <c r="N131" s="17"/>
      <c r="O131" s="22">
        <v>10</v>
      </c>
      <c r="T131" s="19"/>
      <c r="U131" s="19"/>
      <c r="V131" s="19"/>
      <c r="AF131" s="17"/>
      <c r="AG131" s="17">
        <v>494</v>
      </c>
      <c r="AH131" s="249">
        <v>646</v>
      </c>
      <c r="AI131" s="228" t="s">
        <v>404</v>
      </c>
      <c r="AJ131" s="228">
        <v>1770</v>
      </c>
      <c r="AK131" s="228">
        <v>32</v>
      </c>
      <c r="AL131" s="100">
        <v>428</v>
      </c>
      <c r="AM131" s="416"/>
      <c r="AN131" s="322">
        <v>305</v>
      </c>
      <c r="AO131" s="465">
        <v>313</v>
      </c>
      <c r="AP131" s="17"/>
      <c r="AQ131" s="17"/>
      <c r="AR131" s="17"/>
      <c r="AS131" s="17"/>
      <c r="AT131" s="41">
        <v>2190</v>
      </c>
      <c r="AU131" s="42">
        <v>2270</v>
      </c>
      <c r="AV131" s="20"/>
      <c r="AW131" s="20"/>
      <c r="AX131" s="20"/>
      <c r="AY131" s="20"/>
      <c r="AZ131" s="19"/>
      <c r="BA131" s="20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</row>
    <row r="132" spans="1:64">
      <c r="A132" s="36"/>
      <c r="B132" s="182" t="s">
        <v>475</v>
      </c>
      <c r="C132" s="20"/>
      <c r="D132" s="20"/>
      <c r="E132" s="20"/>
      <c r="H132" s="521">
        <f>J132-2*J188-2*J187</f>
        <v>387.2</v>
      </c>
      <c r="I132" s="19" t="s">
        <v>476</v>
      </c>
      <c r="J132" s="522">
        <f>+Q134</f>
        <v>406.4</v>
      </c>
      <c r="K132" s="304"/>
      <c r="L132" s="523">
        <f>L171</f>
        <v>4.3553149606299213</v>
      </c>
      <c r="M132" s="19" t="str">
        <f>+J290</f>
        <v>3AH775</v>
      </c>
      <c r="N132" s="17"/>
      <c r="O132" s="22">
        <v>4</v>
      </c>
      <c r="T132" s="19"/>
      <c r="U132" s="19"/>
      <c r="V132" s="524" t="s">
        <v>96</v>
      </c>
      <c r="X132" s="3768" t="s">
        <v>477</v>
      </c>
      <c r="Y132" s="3768"/>
      <c r="Z132" s="3768"/>
      <c r="AA132" s="3768"/>
      <c r="AB132" s="3768"/>
      <c r="AC132" s="3768"/>
      <c r="AF132" s="17"/>
      <c r="AG132" s="17">
        <v>646</v>
      </c>
      <c r="AH132" s="249">
        <v>817</v>
      </c>
      <c r="AI132" s="228" t="s">
        <v>404</v>
      </c>
      <c r="AJ132" s="228">
        <v>1770</v>
      </c>
      <c r="AK132" s="228">
        <v>36</v>
      </c>
      <c r="AL132" s="100">
        <v>542</v>
      </c>
      <c r="AM132" s="416"/>
      <c r="AN132" s="322">
        <v>313</v>
      </c>
      <c r="AO132" s="465">
        <v>336</v>
      </c>
      <c r="AP132" s="17"/>
      <c r="AQ132" s="17"/>
      <c r="AR132" s="17"/>
      <c r="AS132" s="17"/>
      <c r="AT132" s="41">
        <v>2270</v>
      </c>
      <c r="AU132" s="42">
        <v>2514</v>
      </c>
      <c r="AV132" s="20"/>
      <c r="AW132" s="20"/>
      <c r="AX132" s="20"/>
      <c r="AY132" s="20"/>
      <c r="AZ132" s="19"/>
      <c r="BA132" s="20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</row>
    <row r="133" spans="1:64" ht="14.65" thickBot="1">
      <c r="A133" s="36"/>
      <c r="B133" s="20"/>
      <c r="C133" s="17"/>
      <c r="D133" s="17"/>
      <c r="E133" s="20"/>
      <c r="F133" s="20"/>
      <c r="H133" s="17"/>
      <c r="I133" s="20"/>
      <c r="J133" s="19"/>
      <c r="K133" s="304"/>
      <c r="L133" s="577">
        <f>+J171</f>
        <v>1770</v>
      </c>
      <c r="M133" s="19"/>
      <c r="N133" s="19"/>
      <c r="O133" s="19"/>
      <c r="P133" s="17"/>
      <c r="Q133" s="17"/>
      <c r="R133" s="17"/>
      <c r="S133" s="17"/>
      <c r="T133" s="17"/>
      <c r="U133" s="17"/>
      <c r="V133" s="525" t="s">
        <v>478</v>
      </c>
      <c r="X133" s="526" t="s">
        <v>55</v>
      </c>
      <c r="Y133" s="527" t="s">
        <v>479</v>
      </c>
      <c r="Z133" s="527" t="s">
        <v>275</v>
      </c>
      <c r="AA133" s="527"/>
      <c r="AB133" s="527" t="s">
        <v>480</v>
      </c>
      <c r="AC133" s="527" t="s">
        <v>481</v>
      </c>
      <c r="AF133" s="17"/>
      <c r="AG133" s="17">
        <v>817</v>
      </c>
      <c r="AH133" s="249">
        <v>911</v>
      </c>
      <c r="AI133" s="228" t="s">
        <v>404</v>
      </c>
      <c r="AJ133" s="228">
        <v>1770</v>
      </c>
      <c r="AK133" s="228">
        <v>38</v>
      </c>
      <c r="AL133" s="100">
        <v>604</v>
      </c>
      <c r="AM133" s="416"/>
      <c r="AN133" s="322">
        <v>336</v>
      </c>
      <c r="AO133" s="465">
        <v>338</v>
      </c>
      <c r="AP133" s="17"/>
      <c r="AQ133" s="17"/>
      <c r="AR133" s="17"/>
      <c r="AS133" s="17"/>
      <c r="AT133" s="41">
        <v>2514</v>
      </c>
      <c r="AU133" s="42">
        <v>2583</v>
      </c>
      <c r="AV133" s="20"/>
      <c r="AW133" s="20"/>
      <c r="AX133" s="20"/>
      <c r="AY133" s="20"/>
      <c r="AZ133" s="19"/>
      <c r="BA133" s="20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</row>
    <row r="134" spans="1:64" ht="14.65" thickBot="1">
      <c r="A134" s="36"/>
      <c r="B134" s="528" t="s">
        <v>482</v>
      </c>
      <c r="C134" s="529"/>
      <c r="D134" s="529"/>
      <c r="E134" s="529"/>
      <c r="F134" s="529"/>
      <c r="G134" s="529"/>
      <c r="H134" s="530" t="str">
        <f>"As "&amp;'E Data'!D30</f>
        <v>As IS 3177 -1999 &amp; IS 807/800</v>
      </c>
      <c r="I134" s="529"/>
      <c r="J134" s="531"/>
      <c r="K134" s="304"/>
      <c r="Q134" s="19">
        <f>IF(R154&gt;R152,R154,R152)</f>
        <v>406.4</v>
      </c>
      <c r="R134" s="3528" t="s">
        <v>483</v>
      </c>
      <c r="S134" s="191" t="s">
        <v>118</v>
      </c>
      <c r="T134" s="1012" t="s">
        <v>484</v>
      </c>
      <c r="U134" s="17"/>
      <c r="V134" s="533">
        <v>114.3</v>
      </c>
      <c r="X134" s="534">
        <v>5</v>
      </c>
      <c r="Y134" s="535">
        <v>4</v>
      </c>
      <c r="Z134" s="95">
        <v>36</v>
      </c>
      <c r="AA134" s="95" t="s">
        <v>485</v>
      </c>
      <c r="AB134" s="95">
        <v>6212</v>
      </c>
      <c r="AC134" s="95" t="s">
        <v>486</v>
      </c>
      <c r="AF134" s="17"/>
      <c r="AG134" s="17">
        <v>911</v>
      </c>
      <c r="AH134" s="249">
        <v>1009</v>
      </c>
      <c r="AI134" s="228" t="s">
        <v>404</v>
      </c>
      <c r="AJ134" s="228">
        <v>1770</v>
      </c>
      <c r="AK134" s="228">
        <v>40</v>
      </c>
      <c r="AL134" s="100">
        <v>669</v>
      </c>
      <c r="AM134" s="416"/>
      <c r="AN134" s="322">
        <v>338</v>
      </c>
      <c r="AO134" s="465">
        <v>363</v>
      </c>
      <c r="AP134" s="17"/>
      <c r="AQ134" s="17"/>
      <c r="AR134" s="17"/>
      <c r="AS134" s="17"/>
      <c r="AT134" s="41">
        <v>2583</v>
      </c>
      <c r="AU134" s="42">
        <v>2860</v>
      </c>
      <c r="AV134" s="20"/>
      <c r="AW134" s="20"/>
      <c r="AX134" s="20"/>
      <c r="AY134" s="20"/>
      <c r="AZ134" s="19"/>
      <c r="BA134" s="20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</row>
    <row r="135" spans="1:64" ht="14.65" thickBot="1">
      <c r="A135" s="36"/>
      <c r="B135" s="358"/>
      <c r="C135" s="358"/>
      <c r="D135" s="358"/>
      <c r="E135" s="358"/>
      <c r="F135" s="358"/>
      <c r="G135" s="358"/>
      <c r="H135" s="529"/>
      <c r="I135" s="529"/>
      <c r="J135" s="531"/>
      <c r="K135" s="304"/>
      <c r="L135" s="51"/>
      <c r="Q135" s="191" t="s">
        <v>118</v>
      </c>
      <c r="R135" s="532"/>
      <c r="S135" s="536">
        <v>0</v>
      </c>
      <c r="T135" s="537">
        <v>160</v>
      </c>
      <c r="U135" s="17"/>
      <c r="V135" s="538">
        <v>141.30000000000001</v>
      </c>
      <c r="X135" s="539"/>
      <c r="Y135" s="540">
        <v>4</v>
      </c>
      <c r="Z135" s="100">
        <v>50</v>
      </c>
      <c r="AA135" s="100" t="s">
        <v>487</v>
      </c>
      <c r="AB135" s="100">
        <v>6212</v>
      </c>
      <c r="AC135" s="100" t="s">
        <v>488</v>
      </c>
      <c r="AF135" s="17"/>
      <c r="AG135" s="17">
        <v>1009</v>
      </c>
      <c r="AH135" s="249">
        <v>1221</v>
      </c>
      <c r="AI135" s="228" t="s">
        <v>404</v>
      </c>
      <c r="AJ135" s="228">
        <v>1770</v>
      </c>
      <c r="AK135" s="228">
        <v>44</v>
      </c>
      <c r="AL135" s="100">
        <v>810</v>
      </c>
      <c r="AM135" s="416"/>
      <c r="AN135" s="322">
        <v>363</v>
      </c>
      <c r="AO135" s="465">
        <v>372</v>
      </c>
      <c r="AP135" s="17"/>
      <c r="AQ135" s="17"/>
      <c r="AR135" s="17"/>
      <c r="AS135" s="17"/>
      <c r="AT135" s="41">
        <v>2860</v>
      </c>
      <c r="AU135" s="42">
        <v>2916</v>
      </c>
      <c r="AV135" s="20"/>
      <c r="AW135" s="20"/>
      <c r="AX135" s="20"/>
      <c r="AY135" s="20"/>
      <c r="AZ135" s="19"/>
      <c r="BA135" s="20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</row>
    <row r="136" spans="1:64">
      <c r="A136" s="313"/>
      <c r="B136" s="358" t="s">
        <v>489</v>
      </c>
      <c r="C136" s="358"/>
      <c r="D136" s="358"/>
      <c r="E136" s="541">
        <f>IF(L139="B",30,0)</f>
        <v>0</v>
      </c>
      <c r="F136" s="358" t="str">
        <f>IF(L139="A","12*d*Cdf*Crc*Crr "," X  Rope Dia  ( "&amp;G128&amp;" )")</f>
        <v xml:space="preserve">12*d*Cdf*Crc*Crr </v>
      </c>
      <c r="G136" s="358"/>
      <c r="H136" s="529"/>
      <c r="I136" s="529"/>
      <c r="J136" s="542"/>
      <c r="K136" s="304"/>
      <c r="L136" s="543"/>
      <c r="Q136" s="544">
        <v>0</v>
      </c>
      <c r="R136" s="538">
        <v>168.3</v>
      </c>
      <c r="S136" s="536">
        <v>160</v>
      </c>
      <c r="T136" s="537">
        <v>200</v>
      </c>
      <c r="U136" s="17"/>
      <c r="V136" s="538">
        <v>168.3</v>
      </c>
      <c r="X136" s="534">
        <v>8</v>
      </c>
      <c r="Y136" s="540">
        <v>4</v>
      </c>
      <c r="Z136" s="100">
        <v>50</v>
      </c>
      <c r="AA136" s="100" t="s">
        <v>490</v>
      </c>
      <c r="AB136" s="100">
        <v>6216</v>
      </c>
      <c r="AC136" s="100" t="s">
        <v>491</v>
      </c>
      <c r="AF136" s="17"/>
      <c r="AG136" s="17">
        <v>1221</v>
      </c>
      <c r="AH136" s="249">
        <v>1453</v>
      </c>
      <c r="AI136" s="228" t="s">
        <v>404</v>
      </c>
      <c r="AJ136" s="228">
        <v>1770</v>
      </c>
      <c r="AK136" s="228">
        <v>48</v>
      </c>
      <c r="AL136" s="100">
        <v>964</v>
      </c>
      <c r="AM136" s="416"/>
      <c r="AN136" s="322">
        <v>372</v>
      </c>
      <c r="AO136" s="465">
        <v>395</v>
      </c>
      <c r="AP136" s="17"/>
      <c r="AQ136" s="17"/>
      <c r="AR136" s="17"/>
      <c r="AS136" s="17"/>
      <c r="AT136" s="41">
        <v>2916</v>
      </c>
      <c r="AU136" s="42">
        <v>3090</v>
      </c>
      <c r="AV136" s="20"/>
      <c r="AW136" s="20"/>
      <c r="AX136" s="20"/>
      <c r="AY136" s="20"/>
      <c r="AZ136" s="19"/>
      <c r="BA136" s="20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</row>
    <row r="137" spans="1:64">
      <c r="A137" s="36"/>
      <c r="B137" s="358"/>
      <c r="C137" s="529"/>
      <c r="D137" s="529"/>
      <c r="E137" s="529"/>
      <c r="F137" s="529"/>
      <c r="G137" s="529"/>
      <c r="H137" s="529"/>
      <c r="I137" s="529"/>
      <c r="J137" s="542"/>
      <c r="K137" s="304"/>
      <c r="L137" s="545"/>
      <c r="Q137" s="544">
        <v>168.3</v>
      </c>
      <c r="R137" s="538">
        <v>219.1</v>
      </c>
      <c r="S137" s="546">
        <v>200</v>
      </c>
      <c r="T137" s="547">
        <v>250</v>
      </c>
      <c r="U137" s="17"/>
      <c r="V137" s="538">
        <v>219.1</v>
      </c>
      <c r="X137" s="534">
        <v>10</v>
      </c>
      <c r="Y137" s="540">
        <v>4</v>
      </c>
      <c r="Z137" s="100">
        <v>63</v>
      </c>
      <c r="AA137" s="100" t="s">
        <v>492</v>
      </c>
      <c r="AB137" s="100">
        <v>6216</v>
      </c>
      <c r="AC137" s="100"/>
      <c r="AF137" s="17"/>
      <c r="AG137" s="17">
        <v>1453</v>
      </c>
      <c r="AH137" s="249">
        <v>1705</v>
      </c>
      <c r="AI137" s="228" t="s">
        <v>404</v>
      </c>
      <c r="AJ137" s="228">
        <v>1770</v>
      </c>
      <c r="AK137" s="228">
        <v>52</v>
      </c>
      <c r="AL137" s="100">
        <v>1131</v>
      </c>
      <c r="AM137" s="416"/>
      <c r="AN137" s="322">
        <v>395</v>
      </c>
      <c r="AO137" s="465">
        <v>402</v>
      </c>
      <c r="AP137" s="17"/>
      <c r="AQ137" s="17"/>
      <c r="AR137" s="17"/>
      <c r="AS137" s="17"/>
      <c r="AT137" s="41">
        <v>3090</v>
      </c>
      <c r="AU137" s="42">
        <v>3229</v>
      </c>
      <c r="AV137" s="20"/>
      <c r="AW137" s="20"/>
      <c r="AX137" s="20"/>
      <c r="AY137" s="20"/>
      <c r="AZ137" s="19"/>
      <c r="BA137" s="20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</row>
    <row r="138" spans="1:64">
      <c r="A138" s="313"/>
      <c r="B138" s="548" t="str">
        <f>IF(L139="A","Where Crr =","")</f>
        <v>Where Crr =</v>
      </c>
      <c r="C138" s="3782" t="str">
        <f>IF(L139="A","Co-efficient depend on number of pulley in recving &amp; the number of reverse bends (for Nt = 6 to 9)","")</f>
        <v>Co-efficient depend on number of pulley in recving &amp; the number of reverse bends (for Nt = 6 to 9)</v>
      </c>
      <c r="D138" s="3782"/>
      <c r="E138" s="3782"/>
      <c r="F138" s="3782"/>
      <c r="G138" s="3782"/>
      <c r="H138" s="3782"/>
      <c r="I138" s="3782"/>
      <c r="J138" s="549" t="str">
        <f>IF(J98&lt;=5,"1",IF(J98&lt;=9,"1.12",IF(J98&gt;=10,"1.25")))</f>
        <v>1</v>
      </c>
      <c r="K138" s="304"/>
      <c r="L138" s="550" t="str">
        <f>LEFT(H134,10)</f>
        <v>As IS 3177</v>
      </c>
      <c r="Q138" s="544">
        <v>219.1</v>
      </c>
      <c r="R138" s="538">
        <v>273</v>
      </c>
      <c r="S138" s="546">
        <v>250</v>
      </c>
      <c r="T138" s="547">
        <v>320</v>
      </c>
      <c r="U138" s="17"/>
      <c r="V138" s="538">
        <v>273</v>
      </c>
      <c r="X138" s="534"/>
      <c r="Y138" s="540">
        <v>4</v>
      </c>
      <c r="Z138" s="100">
        <v>50</v>
      </c>
      <c r="AA138" s="100" t="s">
        <v>490</v>
      </c>
      <c r="AB138" s="100">
        <v>6216</v>
      </c>
      <c r="AC138" s="100"/>
      <c r="AF138" s="17"/>
      <c r="AG138" s="17">
        <v>1705</v>
      </c>
      <c r="AH138" s="249">
        <v>1978</v>
      </c>
      <c r="AI138" s="228" t="s">
        <v>404</v>
      </c>
      <c r="AJ138" s="228">
        <v>1770</v>
      </c>
      <c r="AK138" s="228">
        <v>56</v>
      </c>
      <c r="AL138" s="100">
        <v>1311</v>
      </c>
      <c r="AM138" s="416"/>
      <c r="AN138" s="322">
        <v>402</v>
      </c>
      <c r="AO138" s="465">
        <v>426</v>
      </c>
      <c r="AP138" s="17"/>
      <c r="AQ138" s="17"/>
      <c r="AR138" s="17"/>
      <c r="AS138" s="17"/>
      <c r="AT138" s="41">
        <v>3229</v>
      </c>
      <c r="AU138" s="42">
        <v>3269</v>
      </c>
      <c r="AV138" s="20"/>
      <c r="AW138" s="20"/>
      <c r="AX138" s="20"/>
      <c r="AY138" s="20"/>
      <c r="AZ138" s="19"/>
      <c r="BA138" s="20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</row>
    <row r="139" spans="1:64">
      <c r="A139" s="36"/>
      <c r="B139" s="358" t="s">
        <v>493</v>
      </c>
      <c r="C139" s="529"/>
      <c r="D139" s="529"/>
      <c r="E139" s="529"/>
      <c r="F139" s="529"/>
      <c r="H139" s="529"/>
      <c r="I139" s="67" t="s">
        <v>160</v>
      </c>
      <c r="J139" s="519">
        <f>J130*J138</f>
        <v>396</v>
      </c>
      <c r="K139" s="551">
        <f>E136*G128</f>
        <v>0</v>
      </c>
      <c r="L139" s="261" t="str">
        <f>'E Data'!N19</f>
        <v>A</v>
      </c>
      <c r="Q139" s="544">
        <v>273</v>
      </c>
      <c r="R139" s="538">
        <v>323.8</v>
      </c>
      <c r="S139" s="546">
        <v>320</v>
      </c>
      <c r="T139" s="547">
        <v>400</v>
      </c>
      <c r="U139" s="17"/>
      <c r="V139" s="538">
        <v>323.8</v>
      </c>
      <c r="X139" s="534">
        <v>12</v>
      </c>
      <c r="Y139" s="540">
        <v>4</v>
      </c>
      <c r="Z139" s="100">
        <v>50</v>
      </c>
      <c r="AA139" s="100" t="s">
        <v>494</v>
      </c>
      <c r="AB139" s="100">
        <v>6218</v>
      </c>
      <c r="AC139" s="100" t="s">
        <v>495</v>
      </c>
      <c r="AD139" s="19"/>
      <c r="AE139" s="17"/>
      <c r="AF139" s="17"/>
      <c r="AG139" s="17">
        <v>1978</v>
      </c>
      <c r="AH139" s="249">
        <v>2270</v>
      </c>
      <c r="AI139" s="228" t="s">
        <v>404</v>
      </c>
      <c r="AJ139" s="228">
        <v>1770</v>
      </c>
      <c r="AK139" s="228">
        <v>60</v>
      </c>
      <c r="AL139" s="100">
        <v>1506</v>
      </c>
      <c r="AM139" s="416"/>
      <c r="AN139" s="322">
        <v>426</v>
      </c>
      <c r="AO139" s="465">
        <v>437</v>
      </c>
      <c r="AP139" s="17"/>
      <c r="AQ139" s="17"/>
      <c r="AR139" s="17"/>
      <c r="AS139" s="17"/>
      <c r="AT139" s="41">
        <v>3269</v>
      </c>
      <c r="AU139" s="42">
        <v>3422</v>
      </c>
      <c r="AV139" s="20"/>
      <c r="AW139" s="20"/>
      <c r="AX139" s="20"/>
      <c r="AY139" s="20"/>
      <c r="AZ139" s="19"/>
      <c r="BA139" s="20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</row>
    <row r="140" spans="1:64">
      <c r="A140" s="36"/>
      <c r="B140" s="358" t="s">
        <v>473</v>
      </c>
      <c r="C140" s="529"/>
      <c r="D140" s="529"/>
      <c r="E140" s="529"/>
      <c r="F140" s="529"/>
      <c r="G140" s="529"/>
      <c r="H140" s="529"/>
      <c r="I140" s="529"/>
      <c r="J140" s="542"/>
      <c r="K140" s="552" t="str">
        <f>IF(L139="B","↑","")</f>
        <v/>
      </c>
      <c r="L140" s="553"/>
      <c r="Q140" s="544">
        <v>323.8</v>
      </c>
      <c r="R140" s="538">
        <v>355.6</v>
      </c>
      <c r="S140" s="546">
        <v>400</v>
      </c>
      <c r="T140" s="547">
        <v>500</v>
      </c>
      <c r="U140" s="17"/>
      <c r="V140" s="544">
        <v>355.6</v>
      </c>
      <c r="X140" s="534"/>
      <c r="Y140" s="540">
        <v>4</v>
      </c>
      <c r="Z140" s="100">
        <v>63</v>
      </c>
      <c r="AA140" s="100" t="s">
        <v>492</v>
      </c>
      <c r="AB140" s="100">
        <v>6218</v>
      </c>
      <c r="AC140" s="100" t="s">
        <v>496</v>
      </c>
      <c r="AF140" s="17"/>
      <c r="AG140" s="17">
        <v>2270</v>
      </c>
      <c r="AH140" s="249">
        <v>2583</v>
      </c>
      <c r="AI140" s="228" t="s">
        <v>404</v>
      </c>
      <c r="AJ140" s="228">
        <v>1770</v>
      </c>
      <c r="AK140" s="228">
        <v>64</v>
      </c>
      <c r="AL140" s="100">
        <v>1713</v>
      </c>
      <c r="AM140" s="416"/>
      <c r="AN140" s="322">
        <v>437</v>
      </c>
      <c r="AO140" s="465">
        <v>458</v>
      </c>
      <c r="AP140" s="17"/>
      <c r="AQ140" s="17"/>
      <c r="AR140" s="17"/>
      <c r="AS140" s="17"/>
      <c r="AT140" s="41">
        <v>3422</v>
      </c>
      <c r="AU140" s="42">
        <v>3620</v>
      </c>
      <c r="AV140" s="20"/>
      <c r="AW140" s="20"/>
      <c r="AX140" s="20"/>
      <c r="AY140" s="20"/>
      <c r="AZ140" s="19"/>
      <c r="BA140" s="20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</row>
    <row r="141" spans="1:64">
      <c r="A141" s="36"/>
      <c r="B141" s="357" t="s">
        <v>497</v>
      </c>
      <c r="C141" s="529"/>
      <c r="D141" s="529"/>
      <c r="E141" s="529"/>
      <c r="F141" s="529"/>
      <c r="G141" s="529"/>
      <c r="H141" s="2540"/>
      <c r="I141" s="529"/>
      <c r="J141" s="522">
        <f>+T148</f>
        <v>400</v>
      </c>
      <c r="K141" s="554"/>
      <c r="L141" s="166"/>
      <c r="Q141" s="544">
        <v>355.6</v>
      </c>
      <c r="R141" s="538">
        <v>406.4</v>
      </c>
      <c r="S141" s="546">
        <v>500</v>
      </c>
      <c r="T141" s="547">
        <v>630</v>
      </c>
      <c r="U141" s="17"/>
      <c r="V141" s="538">
        <v>406.4</v>
      </c>
      <c r="X141" s="534">
        <v>16</v>
      </c>
      <c r="Y141" s="540">
        <v>4</v>
      </c>
      <c r="Z141" s="100">
        <v>50</v>
      </c>
      <c r="AA141" s="100" t="s">
        <v>498</v>
      </c>
      <c r="AB141" s="100">
        <v>6220</v>
      </c>
      <c r="AC141" s="100" t="s">
        <v>499</v>
      </c>
      <c r="AF141" s="17"/>
      <c r="AG141" s="17">
        <v>2583</v>
      </c>
      <c r="AH141" s="249">
        <v>2916</v>
      </c>
      <c r="AI141" s="228" t="s">
        <v>404</v>
      </c>
      <c r="AJ141" s="228">
        <v>1770</v>
      </c>
      <c r="AK141" s="228">
        <v>68</v>
      </c>
      <c r="AL141" s="100">
        <v>1934</v>
      </c>
      <c r="AM141" s="416"/>
      <c r="AN141" s="322">
        <v>458</v>
      </c>
      <c r="AO141" s="465">
        <v>472</v>
      </c>
      <c r="AP141" s="17"/>
      <c r="AQ141" s="17"/>
      <c r="AR141" s="17"/>
      <c r="AS141" s="17"/>
      <c r="AT141" s="41">
        <v>3620</v>
      </c>
      <c r="AU141" s="42">
        <v>3643</v>
      </c>
      <c r="AV141" s="20"/>
      <c r="AW141" s="20"/>
      <c r="AX141" s="20"/>
      <c r="AY141" s="20"/>
      <c r="AZ141" s="19"/>
      <c r="BA141" s="20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</row>
    <row r="142" spans="1:64">
      <c r="A142" s="36"/>
      <c r="B142" s="357"/>
      <c r="C142" s="529"/>
      <c r="D142" s="529"/>
      <c r="E142" s="310"/>
      <c r="F142" s="310"/>
      <c r="G142" s="310"/>
      <c r="H142" s="310"/>
      <c r="I142" s="555"/>
      <c r="J142" s="556"/>
      <c r="K142" s="557"/>
      <c r="L142" s="19"/>
      <c r="Q142" s="544">
        <v>406.4</v>
      </c>
      <c r="R142" s="538">
        <v>457.2</v>
      </c>
      <c r="S142" s="546">
        <v>630</v>
      </c>
      <c r="T142" s="547">
        <v>710</v>
      </c>
      <c r="U142" s="17"/>
      <c r="V142" s="538">
        <v>457.2</v>
      </c>
      <c r="X142" s="558">
        <v>20</v>
      </c>
      <c r="Y142" s="559">
        <v>8</v>
      </c>
      <c r="Z142" s="100">
        <v>50</v>
      </c>
      <c r="AA142" s="100" t="s">
        <v>490</v>
      </c>
      <c r="AB142" s="100">
        <v>6216</v>
      </c>
      <c r="AC142" s="100"/>
      <c r="AF142" s="17"/>
      <c r="AG142" s="17">
        <v>2916</v>
      </c>
      <c r="AH142" s="249">
        <v>3090</v>
      </c>
      <c r="AI142" s="228" t="s">
        <v>404</v>
      </c>
      <c r="AJ142" s="228">
        <v>1770</v>
      </c>
      <c r="AK142" s="228">
        <v>70</v>
      </c>
      <c r="AL142" s="100">
        <v>2049</v>
      </c>
      <c r="AM142" s="416"/>
      <c r="AN142" s="322">
        <v>472</v>
      </c>
      <c r="AO142" s="465">
        <v>494</v>
      </c>
      <c r="AP142" s="17"/>
      <c r="AQ142" s="17"/>
      <c r="AR142" s="17"/>
      <c r="AS142" s="17"/>
      <c r="AT142" s="41">
        <v>3643</v>
      </c>
      <c r="AU142" s="42">
        <v>4034</v>
      </c>
      <c r="AV142" s="20"/>
      <c r="AW142" s="20"/>
      <c r="AX142" s="20"/>
      <c r="AY142" s="20"/>
      <c r="AZ142" s="19"/>
      <c r="BA142" s="20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</row>
    <row r="143" spans="1:64">
      <c r="A143" s="313"/>
      <c r="B143" s="358" t="s">
        <v>500</v>
      </c>
      <c r="C143" s="529"/>
      <c r="D143" s="529"/>
      <c r="E143" s="541">
        <f>IF(L139="B",20,0)</f>
        <v>0</v>
      </c>
      <c r="F143" s="88" t="str">
        <f>IF(L139="A","8*d*Cdf*Crc"," X  Rope Dia ( "&amp;G128&amp;" )")</f>
        <v>8*d*Cdf*Crc</v>
      </c>
      <c r="H143" s="17"/>
      <c r="I143" s="67" t="s">
        <v>160</v>
      </c>
      <c r="J143" s="519">
        <f>8*G128*J100*J129</f>
        <v>264</v>
      </c>
      <c r="K143" s="551">
        <f>E143*G128</f>
        <v>0</v>
      </c>
      <c r="L143" s="19"/>
      <c r="M143" s="53"/>
      <c r="Q143" s="544">
        <v>457.2</v>
      </c>
      <c r="R143" s="538">
        <v>508</v>
      </c>
      <c r="S143" s="546">
        <v>710</v>
      </c>
      <c r="T143" s="547">
        <v>800</v>
      </c>
      <c r="U143" s="17"/>
      <c r="V143" s="538">
        <v>508</v>
      </c>
      <c r="X143" s="558"/>
      <c r="Y143" s="559">
        <v>8</v>
      </c>
      <c r="Z143" s="100">
        <v>63</v>
      </c>
      <c r="AA143" s="100" t="s">
        <v>492</v>
      </c>
      <c r="AB143" s="100">
        <v>6216</v>
      </c>
      <c r="AC143" s="100"/>
      <c r="AF143" s="17"/>
      <c r="AG143" s="17">
        <v>3090</v>
      </c>
      <c r="AH143" s="249">
        <v>3269</v>
      </c>
      <c r="AI143" s="228" t="s">
        <v>404</v>
      </c>
      <c r="AJ143" s="228">
        <v>1770</v>
      </c>
      <c r="AK143" s="228">
        <v>72</v>
      </c>
      <c r="AL143" s="100">
        <v>2168</v>
      </c>
      <c r="AM143" s="416"/>
      <c r="AN143" s="322">
        <v>494</v>
      </c>
      <c r="AO143" s="465">
        <v>507</v>
      </c>
      <c r="AP143" s="17"/>
      <c r="AQ143" s="17"/>
      <c r="AR143" s="17"/>
      <c r="AS143" s="17"/>
      <c r="AT143" s="41">
        <v>4034</v>
      </c>
      <c r="AU143" s="42">
        <v>4036</v>
      </c>
      <c r="AV143" s="20"/>
      <c r="AW143" s="20"/>
      <c r="AX143" s="20"/>
      <c r="AY143" s="20"/>
      <c r="AZ143" s="19"/>
      <c r="BA143" s="20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</row>
    <row r="144" spans="1:64" ht="14.65" thickBot="1">
      <c r="A144" s="36"/>
      <c r="B144" s="358"/>
      <c r="C144" s="529"/>
      <c r="D144" s="529"/>
      <c r="F144" s="529"/>
      <c r="G144" s="529"/>
      <c r="H144" s="17"/>
      <c r="I144" s="529"/>
      <c r="J144" s="542"/>
      <c r="K144" s="552" t="str">
        <f>IF(L139="B","↑","")</f>
        <v/>
      </c>
      <c r="L144" s="216"/>
      <c r="M144" s="53"/>
      <c r="O144" s="22">
        <v>2023</v>
      </c>
      <c r="Q144" s="544">
        <v>508</v>
      </c>
      <c r="R144" s="538">
        <v>609.6</v>
      </c>
      <c r="S144" s="546">
        <v>800</v>
      </c>
      <c r="T144" s="338">
        <v>900</v>
      </c>
      <c r="U144" s="17"/>
      <c r="V144" s="538">
        <v>609.6</v>
      </c>
      <c r="X144" s="558">
        <v>25</v>
      </c>
      <c r="Y144" s="559">
        <v>8</v>
      </c>
      <c r="Z144" s="100">
        <v>50</v>
      </c>
      <c r="AA144" s="100" t="s">
        <v>494</v>
      </c>
      <c r="AB144" s="100">
        <v>6218</v>
      </c>
      <c r="AC144" s="100" t="s">
        <v>501</v>
      </c>
      <c r="AF144" s="17"/>
      <c r="AG144" s="17">
        <v>3269</v>
      </c>
      <c r="AH144" s="249">
        <v>3643</v>
      </c>
      <c r="AI144" s="228" t="s">
        <v>404</v>
      </c>
      <c r="AJ144" s="228">
        <v>1770</v>
      </c>
      <c r="AK144" s="228">
        <v>76</v>
      </c>
      <c r="AL144" s="100">
        <v>2416</v>
      </c>
      <c r="AM144" s="416"/>
      <c r="AN144" s="322">
        <v>507</v>
      </c>
      <c r="AO144" s="465">
        <v>548</v>
      </c>
      <c r="AP144" s="17"/>
      <c r="AQ144" s="17"/>
      <c r="AR144" s="17"/>
      <c r="AS144" s="17"/>
      <c r="AT144" s="41">
        <v>4036</v>
      </c>
      <c r="AU144" s="42">
        <v>4450</v>
      </c>
      <c r="AV144" s="20"/>
      <c r="AW144" s="20"/>
      <c r="AX144" s="20"/>
      <c r="AY144" s="20"/>
      <c r="AZ144" s="19"/>
      <c r="BA144" s="20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</row>
    <row r="145" spans="1:64">
      <c r="A145" s="36"/>
      <c r="B145" s="357" t="s">
        <v>502</v>
      </c>
      <c r="C145" s="529"/>
      <c r="D145" s="529"/>
      <c r="E145" s="529"/>
      <c r="F145" s="529"/>
      <c r="G145" s="529"/>
      <c r="H145" s="521">
        <f>J141*0.62</f>
        <v>248</v>
      </c>
      <c r="I145" s="59" t="s">
        <v>476</v>
      </c>
      <c r="J145" s="522">
        <f>+T152</f>
        <v>320</v>
      </c>
      <c r="K145" s="560"/>
      <c r="L145" s="17"/>
      <c r="O145" s="22">
        <v>1994</v>
      </c>
      <c r="Q145" s="544">
        <v>609.6</v>
      </c>
      <c r="R145" s="538">
        <v>630</v>
      </c>
      <c r="S145" s="561">
        <v>900</v>
      </c>
      <c r="T145" s="338">
        <v>1000</v>
      </c>
      <c r="U145" s="17"/>
      <c r="V145" s="533" t="s">
        <v>503</v>
      </c>
      <c r="X145" s="558"/>
      <c r="Y145" s="559">
        <v>8</v>
      </c>
      <c r="Z145" s="100">
        <v>63</v>
      </c>
      <c r="AA145" s="100" t="s">
        <v>492</v>
      </c>
      <c r="AB145" s="100">
        <v>6218</v>
      </c>
      <c r="AC145" s="100"/>
      <c r="AF145" s="17"/>
      <c r="AG145" s="17">
        <v>3643</v>
      </c>
      <c r="AH145" s="249">
        <v>4036</v>
      </c>
      <c r="AI145" s="228" t="s">
        <v>404</v>
      </c>
      <c r="AJ145" s="228">
        <v>1770</v>
      </c>
      <c r="AK145" s="228">
        <v>80</v>
      </c>
      <c r="AL145" s="100">
        <v>2676</v>
      </c>
      <c r="AM145" s="416"/>
      <c r="AN145" s="322">
        <v>548</v>
      </c>
      <c r="AO145" s="465">
        <v>598</v>
      </c>
      <c r="AP145" s="17"/>
      <c r="AQ145" s="17"/>
      <c r="AR145" s="17"/>
      <c r="AS145" s="17"/>
      <c r="AT145" s="41">
        <v>4450</v>
      </c>
      <c r="AU145" s="42">
        <v>4469</v>
      </c>
      <c r="AV145" s="20"/>
      <c r="AW145" s="20"/>
      <c r="AX145" s="20"/>
      <c r="AY145" s="20"/>
      <c r="AZ145" s="19"/>
      <c r="BA145" s="20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</row>
    <row r="146" spans="1:64">
      <c r="A146" s="36"/>
      <c r="B146" s="20"/>
      <c r="C146" s="20"/>
      <c r="D146" s="20"/>
      <c r="E146" s="20"/>
      <c r="F146" s="20"/>
      <c r="G146" s="20"/>
      <c r="H146" s="20"/>
      <c r="I146" s="20"/>
      <c r="J146" s="358"/>
      <c r="K146" s="562"/>
      <c r="L146" s="17"/>
      <c r="O146" s="22">
        <f>+O144-O145</f>
        <v>29</v>
      </c>
      <c r="Q146" s="544">
        <v>630</v>
      </c>
      <c r="R146" s="538">
        <v>710</v>
      </c>
      <c r="S146" s="563">
        <v>1000</v>
      </c>
      <c r="T146" s="515">
        <v>1250</v>
      </c>
      <c r="U146" s="17"/>
      <c r="V146" s="533">
        <v>200</v>
      </c>
      <c r="X146" s="558"/>
      <c r="Y146" s="559">
        <v>8</v>
      </c>
      <c r="Z146" s="100">
        <v>92</v>
      </c>
      <c r="AA146" s="100" t="s">
        <v>504</v>
      </c>
      <c r="AB146" s="100">
        <v>6218</v>
      </c>
      <c r="AC146" s="100" t="s">
        <v>505</v>
      </c>
      <c r="AF146" s="17"/>
      <c r="AG146" s="17">
        <v>4036</v>
      </c>
      <c r="AH146" s="249">
        <v>4450</v>
      </c>
      <c r="AI146" s="228" t="s">
        <v>404</v>
      </c>
      <c r="AJ146" s="228">
        <v>1770</v>
      </c>
      <c r="AK146" s="228">
        <v>84</v>
      </c>
      <c r="AL146" s="100">
        <v>2951</v>
      </c>
      <c r="AM146" s="416"/>
      <c r="AN146" s="322">
        <v>598</v>
      </c>
      <c r="AO146" s="465">
        <v>646</v>
      </c>
      <c r="AP146" s="17"/>
      <c r="AQ146" s="17"/>
      <c r="AR146" s="17"/>
      <c r="AS146" s="17"/>
      <c r="AT146" s="41">
        <v>4469</v>
      </c>
      <c r="AU146" s="42">
        <v>4664</v>
      </c>
      <c r="AV146" s="20"/>
      <c r="AW146" s="20"/>
      <c r="AX146" s="20"/>
      <c r="AY146" s="20"/>
      <c r="AZ146" s="19"/>
      <c r="BA146" s="20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</row>
    <row r="147" spans="1:64">
      <c r="A147" s="36"/>
      <c r="B147" s="471" t="s">
        <v>506</v>
      </c>
      <c r="C147" s="20"/>
      <c r="D147" s="20"/>
      <c r="E147" s="20"/>
      <c r="F147" s="20"/>
      <c r="G147" s="20"/>
      <c r="H147" s="20"/>
      <c r="I147" s="20"/>
      <c r="J147" s="20"/>
      <c r="K147" s="304"/>
      <c r="L147" s="17"/>
      <c r="Q147" s="544">
        <v>710</v>
      </c>
      <c r="R147" s="538">
        <v>800</v>
      </c>
      <c r="S147" s="564">
        <f>VLOOKUP(J139,S135:S146,1)</f>
        <v>320</v>
      </c>
      <c r="T147" s="565">
        <f>VLOOKUP(S147,S135:T147,2,0)</f>
        <v>400</v>
      </c>
      <c r="U147" s="17" t="s">
        <v>507</v>
      </c>
      <c r="V147" s="533">
        <v>250</v>
      </c>
      <c r="X147" s="558">
        <v>32</v>
      </c>
      <c r="Y147" s="559">
        <v>8</v>
      </c>
      <c r="Z147" s="100">
        <v>92</v>
      </c>
      <c r="AA147" s="100" t="s">
        <v>504</v>
      </c>
      <c r="AB147" s="100">
        <v>6220</v>
      </c>
      <c r="AC147" s="100" t="s">
        <v>508</v>
      </c>
      <c r="AF147" s="17"/>
      <c r="AG147" s="17">
        <v>4450</v>
      </c>
      <c r="AH147" s="249">
        <v>4664</v>
      </c>
      <c r="AI147" s="228" t="s">
        <v>404</v>
      </c>
      <c r="AJ147" s="228">
        <v>1770</v>
      </c>
      <c r="AK147" s="228">
        <v>86</v>
      </c>
      <c r="AL147" s="100">
        <v>3093</v>
      </c>
      <c r="AM147" s="416"/>
      <c r="AN147" s="322">
        <v>646</v>
      </c>
      <c r="AO147" s="465">
        <v>662</v>
      </c>
      <c r="AP147" s="17"/>
      <c r="AQ147" s="17"/>
      <c r="AR147" s="17"/>
      <c r="AS147" s="17"/>
      <c r="AT147" s="41">
        <v>4664</v>
      </c>
      <c r="AU147" s="42">
        <v>4928</v>
      </c>
      <c r="AV147" s="20"/>
      <c r="AW147" s="20"/>
      <c r="AX147" s="20"/>
      <c r="AY147" s="20"/>
      <c r="AZ147" s="19"/>
      <c r="BA147" s="20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</row>
    <row r="148" spans="1:64">
      <c r="A148" s="36"/>
      <c r="B148" s="20"/>
      <c r="C148" s="20"/>
      <c r="D148" s="20"/>
      <c r="E148" s="20"/>
      <c r="F148" s="20"/>
      <c r="G148" s="20"/>
      <c r="H148" s="20"/>
      <c r="I148" s="20"/>
      <c r="J148" s="20"/>
      <c r="K148" s="304"/>
      <c r="L148" s="17"/>
      <c r="Q148" s="544">
        <v>800</v>
      </c>
      <c r="R148" s="538">
        <v>900</v>
      </c>
      <c r="S148" s="566">
        <f>IFERROR(VLOOKUP(J139,S135:S146,1,0),0)</f>
        <v>0</v>
      </c>
      <c r="T148" s="567">
        <f>IF(S148&gt;0,IF(S148&lt;T147,S148,T147),T147)</f>
        <v>400</v>
      </c>
      <c r="U148" s="17" t="s">
        <v>507</v>
      </c>
      <c r="V148" s="533">
        <v>315</v>
      </c>
      <c r="X148" s="558">
        <v>30</v>
      </c>
      <c r="Y148" s="559">
        <v>8</v>
      </c>
      <c r="Z148" s="100">
        <v>92</v>
      </c>
      <c r="AA148" s="100" t="s">
        <v>504</v>
      </c>
      <c r="AB148" s="100">
        <v>6220</v>
      </c>
      <c r="AC148" s="100" t="s">
        <v>509</v>
      </c>
      <c r="AF148" s="17"/>
      <c r="AG148" s="20">
        <v>0</v>
      </c>
      <c r="AH148" s="252">
        <v>41</v>
      </c>
      <c r="AI148" s="259" t="s">
        <v>410</v>
      </c>
      <c r="AJ148" s="259">
        <v>1960</v>
      </c>
      <c r="AK148" s="259">
        <v>8</v>
      </c>
      <c r="AL148" s="100">
        <v>24.3</v>
      </c>
      <c r="AM148" s="416"/>
      <c r="AN148" s="322">
        <v>662</v>
      </c>
      <c r="AO148" s="465">
        <v>715</v>
      </c>
      <c r="AP148" s="17"/>
      <c r="AQ148" s="17"/>
      <c r="AR148" s="17"/>
      <c r="AS148" s="17"/>
      <c r="AT148" s="47">
        <v>4928</v>
      </c>
      <c r="AU148" s="48">
        <v>5165</v>
      </c>
      <c r="AV148" s="20"/>
      <c r="AW148" s="20"/>
      <c r="AX148" s="20"/>
      <c r="AY148" s="20"/>
      <c r="AZ148" s="19"/>
      <c r="BA148" s="20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</row>
    <row r="149" spans="1:64">
      <c r="A149" s="36"/>
      <c r="B149" s="20" t="s">
        <v>510</v>
      </c>
      <c r="C149" s="20"/>
      <c r="D149" s="20"/>
      <c r="E149" s="20"/>
      <c r="F149" s="20"/>
      <c r="G149" s="20"/>
      <c r="H149" s="20"/>
      <c r="I149" s="306" t="s">
        <v>511</v>
      </c>
      <c r="J149" s="20"/>
      <c r="K149" s="304"/>
      <c r="L149" s="17"/>
      <c r="Q149" s="544">
        <v>900</v>
      </c>
      <c r="R149" s="538">
        <v>1000</v>
      </c>
      <c r="S149" s="568">
        <f>VLOOKUP(J143,S135:S146,1)</f>
        <v>250</v>
      </c>
      <c r="T149" s="569">
        <f>VLOOKUP(H145,S135:S146,1)</f>
        <v>200</v>
      </c>
      <c r="U149" s="17" t="s">
        <v>512</v>
      </c>
      <c r="V149" s="533">
        <v>400</v>
      </c>
      <c r="X149" s="558">
        <v>40</v>
      </c>
      <c r="Y149" s="559">
        <v>8</v>
      </c>
      <c r="Z149" s="100">
        <v>92</v>
      </c>
      <c r="AA149" s="100" t="s">
        <v>504</v>
      </c>
      <c r="AB149" s="100">
        <v>6220</v>
      </c>
      <c r="AC149" s="100"/>
      <c r="AF149" s="17"/>
      <c r="AG149" s="17">
        <v>41</v>
      </c>
      <c r="AH149" s="249">
        <v>52</v>
      </c>
      <c r="AI149" s="228" t="s">
        <v>410</v>
      </c>
      <c r="AJ149" s="228">
        <v>1960</v>
      </c>
      <c r="AK149" s="228">
        <v>9</v>
      </c>
      <c r="AL149" s="100">
        <v>30.8</v>
      </c>
      <c r="AM149" s="228"/>
      <c r="AN149" s="322">
        <v>715</v>
      </c>
      <c r="AO149" s="465">
        <v>757</v>
      </c>
      <c r="AP149" s="17"/>
      <c r="AQ149" s="17"/>
      <c r="AR149" s="17"/>
      <c r="AS149" s="17"/>
      <c r="AT149" s="20">
        <v>5165</v>
      </c>
      <c r="AU149" s="20"/>
      <c r="AV149" s="20"/>
      <c r="AW149" s="20"/>
      <c r="AX149" s="20"/>
      <c r="AY149" s="19"/>
      <c r="AZ149" s="20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</row>
    <row r="150" spans="1:64" ht="14.65" thickBot="1">
      <c r="A150" s="36"/>
      <c r="B150" s="20"/>
      <c r="C150" s="20"/>
      <c r="D150" s="20"/>
      <c r="E150" s="20"/>
      <c r="F150" s="20"/>
      <c r="G150" s="20"/>
      <c r="H150" s="20"/>
      <c r="I150" s="20" t="s">
        <v>513</v>
      </c>
      <c r="J150" s="20"/>
      <c r="K150" s="304"/>
      <c r="L150" s="17"/>
      <c r="Q150" s="544">
        <v>1000</v>
      </c>
      <c r="R150" s="538">
        <v>1250</v>
      </c>
      <c r="S150" s="570">
        <f>IF(S149&gt;=T149,S149,T149)</f>
        <v>250</v>
      </c>
      <c r="T150" s="571">
        <f>VLOOKUP(S150,S135:T146,2,0)</f>
        <v>320</v>
      </c>
      <c r="U150" s="17" t="s">
        <v>512</v>
      </c>
      <c r="V150" s="533">
        <v>500</v>
      </c>
      <c r="X150" s="558"/>
      <c r="Y150" s="559">
        <v>8</v>
      </c>
      <c r="Z150" s="100">
        <v>92</v>
      </c>
      <c r="AA150" s="100" t="s">
        <v>504</v>
      </c>
      <c r="AB150" s="100">
        <v>6220</v>
      </c>
      <c r="AC150" s="100"/>
      <c r="AF150" s="17"/>
      <c r="AG150" s="67">
        <v>52</v>
      </c>
      <c r="AH150" s="249">
        <v>65</v>
      </c>
      <c r="AI150" s="228" t="s">
        <v>410</v>
      </c>
      <c r="AJ150" s="228">
        <v>1960</v>
      </c>
      <c r="AK150" s="228">
        <v>10</v>
      </c>
      <c r="AL150" s="100">
        <v>38</v>
      </c>
      <c r="AM150" s="228"/>
      <c r="AN150" s="322">
        <v>757</v>
      </c>
      <c r="AO150" s="465">
        <v>817</v>
      </c>
      <c r="AP150" s="17"/>
      <c r="AQ150" s="20"/>
      <c r="AR150" s="20"/>
      <c r="AS150" s="20"/>
      <c r="AT150" s="20"/>
      <c r="AU150" s="19"/>
      <c r="AV150" s="20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</row>
    <row r="151" spans="1:64" ht="14.65" thickBot="1">
      <c r="A151" s="36"/>
      <c r="B151" s="20" t="s">
        <v>303</v>
      </c>
      <c r="C151" s="20"/>
      <c r="D151" s="20"/>
      <c r="E151" s="20"/>
      <c r="F151" s="20"/>
      <c r="G151" s="20"/>
      <c r="H151" s="20"/>
      <c r="I151" s="20"/>
      <c r="J151" s="20"/>
      <c r="K151" s="304"/>
      <c r="L151" s="17"/>
      <c r="M151" s="19"/>
      <c r="N151" s="19"/>
      <c r="O151" s="19"/>
      <c r="P151" s="262" t="str">
        <f>IF(J130&lt;=J132,"Right","Wrong")</f>
        <v>Right</v>
      </c>
      <c r="Q151" s="572">
        <f>VLOOKUP(J130,Q136:Q150,1)</f>
        <v>355.6</v>
      </c>
      <c r="R151" s="572">
        <f>IFERROR(VLOOKUP(J130,R136:R150,1,0),0)</f>
        <v>0</v>
      </c>
      <c r="S151" s="573">
        <f>IFERROR(VLOOKUP(H145,S135:S146,1,0),0)</f>
        <v>0</v>
      </c>
      <c r="T151" s="574">
        <f>IFERROR(VLOOKUP(J143,S135:S146,1,0),0)</f>
        <v>0</v>
      </c>
      <c r="U151" s="17" t="s">
        <v>512</v>
      </c>
      <c r="V151" s="533">
        <v>630</v>
      </c>
      <c r="X151" s="558">
        <v>50</v>
      </c>
      <c r="Y151" s="559">
        <v>8</v>
      </c>
      <c r="Z151" s="100">
        <v>132</v>
      </c>
      <c r="AA151" s="100" t="s">
        <v>514</v>
      </c>
      <c r="AB151" s="100">
        <v>6222</v>
      </c>
      <c r="AC151" s="100"/>
      <c r="AF151" s="17"/>
      <c r="AG151" s="17">
        <v>65</v>
      </c>
      <c r="AH151" s="249">
        <v>78</v>
      </c>
      <c r="AI151" s="228" t="s">
        <v>410</v>
      </c>
      <c r="AJ151" s="228">
        <v>1960</v>
      </c>
      <c r="AK151" s="228">
        <v>11</v>
      </c>
      <c r="AL151" s="100">
        <v>46</v>
      </c>
      <c r="AM151" s="228"/>
      <c r="AN151" s="322">
        <v>817</v>
      </c>
      <c r="AO151" s="465">
        <v>838</v>
      </c>
      <c r="AP151" s="17"/>
      <c r="AQ151" s="17"/>
      <c r="AR151" s="20"/>
      <c r="AS151" s="20"/>
      <c r="AT151" s="20"/>
      <c r="AU151" s="20"/>
      <c r="AV151" s="19"/>
      <c r="AW151" s="20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</row>
    <row r="152" spans="1:64">
      <c r="A152" s="36"/>
      <c r="B152" s="19" t="s">
        <v>515</v>
      </c>
      <c r="C152" s="20" t="s">
        <v>516</v>
      </c>
      <c r="D152" s="20"/>
      <c r="E152" s="20"/>
      <c r="F152" s="20"/>
      <c r="G152" s="20"/>
      <c r="H152" s="20"/>
      <c r="I152" s="67" t="s">
        <v>160</v>
      </c>
      <c r="J152" s="302">
        <f>'E Data'!D19</f>
        <v>15</v>
      </c>
      <c r="K152" s="304"/>
      <c r="L152" s="17"/>
      <c r="M152" s="17"/>
      <c r="N152" s="17"/>
      <c r="O152" s="17"/>
      <c r="P152" s="262" t="str">
        <f>IF(J139&lt;=J141,"Right","Wrong")</f>
        <v>Right</v>
      </c>
      <c r="Q152" s="575">
        <f>VLOOKUP(Q151,Q136:R150,2,)</f>
        <v>406.4</v>
      </c>
      <c r="R152" s="567">
        <f>IF(R151&gt;0,R151,Q152)</f>
        <v>406.4</v>
      </c>
      <c r="S152" s="576">
        <f>IF(S151&gt;=T151,S151,T151)</f>
        <v>0</v>
      </c>
      <c r="T152" s="567">
        <f>IF(S152&gt;0,IF(S152&lt;T150,S152,T150),T150)</f>
        <v>320</v>
      </c>
      <c r="U152" s="17" t="s">
        <v>512</v>
      </c>
      <c r="V152" s="533">
        <v>710</v>
      </c>
      <c r="X152" s="558">
        <v>63</v>
      </c>
      <c r="Y152" s="559">
        <v>8</v>
      </c>
      <c r="Z152" s="100">
        <v>132</v>
      </c>
      <c r="AA152" s="100" t="s">
        <v>514</v>
      </c>
      <c r="AB152" s="100">
        <v>6224</v>
      </c>
      <c r="AC152" s="100" t="s">
        <v>517</v>
      </c>
      <c r="AF152" s="17"/>
      <c r="AG152" s="17">
        <v>78</v>
      </c>
      <c r="AH152" s="249">
        <v>93</v>
      </c>
      <c r="AI152" s="228" t="s">
        <v>410</v>
      </c>
      <c r="AJ152" s="228">
        <v>1960</v>
      </c>
      <c r="AK152" s="228">
        <v>12</v>
      </c>
      <c r="AL152" s="100">
        <v>54.7</v>
      </c>
      <c r="AM152" s="228"/>
      <c r="AN152" s="322">
        <v>838</v>
      </c>
      <c r="AO152" s="465">
        <v>843</v>
      </c>
      <c r="AP152" s="17"/>
      <c r="AQ152" s="17"/>
      <c r="AR152" s="20"/>
      <c r="AS152" s="20"/>
      <c r="AU152" s="19"/>
      <c r="AV152" s="17"/>
      <c r="AW152" s="20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</row>
    <row r="153" spans="1:64">
      <c r="A153" s="36"/>
      <c r="B153" s="19" t="s">
        <v>518</v>
      </c>
      <c r="C153" s="20" t="s">
        <v>519</v>
      </c>
      <c r="D153" s="20"/>
      <c r="E153" s="20"/>
      <c r="F153" s="20"/>
      <c r="G153" s="20"/>
      <c r="H153" s="20"/>
      <c r="I153" s="67" t="s">
        <v>160</v>
      </c>
      <c r="J153" s="577">
        <f>J98</f>
        <v>4</v>
      </c>
      <c r="K153" s="304"/>
      <c r="L153" s="17"/>
      <c r="M153" s="118"/>
      <c r="P153" s="262" t="str">
        <f>IF(J143&lt;=J145,"Right","Wrong")</f>
        <v>Right</v>
      </c>
      <c r="Q153" s="572">
        <f>VLOOKUP(J141,Q136:Q150,1)</f>
        <v>355.6</v>
      </c>
      <c r="R153" s="572">
        <f>IFERROR(VLOOKUP(J141,R136:R150,1,0),0)</f>
        <v>0</v>
      </c>
      <c r="V153" s="533">
        <v>800</v>
      </c>
      <c r="X153" s="558">
        <v>80</v>
      </c>
      <c r="Y153" s="559">
        <v>8</v>
      </c>
      <c r="Z153" s="100">
        <v>132</v>
      </c>
      <c r="AA153" s="100" t="s">
        <v>514</v>
      </c>
      <c r="AB153" s="100">
        <v>6226</v>
      </c>
      <c r="AC153" s="100"/>
      <c r="AF153" s="17"/>
      <c r="AG153" s="17">
        <v>93</v>
      </c>
      <c r="AH153" s="249">
        <v>109</v>
      </c>
      <c r="AI153" s="228" t="s">
        <v>410</v>
      </c>
      <c r="AJ153" s="228">
        <v>1960</v>
      </c>
      <c r="AK153" s="228">
        <v>13</v>
      </c>
      <c r="AL153" s="100">
        <v>64.3</v>
      </c>
      <c r="AM153" s="228"/>
      <c r="AN153" s="322">
        <v>843</v>
      </c>
      <c r="AO153" s="465">
        <v>905</v>
      </c>
      <c r="AP153" s="17"/>
      <c r="AQ153" s="17"/>
      <c r="AR153" s="20"/>
      <c r="AS153" s="20"/>
      <c r="AU153" s="20" t="s">
        <v>520</v>
      </c>
      <c r="AV153" s="17"/>
      <c r="AW153" s="20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</row>
    <row r="154" spans="1:64">
      <c r="A154" s="36"/>
      <c r="B154" s="19" t="s">
        <v>521</v>
      </c>
      <c r="C154" s="20" t="s">
        <v>2647</v>
      </c>
      <c r="D154" s="20"/>
      <c r="E154" s="20"/>
      <c r="F154" s="20"/>
      <c r="G154" s="20"/>
      <c r="H154" s="20"/>
      <c r="I154" s="67" t="s">
        <v>160</v>
      </c>
      <c r="J154" s="578">
        <f>((J132+F109)/1000)</f>
        <v>0.4284</v>
      </c>
      <c r="K154" s="304"/>
      <c r="L154" s="17"/>
      <c r="M154" s="19"/>
      <c r="Q154" s="575">
        <f>VLOOKUP(Q153,Q136:R150,2,)</f>
        <v>406.4</v>
      </c>
      <c r="R154" s="567">
        <f>IF(R153&gt;0,R153,Q154)</f>
        <v>406.4</v>
      </c>
      <c r="V154" s="533">
        <v>900</v>
      </c>
      <c r="X154" s="558"/>
      <c r="Y154" s="559">
        <v>8</v>
      </c>
      <c r="Z154" s="100">
        <v>157</v>
      </c>
      <c r="AA154" s="100" t="s">
        <v>523</v>
      </c>
      <c r="AB154" s="100">
        <v>6226</v>
      </c>
      <c r="AC154" s="100"/>
      <c r="AF154" s="17"/>
      <c r="AG154" s="17">
        <v>109</v>
      </c>
      <c r="AH154" s="249">
        <v>127</v>
      </c>
      <c r="AI154" s="228" t="s">
        <v>410</v>
      </c>
      <c r="AJ154" s="228">
        <v>1960</v>
      </c>
      <c r="AK154" s="228">
        <v>14</v>
      </c>
      <c r="AL154" s="100">
        <v>74.5</v>
      </c>
      <c r="AM154" s="228"/>
      <c r="AN154" s="322">
        <v>905</v>
      </c>
      <c r="AO154" s="465">
        <v>911</v>
      </c>
      <c r="AP154" s="17"/>
      <c r="AQ154" s="17"/>
      <c r="AR154" s="20"/>
      <c r="AS154" s="20"/>
      <c r="AU154" s="83" t="s">
        <v>524</v>
      </c>
      <c r="AV154" s="17"/>
      <c r="AW154" s="20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</row>
    <row r="155" spans="1:64">
      <c r="A155" s="36"/>
      <c r="B155" s="20"/>
      <c r="C155" s="20"/>
      <c r="D155" s="20"/>
      <c r="E155" s="20"/>
      <c r="F155" s="20"/>
      <c r="G155" s="20"/>
      <c r="H155" s="20"/>
      <c r="I155" s="67"/>
      <c r="J155" s="19"/>
      <c r="K155" s="304"/>
      <c r="L155" s="17"/>
      <c r="M155" s="118"/>
      <c r="V155" s="579">
        <v>1000</v>
      </c>
      <c r="X155" s="580">
        <v>50</v>
      </c>
      <c r="Y155" s="581">
        <v>12</v>
      </c>
      <c r="Z155" s="100">
        <v>92</v>
      </c>
      <c r="AA155" s="100" t="s">
        <v>504</v>
      </c>
      <c r="AB155" s="100">
        <v>6220</v>
      </c>
      <c r="AC155" s="100"/>
      <c r="AF155" s="17"/>
      <c r="AG155" s="17">
        <v>127</v>
      </c>
      <c r="AH155" s="249">
        <v>166</v>
      </c>
      <c r="AI155" s="228" t="s">
        <v>410</v>
      </c>
      <c r="AJ155" s="228">
        <v>1960</v>
      </c>
      <c r="AK155" s="228">
        <v>16</v>
      </c>
      <c r="AL155" s="100">
        <v>97.3</v>
      </c>
      <c r="AM155" s="228"/>
      <c r="AN155" s="322">
        <v>911</v>
      </c>
      <c r="AO155" s="465">
        <v>934</v>
      </c>
      <c r="AP155" s="17"/>
      <c r="AQ155" s="17"/>
      <c r="AR155" s="20"/>
      <c r="AS155" s="20"/>
      <c r="AU155" s="19"/>
      <c r="AV155" s="17"/>
      <c r="AW155" s="20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</row>
    <row r="156" spans="1:64">
      <c r="A156" s="36"/>
      <c r="B156" s="20" t="s">
        <v>525</v>
      </c>
      <c r="C156" s="20"/>
      <c r="D156" s="20"/>
      <c r="E156" s="20"/>
      <c r="F156" s="20"/>
      <c r="G156" s="20"/>
      <c r="H156" s="20"/>
      <c r="I156" s="67"/>
      <c r="J156" s="19"/>
      <c r="K156" s="304"/>
      <c r="L156" s="17"/>
      <c r="M156" s="118"/>
      <c r="X156" s="580">
        <v>63</v>
      </c>
      <c r="Y156" s="581">
        <v>12</v>
      </c>
      <c r="Z156" s="100">
        <v>132</v>
      </c>
      <c r="AA156" s="100" t="s">
        <v>514</v>
      </c>
      <c r="AB156" s="100">
        <v>6222</v>
      </c>
      <c r="AC156" s="100"/>
      <c r="AF156" s="17"/>
      <c r="AG156" s="17">
        <v>166</v>
      </c>
      <c r="AH156" s="249">
        <v>209</v>
      </c>
      <c r="AI156" s="228" t="s">
        <v>410</v>
      </c>
      <c r="AJ156" s="228">
        <v>1960</v>
      </c>
      <c r="AK156" s="228">
        <v>18</v>
      </c>
      <c r="AL156" s="100">
        <v>123</v>
      </c>
      <c r="AM156" s="228"/>
      <c r="AN156" s="322">
        <v>934</v>
      </c>
      <c r="AO156" s="465">
        <v>1008</v>
      </c>
      <c r="AP156" s="17"/>
      <c r="AQ156" s="20"/>
      <c r="AR156" s="20"/>
      <c r="AS156" s="20"/>
      <c r="AU156" s="582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</row>
    <row r="157" spans="1:64">
      <c r="A157" s="36"/>
      <c r="B157" s="20"/>
      <c r="C157" s="20" t="s">
        <v>526</v>
      </c>
      <c r="D157" s="20"/>
      <c r="E157" s="20"/>
      <c r="F157" s="20"/>
      <c r="G157" s="20"/>
      <c r="H157" s="20"/>
      <c r="I157" s="67" t="s">
        <v>160</v>
      </c>
      <c r="J157" s="577">
        <f>J152*J153/(3.14*J154*2)</f>
        <v>22.301914396331778</v>
      </c>
      <c r="K157" s="304"/>
      <c r="L157" s="17"/>
      <c r="M157" s="118"/>
      <c r="P157" s="262"/>
      <c r="X157" s="580">
        <v>80</v>
      </c>
      <c r="Y157" s="581">
        <v>12</v>
      </c>
      <c r="Z157" s="100">
        <v>132</v>
      </c>
      <c r="AA157" s="100" t="s">
        <v>514</v>
      </c>
      <c r="AB157" s="100">
        <v>6224</v>
      </c>
      <c r="AC157" s="100" t="s">
        <v>527</v>
      </c>
      <c r="AF157" s="17"/>
      <c r="AG157" s="17">
        <v>209</v>
      </c>
      <c r="AH157" s="249">
        <v>233</v>
      </c>
      <c r="AI157" s="228" t="s">
        <v>410</v>
      </c>
      <c r="AJ157" s="228">
        <v>1960</v>
      </c>
      <c r="AK157" s="228">
        <v>19</v>
      </c>
      <c r="AL157" s="100">
        <v>137</v>
      </c>
      <c r="AM157" s="228"/>
      <c r="AN157" s="322">
        <v>1008</v>
      </c>
      <c r="AO157" s="465">
        <v>1009</v>
      </c>
      <c r="AP157" s="17"/>
      <c r="AQ157" s="20"/>
      <c r="AR157" s="20"/>
      <c r="AS157" s="20"/>
      <c r="AU157" s="19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</row>
    <row r="158" spans="1:64">
      <c r="A158" s="36"/>
      <c r="B158" s="20"/>
      <c r="C158" s="20" t="s">
        <v>528</v>
      </c>
      <c r="D158" s="20"/>
      <c r="E158" s="20"/>
      <c r="F158" s="20"/>
      <c r="G158" s="20"/>
      <c r="H158" s="20"/>
      <c r="I158" s="67" t="s">
        <v>160</v>
      </c>
      <c r="J158" s="583">
        <v>3</v>
      </c>
      <c r="K158" s="304"/>
      <c r="L158" s="17"/>
      <c r="M158" s="118"/>
      <c r="X158" s="580"/>
      <c r="Y158" s="581">
        <v>12</v>
      </c>
      <c r="Z158" s="100">
        <v>157</v>
      </c>
      <c r="AA158" s="100" t="s">
        <v>523</v>
      </c>
      <c r="AB158" s="100">
        <v>6224</v>
      </c>
      <c r="AC158" s="100"/>
      <c r="AF158" s="17"/>
      <c r="AG158" s="17">
        <v>233</v>
      </c>
      <c r="AH158" s="249">
        <v>259</v>
      </c>
      <c r="AI158" s="228" t="s">
        <v>410</v>
      </c>
      <c r="AJ158" s="228">
        <v>1960</v>
      </c>
      <c r="AK158" s="228">
        <v>20</v>
      </c>
      <c r="AL158" s="311">
        <v>152</v>
      </c>
      <c r="AM158" s="228"/>
      <c r="AN158" s="322">
        <v>1009</v>
      </c>
      <c r="AO158" s="465">
        <v>1035</v>
      </c>
      <c r="AP158" s="17"/>
      <c r="AQ158" s="20"/>
      <c r="AR158" s="20"/>
      <c r="AS158" s="20"/>
      <c r="AU158" s="19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</row>
    <row r="159" spans="1:64">
      <c r="A159" s="36"/>
      <c r="B159" s="20"/>
      <c r="C159" s="20" t="s">
        <v>529</v>
      </c>
      <c r="D159" s="20"/>
      <c r="E159" s="20"/>
      <c r="F159" s="20"/>
      <c r="G159" s="20"/>
      <c r="H159" s="20"/>
      <c r="I159" s="67" t="s">
        <v>160</v>
      </c>
      <c r="J159" s="577">
        <f>ROUND(J157+J158,0)</f>
        <v>25</v>
      </c>
      <c r="K159" s="304" t="s">
        <v>93</v>
      </c>
      <c r="L159" s="17"/>
      <c r="M159" s="19"/>
      <c r="X159" s="580">
        <v>100</v>
      </c>
      <c r="Y159" s="581">
        <v>12</v>
      </c>
      <c r="Z159" s="100">
        <v>132</v>
      </c>
      <c r="AA159" s="100" t="s">
        <v>514</v>
      </c>
      <c r="AB159" s="100">
        <v>6224</v>
      </c>
      <c r="AC159" s="100"/>
      <c r="AF159" s="17"/>
      <c r="AG159" s="17">
        <v>259</v>
      </c>
      <c r="AH159" s="249">
        <v>313</v>
      </c>
      <c r="AI159" s="228" t="s">
        <v>410</v>
      </c>
      <c r="AJ159" s="228">
        <v>1960</v>
      </c>
      <c r="AK159" s="228">
        <v>22</v>
      </c>
      <c r="AL159" s="100">
        <v>184</v>
      </c>
      <c r="AM159" s="228"/>
      <c r="AN159" s="322">
        <v>1035</v>
      </c>
      <c r="AO159" s="465">
        <v>1117</v>
      </c>
      <c r="AP159" s="17"/>
      <c r="AQ159" s="20"/>
      <c r="AR159" s="20"/>
      <c r="AS159" s="20"/>
      <c r="AU159" s="584" t="s">
        <v>96</v>
      </c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</row>
    <row r="160" spans="1:64">
      <c r="A160" s="36"/>
      <c r="B160" s="20"/>
      <c r="C160" s="20"/>
      <c r="D160" s="20"/>
      <c r="E160" s="20"/>
      <c r="F160" s="20"/>
      <c r="G160" s="20"/>
      <c r="H160" s="20"/>
      <c r="I160" s="67"/>
      <c r="J160" s="19"/>
      <c r="K160" s="304"/>
      <c r="L160" s="17"/>
      <c r="M160" s="118"/>
      <c r="X160" s="580"/>
      <c r="Y160" s="581">
        <v>12</v>
      </c>
      <c r="Z160" s="100">
        <v>157</v>
      </c>
      <c r="AA160" s="100" t="s">
        <v>523</v>
      </c>
      <c r="AB160" s="100">
        <v>6224</v>
      </c>
      <c r="AC160" s="100"/>
      <c r="AF160" s="17"/>
      <c r="AG160" s="17">
        <v>313</v>
      </c>
      <c r="AH160" s="249">
        <v>372</v>
      </c>
      <c r="AI160" s="228" t="s">
        <v>410</v>
      </c>
      <c r="AJ160" s="228">
        <v>1960</v>
      </c>
      <c r="AK160" s="228">
        <v>24</v>
      </c>
      <c r="AL160" s="100">
        <v>219</v>
      </c>
      <c r="AM160" s="228"/>
      <c r="AN160" s="322">
        <v>1117</v>
      </c>
      <c r="AO160" s="465">
        <v>1130</v>
      </c>
      <c r="AP160" s="17"/>
      <c r="AQ160" s="20"/>
      <c r="AR160" s="20"/>
      <c r="AS160" s="20"/>
      <c r="AU160" s="585">
        <v>160</v>
      </c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</row>
    <row r="161" spans="1:64">
      <c r="A161" s="36"/>
      <c r="B161" s="20" t="s">
        <v>530</v>
      </c>
      <c r="C161" s="20"/>
      <c r="D161" s="20"/>
      <c r="E161" s="20"/>
      <c r="F161" s="20"/>
      <c r="G161" s="20"/>
      <c r="H161" s="20"/>
      <c r="I161" s="67"/>
      <c r="J161" s="19"/>
      <c r="K161" s="304"/>
      <c r="L161" s="17"/>
      <c r="M161" s="118"/>
      <c r="X161" s="580">
        <v>125</v>
      </c>
      <c r="Y161" s="581">
        <v>12</v>
      </c>
      <c r="Z161" s="100">
        <v>132</v>
      </c>
      <c r="AA161" s="100" t="s">
        <v>514</v>
      </c>
      <c r="AB161" s="100">
        <v>6226</v>
      </c>
      <c r="AC161" s="100" t="s">
        <v>527</v>
      </c>
      <c r="AF161" s="17"/>
      <c r="AG161" s="17">
        <v>372</v>
      </c>
      <c r="AH161" s="249">
        <v>437</v>
      </c>
      <c r="AI161" s="228" t="s">
        <v>410</v>
      </c>
      <c r="AJ161" s="228">
        <v>1960</v>
      </c>
      <c r="AK161" s="228">
        <v>26</v>
      </c>
      <c r="AL161" s="100">
        <v>257</v>
      </c>
      <c r="AM161" s="228"/>
      <c r="AN161" s="322">
        <v>1130</v>
      </c>
      <c r="AO161" s="465">
        <v>1221</v>
      </c>
      <c r="AP161" s="17"/>
      <c r="AQ161" s="20"/>
      <c r="AR161" s="20"/>
      <c r="AS161" s="20"/>
      <c r="AU161" s="586">
        <v>200</v>
      </c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</row>
    <row r="162" spans="1:64">
      <c r="A162" s="36"/>
      <c r="B162" s="20"/>
      <c r="C162" s="20"/>
      <c r="D162" s="20"/>
      <c r="E162" s="20"/>
      <c r="F162" s="20" t="s">
        <v>531</v>
      </c>
      <c r="G162" s="20"/>
      <c r="H162" s="20"/>
      <c r="I162" s="67"/>
      <c r="J162" s="19"/>
      <c r="K162" s="304"/>
      <c r="L162" s="19"/>
      <c r="M162" s="17"/>
      <c r="X162" s="580"/>
      <c r="Y162" s="581">
        <v>12</v>
      </c>
      <c r="Z162" s="100">
        <v>157</v>
      </c>
      <c r="AA162" s="100" t="s">
        <v>523</v>
      </c>
      <c r="AB162" s="100">
        <v>6226</v>
      </c>
      <c r="AC162" s="100" t="s">
        <v>517</v>
      </c>
      <c r="AF162" s="17"/>
      <c r="AG162" s="17">
        <v>437</v>
      </c>
      <c r="AH162" s="249">
        <v>507</v>
      </c>
      <c r="AI162" s="228" t="s">
        <v>410</v>
      </c>
      <c r="AJ162" s="228">
        <v>1960</v>
      </c>
      <c r="AK162" s="228">
        <v>28</v>
      </c>
      <c r="AL162" s="100">
        <v>298</v>
      </c>
      <c r="AM162" s="228"/>
      <c r="AN162" s="322">
        <v>1221</v>
      </c>
      <c r="AO162" s="465">
        <v>1252</v>
      </c>
      <c r="AP162" s="17"/>
      <c r="AQ162" s="20"/>
      <c r="AR162" s="20"/>
      <c r="AS162" s="20"/>
      <c r="AU162" s="586">
        <v>250</v>
      </c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</row>
    <row r="163" spans="1:64">
      <c r="A163" s="36"/>
      <c r="B163" s="20" t="s">
        <v>303</v>
      </c>
      <c r="C163" s="20"/>
      <c r="D163" s="20"/>
      <c r="E163" s="20"/>
      <c r="F163" s="20"/>
      <c r="G163" s="20"/>
      <c r="H163" s="20"/>
      <c r="I163" s="67"/>
      <c r="J163" s="59"/>
      <c r="K163" s="304"/>
      <c r="L163" s="19"/>
      <c r="M163" s="17"/>
      <c r="X163" s="580">
        <v>140</v>
      </c>
      <c r="Y163" s="581">
        <v>12</v>
      </c>
      <c r="Z163" s="100">
        <v>157</v>
      </c>
      <c r="AA163" s="100" t="s">
        <v>523</v>
      </c>
      <c r="AB163" s="100">
        <v>6228</v>
      </c>
      <c r="AC163" s="100" t="s">
        <v>532</v>
      </c>
      <c r="AF163" s="17"/>
      <c r="AG163" s="17">
        <v>507</v>
      </c>
      <c r="AH163" s="249">
        <v>662</v>
      </c>
      <c r="AI163" s="228" t="s">
        <v>410</v>
      </c>
      <c r="AJ163" s="228">
        <v>1960</v>
      </c>
      <c r="AK163" s="228">
        <v>32</v>
      </c>
      <c r="AL163" s="100">
        <v>389</v>
      </c>
      <c r="AM163" s="228"/>
      <c r="AN163" s="322">
        <v>1252</v>
      </c>
      <c r="AO163" s="338">
        <v>1345</v>
      </c>
      <c r="AP163" s="17"/>
      <c r="AQ163" s="20"/>
      <c r="AR163" s="20"/>
      <c r="AS163" s="20"/>
      <c r="AU163" s="586">
        <v>320</v>
      </c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</row>
    <row r="164" spans="1:64">
      <c r="A164" s="36"/>
      <c r="B164" s="67" t="s">
        <v>533</v>
      </c>
      <c r="C164" s="20" t="s">
        <v>534</v>
      </c>
      <c r="D164" s="20"/>
      <c r="E164" s="20"/>
      <c r="F164" s="20"/>
      <c r="G164" s="20"/>
      <c r="H164" s="20"/>
      <c r="I164" s="67" t="s">
        <v>160</v>
      </c>
      <c r="J164" s="481">
        <f>F109+3</f>
        <v>25</v>
      </c>
      <c r="K164" s="304"/>
      <c r="L164" s="19"/>
      <c r="M164" s="17"/>
      <c r="X164" s="580"/>
      <c r="Y164" s="581">
        <v>12</v>
      </c>
      <c r="Z164" s="100">
        <v>210</v>
      </c>
      <c r="AA164" s="100" t="s">
        <v>535</v>
      </c>
      <c r="AB164" s="100">
        <v>6228</v>
      </c>
      <c r="AC164" s="100" t="s">
        <v>536</v>
      </c>
      <c r="AF164" s="17"/>
      <c r="AG164" s="17">
        <v>662</v>
      </c>
      <c r="AH164" s="249">
        <v>838</v>
      </c>
      <c r="AI164" s="228" t="s">
        <v>410</v>
      </c>
      <c r="AJ164" s="228">
        <v>1960</v>
      </c>
      <c r="AK164" s="228">
        <v>36</v>
      </c>
      <c r="AL164" s="100">
        <v>493</v>
      </c>
      <c r="AM164" s="228"/>
      <c r="AN164" s="311">
        <v>1345</v>
      </c>
      <c r="AO164" s="338">
        <v>1352</v>
      </c>
      <c r="AP164" s="17"/>
      <c r="AQ164" s="20"/>
      <c r="AR164" s="20"/>
      <c r="AS164" s="20"/>
      <c r="AU164" s="586">
        <v>400</v>
      </c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</row>
    <row r="165" spans="1:64">
      <c r="A165" s="36"/>
      <c r="B165" s="67" t="s">
        <v>537</v>
      </c>
      <c r="C165" s="20" t="s">
        <v>538</v>
      </c>
      <c r="D165" s="20"/>
      <c r="E165" s="20"/>
      <c r="F165" s="20"/>
      <c r="G165" s="20"/>
      <c r="H165" s="20"/>
      <c r="I165" s="67" t="s">
        <v>160</v>
      </c>
      <c r="J165" s="481">
        <f>J145</f>
        <v>320</v>
      </c>
      <c r="K165" s="304"/>
      <c r="L165" s="19"/>
      <c r="M165" s="17"/>
      <c r="X165" s="587">
        <v>160</v>
      </c>
      <c r="Y165" s="588">
        <v>12</v>
      </c>
      <c r="Z165" s="104">
        <v>210</v>
      </c>
      <c r="AA165" s="104" t="s">
        <v>535</v>
      </c>
      <c r="AB165" s="104">
        <v>6228</v>
      </c>
      <c r="AC165" s="104"/>
      <c r="AF165" s="17"/>
      <c r="AG165" s="17">
        <v>838</v>
      </c>
      <c r="AH165" s="249">
        <v>934</v>
      </c>
      <c r="AI165" s="228" t="s">
        <v>410</v>
      </c>
      <c r="AJ165" s="228">
        <v>1960</v>
      </c>
      <c r="AK165" s="228">
        <v>38</v>
      </c>
      <c r="AL165" s="100">
        <v>549</v>
      </c>
      <c r="AM165" s="228"/>
      <c r="AN165" s="311">
        <v>1352</v>
      </c>
      <c r="AO165" s="465">
        <v>1453</v>
      </c>
      <c r="AP165" s="17"/>
      <c r="AQ165" s="20"/>
      <c r="AR165" s="20"/>
      <c r="AS165" s="20"/>
      <c r="AU165" s="586">
        <v>500</v>
      </c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</row>
    <row r="166" spans="1:64">
      <c r="A166" s="36"/>
      <c r="B166" s="67" t="s">
        <v>539</v>
      </c>
      <c r="C166" s="20" t="s">
        <v>540</v>
      </c>
      <c r="D166" s="20"/>
      <c r="E166" s="20"/>
      <c r="F166" s="20"/>
      <c r="G166" s="20"/>
      <c r="H166" s="20"/>
      <c r="I166" s="67" t="s">
        <v>160</v>
      </c>
      <c r="J166" s="589">
        <v>100</v>
      </c>
      <c r="K166" s="304"/>
      <c r="L166" s="19"/>
      <c r="M166" s="17"/>
      <c r="AE166" s="17"/>
      <c r="AF166" s="17"/>
      <c r="AG166" s="17">
        <v>934</v>
      </c>
      <c r="AH166" s="249">
        <v>1035</v>
      </c>
      <c r="AI166" s="228" t="s">
        <v>410</v>
      </c>
      <c r="AJ166" s="228">
        <v>1960</v>
      </c>
      <c r="AK166" s="228">
        <v>40</v>
      </c>
      <c r="AL166" s="100">
        <v>608</v>
      </c>
      <c r="AM166" s="228"/>
      <c r="AN166" s="322">
        <v>1453</v>
      </c>
      <c r="AO166" s="465">
        <v>1490</v>
      </c>
      <c r="AP166" s="17"/>
      <c r="AQ166" s="20"/>
      <c r="AR166" s="20"/>
      <c r="AS166" s="20"/>
      <c r="AU166" s="586">
        <v>630</v>
      </c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</row>
    <row r="167" spans="1:64">
      <c r="A167" s="36"/>
      <c r="B167" s="67" t="s">
        <v>541</v>
      </c>
      <c r="C167" s="20" t="s">
        <v>542</v>
      </c>
      <c r="D167" s="20"/>
      <c r="E167" s="20"/>
      <c r="F167" s="20"/>
      <c r="G167" s="20"/>
      <c r="H167" s="20"/>
      <c r="I167" s="67" t="s">
        <v>160</v>
      </c>
      <c r="J167" s="590">
        <v>1</v>
      </c>
      <c r="K167" s="304"/>
      <c r="L167" s="19"/>
      <c r="M167" s="17"/>
      <c r="AE167" s="17"/>
      <c r="AF167" s="17"/>
      <c r="AG167" s="17">
        <v>1035</v>
      </c>
      <c r="AH167" s="249">
        <v>1252</v>
      </c>
      <c r="AI167" s="228" t="s">
        <v>410</v>
      </c>
      <c r="AJ167" s="228">
        <v>1960</v>
      </c>
      <c r="AK167" s="228">
        <v>44</v>
      </c>
      <c r="AL167" s="100">
        <v>736</v>
      </c>
      <c r="AM167" s="228"/>
      <c r="AN167" s="322">
        <v>1490</v>
      </c>
      <c r="AO167" s="338">
        <v>1579</v>
      </c>
      <c r="AP167" s="17"/>
      <c r="AQ167" s="20"/>
      <c r="AR167" s="20"/>
      <c r="AS167" s="20"/>
      <c r="AU167" s="586">
        <v>710</v>
      </c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</row>
    <row r="168" spans="1:64">
      <c r="A168" s="36"/>
      <c r="B168" s="67"/>
      <c r="C168" s="20"/>
      <c r="D168" s="20"/>
      <c r="E168" s="20"/>
      <c r="F168" s="20"/>
      <c r="G168" s="20"/>
      <c r="H168" s="20"/>
      <c r="I168" s="67"/>
      <c r="J168" s="19"/>
      <c r="K168" s="304"/>
      <c r="L168" s="19"/>
      <c r="M168" s="17"/>
      <c r="AE168" s="17"/>
      <c r="AF168" s="17"/>
      <c r="AG168" s="17">
        <v>1252</v>
      </c>
      <c r="AH168" s="249">
        <v>1490</v>
      </c>
      <c r="AI168" s="228" t="s">
        <v>410</v>
      </c>
      <c r="AJ168" s="228">
        <v>1960</v>
      </c>
      <c r="AK168" s="228">
        <v>48</v>
      </c>
      <c r="AL168" s="100">
        <v>876</v>
      </c>
      <c r="AM168" s="228"/>
      <c r="AN168" s="311">
        <v>1579</v>
      </c>
      <c r="AO168" s="338">
        <v>1609</v>
      </c>
      <c r="AP168" s="17"/>
      <c r="AQ168" s="20"/>
      <c r="AR168" s="20"/>
      <c r="AS168" s="20"/>
      <c r="AU168" s="586">
        <v>800</v>
      </c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</row>
    <row r="169" spans="1:64">
      <c r="A169" s="36"/>
      <c r="B169" s="88" t="s">
        <v>525</v>
      </c>
      <c r="C169" s="20"/>
      <c r="D169" s="20"/>
      <c r="E169" s="20"/>
      <c r="F169" s="20"/>
      <c r="G169" s="20"/>
      <c r="H169" s="20"/>
      <c r="I169" s="67"/>
      <c r="J169" s="19"/>
      <c r="K169" s="304"/>
      <c r="L169" s="19"/>
      <c r="M169" s="17"/>
      <c r="AE169" s="17"/>
      <c r="AF169" s="17"/>
      <c r="AG169" s="17">
        <v>1490</v>
      </c>
      <c r="AH169" s="249">
        <v>1748</v>
      </c>
      <c r="AI169" s="228" t="s">
        <v>410</v>
      </c>
      <c r="AJ169" s="228">
        <v>1960</v>
      </c>
      <c r="AK169" s="228">
        <v>52</v>
      </c>
      <c r="AL169" s="100">
        <v>1028</v>
      </c>
      <c r="AM169" s="228"/>
      <c r="AN169" s="311">
        <v>1609</v>
      </c>
      <c r="AO169" s="465">
        <v>1705</v>
      </c>
      <c r="AP169" s="17"/>
      <c r="AQ169" s="20"/>
      <c r="AR169" s="20"/>
      <c r="AS169" s="20"/>
      <c r="AU169" s="586">
        <v>900</v>
      </c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</row>
    <row r="170" spans="1:64">
      <c r="A170" s="36"/>
      <c r="B170" s="20"/>
      <c r="C170" s="88" t="s">
        <v>543</v>
      </c>
      <c r="D170" s="88"/>
      <c r="E170" s="20"/>
      <c r="F170" s="20"/>
      <c r="G170" s="20"/>
      <c r="H170" s="20"/>
      <c r="I170" s="67" t="s">
        <v>160</v>
      </c>
      <c r="J170" s="577">
        <f>(2*J159/J167*J164)+J165+(2*J166)</f>
        <v>1770</v>
      </c>
      <c r="K170" s="304"/>
      <c r="L170" s="19"/>
      <c r="M170" s="19"/>
      <c r="N170" s="19"/>
      <c r="O170" s="17"/>
      <c r="AE170" s="17"/>
      <c r="AF170" s="17"/>
      <c r="AG170" s="17">
        <v>1748</v>
      </c>
      <c r="AH170" s="249">
        <v>2028</v>
      </c>
      <c r="AI170" s="228" t="s">
        <v>410</v>
      </c>
      <c r="AJ170" s="228">
        <v>1960</v>
      </c>
      <c r="AK170" s="228">
        <v>56</v>
      </c>
      <c r="AL170" s="100">
        <v>1192</v>
      </c>
      <c r="AM170" s="228"/>
      <c r="AN170" s="322">
        <v>1705</v>
      </c>
      <c r="AO170" s="465">
        <v>1748</v>
      </c>
      <c r="AP170" s="17"/>
      <c r="AQ170" s="20"/>
      <c r="AR170" s="20"/>
      <c r="AS170" s="20"/>
      <c r="AU170" s="586">
        <v>1000</v>
      </c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</row>
    <row r="171" spans="1:64">
      <c r="A171" s="36"/>
      <c r="B171" s="20"/>
      <c r="C171" s="88" t="s">
        <v>544</v>
      </c>
      <c r="D171" s="88"/>
      <c r="E171" s="20"/>
      <c r="F171" s="20"/>
      <c r="G171" s="20"/>
      <c r="H171" s="20"/>
      <c r="I171" s="67" t="s">
        <v>160</v>
      </c>
      <c r="J171" s="591">
        <f>ROUNDUP(J170,-1)</f>
        <v>1770</v>
      </c>
      <c r="K171" s="304"/>
      <c r="L171" s="592">
        <f>J171/J132</f>
        <v>4.3553149606299213</v>
      </c>
      <c r="M171" s="593" t="s">
        <v>545</v>
      </c>
      <c r="N171" s="51" t="s">
        <v>2783</v>
      </c>
      <c r="O171" s="17"/>
      <c r="AE171" s="17"/>
      <c r="AF171" s="17"/>
      <c r="AG171" s="17">
        <v>2028</v>
      </c>
      <c r="AH171" s="249">
        <v>2328</v>
      </c>
      <c r="AI171" s="228" t="s">
        <v>410</v>
      </c>
      <c r="AJ171" s="228">
        <v>1960</v>
      </c>
      <c r="AK171" s="228">
        <v>60</v>
      </c>
      <c r="AL171" s="100">
        <v>1369</v>
      </c>
      <c r="AM171" s="228"/>
      <c r="AN171" s="322">
        <v>1748</v>
      </c>
      <c r="AO171" s="338">
        <v>1831</v>
      </c>
      <c r="AP171" s="17"/>
      <c r="AQ171" s="20"/>
      <c r="AR171" s="20"/>
      <c r="AS171" s="20"/>
      <c r="AU171" s="19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</row>
    <row r="172" spans="1:64">
      <c r="A172" s="36"/>
      <c r="B172" s="20"/>
      <c r="C172" s="88"/>
      <c r="D172" s="88"/>
      <c r="E172" s="20"/>
      <c r="F172" s="20"/>
      <c r="G172" s="20"/>
      <c r="H172" s="20"/>
      <c r="I172" s="17"/>
      <c r="J172" s="3749" t="str">
        <f>IF(L171&lt;8,"SAFE","Not-SAFE")</f>
        <v>SAFE</v>
      </c>
      <c r="K172" s="594"/>
      <c r="L172" s="19"/>
      <c r="M172" s="19"/>
      <c r="N172" s="19"/>
      <c r="O172" s="17"/>
      <c r="AE172" s="17"/>
      <c r="AF172" s="17"/>
      <c r="AG172" s="17">
        <v>2328</v>
      </c>
      <c r="AH172" s="249">
        <v>2648</v>
      </c>
      <c r="AI172" s="228" t="s">
        <v>410</v>
      </c>
      <c r="AJ172" s="228">
        <v>1960</v>
      </c>
      <c r="AK172" s="228">
        <v>64</v>
      </c>
      <c r="AL172" s="100">
        <v>1557</v>
      </c>
      <c r="AM172" s="228"/>
      <c r="AN172" s="311">
        <v>1831</v>
      </c>
      <c r="AO172" s="338">
        <v>1888</v>
      </c>
      <c r="AP172" s="17"/>
      <c r="AQ172" s="20"/>
      <c r="AR172" s="20"/>
      <c r="AS172" s="20"/>
      <c r="AU172" s="19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</row>
    <row r="173" spans="1:64">
      <c r="A173" s="36"/>
      <c r="B173" s="20"/>
      <c r="C173" s="88"/>
      <c r="D173" s="88"/>
      <c r="E173" s="20"/>
      <c r="F173" s="20"/>
      <c r="G173" s="20"/>
      <c r="H173" s="20"/>
      <c r="I173" s="20"/>
      <c r="J173" s="3749"/>
      <c r="K173" s="304"/>
      <c r="L173" s="19"/>
      <c r="M173" s="19"/>
      <c r="N173" s="19"/>
      <c r="O173" s="17"/>
      <c r="AE173" s="17"/>
      <c r="AF173" s="17"/>
      <c r="AG173" s="17">
        <v>2648</v>
      </c>
      <c r="AH173" s="249">
        <v>2990</v>
      </c>
      <c r="AI173" s="228" t="s">
        <v>410</v>
      </c>
      <c r="AJ173" s="228">
        <v>1960</v>
      </c>
      <c r="AK173" s="228">
        <v>68</v>
      </c>
      <c r="AL173" s="100">
        <v>1758</v>
      </c>
      <c r="AM173" s="228"/>
      <c r="AN173" s="311">
        <v>1888</v>
      </c>
      <c r="AO173" s="465">
        <v>1978</v>
      </c>
      <c r="AP173" s="17"/>
      <c r="AQ173" s="20"/>
      <c r="AR173" s="20"/>
      <c r="AS173" s="20"/>
      <c r="AU173" s="19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</row>
    <row r="174" spans="1:64">
      <c r="A174" s="36"/>
      <c r="B174" s="20"/>
      <c r="C174" s="88"/>
      <c r="D174" s="88"/>
      <c r="E174" s="20"/>
      <c r="F174" s="20"/>
      <c r="G174" s="20"/>
      <c r="H174" s="20"/>
      <c r="I174" s="20"/>
      <c r="J174" s="25"/>
      <c r="K174" s="304"/>
      <c r="L174" s="19"/>
      <c r="M174" s="19"/>
      <c r="N174" s="19"/>
      <c r="O174" s="17"/>
      <c r="AE174" s="17"/>
      <c r="AF174" s="17"/>
      <c r="AG174" s="17">
        <v>2990</v>
      </c>
      <c r="AH174" s="249">
        <v>3168</v>
      </c>
      <c r="AI174" s="228" t="s">
        <v>410</v>
      </c>
      <c r="AJ174" s="228">
        <v>1960</v>
      </c>
      <c r="AK174" s="228">
        <v>70</v>
      </c>
      <c r="AL174" s="100">
        <v>1863</v>
      </c>
      <c r="AM174" s="416"/>
      <c r="AN174" s="322">
        <v>1978</v>
      </c>
      <c r="AO174" s="465">
        <v>2028</v>
      </c>
      <c r="AP174" s="20"/>
      <c r="AQ174" s="20"/>
      <c r="AR174" s="20"/>
      <c r="AS174" s="20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</row>
    <row r="175" spans="1:64">
      <c r="A175" s="3769" t="s">
        <v>1</v>
      </c>
      <c r="B175" s="3770"/>
      <c r="C175" s="3770"/>
      <c r="D175" s="3770"/>
      <c r="E175" s="3771"/>
      <c r="F175" s="3735" t="s">
        <v>109</v>
      </c>
      <c r="G175" s="3736"/>
      <c r="H175" s="3737"/>
      <c r="I175" s="3738" t="s">
        <v>2</v>
      </c>
      <c r="J175" s="3739"/>
      <c r="K175" s="3740"/>
      <c r="L175" s="19"/>
      <c r="M175" s="19"/>
      <c r="N175" s="19" t="s">
        <v>546</v>
      </c>
      <c r="O175" s="17"/>
      <c r="AE175" s="17"/>
      <c r="AF175" s="17"/>
      <c r="AG175" s="17">
        <v>3168</v>
      </c>
      <c r="AH175" s="249">
        <v>3352</v>
      </c>
      <c r="AI175" s="228" t="s">
        <v>410</v>
      </c>
      <c r="AJ175" s="228">
        <v>1960</v>
      </c>
      <c r="AK175" s="228">
        <v>72</v>
      </c>
      <c r="AL175" s="100">
        <v>1971</v>
      </c>
      <c r="AM175" s="416"/>
      <c r="AN175" s="322">
        <v>2028</v>
      </c>
      <c r="AO175" s="338">
        <v>2102</v>
      </c>
      <c r="AP175" s="20"/>
      <c r="AQ175" s="20"/>
      <c r="AR175" s="20"/>
      <c r="AS175" s="20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</row>
    <row r="176" spans="1:64">
      <c r="A176" s="3741" t="str">
        <f>+A85</f>
        <v>ELITEMHE INDUSTRIES LIMITED</v>
      </c>
      <c r="B176" s="3742"/>
      <c r="C176" s="3742"/>
      <c r="D176" s="3742"/>
      <c r="E176" s="3743"/>
      <c r="F176" s="3744" t="str">
        <f>F121</f>
        <v xml:space="preserve">25/15T D/G EOT CRANE  </v>
      </c>
      <c r="G176" s="3695"/>
      <c r="H176" s="3745"/>
      <c r="I176" s="3746">
        <f>I121</f>
        <v>0</v>
      </c>
      <c r="J176" s="3747"/>
      <c r="K176" s="3748"/>
      <c r="L176" s="19"/>
      <c r="M176" s="19"/>
      <c r="N176" s="19"/>
      <c r="O176" s="17"/>
      <c r="AE176" s="17"/>
      <c r="AF176" s="17"/>
      <c r="AG176" s="17">
        <v>3352</v>
      </c>
      <c r="AH176" s="249">
        <v>3735</v>
      </c>
      <c r="AI176" s="228" t="s">
        <v>410</v>
      </c>
      <c r="AJ176" s="228">
        <v>1960</v>
      </c>
      <c r="AK176" s="228">
        <v>76</v>
      </c>
      <c r="AL176" s="100">
        <v>2196</v>
      </c>
      <c r="AM176" s="416"/>
      <c r="AN176" s="311">
        <v>2102</v>
      </c>
      <c r="AO176" s="338">
        <v>2190</v>
      </c>
      <c r="AP176" s="20"/>
      <c r="AQ176" s="20"/>
      <c r="AR176" s="20"/>
      <c r="AS176" s="20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</row>
    <row r="177" spans="1:64">
      <c r="A177" s="3763" t="e">
        <f>A122</f>
        <v>#REF!</v>
      </c>
      <c r="B177" s="3760"/>
      <c r="C177" s="3760"/>
      <c r="D177" s="3760"/>
      <c r="E177" s="3761"/>
      <c r="F177" s="3759" t="s">
        <v>122</v>
      </c>
      <c r="G177" s="3760"/>
      <c r="H177" s="3761"/>
      <c r="I177" s="3750" t="s">
        <v>547</v>
      </c>
      <c r="J177" s="3751"/>
      <c r="K177" s="3752"/>
      <c r="L177" s="19"/>
      <c r="M177" s="19"/>
      <c r="N177" s="19"/>
      <c r="O177" s="17"/>
      <c r="P177" s="17"/>
      <c r="R177" s="263">
        <f>T269</f>
        <v>31</v>
      </c>
      <c r="S177" s="595" t="s">
        <v>548</v>
      </c>
      <c r="T177" s="264" t="s">
        <v>549</v>
      </c>
      <c r="AE177" s="17"/>
      <c r="AF177" s="17"/>
      <c r="AG177" s="17">
        <v>3735</v>
      </c>
      <c r="AH177" s="249">
        <v>4138</v>
      </c>
      <c r="AI177" s="228" t="s">
        <v>410</v>
      </c>
      <c r="AJ177" s="228">
        <v>1960</v>
      </c>
      <c r="AK177" s="228">
        <v>80</v>
      </c>
      <c r="AL177" s="100">
        <v>2433</v>
      </c>
      <c r="AM177" s="416"/>
      <c r="AN177" s="311">
        <v>2190</v>
      </c>
      <c r="AO177" s="465">
        <v>2270</v>
      </c>
      <c r="AP177" s="20"/>
      <c r="AQ177" s="20"/>
      <c r="AR177" s="20"/>
      <c r="AS177" s="20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</row>
    <row r="178" spans="1:64">
      <c r="A178" s="406" t="s">
        <v>32</v>
      </c>
      <c r="B178" s="407" t="e">
        <f>B87</f>
        <v>#REF!</v>
      </c>
      <c r="C178" s="407"/>
      <c r="D178" s="407"/>
      <c r="E178" s="408"/>
      <c r="F178" s="3762" t="str">
        <f>F123</f>
        <v xml:space="preserve"> </v>
      </c>
      <c r="G178" s="3742"/>
      <c r="H178" s="3743"/>
      <c r="I178" s="3753"/>
      <c r="J178" s="3754"/>
      <c r="K178" s="3755"/>
      <c r="L178" s="19"/>
      <c r="M178" s="19"/>
      <c r="N178" s="19"/>
      <c r="O178" s="17"/>
      <c r="P178" s="17"/>
      <c r="Q178" s="596" t="str">
        <f>IF(J132=R178,"◎≈→","")</f>
        <v/>
      </c>
      <c r="R178" s="109">
        <v>168.3</v>
      </c>
      <c r="S178" s="597">
        <v>0</v>
      </c>
      <c r="T178" s="598">
        <v>7.1</v>
      </c>
      <c r="U178" s="599" t="str">
        <f>IF(J191=T178,"←◎◎","")</f>
        <v/>
      </c>
      <c r="AE178" s="17"/>
      <c r="AF178" s="17"/>
      <c r="AG178" s="17">
        <v>4138</v>
      </c>
      <c r="AH178" s="249">
        <v>4562</v>
      </c>
      <c r="AI178" s="228" t="s">
        <v>410</v>
      </c>
      <c r="AJ178" s="228">
        <v>1960</v>
      </c>
      <c r="AK178" s="228">
        <v>84</v>
      </c>
      <c r="AL178" s="100">
        <v>2683</v>
      </c>
      <c r="AM178" s="416"/>
      <c r="AN178" s="322">
        <v>2270</v>
      </c>
      <c r="AO178" s="465">
        <v>2328</v>
      </c>
      <c r="AP178" s="20"/>
      <c r="AQ178" s="20"/>
      <c r="AR178" s="20"/>
      <c r="AS178" s="20"/>
      <c r="AT178" s="19"/>
      <c r="AU178" s="20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</row>
    <row r="179" spans="1:64">
      <c r="A179" s="300"/>
      <c r="B179" s="600"/>
      <c r="C179" s="37"/>
      <c r="D179" s="37"/>
      <c r="E179" s="37"/>
      <c r="F179" s="37"/>
      <c r="G179" s="37"/>
      <c r="H179" s="37"/>
      <c r="I179" s="601"/>
      <c r="J179" s="37"/>
      <c r="K179" s="38"/>
      <c r="L179" s="19"/>
      <c r="M179" s="19"/>
      <c r="N179" s="19"/>
      <c r="O179" s="17"/>
      <c r="P179" s="17"/>
      <c r="R179" s="602" t="s">
        <v>512</v>
      </c>
      <c r="S179" s="603">
        <v>7.1</v>
      </c>
      <c r="T179" s="604">
        <v>11</v>
      </c>
      <c r="U179" s="599" t="str">
        <f>IF(J191=T179,"←◎◎","")</f>
        <v/>
      </c>
      <c r="V179" s="17"/>
      <c r="AE179" s="17"/>
      <c r="AF179" s="17"/>
      <c r="AG179" s="17">
        <v>4562</v>
      </c>
      <c r="AH179" s="249">
        <v>4782</v>
      </c>
      <c r="AI179" s="228" t="s">
        <v>410</v>
      </c>
      <c r="AJ179" s="228">
        <v>1960</v>
      </c>
      <c r="AK179" s="228">
        <v>86</v>
      </c>
      <c r="AL179" s="100">
        <v>2812</v>
      </c>
      <c r="AM179" s="416"/>
      <c r="AN179" s="322">
        <v>2328</v>
      </c>
      <c r="AO179" s="338">
        <v>2392</v>
      </c>
      <c r="AP179" s="20"/>
      <c r="AQ179" s="20"/>
      <c r="AR179" s="20"/>
      <c r="AS179" s="20"/>
      <c r="AT179" s="19"/>
      <c r="AU179" s="20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</row>
    <row r="180" spans="1:64">
      <c r="A180" s="36"/>
      <c r="B180" s="88" t="s">
        <v>550</v>
      </c>
      <c r="C180" s="20"/>
      <c r="D180" s="20"/>
      <c r="E180" s="20"/>
      <c r="F180" s="20"/>
      <c r="G180" s="20"/>
      <c r="H180" s="20" t="s">
        <v>551</v>
      </c>
      <c r="I180" s="25"/>
      <c r="J180" s="20"/>
      <c r="K180" s="304"/>
      <c r="L180" s="19"/>
      <c r="M180" s="19"/>
      <c r="N180" s="19"/>
      <c r="O180" s="19"/>
      <c r="P180" s="19"/>
      <c r="R180" s="602" t="b">
        <f>IF(J132=168.3,VLOOKUP(J190,S178:S182,1))</f>
        <v>0</v>
      </c>
      <c r="S180" s="603">
        <v>11</v>
      </c>
      <c r="T180" s="604">
        <v>14.3</v>
      </c>
      <c r="U180" s="599" t="str">
        <f>IF(J191=T180,"←◎◎","")</f>
        <v/>
      </c>
      <c r="V180" s="17"/>
      <c r="AE180" s="17"/>
      <c r="AF180" s="17"/>
      <c r="AG180" s="20">
        <v>0</v>
      </c>
      <c r="AH180" s="252">
        <v>45</v>
      </c>
      <c r="AI180" s="259" t="s">
        <v>404</v>
      </c>
      <c r="AJ180" s="259">
        <v>1960</v>
      </c>
      <c r="AK180" s="259">
        <v>8</v>
      </c>
      <c r="AL180" s="100">
        <v>26.8</v>
      </c>
      <c r="AM180" s="416"/>
      <c r="AN180" s="311">
        <v>2392</v>
      </c>
      <c r="AO180" s="338">
        <v>2514</v>
      </c>
      <c r="AP180" s="20"/>
      <c r="AQ180" s="20"/>
      <c r="AR180" s="20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</row>
    <row r="181" spans="1:64">
      <c r="A181" s="36"/>
      <c r="B181" s="605"/>
      <c r="C181" s="20"/>
      <c r="D181" s="20"/>
      <c r="E181" s="20"/>
      <c r="F181" s="20"/>
      <c r="G181" s="20"/>
      <c r="H181" s="20" t="s">
        <v>552</v>
      </c>
      <c r="I181" s="25"/>
      <c r="K181" s="304"/>
      <c r="L181" s="19"/>
      <c r="M181" s="577">
        <f>+J183</f>
        <v>6431.5625</v>
      </c>
      <c r="N181" s="19"/>
      <c r="O181" s="19"/>
      <c r="P181" s="19"/>
      <c r="R181" s="606" t="s">
        <v>507</v>
      </c>
      <c r="S181" s="603">
        <v>14.3</v>
      </c>
      <c r="T181" s="604">
        <v>18.3</v>
      </c>
      <c r="U181" s="599" t="str">
        <f>IF(J191=T181,"←◎◎","")</f>
        <v/>
      </c>
      <c r="V181" s="17"/>
      <c r="AE181" s="17"/>
      <c r="AF181" s="17"/>
      <c r="AG181" s="17">
        <v>45</v>
      </c>
      <c r="AH181" s="249">
        <v>57</v>
      </c>
      <c r="AI181" s="228" t="s">
        <v>404</v>
      </c>
      <c r="AJ181" s="228">
        <v>1960</v>
      </c>
      <c r="AK181" s="228">
        <v>9</v>
      </c>
      <c r="AL181" s="100">
        <v>33.9</v>
      </c>
      <c r="AM181" s="416"/>
      <c r="AN181" s="311">
        <v>2514</v>
      </c>
      <c r="AO181" s="465">
        <v>2583</v>
      </c>
      <c r="AP181" s="20"/>
      <c r="AQ181" s="20"/>
      <c r="AR181" s="20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</row>
    <row r="182" spans="1:64" ht="14.65" thickBot="1">
      <c r="A182" s="36"/>
      <c r="B182" s="20" t="s">
        <v>303</v>
      </c>
      <c r="C182" s="20"/>
      <c r="D182" s="20"/>
      <c r="E182" s="20"/>
      <c r="F182" s="20"/>
      <c r="G182" s="20"/>
      <c r="H182" s="20"/>
      <c r="I182" s="20"/>
      <c r="J182" s="530" t="str">
        <f>J126</f>
        <v>Seamless Tube</v>
      </c>
      <c r="K182" s="304"/>
      <c r="L182" s="19"/>
      <c r="M182" s="19">
        <v>25</v>
      </c>
      <c r="N182" s="19"/>
      <c r="O182" s="19"/>
      <c r="P182" s="19"/>
      <c r="R182" s="607" t="e">
        <f>VLOOKUP(R180,S178:T182,2,0)</f>
        <v>#N/A</v>
      </c>
      <c r="S182" s="608">
        <v>18.3</v>
      </c>
      <c r="T182" s="609">
        <v>21.9</v>
      </c>
      <c r="U182" s="599" t="str">
        <f>IF(J191=T182,"←◎◎","")</f>
        <v/>
      </c>
      <c r="V182" s="17"/>
      <c r="AE182" s="17"/>
      <c r="AF182" s="17"/>
      <c r="AG182" s="67">
        <v>57</v>
      </c>
      <c r="AH182" s="249">
        <v>70</v>
      </c>
      <c r="AI182" s="228" t="s">
        <v>404</v>
      </c>
      <c r="AJ182" s="228">
        <v>1960</v>
      </c>
      <c r="AK182" s="228">
        <v>10</v>
      </c>
      <c r="AL182" s="100">
        <v>41.8</v>
      </c>
      <c r="AM182" s="416"/>
      <c r="AN182" s="322">
        <v>2583</v>
      </c>
      <c r="AO182" s="465">
        <v>2648</v>
      </c>
      <c r="AP182" s="20"/>
      <c r="AQ182" s="20"/>
      <c r="AR182" s="20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</row>
    <row r="183" spans="1:64" ht="14.65" thickBot="1">
      <c r="A183" s="36"/>
      <c r="B183" s="20"/>
      <c r="C183" s="20" t="s">
        <v>553</v>
      </c>
      <c r="D183" s="20"/>
      <c r="E183" s="20"/>
      <c r="F183" s="20"/>
      <c r="G183" s="20"/>
      <c r="H183" s="20"/>
      <c r="I183" s="67" t="s">
        <v>160</v>
      </c>
      <c r="J183" s="577">
        <f>(I12+I13+I14)/J98</f>
        <v>6431.5625</v>
      </c>
      <c r="K183" s="557"/>
      <c r="L183" s="391" t="str">
        <f>HYPERLINK("\\Manish-pc\e\03 General\Manish\Selection\J_S_Tube.pdf","J S Tube")</f>
        <v>J S Tube</v>
      </c>
      <c r="M183" s="22">
        <v>12.5</v>
      </c>
      <c r="O183" s="610">
        <f>+P207</f>
        <v>32</v>
      </c>
      <c r="P183" s="611" t="s">
        <v>554</v>
      </c>
      <c r="Q183" s="596" t="str">
        <f>IF(J132=R183,"≈→","")</f>
        <v/>
      </c>
      <c r="R183" s="612">
        <v>219.1</v>
      </c>
      <c r="S183" s="613">
        <v>0</v>
      </c>
      <c r="T183" s="614">
        <v>6.4</v>
      </c>
      <c r="U183" s="599" t="str">
        <f>IF(J191=T183,"←◎◎","")</f>
        <v/>
      </c>
      <c r="V183" s="17"/>
      <c r="AE183" s="17"/>
      <c r="AF183" s="17"/>
      <c r="AG183" s="17">
        <v>70</v>
      </c>
      <c r="AH183" s="249">
        <v>85</v>
      </c>
      <c r="AI183" s="228" t="s">
        <v>404</v>
      </c>
      <c r="AJ183" s="228">
        <v>1960</v>
      </c>
      <c r="AK183" s="228">
        <v>11</v>
      </c>
      <c r="AL183" s="100">
        <v>50.6</v>
      </c>
      <c r="AM183" s="416"/>
      <c r="AN183" s="322">
        <v>2648</v>
      </c>
      <c r="AO183" s="338">
        <v>2700</v>
      </c>
      <c r="AP183" s="20"/>
      <c r="AQ183" s="20"/>
      <c r="AR183" s="20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</row>
    <row r="184" spans="1:64" ht="14.65" thickBot="1">
      <c r="A184" s="36"/>
      <c r="B184" s="20"/>
      <c r="C184" s="20" t="s">
        <v>555</v>
      </c>
      <c r="D184" s="20"/>
      <c r="E184" s="20"/>
      <c r="F184" s="20"/>
      <c r="G184" s="20"/>
      <c r="H184" s="17"/>
      <c r="I184" s="67" t="s">
        <v>160</v>
      </c>
      <c r="J184" s="265">
        <f>IF(J182="Fabricated",14,12.5)</f>
        <v>12.5</v>
      </c>
      <c r="K184" s="557"/>
      <c r="L184" s="266" t="str">
        <f>IF(J191&gt;J190,"Right","Wrong")</f>
        <v>Right</v>
      </c>
      <c r="M184" s="22">
        <f>+M182*M183</f>
        <v>312.5</v>
      </c>
      <c r="N184" s="19"/>
      <c r="O184" s="615">
        <v>0</v>
      </c>
      <c r="P184" s="616">
        <v>5</v>
      </c>
      <c r="R184" s="602"/>
      <c r="S184" s="603">
        <v>6.4</v>
      </c>
      <c r="T184" s="604">
        <v>7</v>
      </c>
      <c r="U184" s="599" t="str">
        <f>IF(J191=T184,"←◎◎","")</f>
        <v/>
      </c>
      <c r="V184" s="17"/>
      <c r="AE184" s="17"/>
      <c r="AF184" s="17"/>
      <c r="AG184" s="17">
        <v>85</v>
      </c>
      <c r="AH184" s="249">
        <v>101</v>
      </c>
      <c r="AI184" s="228" t="s">
        <v>404</v>
      </c>
      <c r="AJ184" s="228">
        <v>1960</v>
      </c>
      <c r="AK184" s="228">
        <v>12</v>
      </c>
      <c r="AL184" s="100">
        <v>60.2</v>
      </c>
      <c r="AM184" s="416"/>
      <c r="AN184" s="311">
        <v>2700</v>
      </c>
      <c r="AO184" s="338">
        <v>2860</v>
      </c>
      <c r="AP184" s="20"/>
      <c r="AQ184" s="20"/>
      <c r="AR184" s="20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</row>
    <row r="185" spans="1:64" ht="14.65" thickBot="1">
      <c r="A185" s="36"/>
      <c r="B185" s="20" t="s">
        <v>525</v>
      </c>
      <c r="C185" s="20"/>
      <c r="D185" s="20"/>
      <c r="E185" s="20"/>
      <c r="F185" s="20"/>
      <c r="G185" s="20"/>
      <c r="H185" s="20"/>
      <c r="I185" s="67"/>
      <c r="J185" s="19"/>
      <c r="K185" s="557"/>
      <c r="L185" s="617" t="s">
        <v>556</v>
      </c>
      <c r="M185" s="22">
        <f>+M181/M184</f>
        <v>20.581</v>
      </c>
      <c r="N185" s="19"/>
      <c r="O185" s="618">
        <v>5</v>
      </c>
      <c r="P185" s="618">
        <v>6</v>
      </c>
      <c r="R185" s="602" t="s">
        <v>512</v>
      </c>
      <c r="S185" s="603">
        <v>7</v>
      </c>
      <c r="T185" s="604">
        <v>8.1999999999999993</v>
      </c>
      <c r="U185" s="599" t="str">
        <f>IF(J191=T185,"←◎◎","")</f>
        <v/>
      </c>
      <c r="V185" s="17"/>
      <c r="AE185" s="17"/>
      <c r="AF185" s="17"/>
      <c r="AG185" s="17">
        <v>101</v>
      </c>
      <c r="AH185" s="249">
        <v>118</v>
      </c>
      <c r="AI185" s="228" t="s">
        <v>404</v>
      </c>
      <c r="AJ185" s="228">
        <v>1960</v>
      </c>
      <c r="AK185" s="228">
        <v>13</v>
      </c>
      <c r="AL185" s="100">
        <v>70.069999999999993</v>
      </c>
      <c r="AM185" s="228"/>
      <c r="AN185" s="311">
        <v>2860</v>
      </c>
      <c r="AO185" s="338">
        <v>2861</v>
      </c>
      <c r="AP185" s="17"/>
      <c r="AQ185" s="20"/>
      <c r="AR185" s="20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</row>
    <row r="186" spans="1:64" ht="14.65" thickBot="1">
      <c r="A186" s="36"/>
      <c r="B186" s="67" t="s">
        <v>557</v>
      </c>
      <c r="C186" s="20" t="s">
        <v>558</v>
      </c>
      <c r="D186" s="20"/>
      <c r="E186" s="20"/>
      <c r="F186" s="20"/>
      <c r="G186" s="20"/>
      <c r="H186" s="20"/>
      <c r="I186" s="67" t="s">
        <v>160</v>
      </c>
      <c r="J186" s="619">
        <f>J183/(J164*J184)</f>
        <v>20.581</v>
      </c>
      <c r="K186" s="557"/>
      <c r="L186" s="620">
        <f>J132</f>
        <v>406.4</v>
      </c>
      <c r="N186" s="19"/>
      <c r="O186" s="618">
        <v>6</v>
      </c>
      <c r="P186" s="618">
        <v>7</v>
      </c>
      <c r="R186" s="602" t="b">
        <f>IF(J132=219.1,VLOOKUP(J190,S184:S192,1))</f>
        <v>0</v>
      </c>
      <c r="S186" s="603">
        <v>8.1999999999999993</v>
      </c>
      <c r="T186" s="604">
        <v>10.3</v>
      </c>
      <c r="U186" s="599" t="str">
        <f>IF(J191=T186,"←◎◎","")</f>
        <v/>
      </c>
      <c r="V186" s="17"/>
      <c r="AE186" s="17"/>
      <c r="AF186" s="17"/>
      <c r="AG186" s="17">
        <v>118</v>
      </c>
      <c r="AH186" s="249">
        <v>137</v>
      </c>
      <c r="AI186" s="228" t="s">
        <v>404</v>
      </c>
      <c r="AJ186" s="228">
        <v>1960</v>
      </c>
      <c r="AK186" s="228">
        <v>14</v>
      </c>
      <c r="AL186" s="100">
        <v>82</v>
      </c>
      <c r="AM186" s="228"/>
      <c r="AN186" s="311">
        <v>2861</v>
      </c>
      <c r="AO186" s="338">
        <v>2916</v>
      </c>
      <c r="AP186" s="17"/>
      <c r="AQ186" s="20"/>
      <c r="AR186" s="20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</row>
    <row r="187" spans="1:64" ht="14.65" thickBot="1">
      <c r="A187" s="36"/>
      <c r="B187" s="20"/>
      <c r="C187" s="20" t="s">
        <v>559</v>
      </c>
      <c r="D187" s="20"/>
      <c r="E187" s="20"/>
      <c r="F187" s="20"/>
      <c r="G187" s="20"/>
      <c r="H187" s="20"/>
      <c r="I187" s="67" t="s">
        <v>160</v>
      </c>
      <c r="J187" s="619">
        <f>F109*0.3</f>
        <v>6.6</v>
      </c>
      <c r="K187" s="621"/>
      <c r="L187" s="622">
        <f>IF(J182="Fabricated",O183,R177)</f>
        <v>31</v>
      </c>
      <c r="M187" s="19"/>
      <c r="N187" s="19"/>
      <c r="O187" s="618">
        <v>7</v>
      </c>
      <c r="P187" s="618">
        <v>8</v>
      </c>
      <c r="R187" s="606" t="s">
        <v>507</v>
      </c>
      <c r="S187" s="603">
        <v>10.3</v>
      </c>
      <c r="T187" s="604">
        <v>12.7</v>
      </c>
      <c r="U187" s="599" t="str">
        <f>IF(J191=T187,"←◎◎","")</f>
        <v/>
      </c>
      <c r="V187" s="17"/>
      <c r="AE187" s="17"/>
      <c r="AF187" s="17"/>
      <c r="AG187" s="17">
        <v>137</v>
      </c>
      <c r="AH187" s="249">
        <v>179</v>
      </c>
      <c r="AI187" s="228" t="s">
        <v>404</v>
      </c>
      <c r="AJ187" s="228">
        <v>1960</v>
      </c>
      <c r="AK187" s="228">
        <v>16</v>
      </c>
      <c r="AL187" s="100">
        <v>107</v>
      </c>
      <c r="AM187" s="228"/>
      <c r="AN187" s="311">
        <v>2916</v>
      </c>
      <c r="AO187" s="338">
        <v>2990</v>
      </c>
      <c r="AP187" s="17"/>
      <c r="AQ187" s="20"/>
      <c r="AR187" s="20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</row>
    <row r="188" spans="1:64" ht="14.65" thickBot="1">
      <c r="A188" s="36"/>
      <c r="B188" s="20"/>
      <c r="C188" s="20" t="s">
        <v>560</v>
      </c>
      <c r="D188" s="20"/>
      <c r="E188" s="20"/>
      <c r="F188" s="20"/>
      <c r="G188" s="20"/>
      <c r="H188" s="20"/>
      <c r="I188" s="67" t="s">
        <v>160</v>
      </c>
      <c r="J188" s="623">
        <v>3</v>
      </c>
      <c r="K188" s="557"/>
      <c r="L188" s="59"/>
      <c r="M188" s="19"/>
      <c r="N188" s="19">
        <v>14.7</v>
      </c>
      <c r="O188" s="618">
        <v>8</v>
      </c>
      <c r="P188" s="618">
        <v>9</v>
      </c>
      <c r="R188" s="624" t="e">
        <f>VLOOKUP(R186,S184:T192,2,0)</f>
        <v>#N/A</v>
      </c>
      <c r="S188" s="603">
        <v>12.7</v>
      </c>
      <c r="T188" s="604">
        <v>15.1</v>
      </c>
      <c r="U188" s="599" t="str">
        <f>IF(J191=T188,"←◎◎","")</f>
        <v/>
      </c>
      <c r="V188" s="17"/>
      <c r="AE188" s="17"/>
      <c r="AF188" s="17"/>
      <c r="AG188" s="17">
        <v>179</v>
      </c>
      <c r="AH188" s="249">
        <v>226</v>
      </c>
      <c r="AI188" s="228" t="s">
        <v>404</v>
      </c>
      <c r="AJ188" s="228">
        <v>1960</v>
      </c>
      <c r="AK188" s="228">
        <v>18</v>
      </c>
      <c r="AL188" s="100">
        <v>135</v>
      </c>
      <c r="AM188" s="228"/>
      <c r="AN188" s="311">
        <v>2990</v>
      </c>
      <c r="AO188" s="338">
        <v>3027</v>
      </c>
      <c r="AP188" s="17"/>
      <c r="AQ188" s="20"/>
      <c r="AR188" s="20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</row>
    <row r="189" spans="1:64" ht="14.65" thickBot="1">
      <c r="A189" s="36"/>
      <c r="E189" s="20"/>
      <c r="F189" s="20"/>
      <c r="G189" s="20"/>
      <c r="H189" s="20"/>
      <c r="I189" s="67"/>
      <c r="K189" s="304"/>
      <c r="L189" s="625" t="s">
        <v>561</v>
      </c>
      <c r="M189" s="19"/>
      <c r="N189" s="19">
        <v>5.4</v>
      </c>
      <c r="O189" s="618">
        <v>9</v>
      </c>
      <c r="P189" s="618">
        <v>10</v>
      </c>
      <c r="R189" s="606"/>
      <c r="S189" s="603">
        <v>15.1</v>
      </c>
      <c r="T189" s="604">
        <v>18.3</v>
      </c>
      <c r="U189" s="599" t="str">
        <f>IF(J191=T189,"←◎◎","")</f>
        <v/>
      </c>
      <c r="V189" s="17"/>
      <c r="AE189" s="17"/>
      <c r="AF189" s="17"/>
      <c r="AG189" s="17">
        <v>226</v>
      </c>
      <c r="AH189" s="249">
        <v>252</v>
      </c>
      <c r="AI189" s="228" t="s">
        <v>404</v>
      </c>
      <c r="AJ189" s="228">
        <v>1960</v>
      </c>
      <c r="AK189" s="228">
        <v>19</v>
      </c>
      <c r="AL189" s="100">
        <v>151</v>
      </c>
      <c r="AM189" s="228"/>
      <c r="AN189" s="311">
        <v>3027</v>
      </c>
      <c r="AO189" s="338">
        <v>3090</v>
      </c>
      <c r="AP189" s="17"/>
      <c r="AQ189" s="20"/>
      <c r="AR189" s="20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</row>
    <row r="190" spans="1:64" ht="14.65" thickBot="1">
      <c r="A190" s="36"/>
      <c r="B190" s="20" t="s">
        <v>525</v>
      </c>
      <c r="C190" s="20" t="s">
        <v>562</v>
      </c>
      <c r="D190" s="20"/>
      <c r="E190" s="20"/>
      <c r="F190" s="20"/>
      <c r="G190" s="20"/>
      <c r="H190" s="20"/>
      <c r="I190" s="67" t="s">
        <v>160</v>
      </c>
      <c r="J190" s="626">
        <f>SUM(J186+J187+J188)</f>
        <v>30.180999999999997</v>
      </c>
      <c r="K190" s="304"/>
      <c r="L190" s="627">
        <f>J186+J187</f>
        <v>27.180999999999997</v>
      </c>
      <c r="M190" s="19"/>
      <c r="N190" s="19">
        <v>3</v>
      </c>
      <c r="O190" s="618">
        <v>10</v>
      </c>
      <c r="P190" s="618">
        <v>12</v>
      </c>
      <c r="R190" s="606"/>
      <c r="S190" s="603">
        <v>18.3</v>
      </c>
      <c r="T190" s="604">
        <v>20.6</v>
      </c>
      <c r="U190" s="599" t="str">
        <f>IF(J191=T190,"←◎◎","")</f>
        <v/>
      </c>
      <c r="V190" s="17"/>
      <c r="AE190" s="17"/>
      <c r="AF190" s="17"/>
      <c r="AG190" s="17">
        <v>252</v>
      </c>
      <c r="AH190" s="249">
        <v>279</v>
      </c>
      <c r="AI190" s="228" t="s">
        <v>404</v>
      </c>
      <c r="AJ190" s="228">
        <v>1960</v>
      </c>
      <c r="AK190" s="228">
        <v>20</v>
      </c>
      <c r="AL190" s="311">
        <v>167</v>
      </c>
      <c r="AM190" s="228"/>
      <c r="AN190" s="311">
        <v>3090</v>
      </c>
      <c r="AO190" s="338">
        <v>3168</v>
      </c>
      <c r="AP190" s="17"/>
      <c r="AQ190" s="20"/>
      <c r="AR190" s="20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</row>
    <row r="191" spans="1:64" ht="14.65" thickBot="1">
      <c r="A191" s="36"/>
      <c r="B191" s="20"/>
      <c r="C191" s="20" t="s">
        <v>563</v>
      </c>
      <c r="D191" s="20"/>
      <c r="E191" s="20"/>
      <c r="F191" s="20"/>
      <c r="G191" s="20"/>
      <c r="H191" s="20"/>
      <c r="I191" s="67" t="s">
        <v>160</v>
      </c>
      <c r="J191" s="628">
        <f>+L187</f>
        <v>31</v>
      </c>
      <c r="K191" s="304"/>
      <c r="L191" s="629">
        <f>L190/J191</f>
        <v>0.87680645161290316</v>
      </c>
      <c r="M191" s="17"/>
      <c r="N191" s="619">
        <f>SUM(N188:N190)</f>
        <v>23.1</v>
      </c>
      <c r="O191" s="618">
        <v>12</v>
      </c>
      <c r="P191" s="618">
        <v>14</v>
      </c>
      <c r="R191" s="606"/>
      <c r="S191" s="603">
        <v>20.6</v>
      </c>
      <c r="T191" s="604">
        <v>22.2</v>
      </c>
      <c r="U191" s="599" t="str">
        <f>IF(J191=T191,"←◎◎","")</f>
        <v/>
      </c>
      <c r="V191" s="17"/>
      <c r="AE191" s="17"/>
      <c r="AF191" s="17"/>
      <c r="AG191" s="17">
        <v>279</v>
      </c>
      <c r="AH191" s="249">
        <v>338</v>
      </c>
      <c r="AI191" s="228" t="s">
        <v>404</v>
      </c>
      <c r="AJ191" s="228">
        <v>1960</v>
      </c>
      <c r="AK191" s="228">
        <v>22</v>
      </c>
      <c r="AL191" s="100">
        <v>202</v>
      </c>
      <c r="AM191" s="228"/>
      <c r="AN191" s="311">
        <v>3168</v>
      </c>
      <c r="AO191" s="338">
        <v>3229</v>
      </c>
      <c r="AP191" s="17"/>
      <c r="AQ191" s="20"/>
      <c r="AR191" s="20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</row>
    <row r="192" spans="1:64" ht="14.65" thickBot="1">
      <c r="A192" s="36"/>
      <c r="K192" s="304"/>
      <c r="L192" s="630">
        <f>J190/J191</f>
        <v>0.97358064516129028</v>
      </c>
      <c r="M192" s="19"/>
      <c r="N192" s="19"/>
      <c r="O192" s="618">
        <v>14</v>
      </c>
      <c r="P192" s="618">
        <v>16</v>
      </c>
      <c r="R192" s="631"/>
      <c r="S192" s="632">
        <v>22.2</v>
      </c>
      <c r="T192" s="633">
        <v>23</v>
      </c>
      <c r="U192" s="599" t="str">
        <f>IF(J191=T192,"←◎◎","")</f>
        <v/>
      </c>
      <c r="V192" s="17"/>
      <c r="AE192" s="17"/>
      <c r="AF192" s="17"/>
      <c r="AG192" s="17">
        <v>338</v>
      </c>
      <c r="AH192" s="249">
        <v>402</v>
      </c>
      <c r="AI192" s="228" t="s">
        <v>404</v>
      </c>
      <c r="AJ192" s="228">
        <v>1960</v>
      </c>
      <c r="AK192" s="228">
        <v>24</v>
      </c>
      <c r="AL192" s="100">
        <v>241</v>
      </c>
      <c r="AM192" s="228"/>
      <c r="AN192" s="311">
        <v>3229</v>
      </c>
      <c r="AO192" s="338">
        <v>3269</v>
      </c>
      <c r="AP192" s="17"/>
      <c r="AQ192" s="20"/>
      <c r="AR192" s="20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</row>
    <row r="193" spans="1:64">
      <c r="A193" s="36"/>
      <c r="B193" s="20" t="s">
        <v>2718</v>
      </c>
      <c r="C193" s="20"/>
      <c r="D193" s="20"/>
      <c r="E193" s="20"/>
      <c r="F193" s="20"/>
      <c r="G193" s="20"/>
      <c r="H193" s="20"/>
      <c r="I193" s="20"/>
      <c r="J193" s="634"/>
      <c r="K193" s="304"/>
      <c r="L193" s="553"/>
      <c r="M193" s="19"/>
      <c r="N193" s="19"/>
      <c r="O193" s="618">
        <v>16</v>
      </c>
      <c r="P193" s="618">
        <v>18</v>
      </c>
      <c r="Q193" s="596" t="str">
        <f>IF(J132=R193,"◎≈→","")</f>
        <v/>
      </c>
      <c r="R193" s="635">
        <v>273</v>
      </c>
      <c r="S193" s="636">
        <v>0</v>
      </c>
      <c r="T193" s="598">
        <v>6.4</v>
      </c>
      <c r="U193" s="599" t="str">
        <f>IF(J191=T193,"←◎◎","")</f>
        <v/>
      </c>
      <c r="V193" s="17"/>
      <c r="AE193" s="17"/>
      <c r="AF193" s="17"/>
      <c r="AG193" s="17">
        <v>402</v>
      </c>
      <c r="AH193" s="249">
        <v>472</v>
      </c>
      <c r="AI193" s="228" t="s">
        <v>404</v>
      </c>
      <c r="AJ193" s="228">
        <v>1960</v>
      </c>
      <c r="AK193" s="228">
        <v>26</v>
      </c>
      <c r="AL193" s="100">
        <v>283</v>
      </c>
      <c r="AM193" s="228"/>
      <c r="AN193" s="311">
        <v>3269</v>
      </c>
      <c r="AO193" s="338">
        <v>3352</v>
      </c>
      <c r="AP193" s="17"/>
      <c r="AQ193" s="20"/>
      <c r="AR193" s="20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</row>
    <row r="194" spans="1:64">
      <c r="A194" s="36"/>
      <c r="C194" s="20"/>
      <c r="D194" s="20"/>
      <c r="E194" s="20"/>
      <c r="F194" s="20"/>
      <c r="G194" s="20"/>
      <c r="H194" s="20"/>
      <c r="I194" s="20"/>
      <c r="J194" s="634"/>
      <c r="K194" s="304"/>
      <c r="L194" s="19"/>
      <c r="M194" s="19"/>
      <c r="N194" s="19"/>
      <c r="O194" s="618">
        <v>18</v>
      </c>
      <c r="P194" s="618">
        <v>20</v>
      </c>
      <c r="R194" s="602"/>
      <c r="S194" s="603">
        <v>6.4</v>
      </c>
      <c r="T194" s="604">
        <v>7.1</v>
      </c>
      <c r="U194" s="599" t="str">
        <f>IF(J191=T194,"←◎◎","")</f>
        <v/>
      </c>
      <c r="V194" s="17"/>
      <c r="AE194" s="17"/>
      <c r="AF194" s="17"/>
      <c r="AG194" s="17">
        <v>472</v>
      </c>
      <c r="AH194" s="249">
        <v>548</v>
      </c>
      <c r="AI194" s="228" t="s">
        <v>404</v>
      </c>
      <c r="AJ194" s="228">
        <v>1960</v>
      </c>
      <c r="AK194" s="228">
        <v>28</v>
      </c>
      <c r="AL194" s="100">
        <v>328</v>
      </c>
      <c r="AM194" s="228"/>
      <c r="AN194" s="311">
        <v>3352</v>
      </c>
      <c r="AO194" s="338">
        <v>3373</v>
      </c>
      <c r="AP194" s="17"/>
      <c r="AQ194" s="20"/>
      <c r="AR194" s="20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</row>
    <row r="195" spans="1:64" ht="15.75">
      <c r="A195" s="313"/>
      <c r="B195" s="20" t="s">
        <v>564</v>
      </c>
      <c r="C195" s="20" t="s">
        <v>565</v>
      </c>
      <c r="D195" s="20"/>
      <c r="E195" s="20"/>
      <c r="F195" s="306" t="s">
        <v>566</v>
      </c>
      <c r="G195" s="20" t="s">
        <v>2722</v>
      </c>
      <c r="H195" s="20"/>
      <c r="I195" s="67" t="s">
        <v>160</v>
      </c>
      <c r="J195" s="54">
        <f>J197/((J198)*(J199))</f>
        <v>1250</v>
      </c>
      <c r="K195" s="304" t="s">
        <v>2722</v>
      </c>
      <c r="L195" s="19"/>
      <c r="M195" s="19"/>
      <c r="N195" s="19"/>
      <c r="O195" s="618">
        <v>20</v>
      </c>
      <c r="P195" s="618">
        <v>25</v>
      </c>
      <c r="R195" s="602" t="s">
        <v>512</v>
      </c>
      <c r="S195" s="603">
        <v>7.1</v>
      </c>
      <c r="T195" s="604">
        <v>7.8</v>
      </c>
      <c r="U195" s="599" t="str">
        <f>IF(J191=T195,"←◎◎","")</f>
        <v/>
      </c>
      <c r="V195" s="17"/>
      <c r="AE195" s="17"/>
      <c r="AF195" s="17"/>
      <c r="AG195" s="17">
        <v>548</v>
      </c>
      <c r="AH195" s="249">
        <v>715</v>
      </c>
      <c r="AI195" s="228" t="s">
        <v>404</v>
      </c>
      <c r="AJ195" s="228">
        <v>1960</v>
      </c>
      <c r="AK195" s="228">
        <v>32</v>
      </c>
      <c r="AL195" s="100">
        <v>428</v>
      </c>
      <c r="AM195" s="228"/>
      <c r="AN195" s="311">
        <v>3373</v>
      </c>
      <c r="AO195" s="338">
        <v>3422</v>
      </c>
      <c r="AP195" s="17"/>
      <c r="AQ195" s="20"/>
      <c r="AR195" s="20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</row>
    <row r="196" spans="1:64">
      <c r="A196" s="36"/>
      <c r="B196" s="20"/>
      <c r="C196" s="20"/>
      <c r="D196" s="20"/>
      <c r="E196" s="20"/>
      <c r="F196" s="20" t="s">
        <v>567</v>
      </c>
      <c r="G196" s="20"/>
      <c r="H196" s="20"/>
      <c r="I196" s="67"/>
      <c r="J196" s="634"/>
      <c r="K196" s="304"/>
      <c r="L196" s="19"/>
      <c r="M196" s="19"/>
      <c r="N196" s="19"/>
      <c r="O196" s="618">
        <v>25</v>
      </c>
      <c r="P196" s="618">
        <v>28</v>
      </c>
      <c r="R196" s="602" t="b">
        <f>IF(J132=273,VLOOKUP(J190,S194:S202,1))</f>
        <v>0</v>
      </c>
      <c r="S196" s="603">
        <v>7.8</v>
      </c>
      <c r="T196" s="604">
        <v>9.3000000000000007</v>
      </c>
      <c r="U196" s="599" t="str">
        <f>IF(J191=T196,"←◎◎","")</f>
        <v/>
      </c>
      <c r="V196" s="17"/>
      <c r="AE196" s="17"/>
      <c r="AF196" s="17"/>
      <c r="AG196" s="17">
        <v>715</v>
      </c>
      <c r="AH196" s="249">
        <v>905</v>
      </c>
      <c r="AI196" s="228" t="s">
        <v>404</v>
      </c>
      <c r="AJ196" s="228">
        <v>1960</v>
      </c>
      <c r="AK196" s="228">
        <v>36</v>
      </c>
      <c r="AL196" s="100">
        <v>542</v>
      </c>
      <c r="AM196" s="228"/>
      <c r="AN196" s="311">
        <v>3422</v>
      </c>
      <c r="AO196" s="338">
        <v>3620</v>
      </c>
      <c r="AP196" s="17"/>
      <c r="AQ196" s="20"/>
      <c r="AR196" s="20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</row>
    <row r="197" spans="1:64">
      <c r="A197" s="313"/>
      <c r="B197" s="20"/>
      <c r="C197" s="20" t="s">
        <v>568</v>
      </c>
      <c r="D197" s="20"/>
      <c r="E197" s="20" t="s">
        <v>569</v>
      </c>
      <c r="F197" s="20"/>
      <c r="G197" s="20"/>
      <c r="H197" s="20"/>
      <c r="I197" s="67" t="s">
        <v>160</v>
      </c>
      <c r="J197" s="25">
        <f>(MH!I12+MH!I13+MH!I14)/J98</f>
        <v>6431.5625</v>
      </c>
      <c r="K197" s="304" t="s">
        <v>380</v>
      </c>
      <c r="L197" s="19"/>
      <c r="M197" s="19"/>
      <c r="N197" s="19"/>
      <c r="O197" s="618">
        <v>28</v>
      </c>
      <c r="P197" s="618">
        <v>32</v>
      </c>
      <c r="R197" s="606" t="s">
        <v>507</v>
      </c>
      <c r="S197" s="603">
        <v>9.3000000000000007</v>
      </c>
      <c r="T197" s="604">
        <v>12.7</v>
      </c>
      <c r="U197" s="599" t="str">
        <f>IF(J191=T197,"←◎◎","")</f>
        <v/>
      </c>
      <c r="V197" s="17"/>
      <c r="AE197" s="17"/>
      <c r="AF197" s="17"/>
      <c r="AG197" s="17">
        <v>905</v>
      </c>
      <c r="AH197" s="249">
        <v>1008</v>
      </c>
      <c r="AI197" s="228" t="s">
        <v>404</v>
      </c>
      <c r="AJ197" s="228">
        <v>1960</v>
      </c>
      <c r="AK197" s="228">
        <v>38</v>
      </c>
      <c r="AL197" s="100">
        <v>604</v>
      </c>
      <c r="AM197" s="228"/>
      <c r="AN197" s="311">
        <v>3620</v>
      </c>
      <c r="AO197" s="338">
        <v>3643</v>
      </c>
      <c r="AP197" s="17"/>
      <c r="AQ197" s="20"/>
      <c r="AR197" s="20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</row>
    <row r="198" spans="1:64">
      <c r="A198" s="313"/>
      <c r="B198" s="20"/>
      <c r="C198" s="20" t="s">
        <v>570</v>
      </c>
      <c r="D198" s="20"/>
      <c r="E198" s="20"/>
      <c r="F198" s="20"/>
      <c r="G198" s="20"/>
      <c r="H198" s="20"/>
      <c r="I198" s="67" t="s">
        <v>160</v>
      </c>
      <c r="J198" s="634">
        <f>J164/10</f>
        <v>2.5</v>
      </c>
      <c r="K198" s="304" t="s">
        <v>571</v>
      </c>
      <c r="L198" s="19"/>
      <c r="M198" s="19"/>
      <c r="N198" s="19"/>
      <c r="O198" s="618">
        <v>32</v>
      </c>
      <c r="P198" s="618">
        <v>36</v>
      </c>
      <c r="R198" s="624" t="e">
        <f>VLOOKUP(R196,S194:T202,2,0)</f>
        <v>#N/A</v>
      </c>
      <c r="S198" s="603">
        <v>12.7</v>
      </c>
      <c r="T198" s="604">
        <v>15.1</v>
      </c>
      <c r="U198" s="599" t="str">
        <f>IF(J191=T198,"←◎◎","")</f>
        <v/>
      </c>
      <c r="V198" s="17"/>
      <c r="AE198" s="17"/>
      <c r="AF198" s="17"/>
      <c r="AG198" s="17">
        <v>1008</v>
      </c>
      <c r="AH198" s="249">
        <v>1117</v>
      </c>
      <c r="AI198" s="228" t="s">
        <v>404</v>
      </c>
      <c r="AJ198" s="228">
        <v>1960</v>
      </c>
      <c r="AK198" s="228">
        <v>40</v>
      </c>
      <c r="AL198" s="100">
        <v>669</v>
      </c>
      <c r="AM198" s="228"/>
      <c r="AN198" s="311">
        <v>3643</v>
      </c>
      <c r="AO198" s="338">
        <v>3735</v>
      </c>
      <c r="AP198" s="17"/>
      <c r="AQ198" s="20"/>
      <c r="AR198" s="20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</row>
    <row r="199" spans="1:64">
      <c r="A199" s="313"/>
      <c r="B199" s="20"/>
      <c r="C199" s="20" t="s">
        <v>572</v>
      </c>
      <c r="D199" s="20"/>
      <c r="E199" s="20"/>
      <c r="F199" s="20"/>
      <c r="G199" s="20"/>
      <c r="H199" s="20"/>
      <c r="I199" s="67" t="s">
        <v>160</v>
      </c>
      <c r="J199" s="54">
        <f>J186/10</f>
        <v>2.0581</v>
      </c>
      <c r="K199" s="304" t="s">
        <v>571</v>
      </c>
      <c r="L199" s="19"/>
      <c r="M199" s="19"/>
      <c r="N199" s="19"/>
      <c r="O199" s="618">
        <v>36</v>
      </c>
      <c r="P199" s="618">
        <v>40</v>
      </c>
      <c r="R199" s="606"/>
      <c r="S199" s="603">
        <v>15.1</v>
      </c>
      <c r="T199" s="604">
        <v>18.3</v>
      </c>
      <c r="U199" s="599" t="str">
        <f>IF(J191=T199,"←◎◎","")</f>
        <v/>
      </c>
      <c r="V199" s="17"/>
      <c r="AE199" s="17"/>
      <c r="AF199" s="17"/>
      <c r="AG199" s="17">
        <v>1117</v>
      </c>
      <c r="AH199" s="249">
        <v>1352</v>
      </c>
      <c r="AI199" s="228" t="s">
        <v>404</v>
      </c>
      <c r="AJ199" s="228">
        <v>1960</v>
      </c>
      <c r="AK199" s="228">
        <v>44</v>
      </c>
      <c r="AL199" s="100">
        <v>810</v>
      </c>
      <c r="AM199" s="228"/>
      <c r="AN199" s="311">
        <v>3735</v>
      </c>
      <c r="AO199" s="338">
        <v>3737</v>
      </c>
      <c r="AP199" s="17"/>
      <c r="AQ199" s="20"/>
      <c r="AR199" s="20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</row>
    <row r="200" spans="1:64">
      <c r="A200" s="313"/>
      <c r="B200" s="20"/>
      <c r="C200" s="20" t="s">
        <v>573</v>
      </c>
      <c r="D200" s="20"/>
      <c r="E200" s="20"/>
      <c r="F200" s="20"/>
      <c r="G200" s="20"/>
      <c r="H200" s="20"/>
      <c r="I200" s="67" t="s">
        <v>160</v>
      </c>
      <c r="J200" s="54">
        <f>0.3*F109/10</f>
        <v>0.65999999999999992</v>
      </c>
      <c r="K200" s="304" t="s">
        <v>571</v>
      </c>
      <c r="L200" s="19"/>
      <c r="M200" s="19"/>
      <c r="N200" s="19"/>
      <c r="O200" s="618">
        <v>40</v>
      </c>
      <c r="P200" s="618">
        <v>45</v>
      </c>
      <c r="R200" s="606"/>
      <c r="S200" s="603">
        <v>18.3</v>
      </c>
      <c r="T200" s="604">
        <v>21.4</v>
      </c>
      <c r="U200" s="599" t="str">
        <f>IF(J191=T200,"←◎◎","")</f>
        <v/>
      </c>
      <c r="V200" s="19"/>
      <c r="W200" s="19"/>
      <c r="X200" s="19"/>
      <c r="Y200" s="19"/>
      <c r="Z200" s="20"/>
      <c r="AA200" s="17"/>
      <c r="AE200" s="17"/>
      <c r="AF200" s="17"/>
      <c r="AG200" s="17">
        <v>1352</v>
      </c>
      <c r="AH200" s="249">
        <v>1609</v>
      </c>
      <c r="AI200" s="228" t="s">
        <v>404</v>
      </c>
      <c r="AJ200" s="228">
        <v>1960</v>
      </c>
      <c r="AK200" s="228">
        <v>48</v>
      </c>
      <c r="AL200" s="100">
        <v>964</v>
      </c>
      <c r="AM200" s="228"/>
      <c r="AN200" s="311">
        <v>3737</v>
      </c>
      <c r="AO200" s="338">
        <v>4034</v>
      </c>
      <c r="AP200" s="17"/>
      <c r="AQ200" s="20"/>
      <c r="AR200" s="20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</row>
    <row r="201" spans="1:64">
      <c r="A201" s="36"/>
      <c r="B201" s="20" t="s">
        <v>574</v>
      </c>
      <c r="C201" s="20" t="s">
        <v>575</v>
      </c>
      <c r="D201" s="20"/>
      <c r="E201" s="20"/>
      <c r="F201" s="20"/>
      <c r="G201" s="20"/>
      <c r="H201" s="20"/>
      <c r="I201" s="67"/>
      <c r="J201" s="634"/>
      <c r="K201" s="304"/>
      <c r="L201" s="19"/>
      <c r="M201" s="19"/>
      <c r="N201" s="19"/>
      <c r="O201" s="618">
        <v>45</v>
      </c>
      <c r="P201" s="618">
        <v>50</v>
      </c>
      <c r="R201" s="606"/>
      <c r="S201" s="603">
        <v>21.4</v>
      </c>
      <c r="T201" s="604">
        <v>25.4</v>
      </c>
      <c r="U201" s="599" t="str">
        <f>IF(J191=T201,"←◎◎","")</f>
        <v/>
      </c>
      <c r="V201" s="19"/>
      <c r="W201" s="19"/>
      <c r="X201" s="19"/>
      <c r="Y201" s="19"/>
      <c r="Z201" s="20"/>
      <c r="AA201" s="17"/>
      <c r="AE201" s="17"/>
      <c r="AF201" s="17"/>
      <c r="AG201" s="17">
        <v>1609</v>
      </c>
      <c r="AH201" s="249">
        <v>1888</v>
      </c>
      <c r="AI201" s="228" t="s">
        <v>404</v>
      </c>
      <c r="AJ201" s="228">
        <v>1960</v>
      </c>
      <c r="AK201" s="228">
        <v>52</v>
      </c>
      <c r="AL201" s="100">
        <v>1131</v>
      </c>
      <c r="AM201" s="228"/>
      <c r="AN201" s="311">
        <v>4034</v>
      </c>
      <c r="AO201" s="338">
        <v>4036</v>
      </c>
      <c r="AP201" s="17"/>
      <c r="AQ201" s="20"/>
      <c r="AR201" s="20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</row>
    <row r="202" spans="1:64" ht="14.65" thickBot="1">
      <c r="A202" s="36"/>
      <c r="B202" s="20"/>
      <c r="C202" s="20"/>
      <c r="D202" s="20"/>
      <c r="E202" s="20"/>
      <c r="F202" s="20"/>
      <c r="G202" s="20"/>
      <c r="H202" s="20"/>
      <c r="I202" s="67"/>
      <c r="J202" s="634"/>
      <c r="K202" s="304"/>
      <c r="L202" s="19"/>
      <c r="M202" s="19"/>
      <c r="N202" s="19"/>
      <c r="O202" s="618">
        <v>50</v>
      </c>
      <c r="P202" s="618">
        <v>56</v>
      </c>
      <c r="R202" s="637"/>
      <c r="S202" s="608">
        <v>25.4</v>
      </c>
      <c r="T202" s="609">
        <v>28.6</v>
      </c>
      <c r="U202" s="599" t="str">
        <f>IF(J191=T202,"←◎◎","")</f>
        <v/>
      </c>
      <c r="V202" s="19"/>
      <c r="W202" s="19"/>
      <c r="X202" s="19"/>
      <c r="Y202" s="19"/>
      <c r="Z202" s="20"/>
      <c r="AA202" s="17"/>
      <c r="AE202" s="17"/>
      <c r="AF202" s="17"/>
      <c r="AG202" s="17">
        <v>1888</v>
      </c>
      <c r="AH202" s="249">
        <v>2190</v>
      </c>
      <c r="AI202" s="228" t="s">
        <v>404</v>
      </c>
      <c r="AJ202" s="228">
        <v>1960</v>
      </c>
      <c r="AK202" s="228">
        <v>56</v>
      </c>
      <c r="AL202" s="100">
        <v>1311</v>
      </c>
      <c r="AM202" s="228"/>
      <c r="AN202" s="311">
        <v>4036</v>
      </c>
      <c r="AO202" s="338">
        <v>4120</v>
      </c>
      <c r="AP202" s="17"/>
      <c r="AQ202" s="20"/>
      <c r="AR202" s="20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</row>
    <row r="203" spans="1:64">
      <c r="A203" s="36"/>
      <c r="B203" s="20"/>
      <c r="C203" s="20" t="s">
        <v>576</v>
      </c>
      <c r="D203" s="20"/>
      <c r="E203" s="20"/>
      <c r="F203" s="20"/>
      <c r="G203" s="20">
        <f>J132-2*J187</f>
        <v>393.2</v>
      </c>
      <c r="H203" s="20" t="s">
        <v>466</v>
      </c>
      <c r="I203" s="67" t="s">
        <v>160</v>
      </c>
      <c r="J203" s="634">
        <f t="shared" ref="J203" si="7">G203/10</f>
        <v>39.32</v>
      </c>
      <c r="K203" s="304" t="s">
        <v>571</v>
      </c>
      <c r="L203" s="19"/>
      <c r="M203" s="19"/>
      <c r="N203" s="19"/>
      <c r="O203" s="618">
        <v>56</v>
      </c>
      <c r="P203" s="618">
        <v>63</v>
      </c>
      <c r="Q203" s="596" t="str">
        <f>IF(J132=R203,"◎≈→","")</f>
        <v/>
      </c>
      <c r="R203" s="612">
        <v>323.8</v>
      </c>
      <c r="S203" s="613">
        <v>0</v>
      </c>
      <c r="T203" s="614">
        <v>6.4</v>
      </c>
      <c r="U203" s="599" t="str">
        <f>IF(J191=T203,"←◎◎","")</f>
        <v/>
      </c>
      <c r="V203" s="19"/>
      <c r="W203" s="19"/>
      <c r="X203" s="19"/>
      <c r="Y203" s="19"/>
      <c r="Z203" s="20"/>
      <c r="AA203" s="17"/>
      <c r="AE203" s="17"/>
      <c r="AF203" s="17"/>
      <c r="AG203" s="17">
        <v>2190</v>
      </c>
      <c r="AH203" s="249">
        <v>2514</v>
      </c>
      <c r="AI203" s="228" t="s">
        <v>404</v>
      </c>
      <c r="AJ203" s="228">
        <v>1960</v>
      </c>
      <c r="AK203" s="228">
        <v>60</v>
      </c>
      <c r="AL203" s="100">
        <v>1506</v>
      </c>
      <c r="AM203" s="228"/>
      <c r="AN203" s="311">
        <v>4120</v>
      </c>
      <c r="AO203" s="338">
        <v>4138</v>
      </c>
      <c r="AP203" s="17"/>
      <c r="AQ203" s="20"/>
      <c r="AR203" s="20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</row>
    <row r="204" spans="1:64">
      <c r="A204" s="36"/>
      <c r="B204" s="20"/>
      <c r="C204" s="20" t="s">
        <v>577</v>
      </c>
      <c r="D204" s="20"/>
      <c r="E204" s="20"/>
      <c r="F204" s="20"/>
      <c r="G204" s="634">
        <f>(J199)*10</f>
        <v>20.581</v>
      </c>
      <c r="H204" s="20" t="s">
        <v>466</v>
      </c>
      <c r="I204" s="67" t="s">
        <v>160</v>
      </c>
      <c r="J204" s="54">
        <f>G204/10</f>
        <v>2.0581</v>
      </c>
      <c r="K204" s="304" t="s">
        <v>571</v>
      </c>
      <c r="L204" s="19"/>
      <c r="M204" s="19"/>
      <c r="N204" s="19"/>
      <c r="O204" s="618">
        <v>63</v>
      </c>
      <c r="P204" s="618">
        <v>63</v>
      </c>
      <c r="Q204" s="17"/>
      <c r="R204" s="602"/>
      <c r="S204" s="603">
        <v>6.4</v>
      </c>
      <c r="T204" s="604">
        <v>8.4</v>
      </c>
      <c r="U204" s="599" t="str">
        <f>IF(J191=T204,"←◎◎","")</f>
        <v/>
      </c>
      <c r="V204" s="19"/>
      <c r="W204" s="19"/>
      <c r="X204" s="19"/>
      <c r="Y204" s="19"/>
      <c r="Z204" s="20"/>
      <c r="AA204" s="17"/>
      <c r="AE204" s="17"/>
      <c r="AF204" s="17"/>
      <c r="AG204" s="17">
        <v>2514</v>
      </c>
      <c r="AH204" s="249">
        <v>2860</v>
      </c>
      <c r="AI204" s="228" t="s">
        <v>404</v>
      </c>
      <c r="AJ204" s="228">
        <v>1960</v>
      </c>
      <c r="AK204" s="228">
        <v>64</v>
      </c>
      <c r="AL204" s="100">
        <v>1713</v>
      </c>
      <c r="AM204" s="228"/>
      <c r="AN204" s="311">
        <v>4138</v>
      </c>
      <c r="AO204" s="338">
        <v>4319</v>
      </c>
      <c r="AP204" s="17"/>
      <c r="AQ204" s="20"/>
      <c r="AR204" s="20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</row>
    <row r="205" spans="1:64" ht="14.65" thickBot="1">
      <c r="A205" s="36"/>
      <c r="B205" s="20"/>
      <c r="C205" s="3723" t="s">
        <v>578</v>
      </c>
      <c r="D205" s="3723"/>
      <c r="E205" s="3723"/>
      <c r="F205" s="3723"/>
      <c r="G205" s="25">
        <f>G203-(2*J204*10)-(2*J200*10)</f>
        <v>338.83800000000002</v>
      </c>
      <c r="H205" s="20" t="s">
        <v>466</v>
      </c>
      <c r="I205" s="67" t="s">
        <v>160</v>
      </c>
      <c r="J205" s="634">
        <f>G205/10</f>
        <v>33.883800000000001</v>
      </c>
      <c r="K205" s="304" t="s">
        <v>571</v>
      </c>
      <c r="L205" s="19"/>
      <c r="M205" s="19"/>
      <c r="N205" s="19"/>
      <c r="O205" s="638"/>
      <c r="P205" s="638"/>
      <c r="Q205" s="17"/>
      <c r="R205" s="602" t="s">
        <v>512</v>
      </c>
      <c r="S205" s="603">
        <v>8.4</v>
      </c>
      <c r="T205" s="604">
        <v>9.5</v>
      </c>
      <c r="U205" s="599" t="str">
        <f>IF(J191=T205,"←◎◎","")</f>
        <v/>
      </c>
      <c r="V205" s="19"/>
      <c r="W205" s="19"/>
      <c r="X205" s="19"/>
      <c r="Y205" s="19"/>
      <c r="Z205" s="20"/>
      <c r="AA205" s="17"/>
      <c r="AE205" s="17"/>
      <c r="AF205" s="17"/>
      <c r="AG205" s="17">
        <v>2860</v>
      </c>
      <c r="AH205" s="249">
        <v>3229</v>
      </c>
      <c r="AI205" s="228" t="s">
        <v>404</v>
      </c>
      <c r="AJ205" s="228">
        <v>1960</v>
      </c>
      <c r="AK205" s="228">
        <v>68</v>
      </c>
      <c r="AL205" s="100">
        <v>1934</v>
      </c>
      <c r="AM205" s="416"/>
      <c r="AN205" s="311">
        <v>4319</v>
      </c>
      <c r="AO205" s="338">
        <v>4450</v>
      </c>
      <c r="AP205" s="20"/>
      <c r="AQ205" s="20"/>
      <c r="AR205" s="20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</row>
    <row r="206" spans="1:64">
      <c r="A206" s="36"/>
      <c r="B206" s="20"/>
      <c r="C206" s="20"/>
      <c r="D206" s="20"/>
      <c r="E206" s="20"/>
      <c r="F206" s="20"/>
      <c r="G206" s="20"/>
      <c r="H206" s="20"/>
      <c r="I206" s="67"/>
      <c r="J206" s="634"/>
      <c r="K206" s="304"/>
      <c r="L206" s="19"/>
      <c r="M206" s="19"/>
      <c r="N206" s="19"/>
      <c r="O206" s="635">
        <f>VLOOKUP(J190,O184:O205,1)</f>
        <v>28</v>
      </c>
      <c r="P206" s="639">
        <f>IF(O207=0,O206,O207)</f>
        <v>28</v>
      </c>
      <c r="Q206" s="17"/>
      <c r="R206" s="602" t="b">
        <f>IF(J132=323.8,VLOOKUP(J190,S204:S213,1))</f>
        <v>0</v>
      </c>
      <c r="S206" s="603">
        <v>9.5</v>
      </c>
      <c r="T206" s="604">
        <v>10.3</v>
      </c>
      <c r="U206" s="599" t="str">
        <f>IF(J191=T206,"←◎◎","")</f>
        <v/>
      </c>
      <c r="V206" s="19"/>
      <c r="W206" s="19"/>
      <c r="X206" s="19"/>
      <c r="Y206" s="19"/>
      <c r="Z206" s="20"/>
      <c r="AA206" s="17"/>
      <c r="AE206" s="17"/>
      <c r="AF206" s="17"/>
      <c r="AG206" s="17">
        <v>3229</v>
      </c>
      <c r="AH206" s="249">
        <v>3422</v>
      </c>
      <c r="AI206" s="228" t="s">
        <v>404</v>
      </c>
      <c r="AJ206" s="228">
        <v>1960</v>
      </c>
      <c r="AK206" s="228">
        <v>70</v>
      </c>
      <c r="AL206" s="100">
        <v>2049</v>
      </c>
      <c r="AM206" s="416"/>
      <c r="AN206" s="311">
        <v>4450</v>
      </c>
      <c r="AO206" s="338">
        <v>4469</v>
      </c>
      <c r="AP206" s="20"/>
      <c r="AQ206" s="20"/>
      <c r="AR206" s="20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</row>
    <row r="207" spans="1:64" ht="16.149999999999999" thickBot="1">
      <c r="A207" s="313"/>
      <c r="B207" s="20"/>
      <c r="C207" s="20" t="s">
        <v>579</v>
      </c>
      <c r="D207" s="20"/>
      <c r="E207" s="20"/>
      <c r="F207" s="20"/>
      <c r="G207" s="3783" t="s">
        <v>2723</v>
      </c>
      <c r="H207" s="3783"/>
      <c r="I207" s="67" t="s">
        <v>160</v>
      </c>
      <c r="J207" s="634">
        <f>(3.14*(J203*J203*J203*J203-J205*J205*J205*J205))/(32*J203)</f>
        <v>2675.5982428565317</v>
      </c>
      <c r="K207" s="304" t="s">
        <v>2724</v>
      </c>
      <c r="L207" s="19"/>
      <c r="M207" s="19"/>
      <c r="N207" s="19"/>
      <c r="O207" s="111">
        <f>IFERROR(VLOOKUP(J190,O184:O205,1,0),0)</f>
        <v>0</v>
      </c>
      <c r="P207" s="640">
        <f>+VLOOKUP(P206,O184:P205,2,0)</f>
        <v>32</v>
      </c>
      <c r="Q207" s="17"/>
      <c r="R207" s="606" t="s">
        <v>507</v>
      </c>
      <c r="S207" s="603">
        <v>10.3</v>
      </c>
      <c r="T207" s="604">
        <v>12.7</v>
      </c>
      <c r="U207" s="599" t="str">
        <f>IF(J191=T207,"←◎◎","")</f>
        <v/>
      </c>
      <c r="V207" s="19"/>
      <c r="W207" s="19"/>
      <c r="X207" s="19"/>
      <c r="Y207" s="19"/>
      <c r="Z207" s="20"/>
      <c r="AA207" s="17"/>
      <c r="AE207" s="17"/>
      <c r="AF207" s="17"/>
      <c r="AG207" s="17">
        <v>3422</v>
      </c>
      <c r="AH207" s="249">
        <v>3620</v>
      </c>
      <c r="AI207" s="228" t="s">
        <v>404</v>
      </c>
      <c r="AJ207" s="228">
        <v>1960</v>
      </c>
      <c r="AK207" s="228">
        <v>72</v>
      </c>
      <c r="AL207" s="100">
        <v>2168</v>
      </c>
      <c r="AM207" s="416"/>
      <c r="AN207" s="311">
        <v>4469</v>
      </c>
      <c r="AO207" s="338">
        <v>4562</v>
      </c>
      <c r="AP207" s="20"/>
      <c r="AQ207" s="20"/>
      <c r="AR207" s="20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</row>
    <row r="208" spans="1:64">
      <c r="A208" s="36"/>
      <c r="B208" s="20"/>
      <c r="C208" s="20"/>
      <c r="D208" s="20"/>
      <c r="E208" s="20"/>
      <c r="F208" s="20"/>
      <c r="G208" s="3695" t="s">
        <v>580</v>
      </c>
      <c r="H208" s="3695"/>
      <c r="I208" s="20"/>
      <c r="J208" s="634"/>
      <c r="K208" s="304"/>
      <c r="L208" s="19"/>
      <c r="M208" s="19"/>
      <c r="N208" s="19"/>
      <c r="Q208" s="17"/>
      <c r="R208" s="624" t="e">
        <f>VLOOKUP(R206,S204:T213,2,0)</f>
        <v>#N/A</v>
      </c>
      <c r="S208" s="603">
        <v>12.7</v>
      </c>
      <c r="T208" s="604">
        <v>14.3</v>
      </c>
      <c r="U208" s="599" t="str">
        <f>IF(J191=T208,"←◎◎","")</f>
        <v/>
      </c>
      <c r="V208" s="19"/>
      <c r="W208" s="19"/>
      <c r="X208" s="19"/>
      <c r="Y208" s="19"/>
      <c r="Z208" s="20"/>
      <c r="AA208" s="17"/>
      <c r="AE208" s="17"/>
      <c r="AF208" s="17"/>
      <c r="AG208" s="17">
        <v>3620</v>
      </c>
      <c r="AH208" s="249">
        <v>4034</v>
      </c>
      <c r="AI208" s="228" t="s">
        <v>404</v>
      </c>
      <c r="AJ208" s="228">
        <v>1960</v>
      </c>
      <c r="AK208" s="228">
        <v>76</v>
      </c>
      <c r="AL208" s="100">
        <v>2416</v>
      </c>
      <c r="AM208" s="416"/>
      <c r="AN208" s="311">
        <v>4562</v>
      </c>
      <c r="AO208" s="338">
        <v>4664</v>
      </c>
      <c r="AP208" s="20"/>
      <c r="AQ208" s="20"/>
      <c r="AR208" s="20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</row>
    <row r="209" spans="1:64">
      <c r="A209" s="36"/>
      <c r="B209" s="20"/>
      <c r="C209" s="20"/>
      <c r="D209" s="20"/>
      <c r="E209" s="20"/>
      <c r="F209" s="20"/>
      <c r="G209" s="20"/>
      <c r="H209" s="20"/>
      <c r="I209" s="20"/>
      <c r="J209" s="634"/>
      <c r="K209" s="304"/>
      <c r="L209" s="19"/>
      <c r="M209" s="19"/>
      <c r="N209" s="19"/>
      <c r="Q209" s="17"/>
      <c r="R209" s="606"/>
      <c r="S209" s="603">
        <v>14.3</v>
      </c>
      <c r="T209" s="604">
        <v>17.5</v>
      </c>
      <c r="U209" s="599" t="str">
        <f>IF(J191=T209,"←◎◎","")</f>
        <v/>
      </c>
      <c r="V209" s="19"/>
      <c r="W209" s="19"/>
      <c r="X209" s="19"/>
      <c r="Y209" s="19"/>
      <c r="Z209" s="20"/>
      <c r="AA209" s="17"/>
      <c r="AE209" s="17"/>
      <c r="AF209" s="17"/>
      <c r="AG209" s="17">
        <v>4034</v>
      </c>
      <c r="AH209" s="249">
        <v>4469</v>
      </c>
      <c r="AI209" s="228" t="s">
        <v>404</v>
      </c>
      <c r="AJ209" s="228">
        <v>1960</v>
      </c>
      <c r="AK209" s="228">
        <v>80</v>
      </c>
      <c r="AL209" s="100">
        <v>2676</v>
      </c>
      <c r="AM209" s="416"/>
      <c r="AN209" s="311">
        <v>4664</v>
      </c>
      <c r="AO209" s="338">
        <v>4782</v>
      </c>
      <c r="AP209" s="20"/>
      <c r="AQ209" s="20"/>
      <c r="AR209" s="20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</row>
    <row r="210" spans="1:64">
      <c r="A210" s="36"/>
      <c r="B210" s="20"/>
      <c r="C210" s="20"/>
      <c r="D210" s="20"/>
      <c r="E210" s="20"/>
      <c r="F210" s="20"/>
      <c r="G210" s="20"/>
      <c r="H210" s="54">
        <f>((MH!I12+MH!I13+MH!I14)/1000)/'E Data'!D41</f>
        <v>6.4315625000000001</v>
      </c>
      <c r="I210" s="54">
        <f>H210</f>
        <v>6.4315625000000001</v>
      </c>
      <c r="J210" s="641">
        <f>E221</f>
        <v>0.24522704535891091</v>
      </c>
      <c r="K210" s="304" t="s">
        <v>581</v>
      </c>
      <c r="L210" s="19"/>
      <c r="M210" s="19"/>
      <c r="N210" s="19"/>
      <c r="Q210" s="17"/>
      <c r="R210" s="606"/>
      <c r="S210" s="603">
        <v>17.5</v>
      </c>
      <c r="T210" s="604">
        <v>21.4</v>
      </c>
      <c r="U210" s="599" t="str">
        <f>IF(J191=T210,"←◎◎","")</f>
        <v/>
      </c>
      <c r="V210" s="19"/>
      <c r="W210" s="19"/>
      <c r="X210" s="19"/>
      <c r="Y210" s="19"/>
      <c r="Z210" s="20"/>
      <c r="AA210" s="17"/>
      <c r="AE210" s="17"/>
      <c r="AF210" s="17"/>
      <c r="AG210" s="17">
        <v>4469</v>
      </c>
      <c r="AH210" s="249">
        <v>4928</v>
      </c>
      <c r="AI210" s="228" t="s">
        <v>404</v>
      </c>
      <c r="AJ210" s="228">
        <v>1960</v>
      </c>
      <c r="AK210" s="228">
        <v>84</v>
      </c>
      <c r="AL210" s="100">
        <v>2951</v>
      </c>
      <c r="AM210" s="416"/>
      <c r="AN210" s="311">
        <v>4782</v>
      </c>
      <c r="AO210" s="338">
        <v>4928</v>
      </c>
      <c r="AP210" s="20"/>
      <c r="AQ210" s="20"/>
      <c r="AR210" s="20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</row>
    <row r="211" spans="1:64" ht="14.65" thickBot="1">
      <c r="A211" s="36"/>
      <c r="B211" s="20"/>
      <c r="C211" s="20"/>
      <c r="D211" s="20"/>
      <c r="E211" s="20"/>
      <c r="F211" s="20"/>
      <c r="G211" s="20"/>
      <c r="H211" s="67" t="s">
        <v>582</v>
      </c>
      <c r="I211" s="67" t="s">
        <v>582</v>
      </c>
      <c r="J211" s="634"/>
      <c r="K211" s="304"/>
      <c r="L211" s="19"/>
      <c r="M211" s="19"/>
      <c r="N211" s="19"/>
      <c r="O211" s="19"/>
      <c r="P211" s="19"/>
      <c r="Q211" s="17"/>
      <c r="R211" s="606"/>
      <c r="S211" s="603">
        <v>21.4</v>
      </c>
      <c r="T211" s="604">
        <v>25.4</v>
      </c>
      <c r="U211" s="599" t="str">
        <f>IF(J191=T211,"←◎◎","")</f>
        <v/>
      </c>
      <c r="V211" s="19"/>
      <c r="W211" s="19"/>
      <c r="X211" s="19"/>
      <c r="Y211" s="19"/>
      <c r="Z211" s="20"/>
      <c r="AA211" s="17"/>
      <c r="AE211" s="17"/>
      <c r="AF211" s="17"/>
      <c r="AG211" s="17">
        <v>4928</v>
      </c>
      <c r="AH211" s="256">
        <v>5165</v>
      </c>
      <c r="AI211" s="267" t="s">
        <v>404</v>
      </c>
      <c r="AJ211" s="267">
        <v>1960</v>
      </c>
      <c r="AK211" s="267">
        <v>86</v>
      </c>
      <c r="AL211" s="104">
        <v>3093</v>
      </c>
      <c r="AM211" s="642"/>
      <c r="AN211" s="643">
        <v>4928</v>
      </c>
      <c r="AO211" s="644">
        <v>5165</v>
      </c>
      <c r="AP211" s="20"/>
      <c r="AQ211" s="20"/>
      <c r="AR211" s="20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</row>
    <row r="212" spans="1:64">
      <c r="A212" s="36"/>
      <c r="B212" s="20"/>
      <c r="C212" s="20"/>
      <c r="D212" s="20"/>
      <c r="E212" s="20"/>
      <c r="F212" s="20"/>
      <c r="G212" s="20"/>
      <c r="H212" s="20"/>
      <c r="I212" s="20"/>
      <c r="J212" s="634"/>
      <c r="K212" s="304"/>
      <c r="L212" s="19"/>
      <c r="M212" s="19"/>
      <c r="N212" s="19"/>
      <c r="O212" s="19"/>
      <c r="P212" s="19"/>
      <c r="Q212" s="17"/>
      <c r="R212" s="606"/>
      <c r="S212" s="603">
        <v>25.4</v>
      </c>
      <c r="T212" s="604">
        <v>28.6</v>
      </c>
      <c r="U212" s="599" t="str">
        <f>IF(J191=T212,"←◎◎","")</f>
        <v/>
      </c>
      <c r="V212" s="19"/>
      <c r="W212" s="19"/>
      <c r="X212" s="19"/>
      <c r="Y212" s="19"/>
      <c r="Z212" s="20"/>
      <c r="AA212" s="20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20"/>
      <c r="AP212" s="20"/>
      <c r="AQ212" s="20"/>
      <c r="AR212" s="20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</row>
    <row r="213" spans="1:64">
      <c r="A213" s="36"/>
      <c r="B213" s="20"/>
      <c r="C213" s="20"/>
      <c r="D213" s="20"/>
      <c r="E213" s="20"/>
      <c r="F213" s="20"/>
      <c r="G213" s="20"/>
      <c r="H213" s="20"/>
      <c r="I213" s="20"/>
      <c r="J213" s="634"/>
      <c r="K213" s="304"/>
      <c r="L213" s="19"/>
      <c r="M213" s="19"/>
      <c r="N213" s="19"/>
      <c r="O213" s="19"/>
      <c r="P213" s="19"/>
      <c r="Q213" s="19"/>
      <c r="R213" s="631"/>
      <c r="S213" s="632">
        <v>28.6</v>
      </c>
      <c r="T213" s="633">
        <v>33.299999999999997</v>
      </c>
      <c r="U213" s="599" t="str">
        <f>IF(J191=T213,"←◎◎","")</f>
        <v/>
      </c>
      <c r="V213" s="19"/>
      <c r="W213" s="19"/>
      <c r="X213" s="19"/>
      <c r="Y213" s="19"/>
      <c r="Z213" s="20"/>
      <c r="AA213" s="20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20"/>
      <c r="AP213" s="20"/>
      <c r="AQ213" s="20"/>
      <c r="AR213" s="20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</row>
    <row r="214" spans="1:64">
      <c r="A214" s="36"/>
      <c r="B214" s="20"/>
      <c r="C214" s="20"/>
      <c r="D214" s="20"/>
      <c r="E214" s="20"/>
      <c r="F214" s="20"/>
      <c r="G214" s="20"/>
      <c r="H214" s="20"/>
      <c r="I214" s="20"/>
      <c r="J214" s="634"/>
      <c r="K214" s="304"/>
      <c r="L214" s="19"/>
      <c r="M214" s="19"/>
      <c r="N214" s="19"/>
      <c r="O214" s="19"/>
      <c r="P214" s="19"/>
      <c r="Q214" s="596" t="str">
        <f>IF(J132=R214,"◎≈→","")</f>
        <v/>
      </c>
      <c r="R214" s="635">
        <v>355.6</v>
      </c>
      <c r="S214" s="636">
        <v>0</v>
      </c>
      <c r="T214" s="598">
        <v>6.4</v>
      </c>
      <c r="U214" s="599" t="str">
        <f>IF(J191=T214,"←◎◎","")</f>
        <v/>
      </c>
      <c r="V214" s="19"/>
      <c r="W214" s="19"/>
      <c r="X214" s="19"/>
      <c r="Y214" s="19"/>
      <c r="Z214" s="20"/>
      <c r="AA214" s="20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20"/>
      <c r="AP214" s="20"/>
      <c r="AQ214" s="20"/>
      <c r="AR214" s="20"/>
      <c r="AS214" s="19"/>
      <c r="AT214" s="20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</row>
    <row r="215" spans="1:64">
      <c r="A215" s="36"/>
      <c r="B215" s="20"/>
      <c r="C215" s="20"/>
      <c r="D215" s="20"/>
      <c r="E215" s="20"/>
      <c r="F215" s="20"/>
      <c r="G215" s="20"/>
      <c r="H215" s="19">
        <f>C217</f>
        <v>625</v>
      </c>
      <c r="I215" s="19">
        <f>E217</f>
        <v>320</v>
      </c>
      <c r="J215" s="577">
        <f>F217</f>
        <v>625</v>
      </c>
      <c r="K215" s="304"/>
      <c r="L215" s="19"/>
      <c r="M215" s="19"/>
      <c r="N215" s="19"/>
      <c r="O215" s="19"/>
      <c r="P215" s="19"/>
      <c r="Q215" s="19"/>
      <c r="R215" s="602"/>
      <c r="S215" s="603">
        <v>6.4</v>
      </c>
      <c r="T215" s="604">
        <v>7.9</v>
      </c>
      <c r="U215" s="599" t="str">
        <f>IF(J191=T215,"←◎◎","")</f>
        <v/>
      </c>
      <c r="AE215" s="20"/>
      <c r="AF215" s="20"/>
      <c r="AG215" s="20"/>
      <c r="AH215" s="20"/>
      <c r="AI215" s="20"/>
      <c r="AJ215" s="20"/>
      <c r="AK215" s="20"/>
      <c r="AL215" s="20"/>
      <c r="AM215" s="19"/>
      <c r="AN215" s="20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</row>
    <row r="216" spans="1:64">
      <c r="A216" s="36"/>
      <c r="B216" s="20"/>
      <c r="C216" s="20"/>
      <c r="D216" s="20"/>
      <c r="E216" s="20"/>
      <c r="F216" s="20"/>
      <c r="G216" s="20"/>
      <c r="H216" s="20"/>
      <c r="I216" s="20"/>
      <c r="J216" s="634"/>
      <c r="K216" s="304"/>
      <c r="L216" s="19"/>
      <c r="M216" s="19"/>
      <c r="N216" s="19"/>
      <c r="O216" s="19"/>
      <c r="Q216" s="19"/>
      <c r="R216" s="602" t="s">
        <v>512</v>
      </c>
      <c r="S216" s="603">
        <v>7.9</v>
      </c>
      <c r="T216" s="604">
        <v>9.5</v>
      </c>
      <c r="U216" s="599" t="str">
        <f>IF(J191=T216,"←◎◎","")</f>
        <v/>
      </c>
      <c r="AE216" s="20"/>
      <c r="AF216" s="20"/>
      <c r="AG216" s="20"/>
      <c r="AH216" s="20"/>
      <c r="AI216" s="20"/>
      <c r="AJ216" s="20"/>
      <c r="AK216" s="20"/>
      <c r="AL216" s="20"/>
      <c r="AM216" s="19"/>
      <c r="AN216" s="20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</row>
    <row r="217" spans="1:64">
      <c r="A217" s="36"/>
      <c r="B217" s="20"/>
      <c r="C217" s="67">
        <f>(J170-J165-J166-J166)/2</f>
        <v>625</v>
      </c>
      <c r="D217" s="67"/>
      <c r="E217" s="577">
        <f>J165</f>
        <v>320</v>
      </c>
      <c r="F217" s="19">
        <f>C217</f>
        <v>625</v>
      </c>
      <c r="G217" s="20"/>
      <c r="H217" s="20"/>
      <c r="I217" s="20">
        <f>E219</f>
        <v>1570</v>
      </c>
      <c r="J217" s="634"/>
      <c r="K217" s="304"/>
      <c r="L217" s="19"/>
      <c r="M217" s="19"/>
      <c r="N217" s="19"/>
      <c r="O217" s="19"/>
      <c r="Q217" s="19"/>
      <c r="R217" s="602" t="b">
        <f>IF(J132=355.6,VLOOKUP(J190,S215:S224,1))</f>
        <v>0</v>
      </c>
      <c r="S217" s="603">
        <v>9.5</v>
      </c>
      <c r="T217" s="604">
        <v>11.1</v>
      </c>
      <c r="U217" s="599" t="str">
        <f>IF(J191=T217,"←◎◎","")</f>
        <v/>
      </c>
      <c r="AE217" s="20"/>
      <c r="AF217" s="20"/>
      <c r="AG217" s="20"/>
      <c r="AH217" s="20"/>
      <c r="AI217" s="20"/>
      <c r="AJ217" s="20"/>
      <c r="AK217" s="20"/>
      <c r="AL217" s="20"/>
      <c r="AM217" s="19"/>
      <c r="AN217" s="20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</row>
    <row r="218" spans="1:64">
      <c r="A218" s="36"/>
      <c r="B218" s="20"/>
      <c r="C218" s="20"/>
      <c r="D218" s="20"/>
      <c r="E218" s="17"/>
      <c r="F218" s="20"/>
      <c r="G218" s="634">
        <f>J218</f>
        <v>6.5541760226794556</v>
      </c>
      <c r="H218" s="20" t="s">
        <v>582</v>
      </c>
      <c r="I218" s="20"/>
      <c r="J218" s="634">
        <f>(H210+I210+E221)/2</f>
        <v>6.5541760226794556</v>
      </c>
      <c r="K218" s="304" t="s">
        <v>582</v>
      </c>
      <c r="L218" s="19"/>
      <c r="M218" s="19"/>
      <c r="N218" s="19"/>
      <c r="O218" s="19"/>
      <c r="Q218" s="19"/>
      <c r="R218" s="606" t="s">
        <v>507</v>
      </c>
      <c r="S218" s="603">
        <v>11.1</v>
      </c>
      <c r="T218" s="604">
        <v>12.7</v>
      </c>
      <c r="U218" s="599" t="str">
        <f>IF(J191=T218,"←◎◎","")</f>
        <v/>
      </c>
      <c r="AE218" s="20"/>
      <c r="AF218" s="20"/>
      <c r="AG218" s="20"/>
      <c r="AH218" s="20"/>
      <c r="AI218" s="20"/>
      <c r="AJ218" s="20"/>
      <c r="AK218" s="20"/>
      <c r="AL218" s="20"/>
      <c r="AM218" s="19"/>
      <c r="AN218" s="20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</row>
    <row r="219" spans="1:64">
      <c r="A219" s="36"/>
      <c r="B219" s="20"/>
      <c r="C219" s="20"/>
      <c r="D219" s="20"/>
      <c r="E219" s="645">
        <f>E217+C217+F217</f>
        <v>1570</v>
      </c>
      <c r="F219" s="20"/>
      <c r="G219" s="20"/>
      <c r="H219" s="20"/>
      <c r="I219" s="20"/>
      <c r="J219" s="634"/>
      <c r="K219" s="304"/>
      <c r="L219" s="19"/>
      <c r="M219" s="19"/>
      <c r="N219" s="19"/>
      <c r="O219" s="19"/>
      <c r="Q219" s="19"/>
      <c r="R219" s="624" t="e">
        <f>VLOOKUP(R217,S215:T224,2,0)</f>
        <v>#N/A</v>
      </c>
      <c r="S219" s="603">
        <v>12.7</v>
      </c>
      <c r="T219" s="604">
        <v>15.1</v>
      </c>
      <c r="U219" s="599" t="str">
        <f>IF(J191=T219,"←◎◎","")</f>
        <v/>
      </c>
      <c r="AE219" s="20"/>
      <c r="AF219" s="20"/>
      <c r="AG219" s="20"/>
      <c r="AH219" s="20"/>
      <c r="AI219" s="20"/>
      <c r="AJ219" s="20"/>
      <c r="AK219" s="20"/>
      <c r="AL219" s="20"/>
      <c r="AM219" s="19"/>
      <c r="AN219" s="20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</row>
    <row r="220" spans="1:64">
      <c r="A220" s="36"/>
      <c r="B220" s="20"/>
      <c r="C220" s="20"/>
      <c r="D220" s="20"/>
      <c r="E220" s="20"/>
      <c r="F220" s="20"/>
      <c r="G220" s="20"/>
      <c r="H220" s="20"/>
      <c r="I220" s="20"/>
      <c r="J220" s="634"/>
      <c r="K220" s="304"/>
      <c r="L220" s="19"/>
      <c r="M220" s="19"/>
      <c r="N220" s="19"/>
      <c r="O220" s="19"/>
      <c r="Q220" s="19"/>
      <c r="R220" s="606"/>
      <c r="S220" s="603">
        <v>15.1</v>
      </c>
      <c r="T220" s="604">
        <v>19</v>
      </c>
      <c r="U220" s="599" t="str">
        <f>IF(J191=T220,"←◎◎","")</f>
        <v/>
      </c>
      <c r="AE220" s="20"/>
      <c r="AF220" s="20"/>
      <c r="AG220" s="20"/>
      <c r="AH220" s="20"/>
      <c r="AI220" s="20"/>
      <c r="AJ220" s="20"/>
      <c r="AK220" s="20"/>
      <c r="AL220" s="20"/>
      <c r="AM220" s="19"/>
      <c r="AN220" s="20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</row>
    <row r="221" spans="1:64">
      <c r="A221" s="313"/>
      <c r="B221" s="20" t="s">
        <v>583</v>
      </c>
      <c r="C221" s="20"/>
      <c r="D221" s="20"/>
      <c r="E221" s="641">
        <f>(((3.14/4)*(J203/100*J203/100-J205/100*J205/100)*7.85))</f>
        <v>0.24522704535891091</v>
      </c>
      <c r="F221" s="20" t="s">
        <v>584</v>
      </c>
      <c r="G221" s="634">
        <f>E221*(I217/1000)</f>
        <v>0.38500646121349014</v>
      </c>
      <c r="H221" s="20" t="s">
        <v>582</v>
      </c>
      <c r="I221" s="20"/>
      <c r="J221" s="634"/>
      <c r="K221" s="304"/>
      <c r="L221" s="19"/>
      <c r="M221" s="19"/>
      <c r="N221" s="19"/>
      <c r="O221" s="19"/>
      <c r="Q221" s="19"/>
      <c r="R221" s="606"/>
      <c r="S221" s="603">
        <v>19</v>
      </c>
      <c r="T221" s="604">
        <v>23.8</v>
      </c>
      <c r="U221" s="599" t="str">
        <f>IF(J191=T221,"←◎◎","")</f>
        <v/>
      </c>
      <c r="AE221" s="20"/>
      <c r="AF221" s="20"/>
      <c r="AG221" s="20"/>
      <c r="AH221" s="20"/>
      <c r="AI221" s="20"/>
      <c r="AJ221" s="20"/>
      <c r="AK221" s="20"/>
      <c r="AL221" s="20"/>
      <c r="AM221" s="19"/>
      <c r="AN221" s="20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</row>
    <row r="222" spans="1:64">
      <c r="A222" s="36"/>
      <c r="B222" s="20"/>
      <c r="C222" s="20"/>
      <c r="D222" s="20"/>
      <c r="E222" s="20"/>
      <c r="F222" s="20"/>
      <c r="G222" s="20"/>
      <c r="H222" s="20"/>
      <c r="J222" s="634"/>
      <c r="K222" s="304"/>
      <c r="L222" s="19"/>
      <c r="M222" s="19"/>
      <c r="N222" s="19"/>
      <c r="O222" s="19"/>
      <c r="Q222" s="19"/>
      <c r="R222" s="606"/>
      <c r="S222" s="603">
        <v>23.8</v>
      </c>
      <c r="T222" s="604">
        <v>27.8</v>
      </c>
      <c r="U222" s="599" t="str">
        <f>IF(J191=T222,"←◎◎","")</f>
        <v/>
      </c>
      <c r="AE222" s="20"/>
      <c r="AF222" s="20"/>
      <c r="AG222" s="20"/>
      <c r="AH222" s="20"/>
      <c r="AI222" s="20"/>
      <c r="AJ222" s="20"/>
      <c r="AK222" s="20"/>
      <c r="AL222" s="20"/>
      <c r="AM222" s="19"/>
      <c r="AN222" s="20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</row>
    <row r="223" spans="1:64">
      <c r="A223" s="36"/>
      <c r="B223" s="20" t="s">
        <v>585</v>
      </c>
      <c r="C223" s="20"/>
      <c r="D223" s="20"/>
      <c r="E223" s="20"/>
      <c r="F223" s="20"/>
      <c r="G223" s="20"/>
      <c r="H223" s="20"/>
      <c r="J223" s="634"/>
      <c r="K223" s="304"/>
      <c r="L223" s="19"/>
      <c r="M223" s="19"/>
      <c r="N223" s="19"/>
      <c r="O223" s="19"/>
      <c r="Q223" s="19"/>
      <c r="R223" s="606"/>
      <c r="S223" s="603">
        <v>27.8</v>
      </c>
      <c r="T223" s="604">
        <v>31.8</v>
      </c>
      <c r="U223" s="599" t="str">
        <f>IF(J191=T223,"←◎◎","")</f>
        <v/>
      </c>
      <c r="AE223" s="20"/>
      <c r="AF223" s="20"/>
      <c r="AG223" s="20"/>
      <c r="AH223" s="20"/>
      <c r="AI223" s="20"/>
      <c r="AJ223" s="20"/>
      <c r="AK223" s="20"/>
      <c r="AL223" s="20"/>
      <c r="AM223" s="19"/>
      <c r="AN223" s="20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</row>
    <row r="224" spans="1:64">
      <c r="A224" s="36"/>
      <c r="B224" s="20"/>
      <c r="C224" s="20"/>
      <c r="D224" s="20"/>
      <c r="E224" s="20"/>
      <c r="F224" s="20"/>
      <c r="G224" s="20"/>
      <c r="H224" s="20"/>
      <c r="J224" s="634"/>
      <c r="K224" s="304"/>
      <c r="L224" s="19"/>
      <c r="M224" s="19"/>
      <c r="N224" s="19"/>
      <c r="O224" s="19"/>
      <c r="Q224" s="19"/>
      <c r="R224" s="637"/>
      <c r="S224" s="608">
        <v>31.8</v>
      </c>
      <c r="T224" s="609">
        <v>35.700000000000003</v>
      </c>
      <c r="U224" s="599" t="str">
        <f>IF(J191=T224,"←◎◎","")</f>
        <v/>
      </c>
      <c r="AE224" s="20"/>
      <c r="AF224" s="20"/>
      <c r="AG224" s="20"/>
      <c r="AH224" s="20"/>
      <c r="AI224" s="20"/>
      <c r="AJ224" s="20"/>
      <c r="AK224" s="20"/>
      <c r="AL224" s="20"/>
      <c r="AM224" s="19"/>
      <c r="AN224" s="20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</row>
    <row r="225" spans="1:64">
      <c r="A225" s="36"/>
      <c r="B225" s="20" t="s">
        <v>586</v>
      </c>
      <c r="C225" s="20"/>
      <c r="D225" s="20"/>
      <c r="E225" s="20"/>
      <c r="F225" s="20" t="s">
        <v>2725</v>
      </c>
      <c r="G225" s="20"/>
      <c r="H225" s="388" t="s">
        <v>587</v>
      </c>
      <c r="I225" s="67" t="s">
        <v>160</v>
      </c>
      <c r="J225" s="634">
        <f>(G218*H215/10)-(G221*H215/10/I217/10*H215/10*2)</f>
        <v>409.44441778827934</v>
      </c>
      <c r="K225" s="304" t="s">
        <v>588</v>
      </c>
      <c r="L225" s="19"/>
      <c r="M225" s="19"/>
      <c r="N225" s="19"/>
      <c r="O225" s="19"/>
      <c r="Q225" s="596" t="str">
        <f>IF(J132=R225,"◎≈→","")</f>
        <v>◎≈→</v>
      </c>
      <c r="R225" s="612">
        <v>406.4</v>
      </c>
      <c r="S225" s="613">
        <v>0</v>
      </c>
      <c r="T225" s="614">
        <v>6.4</v>
      </c>
      <c r="U225" s="599" t="str">
        <f>IF(J191=T225,"←◎◎","")</f>
        <v/>
      </c>
      <c r="AE225" s="20"/>
      <c r="AF225" s="20"/>
      <c r="AG225" s="20"/>
      <c r="AH225" s="20"/>
      <c r="AI225" s="20"/>
      <c r="AJ225" s="20"/>
      <c r="AK225" s="20"/>
      <c r="AL225" s="20"/>
      <c r="AM225" s="19"/>
      <c r="AN225" s="20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</row>
    <row r="226" spans="1:64">
      <c r="A226" s="36"/>
      <c r="B226" s="20"/>
      <c r="C226" s="20"/>
      <c r="D226" s="20"/>
      <c r="E226" s="20"/>
      <c r="F226" s="20"/>
      <c r="G226" s="19">
        <f>I217/10</f>
        <v>157</v>
      </c>
      <c r="H226" s="19">
        <v>2</v>
      </c>
      <c r="I226" s="20"/>
      <c r="J226" s="634"/>
      <c r="K226" s="304"/>
      <c r="L226" s="19"/>
      <c r="M226" s="19"/>
      <c r="N226" s="19"/>
      <c r="O226" s="19"/>
      <c r="Q226" s="19"/>
      <c r="R226" s="602"/>
      <c r="S226" s="603">
        <v>6.4</v>
      </c>
      <c r="T226" s="604">
        <v>7.9</v>
      </c>
      <c r="U226" s="599" t="str">
        <f>IF(J191=T226,"←◎◎","")</f>
        <v/>
      </c>
      <c r="AE226" s="20"/>
      <c r="AF226" s="20"/>
      <c r="AG226" s="20"/>
      <c r="AH226" s="20"/>
      <c r="AI226" s="20"/>
      <c r="AJ226" s="20"/>
      <c r="AK226" s="20"/>
      <c r="AL226" s="20"/>
      <c r="AM226" s="19"/>
      <c r="AN226" s="20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</row>
    <row r="227" spans="1:64">
      <c r="A227" s="36"/>
      <c r="B227" s="20"/>
      <c r="C227" s="20"/>
      <c r="D227" s="20"/>
      <c r="E227" s="20"/>
      <c r="F227" s="20"/>
      <c r="G227" s="20"/>
      <c r="H227" s="20"/>
      <c r="I227" s="20"/>
      <c r="J227" s="634"/>
      <c r="K227" s="304"/>
      <c r="L227" s="19"/>
      <c r="M227" s="19"/>
      <c r="N227" s="19"/>
      <c r="O227" s="19"/>
      <c r="Q227" s="19"/>
      <c r="R227" s="602" t="s">
        <v>512</v>
      </c>
      <c r="S227" s="603">
        <v>7.9</v>
      </c>
      <c r="T227" s="604">
        <v>9.5</v>
      </c>
      <c r="U227" s="599" t="str">
        <f>IF(J191=T227,"←◎◎","")</f>
        <v/>
      </c>
      <c r="AE227" s="20"/>
      <c r="AF227" s="20"/>
      <c r="AG227" s="20"/>
      <c r="AH227" s="20"/>
      <c r="AI227" s="20"/>
      <c r="AJ227" s="20"/>
      <c r="AK227" s="20"/>
      <c r="AL227" s="20"/>
      <c r="AM227" s="19"/>
      <c r="AN227" s="20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</row>
    <row r="228" spans="1:64" ht="15.75">
      <c r="A228" s="313"/>
      <c r="B228" s="20" t="s">
        <v>2726</v>
      </c>
      <c r="C228" s="20"/>
      <c r="D228" s="20"/>
      <c r="E228" s="20"/>
      <c r="F228" s="646">
        <f>J225</f>
        <v>409.44441778827934</v>
      </c>
      <c r="G228" s="20"/>
      <c r="H228" s="20"/>
      <c r="I228" s="67" t="s">
        <v>160</v>
      </c>
      <c r="J228" s="647">
        <f>J225/J207</f>
        <v>0.15302910998743474</v>
      </c>
      <c r="K228" s="304" t="s">
        <v>2727</v>
      </c>
      <c r="L228" s="19"/>
      <c r="M228" s="19"/>
      <c r="N228" s="19"/>
      <c r="O228" s="19"/>
      <c r="Q228" s="19"/>
      <c r="R228" s="602">
        <f>IF(J132=406.4,VLOOKUP(J190,S226:S234,1))</f>
        <v>26.2</v>
      </c>
      <c r="S228" s="603">
        <v>9.5</v>
      </c>
      <c r="T228" s="604">
        <v>12.7</v>
      </c>
      <c r="U228" s="599" t="str">
        <f>IF(J191=T228,"←◎◎","")</f>
        <v/>
      </c>
      <c r="AE228" s="20"/>
      <c r="AF228" s="20"/>
      <c r="AG228" s="20"/>
      <c r="AH228" s="20"/>
      <c r="AI228" s="20"/>
      <c r="AJ228" s="20"/>
      <c r="AK228" s="20"/>
      <c r="AL228" s="20"/>
      <c r="AM228" s="19"/>
      <c r="AN228" s="20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</row>
    <row r="229" spans="1:64" ht="15.75">
      <c r="A229" s="36"/>
      <c r="B229" s="20"/>
      <c r="C229" s="20"/>
      <c r="D229" s="20"/>
      <c r="E229" s="20" t="s">
        <v>589</v>
      </c>
      <c r="F229" s="634">
        <f>J207</f>
        <v>2675.5982428565317</v>
      </c>
      <c r="G229" s="20"/>
      <c r="H229" s="20"/>
      <c r="I229" s="67" t="s">
        <v>160</v>
      </c>
      <c r="J229" s="634">
        <f>J228*1000</f>
        <v>153.02910998743474</v>
      </c>
      <c r="K229" s="304" t="s">
        <v>2722</v>
      </c>
      <c r="L229" s="19"/>
      <c r="M229" s="19"/>
      <c r="N229" s="19"/>
      <c r="O229" s="19"/>
      <c r="Q229" s="19"/>
      <c r="R229" s="606" t="s">
        <v>507</v>
      </c>
      <c r="S229" s="603">
        <v>12.7</v>
      </c>
      <c r="T229" s="604">
        <v>16.7</v>
      </c>
      <c r="U229" s="599" t="str">
        <f>IF(J191=T229,"←◎◎","")</f>
        <v/>
      </c>
      <c r="AE229" s="20"/>
      <c r="AF229" s="20"/>
      <c r="AG229" s="20"/>
      <c r="AH229" s="20"/>
      <c r="AI229" s="20"/>
      <c r="AJ229" s="20"/>
      <c r="AK229" s="20"/>
      <c r="AL229" s="20"/>
      <c r="AM229" s="19"/>
      <c r="AN229" s="20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</row>
    <row r="230" spans="1:64">
      <c r="A230" s="3769" t="s">
        <v>1</v>
      </c>
      <c r="B230" s="3770"/>
      <c r="C230" s="3770"/>
      <c r="D230" s="3770"/>
      <c r="E230" s="3771"/>
      <c r="F230" s="3735" t="s">
        <v>109</v>
      </c>
      <c r="G230" s="3736"/>
      <c r="H230" s="3737"/>
      <c r="I230" s="3738" t="s">
        <v>2</v>
      </c>
      <c r="J230" s="3739"/>
      <c r="K230" s="3740"/>
      <c r="L230" s="19"/>
      <c r="M230" s="19"/>
      <c r="N230" s="19"/>
      <c r="O230" s="19"/>
      <c r="Q230" s="19"/>
      <c r="R230" s="624">
        <f>VLOOKUP(R228,S226:T234,2,0)</f>
        <v>31</v>
      </c>
      <c r="S230" s="603">
        <v>16.7</v>
      </c>
      <c r="T230" s="604">
        <v>21.4</v>
      </c>
      <c r="U230" s="599" t="str">
        <f>IF(J191=T230,"←◎◎","")</f>
        <v/>
      </c>
      <c r="AE230" s="20"/>
      <c r="AF230" s="20"/>
      <c r="AG230" s="20"/>
      <c r="AH230" s="20"/>
      <c r="AI230" s="20"/>
      <c r="AJ230" s="20"/>
      <c r="AK230" s="20"/>
      <c r="AL230" s="20"/>
      <c r="AM230" s="19"/>
      <c r="AN230" s="20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</row>
    <row r="231" spans="1:64">
      <c r="A231" s="3741" t="str">
        <f>+A176</f>
        <v>ELITEMHE INDUSTRIES LIMITED</v>
      </c>
      <c r="B231" s="3742"/>
      <c r="C231" s="3742"/>
      <c r="D231" s="3742"/>
      <c r="E231" s="3743"/>
      <c r="F231" s="3744" t="str">
        <f>F176</f>
        <v xml:space="preserve">25/15T D/G EOT CRANE  </v>
      </c>
      <c r="G231" s="3695"/>
      <c r="H231" s="3745"/>
      <c r="I231" s="3746">
        <f>I176</f>
        <v>0</v>
      </c>
      <c r="J231" s="3747"/>
      <c r="K231" s="3748"/>
      <c r="L231" s="19"/>
      <c r="M231" s="19"/>
      <c r="N231" s="19"/>
      <c r="O231" s="19"/>
      <c r="Q231" s="19"/>
      <c r="R231" s="606"/>
      <c r="S231" s="603">
        <v>21.4</v>
      </c>
      <c r="T231" s="604">
        <v>26.2</v>
      </c>
      <c r="U231" s="599" t="str">
        <f>IF(J191=T231,"←◎◎","")</f>
        <v/>
      </c>
      <c r="AE231" s="20"/>
      <c r="AF231" s="20"/>
      <c r="AG231" s="20"/>
      <c r="AH231" s="20"/>
      <c r="AI231" s="20"/>
      <c r="AJ231" s="20"/>
      <c r="AK231" s="20"/>
      <c r="AL231" s="20"/>
      <c r="AM231" s="19"/>
      <c r="AN231" s="20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</row>
    <row r="232" spans="1:64">
      <c r="A232" s="3763" t="e">
        <f>A177</f>
        <v>#REF!</v>
      </c>
      <c r="B232" s="3760"/>
      <c r="C232" s="3760"/>
      <c r="D232" s="3760"/>
      <c r="E232" s="3761"/>
      <c r="F232" s="3759" t="s">
        <v>122</v>
      </c>
      <c r="G232" s="3760"/>
      <c r="H232" s="3761"/>
      <c r="I232" s="3750" t="s">
        <v>590</v>
      </c>
      <c r="J232" s="3751"/>
      <c r="K232" s="3752"/>
      <c r="L232" s="19"/>
      <c r="M232" s="19"/>
      <c r="N232" s="19"/>
      <c r="O232" s="19"/>
      <c r="Q232" s="19"/>
      <c r="R232" s="606"/>
      <c r="S232" s="603">
        <v>26.2</v>
      </c>
      <c r="T232" s="604">
        <v>31</v>
      </c>
      <c r="U232" s="599" t="str">
        <f>IF(J191=T232,"←◎◎","")</f>
        <v>←◎◎</v>
      </c>
      <c r="AE232" s="20"/>
      <c r="AF232" s="20"/>
      <c r="AG232" s="20"/>
      <c r="AH232" s="20"/>
      <c r="AI232" s="20"/>
      <c r="AJ232" s="20"/>
      <c r="AK232" s="20"/>
      <c r="AL232" s="20"/>
      <c r="AM232" s="19"/>
      <c r="AN232" s="20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</row>
    <row r="233" spans="1:64">
      <c r="A233" s="406" t="s">
        <v>32</v>
      </c>
      <c r="B233" s="407" t="e">
        <f>B87</f>
        <v>#REF!</v>
      </c>
      <c r="C233" s="407"/>
      <c r="D233" s="407"/>
      <c r="E233" s="408"/>
      <c r="F233" s="3762" t="str">
        <f>F178</f>
        <v xml:space="preserve"> </v>
      </c>
      <c r="G233" s="3742"/>
      <c r="H233" s="3743"/>
      <c r="I233" s="3753"/>
      <c r="J233" s="3754"/>
      <c r="K233" s="3755"/>
      <c r="L233" s="19"/>
      <c r="M233" s="19"/>
      <c r="N233" s="19"/>
      <c r="O233" s="19"/>
      <c r="Q233" s="19"/>
      <c r="R233" s="606"/>
      <c r="S233" s="603">
        <v>31</v>
      </c>
      <c r="T233" s="604">
        <v>36.5</v>
      </c>
      <c r="U233" s="599" t="str">
        <f>IF(J191=T233,"←◎◎","")</f>
        <v/>
      </c>
      <c r="AE233" s="20"/>
      <c r="AF233" s="20"/>
      <c r="AG233" s="20"/>
      <c r="AH233" s="20"/>
      <c r="AI233" s="20"/>
      <c r="AJ233" s="20"/>
      <c r="AK233" s="20"/>
      <c r="AL233" s="20"/>
      <c r="AM233" s="19"/>
      <c r="AN233" s="20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</row>
    <row r="234" spans="1:64">
      <c r="A234" s="313"/>
      <c r="B234" s="19"/>
      <c r="C234" s="19"/>
      <c r="D234" s="19"/>
      <c r="E234" s="297"/>
      <c r="F234" s="51"/>
      <c r="G234" s="51"/>
      <c r="H234" s="51"/>
      <c r="I234" s="59"/>
      <c r="J234" s="59"/>
      <c r="K234" s="468"/>
      <c r="L234" s="19"/>
      <c r="M234" s="19"/>
      <c r="N234" s="19"/>
      <c r="O234" s="19"/>
      <c r="Q234" s="19"/>
      <c r="R234" s="631"/>
      <c r="S234" s="632">
        <v>36.5</v>
      </c>
      <c r="T234" s="633">
        <v>40.5</v>
      </c>
      <c r="U234" s="599" t="str">
        <f>IF(J191=T234,"←◎◎","")</f>
        <v/>
      </c>
      <c r="AE234" s="20"/>
      <c r="AF234" s="20"/>
      <c r="AG234" s="20"/>
      <c r="AH234" s="20"/>
      <c r="AI234" s="20"/>
      <c r="AJ234" s="20"/>
      <c r="AK234" s="20"/>
      <c r="AL234" s="20"/>
      <c r="AM234" s="19"/>
      <c r="AN234" s="20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</row>
    <row r="235" spans="1:64">
      <c r="A235" s="313"/>
      <c r="B235" s="19" t="s">
        <v>591</v>
      </c>
      <c r="C235" s="88" t="s">
        <v>592</v>
      </c>
      <c r="D235" s="88"/>
      <c r="E235" s="297"/>
      <c r="F235" s="51"/>
      <c r="G235" s="51"/>
      <c r="H235" s="51"/>
      <c r="I235" s="59"/>
      <c r="J235" s="59"/>
      <c r="K235" s="468"/>
      <c r="L235" s="19"/>
      <c r="M235" s="19"/>
      <c r="N235" s="19"/>
      <c r="O235" s="19"/>
      <c r="Q235" s="596" t="str">
        <f>IF(J132=R235,"◎≈→","")</f>
        <v/>
      </c>
      <c r="R235" s="635">
        <v>457.2</v>
      </c>
      <c r="S235" s="636">
        <v>0</v>
      </c>
      <c r="T235" s="598">
        <v>6.4</v>
      </c>
      <c r="U235" s="599" t="str">
        <f>IF(J191=T235,"←◎◎","")</f>
        <v/>
      </c>
      <c r="AE235" s="20"/>
      <c r="AF235" s="20"/>
      <c r="AG235" s="20"/>
      <c r="AH235" s="20"/>
      <c r="AI235" s="20"/>
      <c r="AJ235" s="20"/>
      <c r="AK235" s="20"/>
      <c r="AL235" s="20"/>
      <c r="AM235" s="19"/>
      <c r="AN235" s="20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</row>
    <row r="236" spans="1:64">
      <c r="A236" s="313"/>
      <c r="B236" s="19"/>
      <c r="C236" s="88" t="s">
        <v>568</v>
      </c>
      <c r="D236" s="88"/>
      <c r="E236" s="297"/>
      <c r="F236" s="51"/>
      <c r="G236" s="51"/>
      <c r="H236" s="51"/>
      <c r="I236" s="43" t="s">
        <v>160</v>
      </c>
      <c r="J236" s="648">
        <f>H210*1000</f>
        <v>6431.5625</v>
      </c>
      <c r="K236" s="468" t="s">
        <v>380</v>
      </c>
      <c r="L236" s="19"/>
      <c r="M236" s="19"/>
      <c r="N236" s="19"/>
      <c r="O236" s="19"/>
      <c r="Q236" s="19"/>
      <c r="R236" s="649"/>
      <c r="S236" s="603">
        <v>6.4</v>
      </c>
      <c r="T236" s="604">
        <v>7.9</v>
      </c>
      <c r="U236" s="599" t="str">
        <f>IF(J191=T236,"←◎◎","")</f>
        <v/>
      </c>
      <c r="AE236" s="20"/>
      <c r="AF236" s="20"/>
      <c r="AG236" s="20"/>
      <c r="AH236" s="20"/>
      <c r="AI236" s="20"/>
      <c r="AJ236" s="20"/>
      <c r="AK236" s="19"/>
      <c r="AL236" s="20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</row>
    <row r="237" spans="1:64">
      <c r="A237" s="313"/>
      <c r="B237" s="19"/>
      <c r="C237" s="88" t="s">
        <v>593</v>
      </c>
      <c r="D237" s="88"/>
      <c r="E237" s="297"/>
      <c r="F237" s="19">
        <f>J132+F109</f>
        <v>428.4</v>
      </c>
      <c r="G237" s="51"/>
      <c r="H237" s="51"/>
      <c r="I237" s="43" t="s">
        <v>160</v>
      </c>
      <c r="J237" s="59">
        <f>F237/10</f>
        <v>42.839999999999996</v>
      </c>
      <c r="K237" s="468" t="s">
        <v>571</v>
      </c>
      <c r="L237" s="19"/>
      <c r="M237" s="19"/>
      <c r="N237" s="19"/>
      <c r="O237" s="19"/>
      <c r="P237" s="19"/>
      <c r="Q237" s="19"/>
      <c r="R237" s="602" t="s">
        <v>512</v>
      </c>
      <c r="S237" s="603">
        <v>7.9</v>
      </c>
      <c r="T237" s="604">
        <v>9.5</v>
      </c>
      <c r="U237" s="599" t="str">
        <f>IF(J191=T237,"←◎◎","")</f>
        <v/>
      </c>
      <c r="V237" s="20"/>
      <c r="W237" s="20"/>
      <c r="X237" s="19"/>
      <c r="Y237" s="19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19"/>
      <c r="AL237" s="20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</row>
    <row r="238" spans="1:64">
      <c r="A238" s="313"/>
      <c r="B238" s="19"/>
      <c r="C238" s="88" t="s">
        <v>594</v>
      </c>
      <c r="D238" s="88"/>
      <c r="E238" s="297"/>
      <c r="F238" s="51"/>
      <c r="G238" s="51"/>
      <c r="H238" s="51"/>
      <c r="I238" s="43"/>
      <c r="J238" s="59"/>
      <c r="K238" s="468"/>
      <c r="L238" s="19"/>
      <c r="M238" s="19"/>
      <c r="N238" s="19"/>
      <c r="O238" s="19"/>
      <c r="P238" s="19"/>
      <c r="Q238" s="19"/>
      <c r="R238" s="602" t="b">
        <f>IF(J132=457.2,VLOOKUP(J190,S236:S246,1))</f>
        <v>0</v>
      </c>
      <c r="S238" s="603">
        <v>9.5</v>
      </c>
      <c r="T238" s="604">
        <v>11.1</v>
      </c>
      <c r="U238" s="599" t="str">
        <f>IF(J191=T238,"←◎◎","")</f>
        <v/>
      </c>
      <c r="V238" s="19"/>
      <c r="W238" s="19"/>
      <c r="X238" s="19"/>
      <c r="Y238" s="19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19"/>
      <c r="AL238" s="20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</row>
    <row r="239" spans="1:64">
      <c r="A239" s="313"/>
      <c r="B239" s="67" t="s">
        <v>595</v>
      </c>
      <c r="C239" s="88" t="s">
        <v>596</v>
      </c>
      <c r="D239" s="88"/>
      <c r="E239" s="297"/>
      <c r="F239" s="19" t="s">
        <v>597</v>
      </c>
      <c r="G239" s="51"/>
      <c r="H239" s="51"/>
      <c r="I239" s="43" t="s">
        <v>160</v>
      </c>
      <c r="J239" s="59">
        <f>2*J236*(J237/2)</f>
        <v>275528.13749999995</v>
      </c>
      <c r="K239" s="468" t="s">
        <v>598</v>
      </c>
      <c r="L239" s="19"/>
      <c r="M239" s="19"/>
      <c r="N239" s="19"/>
      <c r="O239" s="19"/>
      <c r="P239" s="19"/>
      <c r="Q239" s="19"/>
      <c r="R239" s="606" t="s">
        <v>507</v>
      </c>
      <c r="S239" s="603">
        <v>11.1</v>
      </c>
      <c r="T239" s="604">
        <v>12.7</v>
      </c>
      <c r="U239" s="599" t="str">
        <f>IF(J191=T239,"←◎◎","")</f>
        <v/>
      </c>
      <c r="V239" s="19"/>
      <c r="W239" s="19"/>
      <c r="X239" s="19"/>
      <c r="Y239" s="19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19"/>
      <c r="AL239" s="20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</row>
    <row r="240" spans="1:64">
      <c r="A240" s="313"/>
      <c r="B240" s="19"/>
      <c r="C240" s="88"/>
      <c r="D240" s="88"/>
      <c r="E240" s="297"/>
      <c r="F240" s="19"/>
      <c r="G240" s="51"/>
      <c r="H240" s="51"/>
      <c r="I240" s="43"/>
      <c r="J240" s="59"/>
      <c r="K240" s="468"/>
      <c r="L240" s="19"/>
      <c r="M240" s="19"/>
      <c r="N240" s="19"/>
      <c r="O240" s="19"/>
      <c r="P240" s="19"/>
      <c r="Q240" s="19"/>
      <c r="R240" s="624" t="e">
        <f>VLOOKUP(R238,S236:T246,2,0)</f>
        <v>#N/A</v>
      </c>
      <c r="S240" s="603">
        <v>12.7</v>
      </c>
      <c r="T240" s="604">
        <v>14.3</v>
      </c>
      <c r="U240" s="599" t="str">
        <f>IF(J191=T240,"←◎◎","")</f>
        <v/>
      </c>
      <c r="V240" s="19"/>
      <c r="W240" s="19"/>
      <c r="X240" s="19"/>
      <c r="Y240" s="19"/>
      <c r="Z240" s="20"/>
      <c r="AA240" s="20"/>
      <c r="AB240" s="3777" t="s">
        <v>599</v>
      </c>
      <c r="AC240" s="3779" t="s">
        <v>260</v>
      </c>
      <c r="AD240" s="3779" t="s">
        <v>600</v>
      </c>
      <c r="AE240" s="3779" t="s">
        <v>288</v>
      </c>
      <c r="AF240" s="3772" t="s">
        <v>601</v>
      </c>
      <c r="AG240" s="3772" t="s">
        <v>602</v>
      </c>
      <c r="AH240" s="3772" t="s">
        <v>603</v>
      </c>
      <c r="AI240" s="3774" t="s">
        <v>604</v>
      </c>
      <c r="AJ240" s="20"/>
      <c r="AK240" s="19"/>
      <c r="AL240" s="20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</row>
    <row r="241" spans="1:64" ht="15.75">
      <c r="A241" s="313"/>
      <c r="B241" s="67" t="s">
        <v>605</v>
      </c>
      <c r="C241" s="88" t="s">
        <v>2728</v>
      </c>
      <c r="D241" s="88"/>
      <c r="E241" s="297"/>
      <c r="F241" s="19"/>
      <c r="G241" s="51"/>
      <c r="H241" s="51"/>
      <c r="I241" s="43" t="s">
        <v>160</v>
      </c>
      <c r="J241" s="648">
        <f>3.14/16*(J203*J203*J203*J203-J205*J205*J205*J205)/J203</f>
        <v>5351.1964857130633</v>
      </c>
      <c r="K241" s="468" t="s">
        <v>2724</v>
      </c>
      <c r="L241" s="19"/>
      <c r="M241" s="19"/>
      <c r="N241" s="19"/>
      <c r="O241" s="19"/>
      <c r="P241" s="19"/>
      <c r="Q241" s="19"/>
      <c r="R241" s="649"/>
      <c r="S241" s="603">
        <v>14.3</v>
      </c>
      <c r="T241" s="604">
        <v>19</v>
      </c>
      <c r="U241" s="599" t="str">
        <f>IF(J191=T241,"←◎◎","")</f>
        <v/>
      </c>
      <c r="V241" s="19"/>
      <c r="W241" s="19"/>
      <c r="X241" s="19"/>
      <c r="Y241" s="19"/>
      <c r="Z241" s="20"/>
      <c r="AA241" s="20"/>
      <c r="AB241" s="3778"/>
      <c r="AC241" s="3780"/>
      <c r="AD241" s="3780"/>
      <c r="AE241" s="3780"/>
      <c r="AF241" s="3773"/>
      <c r="AG241" s="3773"/>
      <c r="AH241" s="3773"/>
      <c r="AI241" s="3775"/>
      <c r="AJ241" s="20"/>
      <c r="AK241" s="19"/>
      <c r="AL241" s="20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</row>
    <row r="242" spans="1:64" ht="15.75">
      <c r="A242" s="313"/>
      <c r="B242" s="19"/>
      <c r="C242" s="88"/>
      <c r="D242" s="88"/>
      <c r="E242" s="650" t="s">
        <v>160</v>
      </c>
      <c r="F242" s="88" t="s">
        <v>2729</v>
      </c>
      <c r="G242" s="51"/>
      <c r="H242" s="51"/>
      <c r="I242" s="43"/>
      <c r="J242" s="59"/>
      <c r="K242" s="468"/>
      <c r="L242" s="19"/>
      <c r="M242" s="19"/>
      <c r="N242" s="19"/>
      <c r="O242" s="19"/>
      <c r="P242" s="19"/>
      <c r="Q242" s="19"/>
      <c r="R242" s="649"/>
      <c r="S242" s="603">
        <v>19</v>
      </c>
      <c r="T242" s="604">
        <v>23.8</v>
      </c>
      <c r="U242" s="599" t="str">
        <f>IF(J191=T242,"←◎◎","")</f>
        <v/>
      </c>
      <c r="V242" s="19"/>
      <c r="W242" s="19"/>
      <c r="X242" s="19"/>
      <c r="Y242" s="19"/>
      <c r="Z242" s="20"/>
      <c r="AA242" s="20"/>
      <c r="AB242" s="651" t="s">
        <v>606</v>
      </c>
      <c r="AC242" s="652" t="s">
        <v>2662</v>
      </c>
      <c r="AD242" s="652" t="s">
        <v>607</v>
      </c>
      <c r="AE242" s="652">
        <v>49000</v>
      </c>
      <c r="AF242" s="652">
        <v>35</v>
      </c>
      <c r="AG242" s="652">
        <v>75</v>
      </c>
      <c r="AH242" s="652">
        <v>400</v>
      </c>
      <c r="AI242" s="652">
        <v>788</v>
      </c>
      <c r="AJ242" s="20"/>
      <c r="AK242" s="19"/>
      <c r="AL242" s="20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</row>
    <row r="243" spans="1:64" ht="15.75">
      <c r="A243" s="313"/>
      <c r="B243" s="67" t="s">
        <v>608</v>
      </c>
      <c r="C243" s="88" t="s">
        <v>609</v>
      </c>
      <c r="D243" s="88"/>
      <c r="E243" s="297"/>
      <c r="F243" s="653">
        <f>J239</f>
        <v>275528.13749999995</v>
      </c>
      <c r="G243" s="51"/>
      <c r="H243" s="51"/>
      <c r="I243" s="43" t="s">
        <v>160</v>
      </c>
      <c r="J243" s="654">
        <f>J239/J241</f>
        <v>51.489071319960132</v>
      </c>
      <c r="K243" s="468" t="s">
        <v>2722</v>
      </c>
      <c r="L243" s="19"/>
      <c r="M243" s="19"/>
      <c r="N243" s="19"/>
      <c r="O243" s="19"/>
      <c r="P243" s="19"/>
      <c r="Q243" s="19"/>
      <c r="R243" s="649"/>
      <c r="S243" s="603">
        <v>23.8</v>
      </c>
      <c r="T243" s="604">
        <v>29.4</v>
      </c>
      <c r="U243" s="599" t="str">
        <f>IF(J191=T243,"←◎◎","")</f>
        <v/>
      </c>
      <c r="V243" s="19"/>
      <c r="W243" s="19"/>
      <c r="X243" s="19"/>
      <c r="Y243" s="19"/>
      <c r="Z243" s="20"/>
      <c r="AA243" s="20"/>
      <c r="AB243" s="512" t="s">
        <v>606</v>
      </c>
      <c r="AC243" s="311" t="s">
        <v>2662</v>
      </c>
      <c r="AD243" s="311" t="s">
        <v>610</v>
      </c>
      <c r="AE243" s="311">
        <v>49000</v>
      </c>
      <c r="AF243" s="311">
        <v>35</v>
      </c>
      <c r="AG243" s="311">
        <v>78</v>
      </c>
      <c r="AH243" s="311">
        <v>475</v>
      </c>
      <c r="AI243" s="311">
        <v>883</v>
      </c>
      <c r="AJ243" s="20"/>
      <c r="AK243" s="19"/>
      <c r="AL243" s="20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</row>
    <row r="244" spans="1:64">
      <c r="A244" s="313"/>
      <c r="B244" s="19"/>
      <c r="C244" s="19"/>
      <c r="D244" s="19"/>
      <c r="E244" s="297"/>
      <c r="F244" s="619">
        <f>J241</f>
        <v>5351.1964857130633</v>
      </c>
      <c r="G244" s="51"/>
      <c r="H244" s="51"/>
      <c r="I244" s="43"/>
      <c r="J244" s="59"/>
      <c r="K244" s="468"/>
      <c r="L244" s="19"/>
      <c r="M244" s="19"/>
      <c r="N244" s="19"/>
      <c r="O244" s="19"/>
      <c r="P244" s="19"/>
      <c r="Q244" s="19"/>
      <c r="R244" s="649"/>
      <c r="S244" s="603">
        <v>29.4</v>
      </c>
      <c r="T244" s="604">
        <v>34.9</v>
      </c>
      <c r="U244" s="599" t="str">
        <f>IF(J191=T244,"←◎◎","")</f>
        <v/>
      </c>
      <c r="V244" s="19"/>
      <c r="W244" s="19"/>
      <c r="X244" s="19"/>
      <c r="Y244" s="19"/>
      <c r="Z244" s="20"/>
      <c r="AA244" s="20"/>
      <c r="AB244" s="512" t="s">
        <v>606</v>
      </c>
      <c r="AC244" s="311" t="s">
        <v>2662</v>
      </c>
      <c r="AD244" s="311" t="s">
        <v>611</v>
      </c>
      <c r="AE244" s="311">
        <v>66000</v>
      </c>
      <c r="AF244" s="311">
        <v>35</v>
      </c>
      <c r="AG244" s="311">
        <v>87</v>
      </c>
      <c r="AH244" s="311">
        <v>550</v>
      </c>
      <c r="AI244" s="311">
        <v>998</v>
      </c>
      <c r="AJ244" s="20"/>
      <c r="AK244" s="19"/>
      <c r="AL244" s="20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</row>
    <row r="245" spans="1:64">
      <c r="A245" s="313"/>
      <c r="B245" s="19"/>
      <c r="C245" s="19"/>
      <c r="D245" s="19"/>
      <c r="E245" s="297"/>
      <c r="F245" s="51"/>
      <c r="G245" s="51"/>
      <c r="H245" s="51"/>
      <c r="I245" s="59"/>
      <c r="J245" s="59"/>
      <c r="K245" s="468"/>
      <c r="L245" s="19"/>
      <c r="M245" s="19"/>
      <c r="N245" s="19"/>
      <c r="O245" s="19"/>
      <c r="P245" s="19"/>
      <c r="Q245" s="19"/>
      <c r="R245" s="649"/>
      <c r="S245" s="603">
        <v>34.9</v>
      </c>
      <c r="T245" s="604">
        <v>39.700000000000003</v>
      </c>
      <c r="U245" s="599" t="str">
        <f>IF(J191=T245,"←◎◎","")</f>
        <v/>
      </c>
      <c r="V245" s="19"/>
      <c r="W245" s="19"/>
      <c r="X245" s="19"/>
      <c r="Y245" s="19"/>
      <c r="Z245" s="20"/>
      <c r="AA245" s="20"/>
      <c r="AB245" s="512" t="s">
        <v>606</v>
      </c>
      <c r="AC245" s="311" t="s">
        <v>2662</v>
      </c>
      <c r="AD245" s="311" t="s">
        <v>612</v>
      </c>
      <c r="AE245" s="311">
        <v>94000</v>
      </c>
      <c r="AF245" s="311">
        <v>40</v>
      </c>
      <c r="AG245" s="311">
        <v>104</v>
      </c>
      <c r="AH245" s="311">
        <v>650</v>
      </c>
      <c r="AI245" s="311">
        <v>1158</v>
      </c>
      <c r="AJ245" s="20"/>
      <c r="AK245" s="19"/>
      <c r="AL245" s="20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</row>
    <row r="246" spans="1:64" ht="15.75">
      <c r="A246" s="313"/>
      <c r="B246" s="88" t="s">
        <v>613</v>
      </c>
      <c r="C246" s="19"/>
      <c r="D246" s="19"/>
      <c r="E246" s="655" t="s">
        <v>2730</v>
      </c>
      <c r="F246" s="51"/>
      <c r="G246" s="51"/>
      <c r="H246" s="51"/>
      <c r="I246" s="59"/>
      <c r="J246" s="59"/>
      <c r="K246" s="468" t="s">
        <v>614</v>
      </c>
      <c r="L246" s="19"/>
      <c r="M246" s="19"/>
      <c r="N246" s="19"/>
      <c r="O246" s="19"/>
      <c r="P246" s="19"/>
      <c r="Q246" s="19"/>
      <c r="R246" s="656"/>
      <c r="S246" s="608">
        <v>39.700000000000003</v>
      </c>
      <c r="T246" s="609">
        <v>45.2</v>
      </c>
      <c r="U246" s="599" t="str">
        <f>IF(J191=T246,"←◎◎","")</f>
        <v/>
      </c>
      <c r="V246" s="19"/>
      <c r="W246" s="19"/>
      <c r="X246" s="19"/>
      <c r="Y246" s="19"/>
      <c r="Z246" s="20"/>
      <c r="AA246" s="20"/>
      <c r="AB246" s="512" t="s">
        <v>606</v>
      </c>
      <c r="AC246" s="311" t="s">
        <v>2662</v>
      </c>
      <c r="AD246" s="311" t="s">
        <v>615</v>
      </c>
      <c r="AE246" s="311">
        <v>140000</v>
      </c>
      <c r="AF246" s="311">
        <v>40</v>
      </c>
      <c r="AG246" s="311">
        <v>128</v>
      </c>
      <c r="AH246" s="311">
        <v>775</v>
      </c>
      <c r="AI246" s="311">
        <v>1333</v>
      </c>
      <c r="AJ246" s="20"/>
      <c r="AK246" s="19"/>
      <c r="AL246" s="20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</row>
    <row r="247" spans="1:64">
      <c r="A247" s="313"/>
      <c r="B247" s="19"/>
      <c r="C247" s="19"/>
      <c r="D247" s="19"/>
      <c r="E247" s="657">
        <f>J195*J195</f>
        <v>1562500</v>
      </c>
      <c r="F247" s="657">
        <f>J229*J229</f>
        <v>23417.908503546398</v>
      </c>
      <c r="G247" s="657">
        <f>J229*J195</f>
        <v>191286.38748429343</v>
      </c>
      <c r="H247" s="657">
        <f>3*(J243*J243)</f>
        <v>7953.3733961758235</v>
      </c>
      <c r="I247" s="658"/>
      <c r="J247" s="543">
        <f>E247+F247+G247+H247</f>
        <v>1785157.6693840157</v>
      </c>
      <c r="K247" s="468" t="s">
        <v>616</v>
      </c>
      <c r="L247" s="19"/>
      <c r="M247" s="19"/>
      <c r="N247" s="19"/>
      <c r="O247" s="19"/>
      <c r="P247" s="19"/>
      <c r="Q247" s="596" t="str">
        <f>IF(J132=R247,"◎≈→","")</f>
        <v/>
      </c>
      <c r="R247" s="612">
        <v>508</v>
      </c>
      <c r="S247" s="613">
        <v>0</v>
      </c>
      <c r="T247" s="614">
        <v>6.4</v>
      </c>
      <c r="U247" s="599" t="str">
        <f>IF(J191=T247,"←◎◎","")</f>
        <v/>
      </c>
      <c r="V247" s="19"/>
      <c r="W247" s="19"/>
      <c r="X247" s="19"/>
      <c r="Y247" s="19"/>
      <c r="Z247" s="20"/>
      <c r="AA247" s="20"/>
      <c r="AB247" s="512" t="s">
        <v>606</v>
      </c>
      <c r="AC247" s="311" t="s">
        <v>2662</v>
      </c>
      <c r="AD247" s="311" t="s">
        <v>617</v>
      </c>
      <c r="AE247" s="311">
        <v>160000</v>
      </c>
      <c r="AF247" s="311">
        <v>40</v>
      </c>
      <c r="AG247" s="311">
        <v>135</v>
      </c>
      <c r="AH247" s="311">
        <v>825</v>
      </c>
      <c r="AI247" s="311">
        <v>1476</v>
      </c>
      <c r="AJ247" s="20"/>
      <c r="AK247" s="19"/>
      <c r="AL247" s="20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</row>
    <row r="248" spans="1:64">
      <c r="A248" s="313"/>
      <c r="B248" s="19"/>
      <c r="C248" s="19"/>
      <c r="D248" s="19"/>
      <c r="E248" s="542"/>
      <c r="F248" s="556"/>
      <c r="G248" s="556"/>
      <c r="H248" s="556"/>
      <c r="I248" s="434"/>
      <c r="J248" s="434"/>
      <c r="K248" s="468"/>
      <c r="L248" s="19"/>
      <c r="M248" s="19"/>
      <c r="N248" s="19"/>
      <c r="O248" s="19"/>
      <c r="P248" s="19"/>
      <c r="Q248" s="19"/>
      <c r="R248" s="602"/>
      <c r="S248" s="603">
        <v>6.4</v>
      </c>
      <c r="T248" s="604">
        <v>9.5</v>
      </c>
      <c r="U248" s="599" t="str">
        <f>IF(J191=T248,"←◎◎","")</f>
        <v/>
      </c>
      <c r="V248" s="19"/>
      <c r="W248" s="19"/>
      <c r="X248" s="19"/>
      <c r="Y248" s="19"/>
      <c r="Z248" s="20"/>
      <c r="AA248" s="20"/>
      <c r="AB248" s="512" t="s">
        <v>606</v>
      </c>
      <c r="AC248" s="311" t="s">
        <v>2662</v>
      </c>
      <c r="AD248" s="311" t="s">
        <v>618</v>
      </c>
      <c r="AE248" s="311">
        <v>230000</v>
      </c>
      <c r="AF248" s="311">
        <v>55</v>
      </c>
      <c r="AG248" s="311">
        <v>156</v>
      </c>
      <c r="AH248" s="311">
        <v>950</v>
      </c>
      <c r="AI248" s="311">
        <v>1656</v>
      </c>
      <c r="AJ248" s="20"/>
      <c r="AK248" s="19"/>
      <c r="AL248" s="20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</row>
    <row r="249" spans="1:64" ht="15.75">
      <c r="A249" s="313"/>
      <c r="B249" s="19"/>
      <c r="C249" s="19" t="s">
        <v>160</v>
      </c>
      <c r="D249" s="19"/>
      <c r="E249" s="51">
        <f>SQRT(J247)</f>
        <v>1336.0979265697615</v>
      </c>
      <c r="F249" s="193" t="s">
        <v>2731</v>
      </c>
      <c r="G249" s="51"/>
      <c r="H249" s="51"/>
      <c r="I249" s="59"/>
      <c r="J249" s="59"/>
      <c r="K249" s="468"/>
      <c r="L249" s="19"/>
      <c r="M249" s="19"/>
      <c r="N249" s="19"/>
      <c r="O249" s="19"/>
      <c r="P249" s="19"/>
      <c r="R249" s="602" t="s">
        <v>512</v>
      </c>
      <c r="S249" s="603">
        <v>9.5</v>
      </c>
      <c r="T249" s="604">
        <v>12.7</v>
      </c>
      <c r="U249" s="599" t="str">
        <f>IF(J191=T249,"←◎◎","")</f>
        <v/>
      </c>
      <c r="V249" s="19"/>
      <c r="W249" s="19"/>
      <c r="X249" s="19"/>
      <c r="Y249" s="19"/>
      <c r="Z249" s="20"/>
      <c r="AA249" s="20"/>
      <c r="AB249" s="512" t="s">
        <v>606</v>
      </c>
      <c r="AC249" s="311" t="s">
        <v>2662</v>
      </c>
      <c r="AD249" s="311" t="s">
        <v>619</v>
      </c>
      <c r="AE249" s="311">
        <v>330000</v>
      </c>
      <c r="AF249" s="311">
        <v>70</v>
      </c>
      <c r="AG249" s="311">
        <v>174</v>
      </c>
      <c r="AH249" s="311">
        <v>1100</v>
      </c>
      <c r="AI249" s="311">
        <v>1861</v>
      </c>
      <c r="AJ249" s="20"/>
      <c r="AK249" s="19"/>
      <c r="AL249" s="20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</row>
    <row r="250" spans="1:64">
      <c r="A250" s="313"/>
      <c r="B250" s="19"/>
      <c r="C250" s="19"/>
      <c r="D250" s="19"/>
      <c r="E250" s="19"/>
      <c r="F250" s="51"/>
      <c r="G250" s="51"/>
      <c r="H250" s="51"/>
      <c r="I250" s="59"/>
      <c r="J250" s="59"/>
      <c r="K250" s="468"/>
      <c r="L250" s="19"/>
      <c r="M250" s="19"/>
      <c r="N250" s="19"/>
      <c r="O250" s="19"/>
      <c r="P250" s="19"/>
      <c r="R250" s="602" t="b">
        <f>IF(J132=508,VLOOKUP(J190,S248:S256,1))</f>
        <v>0</v>
      </c>
      <c r="S250" s="603">
        <v>12.7</v>
      </c>
      <c r="T250" s="604">
        <v>15.1</v>
      </c>
      <c r="U250" s="599" t="str">
        <f>IF(J191=T250,"←◎◎","")</f>
        <v/>
      </c>
      <c r="V250" s="19"/>
      <c r="W250" s="19"/>
      <c r="X250" s="19"/>
      <c r="Y250" s="19"/>
      <c r="Z250" s="20"/>
      <c r="AA250" s="20"/>
      <c r="AB250" s="512" t="s">
        <v>606</v>
      </c>
      <c r="AC250" s="311" t="s">
        <v>2662</v>
      </c>
      <c r="AD250" s="311" t="s">
        <v>620</v>
      </c>
      <c r="AE250" s="311">
        <v>490000</v>
      </c>
      <c r="AF250" s="311">
        <v>75</v>
      </c>
      <c r="AG250" s="311">
        <v>196</v>
      </c>
      <c r="AH250" s="311">
        <v>1250</v>
      </c>
      <c r="AI250" s="311">
        <v>2101</v>
      </c>
      <c r="AJ250" s="20"/>
      <c r="AK250" s="19"/>
      <c r="AL250" s="20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</row>
    <row r="251" spans="1:64">
      <c r="A251" s="313"/>
      <c r="B251" s="3764" t="s">
        <v>2732</v>
      </c>
      <c r="C251" s="3764"/>
      <c r="D251" s="3764"/>
      <c r="E251" s="3764"/>
      <c r="F251" s="3764"/>
      <c r="G251" s="3764"/>
      <c r="H251" s="3764"/>
      <c r="I251" s="3764"/>
      <c r="J251" s="3764"/>
      <c r="K251" s="468"/>
      <c r="L251" s="19"/>
      <c r="M251" s="19"/>
      <c r="N251" s="19"/>
      <c r="O251" s="19"/>
      <c r="P251" s="19"/>
      <c r="R251" s="606" t="s">
        <v>507</v>
      </c>
      <c r="S251" s="603">
        <v>15.1</v>
      </c>
      <c r="T251" s="604">
        <v>20.6</v>
      </c>
      <c r="U251" s="599" t="str">
        <f>IF(J191=T251,"←◎◎","")</f>
        <v/>
      </c>
      <c r="V251" s="19"/>
      <c r="W251" s="19"/>
      <c r="X251" s="19"/>
      <c r="Y251" s="19"/>
      <c r="Z251" s="20"/>
      <c r="AA251" s="20"/>
      <c r="AB251" s="512" t="s">
        <v>606</v>
      </c>
      <c r="AC251" s="311" t="s">
        <v>2662</v>
      </c>
      <c r="AD251" s="311" t="s">
        <v>621</v>
      </c>
      <c r="AE251" s="311">
        <v>700000</v>
      </c>
      <c r="AF251" s="311">
        <v>85</v>
      </c>
      <c r="AG251" s="311">
        <v>232</v>
      </c>
      <c r="AH251" s="311">
        <v>1450</v>
      </c>
      <c r="AI251" s="311">
        <v>2411</v>
      </c>
      <c r="AJ251" s="20"/>
      <c r="AK251" s="19"/>
      <c r="AL251" s="20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</row>
    <row r="252" spans="1:64">
      <c r="A252" s="313"/>
      <c r="B252" s="19"/>
      <c r="C252" s="19"/>
      <c r="D252" s="19"/>
      <c r="E252" s="297"/>
      <c r="F252" s="51"/>
      <c r="G252" s="51"/>
      <c r="H252" s="51"/>
      <c r="I252" s="59"/>
      <c r="J252" s="59"/>
      <c r="K252" s="468"/>
      <c r="L252" s="19"/>
      <c r="M252" s="19"/>
      <c r="N252" s="19"/>
      <c r="O252" s="19"/>
      <c r="P252" s="19"/>
      <c r="R252" s="624" t="e">
        <f>VLOOKUP(R250,S248:T256,2,0)</f>
        <v>#N/A</v>
      </c>
      <c r="S252" s="603">
        <v>20.6</v>
      </c>
      <c r="T252" s="604">
        <v>26.2</v>
      </c>
      <c r="U252" s="599" t="str">
        <f>IF(J191=T252,"←◎◎","")</f>
        <v/>
      </c>
      <c r="V252" s="19"/>
      <c r="W252" s="19"/>
      <c r="X252" s="19"/>
      <c r="Y252" s="19"/>
      <c r="Z252" s="20"/>
      <c r="AA252" s="20"/>
      <c r="AB252" s="512" t="s">
        <v>606</v>
      </c>
      <c r="AC252" s="311" t="s">
        <v>2662</v>
      </c>
      <c r="AD252" s="311" t="s">
        <v>622</v>
      </c>
      <c r="AE252" s="311">
        <v>950000</v>
      </c>
      <c r="AF252" s="311">
        <v>95</v>
      </c>
      <c r="AG252" s="311">
        <v>256</v>
      </c>
      <c r="AH252" s="311">
        <v>1650</v>
      </c>
      <c r="AI252" s="311">
        <v>2716</v>
      </c>
      <c r="AJ252" s="20"/>
      <c r="AK252" s="19"/>
      <c r="AL252" s="20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</row>
    <row r="253" spans="1:64">
      <c r="A253" s="36"/>
      <c r="B253" s="20" t="s">
        <v>623</v>
      </c>
      <c r="C253" s="20"/>
      <c r="D253" s="20"/>
      <c r="E253" s="20"/>
      <c r="F253" s="20"/>
      <c r="G253" s="20"/>
      <c r="H253" s="20"/>
      <c r="I253" s="20"/>
      <c r="J253" s="20"/>
      <c r="K253" s="304"/>
      <c r="L253" s="19"/>
      <c r="M253" s="19"/>
      <c r="N253" s="19"/>
      <c r="O253" s="19"/>
      <c r="P253" s="19"/>
      <c r="R253" s="606"/>
      <c r="S253" s="603">
        <v>26.2</v>
      </c>
      <c r="T253" s="604">
        <v>32.5</v>
      </c>
      <c r="U253" s="599" t="str">
        <f>IF(J191=T253,"←◎◎","")</f>
        <v/>
      </c>
      <c r="V253" s="19"/>
      <c r="W253" s="19"/>
      <c r="X253" s="19"/>
      <c r="Y253" s="19"/>
      <c r="Z253" s="20"/>
      <c r="AA253" s="20"/>
      <c r="AB253" s="512" t="s">
        <v>624</v>
      </c>
      <c r="AC253" s="311" t="s">
        <v>2662</v>
      </c>
      <c r="AD253" s="311" t="s">
        <v>625</v>
      </c>
      <c r="AE253" s="311">
        <v>43000</v>
      </c>
      <c r="AF253" s="311">
        <v>35</v>
      </c>
      <c r="AG253" s="311">
        <v>75</v>
      </c>
      <c r="AH253" s="311">
        <v>400</v>
      </c>
      <c r="AI253" s="311">
        <v>448</v>
      </c>
      <c r="AJ253" s="20"/>
      <c r="AK253" s="19"/>
      <c r="AL253" s="20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</row>
    <row r="254" spans="1:64">
      <c r="A254" s="36"/>
      <c r="B254" s="182"/>
      <c r="C254" s="3765" t="s">
        <v>626</v>
      </c>
      <c r="D254" s="3765"/>
      <c r="E254" s="3765"/>
      <c r="F254" s="3765"/>
      <c r="G254" s="3765"/>
      <c r="H254" s="3765"/>
      <c r="I254" s="3765"/>
      <c r="J254" s="3765"/>
      <c r="K254" s="304"/>
      <c r="L254" s="19"/>
      <c r="M254" s="19"/>
      <c r="N254" s="19"/>
      <c r="O254" s="19"/>
      <c r="P254" s="19"/>
      <c r="R254" s="606"/>
      <c r="S254" s="603">
        <v>32.5</v>
      </c>
      <c r="T254" s="604">
        <v>38.1</v>
      </c>
      <c r="U254" s="599" t="str">
        <f>IF(J191=T254,"←◎◎","")</f>
        <v/>
      </c>
      <c r="V254" s="19"/>
      <c r="W254" s="19"/>
      <c r="X254" s="19"/>
      <c r="Y254" s="19"/>
      <c r="Z254" s="20"/>
      <c r="AA254" s="20"/>
      <c r="AB254" s="512" t="s">
        <v>624</v>
      </c>
      <c r="AC254" s="311" t="s">
        <v>2662</v>
      </c>
      <c r="AD254" s="311" t="s">
        <v>627</v>
      </c>
      <c r="AE254" s="311">
        <v>51000</v>
      </c>
      <c r="AF254" s="311">
        <v>42</v>
      </c>
      <c r="AG254" s="311">
        <v>85</v>
      </c>
      <c r="AH254" s="311">
        <v>450</v>
      </c>
      <c r="AI254" s="311">
        <v>480</v>
      </c>
      <c r="AJ254" s="20"/>
      <c r="AK254" s="19"/>
      <c r="AL254" s="20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</row>
    <row r="255" spans="1:64">
      <c r="A255" s="36"/>
      <c r="B255" s="20"/>
      <c r="C255" s="20" t="s">
        <v>628</v>
      </c>
      <c r="D255" s="20"/>
      <c r="E255" s="20"/>
      <c r="F255" s="20"/>
      <c r="G255" s="20"/>
      <c r="H255" s="20"/>
      <c r="I255" s="43" t="s">
        <v>160</v>
      </c>
      <c r="J255" s="577">
        <f>J132</f>
        <v>406.4</v>
      </c>
      <c r="K255" s="304"/>
      <c r="L255" s="17"/>
      <c r="M255" s="17"/>
      <c r="N255" s="17"/>
      <c r="O255" s="17"/>
      <c r="P255" s="17"/>
      <c r="R255" s="606"/>
      <c r="S255" s="603">
        <v>38.1</v>
      </c>
      <c r="T255" s="604">
        <v>44.4</v>
      </c>
      <c r="U255" s="599" t="str">
        <f>IF(J191=T255,"←◎◎","")</f>
        <v/>
      </c>
      <c r="V255" s="19"/>
      <c r="W255" s="19"/>
      <c r="X255" s="19"/>
      <c r="Y255" s="19"/>
      <c r="Z255" s="20"/>
      <c r="AA255" s="20"/>
      <c r="AB255" s="512" t="s">
        <v>624</v>
      </c>
      <c r="AC255" s="311" t="s">
        <v>2662</v>
      </c>
      <c r="AD255" s="311" t="s">
        <v>629</v>
      </c>
      <c r="AE255" s="311">
        <v>74000</v>
      </c>
      <c r="AF255" s="311">
        <v>50</v>
      </c>
      <c r="AG255" s="311">
        <v>95</v>
      </c>
      <c r="AH255" s="311">
        <v>550</v>
      </c>
      <c r="AI255" s="311">
        <v>580</v>
      </c>
      <c r="AJ255" s="20"/>
      <c r="AK255" s="19"/>
      <c r="AL255" s="20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</row>
    <row r="256" spans="1:64">
      <c r="A256" s="36"/>
      <c r="B256" s="20"/>
      <c r="C256" s="20" t="s">
        <v>630</v>
      </c>
      <c r="D256" s="20"/>
      <c r="E256" s="20"/>
      <c r="F256" s="20"/>
      <c r="G256" s="20"/>
      <c r="H256" s="20"/>
      <c r="I256" s="43" t="s">
        <v>160</v>
      </c>
      <c r="J256" s="577">
        <f>J165</f>
        <v>320</v>
      </c>
      <c r="K256" s="304"/>
      <c r="L256" s="17"/>
      <c r="M256" s="17"/>
      <c r="N256" s="17"/>
      <c r="O256" s="17"/>
      <c r="P256" s="17"/>
      <c r="R256" s="631"/>
      <c r="S256" s="632">
        <v>44.4</v>
      </c>
      <c r="T256" s="633">
        <v>50</v>
      </c>
      <c r="U256" s="599" t="str">
        <f>IF(J191=T256,"←◎◎","")</f>
        <v/>
      </c>
      <c r="V256" s="19"/>
      <c r="W256" s="19"/>
      <c r="X256" s="19"/>
      <c r="Y256" s="19"/>
      <c r="Z256" s="20"/>
      <c r="AA256" s="20"/>
      <c r="AB256" s="512" t="s">
        <v>624</v>
      </c>
      <c r="AC256" s="311" t="s">
        <v>2662</v>
      </c>
      <c r="AD256" s="311" t="s">
        <v>631</v>
      </c>
      <c r="AE256" s="311">
        <v>100000</v>
      </c>
      <c r="AF256" s="311">
        <v>55</v>
      </c>
      <c r="AG256" s="311">
        <v>110</v>
      </c>
      <c r="AH256" s="311">
        <v>650</v>
      </c>
      <c r="AI256" s="311">
        <v>668</v>
      </c>
      <c r="AJ256" s="20"/>
      <c r="AK256" s="19"/>
      <c r="AL256" s="20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</row>
    <row r="257" spans="1:64">
      <c r="A257" s="36"/>
      <c r="B257" s="20"/>
      <c r="C257" s="20" t="s">
        <v>632</v>
      </c>
      <c r="D257" s="20"/>
      <c r="E257" s="20"/>
      <c r="F257" s="20"/>
      <c r="G257" s="20"/>
      <c r="I257" s="43" t="s">
        <v>160</v>
      </c>
      <c r="J257" s="577">
        <f>J166</f>
        <v>100</v>
      </c>
      <c r="K257" s="304"/>
      <c r="L257" s="17"/>
      <c r="M257" s="17"/>
      <c r="N257" s="17"/>
      <c r="O257" s="17"/>
      <c r="P257" s="17"/>
      <c r="Q257" s="596" t="str">
        <f>IF(J132=R257,"◎≈→","")</f>
        <v/>
      </c>
      <c r="R257" s="635">
        <v>609.6</v>
      </c>
      <c r="S257" s="636">
        <v>0</v>
      </c>
      <c r="T257" s="598">
        <v>6.4</v>
      </c>
      <c r="U257" s="599" t="str">
        <f>IF(J191=T257,"←◎◎","")</f>
        <v/>
      </c>
      <c r="V257" s="19"/>
      <c r="W257" s="19"/>
      <c r="X257" s="19"/>
      <c r="Y257" s="19"/>
      <c r="Z257" s="20"/>
      <c r="AA257" s="20"/>
      <c r="AB257" s="512" t="s">
        <v>633</v>
      </c>
      <c r="AC257" s="311" t="s">
        <v>2662</v>
      </c>
      <c r="AD257" s="311" t="s">
        <v>607</v>
      </c>
      <c r="AE257" s="311">
        <v>43000</v>
      </c>
      <c r="AF257" s="311">
        <v>35</v>
      </c>
      <c r="AG257" s="311">
        <v>75</v>
      </c>
      <c r="AH257" s="311">
        <v>400</v>
      </c>
      <c r="AI257" s="311">
        <v>792</v>
      </c>
      <c r="AJ257" s="20"/>
      <c r="AK257" s="19"/>
      <c r="AL257" s="20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</row>
    <row r="258" spans="1:64">
      <c r="A258" s="36"/>
      <c r="B258" s="20"/>
      <c r="C258" s="20" t="s">
        <v>634</v>
      </c>
      <c r="D258" s="20"/>
      <c r="E258" s="20"/>
      <c r="F258" s="20"/>
      <c r="G258" s="20"/>
      <c r="I258" s="43" t="s">
        <v>160</v>
      </c>
      <c r="J258" s="619">
        <f>J164</f>
        <v>25</v>
      </c>
      <c r="K258" s="304"/>
      <c r="L258" s="17"/>
      <c r="M258" s="17"/>
      <c r="N258" s="17"/>
      <c r="O258" s="17"/>
      <c r="P258" s="17"/>
      <c r="R258" s="602"/>
      <c r="S258" s="603">
        <v>6.4</v>
      </c>
      <c r="T258" s="604">
        <v>9.5</v>
      </c>
      <c r="U258" s="599" t="str">
        <f>IF(J191=T258,"←◎◎","")</f>
        <v/>
      </c>
      <c r="V258" s="19"/>
      <c r="W258" s="19"/>
      <c r="X258" s="19"/>
      <c r="Y258" s="19"/>
      <c r="Z258" s="20"/>
      <c r="AA258" s="20"/>
      <c r="AB258" s="512" t="s">
        <v>633</v>
      </c>
      <c r="AC258" s="311" t="s">
        <v>2662</v>
      </c>
      <c r="AD258" s="311" t="s">
        <v>635</v>
      </c>
      <c r="AE258" s="311">
        <v>51000</v>
      </c>
      <c r="AF258" s="311">
        <v>42</v>
      </c>
      <c r="AG258" s="311">
        <v>85</v>
      </c>
      <c r="AH258" s="311">
        <v>450</v>
      </c>
      <c r="AI258" s="311">
        <v>867</v>
      </c>
      <c r="AJ258" s="20"/>
      <c r="AK258" s="19"/>
      <c r="AL258" s="20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</row>
    <row r="259" spans="1:64">
      <c r="A259" s="36"/>
      <c r="B259" s="20"/>
      <c r="C259" s="20" t="s">
        <v>636</v>
      </c>
      <c r="D259" s="20"/>
      <c r="E259" s="20"/>
      <c r="F259" s="20"/>
      <c r="G259" s="20"/>
      <c r="I259" s="43" t="s">
        <v>160</v>
      </c>
      <c r="J259" s="577">
        <f>J171</f>
        <v>1770</v>
      </c>
      <c r="K259" s="304"/>
      <c r="L259" s="17"/>
      <c r="M259" s="17"/>
      <c r="N259" s="17"/>
      <c r="O259" s="17"/>
      <c r="P259" s="17"/>
      <c r="R259" s="602" t="s">
        <v>512</v>
      </c>
      <c r="S259" s="603">
        <v>9.5</v>
      </c>
      <c r="T259" s="604">
        <v>12.7</v>
      </c>
      <c r="U259" s="599" t="str">
        <f>IF(J191=T259,"←◎◎","")</f>
        <v/>
      </c>
      <c r="V259" s="19"/>
      <c r="W259" s="19"/>
      <c r="X259" s="19"/>
      <c r="Y259" s="19"/>
      <c r="Z259" s="20"/>
      <c r="AA259" s="20"/>
      <c r="AB259" s="512" t="s">
        <v>633</v>
      </c>
      <c r="AC259" s="311" t="s">
        <v>2662</v>
      </c>
      <c r="AD259" s="311" t="s">
        <v>611</v>
      </c>
      <c r="AE259" s="311">
        <v>74000</v>
      </c>
      <c r="AF259" s="311">
        <v>50</v>
      </c>
      <c r="AG259" s="311">
        <v>95</v>
      </c>
      <c r="AH259" s="311">
        <v>550</v>
      </c>
      <c r="AI259" s="311">
        <v>1013</v>
      </c>
      <c r="AJ259" s="20"/>
      <c r="AK259" s="19"/>
      <c r="AL259" s="20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</row>
    <row r="260" spans="1:64">
      <c r="A260" s="36"/>
      <c r="B260" s="20"/>
      <c r="C260" s="20" t="s">
        <v>637</v>
      </c>
      <c r="D260" s="20"/>
      <c r="E260" s="20"/>
      <c r="F260" s="20"/>
      <c r="G260" s="20"/>
      <c r="H260" s="20"/>
      <c r="I260" s="43" t="s">
        <v>160</v>
      </c>
      <c r="J260" s="619">
        <f>J191</f>
        <v>31</v>
      </c>
      <c r="K260" s="304"/>
      <c r="L260" s="17"/>
      <c r="M260" s="17"/>
      <c r="N260" s="3529">
        <v>44930</v>
      </c>
      <c r="O260" s="17"/>
      <c r="P260" s="17"/>
      <c r="R260" s="602" t="b">
        <f>IF(J132=609.6,VLOOKUP(J190,S258:S268,1))</f>
        <v>0</v>
      </c>
      <c r="S260" s="603">
        <v>12.7</v>
      </c>
      <c r="T260" s="604">
        <v>14.3</v>
      </c>
      <c r="U260" s="599" t="str">
        <f>IF(J191=T260,"←◎◎","")</f>
        <v/>
      </c>
      <c r="V260" s="19"/>
      <c r="W260" s="19"/>
      <c r="X260" s="19"/>
      <c r="Y260" s="19"/>
      <c r="Z260" s="20"/>
      <c r="AA260" s="20"/>
      <c r="AB260" s="659" t="s">
        <v>633</v>
      </c>
      <c r="AC260" s="643" t="s">
        <v>2662</v>
      </c>
      <c r="AD260" s="643" t="s">
        <v>612</v>
      </c>
      <c r="AE260" s="643">
        <v>100000</v>
      </c>
      <c r="AF260" s="643">
        <v>55</v>
      </c>
      <c r="AG260" s="643">
        <v>110</v>
      </c>
      <c r="AH260" s="643">
        <v>650</v>
      </c>
      <c r="AI260" s="643">
        <v>1166</v>
      </c>
      <c r="AJ260" s="20"/>
      <c r="AK260" s="19"/>
      <c r="AL260" s="20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</row>
    <row r="261" spans="1:64">
      <c r="A261" s="36"/>
      <c r="B261" s="20"/>
      <c r="C261" s="20" t="s">
        <v>638</v>
      </c>
      <c r="D261" s="20"/>
      <c r="E261" s="20"/>
      <c r="F261" s="20"/>
      <c r="G261" s="20"/>
      <c r="H261" s="20"/>
      <c r="I261" s="43" t="s">
        <v>160</v>
      </c>
      <c r="J261" s="577">
        <v>1</v>
      </c>
      <c r="K261" s="304"/>
      <c r="L261" s="17"/>
      <c r="M261" s="17"/>
      <c r="N261" s="17"/>
      <c r="O261" s="17"/>
      <c r="P261" s="17"/>
      <c r="R261" s="606" t="s">
        <v>507</v>
      </c>
      <c r="S261" s="603">
        <v>14.3</v>
      </c>
      <c r="T261" s="604">
        <v>17.5</v>
      </c>
      <c r="U261" s="599" t="str">
        <f>IF(J191=T261,"←◎◎","")</f>
        <v/>
      </c>
      <c r="V261" s="19"/>
      <c r="W261" s="19"/>
      <c r="X261" s="19"/>
      <c r="Y261" s="19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19"/>
      <c r="AL261" s="20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</row>
    <row r="262" spans="1:64" ht="14.65" thickBot="1">
      <c r="A262" s="36"/>
      <c r="B262" s="182"/>
      <c r="C262" s="182" t="s">
        <v>639</v>
      </c>
      <c r="D262" s="182"/>
      <c r="E262" s="182"/>
      <c r="F262" s="182"/>
      <c r="G262" s="182"/>
      <c r="H262" s="182"/>
      <c r="I262" s="43"/>
      <c r="J262" s="182"/>
      <c r="K262" s="304"/>
      <c r="L262" s="17"/>
      <c r="M262" s="17"/>
      <c r="N262" s="17"/>
      <c r="O262" s="17"/>
      <c r="P262" s="17"/>
      <c r="R262" s="624" t="e">
        <f>VLOOKUP(R260,S258:T268,2,0)</f>
        <v>#N/A</v>
      </c>
      <c r="S262" s="603">
        <v>17.5</v>
      </c>
      <c r="T262" s="604">
        <v>23.8</v>
      </c>
      <c r="U262" s="599" t="str">
        <f>IF(J191=T262,"←◎◎","")</f>
        <v/>
      </c>
      <c r="V262" s="19"/>
      <c r="W262" s="19"/>
      <c r="X262" s="19"/>
      <c r="Y262" s="19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19"/>
      <c r="AL262" s="20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</row>
    <row r="263" spans="1:64">
      <c r="A263" s="36"/>
      <c r="B263" s="20"/>
      <c r="C263" s="20" t="s">
        <v>640</v>
      </c>
      <c r="D263" s="20"/>
      <c r="E263" s="20"/>
      <c r="F263" s="20"/>
      <c r="G263" s="20"/>
      <c r="H263" s="20"/>
      <c r="I263" s="43" t="s">
        <v>160</v>
      </c>
      <c r="J263" s="577">
        <f>J141</f>
        <v>400</v>
      </c>
      <c r="K263" s="304"/>
      <c r="L263" s="17"/>
      <c r="M263" s="17"/>
      <c r="N263" s="17"/>
      <c r="O263" s="17"/>
      <c r="P263" s="17"/>
      <c r="R263" s="606"/>
      <c r="S263" s="603">
        <v>23.8</v>
      </c>
      <c r="T263" s="604">
        <v>24.6</v>
      </c>
      <c r="U263" s="599" t="str">
        <f>IF(J191=T263,"←◎◎","")</f>
        <v/>
      </c>
      <c r="V263" s="19"/>
      <c r="W263" s="19"/>
      <c r="X263" s="19"/>
      <c r="Y263" s="19"/>
      <c r="Z263" s="20"/>
      <c r="AA263" s="20"/>
      <c r="AB263" s="660" t="s">
        <v>2479</v>
      </c>
      <c r="AC263" s="661"/>
      <c r="AD263" s="661"/>
      <c r="AE263" s="661"/>
      <c r="AF263" s="661"/>
      <c r="AG263" s="662"/>
      <c r="AH263" s="662"/>
      <c r="AI263" s="663"/>
      <c r="AJ263" s="20"/>
      <c r="AK263" s="19"/>
      <c r="AL263" s="20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</row>
    <row r="264" spans="1:64">
      <c r="A264" s="36"/>
      <c r="B264" s="20"/>
      <c r="C264" s="20" t="s">
        <v>638</v>
      </c>
      <c r="D264" s="20"/>
      <c r="E264" s="20"/>
      <c r="F264" s="20"/>
      <c r="G264" s="20"/>
      <c r="H264" s="20"/>
      <c r="I264" s="43" t="s">
        <v>160</v>
      </c>
      <c r="J264" s="577">
        <f>J98-2</f>
        <v>2</v>
      </c>
      <c r="K264" s="304"/>
      <c r="L264" s="17"/>
      <c r="M264" s="17"/>
      <c r="N264" s="17"/>
      <c r="O264" s="17"/>
      <c r="P264" s="17"/>
      <c r="R264" s="606"/>
      <c r="S264" s="603">
        <v>24.6</v>
      </c>
      <c r="T264" s="604">
        <v>31</v>
      </c>
      <c r="U264" s="599" t="str">
        <f>IF(J191=T264,"←◎◎","")</f>
        <v>←◎◎</v>
      </c>
      <c r="V264" s="19"/>
      <c r="W264" s="19"/>
      <c r="X264" s="19"/>
      <c r="Y264" s="19"/>
      <c r="Z264" s="20"/>
      <c r="AA264" s="20"/>
      <c r="AB264" s="664" t="s">
        <v>2480</v>
      </c>
      <c r="AC264" s="462"/>
      <c r="AD264" s="462"/>
      <c r="AE264" s="462"/>
      <c r="AF264" s="462"/>
      <c r="AG264" s="462"/>
      <c r="AH264" s="462"/>
      <c r="AI264" s="665">
        <f>MH!I12/1000</f>
        <v>25</v>
      </c>
      <c r="AJ264" s="20"/>
      <c r="AK264" s="19"/>
      <c r="AL264" s="20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</row>
    <row r="265" spans="1:64">
      <c r="A265" s="36"/>
      <c r="B265" s="182"/>
      <c r="C265" s="182" t="s">
        <v>641</v>
      </c>
      <c r="D265" s="182"/>
      <c r="E265" s="182"/>
      <c r="F265" s="182"/>
      <c r="G265" s="182"/>
      <c r="H265" s="182"/>
      <c r="I265" s="43"/>
      <c r="J265" s="182"/>
      <c r="K265" s="304"/>
      <c r="L265" s="17"/>
      <c r="M265" s="17"/>
      <c r="N265" s="17"/>
      <c r="O265" s="17"/>
      <c r="P265" s="17"/>
      <c r="R265" s="606"/>
      <c r="S265" s="603">
        <v>31</v>
      </c>
      <c r="T265" s="604">
        <v>38.9</v>
      </c>
      <c r="U265" s="599" t="str">
        <f>IF(J191=T265,"←◎◎","")</f>
        <v/>
      </c>
      <c r="V265" s="19"/>
      <c r="W265" s="19"/>
      <c r="X265" s="19"/>
      <c r="Y265" s="19"/>
      <c r="Z265" s="20"/>
      <c r="AA265" s="20"/>
      <c r="AB265" s="664" t="s">
        <v>2481</v>
      </c>
      <c r="AC265" s="462"/>
      <c r="AD265" s="462"/>
      <c r="AE265" s="462"/>
      <c r="AF265" s="462"/>
      <c r="AG265" s="462"/>
      <c r="AH265" s="462"/>
      <c r="AI265" s="665">
        <f>(MH!I13+MH!I14)/1000</f>
        <v>0.72624999999999995</v>
      </c>
      <c r="AJ265" s="20"/>
      <c r="AK265" s="19"/>
      <c r="AL265" s="20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</row>
    <row r="266" spans="1:64">
      <c r="A266" s="36"/>
      <c r="B266" s="20"/>
      <c r="C266" s="20" t="s">
        <v>640</v>
      </c>
      <c r="D266" s="20"/>
      <c r="E266" s="20"/>
      <c r="F266" s="20"/>
      <c r="G266" s="20"/>
      <c r="H266" s="20"/>
      <c r="I266" s="43" t="s">
        <v>160</v>
      </c>
      <c r="J266" s="577">
        <f>J145</f>
        <v>320</v>
      </c>
      <c r="K266" s="304"/>
      <c r="L266" s="17"/>
      <c r="M266" s="17"/>
      <c r="N266" s="17"/>
      <c r="O266" s="17"/>
      <c r="P266" s="17"/>
      <c r="R266" s="606"/>
      <c r="S266" s="603">
        <v>38.9</v>
      </c>
      <c r="T266" s="604">
        <v>46</v>
      </c>
      <c r="U266" s="599" t="str">
        <f>IF(J191=T266,"←◎◎","")</f>
        <v/>
      </c>
      <c r="V266" s="19"/>
      <c r="W266" s="19"/>
      <c r="X266" s="19"/>
      <c r="Y266" s="19"/>
      <c r="Z266" s="20"/>
      <c r="AA266" s="20"/>
      <c r="AB266" s="664" t="s">
        <v>2482</v>
      </c>
      <c r="AC266" s="462"/>
      <c r="AD266" s="462"/>
      <c r="AE266" s="462"/>
      <c r="AF266" s="462"/>
      <c r="AG266" s="462"/>
      <c r="AH266" s="462"/>
      <c r="AI266" s="665">
        <f>'E Data'!D41</f>
        <v>4</v>
      </c>
      <c r="AJ266" s="20"/>
      <c r="AK266" s="19"/>
      <c r="AL266" s="20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</row>
    <row r="267" spans="1:64">
      <c r="A267" s="36"/>
      <c r="B267" s="20"/>
      <c r="C267" s="20" t="s">
        <v>638</v>
      </c>
      <c r="D267" s="20"/>
      <c r="E267" s="20"/>
      <c r="F267" s="20"/>
      <c r="G267" s="20"/>
      <c r="H267" s="20"/>
      <c r="I267" s="43" t="s">
        <v>160</v>
      </c>
      <c r="J267" s="577">
        <v>1</v>
      </c>
      <c r="K267" s="304"/>
      <c r="L267" s="17"/>
      <c r="M267" s="17"/>
      <c r="N267" s="17"/>
      <c r="O267" s="17"/>
      <c r="P267" s="17"/>
      <c r="R267" s="606"/>
      <c r="S267" s="603">
        <v>46</v>
      </c>
      <c r="T267" s="604">
        <v>52.4</v>
      </c>
      <c r="U267" s="599" t="str">
        <f>IF(J191=T267,"←◎◎","")</f>
        <v/>
      </c>
      <c r="V267" s="19"/>
      <c r="W267" s="19"/>
      <c r="X267" s="19"/>
      <c r="Y267" s="19"/>
      <c r="Z267" s="20"/>
      <c r="AA267" s="20"/>
      <c r="AB267" s="664" t="s">
        <v>2483</v>
      </c>
      <c r="AC267" s="462"/>
      <c r="AD267" s="462"/>
      <c r="AE267" s="462"/>
      <c r="AF267" s="462"/>
      <c r="AG267" s="462"/>
      <c r="AH267" s="462"/>
      <c r="AI267" s="665">
        <v>2</v>
      </c>
      <c r="AJ267" s="20"/>
      <c r="AK267" s="19"/>
      <c r="AL267" s="20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</row>
    <row r="268" spans="1:64" ht="16.149999999999999" thickBot="1">
      <c r="A268" s="36"/>
      <c r="B268" s="20"/>
      <c r="C268" s="20"/>
      <c r="D268" s="20"/>
      <c r="E268" s="20"/>
      <c r="F268" s="20"/>
      <c r="G268" s="20"/>
      <c r="H268" s="20"/>
      <c r="I268" s="20"/>
      <c r="J268" s="19"/>
      <c r="K268" s="304"/>
      <c r="L268" s="17"/>
      <c r="M268" s="17"/>
      <c r="N268" s="17"/>
      <c r="R268" s="637"/>
      <c r="S268" s="608">
        <v>52.4</v>
      </c>
      <c r="T268" s="609">
        <v>53.4</v>
      </c>
      <c r="U268" s="599" t="str">
        <f>IF(J191=T268,"←◎◎","")</f>
        <v/>
      </c>
      <c r="V268" s="19"/>
      <c r="W268" s="19"/>
      <c r="X268" s="19"/>
      <c r="Y268" s="19"/>
      <c r="Z268" s="20"/>
      <c r="AA268" s="20"/>
      <c r="AB268" s="664" t="s">
        <v>2733</v>
      </c>
      <c r="AC268" s="462"/>
      <c r="AD268" s="462"/>
      <c r="AE268" s="462"/>
      <c r="AF268" s="462"/>
      <c r="AG268" s="462"/>
      <c r="AH268" s="462"/>
      <c r="AI268" s="665">
        <f>AI266/AI267</f>
        <v>2</v>
      </c>
      <c r="AJ268" s="20"/>
      <c r="AK268" s="19"/>
      <c r="AL268" s="20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</row>
    <row r="269" spans="1:64" ht="16.899999999999999" thickBot="1">
      <c r="A269" s="36"/>
      <c r="B269" s="471" t="s">
        <v>642</v>
      </c>
      <c r="C269" s="20"/>
      <c r="D269" s="20"/>
      <c r="E269" s="20"/>
      <c r="F269" s="20"/>
      <c r="G269" s="20"/>
      <c r="H269" s="20"/>
      <c r="I269" s="20"/>
      <c r="J269" s="666"/>
      <c r="K269" s="667"/>
      <c r="L269" s="17"/>
      <c r="M269" s="17"/>
      <c r="N269" s="17"/>
      <c r="R269" s="394">
        <f>IF(J132=168.3,R182,IF(J132=219.1,R188,IF(J132=273,R198,IF(J132=323.8,R208,IF(J132=355.6,R219,IF(J132=406.4,R230,IF(J132=457.2,R240,IF(J132=508,R252,R262))))))))</f>
        <v>31</v>
      </c>
      <c r="S269" s="668">
        <f>IF(J132=168.3,R182,IF(J132=219.1,R188,IF(J132=273,R198,IF(J132=323.8,R208,IF(J132=355.6,R219,IF(J132=406.4,R230,IF(J132=457.2,R240,IF(J132=508,R252,R262))))))))</f>
        <v>31</v>
      </c>
      <c r="T269" s="268">
        <f>IF(R269=S269,R269,"Wrong")</f>
        <v>31</v>
      </c>
      <c r="U269" s="599" t="str">
        <f>IF(J191=T269,"←◎◎","")</f>
        <v>←◎◎</v>
      </c>
      <c r="V269" s="19"/>
      <c r="W269" s="19"/>
      <c r="X269" s="19"/>
      <c r="Y269" s="19"/>
      <c r="Z269" s="20"/>
      <c r="AA269" s="20"/>
      <c r="AB269" s="664" t="s">
        <v>2734</v>
      </c>
      <c r="AC269" s="669" t="s">
        <v>160</v>
      </c>
      <c r="AD269" s="123" t="s">
        <v>2735</v>
      </c>
      <c r="AE269" s="462"/>
      <c r="AF269" s="462"/>
      <c r="AG269" s="462"/>
      <c r="AH269" s="462"/>
      <c r="AI269" s="665">
        <f>(0.99)^AI270</f>
        <v>0.99</v>
      </c>
      <c r="AJ269" s="20"/>
      <c r="AK269" s="19"/>
      <c r="AL269" s="20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</row>
    <row r="270" spans="1:64">
      <c r="A270" s="36"/>
      <c r="B270" s="20"/>
      <c r="C270" s="20"/>
      <c r="D270" s="20"/>
      <c r="E270" s="20"/>
      <c r="F270" s="20"/>
      <c r="G270" s="20"/>
      <c r="H270" s="20"/>
      <c r="I270" s="20"/>
      <c r="J270" s="310"/>
      <c r="K270" s="667"/>
      <c r="L270" s="17"/>
      <c r="M270" s="17"/>
      <c r="N270" s="17"/>
      <c r="S270" s="19"/>
      <c r="T270" s="19"/>
      <c r="U270" s="19"/>
      <c r="V270" s="19"/>
      <c r="W270" s="19"/>
      <c r="X270" s="19"/>
      <c r="Y270" s="19"/>
      <c r="Z270" s="20"/>
      <c r="AA270" s="20"/>
      <c r="AB270" s="670" t="s">
        <v>2484</v>
      </c>
      <c r="AC270" s="462"/>
      <c r="AD270" s="462"/>
      <c r="AE270" s="462"/>
      <c r="AF270" s="462"/>
      <c r="AG270" s="462"/>
      <c r="AH270" s="462"/>
      <c r="AI270" s="665">
        <f>(AI266/2)-1</f>
        <v>1</v>
      </c>
      <c r="AJ270" s="20"/>
      <c r="AK270" s="19"/>
      <c r="AL270" s="20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</row>
    <row r="271" spans="1:64">
      <c r="A271" s="36"/>
      <c r="B271" s="20" t="s">
        <v>2736</v>
      </c>
      <c r="C271" s="20"/>
      <c r="D271" s="20"/>
      <c r="E271" s="20"/>
      <c r="F271" s="20"/>
      <c r="G271" s="20"/>
      <c r="H271" s="20"/>
      <c r="I271" s="20"/>
      <c r="J271" s="211"/>
      <c r="K271" s="667"/>
      <c r="L271" s="17"/>
      <c r="S271" s="19"/>
      <c r="T271" s="19"/>
      <c r="U271" s="19"/>
      <c r="V271" s="19"/>
      <c r="W271" s="19"/>
      <c r="X271" s="19"/>
      <c r="Y271" s="19"/>
      <c r="Z271" s="20"/>
      <c r="AA271" s="20"/>
      <c r="AB271" s="670"/>
      <c r="AC271" s="462"/>
      <c r="AD271" s="462"/>
      <c r="AE271" s="462"/>
      <c r="AF271" s="462"/>
      <c r="AG271" s="462"/>
      <c r="AH271" s="462"/>
      <c r="AI271" s="665"/>
      <c r="AJ271" s="20"/>
      <c r="AK271" s="19"/>
      <c r="AL271" s="20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</row>
    <row r="272" spans="1:64" ht="15.75">
      <c r="A272" s="36"/>
      <c r="B272" s="20"/>
      <c r="C272" s="20"/>
      <c r="D272" s="20"/>
      <c r="E272" s="17"/>
      <c r="F272" s="20" t="s">
        <v>643</v>
      </c>
      <c r="G272" s="20"/>
      <c r="H272" s="20"/>
      <c r="I272" s="20"/>
      <c r="J272" s="666"/>
      <c r="K272" s="667"/>
      <c r="L272" s="17"/>
      <c r="M272" s="2557">
        <f>L29</f>
        <v>0</v>
      </c>
      <c r="N272" s="145"/>
      <c r="S272" s="19"/>
      <c r="T272" s="19"/>
      <c r="U272" s="19"/>
      <c r="V272" s="19"/>
      <c r="W272" s="19"/>
      <c r="X272" s="19"/>
      <c r="Y272" s="19"/>
      <c r="Z272" s="20"/>
      <c r="AA272" s="20"/>
      <c r="AB272" s="672" t="s">
        <v>2737</v>
      </c>
      <c r="AC272" s="462"/>
      <c r="AD272" s="462"/>
      <c r="AE272" s="673" t="s">
        <v>2738</v>
      </c>
      <c r="AF272" s="462"/>
      <c r="AG272" s="462"/>
      <c r="AH272" s="462"/>
      <c r="AI272" s="674">
        <f>((AI264+AI265)/(AI268*AI269))*9810</f>
        <v>127461.875</v>
      </c>
      <c r="AJ272" s="20"/>
      <c r="AK272" s="19"/>
      <c r="AL272" s="100" t="s">
        <v>79</v>
      </c>
      <c r="AM272" s="100">
        <v>1.1200000000000001</v>
      </c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</row>
    <row r="273" spans="1:64" ht="14.65" thickBot="1">
      <c r="A273" s="36"/>
      <c r="B273" s="20" t="s">
        <v>303</v>
      </c>
      <c r="C273" s="20"/>
      <c r="D273" s="20"/>
      <c r="E273" s="20"/>
      <c r="F273" s="20"/>
      <c r="G273" s="20"/>
      <c r="H273" s="20"/>
      <c r="I273" s="20"/>
      <c r="J273" s="666"/>
      <c r="K273" s="667"/>
      <c r="M273" s="145" t="str">
        <f>IF(J275=M275,M274,IF(J275=N275,N274))</f>
        <v>Sq. Cage Motor</v>
      </c>
      <c r="N273" s="145" t="str">
        <f>I34</f>
        <v>Sq. Cage Motor</v>
      </c>
      <c r="S273" s="19"/>
      <c r="T273" s="19"/>
      <c r="U273" s="19"/>
      <c r="V273" s="19"/>
      <c r="W273" s="19"/>
      <c r="X273" s="19"/>
      <c r="Y273" s="19"/>
      <c r="Z273" s="20"/>
      <c r="AA273" s="20"/>
      <c r="AB273" s="670"/>
      <c r="AC273" s="462"/>
      <c r="AD273" s="462"/>
      <c r="AE273" s="462"/>
      <c r="AF273" s="462"/>
      <c r="AG273" s="462"/>
      <c r="AH273" s="462"/>
      <c r="AI273" s="665"/>
      <c r="AJ273" s="20"/>
      <c r="AK273" s="19"/>
      <c r="AL273" s="100" t="s">
        <v>81</v>
      </c>
      <c r="AM273" s="100">
        <v>1.1200000000000001</v>
      </c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</row>
    <row r="274" spans="1:64" ht="14.65" thickBot="1">
      <c r="A274" s="36"/>
      <c r="B274" s="67" t="s">
        <v>644</v>
      </c>
      <c r="C274" s="20" t="s">
        <v>522</v>
      </c>
      <c r="D274" s="20"/>
      <c r="E274" s="20"/>
      <c r="F274" s="20"/>
      <c r="G274" s="20"/>
      <c r="H274" s="20"/>
      <c r="I274" s="43" t="s">
        <v>160</v>
      </c>
      <c r="J274" s="578">
        <f>+J132/1000</f>
        <v>0.40639999999999998</v>
      </c>
      <c r="K274" s="676"/>
      <c r="L274" s="677" t="str">
        <f>IF(M273=I34,"Right","Wrong")</f>
        <v>Right</v>
      </c>
      <c r="M274" s="145" t="s">
        <v>259</v>
      </c>
      <c r="N274" s="145" t="s">
        <v>645</v>
      </c>
      <c r="R274" s="2586" t="s">
        <v>28</v>
      </c>
      <c r="S274" s="245" t="s">
        <v>646</v>
      </c>
      <c r="T274" s="17"/>
      <c r="U274" s="3766" t="s">
        <v>647</v>
      </c>
      <c r="V274" s="3766"/>
      <c r="W274" s="680">
        <f>((J277/2))/(3.14*J274)</f>
        <v>1.5672802046241037</v>
      </c>
      <c r="X274" s="681"/>
      <c r="Y274" s="682" t="s">
        <v>648</v>
      </c>
      <c r="Z274" s="615" t="s">
        <v>648</v>
      </c>
      <c r="AA274" s="20"/>
      <c r="AB274" s="670" t="s">
        <v>2485</v>
      </c>
      <c r="AC274" s="462"/>
      <c r="AD274" s="462"/>
      <c r="AE274" s="462"/>
      <c r="AF274" s="462"/>
      <c r="AG274" s="462"/>
      <c r="AH274" s="462"/>
      <c r="AI274" s="683">
        <f>(MH!J132+MH!F109)/1000</f>
        <v>0.4284</v>
      </c>
      <c r="AJ274" s="20"/>
      <c r="AK274" s="19"/>
      <c r="AL274" s="100" t="s">
        <v>36</v>
      </c>
      <c r="AM274" s="100">
        <v>1.1200000000000001</v>
      </c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</row>
    <row r="275" spans="1:64" ht="15.75">
      <c r="A275" s="36"/>
      <c r="B275" s="67" t="s">
        <v>649</v>
      </c>
      <c r="C275" s="20" t="s">
        <v>650</v>
      </c>
      <c r="D275" s="20"/>
      <c r="E275" s="20"/>
      <c r="F275" s="346"/>
      <c r="G275" s="346"/>
      <c r="H275" s="346"/>
      <c r="I275" s="43" t="s">
        <v>160</v>
      </c>
      <c r="J275" s="269">
        <f>IF(M272=0,I42,IF(M272=1,I42/1.06))</f>
        <v>960</v>
      </c>
      <c r="K275" s="676"/>
      <c r="M275" s="145">
        <f>I42</f>
        <v>960</v>
      </c>
      <c r="N275" s="145">
        <f>M275/1.06</f>
        <v>905.66037735849056</v>
      </c>
      <c r="R275" s="29" t="s">
        <v>33</v>
      </c>
      <c r="S275" s="29" t="s">
        <v>651</v>
      </c>
      <c r="T275" s="17"/>
      <c r="U275" s="3787" t="s">
        <v>299</v>
      </c>
      <c r="V275" s="3787"/>
      <c r="W275" s="100">
        <f>J275</f>
        <v>960</v>
      </c>
      <c r="X275" s="338"/>
      <c r="Y275" s="682" t="s">
        <v>651</v>
      </c>
      <c r="Z275" s="685" t="s">
        <v>2662</v>
      </c>
      <c r="AA275" s="20"/>
      <c r="AB275" s="670" t="s">
        <v>2739</v>
      </c>
      <c r="AC275" s="462"/>
      <c r="AD275" s="462"/>
      <c r="AE275" s="462"/>
      <c r="AF275" s="123" t="s">
        <v>2486</v>
      </c>
      <c r="AG275" s="462"/>
      <c r="AH275" s="462"/>
      <c r="AI275" s="665">
        <f>AM280</f>
        <v>1.4</v>
      </c>
      <c r="AJ275" s="20"/>
      <c r="AK275" s="19"/>
      <c r="AL275" s="100" t="s">
        <v>82</v>
      </c>
      <c r="AM275" s="100">
        <v>1.25</v>
      </c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</row>
    <row r="276" spans="1:64" ht="14.65" thickBot="1">
      <c r="A276" s="36"/>
      <c r="B276" s="67" t="s">
        <v>652</v>
      </c>
      <c r="C276" s="20" t="s">
        <v>653</v>
      </c>
      <c r="D276" s="20"/>
      <c r="E276" s="20"/>
      <c r="F276" s="20"/>
      <c r="G276" s="20"/>
      <c r="H276" s="20"/>
      <c r="I276" s="43" t="s">
        <v>160</v>
      </c>
      <c r="J276" s="19">
        <f>'E Data'!D36</f>
        <v>3</v>
      </c>
      <c r="K276" s="676"/>
      <c r="R276" s="29" t="s">
        <v>37</v>
      </c>
      <c r="S276" s="29" t="s">
        <v>654</v>
      </c>
      <c r="T276" s="17"/>
      <c r="U276" s="3787" t="s">
        <v>655</v>
      </c>
      <c r="V276" s="3787"/>
      <c r="W276" s="686">
        <f>J281</f>
        <v>190.4</v>
      </c>
      <c r="X276" s="515"/>
      <c r="Y276" s="682" t="s">
        <v>654</v>
      </c>
      <c r="Z276" s="498" t="s">
        <v>656</v>
      </c>
      <c r="AA276" s="20"/>
      <c r="AB276" s="664"/>
      <c r="AC276" s="462"/>
      <c r="AD276" s="462"/>
      <c r="AE276" s="462"/>
      <c r="AF276" s="462"/>
      <c r="AG276" s="462"/>
      <c r="AH276" s="462"/>
      <c r="AI276" s="687"/>
      <c r="AJ276" s="20"/>
      <c r="AK276" s="19"/>
      <c r="AL276" s="100" t="s">
        <v>40</v>
      </c>
      <c r="AM276" s="100">
        <v>1.4</v>
      </c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</row>
    <row r="277" spans="1:64" ht="14.65" thickBot="1">
      <c r="A277" s="36"/>
      <c r="B277" s="67" t="s">
        <v>418</v>
      </c>
      <c r="C277" s="20" t="s">
        <v>657</v>
      </c>
      <c r="D277" s="20"/>
      <c r="E277" s="20"/>
      <c r="F277" s="20"/>
      <c r="G277" s="20"/>
      <c r="H277" s="20"/>
      <c r="I277" s="43" t="s">
        <v>160</v>
      </c>
      <c r="J277" s="19">
        <f>'E Data'!D41</f>
        <v>4</v>
      </c>
      <c r="K277" s="667"/>
      <c r="P277" s="19"/>
      <c r="Q277" s="19"/>
      <c r="R277" s="29" t="s">
        <v>41</v>
      </c>
      <c r="S277" s="29" t="s">
        <v>658</v>
      </c>
      <c r="T277" s="17"/>
      <c r="U277" s="3787" t="s">
        <v>659</v>
      </c>
      <c r="V277" s="3787"/>
      <c r="W277" s="270">
        <f>(W275/W274)/W276</f>
        <v>3.2170487394957981</v>
      </c>
      <c r="X277" s="271"/>
      <c r="Y277" s="22" t="s">
        <v>658</v>
      </c>
      <c r="Z277" s="688" t="s">
        <v>660</v>
      </c>
      <c r="AA277" s="20"/>
      <c r="AB277" s="689" t="s">
        <v>2487</v>
      </c>
      <c r="AC277" s="462"/>
      <c r="AD277" s="462"/>
      <c r="AE277" s="462"/>
      <c r="AF277" s="690" t="s">
        <v>2488</v>
      </c>
      <c r="AG277" s="462"/>
      <c r="AH277" s="462"/>
      <c r="AI277" s="691">
        <f>AI272*(AI274/2)*AI275</f>
        <v>38223.267074999996</v>
      </c>
      <c r="AJ277" s="20"/>
      <c r="AK277" s="19"/>
      <c r="AL277" s="100" t="s">
        <v>85</v>
      </c>
      <c r="AM277" s="100">
        <v>1.6</v>
      </c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</row>
    <row r="278" spans="1:64" ht="14.65" thickBot="1">
      <c r="A278" s="36"/>
      <c r="B278" s="88" t="s">
        <v>525</v>
      </c>
      <c r="C278" s="20"/>
      <c r="D278" s="20"/>
      <c r="E278" s="20"/>
      <c r="F278" s="20"/>
      <c r="G278" s="20"/>
      <c r="H278" s="20"/>
      <c r="I278" s="43"/>
      <c r="J278" s="20"/>
      <c r="K278" s="667"/>
      <c r="L278" s="692"/>
      <c r="M278" s="693" t="str">
        <f>IF((IF(J283="Premium",IF(J281&lt;131,3,4),IF(J283="Elite",IF(J281&lt;225,3,4),IF(J283="Elecon",IF(J281&lt;113,3,4),"Wrong"))))=I22,"Right","Wrong")</f>
        <v>Right</v>
      </c>
      <c r="N278" s="694" t="s">
        <v>661</v>
      </c>
      <c r="O278" s="695"/>
      <c r="Q278" s="19"/>
      <c r="R278" s="29" t="s">
        <v>45</v>
      </c>
      <c r="S278" s="29" t="s">
        <v>662</v>
      </c>
      <c r="T278" s="17"/>
      <c r="U278" s="3788" t="s">
        <v>663</v>
      </c>
      <c r="V278" s="3788"/>
      <c r="W278" s="311">
        <f>J276*0.9</f>
        <v>2.7</v>
      </c>
      <c r="X278" s="696">
        <f>J276*1.1</f>
        <v>3.3000000000000003</v>
      </c>
      <c r="Y278" s="311" t="s">
        <v>662</v>
      </c>
      <c r="AA278" s="20"/>
      <c r="AB278" s="689" t="s">
        <v>2489</v>
      </c>
      <c r="AC278" s="462"/>
      <c r="AD278" s="462"/>
      <c r="AE278" s="462"/>
      <c r="AF278" s="462"/>
      <c r="AG278" s="462"/>
      <c r="AH278" s="462"/>
      <c r="AI278" s="687">
        <v>102600</v>
      </c>
      <c r="AJ278" s="20"/>
      <c r="AK278" s="19"/>
      <c r="AL278" s="100" t="s">
        <v>44</v>
      </c>
      <c r="AM278" s="100">
        <v>1.8</v>
      </c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</row>
    <row r="279" spans="1:64" ht="14.65" thickBot="1">
      <c r="A279" s="36"/>
      <c r="B279" s="67" t="s">
        <v>93</v>
      </c>
      <c r="C279" s="20" t="s">
        <v>664</v>
      </c>
      <c r="D279" s="20"/>
      <c r="E279" s="20"/>
      <c r="F279" s="20"/>
      <c r="G279" s="358"/>
      <c r="H279" s="302"/>
      <c r="I279" s="43" t="s">
        <v>160</v>
      </c>
      <c r="J279" s="697">
        <f>((22/7)*J274*J275)/(J276*(J277/2))</f>
        <v>204.36114285714288</v>
      </c>
      <c r="K279" s="31" t="s">
        <v>665</v>
      </c>
      <c r="L279" s="698" t="str">
        <f>+IF(L280&lt;10%,IF(L280&gt;-10%,"Right","Wrong"),"Wrong")</f>
        <v>Right</v>
      </c>
      <c r="M279" s="615">
        <f>IF(J283="Premium",Y337,IF(J283="Elite",V315,IF(J283="Elecon",AB323,"Wrong")))</f>
        <v>190.4</v>
      </c>
      <c r="N279" s="699">
        <f>(1-(M279/J279))</f>
        <v>6.8316034359341526E-2</v>
      </c>
      <c r="O279" s="700">
        <f>J279*0.9</f>
        <v>183.92502857142858</v>
      </c>
      <c r="R279" s="29" t="str">
        <f>'E Data'!D25</f>
        <v>Mech-II</v>
      </c>
      <c r="S279" s="29" t="str">
        <f>VLOOKUP(R279,R275:S278,2,0)</f>
        <v>Class II</v>
      </c>
      <c r="T279" s="17"/>
      <c r="U279" s="3789" t="s">
        <v>666</v>
      </c>
      <c r="V279" s="3789"/>
      <c r="W279" s="701">
        <f>MH!I62/0.746</f>
        <v>19.915970774546171</v>
      </c>
      <c r="X279" s="702">
        <f>J288</f>
        <v>23.76</v>
      </c>
      <c r="Y279" s="19"/>
      <c r="Z279" s="20"/>
      <c r="AA279" s="20"/>
      <c r="AB279" s="672" t="s">
        <v>2490</v>
      </c>
      <c r="AC279" s="462"/>
      <c r="AD279" s="123"/>
      <c r="AE279" s="703"/>
      <c r="AF279" s="123"/>
      <c r="AG279" s="703"/>
      <c r="AH279" s="462"/>
      <c r="AI279" s="704" t="s">
        <v>2491</v>
      </c>
      <c r="AJ279" s="20"/>
      <c r="AK279" s="19"/>
      <c r="AL279" s="100" t="s">
        <v>48</v>
      </c>
      <c r="AM279" s="100">
        <v>2</v>
      </c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</row>
    <row r="280" spans="1:64" ht="14.65" thickBot="1">
      <c r="A280" s="36"/>
      <c r="B280" s="20"/>
      <c r="C280" s="20"/>
      <c r="D280" s="20"/>
      <c r="E280" s="20"/>
      <c r="F280" s="20" t="s">
        <v>667</v>
      </c>
      <c r="G280" s="20"/>
      <c r="H280" s="20"/>
      <c r="I280" s="43" t="s">
        <v>160</v>
      </c>
      <c r="J280" s="51">
        <v>1</v>
      </c>
      <c r="K280" s="667"/>
      <c r="L280" s="705">
        <f>100%-J279/J281</f>
        <v>-7.3325330132052891E-2</v>
      </c>
      <c r="M280" s="706">
        <f>IF(J283="Premium",Z337,IF(J283="Elite",W315,IF(J283="Elecon",AC323,"Wrong")))</f>
        <v>206.43</v>
      </c>
      <c r="N280" s="707">
        <f>((M280/J279)-1)</f>
        <v>1.0123534806728562E-2</v>
      </c>
      <c r="O280" s="708">
        <f>J279*1.1</f>
        <v>224.79725714285718</v>
      </c>
      <c r="R280" s="19"/>
      <c r="S280" s="19"/>
      <c r="T280" s="17"/>
      <c r="U280" s="3767" t="s">
        <v>668</v>
      </c>
      <c r="V280" s="3767"/>
      <c r="W280" s="709" t="str">
        <f>J290</f>
        <v>3AH775</v>
      </c>
      <c r="X280" s="710"/>
      <c r="Y280" s="19"/>
      <c r="Z280" s="20"/>
      <c r="AA280" s="20"/>
      <c r="AB280" s="711" t="s">
        <v>2492</v>
      </c>
      <c r="AC280" s="712"/>
      <c r="AD280" s="712"/>
      <c r="AE280" s="712"/>
      <c r="AF280" s="712"/>
      <c r="AG280" s="712"/>
      <c r="AH280" s="712"/>
      <c r="AI280" s="713" t="s">
        <v>2493</v>
      </c>
      <c r="AJ280" s="20"/>
      <c r="AK280" s="19"/>
      <c r="AL280" s="714" t="str">
        <f>'E Data'!E25</f>
        <v>M5</v>
      </c>
      <c r="AM280" s="715">
        <f>VLOOKUP(AL280,AL272:AM279,2,0)</f>
        <v>1.4</v>
      </c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</row>
    <row r="281" spans="1:64" ht="14.65" thickBot="1">
      <c r="A281" s="36"/>
      <c r="B281" s="20" t="s">
        <v>669</v>
      </c>
      <c r="C281" s="358"/>
      <c r="D281" s="358"/>
      <c r="E281" s="358"/>
      <c r="F281" s="358"/>
      <c r="G281" s="20"/>
      <c r="H281" s="17"/>
      <c r="I281" s="43" t="s">
        <v>160</v>
      </c>
      <c r="J281" s="716">
        <f>+M279</f>
        <v>190.4</v>
      </c>
      <c r="K281" s="129" t="s">
        <v>665</v>
      </c>
      <c r="L281" s="695"/>
      <c r="M281" s="272">
        <f>(3.14*J274*J275)/(J281*(J277/2))</f>
        <v>3.2170487394957981</v>
      </c>
      <c r="N281" s="717">
        <f>J276*1.1</f>
        <v>3.3000000000000003</v>
      </c>
      <c r="O281" s="718">
        <f>J276*0.9</f>
        <v>2.7</v>
      </c>
      <c r="Q281" s="19"/>
      <c r="R281" s="19"/>
      <c r="S281" s="19"/>
      <c r="T281" s="19"/>
      <c r="U281" s="19"/>
      <c r="V281" s="19"/>
      <c r="W281" s="19"/>
      <c r="X281" s="19"/>
      <c r="Y281" s="19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19"/>
      <c r="AL281" s="20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</row>
    <row r="282" spans="1:64" ht="14.65" thickBot="1">
      <c r="A282" s="36"/>
      <c r="B282" s="358"/>
      <c r="C282" s="358" t="s">
        <v>670</v>
      </c>
      <c r="D282" s="358"/>
      <c r="E282" s="358"/>
      <c r="F282" s="358"/>
      <c r="G282" s="358"/>
      <c r="H282" s="358"/>
      <c r="I282" s="358"/>
      <c r="J282" s="17"/>
      <c r="K282" s="304"/>
      <c r="M282" s="719" t="s">
        <v>671</v>
      </c>
      <c r="N282" s="720" t="str">
        <f>IF(M281&lt;N281,IF(M281&gt;O281,"Right","Wrong"),"Wrong")</f>
        <v>Right</v>
      </c>
      <c r="U282" s="19"/>
      <c r="V282" s="19"/>
      <c r="W282" s="19"/>
      <c r="X282" s="19"/>
      <c r="Y282" s="19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19"/>
      <c r="AL282" s="20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</row>
    <row r="283" spans="1:64" ht="14.65" thickBot="1">
      <c r="A283" s="36"/>
      <c r="B283" s="358"/>
      <c r="C283" s="358"/>
      <c r="D283" s="358"/>
      <c r="E283" s="17"/>
      <c r="F283" s="358"/>
      <c r="G283" s="358"/>
      <c r="H283" s="721" t="s">
        <v>672</v>
      </c>
      <c r="I283" s="358"/>
      <c r="J283" s="722" t="str">
        <f>'E Data'!H52</f>
        <v>Elite</v>
      </c>
      <c r="K283" s="304"/>
      <c r="O283" s="50"/>
      <c r="P283" s="50"/>
      <c r="Q283" s="50"/>
      <c r="R283" s="723"/>
      <c r="S283" s="531"/>
      <c r="V283" s="19"/>
      <c r="W283" s="19"/>
      <c r="X283" s="19"/>
      <c r="Y283" s="19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19"/>
      <c r="AL283" s="20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</row>
    <row r="284" spans="1:64" ht="14.65" thickBot="1">
      <c r="A284" s="36"/>
      <c r="H284" s="20"/>
      <c r="I284" s="17"/>
      <c r="J284" s="724" t="str">
        <f>+L284</f>
        <v>Class II</v>
      </c>
      <c r="K284" s="20"/>
      <c r="L284" s="22" t="str">
        <f>S279</f>
        <v>Class II</v>
      </c>
      <c r="N284" s="725" t="str">
        <f>IF(J287&lt;J288,"Right","Wrong")</f>
        <v>Right</v>
      </c>
      <c r="O284" s="599" t="str">
        <f>I20</f>
        <v>For Antifriction Bearing</v>
      </c>
      <c r="P284" s="726"/>
      <c r="Q284" s="726"/>
      <c r="R284" s="333"/>
      <c r="S284" s="531">
        <f>VLOOKUP(J290,O285:S358,5,0)</f>
        <v>775</v>
      </c>
      <c r="V284" s="19"/>
      <c r="W284" s="19"/>
      <c r="X284" s="19"/>
      <c r="Y284" s="19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19"/>
      <c r="AL284" s="20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</row>
    <row r="285" spans="1:64" ht="14.65" thickBot="1">
      <c r="A285" s="36"/>
      <c r="M285" s="727" t="s">
        <v>2662</v>
      </c>
      <c r="N285" s="728">
        <f>J29/0.746</f>
        <v>19.915970774546171</v>
      </c>
      <c r="O285" s="2544" t="s">
        <v>2784</v>
      </c>
      <c r="P285" s="730" t="s">
        <v>674</v>
      </c>
      <c r="Q285" s="730" t="s">
        <v>675</v>
      </c>
      <c r="R285" s="730" t="s">
        <v>676</v>
      </c>
      <c r="S285" s="730" t="s">
        <v>670</v>
      </c>
      <c r="U285" s="19"/>
      <c r="V285" s="19"/>
      <c r="W285" s="19"/>
      <c r="X285" s="19"/>
      <c r="Y285" s="19"/>
      <c r="Z285" s="20"/>
      <c r="AA285" s="20"/>
      <c r="AB285" s="20"/>
      <c r="AC285" s="20"/>
      <c r="AD285" s="20"/>
      <c r="AE285" s="20">
        <v>130</v>
      </c>
      <c r="AF285" s="20"/>
      <c r="AG285" s="20"/>
      <c r="AH285" s="20"/>
      <c r="AI285" s="20"/>
      <c r="AJ285" s="20"/>
      <c r="AK285" s="19"/>
      <c r="AL285" s="20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</row>
    <row r="286" spans="1:64" ht="14.65" thickBot="1">
      <c r="A286" s="36"/>
      <c r="H286" s="731" t="s">
        <v>679</v>
      </c>
      <c r="J286" s="697">
        <f>J29</f>
        <v>14.857314197811444</v>
      </c>
      <c r="K286" s="697">
        <f>M288</f>
        <v>1.3404825737265416</v>
      </c>
      <c r="M286" s="732" t="s">
        <v>656</v>
      </c>
      <c r="N286" s="733">
        <f>J29*N290</f>
        <v>29.714628395622888</v>
      </c>
      <c r="O286" s="2541" t="s">
        <v>677</v>
      </c>
      <c r="P286" s="2542">
        <v>46500</v>
      </c>
      <c r="Q286" s="2542">
        <v>32000</v>
      </c>
      <c r="R286" s="2258">
        <v>330</v>
      </c>
      <c r="S286" s="2543">
        <v>400</v>
      </c>
      <c r="U286" s="19"/>
      <c r="V286" s="3784" t="s">
        <v>2662</v>
      </c>
      <c r="W286" s="3785"/>
      <c r="X286" s="19"/>
      <c r="Y286" s="3784" t="s">
        <v>656</v>
      </c>
      <c r="Z286" s="3785"/>
      <c r="AA286" s="20"/>
      <c r="AB286" s="3732" t="s">
        <v>660</v>
      </c>
      <c r="AC286" s="3733"/>
      <c r="AD286" s="20"/>
      <c r="AE286" s="20">
        <v>180</v>
      </c>
      <c r="AF286" s="20"/>
      <c r="AG286" s="20"/>
      <c r="AH286" s="20"/>
      <c r="AI286" s="20"/>
      <c r="AJ286" s="20"/>
      <c r="AK286" s="19"/>
      <c r="AL286" s="20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</row>
    <row r="287" spans="1:64" ht="14.65" thickBot="1">
      <c r="A287" s="36"/>
      <c r="H287" s="721" t="str">
        <f>IF(J283="Elite","Required HP",IF(J283="Premium","Required KW",IF(J283="Elecon","Required KW")))</f>
        <v>Required HP</v>
      </c>
      <c r="J287" s="737">
        <f>J286*K286</f>
        <v>19.915970774546171</v>
      </c>
      <c r="M287" s="738" t="s">
        <v>660</v>
      </c>
      <c r="N287" s="739">
        <f>J29*N291</f>
        <v>32.686091235185181</v>
      </c>
      <c r="O287" s="2541" t="s">
        <v>678</v>
      </c>
      <c r="P287" s="2542">
        <v>70660</v>
      </c>
      <c r="Q287" s="2542">
        <v>32000</v>
      </c>
      <c r="R287" s="2258">
        <v>450</v>
      </c>
      <c r="S287" s="2543">
        <v>450</v>
      </c>
      <c r="U287" s="17"/>
      <c r="V287" s="273" t="s">
        <v>512</v>
      </c>
      <c r="W287" s="274" t="s">
        <v>682</v>
      </c>
      <c r="X287" s="19"/>
      <c r="Y287" s="273" t="s">
        <v>512</v>
      </c>
      <c r="Z287" s="274" t="s">
        <v>682</v>
      </c>
      <c r="AA287" s="20"/>
      <c r="AB287" s="275">
        <v>0</v>
      </c>
      <c r="AC287" s="740">
        <v>14</v>
      </c>
      <c r="AD287" s="20"/>
      <c r="AE287" s="22">
        <v>230</v>
      </c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</row>
    <row r="288" spans="1:64" ht="14.65" thickBot="1">
      <c r="A288" s="36"/>
      <c r="H288" s="193" t="str">
        <f>IF(J283="Elite","Selected HP",IF(J283="Premium","Selected KW",IF(J283="Elecon","Selected KW")))</f>
        <v>Selected HP</v>
      </c>
      <c r="I288" s="43"/>
      <c r="J288" s="276">
        <f>H302</f>
        <v>23.76</v>
      </c>
      <c r="K288" s="20"/>
      <c r="L288" s="479" t="str">
        <f>IF(N284="Right",IF(N282="Right",IF(N292="Right",IF(N311="Right",IF(L279="Right",IF(L274="Right",IF(M278="Right","Right","No GB Stage"),"GBC Motor RPM Wrong "),"GBC Ratio Wrong"),"GBC Price Wrong"),"GBC HP Wrong"),"GBC Out RPM Wrong"),"GBC HP Wrong")</f>
        <v>Right</v>
      </c>
      <c r="M288" s="468">
        <f>VLOOKUP(J283,M289:N291,2,0)</f>
        <v>1.3404825737265416</v>
      </c>
      <c r="N288" s="741">
        <f>VLOOKUP(J283,M285:N287,2,0)</f>
        <v>19.915970774546171</v>
      </c>
      <c r="O288" s="2258" t="s">
        <v>680</v>
      </c>
      <c r="P288" s="2542">
        <v>92292</v>
      </c>
      <c r="Q288" s="2542">
        <v>47000</v>
      </c>
      <c r="R288" s="2258">
        <v>550</v>
      </c>
      <c r="S288" s="2543">
        <v>550</v>
      </c>
      <c r="U288" s="17"/>
      <c r="V288" s="185">
        <v>0</v>
      </c>
      <c r="W288" s="40">
        <v>24.5</v>
      </c>
      <c r="X288" s="19"/>
      <c r="Y288" s="185">
        <v>0</v>
      </c>
      <c r="Z288" s="40">
        <v>5.6</v>
      </c>
      <c r="AA288" s="20"/>
      <c r="AB288" s="740">
        <v>14</v>
      </c>
      <c r="AC288" s="740">
        <v>16</v>
      </c>
      <c r="AD288" s="20"/>
      <c r="AE288" s="20">
        <v>310</v>
      </c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</row>
    <row r="289" spans="1:64">
      <c r="A289" s="36"/>
      <c r="K289" s="333"/>
      <c r="M289" s="727" t="s">
        <v>2662</v>
      </c>
      <c r="N289" s="742">
        <f>1/0.746</f>
        <v>1.3404825737265416</v>
      </c>
      <c r="O289" s="2541" t="s">
        <v>681</v>
      </c>
      <c r="P289" s="2542">
        <v>108150</v>
      </c>
      <c r="Q289" s="2542">
        <v>53000</v>
      </c>
      <c r="R289" s="2258">
        <v>700</v>
      </c>
      <c r="S289" s="2543">
        <v>650</v>
      </c>
      <c r="U289" s="17"/>
      <c r="V289" s="39">
        <v>24.5</v>
      </c>
      <c r="W289" s="40">
        <v>29.3</v>
      </c>
      <c r="X289" s="19"/>
      <c r="Y289" s="39">
        <v>5.6</v>
      </c>
      <c r="Z289" s="40">
        <v>6.2</v>
      </c>
      <c r="AA289" s="20"/>
      <c r="AB289" s="740">
        <v>16</v>
      </c>
      <c r="AC289" s="740">
        <v>18</v>
      </c>
      <c r="AD289" s="20"/>
      <c r="AE289" s="20">
        <v>400</v>
      </c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</row>
    <row r="290" spans="1:64">
      <c r="A290" s="36"/>
      <c r="H290" s="193" t="s">
        <v>685</v>
      </c>
      <c r="I290" s="17"/>
      <c r="J290" s="276" t="str">
        <f>I302</f>
        <v>3AH775</v>
      </c>
      <c r="K290" s="20"/>
      <c r="M290" s="732" t="s">
        <v>656</v>
      </c>
      <c r="N290" s="326">
        <v>2</v>
      </c>
      <c r="O290" s="2541" t="s">
        <v>683</v>
      </c>
      <c r="P290" s="2542">
        <v>195532</v>
      </c>
      <c r="Q290" s="2542">
        <v>59000</v>
      </c>
      <c r="R290" s="2258">
        <v>1100</v>
      </c>
      <c r="S290" s="2543">
        <v>775</v>
      </c>
      <c r="U290" s="17"/>
      <c r="V290" s="39">
        <v>29.3</v>
      </c>
      <c r="W290" s="40">
        <v>34.200000000000003</v>
      </c>
      <c r="X290" s="19"/>
      <c r="Y290" s="39">
        <v>6.2</v>
      </c>
      <c r="Z290" s="40">
        <v>6.86</v>
      </c>
      <c r="AA290" s="20"/>
      <c r="AB290" s="740">
        <v>18</v>
      </c>
      <c r="AC290" s="740">
        <v>20</v>
      </c>
      <c r="AD290" s="20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</row>
    <row r="291" spans="1:64" ht="14.65" thickBot="1">
      <c r="A291" s="36"/>
      <c r="B291" s="20"/>
      <c r="C291" s="20"/>
      <c r="D291" s="20"/>
      <c r="E291" s="20"/>
      <c r="F291" s="20"/>
      <c r="G291" s="17"/>
      <c r="K291" s="20"/>
      <c r="M291" s="743" t="s">
        <v>660</v>
      </c>
      <c r="N291" s="395">
        <v>2.2000000000000002</v>
      </c>
      <c r="O291" s="2541" t="s">
        <v>684</v>
      </c>
      <c r="P291" s="2542">
        <v>203682</v>
      </c>
      <c r="Q291" s="2542">
        <v>68000</v>
      </c>
      <c r="R291" s="2258">
        <v>1400</v>
      </c>
      <c r="S291" s="2543">
        <v>825</v>
      </c>
      <c r="U291" s="17"/>
      <c r="V291" s="39">
        <v>34.200000000000003</v>
      </c>
      <c r="W291" s="40">
        <v>38.799999999999997</v>
      </c>
      <c r="X291" s="19"/>
      <c r="Y291" s="39">
        <v>6.86</v>
      </c>
      <c r="Z291" s="40">
        <v>7.59</v>
      </c>
      <c r="AA291" s="20"/>
      <c r="AB291" s="740">
        <v>20</v>
      </c>
      <c r="AC291" s="740">
        <v>22.4</v>
      </c>
      <c r="AD291" s="20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</row>
    <row r="292" spans="1:64" ht="14.65" thickBot="1">
      <c r="A292" s="36"/>
      <c r="B292" s="20"/>
      <c r="C292" s="20"/>
      <c r="D292" s="20"/>
      <c r="E292" s="20"/>
      <c r="F292" s="20"/>
      <c r="G292" s="17"/>
      <c r="H292" s="193" t="s">
        <v>688</v>
      </c>
      <c r="I292" s="744"/>
      <c r="J292" s="209">
        <f>+J294*L293</f>
        <v>275000</v>
      </c>
      <c r="L292" s="22" t="s">
        <v>2811</v>
      </c>
      <c r="N292" s="720" t="str">
        <f>IF(LEFT(J287,5)=LEFT(N288,5),"Right","Wrong")</f>
        <v>Right</v>
      </c>
      <c r="O292" s="2258" t="s">
        <v>686</v>
      </c>
      <c r="P292" s="2542">
        <v>321637</v>
      </c>
      <c r="Q292" s="2542">
        <v>74000</v>
      </c>
      <c r="R292" s="2258">
        <v>2200</v>
      </c>
      <c r="S292" s="2543">
        <v>950</v>
      </c>
      <c r="U292" s="17"/>
      <c r="V292" s="39">
        <v>38.799999999999997</v>
      </c>
      <c r="W292" s="40">
        <v>43.9</v>
      </c>
      <c r="X292" s="19"/>
      <c r="Y292" s="39">
        <v>7.59</v>
      </c>
      <c r="Z292" s="40">
        <v>8.4</v>
      </c>
      <c r="AA292" s="20"/>
      <c r="AB292" s="740">
        <v>22.4</v>
      </c>
      <c r="AC292" s="740">
        <v>25</v>
      </c>
      <c r="AD292" s="20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</row>
    <row r="293" spans="1:64" ht="14.65" thickBot="1">
      <c r="A293" s="36"/>
      <c r="B293" s="20"/>
      <c r="C293" s="20"/>
      <c r="D293" s="20"/>
      <c r="E293" s="20"/>
      <c r="F293" s="20"/>
      <c r="G293" s="20"/>
      <c r="H293" s="193" t="s">
        <v>691</v>
      </c>
      <c r="I293" s="20"/>
      <c r="J293" s="209">
        <f>VLOOKUP(J290,O286:Q358,3,0)</f>
        <v>59000</v>
      </c>
      <c r="K293" s="304"/>
      <c r="L293" s="746">
        <v>250</v>
      </c>
      <c r="O293" s="2258" t="s">
        <v>687</v>
      </c>
      <c r="P293" s="2542">
        <v>412631</v>
      </c>
      <c r="Q293" s="2542">
        <v>85000</v>
      </c>
      <c r="R293" s="2258">
        <v>2600</v>
      </c>
      <c r="S293" s="2543">
        <v>1100</v>
      </c>
      <c r="U293" s="17"/>
      <c r="V293" s="39">
        <v>43.9</v>
      </c>
      <c r="W293" s="40">
        <v>48.8</v>
      </c>
      <c r="X293" s="19"/>
      <c r="Y293" s="39">
        <v>8.4</v>
      </c>
      <c r="Z293" s="40">
        <v>9.3000000000000007</v>
      </c>
      <c r="AA293" s="20"/>
      <c r="AB293" s="740">
        <v>25</v>
      </c>
      <c r="AC293" s="740">
        <v>28</v>
      </c>
      <c r="AD293" s="20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</row>
    <row r="294" spans="1:64">
      <c r="A294" s="36"/>
      <c r="B294" s="20"/>
      <c r="C294" s="20"/>
      <c r="D294" s="20"/>
      <c r="E294" s="20"/>
      <c r="F294" s="20"/>
      <c r="G294" s="20"/>
      <c r="H294" s="193" t="s">
        <v>693</v>
      </c>
      <c r="I294" s="20"/>
      <c r="J294" s="747">
        <f>VLOOKUP(J290,O286:R358,4,0)</f>
        <v>1100</v>
      </c>
      <c r="K294" s="304"/>
      <c r="O294" s="2258" t="s">
        <v>690</v>
      </c>
      <c r="P294" s="2542">
        <v>504000</v>
      </c>
      <c r="Q294" s="2542">
        <v>110000</v>
      </c>
      <c r="R294" s="2258">
        <v>3300</v>
      </c>
      <c r="S294" s="2543">
        <v>1250</v>
      </c>
      <c r="U294" s="17"/>
      <c r="V294" s="39">
        <v>48.8</v>
      </c>
      <c r="W294" s="40">
        <v>53.7</v>
      </c>
      <c r="X294" s="19"/>
      <c r="Y294" s="39">
        <v>9.3000000000000007</v>
      </c>
      <c r="Z294" s="40">
        <v>10.3</v>
      </c>
      <c r="AA294" s="20"/>
      <c r="AB294" s="740">
        <v>28</v>
      </c>
      <c r="AC294" s="740">
        <v>31.5</v>
      </c>
      <c r="AD294" s="20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</row>
    <row r="295" spans="1:64" ht="14.65" thickBot="1">
      <c r="A295" s="394"/>
      <c r="B295" s="135"/>
      <c r="C295" s="135"/>
      <c r="D295" s="135"/>
      <c r="E295" s="135"/>
      <c r="F295" s="135"/>
      <c r="G295" s="135"/>
      <c r="H295" s="135"/>
      <c r="I295" s="135"/>
      <c r="J295" s="135"/>
      <c r="K295" s="304"/>
      <c r="O295" s="2258" t="s">
        <v>692</v>
      </c>
      <c r="P295" s="2542">
        <v>693000</v>
      </c>
      <c r="Q295" s="2542">
        <v>116000</v>
      </c>
      <c r="R295" s="2258">
        <v>4250</v>
      </c>
      <c r="S295" s="2543">
        <v>1450</v>
      </c>
      <c r="U295" s="17"/>
      <c r="V295" s="39">
        <v>53.7</v>
      </c>
      <c r="W295" s="40">
        <v>58.1</v>
      </c>
      <c r="X295" s="19"/>
      <c r="Y295" s="39">
        <v>10.3</v>
      </c>
      <c r="Z295" s="40">
        <v>11.4</v>
      </c>
      <c r="AA295" s="20"/>
      <c r="AB295" s="740">
        <v>31.5</v>
      </c>
      <c r="AC295" s="740">
        <v>35.5</v>
      </c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</row>
    <row r="296" spans="1:64">
      <c r="A296" s="20"/>
      <c r="B296" s="20"/>
      <c r="C296" s="20"/>
      <c r="D296" s="20"/>
      <c r="E296" s="20"/>
      <c r="F296" s="20"/>
      <c r="G296" s="20"/>
      <c r="H296" s="20"/>
      <c r="I296" s="391" t="str">
        <f>HYPERLINK("\\Manish-pc\e\03 General\Manish\Selection\","Selection Folder")</f>
        <v>Selection Folder</v>
      </c>
      <c r="J296" s="391" t="str">
        <f>HYPERLINK("\\Manish-pc\e\03 General\Manish\Selection\Elite_Gear_Box.pdf","Elite GB")</f>
        <v>Elite GB</v>
      </c>
      <c r="K296" s="391" t="str">
        <f>HYPERLINK("\\Manish-pc\e\03 General\Manish\Selection\Premium_Gear_Box.pdf","Premium GB")</f>
        <v>Premium GB</v>
      </c>
      <c r="L296" s="19"/>
      <c r="O296" s="2258" t="s">
        <v>694</v>
      </c>
      <c r="P296" s="2542">
        <v>945000</v>
      </c>
      <c r="Q296" s="2542">
        <v>150000</v>
      </c>
      <c r="R296" s="2258">
        <v>4900</v>
      </c>
      <c r="S296" s="2543">
        <v>1650</v>
      </c>
      <c r="U296" s="17"/>
      <c r="V296" s="39">
        <v>58.1</v>
      </c>
      <c r="W296" s="40">
        <v>63.4</v>
      </c>
      <c r="X296" s="19"/>
      <c r="Y296" s="39">
        <v>11.4</v>
      </c>
      <c r="Z296" s="40">
        <v>12.6</v>
      </c>
      <c r="AA296" s="20"/>
      <c r="AB296" s="740">
        <v>35.5</v>
      </c>
      <c r="AC296" s="740">
        <v>40</v>
      </c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</row>
    <row r="297" spans="1:64">
      <c r="A297" s="20"/>
      <c r="B297" s="20"/>
      <c r="C297" s="20"/>
      <c r="D297" s="20"/>
      <c r="E297" s="20"/>
      <c r="F297" s="20"/>
      <c r="G297" s="20"/>
      <c r="I297" s="20"/>
      <c r="J297" s="391" t="str">
        <f>HYPERLINK("\\Manish-pc\e\03 General\Manish\Selection\ELECON_ET-SERIES.pdf","Elecon GB")</f>
        <v>Elecon GB</v>
      </c>
      <c r="K297" s="391" t="str">
        <f>HYPERLINK("\\Manish-pc\e\03 General\Manish\Selection\Price_Sheet_2013.pdf","Price Sheet")</f>
        <v>Price Sheet</v>
      </c>
      <c r="L297" s="596"/>
      <c r="O297" s="277"/>
      <c r="P297" s="277"/>
      <c r="Q297" s="277"/>
      <c r="R297" s="277"/>
      <c r="S297" s="748"/>
      <c r="U297" s="17"/>
      <c r="V297" s="39">
        <v>63.4</v>
      </c>
      <c r="W297" s="40">
        <v>68.3</v>
      </c>
      <c r="X297" s="19"/>
      <c r="Y297" s="39">
        <v>12.6</v>
      </c>
      <c r="Z297" s="40">
        <v>14</v>
      </c>
      <c r="AA297" s="20"/>
      <c r="AB297" s="740">
        <v>40</v>
      </c>
      <c r="AC297" s="740">
        <v>45</v>
      </c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</row>
    <row r="298" spans="1:64">
      <c r="A298" s="20"/>
      <c r="B298" s="20"/>
      <c r="C298" s="20"/>
      <c r="D298" s="20"/>
      <c r="E298" s="20"/>
      <c r="F298" s="20"/>
      <c r="G298" s="20"/>
      <c r="O298" s="749" t="s">
        <v>698</v>
      </c>
      <c r="P298" s="750">
        <f>L293</f>
        <v>250</v>
      </c>
      <c r="Q298" s="751" t="s">
        <v>675</v>
      </c>
      <c r="R298" s="278" t="s">
        <v>695</v>
      </c>
      <c r="S298" s="729" t="s">
        <v>670</v>
      </c>
      <c r="U298" s="17"/>
      <c r="V298" s="39">
        <v>68.3</v>
      </c>
      <c r="W298" s="40">
        <v>73.7</v>
      </c>
      <c r="X298" s="19"/>
      <c r="Y298" s="39">
        <v>14</v>
      </c>
      <c r="Z298" s="40">
        <v>15.4</v>
      </c>
      <c r="AA298" s="20"/>
      <c r="AB298" s="740">
        <v>45</v>
      </c>
      <c r="AC298" s="740">
        <v>50</v>
      </c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</row>
    <row r="299" spans="1:64">
      <c r="A299" s="20"/>
      <c r="B299" s="20"/>
      <c r="C299" s="20"/>
      <c r="D299" s="20"/>
      <c r="E299" s="20"/>
      <c r="F299" s="20"/>
      <c r="G299" s="20"/>
      <c r="I299" s="20"/>
      <c r="O299" s="735"/>
      <c r="P299" s="735"/>
      <c r="Q299" s="734"/>
      <c r="R299" s="275"/>
      <c r="S299" s="735"/>
      <c r="U299" s="17"/>
      <c r="V299" s="39">
        <v>73.7</v>
      </c>
      <c r="W299" s="40">
        <v>78.2</v>
      </c>
      <c r="X299" s="19"/>
      <c r="Y299" s="39">
        <v>15.4</v>
      </c>
      <c r="Z299" s="40">
        <v>17.100000000000001</v>
      </c>
      <c r="AA299" s="20"/>
      <c r="AB299" s="740">
        <v>50</v>
      </c>
      <c r="AC299" s="740">
        <v>56</v>
      </c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</row>
    <row r="300" spans="1:64">
      <c r="B300" s="752" t="str">
        <f>Tech!C115</f>
        <v>Right</v>
      </c>
      <c r="C300" s="20"/>
      <c r="D300" s="20"/>
      <c r="E300" s="20"/>
      <c r="O300" s="735" t="s">
        <v>699</v>
      </c>
      <c r="P300" s="735">
        <f>R300*P298</f>
        <v>74750</v>
      </c>
      <c r="Q300" s="734">
        <f>K302</f>
        <v>29400</v>
      </c>
      <c r="R300" s="275">
        <f>290+9</f>
        <v>299</v>
      </c>
      <c r="S300" s="748">
        <f>135+140</f>
        <v>275</v>
      </c>
      <c r="U300" s="17"/>
      <c r="V300" s="39">
        <v>78.2</v>
      </c>
      <c r="W300" s="40">
        <v>83.3</v>
      </c>
      <c r="X300" s="19"/>
      <c r="Y300" s="39">
        <v>17.100000000000001</v>
      </c>
      <c r="Z300" s="40">
        <v>18.899999999999999</v>
      </c>
      <c r="AA300" s="20"/>
      <c r="AB300" s="740">
        <v>56</v>
      </c>
      <c r="AC300" s="740">
        <v>63</v>
      </c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</row>
    <row r="301" spans="1:64">
      <c r="A301" s="20"/>
      <c r="B301" s="20"/>
      <c r="C301" s="20"/>
      <c r="D301" s="20"/>
      <c r="E301" s="20"/>
      <c r="K301" s="753"/>
      <c r="O301" s="735" t="s">
        <v>700</v>
      </c>
      <c r="P301" s="735">
        <f>R301*P298</f>
        <v>80750</v>
      </c>
      <c r="Q301" s="734">
        <f>K302</f>
        <v>29400</v>
      </c>
      <c r="R301" s="275">
        <f>310+13</f>
        <v>323</v>
      </c>
      <c r="S301" s="748">
        <f>155+160</f>
        <v>315</v>
      </c>
      <c r="U301" s="17"/>
      <c r="V301" s="39">
        <v>83.3</v>
      </c>
      <c r="W301" s="40">
        <v>88.2</v>
      </c>
      <c r="X301" s="19"/>
      <c r="Y301" s="185">
        <v>18.899999999999999</v>
      </c>
      <c r="Z301" s="40">
        <v>20.9</v>
      </c>
      <c r="AA301" s="20"/>
      <c r="AB301" s="740">
        <v>63</v>
      </c>
      <c r="AC301" s="740">
        <v>71</v>
      </c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</row>
    <row r="302" spans="1:64">
      <c r="A302" s="754" t="s">
        <v>1093</v>
      </c>
      <c r="B302" s="754" t="s">
        <v>1094</v>
      </c>
      <c r="C302" s="20"/>
      <c r="D302" s="20"/>
      <c r="E302" s="20"/>
      <c r="G302" s="755">
        <f>J281</f>
        <v>190.4</v>
      </c>
      <c r="H302" s="756">
        <f>VLOOKUP(G302,G304:L309,2,0)</f>
        <v>23.76</v>
      </c>
      <c r="I302" s="756" t="str">
        <f>VLOOKUP(G302,G304:L309,3,0)</f>
        <v>3AH775</v>
      </c>
      <c r="J302" s="756">
        <f>VLOOKUP(G302,G304:L309,4,0)</f>
        <v>195532</v>
      </c>
      <c r="K302" s="756">
        <f>VLOOKUP(G302,G304:L309,5,0)</f>
        <v>29400</v>
      </c>
      <c r="L302" s="756">
        <f>VLOOKUP(G302,G304:L309,6,0)</f>
        <v>1100</v>
      </c>
      <c r="O302" s="735" t="s">
        <v>701</v>
      </c>
      <c r="P302" s="735">
        <f>R302*P298</f>
        <v>86750</v>
      </c>
      <c r="Q302" s="734">
        <f>K302</f>
        <v>29400</v>
      </c>
      <c r="R302" s="275">
        <f>330+17</f>
        <v>347</v>
      </c>
      <c r="S302" s="748">
        <f>173+175</f>
        <v>348</v>
      </c>
      <c r="U302" s="17"/>
      <c r="V302" s="39">
        <v>88.2</v>
      </c>
      <c r="W302" s="40">
        <v>92.9</v>
      </c>
      <c r="X302" s="19"/>
      <c r="Y302" s="39">
        <v>20.9</v>
      </c>
      <c r="Z302" s="40">
        <v>23.2</v>
      </c>
      <c r="AA302" s="20"/>
      <c r="AB302" s="740">
        <v>71</v>
      </c>
      <c r="AC302" s="740">
        <v>80</v>
      </c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</row>
    <row r="303" spans="1:64">
      <c r="A303" s="757"/>
      <c r="B303" s="757"/>
      <c r="C303" s="20"/>
      <c r="D303" s="20"/>
      <c r="G303" s="145" t="s">
        <v>682</v>
      </c>
      <c r="H303" s="145" t="s">
        <v>2178</v>
      </c>
      <c r="I303" s="145" t="s">
        <v>2179</v>
      </c>
      <c r="J303" s="145" t="s">
        <v>2173</v>
      </c>
      <c r="K303" s="159" t="s">
        <v>2785</v>
      </c>
      <c r="L303" s="145" t="s">
        <v>2174</v>
      </c>
      <c r="M303" s="758" t="str">
        <f>+G312</f>
        <v>Right</v>
      </c>
      <c r="O303" s="735" t="s">
        <v>702</v>
      </c>
      <c r="P303" s="735">
        <f>R303*P298</f>
        <v>100000</v>
      </c>
      <c r="Q303" s="734">
        <f>K302</f>
        <v>29400</v>
      </c>
      <c r="R303" s="275">
        <f>380+20</f>
        <v>400</v>
      </c>
      <c r="S303" s="748">
        <f>180+185</f>
        <v>365</v>
      </c>
      <c r="U303" s="17"/>
      <c r="V303" s="39">
        <v>92.9</v>
      </c>
      <c r="W303" s="40">
        <v>97.1</v>
      </c>
      <c r="X303" s="19"/>
      <c r="Y303" s="39">
        <v>23.2</v>
      </c>
      <c r="Z303" s="40">
        <v>25.6</v>
      </c>
      <c r="AA303" s="20"/>
      <c r="AB303" s="740">
        <v>80</v>
      </c>
      <c r="AC303" s="740">
        <v>90</v>
      </c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</row>
    <row r="304" spans="1:64">
      <c r="A304" s="80" t="str">
        <f>Tech!B119</f>
        <v>Motor</v>
      </c>
      <c r="B304" s="53" t="str">
        <f>Tech!C119</f>
        <v>Right</v>
      </c>
      <c r="F304" s="759" t="str">
        <f>LEFT('E Data'!D30,8)</f>
        <v xml:space="preserve">IS 3177 </v>
      </c>
      <c r="G304" s="760">
        <f>IF(F305="A",G318,IF(F305="B",G341))</f>
        <v>190.4</v>
      </c>
      <c r="H304" s="366">
        <f>IF(F305="A",H318,IF(F305="B",H341))</f>
        <v>23.76</v>
      </c>
      <c r="I304" s="366" t="str">
        <f>IF(F305="A",I318,IF(F305="B",I341))</f>
        <v>3AH775</v>
      </c>
      <c r="J304" s="366">
        <f>IF(F305="A",J318,IF(F305="B",J341))</f>
        <v>195532</v>
      </c>
      <c r="K304" s="366">
        <f>IF(F305="A",K318,IF(F305="B",K341))</f>
        <v>29400</v>
      </c>
      <c r="L304" s="366">
        <f>IF(F305="A",L318,IF(F305="B",L341))</f>
        <v>1100</v>
      </c>
      <c r="M304" s="22" t="str">
        <f>IF(G302=J281,"Right","Wrong")</f>
        <v>Right</v>
      </c>
      <c r="O304" s="735" t="s">
        <v>703</v>
      </c>
      <c r="P304" s="735">
        <f>R304*P298</f>
        <v>129250</v>
      </c>
      <c r="Q304" s="734">
        <f>K302</f>
        <v>29400</v>
      </c>
      <c r="R304" s="275">
        <f>490+27</f>
        <v>517</v>
      </c>
      <c r="S304" s="748">
        <f>203+205</f>
        <v>408</v>
      </c>
      <c r="U304" s="17"/>
      <c r="V304" s="39">
        <v>97.1</v>
      </c>
      <c r="W304" s="40">
        <v>107.9</v>
      </c>
      <c r="X304" s="19"/>
      <c r="Y304" s="39">
        <v>25.6</v>
      </c>
      <c r="Z304" s="40">
        <v>28.4</v>
      </c>
      <c r="AA304" s="20"/>
      <c r="AB304" s="740">
        <v>90</v>
      </c>
      <c r="AC304" s="740">
        <v>100</v>
      </c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</row>
    <row r="305" spans="1:64">
      <c r="A305" s="80"/>
      <c r="B305" s="53"/>
      <c r="F305" s="279" t="str">
        <f>'E Data'!N19</f>
        <v>A</v>
      </c>
      <c r="G305" s="760">
        <f>IF(F305="A",G325,IF(F305="B",G348))</f>
        <v>206.43</v>
      </c>
      <c r="H305" s="366">
        <f>IF(F305="A",H325,IF(F305="B",H348))</f>
        <v>21.68</v>
      </c>
      <c r="I305" s="366" t="str">
        <f>IF(F305="A",I325,IF(F305="B",I348))</f>
        <v>3AH775</v>
      </c>
      <c r="J305" s="366">
        <f>IF(F305="A",J325,IF(F305="B",J348))</f>
        <v>195532</v>
      </c>
      <c r="K305" s="366">
        <f>IF(F305="A",K325,IF(F305="B",K348))</f>
        <v>29400</v>
      </c>
      <c r="L305" s="366">
        <f>IF(F305="A",L325,IF(F305="B",L348))</f>
        <v>1100</v>
      </c>
      <c r="M305" s="22" t="str">
        <f>IF(H302=J288,"Right","Wrong")</f>
        <v>Right</v>
      </c>
      <c r="O305" s="735" t="s">
        <v>704</v>
      </c>
      <c r="P305" s="735">
        <f>R305*P298</f>
        <v>166250</v>
      </c>
      <c r="Q305" s="734">
        <f>K302</f>
        <v>29400</v>
      </c>
      <c r="R305" s="275">
        <f>630+35</f>
        <v>665</v>
      </c>
      <c r="S305" s="748">
        <f>215+220</f>
        <v>435</v>
      </c>
      <c r="U305" s="19"/>
      <c r="V305" s="39">
        <v>107.9</v>
      </c>
      <c r="W305" s="40">
        <v>120.7</v>
      </c>
      <c r="X305" s="19"/>
      <c r="Y305" s="39">
        <v>28.4</v>
      </c>
      <c r="Z305" s="40">
        <v>31.4</v>
      </c>
      <c r="AA305" s="20"/>
      <c r="AB305" s="740">
        <v>100</v>
      </c>
      <c r="AC305" s="740">
        <v>112</v>
      </c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</row>
    <row r="306" spans="1:64">
      <c r="A306" s="80" t="str">
        <f>Tech!B121</f>
        <v>Brake</v>
      </c>
      <c r="B306" s="53" t="str">
        <f>Tech!C121</f>
        <v>Right</v>
      </c>
      <c r="F306" s="761" t="s">
        <v>656</v>
      </c>
      <c r="G306" s="197">
        <f t="shared" ref="G306:L307" si="8">G328</f>
        <v>195</v>
      </c>
      <c r="H306" s="145">
        <f t="shared" si="8"/>
        <v>22.7</v>
      </c>
      <c r="I306" s="145" t="str">
        <f t="shared" si="8"/>
        <v>PCD4 315</v>
      </c>
      <c r="J306" s="145">
        <f t="shared" si="8"/>
        <v>305000</v>
      </c>
      <c r="K306" s="145">
        <f t="shared" si="8"/>
        <v>29400</v>
      </c>
      <c r="L306" s="145">
        <f t="shared" si="8"/>
        <v>1220</v>
      </c>
      <c r="M306" s="22" t="str">
        <f>IF(I302=J290,"Right","Wrong")</f>
        <v>Right</v>
      </c>
      <c r="O306" s="735" t="s">
        <v>705</v>
      </c>
      <c r="P306" s="735">
        <f>R306*P298</f>
        <v>225000</v>
      </c>
      <c r="Q306" s="734">
        <f>K302</f>
        <v>29400</v>
      </c>
      <c r="R306" s="275">
        <f>850+50</f>
        <v>900</v>
      </c>
      <c r="S306" s="748">
        <f>237+240</f>
        <v>477</v>
      </c>
      <c r="U306" s="17"/>
      <c r="V306" s="39">
        <v>120.7</v>
      </c>
      <c r="W306" s="40">
        <v>129.80000000000001</v>
      </c>
      <c r="X306" s="19"/>
      <c r="Y306" s="39">
        <v>31.4</v>
      </c>
      <c r="Z306" s="40">
        <v>34.700000000000003</v>
      </c>
      <c r="AA306" s="20"/>
      <c r="AB306" s="740">
        <v>112</v>
      </c>
      <c r="AC306" s="740">
        <v>125</v>
      </c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</row>
    <row r="307" spans="1:64">
      <c r="A307" s="80"/>
      <c r="B307" s="53"/>
      <c r="F307" s="761" t="str">
        <f>+F306</f>
        <v>Premium</v>
      </c>
      <c r="G307" s="197">
        <f t="shared" si="8"/>
        <v>215</v>
      </c>
      <c r="H307" s="145">
        <f t="shared" si="8"/>
        <v>20.399999999999999</v>
      </c>
      <c r="I307" s="145" t="str">
        <f t="shared" si="8"/>
        <v>PCD4 315</v>
      </c>
      <c r="J307" s="145">
        <f t="shared" si="8"/>
        <v>305000</v>
      </c>
      <c r="K307" s="145">
        <f t="shared" si="8"/>
        <v>29400</v>
      </c>
      <c r="L307" s="145">
        <f t="shared" si="8"/>
        <v>1220</v>
      </c>
      <c r="M307" s="22" t="str">
        <f>IF(J302=J292,"Right","Wrong")</f>
        <v>Wrong</v>
      </c>
      <c r="O307" s="735" t="s">
        <v>708</v>
      </c>
      <c r="P307" s="735">
        <f>R307*P298</f>
        <v>305000</v>
      </c>
      <c r="Q307" s="734">
        <f>K302</f>
        <v>29400</v>
      </c>
      <c r="R307" s="275">
        <f>1150+70</f>
        <v>1220</v>
      </c>
      <c r="S307" s="748">
        <f>256+260</f>
        <v>516</v>
      </c>
      <c r="U307" s="19"/>
      <c r="V307" s="39">
        <v>129.80000000000001</v>
      </c>
      <c r="W307" s="40">
        <v>140.1</v>
      </c>
      <c r="X307" s="19"/>
      <c r="Y307" s="39">
        <v>34.700000000000003</v>
      </c>
      <c r="Z307" s="40">
        <v>38.4</v>
      </c>
      <c r="AA307" s="20"/>
      <c r="AB307" s="740">
        <v>125</v>
      </c>
      <c r="AC307" s="740">
        <v>140</v>
      </c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</row>
    <row r="308" spans="1:64">
      <c r="A308" s="80" t="str">
        <f>Tech!B123</f>
        <v>Wire Rope</v>
      </c>
      <c r="B308" s="53" t="str">
        <f>Tech!C123</f>
        <v>Right</v>
      </c>
      <c r="F308" s="761" t="s">
        <v>660</v>
      </c>
      <c r="G308" s="197">
        <f t="shared" ref="G308:L309" si="9">G332</f>
        <v>200</v>
      </c>
      <c r="H308" s="145">
        <f t="shared" si="9"/>
        <v>22</v>
      </c>
      <c r="I308" s="145" t="str">
        <f t="shared" si="9"/>
        <v>SDN 315</v>
      </c>
      <c r="J308" s="145">
        <f t="shared" si="9"/>
        <v>256500</v>
      </c>
      <c r="K308" s="145">
        <f t="shared" si="9"/>
        <v>29400</v>
      </c>
      <c r="L308" s="145">
        <f t="shared" si="9"/>
        <v>1026</v>
      </c>
      <c r="M308" s="22" t="str">
        <f>IF(K302=J293,"Right","Wrong")</f>
        <v>Wrong</v>
      </c>
      <c r="O308" s="735" t="s">
        <v>709</v>
      </c>
      <c r="P308" s="735">
        <f>R308*P298</f>
        <v>406250</v>
      </c>
      <c r="Q308" s="734">
        <f>K302</f>
        <v>29400</v>
      </c>
      <c r="R308" s="275">
        <f>1525+100</f>
        <v>1625</v>
      </c>
      <c r="S308" s="748">
        <f>286+290</f>
        <v>576</v>
      </c>
      <c r="U308" s="19"/>
      <c r="V308" s="39">
        <v>140.1</v>
      </c>
      <c r="W308" s="40">
        <v>151.30000000000001</v>
      </c>
      <c r="X308" s="19"/>
      <c r="Y308" s="39">
        <v>38.4</v>
      </c>
      <c r="Z308" s="40">
        <v>42.5</v>
      </c>
      <c r="AB308" s="740">
        <v>140</v>
      </c>
      <c r="AC308" s="740">
        <v>160</v>
      </c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</row>
    <row r="309" spans="1:64">
      <c r="A309" s="80"/>
      <c r="B309" s="53"/>
      <c r="F309" s="761" t="str">
        <f>+F308</f>
        <v>Elecon</v>
      </c>
      <c r="G309" s="197">
        <f t="shared" si="9"/>
        <v>224</v>
      </c>
      <c r="H309" s="145">
        <f t="shared" si="9"/>
        <v>20</v>
      </c>
      <c r="I309" s="145" t="str">
        <f t="shared" si="9"/>
        <v>SDN 315</v>
      </c>
      <c r="J309" s="145">
        <f t="shared" si="9"/>
        <v>256500</v>
      </c>
      <c r="K309" s="145">
        <f t="shared" si="9"/>
        <v>29400</v>
      </c>
      <c r="L309" s="145">
        <f t="shared" si="9"/>
        <v>1026</v>
      </c>
      <c r="M309" s="22" t="str">
        <f>IF(L302=J294,"Right","Wrong")</f>
        <v>Right</v>
      </c>
      <c r="O309" s="735" t="s">
        <v>710</v>
      </c>
      <c r="P309" s="735">
        <f>R309*P298</f>
        <v>555000</v>
      </c>
      <c r="Q309" s="734">
        <f>K302</f>
        <v>29400</v>
      </c>
      <c r="R309" s="275">
        <f>2080+140</f>
        <v>2220</v>
      </c>
      <c r="S309" s="748">
        <f>320+325</f>
        <v>645</v>
      </c>
      <c r="U309" s="19"/>
      <c r="V309" s="39">
        <v>151.30000000000001</v>
      </c>
      <c r="W309" s="40">
        <v>162.68</v>
      </c>
      <c r="X309" s="19"/>
      <c r="Y309" s="39">
        <v>42.5</v>
      </c>
      <c r="Z309" s="40">
        <v>47.1</v>
      </c>
      <c r="AB309" s="740">
        <v>160</v>
      </c>
      <c r="AC309" s="740">
        <v>180</v>
      </c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</row>
    <row r="310" spans="1:64">
      <c r="A310" s="80" t="str">
        <f>Tech!B125</f>
        <v>Rope Drum</v>
      </c>
      <c r="B310" s="53" t="str">
        <f>Tech!C125</f>
        <v>Right</v>
      </c>
      <c r="O310" s="735" t="s">
        <v>711</v>
      </c>
      <c r="P310" s="735">
        <f>R310*P298</f>
        <v>761250</v>
      </c>
      <c r="Q310" s="734">
        <f>K302</f>
        <v>29400</v>
      </c>
      <c r="R310" s="275">
        <f>2840+205</f>
        <v>3045</v>
      </c>
      <c r="S310" s="748">
        <f>360+420</f>
        <v>780</v>
      </c>
      <c r="U310" s="19"/>
      <c r="V310" s="39">
        <v>162.68</v>
      </c>
      <c r="W310" s="40">
        <v>165.9</v>
      </c>
      <c r="X310" s="19"/>
      <c r="Y310" s="39">
        <v>47.1</v>
      </c>
      <c r="Z310" s="40">
        <v>52.1</v>
      </c>
      <c r="AB310" s="740">
        <v>180</v>
      </c>
      <c r="AC310" s="740">
        <v>200</v>
      </c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</row>
    <row r="311" spans="1:64">
      <c r="A311" s="80"/>
      <c r="B311" s="53"/>
      <c r="N311" s="698" t="str">
        <f>IF(J283="Elite","Right",IF(J292=N313,"Right","Wrong"))</f>
        <v>Right</v>
      </c>
      <c r="O311" s="735" t="s">
        <v>712</v>
      </c>
      <c r="P311" s="735">
        <f>R311*P298</f>
        <v>1048750</v>
      </c>
      <c r="Q311" s="734">
        <f>K302</f>
        <v>29400</v>
      </c>
      <c r="R311" s="275">
        <f>3780+415</f>
        <v>4195</v>
      </c>
      <c r="S311" s="748">
        <f>410+420</f>
        <v>830</v>
      </c>
      <c r="U311" s="19"/>
      <c r="V311" s="39">
        <v>165.9</v>
      </c>
      <c r="W311" s="40">
        <v>177.81</v>
      </c>
      <c r="X311" s="19"/>
      <c r="Y311" s="39">
        <v>52.1</v>
      </c>
      <c r="Z311" s="40">
        <v>57.7</v>
      </c>
      <c r="AB311" s="740">
        <v>200</v>
      </c>
      <c r="AC311" s="740">
        <v>224</v>
      </c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</row>
    <row r="312" spans="1:64">
      <c r="A312" s="80" t="str">
        <f>Tech!B127</f>
        <v>Upper Pully</v>
      </c>
      <c r="B312" s="53" t="str">
        <f>Tech!C127</f>
        <v>Right</v>
      </c>
      <c r="G312" s="762" t="str">
        <f>I353</f>
        <v>Right</v>
      </c>
      <c r="H312" s="131" t="str">
        <f>S279</f>
        <v>Class II</v>
      </c>
      <c r="N312" s="118" t="s">
        <v>689</v>
      </c>
      <c r="O312" s="280" t="s">
        <v>713</v>
      </c>
      <c r="P312" s="735">
        <f>R312*P298</f>
        <v>1412500</v>
      </c>
      <c r="Q312" s="734">
        <f>K302</f>
        <v>29400</v>
      </c>
      <c r="R312" s="280">
        <f>5100+550</f>
        <v>5650</v>
      </c>
      <c r="S312" s="15">
        <f>435+445</f>
        <v>880</v>
      </c>
      <c r="U312" s="19"/>
      <c r="V312" s="39">
        <v>177.81</v>
      </c>
      <c r="W312" s="40">
        <v>190.4</v>
      </c>
      <c r="X312" s="19"/>
      <c r="Y312" s="39">
        <v>57.7</v>
      </c>
      <c r="Z312" s="40">
        <v>63.8</v>
      </c>
      <c r="AB312" s="740">
        <v>224</v>
      </c>
      <c r="AC312" s="740">
        <v>250</v>
      </c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</row>
    <row r="313" spans="1:64" ht="28.5">
      <c r="A313" s="80"/>
      <c r="B313" s="53"/>
      <c r="G313" s="763" t="str">
        <f>'E Gear B'!C8</f>
        <v>Anupam : 3177</v>
      </c>
      <c r="H313" s="764" t="str">
        <f>'E Gear B'!D8</f>
        <v>Lower H.P.</v>
      </c>
      <c r="I313" s="765" t="str">
        <f>'E Gear B'!E8</f>
        <v>Lower Frame</v>
      </c>
      <c r="J313" s="766" t="str">
        <f>'E Gear B'!F8</f>
        <v>Pricr of Gear Box</v>
      </c>
      <c r="K313" s="766" t="str">
        <f>'E Gear B'!G8</f>
        <v>Gear Coupling</v>
      </c>
      <c r="L313" s="766" t="str">
        <f>'E Gear B'!H8</f>
        <v>Weight OF GB</v>
      </c>
      <c r="M313" s="2" t="str">
        <f>'E Gear B'!I8</f>
        <v>Right</v>
      </c>
      <c r="N313" s="53"/>
      <c r="O313" s="280" t="s">
        <v>2189</v>
      </c>
      <c r="P313" s="735">
        <f>R313*P298</f>
        <v>1931250</v>
      </c>
      <c r="Q313" s="734">
        <f>K302</f>
        <v>29400</v>
      </c>
      <c r="R313" s="280">
        <f>6900+825</f>
        <v>7725</v>
      </c>
      <c r="S313" s="15">
        <f>480+490</f>
        <v>970</v>
      </c>
      <c r="U313" s="19"/>
      <c r="V313" s="39">
        <v>190.4</v>
      </c>
      <c r="W313" s="40">
        <v>206.43</v>
      </c>
      <c r="X313" s="19"/>
      <c r="Y313" s="39">
        <v>63.8</v>
      </c>
      <c r="Z313" s="40">
        <v>70.599999999999994</v>
      </c>
      <c r="AB313" s="740">
        <v>250</v>
      </c>
      <c r="AC313" s="275">
        <v>280</v>
      </c>
      <c r="AD313" s="20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</row>
    <row r="314" spans="1:64" ht="14.65" thickBot="1">
      <c r="A314" s="80" t="str">
        <f>Tech!B129</f>
        <v>EQ Pulley</v>
      </c>
      <c r="B314" s="53" t="str">
        <f>Tech!C129</f>
        <v>Right</v>
      </c>
      <c r="F314" s="277"/>
      <c r="G314" s="283" t="str">
        <f>'E Gear B'!C9</f>
        <v>Class I</v>
      </c>
      <c r="H314" s="284">
        <f>'E Gear B'!D9</f>
        <v>20.89</v>
      </c>
      <c r="I314" s="284" t="str">
        <f>'E Gear B'!E9</f>
        <v>3AH650</v>
      </c>
      <c r="J314" s="284">
        <f>'E Gear B'!F9</f>
        <v>108150</v>
      </c>
      <c r="K314" s="284">
        <f>'E Gear B'!G9</f>
        <v>26250</v>
      </c>
      <c r="L314" s="284">
        <f>'E Gear B'!H9</f>
        <v>700</v>
      </c>
      <c r="O314" s="280" t="s">
        <v>2190</v>
      </c>
      <c r="P314" s="280"/>
      <c r="Q314" s="280"/>
      <c r="R314" s="280"/>
      <c r="S314" s="280"/>
      <c r="U314" s="19"/>
      <c r="V314" s="767">
        <v>206.43</v>
      </c>
      <c r="W314" s="768">
        <v>223.8</v>
      </c>
      <c r="X314" s="19"/>
      <c r="Y314" s="39">
        <v>70.599999999999994</v>
      </c>
      <c r="Z314" s="40">
        <v>78.2</v>
      </c>
      <c r="AA314" s="20"/>
      <c r="AB314" s="275">
        <v>280</v>
      </c>
      <c r="AC314" s="275">
        <v>315</v>
      </c>
      <c r="AD314" s="20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</row>
    <row r="315" spans="1:64" ht="14.65" thickBot="1">
      <c r="A315" s="80"/>
      <c r="B315" s="53"/>
      <c r="F315" s="277"/>
      <c r="G315" s="283" t="str">
        <f>'E Gear B'!C10</f>
        <v>Class II</v>
      </c>
      <c r="H315" s="284">
        <f>'E Gear B'!D10</f>
        <v>23.76</v>
      </c>
      <c r="I315" s="284" t="str">
        <f>'E Gear B'!E10</f>
        <v>3AH775</v>
      </c>
      <c r="J315" s="284">
        <f>'E Gear B'!F10</f>
        <v>195532</v>
      </c>
      <c r="K315" s="284">
        <f>'E Gear B'!G10</f>
        <v>29400</v>
      </c>
      <c r="L315" s="284">
        <f>'E Gear B'!H10</f>
        <v>1100</v>
      </c>
      <c r="M315" s="281"/>
      <c r="O315" s="280" t="s">
        <v>2191</v>
      </c>
      <c r="P315" s="735">
        <f>R315*P298</f>
        <v>74750</v>
      </c>
      <c r="Q315" s="734">
        <f>K302</f>
        <v>29400</v>
      </c>
      <c r="R315" s="275">
        <f>290+9</f>
        <v>299</v>
      </c>
      <c r="S315" s="748">
        <f>135*2+40</f>
        <v>310</v>
      </c>
      <c r="U315" s="19"/>
      <c r="V315" s="769">
        <f>VLOOKUP(J279,V288:V314,1)</f>
        <v>190.4</v>
      </c>
      <c r="W315" s="770">
        <f>VLOOKUP(V315,V288:W314,2,0)</f>
        <v>206.43</v>
      </c>
      <c r="X315" s="19"/>
      <c r="Y315" s="39">
        <v>78.2</v>
      </c>
      <c r="Z315" s="40">
        <v>86.5</v>
      </c>
      <c r="AA315" s="20"/>
      <c r="AB315" s="275">
        <v>315</v>
      </c>
      <c r="AC315" s="275">
        <v>355</v>
      </c>
      <c r="AD315" s="20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</row>
    <row r="316" spans="1:64">
      <c r="A316" s="80" t="str">
        <f>Tech!B131</f>
        <v>Thickness</v>
      </c>
      <c r="B316" s="53" t="str">
        <f>Tech!C131</f>
        <v>Right</v>
      </c>
      <c r="F316" s="277"/>
      <c r="G316" s="283" t="str">
        <f>'E Gear B'!C11</f>
        <v>Class III</v>
      </c>
      <c r="H316" s="284">
        <f>'E Gear B'!D11</f>
        <v>25.17</v>
      </c>
      <c r="I316" s="284" t="str">
        <f>'E Gear B'!E11</f>
        <v>3AH825</v>
      </c>
      <c r="J316" s="284">
        <f>'E Gear B'!F11</f>
        <v>203682</v>
      </c>
      <c r="K316" s="284">
        <f>'E Gear B'!G11</f>
        <v>33600</v>
      </c>
      <c r="L316" s="284">
        <f>'E Gear B'!H11</f>
        <v>1400</v>
      </c>
      <c r="M316" s="281"/>
      <c r="O316" s="280" t="s">
        <v>2192</v>
      </c>
      <c r="P316" s="735">
        <f>R316*P298</f>
        <v>80750</v>
      </c>
      <c r="Q316" s="734">
        <f>K302</f>
        <v>29400</v>
      </c>
      <c r="R316" s="275">
        <f>310+13</f>
        <v>323</v>
      </c>
      <c r="S316" s="748">
        <f>155*2+40</f>
        <v>350</v>
      </c>
      <c r="U316" s="19"/>
      <c r="X316" s="19"/>
      <c r="Y316" s="39">
        <v>86.5</v>
      </c>
      <c r="Z316" s="40">
        <v>95.7</v>
      </c>
      <c r="AA316" s="20"/>
      <c r="AB316" s="275">
        <v>355</v>
      </c>
      <c r="AC316" s="275">
        <v>400</v>
      </c>
      <c r="AD316" s="20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</row>
    <row r="317" spans="1:64">
      <c r="A317" s="80"/>
      <c r="B317" s="53"/>
      <c r="F317" s="277"/>
      <c r="G317" s="283" t="str">
        <f>'E Gear B'!C12</f>
        <v>Class IV</v>
      </c>
      <c r="H317" s="284">
        <f>'E Gear B'!D12</f>
        <v>21.09</v>
      </c>
      <c r="I317" s="284" t="str">
        <f>'E Gear B'!E12</f>
        <v>3AH950</v>
      </c>
      <c r="J317" s="284">
        <f>'E Gear B'!F12</f>
        <v>321637</v>
      </c>
      <c r="K317" s="284">
        <f>'E Gear B'!G12</f>
        <v>36750</v>
      </c>
      <c r="L317" s="284">
        <f>'E Gear B'!H12</f>
        <v>2200</v>
      </c>
      <c r="M317" s="281"/>
      <c r="O317" s="280" t="s">
        <v>2193</v>
      </c>
      <c r="P317" s="735">
        <f>R317*P298</f>
        <v>86750</v>
      </c>
      <c r="Q317" s="734">
        <f>K302</f>
        <v>29400</v>
      </c>
      <c r="R317" s="275">
        <f>330+17</f>
        <v>347</v>
      </c>
      <c r="S317" s="748">
        <f>173*2+40</f>
        <v>386</v>
      </c>
      <c r="U317" s="19"/>
      <c r="X317" s="19"/>
      <c r="Y317" s="39">
        <v>95.7</v>
      </c>
      <c r="Z317" s="40">
        <v>106</v>
      </c>
      <c r="AA317" s="20"/>
      <c r="AB317" s="275">
        <v>400</v>
      </c>
      <c r="AC317" s="275">
        <v>450</v>
      </c>
      <c r="AD317" s="20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</row>
    <row r="318" spans="1:64">
      <c r="A318" s="80" t="str">
        <f>Tech!B133</f>
        <v>GB Calculation</v>
      </c>
      <c r="B318" s="53" t="str">
        <f>Tech!C133</f>
        <v>Right</v>
      </c>
      <c r="F318" s="11">
        <f>'E Gear B'!B13</f>
        <v>7.3325330132052891E-2</v>
      </c>
      <c r="G318" s="771">
        <f>'E Gear B'!C13</f>
        <v>190.4</v>
      </c>
      <c r="H318" s="771">
        <f>'E Gear B'!D13</f>
        <v>23.76</v>
      </c>
      <c r="I318" s="771" t="str">
        <f>'E Gear B'!E13</f>
        <v>3AH775</v>
      </c>
      <c r="J318" s="771">
        <f>'E Gear B'!F13</f>
        <v>195532</v>
      </c>
      <c r="K318" s="771">
        <f>'E Gear B'!G13</f>
        <v>29400</v>
      </c>
      <c r="L318" s="771">
        <f>'E Gear B'!H13</f>
        <v>1100</v>
      </c>
      <c r="O318" s="280" t="s">
        <v>2194</v>
      </c>
      <c r="P318" s="735">
        <f>R318*P298</f>
        <v>100000</v>
      </c>
      <c r="Q318" s="734">
        <f>K302</f>
        <v>29400</v>
      </c>
      <c r="R318" s="275">
        <f>380+20</f>
        <v>400</v>
      </c>
      <c r="S318" s="748">
        <f>180*2+50</f>
        <v>410</v>
      </c>
      <c r="U318" s="19"/>
      <c r="X318" s="19"/>
      <c r="Y318" s="39">
        <v>106</v>
      </c>
      <c r="Z318" s="40">
        <v>117</v>
      </c>
      <c r="AA318" s="20"/>
      <c r="AB318" s="275">
        <v>450</v>
      </c>
      <c r="AC318" s="275">
        <v>500</v>
      </c>
      <c r="AD318" s="20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</row>
    <row r="319" spans="1:64">
      <c r="A319" s="80"/>
      <c r="B319" s="53"/>
      <c r="F319" s="106"/>
      <c r="O319" s="280" t="s">
        <v>2195</v>
      </c>
      <c r="P319" s="735">
        <f>R319*P298</f>
        <v>129250</v>
      </c>
      <c r="Q319" s="734">
        <f>K302</f>
        <v>29400</v>
      </c>
      <c r="R319" s="275">
        <f>490+27</f>
        <v>517</v>
      </c>
      <c r="S319" s="748">
        <f>203*2+60</f>
        <v>466</v>
      </c>
      <c r="U319" s="19"/>
      <c r="X319" s="19"/>
      <c r="Y319" s="39">
        <v>117</v>
      </c>
      <c r="Z319" s="40">
        <v>130</v>
      </c>
      <c r="AA319" s="20"/>
      <c r="AB319" s="275">
        <v>500</v>
      </c>
      <c r="AC319" s="275">
        <v>560</v>
      </c>
      <c r="AD319" s="20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</row>
    <row r="320" spans="1:64" ht="28.5">
      <c r="A320" s="80" t="str">
        <f>Tech!B135</f>
        <v>GB Selection</v>
      </c>
      <c r="B320" s="53" t="str">
        <f>Tech!C135</f>
        <v>Right</v>
      </c>
      <c r="F320" s="106"/>
      <c r="G320" s="763" t="str">
        <f>'E Gear B'!C15</f>
        <v>Anupam : 3177</v>
      </c>
      <c r="H320" s="764" t="str">
        <f>'E Gear B'!D15</f>
        <v>Upper H.P.</v>
      </c>
      <c r="I320" s="772" t="str">
        <f>'E Gear B'!E15</f>
        <v>Upper Frame</v>
      </c>
      <c r="J320" s="766" t="str">
        <f>'E Gear B'!F15</f>
        <v>Pricr of Gear Box</v>
      </c>
      <c r="K320" s="766" t="str">
        <f>'E Gear B'!G15</f>
        <v>Gear Coupling</v>
      </c>
      <c r="L320" s="766" t="str">
        <f>'E Gear B'!H15</f>
        <v>Weight OF GB</v>
      </c>
      <c r="M320" s="2" t="str">
        <f>'E Gear B'!I15</f>
        <v>Right</v>
      </c>
      <c r="O320" s="280" t="s">
        <v>2196</v>
      </c>
      <c r="P320" s="735">
        <f>R320*P298</f>
        <v>166250</v>
      </c>
      <c r="Q320" s="734">
        <f>K302</f>
        <v>29400</v>
      </c>
      <c r="R320" s="275">
        <f>630+35</f>
        <v>665</v>
      </c>
      <c r="S320" s="748">
        <f>215*2+60</f>
        <v>490</v>
      </c>
      <c r="U320" s="19"/>
      <c r="X320" s="19"/>
      <c r="Y320" s="39">
        <v>130</v>
      </c>
      <c r="Z320" s="40">
        <v>144</v>
      </c>
      <c r="AA320" s="20"/>
      <c r="AB320" s="275">
        <v>560</v>
      </c>
      <c r="AC320" s="275">
        <v>630</v>
      </c>
      <c r="AD320" s="20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</row>
    <row r="321" spans="1:64">
      <c r="A321" s="80"/>
      <c r="B321" s="53"/>
      <c r="F321" s="8"/>
      <c r="G321" s="283" t="str">
        <f>'E Gear B'!C16</f>
        <v>Class I</v>
      </c>
      <c r="H321" s="285">
        <f>'E Gear B'!D16</f>
        <v>30.79</v>
      </c>
      <c r="I321" s="285" t="str">
        <f>'E Gear B'!E16</f>
        <v>3AH775</v>
      </c>
      <c r="J321" s="285">
        <f>'E Gear B'!F16</f>
        <v>195532</v>
      </c>
      <c r="K321" s="285">
        <f>'E Gear B'!G16</f>
        <v>29400</v>
      </c>
      <c r="L321" s="285">
        <f>'E Gear B'!H16</f>
        <v>1100</v>
      </c>
      <c r="O321" s="280" t="s">
        <v>2197</v>
      </c>
      <c r="P321" s="735">
        <f>R321*P298</f>
        <v>225000</v>
      </c>
      <c r="Q321" s="734">
        <f>K302</f>
        <v>29400</v>
      </c>
      <c r="R321" s="275">
        <f>850+50</f>
        <v>900</v>
      </c>
      <c r="S321" s="748">
        <f>237*2+80</f>
        <v>554</v>
      </c>
      <c r="U321" s="19"/>
      <c r="X321" s="19"/>
      <c r="Y321" s="39">
        <v>144</v>
      </c>
      <c r="Z321" s="40">
        <v>159</v>
      </c>
      <c r="AA321" s="20"/>
      <c r="AB321" s="275">
        <v>630</v>
      </c>
      <c r="AC321" s="740">
        <v>630</v>
      </c>
      <c r="AD321" s="20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</row>
    <row r="322" spans="1:64" ht="14.65" thickBot="1">
      <c r="A322" s="80" t="str">
        <f>Tech!B137</f>
        <v>Auto GB</v>
      </c>
      <c r="B322" s="53" t="str">
        <f>Tech!C137</f>
        <v>Right</v>
      </c>
      <c r="F322" s="8"/>
      <c r="G322" s="283" t="str">
        <f>'E Gear B'!C17</f>
        <v>Class II</v>
      </c>
      <c r="H322" s="284">
        <f>'E Gear B'!D17</f>
        <v>21.68</v>
      </c>
      <c r="I322" s="285" t="str">
        <f>'E Gear B'!E17</f>
        <v>3AH775</v>
      </c>
      <c r="J322" s="284">
        <f>'E Gear B'!F17</f>
        <v>195532</v>
      </c>
      <c r="K322" s="284">
        <f>'E Gear B'!G17</f>
        <v>29400</v>
      </c>
      <c r="L322" s="284">
        <f>'E Gear B'!H17</f>
        <v>1100</v>
      </c>
      <c r="O322" s="280" t="s">
        <v>2198</v>
      </c>
      <c r="P322" s="735">
        <f>R322*P298</f>
        <v>305000</v>
      </c>
      <c r="Q322" s="734">
        <f>K302</f>
        <v>29400</v>
      </c>
      <c r="R322" s="275">
        <f>1150+70</f>
        <v>1220</v>
      </c>
      <c r="S322" s="748">
        <f>256*2+80</f>
        <v>592</v>
      </c>
      <c r="U322" s="19"/>
      <c r="V322" s="19"/>
      <c r="W322" s="19"/>
      <c r="X322" s="19"/>
      <c r="Y322" s="39">
        <v>159</v>
      </c>
      <c r="Z322" s="40">
        <v>176</v>
      </c>
      <c r="AA322" s="19"/>
      <c r="AB322" s="773"/>
      <c r="AC322" s="282"/>
      <c r="AD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</row>
    <row r="323" spans="1:64" ht="14.65" thickBot="1">
      <c r="A323" s="80"/>
      <c r="B323" s="53"/>
      <c r="F323" s="12"/>
      <c r="G323" s="283" t="str">
        <f>'E Gear B'!C18</f>
        <v>Class III</v>
      </c>
      <c r="H323" s="284">
        <f>'E Gear B'!D18</f>
        <v>23.25</v>
      </c>
      <c r="I323" s="285" t="str">
        <f>'E Gear B'!E18</f>
        <v>3AH825</v>
      </c>
      <c r="J323" s="284">
        <f>'E Gear B'!F18</f>
        <v>203682</v>
      </c>
      <c r="K323" s="284">
        <f>'E Gear B'!G18</f>
        <v>33600</v>
      </c>
      <c r="L323" s="284">
        <f>'E Gear B'!H18</f>
        <v>1400</v>
      </c>
      <c r="M323" s="281"/>
      <c r="O323" s="280" t="s">
        <v>2199</v>
      </c>
      <c r="P323" s="735">
        <f>R323*P298</f>
        <v>406250</v>
      </c>
      <c r="Q323" s="734">
        <f>K302</f>
        <v>29400</v>
      </c>
      <c r="R323" s="275">
        <f>1525+100</f>
        <v>1625</v>
      </c>
      <c r="S323" s="748">
        <f>286*2+110</f>
        <v>682</v>
      </c>
      <c r="U323" s="19"/>
      <c r="V323" s="19"/>
      <c r="W323" s="19"/>
      <c r="X323" s="19"/>
      <c r="Y323" s="39">
        <v>176</v>
      </c>
      <c r="Z323" s="40">
        <v>195</v>
      </c>
      <c r="AA323" s="19"/>
      <c r="AB323" s="769">
        <f>VLOOKUP(J279,AB287:AB321,1)</f>
        <v>200</v>
      </c>
      <c r="AC323" s="770">
        <f>VLOOKUP(AB323,AB287:AC321,2,0)</f>
        <v>224</v>
      </c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</row>
    <row r="324" spans="1:64">
      <c r="A324" s="80" t="str">
        <f>Tech!B139</f>
        <v>Gear Box Sheet</v>
      </c>
      <c r="B324" s="53" t="str">
        <f>Tech!C139</f>
        <v>Right</v>
      </c>
      <c r="C324" s="20"/>
      <c r="D324" s="20"/>
      <c r="E324" s="20"/>
      <c r="F324" s="8"/>
      <c r="G324" s="283" t="str">
        <f>'E Gear B'!C19</f>
        <v>Class IV</v>
      </c>
      <c r="H324" s="283">
        <f>'E Gear B'!D19</f>
        <v>25.54</v>
      </c>
      <c r="I324" s="283" t="str">
        <f>'E Gear B'!E19</f>
        <v>3AH1100</v>
      </c>
      <c r="J324" s="283">
        <f>'E Gear B'!F19</f>
        <v>412631</v>
      </c>
      <c r="K324" s="283">
        <f>'E Gear B'!G19</f>
        <v>42000</v>
      </c>
      <c r="L324" s="283">
        <f>'E Gear B'!H19</f>
        <v>2600</v>
      </c>
      <c r="M324" s="281"/>
      <c r="O324" s="280" t="s">
        <v>2200</v>
      </c>
      <c r="P324" s="735">
        <f>R324*P298</f>
        <v>555000</v>
      </c>
      <c r="Q324" s="734">
        <f>K302</f>
        <v>29400</v>
      </c>
      <c r="R324" s="275">
        <f>2080+140</f>
        <v>2220</v>
      </c>
      <c r="S324" s="748">
        <f>320*2+110</f>
        <v>750</v>
      </c>
      <c r="U324" s="19"/>
      <c r="V324" s="20"/>
      <c r="W324" s="20"/>
      <c r="X324" s="20"/>
      <c r="Y324" s="39">
        <v>195</v>
      </c>
      <c r="Z324" s="40">
        <v>215</v>
      </c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</row>
    <row r="325" spans="1:64">
      <c r="A325" s="80"/>
      <c r="B325" s="53"/>
      <c r="F325" s="11">
        <f>'E Gear B'!B20</f>
        <v>1.0022075971792499E-2</v>
      </c>
      <c r="G325" s="771">
        <f>'E Gear B'!C20</f>
        <v>206.43</v>
      </c>
      <c r="H325" s="771">
        <f>'E Gear B'!D20</f>
        <v>21.68</v>
      </c>
      <c r="I325" s="771" t="str">
        <f>'E Gear B'!E20</f>
        <v>3AH775</v>
      </c>
      <c r="J325" s="771">
        <f>'E Gear B'!F20</f>
        <v>195532</v>
      </c>
      <c r="K325" s="771">
        <f>'E Gear B'!G20</f>
        <v>29400</v>
      </c>
      <c r="L325" s="771">
        <f>'E Gear B'!H20</f>
        <v>1100</v>
      </c>
      <c r="M325" s="281"/>
      <c r="O325" s="280" t="s">
        <v>2201</v>
      </c>
      <c r="P325" s="735">
        <f>R325*P298</f>
        <v>761250</v>
      </c>
      <c r="Q325" s="734">
        <f>K302</f>
        <v>29400</v>
      </c>
      <c r="R325" s="275">
        <f>2840+205</f>
        <v>3045</v>
      </c>
      <c r="S325" s="748">
        <f>360*2+110</f>
        <v>830</v>
      </c>
      <c r="Y325" s="39">
        <v>215</v>
      </c>
      <c r="Z325" s="40">
        <v>238</v>
      </c>
    </row>
    <row r="326" spans="1:64">
      <c r="A326" s="80" t="str">
        <f>Tech!B141</f>
        <v>New</v>
      </c>
      <c r="B326" s="53" t="str">
        <f>Tech!C141</f>
        <v>Right</v>
      </c>
      <c r="F326" s="106"/>
      <c r="O326" s="280" t="s">
        <v>2202</v>
      </c>
      <c r="P326" s="735">
        <f>R326*P298</f>
        <v>1048750</v>
      </c>
      <c r="Q326" s="734">
        <f>K302</f>
        <v>29400</v>
      </c>
      <c r="R326" s="275">
        <f>3780+415</f>
        <v>4195</v>
      </c>
      <c r="S326" s="748">
        <f>410*2+140</f>
        <v>960</v>
      </c>
      <c r="Y326" s="39">
        <v>238</v>
      </c>
      <c r="Z326" s="40">
        <v>264</v>
      </c>
    </row>
    <row r="327" spans="1:64" ht="71.25">
      <c r="A327" s="80"/>
      <c r="B327" s="53"/>
      <c r="F327" s="8"/>
      <c r="G327" s="774" t="str">
        <f>'E Gear B'!C22</f>
        <v xml:space="preserve">Premium Ratio  : </v>
      </c>
      <c r="H327" s="764" t="str">
        <f>'E Gear B'!D22</f>
        <v xml:space="preserve"> H.P.</v>
      </c>
      <c r="I327" s="764" t="str">
        <f>'E Gear B'!E22</f>
        <v xml:space="preserve"> Frame</v>
      </c>
      <c r="J327" s="766" t="str">
        <f>'E Gear B'!F22</f>
        <v>Pricr of Gear Box</v>
      </c>
      <c r="K327" s="772" t="str">
        <f>'E Gear B'!G22</f>
        <v>Gear Coupling (Acc. Anupam &amp; Class)</v>
      </c>
      <c r="L327" s="766" t="str">
        <f>'E Gear B'!H22</f>
        <v>Weight OF GB</v>
      </c>
      <c r="M327" s="3" t="str">
        <f>'E Gear B'!I22</f>
        <v>Right</v>
      </c>
      <c r="O327" s="280" t="s">
        <v>2203</v>
      </c>
      <c r="P327" s="735">
        <f>R327*P298</f>
        <v>1412500</v>
      </c>
      <c r="Q327" s="734">
        <f>K302</f>
        <v>29400</v>
      </c>
      <c r="R327" s="280">
        <f>5100+550</f>
        <v>5650</v>
      </c>
      <c r="S327" s="15">
        <f>435*2+140</f>
        <v>1010</v>
      </c>
      <c r="Y327" s="39">
        <v>264</v>
      </c>
      <c r="Z327" s="40">
        <v>292</v>
      </c>
    </row>
    <row r="328" spans="1:64">
      <c r="A328" s="80" t="str">
        <f>Tech!B143</f>
        <v>New</v>
      </c>
      <c r="B328" s="53" t="str">
        <f>Tech!C143</f>
        <v>Right</v>
      </c>
      <c r="F328" s="11">
        <f>'E Gear B'!B23</f>
        <v>4.8005860805860889E-2</v>
      </c>
      <c r="G328" s="763">
        <f>'E Gear B'!C23</f>
        <v>195</v>
      </c>
      <c r="H328" s="285">
        <f>'E Gear B'!D23</f>
        <v>22.7</v>
      </c>
      <c r="I328" s="285" t="str">
        <f>'E Gear B'!E23</f>
        <v>PCD4 315</v>
      </c>
      <c r="J328" s="285">
        <f>'E Gear B'!F23</f>
        <v>305000</v>
      </c>
      <c r="K328" s="285">
        <f>'E Gear B'!G23</f>
        <v>29400</v>
      </c>
      <c r="L328" s="285">
        <f>'E Gear B'!H23</f>
        <v>1220</v>
      </c>
      <c r="O328" s="735" t="s">
        <v>2204</v>
      </c>
      <c r="P328" s="735">
        <f>R328*P298</f>
        <v>1931250</v>
      </c>
      <c r="Q328" s="734">
        <f>K302</f>
        <v>29400</v>
      </c>
      <c r="R328" s="280">
        <f>6900+825</f>
        <v>7725</v>
      </c>
      <c r="S328" s="15">
        <f>480*2+170</f>
        <v>1130</v>
      </c>
      <c r="Y328" s="39">
        <v>292</v>
      </c>
      <c r="Z328" s="40">
        <v>323</v>
      </c>
    </row>
    <row r="329" spans="1:64">
      <c r="A329" s="80"/>
      <c r="B329" s="53"/>
      <c r="F329" s="11">
        <f>'E Gear B'!B24</f>
        <v>4.948305647840523E-2</v>
      </c>
      <c r="G329" s="763">
        <f>'E Gear B'!C24</f>
        <v>215</v>
      </c>
      <c r="H329" s="285">
        <f>'E Gear B'!D24</f>
        <v>20.399999999999999</v>
      </c>
      <c r="I329" s="285" t="str">
        <f>'E Gear B'!E24</f>
        <v>PCD4 315</v>
      </c>
      <c r="J329" s="285">
        <f>'E Gear B'!F24</f>
        <v>305000</v>
      </c>
      <c r="K329" s="285">
        <f>'E Gear B'!G24</f>
        <v>29400</v>
      </c>
      <c r="L329" s="285">
        <f>'E Gear B'!H24</f>
        <v>1220</v>
      </c>
      <c r="M329" s="281"/>
      <c r="O329" s="277"/>
      <c r="P329" s="277"/>
      <c r="Q329" s="277"/>
      <c r="R329" s="277"/>
      <c r="S329" s="775"/>
      <c r="Y329" s="39">
        <v>323</v>
      </c>
      <c r="Z329" s="40">
        <v>358</v>
      </c>
    </row>
    <row r="330" spans="1:64">
      <c r="A330" s="80" t="str">
        <f>Tech!B145</f>
        <v>New</v>
      </c>
      <c r="B330" s="53" t="str">
        <f>Tech!C145</f>
        <v>Right</v>
      </c>
      <c r="F330" s="11"/>
      <c r="G330" s="281"/>
      <c r="H330" s="281"/>
      <c r="I330" s="281"/>
      <c r="J330" s="281"/>
      <c r="K330" s="281"/>
      <c r="L330" s="281"/>
      <c r="M330" s="281"/>
      <c r="O330" s="749" t="s">
        <v>2205</v>
      </c>
      <c r="P330" s="750">
        <f>L293</f>
        <v>250</v>
      </c>
      <c r="Q330" s="751" t="s">
        <v>675</v>
      </c>
      <c r="R330" s="278" t="s">
        <v>695</v>
      </c>
      <c r="S330" s="776"/>
      <c r="Y330" s="39">
        <v>358</v>
      </c>
      <c r="Z330" s="40">
        <v>396</v>
      </c>
    </row>
    <row r="331" spans="1:64" ht="71.25">
      <c r="F331" s="11"/>
      <c r="G331" s="774" t="str">
        <f>'E Gear B'!C26</f>
        <v xml:space="preserve">Elecon Ratio  : </v>
      </c>
      <c r="H331" s="764" t="str">
        <f>'E Gear B'!D26</f>
        <v xml:space="preserve"> H.P.</v>
      </c>
      <c r="I331" s="764" t="str">
        <f>'E Gear B'!E26</f>
        <v xml:space="preserve"> Frame</v>
      </c>
      <c r="J331" s="766" t="str">
        <f>'E Gear B'!F26</f>
        <v>Pricr of Gear Box</v>
      </c>
      <c r="K331" s="772" t="str">
        <f>'E Gear B'!G26</f>
        <v>Gear Coupling (Acc. Anupam &amp; Class)</v>
      </c>
      <c r="L331" s="766" t="str">
        <f>'E Gear B'!H26</f>
        <v>Weight OF GB</v>
      </c>
      <c r="M331" s="3" t="str">
        <f>'E Gear B'!I26</f>
        <v>Right</v>
      </c>
      <c r="O331" s="735" t="s">
        <v>696</v>
      </c>
      <c r="P331" s="735">
        <f>R331*P330</f>
        <v>42000</v>
      </c>
      <c r="Q331" s="734">
        <f>K302</f>
        <v>29400</v>
      </c>
      <c r="R331" s="275">
        <f>160+8</f>
        <v>168</v>
      </c>
      <c r="S331" s="748" t="s">
        <v>2298</v>
      </c>
      <c r="Y331" s="39">
        <v>396</v>
      </c>
      <c r="Z331" s="40">
        <v>438</v>
      </c>
    </row>
    <row r="332" spans="1:64">
      <c r="F332" s="11">
        <f>'E Gear B'!B27</f>
        <v>2.1805714285714428E-2</v>
      </c>
      <c r="G332" s="763">
        <f>'E Gear B'!C27</f>
        <v>200</v>
      </c>
      <c r="H332" s="285">
        <f>'E Gear B'!D27</f>
        <v>22</v>
      </c>
      <c r="I332" s="285" t="str">
        <f>'E Gear B'!E27</f>
        <v>SDN 315</v>
      </c>
      <c r="J332" s="285">
        <f>'E Gear B'!F27</f>
        <v>256500</v>
      </c>
      <c r="K332" s="285">
        <f>'E Gear B'!G27</f>
        <v>29400</v>
      </c>
      <c r="L332" s="285">
        <f>'E Gear B'!H27</f>
        <v>1026</v>
      </c>
      <c r="O332" s="735" t="s">
        <v>697</v>
      </c>
      <c r="P332" s="735">
        <f>R332*P330</f>
        <v>56250</v>
      </c>
      <c r="Q332" s="734">
        <f>K302</f>
        <v>29400</v>
      </c>
      <c r="R332" s="275">
        <f>215+10</f>
        <v>225</v>
      </c>
      <c r="S332" s="748" t="s">
        <v>2299</v>
      </c>
      <c r="Y332" s="39">
        <v>438</v>
      </c>
      <c r="Z332" s="40">
        <v>485</v>
      </c>
    </row>
    <row r="333" spans="1:64">
      <c r="F333" s="11">
        <f>'E Gear B'!B28</f>
        <v>8.7673469387754999E-2</v>
      </c>
      <c r="G333" s="763">
        <f>'E Gear B'!C28</f>
        <v>224</v>
      </c>
      <c r="H333" s="285">
        <f>'E Gear B'!D28</f>
        <v>20</v>
      </c>
      <c r="I333" s="285" t="str">
        <f>'E Gear B'!E28</f>
        <v>SDN 315</v>
      </c>
      <c r="J333" s="285">
        <f>'E Gear B'!F28</f>
        <v>256500</v>
      </c>
      <c r="K333" s="285">
        <f>'E Gear B'!G28</f>
        <v>29400</v>
      </c>
      <c r="L333" s="285">
        <f>'E Gear B'!H28</f>
        <v>1026</v>
      </c>
      <c r="O333" s="735" t="s">
        <v>2206</v>
      </c>
      <c r="P333" s="735">
        <f>R333*P330</f>
        <v>77250</v>
      </c>
      <c r="Q333" s="734">
        <f>K302</f>
        <v>29400</v>
      </c>
      <c r="R333" s="275">
        <f>295+14</f>
        <v>309</v>
      </c>
      <c r="S333" s="748" t="s">
        <v>2300</v>
      </c>
      <c r="Y333" s="39">
        <v>485</v>
      </c>
      <c r="Z333" s="40">
        <v>536</v>
      </c>
    </row>
    <row r="334" spans="1:64">
      <c r="F334" s="8"/>
      <c r="G334" s="277"/>
      <c r="H334" s="277"/>
      <c r="I334" s="277"/>
      <c r="J334" s="277"/>
      <c r="K334" s="277"/>
      <c r="L334" s="277"/>
      <c r="M334" s="277"/>
      <c r="O334" s="735" t="s">
        <v>2207</v>
      </c>
      <c r="P334" s="735">
        <f>R334*P330</f>
        <v>106750</v>
      </c>
      <c r="Q334" s="734">
        <f>K302</f>
        <v>29400</v>
      </c>
      <c r="R334" s="275">
        <f>405+22</f>
        <v>427</v>
      </c>
      <c r="S334" s="748" t="s">
        <v>2301</v>
      </c>
      <c r="Y334" s="39">
        <v>536</v>
      </c>
      <c r="Z334" s="40">
        <v>594</v>
      </c>
    </row>
    <row r="335" spans="1:64">
      <c r="F335" s="8"/>
      <c r="G335" s="762"/>
      <c r="H335" s="281"/>
      <c r="I335" s="281"/>
      <c r="J335" s="281"/>
      <c r="K335" s="281"/>
      <c r="L335" s="281"/>
      <c r="M335" s="281"/>
      <c r="O335" s="735" t="s">
        <v>2208</v>
      </c>
      <c r="P335" s="735">
        <f>R335*P330</f>
        <v>142000</v>
      </c>
      <c r="Q335" s="734">
        <f>K302</f>
        <v>29400</v>
      </c>
      <c r="R335" s="275">
        <f>540+28</f>
        <v>568</v>
      </c>
      <c r="S335" s="748" t="s">
        <v>2302</v>
      </c>
      <c r="Y335" s="39">
        <v>594</v>
      </c>
      <c r="Z335" s="40">
        <v>657</v>
      </c>
    </row>
    <row r="336" spans="1:64" ht="28.9" thickBot="1">
      <c r="F336" s="8"/>
      <c r="G336" s="777" t="str">
        <f>'E Gear B'!C31</f>
        <v>Anupam : 4137</v>
      </c>
      <c r="H336" s="778" t="str">
        <f>'E Gear B'!D31</f>
        <v>Lower H.P.</v>
      </c>
      <c r="I336" s="779" t="str">
        <f>'E Gear B'!E31</f>
        <v>Lower Frame</v>
      </c>
      <c r="J336" s="779" t="str">
        <f>'E Gear B'!F31</f>
        <v>Pricr of Gear Box</v>
      </c>
      <c r="K336" s="779" t="str">
        <f>'E Gear B'!G31</f>
        <v>Gear Coupling</v>
      </c>
      <c r="L336" s="779" t="str">
        <f>'E Gear B'!H31</f>
        <v>Weight OF GB</v>
      </c>
      <c r="M336" s="3" t="str">
        <f>'E Gear B'!I31</f>
        <v>Right</v>
      </c>
      <c r="O336" s="735" t="s">
        <v>2209</v>
      </c>
      <c r="P336" s="735">
        <f>R336*P330</f>
        <v>189750</v>
      </c>
      <c r="Q336" s="734">
        <f>K302</f>
        <v>29400</v>
      </c>
      <c r="R336" s="275">
        <f>720+39</f>
        <v>759</v>
      </c>
      <c r="S336" s="748" t="s">
        <v>2303</v>
      </c>
      <c r="Y336" s="767">
        <v>657</v>
      </c>
      <c r="Z336" s="768">
        <v>657</v>
      </c>
    </row>
    <row r="337" spans="6:26" ht="14.65" thickBot="1">
      <c r="F337" s="8"/>
      <c r="G337" s="283" t="str">
        <f>'E Gear B'!C32</f>
        <v>Class I</v>
      </c>
      <c r="H337" s="284">
        <f>'E Gear B'!D32</f>
        <v>0</v>
      </c>
      <c r="I337" s="284">
        <f>'E Gear B'!E32</f>
        <v>0</v>
      </c>
      <c r="J337" s="284">
        <f>'E Gear B'!F32</f>
        <v>0</v>
      </c>
      <c r="K337" s="284">
        <f>'E Gear B'!G32</f>
        <v>0</v>
      </c>
      <c r="L337" s="284">
        <f>'E Gear B'!H32</f>
        <v>0</v>
      </c>
      <c r="M337" s="3"/>
      <c r="O337" s="735" t="s">
        <v>2210</v>
      </c>
      <c r="P337" s="735">
        <f>R337*P330</f>
        <v>256500</v>
      </c>
      <c r="Q337" s="734">
        <f>K302</f>
        <v>29400</v>
      </c>
      <c r="R337" s="275">
        <f>970+56</f>
        <v>1026</v>
      </c>
      <c r="S337" s="748" t="s">
        <v>2304</v>
      </c>
      <c r="Y337" s="769">
        <f>VLOOKUP(J279,Y288:Y336,1)</f>
        <v>195</v>
      </c>
      <c r="Z337" s="770">
        <f>VLOOKUP(Y337,Y288:Z336,2,0)</f>
        <v>215</v>
      </c>
    </row>
    <row r="338" spans="6:26">
      <c r="F338" s="277"/>
      <c r="G338" s="283" t="str">
        <f>'E Gear B'!C33</f>
        <v>Class II</v>
      </c>
      <c r="H338" s="284">
        <f>'E Gear B'!D33</f>
        <v>20.86</v>
      </c>
      <c r="I338" s="284" t="str">
        <f>'E Gear B'!E33</f>
        <v>3AH825</v>
      </c>
      <c r="J338" s="284">
        <f>'E Gear B'!F33</f>
        <v>203682</v>
      </c>
      <c r="K338" s="284">
        <f>'E Gear B'!G33</f>
        <v>33600</v>
      </c>
      <c r="L338" s="284">
        <f>'E Gear B'!H33</f>
        <v>1400</v>
      </c>
      <c r="M338" s="3"/>
      <c r="O338" s="735" t="s">
        <v>2211</v>
      </c>
      <c r="P338" s="735">
        <f>R338*P330</f>
        <v>345000</v>
      </c>
      <c r="Q338" s="734">
        <f>K302</f>
        <v>29400</v>
      </c>
      <c r="R338" s="275">
        <f>1300+80</f>
        <v>1380</v>
      </c>
      <c r="S338" s="748" t="s">
        <v>2305</v>
      </c>
    </row>
    <row r="339" spans="6:26">
      <c r="F339" s="277"/>
      <c r="G339" s="283" t="str">
        <f>'E Gear B'!C34</f>
        <v>Class III</v>
      </c>
      <c r="H339" s="284">
        <f>'E Gear B'!D34</f>
        <v>21.47</v>
      </c>
      <c r="I339" s="284" t="str">
        <f>'E Gear B'!E34</f>
        <v>3AH950</v>
      </c>
      <c r="J339" s="284">
        <f>'E Gear B'!F34</f>
        <v>321637</v>
      </c>
      <c r="K339" s="284">
        <f>'E Gear B'!G34</f>
        <v>36750</v>
      </c>
      <c r="L339" s="284">
        <f>'E Gear B'!H34</f>
        <v>2200</v>
      </c>
      <c r="M339" s="3"/>
      <c r="O339" s="735" t="s">
        <v>2212</v>
      </c>
      <c r="P339" s="735">
        <f>R339*P330</f>
        <v>471250</v>
      </c>
      <c r="Q339" s="734">
        <f>K302</f>
        <v>29400</v>
      </c>
      <c r="R339" s="275">
        <f>1770+115</f>
        <v>1885</v>
      </c>
      <c r="S339" s="748" t="s">
        <v>2306</v>
      </c>
    </row>
    <row r="340" spans="6:26">
      <c r="F340" s="277"/>
      <c r="G340" s="283" t="str">
        <f>'E Gear B'!C35</f>
        <v>Class IV</v>
      </c>
      <c r="H340" s="284">
        <f>'E Gear B'!D35</f>
        <v>22</v>
      </c>
      <c r="I340" s="284" t="str">
        <f>'E Gear B'!E35</f>
        <v>3AH1100</v>
      </c>
      <c r="J340" s="284">
        <f>'E Gear B'!F35</f>
        <v>412631</v>
      </c>
      <c r="K340" s="284">
        <f>'E Gear B'!G35</f>
        <v>42000</v>
      </c>
      <c r="L340" s="284">
        <f>'E Gear B'!H35</f>
        <v>2600</v>
      </c>
      <c r="M340" s="3"/>
      <c r="O340" s="735" t="s">
        <v>2213</v>
      </c>
      <c r="P340" s="735">
        <f>R340*P330</f>
        <v>628750</v>
      </c>
      <c r="Q340" s="734">
        <f>K302</f>
        <v>29400</v>
      </c>
      <c r="R340" s="275">
        <f>2350+165</f>
        <v>2515</v>
      </c>
      <c r="S340" s="748" t="s">
        <v>2307</v>
      </c>
    </row>
    <row r="341" spans="6:26">
      <c r="F341" s="11">
        <f>'E Gear B'!B36</f>
        <v>7.3325330132052891E-2</v>
      </c>
      <c r="G341" s="780">
        <f>'E Gear B'!C36</f>
        <v>190.4</v>
      </c>
      <c r="H341" s="780">
        <f>'E Gear B'!D36</f>
        <v>20.86</v>
      </c>
      <c r="I341" s="780" t="str">
        <f>'E Gear B'!E36</f>
        <v>3AH825</v>
      </c>
      <c r="J341" s="780">
        <f>'E Gear B'!F36</f>
        <v>203682</v>
      </c>
      <c r="K341" s="780">
        <f>'E Gear B'!G36</f>
        <v>33600</v>
      </c>
      <c r="L341" s="780">
        <f>'E Gear B'!H36</f>
        <v>1400</v>
      </c>
      <c r="M341" s="3"/>
      <c r="O341" s="735" t="s">
        <v>2214</v>
      </c>
      <c r="P341" s="735">
        <f>R341*P330</f>
        <v>1017500</v>
      </c>
      <c r="Q341" s="734">
        <f>K302</f>
        <v>29400</v>
      </c>
      <c r="R341" s="275">
        <f>3850+220</f>
        <v>4070</v>
      </c>
      <c r="S341" s="748" t="s">
        <v>2308</v>
      </c>
    </row>
    <row r="342" spans="6:26">
      <c r="F342" s="277"/>
      <c r="G342" s="277"/>
      <c r="H342" s="277"/>
      <c r="I342" s="277"/>
      <c r="J342" s="277"/>
      <c r="K342" s="277"/>
      <c r="L342" s="277"/>
      <c r="M342" s="3"/>
      <c r="O342" s="735" t="s">
        <v>2215</v>
      </c>
      <c r="P342" s="735">
        <f>R342*P330</f>
        <v>1402500</v>
      </c>
      <c r="Q342" s="734">
        <f>K302</f>
        <v>29400</v>
      </c>
      <c r="R342" s="275">
        <f>5300+310</f>
        <v>5610</v>
      </c>
      <c r="S342" s="748" t="s">
        <v>2309</v>
      </c>
    </row>
    <row r="343" spans="6:26" ht="28.5">
      <c r="F343" s="277"/>
      <c r="G343" s="777" t="str">
        <f>'E Gear B'!C38</f>
        <v>Anupam : 4137</v>
      </c>
      <c r="H343" s="778" t="str">
        <f>'E Gear B'!D38</f>
        <v>Upper H.P.</v>
      </c>
      <c r="I343" s="778" t="str">
        <f>'E Gear B'!E38</f>
        <v>Upper Frame</v>
      </c>
      <c r="J343" s="779" t="str">
        <f>'E Gear B'!F38</f>
        <v>Pricr of Gear Box</v>
      </c>
      <c r="K343" s="779" t="str">
        <f>'E Gear B'!G38</f>
        <v>Gear Coupling</v>
      </c>
      <c r="L343" s="779" t="str">
        <f>'E Gear B'!H38</f>
        <v>Weight OF GB</v>
      </c>
      <c r="M343" s="3" t="str">
        <f>'E Gear B'!I38</f>
        <v>Right</v>
      </c>
      <c r="O343" s="735" t="s">
        <v>2216</v>
      </c>
      <c r="P343" s="735">
        <f>R343*P330</f>
        <v>1925000</v>
      </c>
      <c r="Q343" s="734">
        <f>K302</f>
        <v>29400</v>
      </c>
      <c r="R343" s="275">
        <f>7250+450</f>
        <v>7700</v>
      </c>
      <c r="S343" s="748" t="s">
        <v>2310</v>
      </c>
    </row>
    <row r="344" spans="6:26">
      <c r="F344" s="8"/>
      <c r="G344" s="283" t="str">
        <f>'E Gear B'!C39</f>
        <v>Class I</v>
      </c>
      <c r="H344" s="285">
        <f>'E Gear B'!D39</f>
        <v>0</v>
      </c>
      <c r="I344" s="285">
        <f>'E Gear B'!E39</f>
        <v>0</v>
      </c>
      <c r="J344" s="285">
        <f>'E Gear B'!F39</f>
        <v>0</v>
      </c>
      <c r="K344" s="285">
        <f>'E Gear B'!G39</f>
        <v>0</v>
      </c>
      <c r="L344" s="285">
        <f>'E Gear B'!H39</f>
        <v>0</v>
      </c>
      <c r="O344" s="735" t="s">
        <v>2217</v>
      </c>
      <c r="P344" s="735">
        <f>R344*P330</f>
        <v>2692500</v>
      </c>
      <c r="Q344" s="734">
        <f>K302</f>
        <v>29400</v>
      </c>
      <c r="R344" s="275">
        <f>10100+670</f>
        <v>10770</v>
      </c>
      <c r="S344" s="748">
        <v>710</v>
      </c>
    </row>
    <row r="345" spans="6:26">
      <c r="F345" s="277"/>
      <c r="G345" s="283" t="str">
        <f>'E Gear B'!C40</f>
        <v>Class II</v>
      </c>
      <c r="H345" s="285">
        <f>'E Gear B'!D40</f>
        <v>27.18</v>
      </c>
      <c r="I345" s="285" t="str">
        <f>'E Gear B'!E40</f>
        <v>3AH950</v>
      </c>
      <c r="J345" s="284">
        <f>'E Gear B'!F40</f>
        <v>321637</v>
      </c>
      <c r="K345" s="284">
        <f>'E Gear B'!G40</f>
        <v>36750</v>
      </c>
      <c r="L345" s="284">
        <f>'E Gear B'!H40</f>
        <v>2200</v>
      </c>
      <c r="O345" s="280" t="s">
        <v>2218</v>
      </c>
      <c r="P345" s="280">
        <f>R345*P330</f>
        <v>3750000</v>
      </c>
      <c r="Q345" s="734">
        <f>K302</f>
        <v>29400</v>
      </c>
      <c r="R345" s="280">
        <f>14100+900</f>
        <v>15000</v>
      </c>
      <c r="S345" s="15">
        <v>800</v>
      </c>
    </row>
    <row r="346" spans="6:26">
      <c r="F346" s="286"/>
      <c r="G346" s="283" t="str">
        <f>'E Gear B'!C41</f>
        <v>Class III</v>
      </c>
      <c r="H346" s="285">
        <f>'E Gear B'!D41</f>
        <v>26.07</v>
      </c>
      <c r="I346" s="285" t="str">
        <f>'E Gear B'!E41</f>
        <v>3AH1100</v>
      </c>
      <c r="J346" s="284">
        <f>'E Gear B'!F41</f>
        <v>412631</v>
      </c>
      <c r="K346" s="284">
        <f>'E Gear B'!G41</f>
        <v>42000</v>
      </c>
      <c r="L346" s="284">
        <f>'E Gear B'!H41</f>
        <v>2600</v>
      </c>
      <c r="O346" s="280" t="s">
        <v>2219</v>
      </c>
      <c r="P346" s="280"/>
      <c r="Q346" s="280"/>
      <c r="R346" s="280"/>
      <c r="S346" s="280"/>
    </row>
    <row r="347" spans="6:26">
      <c r="F347" s="277"/>
      <c r="G347" s="283" t="str">
        <f>'E Gear B'!C42</f>
        <v>Class IV</v>
      </c>
      <c r="H347" s="285">
        <f>'E Gear B'!D42</f>
        <v>29.23</v>
      </c>
      <c r="I347" s="285" t="str">
        <f>'E Gear B'!E42</f>
        <v>3AH1250</v>
      </c>
      <c r="J347" s="284">
        <f>'E Gear B'!F42</f>
        <v>504000</v>
      </c>
      <c r="K347" s="284">
        <f>'E Gear B'!G42</f>
        <v>52500</v>
      </c>
      <c r="L347" s="284">
        <f>'E Gear B'!H42</f>
        <v>3300</v>
      </c>
      <c r="O347" s="280" t="s">
        <v>2220</v>
      </c>
      <c r="P347" s="280">
        <f>R347*P330</f>
        <v>106750</v>
      </c>
      <c r="Q347" s="734">
        <f>K302</f>
        <v>29400</v>
      </c>
      <c r="R347" s="275">
        <f>405+22</f>
        <v>427</v>
      </c>
      <c r="S347" s="15">
        <f>20+225</f>
        <v>245</v>
      </c>
    </row>
    <row r="348" spans="6:26">
      <c r="F348" s="11">
        <f>'E Gear B'!B43</f>
        <v>1.0022075971792499E-2</v>
      </c>
      <c r="G348" s="780">
        <f>'E Gear B'!C43</f>
        <v>206.43</v>
      </c>
      <c r="H348" s="780">
        <f>'E Gear B'!D43</f>
        <v>27.18</v>
      </c>
      <c r="I348" s="780" t="str">
        <f>'E Gear B'!E43</f>
        <v>3AH950</v>
      </c>
      <c r="J348" s="780">
        <f>'E Gear B'!F43</f>
        <v>321637</v>
      </c>
      <c r="K348" s="780">
        <f>'E Gear B'!G43</f>
        <v>36750</v>
      </c>
      <c r="L348" s="780">
        <f>'E Gear B'!H43</f>
        <v>2200</v>
      </c>
      <c r="O348" s="280" t="s">
        <v>2221</v>
      </c>
      <c r="P348" s="280">
        <f>R348*P330</f>
        <v>142000</v>
      </c>
      <c r="Q348" s="734">
        <f>K302</f>
        <v>29400</v>
      </c>
      <c r="R348" s="275">
        <f>540+28</f>
        <v>568</v>
      </c>
      <c r="S348" s="15">
        <f>30+250</f>
        <v>280</v>
      </c>
    </row>
    <row r="349" spans="6:26">
      <c r="O349" s="280" t="s">
        <v>2222</v>
      </c>
      <c r="P349" s="280">
        <f>R349*P330</f>
        <v>189750</v>
      </c>
      <c r="Q349" s="734">
        <f>K302</f>
        <v>29400</v>
      </c>
      <c r="R349" s="275">
        <f>720+39</f>
        <v>759</v>
      </c>
      <c r="S349" s="15">
        <f>40+280</f>
        <v>320</v>
      </c>
    </row>
    <row r="350" spans="6:26">
      <c r="H350" s="22" t="s">
        <v>2662</v>
      </c>
      <c r="I350" s="22" t="str">
        <f>IF(F305="A",J350,J351)</f>
        <v>Right</v>
      </c>
      <c r="J350" s="22" t="str">
        <f>IF(M320="Right",IF(M313="Right","Right","3177 Down Wrong"),IF(M313="Right","3177 UP Wrong","3177 Up &amp; Down Wrong "))</f>
        <v>Right</v>
      </c>
      <c r="O350" s="280" t="s">
        <v>2223</v>
      </c>
      <c r="P350" s="280">
        <f>R350*P330</f>
        <v>256500</v>
      </c>
      <c r="Q350" s="734">
        <f>K302</f>
        <v>29400</v>
      </c>
      <c r="R350" s="275">
        <f>970+56</f>
        <v>1026</v>
      </c>
      <c r="S350" s="15">
        <f>40+315</f>
        <v>355</v>
      </c>
    </row>
    <row r="351" spans="6:26">
      <c r="H351" s="22" t="s">
        <v>656</v>
      </c>
      <c r="I351" s="281" t="str">
        <f>IF(M327="Right","Right","Premium Wrong")</f>
        <v>Right</v>
      </c>
      <c r="J351" s="22" t="str">
        <f>IF(M343="Right",IF(M336="Right","Right","4137 Down Wrong"),IF(M336="Right","4137 UP Wrong","4137 Up &amp; Down Wrong "))</f>
        <v>Right</v>
      </c>
      <c r="O351" s="280" t="s">
        <v>2224</v>
      </c>
      <c r="P351" s="280">
        <f>R351*P330</f>
        <v>345000</v>
      </c>
      <c r="Q351" s="734">
        <f>K302</f>
        <v>29400</v>
      </c>
      <c r="R351" s="275">
        <f>1300+80</f>
        <v>1380</v>
      </c>
      <c r="S351" s="15">
        <f>60+355</f>
        <v>415</v>
      </c>
    </row>
    <row r="352" spans="6:26">
      <c r="H352" s="22" t="s">
        <v>660</v>
      </c>
      <c r="I352" s="281" t="str">
        <f>IF(M331="Right","Right","Elecon Wrong")</f>
        <v>Right</v>
      </c>
      <c r="O352" s="280" t="s">
        <v>2225</v>
      </c>
      <c r="P352" s="280">
        <f>R352*P330</f>
        <v>471250</v>
      </c>
      <c r="Q352" s="734">
        <f>K302</f>
        <v>29400</v>
      </c>
      <c r="R352" s="275">
        <f>1770+115</f>
        <v>1885</v>
      </c>
      <c r="S352" s="15">
        <f>60+400</f>
        <v>460</v>
      </c>
    </row>
    <row r="353" spans="7:19">
      <c r="G353" s="22" t="s">
        <v>714</v>
      </c>
      <c r="H353" s="781" t="str">
        <f>J283</f>
        <v>Elite</v>
      </c>
      <c r="I353" s="782" t="str">
        <f>VLOOKUP(H353,H350:I352,2,0)</f>
        <v>Right</v>
      </c>
      <c r="O353" s="280" t="s">
        <v>2226</v>
      </c>
      <c r="P353" s="280">
        <f>R353*P330</f>
        <v>628750</v>
      </c>
      <c r="Q353" s="734">
        <f>K302</f>
        <v>29400</v>
      </c>
      <c r="R353" s="275">
        <f>2350+165</f>
        <v>2515</v>
      </c>
      <c r="S353" s="15">
        <f>80+450</f>
        <v>530</v>
      </c>
    </row>
    <row r="354" spans="7:19">
      <c r="O354" s="280" t="s">
        <v>2227</v>
      </c>
      <c r="P354" s="280">
        <f>R354*P330</f>
        <v>1017500</v>
      </c>
      <c r="Q354" s="734">
        <f>K302</f>
        <v>29400</v>
      </c>
      <c r="R354" s="275">
        <f>3850+220</f>
        <v>4070</v>
      </c>
      <c r="S354" s="15">
        <f>80+500</f>
        <v>580</v>
      </c>
    </row>
    <row r="355" spans="7:19">
      <c r="O355" s="280" t="s">
        <v>2228</v>
      </c>
      <c r="P355" s="280">
        <f>R355*P330</f>
        <v>1402500</v>
      </c>
      <c r="Q355" s="734">
        <f>K302</f>
        <v>29400</v>
      </c>
      <c r="R355" s="275">
        <f>5300+310</f>
        <v>5610</v>
      </c>
      <c r="S355" s="15">
        <f>100+560</f>
        <v>660</v>
      </c>
    </row>
    <row r="356" spans="7:19">
      <c r="O356" s="280" t="s">
        <v>2229</v>
      </c>
      <c r="P356" s="280">
        <f>R356*P330</f>
        <v>1925000</v>
      </c>
      <c r="Q356" s="734">
        <f>K302</f>
        <v>29400</v>
      </c>
      <c r="R356" s="275">
        <f>7250+450</f>
        <v>7700</v>
      </c>
      <c r="S356" s="15">
        <f>100+630</f>
        <v>730</v>
      </c>
    </row>
    <row r="357" spans="7:19">
      <c r="O357" s="280" t="s">
        <v>2230</v>
      </c>
      <c r="P357" s="280">
        <f>R357*P330</f>
        <v>2692500</v>
      </c>
      <c r="Q357" s="734">
        <f>K302</f>
        <v>29400</v>
      </c>
      <c r="R357" s="275">
        <f>10100+670</f>
        <v>10770</v>
      </c>
      <c r="S357" s="15">
        <f>120+710</f>
        <v>830</v>
      </c>
    </row>
    <row r="358" spans="7:19">
      <c r="O358" s="735" t="s">
        <v>2231</v>
      </c>
      <c r="P358" s="735">
        <f>R358*P330</f>
        <v>3750000</v>
      </c>
      <c r="Q358" s="734">
        <f>K302</f>
        <v>29400</v>
      </c>
      <c r="R358" s="280">
        <f>14100+900</f>
        <v>15000</v>
      </c>
      <c r="S358" s="748">
        <f>120+800</f>
        <v>920</v>
      </c>
    </row>
  </sheetData>
  <dataConsolidate/>
  <mergeCells count="143">
    <mergeCell ref="V286:W286"/>
    <mergeCell ref="V1:V2"/>
    <mergeCell ref="K42:K43"/>
    <mergeCell ref="Y286:Z286"/>
    <mergeCell ref="W1:W2"/>
    <mergeCell ref="X1:X2"/>
    <mergeCell ref="Y1:Y2"/>
    <mergeCell ref="Z1:Z2"/>
    <mergeCell ref="U275:V275"/>
    <mergeCell ref="U276:V276"/>
    <mergeCell ref="U277:V277"/>
    <mergeCell ref="U278:V278"/>
    <mergeCell ref="U279:V279"/>
    <mergeCell ref="M19:N19"/>
    <mergeCell ref="C138:I138"/>
    <mergeCell ref="F178:H178"/>
    <mergeCell ref="C205:F205"/>
    <mergeCell ref="G207:H207"/>
    <mergeCell ref="G208:H208"/>
    <mergeCell ref="A230:E230"/>
    <mergeCell ref="F230:H230"/>
    <mergeCell ref="I230:K230"/>
    <mergeCell ref="I177:K178"/>
    <mergeCell ref="A231:E231"/>
    <mergeCell ref="F231:H231"/>
    <mergeCell ref="I231:K231"/>
    <mergeCell ref="A177:E177"/>
    <mergeCell ref="F177:H177"/>
    <mergeCell ref="A175:E175"/>
    <mergeCell ref="U1:U2"/>
    <mergeCell ref="AH240:AH241"/>
    <mergeCell ref="AI240:AI241"/>
    <mergeCell ref="R86:R87"/>
    <mergeCell ref="S86:T87"/>
    <mergeCell ref="AB240:AB241"/>
    <mergeCell ref="AC240:AC241"/>
    <mergeCell ref="AD240:AD241"/>
    <mergeCell ref="AE240:AE241"/>
    <mergeCell ref="AF240:AF241"/>
    <mergeCell ref="AG240:AG241"/>
    <mergeCell ref="Q1:T1"/>
    <mergeCell ref="A120:E120"/>
    <mergeCell ref="F120:H120"/>
    <mergeCell ref="I120:K120"/>
    <mergeCell ref="I86:K87"/>
    <mergeCell ref="F106:G106"/>
    <mergeCell ref="A50:E50"/>
    <mergeCell ref="AB286:AC286"/>
    <mergeCell ref="S47:U47"/>
    <mergeCell ref="F175:H175"/>
    <mergeCell ref="I175:K175"/>
    <mergeCell ref="A176:E176"/>
    <mergeCell ref="F176:H176"/>
    <mergeCell ref="I176:K176"/>
    <mergeCell ref="J172:J173"/>
    <mergeCell ref="I122:K123"/>
    <mergeCell ref="A121:E121"/>
    <mergeCell ref="F121:H121"/>
    <mergeCell ref="I121:K121"/>
    <mergeCell ref="A122:E122"/>
    <mergeCell ref="F122:H122"/>
    <mergeCell ref="F123:H123"/>
    <mergeCell ref="A232:E232"/>
    <mergeCell ref="F232:H232"/>
    <mergeCell ref="F233:H233"/>
    <mergeCell ref="B251:J251"/>
    <mergeCell ref="C254:J254"/>
    <mergeCell ref="U274:V274"/>
    <mergeCell ref="I232:K233"/>
    <mergeCell ref="U280:V280"/>
    <mergeCell ref="X132:AC132"/>
    <mergeCell ref="BA83:BB83"/>
    <mergeCell ref="A84:E84"/>
    <mergeCell ref="F84:H84"/>
    <mergeCell ref="I84:K84"/>
    <mergeCell ref="AH84:AO84"/>
    <mergeCell ref="AT84:AU84"/>
    <mergeCell ref="A52:E52"/>
    <mergeCell ref="F52:H52"/>
    <mergeCell ref="F53:H53"/>
    <mergeCell ref="C81:E81"/>
    <mergeCell ref="C82:E82"/>
    <mergeCell ref="T66:T68"/>
    <mergeCell ref="U66:U68"/>
    <mergeCell ref="V66:V68"/>
    <mergeCell ref="S66:S68"/>
    <mergeCell ref="Z66:Z68"/>
    <mergeCell ref="Y66:Y68"/>
    <mergeCell ref="X66:X68"/>
    <mergeCell ref="W66:W68"/>
    <mergeCell ref="AA65:AA68"/>
    <mergeCell ref="R53:R55"/>
    <mergeCell ref="S53:S55"/>
    <mergeCell ref="T53:T55"/>
    <mergeCell ref="U53:U55"/>
    <mergeCell ref="AX83:AY83"/>
    <mergeCell ref="K70:K73"/>
    <mergeCell ref="I52:K53"/>
    <mergeCell ref="N86:O87"/>
    <mergeCell ref="P86:Q87"/>
    <mergeCell ref="A85:E85"/>
    <mergeCell ref="F85:H85"/>
    <mergeCell ref="I85:K85"/>
    <mergeCell ref="A86:E86"/>
    <mergeCell ref="F86:H86"/>
    <mergeCell ref="F87:H87"/>
    <mergeCell ref="V53:V55"/>
    <mergeCell ref="W53:W55"/>
    <mergeCell ref="Q52:Q55"/>
    <mergeCell ref="R52:W52"/>
    <mergeCell ref="F50:H50"/>
    <mergeCell ref="I50:K50"/>
    <mergeCell ref="A51:E51"/>
    <mergeCell ref="F51:H51"/>
    <mergeCell ref="I51:K51"/>
    <mergeCell ref="M20:N20"/>
    <mergeCell ref="BE1:BF1"/>
    <mergeCell ref="AA1:AA2"/>
    <mergeCell ref="AK1:AK2"/>
    <mergeCell ref="AL1:AL2"/>
    <mergeCell ref="AV1:AV2"/>
    <mergeCell ref="AW1:AW2"/>
    <mergeCell ref="AX1:AX2"/>
    <mergeCell ref="AY1:AY2"/>
    <mergeCell ref="AZ1:AZ2"/>
    <mergeCell ref="BA1:BA2"/>
    <mergeCell ref="BB1:BB2"/>
    <mergeCell ref="AC1:AD1"/>
    <mergeCell ref="AG1:AJ1"/>
    <mergeCell ref="AN1:AO1"/>
    <mergeCell ref="AR1:AU1"/>
    <mergeCell ref="I3:K4"/>
    <mergeCell ref="M21:N21"/>
    <mergeCell ref="I20:J20"/>
    <mergeCell ref="F1:H1"/>
    <mergeCell ref="I1:K1"/>
    <mergeCell ref="A2:E2"/>
    <mergeCell ref="F2:H2"/>
    <mergeCell ref="I2:K2"/>
    <mergeCell ref="A3:E3"/>
    <mergeCell ref="F3:H3"/>
    <mergeCell ref="F4:H4"/>
    <mergeCell ref="A1:E1"/>
  </mergeCells>
  <dataValidations count="17">
    <dataValidation allowBlank="1" showInputMessage="1" showErrorMessage="1" sqref="V35:V36 I61 AE65:AE66 AE69 J102 K13 I18 F21 I37:I39 V89:X89 Q153:R153 R150 R145:R147 Q145:Q150 F111:F112 V132:V155 Q151:T151 J191 W113:W114 R148:S148 P128:R128 R149:T149 AU159:AU170 Q136:R144 V33:Y34 J182 O70:Q70 O68:Q68 O75 AB58" xr:uid="{00000000-0002-0000-0300-000000000000}"/>
    <dataValidation type="list" allowBlank="1" showInputMessage="1" showErrorMessage="1" sqref="I20:J20" xr:uid="{00000000-0002-0000-0300-000001000000}">
      <formula1>$O$19:$O$21</formula1>
    </dataValidation>
    <dataValidation type="list" allowBlank="1" showInputMessage="1" showErrorMessage="1" sqref="I14" xr:uid="{00000000-0002-0000-0300-000002000000}">
      <formula1>$N$14:$O$14</formula1>
    </dataValidation>
    <dataValidation type="list" allowBlank="1" showInputMessage="1" showErrorMessage="1" sqref="I34" xr:uid="{00000000-0002-0000-0300-000003000000}">
      <formula1>$V$33:$X$33</formula1>
    </dataValidation>
    <dataValidation type="list" allowBlank="1" showInputMessage="1" showErrorMessage="1" sqref="J283" xr:uid="{00000000-0002-0000-0300-000004000000}">
      <formula1>$Z$274:$Z$277</formula1>
    </dataValidation>
    <dataValidation type="list" allowBlank="1" showInputMessage="1" showErrorMessage="1" sqref="J284" xr:uid="{00000000-0002-0000-0300-000005000000}">
      <formula1>$Y$274:$Y$279</formula1>
    </dataValidation>
    <dataValidation type="list" allowBlank="1" showInputMessage="1" showErrorMessage="1" sqref="J126" xr:uid="{00000000-0002-0000-0300-000006000000}">
      <formula1>$Q$128:$R$128</formula1>
    </dataValidation>
    <dataValidation type="list" allowBlank="1" showInputMessage="1" showErrorMessage="1" sqref="J141 J145" xr:uid="{00000000-0002-0000-0300-000007000000}">
      <formula1>$T$135:$T$146</formula1>
    </dataValidation>
    <dataValidation type="list" allowBlank="1" showInputMessage="1" showErrorMessage="1" sqref="F110" xr:uid="{00000000-0002-0000-0300-000008000000}">
      <formula1>$V$112:$V$116</formula1>
    </dataValidation>
    <dataValidation type="list" allowBlank="1" showInputMessage="1" showErrorMessage="1" sqref="F106:G106" xr:uid="{00000000-0002-0000-0300-000009000000}">
      <formula1>$W$112:$W$114</formula1>
    </dataValidation>
    <dataValidation type="list" allowBlank="1" showInputMessage="1" showErrorMessage="1" sqref="K286" xr:uid="{00000000-0002-0000-0300-00000A000000}">
      <formula1>$N$289:$N$291</formula1>
    </dataValidation>
    <dataValidation type="list" allowBlank="1" showInputMessage="1" showErrorMessage="1" sqref="J290" xr:uid="{00000000-0002-0000-0300-00000B000000}">
      <formula1>$O$286:$O$358</formula1>
    </dataValidation>
    <dataValidation type="list" allowBlank="1" showInputMessage="1" showErrorMessage="1" sqref="J132" xr:uid="{00000000-0002-0000-0300-00000C000000}">
      <formula1>$R$136:$R$150</formula1>
    </dataValidation>
    <dataValidation type="list" allowBlank="1" showInputMessage="1" showErrorMessage="1" sqref="I36" xr:uid="{00000000-0002-0000-0300-00000D000000}">
      <formula1>$V$34:$Y$34</formula1>
    </dataValidation>
    <dataValidation type="list" allowBlank="1" showInputMessage="1" showErrorMessage="1" sqref="M70" xr:uid="{00000000-0002-0000-0300-00000E000000}">
      <formula1>$AQ$57:$AQ$79</formula1>
    </dataValidation>
    <dataValidation type="list" allowBlank="1" showInputMessage="1" showErrorMessage="1" sqref="I71" xr:uid="{00000000-0002-0000-0300-00000F000000}">
      <formula1>$AE$65:$AE$80</formula1>
    </dataValidation>
    <dataValidation type="list" allowBlank="1" showInputMessage="1" showErrorMessage="1" sqref="I69" xr:uid="{00000000-0002-0000-0300-000010000000}">
      <formula1>$O$68:$Q$68</formula1>
    </dataValidation>
  </dataValidations>
  <printOptions horizontalCentered="1"/>
  <pageMargins left="0.235416666666667" right="7.7777777777777807E-2" top="0.5" bottom="0.235416666666667" header="0.51041666666666696" footer="0.235416666666667"/>
  <pageSetup paperSize="9" scale="80" orientation="portrait" r:id="rId1"/>
  <headerFooter alignWithMargins="0"/>
  <rowBreaks count="6" manualBreakCount="6">
    <brk id="49" max="10" man="1"/>
    <brk id="83" max="10" man="1"/>
    <brk id="119" max="10" man="1"/>
    <brk id="174" max="10" man="1"/>
    <brk id="229" max="10" man="1"/>
    <brk id="295" max="10" man="1"/>
  </rowBreaks>
  <colBreaks count="1" manualBreakCount="1">
    <brk id="11" max="65534" man="1"/>
  </colBreaks>
  <ignoredErrors>
    <ignoredError sqref="I38" numberStoredAsText="1"/>
  </ignoredErrors>
  <drawing r:id="rId2"/>
  <legacyDrawing r:id="rId3"/>
  <oleObjects>
    <mc:AlternateContent xmlns:mc="http://schemas.openxmlformats.org/markup-compatibility/2006">
      <mc:Choice Requires="x14">
        <oleObject progId="AutoCAD.Drawing.16" shapeId="4134" r:id="rId4">
          <objectPr defaultSize="0" autoPict="0" r:id="rId5">
            <anchor moveWithCells="1">
              <from>
                <xdr:col>0</xdr:col>
                <xdr:colOff>390525</xdr:colOff>
                <xdr:row>208</xdr:row>
                <xdr:rowOff>142875</xdr:rowOff>
              </from>
              <to>
                <xdr:col>6</xdr:col>
                <xdr:colOff>419100</xdr:colOff>
                <xdr:row>219</xdr:row>
                <xdr:rowOff>38100</xdr:rowOff>
              </to>
            </anchor>
          </objectPr>
        </oleObject>
      </mc:Choice>
      <mc:Fallback>
        <oleObject progId="AutoCAD.Drawing.16" shapeId="4134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A578"/>
  <sheetViews>
    <sheetView showGridLines="0" tabSelected="1" view="pageBreakPreview" zoomScale="85" zoomScaleSheetLayoutView="85" workbookViewId="0">
      <selection activeCell="I7" sqref="I7"/>
    </sheetView>
  </sheetViews>
  <sheetFormatPr defaultColWidth="9.1328125" defaultRowHeight="14.25"/>
  <cols>
    <col min="1" max="1" width="9.1328125" style="22"/>
    <col min="2" max="2" width="12.86328125" style="22"/>
    <col min="3" max="3" width="12.86328125" style="22" customWidth="1"/>
    <col min="4" max="4" width="5.6640625" style="22" customWidth="1"/>
    <col min="5" max="5" width="4.86328125" style="22" customWidth="1"/>
    <col min="6" max="6" width="11" style="22"/>
    <col min="7" max="7" width="9.33203125" style="22" customWidth="1"/>
    <col min="8" max="8" width="12.6640625" style="22" customWidth="1"/>
    <col min="9" max="9" width="17.1328125" style="22" customWidth="1"/>
    <col min="10" max="10" width="17.53125" style="22" customWidth="1"/>
    <col min="11" max="11" width="11" style="22" customWidth="1"/>
    <col min="12" max="12" width="12.53125" style="22" customWidth="1"/>
    <col min="13" max="13" width="13.46484375" style="22" customWidth="1"/>
    <col min="14" max="15" width="14.33203125" style="22" customWidth="1"/>
    <col min="16" max="16" width="12.86328125" style="22"/>
    <col min="17" max="17" width="10.6640625" style="22" customWidth="1"/>
    <col min="18" max="18" width="9.53125" style="22"/>
    <col min="19" max="19" width="10.53125" style="22" customWidth="1"/>
    <col min="20" max="20" width="11.86328125" style="22" customWidth="1"/>
    <col min="21" max="21" width="12.46484375" style="22" customWidth="1"/>
    <col min="22" max="22" width="11" style="22" customWidth="1"/>
    <col min="23" max="23" width="14.6640625" style="22" customWidth="1"/>
    <col min="24" max="29" width="9.1328125" style="22"/>
    <col min="30" max="30" width="12.86328125" style="22"/>
    <col min="31" max="31" width="24.6640625" style="22" bestFit="1" customWidth="1"/>
    <col min="32" max="32" width="12.86328125" style="22"/>
    <col min="33" max="43" width="9.1328125" style="22"/>
    <col min="44" max="44" width="12.86328125" style="22"/>
    <col min="45" max="45" width="11.6640625" style="22"/>
    <col min="46" max="16384" width="9.1328125" style="22"/>
  </cols>
  <sheetData>
    <row r="1" spans="1:59">
      <c r="A1" s="3769" t="s">
        <v>1</v>
      </c>
      <c r="B1" s="3770"/>
      <c r="C1" s="3770"/>
      <c r="D1" s="3770"/>
      <c r="E1" s="3771"/>
      <c r="F1" s="3735" t="s">
        <v>109</v>
      </c>
      <c r="G1" s="3736"/>
      <c r="H1" s="3737"/>
      <c r="I1" s="3738" t="s">
        <v>2</v>
      </c>
      <c r="J1" s="3739"/>
      <c r="K1" s="3740"/>
      <c r="L1" s="19"/>
      <c r="M1" s="19"/>
      <c r="N1" s="19"/>
      <c r="O1" s="19"/>
      <c r="P1" s="19"/>
      <c r="Q1" s="3712"/>
      <c r="R1" s="3712"/>
      <c r="S1" s="3712"/>
      <c r="T1" s="3715"/>
      <c r="U1" s="3713"/>
      <c r="V1" s="3714"/>
      <c r="W1" s="3713"/>
      <c r="X1" s="3713"/>
      <c r="Y1" s="3713"/>
      <c r="Z1" s="3713"/>
      <c r="AA1" s="3713"/>
      <c r="AC1" s="3712"/>
      <c r="AD1" s="3712"/>
      <c r="AG1" s="3712"/>
      <c r="AH1" s="3712"/>
      <c r="AI1" s="3712"/>
      <c r="AJ1" s="3715"/>
      <c r="AK1" s="3713"/>
      <c r="AL1" s="3714"/>
      <c r="AN1" s="3712"/>
      <c r="AO1" s="3712"/>
      <c r="AR1" s="3712"/>
      <c r="AS1" s="3712"/>
      <c r="AT1" s="3712"/>
      <c r="AU1" s="3715"/>
      <c r="AV1" s="3713"/>
      <c r="AW1" s="3714"/>
      <c r="AX1" s="3713"/>
      <c r="AY1" s="3713"/>
      <c r="AZ1" s="3713"/>
      <c r="BA1" s="3713"/>
      <c r="BB1" s="3713"/>
      <c r="BE1" s="3712"/>
      <c r="BF1" s="3712"/>
      <c r="BG1" s="3714"/>
    </row>
    <row r="2" spans="1:59">
      <c r="A2" s="3741" t="str">
        <f>+MH!A2</f>
        <v>ELITEMHE INDUSTRIES LIMITED</v>
      </c>
      <c r="B2" s="3742"/>
      <c r="C2" s="3742"/>
      <c r="D2" s="3742"/>
      <c r="E2" s="3743"/>
      <c r="F2" s="3744" t="str">
        <f>'E Data'!D2</f>
        <v xml:space="preserve">25/15T D/G EOT CRANE  </v>
      </c>
      <c r="G2" s="3695"/>
      <c r="H2" s="3745"/>
      <c r="I2" s="3746">
        <f>'E Data'!G2</f>
        <v>0</v>
      </c>
      <c r="J2" s="3747"/>
      <c r="K2" s="3748"/>
      <c r="L2" s="19"/>
      <c r="M2" s="19"/>
      <c r="N2" s="19"/>
      <c r="O2" s="19"/>
      <c r="P2" s="19"/>
      <c r="Q2" s="287"/>
      <c r="R2" s="288"/>
      <c r="S2" s="289"/>
      <c r="T2" s="290"/>
      <c r="U2" s="3713"/>
      <c r="V2" s="3714"/>
      <c r="W2" s="3713"/>
      <c r="X2" s="3713"/>
      <c r="Y2" s="3713"/>
      <c r="Z2" s="3713"/>
      <c r="AA2" s="3713"/>
      <c r="AC2" s="291"/>
      <c r="AD2" s="292"/>
      <c r="AG2" s="287"/>
      <c r="AH2" s="288"/>
      <c r="AI2" s="289"/>
      <c r="AJ2" s="290"/>
      <c r="AK2" s="3713"/>
      <c r="AL2" s="3714"/>
      <c r="AN2" s="291"/>
      <c r="AO2" s="292"/>
      <c r="AP2" s="80"/>
      <c r="AR2" s="287"/>
      <c r="AS2" s="288"/>
      <c r="AT2" s="289"/>
      <c r="AU2" s="290"/>
      <c r="AV2" s="3713"/>
      <c r="AW2" s="3714"/>
      <c r="AX2" s="3713"/>
      <c r="AY2" s="3713"/>
      <c r="AZ2" s="3713"/>
      <c r="BA2" s="3713"/>
      <c r="BB2" s="3713"/>
      <c r="BE2" s="291"/>
      <c r="BF2" s="292"/>
      <c r="BG2" s="3714"/>
    </row>
    <row r="3" spans="1:59">
      <c r="A3" s="3763" t="e">
        <f>#REF!</f>
        <v>#REF!</v>
      </c>
      <c r="B3" s="3760"/>
      <c r="C3" s="3760"/>
      <c r="D3" s="3760"/>
      <c r="E3" s="3761"/>
      <c r="F3" s="3759" t="s">
        <v>122</v>
      </c>
      <c r="G3" s="3760"/>
      <c r="H3" s="3761"/>
      <c r="I3" s="3750" t="s">
        <v>740</v>
      </c>
      <c r="J3" s="3751"/>
      <c r="K3" s="3752"/>
      <c r="L3" s="19"/>
      <c r="M3" s="19"/>
      <c r="N3" s="342"/>
      <c r="O3" s="19"/>
      <c r="P3" s="19"/>
      <c r="Q3" s="293"/>
      <c r="R3" s="19"/>
      <c r="S3" s="294"/>
      <c r="T3" s="19"/>
      <c r="U3" s="19"/>
      <c r="V3" s="295"/>
      <c r="W3" s="20"/>
      <c r="X3" s="20"/>
      <c r="Y3" s="20"/>
      <c r="Z3" s="20"/>
      <c r="AA3" s="20"/>
      <c r="AC3" s="19"/>
      <c r="AD3" s="19"/>
      <c r="AG3" s="293"/>
      <c r="AI3" s="53"/>
      <c r="AJ3" s="80"/>
      <c r="AK3" s="19"/>
      <c r="AL3" s="19"/>
      <c r="AN3" s="53"/>
      <c r="AP3" s="80"/>
      <c r="AR3" s="293"/>
      <c r="AS3" s="53"/>
      <c r="AT3" s="53"/>
      <c r="AU3" s="80"/>
      <c r="AV3" s="19"/>
      <c r="AW3" s="19"/>
      <c r="AX3" s="20"/>
      <c r="AY3" s="20"/>
      <c r="AZ3" s="20"/>
      <c r="BA3" s="20"/>
      <c r="BB3" s="20"/>
      <c r="BE3" s="53"/>
      <c r="BF3" s="80"/>
    </row>
    <row r="4" spans="1:59">
      <c r="A4" s="313" t="s">
        <v>32</v>
      </c>
      <c r="B4" s="19" t="e">
        <f>#REF!</f>
        <v>#REF!</v>
      </c>
      <c r="C4" s="19"/>
      <c r="D4" s="19"/>
      <c r="E4" s="297"/>
      <c r="F4" s="3790" t="str">
        <f>'E Data'!D4</f>
        <v xml:space="preserve"> </v>
      </c>
      <c r="G4" s="3791"/>
      <c r="H4" s="3792"/>
      <c r="I4" s="3798"/>
      <c r="J4" s="3799"/>
      <c r="K4" s="3800"/>
      <c r="L4" s="19"/>
      <c r="M4" s="19"/>
      <c r="N4" s="19"/>
      <c r="O4" s="19"/>
      <c r="P4" s="19"/>
      <c r="Q4" s="298"/>
      <c r="R4" s="19"/>
      <c r="S4" s="294"/>
      <c r="T4" s="19"/>
      <c r="U4" s="19"/>
      <c r="V4" s="295"/>
      <c r="W4" s="20"/>
      <c r="X4" s="20"/>
      <c r="Y4" s="20"/>
      <c r="Z4" s="20"/>
      <c r="AA4" s="20"/>
      <c r="AC4" s="19"/>
      <c r="AD4" s="19"/>
      <c r="AG4" s="299"/>
      <c r="AH4" s="17"/>
      <c r="AI4" s="53"/>
      <c r="AJ4" s="80"/>
      <c r="AK4" s="19"/>
      <c r="AL4" s="19"/>
      <c r="AN4" s="53"/>
      <c r="AP4" s="80"/>
      <c r="AR4" s="299"/>
      <c r="AS4" s="216"/>
      <c r="AT4" s="53"/>
      <c r="AU4" s="80"/>
      <c r="AV4" s="19"/>
      <c r="AW4" s="19"/>
      <c r="AX4" s="20"/>
      <c r="AY4" s="20"/>
      <c r="AZ4" s="20"/>
      <c r="BA4" s="20"/>
      <c r="BB4" s="20"/>
      <c r="BE4" s="53"/>
      <c r="BF4" s="80"/>
    </row>
    <row r="5" spans="1:59">
      <c r="A5" s="300"/>
      <c r="B5" s="37"/>
      <c r="C5" s="37"/>
      <c r="D5" s="37"/>
      <c r="E5" s="37"/>
      <c r="F5" s="37"/>
      <c r="G5" s="37"/>
      <c r="H5" s="301"/>
      <c r="I5" s="37"/>
      <c r="J5" s="37"/>
      <c r="K5" s="38"/>
      <c r="L5" s="19"/>
      <c r="M5" s="19"/>
      <c r="N5" s="19"/>
      <c r="O5" s="19"/>
      <c r="P5" s="19"/>
      <c r="Q5" s="303"/>
      <c r="R5" s="19"/>
      <c r="S5" s="294"/>
      <c r="T5" s="19"/>
      <c r="U5" s="19"/>
      <c r="V5" s="295"/>
      <c r="W5" s="20"/>
      <c r="X5" s="20"/>
      <c r="Y5" s="20"/>
      <c r="Z5" s="20"/>
      <c r="AA5" s="20"/>
      <c r="AC5" s="19"/>
      <c r="AD5" s="19"/>
      <c r="AG5" s="299"/>
      <c r="AH5" s="17"/>
      <c r="AI5" s="53"/>
      <c r="AJ5" s="80"/>
      <c r="AK5" s="19"/>
      <c r="AL5" s="19"/>
      <c r="AN5" s="53"/>
      <c r="AP5" s="80"/>
      <c r="AR5" s="299"/>
      <c r="AS5" s="216"/>
      <c r="AT5" s="53"/>
      <c r="AU5" s="80"/>
      <c r="AV5" s="19"/>
      <c r="AW5" s="19"/>
      <c r="AX5" s="20"/>
      <c r="AY5" s="20"/>
      <c r="AZ5" s="20"/>
      <c r="BA5" s="20"/>
      <c r="BB5" s="20"/>
      <c r="BE5" s="53"/>
    </row>
    <row r="6" spans="1:59">
      <c r="A6" s="36"/>
      <c r="B6" s="20"/>
      <c r="C6" s="20"/>
      <c r="D6" s="20"/>
      <c r="E6" s="20"/>
      <c r="F6" s="20"/>
      <c r="G6" s="20"/>
      <c r="H6" s="20"/>
      <c r="I6" s="20"/>
      <c r="J6" s="20"/>
      <c r="K6" s="304"/>
      <c r="L6" s="19"/>
      <c r="M6" s="19"/>
      <c r="N6" s="19"/>
      <c r="O6" s="19"/>
      <c r="P6" s="19"/>
      <c r="Q6" s="298"/>
      <c r="R6" s="19"/>
      <c r="S6" s="294"/>
      <c r="T6" s="19"/>
      <c r="U6" s="19"/>
      <c r="V6" s="295"/>
      <c r="W6" s="20"/>
      <c r="X6" s="20"/>
      <c r="Y6" s="20"/>
      <c r="Z6" s="20"/>
      <c r="AA6" s="20"/>
      <c r="AC6" s="19"/>
      <c r="AD6" s="19"/>
      <c r="AG6" s="299"/>
      <c r="AH6" s="19"/>
      <c r="AI6" s="53"/>
      <c r="AJ6" s="80"/>
      <c r="AK6" s="19"/>
      <c r="AL6" s="19"/>
      <c r="AN6" s="53"/>
      <c r="AP6" s="80"/>
      <c r="AR6" s="299"/>
      <c r="AS6" s="19"/>
      <c r="AT6" s="53"/>
      <c r="AU6" s="80"/>
      <c r="AV6" s="19"/>
      <c r="AW6" s="19"/>
      <c r="AX6" s="20"/>
      <c r="AY6" s="20"/>
      <c r="AZ6" s="20"/>
      <c r="BA6" s="20"/>
      <c r="BB6" s="20"/>
      <c r="BE6" s="53"/>
    </row>
    <row r="7" spans="1:59">
      <c r="A7" s="305">
        <v>1</v>
      </c>
      <c r="B7" s="182" t="s">
        <v>741</v>
      </c>
      <c r="C7" s="20"/>
      <c r="D7" s="20"/>
      <c r="E7" s="20"/>
      <c r="F7" s="20"/>
      <c r="G7" s="20"/>
      <c r="H7" s="20"/>
      <c r="I7" s="20"/>
      <c r="J7" s="20"/>
      <c r="K7" s="304"/>
      <c r="L7" s="19"/>
      <c r="M7" s="19"/>
      <c r="N7" s="19"/>
      <c r="O7" s="19"/>
      <c r="P7" s="19"/>
      <c r="Q7" s="303"/>
      <c r="R7" s="19"/>
      <c r="S7" s="294"/>
      <c r="T7" s="19"/>
      <c r="U7" s="19"/>
      <c r="V7" s="295"/>
      <c r="W7" s="20"/>
      <c r="X7" s="20"/>
      <c r="Y7" s="20"/>
      <c r="Z7" s="20"/>
      <c r="AA7" s="20"/>
      <c r="AC7" s="19"/>
      <c r="AD7" s="19"/>
      <c r="AG7" s="299"/>
      <c r="AH7" s="19"/>
      <c r="AI7" s="53"/>
      <c r="AJ7" s="80"/>
      <c r="AK7" s="19"/>
      <c r="AL7" s="19"/>
      <c r="AN7" s="53"/>
      <c r="AP7" s="80"/>
      <c r="AR7" s="299"/>
      <c r="AS7" s="19"/>
      <c r="AT7" s="53"/>
      <c r="AU7" s="80"/>
      <c r="AV7" s="19"/>
      <c r="AW7" s="19"/>
      <c r="AX7" s="20"/>
      <c r="AY7" s="20"/>
      <c r="AZ7" s="20"/>
      <c r="BA7" s="20"/>
      <c r="BB7" s="20"/>
      <c r="BE7" s="53"/>
    </row>
    <row r="8" spans="1:59">
      <c r="A8" s="36"/>
      <c r="B8" s="20"/>
      <c r="C8" s="20"/>
      <c r="D8" s="20"/>
      <c r="E8" s="20"/>
      <c r="F8" s="20"/>
      <c r="G8" s="20"/>
      <c r="H8" s="20"/>
      <c r="I8" s="20"/>
      <c r="J8" s="20"/>
      <c r="K8" s="307"/>
      <c r="L8" s="19"/>
      <c r="M8" s="19"/>
      <c r="N8" s="19"/>
      <c r="O8" s="19"/>
      <c r="P8" s="19"/>
      <c r="Q8" s="298"/>
      <c r="R8" s="19"/>
      <c r="S8" s="294"/>
      <c r="T8" s="19"/>
      <c r="U8" s="19"/>
      <c r="V8" s="295"/>
      <c r="W8" s="20"/>
      <c r="X8" s="20"/>
      <c r="Y8" s="20"/>
      <c r="Z8" s="20"/>
      <c r="AA8" s="20"/>
      <c r="AC8" s="19"/>
      <c r="AD8" s="19"/>
      <c r="AG8" s="299"/>
      <c r="AH8" s="19"/>
      <c r="AI8" s="53"/>
      <c r="AJ8" s="80"/>
      <c r="AK8" s="19"/>
      <c r="AL8" s="19"/>
      <c r="AN8" s="53"/>
      <c r="AP8" s="80"/>
      <c r="AR8" s="299"/>
      <c r="AS8" s="19"/>
      <c r="AT8" s="53"/>
      <c r="AU8" s="80"/>
      <c r="AV8" s="19"/>
      <c r="AW8" s="19"/>
      <c r="AX8" s="20"/>
      <c r="AY8" s="20"/>
      <c r="AZ8" s="20"/>
      <c r="BA8" s="20"/>
      <c r="BB8" s="20"/>
      <c r="BE8" s="53"/>
    </row>
    <row r="9" spans="1:59">
      <c r="A9" s="36"/>
      <c r="B9" s="20" t="s">
        <v>144</v>
      </c>
      <c r="C9" s="20"/>
      <c r="D9" s="20"/>
      <c r="E9" s="20"/>
      <c r="F9" s="20"/>
      <c r="G9" s="306" t="s">
        <v>2719</v>
      </c>
      <c r="H9" s="308"/>
      <c r="I9" s="20"/>
      <c r="J9" s="19"/>
      <c r="K9" s="307"/>
      <c r="L9" s="19"/>
      <c r="M9" s="333"/>
      <c r="N9" s="333"/>
      <c r="O9" s="3801"/>
      <c r="P9" s="3801"/>
      <c r="Q9" s="303"/>
      <c r="R9" s="19"/>
      <c r="S9" s="294"/>
      <c r="T9" s="19"/>
      <c r="U9" s="19"/>
      <c r="V9" s="295"/>
      <c r="W9" s="20"/>
      <c r="X9" s="20"/>
      <c r="Y9" s="20"/>
      <c r="Z9" s="20"/>
      <c r="AA9" s="20"/>
      <c r="AC9" s="19"/>
      <c r="AD9" s="19"/>
      <c r="AG9" s="299"/>
      <c r="AH9" s="19"/>
      <c r="AI9" s="53"/>
      <c r="AJ9" s="80"/>
      <c r="AK9" s="19"/>
      <c r="AL9" s="19"/>
      <c r="AN9" s="53"/>
      <c r="AP9" s="80"/>
      <c r="AR9" s="299"/>
      <c r="AS9" s="19"/>
      <c r="AT9" s="53"/>
      <c r="AU9" s="80"/>
      <c r="AV9" s="19"/>
      <c r="AW9" s="19"/>
      <c r="AX9" s="20"/>
      <c r="AY9" s="20"/>
      <c r="AZ9" s="20"/>
      <c r="BA9" s="20"/>
      <c r="BB9" s="20"/>
      <c r="BE9" s="53"/>
    </row>
    <row r="10" spans="1:59">
      <c r="A10" s="36"/>
      <c r="B10" s="20"/>
      <c r="C10" s="20"/>
      <c r="D10" s="20"/>
      <c r="E10" s="20"/>
      <c r="F10" s="20"/>
      <c r="G10" s="3723" t="s">
        <v>148</v>
      </c>
      <c r="H10" s="3723"/>
      <c r="I10" s="20"/>
      <c r="J10" s="20"/>
      <c r="K10" s="304"/>
      <c r="L10" s="19"/>
      <c r="M10" s="17"/>
      <c r="N10" s="17"/>
      <c r="O10" s="17"/>
      <c r="P10" s="17"/>
      <c r="Q10" s="298"/>
      <c r="R10" s="19"/>
      <c r="S10" s="294"/>
      <c r="T10" s="19"/>
      <c r="U10" s="19"/>
      <c r="V10" s="295"/>
      <c r="W10" s="20"/>
      <c r="X10" s="20"/>
      <c r="Y10" s="20"/>
      <c r="Z10" s="20"/>
      <c r="AA10" s="20"/>
      <c r="AC10" s="19"/>
      <c r="AD10" s="19"/>
      <c r="AG10" s="299"/>
      <c r="AH10" s="19"/>
      <c r="AI10" s="53"/>
      <c r="AJ10" s="80"/>
      <c r="AK10" s="19"/>
      <c r="AL10" s="19"/>
      <c r="AN10" s="53"/>
      <c r="AP10" s="80"/>
      <c r="AR10" s="299"/>
      <c r="AS10" s="19"/>
      <c r="AT10" s="53"/>
      <c r="AU10" s="80"/>
      <c r="AV10" s="19"/>
      <c r="AW10" s="19"/>
      <c r="AX10" s="20"/>
      <c r="AY10" s="20"/>
      <c r="AZ10" s="20"/>
      <c r="BA10" s="20"/>
      <c r="BB10" s="20"/>
      <c r="BE10" s="53"/>
    </row>
    <row r="11" spans="1:59">
      <c r="A11" s="36"/>
      <c r="B11" s="67" t="s">
        <v>152</v>
      </c>
      <c r="C11" s="20" t="s">
        <v>153</v>
      </c>
      <c r="D11" s="20"/>
      <c r="E11" s="20"/>
      <c r="F11" s="20"/>
      <c r="G11" s="20"/>
      <c r="H11" s="20"/>
      <c r="I11" s="20"/>
      <c r="J11" s="26" t="s">
        <v>154</v>
      </c>
      <c r="K11" s="304"/>
      <c r="L11" s="19"/>
      <c r="M11" s="17"/>
      <c r="N11" s="17"/>
      <c r="O11" s="17"/>
      <c r="P11" s="17"/>
      <c r="Q11" s="303"/>
      <c r="R11" s="19"/>
      <c r="S11" s="294"/>
      <c r="V11" s="295"/>
      <c r="W11" s="20"/>
      <c r="X11" s="20"/>
      <c r="Y11" s="20"/>
      <c r="Z11" s="20"/>
      <c r="AA11" s="20"/>
      <c r="AC11" s="19"/>
      <c r="AD11" s="19"/>
      <c r="AG11" s="299"/>
      <c r="AH11" s="19"/>
      <c r="AI11" s="53"/>
      <c r="AJ11" s="80"/>
      <c r="AK11" s="19"/>
      <c r="AL11" s="19"/>
      <c r="AN11" s="53"/>
      <c r="AP11" s="80"/>
      <c r="AR11" s="299"/>
      <c r="AS11" s="19"/>
      <c r="AT11" s="53"/>
      <c r="AU11" s="80"/>
      <c r="AV11" s="19"/>
      <c r="AW11" s="19"/>
      <c r="AX11" s="20"/>
      <c r="AY11" s="20"/>
      <c r="AZ11" s="20"/>
      <c r="BA11" s="20"/>
      <c r="BB11" s="20"/>
      <c r="BE11" s="53"/>
    </row>
    <row r="12" spans="1:59">
      <c r="A12" s="36"/>
      <c r="B12" s="67" t="s">
        <v>158</v>
      </c>
      <c r="C12" s="20" t="s">
        <v>159</v>
      </c>
      <c r="D12" s="20"/>
      <c r="E12" s="20"/>
      <c r="F12" s="20"/>
      <c r="G12" s="20"/>
      <c r="H12" s="43" t="s">
        <v>160</v>
      </c>
      <c r="I12" s="19">
        <f>'E Data'!D14*1000</f>
        <v>15000</v>
      </c>
      <c r="J12" s="17"/>
      <c r="K12" s="304"/>
      <c r="L12" s="19"/>
      <c r="M12" s="17"/>
      <c r="N12" s="17"/>
      <c r="O12" s="17"/>
      <c r="P12" s="17"/>
      <c r="Q12" s="298"/>
      <c r="R12" s="19"/>
      <c r="S12" s="294"/>
      <c r="V12" s="295"/>
      <c r="W12" s="20"/>
      <c r="X12" s="20"/>
      <c r="Y12" s="20"/>
      <c r="Z12" s="20"/>
      <c r="AA12" s="20"/>
      <c r="AC12" s="19"/>
      <c r="AD12" s="19"/>
      <c r="AG12" s="299"/>
      <c r="AH12" s="19"/>
      <c r="AI12" s="53"/>
      <c r="AJ12" s="80"/>
      <c r="AK12" s="19"/>
      <c r="AL12" s="19"/>
      <c r="AN12" s="53"/>
      <c r="AP12" s="80"/>
      <c r="AR12" s="299"/>
      <c r="AS12" s="19"/>
      <c r="AT12" s="53"/>
      <c r="AU12" s="80"/>
      <c r="AV12" s="19"/>
      <c r="AW12" s="19"/>
      <c r="AX12" s="20"/>
      <c r="AY12" s="20"/>
      <c r="AZ12" s="20"/>
      <c r="BA12" s="20"/>
      <c r="BB12" s="20"/>
      <c r="BE12" s="53"/>
    </row>
    <row r="13" spans="1:59">
      <c r="A13" s="36"/>
      <c r="B13" s="67" t="s">
        <v>164</v>
      </c>
      <c r="C13" s="20" t="s">
        <v>742</v>
      </c>
      <c r="D13" s="20"/>
      <c r="E13" s="20"/>
      <c r="F13" s="20"/>
      <c r="G13" s="20"/>
      <c r="H13" s="43" t="s">
        <v>160</v>
      </c>
      <c r="I13" s="19">
        <f>I12*K13/100</f>
        <v>375</v>
      </c>
      <c r="J13" s="19"/>
      <c r="K13" s="797">
        <v>2.5</v>
      </c>
      <c r="L13" s="118" t="s">
        <v>166</v>
      </c>
      <c r="M13" s="17"/>
      <c r="N13" s="17"/>
      <c r="O13" s="17"/>
      <c r="P13" s="17"/>
      <c r="Q13" s="298"/>
      <c r="R13" s="19"/>
      <c r="S13" s="294"/>
      <c r="T13" s="311">
        <f>((I12+I13)/1000*J99*J100/J98*9.81)</f>
        <v>197.962734375</v>
      </c>
      <c r="U13" s="311">
        <f>VLOOKUP(T13,BA86:BA117,1)</f>
        <v>179</v>
      </c>
      <c r="V13" s="295"/>
      <c r="W13" s="20"/>
      <c r="X13" s="20"/>
      <c r="Y13" s="20"/>
      <c r="Z13" s="20"/>
      <c r="AA13" s="20"/>
      <c r="AC13" s="19"/>
      <c r="AD13" s="19"/>
      <c r="AG13" s="299"/>
      <c r="AH13" s="19"/>
      <c r="AI13" s="53"/>
      <c r="AJ13" s="80"/>
      <c r="AK13" s="19"/>
      <c r="AL13" s="19"/>
      <c r="AN13" s="53"/>
      <c r="AP13" s="80"/>
      <c r="AR13" s="299"/>
      <c r="AS13" s="19"/>
      <c r="AT13" s="53"/>
      <c r="AU13" s="80"/>
      <c r="AV13" s="19"/>
      <c r="AW13" s="19"/>
      <c r="AX13" s="20"/>
      <c r="AY13" s="20"/>
      <c r="AZ13" s="20"/>
      <c r="BA13" s="20"/>
      <c r="BB13" s="20"/>
      <c r="BE13" s="53"/>
    </row>
    <row r="14" spans="1:59">
      <c r="A14" s="313"/>
      <c r="B14" s="67" t="s">
        <v>170</v>
      </c>
      <c r="C14" s="20" t="s">
        <v>171</v>
      </c>
      <c r="D14" s="20"/>
      <c r="E14" s="20"/>
      <c r="F14" s="20"/>
      <c r="G14" s="17"/>
      <c r="H14" s="798" t="str">
        <f>"("&amp;ROUNDUP(F116,1)&amp;")           ="</f>
        <v>(101.3)           =</v>
      </c>
      <c r="I14" s="799">
        <f>+O14</f>
        <v>101.25</v>
      </c>
      <c r="J14" s="88"/>
      <c r="K14" s="784"/>
      <c r="M14" s="217" t="s">
        <v>172</v>
      </c>
      <c r="N14" s="800">
        <f>F116</f>
        <v>101.25</v>
      </c>
      <c r="O14" s="145">
        <f>IFERROR(U15,400)</f>
        <v>101.25</v>
      </c>
      <c r="Q14" s="303"/>
      <c r="R14" s="19"/>
      <c r="S14" s="294"/>
      <c r="T14" s="311">
        <f>VLOOKUP(U13,BA86:BB117,2,0)</f>
        <v>226</v>
      </c>
      <c r="U14" s="145">
        <f>VLOOKUP(T14,Q90:T121,4,0)/100</f>
        <v>1.35</v>
      </c>
      <c r="V14" s="295"/>
      <c r="W14" s="20"/>
      <c r="X14" s="20"/>
      <c r="Y14" s="20"/>
      <c r="Z14" s="20"/>
      <c r="AA14" s="20"/>
      <c r="AC14" s="19"/>
      <c r="AD14" s="19"/>
      <c r="AG14" s="299"/>
      <c r="AH14" s="17"/>
      <c r="AI14" s="53"/>
      <c r="AJ14" s="80"/>
      <c r="AK14" s="19"/>
      <c r="AL14" s="19"/>
      <c r="AN14" s="53"/>
      <c r="AP14" s="80"/>
      <c r="AR14" s="299"/>
      <c r="AS14" s="216"/>
      <c r="AT14" s="53"/>
      <c r="AU14" s="80"/>
      <c r="AV14" s="19"/>
      <c r="AW14" s="19"/>
      <c r="AX14" s="20"/>
      <c r="AY14" s="20"/>
      <c r="AZ14" s="20"/>
      <c r="BA14" s="20"/>
      <c r="BB14" s="20"/>
      <c r="BE14" s="53"/>
    </row>
    <row r="15" spans="1:59">
      <c r="A15" s="313"/>
      <c r="B15" s="67" t="s">
        <v>176</v>
      </c>
      <c r="C15" s="20" t="s">
        <v>743</v>
      </c>
      <c r="D15" s="20"/>
      <c r="E15" s="20"/>
      <c r="F15" s="20"/>
      <c r="G15" s="20"/>
      <c r="H15" s="43" t="s">
        <v>160</v>
      </c>
      <c r="I15" s="19">
        <f>'E Data'!D37</f>
        <v>5</v>
      </c>
      <c r="J15" s="20"/>
      <c r="K15" s="318"/>
      <c r="N15" s="216"/>
      <c r="P15" s="17"/>
      <c r="Q15" s="298"/>
      <c r="R15" s="19"/>
      <c r="S15" s="294"/>
      <c r="T15" s="312" t="s">
        <v>2515</v>
      </c>
      <c r="U15" s="145">
        <f>U14*F115</f>
        <v>101.25</v>
      </c>
      <c r="V15" s="295"/>
      <c r="W15" s="20"/>
      <c r="X15" s="20"/>
      <c r="Y15" s="20"/>
      <c r="Z15" s="20"/>
      <c r="AA15" s="20"/>
      <c r="AC15" s="19"/>
      <c r="AD15" s="19"/>
      <c r="AG15" s="299"/>
      <c r="AH15" s="17"/>
      <c r="AI15" s="53"/>
      <c r="AJ15" s="80"/>
      <c r="AK15" s="19"/>
      <c r="AL15" s="19"/>
      <c r="AN15" s="53"/>
      <c r="AP15" s="80"/>
      <c r="AR15" s="299"/>
      <c r="AS15" s="216"/>
      <c r="AT15" s="53"/>
      <c r="AU15" s="80"/>
      <c r="AV15" s="19"/>
      <c r="AW15" s="19"/>
      <c r="AX15" s="20"/>
      <c r="AY15" s="20"/>
      <c r="AZ15" s="20"/>
      <c r="BA15" s="20"/>
      <c r="BB15" s="20"/>
      <c r="BE15" s="53"/>
    </row>
    <row r="16" spans="1:59">
      <c r="A16" s="36"/>
      <c r="B16" s="67"/>
      <c r="C16" s="20" t="s">
        <v>744</v>
      </c>
      <c r="D16" s="20"/>
      <c r="E16" s="20"/>
      <c r="F16" s="20"/>
      <c r="G16" s="20"/>
      <c r="H16" s="43" t="s">
        <v>160</v>
      </c>
      <c r="I16" s="19">
        <v>1</v>
      </c>
      <c r="J16" s="20"/>
      <c r="K16" s="304"/>
      <c r="L16" s="17"/>
      <c r="M16" s="17"/>
      <c r="N16" s="17"/>
      <c r="O16" s="17"/>
      <c r="P16" s="17"/>
      <c r="Q16" s="298"/>
      <c r="R16" s="19"/>
      <c r="S16" s="294"/>
      <c r="T16" s="19"/>
      <c r="U16" s="19"/>
      <c r="V16" s="295"/>
      <c r="W16" s="20"/>
      <c r="X16" s="20"/>
      <c r="Y16" s="20"/>
      <c r="Z16" s="20"/>
      <c r="AA16" s="20"/>
      <c r="AC16" s="19"/>
      <c r="AD16" s="19"/>
      <c r="AG16" s="299"/>
      <c r="AH16" s="17"/>
      <c r="AI16" s="53"/>
      <c r="AJ16" s="80"/>
      <c r="AK16" s="19"/>
      <c r="AL16" s="19"/>
      <c r="AN16" s="53"/>
      <c r="AP16" s="80"/>
      <c r="AR16" s="299"/>
      <c r="AS16" s="216"/>
      <c r="AT16" s="53"/>
      <c r="AU16" s="80"/>
      <c r="AV16" s="19"/>
      <c r="AW16" s="19"/>
      <c r="AX16" s="20"/>
      <c r="AY16" s="20"/>
      <c r="AZ16" s="20"/>
      <c r="BA16" s="20"/>
      <c r="BB16" s="20"/>
      <c r="BE16" s="53"/>
    </row>
    <row r="17" spans="1:57">
      <c r="A17" s="36"/>
      <c r="B17" s="67" t="s">
        <v>185</v>
      </c>
      <c r="C17" s="20" t="s">
        <v>745</v>
      </c>
      <c r="D17" s="20"/>
      <c r="E17" s="20"/>
      <c r="F17" s="20"/>
      <c r="G17" s="20"/>
      <c r="H17" s="43" t="s">
        <v>160</v>
      </c>
      <c r="I17" s="19">
        <f>1/I16</f>
        <v>1</v>
      </c>
      <c r="J17" s="20"/>
      <c r="K17" s="304"/>
      <c r="L17" s="785" t="str">
        <f>J283</f>
        <v>Elite</v>
      </c>
      <c r="M17" s="17" t="str">
        <f>VLOOKUP(L17,T19:U21,2,0)</f>
        <v>For Antifriction Bearing</v>
      </c>
      <c r="N17" s="17"/>
      <c r="O17" s="17"/>
      <c r="P17" s="17"/>
      <c r="Q17" s="303"/>
      <c r="R17" s="19"/>
      <c r="S17" s="294"/>
      <c r="Y17" s="20"/>
      <c r="Z17" s="20"/>
      <c r="AA17" s="20"/>
      <c r="AC17" s="19"/>
      <c r="AD17" s="19"/>
      <c r="AG17" s="299"/>
      <c r="AH17" s="17"/>
      <c r="AI17" s="53"/>
      <c r="AJ17" s="80"/>
      <c r="AK17" s="19"/>
      <c r="AL17" s="19"/>
      <c r="AN17" s="53"/>
      <c r="AP17" s="80"/>
      <c r="AR17" s="299"/>
      <c r="AS17" s="216"/>
      <c r="AT17" s="53"/>
      <c r="AU17" s="80"/>
      <c r="AV17" s="19"/>
      <c r="AW17" s="19"/>
      <c r="AX17" s="20"/>
      <c r="AY17" s="20"/>
      <c r="AZ17" s="20"/>
      <c r="BA17" s="20"/>
      <c r="BB17" s="20"/>
      <c r="BE17" s="53"/>
    </row>
    <row r="18" spans="1:57">
      <c r="A18" s="36"/>
      <c r="B18" s="67" t="s">
        <v>746</v>
      </c>
      <c r="C18" s="20" t="s">
        <v>747</v>
      </c>
      <c r="D18" s="20"/>
      <c r="E18" s="20"/>
      <c r="F18" s="20"/>
      <c r="G18" s="20"/>
      <c r="H18" s="43" t="s">
        <v>160</v>
      </c>
      <c r="I18" s="19">
        <v>0.67</v>
      </c>
      <c r="J18" s="801"/>
      <c r="K18" s="20"/>
      <c r="L18" s="131" t="s">
        <v>192</v>
      </c>
      <c r="M18" s="321" t="s">
        <v>193</v>
      </c>
      <c r="N18" s="322"/>
      <c r="O18" s="322" t="s">
        <v>100</v>
      </c>
      <c r="P18" s="323">
        <f>IF(I20="For Sleeve Bearing",1,IF(I20="For Antifriction Bearing",2,IF(I20="For Hardened profile ground &amp; oil splashed Lubricator",3)))</f>
        <v>2</v>
      </c>
      <c r="Q18" s="322" t="s">
        <v>217</v>
      </c>
      <c r="R18" s="322" t="s">
        <v>218</v>
      </c>
      <c r="S18" s="22" t="str">
        <f>IF(S19=C21,"Right","Wrong")</f>
        <v>Right</v>
      </c>
      <c r="Y18" s="20"/>
      <c r="Z18" s="20"/>
      <c r="AA18" s="20"/>
      <c r="AC18" s="19"/>
      <c r="AD18" s="19"/>
      <c r="AG18" s="299"/>
      <c r="AH18" s="19"/>
      <c r="AI18" s="53"/>
      <c r="AJ18" s="80"/>
      <c r="AK18" s="19"/>
      <c r="AL18" s="19"/>
      <c r="AN18" s="53"/>
      <c r="AP18" s="80"/>
      <c r="AR18" s="299"/>
      <c r="AS18" s="19"/>
      <c r="AT18" s="53"/>
      <c r="AU18" s="80"/>
      <c r="AV18" s="19"/>
      <c r="AW18" s="19"/>
      <c r="AX18" s="20"/>
      <c r="AY18" s="20"/>
      <c r="AZ18" s="20"/>
      <c r="BA18" s="20"/>
      <c r="BB18" s="20"/>
      <c r="BE18" s="53"/>
    </row>
    <row r="19" spans="1:57">
      <c r="A19" s="36"/>
      <c r="B19" s="67"/>
      <c r="C19" s="20"/>
      <c r="D19" s="20"/>
      <c r="E19" s="20"/>
      <c r="F19" s="20"/>
      <c r="G19" s="20"/>
      <c r="H19" s="43"/>
      <c r="I19" s="19"/>
      <c r="J19" s="802"/>
      <c r="K19" s="20"/>
      <c r="L19" s="311">
        <v>1</v>
      </c>
      <c r="M19" s="3698" t="s">
        <v>197</v>
      </c>
      <c r="N19" s="3698"/>
      <c r="O19" s="161" t="s">
        <v>198</v>
      </c>
      <c r="P19" s="311">
        <v>1</v>
      </c>
      <c r="Q19" s="325">
        <v>0.93</v>
      </c>
      <c r="R19" s="325">
        <v>0.98</v>
      </c>
      <c r="S19" s="80">
        <f>IF(I20="For Antifriction Bearing",0.95,IF(I20="For Hardened profile ground &amp; oil splashed Lubricator",0.985))</f>
        <v>0.95</v>
      </c>
      <c r="T19" s="145" t="s">
        <v>2662</v>
      </c>
      <c r="U19" s="161" t="s">
        <v>204</v>
      </c>
      <c r="V19" s="20"/>
      <c r="Y19" s="20"/>
      <c r="Z19" s="20"/>
      <c r="AA19" s="20"/>
      <c r="AC19" s="19"/>
      <c r="AD19" s="19"/>
      <c r="AG19" s="299"/>
      <c r="AH19" s="19"/>
      <c r="AI19" s="53"/>
      <c r="AJ19" s="80"/>
      <c r="AK19" s="19"/>
      <c r="AL19" s="19"/>
      <c r="AN19" s="53"/>
      <c r="AP19" s="80"/>
      <c r="AR19" s="299"/>
      <c r="AS19" s="19"/>
      <c r="AT19" s="53"/>
      <c r="AU19" s="80"/>
      <c r="AV19" s="19"/>
      <c r="AW19" s="19"/>
      <c r="AX19" s="20"/>
      <c r="AY19" s="20"/>
      <c r="AZ19" s="20"/>
      <c r="BA19" s="20"/>
      <c r="BB19" s="20"/>
      <c r="BE19" s="53"/>
    </row>
    <row r="20" spans="1:57">
      <c r="A20" s="313"/>
      <c r="B20" s="43" t="s">
        <v>202</v>
      </c>
      <c r="C20" s="31" t="s">
        <v>203</v>
      </c>
      <c r="D20" s="31"/>
      <c r="E20" s="31"/>
      <c r="F20" s="20"/>
      <c r="G20" s="20"/>
      <c r="H20" s="17"/>
      <c r="I20" s="3716" t="str">
        <f>MH!I20</f>
        <v>For Antifriction Bearing</v>
      </c>
      <c r="J20" s="3716"/>
      <c r="L20" s="311">
        <v>2</v>
      </c>
      <c r="M20" s="3698" t="s">
        <v>205</v>
      </c>
      <c r="N20" s="3698"/>
      <c r="O20" s="161" t="s">
        <v>204</v>
      </c>
      <c r="P20" s="311">
        <v>2</v>
      </c>
      <c r="Q20" s="325">
        <v>0.95</v>
      </c>
      <c r="R20" s="325">
        <v>0.99</v>
      </c>
      <c r="S20" s="22" t="s">
        <v>2662</v>
      </c>
      <c r="T20" s="145" t="s">
        <v>656</v>
      </c>
      <c r="U20" s="161" t="s">
        <v>212</v>
      </c>
      <c r="V20" s="20"/>
      <c r="X20" s="20"/>
      <c r="Y20" s="20"/>
      <c r="Z20" s="20"/>
      <c r="AA20" s="20"/>
      <c r="AC20" s="19"/>
      <c r="AD20" s="19"/>
      <c r="AG20" s="299"/>
      <c r="AH20" s="19"/>
      <c r="AI20" s="53"/>
      <c r="AJ20" s="80"/>
      <c r="AK20" s="19"/>
      <c r="AL20" s="19"/>
      <c r="AN20" s="53"/>
      <c r="AP20" s="80"/>
      <c r="AR20" s="299"/>
      <c r="AS20" s="19"/>
      <c r="AT20" s="53"/>
      <c r="AU20" s="80"/>
      <c r="AV20" s="19"/>
      <c r="AW20" s="19"/>
      <c r="AX20" s="20"/>
      <c r="AY20" s="20"/>
      <c r="AZ20" s="20"/>
      <c r="BA20" s="20"/>
      <c r="BB20" s="20"/>
      <c r="BE20" s="53"/>
    </row>
    <row r="21" spans="1:57">
      <c r="A21" s="36"/>
      <c r="B21" s="43" t="s">
        <v>202</v>
      </c>
      <c r="C21" s="327">
        <f>VLOOKUP(P18,P19:Q21,2,0)</f>
        <v>0.95</v>
      </c>
      <c r="D21" s="328" t="s">
        <v>209</v>
      </c>
      <c r="E21" s="327">
        <f>VLOOKUP(P18,P19:R21,3,0)</f>
        <v>0.99</v>
      </c>
      <c r="F21" s="329" t="s">
        <v>210</v>
      </c>
      <c r="G21" s="310"/>
      <c r="H21" s="310"/>
      <c r="I21" s="17"/>
      <c r="J21" s="19"/>
      <c r="K21" s="20"/>
      <c r="L21" s="311">
        <v>3</v>
      </c>
      <c r="M21" s="3698" t="s">
        <v>211</v>
      </c>
      <c r="N21" s="3698"/>
      <c r="O21" s="161" t="s">
        <v>212</v>
      </c>
      <c r="P21" s="311">
        <v>3</v>
      </c>
      <c r="Q21" s="330">
        <v>0.98499999999999999</v>
      </c>
      <c r="R21" s="325">
        <v>0.99</v>
      </c>
      <c r="S21" s="88" t="s">
        <v>231</v>
      </c>
      <c r="T21" s="145" t="s">
        <v>660</v>
      </c>
      <c r="U21" s="161" t="s">
        <v>212</v>
      </c>
      <c r="V21" s="20"/>
      <c r="X21" s="20"/>
      <c r="Y21" s="20"/>
      <c r="Z21" s="20"/>
      <c r="AA21" s="20"/>
      <c r="AC21" s="19"/>
      <c r="AD21" s="19"/>
      <c r="AG21" s="299"/>
      <c r="AH21" s="17"/>
      <c r="AI21" s="53"/>
      <c r="AJ21" s="80"/>
      <c r="AK21" s="19"/>
      <c r="AL21" s="19"/>
      <c r="AN21" s="53"/>
      <c r="AP21" s="88"/>
      <c r="AR21" s="299"/>
      <c r="AS21" s="19"/>
      <c r="AT21" s="53"/>
      <c r="AU21" s="80"/>
      <c r="AV21" s="19"/>
      <c r="AW21" s="19"/>
      <c r="AX21" s="20"/>
      <c r="AY21" s="20"/>
      <c r="AZ21" s="20"/>
      <c r="BA21" s="20"/>
      <c r="BB21" s="20"/>
      <c r="BE21" s="53"/>
    </row>
    <row r="22" spans="1:57">
      <c r="A22" s="36"/>
      <c r="B22" s="331"/>
      <c r="C22" s="118" t="s">
        <v>216</v>
      </c>
      <c r="D22" s="118"/>
      <c r="E22" s="17"/>
      <c r="F22" s="20"/>
      <c r="G22" s="20"/>
      <c r="H22" s="43" t="s">
        <v>160</v>
      </c>
      <c r="I22" s="108">
        <v>3</v>
      </c>
      <c r="J22" s="19"/>
      <c r="K22" s="304"/>
      <c r="Q22" s="298"/>
      <c r="R22" s="19"/>
      <c r="S22" s="294"/>
      <c r="T22" s="19"/>
      <c r="U22" s="19"/>
      <c r="V22" s="295"/>
      <c r="W22" s="20"/>
      <c r="X22" s="20"/>
      <c r="Y22" s="20"/>
      <c r="Z22" s="20"/>
      <c r="AA22" s="20"/>
      <c r="AC22" s="19"/>
      <c r="AD22" s="19"/>
      <c r="AG22" s="299"/>
      <c r="AI22" s="216"/>
      <c r="AJ22" s="88"/>
      <c r="AK22" s="19"/>
      <c r="AL22" s="19"/>
      <c r="AN22" s="53"/>
      <c r="AP22" s="218"/>
      <c r="AR22" s="299"/>
      <c r="AS22" s="216"/>
      <c r="AT22" s="216"/>
      <c r="AU22" s="88"/>
      <c r="AV22" s="19"/>
      <c r="AW22" s="19"/>
      <c r="AX22" s="20"/>
      <c r="AY22" s="20"/>
      <c r="AZ22" s="20"/>
      <c r="BA22" s="20"/>
      <c r="BB22" s="20"/>
      <c r="BE22" s="53"/>
    </row>
    <row r="23" spans="1:57">
      <c r="A23" s="183"/>
      <c r="B23" s="331"/>
      <c r="C23" s="20" t="s">
        <v>222</v>
      </c>
      <c r="D23" s="20"/>
      <c r="E23" s="17"/>
      <c r="F23" s="20"/>
      <c r="G23" s="20"/>
      <c r="H23" s="43" t="s">
        <v>160</v>
      </c>
      <c r="I23" s="333">
        <f>'E Data'!D42/2-1</f>
        <v>1</v>
      </c>
      <c r="K23" s="304"/>
      <c r="Q23" s="303"/>
      <c r="R23" s="19"/>
      <c r="S23" s="294"/>
      <c r="T23" s="19"/>
      <c r="U23" s="19"/>
      <c r="V23" s="295"/>
      <c r="W23" s="20"/>
      <c r="X23" s="20"/>
      <c r="Y23" s="20"/>
      <c r="Z23" s="20"/>
      <c r="AA23" s="20"/>
      <c r="AC23" s="19"/>
      <c r="AD23" s="19"/>
      <c r="AG23" s="219"/>
      <c r="AI23" s="216"/>
      <c r="AJ23" s="218"/>
      <c r="AK23" s="19"/>
      <c r="AL23" s="19"/>
      <c r="AN23" s="53"/>
      <c r="AP23" s="80"/>
      <c r="AR23" s="219"/>
      <c r="AS23" s="53"/>
      <c r="AT23" s="216"/>
      <c r="AU23" s="218"/>
      <c r="AV23" s="19"/>
      <c r="AW23" s="19"/>
      <c r="AX23" s="20"/>
      <c r="AY23" s="20"/>
      <c r="AZ23" s="20"/>
      <c r="BA23" s="20"/>
      <c r="BB23" s="20"/>
      <c r="BE23" s="53"/>
    </row>
    <row r="24" spans="1:57">
      <c r="A24" s="36"/>
      <c r="B24" s="335"/>
      <c r="C24" s="20" t="s">
        <v>226</v>
      </c>
      <c r="D24" s="20"/>
      <c r="E24" s="20"/>
      <c r="F24" s="20"/>
      <c r="G24" s="20"/>
      <c r="H24" s="20"/>
      <c r="I24" s="17"/>
      <c r="J24" s="17"/>
      <c r="K24" s="304"/>
      <c r="P24" s="17"/>
      <c r="Q24" s="298"/>
      <c r="R24" s="19"/>
      <c r="S24" s="294"/>
      <c r="T24" s="19"/>
      <c r="U24" s="19"/>
      <c r="V24" s="295"/>
      <c r="W24" s="20"/>
      <c r="X24" s="20"/>
      <c r="Y24" s="20"/>
      <c r="Z24" s="20"/>
      <c r="AA24" s="20"/>
      <c r="AC24" s="19"/>
      <c r="AD24" s="19"/>
      <c r="AG24" s="219"/>
      <c r="AI24" s="19"/>
      <c r="AJ24" s="80"/>
      <c r="AK24" s="19"/>
      <c r="AL24" s="19"/>
      <c r="AN24" s="53"/>
      <c r="AP24" s="80"/>
      <c r="AR24" s="219"/>
      <c r="AS24" s="53"/>
      <c r="AT24" s="19"/>
      <c r="AU24" s="80"/>
      <c r="AV24" s="19"/>
      <c r="AW24" s="19"/>
      <c r="AX24" s="20"/>
      <c r="AY24" s="20"/>
      <c r="AZ24" s="20"/>
      <c r="BA24" s="20"/>
      <c r="BB24" s="20"/>
      <c r="BE24" s="53"/>
    </row>
    <row r="25" spans="1:57">
      <c r="A25" s="36"/>
      <c r="B25" s="67"/>
      <c r="C25" s="20" t="s">
        <v>230</v>
      </c>
      <c r="D25" s="20"/>
      <c r="E25" s="20"/>
      <c r="F25" s="20"/>
      <c r="G25" s="20"/>
      <c r="H25" s="67" t="s">
        <v>160</v>
      </c>
      <c r="I25" s="302">
        <f>(POWER(C21,I22)*POWER(E21,I23))</f>
        <v>0.84880124999999984</v>
      </c>
      <c r="J25" s="302"/>
      <c r="K25" s="336"/>
      <c r="P25" s="19"/>
      <c r="Q25" s="303"/>
      <c r="R25" s="19"/>
      <c r="S25" s="294"/>
      <c r="T25" s="19"/>
      <c r="U25" s="19"/>
      <c r="V25" s="295"/>
      <c r="W25" s="20"/>
      <c r="X25" s="20"/>
      <c r="Y25" s="20"/>
      <c r="Z25" s="20"/>
      <c r="AA25" s="20"/>
      <c r="AC25" s="19"/>
      <c r="AD25" s="19"/>
      <c r="AG25" s="298"/>
      <c r="AI25" s="19"/>
      <c r="AJ25" s="80"/>
      <c r="AK25" s="19"/>
      <c r="AL25" s="19"/>
      <c r="AN25" s="53"/>
      <c r="AP25" s="80"/>
      <c r="AR25" s="298"/>
      <c r="AS25" s="53"/>
      <c r="AT25" s="19"/>
      <c r="AU25" s="80"/>
      <c r="AV25" s="19"/>
      <c r="AW25" s="19"/>
      <c r="AX25" s="20"/>
      <c r="AY25" s="20"/>
      <c r="AZ25" s="20"/>
      <c r="BA25" s="20"/>
      <c r="BB25" s="20"/>
      <c r="BE25" s="53"/>
    </row>
    <row r="26" spans="1:57">
      <c r="A26" s="36"/>
      <c r="B26" s="67" t="s">
        <v>235</v>
      </c>
      <c r="C26" s="20" t="s">
        <v>236</v>
      </c>
      <c r="D26" s="20"/>
      <c r="E26" s="20"/>
      <c r="F26" s="67"/>
      <c r="G26" s="67" t="str">
        <f>'E Data'!F25&amp;"   &amp;   "&amp;'E Data'!G25</f>
        <v>Ele-II   &amp;   M5</v>
      </c>
      <c r="H26" s="67" t="s">
        <v>160</v>
      </c>
      <c r="I26" s="19">
        <f>'E Data'!G26</f>
        <v>1.5</v>
      </c>
      <c r="J26" s="54"/>
      <c r="K26" s="307"/>
      <c r="N26" s="2511" t="str">
        <f>HYPERLINK("\\\\SERVER\e\07 Data Bank\Motor\BBL Crane Duty Catalogue.pdf","BBL Catalogue")</f>
        <v>BBL Catalogue</v>
      </c>
      <c r="O26" s="22" t="s">
        <v>2800</v>
      </c>
      <c r="Q26" s="298"/>
      <c r="R26" s="19"/>
      <c r="S26" s="294"/>
      <c r="T26" s="19"/>
      <c r="U26" s="19"/>
      <c r="V26" s="295"/>
      <c r="W26" s="20"/>
      <c r="X26" s="20"/>
      <c r="Y26" s="20"/>
      <c r="Z26" s="20"/>
      <c r="AA26" s="20"/>
      <c r="AC26" s="19"/>
      <c r="AD26" s="19"/>
      <c r="AG26" s="298"/>
      <c r="AI26" s="19"/>
      <c r="AJ26" s="80"/>
      <c r="AK26" s="19"/>
      <c r="AL26" s="19"/>
      <c r="AN26" s="53"/>
      <c r="AP26" s="218"/>
      <c r="AR26" s="298"/>
      <c r="AS26" s="53"/>
      <c r="AT26" s="19"/>
      <c r="AU26" s="80"/>
      <c r="AV26" s="19"/>
      <c r="AW26" s="19"/>
      <c r="AX26" s="20"/>
      <c r="AY26" s="20"/>
      <c r="AZ26" s="20"/>
      <c r="BA26" s="20"/>
      <c r="BB26" s="20"/>
      <c r="BE26" s="53"/>
    </row>
    <row r="27" spans="1:57" ht="15.75">
      <c r="A27" s="36"/>
      <c r="B27" s="67" t="s">
        <v>240</v>
      </c>
      <c r="C27" s="20" t="s">
        <v>2741</v>
      </c>
      <c r="D27" s="20"/>
      <c r="E27" s="20"/>
      <c r="F27" s="20"/>
      <c r="G27" s="19" t="str">
        <f>'E Data'!D32&amp;"  ©  "</f>
        <v>50  ©  </v>
      </c>
      <c r="H27" s="67" t="s">
        <v>160</v>
      </c>
      <c r="I27" s="19">
        <f>MH!I27</f>
        <v>1</v>
      </c>
      <c r="K27" s="307"/>
      <c r="N27" s="2511" t="str">
        <f>HYPERLINK("\\\\SERVER\e\07 Data Bank\Motor\BBL Motors Price List 26.05.22.pdf","BBL Price")</f>
        <v>BBL Price</v>
      </c>
      <c r="O27" s="22" t="s">
        <v>2801</v>
      </c>
      <c r="Q27" s="303"/>
      <c r="R27" s="19"/>
      <c r="S27" s="294"/>
      <c r="T27" s="19"/>
      <c r="U27" s="19"/>
      <c r="V27" s="295"/>
      <c r="W27" s="20"/>
      <c r="X27" s="20"/>
      <c r="Y27" s="20"/>
      <c r="Z27" s="20"/>
      <c r="AA27" s="20"/>
      <c r="AC27" s="19"/>
      <c r="AD27" s="19"/>
      <c r="AG27" s="298"/>
      <c r="AI27" s="19"/>
      <c r="AJ27" s="218"/>
      <c r="AK27" s="19"/>
      <c r="AL27" s="19"/>
      <c r="AN27" s="53"/>
      <c r="AP27" s="218"/>
    </row>
    <row r="28" spans="1:57">
      <c r="A28" s="313"/>
      <c r="B28" s="20" t="s">
        <v>243</v>
      </c>
      <c r="C28" s="20"/>
      <c r="D28" s="20"/>
      <c r="E28" s="20"/>
      <c r="F28" s="20"/>
      <c r="G28" s="19"/>
      <c r="H28" s="67" t="s">
        <v>160</v>
      </c>
      <c r="I28" s="302">
        <f>(I12+I13+I14)*I15*I18*I26*I17/(6120*I25)/I27</f>
        <v>14.970777992527008</v>
      </c>
      <c r="J28" s="311" t="s">
        <v>748</v>
      </c>
      <c r="K28" s="339"/>
      <c r="L28" s="334"/>
      <c r="N28" s="2511" t="str">
        <f>HYPERLINK("\\\\SERVER\e\07 Data Bank\Motor\CG Motor Price List 15.04.23.pdf","CG Price")</f>
        <v>CG Price</v>
      </c>
      <c r="O28" s="22" t="s">
        <v>2802</v>
      </c>
      <c r="Q28" s="298"/>
      <c r="R28" s="19">
        <v>520</v>
      </c>
      <c r="S28" s="294"/>
      <c r="T28" s="19"/>
      <c r="U28" s="19"/>
      <c r="V28" s="295"/>
      <c r="W28" s="182"/>
      <c r="X28" s="20"/>
      <c r="Y28" s="20"/>
      <c r="Z28" s="20"/>
      <c r="AA28" s="20"/>
      <c r="AC28" s="19"/>
      <c r="AD28" s="19"/>
      <c r="AG28" s="298"/>
      <c r="AI28" s="59"/>
      <c r="AJ28" s="218"/>
      <c r="AK28" s="19"/>
      <c r="AL28" s="19"/>
      <c r="AN28" s="53"/>
      <c r="AP28" s="88"/>
    </row>
    <row r="29" spans="1:57" ht="14.65" thickBot="1">
      <c r="A29" s="36"/>
      <c r="B29" s="17"/>
      <c r="C29" s="346"/>
      <c r="D29" s="346"/>
      <c r="E29" s="20"/>
      <c r="F29" s="20"/>
      <c r="G29" s="20"/>
      <c r="H29" s="20"/>
      <c r="I29" s="17"/>
      <c r="J29" s="220">
        <f>(I12+I13+I14)*I15*I17/(6120*I25)</f>
        <v>14.896296509977123</v>
      </c>
      <c r="K29" s="339"/>
      <c r="L29" s="334" t="str">
        <f>IF(I34="Slipring",IF(H30=6%,IF(I30&lt;I41,"Right","Wrong"),"Wrong"),IF(I30&lt;I41,"Right","Wrong"))</f>
        <v>Right</v>
      </c>
      <c r="N29" s="2511" t="str">
        <f>HYPERLINK("\\\\SERVER\e\07 Data Bank\Motor\BBL Price 01.07.2023.pdf","BBL Price")</f>
        <v>BBL Price</v>
      </c>
      <c r="Q29" s="303"/>
      <c r="R29" s="19">
        <v>3.14</v>
      </c>
      <c r="S29" s="294"/>
      <c r="T29" s="19"/>
      <c r="U29" s="19"/>
      <c r="V29" s="295"/>
      <c r="W29" s="182"/>
      <c r="X29" s="20"/>
      <c r="Y29" s="20"/>
      <c r="Z29" s="20"/>
      <c r="AA29" s="20"/>
      <c r="AC29" s="19"/>
      <c r="AD29" s="19"/>
      <c r="AG29" s="344"/>
      <c r="AI29" s="19"/>
      <c r="AJ29" s="88"/>
      <c r="AK29" s="19"/>
      <c r="AL29" s="345"/>
      <c r="AN29" s="53"/>
      <c r="AP29" s="88"/>
    </row>
    <row r="30" spans="1:57" ht="14.65" thickBot="1">
      <c r="A30" s="36"/>
      <c r="B30" s="529"/>
      <c r="C30" s="20"/>
      <c r="D30" s="20"/>
      <c r="E30" s="20"/>
      <c r="F30" s="17"/>
      <c r="G30" s="29" t="s">
        <v>250</v>
      </c>
      <c r="H30" s="803">
        <v>0</v>
      </c>
      <c r="I30" s="349">
        <f>I28+I28*H30</f>
        <v>14.970777992527008</v>
      </c>
      <c r="J30" s="804"/>
      <c r="K30" s="307"/>
      <c r="L30" s="805">
        <f>VLOOKUP(I34,U39:V40,2,0)</f>
        <v>0</v>
      </c>
      <c r="Q30" s="298"/>
      <c r="R30" s="19">
        <f>+R28*R29</f>
        <v>1632.8</v>
      </c>
      <c r="S30" s="294"/>
      <c r="T30" s="19"/>
      <c r="U30" s="19"/>
      <c r="V30" s="295"/>
      <c r="W30" s="182"/>
      <c r="X30" s="20"/>
      <c r="Y30" s="20"/>
      <c r="Z30" s="20"/>
      <c r="AA30" s="20"/>
      <c r="AC30" s="19"/>
      <c r="AD30" s="19"/>
      <c r="AG30" s="298"/>
      <c r="AI30" s="19"/>
      <c r="AJ30" s="88"/>
      <c r="AK30" s="19"/>
      <c r="AL30" s="345"/>
      <c r="AN30" s="53"/>
      <c r="AP30" s="80"/>
    </row>
    <row r="31" spans="1:57">
      <c r="A31" s="36"/>
      <c r="B31" s="352"/>
      <c r="C31" s="20"/>
      <c r="D31" s="20"/>
      <c r="E31" s="20"/>
      <c r="F31" s="20"/>
      <c r="G31" s="346" t="str">
        <f>IF(I34="Slipring","Slip Ring Factor 6 %","")</f>
        <v/>
      </c>
      <c r="H31" s="20"/>
      <c r="I31" s="17"/>
      <c r="J31" s="354"/>
      <c r="K31" s="806"/>
      <c r="Q31" s="303"/>
      <c r="R31" s="19"/>
      <c r="S31" s="294"/>
      <c r="T31" s="19"/>
      <c r="U31" s="19"/>
      <c r="V31" s="295"/>
      <c r="W31" s="182"/>
      <c r="X31" s="20"/>
      <c r="Y31" s="20"/>
      <c r="Z31" s="20"/>
      <c r="AA31" s="20"/>
      <c r="AC31" s="19"/>
      <c r="AD31" s="19"/>
      <c r="AG31" s="298"/>
      <c r="AI31" s="53"/>
      <c r="AJ31" s="80"/>
      <c r="AK31" s="19"/>
      <c r="AL31" s="345"/>
      <c r="AN31" s="53"/>
      <c r="AP31" s="80"/>
    </row>
    <row r="32" spans="1:57">
      <c r="A32" s="36"/>
      <c r="B32" s="182" t="s">
        <v>255</v>
      </c>
      <c r="C32" s="182"/>
      <c r="D32" s="182"/>
      <c r="E32" s="182"/>
      <c r="F32" s="182"/>
      <c r="G32" s="182"/>
      <c r="H32" s="182"/>
      <c r="I32" s="182"/>
      <c r="J32" s="20"/>
      <c r="K32" s="304"/>
      <c r="Q32" s="298"/>
      <c r="R32" s="19"/>
      <c r="S32" s="294"/>
      <c r="T32" s="19"/>
      <c r="U32" s="19"/>
      <c r="V32" s="295"/>
      <c r="W32" s="182"/>
      <c r="X32" s="20"/>
      <c r="Y32" s="20"/>
      <c r="Z32" s="20"/>
      <c r="AA32" s="20"/>
      <c r="AC32" s="19"/>
      <c r="AD32" s="19"/>
      <c r="AG32" s="299"/>
      <c r="AI32" s="53"/>
      <c r="AJ32" s="80"/>
      <c r="AK32" s="19"/>
      <c r="AL32" s="345"/>
      <c r="AN32" s="53"/>
    </row>
    <row r="33" spans="1:64">
      <c r="A33" s="36"/>
      <c r="B33" s="182"/>
      <c r="C33" s="182"/>
      <c r="D33" s="182"/>
      <c r="E33" s="182"/>
      <c r="F33" s="182"/>
      <c r="G33" s="182"/>
      <c r="H33" s="182"/>
      <c r="I33" s="182"/>
      <c r="J33" s="20"/>
      <c r="K33" s="304"/>
      <c r="M33" s="356"/>
      <c r="T33" s="19" t="str">
        <f>MH!T32</f>
        <v xml:space="preserve">SQ Marathon </v>
      </c>
    </row>
    <row r="34" spans="1:64">
      <c r="A34" s="36"/>
      <c r="B34" s="20"/>
      <c r="C34" s="182" t="s">
        <v>258</v>
      </c>
      <c r="D34" s="182"/>
      <c r="E34" s="182"/>
      <c r="F34" s="182"/>
      <c r="G34" s="182" t="s">
        <v>2595</v>
      </c>
      <c r="H34" s="182"/>
      <c r="I34" s="29" t="str">
        <f>MH!I34</f>
        <v>Sq. Cage Motor</v>
      </c>
      <c r="J34" s="20"/>
      <c r="K34" s="304"/>
      <c r="L34" s="807" t="s">
        <v>347</v>
      </c>
      <c r="M34" s="360" t="s">
        <v>2593</v>
      </c>
      <c r="N34" s="361" t="s">
        <v>2496</v>
      </c>
      <c r="O34" s="361" t="s">
        <v>119</v>
      </c>
      <c r="P34" s="361" t="s">
        <v>121</v>
      </c>
      <c r="Q34" s="361" t="s">
        <v>274</v>
      </c>
      <c r="R34" s="361" t="s">
        <v>2497</v>
      </c>
      <c r="S34" s="145" t="s">
        <v>451</v>
      </c>
      <c r="T34" s="363"/>
    </row>
    <row r="35" spans="1:64">
      <c r="A35" s="36"/>
      <c r="B35" s="20"/>
      <c r="C35" s="20"/>
      <c r="D35" s="20"/>
      <c r="E35" s="20"/>
      <c r="F35" s="20"/>
      <c r="G35" s="20"/>
      <c r="H35" s="20"/>
      <c r="I35" s="17"/>
      <c r="J35" s="376"/>
      <c r="K35" s="808"/>
      <c r="L35" s="145"/>
      <c r="M35" s="145" t="s">
        <v>2594</v>
      </c>
      <c r="N35" s="145"/>
      <c r="O35" s="145"/>
      <c r="P35" s="145"/>
      <c r="Q35" s="145"/>
      <c r="R35" s="145"/>
      <c r="S35" s="131"/>
      <c r="T35" s="53" t="str">
        <f>VLOOKUP(T33,L36:S39,4,0)</f>
        <v>180L</v>
      </c>
    </row>
    <row r="36" spans="1:64" ht="15.75" customHeight="1">
      <c r="A36" s="36"/>
      <c r="B36" s="20"/>
      <c r="C36" s="88" t="s">
        <v>260</v>
      </c>
      <c r="D36" s="88"/>
      <c r="E36" s="182"/>
      <c r="F36" s="182"/>
      <c r="G36" s="182"/>
      <c r="H36" s="182"/>
      <c r="I36" s="375" t="str">
        <f>MH!I36</f>
        <v>CGL</v>
      </c>
      <c r="J36" s="376"/>
      <c r="K36" s="808"/>
      <c r="L36" s="372" t="str">
        <f>'E Motor &amp; Drive'!AA60</f>
        <v xml:space="preserve">SQ Marathon </v>
      </c>
      <c r="M36" s="372" t="str">
        <f>'E Motor &amp; Drive'!AB60</f>
        <v>40%</v>
      </c>
      <c r="N36" s="372">
        <f>'E Motor &amp; Drive'!AC60</f>
        <v>18</v>
      </c>
      <c r="O36" s="372" t="str">
        <f>'E Motor &amp; Drive'!AD60</f>
        <v>180L</v>
      </c>
      <c r="P36" s="372">
        <f>'E Motor &amp; Drive'!AE60</f>
        <v>960</v>
      </c>
      <c r="Q36" s="373">
        <f>'E Motor &amp; Drive'!AF60-'E Motor &amp; Drive'!AM60</f>
        <v>107500</v>
      </c>
      <c r="R36" s="372">
        <f>'E Motor &amp; Drive'!AG60</f>
        <v>175</v>
      </c>
      <c r="S36" s="374">
        <f>'E Motor &amp; Drive'!AH60</f>
        <v>0.4</v>
      </c>
      <c r="T36" s="53">
        <f>VLOOKUP(T33,L36:S39,3,0)</f>
        <v>18</v>
      </c>
    </row>
    <row r="37" spans="1:64">
      <c r="A37" s="36"/>
      <c r="B37" s="20"/>
      <c r="C37" s="88" t="s">
        <v>262</v>
      </c>
      <c r="D37" s="88"/>
      <c r="E37" s="182"/>
      <c r="F37" s="182"/>
      <c r="G37" s="182"/>
      <c r="H37" s="182"/>
      <c r="I37" s="377">
        <f>MH!I37</f>
        <v>6</v>
      </c>
      <c r="J37" s="20"/>
      <c r="K37" s="808"/>
      <c r="L37" s="169" t="str">
        <f>'E Motor &amp; Drive'!AA61</f>
        <v xml:space="preserve">Slipring Marathon </v>
      </c>
      <c r="M37" s="372" t="str">
        <f>'E Motor &amp; Drive'!AB61</f>
        <v>40%</v>
      </c>
      <c r="N37" s="372">
        <f>'E Motor &amp; Drive'!AC61</f>
        <v>17</v>
      </c>
      <c r="O37" s="372" t="str">
        <f>'E Motor &amp; Drive'!AD61</f>
        <v>KS200L1</v>
      </c>
      <c r="P37" s="372">
        <f>'E Motor &amp; Drive'!AE61</f>
        <v>972</v>
      </c>
      <c r="Q37" s="373">
        <f>'E Motor &amp; Drive'!AF61</f>
        <v>139800</v>
      </c>
      <c r="R37" s="372">
        <f>'E Motor &amp; Drive'!AG61</f>
        <v>375</v>
      </c>
      <c r="S37" s="374">
        <f>'E Motor &amp; Drive'!AH61</f>
        <v>0.4</v>
      </c>
      <c r="T37" s="53">
        <f>VLOOKUP(T33,L36:S39,5,0)</f>
        <v>960</v>
      </c>
      <c r="U37" s="159" t="s">
        <v>96</v>
      </c>
      <c r="V37" s="159" t="s">
        <v>259</v>
      </c>
      <c r="W37" s="159" t="s">
        <v>263</v>
      </c>
      <c r="X37" s="159"/>
      <c r="Y37" s="19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19"/>
      <c r="AL37" s="20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</row>
    <row r="38" spans="1:64" ht="15.95" customHeight="1">
      <c r="A38" s="36"/>
      <c r="B38" s="20"/>
      <c r="C38" s="88" t="s">
        <v>264</v>
      </c>
      <c r="D38" s="88"/>
      <c r="E38" s="182"/>
      <c r="F38" s="182"/>
      <c r="G38" s="182"/>
      <c r="H38" s="182"/>
      <c r="I38" s="427" t="str">
        <f>MH!I38</f>
        <v>40%</v>
      </c>
      <c r="J38" s="88"/>
      <c r="K38" s="808"/>
      <c r="L38" s="372" t="str">
        <f>'E Motor &amp; Drive'!AA62</f>
        <v>Siemens H/F</v>
      </c>
      <c r="M38" s="372" t="str">
        <f>'E Motor &amp; Drive'!AB62</f>
        <v>40%</v>
      </c>
      <c r="N38" s="372">
        <f>'E Motor &amp; Drive'!AC62</f>
        <v>17</v>
      </c>
      <c r="O38" s="372" t="str">
        <f>'E Motor &amp; Drive'!AD62</f>
        <v>180L</v>
      </c>
      <c r="P38" s="372">
        <f>'E Motor &amp; Drive'!AE62</f>
        <v>970</v>
      </c>
      <c r="Q38" s="372">
        <f>'E Motor &amp; Drive'!AF62</f>
        <v>85554</v>
      </c>
      <c r="R38" s="372">
        <f>'E Motor &amp; Drive'!AG62</f>
        <v>204</v>
      </c>
      <c r="S38" s="374">
        <f>'E Motor &amp; Drive'!AH62</f>
        <v>0.68</v>
      </c>
      <c r="T38" s="53">
        <f>VLOOKUP(T33,L36:S39,6,0)</f>
        <v>107500</v>
      </c>
      <c r="U38" s="368" t="s">
        <v>96</v>
      </c>
      <c r="V38" s="369" t="s">
        <v>261</v>
      </c>
      <c r="W38" s="160" t="s">
        <v>265</v>
      </c>
      <c r="X38" s="370" t="s">
        <v>266</v>
      </c>
      <c r="Y38" s="19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19"/>
      <c r="AL38" s="20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</row>
    <row r="39" spans="1:64" ht="15.95" customHeight="1">
      <c r="A39" s="36"/>
      <c r="B39" s="20"/>
      <c r="C39" s="88" t="s">
        <v>267</v>
      </c>
      <c r="D39" s="88"/>
      <c r="E39" s="182"/>
      <c r="F39" s="182"/>
      <c r="G39" s="182"/>
      <c r="H39" s="182"/>
      <c r="I39" s="809">
        <f>MH!I39</f>
        <v>150</v>
      </c>
      <c r="J39" s="20"/>
      <c r="K39" s="808"/>
      <c r="L39" s="372" t="str">
        <f>'E Motor &amp; Drive'!AA63</f>
        <v>Siemens F/B</v>
      </c>
      <c r="M39" s="372" t="str">
        <f>'E Motor &amp; Drive'!AB63</f>
        <v>40%</v>
      </c>
      <c r="N39" s="372">
        <f>'E Motor &amp; Drive'!AC63</f>
        <v>15</v>
      </c>
      <c r="O39" s="372" t="str">
        <f>'E Motor &amp; Drive'!AD63</f>
        <v>180L</v>
      </c>
      <c r="P39" s="372">
        <f>'E Motor &amp; Drive'!AE63</f>
        <v>970</v>
      </c>
      <c r="Q39" s="372">
        <f>'E Motor &amp; Drive'!AF63</f>
        <v>85554</v>
      </c>
      <c r="R39" s="372">
        <f>'E Motor &amp; Drive'!AG63</f>
        <v>204</v>
      </c>
      <c r="S39" s="374">
        <f>'E Motor &amp; Drive'!AH63</f>
        <v>0.68</v>
      </c>
      <c r="T39" s="53">
        <f>VLOOKUP(T33,L36:S39,7,0)</f>
        <v>175</v>
      </c>
      <c r="U39" s="159" t="s">
        <v>259</v>
      </c>
      <c r="V39" s="145">
        <v>0</v>
      </c>
      <c r="Y39" s="19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19"/>
      <c r="AL39" s="20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</row>
    <row r="40" spans="1:64">
      <c r="A40" s="36"/>
      <c r="B40" s="20"/>
      <c r="C40" s="88" t="s">
        <v>268</v>
      </c>
      <c r="D40" s="88"/>
      <c r="E40" s="182"/>
      <c r="F40" s="182"/>
      <c r="G40" s="182"/>
      <c r="H40" s="182"/>
      <c r="I40" s="2592" t="str">
        <f>+T35</f>
        <v>180L</v>
      </c>
      <c r="J40" s="365" t="s">
        <v>269</v>
      </c>
      <c r="K40" s="808"/>
      <c r="U40" s="145" t="s">
        <v>263</v>
      </c>
      <c r="V40" s="145">
        <v>1</v>
      </c>
      <c r="Y40" s="19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19"/>
      <c r="AL40" s="20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</row>
    <row r="41" spans="1:64">
      <c r="A41" s="36"/>
      <c r="B41" s="20"/>
      <c r="C41" s="88" t="s">
        <v>270</v>
      </c>
      <c r="D41" s="88"/>
      <c r="E41" s="182"/>
      <c r="F41" s="182"/>
      <c r="G41" s="182"/>
      <c r="H41" s="810"/>
      <c r="I41" s="3577">
        <f>+T36</f>
        <v>18</v>
      </c>
      <c r="J41" s="383" t="s">
        <v>271</v>
      </c>
      <c r="K41" s="808"/>
      <c r="L41" s="145" t="s">
        <v>451</v>
      </c>
      <c r="M41" s="381" t="s">
        <v>2591</v>
      </c>
      <c r="N41" s="382" t="s">
        <v>113</v>
      </c>
      <c r="O41" s="382" t="s">
        <v>114</v>
      </c>
      <c r="P41" s="382" t="s">
        <v>115</v>
      </c>
      <c r="Q41" s="382" t="s">
        <v>116</v>
      </c>
      <c r="R41" s="382" t="s">
        <v>117</v>
      </c>
      <c r="S41" s="361"/>
      <c r="Y41" s="19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19"/>
      <c r="AL41" s="20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</row>
    <row r="42" spans="1:64">
      <c r="A42" s="36"/>
      <c r="B42" s="20"/>
      <c r="C42" s="88" t="s">
        <v>273</v>
      </c>
      <c r="D42" s="88"/>
      <c r="E42" s="182"/>
      <c r="F42" s="182"/>
      <c r="G42" s="182"/>
      <c r="H42" s="182"/>
      <c r="I42" s="2592">
        <f>+T37</f>
        <v>960</v>
      </c>
      <c r="J42" s="383" t="s">
        <v>121</v>
      </c>
      <c r="K42" s="808"/>
      <c r="L42" s="145"/>
      <c r="M42" s="381" t="s">
        <v>2592</v>
      </c>
      <c r="N42" s="145"/>
      <c r="O42" s="145"/>
      <c r="P42" s="145"/>
      <c r="Q42" s="145"/>
      <c r="R42" s="145"/>
      <c r="S42" s="145"/>
      <c r="U42" s="22" t="str">
        <f>LEFT(I40,3)</f>
        <v>180</v>
      </c>
      <c r="V42" s="22" t="str">
        <f>IF(U42="VD3", "Please Chek Price","")</f>
        <v/>
      </c>
      <c r="Y42" s="19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19"/>
      <c r="AL42" s="20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</row>
    <row r="43" spans="1:64" ht="15" customHeight="1">
      <c r="A43" s="36"/>
      <c r="B43" s="20"/>
      <c r="C43" s="88" t="s">
        <v>274</v>
      </c>
      <c r="D43" s="221"/>
      <c r="E43" s="221"/>
      <c r="F43" s="221"/>
      <c r="G43" s="221"/>
      <c r="H43" s="221"/>
      <c r="I43" s="2592">
        <f>+T38</f>
        <v>107500</v>
      </c>
      <c r="J43" s="387" t="s">
        <v>389</v>
      </c>
      <c r="K43" s="3793" t="str">
        <f>V42</f>
        <v/>
      </c>
      <c r="L43" s="811">
        <v>0.38500000000000001</v>
      </c>
      <c r="M43" s="385">
        <f>(N43*(1-L43)*1.05)+O43+P43+Q43+R43</f>
        <v>0</v>
      </c>
      <c r="N43" s="145">
        <f>'E Motor &amp; Drive'!AL60</f>
        <v>0</v>
      </c>
      <c r="O43" s="145">
        <f>'E Motor &amp; Drive'!AM60*0</f>
        <v>0</v>
      </c>
      <c r="P43" s="145">
        <f>'E Motor &amp; Drive'!AN60</f>
        <v>0</v>
      </c>
      <c r="Q43" s="145">
        <f>'E Motor &amp; Drive'!AO60</f>
        <v>0</v>
      </c>
      <c r="R43" s="145">
        <f>'E Motor &amp; Drive'!AP60</f>
        <v>0</v>
      </c>
      <c r="S43" s="175" t="b">
        <f>'E Motor &amp; Drive'!AQ60</f>
        <v>0</v>
      </c>
      <c r="T43" s="386" t="str">
        <f>IF(M43=Q36,"Same","NotSame")</f>
        <v>NotSame</v>
      </c>
      <c r="V43" s="19"/>
      <c r="W43" s="19"/>
      <c r="X43" s="19"/>
      <c r="Y43" s="19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19"/>
      <c r="AL43" s="20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</row>
    <row r="44" spans="1:64" ht="15.75" customHeight="1">
      <c r="A44" s="36"/>
      <c r="B44" s="20"/>
      <c r="C44" s="88" t="s">
        <v>275</v>
      </c>
      <c r="D44" s="221"/>
      <c r="E44" s="221"/>
      <c r="F44" s="221"/>
      <c r="G44" s="221"/>
      <c r="H44" s="221"/>
      <c r="I44" s="2592">
        <f>+T39</f>
        <v>175</v>
      </c>
      <c r="J44" s="383" t="s">
        <v>276</v>
      </c>
      <c r="K44" s="3793"/>
      <c r="L44" s="811">
        <v>0.38500000000000001</v>
      </c>
      <c r="M44" s="385">
        <f>N44*(1-L44)</f>
        <v>143295</v>
      </c>
      <c r="N44" s="145">
        <f>'E Motor &amp; Drive'!AL61</f>
        <v>233000</v>
      </c>
      <c r="O44" s="145">
        <f>'E Motor &amp; Drive'!AM61</f>
        <v>0</v>
      </c>
      <c r="P44" s="145">
        <f>'E Motor &amp; Drive'!AN61</f>
        <v>0</v>
      </c>
      <c r="Q44" s="145">
        <f>'E Motor &amp; Drive'!AO61</f>
        <v>0</v>
      </c>
      <c r="R44" s="145">
        <f>'E Motor &amp; Drive'!AP61</f>
        <v>0</v>
      </c>
      <c r="S44" s="175" t="str">
        <f>'E Motor &amp; Drive'!AQ61</f>
        <v>Right</v>
      </c>
      <c r="T44" s="386" t="str">
        <f>IF(M44=Q37,"Same","NotSame")</f>
        <v>NotSame</v>
      </c>
      <c r="U44" s="19"/>
      <c r="X44" s="19"/>
      <c r="Y44" s="19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19"/>
      <c r="AL44" s="20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</row>
    <row r="45" spans="1:64">
      <c r="A45" s="36"/>
      <c r="B45" s="20"/>
      <c r="C45" s="20"/>
      <c r="D45" s="20"/>
      <c r="E45" s="20"/>
      <c r="F45" s="20"/>
      <c r="G45" s="20"/>
      <c r="H45" s="20"/>
      <c r="I45" s="17"/>
      <c r="J45" s="20"/>
      <c r="K45" s="20"/>
      <c r="L45" s="811">
        <v>0.68</v>
      </c>
      <c r="M45" s="385">
        <f>(N45*(1-L45))+O45+P45+Q45+R45</f>
        <v>85554</v>
      </c>
      <c r="N45" s="145">
        <f>'E Motor &amp; Drive'!AL62</f>
        <v>154200</v>
      </c>
      <c r="O45" s="145">
        <f>'E Motor &amp; Drive'!AM62</f>
        <v>17500</v>
      </c>
      <c r="P45" s="145">
        <f>'E Motor &amp; Drive'!AN62</f>
        <v>4000</v>
      </c>
      <c r="Q45" s="145">
        <f>'E Motor &amp; Drive'!AO62</f>
        <v>7000</v>
      </c>
      <c r="R45" s="145">
        <f>'E Motor &amp; Drive'!AP62</f>
        <v>7710</v>
      </c>
      <c r="S45" s="175" t="str">
        <f>'E Motor &amp; Drive'!AQ62</f>
        <v>Right</v>
      </c>
      <c r="T45" s="386" t="str">
        <f>IF(M45=Q38,"Same","NotSame")</f>
        <v>Same</v>
      </c>
      <c r="U45" s="19"/>
      <c r="X45" s="19"/>
      <c r="Y45" s="19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19"/>
      <c r="AL45" s="20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</row>
    <row r="46" spans="1:64">
      <c r="A46" s="36"/>
      <c r="B46" s="20"/>
      <c r="C46" s="182" t="s">
        <v>277</v>
      </c>
      <c r="D46" s="182"/>
      <c r="E46" s="20"/>
      <c r="F46" s="20"/>
      <c r="G46" s="20"/>
      <c r="H46" s="20"/>
      <c r="I46" s="428" t="s">
        <v>278</v>
      </c>
      <c r="J46" s="20"/>
      <c r="K46" s="304"/>
      <c r="L46" s="811">
        <v>0.68</v>
      </c>
      <c r="M46" s="385">
        <f>(N46*(1-L46))+O46+P46+Q46+R46</f>
        <v>85554</v>
      </c>
      <c r="N46" s="145">
        <f>'E Motor &amp; Drive'!AL63</f>
        <v>154200</v>
      </c>
      <c r="O46" s="145">
        <f>'E Motor &amp; Drive'!AM63</f>
        <v>17500</v>
      </c>
      <c r="P46" s="145">
        <f>'E Motor &amp; Drive'!AN63</f>
        <v>4000</v>
      </c>
      <c r="Q46" s="145">
        <f>'E Motor &amp; Drive'!AO63</f>
        <v>7000</v>
      </c>
      <c r="R46" s="145">
        <f>'E Motor &amp; Drive'!AP63</f>
        <v>7710</v>
      </c>
      <c r="S46" s="175" t="str">
        <f>'E Motor &amp; Drive'!AQ63</f>
        <v>Right</v>
      </c>
      <c r="T46" s="386" t="str">
        <f>IF(M46=Q39,"Same","NotSame")</f>
        <v>Same</v>
      </c>
      <c r="U46" s="17"/>
      <c r="V46" s="17"/>
      <c r="W46" s="17"/>
      <c r="X46" s="17"/>
      <c r="Y46" s="493"/>
      <c r="Z46" s="20"/>
      <c r="AA46" s="20"/>
      <c r="AB46" s="20"/>
      <c r="AC46" s="20"/>
      <c r="AD46" s="20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</row>
    <row r="47" spans="1:64">
      <c r="A47" s="36"/>
      <c r="B47" s="20"/>
      <c r="C47" s="182" t="s">
        <v>279</v>
      </c>
      <c r="D47" s="182"/>
      <c r="E47" s="20"/>
      <c r="F47" s="20"/>
      <c r="G47" s="20"/>
      <c r="H47" s="20"/>
      <c r="I47" s="245" t="s">
        <v>280</v>
      </c>
      <c r="J47" s="20"/>
      <c r="K47" s="304"/>
      <c r="L47" s="391" t="str">
        <f>HYPERLINK("\\Manish-pc\e\03 General\Manish\Selection\VD_Series_6Pole.pdf","M Sq 6 Pole")</f>
        <v>M Sq 6 Pole</v>
      </c>
      <c r="M47" s="391" t="str">
        <f>HYPERLINK("\\Manish-pc\e\03 General\Manish\Selection\Price_Sheet_2013.pdf","Pr Sheet")</f>
        <v>Pr Sheet</v>
      </c>
      <c r="N47" s="391" t="str">
        <f>HYPERLINK("\\Manish-pc\e\03 General\Manish\Selection\Slipring_Motor.pdf","M Slip Motor")</f>
        <v>M Slip Motor</v>
      </c>
      <c r="O47" s="391" t="str">
        <f>HYPERLINK("\\Manish-pc\e\03 General\Manish\Selection\","Selection Folder")</f>
        <v>Selection Folder</v>
      </c>
      <c r="U47" s="17"/>
      <c r="V47" s="17"/>
      <c r="W47" s="17"/>
      <c r="X47" s="17"/>
      <c r="Y47" s="493"/>
      <c r="Z47" s="20"/>
      <c r="AA47" s="20"/>
      <c r="AB47" s="20"/>
      <c r="AC47" s="20"/>
      <c r="AD47" s="20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</row>
    <row r="48" spans="1:64">
      <c r="A48" s="36"/>
      <c r="B48" s="20"/>
      <c r="C48" s="182" t="s">
        <v>281</v>
      </c>
      <c r="D48" s="182"/>
      <c r="E48" s="20"/>
      <c r="F48" s="20"/>
      <c r="G48" s="20"/>
      <c r="H48" s="20"/>
      <c r="I48" s="245" t="s">
        <v>282</v>
      </c>
      <c r="J48" s="20"/>
      <c r="K48" s="304"/>
      <c r="L48" s="391" t="str">
        <f>HYPERLINK("\\Manish-pc\e\03 General\Manish\Selection\M_Sq_Price.pdf","M Sq Pr")</f>
        <v>M Sq Pr</v>
      </c>
      <c r="M48" s="391" t="str">
        <f>HYPERLINK("\\Manish-pc\e\03 General\Manish\Selection\Weight.pdf","Weight")</f>
        <v>Weight</v>
      </c>
      <c r="N48" s="391" t="str">
        <f>HYPERLINK("\\Manish-pc\e\03 General\Manish\Selection\Marathon_LP.pdf","M Slip Price")</f>
        <v>M Slip Price</v>
      </c>
      <c r="O48" s="19"/>
      <c r="U48" s="17"/>
      <c r="V48" s="17"/>
      <c r="W48" s="17"/>
      <c r="X48" s="17"/>
      <c r="Y48" s="493"/>
      <c r="Z48" s="20"/>
      <c r="AA48" s="20"/>
      <c r="AB48" s="20"/>
      <c r="AC48" s="20"/>
      <c r="AD48" s="20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</row>
    <row r="49" spans="1:64" ht="14.65" thickBot="1">
      <c r="A49" s="394"/>
      <c r="B49" s="135"/>
      <c r="C49" s="135"/>
      <c r="D49" s="135"/>
      <c r="E49" s="135"/>
      <c r="F49" s="135"/>
      <c r="G49" s="135"/>
      <c r="H49" s="135"/>
      <c r="I49" s="135"/>
      <c r="J49" s="135"/>
      <c r="K49" s="136"/>
      <c r="L49" s="391" t="str">
        <f>HYPERLINK("\\Manish-pc\e\03 General\Manish\Selection\M_Sq_Price.xls","M Sq Pr Exl")</f>
        <v>M Sq Pr Exl</v>
      </c>
      <c r="M49" s="391" t="str">
        <f>HYPERLINK("\\Manish-pc\e\03 General\Manish\Selection\Siemens_Motor.pdf","Sie Nor H-F")</f>
        <v>Sie Nor H-F</v>
      </c>
      <c r="N49" s="391" t="str">
        <f>HYPERLINK("\\Manish-pc\e\03 General\Manish\Selection\Siemens_F-B.pdf","Siem F-B")</f>
        <v>Siem F-B</v>
      </c>
      <c r="O49" s="294"/>
      <c r="U49" s="333"/>
      <c r="V49" s="17"/>
      <c r="W49" s="294"/>
      <c r="X49" s="294"/>
      <c r="Y49" s="294"/>
      <c r="Z49" s="17"/>
      <c r="AA49" s="17"/>
      <c r="AB49" s="17"/>
      <c r="AC49" s="20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20"/>
      <c r="AP49" s="20"/>
      <c r="AQ49" s="20"/>
      <c r="AR49" s="20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</row>
    <row r="50" spans="1:64">
      <c r="A50" s="3769" t="s">
        <v>1</v>
      </c>
      <c r="B50" s="3770"/>
      <c r="C50" s="3770"/>
      <c r="D50" s="3770"/>
      <c r="E50" s="3771"/>
      <c r="F50" s="3735" t="s">
        <v>109</v>
      </c>
      <c r="G50" s="3736"/>
      <c r="H50" s="3737"/>
      <c r="I50" s="3738" t="s">
        <v>2</v>
      </c>
      <c r="J50" s="3739"/>
      <c r="K50" s="3740"/>
      <c r="L50" s="396"/>
      <c r="M50" s="397" t="str">
        <f>HYPERLINK("\\Manish-pc\e\03 General\Manish\Selection\Siemens_Price.pdf","Siem Pr 2017")</f>
        <v>Siem Pr 2017</v>
      </c>
      <c r="N50" s="391" t="str">
        <f>HYPERLINK("\\Manish-pc\e\03 General\Manish\Selection\Siemens_H-F.pdf","Siem H-F")</f>
        <v>Siem H-F</v>
      </c>
      <c r="U50" s="333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20"/>
      <c r="AP50" s="20"/>
      <c r="AQ50" s="20"/>
      <c r="AR50" s="20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</row>
    <row r="51" spans="1:64">
      <c r="A51" s="3741" t="s">
        <v>2786</v>
      </c>
      <c r="B51" s="3742"/>
      <c r="C51" s="3742"/>
      <c r="D51" s="3742"/>
      <c r="E51" s="3743"/>
      <c r="F51" s="3762" t="str">
        <f>F2</f>
        <v xml:space="preserve">25/15T D/G EOT CRANE  </v>
      </c>
      <c r="G51" s="3742"/>
      <c r="H51" s="3743"/>
      <c r="I51" s="3762">
        <f>I2</f>
        <v>0</v>
      </c>
      <c r="J51" s="3742"/>
      <c r="K51" s="3742"/>
      <c r="L51" s="812"/>
      <c r="M51" s="812"/>
      <c r="N51" s="396"/>
      <c r="O51" s="398"/>
      <c r="P51" s="301"/>
      <c r="Q51" s="223"/>
      <c r="R51" s="399"/>
      <c r="S51" s="400"/>
      <c r="T51" s="400"/>
      <c r="U51" s="400"/>
      <c r="V51" s="224"/>
      <c r="W51" s="401"/>
      <c r="X51" s="813"/>
      <c r="Y51" s="399"/>
      <c r="Z51" s="399"/>
      <c r="AA51" s="399"/>
      <c r="AB51" s="223"/>
      <c r="AC51" s="223"/>
      <c r="AD51" s="223"/>
      <c r="AE51" s="223"/>
      <c r="AF51" s="223"/>
      <c r="AG51" s="223"/>
      <c r="AH51" s="223"/>
      <c r="AI51" s="223"/>
      <c r="AJ51" s="223"/>
      <c r="AK51" s="37"/>
      <c r="AL51" s="37"/>
      <c r="AM51" s="37"/>
      <c r="AN51" s="37"/>
      <c r="AO51" s="37"/>
      <c r="AP51" s="402"/>
      <c r="AQ51" s="151"/>
      <c r="AR51" s="399"/>
      <c r="AS51" s="399"/>
      <c r="AT51" s="223"/>
      <c r="AU51" s="223"/>
      <c r="AV51" s="223"/>
      <c r="AW51" s="223"/>
      <c r="AX51" s="225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</row>
    <row r="52" spans="1:64">
      <c r="A52" s="3763" t="e">
        <f>A3</f>
        <v>#REF!</v>
      </c>
      <c r="B52" s="3760"/>
      <c r="C52" s="3760"/>
      <c r="D52" s="3760"/>
      <c r="E52" s="3761"/>
      <c r="F52" s="3759" t="s">
        <v>122</v>
      </c>
      <c r="G52" s="3760"/>
      <c r="H52" s="3761"/>
      <c r="I52" s="3750" t="s">
        <v>749</v>
      </c>
      <c r="J52" s="3751"/>
      <c r="K52" s="3751"/>
      <c r="L52" s="19"/>
      <c r="M52" s="19"/>
      <c r="O52" s="226"/>
      <c r="P52" s="59"/>
      <c r="Q52" s="3722" t="s">
        <v>294</v>
      </c>
      <c r="R52" s="3722" t="s">
        <v>283</v>
      </c>
      <c r="S52" s="3722"/>
      <c r="T52" s="3722"/>
      <c r="U52" s="3722"/>
      <c r="V52" s="3722"/>
      <c r="W52" s="3722"/>
      <c r="X52" s="333"/>
      <c r="AB52" s="17"/>
      <c r="AC52" s="17"/>
      <c r="AD52" s="17"/>
      <c r="AE52" s="17"/>
      <c r="AF52" s="17"/>
      <c r="AG52" s="17"/>
      <c r="AH52" s="17"/>
      <c r="AI52" s="17"/>
      <c r="AJ52" s="17"/>
      <c r="AK52" s="20"/>
      <c r="AL52" s="20"/>
      <c r="AM52" s="20"/>
      <c r="AN52" s="20"/>
      <c r="AO52" s="20"/>
      <c r="AP52" s="405"/>
      <c r="AQ52" s="153"/>
      <c r="AT52" s="17"/>
      <c r="AU52" s="17"/>
      <c r="AV52" s="17"/>
      <c r="AW52" s="17"/>
      <c r="AX52" s="22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</row>
    <row r="53" spans="1:64">
      <c r="A53" s="406" t="s">
        <v>32</v>
      </c>
      <c r="B53" s="407" t="e">
        <f>B4</f>
        <v>#REF!</v>
      </c>
      <c r="C53" s="407"/>
      <c r="D53" s="407"/>
      <c r="E53" s="408"/>
      <c r="F53" s="3762" t="str">
        <f>F4</f>
        <v xml:space="preserve"> </v>
      </c>
      <c r="G53" s="3742"/>
      <c r="H53" s="3743"/>
      <c r="I53" s="3753"/>
      <c r="J53" s="3754"/>
      <c r="K53" s="3754"/>
      <c r="O53" s="226"/>
      <c r="P53" s="19"/>
      <c r="Q53" s="3722"/>
      <c r="R53" s="3721" t="s">
        <v>285</v>
      </c>
      <c r="S53" s="3721" t="s">
        <v>286</v>
      </c>
      <c r="T53" s="3722" t="s">
        <v>287</v>
      </c>
      <c r="U53" s="3721" t="s">
        <v>2807</v>
      </c>
      <c r="V53" s="3721" t="s">
        <v>2808</v>
      </c>
      <c r="W53" s="3721"/>
      <c r="X53" s="409"/>
      <c r="Y53" s="229"/>
      <c r="AB53" s="17"/>
      <c r="AC53" s="17"/>
      <c r="AD53" s="17"/>
      <c r="AE53" s="17"/>
      <c r="AF53" s="17"/>
      <c r="AG53" s="17"/>
      <c r="AH53" s="17"/>
      <c r="AI53" s="17"/>
      <c r="AJ53" s="17"/>
      <c r="AK53" s="20"/>
      <c r="AL53" s="20"/>
      <c r="AM53" s="20"/>
      <c r="AN53" s="20"/>
      <c r="AO53" s="20"/>
      <c r="AP53" s="405"/>
      <c r="AQ53" s="153"/>
      <c r="AT53" s="17"/>
      <c r="AU53" s="17"/>
      <c r="AV53" s="17"/>
      <c r="AW53" s="17"/>
      <c r="AX53" s="22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</row>
    <row r="54" spans="1:64">
      <c r="A54" s="300"/>
      <c r="B54" s="37"/>
      <c r="C54" s="37"/>
      <c r="D54" s="37"/>
      <c r="E54" s="37"/>
      <c r="F54" s="37"/>
      <c r="G54" s="37"/>
      <c r="H54" s="37"/>
      <c r="I54" s="37"/>
      <c r="J54" s="37"/>
      <c r="K54" s="37"/>
      <c r="O54" s="226"/>
      <c r="P54" s="19"/>
      <c r="Q54" s="3722"/>
      <c r="R54" s="3721"/>
      <c r="S54" s="3721"/>
      <c r="T54" s="3722"/>
      <c r="U54" s="3722"/>
      <c r="V54" s="3722"/>
      <c r="W54" s="3722"/>
      <c r="X54" s="411"/>
      <c r="Y54" s="411"/>
      <c r="AB54" s="17"/>
      <c r="AC54" s="17"/>
      <c r="AD54" s="17"/>
      <c r="AE54" s="17"/>
      <c r="AF54" s="17"/>
      <c r="AG54" s="17"/>
      <c r="AH54" s="17"/>
      <c r="AI54" s="17"/>
      <c r="AJ54" s="17"/>
      <c r="AK54" s="20"/>
      <c r="AL54" s="20"/>
      <c r="AM54" s="20"/>
      <c r="AN54" s="20"/>
      <c r="AO54" s="20"/>
      <c r="AP54" s="405"/>
      <c r="AQ54" s="412" t="s">
        <v>2406</v>
      </c>
      <c r="AR54" s="231">
        <f>+AD57</f>
        <v>222.62398756844328</v>
      </c>
      <c r="AT54" s="17"/>
      <c r="AU54" s="17"/>
      <c r="AV54" s="17"/>
      <c r="AW54" s="17"/>
      <c r="AX54" s="22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</row>
    <row r="55" spans="1:64">
      <c r="A55" s="305">
        <v>2</v>
      </c>
      <c r="B55" s="182" t="s">
        <v>750</v>
      </c>
      <c r="C55" s="20"/>
      <c r="D55" s="20"/>
      <c r="E55" s="20"/>
      <c r="F55" s="20"/>
      <c r="G55" s="20"/>
      <c r="H55" s="20"/>
      <c r="I55" s="20"/>
      <c r="J55" s="20"/>
      <c r="K55" s="20"/>
      <c r="O55" s="226"/>
      <c r="P55" s="19"/>
      <c r="Q55" s="3722"/>
      <c r="R55" s="3721"/>
      <c r="S55" s="3721"/>
      <c r="T55" s="3722"/>
      <c r="U55" s="3722"/>
      <c r="V55" s="3722"/>
      <c r="W55" s="3722"/>
      <c r="X55" s="311"/>
      <c r="Y55" s="311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20"/>
      <c r="AL55" s="20"/>
      <c r="AM55" s="20"/>
      <c r="AN55" s="20"/>
      <c r="AO55" s="20"/>
      <c r="AP55" s="405"/>
      <c r="AQ55" s="131" t="s">
        <v>2408</v>
      </c>
      <c r="AR55" s="131" t="s">
        <v>2409</v>
      </c>
      <c r="AS55" s="131" t="s">
        <v>2410</v>
      </c>
      <c r="AT55" s="228" t="s">
        <v>400</v>
      </c>
      <c r="AU55" s="228" t="s">
        <v>275</v>
      </c>
      <c r="AV55" s="228" t="s">
        <v>274</v>
      </c>
      <c r="AW55" s="17"/>
      <c r="AX55" s="22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</row>
    <row r="56" spans="1:64">
      <c r="A56" s="36"/>
      <c r="B56" s="20"/>
      <c r="C56" s="20"/>
      <c r="D56" s="20"/>
      <c r="E56" s="20"/>
      <c r="F56" s="20"/>
      <c r="G56" s="20"/>
      <c r="H56" s="20"/>
      <c r="I56" s="20"/>
      <c r="J56" s="20"/>
      <c r="K56" s="20"/>
      <c r="O56" s="226"/>
      <c r="P56" s="413"/>
      <c r="Q56" s="2519">
        <v>0</v>
      </c>
      <c r="R56" s="2518">
        <v>10</v>
      </c>
      <c r="S56" s="2518">
        <v>160</v>
      </c>
      <c r="T56" s="2518">
        <v>36</v>
      </c>
      <c r="U56" s="2528">
        <f>(61565+64445)*0.95</f>
        <v>119709.5</v>
      </c>
      <c r="V56" s="2529">
        <f>(42775+44950)*0.9</f>
        <v>78952.5</v>
      </c>
      <c r="W56" s="2518">
        <v>0</v>
      </c>
      <c r="X56" s="385"/>
      <c r="Y56" s="385"/>
      <c r="Z56" s="17"/>
      <c r="AB56" s="17"/>
      <c r="AC56" s="414" t="s">
        <v>2407</v>
      </c>
      <c r="AD56" s="233">
        <f>+I65</f>
        <v>22.693576714418274</v>
      </c>
      <c r="AF56" s="17"/>
      <c r="AG56" s="17"/>
      <c r="AH56" s="17"/>
      <c r="AI56" s="17"/>
      <c r="AJ56" s="17"/>
      <c r="AK56" s="20"/>
      <c r="AL56" s="20"/>
      <c r="AM56" s="20"/>
      <c r="AN56" s="20"/>
      <c r="AO56" s="20"/>
      <c r="AP56" s="405"/>
      <c r="AQ56" s="131"/>
      <c r="AR56" s="131"/>
      <c r="AS56" s="131"/>
      <c r="AT56" s="131"/>
      <c r="AU56" s="131"/>
      <c r="AV56" s="131"/>
      <c r="AW56" s="17"/>
      <c r="AX56" s="22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</row>
    <row r="57" spans="1:64" ht="12.95" customHeight="1">
      <c r="A57" s="313"/>
      <c r="B57" s="20" t="s">
        <v>296</v>
      </c>
      <c r="C57" s="20"/>
      <c r="D57" s="20"/>
      <c r="E57" s="20"/>
      <c r="F57" s="20"/>
      <c r="G57" s="306" t="s">
        <v>297</v>
      </c>
      <c r="H57" s="20"/>
      <c r="I57" s="20"/>
      <c r="J57" s="20"/>
      <c r="K57" s="20"/>
      <c r="O57" s="226"/>
      <c r="P57" s="413"/>
      <c r="Q57" s="2519">
        <v>8</v>
      </c>
      <c r="R57" s="2518">
        <v>13.8</v>
      </c>
      <c r="S57" s="2518">
        <v>200</v>
      </c>
      <c r="T57" s="2518">
        <v>41</v>
      </c>
      <c r="U57" s="2528">
        <f>(72470+71840)*0.95</f>
        <v>137094.5</v>
      </c>
      <c r="V57" s="2529">
        <f>(50335+50065)*0.9</f>
        <v>90360</v>
      </c>
      <c r="W57" s="2518">
        <v>0</v>
      </c>
      <c r="X57" s="385"/>
      <c r="Y57" s="385"/>
      <c r="Z57" s="17"/>
      <c r="AB57" s="17"/>
      <c r="AC57" s="414" t="s">
        <v>2406</v>
      </c>
      <c r="AD57" s="234">
        <f>+I66</f>
        <v>222.62398756844328</v>
      </c>
      <c r="AF57" s="17"/>
      <c r="AG57" s="17"/>
      <c r="AH57" s="17"/>
      <c r="AI57" s="17"/>
      <c r="AJ57" s="17"/>
      <c r="AK57" s="20"/>
      <c r="AL57" s="20"/>
      <c r="AM57" s="20"/>
      <c r="AN57" s="20"/>
      <c r="AO57" s="20"/>
      <c r="AP57" s="405"/>
      <c r="AQ57" s="145" t="s">
        <v>2434</v>
      </c>
      <c r="AR57" s="145">
        <v>10</v>
      </c>
      <c r="AS57" s="145" t="s">
        <v>2411</v>
      </c>
      <c r="AT57" s="235">
        <v>200</v>
      </c>
      <c r="AU57" s="235">
        <v>19</v>
      </c>
      <c r="AV57" s="235">
        <v>50000</v>
      </c>
      <c r="AW57" s="216"/>
      <c r="AX57" s="22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</row>
    <row r="58" spans="1:64" ht="12.95" customHeight="1">
      <c r="A58" s="36"/>
      <c r="B58" s="20"/>
      <c r="C58" s="20"/>
      <c r="D58" s="20"/>
      <c r="E58" s="20"/>
      <c r="F58" s="20"/>
      <c r="G58" s="20"/>
      <c r="H58" s="20" t="s">
        <v>299</v>
      </c>
      <c r="I58" s="20"/>
      <c r="J58" s="20"/>
      <c r="K58" s="20"/>
      <c r="O58" s="226"/>
      <c r="P58" s="413"/>
      <c r="Q58" s="2519">
        <v>13.8</v>
      </c>
      <c r="R58" s="2518">
        <v>27.7</v>
      </c>
      <c r="S58" s="2518">
        <v>250</v>
      </c>
      <c r="T58" s="2518">
        <v>71</v>
      </c>
      <c r="U58" s="2528">
        <f>(88965+76225)*0.95</f>
        <v>156930.5</v>
      </c>
      <c r="V58" s="2529">
        <f>(61800+53115)*0.9</f>
        <v>103423.5</v>
      </c>
      <c r="W58" s="2518">
        <v>0</v>
      </c>
      <c r="X58" s="385"/>
      <c r="Y58" s="385"/>
      <c r="Z58" s="17"/>
      <c r="AB58" s="415" t="s">
        <v>314</v>
      </c>
      <c r="AC58" s="236" t="s">
        <v>315</v>
      </c>
      <c r="AD58" s="236" t="s">
        <v>316</v>
      </c>
      <c r="AF58" s="17"/>
      <c r="AG58" s="237" t="s">
        <v>298</v>
      </c>
      <c r="AH58" s="237"/>
      <c r="AI58" s="237"/>
      <c r="AJ58" s="237"/>
      <c r="AK58" s="237"/>
      <c r="AL58" s="237"/>
      <c r="AM58" s="238"/>
      <c r="AN58" s="238"/>
      <c r="AO58" s="416"/>
      <c r="AP58" s="405"/>
      <c r="AQ58" s="145" t="s">
        <v>2435</v>
      </c>
      <c r="AR58" s="145">
        <v>20</v>
      </c>
      <c r="AS58" s="145" t="s">
        <v>2412</v>
      </c>
      <c r="AT58" s="311">
        <v>200</v>
      </c>
      <c r="AU58" s="235">
        <v>19</v>
      </c>
      <c r="AV58" s="235">
        <f>+AV57+5000</f>
        <v>55000</v>
      </c>
      <c r="AW58" s="216"/>
      <c r="AX58" s="22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</row>
    <row r="59" spans="1:64" ht="15" customHeight="1">
      <c r="A59" s="36"/>
      <c r="B59" s="20" t="s">
        <v>751</v>
      </c>
      <c r="C59" s="20"/>
      <c r="D59" s="20"/>
      <c r="E59" s="20"/>
      <c r="F59" s="20"/>
      <c r="G59" s="20"/>
      <c r="H59" s="20"/>
      <c r="I59" s="358"/>
      <c r="J59" s="20"/>
      <c r="K59" s="20"/>
      <c r="O59" s="226"/>
      <c r="P59" s="413"/>
      <c r="Q59" s="2519">
        <v>27.7</v>
      </c>
      <c r="R59" s="2518">
        <v>76</v>
      </c>
      <c r="S59" s="2518">
        <v>300</v>
      </c>
      <c r="T59" s="2518">
        <v>95</v>
      </c>
      <c r="U59" s="2528">
        <f>(145645+82195)*0.95</f>
        <v>216448</v>
      </c>
      <c r="V59" s="2529">
        <f>(101215+57295)*0.9</f>
        <v>142659</v>
      </c>
      <c r="W59" s="2518">
        <v>0</v>
      </c>
      <c r="X59" s="385"/>
      <c r="Y59" s="311"/>
      <c r="Z59" s="17"/>
      <c r="AB59" s="311"/>
      <c r="AC59" s="228"/>
      <c r="AD59" s="311">
        <f>VLOOKUP(AD60,AG61:AH80,2,0)</f>
        <v>250</v>
      </c>
      <c r="AF59" s="17"/>
      <c r="AG59" s="228"/>
      <c r="AH59" s="179" t="s">
        <v>300</v>
      </c>
      <c r="AI59" s="239" t="s">
        <v>301</v>
      </c>
      <c r="AJ59" s="179"/>
      <c r="AK59" s="416"/>
      <c r="AL59" s="416"/>
      <c r="AM59" s="417" t="s">
        <v>302</v>
      </c>
      <c r="AN59" s="417"/>
      <c r="AO59" s="416"/>
      <c r="AP59" s="405"/>
      <c r="AQ59" s="145" t="s">
        <v>2436</v>
      </c>
      <c r="AR59" s="145">
        <v>10</v>
      </c>
      <c r="AS59" s="145" t="s">
        <v>2413</v>
      </c>
      <c r="AT59" s="311">
        <v>250</v>
      </c>
      <c r="AU59" s="235">
        <v>30</v>
      </c>
      <c r="AV59" s="235">
        <v>60000</v>
      </c>
      <c r="AW59" s="216"/>
      <c r="AX59" s="22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</row>
    <row r="60" spans="1:64" ht="17.100000000000001" customHeight="1">
      <c r="A60" s="36"/>
      <c r="B60" s="20"/>
      <c r="C60" s="20" t="s">
        <v>752</v>
      </c>
      <c r="D60" s="20"/>
      <c r="E60" s="20"/>
      <c r="F60" s="20"/>
      <c r="G60" s="20"/>
      <c r="H60" s="43" t="s">
        <v>160</v>
      </c>
      <c r="I60" s="420">
        <v>1.5</v>
      </c>
      <c r="J60" s="357"/>
      <c r="K60" s="20"/>
      <c r="O60" s="153"/>
      <c r="P60" s="413"/>
      <c r="Q60" s="2519">
        <v>76</v>
      </c>
      <c r="R60" s="2518">
        <v>138.30000000000001</v>
      </c>
      <c r="S60" s="2518">
        <v>400</v>
      </c>
      <c r="T60" s="2518">
        <f>1*240</f>
        <v>240</v>
      </c>
      <c r="U60" s="2528">
        <f>(234435+96640)*0.95</f>
        <v>314521.25</v>
      </c>
      <c r="V60" s="2529">
        <f>(162865+66000)*0.9</f>
        <v>205978.5</v>
      </c>
      <c r="W60" s="2518">
        <v>0</v>
      </c>
      <c r="X60" s="385"/>
      <c r="Y60" s="385"/>
      <c r="Z60" s="17"/>
      <c r="AB60" s="160" t="s">
        <v>329</v>
      </c>
      <c r="AC60" s="228">
        <f>VLOOKUP(AD56,S69:S82,1)</f>
        <v>20</v>
      </c>
      <c r="AD60" s="418">
        <f>VLOOKUP(AD57,AG61:AG80,1)</f>
        <v>0</v>
      </c>
      <c r="AF60" s="17"/>
      <c r="AG60" s="228" t="s">
        <v>118</v>
      </c>
      <c r="AH60" s="179" t="s">
        <v>304</v>
      </c>
      <c r="AI60" s="419"/>
      <c r="AJ60" s="179" t="s">
        <v>305</v>
      </c>
      <c r="AK60" s="29" t="s">
        <v>275</v>
      </c>
      <c r="AL60" s="416" t="s">
        <v>274</v>
      </c>
      <c r="AM60" s="29" t="s">
        <v>306</v>
      </c>
      <c r="AN60" s="29" t="s">
        <v>307</v>
      </c>
      <c r="AO60" s="416"/>
      <c r="AP60" s="405"/>
      <c r="AQ60" s="145" t="s">
        <v>2437</v>
      </c>
      <c r="AR60" s="145">
        <v>20</v>
      </c>
      <c r="AS60" s="145" t="s">
        <v>2414</v>
      </c>
      <c r="AT60" s="311">
        <v>250</v>
      </c>
      <c r="AU60" s="235">
        <v>30</v>
      </c>
      <c r="AV60" s="235">
        <f>+AV59+5000</f>
        <v>65000</v>
      </c>
      <c r="AW60" s="216"/>
      <c r="AX60" s="22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</row>
    <row r="61" spans="1:64" ht="12.95" customHeight="1">
      <c r="A61" s="36"/>
      <c r="B61" s="20"/>
      <c r="C61" s="20" t="s">
        <v>753</v>
      </c>
      <c r="D61" s="20"/>
      <c r="E61" s="20"/>
      <c r="F61" s="20"/>
      <c r="G61" s="20"/>
      <c r="H61" s="43" t="s">
        <v>160</v>
      </c>
      <c r="I61" s="814">
        <f>J29</f>
        <v>14.896296509977123</v>
      </c>
      <c r="J61" s="357"/>
      <c r="K61" s="20"/>
      <c r="O61" s="153"/>
      <c r="P61" s="413"/>
      <c r="Q61" s="2519">
        <v>138.30000000000001</v>
      </c>
      <c r="R61" s="2518">
        <v>277</v>
      </c>
      <c r="S61" s="2518">
        <v>500</v>
      </c>
      <c r="T61" s="2518">
        <f>1*310</f>
        <v>310</v>
      </c>
      <c r="U61" s="2528">
        <f>(377940+114435)*0.95</f>
        <v>467756.25</v>
      </c>
      <c r="V61" s="2529">
        <f>(260330+79750)*0.9</f>
        <v>306072</v>
      </c>
      <c r="W61" s="2518">
        <v>0</v>
      </c>
      <c r="X61" s="385"/>
      <c r="Y61" s="311"/>
      <c r="Z61" s="17"/>
      <c r="AB61" s="421" t="s">
        <v>331</v>
      </c>
      <c r="AC61" s="179">
        <f>VLOOKUP(AC60,S69:T82,2,0)</f>
        <v>32</v>
      </c>
      <c r="AD61" s="179" t="str">
        <f>VLOOKUP(AD59,AH61:AI80,2,0)</f>
        <v>25-250</v>
      </c>
      <c r="AF61" s="17"/>
      <c r="AG61" s="240">
        <v>0</v>
      </c>
      <c r="AH61" s="179">
        <v>250</v>
      </c>
      <c r="AI61" s="179" t="s">
        <v>309</v>
      </c>
      <c r="AJ61" s="179">
        <v>160</v>
      </c>
      <c r="AK61" s="29">
        <v>23</v>
      </c>
      <c r="AL61" s="416">
        <v>24593</v>
      </c>
      <c r="AM61" s="416" t="s">
        <v>2518</v>
      </c>
      <c r="AN61" s="416" t="str">
        <f>"N(NV)."&amp;AJ61&amp;"."&amp;AM61</f>
        <v>N(NV).160.HYD.023/05</v>
      </c>
      <c r="AO61" s="416"/>
      <c r="AP61" s="405"/>
      <c r="AQ61" s="145" t="s">
        <v>2438</v>
      </c>
      <c r="AR61" s="145">
        <v>30</v>
      </c>
      <c r="AS61" s="145" t="s">
        <v>2415</v>
      </c>
      <c r="AT61" s="311">
        <v>250</v>
      </c>
      <c r="AU61" s="235">
        <v>30</v>
      </c>
      <c r="AV61" s="235">
        <v>70000</v>
      </c>
      <c r="AW61" s="216"/>
      <c r="AX61" s="22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</row>
    <row r="62" spans="1:64" ht="12.95" customHeight="1">
      <c r="A62" s="313"/>
      <c r="B62" s="20"/>
      <c r="C62" s="20" t="s">
        <v>312</v>
      </c>
      <c r="D62" s="20"/>
      <c r="E62" s="20"/>
      <c r="F62" s="20"/>
      <c r="G62" s="20"/>
      <c r="H62" s="43" t="s">
        <v>160</v>
      </c>
      <c r="I62" s="19">
        <f>I42</f>
        <v>960</v>
      </c>
      <c r="J62" s="357"/>
      <c r="K62" s="59" t="s">
        <v>754</v>
      </c>
      <c r="O62" s="153"/>
      <c r="P62" s="413"/>
      <c r="Q62" s="2519">
        <v>277</v>
      </c>
      <c r="R62" s="2518">
        <v>555</v>
      </c>
      <c r="S62" s="2518">
        <v>600</v>
      </c>
      <c r="T62" s="2518">
        <f>1*410</f>
        <v>410</v>
      </c>
      <c r="U62" s="2528">
        <f>(598150+147545)*0.95</f>
        <v>708410.25</v>
      </c>
      <c r="V62" s="2529">
        <f>(415580+102850)*0.9</f>
        <v>466587</v>
      </c>
      <c r="W62" s="2518">
        <v>0</v>
      </c>
      <c r="X62" s="385"/>
      <c r="Y62" s="385"/>
      <c r="Z62" s="17"/>
      <c r="AB62" s="421" t="s">
        <v>337</v>
      </c>
      <c r="AC62" s="179">
        <f>VLOOKUP(AC61,T69:U82,2,0)</f>
        <v>34</v>
      </c>
      <c r="AD62" s="241" t="str">
        <f>VLOOKUP(AD59,AH61:AM80,6,0)</f>
        <v>HYD.023/05</v>
      </c>
      <c r="AF62" s="17"/>
      <c r="AG62" s="242">
        <v>250</v>
      </c>
      <c r="AH62" s="179">
        <v>310</v>
      </c>
      <c r="AI62" s="179" t="s">
        <v>311</v>
      </c>
      <c r="AJ62" s="179">
        <v>200</v>
      </c>
      <c r="AK62" s="29">
        <v>27</v>
      </c>
      <c r="AL62" s="416">
        <v>28500</v>
      </c>
      <c r="AM62" s="416" t="s">
        <v>2518</v>
      </c>
      <c r="AN62" s="416" t="str">
        <f t="shared" ref="AN62:AN80" si="0">"N(NV)."&amp;AJ62&amp;"."&amp;AM62</f>
        <v>N(NV).200.HYD.023/05</v>
      </c>
      <c r="AO62" s="416"/>
      <c r="AP62" s="405"/>
      <c r="AQ62" s="145" t="s">
        <v>2439</v>
      </c>
      <c r="AR62" s="145">
        <v>10</v>
      </c>
      <c r="AS62" s="145" t="s">
        <v>2416</v>
      </c>
      <c r="AT62" s="311">
        <v>315</v>
      </c>
      <c r="AU62" s="235">
        <v>50</v>
      </c>
      <c r="AV62" s="235">
        <f>+AV61+5000</f>
        <v>75000</v>
      </c>
      <c r="AW62" s="216"/>
      <c r="AX62" s="22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</row>
    <row r="63" spans="1:64" ht="12.95" customHeight="1">
      <c r="A63" s="36"/>
      <c r="B63" s="20"/>
      <c r="C63" s="20"/>
      <c r="D63" s="20"/>
      <c r="E63" s="20"/>
      <c r="F63" s="20"/>
      <c r="G63" s="20"/>
      <c r="H63" s="20"/>
      <c r="I63" s="19"/>
      <c r="J63" s="358"/>
      <c r="K63" s="654">
        <f>I61/0.746</f>
        <v>19.968225884687833</v>
      </c>
      <c r="O63" s="153"/>
      <c r="P63" s="422"/>
      <c r="Y63" s="19"/>
      <c r="Z63" s="17"/>
      <c r="AB63" s="421" t="s">
        <v>341</v>
      </c>
      <c r="AC63" s="179">
        <f>VLOOKUP(AC61,T69:V82,3,0)</f>
        <v>200</v>
      </c>
      <c r="AD63" s="179">
        <f>VLOOKUP(AD59,AH61:AJ80,3,0)</f>
        <v>160</v>
      </c>
      <c r="AF63" s="17"/>
      <c r="AG63" s="242">
        <v>310</v>
      </c>
      <c r="AH63" s="179">
        <v>400</v>
      </c>
      <c r="AI63" s="179" t="s">
        <v>313</v>
      </c>
      <c r="AJ63" s="179">
        <v>200</v>
      </c>
      <c r="AK63" s="29">
        <v>31</v>
      </c>
      <c r="AL63" s="416">
        <f t="shared" ref="AL63" si="1">AL62</f>
        <v>28500</v>
      </c>
      <c r="AM63" s="416" t="s">
        <v>2519</v>
      </c>
      <c r="AN63" s="416" t="str">
        <f t="shared" si="0"/>
        <v>N(NV).200.HYD.030/05</v>
      </c>
      <c r="AO63" s="416"/>
      <c r="AP63" s="405"/>
      <c r="AQ63" s="145" t="s">
        <v>2440</v>
      </c>
      <c r="AR63" s="145">
        <v>20</v>
      </c>
      <c r="AS63" s="145" t="s">
        <v>2417</v>
      </c>
      <c r="AT63" s="311">
        <v>315</v>
      </c>
      <c r="AU63" s="235">
        <v>50</v>
      </c>
      <c r="AV63" s="235">
        <f>+AV62+5000</f>
        <v>80000</v>
      </c>
      <c r="AW63" s="216"/>
      <c r="AX63" s="22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</row>
    <row r="64" spans="1:64" ht="21.95" customHeight="1">
      <c r="A64" s="36"/>
      <c r="B64" s="20"/>
      <c r="C64" s="20"/>
      <c r="D64" s="20"/>
      <c r="E64" s="20"/>
      <c r="F64" s="20"/>
      <c r="G64" s="20"/>
      <c r="H64" s="20"/>
      <c r="I64" s="302">
        <f>(975*I61*I60/I62)</f>
        <v>22.693576714418274</v>
      </c>
      <c r="J64" s="20" t="s">
        <v>322</v>
      </c>
      <c r="K64" s="20"/>
      <c r="O64" s="153"/>
      <c r="P64" s="422"/>
      <c r="R64" s="17"/>
      <c r="Y64" s="17"/>
      <c r="AB64" s="160" t="s">
        <v>344</v>
      </c>
      <c r="AC64" s="179">
        <f>VLOOKUP(AC61,T69:X82,5,0)</f>
        <v>27</v>
      </c>
      <c r="AD64" s="179">
        <f>VLOOKUP(AD59,AH61:AK80,4,0)</f>
        <v>23</v>
      </c>
      <c r="AF64" s="17"/>
      <c r="AG64" s="242">
        <v>400</v>
      </c>
      <c r="AH64" s="179">
        <v>330</v>
      </c>
      <c r="AI64" s="179" t="s">
        <v>317</v>
      </c>
      <c r="AJ64" s="179">
        <v>250</v>
      </c>
      <c r="AK64" s="29">
        <v>35</v>
      </c>
      <c r="AL64" s="416">
        <v>33200</v>
      </c>
      <c r="AM64" s="416" t="s">
        <v>2518</v>
      </c>
      <c r="AN64" s="416" t="str">
        <f t="shared" si="0"/>
        <v>N(NV).250.HYD.023/05</v>
      </c>
      <c r="AO64" s="416"/>
      <c r="AP64" s="405"/>
      <c r="AQ64" s="145" t="s">
        <v>2441</v>
      </c>
      <c r="AR64" s="145">
        <v>30</v>
      </c>
      <c r="AS64" s="145" t="s">
        <v>2418</v>
      </c>
      <c r="AT64" s="311">
        <v>315</v>
      </c>
      <c r="AU64" s="235">
        <v>50</v>
      </c>
      <c r="AV64" s="235">
        <f>+AV63+5000</f>
        <v>85000</v>
      </c>
      <c r="AW64" s="216"/>
      <c r="AX64" s="22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</row>
    <row r="65" spans="1:64">
      <c r="A65" s="36"/>
      <c r="B65" s="20" t="s">
        <v>755</v>
      </c>
      <c r="C65" s="20"/>
      <c r="D65" s="20"/>
      <c r="E65" s="17"/>
      <c r="F65" s="20"/>
      <c r="G65" s="20" t="s">
        <v>250</v>
      </c>
      <c r="H65" s="815">
        <v>0</v>
      </c>
      <c r="I65" s="816">
        <f>I64*H65+I64</f>
        <v>22.693576714418274</v>
      </c>
      <c r="J65" s="20"/>
      <c r="K65" s="20"/>
      <c r="O65" s="391" t="str">
        <f>HYPERLINK("\\Manish-pc\e\03 General\Manish\Selection\","Selection Folder")</f>
        <v>Selection Folder</v>
      </c>
      <c r="P65" s="59"/>
      <c r="Q65" s="391" t="str">
        <f>HYPERLINK("\\Manish-pc\e\03 General\Manish\Selection\Sibre_Thruster_Drum_Brake.pdf","Sibre EHT")</f>
        <v>Sibre EHT</v>
      </c>
      <c r="S65" s="2514" t="s">
        <v>318</v>
      </c>
      <c r="T65" s="2515" t="s">
        <v>319</v>
      </c>
      <c r="U65" s="2515"/>
      <c r="V65" s="2515"/>
      <c r="W65" s="2515"/>
      <c r="X65" s="2515"/>
      <c r="Y65" s="2515"/>
      <c r="Z65" s="2516" t="s">
        <v>2805</v>
      </c>
      <c r="AA65" s="3721" t="s">
        <v>2806</v>
      </c>
      <c r="AB65" s="160" t="s">
        <v>350</v>
      </c>
      <c r="AC65" s="179">
        <f>VLOOKUP(AC63,AB72:AC80,2,0)</f>
        <v>23.5</v>
      </c>
      <c r="AD65" s="179">
        <f>VLOOKUP(AD63,AB72:AC80,2,0)</f>
        <v>13.7</v>
      </c>
      <c r="AE65" s="167" t="s">
        <v>345</v>
      </c>
      <c r="AF65" s="17"/>
      <c r="AG65" s="242">
        <v>330</v>
      </c>
      <c r="AH65" s="179">
        <v>440</v>
      </c>
      <c r="AI65" s="179" t="s">
        <v>320</v>
      </c>
      <c r="AJ65" s="179">
        <v>250</v>
      </c>
      <c r="AK65" s="29">
        <v>39</v>
      </c>
      <c r="AL65" s="416">
        <f>AL64</f>
        <v>33200</v>
      </c>
      <c r="AM65" s="416" t="s">
        <v>2518</v>
      </c>
      <c r="AN65" s="416" t="str">
        <f t="shared" si="0"/>
        <v>N(NV).250.HYD.023/05</v>
      </c>
      <c r="AO65" s="416"/>
      <c r="AP65" s="405"/>
      <c r="AQ65" s="145" t="s">
        <v>2442</v>
      </c>
      <c r="AR65" s="145">
        <v>40</v>
      </c>
      <c r="AS65" s="145" t="s">
        <v>2419</v>
      </c>
      <c r="AT65" s="311">
        <v>315</v>
      </c>
      <c r="AU65" s="235">
        <v>50</v>
      </c>
      <c r="AV65" s="235">
        <f>+AV64+5000</f>
        <v>90000</v>
      </c>
      <c r="AW65" s="216"/>
      <c r="AX65" s="22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</row>
    <row r="66" spans="1:64" ht="17.100000000000001" customHeight="1">
      <c r="A66" s="36"/>
      <c r="B66" s="20"/>
      <c r="C66" s="182"/>
      <c r="D66" s="182"/>
      <c r="E66" s="182"/>
      <c r="F66" s="182"/>
      <c r="G66" s="182"/>
      <c r="H66" s="182"/>
      <c r="I66" s="817">
        <f>I65*9.81</f>
        <v>222.62398756844328</v>
      </c>
      <c r="J66" s="182" t="s">
        <v>304</v>
      </c>
      <c r="K66" s="54"/>
      <c r="O66" s="429" t="str">
        <f>HYPERLINK("\\Manish-pc\e\03 General\Manish\Selection\Price_Sheet_2013.pdf","Price Sheet")</f>
        <v>Price Sheet</v>
      </c>
      <c r="P66" s="391" t="str">
        <f>HYPERLINK("\\Manish-pc\e\03 General\Manish\Selection\BCH_DCEM_Brake.pdf","BCH")</f>
        <v>BCH</v>
      </c>
      <c r="Q66" s="391" t="str">
        <f>HYPERLINK("\\Manish-pc\e\03 General\Manish\Selection\SNT_Brake.pdf","SNT Brake")</f>
        <v>SNT Brake</v>
      </c>
      <c r="S66" s="3730" t="s">
        <v>294</v>
      </c>
      <c r="T66" s="3729" t="s">
        <v>323</v>
      </c>
      <c r="U66" s="3729" t="s">
        <v>2817</v>
      </c>
      <c r="V66" s="3729" t="s">
        <v>325</v>
      </c>
      <c r="W66" s="3731" t="s">
        <v>100</v>
      </c>
      <c r="X66" s="3729" t="s">
        <v>326</v>
      </c>
      <c r="Y66" s="3729" t="s">
        <v>327</v>
      </c>
      <c r="Z66" s="3729" t="s">
        <v>328</v>
      </c>
      <c r="AA66" s="3722"/>
      <c r="AB66" s="160" t="s">
        <v>354</v>
      </c>
      <c r="AC66" s="179">
        <f>VLOOKUP(AC61,T69:Z82,7,0)</f>
        <v>11784.5</v>
      </c>
      <c r="AD66" s="179">
        <f>VLOOKUP(AD59,AH61:AL80,5,0)</f>
        <v>24593</v>
      </c>
      <c r="AE66" s="145" t="s">
        <v>290</v>
      </c>
      <c r="AF66" s="17"/>
      <c r="AG66" s="242">
        <v>440</v>
      </c>
      <c r="AH66" s="179">
        <v>720</v>
      </c>
      <c r="AI66" s="179" t="s">
        <v>330</v>
      </c>
      <c r="AJ66" s="179">
        <v>250</v>
      </c>
      <c r="AK66" s="29">
        <v>51</v>
      </c>
      <c r="AL66" s="416">
        <f>AL65</f>
        <v>33200</v>
      </c>
      <c r="AM66" s="416" t="s">
        <v>2520</v>
      </c>
      <c r="AN66" s="416" t="str">
        <f t="shared" si="0"/>
        <v>N(NV).250.HYD.050/06</v>
      </c>
      <c r="AO66" s="416"/>
      <c r="AP66" s="405"/>
      <c r="AQ66" s="145" t="s">
        <v>2443</v>
      </c>
      <c r="AR66" s="145">
        <v>20</v>
      </c>
      <c r="AS66" s="145" t="s">
        <v>2420</v>
      </c>
      <c r="AT66" s="311">
        <v>400</v>
      </c>
      <c r="AU66" s="235">
        <v>85</v>
      </c>
      <c r="AV66" s="235">
        <v>100000</v>
      </c>
      <c r="AW66" s="216"/>
      <c r="AX66" s="22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</row>
    <row r="67" spans="1:64" ht="12.95" customHeight="1">
      <c r="A67" s="36"/>
      <c r="B67" s="182" t="s">
        <v>333</v>
      </c>
      <c r="C67" s="182"/>
      <c r="D67" s="182"/>
      <c r="E67" s="182"/>
      <c r="F67" s="182"/>
      <c r="G67" s="182"/>
      <c r="H67" s="182"/>
      <c r="I67" s="182"/>
      <c r="K67" s="20"/>
      <c r="O67" s="429" t="str">
        <f>HYPERLINK("\\Manish-pc\e\03 General\Manish\Selection\BCH_ Price.pdf","BCH Price")</f>
        <v>BCH Price</v>
      </c>
      <c r="P67" s="391" t="str">
        <f>HYPERLINK("\\Manish-pc\e\03 General\Manish\Selection\SOC_Brake.pdf","SOC Brake")</f>
        <v>SOC Brake</v>
      </c>
      <c r="Q67" s="391" t="str">
        <f>HYPERLINK("\\Manish-pc\e\03 General\Manish\Selection\Galvi_EHT_Brake.pdf","Galvi")</f>
        <v>Galvi</v>
      </c>
      <c r="S67" s="3730"/>
      <c r="T67" s="3729"/>
      <c r="U67" s="3729"/>
      <c r="V67" s="3729"/>
      <c r="W67" s="3731"/>
      <c r="X67" s="3729"/>
      <c r="Y67" s="3729"/>
      <c r="Z67" s="3729"/>
      <c r="AA67" s="3722"/>
      <c r="AB67" s="160" t="s">
        <v>358</v>
      </c>
      <c r="AC67" s="179">
        <f>VLOOKUP(AC63,AB72:AD80,3,0)</f>
        <v>5800</v>
      </c>
      <c r="AD67" s="179">
        <f>VLOOKUP(AD63,AB72:AD80,3,0)</f>
        <v>3200</v>
      </c>
      <c r="AE67" s="171" t="s">
        <v>298</v>
      </c>
      <c r="AF67" s="17"/>
      <c r="AG67" s="242">
        <v>720</v>
      </c>
      <c r="AH67" s="179">
        <v>520</v>
      </c>
      <c r="AI67" s="179" t="s">
        <v>332</v>
      </c>
      <c r="AJ67" s="179">
        <v>315</v>
      </c>
      <c r="AK67" s="29">
        <v>60</v>
      </c>
      <c r="AL67" s="416">
        <v>39250</v>
      </c>
      <c r="AM67" s="416" t="s">
        <v>2519</v>
      </c>
      <c r="AN67" s="416" t="str">
        <f t="shared" si="0"/>
        <v>N(NV).315.HYD.030/05</v>
      </c>
      <c r="AO67" s="416"/>
      <c r="AP67" s="405"/>
      <c r="AQ67" s="145" t="s">
        <v>2444</v>
      </c>
      <c r="AR67" s="145">
        <v>30</v>
      </c>
      <c r="AS67" s="145" t="s">
        <v>2421</v>
      </c>
      <c r="AT67" s="311">
        <v>400</v>
      </c>
      <c r="AU67" s="235">
        <v>85</v>
      </c>
      <c r="AV67" s="235">
        <f>+AV66+5000</f>
        <v>105000</v>
      </c>
      <c r="AW67" s="216"/>
      <c r="AX67" s="22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</row>
    <row r="68" spans="1:64" ht="22.5" customHeight="1">
      <c r="A68" s="36"/>
      <c r="B68" s="182"/>
      <c r="D68" s="182"/>
      <c r="E68" s="182"/>
      <c r="F68" s="182"/>
      <c r="G68" s="182"/>
      <c r="H68" s="434"/>
      <c r="K68" s="20"/>
      <c r="L68" s="80"/>
      <c r="O68" s="818" t="s">
        <v>334</v>
      </c>
      <c r="P68" s="818" t="s">
        <v>335</v>
      </c>
      <c r="Q68" s="819" t="s">
        <v>336</v>
      </c>
      <c r="R68" s="432"/>
      <c r="S68" s="3730"/>
      <c r="T68" s="3729"/>
      <c r="U68" s="3729"/>
      <c r="V68" s="3729"/>
      <c r="W68" s="3731"/>
      <c r="X68" s="3729"/>
      <c r="Y68" s="3729"/>
      <c r="Z68" s="3729"/>
      <c r="AA68" s="3722"/>
      <c r="AB68" s="417" t="s">
        <v>302</v>
      </c>
      <c r="AC68" s="30" t="str">
        <f>VLOOKUP(AC61,T69:W82,4,0)</f>
        <v>MDT 200-34</v>
      </c>
      <c r="AD68" s="243" t="str">
        <f>VLOOKUP(AD59,AH61:AN80,7,0)</f>
        <v>N(NV).160.HYD.023/05</v>
      </c>
      <c r="AE68" s="59"/>
      <c r="AF68" s="17"/>
      <c r="AG68" s="242">
        <v>520</v>
      </c>
      <c r="AH68" s="29">
        <v>870</v>
      </c>
      <c r="AI68" s="179" t="s">
        <v>338</v>
      </c>
      <c r="AJ68" s="179">
        <v>315</v>
      </c>
      <c r="AK68" s="29">
        <v>70</v>
      </c>
      <c r="AL68" s="416">
        <f t="shared" ref="AL68" si="2">AL67</f>
        <v>39250</v>
      </c>
      <c r="AM68" s="416" t="s">
        <v>2520</v>
      </c>
      <c r="AN68" s="416" t="str">
        <f t="shared" si="0"/>
        <v>N(NV).315.HYD.050/06</v>
      </c>
      <c r="AO68" s="416"/>
      <c r="AP68" s="405"/>
      <c r="AQ68" s="145" t="s">
        <v>2445</v>
      </c>
      <c r="AR68" s="145">
        <v>40</v>
      </c>
      <c r="AS68" s="145" t="s">
        <v>2422</v>
      </c>
      <c r="AT68" s="311">
        <v>400</v>
      </c>
      <c r="AU68" s="235">
        <v>85</v>
      </c>
      <c r="AV68" s="235">
        <f>+AV67+5000</f>
        <v>110000</v>
      </c>
      <c r="AW68" s="216"/>
      <c r="AX68" s="22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</row>
    <row r="69" spans="1:64" ht="17.25" customHeight="1">
      <c r="A69" s="36"/>
      <c r="B69" s="182"/>
      <c r="C69" s="182" t="s">
        <v>339</v>
      </c>
      <c r="D69" s="20"/>
      <c r="E69" s="20"/>
      <c r="F69" s="20"/>
      <c r="G69" s="17"/>
      <c r="H69" s="358"/>
      <c r="I69" s="435" t="str">
        <f>MH!I69</f>
        <v>EHT</v>
      </c>
      <c r="J69" s="196"/>
      <c r="K69" s="20"/>
      <c r="L69" s="403" t="str">
        <f>IF(I65&lt;I72,"Right","Wrong")</f>
        <v>Right</v>
      </c>
      <c r="M69" s="244" t="s">
        <v>2457</v>
      </c>
      <c r="N69" s="820" t="str">
        <f>+I69</f>
        <v>EHT</v>
      </c>
      <c r="O69" s="311"/>
      <c r="P69" s="311"/>
      <c r="Q69" s="821" t="str">
        <f>O70&amp;" + "&amp;P70</f>
        <v>SOC + FALSE</v>
      </c>
      <c r="R69" s="437"/>
      <c r="S69" s="2520">
        <v>0</v>
      </c>
      <c r="T69" s="2520">
        <v>9</v>
      </c>
      <c r="U69" s="2520">
        <v>18</v>
      </c>
      <c r="V69" s="2520">
        <v>160</v>
      </c>
      <c r="W69" s="2518" t="s">
        <v>340</v>
      </c>
      <c r="X69" s="2520">
        <v>20</v>
      </c>
      <c r="Y69" s="2520">
        <v>13.7</v>
      </c>
      <c r="Z69" s="2518">
        <f>+AA69*0.7</f>
        <v>8683.5</v>
      </c>
      <c r="AA69" s="2521">
        <v>12405</v>
      </c>
      <c r="AB69" s="417"/>
      <c r="AC69" s="243"/>
      <c r="AD69" s="243"/>
      <c r="AE69" s="173" t="s">
        <v>359</v>
      </c>
      <c r="AF69" s="17"/>
      <c r="AG69" s="439">
        <v>870</v>
      </c>
      <c r="AH69" s="179">
        <v>1550</v>
      </c>
      <c r="AI69" s="179" t="s">
        <v>342</v>
      </c>
      <c r="AJ69" s="179">
        <v>315</v>
      </c>
      <c r="AK69" s="29">
        <v>71</v>
      </c>
      <c r="AL69" s="416">
        <f>AL68</f>
        <v>39250</v>
      </c>
      <c r="AM69" s="416" t="s">
        <v>2521</v>
      </c>
      <c r="AN69" s="416" t="str">
        <f t="shared" si="0"/>
        <v>N(NV).315.HYD.080/06</v>
      </c>
      <c r="AO69" s="416"/>
      <c r="AP69" s="405"/>
      <c r="AQ69" s="145" t="s">
        <v>2446</v>
      </c>
      <c r="AR69" s="145">
        <v>50</v>
      </c>
      <c r="AS69" s="145" t="s">
        <v>2423</v>
      </c>
      <c r="AT69" s="311">
        <v>400</v>
      </c>
      <c r="AU69" s="235">
        <v>85</v>
      </c>
      <c r="AV69" s="235">
        <f>+AV68+5000</f>
        <v>115000</v>
      </c>
      <c r="AW69" s="216"/>
      <c r="AX69" s="22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</row>
    <row r="70" spans="1:64">
      <c r="A70" s="36"/>
      <c r="B70" s="182"/>
      <c r="F70" s="20"/>
      <c r="G70" s="17"/>
      <c r="H70" s="17"/>
      <c r="I70" s="358"/>
      <c r="J70" s="434"/>
      <c r="K70" s="20"/>
      <c r="L70" s="53"/>
      <c r="M70" s="440" t="s">
        <v>2434</v>
      </c>
      <c r="N70" s="441"/>
      <c r="O70" s="822" t="str">
        <f>IF(N69="EHT",N71,IF(N69="EHT + DCEM",IF(N71="SOC + BCH","SOC",IF(N71="SOC + KAKKU","SOC",IF(N71="GALVI + BCH","GALVI",IF(N71="GALVI + KAKKU","GALVI",IF(N71="GALVI + SOC","GALVI",IF(N71="SOC + SOC","SOC"))))))))</f>
        <v>SOC</v>
      </c>
      <c r="P70" s="822" t="b">
        <f>IF(N69="DCEM",N71,IF(N69="EHT + DCEM",IF(N71="SOC + BCH","BCH",IF(N71="SOC + KAKKU","KAKKU",IF(N71="GALVI + BCH","BCH",IF(N71="GALVI + KAKKU","KAKKU",IF(N71="SOC + SOC","SOC",IF(N71="GALVI + SOC","SOC"))))))))</f>
        <v>0</v>
      </c>
      <c r="Q70" s="821"/>
      <c r="R70" s="437"/>
      <c r="S70" s="2520">
        <v>9</v>
      </c>
      <c r="T70" s="2520">
        <v>20</v>
      </c>
      <c r="U70" s="2520">
        <v>18</v>
      </c>
      <c r="V70" s="2520">
        <v>200</v>
      </c>
      <c r="W70" s="2518" t="s">
        <v>343</v>
      </c>
      <c r="X70" s="2520">
        <v>27</v>
      </c>
      <c r="Y70" s="2520">
        <v>23.5</v>
      </c>
      <c r="Z70" s="2518">
        <f t="shared" ref="Z70:Z82" si="3">+AA70*0.7</f>
        <v>9835</v>
      </c>
      <c r="AA70" s="2521">
        <v>14050</v>
      </c>
      <c r="AB70" s="19"/>
      <c r="AC70" s="17"/>
      <c r="AD70" s="17"/>
      <c r="AE70" s="53"/>
      <c r="AF70" s="17"/>
      <c r="AG70" s="242">
        <v>1550</v>
      </c>
      <c r="AH70" s="179">
        <v>860</v>
      </c>
      <c r="AI70" s="179" t="s">
        <v>346</v>
      </c>
      <c r="AJ70" s="179">
        <v>400</v>
      </c>
      <c r="AK70" s="29">
        <v>95</v>
      </c>
      <c r="AL70" s="416">
        <v>46500</v>
      </c>
      <c r="AM70" s="416" t="s">
        <v>2520</v>
      </c>
      <c r="AN70" s="416" t="str">
        <f t="shared" si="0"/>
        <v>N(NV).400.HYD.050/06</v>
      </c>
      <c r="AO70" s="416"/>
      <c r="AP70" s="405"/>
      <c r="AQ70" s="145" t="s">
        <v>2447</v>
      </c>
      <c r="AR70" s="145">
        <v>30</v>
      </c>
      <c r="AS70" s="145" t="s">
        <v>2424</v>
      </c>
      <c r="AT70" s="311">
        <v>500</v>
      </c>
      <c r="AU70" s="235">
        <v>130</v>
      </c>
      <c r="AV70" s="235">
        <v>120000</v>
      </c>
      <c r="AW70" s="216"/>
      <c r="AX70" s="22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</row>
    <row r="71" spans="1:64">
      <c r="A71" s="36"/>
      <c r="B71" s="182"/>
      <c r="C71" s="20" t="s">
        <v>347</v>
      </c>
      <c r="D71" s="182"/>
      <c r="E71" s="20"/>
      <c r="F71" s="182"/>
      <c r="G71" s="182"/>
      <c r="H71" s="434"/>
      <c r="I71" s="443" t="str">
        <f>MH!I71</f>
        <v>SOC</v>
      </c>
      <c r="J71" s="542"/>
      <c r="K71" s="3794" t="str">
        <f>(IF(L70="GALVI","Always Check Galvi Catalog",""))</f>
        <v/>
      </c>
      <c r="L71" s="53"/>
      <c r="M71" s="53"/>
      <c r="N71" s="444" t="str">
        <f>+I71</f>
        <v>SOC</v>
      </c>
      <c r="O71" s="445">
        <f>IF(O70="SOC",AC60,IF(O70="GALVI",AD60,0))</f>
        <v>20</v>
      </c>
      <c r="P71" s="445">
        <f>VLOOKUP(AD56,Q56:Q62,1)</f>
        <v>13.8</v>
      </c>
      <c r="Q71" s="145"/>
      <c r="R71" s="437"/>
      <c r="S71" s="2520">
        <v>20</v>
      </c>
      <c r="T71" s="2520">
        <v>32</v>
      </c>
      <c r="U71" s="2520">
        <v>34</v>
      </c>
      <c r="V71" s="2520">
        <v>200</v>
      </c>
      <c r="W71" s="2518" t="s">
        <v>349</v>
      </c>
      <c r="X71" s="2520">
        <v>27</v>
      </c>
      <c r="Y71" s="2520">
        <v>23.5</v>
      </c>
      <c r="Z71" s="2518">
        <f t="shared" si="3"/>
        <v>11784.5</v>
      </c>
      <c r="AA71" s="2521">
        <v>16835</v>
      </c>
      <c r="AB71" s="2522" t="s">
        <v>372</v>
      </c>
      <c r="AC71" s="2226" t="s">
        <v>373</v>
      </c>
      <c r="AD71" s="2522" t="s">
        <v>274</v>
      </c>
      <c r="AE71" s="177" t="s">
        <v>289</v>
      </c>
      <c r="AF71" s="17"/>
      <c r="AG71" s="242">
        <v>860</v>
      </c>
      <c r="AH71" s="179">
        <v>1620</v>
      </c>
      <c r="AI71" s="179" t="s">
        <v>351</v>
      </c>
      <c r="AJ71" s="179">
        <v>400</v>
      </c>
      <c r="AK71" s="29">
        <v>96</v>
      </c>
      <c r="AL71" s="416">
        <f>AL70</f>
        <v>46500</v>
      </c>
      <c r="AM71" s="416" t="s">
        <v>2521</v>
      </c>
      <c r="AN71" s="416" t="str">
        <f t="shared" si="0"/>
        <v>N(NV).400.HYD.080/06</v>
      </c>
      <c r="AO71" s="416"/>
      <c r="AP71" s="405"/>
      <c r="AQ71" s="145" t="s">
        <v>2448</v>
      </c>
      <c r="AR71" s="145">
        <v>40</v>
      </c>
      <c r="AS71" s="145" t="s">
        <v>2425</v>
      </c>
      <c r="AT71" s="311">
        <v>500</v>
      </c>
      <c r="AU71" s="235">
        <v>130</v>
      </c>
      <c r="AV71" s="235">
        <f>+AV70+5000</f>
        <v>125000</v>
      </c>
      <c r="AW71" s="216"/>
      <c r="AX71" s="22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</row>
    <row r="72" spans="1:64">
      <c r="A72" s="36"/>
      <c r="B72" s="182"/>
      <c r="C72" s="20" t="s">
        <v>352</v>
      </c>
      <c r="D72" s="182"/>
      <c r="E72" s="182"/>
      <c r="F72" s="196"/>
      <c r="G72" s="196"/>
      <c r="H72" s="549"/>
      <c r="I72" s="434">
        <f>+L72</f>
        <v>32</v>
      </c>
      <c r="J72" s="434"/>
      <c r="K72" s="3794"/>
      <c r="L72" s="53">
        <f>IF($I$71="SIBRE",M72,N72)</f>
        <v>32</v>
      </c>
      <c r="M72" s="53" t="str">
        <f>VLOOKUP(M70,AQ57:AV79,3,0)</f>
        <v>50-300</v>
      </c>
      <c r="N72" s="434">
        <f>IF(N69="EHT",O72,IF(N69="DCEM",P72,IF(N69="EHT + DCEM",Q72,0)))</f>
        <v>32</v>
      </c>
      <c r="O72" s="311">
        <f>IF(O70="SOC",AC61,IF(O70="GALVI",AD61,0))</f>
        <v>32</v>
      </c>
      <c r="P72" s="311">
        <f>VLOOKUP(P71,Q56:R62,2,0)</f>
        <v>27.7</v>
      </c>
      <c r="Q72" s="145" t="str">
        <f>O72&amp;" + "&amp;P72</f>
        <v>32 + 27.7</v>
      </c>
      <c r="R72" s="437"/>
      <c r="S72" s="2520">
        <v>32</v>
      </c>
      <c r="T72" s="2520">
        <v>35</v>
      </c>
      <c r="U72" s="2520">
        <v>18</v>
      </c>
      <c r="V72" s="2520">
        <v>250</v>
      </c>
      <c r="W72" s="2518" t="s">
        <v>353</v>
      </c>
      <c r="X72" s="2520">
        <v>30</v>
      </c>
      <c r="Y72" s="2520">
        <v>41</v>
      </c>
      <c r="Z72" s="2518">
        <f t="shared" si="3"/>
        <v>10850</v>
      </c>
      <c r="AA72" s="2521">
        <v>15500</v>
      </c>
      <c r="AB72" s="2522">
        <v>150</v>
      </c>
      <c r="AC72" s="2522">
        <v>11.5</v>
      </c>
      <c r="AD72" s="2522">
        <v>3000</v>
      </c>
      <c r="AE72" s="171" t="s">
        <v>290</v>
      </c>
      <c r="AF72" s="17"/>
      <c r="AG72" s="242">
        <v>1620</v>
      </c>
      <c r="AH72" s="179">
        <v>2670</v>
      </c>
      <c r="AI72" s="179" t="s">
        <v>355</v>
      </c>
      <c r="AJ72" s="179">
        <v>400</v>
      </c>
      <c r="AK72" s="29">
        <v>117</v>
      </c>
      <c r="AL72" s="416">
        <v>57000</v>
      </c>
      <c r="AM72" s="416" t="s">
        <v>2522</v>
      </c>
      <c r="AN72" s="416" t="str">
        <f t="shared" si="0"/>
        <v>N(NV).400.HYD.121/06</v>
      </c>
      <c r="AO72" s="416"/>
      <c r="AP72" s="405"/>
      <c r="AQ72" s="145" t="s">
        <v>2449</v>
      </c>
      <c r="AR72" s="145">
        <v>50</v>
      </c>
      <c r="AS72" s="145" t="s">
        <v>2426</v>
      </c>
      <c r="AT72" s="311">
        <v>500</v>
      </c>
      <c r="AU72" s="235">
        <v>130</v>
      </c>
      <c r="AV72" s="235">
        <f>+AV71+5000</f>
        <v>130000</v>
      </c>
      <c r="AW72" s="216"/>
      <c r="AX72" s="22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</row>
    <row r="73" spans="1:64">
      <c r="A73" s="36"/>
      <c r="B73" s="182"/>
      <c r="C73" s="20" t="s">
        <v>356</v>
      </c>
      <c r="D73" s="182"/>
      <c r="E73" s="182"/>
      <c r="F73" s="196"/>
      <c r="G73" s="196"/>
      <c r="H73" s="549"/>
      <c r="I73" s="53">
        <f>L73</f>
        <v>34</v>
      </c>
      <c r="J73" s="434"/>
      <c r="K73" s="3794"/>
      <c r="L73" s="53">
        <f>IF($I$71="SIBRE",M73,N73)</f>
        <v>34</v>
      </c>
      <c r="M73" s="53">
        <f>VLOOKUP(M70,AQ57:AV79,2,0)</f>
        <v>10</v>
      </c>
      <c r="N73" s="434">
        <f>IF(N69="EHT",O73,IF(N69="DCEM",P73,IF(N69="EHT + DCEM",Q73,0)))</f>
        <v>34</v>
      </c>
      <c r="O73" s="311">
        <f>IF(O70="SOC",AC62,IF(O70="GALVI",AD62,0))</f>
        <v>34</v>
      </c>
      <c r="P73" s="311" t="s">
        <v>26</v>
      </c>
      <c r="Q73" s="145" t="str">
        <f>IF(N71="SOC + BCH",O73,IF(N71="SOC + KAKKU",O73,"-"))</f>
        <v>-</v>
      </c>
      <c r="R73" s="437"/>
      <c r="S73" s="2520">
        <v>35</v>
      </c>
      <c r="T73" s="2520">
        <v>42</v>
      </c>
      <c r="U73" s="2520">
        <v>34</v>
      </c>
      <c r="V73" s="2520">
        <v>250</v>
      </c>
      <c r="W73" s="2518" t="s">
        <v>357</v>
      </c>
      <c r="X73" s="2520">
        <v>30</v>
      </c>
      <c r="Y73" s="2520">
        <v>41</v>
      </c>
      <c r="Z73" s="2518">
        <f t="shared" si="3"/>
        <v>12554.5</v>
      </c>
      <c r="AA73" s="2521">
        <v>17935</v>
      </c>
      <c r="AB73" s="2522">
        <v>160</v>
      </c>
      <c r="AC73" s="2522">
        <v>13.7</v>
      </c>
      <c r="AD73" s="2522">
        <v>3200</v>
      </c>
      <c r="AE73" s="178"/>
      <c r="AF73" s="17"/>
      <c r="AG73" s="242">
        <v>2670</v>
      </c>
      <c r="AH73" s="179">
        <v>1600</v>
      </c>
      <c r="AI73" s="179" t="s">
        <v>360</v>
      </c>
      <c r="AJ73" s="179">
        <v>500</v>
      </c>
      <c r="AK73" s="29">
        <v>150</v>
      </c>
      <c r="AL73" s="416">
        <v>57600</v>
      </c>
      <c r="AM73" s="416" t="s">
        <v>2521</v>
      </c>
      <c r="AN73" s="416" t="str">
        <f t="shared" si="0"/>
        <v>N(NV).500.HYD.080/06</v>
      </c>
      <c r="AO73" s="416"/>
      <c r="AP73" s="405"/>
      <c r="AQ73" s="145" t="s">
        <v>2450</v>
      </c>
      <c r="AR73" s="145">
        <v>60</v>
      </c>
      <c r="AS73" s="145" t="s">
        <v>2427</v>
      </c>
      <c r="AT73" s="311">
        <v>500</v>
      </c>
      <c r="AU73" s="235">
        <v>130</v>
      </c>
      <c r="AV73" s="235">
        <f>+AV72+5000</f>
        <v>135000</v>
      </c>
      <c r="AW73" s="216"/>
      <c r="AX73" s="22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</row>
    <row r="74" spans="1:64">
      <c r="A74" s="36"/>
      <c r="B74" s="20"/>
      <c r="C74" s="20" t="s">
        <v>361</v>
      </c>
      <c r="D74" s="182"/>
      <c r="E74" s="182"/>
      <c r="F74" s="182"/>
      <c r="G74" s="182"/>
      <c r="H74" s="434"/>
      <c r="I74" s="434">
        <f>+L74</f>
        <v>200</v>
      </c>
      <c r="J74" s="379"/>
      <c r="K74" s="3794"/>
      <c r="L74" s="53">
        <f>IF($I$71="SIBRE",M74,N74)</f>
        <v>200</v>
      </c>
      <c r="M74" s="53">
        <f>VLOOKUP(M70,AQ57:AV79,4,0)</f>
        <v>200</v>
      </c>
      <c r="N74" s="434">
        <f>IF(N69="EHT",O74,IF(N69="DCEM",P74,IF(N69="EHT + DCEM",Q74,0)))</f>
        <v>200</v>
      </c>
      <c r="O74" s="311">
        <f>IF(O70="SOC",AC63,IF(O70="GALVI",AD63,0))</f>
        <v>200</v>
      </c>
      <c r="P74" s="311">
        <f>VLOOKUP(P72,R56:S62,2,0)</f>
        <v>250</v>
      </c>
      <c r="Q74" s="145" t="str">
        <f>O74&amp;" + "&amp;P74</f>
        <v>200 + 250</v>
      </c>
      <c r="R74" s="437"/>
      <c r="S74" s="2520">
        <v>42</v>
      </c>
      <c r="T74" s="2518">
        <v>62</v>
      </c>
      <c r="U74" s="2518">
        <v>34</v>
      </c>
      <c r="V74" s="2520">
        <v>300</v>
      </c>
      <c r="W74" s="2518" t="s">
        <v>362</v>
      </c>
      <c r="X74" s="2520">
        <v>70</v>
      </c>
      <c r="Y74" s="2520">
        <v>72</v>
      </c>
      <c r="Z74" s="2518">
        <f t="shared" si="3"/>
        <v>14745.499999999998</v>
      </c>
      <c r="AA74" s="2521">
        <v>21065</v>
      </c>
      <c r="AB74" s="2522">
        <v>200</v>
      </c>
      <c r="AC74" s="2522">
        <v>23.5</v>
      </c>
      <c r="AD74" s="2522">
        <v>5800</v>
      </c>
      <c r="AE74" s="177" t="s">
        <v>374</v>
      </c>
      <c r="AF74" s="17"/>
      <c r="AG74" s="242">
        <v>1600</v>
      </c>
      <c r="AH74" s="179">
        <v>2910</v>
      </c>
      <c r="AI74" s="179" t="s">
        <v>363</v>
      </c>
      <c r="AJ74" s="179">
        <v>500</v>
      </c>
      <c r="AK74" s="29">
        <v>161</v>
      </c>
      <c r="AL74" s="416">
        <v>68100</v>
      </c>
      <c r="AM74" s="416" t="s">
        <v>2522</v>
      </c>
      <c r="AN74" s="416" t="str">
        <f t="shared" si="0"/>
        <v>N(NV).500.HYD.121/06</v>
      </c>
      <c r="AO74" s="416"/>
      <c r="AP74" s="405"/>
      <c r="AQ74" s="145" t="s">
        <v>2451</v>
      </c>
      <c r="AR74" s="145">
        <v>50</v>
      </c>
      <c r="AS74" s="145" t="s">
        <v>2428</v>
      </c>
      <c r="AT74" s="311">
        <v>630</v>
      </c>
      <c r="AU74" s="235">
        <v>206</v>
      </c>
      <c r="AV74" s="235">
        <v>140000</v>
      </c>
      <c r="AW74" s="216"/>
      <c r="AX74" s="22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</row>
    <row r="75" spans="1:64" ht="16.5" customHeight="1">
      <c r="A75" s="183"/>
      <c r="B75" s="346"/>
      <c r="C75" s="31" t="s">
        <v>364</v>
      </c>
      <c r="D75" s="186"/>
      <c r="E75" s="182"/>
      <c r="I75" s="434" t="str">
        <f>+L75</f>
        <v>MDT 200-34</v>
      </c>
      <c r="J75" s="59"/>
      <c r="K75" s="20"/>
      <c r="L75" s="447" t="str">
        <f>IF($I$71="SIBRE",M75,N75)</f>
        <v>MDT 200-34</v>
      </c>
      <c r="M75" s="447" t="str">
        <f>M70</f>
        <v>TE 200 (10)</v>
      </c>
      <c r="N75" s="448" t="str">
        <f>IF(N69="EHT",O75,IF(N69="DCEM","-",IF(N69="EHT + DCEM",Q75,0)))</f>
        <v>MDT 200-34</v>
      </c>
      <c r="O75" s="449" t="str">
        <f>IF(O70="SOC",AC68,IF(O70="GALVI",AD68))</f>
        <v>MDT 200-34</v>
      </c>
      <c r="P75" s="228"/>
      <c r="Q75" s="450" t="str">
        <f>O75&amp;" (For EHT)"</f>
        <v>MDT 200-34 (For EHT)</v>
      </c>
      <c r="R75" s="437"/>
      <c r="S75" s="2518">
        <v>62</v>
      </c>
      <c r="T75" s="2520">
        <v>90</v>
      </c>
      <c r="U75" s="2520">
        <v>34</v>
      </c>
      <c r="V75" s="2520">
        <v>400</v>
      </c>
      <c r="W75" s="2518" t="s">
        <v>2792</v>
      </c>
      <c r="X75" s="2520">
        <v>85</v>
      </c>
      <c r="Y75" s="2520">
        <v>160</v>
      </c>
      <c r="Z75" s="2518">
        <f t="shared" si="3"/>
        <v>18210.5</v>
      </c>
      <c r="AA75" s="2521">
        <v>26015</v>
      </c>
      <c r="AB75" s="2522">
        <v>250</v>
      </c>
      <c r="AC75" s="2522">
        <v>41</v>
      </c>
      <c r="AD75" s="2522">
        <v>7700</v>
      </c>
      <c r="AE75" s="177" t="s">
        <v>377</v>
      </c>
      <c r="AF75" s="17"/>
      <c r="AG75" s="242">
        <v>2910</v>
      </c>
      <c r="AH75" s="179">
        <v>5220</v>
      </c>
      <c r="AI75" s="179" t="s">
        <v>366</v>
      </c>
      <c r="AJ75" s="179">
        <v>500</v>
      </c>
      <c r="AK75" s="29">
        <v>161</v>
      </c>
      <c r="AL75" s="416">
        <f t="shared" ref="AL75" si="4">AL74</f>
        <v>68100</v>
      </c>
      <c r="AM75" s="416" t="s">
        <v>2523</v>
      </c>
      <c r="AN75" s="416" t="str">
        <f t="shared" si="0"/>
        <v>N(NV).500.HYD.201/06</v>
      </c>
      <c r="AO75" s="416"/>
      <c r="AP75" s="405"/>
      <c r="AQ75" s="145" t="s">
        <v>2452</v>
      </c>
      <c r="AR75" s="145">
        <v>60</v>
      </c>
      <c r="AS75" s="145" t="s">
        <v>2429</v>
      </c>
      <c r="AT75" s="311">
        <v>630</v>
      </c>
      <c r="AU75" s="235">
        <v>206</v>
      </c>
      <c r="AV75" s="235">
        <f>+AV74+5000</f>
        <v>145000</v>
      </c>
      <c r="AW75" s="216"/>
      <c r="AX75" s="22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</row>
    <row r="76" spans="1:64">
      <c r="A76" s="36"/>
      <c r="B76" s="346"/>
      <c r="F76" s="20"/>
      <c r="G76" s="20"/>
      <c r="J76" s="434"/>
      <c r="K76" s="20"/>
      <c r="L76" s="53"/>
      <c r="M76" s="53"/>
      <c r="O76" s="131"/>
      <c r="P76" s="131"/>
      <c r="Q76" s="131"/>
      <c r="R76" s="437"/>
      <c r="S76" s="2520">
        <v>90</v>
      </c>
      <c r="T76" s="2520">
        <v>110</v>
      </c>
      <c r="U76" s="2520">
        <v>46</v>
      </c>
      <c r="V76" s="2520">
        <v>400</v>
      </c>
      <c r="W76" s="2518" t="s">
        <v>367</v>
      </c>
      <c r="X76" s="2520">
        <v>85</v>
      </c>
      <c r="Y76" s="2520">
        <v>160</v>
      </c>
      <c r="Z76" s="2518">
        <f t="shared" si="3"/>
        <v>19596.5</v>
      </c>
      <c r="AA76" s="2521">
        <v>27995</v>
      </c>
      <c r="AB76" s="2522">
        <v>300</v>
      </c>
      <c r="AC76" s="2522">
        <v>72</v>
      </c>
      <c r="AD76" s="2522">
        <v>15300</v>
      </c>
      <c r="AE76" s="173"/>
      <c r="AF76" s="17"/>
      <c r="AG76" s="242">
        <v>5220</v>
      </c>
      <c r="AH76" s="179">
        <v>3210</v>
      </c>
      <c r="AI76" s="179" t="s">
        <v>369</v>
      </c>
      <c r="AJ76" s="179">
        <v>630</v>
      </c>
      <c r="AK76" s="29">
        <v>242</v>
      </c>
      <c r="AL76" s="416">
        <v>94200</v>
      </c>
      <c r="AM76" s="416" t="s">
        <v>2522</v>
      </c>
      <c r="AN76" s="416" t="str">
        <f t="shared" si="0"/>
        <v>N(NV).630.HYD.121/06</v>
      </c>
      <c r="AO76" s="416"/>
      <c r="AP76" s="405"/>
      <c r="AQ76" s="145" t="s">
        <v>2453</v>
      </c>
      <c r="AR76" s="145">
        <v>70</v>
      </c>
      <c r="AS76" s="145" t="s">
        <v>2430</v>
      </c>
      <c r="AT76" s="311">
        <v>630</v>
      </c>
      <c r="AU76" s="235">
        <v>206</v>
      </c>
      <c r="AV76" s="235">
        <f>+AV75+5000</f>
        <v>150000</v>
      </c>
      <c r="AW76" s="216"/>
      <c r="AX76" s="22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</row>
    <row r="77" spans="1:64">
      <c r="A77" s="36"/>
      <c r="B77" s="346"/>
      <c r="C77" s="182" t="s">
        <v>370</v>
      </c>
      <c r="D77" s="115"/>
      <c r="E77" s="20"/>
      <c r="H77" s="43" t="s">
        <v>160</v>
      </c>
      <c r="I77" s="72">
        <v>1</v>
      </c>
      <c r="J77" s="434"/>
      <c r="K77" s="358"/>
      <c r="L77" s="53">
        <f>I77</f>
        <v>1</v>
      </c>
      <c r="M77" s="53">
        <f>I77</f>
        <v>1</v>
      </c>
      <c r="N77" s="72">
        <f>I77</f>
        <v>1</v>
      </c>
      <c r="O77" s="311"/>
      <c r="P77" s="311"/>
      <c r="Q77" s="145"/>
      <c r="R77" s="437"/>
      <c r="S77" s="2520">
        <v>110</v>
      </c>
      <c r="T77" s="2520">
        <v>170</v>
      </c>
      <c r="U77" s="2520">
        <v>68</v>
      </c>
      <c r="V77" s="2520">
        <v>400</v>
      </c>
      <c r="W77" s="2518" t="s">
        <v>371</v>
      </c>
      <c r="X77" s="2520">
        <v>88</v>
      </c>
      <c r="Y77" s="2520">
        <v>160</v>
      </c>
      <c r="Z77" s="2518">
        <f t="shared" si="3"/>
        <v>22575</v>
      </c>
      <c r="AA77" s="2521">
        <v>32250</v>
      </c>
      <c r="AB77" s="2522">
        <v>400</v>
      </c>
      <c r="AC77" s="2522">
        <v>160</v>
      </c>
      <c r="AD77" s="2522">
        <v>31500</v>
      </c>
      <c r="AE77" s="173"/>
      <c r="AF77" s="17"/>
      <c r="AG77" s="242">
        <v>3210</v>
      </c>
      <c r="AH77" s="179">
        <v>7700</v>
      </c>
      <c r="AI77" s="179" t="s">
        <v>375</v>
      </c>
      <c r="AJ77" s="179">
        <v>630</v>
      </c>
      <c r="AK77" s="29">
        <v>243</v>
      </c>
      <c r="AL77" s="416">
        <f>AL76</f>
        <v>94200</v>
      </c>
      <c r="AM77" s="416" t="s">
        <v>2524</v>
      </c>
      <c r="AN77" s="416" t="str">
        <f t="shared" si="0"/>
        <v>N(NV).630.HYD.301/06</v>
      </c>
      <c r="AO77" s="416"/>
      <c r="AP77" s="405"/>
      <c r="AQ77" s="145" t="s">
        <v>2454</v>
      </c>
      <c r="AR77" s="145">
        <v>50</v>
      </c>
      <c r="AS77" s="145" t="s">
        <v>2431</v>
      </c>
      <c r="AT77" s="311">
        <v>710</v>
      </c>
      <c r="AU77" s="235">
        <v>268</v>
      </c>
      <c r="AV77" s="235">
        <v>160000</v>
      </c>
      <c r="AW77" s="216"/>
      <c r="AX77" s="22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</row>
    <row r="78" spans="1:64">
      <c r="A78" s="36"/>
      <c r="B78" s="346"/>
      <c r="F78" s="310"/>
      <c r="G78" s="346"/>
      <c r="H78" s="434"/>
      <c r="J78" s="434"/>
      <c r="K78" s="88"/>
      <c r="L78" s="53"/>
      <c r="M78" s="53"/>
      <c r="O78" s="131"/>
      <c r="P78" s="131"/>
      <c r="Q78" s="131"/>
      <c r="R78" s="437"/>
      <c r="S78" s="2520">
        <v>170</v>
      </c>
      <c r="T78" s="2520">
        <v>190</v>
      </c>
      <c r="U78" s="2520">
        <v>46</v>
      </c>
      <c r="V78" s="2520">
        <v>500</v>
      </c>
      <c r="W78" s="2518" t="s">
        <v>376</v>
      </c>
      <c r="X78" s="2520">
        <v>125</v>
      </c>
      <c r="Y78" s="2520">
        <v>175</v>
      </c>
      <c r="Z78" s="2518">
        <f t="shared" si="3"/>
        <v>28248.5</v>
      </c>
      <c r="AA78" s="2521">
        <v>40355</v>
      </c>
      <c r="AB78" s="2522">
        <v>500</v>
      </c>
      <c r="AC78" s="2522">
        <v>175</v>
      </c>
      <c r="AD78" s="2522">
        <v>37800</v>
      </c>
      <c r="AE78" s="173"/>
      <c r="AF78" s="17"/>
      <c r="AG78" s="242">
        <v>7700</v>
      </c>
      <c r="AH78" s="179">
        <v>3620</v>
      </c>
      <c r="AI78" s="179" t="s">
        <v>378</v>
      </c>
      <c r="AJ78" s="179">
        <v>710</v>
      </c>
      <c r="AK78" s="29">
        <v>307</v>
      </c>
      <c r="AL78" s="416">
        <v>122415</v>
      </c>
      <c r="AM78" s="416" t="s">
        <v>2522</v>
      </c>
      <c r="AN78" s="416" t="str">
        <f t="shared" si="0"/>
        <v>N(NV).710.HYD.121/06</v>
      </c>
      <c r="AO78" s="416"/>
      <c r="AP78" s="405"/>
      <c r="AQ78" s="145" t="s">
        <v>2455</v>
      </c>
      <c r="AR78" s="145">
        <v>60</v>
      </c>
      <c r="AS78" s="145" t="s">
        <v>2432</v>
      </c>
      <c r="AT78" s="311">
        <v>710</v>
      </c>
      <c r="AU78" s="235">
        <v>268</v>
      </c>
      <c r="AV78" s="235">
        <f>+AV77+5000</f>
        <v>165000</v>
      </c>
      <c r="AW78" s="216"/>
      <c r="AX78" s="22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</row>
    <row r="79" spans="1:64">
      <c r="A79" s="36"/>
      <c r="B79" s="346"/>
      <c r="C79" s="365" t="s">
        <v>379</v>
      </c>
      <c r="D79" s="453"/>
      <c r="E79" s="310"/>
      <c r="F79" s="182"/>
      <c r="G79" s="346"/>
      <c r="H79" s="434"/>
      <c r="I79" s="434">
        <f>+L79</f>
        <v>27</v>
      </c>
      <c r="J79" s="434"/>
      <c r="K79" s="88"/>
      <c r="L79" s="53">
        <f t="shared" ref="L79:L82" si="5">IF($I$71="SIBRE",M79,N79)</f>
        <v>27</v>
      </c>
      <c r="M79" s="53">
        <f>VLOOKUP(M70,AQ57:AV79,5,0)</f>
        <v>19</v>
      </c>
      <c r="N79" s="434">
        <f>IF(N69="EHT",O79,IF(N69="DCEM",P79,IF(N69="EHT + DCEM",Q79,0)))</f>
        <v>27</v>
      </c>
      <c r="O79" s="311">
        <f>IF(O70="SOC",AC64,IF(O70="GALVI",AD64,0))</f>
        <v>27</v>
      </c>
      <c r="P79" s="311">
        <f>VLOOKUP(P72,R56:T62,3,0)</f>
        <v>71</v>
      </c>
      <c r="Q79" s="145">
        <f t="shared" ref="Q79" si="6">O79+P79</f>
        <v>98</v>
      </c>
      <c r="R79" s="437"/>
      <c r="S79" s="2520">
        <v>190</v>
      </c>
      <c r="T79" s="2520">
        <v>290</v>
      </c>
      <c r="U79" s="2520">
        <v>68</v>
      </c>
      <c r="V79" s="2520">
        <v>500</v>
      </c>
      <c r="W79" s="2518" t="s">
        <v>381</v>
      </c>
      <c r="X79" s="2520">
        <v>125</v>
      </c>
      <c r="Y79" s="2520">
        <v>175</v>
      </c>
      <c r="Z79" s="2518">
        <f t="shared" si="3"/>
        <v>30999.499999999996</v>
      </c>
      <c r="AA79" s="2521">
        <v>44285</v>
      </c>
      <c r="AB79" s="2523">
        <v>600</v>
      </c>
      <c r="AC79" s="2522">
        <v>268</v>
      </c>
      <c r="AD79" s="2522">
        <v>48000</v>
      </c>
      <c r="AE79" s="179" t="s">
        <v>394</v>
      </c>
      <c r="AF79" s="17"/>
      <c r="AG79" s="242">
        <v>3620</v>
      </c>
      <c r="AH79" s="179">
        <v>5800</v>
      </c>
      <c r="AI79" s="179" t="s">
        <v>383</v>
      </c>
      <c r="AJ79" s="179">
        <v>710</v>
      </c>
      <c r="AK79" s="29">
        <v>307</v>
      </c>
      <c r="AL79" s="416">
        <v>150660</v>
      </c>
      <c r="AM79" s="416" t="s">
        <v>2523</v>
      </c>
      <c r="AN79" s="416" t="str">
        <f t="shared" si="0"/>
        <v>N(NV).710.HYD.201/06</v>
      </c>
      <c r="AO79" s="416"/>
      <c r="AP79" s="405"/>
      <c r="AQ79" s="145" t="s">
        <v>2456</v>
      </c>
      <c r="AR79" s="145">
        <v>70</v>
      </c>
      <c r="AS79" s="145" t="s">
        <v>2433</v>
      </c>
      <c r="AT79" s="311">
        <v>710</v>
      </c>
      <c r="AU79" s="235">
        <v>268</v>
      </c>
      <c r="AV79" s="235">
        <f>+AV78+5000</f>
        <v>170000</v>
      </c>
      <c r="AW79" s="216"/>
      <c r="AX79" s="22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</row>
    <row r="80" spans="1:64">
      <c r="A80" s="36"/>
      <c r="B80" s="346"/>
      <c r="C80" s="31" t="s">
        <v>384</v>
      </c>
      <c r="D80" s="186"/>
      <c r="E80" s="182"/>
      <c r="F80" s="182"/>
      <c r="G80" s="59"/>
      <c r="H80" s="59"/>
      <c r="I80" s="434">
        <f>+L80</f>
        <v>23.5</v>
      </c>
      <c r="J80" s="434"/>
      <c r="K80" s="88"/>
      <c r="L80" s="53">
        <f t="shared" si="5"/>
        <v>23.5</v>
      </c>
      <c r="M80" s="53">
        <f>VLOOKUP(M74,AB72:AC80,2,0)</f>
        <v>23.5</v>
      </c>
      <c r="N80" s="434">
        <f>IF(N69="EHT",O80,IF(N69="DCEM",P80,IF(N69="EHT + DCEM",Q80,0)))</f>
        <v>23.5</v>
      </c>
      <c r="O80" s="311">
        <f>IF(O70="SOC",AC65,IF(O70="GALVI",AD65,0))</f>
        <v>23.5</v>
      </c>
      <c r="P80" s="311">
        <f>VLOOKUP(P74,AB72:AC80,2,0)</f>
        <v>41</v>
      </c>
      <c r="Q80" s="145">
        <f>O80+P80</f>
        <v>64.5</v>
      </c>
      <c r="R80" s="437"/>
      <c r="S80" s="2520">
        <v>290</v>
      </c>
      <c r="T80" s="2520">
        <v>350</v>
      </c>
      <c r="U80" s="2520">
        <v>68</v>
      </c>
      <c r="V80" s="2520">
        <v>600</v>
      </c>
      <c r="W80" s="2518" t="s">
        <v>385</v>
      </c>
      <c r="X80" s="2520">
        <v>190</v>
      </c>
      <c r="Y80" s="2520">
        <v>268</v>
      </c>
      <c r="Z80" s="2518">
        <f t="shared" si="3"/>
        <v>40530</v>
      </c>
      <c r="AA80" s="2521">
        <v>57900</v>
      </c>
      <c r="AB80" s="311"/>
      <c r="AC80" s="29"/>
      <c r="AD80" s="29"/>
      <c r="AE80" s="173"/>
      <c r="AF80" s="17"/>
      <c r="AG80" s="242">
        <v>5800</v>
      </c>
      <c r="AH80" s="179">
        <v>8700</v>
      </c>
      <c r="AI80" s="179" t="s">
        <v>387</v>
      </c>
      <c r="AJ80" s="179">
        <v>710</v>
      </c>
      <c r="AK80" s="29">
        <v>308</v>
      </c>
      <c r="AL80" s="416">
        <f>AL79</f>
        <v>150660</v>
      </c>
      <c r="AM80" s="416" t="s">
        <v>2524</v>
      </c>
      <c r="AN80" s="416" t="str">
        <f t="shared" si="0"/>
        <v>N(NV).710.HYD.301/06</v>
      </c>
      <c r="AO80" s="416"/>
      <c r="AP80" s="405"/>
      <c r="AQ80" s="153"/>
      <c r="AT80" s="20"/>
      <c r="AU80" s="17"/>
      <c r="AV80" s="17"/>
      <c r="AW80" s="17"/>
      <c r="AX80" s="22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</row>
    <row r="81" spans="1:79">
      <c r="A81" s="36"/>
      <c r="B81" s="20"/>
      <c r="C81" s="3728" t="s">
        <v>388</v>
      </c>
      <c r="D81" s="3728"/>
      <c r="E81" s="3728"/>
      <c r="F81" s="182"/>
      <c r="G81" s="59"/>
      <c r="H81" s="59"/>
      <c r="I81" s="434">
        <f>+L81</f>
        <v>11784.5</v>
      </c>
      <c r="J81" s="434"/>
      <c r="K81" s="88"/>
      <c r="L81" s="53">
        <f>IF($I$71="SIBRE",M81,N81)</f>
        <v>11784.5</v>
      </c>
      <c r="M81" s="53">
        <f>VLOOKUP(M70,AQ57:AV79,6,0)</f>
        <v>50000</v>
      </c>
      <c r="N81" s="434">
        <f>IF(N69="EHT",O81,IF(N69="DCEM",P81,IF(N69="EHT + DCEM",Q81,0)))</f>
        <v>11784.5</v>
      </c>
      <c r="O81" s="311">
        <f>IF(O70="SOC",AC66,IF(O70="GALVI",AD66))</f>
        <v>11784.5</v>
      </c>
      <c r="P81" s="29" t="b">
        <f>IF(P70="BCH",VLOOKUP(P72,R56:U62,4,0),IF(P70="SOC",VLOOKUP(P72,R56:V62,5,0),IF(P70="KAKKU",VLOOKUP(P72,R56:W62,6,0))))</f>
        <v>0</v>
      </c>
      <c r="Q81" s="145">
        <f>O81+P81</f>
        <v>11784.5</v>
      </c>
      <c r="R81" s="437"/>
      <c r="S81" s="2520">
        <v>350</v>
      </c>
      <c r="T81" s="2520">
        <v>485</v>
      </c>
      <c r="U81" s="2520">
        <v>114</v>
      </c>
      <c r="V81" s="2520">
        <v>500</v>
      </c>
      <c r="W81" s="2518" t="s">
        <v>390</v>
      </c>
      <c r="X81" s="2520">
        <v>125</v>
      </c>
      <c r="Y81" s="2520">
        <v>175</v>
      </c>
      <c r="Z81" s="2518">
        <f t="shared" si="3"/>
        <v>34940.5</v>
      </c>
      <c r="AA81" s="2521">
        <v>49915</v>
      </c>
      <c r="AE81" s="17"/>
      <c r="AF81" s="17"/>
      <c r="AG81" s="53"/>
      <c r="AH81" s="17"/>
      <c r="AI81" s="17"/>
      <c r="AJ81" s="17"/>
      <c r="AK81" s="20"/>
      <c r="AL81" s="20"/>
      <c r="AM81" s="20"/>
      <c r="AN81" s="20"/>
      <c r="AO81" s="20"/>
      <c r="AP81" s="405"/>
      <c r="AQ81" s="153"/>
      <c r="AT81" s="17"/>
      <c r="AU81" s="17"/>
      <c r="AV81" s="17"/>
      <c r="AW81" s="17"/>
      <c r="AX81" s="22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</row>
    <row r="82" spans="1:79">
      <c r="A82" s="36"/>
      <c r="B82" s="20"/>
      <c r="C82" s="3723" t="s">
        <v>392</v>
      </c>
      <c r="D82" s="3723"/>
      <c r="E82" s="3723"/>
      <c r="F82" s="20"/>
      <c r="G82" s="20"/>
      <c r="H82" s="20"/>
      <c r="I82" s="434">
        <f>+L82</f>
        <v>5800</v>
      </c>
      <c r="J82" s="20"/>
      <c r="K82" s="20"/>
      <c r="L82" s="53">
        <f t="shared" si="5"/>
        <v>5800</v>
      </c>
      <c r="M82" s="53">
        <f>VLOOKUP(M74,AB72:AD80,3,0)</f>
        <v>5800</v>
      </c>
      <c r="N82" s="434">
        <f>IF(N69="EHT",O82,IF(N69="DCEM",P82,IF(N69="EHT + DCEM",Q82,0)))</f>
        <v>5800</v>
      </c>
      <c r="O82" s="311">
        <f>IF(O70="SOC",AC67,IF(O70="GALVI",AD67))</f>
        <v>5800</v>
      </c>
      <c r="P82" s="311">
        <f>VLOOKUP(P74,AB72:AD80,3,0)</f>
        <v>7700</v>
      </c>
      <c r="Q82" s="145">
        <f>O82+P82</f>
        <v>13500</v>
      </c>
      <c r="R82" s="455"/>
      <c r="S82" s="2520">
        <v>485</v>
      </c>
      <c r="T82" s="2520">
        <v>580</v>
      </c>
      <c r="U82" s="2520">
        <v>114</v>
      </c>
      <c r="V82" s="2520">
        <v>600</v>
      </c>
      <c r="W82" s="2518" t="s">
        <v>393</v>
      </c>
      <c r="X82" s="2517">
        <v>190</v>
      </c>
      <c r="Y82" s="2517">
        <v>268</v>
      </c>
      <c r="Z82" s="2518">
        <f t="shared" si="3"/>
        <v>43323</v>
      </c>
      <c r="AA82" s="2521">
        <v>61890</v>
      </c>
      <c r="AB82" s="456"/>
      <c r="AC82" s="456"/>
      <c r="AD82" s="456"/>
      <c r="AE82" s="407"/>
      <c r="AF82" s="407"/>
      <c r="AG82" s="457"/>
      <c r="AH82" s="458"/>
      <c r="AI82" s="407"/>
      <c r="AJ82" s="459"/>
      <c r="AK82" s="459"/>
      <c r="AL82" s="459"/>
      <c r="AM82" s="459"/>
      <c r="AN82" s="459"/>
      <c r="AO82" s="459"/>
      <c r="AP82" s="460"/>
      <c r="AQ82" s="461"/>
      <c r="AR82" s="456"/>
      <c r="AS82" s="456"/>
      <c r="AT82" s="247"/>
      <c r="AU82" s="247"/>
      <c r="AV82" s="247"/>
      <c r="AW82" s="247"/>
      <c r="AX82" s="248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</row>
    <row r="83" spans="1:79" ht="14.65" thickBot="1">
      <c r="J83" s="17"/>
      <c r="K83" s="304"/>
      <c r="L83" s="80"/>
      <c r="X83" s="59"/>
      <c r="Y83" s="59"/>
      <c r="Z83" s="59"/>
      <c r="AB83" s="19"/>
      <c r="AC83" s="19"/>
      <c r="AD83" s="17"/>
      <c r="AE83" s="462"/>
      <c r="AF83" s="19"/>
      <c r="AG83" s="17"/>
      <c r="AH83" s="17"/>
      <c r="AI83" s="17"/>
      <c r="AJ83" s="17"/>
      <c r="AK83" s="17"/>
      <c r="AL83" s="17"/>
      <c r="AM83" s="17"/>
      <c r="AN83" s="17"/>
      <c r="AO83" s="20"/>
      <c r="AP83" s="20"/>
      <c r="AQ83" s="20"/>
      <c r="AR83" s="20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</row>
    <row r="84" spans="1:79" ht="14.65" thickBot="1">
      <c r="A84" s="3769" t="s">
        <v>1</v>
      </c>
      <c r="B84" s="3770"/>
      <c r="C84" s="3770"/>
      <c r="D84" s="3770"/>
      <c r="E84" s="3771"/>
      <c r="F84" s="3735" t="s">
        <v>109</v>
      </c>
      <c r="G84" s="3736"/>
      <c r="H84" s="3737"/>
      <c r="I84" s="3738" t="s">
        <v>2</v>
      </c>
      <c r="J84" s="3739"/>
      <c r="K84" s="3740"/>
      <c r="L84" s="463"/>
      <c r="M84" s="463"/>
      <c r="N84" s="19"/>
      <c r="O84" s="20"/>
      <c r="P84" s="20"/>
      <c r="Q84" s="20"/>
      <c r="R84" s="20"/>
      <c r="S84" s="20"/>
      <c r="T84" s="20"/>
      <c r="U84" s="17"/>
      <c r="V84" s="17"/>
      <c r="X84" s="59"/>
      <c r="Y84" s="59"/>
      <c r="Z84" s="59"/>
      <c r="AB84" s="17"/>
      <c r="AC84" s="20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823" t="s">
        <v>395</v>
      </c>
      <c r="AY84" s="824"/>
      <c r="AZ84" s="17"/>
      <c r="BA84" s="823" t="s">
        <v>395</v>
      </c>
      <c r="BB84" s="786"/>
      <c r="BC84" s="20"/>
      <c r="BD84" s="20"/>
      <c r="BE84" s="17"/>
      <c r="BF84" s="17"/>
      <c r="BG84" s="17"/>
      <c r="BH84" s="17"/>
      <c r="BI84" s="17"/>
      <c r="BJ84" s="17"/>
      <c r="BK84" s="17"/>
      <c r="BL84" s="17"/>
    </row>
    <row r="85" spans="1:79" ht="14.65" thickBot="1">
      <c r="A85" s="3741" t="s">
        <v>2786</v>
      </c>
      <c r="B85" s="3742"/>
      <c r="C85" s="3742"/>
      <c r="D85" s="3742"/>
      <c r="E85" s="3743"/>
      <c r="F85" s="3744" t="str">
        <f>F2</f>
        <v xml:space="preserve">25/15T D/G EOT CRANE  </v>
      </c>
      <c r="G85" s="3695"/>
      <c r="H85" s="3745"/>
      <c r="I85" s="3746">
        <f>I2</f>
        <v>0</v>
      </c>
      <c r="J85" s="3747"/>
      <c r="K85" s="3748"/>
      <c r="L85" s="20"/>
      <c r="M85" s="17"/>
      <c r="N85" s="20"/>
      <c r="O85" s="20"/>
      <c r="P85" s="20"/>
      <c r="Q85" s="20"/>
      <c r="R85" s="20"/>
      <c r="S85" s="20"/>
      <c r="T85" s="20"/>
      <c r="U85" s="17"/>
      <c r="V85" s="17"/>
      <c r="X85" s="59"/>
      <c r="Y85" s="59"/>
      <c r="Z85" s="59"/>
      <c r="AB85" s="17"/>
      <c r="AD85" s="17"/>
      <c r="AE85" s="17"/>
      <c r="AF85" s="17"/>
      <c r="AG85" s="17"/>
      <c r="AH85" s="3724" t="s">
        <v>396</v>
      </c>
      <c r="AI85" s="3725"/>
      <c r="AJ85" s="3726"/>
      <c r="AK85" s="3795"/>
      <c r="AL85" s="3795"/>
      <c r="AM85" s="3795"/>
      <c r="AN85" s="3725"/>
      <c r="AO85" s="3727"/>
      <c r="AP85" s="17"/>
      <c r="AQ85" s="17"/>
      <c r="AR85" s="17"/>
      <c r="AS85" s="17"/>
      <c r="AT85" s="823" t="s">
        <v>395</v>
      </c>
      <c r="AU85" s="824"/>
      <c r="AV85" s="17"/>
      <c r="AW85" s="17"/>
      <c r="AX85" s="47">
        <v>1770</v>
      </c>
      <c r="AY85" s="48" t="s">
        <v>397</v>
      </c>
      <c r="AZ85" s="17"/>
      <c r="BA85" s="47">
        <v>1960</v>
      </c>
      <c r="BB85" s="48" t="s">
        <v>397</v>
      </c>
      <c r="BC85" s="137"/>
      <c r="BD85" s="20"/>
      <c r="BE85" s="20"/>
      <c r="BF85" s="17"/>
      <c r="BG85" s="17"/>
      <c r="BH85" s="17"/>
      <c r="BI85" s="2113" t="s">
        <v>2291</v>
      </c>
      <c r="BJ85" s="2530"/>
      <c r="BK85" s="2113" t="s">
        <v>2293</v>
      </c>
      <c r="BL85" s="2530"/>
      <c r="BM85" s="2113" t="s">
        <v>2294</v>
      </c>
      <c r="BN85" s="2530"/>
      <c r="BO85" s="2113" t="s">
        <v>2292</v>
      </c>
      <c r="BP85" s="2530"/>
      <c r="BQ85" s="917"/>
      <c r="BR85" s="917"/>
      <c r="BS85" s="917"/>
      <c r="BT85" s="2113" t="s">
        <v>2291</v>
      </c>
      <c r="BU85" s="197"/>
      <c r="BV85" s="2113" t="s">
        <v>2293</v>
      </c>
      <c r="BW85" s="197"/>
      <c r="BX85" s="2113" t="s">
        <v>2294</v>
      </c>
      <c r="BY85" s="197"/>
      <c r="BZ85" s="2113" t="s">
        <v>2292</v>
      </c>
      <c r="CA85" s="197"/>
    </row>
    <row r="86" spans="1:79" ht="14.65" thickBot="1">
      <c r="A86" s="3763" t="e">
        <f>#REF!</f>
        <v>#REF!</v>
      </c>
      <c r="B86" s="3760"/>
      <c r="C86" s="3760"/>
      <c r="D86" s="3760"/>
      <c r="E86" s="3761"/>
      <c r="F86" s="3759" t="s">
        <v>122</v>
      </c>
      <c r="G86" s="3760"/>
      <c r="H86" s="3761"/>
      <c r="I86" s="3750" t="s">
        <v>756</v>
      </c>
      <c r="J86" s="3751"/>
      <c r="K86" s="3752"/>
      <c r="L86" s="20"/>
      <c r="M86" s="17"/>
      <c r="N86" s="3720" t="s">
        <v>407</v>
      </c>
      <c r="O86" s="3720"/>
      <c r="P86" s="3720" t="s">
        <v>408</v>
      </c>
      <c r="Q86" s="3720"/>
      <c r="R86" s="3776"/>
      <c r="S86" s="3720" t="s">
        <v>409</v>
      </c>
      <c r="T86" s="3720"/>
      <c r="U86" s="17"/>
      <c r="V86" s="17"/>
      <c r="X86" s="216"/>
      <c r="Y86" s="59"/>
      <c r="Z86" s="59"/>
      <c r="AB86" s="17"/>
      <c r="AD86" s="17"/>
      <c r="AE86" s="17"/>
      <c r="AF86" s="17"/>
      <c r="AG86" s="217" t="s">
        <v>512</v>
      </c>
      <c r="AH86" s="17" t="s">
        <v>398</v>
      </c>
      <c r="AI86" s="17" t="s">
        <v>399</v>
      </c>
      <c r="AJ86" s="17" t="s">
        <v>399</v>
      </c>
      <c r="AK86" s="17" t="s">
        <v>400</v>
      </c>
      <c r="AL86" s="825" t="s">
        <v>401</v>
      </c>
      <c r="AM86" s="17"/>
      <c r="AN86" s="17" t="s">
        <v>402</v>
      </c>
      <c r="AO86" s="826" t="s">
        <v>403</v>
      </c>
      <c r="AP86" s="17"/>
      <c r="AQ86" s="17"/>
      <c r="AR86" s="17"/>
      <c r="AS86" s="17"/>
      <c r="AT86" s="659" t="s">
        <v>402</v>
      </c>
      <c r="AU86" s="17" t="s">
        <v>404</v>
      </c>
      <c r="AV86" s="17"/>
      <c r="AW86" s="17"/>
      <c r="AX86" s="17">
        <v>0</v>
      </c>
      <c r="AY86" s="787">
        <v>40</v>
      </c>
      <c r="AZ86" s="17"/>
      <c r="BA86" s="17">
        <v>0</v>
      </c>
      <c r="BB86" s="787">
        <v>45</v>
      </c>
      <c r="BC86" s="20"/>
      <c r="BD86" s="20"/>
      <c r="BE86" s="17"/>
      <c r="BF86" s="17"/>
      <c r="BG86" s="17"/>
      <c r="BH86" s="17"/>
      <c r="BI86" s="2531">
        <v>37</v>
      </c>
      <c r="BJ86" s="2532">
        <v>74.12</v>
      </c>
      <c r="BK86" s="2531">
        <v>41</v>
      </c>
      <c r="BL86" s="2532">
        <v>81</v>
      </c>
      <c r="BM86" s="2531">
        <v>40</v>
      </c>
      <c r="BN86" s="2532">
        <v>82.84</v>
      </c>
      <c r="BO86" s="2533">
        <v>45</v>
      </c>
      <c r="BP86" s="2532">
        <v>90</v>
      </c>
      <c r="BQ86" s="917"/>
      <c r="BR86" s="917"/>
      <c r="BS86" s="917"/>
      <c r="BT86" s="2534">
        <v>37</v>
      </c>
      <c r="BU86" s="2532">
        <v>86.9</v>
      </c>
      <c r="BV86" s="2534">
        <v>41</v>
      </c>
      <c r="BW86" s="2532">
        <v>94.600000000000009</v>
      </c>
      <c r="BX86" s="2534">
        <v>40</v>
      </c>
      <c r="BY86" s="2532">
        <v>96.800000000000011</v>
      </c>
      <c r="BZ86" s="2535">
        <v>45</v>
      </c>
      <c r="CA86" s="2532">
        <v>105.60000000000001</v>
      </c>
    </row>
    <row r="87" spans="1:79">
      <c r="A87" s="406" t="s">
        <v>32</v>
      </c>
      <c r="B87" s="407" t="e">
        <f>#REF!</f>
        <v>#REF!</v>
      </c>
      <c r="C87" s="407"/>
      <c r="D87" s="407"/>
      <c r="E87" s="408"/>
      <c r="F87" s="3762" t="str">
        <f>F53</f>
        <v xml:space="preserve"> </v>
      </c>
      <c r="G87" s="3742"/>
      <c r="H87" s="3743"/>
      <c r="I87" s="3753"/>
      <c r="J87" s="3754"/>
      <c r="K87" s="3755"/>
      <c r="N87" s="3720"/>
      <c r="O87" s="3720"/>
      <c r="P87" s="3720"/>
      <c r="Q87" s="3720"/>
      <c r="R87" s="3776"/>
      <c r="S87" s="3720"/>
      <c r="T87" s="3720"/>
      <c r="U87" s="17"/>
      <c r="V87" s="17"/>
      <c r="W87" s="20"/>
      <c r="X87" s="19"/>
      <c r="Y87" s="59"/>
      <c r="Z87" s="59"/>
      <c r="AB87" s="17"/>
      <c r="AD87" s="17"/>
      <c r="AE87" s="17"/>
      <c r="AF87" s="17"/>
      <c r="AG87" s="67">
        <v>0</v>
      </c>
      <c r="AH87" s="17">
        <v>37</v>
      </c>
      <c r="AI87" s="17" t="s">
        <v>410</v>
      </c>
      <c r="AJ87" s="17">
        <v>1770</v>
      </c>
      <c r="AK87" s="17">
        <v>8</v>
      </c>
      <c r="AL87" s="100">
        <v>24.3</v>
      </c>
      <c r="AM87" s="416"/>
      <c r="AN87" s="17">
        <v>0</v>
      </c>
      <c r="AO87" s="827">
        <v>37</v>
      </c>
      <c r="AP87" s="17"/>
      <c r="AQ87" s="17"/>
      <c r="AR87" s="17"/>
      <c r="AS87" s="17"/>
      <c r="AT87" s="34">
        <v>0</v>
      </c>
      <c r="AU87" s="35">
        <v>40</v>
      </c>
      <c r="AV87" s="17"/>
      <c r="AW87" s="17"/>
      <c r="AX87" s="788">
        <v>40</v>
      </c>
      <c r="AY87" s="253">
        <v>51</v>
      </c>
      <c r="AZ87" s="17"/>
      <c r="BA87" s="788">
        <v>45</v>
      </c>
      <c r="BB87" s="253">
        <v>57</v>
      </c>
      <c r="BC87" s="20"/>
      <c r="BD87" s="20"/>
      <c r="BE87" s="17"/>
      <c r="BF87" s="17"/>
      <c r="BG87" s="17"/>
      <c r="BH87" s="17"/>
      <c r="BI87" s="2531">
        <v>47</v>
      </c>
      <c r="BJ87" s="2532">
        <v>94.830000000000013</v>
      </c>
      <c r="BK87" s="2531">
        <v>52</v>
      </c>
      <c r="BL87" s="2532">
        <v>104</v>
      </c>
      <c r="BM87" s="2531">
        <v>51</v>
      </c>
      <c r="BN87" s="2532">
        <v>105.73</v>
      </c>
      <c r="BO87" s="2531">
        <v>57</v>
      </c>
      <c r="BP87" s="2532">
        <v>115</v>
      </c>
      <c r="BQ87" s="917"/>
      <c r="BR87" s="917"/>
      <c r="BS87" s="917"/>
      <c r="BT87" s="2534">
        <v>47</v>
      </c>
      <c r="BU87" s="2532">
        <v>111.10000000000001</v>
      </c>
      <c r="BV87" s="2534">
        <v>52</v>
      </c>
      <c r="BW87" s="2532">
        <v>121.00000000000001</v>
      </c>
      <c r="BX87" s="2534">
        <v>51</v>
      </c>
      <c r="BY87" s="2532">
        <v>123.20000000000002</v>
      </c>
      <c r="BZ87" s="2534">
        <v>57</v>
      </c>
      <c r="CA87" s="2532">
        <v>134.20000000000002</v>
      </c>
    </row>
    <row r="88" spans="1:79">
      <c r="A88" s="300"/>
      <c r="B88" s="37"/>
      <c r="C88" s="37"/>
      <c r="D88" s="37"/>
      <c r="E88" s="37"/>
      <c r="F88" s="37"/>
      <c r="G88" s="37"/>
      <c r="H88" s="37"/>
      <c r="I88" s="37"/>
      <c r="J88" s="37"/>
      <c r="K88" s="38"/>
      <c r="N88" s="513" t="s">
        <v>410</v>
      </c>
      <c r="O88" s="513" t="s">
        <v>404</v>
      </c>
      <c r="P88" s="513" t="s">
        <v>410</v>
      </c>
      <c r="Q88" s="513" t="s">
        <v>404</v>
      </c>
      <c r="R88" s="513" t="s">
        <v>400</v>
      </c>
      <c r="S88" s="513" t="s">
        <v>410</v>
      </c>
      <c r="T88" s="513" t="s">
        <v>404</v>
      </c>
      <c r="U88" s="17"/>
      <c r="V88" s="17"/>
      <c r="W88" s="20"/>
      <c r="X88" s="20"/>
      <c r="Y88" s="17"/>
      <c r="Z88" s="17"/>
      <c r="AB88" s="17"/>
      <c r="AD88" s="17"/>
      <c r="AE88" s="17"/>
      <c r="AF88" s="17"/>
      <c r="AG88" s="217">
        <v>37</v>
      </c>
      <c r="AH88" s="258">
        <v>47</v>
      </c>
      <c r="AI88" s="789" t="s">
        <v>410</v>
      </c>
      <c r="AJ88" s="789">
        <v>1770</v>
      </c>
      <c r="AK88" s="789">
        <v>9</v>
      </c>
      <c r="AL88" s="828">
        <v>30.8</v>
      </c>
      <c r="AM88" s="829"/>
      <c r="AN88" s="322">
        <v>37</v>
      </c>
      <c r="AO88" s="465">
        <v>40</v>
      </c>
      <c r="AP88" s="17"/>
      <c r="AQ88" s="17"/>
      <c r="AR88" s="17"/>
      <c r="AS88" s="17"/>
      <c r="AT88" s="41">
        <v>40</v>
      </c>
      <c r="AU88" s="42">
        <v>45</v>
      </c>
      <c r="AV88" s="17"/>
      <c r="AW88" s="17"/>
      <c r="AX88" s="249">
        <v>51</v>
      </c>
      <c r="AY88" s="253">
        <v>63</v>
      </c>
      <c r="AZ88" s="17"/>
      <c r="BA88" s="249">
        <v>57</v>
      </c>
      <c r="BB88" s="253">
        <v>70</v>
      </c>
      <c r="BC88" s="20"/>
      <c r="BD88" s="20"/>
      <c r="BE88" s="17"/>
      <c r="BF88" s="17"/>
      <c r="BG88" s="17"/>
      <c r="BH88" s="17"/>
      <c r="BI88" s="2531">
        <v>58</v>
      </c>
      <c r="BJ88" s="2532">
        <v>110.09</v>
      </c>
      <c r="BK88" s="2531">
        <v>65</v>
      </c>
      <c r="BL88" s="2532">
        <v>120</v>
      </c>
      <c r="BM88" s="2531">
        <v>63</v>
      </c>
      <c r="BN88" s="2532">
        <v>123.17000000000002</v>
      </c>
      <c r="BO88" s="2531">
        <v>70</v>
      </c>
      <c r="BP88" s="2532">
        <v>135</v>
      </c>
      <c r="BQ88" s="917"/>
      <c r="BR88" s="917"/>
      <c r="BS88" s="917"/>
      <c r="BT88" s="2534">
        <v>58</v>
      </c>
      <c r="BU88" s="2532">
        <v>128.70000000000002</v>
      </c>
      <c r="BV88" s="2534">
        <v>65</v>
      </c>
      <c r="BW88" s="2532">
        <v>140.80000000000001</v>
      </c>
      <c r="BX88" s="2534">
        <v>63</v>
      </c>
      <c r="BY88" s="2532">
        <v>144.10000000000002</v>
      </c>
      <c r="BZ88" s="2534">
        <v>70</v>
      </c>
      <c r="CA88" s="2532">
        <v>157.30000000000001</v>
      </c>
    </row>
    <row r="89" spans="1:79">
      <c r="A89" s="305">
        <v>7</v>
      </c>
      <c r="B89" s="182" t="s">
        <v>757</v>
      </c>
      <c r="C89" s="20"/>
      <c r="D89" s="20"/>
      <c r="E89" s="20"/>
      <c r="F89" s="20"/>
      <c r="G89" s="20"/>
      <c r="H89" s="20"/>
      <c r="I89" s="20"/>
      <c r="J89" s="20"/>
      <c r="K89" s="304"/>
      <c r="N89" s="469"/>
      <c r="O89" s="469"/>
      <c r="P89" s="469"/>
      <c r="Q89" s="469"/>
      <c r="R89" s="100"/>
      <c r="S89" s="100"/>
      <c r="T89" s="100"/>
      <c r="U89" s="17"/>
      <c r="V89" s="470" t="s">
        <v>406</v>
      </c>
      <c r="W89" s="470" t="s">
        <v>404</v>
      </c>
      <c r="X89" s="470" t="s">
        <v>764</v>
      </c>
      <c r="Y89" s="17"/>
      <c r="Z89" s="17"/>
      <c r="AB89" s="17"/>
      <c r="AD89" s="17"/>
      <c r="AE89" s="17"/>
      <c r="AF89" s="17"/>
      <c r="AG89" s="217">
        <v>47</v>
      </c>
      <c r="AH89" s="249">
        <v>58</v>
      </c>
      <c r="AI89" s="228" t="s">
        <v>410</v>
      </c>
      <c r="AJ89" s="228">
        <v>1770</v>
      </c>
      <c r="AK89" s="228">
        <v>10</v>
      </c>
      <c r="AL89" s="830">
        <v>38</v>
      </c>
      <c r="AM89" s="416"/>
      <c r="AN89" s="322">
        <v>40</v>
      </c>
      <c r="AO89" s="465">
        <v>41</v>
      </c>
      <c r="AP89" s="17"/>
      <c r="AQ89" s="17"/>
      <c r="AR89" s="17"/>
      <c r="AS89" s="17"/>
      <c r="AT89" s="41">
        <v>45</v>
      </c>
      <c r="AU89" s="42">
        <v>51</v>
      </c>
      <c r="AV89" s="17"/>
      <c r="AW89" s="17"/>
      <c r="AX89" s="249">
        <v>63</v>
      </c>
      <c r="AY89" s="253">
        <v>76</v>
      </c>
      <c r="AZ89" s="17"/>
      <c r="BA89" s="249">
        <v>70</v>
      </c>
      <c r="BB89" s="253">
        <v>85</v>
      </c>
      <c r="BC89" s="20"/>
      <c r="BD89" s="20"/>
      <c r="BE89" s="17"/>
      <c r="BF89" s="17"/>
      <c r="BG89" s="17"/>
      <c r="BH89" s="17"/>
      <c r="BI89" s="2531">
        <v>71</v>
      </c>
      <c r="BJ89" s="2532">
        <v>129.71</v>
      </c>
      <c r="BK89" s="2531">
        <v>78</v>
      </c>
      <c r="BL89" s="2532">
        <v>141</v>
      </c>
      <c r="BM89" s="2531">
        <v>76</v>
      </c>
      <c r="BN89" s="2532">
        <v>143.88000000000002</v>
      </c>
      <c r="BO89" s="2531">
        <v>85</v>
      </c>
      <c r="BP89" s="2532">
        <v>157</v>
      </c>
      <c r="BQ89" s="917"/>
      <c r="BR89" s="917"/>
      <c r="BS89" s="917"/>
      <c r="BT89" s="2534">
        <v>71</v>
      </c>
      <c r="BU89" s="2532">
        <v>151.80000000000001</v>
      </c>
      <c r="BV89" s="2534">
        <v>78</v>
      </c>
      <c r="BW89" s="2532">
        <v>165</v>
      </c>
      <c r="BX89" s="2534">
        <v>76</v>
      </c>
      <c r="BY89" s="2532">
        <v>169.4</v>
      </c>
      <c r="BZ89" s="2534">
        <v>85</v>
      </c>
      <c r="CA89" s="2532">
        <v>183.70000000000002</v>
      </c>
    </row>
    <row r="90" spans="1:79" ht="17.100000000000001" customHeight="1">
      <c r="A90" s="36"/>
      <c r="B90" s="471"/>
      <c r="C90" s="20"/>
      <c r="D90" s="20"/>
      <c r="E90" s="20"/>
      <c r="F90" s="20"/>
      <c r="G90" s="20"/>
      <c r="H90" s="20"/>
      <c r="I90" s="20"/>
      <c r="J90" s="20"/>
      <c r="K90" s="304"/>
      <c r="M90" s="413" t="str">
        <f>IFERROR(IF(F109=R90,"→"," "),"")</f>
        <v xml:space="preserve"> </v>
      </c>
      <c r="N90" s="469">
        <v>37</v>
      </c>
      <c r="O90" s="469">
        <v>40</v>
      </c>
      <c r="P90" s="469">
        <v>41</v>
      </c>
      <c r="Q90" s="469">
        <v>45</v>
      </c>
      <c r="R90" s="472">
        <v>8</v>
      </c>
      <c r="S90" s="100">
        <v>24.3</v>
      </c>
      <c r="T90" s="100">
        <v>26.8</v>
      </c>
      <c r="U90" s="473"/>
      <c r="V90" s="474">
        <f>VLOOKUP(J102,AN87:AN212,1)</f>
        <v>189</v>
      </c>
      <c r="W90" s="475">
        <f>VLOOKUP(J102,AT87:AT149,1)</f>
        <v>179</v>
      </c>
      <c r="X90" s="254">
        <f>VLOOKUP(J102,BA86:BA117,1)</f>
        <v>179</v>
      </c>
      <c r="Y90" s="17"/>
      <c r="Z90" s="17"/>
      <c r="AB90" s="17"/>
      <c r="AD90" s="17"/>
      <c r="AE90" s="17"/>
      <c r="AF90" s="17"/>
      <c r="AG90" s="217">
        <v>58</v>
      </c>
      <c r="AH90" s="249">
        <v>71</v>
      </c>
      <c r="AI90" s="228" t="s">
        <v>410</v>
      </c>
      <c r="AJ90" s="228">
        <v>1770</v>
      </c>
      <c r="AK90" s="228">
        <v>11</v>
      </c>
      <c r="AL90" s="830">
        <v>46</v>
      </c>
      <c r="AM90" s="416"/>
      <c r="AN90" s="322">
        <v>41</v>
      </c>
      <c r="AO90" s="465">
        <v>45</v>
      </c>
      <c r="AP90" s="17"/>
      <c r="AQ90" s="17"/>
      <c r="AR90" s="17"/>
      <c r="AS90" s="17"/>
      <c r="AT90" s="41">
        <v>51</v>
      </c>
      <c r="AU90" s="42">
        <v>57</v>
      </c>
      <c r="AV90" s="17"/>
      <c r="AW90" s="17"/>
      <c r="AX90" s="249">
        <v>76</v>
      </c>
      <c r="AY90" s="253">
        <v>91</v>
      </c>
      <c r="AZ90" s="17"/>
      <c r="BA90" s="249">
        <v>85</v>
      </c>
      <c r="BB90" s="253">
        <v>101</v>
      </c>
      <c r="BC90" s="20"/>
      <c r="BD90" s="20"/>
      <c r="BE90" s="17"/>
      <c r="BF90" s="17"/>
      <c r="BG90" s="17"/>
      <c r="BH90" s="17"/>
      <c r="BI90" s="2531">
        <v>84</v>
      </c>
      <c r="BJ90" s="2532">
        <v>150.42000000000002</v>
      </c>
      <c r="BK90" s="2531">
        <v>93</v>
      </c>
      <c r="BL90" s="2532">
        <v>159</v>
      </c>
      <c r="BM90" s="2531">
        <v>91</v>
      </c>
      <c r="BN90" s="2532">
        <v>167.86</v>
      </c>
      <c r="BO90" s="2531">
        <v>101</v>
      </c>
      <c r="BP90" s="2532">
        <v>177</v>
      </c>
      <c r="BQ90" s="917"/>
      <c r="BR90" s="917"/>
      <c r="BS90" s="917"/>
      <c r="BT90" s="2534">
        <v>84</v>
      </c>
      <c r="BU90" s="2532">
        <v>177.10000000000002</v>
      </c>
      <c r="BV90" s="2534">
        <v>93</v>
      </c>
      <c r="BW90" s="2532">
        <v>192.50000000000003</v>
      </c>
      <c r="BX90" s="2534">
        <v>91</v>
      </c>
      <c r="BY90" s="2532">
        <v>196.9</v>
      </c>
      <c r="BZ90" s="2534">
        <v>101</v>
      </c>
      <c r="CA90" s="2532">
        <v>214.50000000000003</v>
      </c>
    </row>
    <row r="91" spans="1:79" ht="17.100000000000001" customHeight="1">
      <c r="A91" s="36"/>
      <c r="B91" s="20" t="s">
        <v>2740</v>
      </c>
      <c r="C91" s="20"/>
      <c r="D91" s="20"/>
      <c r="E91" s="20"/>
      <c r="F91" s="20"/>
      <c r="G91" s="20"/>
      <c r="H91" s="20"/>
      <c r="I91" s="20"/>
      <c r="J91" s="20"/>
      <c r="K91" s="304"/>
      <c r="M91" s="413" t="str">
        <f>IFERROR(IF(F109=R91,"→"," "),"")</f>
        <v xml:space="preserve"> </v>
      </c>
      <c r="N91" s="469">
        <v>47</v>
      </c>
      <c r="O91" s="469">
        <v>51</v>
      </c>
      <c r="P91" s="469">
        <v>52</v>
      </c>
      <c r="Q91" s="469">
        <v>57</v>
      </c>
      <c r="R91" s="472">
        <v>9</v>
      </c>
      <c r="S91" s="100">
        <v>30.8</v>
      </c>
      <c r="T91" s="100">
        <v>33.9</v>
      </c>
      <c r="U91" s="473"/>
      <c r="V91" s="476">
        <f>VLOOKUP(V90,AN87:AO212,2,0)</f>
        <v>204</v>
      </c>
      <c r="W91" s="476">
        <f>VLOOKUP(W90,AT87:AU149,2,0)</f>
        <v>204</v>
      </c>
      <c r="X91" s="476">
        <f>VLOOKUP(X90,BA86:BB117,2,0)</f>
        <v>226</v>
      </c>
      <c r="Y91" s="17"/>
      <c r="Z91" s="17"/>
      <c r="AB91" s="17"/>
      <c r="AD91" s="17"/>
      <c r="AE91" s="17"/>
      <c r="AF91" s="17"/>
      <c r="AG91" s="217">
        <v>71</v>
      </c>
      <c r="AH91" s="249">
        <v>84</v>
      </c>
      <c r="AI91" s="228" t="s">
        <v>410</v>
      </c>
      <c r="AJ91" s="228">
        <v>1770</v>
      </c>
      <c r="AK91" s="228">
        <v>12</v>
      </c>
      <c r="AL91" s="830">
        <v>54.7</v>
      </c>
      <c r="AM91" s="416"/>
      <c r="AN91" s="322">
        <v>45</v>
      </c>
      <c r="AO91" s="465">
        <v>47</v>
      </c>
      <c r="AP91" s="17"/>
      <c r="AQ91" s="17"/>
      <c r="AR91" s="17"/>
      <c r="AS91" s="17"/>
      <c r="AT91" s="41">
        <v>57</v>
      </c>
      <c r="AU91" s="42">
        <v>63</v>
      </c>
      <c r="AV91" s="17"/>
      <c r="AW91" s="17"/>
      <c r="AX91" s="249">
        <v>91</v>
      </c>
      <c r="AY91" s="253">
        <v>107</v>
      </c>
      <c r="AZ91" s="17"/>
      <c r="BA91" s="249">
        <v>101</v>
      </c>
      <c r="BB91" s="253">
        <v>118</v>
      </c>
      <c r="BC91" s="20"/>
      <c r="BD91" s="20"/>
      <c r="BE91" s="17"/>
      <c r="BF91" s="17"/>
      <c r="BG91" s="17"/>
      <c r="BH91" s="17"/>
      <c r="BI91" s="2531">
        <v>99</v>
      </c>
      <c r="BJ91" s="2532">
        <v>173.31</v>
      </c>
      <c r="BK91" s="2531">
        <v>109</v>
      </c>
      <c r="BL91" s="2532">
        <v>183</v>
      </c>
      <c r="BM91" s="2531">
        <v>107</v>
      </c>
      <c r="BN91" s="2532">
        <v>194.02</v>
      </c>
      <c r="BO91" s="2531">
        <v>118</v>
      </c>
      <c r="BP91" s="2532">
        <v>204</v>
      </c>
      <c r="BQ91" s="917"/>
      <c r="BR91" s="917"/>
      <c r="BS91" s="917"/>
      <c r="BT91" s="2534">
        <v>99</v>
      </c>
      <c r="BU91" s="2532">
        <v>203.50000000000003</v>
      </c>
      <c r="BV91" s="2534">
        <v>109</v>
      </c>
      <c r="BW91" s="2532">
        <v>221.10000000000002</v>
      </c>
      <c r="BX91" s="2534">
        <v>107</v>
      </c>
      <c r="BY91" s="2532">
        <v>226.60000000000002</v>
      </c>
      <c r="BZ91" s="2534">
        <v>118</v>
      </c>
      <c r="CA91" s="2532">
        <v>247.50000000000003</v>
      </c>
    </row>
    <row r="92" spans="1:79" ht="17.100000000000001" customHeight="1">
      <c r="A92" s="36"/>
      <c r="B92" s="20"/>
      <c r="C92" s="20"/>
      <c r="D92" s="20"/>
      <c r="E92" s="20"/>
      <c r="F92" s="20"/>
      <c r="G92" s="20" t="s">
        <v>412</v>
      </c>
      <c r="H92" s="20"/>
      <c r="J92" s="20"/>
      <c r="K92" s="304"/>
      <c r="M92" s="413" t="str">
        <f>IFERROR(IF(F109=R92,"→"," "),"")</f>
        <v xml:space="preserve"> </v>
      </c>
      <c r="N92" s="469">
        <v>58</v>
      </c>
      <c r="O92" s="469">
        <v>63</v>
      </c>
      <c r="P92" s="469">
        <v>65</v>
      </c>
      <c r="Q92" s="469">
        <v>70</v>
      </c>
      <c r="R92" s="472">
        <v>10</v>
      </c>
      <c r="S92" s="100">
        <v>38</v>
      </c>
      <c r="T92" s="100">
        <v>41.8</v>
      </c>
      <c r="U92" s="473"/>
      <c r="V92" s="29" t="str">
        <f>VLOOKUP(V91,AH87:AJ212,2,0)</f>
        <v>Steel Core</v>
      </c>
      <c r="W92" s="311">
        <f>VLOOKUP(W91,AH87:AK212,4,0)</f>
        <v>18</v>
      </c>
      <c r="X92" s="235">
        <f>VLOOKUP(X91,AH87:AK212,4,0)</f>
        <v>18</v>
      </c>
      <c r="Y92" s="17"/>
      <c r="Z92" s="17"/>
      <c r="AB92" s="17"/>
      <c r="AD92" s="17"/>
      <c r="AE92" s="17"/>
      <c r="AF92" s="17"/>
      <c r="AG92" s="217">
        <v>84</v>
      </c>
      <c r="AH92" s="249">
        <v>99</v>
      </c>
      <c r="AI92" s="228" t="s">
        <v>410</v>
      </c>
      <c r="AJ92" s="228">
        <v>1770</v>
      </c>
      <c r="AK92" s="228">
        <v>13</v>
      </c>
      <c r="AL92" s="830">
        <v>64.3</v>
      </c>
      <c r="AM92" s="416"/>
      <c r="AN92" s="322">
        <v>47</v>
      </c>
      <c r="AO92" s="465">
        <v>51</v>
      </c>
      <c r="AP92" s="17"/>
      <c r="AQ92" s="17"/>
      <c r="AR92" s="17"/>
      <c r="AS92" s="17"/>
      <c r="AT92" s="41">
        <v>63</v>
      </c>
      <c r="AU92" s="42">
        <v>70</v>
      </c>
      <c r="AV92" s="17"/>
      <c r="AW92" s="17"/>
      <c r="AX92" s="249">
        <v>107</v>
      </c>
      <c r="AY92" s="253">
        <v>124</v>
      </c>
      <c r="AZ92" s="17"/>
      <c r="BA92" s="249">
        <v>118</v>
      </c>
      <c r="BB92" s="253">
        <v>137</v>
      </c>
      <c r="BC92" s="20"/>
      <c r="BD92" s="20"/>
      <c r="BE92" s="17"/>
      <c r="BF92" s="17"/>
      <c r="BG92" s="17"/>
      <c r="BH92" s="17"/>
      <c r="BI92" s="2531">
        <v>114</v>
      </c>
      <c r="BJ92" s="2532">
        <v>192.93</v>
      </c>
      <c r="BK92" s="2531">
        <v>127</v>
      </c>
      <c r="BL92" s="2532">
        <v>204</v>
      </c>
      <c r="BM92" s="2531">
        <v>124</v>
      </c>
      <c r="BN92" s="2532">
        <v>213.64000000000001</v>
      </c>
      <c r="BO92" s="2531">
        <v>137</v>
      </c>
      <c r="BP92" s="2532">
        <v>226</v>
      </c>
      <c r="BQ92" s="917"/>
      <c r="BR92" s="917"/>
      <c r="BS92" s="917"/>
      <c r="BT92" s="2534">
        <v>114</v>
      </c>
      <c r="BU92" s="2532">
        <v>226.60000000000002</v>
      </c>
      <c r="BV92" s="2534">
        <v>127</v>
      </c>
      <c r="BW92" s="2532">
        <v>246.40000000000003</v>
      </c>
      <c r="BX92" s="2534">
        <v>124</v>
      </c>
      <c r="BY92" s="2532">
        <v>251.90000000000003</v>
      </c>
      <c r="BZ92" s="2534">
        <v>137</v>
      </c>
      <c r="CA92" s="2532">
        <v>273.90000000000003</v>
      </c>
    </row>
    <row r="93" spans="1:79" ht="17.100000000000001" customHeight="1">
      <c r="A93" s="36"/>
      <c r="B93" s="20"/>
      <c r="C93" s="20"/>
      <c r="D93" s="20"/>
      <c r="E93" s="20"/>
      <c r="F93" s="20"/>
      <c r="G93" s="20"/>
      <c r="H93" s="20"/>
      <c r="I93" s="20"/>
      <c r="J93" s="20"/>
      <c r="K93" s="304"/>
      <c r="M93" s="413" t="str">
        <f>IFERROR(IF(F109=R93,"→"," "),"")</f>
        <v xml:space="preserve"> </v>
      </c>
      <c r="N93" s="469">
        <v>71</v>
      </c>
      <c r="O93" s="469">
        <v>76</v>
      </c>
      <c r="P93" s="469">
        <v>78</v>
      </c>
      <c r="Q93" s="469">
        <v>85</v>
      </c>
      <c r="R93" s="472">
        <v>11</v>
      </c>
      <c r="S93" s="100">
        <v>46</v>
      </c>
      <c r="T93" s="100">
        <v>50.6</v>
      </c>
      <c r="U93" s="473"/>
      <c r="V93" s="29">
        <f>VLOOKUP(V91,AH87:AJ212,3,0)</f>
        <v>1770</v>
      </c>
      <c r="W93" s="235">
        <f>VLOOKUP(W91,AH87:AL212,5,0)</f>
        <v>135</v>
      </c>
      <c r="X93" s="311">
        <f>VLOOKUP(X91,AH87:AL212,5,0)</f>
        <v>135</v>
      </c>
      <c r="Y93" s="17"/>
      <c r="Z93" s="17"/>
      <c r="AB93" s="17"/>
      <c r="AD93" s="17"/>
      <c r="AE93" s="17"/>
      <c r="AF93" s="17"/>
      <c r="AG93" s="217">
        <v>99</v>
      </c>
      <c r="AH93" s="249">
        <v>114</v>
      </c>
      <c r="AI93" s="228" t="s">
        <v>410</v>
      </c>
      <c r="AJ93" s="228">
        <v>1770</v>
      </c>
      <c r="AK93" s="228">
        <v>14</v>
      </c>
      <c r="AL93" s="830">
        <v>74.5</v>
      </c>
      <c r="AM93" s="416"/>
      <c r="AN93" s="322">
        <v>51</v>
      </c>
      <c r="AO93" s="465">
        <v>52</v>
      </c>
      <c r="AP93" s="17"/>
      <c r="AQ93" s="17"/>
      <c r="AR93" s="17"/>
      <c r="AS93" s="17"/>
      <c r="AT93" s="41">
        <v>70</v>
      </c>
      <c r="AU93" s="42">
        <v>76</v>
      </c>
      <c r="AV93" s="17"/>
      <c r="AW93" s="17"/>
      <c r="AX93" s="249">
        <v>124</v>
      </c>
      <c r="AY93" s="253">
        <v>161</v>
      </c>
      <c r="AZ93" s="17"/>
      <c r="BA93" s="249">
        <v>137</v>
      </c>
      <c r="BB93" s="253">
        <v>179</v>
      </c>
      <c r="BC93" s="20"/>
      <c r="BD93" s="20"/>
      <c r="BE93" s="17"/>
      <c r="BF93" s="17"/>
      <c r="BG93" s="17"/>
      <c r="BH93" s="17"/>
      <c r="BI93" s="2531">
        <v>149</v>
      </c>
      <c r="BJ93" s="2532">
        <v>219.09</v>
      </c>
      <c r="BK93" s="2531">
        <v>166</v>
      </c>
      <c r="BL93" s="2532">
        <v>235</v>
      </c>
      <c r="BM93" s="2531">
        <v>161</v>
      </c>
      <c r="BN93" s="2532">
        <v>243.07000000000002</v>
      </c>
      <c r="BO93" s="2531">
        <v>179</v>
      </c>
      <c r="BP93" s="2532">
        <v>260</v>
      </c>
      <c r="BQ93" s="917"/>
      <c r="BR93" s="917"/>
      <c r="BS93" s="917"/>
      <c r="BT93" s="2534">
        <v>149</v>
      </c>
      <c r="BU93" s="2532">
        <v>257.40000000000003</v>
      </c>
      <c r="BV93" s="2534">
        <v>166</v>
      </c>
      <c r="BW93" s="2532">
        <v>279.40000000000003</v>
      </c>
      <c r="BX93" s="2534">
        <v>161</v>
      </c>
      <c r="BY93" s="2532">
        <v>286</v>
      </c>
      <c r="BZ93" s="2534">
        <v>179</v>
      </c>
      <c r="CA93" s="2532">
        <v>310.20000000000005</v>
      </c>
    </row>
    <row r="94" spans="1:79" ht="17.100000000000001" customHeight="1">
      <c r="A94" s="36"/>
      <c r="B94" s="20" t="s">
        <v>303</v>
      </c>
      <c r="C94" s="20"/>
      <c r="D94" s="20"/>
      <c r="E94" s="20"/>
      <c r="F94" s="20"/>
      <c r="G94" s="20"/>
      <c r="H94" s="20"/>
      <c r="I94" s="20"/>
      <c r="J94" s="20"/>
      <c r="K94" s="304"/>
      <c r="L94" s="17"/>
      <c r="M94" s="413" t="str">
        <f>IFERROR(IF(F109=R94,"→"," "),"")</f>
        <v xml:space="preserve"> </v>
      </c>
      <c r="N94" s="469">
        <v>84</v>
      </c>
      <c r="O94" s="469">
        <v>91</v>
      </c>
      <c r="P94" s="469">
        <v>93</v>
      </c>
      <c r="Q94" s="469">
        <v>101</v>
      </c>
      <c r="R94" s="472">
        <v>12</v>
      </c>
      <c r="S94" s="100">
        <v>54.7</v>
      </c>
      <c r="T94" s="100">
        <v>60.2</v>
      </c>
      <c r="U94" s="473"/>
      <c r="V94" s="29">
        <f>VLOOKUP(V91,AH87:AK212,4,0)</f>
        <v>18</v>
      </c>
      <c r="W94" s="311">
        <f>VLOOKUP(W91,AH87:AJ212,3,0)</f>
        <v>1770</v>
      </c>
      <c r="Y94" s="17"/>
      <c r="Z94" s="17"/>
      <c r="AB94" s="17"/>
      <c r="AD94" s="17"/>
      <c r="AE94" s="17"/>
      <c r="AF94" s="17"/>
      <c r="AG94" s="217">
        <v>114</v>
      </c>
      <c r="AH94" s="249">
        <v>149</v>
      </c>
      <c r="AI94" s="228" t="s">
        <v>410</v>
      </c>
      <c r="AJ94" s="228">
        <v>1770</v>
      </c>
      <c r="AK94" s="228">
        <v>16</v>
      </c>
      <c r="AL94" s="830">
        <v>97.3</v>
      </c>
      <c r="AM94" s="416"/>
      <c r="AN94" s="322">
        <v>52</v>
      </c>
      <c r="AO94" s="465">
        <v>57</v>
      </c>
      <c r="AP94" s="17"/>
      <c r="AQ94" s="17"/>
      <c r="AR94" s="17"/>
      <c r="AS94" s="17"/>
      <c r="AT94" s="41">
        <v>76</v>
      </c>
      <c r="AU94" s="42">
        <v>85</v>
      </c>
      <c r="AV94" s="17"/>
      <c r="AW94" s="17"/>
      <c r="AX94" s="249">
        <v>161</v>
      </c>
      <c r="AY94" s="253">
        <v>204</v>
      </c>
      <c r="AZ94" s="17"/>
      <c r="BA94" s="249">
        <v>179</v>
      </c>
      <c r="BB94" s="253">
        <v>226</v>
      </c>
      <c r="BC94" s="20"/>
      <c r="BD94" s="20"/>
      <c r="BE94" s="17"/>
      <c r="BF94" s="17"/>
      <c r="BG94" s="17"/>
      <c r="BH94" s="17"/>
      <c r="BI94" s="2531">
        <v>189</v>
      </c>
      <c r="BJ94" s="2532">
        <v>284.49</v>
      </c>
      <c r="BK94" s="2531">
        <v>209</v>
      </c>
      <c r="BL94" s="2532">
        <v>303</v>
      </c>
      <c r="BM94" s="2531">
        <v>204</v>
      </c>
      <c r="BN94" s="2532">
        <v>315.01000000000005</v>
      </c>
      <c r="BO94" s="2531">
        <v>226</v>
      </c>
      <c r="BP94" s="2532">
        <v>336</v>
      </c>
      <c r="BQ94" s="917"/>
      <c r="BR94" s="917"/>
      <c r="BS94" s="917"/>
      <c r="BT94" s="2534">
        <v>189</v>
      </c>
      <c r="BU94" s="2532">
        <v>334.40000000000003</v>
      </c>
      <c r="BV94" s="2534">
        <v>209</v>
      </c>
      <c r="BW94" s="2532">
        <v>363.00000000000006</v>
      </c>
      <c r="BX94" s="2534">
        <v>204</v>
      </c>
      <c r="BY94" s="2532">
        <v>370.70000000000005</v>
      </c>
      <c r="BZ94" s="2534">
        <v>226</v>
      </c>
      <c r="CA94" s="2532">
        <v>401.50000000000006</v>
      </c>
    </row>
    <row r="95" spans="1:79" ht="17.100000000000001" customHeight="1">
      <c r="A95" s="36"/>
      <c r="B95" s="67" t="s">
        <v>158</v>
      </c>
      <c r="C95" s="20" t="s">
        <v>758</v>
      </c>
      <c r="D95" s="20"/>
      <c r="E95" s="20"/>
      <c r="F95" s="20"/>
      <c r="G95" s="20"/>
      <c r="H95" s="20"/>
      <c r="I95" s="55" t="s">
        <v>160</v>
      </c>
      <c r="J95" s="59">
        <f>'E Data'!D14</f>
        <v>15</v>
      </c>
      <c r="K95" s="304"/>
      <c r="M95" s="413" t="str">
        <f>IFERROR(IF(F109=R95,"→"," "),"")</f>
        <v xml:space="preserve"> </v>
      </c>
      <c r="N95" s="469">
        <v>99</v>
      </c>
      <c r="O95" s="469">
        <v>107</v>
      </c>
      <c r="P95" s="469">
        <v>109</v>
      </c>
      <c r="Q95" s="469">
        <v>118</v>
      </c>
      <c r="R95" s="472">
        <v>13</v>
      </c>
      <c r="S95" s="100">
        <v>64.3</v>
      </c>
      <c r="T95" s="100">
        <v>70.069999999999993</v>
      </c>
      <c r="U95" s="473"/>
      <c r="V95" s="29">
        <f>VLOOKUP(V91,AH87:AL212,5,0)</f>
        <v>135</v>
      </c>
      <c r="Y95" s="17"/>
      <c r="Z95" s="17"/>
      <c r="AB95" s="17"/>
      <c r="AD95" s="17"/>
      <c r="AE95" s="17"/>
      <c r="AF95" s="17"/>
      <c r="AG95" s="217">
        <v>149</v>
      </c>
      <c r="AH95" s="249">
        <v>189</v>
      </c>
      <c r="AI95" s="228" t="s">
        <v>410</v>
      </c>
      <c r="AJ95" s="228">
        <v>1770</v>
      </c>
      <c r="AK95" s="228">
        <v>18</v>
      </c>
      <c r="AL95" s="830">
        <v>123</v>
      </c>
      <c r="AM95" s="416"/>
      <c r="AN95" s="322">
        <v>57</v>
      </c>
      <c r="AO95" s="465">
        <v>58</v>
      </c>
      <c r="AP95" s="17"/>
      <c r="AQ95" s="17"/>
      <c r="AR95" s="17"/>
      <c r="AS95" s="17"/>
      <c r="AT95" s="41">
        <v>85</v>
      </c>
      <c r="AU95" s="42">
        <v>91</v>
      </c>
      <c r="AV95" s="17"/>
      <c r="AW95" s="17"/>
      <c r="AX95" s="249">
        <v>204</v>
      </c>
      <c r="AY95" s="253">
        <v>228</v>
      </c>
      <c r="AZ95" s="17"/>
      <c r="BA95" s="249">
        <v>226</v>
      </c>
      <c r="BB95" s="253">
        <v>252</v>
      </c>
      <c r="BC95" s="20"/>
      <c r="BD95" s="20"/>
      <c r="BE95" s="17"/>
      <c r="BF95" s="17"/>
      <c r="BG95" s="17"/>
      <c r="BH95" s="17"/>
      <c r="BI95" s="2531">
        <v>211</v>
      </c>
      <c r="BJ95" s="2532">
        <v>309.56</v>
      </c>
      <c r="BK95" s="2531">
        <v>233</v>
      </c>
      <c r="BL95" s="2532">
        <v>330</v>
      </c>
      <c r="BM95" s="2531">
        <v>228</v>
      </c>
      <c r="BN95" s="2532">
        <v>343.35</v>
      </c>
      <c r="BO95" s="2531">
        <v>252</v>
      </c>
      <c r="BP95" s="2532">
        <v>366</v>
      </c>
      <c r="BQ95" s="917"/>
      <c r="BR95" s="917"/>
      <c r="BS95" s="917"/>
      <c r="BT95" s="2534">
        <v>211</v>
      </c>
      <c r="BU95" s="2532">
        <v>364.1</v>
      </c>
      <c r="BV95" s="2534">
        <v>233</v>
      </c>
      <c r="BW95" s="2532">
        <v>394.90000000000003</v>
      </c>
      <c r="BX95" s="2534">
        <v>228</v>
      </c>
      <c r="BY95" s="2532">
        <v>403.70000000000005</v>
      </c>
      <c r="BZ95" s="2534">
        <v>252</v>
      </c>
      <c r="CA95" s="2532">
        <v>437.8</v>
      </c>
    </row>
    <row r="96" spans="1:79" ht="17.100000000000001" customHeight="1">
      <c r="A96" s="36"/>
      <c r="B96" s="67" t="s">
        <v>415</v>
      </c>
      <c r="C96" s="20" t="s">
        <v>759</v>
      </c>
      <c r="D96" s="20"/>
      <c r="E96" s="20"/>
      <c r="F96" s="20"/>
      <c r="G96" s="20"/>
      <c r="H96" s="20"/>
      <c r="I96" s="55" t="s">
        <v>160</v>
      </c>
      <c r="J96" s="59">
        <f>J95*K13/100</f>
        <v>0.375</v>
      </c>
      <c r="K96" s="304"/>
      <c r="M96" s="413" t="str">
        <f>IFERROR(IF(F109=R96,"→"," "),"")</f>
        <v xml:space="preserve"> </v>
      </c>
      <c r="N96" s="469">
        <v>114</v>
      </c>
      <c r="O96" s="469">
        <v>124</v>
      </c>
      <c r="P96" s="469">
        <v>127</v>
      </c>
      <c r="Q96" s="469">
        <v>137</v>
      </c>
      <c r="R96" s="472">
        <v>14</v>
      </c>
      <c r="S96" s="100">
        <v>74.5</v>
      </c>
      <c r="T96" s="100">
        <v>82</v>
      </c>
      <c r="U96" s="473"/>
      <c r="Y96" s="17"/>
      <c r="Z96" s="17"/>
      <c r="AB96" s="17"/>
      <c r="AD96" s="17"/>
      <c r="AE96" s="17"/>
      <c r="AF96" s="17"/>
      <c r="AG96" s="217">
        <v>189</v>
      </c>
      <c r="AH96" s="249">
        <v>211</v>
      </c>
      <c r="AI96" s="228" t="s">
        <v>410</v>
      </c>
      <c r="AJ96" s="228">
        <v>1770</v>
      </c>
      <c r="AK96" s="228">
        <v>19</v>
      </c>
      <c r="AL96" s="830">
        <v>137</v>
      </c>
      <c r="AM96" s="416"/>
      <c r="AN96" s="322">
        <v>58</v>
      </c>
      <c r="AO96" s="465">
        <v>63</v>
      </c>
      <c r="AP96" s="17"/>
      <c r="AQ96" s="17"/>
      <c r="AR96" s="17"/>
      <c r="AS96" s="17"/>
      <c r="AT96" s="41">
        <v>91</v>
      </c>
      <c r="AU96" s="42">
        <v>101</v>
      </c>
      <c r="AV96" s="17"/>
      <c r="AW96" s="17"/>
      <c r="AX96" s="249">
        <v>228</v>
      </c>
      <c r="AY96" s="253">
        <v>305</v>
      </c>
      <c r="AZ96" s="17"/>
      <c r="BA96" s="249">
        <v>252</v>
      </c>
      <c r="BB96" s="253">
        <v>279</v>
      </c>
      <c r="BC96" s="20"/>
      <c r="BD96" s="20"/>
      <c r="BE96" s="17"/>
      <c r="BF96" s="17"/>
      <c r="BG96" s="17"/>
      <c r="BH96" s="17"/>
      <c r="BI96" s="2531">
        <v>234</v>
      </c>
      <c r="BJ96" s="2532">
        <v>337.90000000000003</v>
      </c>
      <c r="BK96" s="2531">
        <v>259</v>
      </c>
      <c r="BL96" s="2532">
        <v>361</v>
      </c>
      <c r="BM96" s="2531">
        <v>252</v>
      </c>
      <c r="BN96" s="2532">
        <v>374.96000000000004</v>
      </c>
      <c r="BO96" s="2531">
        <v>279</v>
      </c>
      <c r="BP96" s="2532">
        <v>400</v>
      </c>
      <c r="BQ96" s="917"/>
      <c r="BR96" s="917"/>
      <c r="BS96" s="917"/>
      <c r="BT96" s="2534">
        <v>234</v>
      </c>
      <c r="BU96" s="2532">
        <v>398.20000000000005</v>
      </c>
      <c r="BV96" s="2534">
        <v>259</v>
      </c>
      <c r="BW96" s="2532">
        <v>432.3</v>
      </c>
      <c r="BX96" s="2534">
        <v>252</v>
      </c>
      <c r="BY96" s="2532">
        <v>441.1</v>
      </c>
      <c r="BZ96" s="2534">
        <v>279</v>
      </c>
      <c r="CA96" s="2532">
        <v>478.50000000000006</v>
      </c>
    </row>
    <row r="97" spans="1:79" ht="17.100000000000001" customHeight="1">
      <c r="A97" s="36"/>
      <c r="B97" s="67" t="s">
        <v>417</v>
      </c>
      <c r="C97" s="20" t="s">
        <v>171</v>
      </c>
      <c r="D97" s="20"/>
      <c r="E97" s="20"/>
      <c r="F97" s="20"/>
      <c r="G97" s="20"/>
      <c r="H97" s="20"/>
      <c r="I97" s="55" t="s">
        <v>160</v>
      </c>
      <c r="J97" s="831">
        <f>I14/1000</f>
        <v>0.10125000000000001</v>
      </c>
      <c r="K97" s="304"/>
      <c r="M97" s="413" t="str">
        <f>IFERROR(IF(F109=R97,"→"," "),"")</f>
        <v xml:space="preserve"> </v>
      </c>
      <c r="N97" s="469">
        <v>149</v>
      </c>
      <c r="O97" s="469">
        <v>161</v>
      </c>
      <c r="P97" s="469">
        <v>166</v>
      </c>
      <c r="Q97" s="469">
        <v>179</v>
      </c>
      <c r="R97" s="472">
        <v>16</v>
      </c>
      <c r="S97" s="100">
        <v>97.3</v>
      </c>
      <c r="T97" s="100">
        <v>107</v>
      </c>
      <c r="U97" s="473"/>
      <c r="Y97" s="17"/>
      <c r="Z97" s="17"/>
      <c r="AA97" s="79"/>
      <c r="AB97" s="17"/>
      <c r="AD97" s="17"/>
      <c r="AE97" s="17"/>
      <c r="AF97" s="17"/>
      <c r="AG97" s="217">
        <v>211</v>
      </c>
      <c r="AH97" s="249">
        <v>234</v>
      </c>
      <c r="AI97" s="228" t="s">
        <v>410</v>
      </c>
      <c r="AJ97" s="228">
        <v>1770</v>
      </c>
      <c r="AK97" s="228">
        <v>20</v>
      </c>
      <c r="AL97" s="324">
        <v>152</v>
      </c>
      <c r="AM97" s="416"/>
      <c r="AN97" s="322">
        <v>63</v>
      </c>
      <c r="AO97" s="465">
        <v>65</v>
      </c>
      <c r="AP97" s="17"/>
      <c r="AQ97" s="17"/>
      <c r="AR97" s="17"/>
      <c r="AS97" s="17"/>
      <c r="AT97" s="41">
        <v>101</v>
      </c>
      <c r="AU97" s="42">
        <v>107</v>
      </c>
      <c r="AV97" s="17"/>
      <c r="AW97" s="17"/>
      <c r="AX97" s="249">
        <v>305</v>
      </c>
      <c r="AY97" s="253">
        <v>363</v>
      </c>
      <c r="AZ97" s="17"/>
      <c r="BA97" s="249">
        <v>279</v>
      </c>
      <c r="BB97" s="253">
        <v>338</v>
      </c>
      <c r="BC97" s="20"/>
      <c r="BD97" s="20"/>
      <c r="BE97" s="17"/>
      <c r="BF97" s="17"/>
      <c r="BG97" s="17"/>
      <c r="BH97" s="17"/>
      <c r="BI97" s="2531">
        <v>283</v>
      </c>
      <c r="BJ97" s="2532">
        <v>396.76000000000005</v>
      </c>
      <c r="BK97" s="2531">
        <v>313</v>
      </c>
      <c r="BL97" s="2532">
        <v>425</v>
      </c>
      <c r="BM97" s="2531">
        <v>305</v>
      </c>
      <c r="BN97" s="2532">
        <v>439.27000000000004</v>
      </c>
      <c r="BO97" s="2531">
        <v>338</v>
      </c>
      <c r="BP97" s="2532">
        <v>471</v>
      </c>
      <c r="BQ97" s="917"/>
      <c r="BR97" s="917"/>
      <c r="BS97" s="917"/>
      <c r="BT97" s="2534">
        <v>283</v>
      </c>
      <c r="BU97" s="2532">
        <v>467.50000000000006</v>
      </c>
      <c r="BV97" s="2534">
        <v>313</v>
      </c>
      <c r="BW97" s="2532">
        <v>507.1</v>
      </c>
      <c r="BX97" s="2534">
        <v>305</v>
      </c>
      <c r="BY97" s="2532">
        <v>518.1</v>
      </c>
      <c r="BZ97" s="2534">
        <v>338</v>
      </c>
      <c r="CA97" s="2532">
        <v>562.1</v>
      </c>
    </row>
    <row r="98" spans="1:79" ht="17.100000000000001" customHeight="1" thickBot="1">
      <c r="A98" s="36"/>
      <c r="B98" s="67" t="s">
        <v>418</v>
      </c>
      <c r="C98" s="20" t="s">
        <v>657</v>
      </c>
      <c r="D98" s="20"/>
      <c r="E98" s="20"/>
      <c r="F98" s="20"/>
      <c r="G98" s="20"/>
      <c r="H98" s="20"/>
      <c r="I98" s="55" t="s">
        <v>160</v>
      </c>
      <c r="J98" s="59">
        <f>'E Data'!D42</f>
        <v>4</v>
      </c>
      <c r="K98" s="304"/>
      <c r="M98" s="413" t="str">
        <f>IFERROR(IF(F109=R98,"→"," "),"")</f>
        <v>→</v>
      </c>
      <c r="N98" s="469">
        <v>189</v>
      </c>
      <c r="O98" s="469">
        <v>204</v>
      </c>
      <c r="P98" s="469">
        <v>209</v>
      </c>
      <c r="Q98" s="469">
        <v>226</v>
      </c>
      <c r="R98" s="472">
        <v>18</v>
      </c>
      <c r="S98" s="100">
        <v>123</v>
      </c>
      <c r="T98" s="100">
        <v>135</v>
      </c>
      <c r="U98" s="473"/>
      <c r="Y98" s="59"/>
      <c r="Z98" s="79"/>
      <c r="AA98" s="79">
        <f>F108</f>
        <v>204</v>
      </c>
      <c r="AB98" s="79">
        <f>F109</f>
        <v>18</v>
      </c>
      <c r="AC98" s="53">
        <f>F114</f>
        <v>1.35</v>
      </c>
      <c r="AD98" s="53" t="str">
        <f>F111</f>
        <v>Steel Core</v>
      </c>
      <c r="AE98" s="53">
        <f>F112</f>
        <v>1770</v>
      </c>
      <c r="AF98" s="17"/>
      <c r="AG98" s="217">
        <v>234</v>
      </c>
      <c r="AH98" s="249">
        <v>283</v>
      </c>
      <c r="AI98" s="228" t="s">
        <v>410</v>
      </c>
      <c r="AJ98" s="228">
        <v>1770</v>
      </c>
      <c r="AK98" s="228">
        <v>22</v>
      </c>
      <c r="AL98" s="830">
        <v>184</v>
      </c>
      <c r="AM98" s="416"/>
      <c r="AN98" s="322">
        <v>65</v>
      </c>
      <c r="AO98" s="465">
        <v>70</v>
      </c>
      <c r="AP98" s="17"/>
      <c r="AQ98" s="17"/>
      <c r="AR98" s="17"/>
      <c r="AS98" s="17"/>
      <c r="AT98" s="41">
        <v>107</v>
      </c>
      <c r="AU98" s="42">
        <v>118</v>
      </c>
      <c r="AV98" s="17"/>
      <c r="AW98" s="17"/>
      <c r="AX98" s="249">
        <v>363</v>
      </c>
      <c r="AY98" s="253">
        <v>426</v>
      </c>
      <c r="AZ98" s="17"/>
      <c r="BA98" s="249">
        <v>338</v>
      </c>
      <c r="BB98" s="253">
        <v>402</v>
      </c>
      <c r="BC98" s="20"/>
      <c r="BD98" s="20"/>
      <c r="BE98" s="17"/>
      <c r="BF98" s="17"/>
      <c r="BG98" s="17"/>
      <c r="BH98" s="17"/>
      <c r="BI98" s="2531">
        <v>336</v>
      </c>
      <c r="BJ98" s="2532">
        <v>476.33000000000004</v>
      </c>
      <c r="BK98" s="2531">
        <v>372</v>
      </c>
      <c r="BL98" s="2532">
        <v>510</v>
      </c>
      <c r="BM98" s="2531">
        <v>363</v>
      </c>
      <c r="BN98" s="2532">
        <v>527.56000000000006</v>
      </c>
      <c r="BO98" s="2531">
        <v>402</v>
      </c>
      <c r="BP98" s="2532">
        <v>564</v>
      </c>
      <c r="BQ98" s="917"/>
      <c r="BR98" s="917"/>
      <c r="BS98" s="917"/>
      <c r="BT98" s="2534">
        <v>336</v>
      </c>
      <c r="BU98" s="2532">
        <v>562.1</v>
      </c>
      <c r="BV98" s="2534">
        <v>372</v>
      </c>
      <c r="BW98" s="2532">
        <v>609.40000000000009</v>
      </c>
      <c r="BX98" s="2534">
        <v>363</v>
      </c>
      <c r="BY98" s="2532">
        <v>621.5</v>
      </c>
      <c r="BZ98" s="2534">
        <v>402</v>
      </c>
      <c r="CA98" s="2532">
        <v>674.30000000000007</v>
      </c>
    </row>
    <row r="99" spans="1:79" ht="17.100000000000001" customHeight="1" thickBot="1">
      <c r="A99" s="36"/>
      <c r="B99" s="67" t="s">
        <v>420</v>
      </c>
      <c r="C99" s="20" t="s">
        <v>760</v>
      </c>
      <c r="D99" s="20"/>
      <c r="E99" s="20"/>
      <c r="F99" s="20"/>
      <c r="G99" s="358" t="str">
        <f>'E Data'!E25</f>
        <v>M5</v>
      </c>
      <c r="H99" s="20"/>
      <c r="I99" s="55" t="s">
        <v>160</v>
      </c>
      <c r="J99" s="478">
        <f>MH!J99</f>
        <v>3.5</v>
      </c>
      <c r="K99" s="304"/>
      <c r="L99" s="479" t="str">
        <f>IF(X105="Right",IF(X106="Right","Right","Wrong"),"KN Wrong")</f>
        <v>Right</v>
      </c>
      <c r="M99" s="413" t="str">
        <f>IFERROR(IF(F109=R99,"→"," "),"")</f>
        <v xml:space="preserve"> </v>
      </c>
      <c r="N99" s="469">
        <v>211</v>
      </c>
      <c r="O99" s="469">
        <v>228</v>
      </c>
      <c r="P99" s="469">
        <v>233</v>
      </c>
      <c r="Q99" s="469">
        <v>252</v>
      </c>
      <c r="R99" s="472">
        <v>19</v>
      </c>
      <c r="S99" s="100">
        <v>137</v>
      </c>
      <c r="T99" s="100">
        <v>151</v>
      </c>
      <c r="U99" s="473"/>
      <c r="X99" s="22" t="b">
        <v>1</v>
      </c>
      <c r="Y99" s="179" t="s">
        <v>100</v>
      </c>
      <c r="Z99" s="179" t="s">
        <v>2295</v>
      </c>
      <c r="AA99" s="179" t="s">
        <v>398</v>
      </c>
      <c r="AB99" s="179" t="s">
        <v>400</v>
      </c>
      <c r="AC99" s="179" t="s">
        <v>401</v>
      </c>
      <c r="AD99" s="179" t="s">
        <v>100</v>
      </c>
      <c r="AE99" s="145" t="s">
        <v>100</v>
      </c>
      <c r="AF99" s="17"/>
      <c r="AG99" s="217">
        <v>283</v>
      </c>
      <c r="AH99" s="249">
        <v>336</v>
      </c>
      <c r="AI99" s="228" t="s">
        <v>410</v>
      </c>
      <c r="AJ99" s="228">
        <v>1770</v>
      </c>
      <c r="AK99" s="228">
        <v>24</v>
      </c>
      <c r="AL99" s="830">
        <v>219</v>
      </c>
      <c r="AM99" s="416"/>
      <c r="AN99" s="322">
        <v>70</v>
      </c>
      <c r="AO99" s="465">
        <v>71</v>
      </c>
      <c r="AP99" s="17"/>
      <c r="AQ99" s="17"/>
      <c r="AR99" s="17"/>
      <c r="AS99" s="17"/>
      <c r="AT99" s="41">
        <v>118</v>
      </c>
      <c r="AU99" s="42">
        <v>124</v>
      </c>
      <c r="AV99" s="17"/>
      <c r="AW99" s="17"/>
      <c r="AX99" s="249">
        <v>426</v>
      </c>
      <c r="AY99" s="253">
        <v>494</v>
      </c>
      <c r="AZ99" s="17"/>
      <c r="BA99" s="249">
        <v>402</v>
      </c>
      <c r="BB99" s="253">
        <v>472</v>
      </c>
      <c r="BC99" s="20"/>
      <c r="BD99" s="20"/>
      <c r="BE99" s="17"/>
      <c r="BF99" s="17"/>
      <c r="BG99" s="17"/>
      <c r="BH99" s="17"/>
      <c r="BI99" s="2531">
        <v>395</v>
      </c>
      <c r="BJ99" s="2532">
        <v>558.08000000000004</v>
      </c>
      <c r="BK99" s="2531">
        <v>437</v>
      </c>
      <c r="BL99" s="2532">
        <v>597</v>
      </c>
      <c r="BM99" s="2531">
        <v>426</v>
      </c>
      <c r="BN99" s="2532">
        <v>618.03000000000009</v>
      </c>
      <c r="BO99" s="2531">
        <v>472</v>
      </c>
      <c r="BP99" s="2532">
        <v>662</v>
      </c>
      <c r="BQ99" s="917"/>
      <c r="BR99" s="917"/>
      <c r="BS99" s="917"/>
      <c r="BT99" s="2534">
        <v>395</v>
      </c>
      <c r="BU99" s="2532">
        <v>657.80000000000007</v>
      </c>
      <c r="BV99" s="2534">
        <v>437</v>
      </c>
      <c r="BW99" s="2532">
        <v>712.80000000000007</v>
      </c>
      <c r="BX99" s="2534">
        <v>426</v>
      </c>
      <c r="BY99" s="2532">
        <v>728.2</v>
      </c>
      <c r="BZ99" s="2534">
        <v>472</v>
      </c>
      <c r="CA99" s="2532">
        <v>790.90000000000009</v>
      </c>
    </row>
    <row r="100" spans="1:79" ht="17.100000000000001" customHeight="1">
      <c r="A100" s="36"/>
      <c r="B100" s="67" t="s">
        <v>422</v>
      </c>
      <c r="C100" s="20" t="s">
        <v>761</v>
      </c>
      <c r="D100" s="20"/>
      <c r="E100" s="20"/>
      <c r="F100" s="20"/>
      <c r="G100" s="358" t="str">
        <f>'E Data'!E25</f>
        <v>M5</v>
      </c>
      <c r="H100" s="20"/>
      <c r="I100" s="55" t="s">
        <v>160</v>
      </c>
      <c r="J100" s="434">
        <f>'E Data'!E26</f>
        <v>1.5</v>
      </c>
      <c r="K100" s="304"/>
      <c r="M100" s="413" t="str">
        <f>IFERROR(IF(F109=R100,"→"," "),"")</f>
        <v xml:space="preserve"> </v>
      </c>
      <c r="N100" s="469">
        <v>234</v>
      </c>
      <c r="O100" s="469">
        <v>252</v>
      </c>
      <c r="P100" s="469">
        <v>259</v>
      </c>
      <c r="Q100" s="469">
        <v>279</v>
      </c>
      <c r="R100" s="480">
        <v>20</v>
      </c>
      <c r="S100" s="311">
        <v>152</v>
      </c>
      <c r="T100" s="311">
        <v>167</v>
      </c>
      <c r="U100" s="473"/>
      <c r="X100" s="22" t="b">
        <f>AND(AA100=AA104,AB104=AB100)</f>
        <v>0</v>
      </c>
      <c r="Y100" s="179" t="s">
        <v>2291</v>
      </c>
      <c r="Z100" s="179">
        <f>VLOOKUP(J102,AH86:AH116,1)</f>
        <v>189</v>
      </c>
      <c r="AA100" s="179">
        <f>VLOOKUP(Z100,AG86:AH116,2,0)</f>
        <v>211</v>
      </c>
      <c r="AB100" s="179">
        <f>VLOOKUP(AA100,AH86:AK116,4,0)</f>
        <v>19</v>
      </c>
      <c r="AC100" s="179">
        <f>VLOOKUP(AA100,AH86:AL116,5,0)/100</f>
        <v>1.37</v>
      </c>
      <c r="AD100" s="179" t="s">
        <v>410</v>
      </c>
      <c r="AE100" s="145">
        <v>1770</v>
      </c>
      <c r="AF100" s="22">
        <f>+AA100</f>
        <v>211</v>
      </c>
      <c r="AG100" s="217">
        <v>336</v>
      </c>
      <c r="AH100" s="249">
        <v>395</v>
      </c>
      <c r="AI100" s="228" t="s">
        <v>410</v>
      </c>
      <c r="AJ100" s="228">
        <v>1770</v>
      </c>
      <c r="AK100" s="228">
        <v>26</v>
      </c>
      <c r="AL100" s="830">
        <v>257</v>
      </c>
      <c r="AM100" s="416"/>
      <c r="AN100" s="322">
        <v>71</v>
      </c>
      <c r="AO100" s="465">
        <v>76</v>
      </c>
      <c r="AP100" s="17"/>
      <c r="AQ100" s="17"/>
      <c r="AR100" s="17"/>
      <c r="AS100" s="17"/>
      <c r="AT100" s="41">
        <v>124</v>
      </c>
      <c r="AU100" s="42">
        <v>137</v>
      </c>
      <c r="AV100" s="17"/>
      <c r="AW100" s="17"/>
      <c r="AX100" s="249">
        <v>494</v>
      </c>
      <c r="AY100" s="253">
        <v>646</v>
      </c>
      <c r="AZ100" s="17"/>
      <c r="BA100" s="249">
        <v>472</v>
      </c>
      <c r="BB100" s="253">
        <v>548</v>
      </c>
      <c r="BC100" s="20"/>
      <c r="BD100" s="20"/>
      <c r="BE100" s="17"/>
      <c r="BF100" s="17"/>
      <c r="BG100" s="17"/>
      <c r="BH100" s="17"/>
      <c r="BI100" s="2531">
        <v>458</v>
      </c>
      <c r="BJ100" s="2532">
        <v>640.92000000000007</v>
      </c>
      <c r="BK100" s="2531">
        <v>507</v>
      </c>
      <c r="BL100" s="2532">
        <v>687</v>
      </c>
      <c r="BM100" s="2531">
        <v>494</v>
      </c>
      <c r="BN100" s="2532">
        <v>706.32</v>
      </c>
      <c r="BO100" s="2531">
        <v>548</v>
      </c>
      <c r="BP100" s="2532">
        <v>757</v>
      </c>
      <c r="BQ100" s="917"/>
      <c r="BR100" s="917"/>
      <c r="BS100" s="917"/>
      <c r="BT100" s="2534">
        <v>458</v>
      </c>
      <c r="BU100" s="2532">
        <v>755.7</v>
      </c>
      <c r="BV100" s="2534">
        <v>507</v>
      </c>
      <c r="BW100" s="2532">
        <v>819.50000000000011</v>
      </c>
      <c r="BX100" s="2534">
        <v>494</v>
      </c>
      <c r="BY100" s="2532">
        <v>833.80000000000007</v>
      </c>
      <c r="BZ100" s="2534">
        <v>548</v>
      </c>
      <c r="CA100" s="2532">
        <v>904.2</v>
      </c>
    </row>
    <row r="101" spans="1:79" ht="17.100000000000001" customHeight="1">
      <c r="A101" s="36"/>
      <c r="B101" s="20"/>
      <c r="C101" s="20" t="s">
        <v>762</v>
      </c>
      <c r="D101" s="20"/>
      <c r="E101" s="20"/>
      <c r="F101" s="20"/>
      <c r="G101" s="20"/>
      <c r="H101" s="20"/>
      <c r="I101" s="55" t="s">
        <v>160</v>
      </c>
      <c r="J101" s="481">
        <f>(J95+J96+J97)*J99*J100/J98</f>
        <v>20.312578125000002</v>
      </c>
      <c r="K101" s="304" t="s">
        <v>55</v>
      </c>
      <c r="L101" s="19"/>
      <c r="M101" s="413" t="str">
        <f>IFERROR(IF(F109=R101,"→"," "),"")</f>
        <v xml:space="preserve"> </v>
      </c>
      <c r="N101" s="469">
        <v>283</v>
      </c>
      <c r="O101" s="469">
        <v>305</v>
      </c>
      <c r="P101" s="469">
        <v>313</v>
      </c>
      <c r="Q101" s="469">
        <v>338</v>
      </c>
      <c r="R101" s="472">
        <v>22</v>
      </c>
      <c r="S101" s="100">
        <v>184</v>
      </c>
      <c r="T101" s="100">
        <v>202</v>
      </c>
      <c r="U101" s="473"/>
      <c r="X101" s="22" t="b">
        <f>AND(AA101=AA104,AB104=AB101)</f>
        <v>1</v>
      </c>
      <c r="Y101" s="179" t="s">
        <v>2293</v>
      </c>
      <c r="Z101" s="179">
        <f>VLOOKUP(J102,AH148:AH179,1)</f>
        <v>166</v>
      </c>
      <c r="AA101" s="179">
        <f>VLOOKUP(Z101,AG148:AH179,2,0)</f>
        <v>209</v>
      </c>
      <c r="AB101" s="179">
        <f>VLOOKUP(AA101,AH148:AK179,4,0)</f>
        <v>18</v>
      </c>
      <c r="AC101" s="179">
        <f>VLOOKUP(AA101,AH148:AL179,5,0)/100</f>
        <v>1.23</v>
      </c>
      <c r="AD101" s="179" t="s">
        <v>410</v>
      </c>
      <c r="AE101" s="145">
        <v>1960</v>
      </c>
      <c r="AF101" s="22">
        <f>+AA101</f>
        <v>209</v>
      </c>
      <c r="AG101" s="217">
        <v>395</v>
      </c>
      <c r="AH101" s="249">
        <v>458</v>
      </c>
      <c r="AI101" s="228" t="s">
        <v>410</v>
      </c>
      <c r="AJ101" s="228">
        <v>1770</v>
      </c>
      <c r="AK101" s="228">
        <v>28</v>
      </c>
      <c r="AL101" s="830">
        <v>298</v>
      </c>
      <c r="AM101" s="416"/>
      <c r="AN101" s="322">
        <v>76</v>
      </c>
      <c r="AO101" s="465">
        <v>78</v>
      </c>
      <c r="AP101" s="17"/>
      <c r="AQ101" s="17"/>
      <c r="AR101" s="17"/>
      <c r="AS101" s="17"/>
      <c r="AT101" s="41">
        <v>137</v>
      </c>
      <c r="AU101" s="42">
        <v>161</v>
      </c>
      <c r="AV101" s="17"/>
      <c r="AW101" s="17"/>
      <c r="AX101" s="249">
        <v>646</v>
      </c>
      <c r="AY101" s="253">
        <v>817</v>
      </c>
      <c r="AZ101" s="17"/>
      <c r="BA101" s="249">
        <v>548</v>
      </c>
      <c r="BB101" s="253">
        <v>715</v>
      </c>
      <c r="BC101" s="20"/>
      <c r="BD101" s="20"/>
      <c r="BE101" s="17"/>
      <c r="BF101" s="17"/>
      <c r="BG101" s="17"/>
      <c r="BH101" s="17"/>
      <c r="BI101" s="2531">
        <v>598</v>
      </c>
      <c r="BJ101" s="2532">
        <v>827.31000000000006</v>
      </c>
      <c r="BK101" s="2531">
        <v>662</v>
      </c>
      <c r="BL101" s="2532">
        <v>887</v>
      </c>
      <c r="BM101" s="2531">
        <v>646</v>
      </c>
      <c r="BN101" s="2532">
        <v>915.6</v>
      </c>
      <c r="BO101" s="2531">
        <v>715</v>
      </c>
      <c r="BP101" s="2532">
        <v>982</v>
      </c>
      <c r="BQ101" s="917"/>
      <c r="BR101" s="917"/>
      <c r="BS101" s="917"/>
      <c r="BT101" s="2534">
        <v>598</v>
      </c>
      <c r="BU101" s="2532">
        <v>976.80000000000007</v>
      </c>
      <c r="BV101" s="2534">
        <v>662</v>
      </c>
      <c r="BW101" s="2532">
        <v>1059.3000000000002</v>
      </c>
      <c r="BX101" s="2534">
        <v>646</v>
      </c>
      <c r="BY101" s="2532">
        <v>1081.3000000000002</v>
      </c>
      <c r="BZ101" s="2534">
        <v>715</v>
      </c>
      <c r="CA101" s="2532">
        <v>1172.6000000000001</v>
      </c>
    </row>
    <row r="102" spans="1:79" ht="17.100000000000001" customHeight="1">
      <c r="A102" s="36"/>
      <c r="B102" s="20"/>
      <c r="C102" s="20"/>
      <c r="D102" s="20"/>
      <c r="E102" s="20"/>
      <c r="F102" s="20"/>
      <c r="G102" s="20"/>
      <c r="H102" s="20"/>
      <c r="I102" s="55" t="s">
        <v>160</v>
      </c>
      <c r="J102" s="832">
        <f>J101*9.81</f>
        <v>199.26639140625002</v>
      </c>
      <c r="K102" s="304" t="s">
        <v>398</v>
      </c>
      <c r="L102" s="19"/>
      <c r="M102" s="413" t="str">
        <f>IFERROR(IF(F109=R102,"→"," "),"")</f>
        <v xml:space="preserve"> </v>
      </c>
      <c r="N102" s="469">
        <v>336</v>
      </c>
      <c r="O102" s="483">
        <v>363</v>
      </c>
      <c r="P102" s="483">
        <v>372</v>
      </c>
      <c r="Q102" s="469">
        <v>402</v>
      </c>
      <c r="R102" s="472">
        <v>24</v>
      </c>
      <c r="S102" s="100">
        <v>219</v>
      </c>
      <c r="T102" s="100">
        <v>241</v>
      </c>
      <c r="U102" s="473"/>
      <c r="X102" s="22" t="b">
        <f>AND(AA102=AA104,AB104=AB102)</f>
        <v>0</v>
      </c>
      <c r="Y102" s="179" t="s">
        <v>2294</v>
      </c>
      <c r="Z102" s="179">
        <f>VLOOKUP(J102,AH117:AH147,1)</f>
        <v>161</v>
      </c>
      <c r="AA102" s="179">
        <f>VLOOKUP(Z102,AG117:AH147,2,0)</f>
        <v>204</v>
      </c>
      <c r="AB102" s="179">
        <f>VLOOKUP(AA102,AH117:AK147,4,0)</f>
        <v>18</v>
      </c>
      <c r="AC102" s="179">
        <f>VLOOKUP(AA102,AH117:AL147,5,0)/100</f>
        <v>1.35</v>
      </c>
      <c r="AD102" s="179" t="s">
        <v>404</v>
      </c>
      <c r="AE102" s="145">
        <v>1770</v>
      </c>
      <c r="AF102" s="22">
        <f>+AA102</f>
        <v>204</v>
      </c>
      <c r="AG102" s="217">
        <v>458</v>
      </c>
      <c r="AH102" s="249">
        <v>598</v>
      </c>
      <c r="AI102" s="228" t="s">
        <v>410</v>
      </c>
      <c r="AJ102" s="228">
        <v>1770</v>
      </c>
      <c r="AK102" s="228">
        <v>32</v>
      </c>
      <c r="AL102" s="830">
        <v>389</v>
      </c>
      <c r="AM102" s="416"/>
      <c r="AN102" s="322">
        <v>78</v>
      </c>
      <c r="AO102" s="465">
        <v>84</v>
      </c>
      <c r="AP102" s="17"/>
      <c r="AQ102" s="17"/>
      <c r="AR102" s="17"/>
      <c r="AS102" s="17"/>
      <c r="AT102" s="41">
        <v>161</v>
      </c>
      <c r="AU102" s="42">
        <v>179</v>
      </c>
      <c r="AV102" s="17"/>
      <c r="AW102" s="17"/>
      <c r="AX102" s="249">
        <v>817</v>
      </c>
      <c r="AY102" s="253">
        <v>911</v>
      </c>
      <c r="AZ102" s="17"/>
      <c r="BA102" s="249">
        <v>715</v>
      </c>
      <c r="BB102" s="253">
        <v>905</v>
      </c>
      <c r="BC102" s="20"/>
      <c r="BD102" s="20"/>
      <c r="BE102" s="17"/>
      <c r="BF102" s="17"/>
      <c r="BG102" s="17"/>
      <c r="BH102" s="17"/>
      <c r="BI102" s="2531">
        <v>757</v>
      </c>
      <c r="BJ102" s="2532">
        <v>1059.1499999999999</v>
      </c>
      <c r="BK102" s="2531">
        <v>838</v>
      </c>
      <c r="BL102" s="2532">
        <v>1130</v>
      </c>
      <c r="BM102" s="2531">
        <v>817</v>
      </c>
      <c r="BN102" s="2532">
        <v>1175.3</v>
      </c>
      <c r="BO102" s="2531">
        <v>905</v>
      </c>
      <c r="BP102" s="2532">
        <v>1254</v>
      </c>
      <c r="BQ102" s="917"/>
      <c r="BR102" s="917"/>
      <c r="BS102" s="917"/>
      <c r="BT102" s="2534">
        <v>757</v>
      </c>
      <c r="BU102" s="2532">
        <v>1243.1499999999999</v>
      </c>
      <c r="BV102" s="2534">
        <v>838</v>
      </c>
      <c r="BW102" s="2532">
        <v>1351.25</v>
      </c>
      <c r="BX102" s="2534">
        <v>817</v>
      </c>
      <c r="BY102" s="2532">
        <v>1378.85</v>
      </c>
      <c r="BZ102" s="2534">
        <v>905</v>
      </c>
      <c r="CA102" s="2532">
        <v>1499.6</v>
      </c>
    </row>
    <row r="103" spans="1:79" ht="17.100000000000001" customHeight="1">
      <c r="A103" s="36"/>
      <c r="B103" s="20" t="s">
        <v>763</v>
      </c>
      <c r="C103" s="20"/>
      <c r="D103" s="20"/>
      <c r="E103" s="20"/>
      <c r="F103" s="20"/>
      <c r="G103" s="20"/>
      <c r="H103" s="20"/>
      <c r="I103" s="20"/>
      <c r="J103" s="20"/>
      <c r="K103" s="304"/>
      <c r="M103" s="413" t="str">
        <f>IFERROR(IF(F109=R103,"→"," "),"")</f>
        <v xml:space="preserve"> </v>
      </c>
      <c r="N103" s="469">
        <v>395</v>
      </c>
      <c r="O103" s="483">
        <v>426</v>
      </c>
      <c r="P103" s="483">
        <v>437</v>
      </c>
      <c r="Q103" s="469">
        <v>472</v>
      </c>
      <c r="R103" s="472">
        <v>26</v>
      </c>
      <c r="S103" s="100">
        <v>257</v>
      </c>
      <c r="T103" s="100">
        <v>283</v>
      </c>
      <c r="U103" s="473"/>
      <c r="X103" s="22" t="b">
        <f>AND(AA103=AA104,AB104=AB103)</f>
        <v>0</v>
      </c>
      <c r="Y103" s="179" t="s">
        <v>2292</v>
      </c>
      <c r="Z103" s="179">
        <f>VLOOKUP(J102,AH180:AH211,1)</f>
        <v>179</v>
      </c>
      <c r="AA103" s="179">
        <f>VLOOKUP(Z103,AG180:AH211,2,0)</f>
        <v>226</v>
      </c>
      <c r="AB103" s="179">
        <f>VLOOKUP(AA103,AH180:AK211,4,0)</f>
        <v>18</v>
      </c>
      <c r="AC103" s="179">
        <f>VLOOKUP(AA103,AH180:AL211,5,0)/100</f>
        <v>1.35</v>
      </c>
      <c r="AD103" s="179" t="s">
        <v>404</v>
      </c>
      <c r="AE103" s="145">
        <v>1960</v>
      </c>
      <c r="AF103" s="22">
        <f>+AA103</f>
        <v>226</v>
      </c>
      <c r="AG103" s="217">
        <v>598</v>
      </c>
      <c r="AH103" s="249">
        <v>757</v>
      </c>
      <c r="AI103" s="228" t="s">
        <v>410</v>
      </c>
      <c r="AJ103" s="228">
        <v>1770</v>
      </c>
      <c r="AK103" s="228">
        <v>36</v>
      </c>
      <c r="AL103" s="830">
        <v>493</v>
      </c>
      <c r="AM103" s="416"/>
      <c r="AN103" s="322">
        <v>84</v>
      </c>
      <c r="AO103" s="465">
        <v>85</v>
      </c>
      <c r="AP103" s="17"/>
      <c r="AQ103" s="17"/>
      <c r="AR103" s="17"/>
      <c r="AS103" s="17"/>
      <c r="AT103" s="41">
        <v>179</v>
      </c>
      <c r="AU103" s="42">
        <v>204</v>
      </c>
      <c r="AV103" s="17"/>
      <c r="AW103" s="17"/>
      <c r="AX103" s="249">
        <v>911</v>
      </c>
      <c r="AY103" s="253">
        <v>1009</v>
      </c>
      <c r="AZ103" s="17"/>
      <c r="BA103" s="249">
        <v>905</v>
      </c>
      <c r="BB103" s="253">
        <v>1008</v>
      </c>
      <c r="BC103" s="20"/>
      <c r="BD103" s="20"/>
      <c r="BE103" s="17"/>
      <c r="BF103" s="17"/>
      <c r="BG103" s="17"/>
      <c r="BH103" s="17"/>
      <c r="BI103" s="2531">
        <v>843</v>
      </c>
      <c r="BJ103" s="2532">
        <v>1316.9</v>
      </c>
      <c r="BK103" s="2531">
        <v>934</v>
      </c>
      <c r="BL103" s="2532">
        <v>1312</v>
      </c>
      <c r="BM103" s="2531">
        <v>911</v>
      </c>
      <c r="BN103" s="2532">
        <v>1462.5</v>
      </c>
      <c r="BO103" s="2531">
        <v>1008</v>
      </c>
      <c r="BP103" s="2532">
        <v>1457</v>
      </c>
      <c r="BQ103" s="917"/>
      <c r="BR103" s="917"/>
      <c r="BS103" s="917"/>
      <c r="BT103" s="2534">
        <v>843</v>
      </c>
      <c r="BU103" s="2532">
        <v>1437.8</v>
      </c>
      <c r="BV103" s="2534">
        <v>934</v>
      </c>
      <c r="BW103" s="2532">
        <v>1437.8</v>
      </c>
      <c r="BX103" s="2534">
        <v>911</v>
      </c>
      <c r="BY103" s="2532">
        <v>1596.4</v>
      </c>
      <c r="BZ103" s="2534">
        <v>1008</v>
      </c>
      <c r="CA103" s="2532">
        <v>1596.4</v>
      </c>
    </row>
    <row r="104" spans="1:79" ht="17.100000000000001" customHeight="1">
      <c r="A104" s="36"/>
      <c r="B104" s="20"/>
      <c r="C104" s="20"/>
      <c r="D104" s="20"/>
      <c r="E104" s="20"/>
      <c r="F104" s="20"/>
      <c r="G104" s="20"/>
      <c r="H104" s="20"/>
      <c r="I104" s="20"/>
      <c r="J104" s="20"/>
      <c r="K104" s="304"/>
      <c r="M104" s="413" t="str">
        <f>IFERROR(IF(F109=R104,"→"," "),"")</f>
        <v xml:space="preserve"> </v>
      </c>
      <c r="N104" s="469">
        <v>458</v>
      </c>
      <c r="O104" s="483">
        <v>494</v>
      </c>
      <c r="P104" s="483">
        <v>507</v>
      </c>
      <c r="Q104" s="469">
        <v>548</v>
      </c>
      <c r="R104" s="472">
        <v>28</v>
      </c>
      <c r="S104" s="100">
        <v>298</v>
      </c>
      <c r="T104" s="100">
        <v>328</v>
      </c>
      <c r="U104" s="473"/>
      <c r="Y104" s="19"/>
      <c r="Z104" s="53"/>
      <c r="AA104" s="484">
        <f>VLOOKUP(AB104,AB100:AF103,5,0)</f>
        <v>209</v>
      </c>
      <c r="AB104" s="484">
        <f>SMALL(AB100:AB103,1)</f>
        <v>18</v>
      </c>
      <c r="AC104" s="53"/>
      <c r="AD104" s="53"/>
      <c r="AE104" s="53"/>
      <c r="AF104" s="17"/>
      <c r="AG104" s="67">
        <v>757</v>
      </c>
      <c r="AH104" s="249">
        <v>843</v>
      </c>
      <c r="AI104" s="228" t="s">
        <v>410</v>
      </c>
      <c r="AJ104" s="228">
        <v>1770</v>
      </c>
      <c r="AK104" s="228">
        <v>38</v>
      </c>
      <c r="AL104" s="830">
        <v>549</v>
      </c>
      <c r="AM104" s="416"/>
      <c r="AN104" s="322">
        <v>85</v>
      </c>
      <c r="AO104" s="465">
        <v>91</v>
      </c>
      <c r="AP104" s="17"/>
      <c r="AQ104" s="17"/>
      <c r="AR104" s="17"/>
      <c r="AS104" s="17"/>
      <c r="AT104" s="41">
        <v>204</v>
      </c>
      <c r="AU104" s="42">
        <v>226</v>
      </c>
      <c r="AV104" s="17"/>
      <c r="AW104" s="17"/>
      <c r="AX104" s="249">
        <v>1009</v>
      </c>
      <c r="AY104" s="253">
        <v>1221</v>
      </c>
      <c r="AZ104" s="17"/>
      <c r="BA104" s="249">
        <v>1008</v>
      </c>
      <c r="BB104" s="253">
        <v>1117</v>
      </c>
      <c r="BC104" s="20"/>
      <c r="BD104" s="20"/>
      <c r="BE104" s="17"/>
      <c r="BF104" s="17"/>
      <c r="BG104" s="17"/>
      <c r="BH104" s="17"/>
      <c r="BI104" s="2531">
        <v>934</v>
      </c>
      <c r="BJ104" s="2532">
        <v>1463.8</v>
      </c>
      <c r="BK104" s="2531">
        <v>1035</v>
      </c>
      <c r="BL104" s="2532">
        <v>1460</v>
      </c>
      <c r="BM104" s="2531">
        <v>1009</v>
      </c>
      <c r="BN104" s="2532">
        <v>1625</v>
      </c>
      <c r="BO104" s="2531">
        <v>1117</v>
      </c>
      <c r="BP104" s="2532">
        <v>1620</v>
      </c>
      <c r="BQ104" s="917"/>
      <c r="BR104" s="917"/>
      <c r="BS104" s="917"/>
      <c r="BT104" s="2534">
        <v>934</v>
      </c>
      <c r="BU104" s="2532">
        <v>1599</v>
      </c>
      <c r="BV104" s="2534">
        <v>1035</v>
      </c>
      <c r="BW104" s="2532">
        <v>1599</v>
      </c>
      <c r="BX104" s="2534">
        <v>1009</v>
      </c>
      <c r="BY104" s="2532">
        <v>1774.5</v>
      </c>
      <c r="BZ104" s="2534">
        <v>1117</v>
      </c>
      <c r="CA104" s="2532">
        <v>1774.5</v>
      </c>
    </row>
    <row r="105" spans="1:79" ht="17.100000000000001" customHeight="1">
      <c r="A105" s="36"/>
      <c r="B105" s="471" t="s">
        <v>426</v>
      </c>
      <c r="C105" s="20"/>
      <c r="D105" s="20"/>
      <c r="E105" s="20"/>
      <c r="F105" s="20"/>
      <c r="G105" s="20"/>
      <c r="H105" s="20"/>
      <c r="I105" s="20"/>
      <c r="J105" s="20"/>
      <c r="K105" s="304"/>
      <c r="M105" s="413" t="str">
        <f>IFERROR(IF(F109=R105,"→"," "),"")</f>
        <v xml:space="preserve"> </v>
      </c>
      <c r="N105" s="469">
        <v>598</v>
      </c>
      <c r="O105" s="483">
        <v>646</v>
      </c>
      <c r="P105" s="483">
        <v>662</v>
      </c>
      <c r="Q105" s="469">
        <v>715</v>
      </c>
      <c r="R105" s="472">
        <v>32</v>
      </c>
      <c r="S105" s="100">
        <v>389</v>
      </c>
      <c r="T105" s="100">
        <v>428</v>
      </c>
      <c r="U105" s="473"/>
      <c r="X105" s="833" t="str">
        <f>IF(F109=EVEN(F109),"Right","Worng")</f>
        <v>Right</v>
      </c>
      <c r="Z105" s="216" t="s">
        <v>428</v>
      </c>
      <c r="AA105" s="79">
        <f>VLOOKUP(X99,X100:AA103,4,0)</f>
        <v>209</v>
      </c>
      <c r="AB105" s="79">
        <f>SMALL(AB100:AB103,1)</f>
        <v>18</v>
      </c>
      <c r="AC105" s="79">
        <f>VLOOKUP(AA105,AA100:AC103,3,0)</f>
        <v>1.23</v>
      </c>
      <c r="AD105" s="79" t="str">
        <f>VLOOKUP(AA105,AA100:AD103,4,0)</f>
        <v>Fiber core</v>
      </c>
      <c r="AE105" s="79">
        <f>VLOOKUP(AA105,AA100:AE103,5,0)</f>
        <v>1960</v>
      </c>
      <c r="AF105" s="17"/>
      <c r="AG105" s="217">
        <v>843</v>
      </c>
      <c r="AH105" s="249">
        <v>1130</v>
      </c>
      <c r="AI105" s="228" t="s">
        <v>410</v>
      </c>
      <c r="AJ105" s="228">
        <v>1770</v>
      </c>
      <c r="AK105" s="228">
        <v>44</v>
      </c>
      <c r="AL105" s="830">
        <v>736</v>
      </c>
      <c r="AM105" s="416"/>
      <c r="AN105" s="322">
        <v>91</v>
      </c>
      <c r="AO105" s="465">
        <v>93</v>
      </c>
      <c r="AP105" s="17"/>
      <c r="AQ105" s="17"/>
      <c r="AR105" s="17"/>
      <c r="AS105" s="17"/>
      <c r="AT105" s="41">
        <v>226</v>
      </c>
      <c r="AU105" s="42">
        <v>228</v>
      </c>
      <c r="AV105" s="17"/>
      <c r="AW105" s="17"/>
      <c r="AX105" s="249">
        <v>1221</v>
      </c>
      <c r="AY105" s="253">
        <v>1453</v>
      </c>
      <c r="AZ105" s="17"/>
      <c r="BA105" s="249">
        <v>1117</v>
      </c>
      <c r="BB105" s="253">
        <v>1352</v>
      </c>
      <c r="BC105" s="20"/>
      <c r="BD105" s="20"/>
      <c r="BE105" s="17"/>
      <c r="BF105" s="17"/>
      <c r="BG105" s="17"/>
      <c r="BH105" s="17"/>
      <c r="BI105" s="2531">
        <v>1130</v>
      </c>
      <c r="BJ105" s="2532">
        <v>1771.9</v>
      </c>
      <c r="BK105" s="2531">
        <v>1252</v>
      </c>
      <c r="BL105" s="2532">
        <v>1767</v>
      </c>
      <c r="BM105" s="2531">
        <v>1221</v>
      </c>
      <c r="BN105" s="2532">
        <v>1969.5</v>
      </c>
      <c r="BO105" s="2531">
        <v>1352</v>
      </c>
      <c r="BP105" s="2532">
        <v>1964</v>
      </c>
      <c r="BQ105" s="917"/>
      <c r="BR105" s="917"/>
      <c r="BS105" s="917"/>
      <c r="BT105" s="2534"/>
      <c r="BU105" s="2536"/>
      <c r="BV105" s="2534"/>
      <c r="BW105" s="2536"/>
      <c r="BX105" s="2534"/>
      <c r="BY105" s="2536"/>
      <c r="BZ105" s="2534"/>
      <c r="CA105" s="2536"/>
    </row>
    <row r="106" spans="1:79" ht="17.100000000000001" customHeight="1">
      <c r="A106" s="36"/>
      <c r="B106" s="31" t="s">
        <v>765</v>
      </c>
      <c r="C106" s="20"/>
      <c r="D106" s="20"/>
      <c r="E106" s="17"/>
      <c r="F106" s="3796" t="str">
        <f>MH!F106</f>
        <v>Steel Core</v>
      </c>
      <c r="G106" s="3796"/>
      <c r="H106" s="20"/>
      <c r="I106" s="20"/>
      <c r="J106" s="20"/>
      <c r="K106" s="304"/>
      <c r="M106" s="413" t="str">
        <f>IFERROR(IF(F109=R106,"→"," "),"")</f>
        <v xml:space="preserve"> </v>
      </c>
      <c r="N106" s="469">
        <v>757</v>
      </c>
      <c r="O106" s="483">
        <v>817</v>
      </c>
      <c r="P106" s="483">
        <v>838</v>
      </c>
      <c r="Q106" s="469">
        <v>905</v>
      </c>
      <c r="R106" s="472">
        <v>36</v>
      </c>
      <c r="S106" s="100">
        <v>493</v>
      </c>
      <c r="T106" s="100">
        <v>542</v>
      </c>
      <c r="U106" s="473"/>
      <c r="X106" s="167" t="str">
        <f>IF(J102&lt;F108,"Right","Wrong")</f>
        <v>Right</v>
      </c>
      <c r="Y106" s="19"/>
      <c r="Z106" s="53" t="s">
        <v>404</v>
      </c>
      <c r="AA106" s="53">
        <f>IF(AB105=AB103,AA103,IF(AB105=AB102,AA102))</f>
        <v>226</v>
      </c>
      <c r="AB106" s="79">
        <f>SMALL(AB102:AB103,1)</f>
        <v>18</v>
      </c>
      <c r="AC106" s="79">
        <f>VLOOKUP(AA106,AA102:AC103,3,0)</f>
        <v>1.35</v>
      </c>
      <c r="AD106" s="79" t="str">
        <f>VLOOKUP(AA106,AA102:AD103,4,0)</f>
        <v>Steel Core</v>
      </c>
      <c r="AE106" s="79">
        <f>VLOOKUP(AA106,AA102:AE103,5,0)</f>
        <v>1960</v>
      </c>
      <c r="AF106" s="17"/>
      <c r="AG106" s="217">
        <v>1130</v>
      </c>
      <c r="AH106" s="249">
        <v>1345</v>
      </c>
      <c r="AI106" s="228" t="s">
        <v>410</v>
      </c>
      <c r="AJ106" s="228">
        <v>1770</v>
      </c>
      <c r="AK106" s="228">
        <v>48</v>
      </c>
      <c r="AL106" s="830">
        <v>876</v>
      </c>
      <c r="AM106" s="416"/>
      <c r="AN106" s="322">
        <v>93</v>
      </c>
      <c r="AO106" s="465">
        <v>99</v>
      </c>
      <c r="AP106" s="17"/>
      <c r="AQ106" s="17"/>
      <c r="AR106" s="17"/>
      <c r="AS106" s="17"/>
      <c r="AT106" s="41">
        <v>228</v>
      </c>
      <c r="AU106" s="42">
        <v>252</v>
      </c>
      <c r="AV106" s="17"/>
      <c r="AW106" s="17"/>
      <c r="AX106" s="249">
        <v>1453</v>
      </c>
      <c r="AY106" s="253">
        <v>1705</v>
      </c>
      <c r="AZ106" s="17"/>
      <c r="BA106" s="249">
        <v>1352</v>
      </c>
      <c r="BB106" s="253">
        <v>1609</v>
      </c>
      <c r="BC106" s="20"/>
      <c r="BD106" s="20"/>
      <c r="BE106" s="17"/>
      <c r="BF106" s="17"/>
      <c r="BG106" s="17"/>
      <c r="BH106" s="17"/>
      <c r="BI106" s="2531">
        <v>1345</v>
      </c>
      <c r="BJ106" s="2532">
        <v>2138.5</v>
      </c>
      <c r="BK106" s="2531">
        <v>1490</v>
      </c>
      <c r="BL106" s="2532">
        <v>2131</v>
      </c>
      <c r="BM106" s="2531">
        <v>1453</v>
      </c>
      <c r="BN106" s="2532">
        <v>2362.1</v>
      </c>
      <c r="BO106" s="2531">
        <v>1609</v>
      </c>
      <c r="BP106" s="2532">
        <v>2355</v>
      </c>
      <c r="BQ106" s="917"/>
      <c r="BR106" s="917"/>
      <c r="BS106" s="917"/>
      <c r="BT106" s="2537"/>
      <c r="BU106" s="2538"/>
      <c r="BV106" s="2537"/>
      <c r="BW106" s="2538"/>
      <c r="BX106" s="2537"/>
      <c r="BY106" s="2538"/>
      <c r="BZ106" s="2537"/>
      <c r="CA106" s="2538"/>
    </row>
    <row r="107" spans="1:79" ht="20.100000000000001" customHeight="1">
      <c r="A107" s="36"/>
      <c r="B107" s="20"/>
      <c r="C107" s="20"/>
      <c r="D107" s="20"/>
      <c r="E107" s="20"/>
      <c r="F107" s="20"/>
      <c r="G107" s="17"/>
      <c r="H107" s="20"/>
      <c r="I107" s="20"/>
      <c r="J107" s="20"/>
      <c r="K107" s="304"/>
      <c r="M107" s="413" t="str">
        <f>IFERROR(IF(F109=R107,"→"," "),"")</f>
        <v xml:space="preserve"> </v>
      </c>
      <c r="N107" s="469">
        <v>843</v>
      </c>
      <c r="O107" s="483">
        <v>911</v>
      </c>
      <c r="P107" s="483">
        <v>934</v>
      </c>
      <c r="Q107" s="469">
        <v>1008</v>
      </c>
      <c r="R107" s="472">
        <v>38</v>
      </c>
      <c r="S107" s="100">
        <v>549</v>
      </c>
      <c r="T107" s="100">
        <v>604</v>
      </c>
      <c r="U107" s="473"/>
      <c r="Y107" s="19"/>
      <c r="Z107" s="216" t="s">
        <v>444</v>
      </c>
      <c r="AA107" s="216">
        <f>AA103</f>
        <v>226</v>
      </c>
      <c r="AB107" s="53">
        <f>AB103</f>
        <v>18</v>
      </c>
      <c r="AC107" s="216">
        <f>AC103</f>
        <v>1.35</v>
      </c>
      <c r="AD107" s="216" t="str">
        <f>AD103</f>
        <v>Steel Core</v>
      </c>
      <c r="AE107" s="216">
        <f>AE103</f>
        <v>1960</v>
      </c>
      <c r="AF107" s="17"/>
      <c r="AG107" s="217">
        <v>1345</v>
      </c>
      <c r="AH107" s="249">
        <v>1579</v>
      </c>
      <c r="AI107" s="228" t="s">
        <v>410</v>
      </c>
      <c r="AJ107" s="228">
        <v>1770</v>
      </c>
      <c r="AK107" s="228">
        <v>52</v>
      </c>
      <c r="AL107" s="830">
        <v>1028</v>
      </c>
      <c r="AM107" s="416"/>
      <c r="AN107" s="322">
        <v>99</v>
      </c>
      <c r="AO107" s="465">
        <v>101</v>
      </c>
      <c r="AP107" s="17"/>
      <c r="AQ107" s="17"/>
      <c r="AR107" s="17"/>
      <c r="AS107" s="17"/>
      <c r="AT107" s="41">
        <v>252</v>
      </c>
      <c r="AU107" s="42">
        <v>279</v>
      </c>
      <c r="AV107" s="17"/>
      <c r="AW107" s="17"/>
      <c r="AX107" s="249">
        <v>1705</v>
      </c>
      <c r="AY107" s="253">
        <v>1978</v>
      </c>
      <c r="AZ107" s="17"/>
      <c r="BA107" s="249">
        <v>1609</v>
      </c>
      <c r="BB107" s="253">
        <v>1888</v>
      </c>
      <c r="BC107" s="20"/>
      <c r="BD107" s="20"/>
      <c r="BE107" s="17"/>
      <c r="BF107" s="17"/>
      <c r="BG107" s="17"/>
      <c r="BH107" s="17"/>
      <c r="BI107" s="2531"/>
      <c r="BJ107" s="2539"/>
      <c r="BK107" s="2531"/>
      <c r="BL107" s="2539"/>
      <c r="BM107" s="2531"/>
      <c r="BN107" s="2539"/>
      <c r="BO107" s="2531"/>
      <c r="BP107" s="2539"/>
      <c r="BQ107" s="917"/>
      <c r="BR107" s="917"/>
      <c r="BS107" s="917"/>
      <c r="BT107" s="2537"/>
      <c r="BU107" s="2538"/>
      <c r="BV107" s="2537"/>
      <c r="BW107" s="2538"/>
      <c r="BX107" s="2537"/>
      <c r="BY107" s="2538"/>
      <c r="BZ107" s="2537"/>
      <c r="CA107" s="2538"/>
    </row>
    <row r="108" spans="1:79" ht="20.100000000000001" customHeight="1">
      <c r="A108" s="36"/>
      <c r="B108" s="20" t="s">
        <v>429</v>
      </c>
      <c r="C108" s="20"/>
      <c r="D108" s="20"/>
      <c r="E108" s="20"/>
      <c r="F108" s="90">
        <f>IF(F106="Any Type",V91,IF(F106="Steel Core",W91,IF(F106="Steel Core 1960 N/mm^2",X91,)))</f>
        <v>204</v>
      </c>
      <c r="G108" s="90"/>
      <c r="H108" s="20" t="s">
        <v>766</v>
      </c>
      <c r="I108" s="20"/>
      <c r="J108" s="790">
        <f>J99*J100</f>
        <v>5.25</v>
      </c>
      <c r="K108" s="304"/>
      <c r="L108" s="17"/>
      <c r="M108" s="413" t="str">
        <f>IFERROR(IF(F109=R108,"→"," "),"")</f>
        <v xml:space="preserve"> </v>
      </c>
      <c r="N108" s="469">
        <v>934</v>
      </c>
      <c r="O108" s="483">
        <v>1009</v>
      </c>
      <c r="P108" s="483">
        <v>1035</v>
      </c>
      <c r="Q108" s="469">
        <v>1117</v>
      </c>
      <c r="R108" s="472">
        <v>40</v>
      </c>
      <c r="S108" s="100">
        <v>608</v>
      </c>
      <c r="T108" s="100">
        <v>669</v>
      </c>
      <c r="U108" s="473"/>
      <c r="Y108" s="19"/>
      <c r="Z108" s="216"/>
      <c r="AA108" s="216"/>
      <c r="AB108" s="216"/>
      <c r="AC108" s="216"/>
      <c r="AD108" s="216"/>
      <c r="AE108" s="216"/>
      <c r="AF108" s="17"/>
      <c r="AG108" s="217">
        <v>1579</v>
      </c>
      <c r="AH108" s="249">
        <v>1831</v>
      </c>
      <c r="AI108" s="228" t="s">
        <v>410</v>
      </c>
      <c r="AJ108" s="228">
        <v>1770</v>
      </c>
      <c r="AK108" s="228">
        <v>56</v>
      </c>
      <c r="AL108" s="830">
        <v>1192</v>
      </c>
      <c r="AM108" s="416"/>
      <c r="AN108" s="322">
        <v>101</v>
      </c>
      <c r="AO108" s="465">
        <v>107</v>
      </c>
      <c r="AP108" s="17"/>
      <c r="AQ108" s="17"/>
      <c r="AR108" s="17"/>
      <c r="AS108" s="17"/>
      <c r="AT108" s="41">
        <v>279</v>
      </c>
      <c r="AU108" s="42">
        <v>305</v>
      </c>
      <c r="AV108" s="17"/>
      <c r="AW108" s="17"/>
      <c r="AX108" s="249">
        <v>1978</v>
      </c>
      <c r="AY108" s="253">
        <v>2270</v>
      </c>
      <c r="AZ108" s="17"/>
      <c r="BA108" s="249">
        <v>1888</v>
      </c>
      <c r="BB108" s="253">
        <v>2190</v>
      </c>
      <c r="BC108" s="20"/>
      <c r="BD108" s="20"/>
      <c r="BE108" s="17"/>
      <c r="BF108" s="17"/>
      <c r="BG108" s="17"/>
      <c r="BH108" s="17"/>
      <c r="BI108" s="17"/>
      <c r="BJ108" s="17"/>
      <c r="BK108" s="17"/>
      <c r="BL108" s="17"/>
    </row>
    <row r="109" spans="1:79" ht="20.100000000000001" customHeight="1" thickBot="1">
      <c r="A109" s="36"/>
      <c r="B109" s="88" t="s">
        <v>430</v>
      </c>
      <c r="C109" s="20"/>
      <c r="D109" s="20"/>
      <c r="E109" s="20"/>
      <c r="F109" s="332">
        <f>IF(F106="Any Type",V94,IF(F106="Steel Core",W92,IF(F106="Steel Core 1960 N/mm^2",X92,)))</f>
        <v>18</v>
      </c>
      <c r="G109" s="20"/>
      <c r="H109" s="31" t="s">
        <v>435</v>
      </c>
      <c r="I109" s="20"/>
      <c r="J109" s="834">
        <f>F108/(J95+J96+J97)/9.81*J98</f>
        <v>5.3747146844071763</v>
      </c>
      <c r="K109" s="304"/>
      <c r="L109" s="489" t="str">
        <f>HYPERLINK("\\Manish-pc\e\03 General\Manish\Selection\IS\IS 2266_Wire-Rope.pdf","IS : 2266_Wire-Rope")</f>
        <v>IS : 2266_Wire-Rope</v>
      </c>
      <c r="M109" s="413" t="str">
        <f>IFERROR(IF(F109=R109,"→"," "),"")</f>
        <v xml:space="preserve"> </v>
      </c>
      <c r="N109" s="469">
        <v>1130</v>
      </c>
      <c r="O109" s="483">
        <v>1221</v>
      </c>
      <c r="P109" s="483">
        <v>1252</v>
      </c>
      <c r="Q109" s="469">
        <v>1352</v>
      </c>
      <c r="R109" s="472">
        <v>44</v>
      </c>
      <c r="S109" s="100">
        <v>736</v>
      </c>
      <c r="T109" s="100">
        <v>810</v>
      </c>
      <c r="U109" s="473"/>
      <c r="Y109" s="19"/>
      <c r="Z109" s="216" t="str">
        <f>F106</f>
        <v>Steel Core</v>
      </c>
      <c r="AA109" s="216">
        <f>VLOOKUP(Z109,Z105:AE107,2,0)</f>
        <v>226</v>
      </c>
      <c r="AB109" s="216">
        <f>VLOOKUP(Z109,Z105:AE107,3,0)</f>
        <v>18</v>
      </c>
      <c r="AC109" s="216">
        <f>VLOOKUP(Z109,Z105:AE107,4,0)</f>
        <v>1.35</v>
      </c>
      <c r="AD109" s="216" t="str">
        <f>VLOOKUP(Z109,Z105:AE107,5,0)</f>
        <v>Steel Core</v>
      </c>
      <c r="AE109" s="216">
        <f>VLOOKUP(Z109,Z105:AE107,6,0)</f>
        <v>1960</v>
      </c>
      <c r="AF109" s="17"/>
      <c r="AG109" s="217">
        <v>1831</v>
      </c>
      <c r="AH109" s="249">
        <v>2102</v>
      </c>
      <c r="AI109" s="228" t="s">
        <v>410</v>
      </c>
      <c r="AJ109" s="228">
        <v>1770</v>
      </c>
      <c r="AK109" s="228">
        <v>60</v>
      </c>
      <c r="AL109" s="830">
        <v>1369</v>
      </c>
      <c r="AM109" s="416"/>
      <c r="AN109" s="322">
        <v>107</v>
      </c>
      <c r="AO109" s="465">
        <v>109</v>
      </c>
      <c r="AP109" s="17"/>
      <c r="AQ109" s="17"/>
      <c r="AR109" s="17"/>
      <c r="AS109" s="17"/>
      <c r="AT109" s="41">
        <v>305</v>
      </c>
      <c r="AU109" s="42">
        <v>338</v>
      </c>
      <c r="AV109" s="17"/>
      <c r="AW109" s="17"/>
      <c r="AX109" s="249">
        <v>2270</v>
      </c>
      <c r="AY109" s="253">
        <v>2583</v>
      </c>
      <c r="AZ109" s="17"/>
      <c r="BA109" s="249">
        <v>2190</v>
      </c>
      <c r="BB109" s="253">
        <v>2514</v>
      </c>
      <c r="BC109" s="20"/>
      <c r="BD109" s="20"/>
      <c r="BE109" s="17"/>
      <c r="BF109" s="17"/>
      <c r="BG109" s="17"/>
      <c r="BH109" s="17" t="s">
        <v>398</v>
      </c>
      <c r="BI109" s="255">
        <f>F108</f>
        <v>204</v>
      </c>
      <c r="BJ109" s="17">
        <f>IFERROR(VLOOKUP(BI109,BI86:BJ107,2,0),0)</f>
        <v>0</v>
      </c>
      <c r="BK109" s="17"/>
      <c r="BL109" s="17">
        <f>IFERROR(VLOOKUP(BI109,BK86:BL107,2,0),0)</f>
        <v>0</v>
      </c>
      <c r="BN109" s="17">
        <f>IFERROR(VLOOKUP(BI109,BM86:BN107,2,0),0)</f>
        <v>315.01000000000005</v>
      </c>
      <c r="BP109" s="17">
        <f>IFERROR(VLOOKUP(BI109,BO86:BP107,2,0),0)</f>
        <v>0</v>
      </c>
      <c r="BS109" s="17" t="s">
        <v>398</v>
      </c>
      <c r="BT109" s="255">
        <f>BI109</f>
        <v>204</v>
      </c>
      <c r="BU109" s="17">
        <f>IFERROR(VLOOKUP(BT109,BT86:BU107,2,0),0)</f>
        <v>0</v>
      </c>
      <c r="BV109" s="17"/>
      <c r="BW109" s="17">
        <f>IFERROR(VLOOKUP(BT109,BV86:BW107,2,0),0)</f>
        <v>0</v>
      </c>
      <c r="BY109" s="17">
        <f>IFERROR(VLOOKUP(BT109,BX86:BY107,2,0),0)</f>
        <v>370.70000000000005</v>
      </c>
      <c r="CA109" s="17">
        <f>IFERROR(VLOOKUP(BT109,BZ86:CA107,2,0),0)</f>
        <v>0</v>
      </c>
    </row>
    <row r="110" spans="1:79" ht="20.100000000000001" customHeight="1" thickBot="1">
      <c r="A110" s="36"/>
      <c r="B110" s="88" t="s">
        <v>433</v>
      </c>
      <c r="C110" s="20"/>
      <c r="D110" s="20"/>
      <c r="E110" s="20"/>
      <c r="F110" s="59" t="s">
        <v>434</v>
      </c>
      <c r="G110" s="20"/>
      <c r="H110" s="20"/>
      <c r="I110" s="20"/>
      <c r="J110" s="20"/>
      <c r="K110" s="304"/>
      <c r="L110" s="835"/>
      <c r="M110" s="413" t="str">
        <f>IFERROR(IF(F109=R110,"→"," "),"")</f>
        <v xml:space="preserve"> </v>
      </c>
      <c r="N110" s="469">
        <v>1345</v>
      </c>
      <c r="O110" s="483">
        <v>1453</v>
      </c>
      <c r="P110" s="483">
        <v>1490</v>
      </c>
      <c r="Q110" s="469">
        <v>1609</v>
      </c>
      <c r="R110" s="472">
        <v>48</v>
      </c>
      <c r="S110" s="100">
        <v>876</v>
      </c>
      <c r="T110" s="100">
        <v>964</v>
      </c>
      <c r="U110" s="473"/>
      <c r="Y110" s="17"/>
      <c r="Z110" s="479" t="str">
        <f>IF(AC110="Right",IF(AB110="Right",IF(AD110="Right",IF(AE110="Right",IF(AA110="Right","All Right","Wrong"),"Wrong"),"Wrong"),"Wrong"),"Wrong")</f>
        <v>Wrong</v>
      </c>
      <c r="AA110" s="216" t="str">
        <f>IF(AA109=AA111,"Right","Worng")</f>
        <v>Worng</v>
      </c>
      <c r="AB110" s="216" t="str">
        <f t="shared" ref="AB110:AD110" si="7">IF(AB109=AB111,"Right","Worng")</f>
        <v>Right</v>
      </c>
      <c r="AC110" s="216" t="str">
        <f t="shared" si="7"/>
        <v>Right</v>
      </c>
      <c r="AD110" s="216" t="str">
        <f t="shared" si="7"/>
        <v>Right</v>
      </c>
      <c r="AE110" s="216" t="str">
        <f>IF(AE109=AE111,"Right","Worng")</f>
        <v>Worng</v>
      </c>
      <c r="AF110" s="17"/>
      <c r="AG110" s="217">
        <v>2102</v>
      </c>
      <c r="AH110" s="249">
        <v>2392</v>
      </c>
      <c r="AI110" s="228" t="s">
        <v>410</v>
      </c>
      <c r="AJ110" s="228">
        <v>1770</v>
      </c>
      <c r="AK110" s="228">
        <v>64</v>
      </c>
      <c r="AL110" s="830">
        <v>1557</v>
      </c>
      <c r="AM110" s="416"/>
      <c r="AN110" s="322">
        <v>109</v>
      </c>
      <c r="AO110" s="465">
        <v>114</v>
      </c>
      <c r="AP110" s="17"/>
      <c r="AQ110" s="17"/>
      <c r="AR110" s="17"/>
      <c r="AS110" s="17"/>
      <c r="AT110" s="41">
        <v>338</v>
      </c>
      <c r="AU110" s="42">
        <v>363</v>
      </c>
      <c r="AV110" s="17"/>
      <c r="AW110" s="17"/>
      <c r="AX110" s="249">
        <v>2583</v>
      </c>
      <c r="AY110" s="253">
        <v>2916</v>
      </c>
      <c r="AZ110" s="17"/>
      <c r="BA110" s="249">
        <v>2514</v>
      </c>
      <c r="BB110" s="253">
        <v>2860</v>
      </c>
      <c r="BC110" s="20"/>
      <c r="BD110" s="20"/>
      <c r="BE110" s="17"/>
      <c r="BF110" s="17"/>
      <c r="BG110" s="17"/>
      <c r="BH110" s="17" t="s">
        <v>274</v>
      </c>
      <c r="BI110" s="22">
        <f>IF(BJ109&gt;0,BJ109,IF(BL109&gt;0,BL109,IF(BN109&gt;0,BN109,IF(BP109&gt;0,BP109))))</f>
        <v>315.01000000000005</v>
      </c>
      <c r="BJ110" s="17"/>
      <c r="BK110" s="17"/>
      <c r="BL110" s="17"/>
      <c r="BS110" s="17" t="s">
        <v>274</v>
      </c>
      <c r="BT110" s="22">
        <f>IF(BU109&gt;0,BU109,IF(BW109&gt;0,BW109,IF(BY109&gt;0,BY109,IF(CA109&gt;0,CA109))))</f>
        <v>370.70000000000005</v>
      </c>
    </row>
    <row r="111" spans="1:79" ht="20.100000000000001" customHeight="1" thickBot="1">
      <c r="A111" s="36"/>
      <c r="B111" s="88" t="s">
        <v>436</v>
      </c>
      <c r="C111" s="20"/>
      <c r="D111" s="20"/>
      <c r="E111" s="20"/>
      <c r="F111" s="491" t="str">
        <f>IF(F106="Any Type",V92,"Steel Core")</f>
        <v>Steel Core</v>
      </c>
      <c r="G111" s="20"/>
      <c r="H111" s="20"/>
      <c r="I111" s="20"/>
      <c r="J111" s="20"/>
      <c r="K111" s="304"/>
      <c r="L111" s="19"/>
      <c r="M111" s="413"/>
      <c r="N111" s="469">
        <v>1579</v>
      </c>
      <c r="O111" s="483">
        <v>1705</v>
      </c>
      <c r="P111" s="483">
        <v>1748</v>
      </c>
      <c r="Q111" s="469">
        <v>1888</v>
      </c>
      <c r="R111" s="472">
        <v>52</v>
      </c>
      <c r="S111" s="100">
        <v>1028</v>
      </c>
      <c r="T111" s="100">
        <v>1131</v>
      </c>
      <c r="U111" s="473"/>
      <c r="Y111" s="493"/>
      <c r="Z111" s="216"/>
      <c r="AA111" s="494">
        <f>F108</f>
        <v>204</v>
      </c>
      <c r="AB111" s="495">
        <f>F109:F109</f>
        <v>18</v>
      </c>
      <c r="AC111" s="495">
        <f>F114</f>
        <v>1.35</v>
      </c>
      <c r="AD111" s="496" t="str">
        <f>F111</f>
        <v>Steel Core</v>
      </c>
      <c r="AE111" s="496">
        <f>F112</f>
        <v>1770</v>
      </c>
      <c r="AF111" s="17"/>
      <c r="AG111" s="217">
        <v>2392</v>
      </c>
      <c r="AH111" s="249">
        <v>2700</v>
      </c>
      <c r="AI111" s="228" t="s">
        <v>410</v>
      </c>
      <c r="AJ111" s="228">
        <v>1770</v>
      </c>
      <c r="AK111" s="228">
        <v>68</v>
      </c>
      <c r="AL111" s="830">
        <v>1758</v>
      </c>
      <c r="AM111" s="416"/>
      <c r="AN111" s="322">
        <v>114</v>
      </c>
      <c r="AO111" s="465">
        <v>118</v>
      </c>
      <c r="AP111" s="17"/>
      <c r="AQ111" s="17"/>
      <c r="AR111" s="17"/>
      <c r="AS111" s="17"/>
      <c r="AT111" s="41">
        <v>363</v>
      </c>
      <c r="AU111" s="42">
        <v>402</v>
      </c>
      <c r="AV111" s="17"/>
      <c r="AW111" s="17"/>
      <c r="AX111" s="249">
        <v>2916</v>
      </c>
      <c r="AY111" s="253">
        <v>3090</v>
      </c>
      <c r="AZ111" s="17"/>
      <c r="BA111" s="249">
        <v>2860</v>
      </c>
      <c r="BB111" s="253">
        <v>3229</v>
      </c>
      <c r="BC111" s="20"/>
      <c r="BD111" s="20"/>
      <c r="BE111" s="17"/>
      <c r="BF111" s="17"/>
      <c r="BG111" s="17"/>
      <c r="BH111" s="17"/>
      <c r="BI111" s="17"/>
      <c r="BJ111" s="17"/>
      <c r="BK111" s="17"/>
      <c r="BL111" s="17"/>
    </row>
    <row r="112" spans="1:79" ht="20.100000000000001" customHeight="1" thickBot="1">
      <c r="A112" s="36"/>
      <c r="B112" s="88" t="s">
        <v>437</v>
      </c>
      <c r="C112" s="20"/>
      <c r="D112" s="20"/>
      <c r="E112" s="20"/>
      <c r="F112" s="102">
        <f>IF(F106="Any Type",V93,IF(F106="Steel Core",W94,1960))</f>
        <v>1770</v>
      </c>
      <c r="G112" s="31" t="s">
        <v>438</v>
      </c>
      <c r="H112" s="20"/>
      <c r="I112" s="20"/>
      <c r="J112" s="17"/>
      <c r="K112" s="304"/>
      <c r="M112" s="413" t="str">
        <f>IFERROR(IF(F109=R112,"→"," "),"")</f>
        <v xml:space="preserve"> </v>
      </c>
      <c r="N112" s="469">
        <v>1831</v>
      </c>
      <c r="O112" s="483">
        <v>1978</v>
      </c>
      <c r="P112" s="483">
        <v>2028</v>
      </c>
      <c r="Q112" s="469">
        <v>2190</v>
      </c>
      <c r="R112" s="472">
        <v>56</v>
      </c>
      <c r="S112" s="100">
        <v>1192</v>
      </c>
      <c r="T112" s="100">
        <v>1311</v>
      </c>
      <c r="U112" s="473"/>
      <c r="V112" s="492" t="s">
        <v>96</v>
      </c>
      <c r="W112" s="492" t="s">
        <v>96</v>
      </c>
      <c r="Y112" s="493"/>
      <c r="AF112" s="17"/>
      <c r="AG112" s="217">
        <v>2700</v>
      </c>
      <c r="AH112" s="249">
        <v>2861</v>
      </c>
      <c r="AI112" s="228" t="s">
        <v>410</v>
      </c>
      <c r="AJ112" s="228">
        <v>1770</v>
      </c>
      <c r="AK112" s="228">
        <v>70</v>
      </c>
      <c r="AL112" s="830">
        <v>1863</v>
      </c>
      <c r="AM112" s="416"/>
      <c r="AN112" s="322">
        <v>118</v>
      </c>
      <c r="AO112" s="465">
        <v>124</v>
      </c>
      <c r="AP112" s="17"/>
      <c r="AQ112" s="17"/>
      <c r="AR112" s="17"/>
      <c r="AS112" s="17"/>
      <c r="AT112" s="41">
        <v>402</v>
      </c>
      <c r="AU112" s="42">
        <v>426</v>
      </c>
      <c r="AV112" s="17"/>
      <c r="AW112" s="17"/>
      <c r="AX112" s="249">
        <v>3090</v>
      </c>
      <c r="AY112" s="253">
        <v>3269</v>
      </c>
      <c r="AZ112" s="17"/>
      <c r="BA112" s="249">
        <v>3229</v>
      </c>
      <c r="BB112" s="253">
        <v>3422</v>
      </c>
      <c r="BC112" s="20"/>
      <c r="BD112" s="20"/>
      <c r="BE112" s="17"/>
      <c r="BF112" s="17"/>
      <c r="BG112" s="17"/>
      <c r="BH112" s="17"/>
      <c r="BI112" s="17"/>
      <c r="BJ112" s="17"/>
      <c r="BK112" s="17"/>
      <c r="BL112" s="17"/>
    </row>
    <row r="113" spans="1:64" ht="20.100000000000001" customHeight="1">
      <c r="A113" s="36"/>
      <c r="B113" s="20" t="s">
        <v>347</v>
      </c>
      <c r="C113" s="20"/>
      <c r="D113" s="20"/>
      <c r="E113" s="20"/>
      <c r="F113" s="102" t="s">
        <v>439</v>
      </c>
      <c r="G113" s="20"/>
      <c r="H113" s="20"/>
      <c r="I113" s="20"/>
      <c r="J113" s="20"/>
      <c r="K113" s="304"/>
      <c r="L113" s="20"/>
      <c r="M113" s="413" t="str">
        <f>IFERROR(IF(F109=R113,"→"," "),"")</f>
        <v xml:space="preserve"> </v>
      </c>
      <c r="N113" s="469">
        <v>2102</v>
      </c>
      <c r="O113" s="483">
        <v>2270</v>
      </c>
      <c r="P113" s="483">
        <v>2328</v>
      </c>
      <c r="Q113" s="469">
        <v>2514</v>
      </c>
      <c r="R113" s="472">
        <v>60</v>
      </c>
      <c r="S113" s="100">
        <v>1369</v>
      </c>
      <c r="T113" s="100">
        <v>1506</v>
      </c>
      <c r="U113" s="473"/>
      <c r="V113" s="497" t="s">
        <v>434</v>
      </c>
      <c r="W113" s="497" t="s">
        <v>428</v>
      </c>
      <c r="X113" s="20"/>
      <c r="Y113" s="493"/>
      <c r="Z113" s="20"/>
      <c r="AA113" s="17"/>
      <c r="AB113" s="17"/>
      <c r="AC113" s="17"/>
      <c r="AD113" s="17"/>
      <c r="AE113" s="17"/>
      <c r="AF113" s="17"/>
      <c r="AG113" s="217">
        <v>2861</v>
      </c>
      <c r="AH113" s="249">
        <v>3027</v>
      </c>
      <c r="AI113" s="228" t="s">
        <v>410</v>
      </c>
      <c r="AJ113" s="228">
        <v>1770</v>
      </c>
      <c r="AK113" s="228">
        <v>72</v>
      </c>
      <c r="AL113" s="830">
        <v>1971</v>
      </c>
      <c r="AM113" s="416"/>
      <c r="AN113" s="322">
        <v>124</v>
      </c>
      <c r="AO113" s="465">
        <v>127</v>
      </c>
      <c r="AP113" s="17"/>
      <c r="AQ113" s="17"/>
      <c r="AR113" s="17"/>
      <c r="AS113" s="17"/>
      <c r="AT113" s="41">
        <v>426</v>
      </c>
      <c r="AU113" s="42">
        <v>472</v>
      </c>
      <c r="AV113" s="17"/>
      <c r="AW113" s="17"/>
      <c r="AX113" s="249">
        <v>3269</v>
      </c>
      <c r="AY113" s="253">
        <v>3643</v>
      </c>
      <c r="AZ113" s="17"/>
      <c r="BA113" s="249">
        <v>3422</v>
      </c>
      <c r="BB113" s="253">
        <v>3620</v>
      </c>
      <c r="BC113" s="20"/>
      <c r="BD113" s="20"/>
      <c r="BE113" s="17"/>
      <c r="BF113" s="17"/>
      <c r="BG113" s="17"/>
      <c r="BH113" s="17"/>
      <c r="BI113" s="17"/>
      <c r="BJ113" s="17"/>
      <c r="BK113" s="17"/>
      <c r="BL113" s="17"/>
    </row>
    <row r="114" spans="1:64" ht="20.100000000000001" customHeight="1">
      <c r="A114" s="36"/>
      <c r="B114" s="88" t="s">
        <v>441</v>
      </c>
      <c r="C114" s="20"/>
      <c r="D114" s="20"/>
      <c r="E114" s="20"/>
      <c r="F114" s="102">
        <f>IF(F106="Any Type",V95,IF(F106="Steel Core",W93,IF(F106="Steel Core 1960 N/mm^2",X93,)))/100</f>
        <v>1.35</v>
      </c>
      <c r="G114" s="20" t="s">
        <v>442</v>
      </c>
      <c r="H114" s="20"/>
      <c r="I114" s="20"/>
      <c r="J114" s="20"/>
      <c r="K114" s="304"/>
      <c r="L114" s="500" t="str">
        <f>HYPERLINK("\\Manish-pc\e\03 General\Manish\Selection\USHA_MARTIN_ROPE.pdf","Usha Martine Catalog")</f>
        <v>Usha Martine Catalog</v>
      </c>
      <c r="M114" s="413" t="str">
        <f>IFERROR(IF(F109=R114,"→"," "),"")</f>
        <v xml:space="preserve"> </v>
      </c>
      <c r="N114" s="469">
        <v>2392</v>
      </c>
      <c r="O114" s="483">
        <v>2583</v>
      </c>
      <c r="P114" s="483">
        <v>2648</v>
      </c>
      <c r="Q114" s="469">
        <v>2860</v>
      </c>
      <c r="R114" s="472">
        <v>64</v>
      </c>
      <c r="S114" s="100">
        <v>1557</v>
      </c>
      <c r="T114" s="100">
        <v>1713</v>
      </c>
      <c r="U114" s="473"/>
      <c r="V114" s="498" t="s">
        <v>440</v>
      </c>
      <c r="W114" s="498" t="s">
        <v>404</v>
      </c>
      <c r="X114" s="20"/>
      <c r="Y114" s="493"/>
      <c r="Z114" s="20"/>
      <c r="AA114" s="17"/>
      <c r="AB114" s="17"/>
      <c r="AC114" s="17"/>
      <c r="AD114" s="17"/>
      <c r="AE114" s="17"/>
      <c r="AF114" s="17"/>
      <c r="AG114" s="217">
        <v>3027</v>
      </c>
      <c r="AH114" s="249">
        <v>3373</v>
      </c>
      <c r="AI114" s="228" t="s">
        <v>410</v>
      </c>
      <c r="AJ114" s="228">
        <v>1770</v>
      </c>
      <c r="AK114" s="228">
        <v>76</v>
      </c>
      <c r="AL114" s="830">
        <v>2196</v>
      </c>
      <c r="AM114" s="416"/>
      <c r="AN114" s="322">
        <v>127</v>
      </c>
      <c r="AO114" s="465">
        <v>137</v>
      </c>
      <c r="AP114" s="17"/>
      <c r="AQ114" s="17"/>
      <c r="AR114" s="17"/>
      <c r="AS114" s="17"/>
      <c r="AT114" s="41">
        <v>472</v>
      </c>
      <c r="AU114" s="42">
        <v>494</v>
      </c>
      <c r="AV114" s="17"/>
      <c r="AW114" s="17"/>
      <c r="AX114" s="249">
        <v>3643</v>
      </c>
      <c r="AY114" s="253">
        <v>4036</v>
      </c>
      <c r="AZ114" s="17"/>
      <c r="BA114" s="249">
        <v>3620</v>
      </c>
      <c r="BB114" s="253">
        <v>4034</v>
      </c>
      <c r="BC114" s="20"/>
      <c r="BD114" s="20"/>
      <c r="BE114" s="17"/>
      <c r="BF114" s="17"/>
      <c r="BG114" s="17"/>
      <c r="BH114" s="17"/>
      <c r="BI114" s="17"/>
      <c r="BJ114" s="17"/>
      <c r="BK114" s="17"/>
      <c r="BL114" s="17"/>
    </row>
    <row r="115" spans="1:64" ht="20.100000000000001" customHeight="1" thickBot="1">
      <c r="A115" s="36"/>
      <c r="B115" s="20" t="s">
        <v>767</v>
      </c>
      <c r="C115" s="20"/>
      <c r="D115" s="20"/>
      <c r="E115" s="20"/>
      <c r="F115" s="102">
        <f>'E Data'!D20*1.25*'E Data'!D42</f>
        <v>75</v>
      </c>
      <c r="G115" s="20"/>
      <c r="H115" s="20"/>
      <c r="I115" s="67"/>
      <c r="J115" s="20"/>
      <c r="K115" s="304"/>
      <c r="L115" s="157" t="str">
        <f>HYPERLINK("Z:\Marketing Common\Dhrumil\Selection\","Selection Folder")</f>
        <v>Selection Folder</v>
      </c>
      <c r="M115" s="413" t="str">
        <f>IFERROR(IF(F109=R115,"→"," "),"")</f>
        <v xml:space="preserve"> </v>
      </c>
      <c r="N115" s="469">
        <v>2700</v>
      </c>
      <c r="O115" s="483">
        <v>2916</v>
      </c>
      <c r="P115" s="483">
        <v>2990</v>
      </c>
      <c r="Q115" s="469">
        <v>3229</v>
      </c>
      <c r="R115" s="472">
        <v>68</v>
      </c>
      <c r="S115" s="100">
        <v>1758</v>
      </c>
      <c r="T115" s="100">
        <v>1934</v>
      </c>
      <c r="U115" s="473"/>
      <c r="V115" s="498" t="s">
        <v>443</v>
      </c>
      <c r="W115" s="501" t="s">
        <v>444</v>
      </c>
      <c r="X115" s="20"/>
      <c r="Y115" s="493"/>
      <c r="Z115" s="20"/>
      <c r="AA115" s="17"/>
      <c r="AB115" s="17"/>
      <c r="AC115" s="17"/>
      <c r="AD115" s="17"/>
      <c r="AE115" s="17"/>
      <c r="AF115" s="17"/>
      <c r="AG115" s="217">
        <v>3373</v>
      </c>
      <c r="AH115" s="249">
        <v>3737</v>
      </c>
      <c r="AI115" s="228" t="s">
        <v>410</v>
      </c>
      <c r="AJ115" s="228">
        <v>1770</v>
      </c>
      <c r="AK115" s="228">
        <v>80</v>
      </c>
      <c r="AL115" s="830">
        <v>2433</v>
      </c>
      <c r="AM115" s="416"/>
      <c r="AN115" s="322">
        <v>137</v>
      </c>
      <c r="AO115" s="465">
        <v>149</v>
      </c>
      <c r="AP115" s="17"/>
      <c r="AQ115" s="17"/>
      <c r="AR115" s="17"/>
      <c r="AS115" s="17"/>
      <c r="AT115" s="41">
        <v>494</v>
      </c>
      <c r="AU115" s="42">
        <v>548</v>
      </c>
      <c r="AV115" s="17"/>
      <c r="AW115" s="17"/>
      <c r="AX115" s="249">
        <v>4036</v>
      </c>
      <c r="AY115" s="253">
        <v>4450</v>
      </c>
      <c r="AZ115" s="17"/>
      <c r="BA115" s="249">
        <v>4034</v>
      </c>
      <c r="BB115" s="253">
        <v>4469</v>
      </c>
      <c r="BC115" s="20"/>
      <c r="BD115" s="20"/>
      <c r="BE115" s="17"/>
      <c r="BF115" s="17"/>
      <c r="BG115" s="17"/>
      <c r="BH115" s="17"/>
      <c r="BI115" s="17"/>
      <c r="BJ115" s="17"/>
      <c r="BK115" s="17"/>
      <c r="BL115" s="17"/>
    </row>
    <row r="116" spans="1:64" ht="20.100000000000001" customHeight="1" thickBot="1">
      <c r="A116" s="36"/>
      <c r="B116" s="182" t="s">
        <v>768</v>
      </c>
      <c r="C116" s="20"/>
      <c r="D116" s="20"/>
      <c r="E116" s="20"/>
      <c r="F116" s="102">
        <f>F114*F115</f>
        <v>101.25</v>
      </c>
      <c r="G116" s="20" t="s">
        <v>449</v>
      </c>
      <c r="H116" s="20"/>
      <c r="I116" s="20"/>
      <c r="J116" s="20"/>
      <c r="K116" s="304"/>
      <c r="M116" s="413" t="str">
        <f>IFERROR(IF(F109=R116,"→"," "),"")</f>
        <v xml:space="preserve"> </v>
      </c>
      <c r="N116" s="469">
        <v>2861</v>
      </c>
      <c r="O116" s="483">
        <v>3090</v>
      </c>
      <c r="P116" s="483">
        <v>3168</v>
      </c>
      <c r="Q116" s="469">
        <v>3422</v>
      </c>
      <c r="R116" s="472">
        <v>70</v>
      </c>
      <c r="S116" s="100">
        <v>1863</v>
      </c>
      <c r="T116" s="100">
        <v>2049</v>
      </c>
      <c r="U116" s="473"/>
      <c r="V116" s="503" t="s">
        <v>447</v>
      </c>
      <c r="W116" s="19"/>
      <c r="X116" s="20"/>
      <c r="Y116" s="493"/>
      <c r="Z116" s="20"/>
      <c r="AA116" s="17"/>
      <c r="AB116" s="17"/>
      <c r="AC116" s="17"/>
      <c r="AD116" s="17"/>
      <c r="AE116" s="17"/>
      <c r="AF116" s="17"/>
      <c r="AG116" s="217">
        <v>3737</v>
      </c>
      <c r="AH116" s="249">
        <v>4120</v>
      </c>
      <c r="AI116" s="228" t="s">
        <v>410</v>
      </c>
      <c r="AJ116" s="228">
        <v>1770</v>
      </c>
      <c r="AK116" s="228">
        <v>84</v>
      </c>
      <c r="AL116" s="830">
        <v>2683</v>
      </c>
      <c r="AM116" s="416"/>
      <c r="AN116" s="322">
        <v>149</v>
      </c>
      <c r="AO116" s="465">
        <v>161</v>
      </c>
      <c r="AP116" s="17"/>
      <c r="AQ116" s="17"/>
      <c r="AR116" s="17"/>
      <c r="AS116" s="17"/>
      <c r="AT116" s="41">
        <v>548</v>
      </c>
      <c r="AU116" s="42">
        <v>646</v>
      </c>
      <c r="AV116" s="17"/>
      <c r="AW116" s="17"/>
      <c r="AX116" s="256">
        <v>4450</v>
      </c>
      <c r="AY116" s="257">
        <v>4664</v>
      </c>
      <c r="AZ116" s="17"/>
      <c r="BA116" s="249">
        <v>4469</v>
      </c>
      <c r="BB116" s="253">
        <v>4928</v>
      </c>
      <c r="BC116" s="20"/>
      <c r="BD116" s="20"/>
      <c r="BE116" s="17"/>
      <c r="BF116" s="17"/>
      <c r="BG116" s="17"/>
      <c r="BH116" s="17"/>
      <c r="BI116" s="17"/>
      <c r="BJ116" s="17"/>
      <c r="BK116" s="17"/>
      <c r="BL116" s="17"/>
    </row>
    <row r="117" spans="1:64" ht="20.100000000000001" customHeight="1" thickBot="1">
      <c r="A117" s="36"/>
      <c r="B117" s="20"/>
      <c r="C117" s="20"/>
      <c r="D117" s="20"/>
      <c r="E117" s="20"/>
      <c r="F117" s="20"/>
      <c r="G117" s="17"/>
      <c r="H117" s="20"/>
      <c r="I117" s="20"/>
      <c r="J117" s="20"/>
      <c r="K117" s="304"/>
      <c r="M117" s="413" t="str">
        <f>IFERROR(IF(F109=R117,"→"," "),"")</f>
        <v xml:space="preserve"> </v>
      </c>
      <c r="N117" s="469">
        <v>3027</v>
      </c>
      <c r="O117" s="483">
        <v>3269</v>
      </c>
      <c r="P117" s="483">
        <v>3352</v>
      </c>
      <c r="Q117" s="469">
        <v>3620</v>
      </c>
      <c r="R117" s="472">
        <v>72</v>
      </c>
      <c r="S117" s="100">
        <v>1971</v>
      </c>
      <c r="T117" s="100">
        <v>2168</v>
      </c>
      <c r="U117" s="473"/>
      <c r="V117" s="501" t="s">
        <v>450</v>
      </c>
      <c r="W117" s="19"/>
      <c r="X117" s="20"/>
      <c r="Y117" s="493"/>
      <c r="Z117" s="20"/>
      <c r="AA117" s="17"/>
      <c r="AB117" s="17"/>
      <c r="AC117" s="17"/>
      <c r="AD117" s="17"/>
      <c r="AE117" s="17"/>
      <c r="AF117" s="17"/>
      <c r="AG117" s="217">
        <v>4120</v>
      </c>
      <c r="AH117" s="249">
        <v>4319</v>
      </c>
      <c r="AI117" s="228" t="s">
        <v>410</v>
      </c>
      <c r="AJ117" s="228">
        <v>1770</v>
      </c>
      <c r="AK117" s="228">
        <v>86</v>
      </c>
      <c r="AL117" s="836">
        <v>2812</v>
      </c>
      <c r="AM117" s="416"/>
      <c r="AN117" s="322">
        <v>161</v>
      </c>
      <c r="AO117" s="465">
        <v>166</v>
      </c>
      <c r="AP117" s="17"/>
      <c r="AQ117" s="17"/>
      <c r="AR117" s="17"/>
      <c r="AS117" s="17"/>
      <c r="AT117" s="41">
        <v>646</v>
      </c>
      <c r="AU117" s="42">
        <v>715</v>
      </c>
      <c r="AV117" s="17"/>
      <c r="AW117" s="17"/>
      <c r="AX117" s="258">
        <v>4664</v>
      </c>
      <c r="AY117" s="17"/>
      <c r="AZ117" s="17"/>
      <c r="BA117" s="256">
        <v>4928</v>
      </c>
      <c r="BB117" s="257">
        <v>5165</v>
      </c>
      <c r="BC117" s="20"/>
      <c r="BD117" s="20"/>
      <c r="BE117" s="17"/>
      <c r="BF117" s="17"/>
      <c r="BG117" s="17"/>
      <c r="BH117" s="17"/>
      <c r="BI117" s="17"/>
      <c r="BJ117" s="17"/>
      <c r="BK117" s="17"/>
      <c r="BL117" s="17"/>
    </row>
    <row r="118" spans="1:64" ht="17.100000000000001" customHeight="1" thickBot="1">
      <c r="A118" s="36"/>
      <c r="B118" s="182" t="s">
        <v>274</v>
      </c>
      <c r="C118" s="20"/>
      <c r="D118" s="20"/>
      <c r="E118" s="17"/>
      <c r="F118" s="837">
        <f>BI110</f>
        <v>315.01000000000005</v>
      </c>
      <c r="G118" s="20" t="s">
        <v>389</v>
      </c>
      <c r="H118" s="417" t="s">
        <v>451</v>
      </c>
      <c r="I118" s="505">
        <v>0.15</v>
      </c>
      <c r="J118" s="506">
        <f>(100%-I118)*F118</f>
        <v>267.75850000000003</v>
      </c>
      <c r="K118" s="507" t="s">
        <v>389</v>
      </c>
      <c r="L118" s="2511" t="str">
        <f>HYPERLINK("\\\\\\SERVER\e\07 Data Bank\Wire Rope\Wire Rope Price 1.7.23.pdf","Wire Rope")</f>
        <v>Wire Rope</v>
      </c>
      <c r="M118" s="413" t="str">
        <f>IFERROR(IF(F109=R118,"→"," "),"")</f>
        <v xml:space="preserve"> </v>
      </c>
      <c r="N118" s="469">
        <v>3373</v>
      </c>
      <c r="O118" s="469">
        <v>3643</v>
      </c>
      <c r="P118" s="469">
        <v>3735</v>
      </c>
      <c r="Q118" s="469">
        <v>4034</v>
      </c>
      <c r="R118" s="472">
        <v>76</v>
      </c>
      <c r="S118" s="100">
        <v>2196</v>
      </c>
      <c r="T118" s="100">
        <v>2416</v>
      </c>
      <c r="U118" s="473"/>
      <c r="V118" s="19"/>
      <c r="W118" s="20"/>
      <c r="X118" s="20"/>
      <c r="Y118" s="493"/>
      <c r="Z118" s="20"/>
      <c r="AA118" s="17"/>
      <c r="AB118" s="17"/>
      <c r="AC118" s="17"/>
      <c r="AD118" s="17"/>
      <c r="AE118" s="17"/>
      <c r="AF118" s="17"/>
      <c r="AG118" s="67">
        <v>0</v>
      </c>
      <c r="AH118" s="252">
        <v>40</v>
      </c>
      <c r="AI118" s="259" t="s">
        <v>404</v>
      </c>
      <c r="AJ118" s="259">
        <v>1770</v>
      </c>
      <c r="AK118" s="259">
        <v>8</v>
      </c>
      <c r="AL118" s="101">
        <v>26.8</v>
      </c>
      <c r="AM118" s="416"/>
      <c r="AN118" s="322">
        <v>166</v>
      </c>
      <c r="AO118" s="465">
        <v>179</v>
      </c>
      <c r="AP118" s="17"/>
      <c r="AQ118" s="17"/>
      <c r="AR118" s="17"/>
      <c r="AS118" s="17"/>
      <c r="AT118" s="41">
        <v>715</v>
      </c>
      <c r="AU118" s="42">
        <v>817</v>
      </c>
      <c r="AV118" s="17"/>
      <c r="AW118" s="17"/>
      <c r="AX118" s="17"/>
      <c r="AY118" s="17"/>
      <c r="AZ118" s="17"/>
      <c r="BA118" s="260">
        <v>5165</v>
      </c>
      <c r="BB118" s="17"/>
      <c r="BC118" s="20"/>
      <c r="BD118" s="20"/>
      <c r="BE118" s="17"/>
      <c r="BF118" s="17"/>
      <c r="BG118" s="17"/>
      <c r="BH118" s="17"/>
      <c r="BI118" s="17"/>
      <c r="BJ118" s="17"/>
      <c r="BK118" s="17"/>
      <c r="BL118" s="17"/>
    </row>
    <row r="119" spans="1:64" ht="17.100000000000001" customHeight="1" thickBot="1">
      <c r="A119" s="36"/>
      <c r="B119" s="20"/>
      <c r="C119" s="20"/>
      <c r="D119" s="20"/>
      <c r="E119" s="20"/>
      <c r="F119" s="508">
        <f>BT110</f>
        <v>370.70000000000005</v>
      </c>
      <c r="G119" s="20"/>
      <c r="H119" s="20"/>
      <c r="I119" s="20"/>
      <c r="J119" s="20"/>
      <c r="K119" s="304"/>
      <c r="L119" s="88"/>
      <c r="M119" s="413" t="str">
        <f>IFERROR(IF(F109=R119,"→"," "),"")</f>
        <v xml:space="preserve"> </v>
      </c>
      <c r="N119" s="469">
        <v>3737</v>
      </c>
      <c r="O119" s="469">
        <v>4036</v>
      </c>
      <c r="P119" s="469">
        <v>4138</v>
      </c>
      <c r="Q119" s="469">
        <v>4469</v>
      </c>
      <c r="R119" s="472">
        <v>80</v>
      </c>
      <c r="S119" s="100">
        <v>2433</v>
      </c>
      <c r="T119" s="100">
        <v>2676</v>
      </c>
      <c r="U119" s="473"/>
      <c r="V119" s="19"/>
      <c r="W119" s="20"/>
      <c r="X119" s="20"/>
      <c r="Y119" s="493"/>
      <c r="Z119" s="20"/>
      <c r="AA119" s="17"/>
      <c r="AB119" s="17"/>
      <c r="AC119" s="17"/>
      <c r="AD119" s="17"/>
      <c r="AE119" s="17"/>
      <c r="AF119" s="17"/>
      <c r="AG119" s="67">
        <v>40</v>
      </c>
      <c r="AH119" s="249">
        <v>51</v>
      </c>
      <c r="AI119" s="228" t="s">
        <v>404</v>
      </c>
      <c r="AJ119" s="228">
        <v>1770</v>
      </c>
      <c r="AK119" s="228">
        <v>9</v>
      </c>
      <c r="AL119" s="101">
        <v>33.9</v>
      </c>
      <c r="AM119" s="416"/>
      <c r="AN119" s="322">
        <v>179</v>
      </c>
      <c r="AO119" s="465">
        <v>189</v>
      </c>
      <c r="AP119" s="17"/>
      <c r="AQ119" s="17"/>
      <c r="AR119" s="17"/>
      <c r="AS119" s="17"/>
      <c r="AT119" s="41">
        <v>817</v>
      </c>
      <c r="AU119" s="42">
        <v>905</v>
      </c>
      <c r="AV119" s="20"/>
      <c r="AW119" s="20"/>
      <c r="AX119" s="20"/>
      <c r="AY119" s="20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</row>
    <row r="120" spans="1:64" ht="17.100000000000001" customHeight="1">
      <c r="A120" s="3769" t="s">
        <v>1</v>
      </c>
      <c r="B120" s="3770"/>
      <c r="C120" s="3770"/>
      <c r="D120" s="3770"/>
      <c r="E120" s="3771"/>
      <c r="F120" s="3735" t="s">
        <v>109</v>
      </c>
      <c r="G120" s="3736"/>
      <c r="H120" s="3737"/>
      <c r="I120" s="3738" t="s">
        <v>2</v>
      </c>
      <c r="J120" s="3739"/>
      <c r="K120" s="3740"/>
      <c r="L120" s="838"/>
      <c r="M120" s="413" t="str">
        <f>IFERROR(IF(F109=R120,"→"," "),"")</f>
        <v xml:space="preserve"> </v>
      </c>
      <c r="N120" s="469">
        <v>4120</v>
      </c>
      <c r="O120" s="469">
        <v>4450</v>
      </c>
      <c r="P120" s="469">
        <v>4562</v>
      </c>
      <c r="Q120" s="469">
        <v>4928</v>
      </c>
      <c r="R120" s="472">
        <v>84</v>
      </c>
      <c r="S120" s="100">
        <v>2683</v>
      </c>
      <c r="T120" s="100">
        <v>2951</v>
      </c>
      <c r="U120" s="473"/>
      <c r="V120" s="19"/>
      <c r="AF120" s="17"/>
      <c r="AG120" s="217">
        <v>51</v>
      </c>
      <c r="AH120" s="249">
        <v>63</v>
      </c>
      <c r="AI120" s="228" t="s">
        <v>404</v>
      </c>
      <c r="AJ120" s="228">
        <v>1770</v>
      </c>
      <c r="AK120" s="228">
        <v>10</v>
      </c>
      <c r="AL120" s="101">
        <v>41.8</v>
      </c>
      <c r="AM120" s="416"/>
      <c r="AN120" s="322">
        <v>189</v>
      </c>
      <c r="AO120" s="465">
        <v>204</v>
      </c>
      <c r="AP120" s="17"/>
      <c r="AQ120" s="17"/>
      <c r="AR120" s="17"/>
      <c r="AS120" s="17"/>
      <c r="AT120" s="41">
        <v>905</v>
      </c>
      <c r="AU120" s="42">
        <v>911</v>
      </c>
      <c r="AV120" s="20"/>
      <c r="AW120" s="20"/>
      <c r="AX120" s="20"/>
      <c r="AY120" s="20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</row>
    <row r="121" spans="1:64" ht="17.100000000000001" customHeight="1">
      <c r="A121" s="3741" t="s">
        <v>2786</v>
      </c>
      <c r="B121" s="3742"/>
      <c r="C121" s="3742"/>
      <c r="D121" s="3742"/>
      <c r="E121" s="3743"/>
      <c r="F121" s="3744" t="str">
        <f>F85</f>
        <v xml:space="preserve">25/15T D/G EOT CRANE  </v>
      </c>
      <c r="G121" s="3695"/>
      <c r="H121" s="3745"/>
      <c r="I121" s="3746">
        <f>I85</f>
        <v>0</v>
      </c>
      <c r="J121" s="3747"/>
      <c r="K121" s="3748"/>
      <c r="L121" s="838"/>
      <c r="M121" s="413" t="str">
        <f>IFERROR(IF(F109=R121,"→"," "),"")</f>
        <v xml:space="preserve"> </v>
      </c>
      <c r="N121" s="469">
        <v>4319</v>
      </c>
      <c r="O121" s="469">
        <v>4664</v>
      </c>
      <c r="P121" s="469">
        <v>4782</v>
      </c>
      <c r="Q121" s="469">
        <v>5165</v>
      </c>
      <c r="R121" s="472">
        <v>86</v>
      </c>
      <c r="S121" s="100">
        <v>2812</v>
      </c>
      <c r="T121" s="100">
        <v>3093</v>
      </c>
      <c r="U121" s="473"/>
      <c r="V121" s="17"/>
      <c r="AF121" s="17"/>
      <c r="AG121" s="217">
        <v>63</v>
      </c>
      <c r="AH121" s="249">
        <v>76</v>
      </c>
      <c r="AI121" s="228" t="s">
        <v>404</v>
      </c>
      <c r="AJ121" s="228">
        <v>1770</v>
      </c>
      <c r="AK121" s="228">
        <v>11</v>
      </c>
      <c r="AL121" s="101">
        <v>50.6</v>
      </c>
      <c r="AM121" s="416"/>
      <c r="AN121" s="322">
        <v>204</v>
      </c>
      <c r="AO121" s="465">
        <v>209</v>
      </c>
      <c r="AP121" s="17"/>
      <c r="AQ121" s="17"/>
      <c r="AR121" s="17"/>
      <c r="AS121" s="17"/>
      <c r="AT121" s="41">
        <v>911</v>
      </c>
      <c r="AU121" s="42">
        <v>1008</v>
      </c>
      <c r="AV121" s="20"/>
      <c r="AW121" s="20"/>
      <c r="AX121" s="20"/>
      <c r="AY121" s="20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</row>
    <row r="122" spans="1:64" ht="14.65" thickBot="1">
      <c r="A122" s="3756" t="e">
        <f>A86</f>
        <v>#REF!</v>
      </c>
      <c r="B122" s="3757"/>
      <c r="C122" s="3757"/>
      <c r="D122" s="3757"/>
      <c r="E122" s="3758"/>
      <c r="F122" s="3759" t="s">
        <v>122</v>
      </c>
      <c r="G122" s="3760"/>
      <c r="H122" s="3761"/>
      <c r="I122" s="3750" t="s">
        <v>769</v>
      </c>
      <c r="J122" s="3751"/>
      <c r="K122" s="3752"/>
      <c r="L122" s="20"/>
      <c r="M122" s="20"/>
      <c r="N122" s="17"/>
      <c r="O122" s="20"/>
      <c r="P122" s="20"/>
      <c r="Q122" s="20"/>
      <c r="R122" s="20"/>
      <c r="S122" s="20"/>
      <c r="T122" s="20"/>
      <c r="U122" s="20"/>
      <c r="V122" s="20"/>
      <c r="AF122" s="17"/>
      <c r="AG122" s="217">
        <v>76</v>
      </c>
      <c r="AH122" s="249">
        <v>91</v>
      </c>
      <c r="AI122" s="228" t="s">
        <v>404</v>
      </c>
      <c r="AJ122" s="228">
        <v>1770</v>
      </c>
      <c r="AK122" s="228">
        <v>12</v>
      </c>
      <c r="AL122" s="101">
        <v>60.2</v>
      </c>
      <c r="AM122" s="416"/>
      <c r="AN122" s="322">
        <v>209</v>
      </c>
      <c r="AO122" s="338">
        <v>211</v>
      </c>
      <c r="AP122" s="17"/>
      <c r="AQ122" s="17"/>
      <c r="AR122" s="17"/>
      <c r="AS122" s="17"/>
      <c r="AT122" s="41">
        <v>1008</v>
      </c>
      <c r="AU122" s="42">
        <v>1009</v>
      </c>
      <c r="AV122" s="20"/>
      <c r="AW122" s="20"/>
      <c r="AX122" s="20"/>
      <c r="AY122" s="20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</row>
    <row r="123" spans="1:64" ht="14.65" thickBot="1">
      <c r="A123" s="406" t="s">
        <v>32</v>
      </c>
      <c r="B123" s="407" t="e">
        <f>B87</f>
        <v>#REF!</v>
      </c>
      <c r="C123" s="407"/>
      <c r="D123" s="407"/>
      <c r="E123" s="408"/>
      <c r="F123" s="3762" t="str">
        <f>F87</f>
        <v xml:space="preserve"> </v>
      </c>
      <c r="G123" s="3742"/>
      <c r="H123" s="3743"/>
      <c r="I123" s="3753"/>
      <c r="J123" s="3754"/>
      <c r="K123" s="3755"/>
      <c r="L123" s="17"/>
      <c r="M123" s="517" t="s">
        <v>96</v>
      </c>
      <c r="N123" s="839" t="s">
        <v>468</v>
      </c>
      <c r="O123" s="518" t="s">
        <v>469</v>
      </c>
      <c r="P123" s="20"/>
      <c r="Q123" s="20"/>
      <c r="R123" s="20"/>
      <c r="S123" s="20"/>
      <c r="T123" s="20"/>
      <c r="U123" s="20"/>
      <c r="V123" s="20"/>
      <c r="AF123" s="17"/>
      <c r="AG123" s="217">
        <v>91</v>
      </c>
      <c r="AH123" s="249">
        <v>107</v>
      </c>
      <c r="AI123" s="228" t="s">
        <v>404</v>
      </c>
      <c r="AJ123" s="228">
        <v>1770</v>
      </c>
      <c r="AK123" s="228">
        <v>13</v>
      </c>
      <c r="AL123" s="101">
        <v>70.069999999999993</v>
      </c>
      <c r="AM123" s="416"/>
      <c r="AN123" s="311">
        <v>211</v>
      </c>
      <c r="AO123" s="338">
        <v>226</v>
      </c>
      <c r="AP123" s="17"/>
      <c r="AQ123" s="17"/>
      <c r="AR123" s="17"/>
      <c r="AS123" s="17"/>
      <c r="AT123" s="41">
        <v>1009</v>
      </c>
      <c r="AU123" s="42">
        <v>1117</v>
      </c>
      <c r="AV123" s="20"/>
      <c r="AW123" s="20"/>
      <c r="AX123" s="20"/>
      <c r="AY123" s="20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</row>
    <row r="124" spans="1:64" ht="14.65" thickBot="1">
      <c r="A124" s="840">
        <v>8</v>
      </c>
      <c r="B124" s="184" t="s">
        <v>770</v>
      </c>
      <c r="C124" s="37"/>
      <c r="D124" s="37"/>
      <c r="E124" s="37"/>
      <c r="F124" s="37"/>
      <c r="G124" s="37"/>
      <c r="H124" s="37"/>
      <c r="I124" s="37"/>
      <c r="J124" s="841"/>
      <c r="K124" s="38"/>
      <c r="L124" s="20"/>
      <c r="M124" s="20"/>
      <c r="N124" s="17"/>
      <c r="O124" s="842"/>
      <c r="P124" s="20"/>
      <c r="Q124" s="20"/>
      <c r="R124" s="20"/>
      <c r="S124" s="20"/>
      <c r="T124" s="20"/>
      <c r="U124" s="20"/>
      <c r="V124" s="20"/>
      <c r="AF124" s="17"/>
      <c r="AG124" s="217">
        <v>107</v>
      </c>
      <c r="AH124" s="249">
        <v>124</v>
      </c>
      <c r="AI124" s="228" t="s">
        <v>404</v>
      </c>
      <c r="AJ124" s="228">
        <v>1770</v>
      </c>
      <c r="AK124" s="228">
        <v>14</v>
      </c>
      <c r="AL124" s="101">
        <v>82</v>
      </c>
      <c r="AM124" s="416"/>
      <c r="AN124" s="311">
        <v>226</v>
      </c>
      <c r="AO124" s="465">
        <v>228</v>
      </c>
      <c r="AP124" s="17"/>
      <c r="AQ124" s="17"/>
      <c r="AR124" s="17"/>
      <c r="AS124" s="17"/>
      <c r="AT124" s="41">
        <v>1117</v>
      </c>
      <c r="AU124" s="42">
        <v>1221</v>
      </c>
      <c r="AV124" s="20"/>
      <c r="AW124" s="20"/>
      <c r="AX124" s="20"/>
      <c r="AY124" s="20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</row>
    <row r="125" spans="1:64" ht="14.65" thickBot="1">
      <c r="A125" s="36"/>
      <c r="B125" s="20"/>
      <c r="C125" s="20"/>
      <c r="D125" s="20"/>
      <c r="E125" s="20"/>
      <c r="F125" s="20"/>
      <c r="G125" s="20"/>
      <c r="H125" s="20"/>
      <c r="I125" s="20"/>
      <c r="J125" s="20"/>
      <c r="K125" s="304"/>
      <c r="L125" s="17"/>
      <c r="N125" s="56" t="s">
        <v>771</v>
      </c>
      <c r="O125" s="191" t="s">
        <v>457</v>
      </c>
      <c r="Q125" s="191" t="s">
        <v>453</v>
      </c>
      <c r="R125" s="843" t="s">
        <v>454</v>
      </c>
      <c r="T125" s="20"/>
      <c r="U125" s="20"/>
      <c r="V125" s="20"/>
      <c r="AF125" s="17"/>
      <c r="AG125" s="217">
        <v>124</v>
      </c>
      <c r="AH125" s="249">
        <v>161</v>
      </c>
      <c r="AI125" s="228" t="s">
        <v>404</v>
      </c>
      <c r="AJ125" s="228">
        <v>1770</v>
      </c>
      <c r="AK125" s="228">
        <v>16</v>
      </c>
      <c r="AL125" s="101">
        <v>107</v>
      </c>
      <c r="AM125" s="416"/>
      <c r="AN125" s="322">
        <v>228</v>
      </c>
      <c r="AO125" s="465">
        <v>233</v>
      </c>
      <c r="AP125" s="17"/>
      <c r="AQ125" s="17"/>
      <c r="AR125" s="17"/>
      <c r="AS125" s="17"/>
      <c r="AT125" s="41">
        <v>1221</v>
      </c>
      <c r="AU125" s="42">
        <v>1352</v>
      </c>
      <c r="AV125" s="20"/>
      <c r="AW125" s="20"/>
      <c r="AX125" s="20"/>
      <c r="AY125" s="20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</row>
    <row r="126" spans="1:64">
      <c r="A126" s="36"/>
      <c r="I126" s="20"/>
      <c r="J126" s="844" t="str">
        <f>IF(J132&lt;=609.6,"Seamless Tube","Fabricated")</f>
        <v>Seamless Tube</v>
      </c>
      <c r="K126" s="304"/>
      <c r="L126" s="17"/>
      <c r="N126" s="845" t="s">
        <v>459</v>
      </c>
      <c r="O126" s="846">
        <v>1</v>
      </c>
      <c r="Q126" s="845">
        <v>1</v>
      </c>
      <c r="R126" s="846" t="s">
        <v>772</v>
      </c>
      <c r="T126" s="20"/>
      <c r="U126" s="20"/>
      <c r="V126" s="20"/>
      <c r="AF126" s="17"/>
      <c r="AG126" s="217">
        <v>161</v>
      </c>
      <c r="AH126" s="249">
        <v>204</v>
      </c>
      <c r="AI126" s="228" t="s">
        <v>404</v>
      </c>
      <c r="AJ126" s="228">
        <v>1770</v>
      </c>
      <c r="AK126" s="228">
        <v>18</v>
      </c>
      <c r="AL126" s="101">
        <v>135</v>
      </c>
      <c r="AM126" s="416"/>
      <c r="AN126" s="322">
        <v>233</v>
      </c>
      <c r="AO126" s="338">
        <v>234</v>
      </c>
      <c r="AP126" s="17"/>
      <c r="AQ126" s="17"/>
      <c r="AR126" s="17"/>
      <c r="AS126" s="17"/>
      <c r="AT126" s="41">
        <v>1352</v>
      </c>
      <c r="AU126" s="42">
        <v>1453</v>
      </c>
      <c r="AV126" s="20"/>
      <c r="AW126" s="20"/>
      <c r="AX126" s="20"/>
      <c r="AY126" s="20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</row>
    <row r="127" spans="1:64">
      <c r="A127" s="36"/>
      <c r="B127" s="20" t="s">
        <v>461</v>
      </c>
      <c r="C127" s="20"/>
      <c r="D127" s="20"/>
      <c r="E127" s="20" t="s">
        <v>462</v>
      </c>
      <c r="F127" s="17"/>
      <c r="G127" s="20"/>
      <c r="H127" s="20"/>
      <c r="I127" s="20"/>
      <c r="J127" s="20"/>
      <c r="K127" s="304"/>
      <c r="L127" s="17"/>
      <c r="N127" s="512" t="s">
        <v>463</v>
      </c>
      <c r="O127" s="338">
        <v>1.1200000000000001</v>
      </c>
      <c r="Q127" s="512">
        <v>1.1200000000000001</v>
      </c>
      <c r="R127" s="338" t="s">
        <v>460</v>
      </c>
      <c r="T127" s="20"/>
      <c r="U127" s="20"/>
      <c r="V127" s="20"/>
      <c r="AF127" s="17"/>
      <c r="AG127" s="217">
        <v>204</v>
      </c>
      <c r="AH127" s="249">
        <v>228</v>
      </c>
      <c r="AI127" s="228" t="s">
        <v>404</v>
      </c>
      <c r="AJ127" s="228">
        <v>1770</v>
      </c>
      <c r="AK127" s="228">
        <v>19</v>
      </c>
      <c r="AL127" s="101">
        <v>151</v>
      </c>
      <c r="AM127" s="416"/>
      <c r="AN127" s="311">
        <v>234</v>
      </c>
      <c r="AO127" s="338">
        <v>252</v>
      </c>
      <c r="AP127" s="17"/>
      <c r="AQ127" s="17"/>
      <c r="AR127" s="17"/>
      <c r="AS127" s="17"/>
      <c r="AT127" s="41">
        <v>1453</v>
      </c>
      <c r="AU127" s="42">
        <v>1609</v>
      </c>
      <c r="AV127" s="20"/>
      <c r="AW127" s="20"/>
      <c r="AX127" s="20"/>
      <c r="AY127" s="20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</row>
    <row r="128" spans="1:64" ht="14.65" thickBot="1">
      <c r="A128" s="313"/>
      <c r="B128" s="20" t="s">
        <v>773</v>
      </c>
      <c r="C128" s="51">
        <f>J100</f>
        <v>1.5</v>
      </c>
      <c r="D128" s="51"/>
      <c r="E128" s="20"/>
      <c r="F128" s="20" t="s">
        <v>774</v>
      </c>
      <c r="G128" s="724">
        <f>F109</f>
        <v>18</v>
      </c>
      <c r="H128" s="20" t="s">
        <v>466</v>
      </c>
      <c r="K128" s="557"/>
      <c r="L128" s="17"/>
      <c r="N128" s="659" t="s">
        <v>467</v>
      </c>
      <c r="O128" s="702">
        <v>1.25</v>
      </c>
      <c r="Q128" s="659">
        <v>1.25</v>
      </c>
      <c r="R128" s="702" t="s">
        <v>464</v>
      </c>
      <c r="T128" s="20"/>
      <c r="U128" s="20"/>
      <c r="V128" s="20"/>
      <c r="AF128" s="17"/>
      <c r="AG128" s="217">
        <v>228</v>
      </c>
      <c r="AH128" s="249">
        <v>305</v>
      </c>
      <c r="AI128" s="228" t="s">
        <v>404</v>
      </c>
      <c r="AJ128" s="228">
        <v>1770</v>
      </c>
      <c r="AK128" s="228">
        <v>22</v>
      </c>
      <c r="AL128" s="101">
        <v>202</v>
      </c>
      <c r="AM128" s="416"/>
      <c r="AN128" s="322">
        <v>252</v>
      </c>
      <c r="AO128" s="465">
        <v>259</v>
      </c>
      <c r="AP128" s="17"/>
      <c r="AQ128" s="17"/>
      <c r="AR128" s="17"/>
      <c r="AS128" s="17"/>
      <c r="AT128" s="41">
        <v>1609</v>
      </c>
      <c r="AU128" s="42">
        <v>1705</v>
      </c>
      <c r="AV128" s="20"/>
      <c r="AW128" s="20"/>
      <c r="AX128" s="20"/>
      <c r="AY128" s="20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</row>
    <row r="129" spans="1:64" ht="14.65" thickBot="1">
      <c r="A129" s="36"/>
      <c r="B129" s="20" t="s">
        <v>775</v>
      </c>
      <c r="C129" s="20" t="s">
        <v>776</v>
      </c>
      <c r="D129" s="20"/>
      <c r="E129" s="20"/>
      <c r="F129" s="20"/>
      <c r="G129" s="20"/>
      <c r="H129" s="20"/>
      <c r="I129" s="67" t="s">
        <v>160</v>
      </c>
      <c r="J129" s="59">
        <f>IF(F110="6X36",1,IF(F110="6X38",1,IF(F110="6X24",1.12,IF(F110="6X19",1.25,IF(F110="18X7",0.95)))))</f>
        <v>1</v>
      </c>
      <c r="K129" s="557"/>
      <c r="L129" s="391" t="str">
        <f>HYPERLINK("\\Manish-pc\e\03 General\Manish\Selection\J_S_Tube.pdf","J S Tube")</f>
        <v>J S Tube</v>
      </c>
      <c r="M129" s="20"/>
      <c r="N129" s="17"/>
      <c r="P129" s="17"/>
      <c r="T129" s="20"/>
      <c r="U129" s="20"/>
      <c r="V129" s="20"/>
      <c r="AF129" s="17"/>
      <c r="AG129" s="217">
        <v>305</v>
      </c>
      <c r="AH129" s="249">
        <v>363</v>
      </c>
      <c r="AI129" s="228" t="s">
        <v>404</v>
      </c>
      <c r="AJ129" s="228">
        <v>1770</v>
      </c>
      <c r="AK129" s="228">
        <v>24</v>
      </c>
      <c r="AL129" s="101">
        <v>241</v>
      </c>
      <c r="AM129" s="416"/>
      <c r="AN129" s="322">
        <v>259</v>
      </c>
      <c r="AO129" s="465">
        <v>279</v>
      </c>
      <c r="AP129" s="17"/>
      <c r="AQ129" s="17"/>
      <c r="AR129" s="17"/>
      <c r="AS129" s="17"/>
      <c r="AT129" s="41">
        <v>1705</v>
      </c>
      <c r="AU129" s="42">
        <v>1888</v>
      </c>
      <c r="AV129" s="20"/>
      <c r="AW129" s="20"/>
      <c r="AX129" s="20"/>
      <c r="AY129" s="20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</row>
    <row r="130" spans="1:64">
      <c r="A130" s="36"/>
      <c r="B130" s="20" t="s">
        <v>777</v>
      </c>
      <c r="C130" s="20"/>
      <c r="D130" s="20"/>
      <c r="E130" s="20"/>
      <c r="F130" s="20"/>
      <c r="G130" s="20"/>
      <c r="H130" s="20"/>
      <c r="I130" s="67" t="s">
        <v>160</v>
      </c>
      <c r="J130" s="108">
        <f>12*G128*C128*J129</f>
        <v>324</v>
      </c>
      <c r="K130" s="557"/>
      <c r="L130" s="520" t="s">
        <v>778</v>
      </c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AF130" s="17"/>
      <c r="AG130" s="217">
        <v>363</v>
      </c>
      <c r="AH130" s="249">
        <v>426</v>
      </c>
      <c r="AI130" s="228" t="s">
        <v>404</v>
      </c>
      <c r="AJ130" s="228">
        <v>1770</v>
      </c>
      <c r="AK130" s="228">
        <v>26</v>
      </c>
      <c r="AL130" s="101">
        <v>283</v>
      </c>
      <c r="AM130" s="416"/>
      <c r="AN130" s="322">
        <v>279</v>
      </c>
      <c r="AO130" s="465">
        <v>283</v>
      </c>
      <c r="AP130" s="17"/>
      <c r="AQ130" s="17"/>
      <c r="AR130" s="17"/>
      <c r="AS130" s="17"/>
      <c r="AT130" s="41">
        <v>1888</v>
      </c>
      <c r="AU130" s="42">
        <v>1978</v>
      </c>
      <c r="AV130" s="20"/>
      <c r="AW130" s="20"/>
      <c r="AX130" s="20"/>
      <c r="AY130" s="20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</row>
    <row r="131" spans="1:64" ht="20.100000000000001" customHeight="1" thickBot="1">
      <c r="A131" s="36"/>
      <c r="B131" s="20" t="s">
        <v>473</v>
      </c>
      <c r="C131" s="20"/>
      <c r="D131" s="20"/>
      <c r="E131" s="20"/>
      <c r="F131" s="20"/>
      <c r="G131" s="20"/>
      <c r="H131" s="20"/>
      <c r="K131" s="847"/>
      <c r="L131" s="523">
        <f>L170</f>
        <v>3.813976377952756</v>
      </c>
      <c r="M131" s="20" t="str">
        <f>+J290</f>
        <v>3AH650</v>
      </c>
      <c r="N131" s="20"/>
      <c r="O131" s="493"/>
      <c r="P131" s="20"/>
      <c r="Q131" s="17"/>
      <c r="R131" s="17"/>
      <c r="S131" s="19"/>
      <c r="U131" s="17"/>
      <c r="V131" s="17"/>
      <c r="AF131" s="17"/>
      <c r="AG131" s="217">
        <v>426</v>
      </c>
      <c r="AH131" s="249">
        <v>494</v>
      </c>
      <c r="AI131" s="228" t="s">
        <v>404</v>
      </c>
      <c r="AJ131" s="228">
        <v>1770</v>
      </c>
      <c r="AK131" s="228">
        <v>28</v>
      </c>
      <c r="AL131" s="101">
        <v>328</v>
      </c>
      <c r="AM131" s="416"/>
      <c r="AN131" s="322">
        <v>283</v>
      </c>
      <c r="AO131" s="465">
        <v>305</v>
      </c>
      <c r="AP131" s="17"/>
      <c r="AQ131" s="17"/>
      <c r="AR131" s="17"/>
      <c r="AS131" s="17"/>
      <c r="AT131" s="41">
        <v>1978</v>
      </c>
      <c r="AU131" s="42">
        <v>2190</v>
      </c>
      <c r="AV131" s="20"/>
      <c r="AW131" s="20"/>
      <c r="AX131" s="20"/>
      <c r="AY131" s="20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</row>
    <row r="132" spans="1:64" ht="18.600000000000001" customHeight="1" thickBot="1">
      <c r="A132" s="36"/>
      <c r="B132" s="182" t="s">
        <v>475</v>
      </c>
      <c r="C132" s="20"/>
      <c r="D132" s="20"/>
      <c r="E132" s="20"/>
      <c r="G132" s="848"/>
      <c r="H132" s="20">
        <f>J132-2*J187-2*J188</f>
        <v>389.59999999999997</v>
      </c>
      <c r="I132" s="19" t="s">
        <v>476</v>
      </c>
      <c r="J132" s="628">
        <f>+Q132</f>
        <v>406.4</v>
      </c>
      <c r="K132" s="849"/>
      <c r="L132" s="1745">
        <f>+J171</f>
        <v>1550</v>
      </c>
      <c r="Q132" s="19">
        <f>IF(R152&gt;R150,R152,R150)</f>
        <v>406.4</v>
      </c>
      <c r="R132" s="532" t="s">
        <v>483</v>
      </c>
      <c r="S132" s="191" t="s">
        <v>118</v>
      </c>
      <c r="T132" s="188" t="s">
        <v>484</v>
      </c>
      <c r="U132" s="17"/>
      <c r="V132" s="17"/>
      <c r="X132" s="524" t="s">
        <v>96</v>
      </c>
      <c r="AA132" s="3768" t="s">
        <v>477</v>
      </c>
      <c r="AB132" s="3768"/>
      <c r="AC132" s="3768"/>
      <c r="AD132" s="3768"/>
      <c r="AE132" s="3768"/>
      <c r="AF132" s="3768"/>
      <c r="AG132" s="217">
        <v>494</v>
      </c>
      <c r="AH132" s="249">
        <v>646</v>
      </c>
      <c r="AI132" s="228" t="s">
        <v>404</v>
      </c>
      <c r="AJ132" s="228">
        <v>1770</v>
      </c>
      <c r="AK132" s="228">
        <v>32</v>
      </c>
      <c r="AL132" s="101">
        <v>428</v>
      </c>
      <c r="AM132" s="416"/>
      <c r="AN132" s="322">
        <v>305</v>
      </c>
      <c r="AO132" s="465">
        <v>313</v>
      </c>
      <c r="AP132" s="17"/>
      <c r="AQ132" s="17"/>
      <c r="AR132" s="17"/>
      <c r="AS132" s="17"/>
      <c r="AT132" s="41">
        <v>2190</v>
      </c>
      <c r="AU132" s="42">
        <v>2270</v>
      </c>
      <c r="AV132" s="20"/>
      <c r="AW132" s="20"/>
      <c r="AX132" s="20"/>
      <c r="AY132" s="20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</row>
    <row r="133" spans="1:64" ht="14.65" thickBot="1">
      <c r="A133" s="36"/>
      <c r="L133" s="17"/>
      <c r="Q133" s="191" t="s">
        <v>118</v>
      </c>
      <c r="R133" s="532"/>
      <c r="S133" s="536">
        <v>0</v>
      </c>
      <c r="T133" s="537">
        <v>160</v>
      </c>
      <c r="U133" s="17"/>
      <c r="V133" s="17"/>
      <c r="X133" s="525" t="s">
        <v>478</v>
      </c>
      <c r="AA133" s="526" t="s">
        <v>55</v>
      </c>
      <c r="AB133" s="527" t="s">
        <v>479</v>
      </c>
      <c r="AC133" s="527" t="s">
        <v>275</v>
      </c>
      <c r="AD133" s="527"/>
      <c r="AE133" s="527" t="s">
        <v>480</v>
      </c>
      <c r="AF133" s="527" t="s">
        <v>481</v>
      </c>
      <c r="AG133" s="217">
        <v>646</v>
      </c>
      <c r="AH133" s="249">
        <v>817</v>
      </c>
      <c r="AI133" s="228" t="s">
        <v>404</v>
      </c>
      <c r="AJ133" s="228">
        <v>1770</v>
      </c>
      <c r="AK133" s="228">
        <v>36</v>
      </c>
      <c r="AL133" s="101">
        <v>542</v>
      </c>
      <c r="AM133" s="416"/>
      <c r="AN133" s="322">
        <v>313</v>
      </c>
      <c r="AO133" s="465">
        <v>336</v>
      </c>
      <c r="AP133" s="17"/>
      <c r="AQ133" s="17"/>
      <c r="AR133" s="17"/>
      <c r="AS133" s="17"/>
      <c r="AT133" s="41">
        <v>2270</v>
      </c>
      <c r="AU133" s="42">
        <v>2514</v>
      </c>
      <c r="AV133" s="20"/>
      <c r="AW133" s="20"/>
      <c r="AX133" s="20"/>
      <c r="AY133" s="20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</row>
    <row r="134" spans="1:64">
      <c r="A134" s="36"/>
      <c r="B134" s="528" t="s">
        <v>779</v>
      </c>
      <c r="C134" s="529"/>
      <c r="D134" s="529"/>
      <c r="E134" s="529"/>
      <c r="F134" s="529"/>
      <c r="G134" s="529"/>
      <c r="H134" s="530" t="str">
        <f>"As "&amp;'E Data'!D30</f>
        <v>As IS 3177 -1999 &amp; IS 807/800</v>
      </c>
      <c r="I134" s="529"/>
      <c r="J134" s="658"/>
      <c r="K134" s="557"/>
      <c r="L134" s="17"/>
      <c r="Q134" s="544">
        <v>0</v>
      </c>
      <c r="R134" s="538">
        <v>168.3</v>
      </c>
      <c r="S134" s="536">
        <v>160</v>
      </c>
      <c r="T134" s="537">
        <v>200</v>
      </c>
      <c r="U134" s="17"/>
      <c r="V134" s="17"/>
      <c r="X134" s="533">
        <v>114.3</v>
      </c>
      <c r="AA134" s="534">
        <v>5</v>
      </c>
      <c r="AB134" s="535">
        <v>4</v>
      </c>
      <c r="AC134" s="95">
        <v>36</v>
      </c>
      <c r="AD134" s="95" t="s">
        <v>485</v>
      </c>
      <c r="AE134" s="95">
        <v>6212</v>
      </c>
      <c r="AF134" s="95" t="s">
        <v>486</v>
      </c>
      <c r="AG134" s="217">
        <v>817</v>
      </c>
      <c r="AH134" s="249">
        <v>911</v>
      </c>
      <c r="AI134" s="228" t="s">
        <v>404</v>
      </c>
      <c r="AJ134" s="228">
        <v>1770</v>
      </c>
      <c r="AK134" s="228">
        <v>38</v>
      </c>
      <c r="AL134" s="101">
        <v>604</v>
      </c>
      <c r="AM134" s="416"/>
      <c r="AN134" s="322">
        <v>336</v>
      </c>
      <c r="AO134" s="465">
        <v>338</v>
      </c>
      <c r="AP134" s="17"/>
      <c r="AQ134" s="17"/>
      <c r="AR134" s="17"/>
      <c r="AS134" s="17"/>
      <c r="AT134" s="41">
        <v>2514</v>
      </c>
      <c r="AU134" s="42">
        <v>2583</v>
      </c>
      <c r="AV134" s="20"/>
      <c r="AW134" s="20"/>
      <c r="AX134" s="20"/>
      <c r="AY134" s="20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</row>
    <row r="135" spans="1:64">
      <c r="A135" s="313"/>
      <c r="B135" s="358"/>
      <c r="C135" s="358"/>
      <c r="D135" s="358"/>
      <c r="E135" s="358"/>
      <c r="F135" s="358"/>
      <c r="G135" s="358"/>
      <c r="H135" s="529"/>
      <c r="I135" s="529"/>
      <c r="J135" s="658"/>
      <c r="K135" s="557"/>
      <c r="L135" s="17"/>
      <c r="Q135" s="544">
        <v>168.3</v>
      </c>
      <c r="R135" s="538">
        <v>219.1</v>
      </c>
      <c r="S135" s="546">
        <v>200</v>
      </c>
      <c r="T135" s="547">
        <v>250</v>
      </c>
      <c r="U135" s="17"/>
      <c r="V135" s="17"/>
      <c r="X135" s="538">
        <v>141.30000000000001</v>
      </c>
      <c r="AA135" s="539"/>
      <c r="AB135" s="540">
        <v>4</v>
      </c>
      <c r="AC135" s="100">
        <v>50</v>
      </c>
      <c r="AD135" s="100" t="s">
        <v>487</v>
      </c>
      <c r="AE135" s="100">
        <v>6212</v>
      </c>
      <c r="AF135" s="100" t="s">
        <v>488</v>
      </c>
      <c r="AG135" s="217">
        <v>911</v>
      </c>
      <c r="AH135" s="249">
        <v>1009</v>
      </c>
      <c r="AI135" s="228" t="s">
        <v>404</v>
      </c>
      <c r="AJ135" s="228">
        <v>1770</v>
      </c>
      <c r="AK135" s="228">
        <v>40</v>
      </c>
      <c r="AL135" s="101">
        <v>669</v>
      </c>
      <c r="AM135" s="416"/>
      <c r="AN135" s="322">
        <v>338</v>
      </c>
      <c r="AO135" s="465">
        <v>363</v>
      </c>
      <c r="AP135" s="17"/>
      <c r="AQ135" s="17"/>
      <c r="AR135" s="17"/>
      <c r="AS135" s="17"/>
      <c r="AT135" s="41">
        <v>2583</v>
      </c>
      <c r="AU135" s="42">
        <v>2860</v>
      </c>
      <c r="AV135" s="20"/>
      <c r="AW135" s="20"/>
      <c r="AX135" s="20"/>
      <c r="AY135" s="20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</row>
    <row r="136" spans="1:64">
      <c r="A136" s="36"/>
      <c r="B136" s="358" t="s">
        <v>489</v>
      </c>
      <c r="C136" s="358"/>
      <c r="E136" s="850">
        <f>IF(L138="B",30,0)</f>
        <v>0</v>
      </c>
      <c r="F136" s="358" t="str">
        <f>IF(L138="A","12*d*Cdf*Crc*Crr ","  X  Rope Dia  ( "&amp;G128&amp;" )")</f>
        <v xml:space="preserve">12*d*Cdf*Crc*Crr </v>
      </c>
      <c r="G136" s="358"/>
      <c r="H136" s="529"/>
      <c r="I136" s="529"/>
      <c r="J136" s="434"/>
      <c r="K136" s="557"/>
      <c r="Q136" s="544">
        <v>219.1</v>
      </c>
      <c r="R136" s="538">
        <v>273</v>
      </c>
      <c r="S136" s="546">
        <v>250</v>
      </c>
      <c r="T136" s="547">
        <v>320</v>
      </c>
      <c r="U136" s="17"/>
      <c r="V136" s="17"/>
      <c r="X136" s="538">
        <v>168.3</v>
      </c>
      <c r="AA136" s="534">
        <v>8</v>
      </c>
      <c r="AB136" s="540">
        <v>4</v>
      </c>
      <c r="AC136" s="100">
        <v>50</v>
      </c>
      <c r="AD136" s="100" t="s">
        <v>490</v>
      </c>
      <c r="AE136" s="100">
        <v>6216</v>
      </c>
      <c r="AF136" s="100" t="s">
        <v>491</v>
      </c>
      <c r="AG136" s="217">
        <v>1009</v>
      </c>
      <c r="AH136" s="249">
        <v>1221</v>
      </c>
      <c r="AI136" s="228" t="s">
        <v>404</v>
      </c>
      <c r="AJ136" s="228">
        <v>1770</v>
      </c>
      <c r="AK136" s="228">
        <v>44</v>
      </c>
      <c r="AL136" s="101">
        <v>810</v>
      </c>
      <c r="AM136" s="416"/>
      <c r="AN136" s="322">
        <v>363</v>
      </c>
      <c r="AO136" s="465">
        <v>372</v>
      </c>
      <c r="AP136" s="17"/>
      <c r="AQ136" s="17"/>
      <c r="AR136" s="17"/>
      <c r="AS136" s="17"/>
      <c r="AT136" s="41">
        <v>2860</v>
      </c>
      <c r="AU136" s="42">
        <v>2916</v>
      </c>
      <c r="AV136" s="20"/>
      <c r="AW136" s="20"/>
      <c r="AX136" s="20"/>
      <c r="AY136" s="20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</row>
    <row r="137" spans="1:64" ht="15.75" customHeight="1" thickBot="1">
      <c r="A137" s="313"/>
      <c r="B137" s="358" t="s">
        <v>780</v>
      </c>
      <c r="C137" s="529"/>
      <c r="D137" s="529"/>
      <c r="E137" s="529"/>
      <c r="F137" s="529"/>
      <c r="G137" s="529"/>
      <c r="H137" s="529"/>
      <c r="I137" s="529"/>
      <c r="J137" s="434"/>
      <c r="K137" s="557"/>
      <c r="L137" s="851" t="str">
        <f>LEFT(H134,10)</f>
        <v>As IS 3177</v>
      </c>
      <c r="Q137" s="544">
        <v>273</v>
      </c>
      <c r="R137" s="538">
        <v>323.8</v>
      </c>
      <c r="S137" s="546">
        <v>320</v>
      </c>
      <c r="T137" s="547">
        <v>400</v>
      </c>
      <c r="U137" s="17"/>
      <c r="V137" s="17"/>
      <c r="X137" s="538">
        <v>219.1</v>
      </c>
      <c r="AA137" s="534">
        <v>10</v>
      </c>
      <c r="AB137" s="540">
        <v>4</v>
      </c>
      <c r="AC137" s="100">
        <v>63</v>
      </c>
      <c r="AD137" s="100" t="s">
        <v>492</v>
      </c>
      <c r="AE137" s="100">
        <v>6216</v>
      </c>
      <c r="AF137" s="100"/>
      <c r="AG137" s="217">
        <v>1221</v>
      </c>
      <c r="AH137" s="249">
        <v>1453</v>
      </c>
      <c r="AI137" s="228" t="s">
        <v>404</v>
      </c>
      <c r="AJ137" s="228">
        <v>1770</v>
      </c>
      <c r="AK137" s="228">
        <v>48</v>
      </c>
      <c r="AL137" s="101">
        <v>964</v>
      </c>
      <c r="AM137" s="416"/>
      <c r="AN137" s="322">
        <v>372</v>
      </c>
      <c r="AO137" s="465">
        <v>395</v>
      </c>
      <c r="AP137" s="17"/>
      <c r="AQ137" s="17"/>
      <c r="AR137" s="17"/>
      <c r="AS137" s="17"/>
      <c r="AT137" s="41">
        <v>2916</v>
      </c>
      <c r="AU137" s="42">
        <v>3090</v>
      </c>
      <c r="AV137" s="20"/>
      <c r="AW137" s="20"/>
      <c r="AX137" s="20"/>
      <c r="AY137" s="20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</row>
    <row r="138" spans="1:64" ht="16.5" customHeight="1" thickBot="1">
      <c r="A138" s="36"/>
      <c r="B138" s="548" t="str">
        <f>IF(L138="A","Where Crr =","")</f>
        <v>Where Crr =</v>
      </c>
      <c r="C138" s="3802" t="str">
        <f>IF(L138="A","Co-efficient depend on number of pulley in recving &amp; the number of reverse bends (for Nt = 6 to 9)","")</f>
        <v>Co-efficient depend on number of pulley in recving &amp; the number of reverse bends (for Nt = 6 to 9)</v>
      </c>
      <c r="D138" s="3802"/>
      <c r="E138" s="3802"/>
      <c r="F138" s="3802"/>
      <c r="G138" s="3802"/>
      <c r="H138" s="3802"/>
      <c r="I138" s="3802"/>
      <c r="J138" s="549" t="str">
        <f>IF(J98&lt;=5,"1",IF(J98&lt;=9,"1.12",IF(J98&gt;=10,"1.25")))</f>
        <v>1</v>
      </c>
      <c r="K138" s="557"/>
      <c r="L138" s="261" t="str">
        <f>'E Data'!N19</f>
        <v>A</v>
      </c>
      <c r="Q138" s="544">
        <v>323.8</v>
      </c>
      <c r="R138" s="538">
        <v>355.6</v>
      </c>
      <c r="S138" s="546">
        <v>400</v>
      </c>
      <c r="T138" s="547">
        <v>500</v>
      </c>
      <c r="U138" s="17"/>
      <c r="V138" s="17"/>
      <c r="X138" s="538">
        <v>273</v>
      </c>
      <c r="AA138" s="534"/>
      <c r="AB138" s="540">
        <v>4</v>
      </c>
      <c r="AC138" s="100">
        <v>50</v>
      </c>
      <c r="AD138" s="100" t="s">
        <v>490</v>
      </c>
      <c r="AE138" s="100">
        <v>6216</v>
      </c>
      <c r="AF138" s="100"/>
      <c r="AG138" s="217">
        <v>1453</v>
      </c>
      <c r="AH138" s="249">
        <v>1705</v>
      </c>
      <c r="AI138" s="228" t="s">
        <v>404</v>
      </c>
      <c r="AJ138" s="228">
        <v>1770</v>
      </c>
      <c r="AK138" s="228">
        <v>52</v>
      </c>
      <c r="AL138" s="101">
        <v>1131</v>
      </c>
      <c r="AM138" s="416"/>
      <c r="AN138" s="322">
        <v>395</v>
      </c>
      <c r="AO138" s="465">
        <v>402</v>
      </c>
      <c r="AP138" s="17"/>
      <c r="AQ138" s="17"/>
      <c r="AR138" s="17"/>
      <c r="AS138" s="17"/>
      <c r="AT138" s="41">
        <v>3090</v>
      </c>
      <c r="AU138" s="42">
        <v>3229</v>
      </c>
      <c r="AV138" s="20"/>
      <c r="AW138" s="20"/>
      <c r="AX138" s="20"/>
      <c r="AY138" s="20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</row>
    <row r="139" spans="1:64" ht="18" customHeight="1">
      <c r="A139" s="36"/>
      <c r="B139" s="358" t="s">
        <v>493</v>
      </c>
      <c r="C139" s="529"/>
      <c r="D139" s="529"/>
      <c r="E139" s="529"/>
      <c r="F139" s="529"/>
      <c r="G139" s="529"/>
      <c r="H139" s="529"/>
      <c r="I139" s="67" t="s">
        <v>160</v>
      </c>
      <c r="J139" s="852">
        <f>J130*J138</f>
        <v>324</v>
      </c>
      <c r="K139" s="551">
        <f>E136*G128</f>
        <v>0</v>
      </c>
      <c r="Q139" s="544">
        <v>355.6</v>
      </c>
      <c r="R139" s="538">
        <v>406.4</v>
      </c>
      <c r="S139" s="546">
        <v>500</v>
      </c>
      <c r="T139" s="547">
        <v>630</v>
      </c>
      <c r="U139" s="17"/>
      <c r="V139" s="17"/>
      <c r="X139" s="538">
        <v>323.8</v>
      </c>
      <c r="AA139" s="534">
        <v>12</v>
      </c>
      <c r="AB139" s="540">
        <v>4</v>
      </c>
      <c r="AC139" s="100">
        <v>50</v>
      </c>
      <c r="AD139" s="100" t="s">
        <v>494</v>
      </c>
      <c r="AE139" s="100">
        <v>6218</v>
      </c>
      <c r="AF139" s="100" t="s">
        <v>495</v>
      </c>
      <c r="AG139" s="217">
        <v>1705</v>
      </c>
      <c r="AH139" s="249">
        <v>1978</v>
      </c>
      <c r="AI139" s="228" t="s">
        <v>404</v>
      </c>
      <c r="AJ139" s="228">
        <v>1770</v>
      </c>
      <c r="AK139" s="228">
        <v>56</v>
      </c>
      <c r="AL139" s="101">
        <v>1311</v>
      </c>
      <c r="AM139" s="416"/>
      <c r="AN139" s="322">
        <v>402</v>
      </c>
      <c r="AO139" s="465">
        <v>426</v>
      </c>
      <c r="AP139" s="17"/>
      <c r="AQ139" s="17"/>
      <c r="AR139" s="17"/>
      <c r="AS139" s="17"/>
      <c r="AT139" s="41">
        <v>3229</v>
      </c>
      <c r="AU139" s="42">
        <v>3269</v>
      </c>
      <c r="AV139" s="20"/>
      <c r="AW139" s="20"/>
      <c r="AX139" s="20"/>
      <c r="AY139" s="20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</row>
    <row r="140" spans="1:64" ht="20.100000000000001" customHeight="1" thickBot="1">
      <c r="A140" s="36"/>
      <c r="B140" s="358" t="s">
        <v>473</v>
      </c>
      <c r="C140" s="529"/>
      <c r="D140" s="529"/>
      <c r="E140" s="529"/>
      <c r="F140" s="529"/>
      <c r="G140" s="529"/>
      <c r="H140" s="529"/>
      <c r="I140" s="529"/>
      <c r="J140" s="434"/>
      <c r="K140" s="552" t="str">
        <f>IF(L138="B","↑","")</f>
        <v/>
      </c>
      <c r="Q140" s="544">
        <v>406.4</v>
      </c>
      <c r="R140" s="538">
        <v>457.2</v>
      </c>
      <c r="S140" s="546">
        <v>630</v>
      </c>
      <c r="T140" s="547">
        <v>710</v>
      </c>
      <c r="U140" s="17"/>
      <c r="V140" s="17"/>
      <c r="X140" s="538">
        <v>355.6</v>
      </c>
      <c r="AA140" s="534"/>
      <c r="AB140" s="540">
        <v>4</v>
      </c>
      <c r="AC140" s="100">
        <v>63</v>
      </c>
      <c r="AD140" s="100" t="s">
        <v>492</v>
      </c>
      <c r="AE140" s="100">
        <v>6218</v>
      </c>
      <c r="AF140" s="100" t="s">
        <v>496</v>
      </c>
      <c r="AG140" s="217">
        <v>1978</v>
      </c>
      <c r="AH140" s="249">
        <v>2270</v>
      </c>
      <c r="AI140" s="228" t="s">
        <v>404</v>
      </c>
      <c r="AJ140" s="228">
        <v>1770</v>
      </c>
      <c r="AK140" s="228">
        <v>60</v>
      </c>
      <c r="AL140" s="101">
        <v>1506</v>
      </c>
      <c r="AM140" s="416"/>
      <c r="AN140" s="322">
        <v>426</v>
      </c>
      <c r="AO140" s="465">
        <v>437</v>
      </c>
      <c r="AP140" s="17"/>
      <c r="AQ140" s="17"/>
      <c r="AR140" s="17"/>
      <c r="AS140" s="17"/>
      <c r="AT140" s="41">
        <v>3269</v>
      </c>
      <c r="AU140" s="42">
        <v>3422</v>
      </c>
      <c r="AV140" s="20"/>
      <c r="AW140" s="20"/>
      <c r="AX140" s="20"/>
      <c r="AY140" s="20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</row>
    <row r="141" spans="1:64" ht="14.65" thickBot="1">
      <c r="A141" s="36"/>
      <c r="B141" s="357" t="s">
        <v>497</v>
      </c>
      <c r="C141" s="529"/>
      <c r="D141" s="529"/>
      <c r="E141" s="529"/>
      <c r="F141" s="529"/>
      <c r="G141" s="529"/>
      <c r="H141" s="529"/>
      <c r="I141" s="551"/>
      <c r="J141" s="628">
        <f>T146</f>
        <v>400</v>
      </c>
      <c r="K141" s="853"/>
      <c r="L141" s="17"/>
      <c r="Q141" s="544">
        <v>457.2</v>
      </c>
      <c r="R141" s="538">
        <v>508</v>
      </c>
      <c r="S141" s="546">
        <v>710</v>
      </c>
      <c r="T141" s="547">
        <v>800</v>
      </c>
      <c r="U141" s="17"/>
      <c r="V141" s="17"/>
      <c r="W141" s="20"/>
      <c r="X141" s="538">
        <v>406.4</v>
      </c>
      <c r="Y141" s="20"/>
      <c r="Z141" s="17"/>
      <c r="AA141" s="534">
        <v>16</v>
      </c>
      <c r="AB141" s="540">
        <v>4</v>
      </c>
      <c r="AC141" s="100">
        <v>50</v>
      </c>
      <c r="AD141" s="100" t="s">
        <v>498</v>
      </c>
      <c r="AE141" s="100">
        <v>6220</v>
      </c>
      <c r="AF141" s="100" t="s">
        <v>499</v>
      </c>
      <c r="AG141" s="217">
        <v>2270</v>
      </c>
      <c r="AH141" s="249">
        <v>2583</v>
      </c>
      <c r="AI141" s="228" t="s">
        <v>404</v>
      </c>
      <c r="AJ141" s="228">
        <v>1770</v>
      </c>
      <c r="AK141" s="228">
        <v>64</v>
      </c>
      <c r="AL141" s="101">
        <v>1713</v>
      </c>
      <c r="AM141" s="416"/>
      <c r="AN141" s="322">
        <v>437</v>
      </c>
      <c r="AO141" s="465">
        <v>458</v>
      </c>
      <c r="AP141" s="17"/>
      <c r="AQ141" s="17"/>
      <c r="AR141" s="17"/>
      <c r="AS141" s="17"/>
      <c r="AT141" s="41">
        <v>3422</v>
      </c>
      <c r="AU141" s="42">
        <v>3620</v>
      </c>
      <c r="AV141" s="20"/>
      <c r="AW141" s="20"/>
      <c r="AX141" s="20"/>
      <c r="AY141" s="20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</row>
    <row r="142" spans="1:64">
      <c r="A142" s="313"/>
      <c r="B142" s="357"/>
      <c r="C142" s="529"/>
      <c r="D142" s="529"/>
      <c r="E142" s="529"/>
      <c r="F142" s="529"/>
      <c r="G142" s="529"/>
      <c r="H142" s="529"/>
      <c r="I142" s="842"/>
      <c r="J142" s="108"/>
      <c r="K142" s="557"/>
      <c r="L142" s="17"/>
      <c r="Q142" s="544">
        <v>508</v>
      </c>
      <c r="R142" s="538">
        <v>609.6</v>
      </c>
      <c r="S142" s="546">
        <v>800</v>
      </c>
      <c r="T142" s="338">
        <v>900</v>
      </c>
      <c r="U142" s="17"/>
      <c r="V142" s="17"/>
      <c r="W142" s="20"/>
      <c r="X142" s="538">
        <v>457.2</v>
      </c>
      <c r="Y142" s="182"/>
      <c r="Z142" s="182"/>
      <c r="AA142" s="558">
        <v>20</v>
      </c>
      <c r="AB142" s="559">
        <v>8</v>
      </c>
      <c r="AC142" s="100">
        <v>50</v>
      </c>
      <c r="AD142" s="100" t="s">
        <v>490</v>
      </c>
      <c r="AE142" s="100">
        <v>6216</v>
      </c>
      <c r="AF142" s="100"/>
      <c r="AG142" s="217">
        <v>2583</v>
      </c>
      <c r="AH142" s="249">
        <v>2916</v>
      </c>
      <c r="AI142" s="228" t="s">
        <v>404</v>
      </c>
      <c r="AJ142" s="228">
        <v>1770</v>
      </c>
      <c r="AK142" s="228">
        <v>68</v>
      </c>
      <c r="AL142" s="101">
        <v>1934</v>
      </c>
      <c r="AM142" s="416"/>
      <c r="AN142" s="322">
        <v>458</v>
      </c>
      <c r="AO142" s="465">
        <v>472</v>
      </c>
      <c r="AP142" s="17"/>
      <c r="AQ142" s="17"/>
      <c r="AR142" s="17"/>
      <c r="AS142" s="17"/>
      <c r="AT142" s="41">
        <v>3620</v>
      </c>
      <c r="AU142" s="42">
        <v>3643</v>
      </c>
      <c r="AV142" s="20"/>
      <c r="AW142" s="20"/>
      <c r="AX142" s="20"/>
      <c r="AY142" s="20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</row>
    <row r="143" spans="1:64" ht="15.95" customHeight="1">
      <c r="A143" s="36"/>
      <c r="B143" s="358" t="s">
        <v>781</v>
      </c>
      <c r="C143" s="529"/>
      <c r="D143" s="529"/>
      <c r="E143" s="850">
        <f>IF(L138="B",20,0)</f>
        <v>0</v>
      </c>
      <c r="F143" s="88" t="str">
        <f>IF(L138="A","8*d*Cdf*Crc"," X  Rope Dia ( "&amp;G128&amp;" )")</f>
        <v>8*d*Cdf*Crc</v>
      </c>
      <c r="G143" s="529"/>
      <c r="H143" s="310"/>
      <c r="I143" s="67" t="s">
        <v>160</v>
      </c>
      <c r="J143" s="854">
        <f>8*F109*J100*J129</f>
        <v>216</v>
      </c>
      <c r="K143" s="551">
        <f>E143*G128</f>
        <v>0</v>
      </c>
      <c r="L143" s="17"/>
      <c r="Q143" s="544">
        <v>609.6</v>
      </c>
      <c r="R143" s="538">
        <v>630</v>
      </c>
      <c r="S143" s="561">
        <v>900</v>
      </c>
      <c r="T143" s="338">
        <v>1000</v>
      </c>
      <c r="U143" s="17"/>
      <c r="V143" s="17"/>
      <c r="W143" s="17"/>
      <c r="X143" s="538">
        <v>508</v>
      </c>
      <c r="Y143" s="17"/>
      <c r="Z143" s="17"/>
      <c r="AA143" s="558"/>
      <c r="AB143" s="559">
        <v>8</v>
      </c>
      <c r="AC143" s="100">
        <v>63</v>
      </c>
      <c r="AD143" s="100" t="s">
        <v>492</v>
      </c>
      <c r="AE143" s="100">
        <v>6216</v>
      </c>
      <c r="AF143" s="100"/>
      <c r="AG143" s="217">
        <v>2916</v>
      </c>
      <c r="AH143" s="249">
        <v>3090</v>
      </c>
      <c r="AI143" s="228" t="s">
        <v>404</v>
      </c>
      <c r="AJ143" s="228">
        <v>1770</v>
      </c>
      <c r="AK143" s="228">
        <v>70</v>
      </c>
      <c r="AL143" s="101">
        <v>2049</v>
      </c>
      <c r="AM143" s="416"/>
      <c r="AN143" s="322">
        <v>472</v>
      </c>
      <c r="AO143" s="465">
        <v>494</v>
      </c>
      <c r="AP143" s="17"/>
      <c r="AQ143" s="17"/>
      <c r="AR143" s="17"/>
      <c r="AS143" s="17"/>
      <c r="AT143" s="41">
        <v>3643</v>
      </c>
      <c r="AU143" s="42">
        <v>4034</v>
      </c>
      <c r="AV143" s="20"/>
      <c r="AW143" s="20"/>
      <c r="AX143" s="20"/>
      <c r="AY143" s="20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</row>
    <row r="144" spans="1:64" ht="20.100000000000001" customHeight="1" thickBot="1">
      <c r="A144" s="36"/>
      <c r="B144" s="358"/>
      <c r="C144" s="529"/>
      <c r="D144" s="529"/>
      <c r="E144" s="529"/>
      <c r="F144" s="529"/>
      <c r="G144" s="529"/>
      <c r="H144" s="529"/>
      <c r="I144" s="529"/>
      <c r="J144" s="434"/>
      <c r="K144" s="855" t="str">
        <f>IF(L138="B","↑","")</f>
        <v/>
      </c>
      <c r="L144" s="17"/>
      <c r="Q144" s="544">
        <v>630</v>
      </c>
      <c r="R144" s="538">
        <v>710</v>
      </c>
      <c r="S144" s="563">
        <v>1000</v>
      </c>
      <c r="T144" s="515">
        <v>1250</v>
      </c>
      <c r="U144" s="17"/>
      <c r="V144" s="17"/>
      <c r="W144" s="17"/>
      <c r="X144" s="538">
        <v>609.6</v>
      </c>
      <c r="Y144" s="17"/>
      <c r="Z144" s="17"/>
      <c r="AA144" s="558">
        <v>25</v>
      </c>
      <c r="AB144" s="559">
        <v>8</v>
      </c>
      <c r="AC144" s="100">
        <v>50</v>
      </c>
      <c r="AD144" s="100" t="s">
        <v>494</v>
      </c>
      <c r="AE144" s="100">
        <v>6218</v>
      </c>
      <c r="AF144" s="100" t="s">
        <v>501</v>
      </c>
      <c r="AG144" s="217">
        <v>3090</v>
      </c>
      <c r="AH144" s="249">
        <v>3269</v>
      </c>
      <c r="AI144" s="228" t="s">
        <v>404</v>
      </c>
      <c r="AJ144" s="228">
        <v>1770</v>
      </c>
      <c r="AK144" s="228">
        <v>72</v>
      </c>
      <c r="AL144" s="101">
        <v>2168</v>
      </c>
      <c r="AM144" s="416"/>
      <c r="AN144" s="322">
        <v>494</v>
      </c>
      <c r="AO144" s="465">
        <v>507</v>
      </c>
      <c r="AP144" s="17"/>
      <c r="AQ144" s="17"/>
      <c r="AR144" s="17"/>
      <c r="AS144" s="17"/>
      <c r="AT144" s="41">
        <v>4034</v>
      </c>
      <c r="AU144" s="42">
        <v>4036</v>
      </c>
      <c r="AV144" s="20"/>
      <c r="AW144" s="20"/>
      <c r="AX144" s="20"/>
      <c r="AY144" s="20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</row>
    <row r="145" spans="1:64" ht="14.65" thickBot="1">
      <c r="A145" s="36"/>
      <c r="B145" s="357" t="s">
        <v>502</v>
      </c>
      <c r="C145" s="529"/>
      <c r="D145" s="529"/>
      <c r="E145" s="529"/>
      <c r="F145" s="529"/>
      <c r="G145" s="529"/>
      <c r="H145" s="856">
        <f>J141*0.62</f>
        <v>248</v>
      </c>
      <c r="I145" s="499" t="s">
        <v>476</v>
      </c>
      <c r="J145" s="628">
        <f>T150</f>
        <v>250</v>
      </c>
      <c r="K145" s="791"/>
      <c r="L145" s="17"/>
      <c r="Q145" s="544">
        <v>710</v>
      </c>
      <c r="R145" s="538">
        <v>800</v>
      </c>
      <c r="S145" s="857">
        <f>VLOOKUP(J139,S133:S144,1)</f>
        <v>320</v>
      </c>
      <c r="T145" s="858">
        <f>VLOOKUP(S145,S133:T145,2,0)</f>
        <v>400</v>
      </c>
      <c r="U145" s="17" t="s">
        <v>507</v>
      </c>
      <c r="V145" s="17"/>
      <c r="W145" s="17"/>
      <c r="X145" s="533" t="s">
        <v>503</v>
      </c>
      <c r="Y145" s="17"/>
      <c r="Z145" s="17"/>
      <c r="AA145" s="558"/>
      <c r="AB145" s="559">
        <v>8</v>
      </c>
      <c r="AC145" s="100">
        <v>63</v>
      </c>
      <c r="AD145" s="100" t="s">
        <v>492</v>
      </c>
      <c r="AE145" s="100">
        <v>6218</v>
      </c>
      <c r="AF145" s="100"/>
      <c r="AG145" s="217">
        <v>3269</v>
      </c>
      <c r="AH145" s="249">
        <v>3643</v>
      </c>
      <c r="AI145" s="228" t="s">
        <v>404</v>
      </c>
      <c r="AJ145" s="228">
        <v>1770</v>
      </c>
      <c r="AK145" s="228">
        <v>76</v>
      </c>
      <c r="AL145" s="101">
        <v>2416</v>
      </c>
      <c r="AM145" s="416"/>
      <c r="AN145" s="322">
        <v>507</v>
      </c>
      <c r="AO145" s="465">
        <v>548</v>
      </c>
      <c r="AP145" s="17"/>
      <c r="AQ145" s="17"/>
      <c r="AR145" s="17"/>
      <c r="AS145" s="17"/>
      <c r="AT145" s="41">
        <v>4036</v>
      </c>
      <c r="AU145" s="42">
        <v>4450</v>
      </c>
      <c r="AV145" s="20"/>
      <c r="AW145" s="20"/>
      <c r="AX145" s="20"/>
      <c r="AY145" s="20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</row>
    <row r="146" spans="1:64" ht="14.65" thickBot="1">
      <c r="A146" s="36"/>
      <c r="B146" s="20"/>
      <c r="C146" s="20"/>
      <c r="D146" s="20"/>
      <c r="E146" s="20"/>
      <c r="F146" s="20"/>
      <c r="G146" s="20"/>
      <c r="H146" s="20"/>
      <c r="I146" s="20"/>
      <c r="J146" s="542"/>
      <c r="K146" s="859"/>
      <c r="L146" s="17"/>
      <c r="Q146" s="544">
        <v>800</v>
      </c>
      <c r="R146" s="538">
        <v>900</v>
      </c>
      <c r="S146" s="860">
        <f>IFERROR(VLOOKUP(J139,S133:S144,1,0),0)</f>
        <v>0</v>
      </c>
      <c r="T146" s="861">
        <f>IF(S146&gt;0,IF(S146&lt;T145,S146,T145),T145)</f>
        <v>400</v>
      </c>
      <c r="U146" s="17" t="s">
        <v>507</v>
      </c>
      <c r="V146" s="17"/>
      <c r="W146" s="17"/>
      <c r="X146" s="533">
        <v>200</v>
      </c>
      <c r="Y146" s="17"/>
      <c r="Z146" s="17"/>
      <c r="AA146" s="558"/>
      <c r="AB146" s="559">
        <v>8</v>
      </c>
      <c r="AC146" s="100">
        <v>92</v>
      </c>
      <c r="AD146" s="100" t="s">
        <v>504</v>
      </c>
      <c r="AE146" s="100">
        <v>6218</v>
      </c>
      <c r="AF146" s="100" t="s">
        <v>505</v>
      </c>
      <c r="AG146" s="217">
        <v>3643</v>
      </c>
      <c r="AH146" s="249">
        <v>4036</v>
      </c>
      <c r="AI146" s="228" t="s">
        <v>404</v>
      </c>
      <c r="AJ146" s="228">
        <v>1770</v>
      </c>
      <c r="AK146" s="228">
        <v>80</v>
      </c>
      <c r="AL146" s="101">
        <v>2676</v>
      </c>
      <c r="AM146" s="416"/>
      <c r="AN146" s="322">
        <v>548</v>
      </c>
      <c r="AO146" s="465">
        <v>598</v>
      </c>
      <c r="AP146" s="17"/>
      <c r="AQ146" s="17"/>
      <c r="AR146" s="17"/>
      <c r="AS146" s="17"/>
      <c r="AT146" s="41">
        <v>4450</v>
      </c>
      <c r="AU146" s="42">
        <v>4469</v>
      </c>
      <c r="AV146" s="20"/>
      <c r="AW146" s="20"/>
      <c r="AX146" s="20"/>
      <c r="AY146" s="20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</row>
    <row r="147" spans="1:64">
      <c r="A147" s="36"/>
      <c r="B147" s="471" t="s">
        <v>506</v>
      </c>
      <c r="C147" s="20"/>
      <c r="D147" s="20"/>
      <c r="E147" s="20"/>
      <c r="F147" s="20"/>
      <c r="G147" s="20"/>
      <c r="H147" s="20"/>
      <c r="I147" s="20"/>
      <c r="J147" s="20"/>
      <c r="K147" s="304"/>
      <c r="L147" s="17"/>
      <c r="Q147" s="544">
        <v>900</v>
      </c>
      <c r="R147" s="538">
        <v>1000</v>
      </c>
      <c r="S147" s="857">
        <f>VLOOKUP(J143,S133:S144,1)</f>
        <v>200</v>
      </c>
      <c r="T147" s="862">
        <f>VLOOKUP(H145,S133:S144,1)</f>
        <v>200</v>
      </c>
      <c r="U147" s="17" t="s">
        <v>512</v>
      </c>
      <c r="V147" s="17"/>
      <c r="W147" s="17"/>
      <c r="X147" s="533">
        <v>250</v>
      </c>
      <c r="Y147" s="17"/>
      <c r="Z147" s="17"/>
      <c r="AA147" s="558">
        <v>32</v>
      </c>
      <c r="AB147" s="559">
        <v>8</v>
      </c>
      <c r="AC147" s="100">
        <v>92</v>
      </c>
      <c r="AD147" s="100" t="s">
        <v>504</v>
      </c>
      <c r="AE147" s="100">
        <v>6220</v>
      </c>
      <c r="AF147" s="100" t="s">
        <v>508</v>
      </c>
      <c r="AG147" s="217">
        <v>4036</v>
      </c>
      <c r="AH147" s="249">
        <v>4450</v>
      </c>
      <c r="AI147" s="228" t="s">
        <v>404</v>
      </c>
      <c r="AJ147" s="228">
        <v>1770</v>
      </c>
      <c r="AK147" s="228">
        <v>84</v>
      </c>
      <c r="AL147" s="101">
        <v>2951</v>
      </c>
      <c r="AM147" s="416"/>
      <c r="AN147" s="322">
        <v>598</v>
      </c>
      <c r="AO147" s="465">
        <v>646</v>
      </c>
      <c r="AP147" s="17"/>
      <c r="AQ147" s="17"/>
      <c r="AR147" s="17"/>
      <c r="AS147" s="17"/>
      <c r="AT147" s="41">
        <v>4469</v>
      </c>
      <c r="AU147" s="42">
        <v>4664</v>
      </c>
      <c r="AV147" s="20"/>
      <c r="AW147" s="20"/>
      <c r="AX147" s="20"/>
      <c r="AY147" s="20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</row>
    <row r="148" spans="1:64" ht="14.65" thickBot="1">
      <c r="A148" s="36"/>
      <c r="B148" s="20"/>
      <c r="C148" s="20"/>
      <c r="D148" s="20"/>
      <c r="E148" s="20"/>
      <c r="F148" s="20"/>
      <c r="G148" s="20"/>
      <c r="H148" s="20"/>
      <c r="I148" s="20"/>
      <c r="J148" s="20"/>
      <c r="K148" s="304"/>
      <c r="L148" s="17"/>
      <c r="Q148" s="544">
        <v>1000</v>
      </c>
      <c r="R148" s="538">
        <v>1250</v>
      </c>
      <c r="S148" s="570">
        <f>IF(S147&gt;=T147,S147,T147)</f>
        <v>200</v>
      </c>
      <c r="T148" s="571">
        <f>VLOOKUP(S148,S133:T144,2,0)</f>
        <v>250</v>
      </c>
      <c r="U148" s="17" t="s">
        <v>512</v>
      </c>
      <c r="V148" s="17"/>
      <c r="W148" s="17"/>
      <c r="X148" s="533">
        <v>320</v>
      </c>
      <c r="Y148" s="17"/>
      <c r="Z148" s="17"/>
      <c r="AA148" s="558">
        <v>30</v>
      </c>
      <c r="AB148" s="559">
        <v>8</v>
      </c>
      <c r="AC148" s="100">
        <v>92</v>
      </c>
      <c r="AD148" s="100" t="s">
        <v>504</v>
      </c>
      <c r="AE148" s="100">
        <v>6220</v>
      </c>
      <c r="AF148" s="100" t="s">
        <v>509</v>
      </c>
      <c r="AG148" s="217">
        <v>4450</v>
      </c>
      <c r="AH148" s="249">
        <v>4664</v>
      </c>
      <c r="AI148" s="228" t="s">
        <v>404</v>
      </c>
      <c r="AJ148" s="228">
        <v>1770</v>
      </c>
      <c r="AK148" s="228">
        <v>86</v>
      </c>
      <c r="AL148" s="509">
        <v>3093</v>
      </c>
      <c r="AM148" s="416"/>
      <c r="AN148" s="322">
        <v>646</v>
      </c>
      <c r="AO148" s="465">
        <v>662</v>
      </c>
      <c r="AP148" s="17"/>
      <c r="AQ148" s="17"/>
      <c r="AR148" s="17"/>
      <c r="AS148" s="17"/>
      <c r="AT148" s="41">
        <v>4664</v>
      </c>
      <c r="AU148" s="42">
        <v>4928</v>
      </c>
      <c r="AV148" s="20"/>
      <c r="AW148" s="20"/>
      <c r="AX148" s="20"/>
      <c r="AY148" s="20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</row>
    <row r="149" spans="1:64" ht="14.65" thickBot="1">
      <c r="A149" s="36"/>
      <c r="B149" s="20" t="s">
        <v>510</v>
      </c>
      <c r="C149" s="20"/>
      <c r="D149" s="20"/>
      <c r="E149" s="20"/>
      <c r="F149" s="20"/>
      <c r="G149" s="20"/>
      <c r="H149" s="20"/>
      <c r="I149" s="306" t="s">
        <v>511</v>
      </c>
      <c r="J149" s="20"/>
      <c r="K149" s="304"/>
      <c r="L149" s="17"/>
      <c r="M149" s="20"/>
      <c r="N149" s="493"/>
      <c r="O149" s="20"/>
      <c r="P149" s="262" t="str">
        <f>IF(J130&lt;=J132,"Right","Wrong")</f>
        <v>Right</v>
      </c>
      <c r="Q149" s="572">
        <f>VLOOKUP(J130,Q134:Q148,1)</f>
        <v>323.8</v>
      </c>
      <c r="R149" s="572">
        <f>IFERROR(VLOOKUP(J130,R134:R148,1,0),0)</f>
        <v>0</v>
      </c>
      <c r="S149" s="573">
        <f>IFERROR(VLOOKUP(H145,S133:S144,1,0),0)</f>
        <v>0</v>
      </c>
      <c r="T149" s="574">
        <f>IFERROR(VLOOKUP(J143,S133:S144,1,0),0)</f>
        <v>0</v>
      </c>
      <c r="U149" s="17" t="s">
        <v>512</v>
      </c>
      <c r="V149" s="17"/>
      <c r="W149" s="17"/>
      <c r="X149" s="533">
        <v>400</v>
      </c>
      <c r="Y149" s="17"/>
      <c r="Z149" s="17"/>
      <c r="AA149" s="558">
        <v>40</v>
      </c>
      <c r="AB149" s="559">
        <v>8</v>
      </c>
      <c r="AC149" s="100">
        <v>92</v>
      </c>
      <c r="AD149" s="100" t="s">
        <v>504</v>
      </c>
      <c r="AE149" s="100">
        <v>6220</v>
      </c>
      <c r="AF149" s="100"/>
      <c r="AG149" s="67">
        <v>0</v>
      </c>
      <c r="AH149" s="252">
        <v>41</v>
      </c>
      <c r="AI149" s="259" t="s">
        <v>410</v>
      </c>
      <c r="AJ149" s="259">
        <v>1960</v>
      </c>
      <c r="AK149" s="259">
        <v>8</v>
      </c>
      <c r="AL149" s="830">
        <v>24.3</v>
      </c>
      <c r="AM149" s="416"/>
      <c r="AN149" s="322">
        <v>662</v>
      </c>
      <c r="AO149" s="465">
        <v>715</v>
      </c>
      <c r="AP149" s="17"/>
      <c r="AQ149" s="17"/>
      <c r="AR149" s="17"/>
      <c r="AS149" s="17"/>
      <c r="AT149" s="47">
        <v>4928</v>
      </c>
      <c r="AU149" s="48">
        <v>5165</v>
      </c>
      <c r="AV149" s="20"/>
      <c r="AW149" s="20"/>
      <c r="AX149" s="20"/>
      <c r="AY149" s="20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</row>
    <row r="150" spans="1:64" ht="14.65" thickBot="1">
      <c r="A150" s="36"/>
      <c r="B150" s="20"/>
      <c r="C150" s="20"/>
      <c r="D150" s="20"/>
      <c r="E150" s="20"/>
      <c r="F150" s="20"/>
      <c r="G150" s="20"/>
      <c r="H150" s="20"/>
      <c r="I150" s="20" t="s">
        <v>513</v>
      </c>
      <c r="J150" s="20"/>
      <c r="K150" s="304"/>
      <c r="L150" s="17"/>
      <c r="M150" s="20"/>
      <c r="N150" s="493"/>
      <c r="O150" s="20"/>
      <c r="P150" s="262" t="str">
        <f>IF(J139&lt;=J141,"Right","Wrong")</f>
        <v>Right</v>
      </c>
      <c r="Q150" s="575">
        <f>VLOOKUP(Q149,Q134:R148,2,)</f>
        <v>355.6</v>
      </c>
      <c r="R150" s="567">
        <f>IF(R149&gt;0,R149,Q150)</f>
        <v>355.6</v>
      </c>
      <c r="S150" s="576">
        <f>IF(S149&gt;=T149,S149,T149)</f>
        <v>0</v>
      </c>
      <c r="T150" s="567">
        <f>IF(S150&gt;0,IF(S150&lt;T148,S150,T148),T148)</f>
        <v>250</v>
      </c>
      <c r="U150" s="17" t="s">
        <v>512</v>
      </c>
      <c r="V150" s="17"/>
      <c r="W150" s="17"/>
      <c r="X150" s="533">
        <v>500</v>
      </c>
      <c r="Y150" s="17"/>
      <c r="Z150" s="17"/>
      <c r="AA150" s="558"/>
      <c r="AB150" s="559">
        <v>8</v>
      </c>
      <c r="AC150" s="100">
        <v>92</v>
      </c>
      <c r="AD150" s="100" t="s">
        <v>504</v>
      </c>
      <c r="AE150" s="100">
        <v>6220</v>
      </c>
      <c r="AF150" s="100"/>
      <c r="AG150" s="217">
        <v>41</v>
      </c>
      <c r="AH150" s="249">
        <v>52</v>
      </c>
      <c r="AI150" s="228" t="s">
        <v>410</v>
      </c>
      <c r="AJ150" s="228">
        <v>1960</v>
      </c>
      <c r="AK150" s="228">
        <v>9</v>
      </c>
      <c r="AL150" s="830">
        <v>30.8</v>
      </c>
      <c r="AM150" s="416"/>
      <c r="AN150" s="322">
        <v>715</v>
      </c>
      <c r="AO150" s="465">
        <v>757</v>
      </c>
      <c r="AP150" s="17"/>
      <c r="AQ150" s="17"/>
      <c r="AR150" s="17"/>
      <c r="AS150" s="17"/>
      <c r="AT150" s="20">
        <v>5165</v>
      </c>
      <c r="AU150" s="20"/>
      <c r="AV150" s="20"/>
      <c r="AW150" s="20"/>
      <c r="AX150" s="20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</row>
    <row r="151" spans="1:64" ht="14.65" thickBot="1">
      <c r="A151" s="36"/>
      <c r="B151" s="20" t="s">
        <v>303</v>
      </c>
      <c r="C151" s="20"/>
      <c r="D151" s="20"/>
      <c r="E151" s="20"/>
      <c r="F151" s="20"/>
      <c r="G151" s="20"/>
      <c r="H151" s="20"/>
      <c r="I151" s="20"/>
      <c r="J151" s="20"/>
      <c r="K151" s="304"/>
      <c r="L151" s="17"/>
      <c r="M151" s="20"/>
      <c r="N151" s="493"/>
      <c r="O151" s="20"/>
      <c r="P151" s="262" t="str">
        <f>IF(J143&lt;=J145,"Right","Wrong")</f>
        <v>Right</v>
      </c>
      <c r="Q151" s="572">
        <f>VLOOKUP(J141,Q134:Q148,1)</f>
        <v>355.6</v>
      </c>
      <c r="R151" s="572">
        <f>IFERROR(VLOOKUP(J141,R134:R148,1,0),0)</f>
        <v>0</v>
      </c>
      <c r="S151" s="17"/>
      <c r="T151" s="17"/>
      <c r="U151" s="17"/>
      <c r="V151" s="17"/>
      <c r="W151" s="17"/>
      <c r="X151" s="533">
        <v>630</v>
      </c>
      <c r="Y151" s="17"/>
      <c r="Z151" s="17"/>
      <c r="AA151" s="558">
        <v>50</v>
      </c>
      <c r="AB151" s="559">
        <v>8</v>
      </c>
      <c r="AC151" s="100">
        <v>132</v>
      </c>
      <c r="AD151" s="100" t="s">
        <v>514</v>
      </c>
      <c r="AE151" s="100">
        <v>6222</v>
      </c>
      <c r="AF151" s="100"/>
      <c r="AG151" s="67">
        <v>52</v>
      </c>
      <c r="AH151" s="249">
        <v>65</v>
      </c>
      <c r="AI151" s="228" t="s">
        <v>410</v>
      </c>
      <c r="AJ151" s="228">
        <v>1960</v>
      </c>
      <c r="AK151" s="228">
        <v>10</v>
      </c>
      <c r="AL151" s="830">
        <v>38</v>
      </c>
      <c r="AM151" s="416"/>
      <c r="AN151" s="322">
        <v>757</v>
      </c>
      <c r="AO151" s="465">
        <v>817</v>
      </c>
      <c r="AP151" s="20"/>
      <c r="AQ151" s="20"/>
      <c r="AR151" s="20"/>
      <c r="AS151" s="20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</row>
    <row r="152" spans="1:64" ht="14.65" thickBot="1">
      <c r="A152" s="36"/>
      <c r="B152" s="67" t="s">
        <v>515</v>
      </c>
      <c r="C152" s="20" t="s">
        <v>516</v>
      </c>
      <c r="D152" s="20"/>
      <c r="E152" s="20"/>
      <c r="F152" s="20"/>
      <c r="G152" s="20"/>
      <c r="H152" s="20"/>
      <c r="I152" s="67" t="s">
        <v>160</v>
      </c>
      <c r="J152" s="302">
        <f>'E Data'!D20</f>
        <v>15</v>
      </c>
      <c r="K152" s="304"/>
      <c r="L152" s="17"/>
      <c r="M152" s="17"/>
      <c r="N152" s="17"/>
      <c r="O152" s="17"/>
      <c r="Q152" s="575">
        <f>VLOOKUP(Q151,Q134:R148,2,)</f>
        <v>406.4</v>
      </c>
      <c r="R152" s="567">
        <f>IF(R151&gt;0,R151,Q152)</f>
        <v>406.4</v>
      </c>
      <c r="S152" s="17"/>
      <c r="T152" s="17"/>
      <c r="U152" s="17"/>
      <c r="V152" s="17"/>
      <c r="W152" s="17"/>
      <c r="X152" s="533">
        <v>710</v>
      </c>
      <c r="Y152" s="17"/>
      <c r="Z152" s="17"/>
      <c r="AA152" s="558">
        <v>63</v>
      </c>
      <c r="AB152" s="559">
        <v>8</v>
      </c>
      <c r="AC152" s="100">
        <v>132</v>
      </c>
      <c r="AD152" s="100" t="s">
        <v>514</v>
      </c>
      <c r="AE152" s="100">
        <v>6224</v>
      </c>
      <c r="AF152" s="100" t="s">
        <v>517</v>
      </c>
      <c r="AG152" s="217">
        <v>65</v>
      </c>
      <c r="AH152" s="249">
        <v>78</v>
      </c>
      <c r="AI152" s="228" t="s">
        <v>410</v>
      </c>
      <c r="AJ152" s="228">
        <v>1960</v>
      </c>
      <c r="AK152" s="228">
        <v>11</v>
      </c>
      <c r="AL152" s="830">
        <v>46</v>
      </c>
      <c r="AM152" s="416"/>
      <c r="AN152" s="322">
        <v>817</v>
      </c>
      <c r="AO152" s="465">
        <v>838</v>
      </c>
      <c r="AP152" s="20"/>
      <c r="AQ152" s="20"/>
      <c r="AR152" s="20"/>
      <c r="AS152" s="20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</row>
    <row r="153" spans="1:64">
      <c r="A153" s="36"/>
      <c r="B153" s="67" t="s">
        <v>782</v>
      </c>
      <c r="C153" s="20" t="s">
        <v>519</v>
      </c>
      <c r="D153" s="20"/>
      <c r="E153" s="20"/>
      <c r="F153" s="20"/>
      <c r="G153" s="20"/>
      <c r="H153" s="20"/>
      <c r="I153" s="67" t="s">
        <v>160</v>
      </c>
      <c r="J153" s="577">
        <f>J98</f>
        <v>4</v>
      </c>
      <c r="K153" s="304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533">
        <v>800</v>
      </c>
      <c r="Y153" s="17"/>
      <c r="Z153" s="17"/>
      <c r="AA153" s="558">
        <v>80</v>
      </c>
      <c r="AB153" s="559">
        <v>8</v>
      </c>
      <c r="AC153" s="100">
        <v>132</v>
      </c>
      <c r="AD153" s="100" t="s">
        <v>514</v>
      </c>
      <c r="AE153" s="100">
        <v>6226</v>
      </c>
      <c r="AF153" s="100"/>
      <c r="AG153" s="217">
        <v>78</v>
      </c>
      <c r="AH153" s="249">
        <v>93</v>
      </c>
      <c r="AI153" s="228" t="s">
        <v>410</v>
      </c>
      <c r="AJ153" s="228">
        <v>1960</v>
      </c>
      <c r="AK153" s="228">
        <v>12</v>
      </c>
      <c r="AL153" s="830">
        <v>54.7</v>
      </c>
      <c r="AM153" s="416"/>
      <c r="AN153" s="322">
        <v>838</v>
      </c>
      <c r="AO153" s="465">
        <v>843</v>
      </c>
      <c r="AP153" s="20"/>
      <c r="AQ153" s="20"/>
      <c r="AR153" s="20"/>
      <c r="AS153" s="20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</row>
    <row r="154" spans="1:64">
      <c r="A154" s="36"/>
      <c r="B154" s="67" t="s">
        <v>521</v>
      </c>
      <c r="C154" s="20" t="s">
        <v>2647</v>
      </c>
      <c r="D154" s="20"/>
      <c r="E154" s="20"/>
      <c r="F154" s="20"/>
      <c r="G154" s="20"/>
      <c r="H154" s="20"/>
      <c r="I154" s="67" t="s">
        <v>160</v>
      </c>
      <c r="J154" s="578">
        <f>((J132+F109)/1000)</f>
        <v>0.4244</v>
      </c>
      <c r="K154" s="304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533">
        <v>900</v>
      </c>
      <c r="Y154" s="17"/>
      <c r="Z154" s="17"/>
      <c r="AA154" s="558"/>
      <c r="AB154" s="559">
        <v>8</v>
      </c>
      <c r="AC154" s="100">
        <v>157</v>
      </c>
      <c r="AD154" s="100" t="s">
        <v>523</v>
      </c>
      <c r="AE154" s="100">
        <v>6226</v>
      </c>
      <c r="AF154" s="100"/>
      <c r="AG154" s="217">
        <v>93</v>
      </c>
      <c r="AH154" s="249">
        <v>109</v>
      </c>
      <c r="AI154" s="228" t="s">
        <v>410</v>
      </c>
      <c r="AJ154" s="228">
        <v>1960</v>
      </c>
      <c r="AK154" s="228">
        <v>13</v>
      </c>
      <c r="AL154" s="830">
        <v>64.3</v>
      </c>
      <c r="AM154" s="416"/>
      <c r="AN154" s="322">
        <v>843</v>
      </c>
      <c r="AO154" s="465">
        <v>905</v>
      </c>
      <c r="AP154" s="20"/>
      <c r="AQ154" s="20"/>
      <c r="AR154" s="20"/>
      <c r="AS154" s="20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</row>
    <row r="155" spans="1:64">
      <c r="A155" s="36"/>
      <c r="B155" s="20"/>
      <c r="C155" s="20"/>
      <c r="D155" s="20"/>
      <c r="E155" s="20"/>
      <c r="F155" s="20"/>
      <c r="G155" s="20"/>
      <c r="H155" s="20"/>
      <c r="I155" s="67" t="s">
        <v>160</v>
      </c>
      <c r="J155" s="19"/>
      <c r="K155" s="304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533">
        <v>1000</v>
      </c>
      <c r="Y155" s="17"/>
      <c r="Z155" s="17"/>
      <c r="AA155" s="580">
        <v>50</v>
      </c>
      <c r="AB155" s="581">
        <v>12</v>
      </c>
      <c r="AC155" s="100">
        <v>92</v>
      </c>
      <c r="AD155" s="100" t="s">
        <v>504</v>
      </c>
      <c r="AE155" s="100">
        <v>6220</v>
      </c>
      <c r="AF155" s="100"/>
      <c r="AG155" s="217">
        <v>109</v>
      </c>
      <c r="AH155" s="249">
        <v>127</v>
      </c>
      <c r="AI155" s="228" t="s">
        <v>410</v>
      </c>
      <c r="AJ155" s="228">
        <v>1960</v>
      </c>
      <c r="AK155" s="228">
        <v>14</v>
      </c>
      <c r="AL155" s="830">
        <v>74.5</v>
      </c>
      <c r="AM155" s="416"/>
      <c r="AN155" s="322">
        <v>905</v>
      </c>
      <c r="AO155" s="465">
        <v>911</v>
      </c>
      <c r="AP155" s="17"/>
      <c r="AQ155" s="17"/>
      <c r="AR155" s="20"/>
      <c r="AS155" s="20"/>
      <c r="AT155" s="20"/>
      <c r="AU155" s="20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</row>
    <row r="156" spans="1:64" ht="14.65" thickBot="1">
      <c r="A156" s="36"/>
      <c r="B156" s="20" t="s">
        <v>525</v>
      </c>
      <c r="C156" s="20"/>
      <c r="D156" s="20"/>
      <c r="E156" s="20"/>
      <c r="F156" s="20"/>
      <c r="G156" s="20"/>
      <c r="H156" s="20"/>
      <c r="I156" s="67"/>
      <c r="J156" s="19"/>
      <c r="K156" s="304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579">
        <v>1250</v>
      </c>
      <c r="Y156" s="17"/>
      <c r="Z156" s="17"/>
      <c r="AA156" s="580">
        <v>63</v>
      </c>
      <c r="AB156" s="581">
        <v>12</v>
      </c>
      <c r="AC156" s="100">
        <v>132</v>
      </c>
      <c r="AD156" s="100" t="s">
        <v>514</v>
      </c>
      <c r="AE156" s="100">
        <v>6222</v>
      </c>
      <c r="AF156" s="100"/>
      <c r="AG156" s="217">
        <v>127</v>
      </c>
      <c r="AH156" s="249">
        <v>166</v>
      </c>
      <c r="AI156" s="228" t="s">
        <v>410</v>
      </c>
      <c r="AJ156" s="228">
        <v>1960</v>
      </c>
      <c r="AK156" s="228">
        <v>16</v>
      </c>
      <c r="AL156" s="830">
        <v>97.3</v>
      </c>
      <c r="AM156" s="416"/>
      <c r="AN156" s="322">
        <v>911</v>
      </c>
      <c r="AO156" s="465">
        <v>934</v>
      </c>
      <c r="AP156" s="17"/>
      <c r="AQ156" s="17"/>
      <c r="AR156" s="20"/>
      <c r="AS156" s="20"/>
      <c r="AT156" s="20"/>
      <c r="AU156" s="20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</row>
    <row r="157" spans="1:64">
      <c r="A157" s="36"/>
      <c r="B157" s="20"/>
      <c r="C157" s="20" t="s">
        <v>526</v>
      </c>
      <c r="D157" s="20"/>
      <c r="E157" s="20"/>
      <c r="F157" s="20"/>
      <c r="G157" s="20"/>
      <c r="H157" s="20"/>
      <c r="I157" s="67" t="s">
        <v>160</v>
      </c>
      <c r="J157" s="577">
        <f>J152*J153/(3.14*J154*2)</f>
        <v>22.512111515995606</v>
      </c>
      <c r="K157" s="304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20"/>
      <c r="Y157" s="17"/>
      <c r="Z157" s="17"/>
      <c r="AA157" s="580">
        <v>80</v>
      </c>
      <c r="AB157" s="581">
        <v>12</v>
      </c>
      <c r="AC157" s="100">
        <v>132</v>
      </c>
      <c r="AD157" s="100" t="s">
        <v>514</v>
      </c>
      <c r="AE157" s="100">
        <v>6224</v>
      </c>
      <c r="AF157" s="100" t="s">
        <v>527</v>
      </c>
      <c r="AG157" s="217">
        <v>166</v>
      </c>
      <c r="AH157" s="249">
        <v>209</v>
      </c>
      <c r="AI157" s="228" t="s">
        <v>410</v>
      </c>
      <c r="AJ157" s="228">
        <v>1960</v>
      </c>
      <c r="AK157" s="228">
        <v>18</v>
      </c>
      <c r="AL157" s="830">
        <v>123</v>
      </c>
      <c r="AM157" s="416"/>
      <c r="AN157" s="322">
        <v>934</v>
      </c>
      <c r="AO157" s="465">
        <v>1008</v>
      </c>
      <c r="AP157" s="20"/>
      <c r="AQ157" s="20"/>
      <c r="AR157" s="20"/>
      <c r="AS157" s="20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</row>
    <row r="158" spans="1:64">
      <c r="A158" s="36"/>
      <c r="B158" s="20"/>
      <c r="C158" s="20" t="s">
        <v>528</v>
      </c>
      <c r="D158" s="20"/>
      <c r="E158" s="20"/>
      <c r="F158" s="20"/>
      <c r="G158" s="20"/>
      <c r="H158" s="20"/>
      <c r="I158" s="67" t="s">
        <v>160</v>
      </c>
      <c r="J158" s="583">
        <v>3</v>
      </c>
      <c r="K158" s="304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20"/>
      <c r="Y158" s="17"/>
      <c r="Z158" s="17"/>
      <c r="AA158" s="580"/>
      <c r="AB158" s="581">
        <v>12</v>
      </c>
      <c r="AC158" s="100">
        <v>157</v>
      </c>
      <c r="AD158" s="100" t="s">
        <v>523</v>
      </c>
      <c r="AE158" s="100">
        <v>6224</v>
      </c>
      <c r="AF158" s="100"/>
      <c r="AG158" s="217">
        <v>209</v>
      </c>
      <c r="AH158" s="249">
        <v>233</v>
      </c>
      <c r="AI158" s="228" t="s">
        <v>410</v>
      </c>
      <c r="AJ158" s="228">
        <v>1960</v>
      </c>
      <c r="AK158" s="228">
        <v>19</v>
      </c>
      <c r="AL158" s="830">
        <v>137</v>
      </c>
      <c r="AM158" s="416"/>
      <c r="AN158" s="322">
        <v>1008</v>
      </c>
      <c r="AO158" s="465">
        <v>1009</v>
      </c>
      <c r="AP158" s="20"/>
      <c r="AQ158" s="20"/>
      <c r="AR158" s="20"/>
      <c r="AS158" s="20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</row>
    <row r="159" spans="1:64">
      <c r="A159" s="36"/>
      <c r="B159" s="20"/>
      <c r="C159" s="20" t="s">
        <v>529</v>
      </c>
      <c r="D159" s="20"/>
      <c r="E159" s="20"/>
      <c r="F159" s="20"/>
      <c r="G159" s="20"/>
      <c r="H159" s="20"/>
      <c r="I159" s="67" t="s">
        <v>160</v>
      </c>
      <c r="J159" s="577">
        <f>ROUND(J157+J158,0)</f>
        <v>26</v>
      </c>
      <c r="K159" s="304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20"/>
      <c r="Y159" s="17"/>
      <c r="Z159" s="17"/>
      <c r="AA159" s="580">
        <v>100</v>
      </c>
      <c r="AB159" s="581">
        <v>12</v>
      </c>
      <c r="AC159" s="100">
        <v>132</v>
      </c>
      <c r="AD159" s="100" t="s">
        <v>514</v>
      </c>
      <c r="AE159" s="100">
        <v>6224</v>
      </c>
      <c r="AF159" s="100"/>
      <c r="AG159" s="217">
        <v>233</v>
      </c>
      <c r="AH159" s="249">
        <v>259</v>
      </c>
      <c r="AI159" s="228" t="s">
        <v>410</v>
      </c>
      <c r="AJ159" s="228">
        <v>1960</v>
      </c>
      <c r="AK159" s="228">
        <v>20</v>
      </c>
      <c r="AL159" s="324">
        <v>152</v>
      </c>
      <c r="AM159" s="416"/>
      <c r="AN159" s="322">
        <v>1009</v>
      </c>
      <c r="AO159" s="465">
        <v>1035</v>
      </c>
      <c r="AP159" s="20"/>
      <c r="AQ159" s="20"/>
      <c r="AR159" s="20"/>
      <c r="AS159" s="20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</row>
    <row r="160" spans="1:64">
      <c r="A160" s="36"/>
      <c r="B160" s="20"/>
      <c r="C160" s="20"/>
      <c r="D160" s="20"/>
      <c r="E160" s="20"/>
      <c r="F160" s="20"/>
      <c r="G160" s="20"/>
      <c r="H160" s="20"/>
      <c r="I160" s="67"/>
      <c r="J160" s="19"/>
      <c r="K160" s="304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20"/>
      <c r="Y160" s="17"/>
      <c r="Z160" s="17"/>
      <c r="AA160" s="580"/>
      <c r="AB160" s="581">
        <v>12</v>
      </c>
      <c r="AC160" s="100">
        <v>157</v>
      </c>
      <c r="AD160" s="100" t="s">
        <v>523</v>
      </c>
      <c r="AE160" s="100">
        <v>6224</v>
      </c>
      <c r="AF160" s="100"/>
      <c r="AG160" s="217">
        <v>259</v>
      </c>
      <c r="AH160" s="249">
        <v>313</v>
      </c>
      <c r="AI160" s="228" t="s">
        <v>410</v>
      </c>
      <c r="AJ160" s="228">
        <v>1960</v>
      </c>
      <c r="AK160" s="228">
        <v>22</v>
      </c>
      <c r="AL160" s="830">
        <v>184</v>
      </c>
      <c r="AM160" s="416"/>
      <c r="AN160" s="322">
        <v>1035</v>
      </c>
      <c r="AO160" s="465">
        <v>1117</v>
      </c>
      <c r="AP160" s="20"/>
      <c r="AQ160" s="20"/>
      <c r="AR160" s="20"/>
      <c r="AS160" s="20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</row>
    <row r="161" spans="1:64">
      <c r="A161" s="36"/>
      <c r="B161" s="20" t="s">
        <v>530</v>
      </c>
      <c r="C161" s="20"/>
      <c r="D161" s="20"/>
      <c r="E161" s="20"/>
      <c r="F161" s="20"/>
      <c r="G161" s="20"/>
      <c r="H161" s="20"/>
      <c r="I161" s="67" t="s">
        <v>160</v>
      </c>
      <c r="J161" s="19">
        <f>J141/2</f>
        <v>200</v>
      </c>
      <c r="K161" s="304"/>
      <c r="L161" s="17"/>
      <c r="M161" s="17"/>
      <c r="N161" s="17"/>
      <c r="U161" s="17"/>
      <c r="V161" s="17"/>
      <c r="W161" s="17"/>
      <c r="X161" s="20"/>
      <c r="Y161" s="17"/>
      <c r="Z161" s="17"/>
      <c r="AA161" s="580">
        <v>125</v>
      </c>
      <c r="AB161" s="581">
        <v>12</v>
      </c>
      <c r="AC161" s="100">
        <v>132</v>
      </c>
      <c r="AD161" s="100" t="s">
        <v>514</v>
      </c>
      <c r="AE161" s="100">
        <v>6226</v>
      </c>
      <c r="AF161" s="100" t="s">
        <v>527</v>
      </c>
      <c r="AG161" s="217">
        <v>313</v>
      </c>
      <c r="AH161" s="249">
        <v>372</v>
      </c>
      <c r="AI161" s="228" t="s">
        <v>410</v>
      </c>
      <c r="AJ161" s="228">
        <v>1960</v>
      </c>
      <c r="AK161" s="228">
        <v>24</v>
      </c>
      <c r="AL161" s="830">
        <v>219</v>
      </c>
      <c r="AM161" s="416"/>
      <c r="AN161" s="322">
        <v>1117</v>
      </c>
      <c r="AO161" s="465">
        <v>1130</v>
      </c>
      <c r="AP161" s="20"/>
      <c r="AQ161" s="20"/>
      <c r="AR161" s="20"/>
      <c r="AS161" s="20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</row>
    <row r="162" spans="1:64">
      <c r="A162" s="36"/>
      <c r="B162" s="20"/>
      <c r="C162" s="20"/>
      <c r="D162" s="20"/>
      <c r="E162" s="20"/>
      <c r="F162" s="20" t="s">
        <v>531</v>
      </c>
      <c r="G162" s="20"/>
      <c r="H162" s="20"/>
      <c r="I162" s="67"/>
      <c r="J162" s="19"/>
      <c r="K162" s="304"/>
      <c r="L162" s="17"/>
      <c r="M162" s="17"/>
      <c r="N162" s="17"/>
      <c r="U162" s="17"/>
      <c r="V162" s="17"/>
      <c r="W162" s="17"/>
      <c r="X162" s="20"/>
      <c r="Y162" s="17"/>
      <c r="Z162" s="17"/>
      <c r="AA162" s="580"/>
      <c r="AB162" s="581">
        <v>12</v>
      </c>
      <c r="AC162" s="100">
        <v>157</v>
      </c>
      <c r="AD162" s="100" t="s">
        <v>523</v>
      </c>
      <c r="AE162" s="100">
        <v>6226</v>
      </c>
      <c r="AF162" s="100" t="s">
        <v>517</v>
      </c>
      <c r="AG162" s="217">
        <v>372</v>
      </c>
      <c r="AH162" s="249">
        <v>437</v>
      </c>
      <c r="AI162" s="228" t="s">
        <v>410</v>
      </c>
      <c r="AJ162" s="228">
        <v>1960</v>
      </c>
      <c r="AK162" s="228">
        <v>26</v>
      </c>
      <c r="AL162" s="830">
        <v>257</v>
      </c>
      <c r="AM162" s="416"/>
      <c r="AN162" s="322">
        <v>1130</v>
      </c>
      <c r="AO162" s="465">
        <v>1221</v>
      </c>
      <c r="AP162" s="20"/>
      <c r="AQ162" s="20"/>
      <c r="AR162" s="20"/>
      <c r="AS162" s="20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</row>
    <row r="163" spans="1:64">
      <c r="A163" s="36"/>
      <c r="B163" s="20" t="s">
        <v>303</v>
      </c>
      <c r="C163" s="20"/>
      <c r="D163" s="20"/>
      <c r="E163" s="20"/>
      <c r="F163" s="20"/>
      <c r="G163" s="20"/>
      <c r="H163" s="20"/>
      <c r="I163" s="67"/>
      <c r="J163" s="19"/>
      <c r="K163" s="304"/>
      <c r="L163" s="17"/>
      <c r="M163" s="17"/>
      <c r="N163" s="17"/>
      <c r="U163" s="17"/>
      <c r="V163" s="17"/>
      <c r="W163" s="17"/>
      <c r="X163" s="20"/>
      <c r="Y163" s="17"/>
      <c r="Z163" s="17"/>
      <c r="AA163" s="580">
        <v>140</v>
      </c>
      <c r="AB163" s="581">
        <v>12</v>
      </c>
      <c r="AC163" s="100">
        <v>157</v>
      </c>
      <c r="AD163" s="100" t="s">
        <v>523</v>
      </c>
      <c r="AE163" s="100">
        <v>6228</v>
      </c>
      <c r="AF163" s="100" t="s">
        <v>532</v>
      </c>
      <c r="AG163" s="217">
        <v>437</v>
      </c>
      <c r="AH163" s="249">
        <v>507</v>
      </c>
      <c r="AI163" s="228" t="s">
        <v>410</v>
      </c>
      <c r="AJ163" s="228">
        <v>1960</v>
      </c>
      <c r="AK163" s="228">
        <v>28</v>
      </c>
      <c r="AL163" s="830">
        <v>298</v>
      </c>
      <c r="AM163" s="416"/>
      <c r="AN163" s="322">
        <v>1221</v>
      </c>
      <c r="AO163" s="465">
        <v>1252</v>
      </c>
      <c r="AP163" s="20"/>
      <c r="AQ163" s="20"/>
      <c r="AR163" s="20"/>
      <c r="AS163" s="20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</row>
    <row r="164" spans="1:64">
      <c r="A164" s="36"/>
      <c r="B164" s="67" t="s">
        <v>533</v>
      </c>
      <c r="C164" s="20" t="s">
        <v>534</v>
      </c>
      <c r="D164" s="20"/>
      <c r="E164" s="20"/>
      <c r="F164" s="20"/>
      <c r="G164" s="20"/>
      <c r="H164" s="20"/>
      <c r="I164" s="67" t="s">
        <v>160</v>
      </c>
      <c r="J164" s="577">
        <f>F109+3</f>
        <v>21</v>
      </c>
      <c r="K164" s="304"/>
      <c r="L164" s="20"/>
      <c r="M164" s="20"/>
      <c r="N164" s="17"/>
      <c r="U164" s="17"/>
      <c r="V164" s="17"/>
      <c r="W164" s="17"/>
      <c r="X164" s="20"/>
      <c r="Y164" s="17"/>
      <c r="Z164" s="17"/>
      <c r="AA164" s="580"/>
      <c r="AB164" s="581">
        <v>12</v>
      </c>
      <c r="AC164" s="100">
        <v>210</v>
      </c>
      <c r="AD164" s="100" t="s">
        <v>535</v>
      </c>
      <c r="AE164" s="100">
        <v>6228</v>
      </c>
      <c r="AF164" s="100" t="s">
        <v>536</v>
      </c>
      <c r="AG164" s="217">
        <v>507</v>
      </c>
      <c r="AH164" s="249">
        <v>662</v>
      </c>
      <c r="AI164" s="228" t="s">
        <v>410</v>
      </c>
      <c r="AJ164" s="228">
        <v>1960</v>
      </c>
      <c r="AK164" s="228">
        <v>32</v>
      </c>
      <c r="AL164" s="830">
        <v>389</v>
      </c>
      <c r="AM164" s="416"/>
      <c r="AN164" s="322">
        <v>1252</v>
      </c>
      <c r="AO164" s="338">
        <v>1345</v>
      </c>
      <c r="AP164" s="20"/>
      <c r="AQ164" s="20"/>
      <c r="AR164" s="20"/>
      <c r="AS164" s="20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</row>
    <row r="165" spans="1:64" ht="14.65" thickBot="1">
      <c r="A165" s="36"/>
      <c r="B165" s="67" t="s">
        <v>537</v>
      </c>
      <c r="C165" s="20" t="s">
        <v>538</v>
      </c>
      <c r="D165" s="20"/>
      <c r="E165" s="20"/>
      <c r="F165" s="20"/>
      <c r="G165" s="20"/>
      <c r="H165" s="20"/>
      <c r="I165" s="67" t="s">
        <v>160</v>
      </c>
      <c r="J165" s="577">
        <f>J145</f>
        <v>250</v>
      </c>
      <c r="K165" s="304"/>
      <c r="L165" s="20"/>
      <c r="M165" s="20"/>
      <c r="N165" s="17"/>
      <c r="U165" s="17"/>
      <c r="V165" s="17"/>
      <c r="W165" s="17"/>
      <c r="X165" s="20"/>
      <c r="Y165" s="17"/>
      <c r="Z165" s="17"/>
      <c r="AA165" s="587">
        <v>160</v>
      </c>
      <c r="AB165" s="588">
        <v>12</v>
      </c>
      <c r="AC165" s="104">
        <v>210</v>
      </c>
      <c r="AD165" s="104" t="s">
        <v>535</v>
      </c>
      <c r="AE165" s="104">
        <v>6228</v>
      </c>
      <c r="AF165" s="104"/>
      <c r="AG165" s="217">
        <v>662</v>
      </c>
      <c r="AH165" s="249">
        <v>838</v>
      </c>
      <c r="AI165" s="228" t="s">
        <v>410</v>
      </c>
      <c r="AJ165" s="228">
        <v>1960</v>
      </c>
      <c r="AK165" s="228">
        <v>36</v>
      </c>
      <c r="AL165" s="830">
        <v>493</v>
      </c>
      <c r="AM165" s="416"/>
      <c r="AN165" s="311">
        <v>1345</v>
      </c>
      <c r="AO165" s="338">
        <v>1352</v>
      </c>
      <c r="AP165" s="20"/>
      <c r="AQ165" s="20"/>
      <c r="AR165" s="20"/>
      <c r="AS165" s="20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</row>
    <row r="166" spans="1:64">
      <c r="A166" s="36"/>
      <c r="B166" s="67" t="s">
        <v>539</v>
      </c>
      <c r="C166" s="20" t="s">
        <v>540</v>
      </c>
      <c r="D166" s="20"/>
      <c r="E166" s="20"/>
      <c r="F166" s="20"/>
      <c r="G166" s="20"/>
      <c r="H166" s="20"/>
      <c r="I166" s="67" t="s">
        <v>160</v>
      </c>
      <c r="J166" s="583">
        <v>100</v>
      </c>
      <c r="K166" s="304"/>
      <c r="L166" s="20"/>
      <c r="M166" s="20"/>
      <c r="N166" s="17"/>
      <c r="U166" s="17"/>
      <c r="V166" s="17"/>
      <c r="W166" s="17"/>
      <c r="X166" s="20"/>
      <c r="Y166" s="17"/>
      <c r="Z166" s="17"/>
      <c r="AG166" s="217">
        <v>838</v>
      </c>
      <c r="AH166" s="249">
        <v>934</v>
      </c>
      <c r="AI166" s="228" t="s">
        <v>410</v>
      </c>
      <c r="AJ166" s="228">
        <v>1960</v>
      </c>
      <c r="AK166" s="228">
        <v>38</v>
      </c>
      <c r="AL166" s="830">
        <v>549</v>
      </c>
      <c r="AM166" s="416"/>
      <c r="AN166" s="311">
        <v>1352</v>
      </c>
      <c r="AO166" s="465">
        <v>1453</v>
      </c>
      <c r="AP166" s="20"/>
      <c r="AQ166" s="20"/>
      <c r="AR166" s="20"/>
      <c r="AS166" s="20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</row>
    <row r="167" spans="1:64" ht="14.65" thickBot="1">
      <c r="A167" s="36"/>
      <c r="B167" s="67" t="s">
        <v>541</v>
      </c>
      <c r="C167" s="20" t="s">
        <v>783</v>
      </c>
      <c r="D167" s="20"/>
      <c r="E167" s="20"/>
      <c r="F167" s="20"/>
      <c r="G167" s="20"/>
      <c r="H167" s="20"/>
      <c r="I167" s="67" t="s">
        <v>160</v>
      </c>
      <c r="J167" s="863">
        <v>1</v>
      </c>
      <c r="K167" s="304"/>
      <c r="L167" s="20"/>
      <c r="M167" s="20"/>
      <c r="N167" s="17"/>
      <c r="U167" s="17"/>
      <c r="V167" s="17"/>
      <c r="W167" s="17"/>
      <c r="X167" s="20"/>
      <c r="Y167" s="17"/>
      <c r="Z167" s="17"/>
      <c r="AG167" s="217">
        <v>934</v>
      </c>
      <c r="AH167" s="249">
        <v>1035</v>
      </c>
      <c r="AI167" s="228" t="s">
        <v>410</v>
      </c>
      <c r="AJ167" s="228">
        <v>1960</v>
      </c>
      <c r="AK167" s="228">
        <v>40</v>
      </c>
      <c r="AL167" s="830">
        <v>608</v>
      </c>
      <c r="AM167" s="416"/>
      <c r="AN167" s="322">
        <v>1453</v>
      </c>
      <c r="AO167" s="465">
        <v>1490</v>
      </c>
      <c r="AP167" s="20"/>
      <c r="AQ167" s="20"/>
      <c r="AR167" s="20"/>
      <c r="AS167" s="20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</row>
    <row r="168" spans="1:64" ht="14.65" thickBot="1">
      <c r="A168" s="36"/>
      <c r="B168" s="67"/>
      <c r="C168" s="20"/>
      <c r="D168" s="20"/>
      <c r="E168" s="20"/>
      <c r="F168" s="20"/>
      <c r="G168" s="20"/>
      <c r="H168" s="20"/>
      <c r="I168" s="67"/>
      <c r="J168" s="19"/>
      <c r="K168" s="304"/>
      <c r="L168" s="20"/>
      <c r="M168" s="20"/>
      <c r="N168" s="17"/>
      <c r="S168" s="792">
        <f>+U260</f>
        <v>26.2</v>
      </c>
      <c r="T168" s="595" t="s">
        <v>548</v>
      </c>
      <c r="U168" s="264" t="s">
        <v>549</v>
      </c>
      <c r="W168" s="17"/>
      <c r="X168" s="20"/>
      <c r="Y168" s="17"/>
      <c r="Z168" s="17"/>
      <c r="AG168" s="217">
        <v>1035</v>
      </c>
      <c r="AH168" s="249">
        <v>1252</v>
      </c>
      <c r="AI168" s="228" t="s">
        <v>410</v>
      </c>
      <c r="AJ168" s="228">
        <v>1960</v>
      </c>
      <c r="AK168" s="228">
        <v>44</v>
      </c>
      <c r="AL168" s="830">
        <v>736</v>
      </c>
      <c r="AM168" s="416"/>
      <c r="AN168" s="322">
        <v>1490</v>
      </c>
      <c r="AO168" s="338">
        <v>1579</v>
      </c>
      <c r="AP168" s="20"/>
      <c r="AQ168" s="20"/>
      <c r="AR168" s="20"/>
      <c r="AS168" s="20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</row>
    <row r="169" spans="1:64">
      <c r="A169" s="36"/>
      <c r="B169" s="88" t="s">
        <v>525</v>
      </c>
      <c r="C169" s="20"/>
      <c r="D169" s="20"/>
      <c r="E169" s="20"/>
      <c r="F169" s="20"/>
      <c r="G169" s="20"/>
      <c r="H169" s="20"/>
      <c r="I169" s="67"/>
      <c r="J169" s="19"/>
      <c r="K169" s="304"/>
      <c r="L169" s="20"/>
      <c r="M169" s="20"/>
      <c r="N169" s="17"/>
      <c r="R169" s="596" t="str">
        <f>IF(J132=S169,"◎≈→","")</f>
        <v/>
      </c>
      <c r="S169" s="109">
        <v>168.3</v>
      </c>
      <c r="T169" s="597">
        <v>0</v>
      </c>
      <c r="U169" s="598">
        <v>7.1</v>
      </c>
      <c r="V169" s="599" t="str">
        <f>IF(J191=U169,"←◎◎","")</f>
        <v/>
      </c>
      <c r="W169" s="17"/>
      <c r="X169" s="20"/>
      <c r="Y169" s="17"/>
      <c r="Z169" s="17"/>
      <c r="AG169" s="217">
        <v>1252</v>
      </c>
      <c r="AH169" s="249">
        <v>1490</v>
      </c>
      <c r="AI169" s="228" t="s">
        <v>410</v>
      </c>
      <c r="AJ169" s="228">
        <v>1960</v>
      </c>
      <c r="AK169" s="228">
        <v>48</v>
      </c>
      <c r="AL169" s="830">
        <v>876</v>
      </c>
      <c r="AM169" s="416"/>
      <c r="AN169" s="311">
        <v>1579</v>
      </c>
      <c r="AO169" s="338">
        <v>1609</v>
      </c>
      <c r="AP169" s="20"/>
      <c r="AQ169" s="20"/>
      <c r="AR169" s="20"/>
      <c r="AS169" s="20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</row>
    <row r="170" spans="1:64">
      <c r="A170" s="36"/>
      <c r="B170" s="20"/>
      <c r="C170" s="88" t="s">
        <v>543</v>
      </c>
      <c r="D170" s="88"/>
      <c r="E170" s="20"/>
      <c r="F170" s="20"/>
      <c r="G170" s="20"/>
      <c r="H170" s="20"/>
      <c r="I170" s="67" t="s">
        <v>160</v>
      </c>
      <c r="J170" s="864">
        <f>(2*J159/J167*J164)+J165+(2*J166)</f>
        <v>1542</v>
      </c>
      <c r="K170" s="304"/>
      <c r="L170" s="865">
        <f>J171/J132</f>
        <v>3.813976377952756</v>
      </c>
      <c r="M170" s="866" t="s">
        <v>545</v>
      </c>
      <c r="N170" s="20" t="s">
        <v>2779</v>
      </c>
      <c r="S170" s="602" t="s">
        <v>512</v>
      </c>
      <c r="T170" s="603">
        <v>7.1</v>
      </c>
      <c r="U170" s="604">
        <v>11</v>
      </c>
      <c r="V170" s="599" t="str">
        <f>IF(J191=U170,"←◎◎","")</f>
        <v/>
      </c>
      <c r="W170" s="17"/>
      <c r="X170" s="20"/>
      <c r="Y170" s="17"/>
      <c r="Z170" s="17"/>
      <c r="AG170" s="217">
        <v>1490</v>
      </c>
      <c r="AH170" s="249">
        <v>1748</v>
      </c>
      <c r="AI170" s="228" t="s">
        <v>410</v>
      </c>
      <c r="AJ170" s="228">
        <v>1960</v>
      </c>
      <c r="AK170" s="228">
        <v>52</v>
      </c>
      <c r="AL170" s="830">
        <v>1028</v>
      </c>
      <c r="AM170" s="416"/>
      <c r="AN170" s="311">
        <v>1609</v>
      </c>
      <c r="AO170" s="465">
        <v>1705</v>
      </c>
      <c r="AP170" s="20"/>
      <c r="AQ170" s="20"/>
      <c r="AR170" s="20"/>
      <c r="AS170" s="20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</row>
    <row r="171" spans="1:64">
      <c r="A171" s="36"/>
      <c r="B171" s="20"/>
      <c r="C171" s="88" t="s">
        <v>544</v>
      </c>
      <c r="D171" s="88"/>
      <c r="E171" s="20"/>
      <c r="F171" s="20"/>
      <c r="G171" s="20"/>
      <c r="H171" s="20"/>
      <c r="I171" s="67" t="s">
        <v>160</v>
      </c>
      <c r="J171" s="867">
        <f>ROUNDUP(J170,-1)</f>
        <v>1550</v>
      </c>
      <c r="K171" s="304"/>
      <c r="L171" s="20"/>
      <c r="M171" s="20"/>
      <c r="N171" s="20"/>
      <c r="S171" s="602" t="b">
        <f>IF(J132=168.3,VLOOKUP(J190,T169:T173,1))</f>
        <v>0</v>
      </c>
      <c r="T171" s="603">
        <v>11</v>
      </c>
      <c r="U171" s="604">
        <v>14.3</v>
      </c>
      <c r="V171" s="599" t="str">
        <f>IF(J191=U171,"←◎◎","")</f>
        <v/>
      </c>
      <c r="W171" s="17"/>
      <c r="X171" s="20"/>
      <c r="Y171" s="17"/>
      <c r="Z171" s="17"/>
      <c r="AG171" s="217">
        <v>1748</v>
      </c>
      <c r="AH171" s="249">
        <v>2028</v>
      </c>
      <c r="AI171" s="228" t="s">
        <v>410</v>
      </c>
      <c r="AJ171" s="228">
        <v>1960</v>
      </c>
      <c r="AK171" s="228">
        <v>56</v>
      </c>
      <c r="AL171" s="830">
        <v>1192</v>
      </c>
      <c r="AM171" s="416"/>
      <c r="AN171" s="322">
        <v>1705</v>
      </c>
      <c r="AO171" s="465">
        <v>1748</v>
      </c>
      <c r="AP171" s="20"/>
      <c r="AQ171" s="20"/>
      <c r="AR171" s="20"/>
      <c r="AS171" s="20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</row>
    <row r="172" spans="1:64">
      <c r="A172" s="36"/>
      <c r="B172" s="20"/>
      <c r="C172" s="88"/>
      <c r="D172" s="88"/>
      <c r="E172" s="20"/>
      <c r="F172" s="20"/>
      <c r="G172" s="20"/>
      <c r="H172" s="20"/>
      <c r="I172" s="793"/>
      <c r="J172" s="3749" t="str">
        <f>IF(L170&lt;7,"SAFE","Not-SAFE")</f>
        <v>SAFE</v>
      </c>
      <c r="K172" s="594"/>
      <c r="L172" s="20"/>
      <c r="M172" s="20"/>
      <c r="N172" s="17"/>
      <c r="R172" s="596"/>
      <c r="S172" s="606" t="s">
        <v>507</v>
      </c>
      <c r="T172" s="603">
        <v>14.3</v>
      </c>
      <c r="U172" s="604">
        <v>18.3</v>
      </c>
      <c r="V172" s="599" t="str">
        <f>IF(J191=U172,"←◎◎","")</f>
        <v/>
      </c>
      <c r="W172" s="17"/>
      <c r="X172" s="20"/>
      <c r="Y172" s="17"/>
      <c r="Z172" s="17"/>
      <c r="AG172" s="217">
        <v>2028</v>
      </c>
      <c r="AH172" s="249">
        <v>2328</v>
      </c>
      <c r="AI172" s="228" t="s">
        <v>410</v>
      </c>
      <c r="AJ172" s="228">
        <v>1960</v>
      </c>
      <c r="AK172" s="228">
        <v>60</v>
      </c>
      <c r="AL172" s="830">
        <v>1369</v>
      </c>
      <c r="AM172" s="416"/>
      <c r="AN172" s="322">
        <v>1748</v>
      </c>
      <c r="AO172" s="338">
        <v>1831</v>
      </c>
      <c r="AP172" s="20"/>
      <c r="AQ172" s="20"/>
      <c r="AR172" s="20"/>
      <c r="AS172" s="20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</row>
    <row r="173" spans="1:64" ht="14.65" thickBot="1">
      <c r="A173" s="36"/>
      <c r="B173" s="20"/>
      <c r="C173" s="88"/>
      <c r="D173" s="88"/>
      <c r="E173" s="20"/>
      <c r="F173" s="20"/>
      <c r="G173" s="20"/>
      <c r="H173" s="20"/>
      <c r="I173" s="521"/>
      <c r="J173" s="3749"/>
      <c r="K173" s="594"/>
      <c r="L173" s="20"/>
      <c r="M173" s="20"/>
      <c r="N173" s="17"/>
      <c r="S173" s="607" t="e">
        <f>VLOOKUP(S171,T169:U173,2,0)</f>
        <v>#N/A</v>
      </c>
      <c r="T173" s="608">
        <v>18.3</v>
      </c>
      <c r="U173" s="609">
        <v>21.9</v>
      </c>
      <c r="V173" s="599" t="str">
        <f>IF(J191=U173,"←◎◎","")</f>
        <v/>
      </c>
      <c r="W173" s="17"/>
      <c r="X173" s="20"/>
      <c r="Y173" s="17"/>
      <c r="Z173" s="17"/>
      <c r="AG173" s="217">
        <v>2328</v>
      </c>
      <c r="AH173" s="249">
        <v>2648</v>
      </c>
      <c r="AI173" s="228" t="s">
        <v>410</v>
      </c>
      <c r="AJ173" s="228">
        <v>1960</v>
      </c>
      <c r="AK173" s="228">
        <v>64</v>
      </c>
      <c r="AL173" s="830">
        <v>1557</v>
      </c>
      <c r="AM173" s="416"/>
      <c r="AN173" s="311">
        <v>1831</v>
      </c>
      <c r="AO173" s="338">
        <v>1888</v>
      </c>
      <c r="AP173" s="20"/>
      <c r="AQ173" s="20"/>
      <c r="AR173" s="20"/>
      <c r="AS173" s="20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</row>
    <row r="174" spans="1:64" ht="14.65" thickBot="1">
      <c r="A174" s="36"/>
      <c r="B174" s="20"/>
      <c r="C174" s="88"/>
      <c r="D174" s="88"/>
      <c r="E174" s="20"/>
      <c r="F174" s="20"/>
      <c r="G174" s="20"/>
      <c r="H174" s="20"/>
      <c r="I174" s="20"/>
      <c r="J174" s="25"/>
      <c r="K174" s="304"/>
      <c r="L174" s="20"/>
      <c r="M174" s="20"/>
      <c r="N174" s="17"/>
      <c r="R174" s="596" t="str">
        <f>IF(J132=S174,"◎≈→","")</f>
        <v/>
      </c>
      <c r="S174" s="612">
        <v>219.1</v>
      </c>
      <c r="T174" s="613">
        <v>0</v>
      </c>
      <c r="U174" s="614">
        <v>6.4</v>
      </c>
      <c r="V174" s="599" t="str">
        <f>IF(J191=U174,"←◎◎","")</f>
        <v/>
      </c>
      <c r="W174" s="17"/>
      <c r="X174" s="20"/>
      <c r="Y174" s="17"/>
      <c r="Z174" s="17"/>
      <c r="AG174" s="217">
        <v>2648</v>
      </c>
      <c r="AH174" s="249">
        <v>2990</v>
      </c>
      <c r="AI174" s="228" t="s">
        <v>410</v>
      </c>
      <c r="AJ174" s="228">
        <v>1960</v>
      </c>
      <c r="AK174" s="228">
        <v>68</v>
      </c>
      <c r="AL174" s="830">
        <v>1758</v>
      </c>
      <c r="AM174" s="416"/>
      <c r="AN174" s="311">
        <v>1888</v>
      </c>
      <c r="AO174" s="465">
        <v>1978</v>
      </c>
      <c r="AP174" s="20"/>
      <c r="AQ174" s="20"/>
      <c r="AR174" s="20"/>
      <c r="AS174" s="20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</row>
    <row r="175" spans="1:64">
      <c r="A175" s="3769" t="s">
        <v>1</v>
      </c>
      <c r="B175" s="3770"/>
      <c r="C175" s="3770"/>
      <c r="D175" s="3770"/>
      <c r="E175" s="3771"/>
      <c r="F175" s="3735" t="s">
        <v>109</v>
      </c>
      <c r="G175" s="3736"/>
      <c r="H175" s="3737"/>
      <c r="I175" s="3738" t="s">
        <v>2</v>
      </c>
      <c r="J175" s="3739"/>
      <c r="K175" s="3740"/>
      <c r="L175" s="20"/>
      <c r="M175" s="20"/>
      <c r="N175" s="17"/>
      <c r="S175" s="602"/>
      <c r="T175" s="603">
        <v>6.4</v>
      </c>
      <c r="U175" s="604">
        <v>7</v>
      </c>
      <c r="V175" s="599" t="str">
        <f>IF(J191=U175,"←◎◎","")</f>
        <v/>
      </c>
      <c r="W175" s="17"/>
      <c r="X175" s="20"/>
      <c r="Y175" s="17"/>
      <c r="Z175" s="17"/>
      <c r="AG175" s="217">
        <v>2990</v>
      </c>
      <c r="AH175" s="249">
        <v>3168</v>
      </c>
      <c r="AI175" s="228" t="s">
        <v>410</v>
      </c>
      <c r="AJ175" s="228">
        <v>1960</v>
      </c>
      <c r="AK175" s="228">
        <v>70</v>
      </c>
      <c r="AL175" s="830">
        <v>1863</v>
      </c>
      <c r="AM175" s="416"/>
      <c r="AN175" s="322">
        <v>1978</v>
      </c>
      <c r="AO175" s="465">
        <v>2028</v>
      </c>
      <c r="AP175" s="20"/>
      <c r="AQ175" s="20"/>
      <c r="AR175" s="20"/>
      <c r="AS175" s="20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</row>
    <row r="176" spans="1:64">
      <c r="A176" s="3741" t="s">
        <v>2786</v>
      </c>
      <c r="B176" s="3742"/>
      <c r="C176" s="3742"/>
      <c r="D176" s="3742"/>
      <c r="E176" s="3743"/>
      <c r="F176" s="3744" t="str">
        <f>F121</f>
        <v xml:space="preserve">25/15T D/G EOT CRANE  </v>
      </c>
      <c r="G176" s="3695"/>
      <c r="H176" s="3745"/>
      <c r="I176" s="3746">
        <f>I121</f>
        <v>0</v>
      </c>
      <c r="J176" s="3747"/>
      <c r="K176" s="3748"/>
      <c r="L176" s="20"/>
      <c r="M176" s="20"/>
      <c r="N176" s="17"/>
      <c r="S176" s="602" t="s">
        <v>512</v>
      </c>
      <c r="T176" s="603">
        <v>7</v>
      </c>
      <c r="U176" s="604">
        <v>8.1999999999999993</v>
      </c>
      <c r="V176" s="599" t="str">
        <f>IF(J191=U176,"←◎◎","")</f>
        <v/>
      </c>
      <c r="W176" s="17"/>
      <c r="X176" s="20"/>
      <c r="Y176" s="17"/>
      <c r="Z176" s="17"/>
      <c r="AG176" s="217">
        <v>3168</v>
      </c>
      <c r="AH176" s="249">
        <v>3352</v>
      </c>
      <c r="AI176" s="228" t="s">
        <v>410</v>
      </c>
      <c r="AJ176" s="228">
        <v>1960</v>
      </c>
      <c r="AK176" s="228">
        <v>72</v>
      </c>
      <c r="AL176" s="830">
        <v>1971</v>
      </c>
      <c r="AM176" s="416"/>
      <c r="AN176" s="322">
        <v>2028</v>
      </c>
      <c r="AO176" s="338">
        <v>2102</v>
      </c>
      <c r="AP176" s="20"/>
      <c r="AQ176" s="20"/>
      <c r="AR176" s="20"/>
      <c r="AS176" s="20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</row>
    <row r="177" spans="1:64">
      <c r="A177" s="3763" t="e">
        <f>A122</f>
        <v>#REF!</v>
      </c>
      <c r="B177" s="3760"/>
      <c r="C177" s="3760"/>
      <c r="D177" s="3760"/>
      <c r="E177" s="3761"/>
      <c r="F177" s="3759" t="s">
        <v>122</v>
      </c>
      <c r="G177" s="3760"/>
      <c r="H177" s="3761"/>
      <c r="I177" s="3750" t="s">
        <v>784</v>
      </c>
      <c r="J177" s="3751"/>
      <c r="K177" s="3752"/>
      <c r="L177" s="20"/>
      <c r="M177" s="20"/>
      <c r="N177" s="20"/>
      <c r="S177" s="602" t="b">
        <f>IF(J132=219.1,VLOOKUP(J190,T175:T183,1))</f>
        <v>0</v>
      </c>
      <c r="T177" s="603">
        <v>8.1999999999999993</v>
      </c>
      <c r="U177" s="604">
        <v>10.3</v>
      </c>
      <c r="V177" s="599" t="str">
        <f>IF(J191=U177,"←◎◎","")</f>
        <v/>
      </c>
      <c r="W177" s="137"/>
      <c r="X177" s="137"/>
      <c r="Y177" s="137"/>
      <c r="Z177" s="137"/>
      <c r="AG177" s="217">
        <v>3352</v>
      </c>
      <c r="AH177" s="249">
        <v>3735</v>
      </c>
      <c r="AI177" s="228" t="s">
        <v>410</v>
      </c>
      <c r="AJ177" s="228">
        <v>1960</v>
      </c>
      <c r="AK177" s="228">
        <v>76</v>
      </c>
      <c r="AL177" s="830">
        <v>2196</v>
      </c>
      <c r="AM177" s="416"/>
      <c r="AN177" s="311">
        <v>2102</v>
      </c>
      <c r="AO177" s="338">
        <v>2190</v>
      </c>
      <c r="AP177" s="20"/>
      <c r="AQ177" s="20"/>
      <c r="AR177" s="20"/>
      <c r="AS177" s="20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</row>
    <row r="178" spans="1:64">
      <c r="A178" s="406" t="s">
        <v>32</v>
      </c>
      <c r="B178" s="407" t="e">
        <f>B87</f>
        <v>#REF!</v>
      </c>
      <c r="C178" s="407"/>
      <c r="D178" s="407"/>
      <c r="E178" s="408"/>
      <c r="F178" s="3762" t="str">
        <f>F123</f>
        <v xml:space="preserve"> </v>
      </c>
      <c r="G178" s="3742"/>
      <c r="H178" s="3743"/>
      <c r="I178" s="3753"/>
      <c r="J178" s="3754"/>
      <c r="K178" s="3755"/>
      <c r="L178" s="20"/>
      <c r="M178" s="20"/>
      <c r="N178" s="20"/>
      <c r="R178" s="17"/>
      <c r="S178" s="606" t="s">
        <v>507</v>
      </c>
      <c r="T178" s="603">
        <v>10.3</v>
      </c>
      <c r="U178" s="604">
        <v>12.7</v>
      </c>
      <c r="V178" s="599" t="str">
        <f>IF(J191=U178,"←◎◎","")</f>
        <v/>
      </c>
      <c r="W178" s="20"/>
      <c r="X178" s="493"/>
      <c r="Y178" s="20"/>
      <c r="Z178" s="17"/>
      <c r="AG178" s="217">
        <v>3735</v>
      </c>
      <c r="AH178" s="249">
        <v>4138</v>
      </c>
      <c r="AI178" s="228" t="s">
        <v>410</v>
      </c>
      <c r="AJ178" s="228">
        <v>1960</v>
      </c>
      <c r="AK178" s="228">
        <v>80</v>
      </c>
      <c r="AL178" s="830">
        <v>2433</v>
      </c>
      <c r="AM178" s="416"/>
      <c r="AN178" s="311">
        <v>2190</v>
      </c>
      <c r="AO178" s="465">
        <v>2270</v>
      </c>
      <c r="AP178" s="20"/>
      <c r="AQ178" s="20"/>
      <c r="AR178" s="20"/>
      <c r="AS178" s="20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</row>
    <row r="179" spans="1:64">
      <c r="A179" s="300"/>
      <c r="B179" s="600"/>
      <c r="C179" s="37"/>
      <c r="D179" s="37"/>
      <c r="E179" s="37"/>
      <c r="F179" s="37"/>
      <c r="G179" s="37"/>
      <c r="H179" s="37"/>
      <c r="I179" s="601"/>
      <c r="J179" s="37"/>
      <c r="K179" s="38"/>
      <c r="L179" s="20"/>
      <c r="M179" s="20"/>
      <c r="N179" s="20"/>
      <c r="R179" s="17"/>
      <c r="S179" s="624" t="e">
        <f>VLOOKUP(S177,T175:U183,2,0)</f>
        <v>#N/A</v>
      </c>
      <c r="T179" s="603">
        <v>12.7</v>
      </c>
      <c r="U179" s="604">
        <v>15.1</v>
      </c>
      <c r="V179" s="599" t="str">
        <f>IF(J191=U179,"←◎◎","")</f>
        <v/>
      </c>
      <c r="W179" s="20"/>
      <c r="X179" s="493"/>
      <c r="Y179" s="20"/>
      <c r="Z179" s="17"/>
      <c r="AG179" s="217">
        <v>4138</v>
      </c>
      <c r="AH179" s="249">
        <v>4562</v>
      </c>
      <c r="AI179" s="228" t="s">
        <v>410</v>
      </c>
      <c r="AJ179" s="228">
        <v>1960</v>
      </c>
      <c r="AK179" s="228">
        <v>84</v>
      </c>
      <c r="AL179" s="830">
        <v>2683</v>
      </c>
      <c r="AM179" s="416"/>
      <c r="AN179" s="322">
        <v>2270</v>
      </c>
      <c r="AO179" s="465">
        <v>2328</v>
      </c>
      <c r="AP179" s="20"/>
      <c r="AQ179" s="20"/>
      <c r="AR179" s="20"/>
      <c r="AS179" s="20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</row>
    <row r="180" spans="1:64" ht="14.65" thickBot="1">
      <c r="A180" s="36"/>
      <c r="B180" s="88" t="s">
        <v>550</v>
      </c>
      <c r="C180" s="20"/>
      <c r="D180" s="20"/>
      <c r="E180" s="20"/>
      <c r="F180" s="20"/>
      <c r="G180" s="20"/>
      <c r="H180" s="306" t="s">
        <v>551</v>
      </c>
      <c r="I180" s="25"/>
      <c r="J180" s="20"/>
      <c r="K180" s="868"/>
      <c r="L180" s="20"/>
      <c r="M180" s="20"/>
      <c r="N180" s="20"/>
      <c r="R180" s="17"/>
      <c r="S180" s="606"/>
      <c r="T180" s="603">
        <v>15.1</v>
      </c>
      <c r="U180" s="604">
        <v>18.3</v>
      </c>
      <c r="V180" s="599" t="str">
        <f>IF(J191=U180,"←◎◎","")</f>
        <v/>
      </c>
      <c r="W180" s="20"/>
      <c r="X180" s="493"/>
      <c r="Y180" s="20"/>
      <c r="Z180" s="17"/>
      <c r="AG180" s="217">
        <v>4562</v>
      </c>
      <c r="AH180" s="249">
        <v>4782</v>
      </c>
      <c r="AI180" s="228" t="s">
        <v>410</v>
      </c>
      <c r="AJ180" s="228">
        <v>1960</v>
      </c>
      <c r="AK180" s="228">
        <v>86</v>
      </c>
      <c r="AL180" s="836">
        <v>2812</v>
      </c>
      <c r="AM180" s="416"/>
      <c r="AN180" s="322">
        <v>2328</v>
      </c>
      <c r="AO180" s="338">
        <v>2392</v>
      </c>
      <c r="AP180" s="20"/>
      <c r="AQ180" s="20"/>
      <c r="AR180" s="20"/>
      <c r="AS180" s="20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</row>
    <row r="181" spans="1:64">
      <c r="A181" s="36"/>
      <c r="B181" s="605"/>
      <c r="C181" s="20"/>
      <c r="D181" s="20"/>
      <c r="E181" s="20"/>
      <c r="F181" s="20"/>
      <c r="G181" s="20"/>
      <c r="H181" s="20" t="s">
        <v>785</v>
      </c>
      <c r="I181" s="25"/>
      <c r="J181" s="20"/>
      <c r="K181" s="868"/>
      <c r="L181" s="20"/>
      <c r="M181" s="20"/>
      <c r="N181" s="20"/>
      <c r="R181" s="17"/>
      <c r="S181" s="606"/>
      <c r="T181" s="603">
        <v>18.3</v>
      </c>
      <c r="U181" s="604">
        <v>20.6</v>
      </c>
      <c r="V181" s="599" t="str">
        <f>IF(J191=U181,"←◎◎","")</f>
        <v/>
      </c>
      <c r="Y181" s="20"/>
      <c r="Z181" s="17"/>
      <c r="AG181" s="67">
        <v>0</v>
      </c>
      <c r="AH181" s="252">
        <v>45</v>
      </c>
      <c r="AI181" s="259" t="s">
        <v>404</v>
      </c>
      <c r="AJ181" s="259">
        <v>1960</v>
      </c>
      <c r="AK181" s="259">
        <v>8</v>
      </c>
      <c r="AL181" s="101">
        <v>26.8</v>
      </c>
      <c r="AM181" s="416"/>
      <c r="AN181" s="311">
        <v>2392</v>
      </c>
      <c r="AO181" s="338">
        <v>2514</v>
      </c>
      <c r="AP181" s="20"/>
      <c r="AQ181" s="20"/>
      <c r="AR181" s="20"/>
      <c r="AS181" s="20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</row>
    <row r="182" spans="1:64">
      <c r="A182" s="36"/>
      <c r="B182" s="20" t="s">
        <v>303</v>
      </c>
      <c r="C182" s="20"/>
      <c r="D182" s="20"/>
      <c r="E182" s="20"/>
      <c r="F182" s="20"/>
      <c r="G182" s="20"/>
      <c r="H182" s="20"/>
      <c r="I182" s="20"/>
      <c r="J182" s="530" t="str">
        <f>J126</f>
        <v>Seamless Tube</v>
      </c>
      <c r="K182" s="304"/>
      <c r="L182" s="20"/>
      <c r="M182" s="20"/>
      <c r="N182" s="20"/>
      <c r="R182" s="20"/>
      <c r="S182" s="606"/>
      <c r="T182" s="603">
        <v>20.6</v>
      </c>
      <c r="U182" s="604">
        <v>22.2</v>
      </c>
      <c r="V182" s="599" t="str">
        <f>IF(J191=U182,"←◎◎","")</f>
        <v/>
      </c>
      <c r="Y182" s="20"/>
      <c r="Z182" s="17"/>
      <c r="AG182" s="217">
        <v>45</v>
      </c>
      <c r="AH182" s="249">
        <v>57</v>
      </c>
      <c r="AI182" s="228" t="s">
        <v>404</v>
      </c>
      <c r="AJ182" s="228">
        <v>1960</v>
      </c>
      <c r="AK182" s="228">
        <v>9</v>
      </c>
      <c r="AL182" s="101">
        <v>33.9</v>
      </c>
      <c r="AM182" s="416"/>
      <c r="AN182" s="311">
        <v>2514</v>
      </c>
      <c r="AO182" s="465">
        <v>2583</v>
      </c>
      <c r="AP182" s="20"/>
      <c r="AQ182" s="20"/>
      <c r="AR182" s="20"/>
      <c r="AS182" s="20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</row>
    <row r="183" spans="1:64" ht="14.65" thickBot="1">
      <c r="A183" s="36"/>
      <c r="B183" s="20"/>
      <c r="C183" s="20" t="s">
        <v>553</v>
      </c>
      <c r="D183" s="20"/>
      <c r="E183" s="20"/>
      <c r="F183" s="20"/>
      <c r="G183" s="20"/>
      <c r="H183" s="20"/>
      <c r="I183" s="67" t="s">
        <v>160</v>
      </c>
      <c r="J183" s="577">
        <f>((J95+J96+J97)*1000)/J98</f>
        <v>3869.0625</v>
      </c>
      <c r="K183" s="304"/>
      <c r="L183" s="391" t="str">
        <f>HYPERLINK("\\Manish-pc\e\03 General\Manish\Selection\J_S_Tube.pdf","J S Tube")</f>
        <v>J S Tube</v>
      </c>
      <c r="M183" s="20"/>
      <c r="N183" s="20"/>
      <c r="R183" s="596"/>
      <c r="S183" s="631"/>
      <c r="T183" s="632">
        <v>22.2</v>
      </c>
      <c r="U183" s="633">
        <v>23</v>
      </c>
      <c r="V183" s="599" t="str">
        <f>IF(J191=U183,"←◎◎","")</f>
        <v/>
      </c>
      <c r="Y183" s="20"/>
      <c r="Z183" s="17"/>
      <c r="AG183" s="67">
        <v>57</v>
      </c>
      <c r="AH183" s="249">
        <v>70</v>
      </c>
      <c r="AI183" s="228" t="s">
        <v>404</v>
      </c>
      <c r="AJ183" s="228">
        <v>1960</v>
      </c>
      <c r="AK183" s="228">
        <v>10</v>
      </c>
      <c r="AL183" s="101">
        <v>41.8</v>
      </c>
      <c r="AM183" s="416"/>
      <c r="AN183" s="322">
        <v>2583</v>
      </c>
      <c r="AO183" s="465">
        <v>2648</v>
      </c>
      <c r="AP183" s="20"/>
      <c r="AQ183" s="20"/>
      <c r="AR183" s="20"/>
      <c r="AS183" s="20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</row>
    <row r="184" spans="1:64" ht="14.65" thickBot="1">
      <c r="A184" s="36"/>
      <c r="B184" s="20"/>
      <c r="C184" s="20" t="s">
        <v>555</v>
      </c>
      <c r="D184" s="20"/>
      <c r="E184" s="20"/>
      <c r="F184" s="20"/>
      <c r="G184" s="20"/>
      <c r="H184" s="20"/>
      <c r="I184" s="67" t="s">
        <v>160</v>
      </c>
      <c r="J184" s="794">
        <f>IF(J182="Fabricated",14,12.5)</f>
        <v>12.5</v>
      </c>
      <c r="K184" s="304"/>
      <c r="L184" s="266" t="str">
        <f>IF(J191&gt;J190,"Right","Wrong")</f>
        <v>Right</v>
      </c>
      <c r="N184" s="88"/>
      <c r="R184" s="596" t="str">
        <f>IF(J132=S184,"◎≈→","")</f>
        <v/>
      </c>
      <c r="S184" s="635">
        <v>273</v>
      </c>
      <c r="T184" s="636">
        <v>0</v>
      </c>
      <c r="U184" s="598">
        <v>6.4</v>
      </c>
      <c r="V184" s="599" t="str">
        <f>IF(J191=U184,"←◎◎","")</f>
        <v/>
      </c>
      <c r="Y184" s="20"/>
      <c r="Z184" s="17"/>
      <c r="AG184" s="217">
        <v>70</v>
      </c>
      <c r="AH184" s="249">
        <v>85</v>
      </c>
      <c r="AI184" s="228" t="s">
        <v>404</v>
      </c>
      <c r="AJ184" s="228">
        <v>1960</v>
      </c>
      <c r="AK184" s="228">
        <v>11</v>
      </c>
      <c r="AL184" s="101">
        <v>50.6</v>
      </c>
      <c r="AM184" s="416"/>
      <c r="AN184" s="322">
        <v>2648</v>
      </c>
      <c r="AO184" s="338">
        <v>2700</v>
      </c>
      <c r="AP184" s="20"/>
      <c r="AQ184" s="20"/>
      <c r="AR184" s="20"/>
      <c r="AS184" s="20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</row>
    <row r="185" spans="1:64" ht="14.65" thickBot="1">
      <c r="A185" s="36">
        <v>4</v>
      </c>
      <c r="B185" s="20" t="s">
        <v>525</v>
      </c>
      <c r="C185" s="20"/>
      <c r="D185" s="20"/>
      <c r="E185" s="20"/>
      <c r="F185" s="20"/>
      <c r="G185" s="20"/>
      <c r="H185" s="20"/>
      <c r="I185" s="67"/>
      <c r="J185" s="19"/>
      <c r="K185" s="20"/>
      <c r="L185" s="617" t="s">
        <v>556</v>
      </c>
      <c r="O185" s="610">
        <f>+P209</f>
        <v>25</v>
      </c>
      <c r="P185" s="611" t="s">
        <v>554</v>
      </c>
      <c r="R185" s="20"/>
      <c r="S185" s="602"/>
      <c r="T185" s="603">
        <v>6.4</v>
      </c>
      <c r="U185" s="604">
        <v>7.1</v>
      </c>
      <c r="V185" s="599" t="str">
        <f>IF(J191=U185,"←◎◎","")</f>
        <v/>
      </c>
      <c r="Y185" s="20"/>
      <c r="Z185" s="17"/>
      <c r="AG185" s="217">
        <v>85</v>
      </c>
      <c r="AH185" s="249">
        <v>101</v>
      </c>
      <c r="AI185" s="228" t="s">
        <v>404</v>
      </c>
      <c r="AJ185" s="228">
        <v>1960</v>
      </c>
      <c r="AK185" s="228">
        <v>12</v>
      </c>
      <c r="AL185" s="101">
        <v>60.2</v>
      </c>
      <c r="AM185" s="416"/>
      <c r="AN185" s="311">
        <v>2700</v>
      </c>
      <c r="AO185" s="338">
        <v>2860</v>
      </c>
      <c r="AP185" s="20"/>
      <c r="AQ185" s="20"/>
      <c r="AR185" s="20"/>
      <c r="AS185" s="20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</row>
    <row r="186" spans="1:64" ht="14.65" thickBot="1">
      <c r="A186" s="36"/>
      <c r="B186" s="67" t="s">
        <v>786</v>
      </c>
      <c r="C186" s="20" t="s">
        <v>558</v>
      </c>
      <c r="D186" s="20"/>
      <c r="E186" s="20"/>
      <c r="F186" s="20"/>
      <c r="G186" s="20"/>
      <c r="H186" s="20"/>
      <c r="I186" s="67" t="s">
        <v>160</v>
      </c>
      <c r="J186" s="619">
        <f>J183/(J184*J164)</f>
        <v>14.739285714285714</v>
      </c>
      <c r="K186" s="20"/>
      <c r="L186" s="620">
        <f>J132</f>
        <v>406.4</v>
      </c>
      <c r="O186" s="615">
        <v>0</v>
      </c>
      <c r="P186" s="616">
        <v>5</v>
      </c>
      <c r="R186" s="20"/>
      <c r="S186" s="602" t="s">
        <v>512</v>
      </c>
      <c r="T186" s="603">
        <v>7.1</v>
      </c>
      <c r="U186" s="604">
        <v>7.8</v>
      </c>
      <c r="V186" s="599" t="str">
        <f>IF(J191=U186,"←◎◎","")</f>
        <v/>
      </c>
      <c r="Y186" s="20"/>
      <c r="Z186" s="17"/>
      <c r="AG186" s="217">
        <v>101</v>
      </c>
      <c r="AH186" s="249">
        <v>118</v>
      </c>
      <c r="AI186" s="228" t="s">
        <v>404</v>
      </c>
      <c r="AJ186" s="228">
        <v>1960</v>
      </c>
      <c r="AK186" s="228">
        <v>13</v>
      </c>
      <c r="AL186" s="101">
        <v>70.069999999999993</v>
      </c>
      <c r="AM186" s="416"/>
      <c r="AN186" s="311">
        <v>2860</v>
      </c>
      <c r="AO186" s="338">
        <v>2861</v>
      </c>
      <c r="AP186" s="20"/>
      <c r="AQ186" s="20"/>
      <c r="AR186" s="20"/>
      <c r="AS186" s="20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</row>
    <row r="187" spans="1:64" ht="14.65" thickBot="1">
      <c r="A187" s="36"/>
      <c r="B187" s="20"/>
      <c r="C187" s="20" t="s">
        <v>559</v>
      </c>
      <c r="D187" s="20"/>
      <c r="E187" s="20"/>
      <c r="F187" s="20"/>
      <c r="G187" s="20"/>
      <c r="H187" s="20"/>
      <c r="I187" s="67" t="s">
        <v>160</v>
      </c>
      <c r="J187" s="619">
        <f>0.3*F109</f>
        <v>5.3999999999999995</v>
      </c>
      <c r="K187" s="20"/>
      <c r="L187" s="622">
        <f>IF(J182="Fabricated",O185,S168)</f>
        <v>26.2</v>
      </c>
      <c r="M187" s="20"/>
      <c r="N187" s="20"/>
      <c r="O187" s="618">
        <v>5</v>
      </c>
      <c r="P187" s="618">
        <v>6</v>
      </c>
      <c r="R187" s="20"/>
      <c r="S187" s="602" t="b">
        <f>IF(J132=273,VLOOKUP(J190,T185:T193,1))</f>
        <v>0</v>
      </c>
      <c r="T187" s="603">
        <v>7.8</v>
      </c>
      <c r="U187" s="604">
        <v>9.3000000000000007</v>
      </c>
      <c r="V187" s="599" t="str">
        <f>IF(J191=U187,"←◎◎","")</f>
        <v/>
      </c>
      <c r="Y187" s="20"/>
      <c r="Z187" s="17"/>
      <c r="AG187" s="217">
        <v>118</v>
      </c>
      <c r="AH187" s="249">
        <v>137</v>
      </c>
      <c r="AI187" s="228" t="s">
        <v>404</v>
      </c>
      <c r="AJ187" s="228">
        <v>1960</v>
      </c>
      <c r="AK187" s="228">
        <v>14</v>
      </c>
      <c r="AL187" s="101">
        <v>82</v>
      </c>
      <c r="AM187" s="416"/>
      <c r="AN187" s="311">
        <v>2861</v>
      </c>
      <c r="AO187" s="338">
        <v>2916</v>
      </c>
      <c r="AP187" s="20"/>
      <c r="AQ187" s="20"/>
      <c r="AR187" s="20"/>
      <c r="AS187" s="20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</row>
    <row r="188" spans="1:64" ht="14.65" thickBot="1">
      <c r="A188" s="36"/>
      <c r="B188" s="20"/>
      <c r="C188" s="20" t="s">
        <v>560</v>
      </c>
      <c r="D188" s="20"/>
      <c r="E188" s="20"/>
      <c r="F188" s="20"/>
      <c r="G188" s="20"/>
      <c r="H188" s="20"/>
      <c r="I188" s="67" t="s">
        <v>160</v>
      </c>
      <c r="J188" s="869">
        <v>3</v>
      </c>
      <c r="K188" s="304"/>
      <c r="L188" s="20"/>
      <c r="M188" s="20"/>
      <c r="N188" s="20"/>
      <c r="O188" s="618">
        <v>6</v>
      </c>
      <c r="P188" s="618">
        <v>7</v>
      </c>
      <c r="R188" s="20"/>
      <c r="S188" s="606" t="s">
        <v>507</v>
      </c>
      <c r="T188" s="603">
        <v>9.3000000000000007</v>
      </c>
      <c r="U188" s="604">
        <v>12.7</v>
      </c>
      <c r="V188" s="599" t="str">
        <f>IF(J191=U188,"←◎◎","")</f>
        <v/>
      </c>
      <c r="Y188" s="20"/>
      <c r="Z188" s="17"/>
      <c r="AG188" s="217">
        <v>137</v>
      </c>
      <c r="AH188" s="249">
        <v>179</v>
      </c>
      <c r="AI188" s="228" t="s">
        <v>404</v>
      </c>
      <c r="AJ188" s="228">
        <v>1960</v>
      </c>
      <c r="AK188" s="228">
        <v>16</v>
      </c>
      <c r="AL188" s="101">
        <v>107</v>
      </c>
      <c r="AM188" s="416"/>
      <c r="AN188" s="311">
        <v>2916</v>
      </c>
      <c r="AO188" s="338">
        <v>2990</v>
      </c>
      <c r="AP188" s="20"/>
      <c r="AQ188" s="20"/>
      <c r="AR188" s="20"/>
      <c r="AS188" s="20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</row>
    <row r="189" spans="1:64" ht="14.65" thickBot="1">
      <c r="A189" s="36"/>
      <c r="B189" s="20" t="s">
        <v>525</v>
      </c>
      <c r="C189" s="20"/>
      <c r="D189" s="20"/>
      <c r="E189" s="20"/>
      <c r="F189" s="20"/>
      <c r="G189" s="20"/>
      <c r="H189" s="20"/>
      <c r="I189" s="67"/>
      <c r="J189" s="19"/>
      <c r="K189" s="304"/>
      <c r="L189" s="625" t="s">
        <v>561</v>
      </c>
      <c r="M189" s="20"/>
      <c r="N189" s="20"/>
      <c r="O189" s="618">
        <v>7</v>
      </c>
      <c r="P189" s="618">
        <v>8</v>
      </c>
      <c r="R189" s="20"/>
      <c r="S189" s="624" t="e">
        <f>VLOOKUP(S187,T185:U193,2,0)</f>
        <v>#N/A</v>
      </c>
      <c r="T189" s="603">
        <v>12.7</v>
      </c>
      <c r="U189" s="604">
        <v>15.1</v>
      </c>
      <c r="V189" s="599" t="str">
        <f>IF(J191=U189,"←◎◎","")</f>
        <v/>
      </c>
      <c r="Y189" s="20"/>
      <c r="Z189" s="17"/>
      <c r="AG189" s="217">
        <v>179</v>
      </c>
      <c r="AH189" s="249">
        <v>226</v>
      </c>
      <c r="AI189" s="228" t="s">
        <v>404</v>
      </c>
      <c r="AJ189" s="228">
        <v>1960</v>
      </c>
      <c r="AK189" s="228">
        <v>18</v>
      </c>
      <c r="AL189" s="101">
        <v>135</v>
      </c>
      <c r="AM189" s="416"/>
      <c r="AN189" s="311">
        <v>2990</v>
      </c>
      <c r="AO189" s="338">
        <v>3027</v>
      </c>
      <c r="AP189" s="20"/>
      <c r="AQ189" s="20"/>
      <c r="AR189" s="20"/>
      <c r="AS189" s="20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</row>
    <row r="190" spans="1:64" ht="14.65" thickBot="1">
      <c r="A190" s="36"/>
      <c r="B190" s="20"/>
      <c r="C190" s="20" t="s">
        <v>562</v>
      </c>
      <c r="D190" s="20"/>
      <c r="E190" s="20"/>
      <c r="F190" s="20"/>
      <c r="G190" s="20"/>
      <c r="H190" s="20"/>
      <c r="I190" s="67" t="s">
        <v>160</v>
      </c>
      <c r="J190" s="626">
        <f>J186+J187+J188</f>
        <v>23.139285714285712</v>
      </c>
      <c r="K190" s="304"/>
      <c r="L190" s="627">
        <f>J186+J187</f>
        <v>20.139285714285712</v>
      </c>
      <c r="N190" s="20"/>
      <c r="O190" s="618">
        <v>8</v>
      </c>
      <c r="P190" s="618">
        <v>9</v>
      </c>
      <c r="R190" s="20"/>
      <c r="S190" s="606"/>
      <c r="T190" s="603">
        <v>15.1</v>
      </c>
      <c r="U190" s="604">
        <v>18.3</v>
      </c>
      <c r="V190" s="599" t="str">
        <f>IF(J191=U190,"←◎◎","")</f>
        <v/>
      </c>
      <c r="Y190" s="20"/>
      <c r="Z190" s="17"/>
      <c r="AG190" s="217">
        <v>226</v>
      </c>
      <c r="AH190" s="249">
        <v>252</v>
      </c>
      <c r="AI190" s="228" t="s">
        <v>404</v>
      </c>
      <c r="AJ190" s="228">
        <v>1960</v>
      </c>
      <c r="AK190" s="228">
        <v>19</v>
      </c>
      <c r="AL190" s="101">
        <v>151</v>
      </c>
      <c r="AM190" s="416"/>
      <c r="AN190" s="311">
        <v>3027</v>
      </c>
      <c r="AO190" s="338">
        <v>3090</v>
      </c>
      <c r="AP190" s="20"/>
      <c r="AQ190" s="20"/>
      <c r="AR190" s="20"/>
      <c r="AS190" s="20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</row>
    <row r="191" spans="1:64" ht="14.65" thickBot="1">
      <c r="A191" s="36"/>
      <c r="B191" s="20"/>
      <c r="C191" s="20" t="s">
        <v>563</v>
      </c>
      <c r="D191" s="20"/>
      <c r="E191" s="20"/>
      <c r="F191" s="20"/>
      <c r="G191" s="20"/>
      <c r="H191" s="20"/>
      <c r="I191" s="67" t="s">
        <v>160</v>
      </c>
      <c r="J191" s="628">
        <f>+L187</f>
        <v>26.2</v>
      </c>
      <c r="K191" s="304"/>
      <c r="L191" s="870">
        <f>IF('E Data'!D14&gt;0,(L190/J191),1)</f>
        <v>0.76867502726281345</v>
      </c>
      <c r="M191" s="137"/>
      <c r="N191" s="20"/>
      <c r="O191" s="618">
        <v>9</v>
      </c>
      <c r="P191" s="618">
        <v>10</v>
      </c>
      <c r="R191" s="20"/>
      <c r="S191" s="606"/>
      <c r="T191" s="603">
        <v>18.3</v>
      </c>
      <c r="U191" s="604">
        <v>21.4</v>
      </c>
      <c r="V191" s="599" t="str">
        <f>IF(J191=U191,"←◎◎","")</f>
        <v/>
      </c>
      <c r="Y191" s="20"/>
      <c r="Z191" s="17"/>
      <c r="AA191" s="17"/>
      <c r="AE191" s="17"/>
      <c r="AF191" s="17"/>
      <c r="AG191" s="217">
        <v>252</v>
      </c>
      <c r="AH191" s="249">
        <v>279</v>
      </c>
      <c r="AI191" s="228" t="s">
        <v>404</v>
      </c>
      <c r="AJ191" s="228">
        <v>1960</v>
      </c>
      <c r="AK191" s="228">
        <v>20</v>
      </c>
      <c r="AL191" s="338">
        <v>167</v>
      </c>
      <c r="AM191" s="416"/>
      <c r="AN191" s="311">
        <v>3090</v>
      </c>
      <c r="AO191" s="338">
        <v>3168</v>
      </c>
      <c r="AP191" s="20"/>
      <c r="AQ191" s="20"/>
      <c r="AR191" s="20"/>
      <c r="AS191" s="20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</row>
    <row r="192" spans="1:64" ht="14.65" thickBot="1">
      <c r="A192" s="36"/>
      <c r="B192" s="20"/>
      <c r="C192" s="20"/>
      <c r="D192" s="20"/>
      <c r="E192" s="20"/>
      <c r="F192" s="20"/>
      <c r="G192" s="20"/>
      <c r="H192" s="20"/>
      <c r="I192" s="20"/>
      <c r="J192" s="634"/>
      <c r="K192" s="304"/>
      <c r="L192" s="871">
        <f>J190/J191</f>
        <v>0.88317884405670666</v>
      </c>
      <c r="M192" s="88"/>
      <c r="N192" s="20"/>
      <c r="O192" s="618">
        <v>10</v>
      </c>
      <c r="P192" s="618">
        <v>12</v>
      </c>
      <c r="R192" s="20"/>
      <c r="S192" s="606"/>
      <c r="T192" s="603">
        <v>21.4</v>
      </c>
      <c r="U192" s="604">
        <v>25.4</v>
      </c>
      <c r="V192" s="599" t="str">
        <f>IF(J191=U192,"←◎◎","")</f>
        <v/>
      </c>
      <c r="Y192" s="20"/>
      <c r="Z192" s="17"/>
      <c r="AA192" s="17"/>
      <c r="AE192" s="17"/>
      <c r="AF192" s="17"/>
      <c r="AG192" s="217">
        <v>279</v>
      </c>
      <c r="AH192" s="249">
        <v>338</v>
      </c>
      <c r="AI192" s="228" t="s">
        <v>404</v>
      </c>
      <c r="AJ192" s="228">
        <v>1960</v>
      </c>
      <c r="AK192" s="228">
        <v>22</v>
      </c>
      <c r="AL192" s="101">
        <v>202</v>
      </c>
      <c r="AM192" s="416"/>
      <c r="AN192" s="311">
        <v>3168</v>
      </c>
      <c r="AO192" s="338">
        <v>3229</v>
      </c>
      <c r="AP192" s="20"/>
      <c r="AQ192" s="20"/>
      <c r="AR192" s="20"/>
      <c r="AS192" s="20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</row>
    <row r="193" spans="1:64" ht="14.65" thickBot="1">
      <c r="A193" s="36"/>
      <c r="B193" s="20" t="s">
        <v>787</v>
      </c>
      <c r="C193" s="20"/>
      <c r="D193" s="20"/>
      <c r="E193" s="20"/>
      <c r="F193" s="20"/>
      <c r="G193" s="20"/>
      <c r="H193" s="20"/>
      <c r="I193" s="20"/>
      <c r="J193" s="634"/>
      <c r="K193" s="304"/>
      <c r="M193" s="20"/>
      <c r="N193" s="20"/>
      <c r="O193" s="618">
        <v>12</v>
      </c>
      <c r="P193" s="618">
        <v>14</v>
      </c>
      <c r="R193" s="20"/>
      <c r="S193" s="637"/>
      <c r="T193" s="608">
        <v>25.4</v>
      </c>
      <c r="U193" s="609">
        <v>28.6</v>
      </c>
      <c r="V193" s="599" t="str">
        <f>IF(J191=U193,"←◎◎","")</f>
        <v/>
      </c>
      <c r="Y193" s="20"/>
      <c r="Z193" s="17"/>
      <c r="AA193" s="17"/>
      <c r="AE193" s="17"/>
      <c r="AF193" s="17"/>
      <c r="AG193" s="217">
        <v>338</v>
      </c>
      <c r="AH193" s="249">
        <v>402</v>
      </c>
      <c r="AI193" s="228" t="s">
        <v>404</v>
      </c>
      <c r="AJ193" s="228">
        <v>1960</v>
      </c>
      <c r="AK193" s="228">
        <v>24</v>
      </c>
      <c r="AL193" s="101">
        <v>241</v>
      </c>
      <c r="AM193" s="416"/>
      <c r="AN193" s="311">
        <v>3229</v>
      </c>
      <c r="AO193" s="338">
        <v>3269</v>
      </c>
      <c r="AP193" s="20"/>
      <c r="AQ193" s="20"/>
      <c r="AR193" s="20"/>
      <c r="AS193" s="20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</row>
    <row r="194" spans="1:64">
      <c r="A194" s="36"/>
      <c r="B194" s="20"/>
      <c r="C194" s="20"/>
      <c r="D194" s="20"/>
      <c r="E194" s="20"/>
      <c r="F194" s="20"/>
      <c r="G194" s="20"/>
      <c r="H194" s="20"/>
      <c r="I194" s="20"/>
      <c r="J194" s="634"/>
      <c r="K194" s="304"/>
      <c r="L194" s="20"/>
      <c r="M194" s="20"/>
      <c r="N194" s="20"/>
      <c r="O194" s="618">
        <v>14</v>
      </c>
      <c r="P194" s="618">
        <v>16</v>
      </c>
      <c r="R194" s="596" t="str">
        <f>IF(J132=S194,"◎≈→","")</f>
        <v/>
      </c>
      <c r="S194" s="612">
        <v>323.8</v>
      </c>
      <c r="T194" s="613">
        <v>0</v>
      </c>
      <c r="U194" s="614">
        <v>6.4</v>
      </c>
      <c r="V194" s="599" t="str">
        <f>IF(J191=U194,"←◎◎","")</f>
        <v/>
      </c>
      <c r="Y194" s="20"/>
      <c r="Z194" s="17"/>
      <c r="AA194" s="17"/>
      <c r="AE194" s="17"/>
      <c r="AF194" s="17"/>
      <c r="AG194" s="217">
        <v>402</v>
      </c>
      <c r="AH194" s="249">
        <v>472</v>
      </c>
      <c r="AI194" s="228" t="s">
        <v>404</v>
      </c>
      <c r="AJ194" s="228">
        <v>1960</v>
      </c>
      <c r="AK194" s="228">
        <v>26</v>
      </c>
      <c r="AL194" s="101">
        <v>283</v>
      </c>
      <c r="AM194" s="416"/>
      <c r="AN194" s="311">
        <v>3269</v>
      </c>
      <c r="AO194" s="338">
        <v>3352</v>
      </c>
      <c r="AP194" s="20"/>
      <c r="AQ194" s="20"/>
      <c r="AR194" s="20"/>
      <c r="AS194" s="20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</row>
    <row r="195" spans="1:64" ht="15.75">
      <c r="A195" s="313"/>
      <c r="B195" s="20" t="s">
        <v>564</v>
      </c>
      <c r="C195" s="20" t="s">
        <v>565</v>
      </c>
      <c r="D195" s="20"/>
      <c r="E195" s="20"/>
      <c r="F195" s="306" t="s">
        <v>566</v>
      </c>
      <c r="G195" s="20" t="s">
        <v>2722</v>
      </c>
      <c r="H195" s="20"/>
      <c r="I195" s="67" t="s">
        <v>160</v>
      </c>
      <c r="J195" s="54">
        <f>J183/(J164/10*J186/10)</f>
        <v>1250</v>
      </c>
      <c r="K195" s="304" t="s">
        <v>2722</v>
      </c>
      <c r="L195" s="20"/>
      <c r="M195" s="20"/>
      <c r="N195" s="20"/>
      <c r="O195" s="618">
        <v>16</v>
      </c>
      <c r="P195" s="618">
        <v>18</v>
      </c>
      <c r="R195" s="20"/>
      <c r="S195" s="602"/>
      <c r="T195" s="603">
        <v>6.4</v>
      </c>
      <c r="U195" s="604">
        <v>8.4</v>
      </c>
      <c r="V195" s="599" t="str">
        <f>IF(J191=U195,"←◎◎","")</f>
        <v/>
      </c>
      <c r="Y195" s="20"/>
      <c r="Z195" s="17"/>
      <c r="AA195" s="17"/>
      <c r="AE195" s="17"/>
      <c r="AF195" s="17"/>
      <c r="AG195" s="217">
        <v>472</v>
      </c>
      <c r="AH195" s="249">
        <v>548</v>
      </c>
      <c r="AI195" s="228" t="s">
        <v>404</v>
      </c>
      <c r="AJ195" s="228">
        <v>1960</v>
      </c>
      <c r="AK195" s="228">
        <v>28</v>
      </c>
      <c r="AL195" s="101">
        <v>328</v>
      </c>
      <c r="AM195" s="416"/>
      <c r="AN195" s="311">
        <v>3352</v>
      </c>
      <c r="AO195" s="338">
        <v>3373</v>
      </c>
      <c r="AP195" s="20"/>
      <c r="AQ195" s="20"/>
      <c r="AR195" s="20"/>
      <c r="AS195" s="20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</row>
    <row r="196" spans="1:64">
      <c r="A196" s="36"/>
      <c r="B196" s="20"/>
      <c r="C196" s="20"/>
      <c r="D196" s="20"/>
      <c r="E196" s="20"/>
      <c r="F196" s="20" t="s">
        <v>567</v>
      </c>
      <c r="G196" s="20"/>
      <c r="H196" s="20"/>
      <c r="I196" s="67"/>
      <c r="J196" s="634"/>
      <c r="K196" s="304"/>
      <c r="L196" s="20"/>
      <c r="M196" s="20"/>
      <c r="N196" s="20"/>
      <c r="O196" s="618">
        <v>18</v>
      </c>
      <c r="P196" s="618">
        <v>20</v>
      </c>
      <c r="R196" s="20"/>
      <c r="S196" s="602" t="s">
        <v>512</v>
      </c>
      <c r="T196" s="603">
        <v>8.4</v>
      </c>
      <c r="U196" s="604">
        <v>9.5</v>
      </c>
      <c r="V196" s="599" t="str">
        <f>IF(J191=U196,"←◎◎","")</f>
        <v/>
      </c>
      <c r="W196" s="20"/>
      <c r="X196" s="493"/>
      <c r="Y196" s="20"/>
      <c r="Z196" s="17"/>
      <c r="AA196" s="17"/>
      <c r="AE196" s="17"/>
      <c r="AF196" s="17"/>
      <c r="AG196" s="217">
        <v>548</v>
      </c>
      <c r="AH196" s="249">
        <v>715</v>
      </c>
      <c r="AI196" s="228" t="s">
        <v>404</v>
      </c>
      <c r="AJ196" s="228">
        <v>1960</v>
      </c>
      <c r="AK196" s="228">
        <v>32</v>
      </c>
      <c r="AL196" s="101">
        <v>428</v>
      </c>
      <c r="AM196" s="416"/>
      <c r="AN196" s="311">
        <v>3373</v>
      </c>
      <c r="AO196" s="338">
        <v>3422</v>
      </c>
      <c r="AP196" s="20"/>
      <c r="AQ196" s="20"/>
      <c r="AR196" s="20"/>
      <c r="AS196" s="20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</row>
    <row r="197" spans="1:64">
      <c r="A197" s="313"/>
      <c r="B197" s="20"/>
      <c r="C197" s="20" t="s">
        <v>568</v>
      </c>
      <c r="D197" s="20"/>
      <c r="E197" s="20" t="s">
        <v>569</v>
      </c>
      <c r="F197" s="20"/>
      <c r="G197" s="20"/>
      <c r="H197" s="20"/>
      <c r="I197" s="67" t="s">
        <v>160</v>
      </c>
      <c r="J197" s="577">
        <f>J183</f>
        <v>3869.0625</v>
      </c>
      <c r="K197" s="304" t="s">
        <v>380</v>
      </c>
      <c r="L197" s="20"/>
      <c r="M197" s="20"/>
      <c r="N197" s="20"/>
      <c r="O197" s="618">
        <v>20</v>
      </c>
      <c r="P197" s="618">
        <v>25</v>
      </c>
      <c r="R197" s="20"/>
      <c r="S197" s="602" t="b">
        <f>IF(J132=323.8,VLOOKUP(J190,T195:T204,1))</f>
        <v>0</v>
      </c>
      <c r="T197" s="603">
        <v>9.5</v>
      </c>
      <c r="U197" s="604">
        <v>10.3</v>
      </c>
      <c r="V197" s="599" t="str">
        <f>IF(J191=U197,"←◎◎","")</f>
        <v/>
      </c>
      <c r="W197" s="20"/>
      <c r="X197" s="493"/>
      <c r="Y197" s="20"/>
      <c r="Z197" s="17"/>
      <c r="AA197" s="17"/>
      <c r="AE197" s="17"/>
      <c r="AF197" s="17"/>
      <c r="AG197" s="217">
        <v>715</v>
      </c>
      <c r="AH197" s="249">
        <v>905</v>
      </c>
      <c r="AI197" s="228" t="s">
        <v>404</v>
      </c>
      <c r="AJ197" s="228">
        <v>1960</v>
      </c>
      <c r="AK197" s="228">
        <v>36</v>
      </c>
      <c r="AL197" s="101">
        <v>542</v>
      </c>
      <c r="AM197" s="416"/>
      <c r="AN197" s="311">
        <v>3422</v>
      </c>
      <c r="AO197" s="338">
        <v>3620</v>
      </c>
      <c r="AP197" s="20"/>
      <c r="AQ197" s="20"/>
      <c r="AR197" s="20"/>
      <c r="AS197" s="20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</row>
    <row r="198" spans="1:64">
      <c r="A198" s="313"/>
      <c r="B198" s="20"/>
      <c r="C198" s="20" t="s">
        <v>570</v>
      </c>
      <c r="D198" s="20"/>
      <c r="E198" s="20"/>
      <c r="F198" s="20"/>
      <c r="G198" s="20"/>
      <c r="H198" s="20"/>
      <c r="I198" s="67" t="s">
        <v>160</v>
      </c>
      <c r="J198" s="619">
        <f>J164/10</f>
        <v>2.1</v>
      </c>
      <c r="K198" s="304" t="s">
        <v>571</v>
      </c>
      <c r="L198" s="20"/>
      <c r="M198" s="20"/>
      <c r="N198" s="20"/>
      <c r="O198" s="618">
        <v>25</v>
      </c>
      <c r="P198" s="618">
        <v>28</v>
      </c>
      <c r="R198" s="20"/>
      <c r="S198" s="606" t="s">
        <v>507</v>
      </c>
      <c r="T198" s="603">
        <v>10.3</v>
      </c>
      <c r="U198" s="604">
        <v>12.7</v>
      </c>
      <c r="V198" s="599" t="str">
        <f>IF(J191=U198,"←◎◎","")</f>
        <v/>
      </c>
      <c r="W198" s="20"/>
      <c r="X198" s="493"/>
      <c r="Y198" s="20"/>
      <c r="Z198" s="17"/>
      <c r="AA198" s="17"/>
      <c r="AE198" s="17"/>
      <c r="AF198" s="17"/>
      <c r="AG198" s="217">
        <v>905</v>
      </c>
      <c r="AH198" s="249">
        <v>1008</v>
      </c>
      <c r="AI198" s="228" t="s">
        <v>404</v>
      </c>
      <c r="AJ198" s="228">
        <v>1960</v>
      </c>
      <c r="AK198" s="228">
        <v>38</v>
      </c>
      <c r="AL198" s="101">
        <v>604</v>
      </c>
      <c r="AM198" s="416"/>
      <c r="AN198" s="311">
        <v>3620</v>
      </c>
      <c r="AO198" s="338">
        <v>3643</v>
      </c>
      <c r="AP198" s="20"/>
      <c r="AQ198" s="20"/>
      <c r="AR198" s="20"/>
      <c r="AS198" s="20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</row>
    <row r="199" spans="1:64">
      <c r="A199" s="313"/>
      <c r="B199" s="20"/>
      <c r="C199" s="20" t="s">
        <v>572</v>
      </c>
      <c r="D199" s="20"/>
      <c r="E199" s="20"/>
      <c r="F199" s="20"/>
      <c r="G199" s="20"/>
      <c r="H199" s="20"/>
      <c r="I199" s="67" t="s">
        <v>160</v>
      </c>
      <c r="J199" s="302">
        <f>J186/10</f>
        <v>1.4739285714285715</v>
      </c>
      <c r="K199" s="304" t="s">
        <v>571</v>
      </c>
      <c r="L199" s="20"/>
      <c r="M199" s="20"/>
      <c r="N199" s="20"/>
      <c r="O199" s="618">
        <v>28</v>
      </c>
      <c r="P199" s="618">
        <v>32</v>
      </c>
      <c r="R199" s="20"/>
      <c r="S199" s="624" t="e">
        <f>VLOOKUP(S197,T195:U204,2,0)</f>
        <v>#N/A</v>
      </c>
      <c r="T199" s="603">
        <v>12.7</v>
      </c>
      <c r="U199" s="604">
        <v>14.3</v>
      </c>
      <c r="V199" s="599" t="str">
        <f>IF(J191=U199,"←◎◎","")</f>
        <v/>
      </c>
      <c r="W199" s="20"/>
      <c r="X199" s="493"/>
      <c r="Y199" s="20"/>
      <c r="Z199" s="17"/>
      <c r="AA199" s="17"/>
      <c r="AE199" s="17"/>
      <c r="AF199" s="17"/>
      <c r="AG199" s="217">
        <v>1008</v>
      </c>
      <c r="AH199" s="249">
        <v>1117</v>
      </c>
      <c r="AI199" s="228" t="s">
        <v>404</v>
      </c>
      <c r="AJ199" s="228">
        <v>1960</v>
      </c>
      <c r="AK199" s="228">
        <v>40</v>
      </c>
      <c r="AL199" s="101">
        <v>669</v>
      </c>
      <c r="AM199" s="416"/>
      <c r="AN199" s="311">
        <v>3643</v>
      </c>
      <c r="AO199" s="338">
        <v>3735</v>
      </c>
      <c r="AP199" s="20"/>
      <c r="AQ199" s="20"/>
      <c r="AR199" s="20"/>
      <c r="AS199" s="20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</row>
    <row r="200" spans="1:64">
      <c r="A200" s="313"/>
      <c r="B200" s="20"/>
      <c r="C200" s="20" t="s">
        <v>573</v>
      </c>
      <c r="D200" s="20"/>
      <c r="E200" s="20"/>
      <c r="F200" s="20"/>
      <c r="G200" s="20"/>
      <c r="H200" s="20"/>
      <c r="I200" s="67" t="s">
        <v>160</v>
      </c>
      <c r="J200" s="302">
        <f>0.3*F109/10</f>
        <v>0.53999999999999992</v>
      </c>
      <c r="K200" s="304" t="s">
        <v>571</v>
      </c>
      <c r="L200" s="20"/>
      <c r="M200" s="20"/>
      <c r="N200" s="20"/>
      <c r="O200" s="618">
        <v>32</v>
      </c>
      <c r="P200" s="618">
        <v>36</v>
      </c>
      <c r="R200" s="20"/>
      <c r="S200" s="606"/>
      <c r="T200" s="603">
        <v>14.3</v>
      </c>
      <c r="U200" s="604">
        <v>17.5</v>
      </c>
      <c r="V200" s="599" t="str">
        <f>IF(J191=U200,"←◎◎","")</f>
        <v/>
      </c>
      <c r="W200" s="20"/>
      <c r="X200" s="493"/>
      <c r="Y200" s="20"/>
      <c r="Z200" s="17"/>
      <c r="AA200" s="17"/>
      <c r="AE200" s="17"/>
      <c r="AF200" s="17"/>
      <c r="AG200" s="217">
        <v>1117</v>
      </c>
      <c r="AH200" s="249">
        <v>1352</v>
      </c>
      <c r="AI200" s="228" t="s">
        <v>404</v>
      </c>
      <c r="AJ200" s="228">
        <v>1960</v>
      </c>
      <c r="AK200" s="228">
        <v>44</v>
      </c>
      <c r="AL200" s="101">
        <v>810</v>
      </c>
      <c r="AM200" s="416"/>
      <c r="AN200" s="311">
        <v>3735</v>
      </c>
      <c r="AO200" s="338">
        <v>3737</v>
      </c>
      <c r="AP200" s="20"/>
      <c r="AQ200" s="20"/>
      <c r="AR200" s="20"/>
      <c r="AS200" s="20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</row>
    <row r="201" spans="1:64">
      <c r="A201" s="36"/>
      <c r="B201" s="20" t="s">
        <v>574</v>
      </c>
      <c r="C201" s="20" t="s">
        <v>575</v>
      </c>
      <c r="D201" s="20"/>
      <c r="E201" s="20"/>
      <c r="F201" s="20"/>
      <c r="G201" s="20"/>
      <c r="H201" s="20"/>
      <c r="I201" s="67"/>
      <c r="J201" s="619"/>
      <c r="K201" s="304"/>
      <c r="L201" s="20"/>
      <c r="M201" s="20"/>
      <c r="N201" s="20"/>
      <c r="O201" s="618">
        <v>36</v>
      </c>
      <c r="P201" s="618">
        <v>40</v>
      </c>
      <c r="R201" s="20"/>
      <c r="S201" s="606"/>
      <c r="T201" s="603">
        <v>17.5</v>
      </c>
      <c r="U201" s="604">
        <v>21.4</v>
      </c>
      <c r="V201" s="599" t="str">
        <f>IF(J191=U201,"←◎◎","")</f>
        <v/>
      </c>
      <c r="W201" s="20"/>
      <c r="X201" s="493"/>
      <c r="Y201" s="20"/>
      <c r="Z201" s="17"/>
      <c r="AA201" s="17"/>
      <c r="AE201" s="17"/>
      <c r="AF201" s="17"/>
      <c r="AG201" s="217">
        <v>1352</v>
      </c>
      <c r="AH201" s="249">
        <v>1609</v>
      </c>
      <c r="AI201" s="228" t="s">
        <v>404</v>
      </c>
      <c r="AJ201" s="228">
        <v>1960</v>
      </c>
      <c r="AK201" s="228">
        <v>48</v>
      </c>
      <c r="AL201" s="101">
        <v>964</v>
      </c>
      <c r="AM201" s="416"/>
      <c r="AN201" s="311">
        <v>3737</v>
      </c>
      <c r="AO201" s="338">
        <v>4034</v>
      </c>
      <c r="AP201" s="20"/>
      <c r="AQ201" s="20"/>
      <c r="AR201" s="20"/>
      <c r="AS201" s="20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</row>
    <row r="202" spans="1:64">
      <c r="A202" s="36"/>
      <c r="B202" s="20"/>
      <c r="C202" s="20"/>
      <c r="D202" s="20"/>
      <c r="E202" s="20"/>
      <c r="F202" s="20"/>
      <c r="G202" s="20"/>
      <c r="H202" s="20"/>
      <c r="I202" s="67"/>
      <c r="J202" s="619"/>
      <c r="K202" s="304"/>
      <c r="L202" s="20"/>
      <c r="M202" s="20"/>
      <c r="N202" s="20"/>
      <c r="O202" s="618">
        <v>40</v>
      </c>
      <c r="P202" s="618">
        <v>45</v>
      </c>
      <c r="R202" s="20"/>
      <c r="S202" s="606"/>
      <c r="T202" s="603">
        <v>21.4</v>
      </c>
      <c r="U202" s="604">
        <v>25.4</v>
      </c>
      <c r="V202" s="599" t="str">
        <f>IF(J191=U202,"←◎◎","")</f>
        <v/>
      </c>
      <c r="W202" s="20"/>
      <c r="X202" s="493"/>
      <c r="Y202" s="20"/>
      <c r="Z202" s="17"/>
      <c r="AA202" s="17"/>
      <c r="AE202" s="17"/>
      <c r="AF202" s="17"/>
      <c r="AG202" s="217">
        <v>1609</v>
      </c>
      <c r="AH202" s="249">
        <v>1888</v>
      </c>
      <c r="AI202" s="228" t="s">
        <v>404</v>
      </c>
      <c r="AJ202" s="228">
        <v>1960</v>
      </c>
      <c r="AK202" s="228">
        <v>52</v>
      </c>
      <c r="AL202" s="101">
        <v>1131</v>
      </c>
      <c r="AM202" s="416"/>
      <c r="AN202" s="311">
        <v>4034</v>
      </c>
      <c r="AO202" s="338">
        <v>4036</v>
      </c>
      <c r="AP202" s="20"/>
      <c r="AQ202" s="20"/>
      <c r="AR202" s="20"/>
      <c r="AS202" s="20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</row>
    <row r="203" spans="1:64">
      <c r="A203" s="36"/>
      <c r="B203" s="20"/>
      <c r="C203" s="20" t="s">
        <v>788</v>
      </c>
      <c r="D203" s="20"/>
      <c r="E203" s="20"/>
      <c r="F203" s="20"/>
      <c r="G203" s="20">
        <f>J132</f>
        <v>406.4</v>
      </c>
      <c r="H203" s="20" t="s">
        <v>466</v>
      </c>
      <c r="I203" s="67" t="s">
        <v>160</v>
      </c>
      <c r="J203" s="619">
        <f t="shared" ref="J203" si="8">G203/10</f>
        <v>40.64</v>
      </c>
      <c r="K203" s="304" t="s">
        <v>571</v>
      </c>
      <c r="L203" s="20"/>
      <c r="M203" s="20"/>
      <c r="N203" s="20"/>
      <c r="O203" s="618">
        <v>45</v>
      </c>
      <c r="P203" s="618">
        <v>50</v>
      </c>
      <c r="R203" s="20"/>
      <c r="S203" s="606"/>
      <c r="T203" s="603">
        <v>25.4</v>
      </c>
      <c r="U203" s="604">
        <v>28.6</v>
      </c>
      <c r="V203" s="599" t="str">
        <f>IF(J191=U203,"←◎◎","")</f>
        <v/>
      </c>
      <c r="W203" s="20"/>
      <c r="X203" s="493"/>
      <c r="Y203" s="20"/>
      <c r="Z203" s="17"/>
      <c r="AA203" s="17"/>
      <c r="AE203" s="17"/>
      <c r="AF203" s="17"/>
      <c r="AG203" s="217">
        <v>1888</v>
      </c>
      <c r="AH203" s="249">
        <v>2190</v>
      </c>
      <c r="AI203" s="228" t="s">
        <v>404</v>
      </c>
      <c r="AJ203" s="228">
        <v>1960</v>
      </c>
      <c r="AK203" s="228">
        <v>56</v>
      </c>
      <c r="AL203" s="101">
        <v>1311</v>
      </c>
      <c r="AM203" s="416"/>
      <c r="AN203" s="311">
        <v>4036</v>
      </c>
      <c r="AO203" s="338">
        <v>4120</v>
      </c>
      <c r="AP203" s="20"/>
      <c r="AQ203" s="20"/>
      <c r="AR203" s="20"/>
      <c r="AS203" s="20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</row>
    <row r="204" spans="1:64" ht="14.65" thickBot="1">
      <c r="A204" s="36"/>
      <c r="B204" s="20"/>
      <c r="C204" s="20" t="s">
        <v>789</v>
      </c>
      <c r="D204" s="20"/>
      <c r="E204" s="20"/>
      <c r="F204" s="20"/>
      <c r="G204" s="634">
        <f>(J199)*10</f>
        <v>14.739285714285714</v>
      </c>
      <c r="H204" s="20" t="s">
        <v>466</v>
      </c>
      <c r="I204" s="67" t="s">
        <v>160</v>
      </c>
      <c r="J204" s="302">
        <f>G204/10</f>
        <v>1.4739285714285715</v>
      </c>
      <c r="K204" s="304" t="s">
        <v>571</v>
      </c>
      <c r="L204" s="20"/>
      <c r="M204" s="17"/>
      <c r="N204" s="20"/>
      <c r="O204" s="618">
        <v>50</v>
      </c>
      <c r="P204" s="618">
        <v>56</v>
      </c>
      <c r="R204" s="596"/>
      <c r="S204" s="631"/>
      <c r="T204" s="632">
        <v>28.6</v>
      </c>
      <c r="U204" s="633">
        <v>33.299999999999997</v>
      </c>
      <c r="V204" s="599" t="str">
        <f>IF(J191=U204,"←◎◎","")</f>
        <v/>
      </c>
      <c r="W204" s="20"/>
      <c r="X204" s="493"/>
      <c r="Y204" s="20"/>
      <c r="Z204" s="17"/>
      <c r="AA204" s="17"/>
      <c r="AE204" s="17"/>
      <c r="AF204" s="17"/>
      <c r="AG204" s="217">
        <v>2190</v>
      </c>
      <c r="AH204" s="249">
        <v>2514</v>
      </c>
      <c r="AI204" s="228" t="s">
        <v>404</v>
      </c>
      <c r="AJ204" s="228">
        <v>1960</v>
      </c>
      <c r="AK204" s="228">
        <v>60</v>
      </c>
      <c r="AL204" s="101">
        <v>1506</v>
      </c>
      <c r="AM204" s="416"/>
      <c r="AN204" s="311">
        <v>4120</v>
      </c>
      <c r="AO204" s="338">
        <v>4138</v>
      </c>
      <c r="AP204" s="20"/>
      <c r="AQ204" s="20"/>
      <c r="AR204" s="20"/>
      <c r="AS204" s="20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</row>
    <row r="205" spans="1:64">
      <c r="A205" s="36"/>
      <c r="B205" s="20"/>
      <c r="C205" s="20" t="s">
        <v>790</v>
      </c>
      <c r="D205" s="20"/>
      <c r="E205" s="20"/>
      <c r="F205" s="20"/>
      <c r="G205" s="25">
        <f>G203-(2*J204*10)-(2*J200*10)</f>
        <v>366.12142857142857</v>
      </c>
      <c r="H205" s="20" t="s">
        <v>466</v>
      </c>
      <c r="I205" s="67" t="s">
        <v>160</v>
      </c>
      <c r="J205" s="619">
        <f>G205/10</f>
        <v>36.612142857142857</v>
      </c>
      <c r="K205" s="304" t="s">
        <v>571</v>
      </c>
      <c r="L205" s="20"/>
      <c r="M205" s="17"/>
      <c r="N205" s="20"/>
      <c r="O205" s="618">
        <v>56</v>
      </c>
      <c r="P205" s="618">
        <v>63</v>
      </c>
      <c r="R205" s="596" t="str">
        <f>IF(J132=S205,"◎≈→","")</f>
        <v/>
      </c>
      <c r="S205" s="635">
        <v>355.6</v>
      </c>
      <c r="T205" s="636">
        <v>0</v>
      </c>
      <c r="U205" s="598">
        <v>6.4</v>
      </c>
      <c r="V205" s="599" t="str">
        <f>IF(J191=U205,"←◎◎","")</f>
        <v/>
      </c>
      <c r="W205" s="20"/>
      <c r="X205" s="493"/>
      <c r="Y205" s="20"/>
      <c r="Z205" s="17"/>
      <c r="AA205" s="17"/>
      <c r="AE205" s="17"/>
      <c r="AF205" s="17"/>
      <c r="AG205" s="217">
        <v>2514</v>
      </c>
      <c r="AH205" s="249">
        <v>2860</v>
      </c>
      <c r="AI205" s="228" t="s">
        <v>404</v>
      </c>
      <c r="AJ205" s="228">
        <v>1960</v>
      </c>
      <c r="AK205" s="228">
        <v>64</v>
      </c>
      <c r="AL205" s="101">
        <v>1713</v>
      </c>
      <c r="AM205" s="416"/>
      <c r="AN205" s="311">
        <v>4138</v>
      </c>
      <c r="AO205" s="338">
        <v>4319</v>
      </c>
      <c r="AP205" s="20"/>
      <c r="AQ205" s="20"/>
      <c r="AR205" s="20"/>
      <c r="AS205" s="20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</row>
    <row r="206" spans="1:64">
      <c r="A206" s="36"/>
      <c r="B206" s="20"/>
      <c r="C206" s="20"/>
      <c r="D206" s="20"/>
      <c r="E206" s="20"/>
      <c r="F206" s="20"/>
      <c r="G206" s="20"/>
      <c r="H206" s="20"/>
      <c r="I206" s="67"/>
      <c r="J206" s="619"/>
      <c r="K206" s="304"/>
      <c r="L206" s="20"/>
      <c r="M206" s="17"/>
      <c r="N206" s="20"/>
      <c r="O206" s="618">
        <v>63</v>
      </c>
      <c r="P206" s="618">
        <v>63</v>
      </c>
      <c r="R206" s="596"/>
      <c r="S206" s="602"/>
      <c r="T206" s="603">
        <v>6.4</v>
      </c>
      <c r="U206" s="604">
        <v>7.9</v>
      </c>
      <c r="V206" s="599" t="str">
        <f>IF(J191=U206,"←◎◎","")</f>
        <v/>
      </c>
      <c r="W206" s="20"/>
      <c r="X206" s="493"/>
      <c r="Y206" s="20"/>
      <c r="Z206" s="17"/>
      <c r="AA206" s="17"/>
      <c r="AE206" s="17"/>
      <c r="AF206" s="17"/>
      <c r="AG206" s="217">
        <v>2860</v>
      </c>
      <c r="AH206" s="249">
        <v>3229</v>
      </c>
      <c r="AI206" s="228" t="s">
        <v>404</v>
      </c>
      <c r="AJ206" s="228">
        <v>1960</v>
      </c>
      <c r="AK206" s="228">
        <v>68</v>
      </c>
      <c r="AL206" s="101">
        <v>1934</v>
      </c>
      <c r="AM206" s="416"/>
      <c r="AN206" s="311">
        <v>4319</v>
      </c>
      <c r="AO206" s="338">
        <v>4450</v>
      </c>
      <c r="AP206" s="20"/>
      <c r="AQ206" s="20"/>
      <c r="AR206" s="20"/>
      <c r="AS206" s="20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</row>
    <row r="207" spans="1:64" ht="16.149999999999999" thickBot="1">
      <c r="A207" s="313"/>
      <c r="B207" s="20"/>
      <c r="C207" s="20" t="s">
        <v>579</v>
      </c>
      <c r="D207" s="20"/>
      <c r="E207" s="20"/>
      <c r="F207" s="20"/>
      <c r="G207" s="306" t="s">
        <v>2723</v>
      </c>
      <c r="H207" s="20"/>
      <c r="I207" s="67" t="s">
        <v>160</v>
      </c>
      <c r="J207" s="619">
        <f>(3.14*(J203*J203*J203*J203-J205*J205*J205*J205))/(32*J203)</f>
        <v>2247.9190098032032</v>
      </c>
      <c r="K207" s="304" t="s">
        <v>2724</v>
      </c>
      <c r="L207" s="20"/>
      <c r="M207" s="20"/>
      <c r="N207" s="20"/>
      <c r="O207" s="638"/>
      <c r="P207" s="638"/>
      <c r="R207" s="17"/>
      <c r="S207" s="602" t="s">
        <v>512</v>
      </c>
      <c r="T207" s="603">
        <v>7.9</v>
      </c>
      <c r="U207" s="604">
        <v>9.5</v>
      </c>
      <c r="V207" s="599" t="str">
        <f>IF(J191=U207,"←◎◎","")</f>
        <v/>
      </c>
      <c r="W207" s="20"/>
      <c r="X207" s="493"/>
      <c r="Y207" s="20"/>
      <c r="Z207" s="17"/>
      <c r="AA207" s="17"/>
      <c r="AE207" s="17"/>
      <c r="AF207" s="17"/>
      <c r="AG207" s="217">
        <v>3229</v>
      </c>
      <c r="AH207" s="249">
        <v>3422</v>
      </c>
      <c r="AI207" s="228" t="s">
        <v>404</v>
      </c>
      <c r="AJ207" s="228">
        <v>1960</v>
      </c>
      <c r="AK207" s="228">
        <v>70</v>
      </c>
      <c r="AL207" s="101">
        <v>2049</v>
      </c>
      <c r="AM207" s="416"/>
      <c r="AN207" s="311">
        <v>4450</v>
      </c>
      <c r="AO207" s="338">
        <v>4469</v>
      </c>
      <c r="AP207" s="20"/>
      <c r="AQ207" s="20"/>
      <c r="AR207" s="20"/>
      <c r="AS207" s="20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</row>
    <row r="208" spans="1:64">
      <c r="A208" s="36"/>
      <c r="B208" s="20"/>
      <c r="C208" s="20"/>
      <c r="D208" s="20"/>
      <c r="E208" s="20"/>
      <c r="F208" s="20"/>
      <c r="G208" s="20" t="s">
        <v>580</v>
      </c>
      <c r="H208" s="20"/>
      <c r="I208" s="20"/>
      <c r="J208" s="634"/>
      <c r="K208" s="304"/>
      <c r="L208" s="20"/>
      <c r="M208" s="17"/>
      <c r="N208" s="20"/>
      <c r="O208" s="635">
        <f>VLOOKUP(J190,O186:O207,1)</f>
        <v>20</v>
      </c>
      <c r="P208" s="639">
        <f>IF(O209=0,O208,O209)</f>
        <v>20</v>
      </c>
      <c r="R208" s="17"/>
      <c r="S208" s="602" t="b">
        <f>IF(J132=355.6,VLOOKUP(J190,T206:T215,1))</f>
        <v>0</v>
      </c>
      <c r="T208" s="603">
        <v>9.5</v>
      </c>
      <c r="U208" s="604">
        <v>11.1</v>
      </c>
      <c r="V208" s="599" t="str">
        <f>IF(J191=U208,"←◎◎","")</f>
        <v/>
      </c>
      <c r="W208" s="20"/>
      <c r="X208" s="493"/>
      <c r="Y208" s="20"/>
      <c r="Z208" s="17"/>
      <c r="AA208" s="17"/>
      <c r="AE208" s="17"/>
      <c r="AF208" s="17"/>
      <c r="AG208" s="217">
        <v>3422</v>
      </c>
      <c r="AH208" s="249">
        <v>3620</v>
      </c>
      <c r="AI208" s="228" t="s">
        <v>404</v>
      </c>
      <c r="AJ208" s="228">
        <v>1960</v>
      </c>
      <c r="AK208" s="228">
        <v>72</v>
      </c>
      <c r="AL208" s="101">
        <v>2168</v>
      </c>
      <c r="AM208" s="416"/>
      <c r="AN208" s="311">
        <v>4469</v>
      </c>
      <c r="AO208" s="338">
        <v>4562</v>
      </c>
      <c r="AP208" s="20"/>
      <c r="AQ208" s="20"/>
      <c r="AR208" s="20"/>
      <c r="AS208" s="20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</row>
    <row r="209" spans="1:64" ht="14.65" thickBot="1">
      <c r="A209" s="36"/>
      <c r="B209" s="20"/>
      <c r="C209" s="20"/>
      <c r="D209" s="20"/>
      <c r="E209" s="20"/>
      <c r="F209" s="20"/>
      <c r="G209" s="20"/>
      <c r="H209" s="20"/>
      <c r="I209" s="20"/>
      <c r="J209" s="634"/>
      <c r="K209" s="304"/>
      <c r="L209" s="20"/>
      <c r="M209" s="17"/>
      <c r="N209" s="20"/>
      <c r="O209" s="111">
        <f>IFERROR(VLOOKUP(J190,O186:O207,1,0),0)</f>
        <v>0</v>
      </c>
      <c r="P209" s="640">
        <f>+VLOOKUP(P208,O186:P207,2,0)</f>
        <v>25</v>
      </c>
      <c r="R209" s="20"/>
      <c r="S209" s="606" t="s">
        <v>507</v>
      </c>
      <c r="T209" s="603">
        <v>11.1</v>
      </c>
      <c r="U209" s="604">
        <v>12.7</v>
      </c>
      <c r="V209" s="599" t="str">
        <f>IF(J191=U209,"←◎◎","")</f>
        <v/>
      </c>
      <c r="W209" s="20"/>
      <c r="X209" s="493"/>
      <c r="Y209" s="20"/>
      <c r="Z209" s="17"/>
      <c r="AA209" s="17"/>
      <c r="AE209" s="17"/>
      <c r="AF209" s="17"/>
      <c r="AG209" s="217">
        <v>3620</v>
      </c>
      <c r="AH209" s="249">
        <v>4034</v>
      </c>
      <c r="AI209" s="228" t="s">
        <v>404</v>
      </c>
      <c r="AJ209" s="228">
        <v>1960</v>
      </c>
      <c r="AK209" s="228">
        <v>76</v>
      </c>
      <c r="AL209" s="101">
        <v>2416</v>
      </c>
      <c r="AM209" s="416"/>
      <c r="AN209" s="311">
        <v>4562</v>
      </c>
      <c r="AO209" s="338">
        <v>4664</v>
      </c>
      <c r="AP209" s="20"/>
      <c r="AQ209" s="20"/>
      <c r="AR209" s="20"/>
      <c r="AS209" s="20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</row>
    <row r="210" spans="1:64">
      <c r="A210" s="36"/>
      <c r="B210" s="20"/>
      <c r="C210" s="20"/>
      <c r="D210" s="20"/>
      <c r="E210" s="20"/>
      <c r="F210" s="20"/>
      <c r="G210" s="20"/>
      <c r="H210" s="54">
        <f>((AH!I12+AH!I13+AH!I14)/1000)/'E Data'!D41</f>
        <v>3.8690625000000001</v>
      </c>
      <c r="I210" s="54">
        <f>H210</f>
        <v>3.8690625000000001</v>
      </c>
      <c r="J210" s="641">
        <f>E221</f>
        <v>0.19174493790539565</v>
      </c>
      <c r="K210" s="304" t="s">
        <v>581</v>
      </c>
      <c r="L210" s="20"/>
      <c r="M210" s="17"/>
      <c r="N210" s="20"/>
      <c r="R210" s="20"/>
      <c r="S210" s="624" t="e">
        <f>VLOOKUP(S208,T206:U215,2,0)</f>
        <v>#N/A</v>
      </c>
      <c r="T210" s="603">
        <v>12.7</v>
      </c>
      <c r="U210" s="604">
        <v>15.1</v>
      </c>
      <c r="V210" s="599" t="str">
        <f>IF(J191=U210,"←◎◎","")</f>
        <v/>
      </c>
      <c r="W210" s="20"/>
      <c r="X210" s="493"/>
      <c r="Y210" s="20"/>
      <c r="Z210" s="17"/>
      <c r="AA210" s="17"/>
      <c r="AE210" s="17"/>
      <c r="AF210" s="17"/>
      <c r="AG210" s="217">
        <v>4034</v>
      </c>
      <c r="AH210" s="249">
        <v>4469</v>
      </c>
      <c r="AI210" s="228" t="s">
        <v>404</v>
      </c>
      <c r="AJ210" s="228">
        <v>1960</v>
      </c>
      <c r="AK210" s="228">
        <v>80</v>
      </c>
      <c r="AL210" s="101">
        <v>2676</v>
      </c>
      <c r="AM210" s="416"/>
      <c r="AN210" s="311">
        <v>4664</v>
      </c>
      <c r="AO210" s="338">
        <v>4782</v>
      </c>
      <c r="AP210" s="20"/>
      <c r="AQ210" s="20"/>
      <c r="AR210" s="20"/>
      <c r="AS210" s="20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</row>
    <row r="211" spans="1:64">
      <c r="A211" s="36"/>
      <c r="B211" s="20"/>
      <c r="C211" s="20"/>
      <c r="D211" s="20"/>
      <c r="E211" s="20"/>
      <c r="F211" s="20"/>
      <c r="G211" s="20"/>
      <c r="H211" s="67" t="s">
        <v>582</v>
      </c>
      <c r="I211" s="67" t="s">
        <v>582</v>
      </c>
      <c r="J211" s="634"/>
      <c r="K211" s="304"/>
      <c r="L211" s="20"/>
      <c r="M211" s="20"/>
      <c r="N211" s="20"/>
      <c r="R211" s="20"/>
      <c r="S211" s="606"/>
      <c r="T211" s="603">
        <v>15.1</v>
      </c>
      <c r="U211" s="604">
        <v>19</v>
      </c>
      <c r="V211" s="599" t="str">
        <f>IF(J191=U211,"←◎◎","")</f>
        <v/>
      </c>
      <c r="W211" s="20"/>
      <c r="X211" s="493"/>
      <c r="Y211" s="20"/>
      <c r="Z211" s="17"/>
      <c r="AA211" s="17"/>
      <c r="AE211" s="17"/>
      <c r="AF211" s="17"/>
      <c r="AG211" s="217">
        <v>4469</v>
      </c>
      <c r="AH211" s="249">
        <v>4928</v>
      </c>
      <c r="AI211" s="228" t="s">
        <v>404</v>
      </c>
      <c r="AJ211" s="228">
        <v>1960</v>
      </c>
      <c r="AK211" s="228">
        <v>84</v>
      </c>
      <c r="AL211" s="101">
        <v>2951</v>
      </c>
      <c r="AM211" s="416"/>
      <c r="AN211" s="311">
        <v>4782</v>
      </c>
      <c r="AO211" s="338">
        <v>4928</v>
      </c>
      <c r="AP211" s="20"/>
      <c r="AQ211" s="20"/>
      <c r="AR211" s="20"/>
      <c r="AS211" s="20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</row>
    <row r="212" spans="1:64" ht="14.65" thickBot="1">
      <c r="A212" s="36"/>
      <c r="B212" s="20"/>
      <c r="C212" s="20"/>
      <c r="D212" s="20"/>
      <c r="E212" s="20"/>
      <c r="F212" s="20"/>
      <c r="G212" s="20"/>
      <c r="H212" s="20"/>
      <c r="I212" s="20"/>
      <c r="J212" s="634"/>
      <c r="K212" s="304"/>
      <c r="L212" s="20"/>
      <c r="M212" s="20"/>
      <c r="N212" s="20"/>
      <c r="R212" s="20"/>
      <c r="S212" s="606"/>
      <c r="T212" s="603">
        <v>19</v>
      </c>
      <c r="U212" s="604">
        <v>23.8</v>
      </c>
      <c r="V212" s="599" t="str">
        <f>IF(J191=U212,"←◎◎","")</f>
        <v/>
      </c>
      <c r="W212" s="20"/>
      <c r="X212" s="493"/>
      <c r="Y212" s="20"/>
      <c r="Z212" s="17"/>
      <c r="AA212" s="17"/>
      <c r="AE212" s="17"/>
      <c r="AF212" s="17"/>
      <c r="AG212" s="217">
        <v>4928</v>
      </c>
      <c r="AH212" s="256">
        <v>5165</v>
      </c>
      <c r="AI212" s="267" t="s">
        <v>404</v>
      </c>
      <c r="AJ212" s="267">
        <v>1960</v>
      </c>
      <c r="AK212" s="267">
        <v>86</v>
      </c>
      <c r="AL212" s="509">
        <v>3093</v>
      </c>
      <c r="AM212" s="642"/>
      <c r="AN212" s="643">
        <v>4928</v>
      </c>
      <c r="AO212" s="644">
        <v>5165</v>
      </c>
      <c r="AP212" s="20"/>
      <c r="AQ212" s="20"/>
      <c r="AR212" s="20"/>
      <c r="AS212" s="20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</row>
    <row r="213" spans="1:64">
      <c r="A213" s="36"/>
      <c r="B213" s="20"/>
      <c r="C213" s="20"/>
      <c r="D213" s="20"/>
      <c r="E213" s="20"/>
      <c r="F213" s="20"/>
      <c r="G213" s="20"/>
      <c r="H213" s="20"/>
      <c r="I213" s="20"/>
      <c r="J213" s="634"/>
      <c r="K213" s="304"/>
      <c r="L213" s="20"/>
      <c r="M213" s="20"/>
      <c r="N213" s="20"/>
      <c r="R213" s="20"/>
      <c r="S213" s="606"/>
      <c r="T213" s="603">
        <v>23.8</v>
      </c>
      <c r="U213" s="604">
        <v>27.8</v>
      </c>
      <c r="V213" s="599" t="str">
        <f>IF(J191=U213,"←◎◎","")</f>
        <v/>
      </c>
      <c r="W213" s="20"/>
      <c r="X213" s="493"/>
      <c r="Y213" s="20"/>
      <c r="Z213" s="17"/>
      <c r="AA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20"/>
      <c r="AO213" s="20"/>
      <c r="AP213" s="20"/>
      <c r="AQ213" s="20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</row>
    <row r="214" spans="1:64">
      <c r="A214" s="36"/>
      <c r="B214" s="20"/>
      <c r="C214" s="20"/>
      <c r="D214" s="20"/>
      <c r="E214" s="20"/>
      <c r="F214" s="20"/>
      <c r="G214" s="20"/>
      <c r="H214" s="20"/>
      <c r="I214" s="20"/>
      <c r="J214" s="634"/>
      <c r="K214" s="304"/>
      <c r="L214" s="20"/>
      <c r="M214" s="20"/>
      <c r="N214" s="20"/>
      <c r="R214" s="20"/>
      <c r="S214" s="606"/>
      <c r="T214" s="603">
        <v>27.8</v>
      </c>
      <c r="U214" s="604">
        <v>31.8</v>
      </c>
      <c r="V214" s="599" t="str">
        <f>IF(J191=U214,"←◎◎","")</f>
        <v/>
      </c>
      <c r="W214" s="20"/>
      <c r="X214" s="493"/>
      <c r="Y214" s="20"/>
      <c r="Z214" s="17"/>
      <c r="AA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20"/>
      <c r="AO214" s="20"/>
      <c r="AP214" s="20"/>
      <c r="AQ214" s="20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</row>
    <row r="215" spans="1:64">
      <c r="A215" s="36"/>
      <c r="B215" s="20"/>
      <c r="C215" s="20"/>
      <c r="D215" s="20"/>
      <c r="E215" s="20"/>
      <c r="F215" s="20"/>
      <c r="G215" s="20"/>
      <c r="H215" s="19">
        <f>C217</f>
        <v>546</v>
      </c>
      <c r="I215" s="19">
        <f>E217</f>
        <v>250</v>
      </c>
      <c r="J215" s="577">
        <f>F217</f>
        <v>546</v>
      </c>
      <c r="K215" s="304"/>
      <c r="L215" s="20"/>
      <c r="M215" s="20"/>
      <c r="N215" s="20"/>
      <c r="R215" s="20"/>
      <c r="S215" s="637"/>
      <c r="T215" s="608">
        <v>31.8</v>
      </c>
      <c r="U215" s="609">
        <v>35.700000000000003</v>
      </c>
      <c r="V215" s="599" t="str">
        <f>IF(J191=U215,"←◎◎","")</f>
        <v/>
      </c>
      <c r="W215" s="20"/>
      <c r="X215" s="493"/>
      <c r="Y215" s="20"/>
      <c r="Z215" s="20"/>
      <c r="AA215" s="20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</row>
    <row r="216" spans="1:64">
      <c r="A216" s="36"/>
      <c r="B216" s="20"/>
      <c r="C216" s="20"/>
      <c r="D216" s="20"/>
      <c r="E216" s="20"/>
      <c r="F216" s="20"/>
      <c r="G216" s="20"/>
      <c r="H216" s="20"/>
      <c r="I216" s="20"/>
      <c r="J216" s="634"/>
      <c r="K216" s="304"/>
      <c r="L216" s="20"/>
      <c r="M216" s="20"/>
      <c r="N216" s="20"/>
      <c r="R216" s="596" t="str">
        <f>IF(J132=S216,"◎≈→","")</f>
        <v>◎≈→</v>
      </c>
      <c r="S216" s="612">
        <v>406.4</v>
      </c>
      <c r="T216" s="613">
        <v>0</v>
      </c>
      <c r="U216" s="614">
        <v>6.4</v>
      </c>
      <c r="V216" s="599" t="str">
        <f>IF(J191=U216,"←◎◎","")</f>
        <v/>
      </c>
      <c r="W216" s="20"/>
      <c r="X216" s="493"/>
      <c r="Y216" s="20"/>
      <c r="Z216" s="20"/>
      <c r="AA216" s="20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</row>
    <row r="217" spans="1:64">
      <c r="A217" s="36"/>
      <c r="B217" s="20"/>
      <c r="C217" s="67">
        <f>(J170-J165-J166-J166)/2</f>
        <v>546</v>
      </c>
      <c r="D217" s="67"/>
      <c r="E217" s="481">
        <f>J165</f>
        <v>250</v>
      </c>
      <c r="F217" s="19">
        <f>C217</f>
        <v>546</v>
      </c>
      <c r="G217" s="20"/>
      <c r="H217" s="20"/>
      <c r="I217" s="20">
        <f>E219</f>
        <v>1342</v>
      </c>
      <c r="J217" s="634"/>
      <c r="K217" s="304"/>
      <c r="L217" s="20"/>
      <c r="M217" s="20"/>
      <c r="N217" s="20"/>
      <c r="R217" s="20"/>
      <c r="S217" s="602"/>
      <c r="T217" s="603">
        <v>6.4</v>
      </c>
      <c r="U217" s="604">
        <v>7.9</v>
      </c>
      <c r="V217" s="599" t="str">
        <f>IF(J191=U217,"←◎◎","")</f>
        <v/>
      </c>
      <c r="W217" s="20"/>
      <c r="X217" s="493"/>
      <c r="Y217" s="20"/>
      <c r="Z217" s="20"/>
      <c r="AA217" s="20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</row>
    <row r="218" spans="1:64">
      <c r="A218" s="36"/>
      <c r="B218" s="20"/>
      <c r="C218" s="20"/>
      <c r="D218" s="20"/>
      <c r="E218" s="20"/>
      <c r="F218" s="20"/>
      <c r="G218" s="634">
        <f>J218</f>
        <v>3.964934968952698</v>
      </c>
      <c r="H218" s="20" t="s">
        <v>582</v>
      </c>
      <c r="I218" s="20"/>
      <c r="J218" s="634">
        <f>(H210+I210+E221)/2</f>
        <v>3.964934968952698</v>
      </c>
      <c r="K218" s="304" t="s">
        <v>582</v>
      </c>
      <c r="L218" s="20"/>
      <c r="M218" s="20"/>
      <c r="N218" s="20"/>
      <c r="R218" s="20"/>
      <c r="S218" s="602" t="s">
        <v>512</v>
      </c>
      <c r="T218" s="603">
        <v>7.9</v>
      </c>
      <c r="U218" s="604">
        <v>9.5</v>
      </c>
      <c r="V218" s="599" t="str">
        <f>IF(J191=U218,"←◎◎","")</f>
        <v/>
      </c>
      <c r="W218" s="20"/>
      <c r="X218" s="493"/>
      <c r="Y218" s="20"/>
      <c r="Z218" s="20"/>
      <c r="AA218" s="20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</row>
    <row r="219" spans="1:64">
      <c r="A219" s="36"/>
      <c r="B219" s="20"/>
      <c r="C219" s="20"/>
      <c r="D219" s="20"/>
      <c r="E219" s="645">
        <f>E217+C217+F217</f>
        <v>1342</v>
      </c>
      <c r="F219" s="20"/>
      <c r="G219" s="20"/>
      <c r="H219" s="20"/>
      <c r="I219" s="20"/>
      <c r="J219" s="634"/>
      <c r="K219" s="304"/>
      <c r="L219" s="20"/>
      <c r="M219" s="20"/>
      <c r="N219" s="20"/>
      <c r="R219" s="20"/>
      <c r="S219" s="602">
        <f>IF(J132=406.4,VLOOKUP(J190,T217:T225,1))</f>
        <v>21.4</v>
      </c>
      <c r="T219" s="603">
        <v>9.5</v>
      </c>
      <c r="U219" s="604">
        <v>12.7</v>
      </c>
      <c r="V219" s="599" t="str">
        <f>IF(J191=U219,"←◎◎","")</f>
        <v/>
      </c>
      <c r="W219" s="20"/>
      <c r="X219" s="493"/>
      <c r="Y219" s="20"/>
      <c r="Z219" s="20"/>
      <c r="AA219" s="20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</row>
    <row r="220" spans="1:64">
      <c r="A220" s="36"/>
      <c r="B220" s="20"/>
      <c r="C220" s="20"/>
      <c r="D220" s="20"/>
      <c r="E220" s="20"/>
      <c r="F220" s="20"/>
      <c r="G220" s="20"/>
      <c r="H220" s="20"/>
      <c r="I220" s="20"/>
      <c r="J220" s="634"/>
      <c r="K220" s="304"/>
      <c r="L220" s="20"/>
      <c r="M220" s="20"/>
      <c r="N220" s="20"/>
      <c r="R220" s="20"/>
      <c r="S220" s="606" t="s">
        <v>507</v>
      </c>
      <c r="T220" s="603">
        <v>12.7</v>
      </c>
      <c r="U220" s="604">
        <v>16.7</v>
      </c>
      <c r="V220" s="599" t="str">
        <f>IF(J191=U220,"←◎◎","")</f>
        <v/>
      </c>
      <c r="W220" s="20"/>
      <c r="X220" s="493"/>
      <c r="Y220" s="20"/>
      <c r="Z220" s="20"/>
      <c r="AA220" s="20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</row>
    <row r="221" spans="1:64">
      <c r="A221" s="313"/>
      <c r="B221" s="20" t="s">
        <v>583</v>
      </c>
      <c r="C221" s="20"/>
      <c r="D221" s="20"/>
      <c r="E221" s="641">
        <f>(((3.14/4)*(J203/100*J203/100-J205/100*J205/100)*7.85))</f>
        <v>0.19174493790539565</v>
      </c>
      <c r="F221" s="20" t="s">
        <v>584</v>
      </c>
      <c r="G221" s="634">
        <f>E221*(I217/1000)</f>
        <v>0.25732170666904097</v>
      </c>
      <c r="H221" s="20" t="s">
        <v>582</v>
      </c>
      <c r="I221" s="20"/>
      <c r="J221" s="634"/>
      <c r="K221" s="304"/>
      <c r="L221" s="20"/>
      <c r="M221" s="20"/>
      <c r="N221" s="20"/>
      <c r="R221" s="20"/>
      <c r="S221" s="624">
        <f>VLOOKUP(S219,T217:U225,2,0)</f>
        <v>26.2</v>
      </c>
      <c r="T221" s="603">
        <v>16.7</v>
      </c>
      <c r="U221" s="604">
        <v>21.4</v>
      </c>
      <c r="V221" s="599" t="str">
        <f>IF(J191=U221,"←◎◎","")</f>
        <v/>
      </c>
      <c r="W221" s="20"/>
      <c r="X221" s="493"/>
      <c r="Y221" s="20"/>
      <c r="Z221" s="20"/>
      <c r="AA221" s="20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</row>
    <row r="222" spans="1:64">
      <c r="A222" s="36"/>
      <c r="B222" s="20"/>
      <c r="C222" s="20"/>
      <c r="D222" s="20"/>
      <c r="E222" s="20"/>
      <c r="F222" s="20"/>
      <c r="G222" s="20"/>
      <c r="H222" s="20"/>
      <c r="I222" s="20"/>
      <c r="J222" s="634"/>
      <c r="K222" s="304"/>
      <c r="L222" s="20"/>
      <c r="M222" s="20"/>
      <c r="N222" s="20"/>
      <c r="R222" s="20"/>
      <c r="S222" s="606"/>
      <c r="T222" s="603">
        <v>21.4</v>
      </c>
      <c r="U222" s="604">
        <v>26.2</v>
      </c>
      <c r="V222" s="599" t="str">
        <f>IF(J191=U222,"←◎◎","")</f>
        <v>←◎◎</v>
      </c>
      <c r="W222" s="20"/>
      <c r="X222" s="493"/>
      <c r="Y222" s="20"/>
      <c r="Z222" s="20"/>
      <c r="AA222" s="20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</row>
    <row r="223" spans="1:64">
      <c r="A223" s="36"/>
      <c r="B223" s="20" t="s">
        <v>585</v>
      </c>
      <c r="C223" s="20"/>
      <c r="D223" s="20"/>
      <c r="E223" s="20"/>
      <c r="F223" s="20"/>
      <c r="G223" s="20"/>
      <c r="H223" s="20"/>
      <c r="I223" s="20"/>
      <c r="J223" s="634"/>
      <c r="K223" s="304"/>
      <c r="L223" s="20"/>
      <c r="M223" s="20"/>
      <c r="N223" s="20"/>
      <c r="R223" s="20"/>
      <c r="S223" s="606"/>
      <c r="T223" s="603">
        <v>26.2</v>
      </c>
      <c r="U223" s="604">
        <v>31</v>
      </c>
      <c r="V223" s="599" t="str">
        <f>IF(J191=U223,"←◎◎","")</f>
        <v/>
      </c>
      <c r="W223" s="20"/>
      <c r="X223" s="493"/>
      <c r="Y223" s="20"/>
      <c r="Z223" s="20"/>
      <c r="AA223" s="20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</row>
    <row r="224" spans="1:64">
      <c r="A224" s="36"/>
      <c r="B224" s="20"/>
      <c r="C224" s="20"/>
      <c r="D224" s="20"/>
      <c r="E224" s="20"/>
      <c r="F224" s="20"/>
      <c r="G224" s="20"/>
      <c r="H224" s="20"/>
      <c r="I224" s="20"/>
      <c r="J224" s="634"/>
      <c r="K224" s="304"/>
      <c r="L224" s="20"/>
      <c r="M224" s="20"/>
      <c r="N224" s="20"/>
      <c r="R224" s="20"/>
      <c r="S224" s="606"/>
      <c r="T224" s="603">
        <v>31</v>
      </c>
      <c r="U224" s="604">
        <v>36.5</v>
      </c>
      <c r="V224" s="599" t="str">
        <f>IF(J191=U224,"←◎◎","")</f>
        <v/>
      </c>
      <c r="W224" s="20"/>
      <c r="X224" s="493"/>
      <c r="Y224" s="20"/>
      <c r="Z224" s="20"/>
      <c r="AA224" s="20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</row>
    <row r="225" spans="1:64">
      <c r="A225" s="36"/>
      <c r="B225" s="20" t="s">
        <v>586</v>
      </c>
      <c r="C225" s="20"/>
      <c r="D225" s="20"/>
      <c r="E225" s="20"/>
      <c r="F225" s="20" t="s">
        <v>2725</v>
      </c>
      <c r="G225" s="20"/>
      <c r="H225" s="388" t="s">
        <v>587</v>
      </c>
      <c r="I225" s="67" t="s">
        <v>160</v>
      </c>
      <c r="J225" s="634">
        <f>(G218*H215/10)-(G221*H215/10/I217/10*H215/10*2)</f>
        <v>216.37112483700011</v>
      </c>
      <c r="K225" s="304" t="s">
        <v>588</v>
      </c>
      <c r="L225" s="20"/>
      <c r="M225" s="20"/>
      <c r="N225" s="20"/>
      <c r="R225" s="20"/>
      <c r="S225" s="631"/>
      <c r="T225" s="632">
        <v>36.5</v>
      </c>
      <c r="U225" s="633">
        <v>40.5</v>
      </c>
      <c r="V225" s="599" t="str">
        <f>IF(J191=U225,"←◎◎","")</f>
        <v/>
      </c>
      <c r="W225" s="20"/>
      <c r="X225" s="493"/>
      <c r="Y225" s="20"/>
      <c r="Z225" s="20"/>
      <c r="AA225" s="20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</row>
    <row r="226" spans="1:64">
      <c r="A226" s="36"/>
      <c r="B226" s="20"/>
      <c r="C226" s="20"/>
      <c r="D226" s="20"/>
      <c r="E226" s="20"/>
      <c r="F226" s="20"/>
      <c r="G226" s="19">
        <f>I217/10</f>
        <v>134.19999999999999</v>
      </c>
      <c r="H226" s="19">
        <v>2</v>
      </c>
      <c r="I226" s="20"/>
      <c r="J226" s="634"/>
      <c r="K226" s="304"/>
      <c r="L226" s="20"/>
      <c r="M226" s="20"/>
      <c r="N226" s="20"/>
      <c r="R226" s="596" t="str">
        <f>IF(J132=S226,"◎≈→","")</f>
        <v/>
      </c>
      <c r="S226" s="635">
        <v>457.2</v>
      </c>
      <c r="T226" s="636">
        <v>0</v>
      </c>
      <c r="U226" s="598">
        <v>6.4</v>
      </c>
      <c r="V226" s="599" t="str">
        <f>IF(J191=U226,"←◎◎","")</f>
        <v/>
      </c>
      <c r="W226" s="20"/>
      <c r="X226" s="493"/>
      <c r="Y226" s="20"/>
      <c r="Z226" s="20"/>
      <c r="AA226" s="20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</row>
    <row r="227" spans="1:64">
      <c r="A227" s="36"/>
      <c r="B227" s="20"/>
      <c r="C227" s="20"/>
      <c r="D227" s="20"/>
      <c r="E227" s="20"/>
      <c r="F227" s="20"/>
      <c r="G227" s="20"/>
      <c r="H227" s="20"/>
      <c r="I227" s="20"/>
      <c r="J227" s="634"/>
      <c r="K227" s="304"/>
      <c r="L227" s="20"/>
      <c r="M227" s="20"/>
      <c r="N227" s="20"/>
      <c r="R227" s="20"/>
      <c r="S227" s="649"/>
      <c r="T227" s="603">
        <v>6.4</v>
      </c>
      <c r="U227" s="604">
        <v>7.9</v>
      </c>
      <c r="V227" s="599" t="str">
        <f>IF(J191=U227,"←◎◎","")</f>
        <v/>
      </c>
      <c r="W227" s="20"/>
      <c r="X227" s="493"/>
      <c r="Y227" s="20"/>
      <c r="Z227" s="20"/>
      <c r="AA227" s="20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</row>
    <row r="228" spans="1:64" ht="15.75">
      <c r="A228" s="313"/>
      <c r="B228" s="20" t="s">
        <v>2726</v>
      </c>
      <c r="C228" s="20"/>
      <c r="D228" s="20"/>
      <c r="E228" s="20"/>
      <c r="F228" s="646">
        <f>J225</f>
        <v>216.37112483700011</v>
      </c>
      <c r="G228" s="20"/>
      <c r="H228" s="20"/>
      <c r="I228" s="67" t="s">
        <v>160</v>
      </c>
      <c r="J228" s="647">
        <f>J225/J207</f>
        <v>9.625396817830309E-2</v>
      </c>
      <c r="K228" s="304" t="s">
        <v>2727</v>
      </c>
      <c r="L228" s="20"/>
      <c r="M228" s="20"/>
      <c r="N228" s="20"/>
      <c r="R228" s="20"/>
      <c r="S228" s="602" t="s">
        <v>512</v>
      </c>
      <c r="T228" s="603">
        <v>7.9</v>
      </c>
      <c r="U228" s="604">
        <v>9.5</v>
      </c>
      <c r="V228" s="599" t="str">
        <f>IF(J191=U228,"←◎◎","")</f>
        <v/>
      </c>
      <c r="Y228" s="20"/>
      <c r="Z228" s="20"/>
      <c r="AA228" s="20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</row>
    <row r="229" spans="1:64" ht="15.75">
      <c r="A229" s="36"/>
      <c r="B229" s="20"/>
      <c r="C229" s="20"/>
      <c r="D229" s="20"/>
      <c r="E229" s="20" t="s">
        <v>589</v>
      </c>
      <c r="F229" s="634">
        <f>J207</f>
        <v>2247.9190098032032</v>
      </c>
      <c r="G229" s="20"/>
      <c r="H229" s="20"/>
      <c r="I229" s="67" t="s">
        <v>160</v>
      </c>
      <c r="J229" s="634">
        <f>J228*1000</f>
        <v>96.253968178303083</v>
      </c>
      <c r="K229" s="304" t="s">
        <v>2722</v>
      </c>
      <c r="L229" s="20"/>
      <c r="M229" s="20"/>
      <c r="N229" s="20"/>
      <c r="R229" s="20"/>
      <c r="S229" s="602" t="b">
        <f>IF(J132=457.2,VLOOKUP(J190,T227:T237,1))</f>
        <v>0</v>
      </c>
      <c r="T229" s="603">
        <v>9.5</v>
      </c>
      <c r="U229" s="604">
        <v>11.1</v>
      </c>
      <c r="V229" s="599" t="str">
        <f>IF(J191=U229,"←◎◎","")</f>
        <v/>
      </c>
      <c r="Y229" s="20"/>
      <c r="Z229" s="20"/>
      <c r="AA229" s="20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</row>
    <row r="230" spans="1:64">
      <c r="A230" s="3769" t="s">
        <v>1</v>
      </c>
      <c r="B230" s="3770"/>
      <c r="C230" s="3770"/>
      <c r="D230" s="3770"/>
      <c r="E230" s="3771"/>
      <c r="F230" s="3735" t="s">
        <v>109</v>
      </c>
      <c r="G230" s="3736"/>
      <c r="H230" s="3737"/>
      <c r="I230" s="3738" t="s">
        <v>2</v>
      </c>
      <c r="J230" s="3739"/>
      <c r="K230" s="3740"/>
      <c r="L230" s="20"/>
      <c r="M230" s="20"/>
      <c r="N230" s="20"/>
      <c r="R230" s="20"/>
      <c r="S230" s="606" t="s">
        <v>507</v>
      </c>
      <c r="T230" s="603">
        <v>11.1</v>
      </c>
      <c r="U230" s="604">
        <v>12.7</v>
      </c>
      <c r="V230" s="599" t="str">
        <f>IF(J191=U230,"←◎◎","")</f>
        <v/>
      </c>
      <c r="Y230" s="20"/>
      <c r="Z230" s="20"/>
      <c r="AA230" s="20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</row>
    <row r="231" spans="1:64">
      <c r="A231" s="3741" t="s">
        <v>2786</v>
      </c>
      <c r="B231" s="3742"/>
      <c r="C231" s="3742"/>
      <c r="D231" s="3742"/>
      <c r="E231" s="3743"/>
      <c r="F231" s="3744" t="str">
        <f>F176</f>
        <v xml:space="preserve">25/15T D/G EOT CRANE  </v>
      </c>
      <c r="G231" s="3695"/>
      <c r="H231" s="3745"/>
      <c r="I231" s="3746">
        <f>I176</f>
        <v>0</v>
      </c>
      <c r="J231" s="3747"/>
      <c r="K231" s="3748"/>
      <c r="L231" s="20"/>
      <c r="M231" s="20"/>
      <c r="N231" s="20"/>
      <c r="R231" s="20"/>
      <c r="S231" s="624" t="e">
        <f>VLOOKUP(S229,T227:U237,2,0)</f>
        <v>#N/A</v>
      </c>
      <c r="T231" s="603">
        <v>12.7</v>
      </c>
      <c r="U231" s="604">
        <v>14.3</v>
      </c>
      <c r="V231" s="599" t="str">
        <f>IF(J191=U231,"←◎◎","")</f>
        <v/>
      </c>
      <c r="Y231" s="20"/>
      <c r="Z231" s="20"/>
      <c r="AA231" s="20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</row>
    <row r="232" spans="1:64">
      <c r="A232" s="3803" t="e">
        <f>A177</f>
        <v>#REF!</v>
      </c>
      <c r="B232" s="3751"/>
      <c r="C232" s="3751"/>
      <c r="D232" s="3751"/>
      <c r="E232" s="3804"/>
      <c r="F232" s="3759" t="s">
        <v>122</v>
      </c>
      <c r="G232" s="3760"/>
      <c r="H232" s="3761"/>
      <c r="I232" s="3750" t="s">
        <v>791</v>
      </c>
      <c r="J232" s="3751"/>
      <c r="K232" s="3752"/>
      <c r="L232" s="20"/>
      <c r="M232" s="20"/>
      <c r="N232" s="20"/>
      <c r="R232" s="20"/>
      <c r="S232" s="649"/>
      <c r="T232" s="603">
        <v>14.3</v>
      </c>
      <c r="U232" s="604">
        <v>19</v>
      </c>
      <c r="V232" s="599" t="str">
        <f>IF(J191=U232,"←◎◎","")</f>
        <v/>
      </c>
      <c r="Y232" s="20"/>
      <c r="Z232" s="20"/>
      <c r="AA232" s="20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</row>
    <row r="233" spans="1:64">
      <c r="A233" s="406" t="s">
        <v>32</v>
      </c>
      <c r="B233" s="407" t="e">
        <f>B87</f>
        <v>#REF!</v>
      </c>
      <c r="C233" s="407"/>
      <c r="D233" s="407"/>
      <c r="E233" s="408"/>
      <c r="F233" s="3762" t="str">
        <f>F178</f>
        <v xml:space="preserve"> </v>
      </c>
      <c r="G233" s="3742"/>
      <c r="H233" s="3743"/>
      <c r="I233" s="3753"/>
      <c r="J233" s="3754"/>
      <c r="K233" s="3755"/>
      <c r="L233" s="20"/>
      <c r="M233" s="20"/>
      <c r="N233" s="20"/>
      <c r="R233" s="20"/>
      <c r="S233" s="649"/>
      <c r="T233" s="603">
        <v>19</v>
      </c>
      <c r="U233" s="604">
        <v>23.8</v>
      </c>
      <c r="V233" s="599" t="str">
        <f>IF(J191=U233,"←◎◎","")</f>
        <v/>
      </c>
      <c r="Y233" s="20"/>
      <c r="Z233" s="20"/>
      <c r="AA233" s="20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</row>
    <row r="234" spans="1:64">
      <c r="A234" s="313"/>
      <c r="B234" s="19"/>
      <c r="C234" s="19"/>
      <c r="D234" s="19"/>
      <c r="E234" s="297"/>
      <c r="F234" s="51"/>
      <c r="G234" s="51"/>
      <c r="H234" s="51"/>
      <c r="I234" s="59"/>
      <c r="J234" s="59"/>
      <c r="K234" s="468"/>
      <c r="L234" s="20"/>
      <c r="M234" s="20"/>
      <c r="N234" s="20"/>
      <c r="R234" s="20"/>
      <c r="S234" s="649"/>
      <c r="T234" s="603">
        <v>23.8</v>
      </c>
      <c r="U234" s="604">
        <v>29.4</v>
      </c>
      <c r="V234" s="599" t="str">
        <f>IF(J191=U234,"←◎◎","")</f>
        <v/>
      </c>
      <c r="Y234" s="20"/>
      <c r="Z234" s="20"/>
      <c r="AA234" s="20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</row>
    <row r="235" spans="1:64">
      <c r="A235" s="313"/>
      <c r="B235" s="19" t="s">
        <v>591</v>
      </c>
      <c r="C235" s="88" t="s">
        <v>592</v>
      </c>
      <c r="D235" s="88"/>
      <c r="E235" s="297"/>
      <c r="F235" s="51"/>
      <c r="G235" s="51"/>
      <c r="H235" s="51"/>
      <c r="I235" s="59"/>
      <c r="J235" s="59"/>
      <c r="K235" s="468"/>
      <c r="L235" s="20"/>
      <c r="M235" s="20"/>
      <c r="N235" s="20"/>
      <c r="R235" s="20"/>
      <c r="S235" s="649"/>
      <c r="T235" s="603">
        <v>29.4</v>
      </c>
      <c r="U235" s="604">
        <v>34.9</v>
      </c>
      <c r="V235" s="599" t="str">
        <f>IF(J191=U235,"←◎◎","")</f>
        <v/>
      </c>
      <c r="Y235" s="20"/>
      <c r="Z235" s="20"/>
      <c r="AA235" s="20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</row>
    <row r="236" spans="1:64">
      <c r="A236" s="313"/>
      <c r="B236" s="19"/>
      <c r="C236" s="88" t="s">
        <v>568</v>
      </c>
      <c r="D236" s="88"/>
      <c r="E236" s="297"/>
      <c r="F236" s="51"/>
      <c r="G236" s="51"/>
      <c r="H236" s="51"/>
      <c r="I236" s="67" t="s">
        <v>160</v>
      </c>
      <c r="J236" s="648">
        <f>H210*1000</f>
        <v>3869.0625</v>
      </c>
      <c r="K236" s="468" t="s">
        <v>380</v>
      </c>
      <c r="L236" s="20"/>
      <c r="M236" s="20"/>
      <c r="N236" s="20"/>
      <c r="R236" s="20"/>
      <c r="S236" s="649"/>
      <c r="T236" s="603">
        <v>34.9</v>
      </c>
      <c r="U236" s="604">
        <v>39.700000000000003</v>
      </c>
      <c r="V236" s="599" t="str">
        <f>IF(J191=U236,"←◎◎","")</f>
        <v/>
      </c>
      <c r="Y236" s="20"/>
      <c r="Z236" s="20"/>
      <c r="AA236" s="20"/>
      <c r="AB236" s="20"/>
      <c r="AC236" s="20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</row>
    <row r="237" spans="1:64">
      <c r="A237" s="313"/>
      <c r="B237" s="19"/>
      <c r="C237" s="88" t="s">
        <v>593</v>
      </c>
      <c r="D237" s="88"/>
      <c r="E237" s="297"/>
      <c r="F237" s="19">
        <f>J132+F109</f>
        <v>424.4</v>
      </c>
      <c r="G237" s="51"/>
      <c r="H237" s="51"/>
      <c r="I237" s="67" t="s">
        <v>160</v>
      </c>
      <c r="J237" s="59">
        <f>F237/10</f>
        <v>42.44</v>
      </c>
      <c r="K237" s="468" t="s">
        <v>571</v>
      </c>
      <c r="L237" s="20"/>
      <c r="M237" s="20"/>
      <c r="N237" s="20"/>
      <c r="R237" s="20"/>
      <c r="S237" s="656"/>
      <c r="T237" s="608">
        <v>39.700000000000003</v>
      </c>
      <c r="U237" s="609">
        <v>45.2</v>
      </c>
      <c r="V237" s="599" t="str">
        <f>IF(J191=U237,"←◎◎","")</f>
        <v/>
      </c>
      <c r="Y237" s="20"/>
      <c r="Z237" s="20"/>
      <c r="AA237" s="20"/>
      <c r="AB237" s="20"/>
      <c r="AC237" s="20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</row>
    <row r="238" spans="1:64">
      <c r="A238" s="313"/>
      <c r="B238" s="19"/>
      <c r="C238" s="88" t="s">
        <v>594</v>
      </c>
      <c r="D238" s="88"/>
      <c r="E238" s="297"/>
      <c r="F238" s="51"/>
      <c r="G238" s="51"/>
      <c r="H238" s="51"/>
      <c r="I238" s="67"/>
      <c r="J238" s="59"/>
      <c r="K238" s="468"/>
      <c r="L238" s="20"/>
      <c r="M238" s="20"/>
      <c r="N238" s="20"/>
      <c r="R238" s="596" t="str">
        <f>IF(J132=S238,"◎≈→","")</f>
        <v/>
      </c>
      <c r="S238" s="612">
        <v>508</v>
      </c>
      <c r="T238" s="613">
        <v>0</v>
      </c>
      <c r="U238" s="614">
        <v>6.4</v>
      </c>
      <c r="V238" s="599" t="str">
        <f>IF(J191=U238,"←◎◎","")</f>
        <v/>
      </c>
      <c r="W238" s="20"/>
      <c r="X238" s="493"/>
      <c r="Y238" s="20"/>
      <c r="Z238" s="20"/>
      <c r="AA238" s="20"/>
      <c r="AB238" s="20"/>
      <c r="AC238" s="20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</row>
    <row r="239" spans="1:64">
      <c r="A239" s="313"/>
      <c r="B239" s="67" t="s">
        <v>595</v>
      </c>
      <c r="C239" s="88" t="s">
        <v>596</v>
      </c>
      <c r="D239" s="88"/>
      <c r="E239" s="297"/>
      <c r="F239" s="19" t="s">
        <v>597</v>
      </c>
      <c r="G239" s="51"/>
      <c r="H239" s="51"/>
      <c r="I239" s="67" t="s">
        <v>160</v>
      </c>
      <c r="J239" s="59">
        <f>2*J236*(J237/2)</f>
        <v>164203.01249999998</v>
      </c>
      <c r="K239" s="468" t="s">
        <v>598</v>
      </c>
      <c r="L239" s="20"/>
      <c r="M239" s="20"/>
      <c r="N239" s="20"/>
      <c r="R239" s="20"/>
      <c r="S239" s="602"/>
      <c r="T239" s="603">
        <v>6.4</v>
      </c>
      <c r="U239" s="604">
        <v>9.5</v>
      </c>
      <c r="V239" s="599" t="str">
        <f>IF(J191=U239,"←◎◎","")</f>
        <v/>
      </c>
      <c r="W239" s="20"/>
      <c r="X239" s="493"/>
      <c r="Y239" s="20"/>
      <c r="Z239" s="20"/>
      <c r="AA239" s="20"/>
      <c r="AB239" s="20"/>
      <c r="AC239" s="20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</row>
    <row r="240" spans="1:64">
      <c r="A240" s="313"/>
      <c r="B240" s="19"/>
      <c r="C240" s="88"/>
      <c r="D240" s="88"/>
      <c r="E240" s="297"/>
      <c r="F240" s="19"/>
      <c r="G240" s="51"/>
      <c r="H240" s="51"/>
      <c r="I240" s="67"/>
      <c r="J240" s="59"/>
      <c r="K240" s="468"/>
      <c r="L240" s="20"/>
      <c r="M240" s="20"/>
      <c r="N240" s="20"/>
      <c r="R240" s="20"/>
      <c r="S240" s="602" t="s">
        <v>512</v>
      </c>
      <c r="T240" s="603">
        <v>9.5</v>
      </c>
      <c r="U240" s="604">
        <v>12.7</v>
      </c>
      <c r="V240" s="599" t="str">
        <f>IF(J191=U240,"←◎◎","")</f>
        <v/>
      </c>
      <c r="W240" s="20"/>
      <c r="X240" s="493"/>
      <c r="Y240" s="20"/>
      <c r="Z240" s="20"/>
      <c r="AA240" s="20"/>
      <c r="AB240" s="20"/>
      <c r="AC240" s="20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</row>
    <row r="241" spans="1:64" ht="15.75">
      <c r="A241" s="313"/>
      <c r="B241" s="67" t="s">
        <v>605</v>
      </c>
      <c r="C241" s="88" t="s">
        <v>2728</v>
      </c>
      <c r="D241" s="88"/>
      <c r="E241" s="297"/>
      <c r="F241" s="19"/>
      <c r="G241" s="51"/>
      <c r="H241" s="51"/>
      <c r="I241" s="67" t="s">
        <v>160</v>
      </c>
      <c r="J241" s="648">
        <f>3.14/16*(J203*J203*J203*J203-J205*J205*J205*J205)/J203</f>
        <v>4495.8380196064063</v>
      </c>
      <c r="K241" s="468" t="s">
        <v>2724</v>
      </c>
      <c r="L241" s="20"/>
      <c r="M241" s="20"/>
      <c r="N241" s="20"/>
      <c r="R241" s="20"/>
      <c r="S241" s="602" t="b">
        <f>IF(J132=508,VLOOKUP(J190,T239:T247,1))</f>
        <v>0</v>
      </c>
      <c r="T241" s="603">
        <v>12.7</v>
      </c>
      <c r="U241" s="604">
        <v>15.1</v>
      </c>
      <c r="V241" s="599" t="str">
        <f>IF(J191=U241,"←◎◎","")</f>
        <v/>
      </c>
      <c r="W241" s="20"/>
      <c r="X241" s="493"/>
      <c r="Y241" s="20"/>
      <c r="Z241" s="20"/>
      <c r="AA241" s="20"/>
      <c r="AB241" s="20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</row>
    <row r="242" spans="1:64" ht="15.75">
      <c r="A242" s="313"/>
      <c r="B242" s="19"/>
      <c r="C242" s="88"/>
      <c r="D242" s="88"/>
      <c r="E242" s="650" t="s">
        <v>160</v>
      </c>
      <c r="F242" s="88" t="s">
        <v>2729</v>
      </c>
      <c r="G242" s="51"/>
      <c r="H242" s="51"/>
      <c r="I242" s="67"/>
      <c r="J242" s="59"/>
      <c r="K242" s="468"/>
      <c r="L242" s="20"/>
      <c r="M242" s="20"/>
      <c r="N242" s="20"/>
      <c r="R242" s="20"/>
      <c r="S242" s="606" t="s">
        <v>507</v>
      </c>
      <c r="T242" s="603">
        <v>15.1</v>
      </c>
      <c r="U242" s="604">
        <v>20.6</v>
      </c>
      <c r="V242" s="599" t="str">
        <f>IF(J191=U242,"←◎◎","")</f>
        <v/>
      </c>
      <c r="W242" s="20"/>
      <c r="X242" s="493"/>
      <c r="Y242" s="20"/>
      <c r="Z242" s="20"/>
      <c r="AA242" s="20"/>
      <c r="AB242" s="20"/>
      <c r="AC242" s="20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</row>
    <row r="243" spans="1:64" ht="15.75">
      <c r="A243" s="313"/>
      <c r="B243" s="67" t="s">
        <v>608</v>
      </c>
      <c r="C243" s="88" t="s">
        <v>609</v>
      </c>
      <c r="D243" s="88"/>
      <c r="E243" s="297"/>
      <c r="F243" s="653">
        <f>J239</f>
        <v>164203.01249999998</v>
      </c>
      <c r="G243" s="51"/>
      <c r="H243" s="51"/>
      <c r="I243" s="67" t="s">
        <v>160</v>
      </c>
      <c r="J243" s="654">
        <f>J239/J241</f>
        <v>36.523338203891818</v>
      </c>
      <c r="K243" s="468" t="s">
        <v>2722</v>
      </c>
      <c r="L243" s="20"/>
      <c r="M243" s="20"/>
      <c r="N243" s="20"/>
      <c r="R243" s="20"/>
      <c r="S243" s="624" t="e">
        <f>VLOOKUP(S241,T239:U247,2,0)</f>
        <v>#N/A</v>
      </c>
      <c r="T243" s="603">
        <v>20.6</v>
      </c>
      <c r="U243" s="604">
        <v>26.2</v>
      </c>
      <c r="V243" s="599" t="str">
        <f>IF(J191=U243,"←◎◎","")</f>
        <v>←◎◎</v>
      </c>
      <c r="W243" s="20"/>
      <c r="X243" s="493"/>
      <c r="Y243" s="20"/>
      <c r="Z243" s="20"/>
      <c r="AA243" s="20"/>
      <c r="AB243" s="20"/>
      <c r="AC243" s="20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</row>
    <row r="244" spans="1:64">
      <c r="A244" s="313"/>
      <c r="B244" s="19"/>
      <c r="C244" s="19"/>
      <c r="D244" s="19"/>
      <c r="E244" s="297"/>
      <c r="F244" s="619">
        <f>J241</f>
        <v>4495.8380196064063</v>
      </c>
      <c r="G244" s="51"/>
      <c r="H244" s="51"/>
      <c r="I244" s="59"/>
      <c r="J244" s="59"/>
      <c r="K244" s="468"/>
      <c r="L244" s="20"/>
      <c r="M244" s="20"/>
      <c r="N244" s="20"/>
      <c r="R244" s="20"/>
      <c r="S244" s="606"/>
      <c r="T244" s="603">
        <v>26.2</v>
      </c>
      <c r="U244" s="604">
        <v>32.5</v>
      </c>
      <c r="V244" s="599" t="str">
        <f>IF(J191=U244,"←◎◎","")</f>
        <v/>
      </c>
      <c r="W244" s="20"/>
      <c r="X244" s="493"/>
      <c r="Y244" s="20"/>
      <c r="Z244" s="20"/>
      <c r="AA244" s="20"/>
      <c r="AB244" s="20"/>
      <c r="AC244" s="20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</row>
    <row r="245" spans="1:64">
      <c r="A245" s="313"/>
      <c r="B245" s="19"/>
      <c r="C245" s="19"/>
      <c r="D245" s="19"/>
      <c r="E245" s="297"/>
      <c r="F245" s="51"/>
      <c r="G245" s="51"/>
      <c r="H245" s="51"/>
      <c r="I245" s="59"/>
      <c r="J245" s="59"/>
      <c r="K245" s="468"/>
      <c r="L245" s="20"/>
      <c r="M245" s="20"/>
      <c r="N245" s="20"/>
      <c r="R245" s="20"/>
      <c r="S245" s="606"/>
      <c r="T245" s="603">
        <v>32.5</v>
      </c>
      <c r="U245" s="604">
        <v>38.1</v>
      </c>
      <c r="V245" s="599" t="str">
        <f>IF(J191=U245,"←◎◎","")</f>
        <v/>
      </c>
      <c r="W245" s="20"/>
      <c r="X245" s="493"/>
      <c r="Y245" s="20"/>
      <c r="Z245" s="20"/>
      <c r="AA245" s="20"/>
      <c r="AB245" s="20"/>
      <c r="AC245" s="20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</row>
    <row r="246" spans="1:64" ht="15.75">
      <c r="A246" s="313"/>
      <c r="B246" s="88" t="s">
        <v>613</v>
      </c>
      <c r="C246" s="19"/>
      <c r="D246" s="19"/>
      <c r="E246" s="655" t="s">
        <v>2730</v>
      </c>
      <c r="F246" s="51"/>
      <c r="G246" s="51"/>
      <c r="H246" s="51"/>
      <c r="I246" s="59"/>
      <c r="J246" s="59"/>
      <c r="K246" s="468" t="s">
        <v>614</v>
      </c>
      <c r="L246" s="20"/>
      <c r="M246" s="20"/>
      <c r="N246" s="20"/>
      <c r="R246" s="20"/>
      <c r="S246" s="606"/>
      <c r="T246" s="603">
        <v>38.1</v>
      </c>
      <c r="U246" s="604">
        <v>44.4</v>
      </c>
      <c r="V246" s="599" t="str">
        <f>IF(J191=U246,"←◎◎","")</f>
        <v/>
      </c>
      <c r="W246" s="20"/>
      <c r="X246" s="493"/>
      <c r="Y246" s="20"/>
      <c r="Z246" s="20"/>
      <c r="AA246" s="20"/>
      <c r="AB246" s="20"/>
      <c r="AC246" s="20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</row>
    <row r="247" spans="1:64">
      <c r="A247" s="313"/>
      <c r="B247" s="19"/>
      <c r="C247" s="19"/>
      <c r="D247" s="19"/>
      <c r="E247" s="657">
        <f>J195*J195</f>
        <v>1562500</v>
      </c>
      <c r="F247" s="657">
        <f>J229*J229</f>
        <v>9264.8263900697821</v>
      </c>
      <c r="G247" s="657">
        <f>J229*J195</f>
        <v>120317.46022287886</v>
      </c>
      <c r="H247" s="657">
        <f>3*(J243*J243)</f>
        <v>4001.8627006675906</v>
      </c>
      <c r="I247" s="658"/>
      <c r="J247" s="657">
        <f>E247+F247+G247+H247</f>
        <v>1696084.1493136163</v>
      </c>
      <c r="K247" s="468" t="s">
        <v>616</v>
      </c>
      <c r="L247" s="20"/>
      <c r="M247" s="20"/>
      <c r="N247" s="20"/>
      <c r="R247" s="20"/>
      <c r="S247" s="631"/>
      <c r="T247" s="632">
        <v>44.4</v>
      </c>
      <c r="U247" s="633">
        <v>50</v>
      </c>
      <c r="V247" s="599" t="str">
        <f>IF(J191=U247,"←◎◎","")</f>
        <v/>
      </c>
      <c r="W247" s="20"/>
      <c r="X247" s="493"/>
      <c r="Y247" s="20"/>
      <c r="Z247" s="20"/>
      <c r="AA247" s="20"/>
      <c r="AB247" s="20"/>
      <c r="AC247" s="20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</row>
    <row r="248" spans="1:64">
      <c r="A248" s="313"/>
      <c r="B248" s="19"/>
      <c r="C248" s="19"/>
      <c r="D248" s="19"/>
      <c r="E248" s="542"/>
      <c r="F248" s="556"/>
      <c r="G248" s="556"/>
      <c r="H248" s="556"/>
      <c r="I248" s="434"/>
      <c r="J248" s="434"/>
      <c r="K248" s="468"/>
      <c r="L248" s="20"/>
      <c r="M248" s="20"/>
      <c r="N248" s="20"/>
      <c r="R248" s="596" t="str">
        <f>IF(J132=S248,"◎≈→","")</f>
        <v/>
      </c>
      <c r="S248" s="635">
        <v>609.6</v>
      </c>
      <c r="T248" s="636">
        <v>0</v>
      </c>
      <c r="U248" s="598">
        <v>6.4</v>
      </c>
      <c r="V248" s="599" t="str">
        <f>IF(J191=U248,"←◎◎","")</f>
        <v/>
      </c>
      <c r="W248" s="20"/>
      <c r="X248" s="493"/>
      <c r="Y248" s="20"/>
      <c r="Z248" s="20"/>
      <c r="AA248" s="20"/>
      <c r="AB248" s="20"/>
      <c r="AC248" s="20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</row>
    <row r="249" spans="1:64" ht="15.75">
      <c r="A249" s="313"/>
      <c r="B249" s="19"/>
      <c r="C249" s="19" t="s">
        <v>160</v>
      </c>
      <c r="D249" s="19"/>
      <c r="E249" s="51">
        <f>SQRT(J247)</f>
        <v>1302.3379551075122</v>
      </c>
      <c r="F249" s="193" t="s">
        <v>2731</v>
      </c>
      <c r="G249" s="51"/>
      <c r="H249" s="51"/>
      <c r="I249" s="59"/>
      <c r="J249" s="59"/>
      <c r="K249" s="468"/>
      <c r="L249" s="20"/>
      <c r="M249" s="20"/>
      <c r="N249" s="17"/>
      <c r="R249" s="20"/>
      <c r="S249" s="602"/>
      <c r="T249" s="603">
        <v>6.4</v>
      </c>
      <c r="U249" s="604">
        <v>9.5</v>
      </c>
      <c r="V249" s="599" t="str">
        <f>IF(J191=U249,"←◎◎","")</f>
        <v/>
      </c>
      <c r="W249" s="20"/>
      <c r="X249" s="493"/>
      <c r="Y249" s="20"/>
      <c r="Z249" s="20"/>
      <c r="AA249" s="20"/>
      <c r="AB249" s="20"/>
      <c r="AC249" s="20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</row>
    <row r="250" spans="1:64">
      <c r="A250" s="313"/>
      <c r="B250" s="19"/>
      <c r="C250" s="19"/>
      <c r="D250" s="19"/>
      <c r="E250" s="19"/>
      <c r="F250" s="51"/>
      <c r="G250" s="51"/>
      <c r="H250" s="51"/>
      <c r="I250" s="59"/>
      <c r="J250" s="59"/>
      <c r="K250" s="468"/>
      <c r="L250" s="20"/>
      <c r="M250" s="20"/>
      <c r="N250" s="17"/>
      <c r="R250" s="17"/>
      <c r="S250" s="602" t="s">
        <v>512</v>
      </c>
      <c r="T250" s="603">
        <v>9.5</v>
      </c>
      <c r="U250" s="604">
        <v>12.7</v>
      </c>
      <c r="V250" s="599" t="str">
        <f>IF(J191=U250,"←◎◎","")</f>
        <v/>
      </c>
      <c r="W250" s="20"/>
      <c r="X250" s="493"/>
      <c r="Y250" s="20"/>
      <c r="Z250" s="20"/>
      <c r="AA250" s="20"/>
      <c r="AB250" s="20"/>
      <c r="AC250" s="20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</row>
    <row r="251" spans="1:64" ht="33" customHeight="1">
      <c r="A251" s="313"/>
      <c r="B251" s="3764" t="s">
        <v>2742</v>
      </c>
      <c r="C251" s="3764"/>
      <c r="D251" s="3764"/>
      <c r="E251" s="3764"/>
      <c r="F251" s="3764"/>
      <c r="G251" s="3764"/>
      <c r="H251" s="3764"/>
      <c r="I251" s="3764"/>
      <c r="J251" s="3764"/>
      <c r="K251" s="468"/>
      <c r="L251" s="17"/>
      <c r="M251" s="17"/>
      <c r="N251" s="17"/>
      <c r="R251" s="17"/>
      <c r="S251" s="602" t="b">
        <f>IF(J132=609.6,VLOOKUP(J190,T249:T259,1))</f>
        <v>0</v>
      </c>
      <c r="T251" s="603">
        <v>12.7</v>
      </c>
      <c r="U251" s="604">
        <v>14.3</v>
      </c>
      <c r="V251" s="599" t="str">
        <f>IF(J191=U251,"←◎◎","")</f>
        <v/>
      </c>
      <c r="W251" s="20"/>
      <c r="X251" s="493"/>
      <c r="Y251" s="20"/>
      <c r="Z251" s="20"/>
      <c r="AA251" s="20"/>
      <c r="AB251" s="20"/>
      <c r="AC251" s="20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</row>
    <row r="252" spans="1:64">
      <c r="A252" s="313"/>
      <c r="B252" s="19"/>
      <c r="C252" s="19"/>
      <c r="D252" s="19"/>
      <c r="E252" s="297"/>
      <c r="F252" s="51"/>
      <c r="G252" s="51"/>
      <c r="H252" s="51"/>
      <c r="I252" s="59"/>
      <c r="J252" s="59"/>
      <c r="K252" s="468"/>
      <c r="L252" s="17"/>
      <c r="M252" s="17"/>
      <c r="N252" s="17"/>
      <c r="R252" s="17"/>
      <c r="S252" s="606" t="s">
        <v>507</v>
      </c>
      <c r="T252" s="603">
        <v>14.3</v>
      </c>
      <c r="U252" s="604">
        <v>17.5</v>
      </c>
      <c r="V252" s="599" t="str">
        <f>IF(J191=U252,"←◎◎","")</f>
        <v/>
      </c>
      <c r="W252" s="20"/>
      <c r="X252" s="493"/>
      <c r="Y252" s="20"/>
      <c r="Z252" s="20"/>
      <c r="AA252" s="20"/>
      <c r="AB252" s="20"/>
      <c r="AC252" s="20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</row>
    <row r="253" spans="1:64">
      <c r="A253" s="36"/>
      <c r="B253" s="20" t="s">
        <v>623</v>
      </c>
      <c r="C253" s="20"/>
      <c r="D253" s="20"/>
      <c r="E253" s="20"/>
      <c r="F253" s="20"/>
      <c r="G253" s="20"/>
      <c r="H253" s="20"/>
      <c r="I253" s="20"/>
      <c r="J253" s="25"/>
      <c r="K253" s="304"/>
      <c r="L253" s="17"/>
      <c r="M253" s="17"/>
      <c r="N253" s="17"/>
      <c r="R253" s="17"/>
      <c r="S253" s="624" t="e">
        <f>VLOOKUP(S251,T249:U259,2,0)</f>
        <v>#N/A</v>
      </c>
      <c r="T253" s="603">
        <v>17.5</v>
      </c>
      <c r="U253" s="604">
        <v>23.8</v>
      </c>
      <c r="V253" s="599" t="str">
        <f>IF(J191=U253,"←◎◎","")</f>
        <v/>
      </c>
      <c r="W253" s="20"/>
      <c r="X253" s="493"/>
      <c r="Y253" s="20"/>
      <c r="Z253" s="20"/>
      <c r="AA253" s="20"/>
      <c r="AB253" s="20"/>
      <c r="AC253" s="20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</row>
    <row r="254" spans="1:64">
      <c r="A254" s="36"/>
      <c r="B254" s="182"/>
      <c r="C254" s="3765" t="s">
        <v>626</v>
      </c>
      <c r="D254" s="3765"/>
      <c r="E254" s="3765"/>
      <c r="F254" s="3765"/>
      <c r="G254" s="3765"/>
      <c r="H254" s="3765"/>
      <c r="I254" s="3765"/>
      <c r="J254" s="3765"/>
      <c r="K254" s="304"/>
      <c r="L254" s="17"/>
      <c r="M254" s="17"/>
      <c r="N254" s="17"/>
      <c r="R254" s="17"/>
      <c r="S254" s="606"/>
      <c r="T254" s="603">
        <v>23.8</v>
      </c>
      <c r="U254" s="604">
        <v>24.6</v>
      </c>
      <c r="V254" s="599" t="str">
        <f>IF(J191=U254,"←◎◎","")</f>
        <v/>
      </c>
      <c r="W254" s="20"/>
      <c r="X254" s="493"/>
      <c r="Y254" s="20"/>
      <c r="Z254" s="20"/>
      <c r="AA254" s="20"/>
      <c r="AB254" s="20"/>
      <c r="AC254" s="20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</row>
    <row r="255" spans="1:64">
      <c r="A255" s="36"/>
      <c r="B255" s="20"/>
      <c r="C255" s="20" t="s">
        <v>628</v>
      </c>
      <c r="D255" s="20"/>
      <c r="E255" s="20"/>
      <c r="F255" s="20"/>
      <c r="G255" s="20"/>
      <c r="H255" s="20"/>
      <c r="I255" s="67" t="s">
        <v>160</v>
      </c>
      <c r="J255" s="577">
        <f>J132</f>
        <v>406.4</v>
      </c>
      <c r="K255" s="304"/>
      <c r="L255" s="17"/>
      <c r="M255" s="17"/>
      <c r="N255" s="17"/>
      <c r="R255" s="17"/>
      <c r="S255" s="606"/>
      <c r="T255" s="603">
        <v>24.6</v>
      </c>
      <c r="U255" s="604">
        <v>31</v>
      </c>
      <c r="V255" s="599" t="str">
        <f>IF(J191=U255,"←◎◎","")</f>
        <v/>
      </c>
      <c r="W255" s="20"/>
      <c r="X255" s="493"/>
      <c r="Y255" s="20"/>
      <c r="Z255" s="20"/>
      <c r="AA255" s="20"/>
      <c r="AB255" s="20"/>
      <c r="AC255" s="20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</row>
    <row r="256" spans="1:64">
      <c r="A256" s="36"/>
      <c r="B256" s="20"/>
      <c r="C256" s="20" t="s">
        <v>630</v>
      </c>
      <c r="D256" s="20"/>
      <c r="E256" s="20"/>
      <c r="F256" s="20"/>
      <c r="G256" s="20"/>
      <c r="H256" s="20"/>
      <c r="I256" s="67" t="s">
        <v>160</v>
      </c>
      <c r="J256" s="577">
        <f>J165</f>
        <v>250</v>
      </c>
      <c r="K256" s="304"/>
      <c r="L256" s="17"/>
      <c r="M256" s="17"/>
      <c r="N256" s="17"/>
      <c r="R256" s="17"/>
      <c r="S256" s="606"/>
      <c r="T256" s="603">
        <v>31</v>
      </c>
      <c r="U256" s="604">
        <v>38.9</v>
      </c>
      <c r="V256" s="599" t="str">
        <f>IF(J191=U256,"←◎◎","")</f>
        <v/>
      </c>
      <c r="W256" s="20"/>
      <c r="X256" s="493"/>
      <c r="Y256" s="20"/>
      <c r="Z256" s="20"/>
      <c r="AA256" s="20"/>
      <c r="AB256" s="20"/>
      <c r="AC256" s="20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</row>
    <row r="257" spans="1:64">
      <c r="A257" s="36"/>
      <c r="B257" s="20"/>
      <c r="C257" s="20" t="s">
        <v>632</v>
      </c>
      <c r="D257" s="20"/>
      <c r="E257" s="20"/>
      <c r="F257" s="20"/>
      <c r="G257" s="20"/>
      <c r="H257" s="20"/>
      <c r="I257" s="67" t="s">
        <v>160</v>
      </c>
      <c r="J257" s="577">
        <f>J166</f>
        <v>100</v>
      </c>
      <c r="K257" s="304"/>
      <c r="L257" s="17"/>
      <c r="M257" s="17"/>
      <c r="N257" s="17"/>
      <c r="R257" s="17"/>
      <c r="S257" s="606"/>
      <c r="T257" s="603">
        <v>38.9</v>
      </c>
      <c r="U257" s="604">
        <v>46</v>
      </c>
      <c r="V257" s="599" t="str">
        <f>IF(J191=U257,"←◎◎","")</f>
        <v/>
      </c>
      <c r="W257" s="20"/>
      <c r="X257" s="493"/>
      <c r="Y257" s="20"/>
      <c r="Z257" s="20"/>
      <c r="AA257" s="20"/>
      <c r="AB257" s="20"/>
      <c r="AC257" s="20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</row>
    <row r="258" spans="1:64">
      <c r="A258" s="36"/>
      <c r="B258" s="20"/>
      <c r="C258" s="20" t="s">
        <v>634</v>
      </c>
      <c r="D258" s="20"/>
      <c r="E258" s="20"/>
      <c r="F258" s="20"/>
      <c r="G258" s="20"/>
      <c r="H258" s="20"/>
      <c r="I258" s="67" t="s">
        <v>160</v>
      </c>
      <c r="J258" s="619">
        <f>J164</f>
        <v>21</v>
      </c>
      <c r="K258" s="304"/>
      <c r="L258" s="17"/>
      <c r="M258" s="17"/>
      <c r="N258" s="17"/>
      <c r="R258" s="17"/>
      <c r="S258" s="606"/>
      <c r="T258" s="603">
        <v>46</v>
      </c>
      <c r="U258" s="604">
        <v>52.4</v>
      </c>
      <c r="V258" s="599" t="str">
        <f>IF(J191=U258,"←◎◎","")</f>
        <v/>
      </c>
      <c r="W258" s="20"/>
      <c r="X258" s="493"/>
      <c r="Y258" s="20"/>
      <c r="Z258" s="20"/>
      <c r="AA258" s="20"/>
      <c r="AB258" s="20"/>
      <c r="AC258" s="20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</row>
    <row r="259" spans="1:64">
      <c r="A259" s="36"/>
      <c r="B259" s="20"/>
      <c r="C259" s="20" t="s">
        <v>636</v>
      </c>
      <c r="D259" s="20"/>
      <c r="E259" s="20"/>
      <c r="F259" s="20"/>
      <c r="G259" s="20"/>
      <c r="H259" s="20"/>
      <c r="I259" s="67" t="s">
        <v>160</v>
      </c>
      <c r="J259" s="577">
        <f>J171</f>
        <v>1550</v>
      </c>
      <c r="K259" s="304"/>
      <c r="L259" s="17"/>
      <c r="M259" s="17"/>
      <c r="N259" s="17"/>
      <c r="R259" s="17"/>
      <c r="S259" s="637"/>
      <c r="T259" s="608">
        <v>52.4</v>
      </c>
      <c r="U259" s="609">
        <v>53.4</v>
      </c>
      <c r="V259" s="599" t="str">
        <f>IF(J191=U259,"←◎◎","")</f>
        <v/>
      </c>
      <c r="W259" s="20"/>
      <c r="X259" s="493"/>
      <c r="Y259" s="20"/>
      <c r="Z259" s="20"/>
      <c r="AA259" s="20"/>
      <c r="AB259" s="20"/>
      <c r="AC259" s="20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</row>
    <row r="260" spans="1:64">
      <c r="A260" s="36"/>
      <c r="B260" s="20"/>
      <c r="C260" s="20" t="s">
        <v>637</v>
      </c>
      <c r="D260" s="20"/>
      <c r="E260" s="20"/>
      <c r="F260" s="20"/>
      <c r="G260" s="20"/>
      <c r="H260" s="20"/>
      <c r="I260" s="67" t="s">
        <v>160</v>
      </c>
      <c r="J260" s="619">
        <f>J191</f>
        <v>26.2</v>
      </c>
      <c r="K260" s="304"/>
      <c r="L260" s="17"/>
      <c r="M260" s="17"/>
      <c r="N260" s="17"/>
      <c r="O260" s="17"/>
      <c r="P260" s="17"/>
      <c r="Q260" s="17"/>
      <c r="R260" s="17"/>
      <c r="S260" s="394">
        <f>IF(J132=168.3,S173,IF(J132=219.1,S179,IF(J132=273,S189,IF(J132=323.8,S199,IF(J132=355.6,S210,IF(J132=406.4,S221,IF(J132=457.2,S231,IF(J132=508,S243,S253))))))))</f>
        <v>26.2</v>
      </c>
      <c r="T260" s="668">
        <f>IF(J132=168.3,S173,IF(J132=219.1,S179,IF(J132=273,S189,IF(J132=323.8,S199,IF(J132=355.6,S210,IF(J132=406.4,S221,IF(J132=457.2,S231,IF(J132=508,S243,S253))))))))</f>
        <v>26.2</v>
      </c>
      <c r="U260" s="268">
        <f>IF(S260=T260,S260,"Wrong")</f>
        <v>26.2</v>
      </c>
      <c r="V260" s="599" t="str">
        <f>IF(J191=U260,"←◎◎","")</f>
        <v>←◎◎</v>
      </c>
      <c r="Y260" s="20"/>
      <c r="Z260" s="20"/>
      <c r="AA260" s="20"/>
      <c r="AB260" s="20"/>
      <c r="AC260" s="20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</row>
    <row r="261" spans="1:64">
      <c r="A261" s="36"/>
      <c r="B261" s="20"/>
      <c r="C261" s="20" t="s">
        <v>638</v>
      </c>
      <c r="D261" s="20"/>
      <c r="E261" s="20"/>
      <c r="F261" s="20"/>
      <c r="G261" s="20"/>
      <c r="H261" s="20"/>
      <c r="I261" s="67" t="s">
        <v>160</v>
      </c>
      <c r="J261" s="577">
        <v>1</v>
      </c>
      <c r="K261" s="304"/>
      <c r="L261" s="17"/>
      <c r="M261" s="17"/>
      <c r="N261" s="17"/>
      <c r="O261" s="17"/>
      <c r="P261" s="17"/>
      <c r="Q261" s="17"/>
      <c r="R261" s="17"/>
      <c r="S261" s="20"/>
      <c r="T261" s="20"/>
      <c r="U261" s="20"/>
      <c r="V261" s="20"/>
      <c r="Y261" s="20"/>
      <c r="Z261" s="20"/>
      <c r="AA261" s="20"/>
      <c r="AB261" s="20"/>
      <c r="AC261" s="20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</row>
    <row r="262" spans="1:64" ht="14.65" thickBot="1">
      <c r="A262" s="36"/>
      <c r="B262" s="182"/>
      <c r="C262" s="182" t="s">
        <v>639</v>
      </c>
      <c r="D262" s="182"/>
      <c r="E262" s="182"/>
      <c r="F262" s="182"/>
      <c r="G262" s="182"/>
      <c r="H262" s="182"/>
      <c r="I262" s="67"/>
      <c r="J262" s="182"/>
      <c r="K262" s="304"/>
      <c r="L262" s="17"/>
      <c r="M262" s="17"/>
      <c r="N262" s="17"/>
      <c r="O262" s="17"/>
      <c r="P262" s="17"/>
      <c r="Q262" s="17"/>
      <c r="R262" s="17"/>
      <c r="S262" s="20"/>
      <c r="T262" s="20"/>
      <c r="U262" s="20"/>
      <c r="V262" s="20"/>
      <c r="Y262" s="20"/>
      <c r="Z262" s="20"/>
      <c r="AA262" s="20"/>
      <c r="AB262" s="20"/>
      <c r="AC262" s="20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</row>
    <row r="263" spans="1:64">
      <c r="A263" s="36"/>
      <c r="B263" s="20"/>
      <c r="C263" s="20" t="s">
        <v>640</v>
      </c>
      <c r="D263" s="20"/>
      <c r="E263" s="20"/>
      <c r="F263" s="20"/>
      <c r="G263" s="20"/>
      <c r="H263" s="20"/>
      <c r="I263" s="67" t="s">
        <v>160</v>
      </c>
      <c r="J263" s="577">
        <f>J141</f>
        <v>400</v>
      </c>
      <c r="K263" s="304"/>
      <c r="L263" s="17"/>
      <c r="M263" s="17"/>
      <c r="N263" s="17"/>
      <c r="O263" s="17"/>
      <c r="P263" s="17"/>
      <c r="Q263" s="17"/>
      <c r="R263" s="17"/>
      <c r="S263" s="17"/>
      <c r="T263" s="20"/>
      <c r="U263" s="20"/>
      <c r="V263" s="20"/>
      <c r="Y263" s="20"/>
      <c r="Z263" s="20"/>
      <c r="AA263" s="20"/>
      <c r="AB263" s="660" t="s">
        <v>2479</v>
      </c>
      <c r="AC263" s="661"/>
      <c r="AD263" s="661"/>
      <c r="AE263" s="661"/>
      <c r="AF263" s="661"/>
      <c r="AG263" s="662"/>
      <c r="AH263" s="662"/>
      <c r="AI263" s="663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</row>
    <row r="264" spans="1:64">
      <c r="A264" s="36"/>
      <c r="B264" s="20"/>
      <c r="C264" s="20" t="s">
        <v>638</v>
      </c>
      <c r="D264" s="20"/>
      <c r="E264" s="20"/>
      <c r="F264" s="20"/>
      <c r="G264" s="20"/>
      <c r="H264" s="20"/>
      <c r="I264" s="67" t="s">
        <v>160</v>
      </c>
      <c r="J264" s="577">
        <f>J98-2</f>
        <v>2</v>
      </c>
      <c r="K264" s="304"/>
      <c r="L264" s="17"/>
      <c r="M264" s="17"/>
      <c r="N264" s="17"/>
      <c r="O264" s="17"/>
      <c r="P264" s="17"/>
      <c r="Q264" s="17"/>
      <c r="R264" s="17"/>
      <c r="S264" s="17"/>
      <c r="T264" s="20"/>
      <c r="U264" s="20"/>
      <c r="V264" s="20"/>
      <c r="Y264" s="20"/>
      <c r="Z264" s="20"/>
      <c r="AA264" s="20"/>
      <c r="AB264" s="664" t="s">
        <v>2480</v>
      </c>
      <c r="AC264" s="462"/>
      <c r="AD264" s="462"/>
      <c r="AE264" s="462"/>
      <c r="AF264" s="462"/>
      <c r="AG264" s="462"/>
      <c r="AH264" s="462"/>
      <c r="AI264" s="665">
        <f>+I12/1000</f>
        <v>15</v>
      </c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</row>
    <row r="265" spans="1:64">
      <c r="A265" s="36"/>
      <c r="B265" s="182"/>
      <c r="C265" s="182" t="s">
        <v>641</v>
      </c>
      <c r="D265" s="182"/>
      <c r="E265" s="182"/>
      <c r="F265" s="182"/>
      <c r="G265" s="182"/>
      <c r="H265" s="182"/>
      <c r="I265" s="67"/>
      <c r="J265" s="182"/>
      <c r="K265" s="304"/>
      <c r="L265" s="17"/>
      <c r="M265" s="17"/>
      <c r="N265" s="17"/>
      <c r="O265" s="17"/>
      <c r="P265" s="17"/>
      <c r="Q265" s="17"/>
      <c r="R265" s="17"/>
      <c r="S265" s="17"/>
      <c r="T265" s="20"/>
      <c r="U265" s="20"/>
      <c r="V265" s="20"/>
      <c r="Y265" s="20"/>
      <c r="Z265" s="20"/>
      <c r="AA265" s="20"/>
      <c r="AB265" s="664" t="s">
        <v>2481</v>
      </c>
      <c r="AC265" s="462"/>
      <c r="AD265" s="462"/>
      <c r="AE265" s="462"/>
      <c r="AF265" s="462"/>
      <c r="AG265" s="462"/>
      <c r="AH265" s="462"/>
      <c r="AI265" s="665">
        <f>(I13+I14)/1000</f>
        <v>0.47625000000000001</v>
      </c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</row>
    <row r="266" spans="1:64">
      <c r="A266" s="36"/>
      <c r="B266" s="20"/>
      <c r="C266" s="20" t="s">
        <v>640</v>
      </c>
      <c r="D266" s="20"/>
      <c r="E266" s="20"/>
      <c r="F266" s="20"/>
      <c r="G266" s="20"/>
      <c r="H266" s="20"/>
      <c r="I266" s="67" t="s">
        <v>160</v>
      </c>
      <c r="J266" s="577">
        <f>J145</f>
        <v>250</v>
      </c>
      <c r="K266" s="304"/>
      <c r="L266" s="17"/>
      <c r="M266" s="17"/>
      <c r="N266" s="17"/>
      <c r="O266" s="17"/>
      <c r="P266" s="17"/>
      <c r="Q266" s="17"/>
      <c r="R266" s="17"/>
      <c r="S266" s="17"/>
      <c r="T266" s="20"/>
      <c r="U266" s="20"/>
      <c r="V266" s="20"/>
      <c r="Y266" s="20"/>
      <c r="Z266" s="20"/>
      <c r="AA266" s="20"/>
      <c r="AB266" s="664" t="s">
        <v>2482</v>
      </c>
      <c r="AC266" s="462"/>
      <c r="AD266" s="462"/>
      <c r="AE266" s="462"/>
      <c r="AF266" s="462"/>
      <c r="AG266" s="462"/>
      <c r="AH266" s="462"/>
      <c r="AI266" s="665">
        <f>'E Data'!D42</f>
        <v>4</v>
      </c>
      <c r="AJ266" s="17"/>
      <c r="AK266" s="17"/>
      <c r="AL266" s="223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</row>
    <row r="267" spans="1:64">
      <c r="A267" s="36"/>
      <c r="B267" s="20"/>
      <c r="C267" s="20" t="s">
        <v>638</v>
      </c>
      <c r="D267" s="20"/>
      <c r="E267" s="20"/>
      <c r="F267" s="20"/>
      <c r="G267" s="20"/>
      <c r="H267" s="20"/>
      <c r="I267" s="67" t="s">
        <v>160</v>
      </c>
      <c r="J267" s="577">
        <v>1</v>
      </c>
      <c r="K267" s="304"/>
      <c r="L267" s="17"/>
      <c r="M267" s="17"/>
      <c r="N267" s="17"/>
      <c r="O267" s="17"/>
      <c r="P267" s="17"/>
      <c r="Q267" s="17"/>
      <c r="R267" s="17"/>
      <c r="S267" s="17"/>
      <c r="T267" s="20"/>
      <c r="U267" s="20"/>
      <c r="V267" s="20"/>
      <c r="Y267" s="20"/>
      <c r="Z267" s="20"/>
      <c r="AA267" s="20"/>
      <c r="AB267" s="664" t="s">
        <v>2483</v>
      </c>
      <c r="AC267" s="462"/>
      <c r="AD267" s="462"/>
      <c r="AE267" s="462"/>
      <c r="AF267" s="462"/>
      <c r="AG267" s="462"/>
      <c r="AH267" s="462"/>
      <c r="AI267" s="872">
        <v>2</v>
      </c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</row>
    <row r="268" spans="1:64" ht="15.75">
      <c r="A268" s="36"/>
      <c r="B268" s="20"/>
      <c r="C268" s="20"/>
      <c r="D268" s="20"/>
      <c r="E268" s="20"/>
      <c r="F268" s="20"/>
      <c r="G268" s="20"/>
      <c r="H268" s="20"/>
      <c r="I268" s="20"/>
      <c r="J268" s="20"/>
      <c r="K268" s="304"/>
      <c r="L268" s="17"/>
      <c r="M268" s="17"/>
      <c r="N268" s="17"/>
      <c r="O268" s="17"/>
      <c r="P268" s="17"/>
      <c r="Q268" s="17"/>
      <c r="R268" s="17"/>
      <c r="S268" s="17"/>
      <c r="T268" s="20"/>
      <c r="U268" s="20"/>
      <c r="V268" s="20"/>
      <c r="Y268" s="20"/>
      <c r="Z268" s="20"/>
      <c r="AA268" s="20"/>
      <c r="AB268" s="664" t="s">
        <v>2733</v>
      </c>
      <c r="AC268" s="462"/>
      <c r="AD268" s="462"/>
      <c r="AE268" s="462"/>
      <c r="AF268" s="462"/>
      <c r="AG268" s="462"/>
      <c r="AH268" s="462"/>
      <c r="AI268" s="665">
        <f>AI266/AI267</f>
        <v>2</v>
      </c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</row>
    <row r="269" spans="1:64" ht="16.5">
      <c r="A269" s="36"/>
      <c r="B269" s="3797" t="s">
        <v>792</v>
      </c>
      <c r="C269" s="3797"/>
      <c r="D269" s="3797"/>
      <c r="E269" s="3797"/>
      <c r="F269" s="3797"/>
      <c r="G269" s="3797"/>
      <c r="H269" s="3797"/>
      <c r="I269" s="3797"/>
      <c r="J269" s="3797"/>
      <c r="K269" s="667"/>
      <c r="L269" s="17"/>
      <c r="M269" s="17"/>
      <c r="N269" s="17"/>
      <c r="O269" s="17"/>
      <c r="P269" s="17"/>
      <c r="Q269" s="17"/>
      <c r="R269" s="17"/>
      <c r="S269" s="17"/>
      <c r="T269" s="20"/>
      <c r="U269" s="20"/>
      <c r="V269" s="20"/>
      <c r="Y269" s="20"/>
      <c r="Z269" s="20"/>
      <c r="AA269" s="20"/>
      <c r="AB269" s="664" t="s">
        <v>2734</v>
      </c>
      <c r="AC269" s="669" t="s">
        <v>160</v>
      </c>
      <c r="AD269" s="123" t="s">
        <v>2735</v>
      </c>
      <c r="AE269" s="462"/>
      <c r="AF269" s="462"/>
      <c r="AG269" s="462"/>
      <c r="AH269" s="462"/>
      <c r="AI269" s="665">
        <f>(0.99)^AI270</f>
        <v>0.99</v>
      </c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</row>
    <row r="270" spans="1:64" ht="14.65" thickBot="1">
      <c r="A270" s="36"/>
      <c r="B270" s="20"/>
      <c r="C270" s="20"/>
      <c r="D270" s="20"/>
      <c r="E270" s="20"/>
      <c r="F270" s="20"/>
      <c r="G270" s="20"/>
      <c r="H270" s="20"/>
      <c r="I270" s="20"/>
      <c r="J270" s="666"/>
      <c r="K270" s="667"/>
      <c r="L270" s="17"/>
      <c r="M270" s="17"/>
      <c r="N270" s="17"/>
      <c r="O270" s="17"/>
      <c r="P270" s="17"/>
      <c r="Q270" s="17"/>
      <c r="R270" s="17"/>
      <c r="S270" s="17"/>
      <c r="T270" s="20"/>
      <c r="U270" s="20"/>
      <c r="V270" s="20"/>
      <c r="Y270" s="20"/>
      <c r="Z270" s="20"/>
      <c r="AA270" s="20"/>
      <c r="AB270" s="670" t="s">
        <v>2484</v>
      </c>
      <c r="AC270" s="462"/>
      <c r="AD270" s="462"/>
      <c r="AE270" s="462"/>
      <c r="AF270" s="462"/>
      <c r="AG270" s="462"/>
      <c r="AH270" s="462"/>
      <c r="AI270" s="665">
        <f>(AI266/2)-1</f>
        <v>1</v>
      </c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</row>
    <row r="271" spans="1:64" ht="14.65" thickBot="1">
      <c r="A271" s="36"/>
      <c r="B271" s="20" t="s">
        <v>2736</v>
      </c>
      <c r="C271" s="20"/>
      <c r="D271" s="20"/>
      <c r="E271" s="20"/>
      <c r="F271" s="20"/>
      <c r="G271" s="20"/>
      <c r="H271" s="20"/>
      <c r="I271" s="20"/>
      <c r="J271" s="666"/>
      <c r="K271" s="667"/>
      <c r="L271" s="20"/>
      <c r="M271" s="20"/>
      <c r="N271" s="17"/>
      <c r="O271" s="17"/>
      <c r="P271" s="17"/>
      <c r="Q271" s="17"/>
      <c r="R271" s="27" t="s">
        <v>28</v>
      </c>
      <c r="S271" s="28" t="s">
        <v>646</v>
      </c>
      <c r="T271" s="20"/>
      <c r="U271" s="20"/>
      <c r="V271" s="20"/>
      <c r="Y271" s="20"/>
      <c r="Z271" s="20"/>
      <c r="AA271" s="20"/>
      <c r="AB271" s="670"/>
      <c r="AC271" s="462"/>
      <c r="AD271" s="462"/>
      <c r="AE271" s="462"/>
      <c r="AF271" s="462"/>
      <c r="AG271" s="462"/>
      <c r="AH271" s="462"/>
      <c r="AI271" s="665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</row>
    <row r="272" spans="1:64" ht="16.149999999999999" thickBot="1">
      <c r="A272" s="36"/>
      <c r="B272" s="20"/>
      <c r="C272" s="20"/>
      <c r="D272" s="20"/>
      <c r="E272" s="20" t="s">
        <v>793</v>
      </c>
      <c r="F272" s="20"/>
      <c r="G272" s="20"/>
      <c r="H272" s="20"/>
      <c r="I272" s="20"/>
      <c r="J272" s="666"/>
      <c r="K272" s="667"/>
      <c r="L272" s="20"/>
      <c r="M272" s="873">
        <f>L30</f>
        <v>0</v>
      </c>
      <c r="N272" s="17"/>
      <c r="O272" s="17"/>
      <c r="P272" s="17"/>
      <c r="Q272" s="17"/>
      <c r="R272" s="32" t="s">
        <v>33</v>
      </c>
      <c r="S272" s="33" t="s">
        <v>651</v>
      </c>
      <c r="T272" s="20"/>
      <c r="U272" s="20"/>
      <c r="V272" s="20"/>
      <c r="W272" s="20"/>
      <c r="X272" s="493"/>
      <c r="Y272" s="20"/>
      <c r="Z272" s="20"/>
      <c r="AA272" s="20"/>
      <c r="AB272" s="672" t="s">
        <v>2737</v>
      </c>
      <c r="AC272" s="462"/>
      <c r="AD272" s="462"/>
      <c r="AE272" s="673" t="s">
        <v>2738</v>
      </c>
      <c r="AF272" s="462"/>
      <c r="AG272" s="462"/>
      <c r="AH272" s="462"/>
      <c r="AI272" s="674">
        <f>((AI264+AI265)/(AI268*AI269))*9810</f>
        <v>76677.784090909088</v>
      </c>
      <c r="AJ272" s="795"/>
      <c r="AK272" s="17"/>
      <c r="AL272" s="100" t="s">
        <v>79</v>
      </c>
      <c r="AM272" s="100">
        <v>1.1200000000000001</v>
      </c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</row>
    <row r="273" spans="1:64" ht="14.65" thickBot="1">
      <c r="A273" s="36"/>
      <c r="B273" s="20" t="s">
        <v>303</v>
      </c>
      <c r="C273" s="20"/>
      <c r="D273" s="20"/>
      <c r="E273" s="20"/>
      <c r="F273" s="20"/>
      <c r="G273" s="20"/>
      <c r="H273" s="20"/>
      <c r="I273" s="20"/>
      <c r="J273" s="666"/>
      <c r="K273" s="667"/>
      <c r="M273" s="874" t="str">
        <f>IF(J275=M275,M274,IF(J275=N275,N274))</f>
        <v>Sq. Cage Motor</v>
      </c>
      <c r="N273" s="611" t="str">
        <f>I34</f>
        <v>Sq. Cage Motor</v>
      </c>
      <c r="P273" s="17"/>
      <c r="Q273" s="17"/>
      <c r="R273" s="39" t="s">
        <v>37</v>
      </c>
      <c r="S273" s="40" t="s">
        <v>654</v>
      </c>
      <c r="T273" s="20"/>
      <c r="U273" s="20"/>
      <c r="V273" s="20"/>
      <c r="W273" s="20"/>
      <c r="X273" s="493"/>
      <c r="Y273" s="20"/>
      <c r="Z273" s="20"/>
      <c r="AA273" s="20"/>
      <c r="AB273" s="670"/>
      <c r="AC273" s="462"/>
      <c r="AD273" s="462"/>
      <c r="AE273" s="462"/>
      <c r="AF273" s="462"/>
      <c r="AG273" s="462"/>
      <c r="AH273" s="462"/>
      <c r="AI273" s="875"/>
      <c r="AJ273" s="795"/>
      <c r="AK273" s="17"/>
      <c r="AL273" s="100" t="s">
        <v>81</v>
      </c>
      <c r="AM273" s="100">
        <v>1.1200000000000001</v>
      </c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</row>
    <row r="274" spans="1:64" ht="14.65" thickBot="1">
      <c r="A274" s="36"/>
      <c r="B274" s="67" t="s">
        <v>644</v>
      </c>
      <c r="C274" s="20" t="s">
        <v>522</v>
      </c>
      <c r="D274" s="20"/>
      <c r="E274" s="20"/>
      <c r="F274" s="20"/>
      <c r="G274" s="20"/>
      <c r="H274" s="20"/>
      <c r="I274" s="67" t="s">
        <v>160</v>
      </c>
      <c r="J274" s="477">
        <f>J154-0.01</f>
        <v>0.41439999999999999</v>
      </c>
      <c r="K274" s="667" t="s">
        <v>160</v>
      </c>
      <c r="L274" s="677" t="str">
        <f>IF(M273=I34,"Right","Wrong")</f>
        <v>Right</v>
      </c>
      <c r="M274" s="678" t="s">
        <v>259</v>
      </c>
      <c r="N274" s="876" t="s">
        <v>645</v>
      </c>
      <c r="P274" s="17"/>
      <c r="Q274" s="17"/>
      <c r="R274" s="39" t="s">
        <v>41</v>
      </c>
      <c r="S274" s="40" t="s">
        <v>658</v>
      </c>
      <c r="T274" s="20"/>
      <c r="U274" s="20"/>
      <c r="V274" s="20"/>
      <c r="W274" s="20"/>
      <c r="X274" s="493"/>
      <c r="Y274" s="20"/>
      <c r="Z274" s="20"/>
      <c r="AA274" s="20"/>
      <c r="AB274" s="670" t="s">
        <v>2485</v>
      </c>
      <c r="AC274" s="462"/>
      <c r="AD274" s="462"/>
      <c r="AE274" s="462"/>
      <c r="AF274" s="462"/>
      <c r="AG274" s="462"/>
      <c r="AH274" s="462"/>
      <c r="AI274" s="683">
        <f>(J132+F109)/1000</f>
        <v>0.4244</v>
      </c>
      <c r="AJ274" s="795"/>
      <c r="AK274" s="17"/>
      <c r="AL274" s="100" t="s">
        <v>36</v>
      </c>
      <c r="AM274" s="100">
        <v>1.1200000000000001</v>
      </c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</row>
    <row r="275" spans="1:64" ht="16.149999999999999" thickBot="1">
      <c r="A275" s="36"/>
      <c r="B275" s="67" t="s">
        <v>649</v>
      </c>
      <c r="C275" s="20" t="s">
        <v>650</v>
      </c>
      <c r="D275" s="20"/>
      <c r="E275" s="20"/>
      <c r="F275" s="20"/>
      <c r="G275" s="20"/>
      <c r="H275" s="20"/>
      <c r="I275" s="67" t="s">
        <v>160</v>
      </c>
      <c r="J275" s="796">
        <f>IF(M272=0,I42,IF(M272=1,I42/1.06))</f>
        <v>960</v>
      </c>
      <c r="K275" s="877"/>
      <c r="M275" s="878">
        <f>I42</f>
        <v>960</v>
      </c>
      <c r="N275" s="879">
        <f>M275/1.06</f>
        <v>905.66037735849056</v>
      </c>
      <c r="R275" s="45" t="s">
        <v>45</v>
      </c>
      <c r="S275" s="46" t="s">
        <v>662</v>
      </c>
      <c r="T275" s="20"/>
      <c r="U275" s="20"/>
      <c r="V275" s="20"/>
      <c r="W275" s="20"/>
      <c r="X275" s="493"/>
      <c r="Y275" s="20"/>
      <c r="Z275" s="20"/>
      <c r="AA275" s="20"/>
      <c r="AB275" s="670" t="s">
        <v>2739</v>
      </c>
      <c r="AC275" s="462"/>
      <c r="AD275" s="462"/>
      <c r="AE275" s="462"/>
      <c r="AF275" s="123" t="s">
        <v>806</v>
      </c>
      <c r="AG275" s="462" t="str">
        <f>'E Data'!E25</f>
        <v>M5</v>
      </c>
      <c r="AH275" s="462"/>
      <c r="AI275" s="665">
        <f>AM280</f>
        <v>1.4</v>
      </c>
      <c r="AJ275" s="795"/>
      <c r="AL275" s="100" t="s">
        <v>82</v>
      </c>
      <c r="AM275" s="100">
        <v>1.25</v>
      </c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</row>
    <row r="276" spans="1:64">
      <c r="A276" s="36"/>
      <c r="B276" s="67" t="s">
        <v>652</v>
      </c>
      <c r="C276" s="20" t="s">
        <v>653</v>
      </c>
      <c r="D276" s="20"/>
      <c r="E276" s="20"/>
      <c r="F276" s="20"/>
      <c r="G276" s="20"/>
      <c r="H276" s="20"/>
      <c r="I276" s="67" t="s">
        <v>160</v>
      </c>
      <c r="J276" s="59">
        <f>AH!I15</f>
        <v>5</v>
      </c>
      <c r="K276" s="877"/>
      <c r="R276" s="19" t="str">
        <f>'E Data'!D25</f>
        <v>Mech-II</v>
      </c>
      <c r="S276" s="19" t="str">
        <f>VLOOKUP(R276,R272:S275,2,0)</f>
        <v>Class II</v>
      </c>
      <c r="T276" s="20"/>
      <c r="U276" s="20"/>
      <c r="V276" s="20"/>
      <c r="W276" s="20"/>
      <c r="X276" s="493"/>
      <c r="Y276" s="682" t="s">
        <v>648</v>
      </c>
      <c r="Z276" s="615" t="s">
        <v>648</v>
      </c>
      <c r="AA276" s="20"/>
      <c r="AB276" s="664"/>
      <c r="AC276" s="462"/>
      <c r="AD276" s="462"/>
      <c r="AE276" s="462"/>
      <c r="AF276" s="462"/>
      <c r="AG276" s="462"/>
      <c r="AH276" s="462"/>
      <c r="AI276" s="687"/>
      <c r="AJ276" s="795"/>
      <c r="AL276" s="100" t="s">
        <v>40</v>
      </c>
      <c r="AM276" s="100">
        <v>1.4</v>
      </c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</row>
    <row r="277" spans="1:64" ht="14.65" thickBot="1">
      <c r="A277" s="36"/>
      <c r="B277" s="67" t="s">
        <v>418</v>
      </c>
      <c r="C277" s="20" t="s">
        <v>657</v>
      </c>
      <c r="D277" s="20"/>
      <c r="E277" s="20"/>
      <c r="F277" s="20"/>
      <c r="G277" s="20"/>
      <c r="H277" s="20"/>
      <c r="I277" s="67" t="s">
        <v>160</v>
      </c>
      <c r="J277" s="59">
        <f>J98</f>
        <v>4</v>
      </c>
      <c r="K277" s="667"/>
      <c r="R277" s="17"/>
      <c r="S277" s="17"/>
      <c r="T277" s="20"/>
      <c r="U277" s="20"/>
      <c r="V277" s="20"/>
      <c r="W277" s="20"/>
      <c r="X277" s="493"/>
      <c r="Y277" s="682" t="s">
        <v>651</v>
      </c>
      <c r="Z277" s="685" t="s">
        <v>2662</v>
      </c>
      <c r="AA277" s="20"/>
      <c r="AB277" s="689" t="s">
        <v>2487</v>
      </c>
      <c r="AC277" s="462"/>
      <c r="AD277" s="462"/>
      <c r="AE277" s="462"/>
      <c r="AF277" s="690" t="s">
        <v>2488</v>
      </c>
      <c r="AG277" s="462"/>
      <c r="AH277" s="462"/>
      <c r="AI277" s="691">
        <f>AI272*(AI274/2)*AI275</f>
        <v>22779.43609772727</v>
      </c>
      <c r="AJ277" s="795"/>
      <c r="AL277" s="100" t="s">
        <v>85</v>
      </c>
      <c r="AM277" s="100">
        <v>1.6</v>
      </c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</row>
    <row r="278" spans="1:64" ht="14.65" thickBot="1">
      <c r="A278" s="36"/>
      <c r="B278" s="88" t="s">
        <v>525</v>
      </c>
      <c r="C278" s="20"/>
      <c r="D278" s="20"/>
      <c r="E278" s="20"/>
      <c r="F278" s="20"/>
      <c r="G278" s="20"/>
      <c r="H278" s="20"/>
      <c r="I278" s="67"/>
      <c r="J278" s="31"/>
      <c r="K278" s="667"/>
      <c r="M278" s="693" t="str">
        <f>IF((IF(J283="Premium",IF(J281&lt;131,3,4),IF(J283="Elite",IF(J281&lt;225,3,4),IF(J283="Elecon",IF(J281&lt;113,3,4),"Wrong"))))=I22,"Right","Wrong")</f>
        <v>Right</v>
      </c>
      <c r="N278" s="880" t="s">
        <v>661</v>
      </c>
      <c r="P278" s="19"/>
      <c r="Q278" s="17"/>
      <c r="R278" s="17"/>
      <c r="S278" s="17"/>
      <c r="T278" s="20"/>
      <c r="U278" s="20"/>
      <c r="V278" s="20"/>
      <c r="W278" s="20"/>
      <c r="X278" s="493"/>
      <c r="Y278" s="682" t="s">
        <v>654</v>
      </c>
      <c r="Z278" s="498" t="s">
        <v>656</v>
      </c>
      <c r="AA278" s="20"/>
      <c r="AB278" s="689" t="s">
        <v>2489</v>
      </c>
      <c r="AC278" s="462"/>
      <c r="AD278" s="462"/>
      <c r="AE278" s="462"/>
      <c r="AF278" s="462"/>
      <c r="AG278" s="462"/>
      <c r="AH278" s="462"/>
      <c r="AI278" s="687"/>
      <c r="AJ278" s="795"/>
      <c r="AL278" s="100" t="s">
        <v>44</v>
      </c>
      <c r="AM278" s="100">
        <v>1.8</v>
      </c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</row>
    <row r="279" spans="1:64" ht="14.65" thickBot="1">
      <c r="A279" s="36"/>
      <c r="B279" s="67" t="s">
        <v>93</v>
      </c>
      <c r="C279" s="20" t="s">
        <v>664</v>
      </c>
      <c r="D279" s="20"/>
      <c r="E279" s="20"/>
      <c r="F279" s="20"/>
      <c r="G279" s="358"/>
      <c r="H279" s="20"/>
      <c r="I279" s="67" t="s">
        <v>160</v>
      </c>
      <c r="J279" s="697">
        <f>((22/7)*J274*J275)/(J276*(J277/2))</f>
        <v>125.03040000000001</v>
      </c>
      <c r="K279" s="304" t="s">
        <v>665</v>
      </c>
      <c r="L279" s="698" t="str">
        <f>+IF(L280&lt;10%,IF(L280&gt;-10%,"Right","Wrong"),"Wrong")</f>
        <v>Right</v>
      </c>
      <c r="M279" s="615">
        <f>IF(J283="Premium",Y337,IF(J283="Elite",V315,IF(J283="Elecon",AB323,"Wrong")))</f>
        <v>120.7</v>
      </c>
      <c r="N279" s="881">
        <f>(1-(M279/J279))</f>
        <v>3.4634776822276891E-2</v>
      </c>
      <c r="O279" s="882">
        <f>J279*0.9</f>
        <v>112.52736000000002</v>
      </c>
      <c r="Q279" s="17"/>
      <c r="R279" s="17"/>
      <c r="S279" s="17"/>
      <c r="T279" s="20"/>
      <c r="U279" s="20"/>
      <c r="V279" s="20"/>
      <c r="W279" s="20"/>
      <c r="X279" s="493"/>
      <c r="Y279" s="22" t="s">
        <v>658</v>
      </c>
      <c r="Z279" s="688" t="s">
        <v>660</v>
      </c>
      <c r="AA279" s="20"/>
      <c r="AB279" s="672" t="s">
        <v>2490</v>
      </c>
      <c r="AC279" s="462"/>
      <c r="AD279" s="123"/>
      <c r="AE279" s="703"/>
      <c r="AF279" s="123"/>
      <c r="AG279" s="703"/>
      <c r="AH279" s="462"/>
      <c r="AI279" s="704" t="s">
        <v>2659</v>
      </c>
      <c r="AJ279" s="795"/>
      <c r="AL279" s="100" t="s">
        <v>48</v>
      </c>
      <c r="AM279" s="100">
        <v>2</v>
      </c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</row>
    <row r="280" spans="1:64" ht="14.65" thickBot="1">
      <c r="A280" s="36"/>
      <c r="B280" s="20"/>
      <c r="C280" s="20"/>
      <c r="D280" s="20"/>
      <c r="E280" s="20" t="s">
        <v>794</v>
      </c>
      <c r="F280" s="20"/>
      <c r="G280" s="20"/>
      <c r="H280" s="20"/>
      <c r="I280" s="20"/>
      <c r="J280" s="59">
        <v>1</v>
      </c>
      <c r="K280" s="666"/>
      <c r="L280" s="705">
        <f>100%-J279/J281</f>
        <v>3.674576271186436E-2</v>
      </c>
      <c r="M280" s="706">
        <f>IF(J283="Premium",Z337,IF(J283="Elite",W315,IF(J283="Elecon",AC323,"Wrong")))</f>
        <v>129.80000000000001</v>
      </c>
      <c r="N280" s="883">
        <f>((M280/J279)-1)</f>
        <v>3.8147522522522515E-2</v>
      </c>
      <c r="O280" s="884">
        <f>J279*1.1</f>
        <v>137.53344000000001</v>
      </c>
      <c r="S280" s="20"/>
      <c r="T280" s="20"/>
      <c r="U280" s="20"/>
      <c r="V280" s="20"/>
      <c r="W280" s="20"/>
      <c r="X280" s="493"/>
      <c r="Y280" s="311" t="s">
        <v>662</v>
      </c>
      <c r="AA280" s="20"/>
      <c r="AB280" s="711" t="s">
        <v>2492</v>
      </c>
      <c r="AC280" s="712"/>
      <c r="AD280" s="712"/>
      <c r="AE280" s="712"/>
      <c r="AF280" s="712"/>
      <c r="AG280" s="712"/>
      <c r="AH280" s="712"/>
      <c r="AI280" s="713" t="s">
        <v>2493</v>
      </c>
      <c r="AJ280" s="795"/>
      <c r="AL280" s="714" t="str">
        <f>'E Data'!E25</f>
        <v>M5</v>
      </c>
      <c r="AM280" s="715">
        <f>VLOOKUP(AL280,AL272:AM279,2,0)</f>
        <v>1.4</v>
      </c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</row>
    <row r="281" spans="1:64" ht="14.65" thickBot="1">
      <c r="A281" s="36"/>
      <c r="B281" s="17"/>
      <c r="C281" s="358"/>
      <c r="D281" s="358"/>
      <c r="E281" s="20" t="s">
        <v>669</v>
      </c>
      <c r="F281" s="358"/>
      <c r="G281" s="17"/>
      <c r="H281" s="885"/>
      <c r="I281" s="43" t="s">
        <v>160</v>
      </c>
      <c r="J281" s="716">
        <f>IF(N280&lt;10%,M280,M279)</f>
        <v>129.80000000000001</v>
      </c>
      <c r="K281" s="676" t="s">
        <v>665</v>
      </c>
      <c r="L281" s="695"/>
      <c r="M281" s="886">
        <f>(3.14*J274*J275)/(J281*(J277/2))</f>
        <v>4.8118927580893676</v>
      </c>
      <c r="N281" s="717">
        <f>J276*1.1</f>
        <v>5.5</v>
      </c>
      <c r="O281" s="887">
        <f>J276*0.9</f>
        <v>4.5</v>
      </c>
      <c r="Q281" s="20"/>
      <c r="R281" s="20"/>
      <c r="S281" s="20"/>
      <c r="T281" s="20"/>
      <c r="U281" s="20"/>
      <c r="V281" s="20"/>
      <c r="W281" s="20"/>
      <c r="X281" s="493"/>
      <c r="Y281" s="20"/>
      <c r="Z281" s="20"/>
      <c r="AA281" s="20"/>
      <c r="AB281" s="20"/>
      <c r="AC281" s="20"/>
      <c r="AD281" s="17"/>
      <c r="AE281" s="17"/>
      <c r="AF281" s="17"/>
      <c r="AG281" s="17"/>
      <c r="AH281" s="17"/>
      <c r="AI281" s="17"/>
      <c r="AJ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</row>
    <row r="282" spans="1:64">
      <c r="A282" s="36"/>
      <c r="B282" s="358"/>
      <c r="C282" s="17"/>
      <c r="D282" s="17"/>
      <c r="E282" s="358" t="s">
        <v>796</v>
      </c>
      <c r="F282" s="358"/>
      <c r="G282" s="358"/>
      <c r="H282" s="358"/>
      <c r="I282" s="20"/>
      <c r="J282" s="17"/>
      <c r="K282" s="304"/>
      <c r="M282" s="538" t="s">
        <v>795</v>
      </c>
      <c r="N282" s="720" t="str">
        <f>IF(M281&lt;N281,IF(M281&gt;O281,"Right","Wrong"),"Wrong")</f>
        <v>Right</v>
      </c>
      <c r="AD282" s="17"/>
      <c r="AE282" s="17"/>
      <c r="AF282" s="17"/>
      <c r="AG282" s="17"/>
      <c r="AH282" s="17"/>
      <c r="AI282" s="17"/>
      <c r="AJ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</row>
    <row r="283" spans="1:64" ht="21" customHeight="1" thickBot="1">
      <c r="A283" s="36"/>
      <c r="B283" s="358"/>
      <c r="C283" s="20"/>
      <c r="D283" s="20"/>
      <c r="E283" s="20"/>
      <c r="F283" s="20"/>
      <c r="G283" s="17"/>
      <c r="H283" s="888" t="s">
        <v>797</v>
      </c>
      <c r="I283" s="358"/>
      <c r="J283" s="722" t="str">
        <f>MH!J283</f>
        <v>Elite</v>
      </c>
      <c r="K283" s="20"/>
      <c r="O283" s="50"/>
      <c r="P283" s="50"/>
      <c r="Q283" s="50"/>
      <c r="R283" s="723"/>
      <c r="S283" s="531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</row>
    <row r="284" spans="1:64" ht="18" customHeight="1" thickBot="1">
      <c r="A284" s="36"/>
      <c r="B284" s="20"/>
      <c r="C284" s="20"/>
      <c r="D284" s="20"/>
      <c r="E284" s="17"/>
      <c r="F284" s="358"/>
      <c r="G284" s="358"/>
      <c r="H284" s="20"/>
      <c r="I284" s="17"/>
      <c r="J284" s="102" t="str">
        <f>MH!J284</f>
        <v>Class II</v>
      </c>
      <c r="K284" s="20"/>
      <c r="N284" s="725" t="str">
        <f>IF(J287&lt;J288,"Right","Wrong")</f>
        <v>Right</v>
      </c>
      <c r="O284" s="599" t="str">
        <f>I20</f>
        <v>For Antifriction Bearing</v>
      </c>
      <c r="P284" s="726"/>
      <c r="Q284" s="726"/>
      <c r="R284" s="333"/>
      <c r="S284" s="531">
        <f>VLOOKUP(J290,O285:S358,5,0)</f>
        <v>650</v>
      </c>
      <c r="V284" s="19"/>
      <c r="W284" s="19"/>
      <c r="X284" s="19"/>
      <c r="Y284" s="19"/>
      <c r="Z284" s="20"/>
      <c r="AA284" s="20"/>
      <c r="AB284" s="20"/>
      <c r="AC284" s="20"/>
      <c r="AD284" s="20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</row>
    <row r="285" spans="1:64" ht="14.65" thickBot="1">
      <c r="A285" s="36"/>
      <c r="B285" s="20"/>
      <c r="C285" s="20"/>
      <c r="D285" s="20"/>
      <c r="E285" s="20"/>
      <c r="F285" s="20"/>
      <c r="G285" s="17"/>
      <c r="I285" s="20"/>
      <c r="J285" s="17"/>
      <c r="K285" s="20"/>
      <c r="M285" s="727" t="s">
        <v>2662</v>
      </c>
      <c r="N285" s="728">
        <f>J29/0.746</f>
        <v>19.968225884687833</v>
      </c>
      <c r="O285" s="2544" t="s">
        <v>2784</v>
      </c>
      <c r="P285" s="730" t="s">
        <v>674</v>
      </c>
      <c r="Q285" s="730" t="s">
        <v>675</v>
      </c>
      <c r="R285" s="730" t="s">
        <v>676</v>
      </c>
      <c r="S285" s="730" t="s">
        <v>670</v>
      </c>
      <c r="U285" s="19"/>
      <c r="V285" s="19"/>
      <c r="W285" s="19"/>
      <c r="X285" s="19"/>
      <c r="Y285" s="19"/>
      <c r="Z285" s="20"/>
      <c r="AA285" s="20"/>
      <c r="AB285" s="20"/>
      <c r="AC285" s="20"/>
      <c r="AD285" s="20"/>
      <c r="AE285" s="20"/>
      <c r="AF285" s="20"/>
      <c r="AG285" s="20"/>
      <c r="AH285" s="20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</row>
    <row r="286" spans="1:64" ht="14.65" thickBot="1">
      <c r="A286" s="36"/>
      <c r="B286" s="20"/>
      <c r="C286" s="20"/>
      <c r="D286" s="20"/>
      <c r="E286" s="20"/>
      <c r="G286" s="17"/>
      <c r="H286" s="731" t="s">
        <v>679</v>
      </c>
      <c r="I286" s="43"/>
      <c r="J286" s="697">
        <f>J29</f>
        <v>14.896296509977123</v>
      </c>
      <c r="K286" s="697">
        <f>M288</f>
        <v>1.3404825737265416</v>
      </c>
      <c r="M286" s="732" t="s">
        <v>656</v>
      </c>
      <c r="N286" s="733">
        <f>J29*N290</f>
        <v>29.792593019954246</v>
      </c>
      <c r="O286" s="2541" t="s">
        <v>677</v>
      </c>
      <c r="P286" s="2542">
        <v>46500</v>
      </c>
      <c r="Q286" s="2542">
        <v>32000</v>
      </c>
      <c r="R286" s="2258">
        <v>330</v>
      </c>
      <c r="S286" s="2543">
        <v>400</v>
      </c>
      <c r="U286" s="19"/>
      <c r="V286" s="3784" t="s">
        <v>2662</v>
      </c>
      <c r="W286" s="3785"/>
      <c r="X286" s="19"/>
      <c r="Y286" s="3784" t="s">
        <v>656</v>
      </c>
      <c r="Z286" s="3785"/>
      <c r="AA286" s="20"/>
      <c r="AB286" s="3732" t="s">
        <v>660</v>
      </c>
      <c r="AC286" s="3733"/>
      <c r="AD286" s="20"/>
      <c r="AE286" s="20"/>
      <c r="AF286" s="20"/>
      <c r="AG286" s="20"/>
      <c r="AH286" s="20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</row>
    <row r="287" spans="1:64" ht="14.65" thickBot="1">
      <c r="A287" s="36"/>
      <c r="B287" s="20"/>
      <c r="C287" s="20"/>
      <c r="D287" s="20"/>
      <c r="E287" s="20"/>
      <c r="F287" s="20"/>
      <c r="H287" s="193" t="str">
        <f>IF(J283="Elite","Required HP",IF(J283="Premium","Required KW",IF(J283="Elecon","Required KW")))</f>
        <v>Required HP</v>
      </c>
      <c r="I287" s="43" t="s">
        <v>160</v>
      </c>
      <c r="J287" s="737">
        <f>J286*K286</f>
        <v>19.968225884687833</v>
      </c>
      <c r="K287" s="304"/>
      <c r="M287" s="738" t="s">
        <v>660</v>
      </c>
      <c r="N287" s="739">
        <f>J29*N291</f>
        <v>32.771852321949673</v>
      </c>
      <c r="O287" s="2541" t="s">
        <v>678</v>
      </c>
      <c r="P287" s="2542">
        <v>70660</v>
      </c>
      <c r="Q287" s="2542">
        <v>32000</v>
      </c>
      <c r="R287" s="2258">
        <v>450</v>
      </c>
      <c r="S287" s="2543">
        <v>450</v>
      </c>
      <c r="U287" s="17"/>
      <c r="V287" s="273" t="s">
        <v>512</v>
      </c>
      <c r="W287" s="274" t="s">
        <v>682</v>
      </c>
      <c r="X287" s="19"/>
      <c r="Y287" s="273" t="s">
        <v>512</v>
      </c>
      <c r="Z287" s="274" t="s">
        <v>682</v>
      </c>
      <c r="AA287" s="20"/>
      <c r="AB287" s="275">
        <v>0</v>
      </c>
      <c r="AC287" s="740">
        <v>14</v>
      </c>
      <c r="AD287" s="20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</row>
    <row r="288" spans="1:64" ht="14.65" thickBot="1">
      <c r="A288" s="36"/>
      <c r="B288" s="20"/>
      <c r="C288" s="20"/>
      <c r="D288" s="20"/>
      <c r="E288" s="20"/>
      <c r="F288" s="20"/>
      <c r="G288" s="20"/>
      <c r="H288" s="193" t="str">
        <f>IF(J283="Elite","Selected HP",IF(J283="Premium","Selected KW",IF(J283="Elecon","Selected KW")))</f>
        <v>Selected HP</v>
      </c>
      <c r="I288" s="43" t="s">
        <v>160</v>
      </c>
      <c r="J288" s="276">
        <f>H302</f>
        <v>21.09</v>
      </c>
      <c r="K288" s="304"/>
      <c r="L288" s="479" t="str">
        <f>IF(N284="Right",IF(N282="Right",IF(N292="Right",IF(N311="Right",IF(L279="Right",IF(L274="Right",IF(M278="Right","Right","No GB Stage"),"GBC Motor RPM Wrong "),"GBC Ratio Wrong"),"GBC Price Wrong"),"GBC HP Wrong"),"GBC Out RPM Wrong"),"GBC HP Wrong")</f>
        <v>Right</v>
      </c>
      <c r="M288" s="468">
        <f>VLOOKUP(J283,M289:N291,2,0)</f>
        <v>1.3404825737265416</v>
      </c>
      <c r="N288" s="741">
        <f>VLOOKUP(J283,M285:N287,2,0)</f>
        <v>19.968225884687833</v>
      </c>
      <c r="O288" s="2258" t="s">
        <v>680</v>
      </c>
      <c r="P288" s="2542">
        <v>92292</v>
      </c>
      <c r="Q288" s="2542">
        <v>47000</v>
      </c>
      <c r="R288" s="2258">
        <v>550</v>
      </c>
      <c r="S288" s="2543">
        <v>550</v>
      </c>
      <c r="U288" s="17"/>
      <c r="V288" s="185">
        <v>0</v>
      </c>
      <c r="W288" s="40">
        <v>24.5</v>
      </c>
      <c r="X288" s="19"/>
      <c r="Y288" s="185">
        <v>0</v>
      </c>
      <c r="Z288" s="40">
        <v>5.6</v>
      </c>
      <c r="AA288" s="20"/>
      <c r="AB288" s="740">
        <v>14</v>
      </c>
      <c r="AC288" s="740">
        <v>16</v>
      </c>
      <c r="AD288" s="20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</row>
    <row r="289" spans="1:64">
      <c r="A289" s="36"/>
      <c r="B289" s="20"/>
      <c r="C289" s="20"/>
      <c r="D289" s="20"/>
      <c r="E289" s="20"/>
      <c r="F289" s="20"/>
      <c r="G289" s="17"/>
      <c r="H289" s="20"/>
      <c r="I289" s="17"/>
      <c r="J289" s="31"/>
      <c r="K289" s="304"/>
      <c r="M289" s="727" t="s">
        <v>2662</v>
      </c>
      <c r="N289" s="889">
        <f>1/0.746</f>
        <v>1.3404825737265416</v>
      </c>
      <c r="O289" s="2541" t="s">
        <v>681</v>
      </c>
      <c r="P289" s="2542">
        <v>108150</v>
      </c>
      <c r="Q289" s="2542">
        <v>53000</v>
      </c>
      <c r="R289" s="2258">
        <v>700</v>
      </c>
      <c r="S289" s="2543">
        <v>650</v>
      </c>
      <c r="U289" s="17"/>
      <c r="V289" s="39">
        <v>24.5</v>
      </c>
      <c r="W289" s="40">
        <v>29.3</v>
      </c>
      <c r="X289" s="19"/>
      <c r="Y289" s="39">
        <v>5.6</v>
      </c>
      <c r="Z289" s="40">
        <v>6.2</v>
      </c>
      <c r="AA289" s="20"/>
      <c r="AB289" s="740">
        <v>16</v>
      </c>
      <c r="AC289" s="740">
        <v>18</v>
      </c>
      <c r="AD289" s="20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</row>
    <row r="290" spans="1:64">
      <c r="A290" s="36"/>
      <c r="B290" s="20"/>
      <c r="C290" s="20"/>
      <c r="D290" s="20"/>
      <c r="E290" s="20"/>
      <c r="F290" s="20"/>
      <c r="G290" s="17"/>
      <c r="H290" s="193" t="s">
        <v>685</v>
      </c>
      <c r="I290" s="17"/>
      <c r="J290" s="276" t="str">
        <f>I302</f>
        <v>3AH650</v>
      </c>
      <c r="K290" s="304"/>
      <c r="M290" s="732" t="s">
        <v>656</v>
      </c>
      <c r="N290" s="326">
        <v>2</v>
      </c>
      <c r="O290" s="2541" t="s">
        <v>683</v>
      </c>
      <c r="P290" s="2542">
        <v>195532</v>
      </c>
      <c r="Q290" s="2542">
        <v>59000</v>
      </c>
      <c r="R290" s="2258">
        <v>1100</v>
      </c>
      <c r="S290" s="2543">
        <v>775</v>
      </c>
      <c r="U290" s="17"/>
      <c r="V290" s="39">
        <v>29.3</v>
      </c>
      <c r="W290" s="40">
        <v>34.200000000000003</v>
      </c>
      <c r="X290" s="19"/>
      <c r="Y290" s="39">
        <v>6.2</v>
      </c>
      <c r="Z290" s="40">
        <v>6.86</v>
      </c>
      <c r="AA290" s="20"/>
      <c r="AB290" s="740">
        <v>18</v>
      </c>
      <c r="AC290" s="740">
        <v>20</v>
      </c>
      <c r="AD290" s="20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</row>
    <row r="291" spans="1:64" ht="14.65" thickBot="1">
      <c r="A291" s="36"/>
      <c r="B291" s="20"/>
      <c r="C291" s="20"/>
      <c r="D291" s="20"/>
      <c r="E291" s="20"/>
      <c r="F291" s="20"/>
      <c r="G291" s="17"/>
      <c r="K291" s="304"/>
      <c r="M291" s="743" t="s">
        <v>660</v>
      </c>
      <c r="N291" s="395">
        <v>2.2000000000000002</v>
      </c>
      <c r="O291" s="2541" t="s">
        <v>684</v>
      </c>
      <c r="P291" s="2542">
        <v>203682</v>
      </c>
      <c r="Q291" s="2542">
        <v>68000</v>
      </c>
      <c r="R291" s="2258">
        <v>1400</v>
      </c>
      <c r="S291" s="2543">
        <v>825</v>
      </c>
      <c r="U291" s="17"/>
      <c r="V291" s="39">
        <v>34.200000000000003</v>
      </c>
      <c r="W291" s="40">
        <v>38.799999999999997</v>
      </c>
      <c r="X291" s="19"/>
      <c r="Y291" s="39">
        <v>6.86</v>
      </c>
      <c r="Z291" s="40">
        <v>7.59</v>
      </c>
      <c r="AA291" s="20"/>
      <c r="AB291" s="740">
        <v>20</v>
      </c>
      <c r="AC291" s="740">
        <v>22.4</v>
      </c>
      <c r="AD291" s="20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</row>
    <row r="292" spans="1:64" ht="14.65" thickBot="1">
      <c r="A292" s="36"/>
      <c r="B292" s="20"/>
      <c r="C292" s="20"/>
      <c r="D292" s="20"/>
      <c r="E292" s="20"/>
      <c r="F292" s="20"/>
      <c r="G292" s="17"/>
      <c r="H292" s="193" t="s">
        <v>798</v>
      </c>
      <c r="I292" s="333"/>
      <c r="J292" s="890">
        <f>+J294*L293</f>
        <v>175000</v>
      </c>
      <c r="K292" s="304"/>
      <c r="L292" s="745" t="str">
        <f>+L288</f>
        <v>Right</v>
      </c>
      <c r="M292" s="698"/>
      <c r="N292" s="720" t="str">
        <f>IF(LEFT(J287,5)=LEFT(N288,5),"Right","Wrong")</f>
        <v>Right</v>
      </c>
      <c r="O292" s="2258" t="s">
        <v>686</v>
      </c>
      <c r="P292" s="2542">
        <v>321637</v>
      </c>
      <c r="Q292" s="2542">
        <v>74000</v>
      </c>
      <c r="R292" s="2258">
        <v>2200</v>
      </c>
      <c r="S292" s="2543">
        <v>950</v>
      </c>
      <c r="U292" s="17"/>
      <c r="V292" s="39">
        <v>38.799999999999997</v>
      </c>
      <c r="W292" s="40">
        <v>43.9</v>
      </c>
      <c r="X292" s="19"/>
      <c r="Y292" s="39">
        <v>7.59</v>
      </c>
      <c r="Z292" s="40">
        <v>8.4</v>
      </c>
      <c r="AA292" s="20"/>
      <c r="AB292" s="740">
        <v>22.4</v>
      </c>
      <c r="AC292" s="740">
        <v>25</v>
      </c>
      <c r="AD292" s="20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</row>
    <row r="293" spans="1:64" ht="14.65" thickBot="1">
      <c r="A293" s="36"/>
      <c r="B293" s="20"/>
      <c r="C293" s="20"/>
      <c r="D293" s="20"/>
      <c r="E293" s="20"/>
      <c r="F293" s="20"/>
      <c r="G293" s="20"/>
      <c r="H293" s="193" t="s">
        <v>799</v>
      </c>
      <c r="I293" s="137"/>
      <c r="J293" s="890">
        <f>VLOOKUP(J290,O285:R358,3,0)</f>
        <v>53000</v>
      </c>
      <c r="K293" s="304"/>
      <c r="L293" s="746">
        <f>MH!L293</f>
        <v>250</v>
      </c>
      <c r="N293" s="891"/>
      <c r="O293" s="2258" t="s">
        <v>687</v>
      </c>
      <c r="P293" s="2542">
        <v>412631</v>
      </c>
      <c r="Q293" s="2542">
        <v>85000</v>
      </c>
      <c r="R293" s="2258">
        <v>2600</v>
      </c>
      <c r="S293" s="2543">
        <v>1100</v>
      </c>
      <c r="U293" s="17"/>
      <c r="V293" s="39">
        <v>43.9</v>
      </c>
      <c r="W293" s="40">
        <v>48.8</v>
      </c>
      <c r="X293" s="19"/>
      <c r="Y293" s="39">
        <v>8.4</v>
      </c>
      <c r="Z293" s="40">
        <v>9.3000000000000007</v>
      </c>
      <c r="AA293" s="20"/>
      <c r="AB293" s="740">
        <v>25</v>
      </c>
      <c r="AC293" s="740">
        <v>28</v>
      </c>
      <c r="AD293" s="20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</row>
    <row r="294" spans="1:64">
      <c r="A294" s="36"/>
      <c r="B294" s="20"/>
      <c r="C294" s="20"/>
      <c r="D294" s="20"/>
      <c r="E294" s="20"/>
      <c r="F294" s="20"/>
      <c r="G294" s="20"/>
      <c r="H294" s="193" t="s">
        <v>693</v>
      </c>
      <c r="I294" s="20"/>
      <c r="J294" s="892">
        <f>VLOOKUP(J290,O285:R358,4,0)</f>
        <v>700</v>
      </c>
      <c r="K294" s="304"/>
      <c r="O294" s="2258" t="s">
        <v>690</v>
      </c>
      <c r="P294" s="2542">
        <v>504000</v>
      </c>
      <c r="Q294" s="2542">
        <v>110000</v>
      </c>
      <c r="R294" s="2258">
        <v>3300</v>
      </c>
      <c r="S294" s="2543">
        <v>1250</v>
      </c>
      <c r="U294" s="17"/>
      <c r="V294" s="39">
        <v>48.8</v>
      </c>
      <c r="W294" s="40">
        <v>53.7</v>
      </c>
      <c r="X294" s="19"/>
      <c r="Y294" s="39">
        <v>9.3000000000000007</v>
      </c>
      <c r="Z294" s="40">
        <v>10.3</v>
      </c>
      <c r="AA294" s="20"/>
      <c r="AB294" s="740">
        <v>28</v>
      </c>
      <c r="AC294" s="740">
        <v>31.5</v>
      </c>
      <c r="AD294" s="20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</row>
    <row r="295" spans="1:64" ht="14.65" thickBot="1">
      <c r="A295" s="394"/>
      <c r="B295" s="135"/>
      <c r="C295" s="135"/>
      <c r="D295" s="135"/>
      <c r="E295" s="135"/>
      <c r="F295" s="135"/>
      <c r="G295" s="135"/>
      <c r="H295" s="135"/>
      <c r="I295" s="135"/>
      <c r="J295" s="135"/>
      <c r="K295" s="136"/>
      <c r="O295" s="2258" t="s">
        <v>692</v>
      </c>
      <c r="P295" s="2542">
        <v>693000</v>
      </c>
      <c r="Q295" s="2542">
        <v>116000</v>
      </c>
      <c r="R295" s="2258">
        <v>4250</v>
      </c>
      <c r="S295" s="2543">
        <v>1450</v>
      </c>
      <c r="U295" s="17"/>
      <c r="V295" s="39">
        <v>53.7</v>
      </c>
      <c r="W295" s="40">
        <v>58.1</v>
      </c>
      <c r="X295" s="19"/>
      <c r="Y295" s="39">
        <v>10.3</v>
      </c>
      <c r="Z295" s="40">
        <v>11.4</v>
      </c>
      <c r="AA295" s="20"/>
      <c r="AB295" s="740">
        <v>31.5</v>
      </c>
      <c r="AC295" s="740">
        <v>35.5</v>
      </c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</row>
    <row r="296" spans="1:64">
      <c r="A296" s="20"/>
      <c r="B296" s="20"/>
      <c r="C296" s="20"/>
      <c r="D296" s="20"/>
      <c r="E296" s="20"/>
      <c r="F296" s="20"/>
      <c r="G296" s="20"/>
      <c r="H296" s="20"/>
      <c r="I296" s="391" t="str">
        <f>HYPERLINK("\\Manish-pc\e\03 General\Manish\Selection\","Selection Folder")</f>
        <v>Selection Folder</v>
      </c>
      <c r="J296" s="391" t="str">
        <f>HYPERLINK("\\Manish-pc\e\03 General\Manish\Selection\Elite_Gear_Box.pdf","Elite GB")</f>
        <v>Elite GB</v>
      </c>
      <c r="K296" s="391" t="str">
        <f>HYPERLINK("\\Manish-pc\e\03 General\Manish\Selection\Premium_Gear_Box.pdf","Premium GB")</f>
        <v>Premium GB</v>
      </c>
      <c r="O296" s="2258" t="s">
        <v>694</v>
      </c>
      <c r="P296" s="2542">
        <v>945000</v>
      </c>
      <c r="Q296" s="2542">
        <v>150000</v>
      </c>
      <c r="R296" s="2258">
        <v>4900</v>
      </c>
      <c r="S296" s="2543">
        <v>1650</v>
      </c>
      <c r="U296" s="17"/>
      <c r="V296" s="39">
        <v>58.1</v>
      </c>
      <c r="W296" s="40">
        <v>63.4</v>
      </c>
      <c r="X296" s="19"/>
      <c r="Y296" s="39">
        <v>11.4</v>
      </c>
      <c r="Z296" s="40">
        <v>12.6</v>
      </c>
      <c r="AA296" s="20"/>
      <c r="AB296" s="740">
        <v>35.5</v>
      </c>
      <c r="AC296" s="740">
        <v>40</v>
      </c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</row>
    <row r="297" spans="1:64">
      <c r="A297" s="20"/>
      <c r="B297" s="20"/>
      <c r="C297" s="20"/>
      <c r="D297" s="20"/>
      <c r="E297" s="20"/>
      <c r="F297" s="20"/>
      <c r="G297" s="20"/>
      <c r="H297" s="20"/>
      <c r="I297" s="20"/>
      <c r="J297" s="391" t="str">
        <f>HYPERLINK("\\Manish-pc\e\03 General\Manish\Selection\ELECON_ET-SERIES.pdf","Elecon GB")</f>
        <v>Elecon GB</v>
      </c>
      <c r="K297" s="391" t="str">
        <f>HYPERLINK("\\Manish-pc\e\03 General\Manish\Selection\Price_Sheet_2013.pdf","Price Sheet")</f>
        <v>Price Sheet</v>
      </c>
      <c r="L297" s="596"/>
      <c r="O297" s="277"/>
      <c r="P297" s="277"/>
      <c r="Q297" s="277"/>
      <c r="R297" s="277"/>
      <c r="S297" s="748"/>
      <c r="U297" s="17"/>
      <c r="V297" s="39">
        <v>63.4</v>
      </c>
      <c r="W297" s="40">
        <v>68.3</v>
      </c>
      <c r="X297" s="19"/>
      <c r="Y297" s="39">
        <v>12.6</v>
      </c>
      <c r="Z297" s="40">
        <v>14</v>
      </c>
      <c r="AA297" s="20"/>
      <c r="AB297" s="740">
        <v>40</v>
      </c>
      <c r="AC297" s="740">
        <v>45</v>
      </c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</row>
    <row r="298" spans="1:64" ht="20.100000000000001" customHeight="1">
      <c r="O298" s="749" t="s">
        <v>698</v>
      </c>
      <c r="P298" s="750">
        <f>+L293</f>
        <v>250</v>
      </c>
      <c r="Q298" s="751" t="s">
        <v>675</v>
      </c>
      <c r="R298" s="278" t="s">
        <v>695</v>
      </c>
      <c r="S298" s="729" t="s">
        <v>670</v>
      </c>
      <c r="U298" s="17"/>
      <c r="V298" s="39">
        <v>68.3</v>
      </c>
      <c r="W298" s="40">
        <v>73.7</v>
      </c>
      <c r="X298" s="19"/>
      <c r="Y298" s="39">
        <v>14</v>
      </c>
      <c r="Z298" s="40">
        <v>15.4</v>
      </c>
      <c r="AA298" s="20"/>
      <c r="AB298" s="740">
        <v>45</v>
      </c>
      <c r="AC298" s="740">
        <v>50</v>
      </c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</row>
    <row r="299" spans="1:64" ht="20.100000000000001" customHeight="1">
      <c r="O299" s="735"/>
      <c r="P299" s="735"/>
      <c r="Q299" s="734"/>
      <c r="R299" s="275"/>
      <c r="S299" s="735"/>
      <c r="U299" s="17"/>
      <c r="V299" s="39">
        <v>73.7</v>
      </c>
      <c r="W299" s="40">
        <v>78.2</v>
      </c>
      <c r="X299" s="19"/>
      <c r="Y299" s="39">
        <v>15.4</v>
      </c>
      <c r="Z299" s="40">
        <v>17.100000000000001</v>
      </c>
      <c r="AA299" s="20"/>
      <c r="AB299" s="740">
        <v>50</v>
      </c>
      <c r="AC299" s="740">
        <v>56</v>
      </c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</row>
    <row r="300" spans="1:64" ht="20.100000000000001" customHeight="1">
      <c r="B300" s="752" t="e">
        <f>Tech!D115</f>
        <v>#N/A</v>
      </c>
      <c r="C300" s="20"/>
      <c r="O300" s="735" t="s">
        <v>699</v>
      </c>
      <c r="P300" s="735">
        <f>R300*P298</f>
        <v>74750</v>
      </c>
      <c r="Q300" s="734">
        <f>K302</f>
        <v>26250</v>
      </c>
      <c r="R300" s="275">
        <f>290+9</f>
        <v>299</v>
      </c>
      <c r="S300" s="748">
        <f>135+140</f>
        <v>275</v>
      </c>
      <c r="U300" s="17"/>
      <c r="V300" s="39">
        <v>78.2</v>
      </c>
      <c r="W300" s="40">
        <v>83.3</v>
      </c>
      <c r="X300" s="19"/>
      <c r="Y300" s="39">
        <v>17.100000000000001</v>
      </c>
      <c r="Z300" s="40">
        <v>18.899999999999999</v>
      </c>
      <c r="AA300" s="20"/>
      <c r="AB300" s="740">
        <v>56</v>
      </c>
      <c r="AC300" s="740">
        <v>63</v>
      </c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</row>
    <row r="301" spans="1:64" ht="20.100000000000001" customHeight="1">
      <c r="A301" s="20"/>
      <c r="B301" s="20"/>
      <c r="C301" s="20"/>
      <c r="K301" s="753"/>
      <c r="O301" s="735" t="s">
        <v>700</v>
      </c>
      <c r="P301" s="735">
        <f>R301*P298</f>
        <v>80750</v>
      </c>
      <c r="Q301" s="734">
        <f>K302</f>
        <v>26250</v>
      </c>
      <c r="R301" s="275">
        <f>310+13</f>
        <v>323</v>
      </c>
      <c r="S301" s="748">
        <f>155+160</f>
        <v>315</v>
      </c>
      <c r="U301" s="17"/>
      <c r="V301" s="39">
        <v>83.3</v>
      </c>
      <c r="W301" s="40">
        <v>88.2</v>
      </c>
      <c r="X301" s="19"/>
      <c r="Y301" s="185">
        <v>18.899999999999999</v>
      </c>
      <c r="Z301" s="40">
        <v>20.9</v>
      </c>
      <c r="AA301" s="20"/>
      <c r="AB301" s="740">
        <v>63</v>
      </c>
      <c r="AC301" s="740">
        <v>71</v>
      </c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</row>
    <row r="302" spans="1:64" ht="20.100000000000001" customHeight="1">
      <c r="A302" s="754" t="s">
        <v>1093</v>
      </c>
      <c r="B302" s="754" t="s">
        <v>1095</v>
      </c>
      <c r="C302" s="20"/>
      <c r="G302" s="755">
        <f>J281</f>
        <v>129.80000000000001</v>
      </c>
      <c r="H302" s="756">
        <f>VLOOKUP(G302,G304:L309,2,0)</f>
        <v>21.09</v>
      </c>
      <c r="I302" s="756" t="str">
        <f>VLOOKUP(G302,G304:L309,3,0)</f>
        <v>3AH650</v>
      </c>
      <c r="J302" s="756">
        <f>VLOOKUP(G302,G304:L309,4,0)</f>
        <v>108150</v>
      </c>
      <c r="K302" s="756">
        <f>VLOOKUP(G302,G304:L309,5,0)</f>
        <v>26250</v>
      </c>
      <c r="L302" s="756">
        <f>VLOOKUP(G302,G304:L309,6,0)</f>
        <v>700</v>
      </c>
      <c r="O302" s="735" t="s">
        <v>701</v>
      </c>
      <c r="P302" s="735">
        <f>R302*P298</f>
        <v>86750</v>
      </c>
      <c r="Q302" s="734">
        <f>K302</f>
        <v>26250</v>
      </c>
      <c r="R302" s="275">
        <f>330+17</f>
        <v>347</v>
      </c>
      <c r="S302" s="748">
        <f>173+175</f>
        <v>348</v>
      </c>
      <c r="U302" s="17"/>
      <c r="V302" s="39">
        <v>88.2</v>
      </c>
      <c r="W302" s="40">
        <v>92.9</v>
      </c>
      <c r="X302" s="19"/>
      <c r="Y302" s="39">
        <v>20.9</v>
      </c>
      <c r="Z302" s="40">
        <v>23.2</v>
      </c>
      <c r="AA302" s="20"/>
      <c r="AB302" s="740">
        <v>71</v>
      </c>
      <c r="AC302" s="740">
        <v>80</v>
      </c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</row>
    <row r="303" spans="1:64" ht="20.100000000000001" customHeight="1">
      <c r="A303" s="757"/>
      <c r="B303" s="757"/>
      <c r="C303" s="20"/>
      <c r="G303" s="197" t="s">
        <v>682</v>
      </c>
      <c r="H303" s="197" t="s">
        <v>2178</v>
      </c>
      <c r="I303" s="197" t="s">
        <v>2179</v>
      </c>
      <c r="J303" s="197" t="s">
        <v>2173</v>
      </c>
      <c r="K303" s="197" t="s">
        <v>2785</v>
      </c>
      <c r="L303" s="197" t="s">
        <v>2174</v>
      </c>
      <c r="M303" s="758" t="str">
        <f>+G312</f>
        <v>Right</v>
      </c>
      <c r="O303" s="735" t="s">
        <v>702</v>
      </c>
      <c r="P303" s="735">
        <f>R303*P298</f>
        <v>100000</v>
      </c>
      <c r="Q303" s="734">
        <f>K302</f>
        <v>26250</v>
      </c>
      <c r="R303" s="275">
        <f>380+20</f>
        <v>400</v>
      </c>
      <c r="S303" s="748">
        <f>180+185</f>
        <v>365</v>
      </c>
      <c r="U303" s="17"/>
      <c r="V303" s="39">
        <v>92.9</v>
      </c>
      <c r="W303" s="40">
        <v>97.1</v>
      </c>
      <c r="X303" s="19"/>
      <c r="Y303" s="39">
        <v>23.2</v>
      </c>
      <c r="Z303" s="40">
        <v>25.6</v>
      </c>
      <c r="AA303" s="20"/>
      <c r="AB303" s="740">
        <v>80</v>
      </c>
      <c r="AC303" s="740">
        <v>90</v>
      </c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</row>
    <row r="304" spans="1:64" ht="20.100000000000001" customHeight="1">
      <c r="A304" s="80" t="str">
        <f>Tech!B119</f>
        <v>Motor</v>
      </c>
      <c r="B304" s="53" t="str">
        <f>Tech!D119</f>
        <v>Right</v>
      </c>
      <c r="C304" s="20"/>
      <c r="F304" s="759" t="str">
        <f>LEFT('E Data'!D30,8)</f>
        <v xml:space="preserve">IS 3177 </v>
      </c>
      <c r="G304" s="760">
        <f>IF(F305="A",G318,IF(F305="B",G341))</f>
        <v>120.7</v>
      </c>
      <c r="H304" s="760">
        <f>IF(F305="A",H318,IF(F305="B",H341))</f>
        <v>22.48</v>
      </c>
      <c r="I304" s="760" t="str">
        <f>IF(F305="A",I318,IF(F305="B",I341))</f>
        <v>3AH650</v>
      </c>
      <c r="J304" s="760">
        <f>IF(F305="A",J318,IF(F305="B",J341))</f>
        <v>108150</v>
      </c>
      <c r="K304" s="760">
        <f>IF(F305="A",K318,IF(F305="B",K341))</f>
        <v>26250</v>
      </c>
      <c r="L304" s="760">
        <f>IF(F305="A",L318,IF(F305="B",L341))</f>
        <v>700</v>
      </c>
      <c r="M304" s="22" t="str">
        <f>IF(G302=J281,"Right","Wrong")</f>
        <v>Right</v>
      </c>
      <c r="O304" s="735" t="s">
        <v>703</v>
      </c>
      <c r="P304" s="735">
        <f>R304*P298</f>
        <v>129250</v>
      </c>
      <c r="Q304" s="734">
        <f>K302</f>
        <v>26250</v>
      </c>
      <c r="R304" s="275">
        <f>490+27</f>
        <v>517</v>
      </c>
      <c r="S304" s="748">
        <f>203+205</f>
        <v>408</v>
      </c>
      <c r="U304" s="17"/>
      <c r="V304" s="39">
        <v>97.1</v>
      </c>
      <c r="W304" s="40">
        <v>107.9</v>
      </c>
      <c r="X304" s="19"/>
      <c r="Y304" s="39">
        <v>25.6</v>
      </c>
      <c r="Z304" s="40">
        <v>28.4</v>
      </c>
      <c r="AA304" s="20"/>
      <c r="AB304" s="740">
        <v>90</v>
      </c>
      <c r="AC304" s="740">
        <v>100</v>
      </c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</row>
    <row r="305" spans="1:64" ht="20.100000000000001" customHeight="1">
      <c r="A305" s="80"/>
      <c r="B305" s="53"/>
      <c r="F305" s="279" t="str">
        <f>'E Data'!N19</f>
        <v>A</v>
      </c>
      <c r="G305" s="760">
        <f>IF(F305="A",G325,IF(F305="B",G348))</f>
        <v>129.80000000000001</v>
      </c>
      <c r="H305" s="760">
        <f>IF(F305="A",H325,IF(F305="B",H348))</f>
        <v>21.09</v>
      </c>
      <c r="I305" s="760" t="str">
        <f>IF(F305="A",I325,IF(F305="B",I348))</f>
        <v>3AH650</v>
      </c>
      <c r="J305" s="760">
        <f>IF(F305="A",J325,IF(F305="B",J348))</f>
        <v>108150</v>
      </c>
      <c r="K305" s="760">
        <f>IF(F305="A",K325,IF(F305="B",K348))</f>
        <v>26250</v>
      </c>
      <c r="L305" s="760">
        <f>IF(F305="A",L325,IF(F305="B",L348))</f>
        <v>700</v>
      </c>
      <c r="M305" s="22" t="str">
        <f>IF(H302=J288,"Right","Wrong")</f>
        <v>Right</v>
      </c>
      <c r="O305" s="735" t="s">
        <v>704</v>
      </c>
      <c r="P305" s="735">
        <f>R305*P298</f>
        <v>166250</v>
      </c>
      <c r="Q305" s="734">
        <f>K302</f>
        <v>26250</v>
      </c>
      <c r="R305" s="275">
        <f>630+35</f>
        <v>665</v>
      </c>
      <c r="S305" s="748">
        <f>215+220</f>
        <v>435</v>
      </c>
      <c r="U305" s="19"/>
      <c r="V305" s="39">
        <v>107.9</v>
      </c>
      <c r="W305" s="40">
        <v>120.7</v>
      </c>
      <c r="X305" s="19"/>
      <c r="Y305" s="39">
        <v>28.4</v>
      </c>
      <c r="Z305" s="40">
        <v>31.4</v>
      </c>
      <c r="AA305" s="20"/>
      <c r="AB305" s="740">
        <v>100</v>
      </c>
      <c r="AC305" s="740">
        <v>112</v>
      </c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</row>
    <row r="306" spans="1:64" ht="20.100000000000001" customHeight="1">
      <c r="A306" s="80" t="str">
        <f>Tech!B121</f>
        <v>Brake</v>
      </c>
      <c r="B306" s="53" t="str">
        <f>Tech!D121</f>
        <v>Right</v>
      </c>
      <c r="C306" s="20"/>
      <c r="F306" s="761" t="s">
        <v>656</v>
      </c>
      <c r="G306" s="197">
        <f t="shared" ref="G306:L307" si="9">G328</f>
        <v>117</v>
      </c>
      <c r="H306" s="145">
        <f t="shared" si="9"/>
        <v>29.3</v>
      </c>
      <c r="I306" s="145" t="str">
        <f t="shared" si="9"/>
        <v>PCD3 280</v>
      </c>
      <c r="J306" s="145">
        <f t="shared" si="9"/>
        <v>225000</v>
      </c>
      <c r="K306" s="145">
        <f t="shared" si="9"/>
        <v>29400</v>
      </c>
      <c r="L306" s="145">
        <f t="shared" si="9"/>
        <v>900</v>
      </c>
      <c r="M306" s="22" t="str">
        <f>IF(I302=J290,"Right","Wrong")</f>
        <v>Right</v>
      </c>
      <c r="O306" s="735" t="s">
        <v>705</v>
      </c>
      <c r="P306" s="735">
        <f>R306*P298</f>
        <v>225000</v>
      </c>
      <c r="Q306" s="734">
        <f>K302</f>
        <v>26250</v>
      </c>
      <c r="R306" s="275">
        <f>850+50</f>
        <v>900</v>
      </c>
      <c r="S306" s="748">
        <f>237+240</f>
        <v>477</v>
      </c>
      <c r="U306" s="17"/>
      <c r="V306" s="39">
        <v>120.7</v>
      </c>
      <c r="W306" s="40">
        <v>129.80000000000001</v>
      </c>
      <c r="X306" s="19"/>
      <c r="Y306" s="39">
        <v>31.4</v>
      </c>
      <c r="Z306" s="40">
        <v>34.700000000000003</v>
      </c>
      <c r="AA306" s="20"/>
      <c r="AB306" s="740">
        <v>112</v>
      </c>
      <c r="AC306" s="740">
        <v>125</v>
      </c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</row>
    <row r="307" spans="1:64" ht="20.100000000000001" customHeight="1">
      <c r="A307" s="80"/>
      <c r="B307" s="53"/>
      <c r="C307" s="20"/>
      <c r="F307" s="761" t="str">
        <f>+F306</f>
        <v>Premium</v>
      </c>
      <c r="G307" s="197">
        <f t="shared" si="9"/>
        <v>130</v>
      </c>
      <c r="H307" s="145">
        <f t="shared" si="9"/>
        <v>21</v>
      </c>
      <c r="I307" s="145" t="str">
        <f t="shared" si="9"/>
        <v>PCD3 280</v>
      </c>
      <c r="J307" s="145">
        <f t="shared" si="9"/>
        <v>225000</v>
      </c>
      <c r="K307" s="145">
        <f t="shared" si="9"/>
        <v>29400</v>
      </c>
      <c r="L307" s="145" t="b">
        <f>A307=L329</f>
        <v>0</v>
      </c>
      <c r="M307" s="22" t="str">
        <f>IF(J302=J292,"Right","Wrong")</f>
        <v>Wrong</v>
      </c>
      <c r="O307" s="735" t="s">
        <v>708</v>
      </c>
      <c r="P307" s="735">
        <f>R307*P298</f>
        <v>305000</v>
      </c>
      <c r="Q307" s="734">
        <f>K302</f>
        <v>26250</v>
      </c>
      <c r="R307" s="275">
        <f>1150+70</f>
        <v>1220</v>
      </c>
      <c r="S307" s="748">
        <f>256+260</f>
        <v>516</v>
      </c>
      <c r="U307" s="19"/>
      <c r="V307" s="39">
        <v>129.80000000000001</v>
      </c>
      <c r="W307" s="40">
        <v>140.1</v>
      </c>
      <c r="X307" s="19"/>
      <c r="Y307" s="39">
        <v>34.700000000000003</v>
      </c>
      <c r="Z307" s="40">
        <v>38.4</v>
      </c>
      <c r="AA307" s="20"/>
      <c r="AB307" s="740">
        <v>125</v>
      </c>
      <c r="AC307" s="740">
        <v>140</v>
      </c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</row>
    <row r="308" spans="1:64" ht="20.100000000000001" customHeight="1">
      <c r="A308" s="80" t="str">
        <f>Tech!B123</f>
        <v>Wire Rope</v>
      </c>
      <c r="B308" s="53" t="str">
        <f>Tech!D123</f>
        <v>Right</v>
      </c>
      <c r="C308" s="20"/>
      <c r="F308" s="761" t="s">
        <v>660</v>
      </c>
      <c r="G308" s="197">
        <f t="shared" ref="G308:L309" si="10">G332</f>
        <v>125</v>
      </c>
      <c r="H308" s="145">
        <f t="shared" si="10"/>
        <v>23</v>
      </c>
      <c r="I308" s="145" t="str">
        <f t="shared" si="10"/>
        <v>SDN 280</v>
      </c>
      <c r="J308" s="145">
        <f t="shared" si="10"/>
        <v>189750</v>
      </c>
      <c r="K308" s="145">
        <f t="shared" si="10"/>
        <v>29400</v>
      </c>
      <c r="L308" s="145">
        <f t="shared" si="10"/>
        <v>759</v>
      </c>
      <c r="M308" s="22" t="str">
        <f>IF(K302=J293,"Right","Wrong")</f>
        <v>Wrong</v>
      </c>
      <c r="O308" s="735" t="s">
        <v>709</v>
      </c>
      <c r="P308" s="735">
        <f>R308*P298</f>
        <v>406250</v>
      </c>
      <c r="Q308" s="734">
        <f>K302</f>
        <v>26250</v>
      </c>
      <c r="R308" s="275">
        <f>1525+100</f>
        <v>1625</v>
      </c>
      <c r="S308" s="748">
        <f>286+290</f>
        <v>576</v>
      </c>
      <c r="U308" s="19"/>
      <c r="V308" s="39">
        <v>140.1</v>
      </c>
      <c r="W308" s="40">
        <v>151.30000000000001</v>
      </c>
      <c r="X308" s="19"/>
      <c r="Y308" s="39">
        <v>38.4</v>
      </c>
      <c r="Z308" s="40">
        <v>42.5</v>
      </c>
      <c r="AB308" s="740">
        <v>140</v>
      </c>
      <c r="AC308" s="740">
        <v>160</v>
      </c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</row>
    <row r="309" spans="1:64" ht="20.100000000000001" customHeight="1">
      <c r="A309" s="80"/>
      <c r="B309" s="53"/>
      <c r="C309" s="20"/>
      <c r="F309" s="761" t="str">
        <f>+F308</f>
        <v>Elecon</v>
      </c>
      <c r="G309" s="197">
        <f t="shared" si="10"/>
        <v>140</v>
      </c>
      <c r="H309" s="145">
        <f t="shared" si="10"/>
        <v>21</v>
      </c>
      <c r="I309" s="145" t="str">
        <f t="shared" si="10"/>
        <v>SDN 280</v>
      </c>
      <c r="J309" s="145">
        <f t="shared" si="10"/>
        <v>189750</v>
      </c>
      <c r="K309" s="145">
        <f t="shared" si="10"/>
        <v>29400</v>
      </c>
      <c r="L309" s="145">
        <f t="shared" si="10"/>
        <v>759</v>
      </c>
      <c r="M309" s="22" t="str">
        <f>IF(L302=J294,"Right","Wrong")</f>
        <v>Right</v>
      </c>
      <c r="O309" s="735" t="s">
        <v>710</v>
      </c>
      <c r="P309" s="735">
        <f>R309*P298</f>
        <v>555000</v>
      </c>
      <c r="Q309" s="734">
        <f>K302</f>
        <v>26250</v>
      </c>
      <c r="R309" s="275">
        <f>2080+140</f>
        <v>2220</v>
      </c>
      <c r="S309" s="748">
        <f>320+325</f>
        <v>645</v>
      </c>
      <c r="U309" s="19"/>
      <c r="V309" s="39">
        <v>151.30000000000001</v>
      </c>
      <c r="W309" s="40">
        <v>162.68</v>
      </c>
      <c r="X309" s="19"/>
      <c r="Y309" s="39">
        <v>42.5</v>
      </c>
      <c r="Z309" s="40">
        <v>47.1</v>
      </c>
      <c r="AB309" s="740">
        <v>160</v>
      </c>
      <c r="AC309" s="740">
        <v>180</v>
      </c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</row>
    <row r="310" spans="1:64" ht="20.100000000000001" customHeight="1">
      <c r="A310" s="80" t="str">
        <f>Tech!B125</f>
        <v>Rope Drum</v>
      </c>
      <c r="B310" s="53" t="str">
        <f>Tech!D125</f>
        <v>Right</v>
      </c>
      <c r="C310" s="20"/>
      <c r="O310" s="735" t="s">
        <v>711</v>
      </c>
      <c r="P310" s="735">
        <f>R310*P298</f>
        <v>761250</v>
      </c>
      <c r="Q310" s="734">
        <f>K302</f>
        <v>26250</v>
      </c>
      <c r="R310" s="275">
        <f>2840+205</f>
        <v>3045</v>
      </c>
      <c r="S310" s="748">
        <f>360+420</f>
        <v>780</v>
      </c>
      <c r="U310" s="19"/>
      <c r="V310" s="39">
        <v>162.68</v>
      </c>
      <c r="W310" s="40">
        <v>165.9</v>
      </c>
      <c r="X310" s="19"/>
      <c r="Y310" s="39">
        <v>47.1</v>
      </c>
      <c r="Z310" s="40">
        <v>52.1</v>
      </c>
      <c r="AB310" s="740">
        <v>180</v>
      </c>
      <c r="AC310" s="740">
        <v>200</v>
      </c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</row>
    <row r="311" spans="1:64" ht="20.100000000000001" customHeight="1">
      <c r="A311" s="80"/>
      <c r="B311" s="53"/>
      <c r="C311" s="20"/>
      <c r="N311" s="698" t="str">
        <f>IF(J283="Elite","Right",IF(J292=N313,"Right","Wrong"))</f>
        <v>Right</v>
      </c>
      <c r="O311" s="735" t="s">
        <v>712</v>
      </c>
      <c r="P311" s="735">
        <f>R311*P298</f>
        <v>1048750</v>
      </c>
      <c r="Q311" s="734">
        <f>K302</f>
        <v>26250</v>
      </c>
      <c r="R311" s="275">
        <f>3780+415</f>
        <v>4195</v>
      </c>
      <c r="S311" s="748">
        <f>410+420</f>
        <v>830</v>
      </c>
      <c r="U311" s="19"/>
      <c r="V311" s="39">
        <v>165.9</v>
      </c>
      <c r="W311" s="40">
        <v>177.81</v>
      </c>
      <c r="X311" s="19"/>
      <c r="Y311" s="39">
        <v>52.1</v>
      </c>
      <c r="Z311" s="40">
        <v>57.7</v>
      </c>
      <c r="AB311" s="740">
        <v>200</v>
      </c>
      <c r="AC311" s="740">
        <v>224</v>
      </c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</row>
    <row r="312" spans="1:64" ht="20.100000000000001" customHeight="1">
      <c r="A312" s="80" t="str">
        <f>Tech!B127</f>
        <v>Upper Pully</v>
      </c>
      <c r="B312" s="53" t="str">
        <f>Tech!D127</f>
        <v>Right</v>
      </c>
      <c r="C312" s="20"/>
      <c r="F312" s="20"/>
      <c r="G312" s="762" t="str">
        <f>I353</f>
        <v>Right</v>
      </c>
      <c r="H312" s="416" t="str">
        <f>'E Gear B'!DZ3</f>
        <v>Class II</v>
      </c>
      <c r="N312" s="118" t="s">
        <v>689</v>
      </c>
      <c r="O312" s="280" t="s">
        <v>713</v>
      </c>
      <c r="P312" s="735">
        <f>R312*P298</f>
        <v>1412500</v>
      </c>
      <c r="Q312" s="734">
        <f>K302</f>
        <v>26250</v>
      </c>
      <c r="R312" s="280">
        <f>5100+550</f>
        <v>5650</v>
      </c>
      <c r="S312" s="15">
        <f>435+445</f>
        <v>880</v>
      </c>
      <c r="U312" s="19"/>
      <c r="V312" s="39">
        <v>177.81</v>
      </c>
      <c r="W312" s="40">
        <v>190.4</v>
      </c>
      <c r="X312" s="19"/>
      <c r="Y312" s="39">
        <v>57.7</v>
      </c>
      <c r="Z312" s="40">
        <v>63.8</v>
      </c>
      <c r="AB312" s="740">
        <v>224</v>
      </c>
      <c r="AC312" s="740">
        <v>250</v>
      </c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</row>
    <row r="313" spans="1:64" ht="20.100000000000001" customHeight="1">
      <c r="A313" s="80"/>
      <c r="B313" s="53"/>
      <c r="C313" s="20"/>
      <c r="G313" s="763" t="str">
        <f>'E Gear B'!DZ8</f>
        <v>Anupam : 3177</v>
      </c>
      <c r="H313" s="893" t="str">
        <f>'E Gear B'!EA8</f>
        <v>Lower H.P.</v>
      </c>
      <c r="I313" s="894" t="str">
        <f>'E Gear B'!EB8</f>
        <v>Lower Frame</v>
      </c>
      <c r="J313" s="894" t="str">
        <f>'E Gear B'!EC8</f>
        <v>Pricr of Gear Box</v>
      </c>
      <c r="K313" s="894" t="str">
        <f>'E Gear B'!ED8</f>
        <v>Gear Coupling</v>
      </c>
      <c r="L313" s="894" t="str">
        <f>'E Gear B'!EE8</f>
        <v>Weight OF GB</v>
      </c>
      <c r="M313" s="2" t="str">
        <f>'E Gear B'!EF8</f>
        <v>Right</v>
      </c>
      <c r="N313" s="53" t="e">
        <f>IF(J283="Elite",VLOOKUP(O286:P296,2,0),L293*J294)</f>
        <v>#VALUE!</v>
      </c>
      <c r="O313" s="280" t="s">
        <v>2189</v>
      </c>
      <c r="P313" s="735">
        <f>R313*P298</f>
        <v>1931250</v>
      </c>
      <c r="Q313" s="734">
        <f>K302</f>
        <v>26250</v>
      </c>
      <c r="R313" s="280">
        <f>6900+825</f>
        <v>7725</v>
      </c>
      <c r="S313" s="15">
        <f>480+490</f>
        <v>970</v>
      </c>
      <c r="U313" s="19"/>
      <c r="V313" s="39">
        <v>190.4</v>
      </c>
      <c r="W313" s="40">
        <v>206.43</v>
      </c>
      <c r="X313" s="19"/>
      <c r="Y313" s="39">
        <v>63.8</v>
      </c>
      <c r="Z313" s="40">
        <v>70.599999999999994</v>
      </c>
      <c r="AB313" s="740">
        <v>250</v>
      </c>
      <c r="AC313" s="275">
        <v>280</v>
      </c>
      <c r="AD313" s="20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</row>
    <row r="314" spans="1:64" ht="20.100000000000001" customHeight="1" thickBot="1">
      <c r="A314" s="80" t="str">
        <f>Tech!B129</f>
        <v>EQ Pulley</v>
      </c>
      <c r="B314" s="53" t="str">
        <f>Tech!D129</f>
        <v>Right</v>
      </c>
      <c r="C314" s="20"/>
      <c r="F314" s="277"/>
      <c r="G314" s="283" t="s">
        <v>651</v>
      </c>
      <c r="H314" s="284">
        <f>'E Gear B'!EA9</f>
        <v>31.19</v>
      </c>
      <c r="I314" s="284" t="str">
        <f>'E Gear B'!EB9</f>
        <v>3AH650</v>
      </c>
      <c r="J314" s="284">
        <f>'E Gear B'!EC9</f>
        <v>108150</v>
      </c>
      <c r="K314" s="284">
        <f>'E Gear B'!ED9</f>
        <v>26250</v>
      </c>
      <c r="L314" s="284">
        <f>'E Gear B'!EE9</f>
        <v>700</v>
      </c>
      <c r="M314" s="281"/>
      <c r="O314" s="280" t="s">
        <v>2190</v>
      </c>
      <c r="P314" s="280"/>
      <c r="Q314" s="280"/>
      <c r="R314" s="280"/>
      <c r="S314" s="280"/>
      <c r="U314" s="19"/>
      <c r="V314" s="767">
        <v>206.43</v>
      </c>
      <c r="W314" s="768">
        <v>223.8</v>
      </c>
      <c r="X314" s="19"/>
      <c r="Y314" s="39">
        <v>70.599999999999994</v>
      </c>
      <c r="Z314" s="40">
        <v>78.2</v>
      </c>
      <c r="AA314" s="20"/>
      <c r="AB314" s="275">
        <v>280</v>
      </c>
      <c r="AC314" s="275">
        <v>315</v>
      </c>
      <c r="AD314" s="20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</row>
    <row r="315" spans="1:64" ht="20.100000000000001" customHeight="1" thickBot="1">
      <c r="A315" s="80"/>
      <c r="B315" s="53"/>
      <c r="C315" s="20"/>
      <c r="F315" s="277"/>
      <c r="G315" s="283" t="s">
        <v>654</v>
      </c>
      <c r="H315" s="284">
        <f>'E Gear B'!EA10</f>
        <v>22.48</v>
      </c>
      <c r="I315" s="284" t="str">
        <f>'E Gear B'!EB10</f>
        <v>3AH650</v>
      </c>
      <c r="J315" s="284">
        <f>'E Gear B'!EC10</f>
        <v>108150</v>
      </c>
      <c r="K315" s="284">
        <f>'E Gear B'!ED10</f>
        <v>26250</v>
      </c>
      <c r="L315" s="284">
        <f>'E Gear B'!EE10</f>
        <v>700</v>
      </c>
      <c r="M315" s="281"/>
      <c r="O315" s="280" t="s">
        <v>2191</v>
      </c>
      <c r="P315" s="735">
        <f>R315*P298</f>
        <v>74750</v>
      </c>
      <c r="Q315" s="734">
        <f>K302</f>
        <v>26250</v>
      </c>
      <c r="R315" s="275">
        <f>290+9</f>
        <v>299</v>
      </c>
      <c r="S315" s="748">
        <f>135*2+40</f>
        <v>310</v>
      </c>
      <c r="U315" s="19"/>
      <c r="V315" s="769">
        <f>VLOOKUP(J279,V288:V314,1)</f>
        <v>120.7</v>
      </c>
      <c r="W315" s="770">
        <f>VLOOKUP(V315,V288:W314,2,0)</f>
        <v>129.80000000000001</v>
      </c>
      <c r="X315" s="19"/>
      <c r="Y315" s="39">
        <v>78.2</v>
      </c>
      <c r="Z315" s="40">
        <v>86.5</v>
      </c>
      <c r="AA315" s="20"/>
      <c r="AB315" s="275">
        <v>315</v>
      </c>
      <c r="AC315" s="275">
        <v>355</v>
      </c>
      <c r="AD315" s="20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</row>
    <row r="316" spans="1:64" ht="20.100000000000001" customHeight="1">
      <c r="A316" s="80" t="str">
        <f>Tech!B131</f>
        <v>Thickness</v>
      </c>
      <c r="B316" s="53" t="str">
        <f>Tech!D131</f>
        <v>Right</v>
      </c>
      <c r="C316" s="20"/>
      <c r="F316" s="277"/>
      <c r="G316" s="283" t="s">
        <v>658</v>
      </c>
      <c r="H316" s="284">
        <f>'E Gear B'!EA11</f>
        <v>28.22</v>
      </c>
      <c r="I316" s="284" t="str">
        <f>'E Gear B'!EB11</f>
        <v>3AH775</v>
      </c>
      <c r="J316" s="284">
        <f>'E Gear B'!EC11</f>
        <v>195532</v>
      </c>
      <c r="K316" s="284">
        <f>'E Gear B'!ED11</f>
        <v>29400</v>
      </c>
      <c r="L316" s="284">
        <f>'E Gear B'!EE11</f>
        <v>1100</v>
      </c>
      <c r="M316" s="281"/>
      <c r="O316" s="280" t="s">
        <v>2192</v>
      </c>
      <c r="P316" s="735">
        <f>R316*P298</f>
        <v>80750</v>
      </c>
      <c r="Q316" s="734">
        <f>K302</f>
        <v>26250</v>
      </c>
      <c r="R316" s="275">
        <f>310+13</f>
        <v>323</v>
      </c>
      <c r="S316" s="748">
        <f>155*2+40</f>
        <v>350</v>
      </c>
      <c r="U316" s="19"/>
      <c r="X316" s="19"/>
      <c r="Y316" s="39">
        <v>86.5</v>
      </c>
      <c r="Z316" s="40">
        <v>95.7</v>
      </c>
      <c r="AA316" s="20"/>
      <c r="AB316" s="275">
        <v>355</v>
      </c>
      <c r="AC316" s="275">
        <v>400</v>
      </c>
      <c r="AD316" s="20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</row>
    <row r="317" spans="1:64" ht="20.100000000000001" customHeight="1">
      <c r="A317" s="80"/>
      <c r="B317" s="53"/>
      <c r="C317" s="20"/>
      <c r="F317" s="277"/>
      <c r="G317" s="283" t="s">
        <v>662</v>
      </c>
      <c r="H317" s="284">
        <f>'E Gear B'!EA12</f>
        <v>21.98</v>
      </c>
      <c r="I317" s="284" t="str">
        <f>'E Gear B'!EB12</f>
        <v>3AH825</v>
      </c>
      <c r="J317" s="284">
        <f>'E Gear B'!EC12</f>
        <v>203682</v>
      </c>
      <c r="K317" s="284">
        <f>'E Gear B'!ED12</f>
        <v>33600</v>
      </c>
      <c r="L317" s="284">
        <f>'E Gear B'!EE12</f>
        <v>1400</v>
      </c>
      <c r="M317" s="281"/>
      <c r="O317" s="280" t="s">
        <v>2193</v>
      </c>
      <c r="P317" s="735">
        <f>R317*P298</f>
        <v>86750</v>
      </c>
      <c r="Q317" s="734">
        <f>K302</f>
        <v>26250</v>
      </c>
      <c r="R317" s="275">
        <f>330+17</f>
        <v>347</v>
      </c>
      <c r="S317" s="748">
        <f>173*2+40</f>
        <v>386</v>
      </c>
      <c r="U317" s="19"/>
      <c r="X317" s="19"/>
      <c r="Y317" s="39">
        <v>95.7</v>
      </c>
      <c r="Z317" s="40">
        <v>106</v>
      </c>
      <c r="AA317" s="20"/>
      <c r="AB317" s="275">
        <v>400</v>
      </c>
      <c r="AC317" s="275">
        <v>450</v>
      </c>
      <c r="AD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</row>
    <row r="318" spans="1:64" ht="20.100000000000001" customHeight="1">
      <c r="A318" s="80" t="str">
        <f>Tech!B133</f>
        <v>GB Calculation</v>
      </c>
      <c r="B318" s="53" t="str">
        <f>Tech!D133</f>
        <v>Right</v>
      </c>
      <c r="C318" s="20"/>
      <c r="F318" s="11">
        <f>'E Gear B'!DY13</f>
        <v>3.5877381938691055E-2</v>
      </c>
      <c r="G318" s="895">
        <f>'E Gear B'!DZ13</f>
        <v>120.7</v>
      </c>
      <c r="H318" s="896">
        <f>'E Gear B'!EA13</f>
        <v>22.48</v>
      </c>
      <c r="I318" s="897" t="str">
        <f>'E Gear B'!EB13</f>
        <v>3AH650</v>
      </c>
      <c r="J318" s="898">
        <f>'E Gear B'!EC13</f>
        <v>108150</v>
      </c>
      <c r="K318" s="898">
        <f>'E Gear B'!ED13</f>
        <v>26250</v>
      </c>
      <c r="L318" s="898">
        <f>'E Gear B'!EE13</f>
        <v>700</v>
      </c>
      <c r="M318" s="281"/>
      <c r="O318" s="280" t="s">
        <v>2194</v>
      </c>
      <c r="P318" s="735">
        <f>R318*P298</f>
        <v>100000</v>
      </c>
      <c r="Q318" s="734">
        <f>K302</f>
        <v>26250</v>
      </c>
      <c r="R318" s="275">
        <f>380+20</f>
        <v>400</v>
      </c>
      <c r="S318" s="748">
        <f>180*2+50</f>
        <v>410</v>
      </c>
      <c r="U318" s="19"/>
      <c r="X318" s="19"/>
      <c r="Y318" s="39">
        <v>106</v>
      </c>
      <c r="Z318" s="40">
        <v>117</v>
      </c>
      <c r="AA318" s="20"/>
      <c r="AB318" s="275">
        <v>450</v>
      </c>
      <c r="AC318" s="275">
        <v>500</v>
      </c>
      <c r="AD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</row>
    <row r="319" spans="1:64" ht="20.100000000000001" customHeight="1">
      <c r="A319" s="80"/>
      <c r="B319" s="53"/>
      <c r="C319" s="20"/>
      <c r="F319" s="106"/>
      <c r="O319" s="280" t="s">
        <v>2195</v>
      </c>
      <c r="P319" s="735">
        <f>R319*P298</f>
        <v>129250</v>
      </c>
      <c r="Q319" s="734">
        <f>K302</f>
        <v>26250</v>
      </c>
      <c r="R319" s="275">
        <f>490+27</f>
        <v>517</v>
      </c>
      <c r="S319" s="748">
        <f>203*2+60</f>
        <v>466</v>
      </c>
      <c r="U319" s="19"/>
      <c r="X319" s="19"/>
      <c r="Y319" s="39">
        <v>117</v>
      </c>
      <c r="Z319" s="40">
        <v>130</v>
      </c>
      <c r="AA319" s="20"/>
      <c r="AB319" s="275">
        <v>500</v>
      </c>
      <c r="AC319" s="275">
        <v>560</v>
      </c>
      <c r="AD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</row>
    <row r="320" spans="1:64" ht="20.100000000000001" customHeight="1">
      <c r="A320" s="80" t="str">
        <f>Tech!B135</f>
        <v>GB Selection</v>
      </c>
      <c r="B320" s="53" t="str">
        <f>Tech!D135</f>
        <v>Right</v>
      </c>
      <c r="C320" s="20"/>
      <c r="F320" s="106"/>
      <c r="G320" s="899" t="str">
        <f>'E Gear B'!DZ15</f>
        <v>Anupam : 3177</v>
      </c>
      <c r="H320" s="900" t="str">
        <f>'E Gear B'!EA15</f>
        <v>Upper H.P.</v>
      </c>
      <c r="I320" s="900" t="str">
        <f>'E Gear B'!EB15</f>
        <v>Upper Frame</v>
      </c>
      <c r="J320" s="901" t="str">
        <f>'E Gear B'!EC15</f>
        <v>Pricr of Gear Box</v>
      </c>
      <c r="K320" s="901" t="str">
        <f>'E Gear B'!ED15</f>
        <v>Gear Coupling</v>
      </c>
      <c r="L320" s="901" t="str">
        <f>'E Gear B'!EE15</f>
        <v>Weight OF GB</v>
      </c>
      <c r="M320" s="2" t="str">
        <f>'E Gear B'!EF15</f>
        <v>Right</v>
      </c>
      <c r="O320" s="280" t="s">
        <v>2196</v>
      </c>
      <c r="P320" s="735">
        <f>R320*P298</f>
        <v>166250</v>
      </c>
      <c r="Q320" s="734">
        <f>K302</f>
        <v>26250</v>
      </c>
      <c r="R320" s="275">
        <f>630+35</f>
        <v>665</v>
      </c>
      <c r="S320" s="748">
        <f>215*2+60</f>
        <v>490</v>
      </c>
      <c r="U320" s="19"/>
      <c r="X320" s="19"/>
      <c r="Y320" s="39">
        <v>130</v>
      </c>
      <c r="Z320" s="40">
        <v>144</v>
      </c>
      <c r="AA320" s="20"/>
      <c r="AB320" s="275">
        <v>560</v>
      </c>
      <c r="AC320" s="275">
        <v>630</v>
      </c>
      <c r="AD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</row>
    <row r="321" spans="1:64" ht="20.100000000000001" customHeight="1">
      <c r="A321" s="80"/>
      <c r="B321" s="53"/>
      <c r="C321" s="20"/>
      <c r="F321" s="8"/>
      <c r="G321" s="29" t="s">
        <v>651</v>
      </c>
      <c r="H321" s="285">
        <f>'E Gear B'!EA16</f>
        <v>29.21</v>
      </c>
      <c r="I321" s="285" t="str">
        <f>'E Gear B'!EB16</f>
        <v>3AH650</v>
      </c>
      <c r="J321" s="285">
        <f>'E Gear B'!EC16</f>
        <v>108150</v>
      </c>
      <c r="K321" s="285">
        <f>'E Gear B'!ED16</f>
        <v>26250</v>
      </c>
      <c r="L321" s="285">
        <f>'E Gear B'!EE16</f>
        <v>700</v>
      </c>
      <c r="M321" s="281"/>
      <c r="N321" s="281"/>
      <c r="O321" s="280" t="s">
        <v>2197</v>
      </c>
      <c r="P321" s="735">
        <f>R321*P298</f>
        <v>225000</v>
      </c>
      <c r="Q321" s="734">
        <f>K302</f>
        <v>26250</v>
      </c>
      <c r="R321" s="275">
        <f>850+50</f>
        <v>900</v>
      </c>
      <c r="S321" s="748">
        <f>237*2+80</f>
        <v>554</v>
      </c>
      <c r="U321" s="19"/>
      <c r="X321" s="19"/>
      <c r="Y321" s="39">
        <v>144</v>
      </c>
      <c r="Z321" s="40">
        <v>159</v>
      </c>
      <c r="AA321" s="20"/>
      <c r="AB321" s="275">
        <v>630</v>
      </c>
      <c r="AC321" s="740">
        <v>630</v>
      </c>
      <c r="AD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</row>
    <row r="322" spans="1:64" ht="20.100000000000001" customHeight="1" thickBot="1">
      <c r="A322" s="80" t="str">
        <f>Tech!B137</f>
        <v>Auto GB</v>
      </c>
      <c r="B322" s="53" t="str">
        <f>Tech!D137</f>
        <v>Right</v>
      </c>
      <c r="C322" s="20"/>
      <c r="F322" s="8"/>
      <c r="G322" s="29" t="s">
        <v>654</v>
      </c>
      <c r="H322" s="284">
        <f>'E Gear B'!EA17</f>
        <v>21.09</v>
      </c>
      <c r="I322" s="285" t="str">
        <f>'E Gear B'!EB17</f>
        <v>3AH650</v>
      </c>
      <c r="J322" s="284">
        <f>'E Gear B'!EC17</f>
        <v>108150</v>
      </c>
      <c r="K322" s="284">
        <f>'E Gear B'!ED17</f>
        <v>26250</v>
      </c>
      <c r="L322" s="284">
        <f>'E Gear B'!EE17</f>
        <v>700</v>
      </c>
      <c r="M322" s="281"/>
      <c r="O322" s="280" t="s">
        <v>2198</v>
      </c>
      <c r="P322" s="735">
        <f>R322*P298</f>
        <v>305000</v>
      </c>
      <c r="Q322" s="734">
        <f>K302</f>
        <v>26250</v>
      </c>
      <c r="R322" s="275">
        <f>1150+70</f>
        <v>1220</v>
      </c>
      <c r="S322" s="748">
        <f>256*2+80</f>
        <v>592</v>
      </c>
      <c r="U322" s="19"/>
      <c r="V322" s="19"/>
      <c r="W322" s="19"/>
      <c r="X322" s="19"/>
      <c r="Y322" s="39">
        <v>159</v>
      </c>
      <c r="Z322" s="40">
        <v>176</v>
      </c>
      <c r="AA322" s="19"/>
      <c r="AB322" s="773"/>
      <c r="AC322" s="282"/>
      <c r="AD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</row>
    <row r="323" spans="1:64" ht="20.100000000000001" customHeight="1" thickBot="1">
      <c r="A323" s="80"/>
      <c r="B323" s="53"/>
      <c r="C323" s="20"/>
      <c r="F323" s="12"/>
      <c r="G323" s="29" t="s">
        <v>658</v>
      </c>
      <c r="H323" s="284">
        <f>'E Gear B'!EA18</f>
        <v>26.52</v>
      </c>
      <c r="I323" s="285" t="str">
        <f>'E Gear B'!EB18</f>
        <v>3AH775</v>
      </c>
      <c r="J323" s="284">
        <f>'E Gear B'!EC18</f>
        <v>195532</v>
      </c>
      <c r="K323" s="284">
        <f>'E Gear B'!ED18</f>
        <v>29400</v>
      </c>
      <c r="L323" s="284">
        <f>'E Gear B'!EE18</f>
        <v>1100</v>
      </c>
      <c r="M323" s="281"/>
      <c r="O323" s="280" t="s">
        <v>2199</v>
      </c>
      <c r="P323" s="735">
        <f>R323*P298</f>
        <v>406250</v>
      </c>
      <c r="Q323" s="734">
        <f>K302</f>
        <v>26250</v>
      </c>
      <c r="R323" s="275">
        <f>1525+100</f>
        <v>1625</v>
      </c>
      <c r="S323" s="748">
        <f>286*2+110</f>
        <v>682</v>
      </c>
      <c r="U323" s="19"/>
      <c r="V323" s="19"/>
      <c r="W323" s="19"/>
      <c r="X323" s="19"/>
      <c r="Y323" s="39">
        <v>176</v>
      </c>
      <c r="Z323" s="40">
        <v>195</v>
      </c>
      <c r="AA323" s="19"/>
      <c r="AB323" s="769">
        <f>VLOOKUP(J279,AB287:AB321,1)</f>
        <v>125</v>
      </c>
      <c r="AC323" s="770">
        <f>VLOOKUP(AB323,AB287:AC321,2,0)</f>
        <v>140</v>
      </c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</row>
    <row r="324" spans="1:64" ht="20.100000000000001" customHeight="1">
      <c r="A324" s="80" t="str">
        <f>Tech!B139</f>
        <v>Gear Box Sheet</v>
      </c>
      <c r="B324" s="53" t="e">
        <f>Tech!D139</f>
        <v>#N/A</v>
      </c>
      <c r="C324" s="20"/>
      <c r="F324" s="8"/>
      <c r="G324" s="29" t="s">
        <v>662</v>
      </c>
      <c r="H324" s="284">
        <f>'E Gear B'!EA19</f>
        <v>20.69</v>
      </c>
      <c r="I324" s="285" t="str">
        <f>'E Gear B'!EB19</f>
        <v>3AH825</v>
      </c>
      <c r="J324" s="284">
        <f>'E Gear B'!EC19</f>
        <v>203682</v>
      </c>
      <c r="K324" s="284">
        <f>'E Gear B'!ED19</f>
        <v>33600</v>
      </c>
      <c r="L324" s="284">
        <f>'E Gear B'!EE19</f>
        <v>1400</v>
      </c>
      <c r="M324" s="281"/>
      <c r="O324" s="280" t="s">
        <v>2200</v>
      </c>
      <c r="P324" s="735">
        <f>R324*P298</f>
        <v>555000</v>
      </c>
      <c r="Q324" s="734">
        <f>K302</f>
        <v>26250</v>
      </c>
      <c r="R324" s="275">
        <f>2080+140</f>
        <v>2220</v>
      </c>
      <c r="S324" s="748">
        <f>320*2+110</f>
        <v>750</v>
      </c>
      <c r="U324" s="19"/>
      <c r="V324" s="20"/>
      <c r="W324" s="20"/>
      <c r="X324" s="20"/>
      <c r="Y324" s="39">
        <v>195</v>
      </c>
      <c r="Z324" s="40">
        <v>215</v>
      </c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</row>
    <row r="325" spans="1:64" ht="20.100000000000001" customHeight="1">
      <c r="A325" s="80"/>
      <c r="B325" s="53"/>
      <c r="C325" s="20"/>
      <c r="F325" s="11">
        <f>'E Gear B'!DY20</f>
        <v>3.674576271186436E-2</v>
      </c>
      <c r="G325" s="895">
        <f>'E Gear B'!DZ20</f>
        <v>129.80000000000001</v>
      </c>
      <c r="H325" s="896">
        <f>'E Gear B'!EA20</f>
        <v>21.09</v>
      </c>
      <c r="I325" s="897" t="str">
        <f>'E Gear B'!EB20</f>
        <v>3AH650</v>
      </c>
      <c r="J325" s="898">
        <f>'E Gear B'!EC20</f>
        <v>108150</v>
      </c>
      <c r="K325" s="898">
        <f>'E Gear B'!ED20</f>
        <v>26250</v>
      </c>
      <c r="L325" s="898">
        <f>'E Gear B'!EE20</f>
        <v>700</v>
      </c>
      <c r="M325" s="281"/>
      <c r="O325" s="280" t="s">
        <v>2201</v>
      </c>
      <c r="P325" s="735">
        <f>R325*P298</f>
        <v>761250</v>
      </c>
      <c r="Q325" s="734">
        <f>K302</f>
        <v>26250</v>
      </c>
      <c r="R325" s="275">
        <f>2840+205</f>
        <v>3045</v>
      </c>
      <c r="S325" s="748">
        <f>360*2+110</f>
        <v>830</v>
      </c>
      <c r="Y325" s="39">
        <v>215</v>
      </c>
      <c r="Z325" s="40">
        <v>238</v>
      </c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</row>
    <row r="326" spans="1:64" ht="20.100000000000001" customHeight="1">
      <c r="A326" s="80" t="str">
        <f>Tech!B141</f>
        <v>New</v>
      </c>
      <c r="B326" s="53" t="str">
        <f>Tech!D141</f>
        <v>Right</v>
      </c>
      <c r="F326" s="106"/>
      <c r="O326" s="280" t="s">
        <v>2202</v>
      </c>
      <c r="P326" s="735">
        <f>R326*P298</f>
        <v>1048750</v>
      </c>
      <c r="Q326" s="734">
        <f>K302</f>
        <v>26250</v>
      </c>
      <c r="R326" s="275">
        <f>3780+415</f>
        <v>4195</v>
      </c>
      <c r="S326" s="748">
        <f>410*2+140</f>
        <v>960</v>
      </c>
      <c r="Y326" s="39">
        <v>238</v>
      </c>
      <c r="Z326" s="40">
        <v>264</v>
      </c>
    </row>
    <row r="327" spans="1:64" ht="20.100000000000001" customHeight="1">
      <c r="A327" s="80"/>
      <c r="B327" s="53"/>
      <c r="F327" s="8"/>
      <c r="G327" s="902" t="str">
        <f>'E Gear B'!DZ22</f>
        <v xml:space="preserve">Premium Ratio  : </v>
      </c>
      <c r="H327" s="778" t="str">
        <f>'E Gear B'!EA22</f>
        <v xml:space="preserve"> H.P.</v>
      </c>
      <c r="I327" s="778" t="str">
        <f>'E Gear B'!EB22</f>
        <v xml:space="preserve"> Frame</v>
      </c>
      <c r="J327" s="894" t="str">
        <f>'E Gear B'!EC22</f>
        <v>Pricr of Gear Box</v>
      </c>
      <c r="K327" s="778" t="str">
        <f>'E Gear B'!ED22</f>
        <v>Gear Coupling (Acc. Anupam &amp; Class)</v>
      </c>
      <c r="L327" s="894" t="str">
        <f>'E Gear B'!EE22</f>
        <v>Weight OF GB</v>
      </c>
      <c r="M327" s="3" t="str">
        <f>'E Gear B'!EF22</f>
        <v>Right</v>
      </c>
      <c r="O327" s="280" t="s">
        <v>2203</v>
      </c>
      <c r="P327" s="735">
        <f>R327*P298</f>
        <v>1412500</v>
      </c>
      <c r="Q327" s="734">
        <f>K302</f>
        <v>26250</v>
      </c>
      <c r="R327" s="280">
        <f>5100+550</f>
        <v>5650</v>
      </c>
      <c r="S327" s="15">
        <f>435*2+140</f>
        <v>1010</v>
      </c>
      <c r="Y327" s="39">
        <v>264</v>
      </c>
      <c r="Z327" s="40">
        <v>292</v>
      </c>
    </row>
    <row r="328" spans="1:64" ht="20.100000000000001" customHeight="1">
      <c r="A328" s="80" t="str">
        <f>Tech!B143</f>
        <v>New</v>
      </c>
      <c r="B328" s="53" t="str">
        <f>Tech!D143</f>
        <v>Right</v>
      </c>
      <c r="F328" s="11">
        <f>'E Gear B'!DY23</f>
        <v>6.8635897435897597E-2</v>
      </c>
      <c r="G328" s="763">
        <f>'E Gear B'!DZ23</f>
        <v>117</v>
      </c>
      <c r="H328" s="285">
        <f>'E Gear B'!EA23</f>
        <v>29.3</v>
      </c>
      <c r="I328" s="285" t="str">
        <f>'E Gear B'!EB23</f>
        <v>PCD3 280</v>
      </c>
      <c r="J328" s="285">
        <f>'E Gear B'!EC23</f>
        <v>225000</v>
      </c>
      <c r="K328" s="285">
        <f>'E Gear B'!ED23</f>
        <v>29400</v>
      </c>
      <c r="L328" s="285">
        <f>'E Gear B'!EE23</f>
        <v>900</v>
      </c>
      <c r="M328" s="281"/>
      <c r="O328" s="735" t="s">
        <v>2204</v>
      </c>
      <c r="P328" s="735">
        <f>R328*P298</f>
        <v>1931250</v>
      </c>
      <c r="Q328" s="734">
        <f>K302</f>
        <v>26250</v>
      </c>
      <c r="R328" s="280">
        <f>6900+825</f>
        <v>7725</v>
      </c>
      <c r="S328" s="15">
        <f>480*2+170</f>
        <v>1130</v>
      </c>
      <c r="Y328" s="39">
        <v>292</v>
      </c>
      <c r="Z328" s="40">
        <v>323</v>
      </c>
    </row>
    <row r="329" spans="1:64" ht="20.100000000000001" customHeight="1">
      <c r="A329" s="80"/>
      <c r="B329" s="53"/>
      <c r="F329" s="11">
        <f>'E Gear B'!DY24</f>
        <v>3.8227692307692185E-2</v>
      </c>
      <c r="G329" s="763">
        <f>'E Gear B'!DZ24</f>
        <v>130</v>
      </c>
      <c r="H329" s="285">
        <f>'E Gear B'!EA24</f>
        <v>21</v>
      </c>
      <c r="I329" s="285" t="str">
        <f>'E Gear B'!EB24</f>
        <v>PCD3 280</v>
      </c>
      <c r="J329" s="285">
        <f>'E Gear B'!EC24</f>
        <v>225000</v>
      </c>
      <c r="K329" s="285">
        <f>'E Gear B'!ED24</f>
        <v>29400</v>
      </c>
      <c r="L329" s="285">
        <f>'E Gear B'!EE24</f>
        <v>900</v>
      </c>
      <c r="M329" s="281"/>
      <c r="O329" s="277"/>
      <c r="P329" s="277"/>
      <c r="Q329" s="277"/>
      <c r="R329" s="277"/>
      <c r="S329" s="775"/>
      <c r="Y329" s="39">
        <v>323</v>
      </c>
      <c r="Z329" s="40">
        <v>358</v>
      </c>
    </row>
    <row r="330" spans="1:64" ht="20.100000000000001" customHeight="1">
      <c r="A330" s="80" t="str">
        <f>Tech!B145</f>
        <v>New</v>
      </c>
      <c r="B330" s="53" t="str">
        <f>Tech!D145</f>
        <v>Right</v>
      </c>
      <c r="F330" s="11"/>
      <c r="G330" s="281">
        <f>'E Gear B'!DZ25</f>
        <v>0</v>
      </c>
      <c r="H330" s="281">
        <f>'E Gear B'!EA25</f>
        <v>0</v>
      </c>
      <c r="I330" s="281">
        <f>'E Gear B'!EB25</f>
        <v>0</v>
      </c>
      <c r="J330" s="281">
        <f>'E Gear B'!EC25</f>
        <v>0</v>
      </c>
      <c r="K330" s="281">
        <f>'E Gear B'!ED25</f>
        <v>0</v>
      </c>
      <c r="L330" s="281">
        <f>'E Gear B'!EE25</f>
        <v>0</v>
      </c>
      <c r="M330" s="281"/>
      <c r="O330" s="749" t="s">
        <v>2205</v>
      </c>
      <c r="P330" s="750">
        <f>+L293</f>
        <v>250</v>
      </c>
      <c r="Q330" s="751" t="s">
        <v>675</v>
      </c>
      <c r="R330" s="278" t="s">
        <v>695</v>
      </c>
      <c r="S330" s="776"/>
      <c r="Y330" s="39">
        <v>358</v>
      </c>
      <c r="Z330" s="40">
        <v>396</v>
      </c>
    </row>
    <row r="331" spans="1:64" ht="20.100000000000001" customHeight="1">
      <c r="F331" s="11"/>
      <c r="G331" s="902" t="str">
        <f>'E Gear B'!DZ26</f>
        <v xml:space="preserve">Elecon Ratio  : </v>
      </c>
      <c r="H331" s="778" t="str">
        <f>'E Gear B'!EA26</f>
        <v xml:space="preserve"> H.P.</v>
      </c>
      <c r="I331" s="778" t="str">
        <f>'E Gear B'!EB26</f>
        <v xml:space="preserve"> Frame</v>
      </c>
      <c r="J331" s="894" t="str">
        <f>'E Gear B'!EC26</f>
        <v>Pricr of Gear Box</v>
      </c>
      <c r="K331" s="778" t="str">
        <f>'E Gear B'!ED26</f>
        <v>Gear Coupling (Acc. Anupam &amp; Class)</v>
      </c>
      <c r="L331" s="894" t="str">
        <f>'E Gear B'!EE26</f>
        <v>Weight OF GB</v>
      </c>
      <c r="M331" s="3" t="str">
        <f>'E Gear B'!EF26</f>
        <v>Right</v>
      </c>
      <c r="O331" s="735" t="s">
        <v>696</v>
      </c>
      <c r="P331" s="735">
        <f>R331*P330</f>
        <v>42000</v>
      </c>
      <c r="Q331" s="734">
        <f>K302</f>
        <v>26250</v>
      </c>
      <c r="R331" s="275">
        <f>160+8</f>
        <v>168</v>
      </c>
      <c r="S331" s="748" t="s">
        <v>2298</v>
      </c>
      <c r="Y331" s="39">
        <v>396</v>
      </c>
      <c r="Z331" s="40">
        <v>438</v>
      </c>
    </row>
    <row r="332" spans="1:64" ht="20.100000000000001" customHeight="1">
      <c r="F332" s="11">
        <f>'E Gear B'!DY27</f>
        <v>2.4320000000010999E-4</v>
      </c>
      <c r="G332" s="763">
        <f>'E Gear B'!DZ27</f>
        <v>125</v>
      </c>
      <c r="H332" s="285">
        <f>'E Gear B'!EA27</f>
        <v>23</v>
      </c>
      <c r="I332" s="285" t="str">
        <f>'E Gear B'!EB27</f>
        <v>SDN 280</v>
      </c>
      <c r="J332" s="285">
        <f>'E Gear B'!EC27</f>
        <v>189750</v>
      </c>
      <c r="K332" s="285">
        <f>'E Gear B'!ED27</f>
        <v>29400</v>
      </c>
      <c r="L332" s="285">
        <f>'E Gear B'!EE27</f>
        <v>759</v>
      </c>
      <c r="M332" s="281"/>
      <c r="O332" s="735" t="s">
        <v>697</v>
      </c>
      <c r="P332" s="735">
        <f>R332*P330</f>
        <v>56250</v>
      </c>
      <c r="Q332" s="734">
        <f>K302</f>
        <v>26250</v>
      </c>
      <c r="R332" s="275">
        <f>215+10</f>
        <v>225</v>
      </c>
      <c r="S332" s="748" t="s">
        <v>2299</v>
      </c>
      <c r="Y332" s="39">
        <v>438</v>
      </c>
      <c r="Z332" s="40">
        <v>485</v>
      </c>
    </row>
    <row r="333" spans="1:64" ht="20.100000000000001" customHeight="1">
      <c r="F333" s="11">
        <f>'E Gear B'!DY28</f>
        <v>0.10692571428571418</v>
      </c>
      <c r="G333" s="763">
        <f>'E Gear B'!DZ28</f>
        <v>140</v>
      </c>
      <c r="H333" s="285">
        <f>'E Gear B'!EA28</f>
        <v>21</v>
      </c>
      <c r="I333" s="285" t="str">
        <f>'E Gear B'!EB28</f>
        <v>SDN 280</v>
      </c>
      <c r="J333" s="285">
        <f>'E Gear B'!EC28</f>
        <v>189750</v>
      </c>
      <c r="K333" s="285">
        <f>'E Gear B'!ED28</f>
        <v>29400</v>
      </c>
      <c r="L333" s="285">
        <f>'E Gear B'!EE28</f>
        <v>759</v>
      </c>
      <c r="M333" s="281"/>
      <c r="O333" s="735" t="s">
        <v>2206</v>
      </c>
      <c r="P333" s="735">
        <f>R333*P330</f>
        <v>77250</v>
      </c>
      <c r="Q333" s="734">
        <f>K302</f>
        <v>26250</v>
      </c>
      <c r="R333" s="275">
        <f>295+14</f>
        <v>309</v>
      </c>
      <c r="S333" s="748" t="s">
        <v>2300</v>
      </c>
      <c r="Y333" s="39">
        <v>485</v>
      </c>
      <c r="Z333" s="40">
        <v>536</v>
      </c>
    </row>
    <row r="334" spans="1:64" ht="20.100000000000001" customHeight="1">
      <c r="F334" s="106"/>
      <c r="O334" s="735" t="s">
        <v>2207</v>
      </c>
      <c r="P334" s="735">
        <f>R334*P330</f>
        <v>106750</v>
      </c>
      <c r="Q334" s="734">
        <f>K302</f>
        <v>26250</v>
      </c>
      <c r="R334" s="275">
        <f>405+22</f>
        <v>427</v>
      </c>
      <c r="S334" s="748" t="s">
        <v>2301</v>
      </c>
      <c r="Y334" s="39">
        <v>536</v>
      </c>
      <c r="Z334" s="40">
        <v>594</v>
      </c>
    </row>
    <row r="335" spans="1:64" ht="20.100000000000001" customHeight="1">
      <c r="O335" s="735" t="s">
        <v>2208</v>
      </c>
      <c r="P335" s="735">
        <f>R335*P330</f>
        <v>142000</v>
      </c>
      <c r="Q335" s="734">
        <f>K302</f>
        <v>26250</v>
      </c>
      <c r="R335" s="275">
        <f>540+28</f>
        <v>568</v>
      </c>
      <c r="S335" s="748" t="s">
        <v>2302</v>
      </c>
      <c r="Y335" s="39">
        <v>594</v>
      </c>
      <c r="Z335" s="40">
        <v>657</v>
      </c>
    </row>
    <row r="336" spans="1:64" ht="20.100000000000001" customHeight="1" thickBot="1">
      <c r="F336" s="277"/>
      <c r="G336" s="777" t="str">
        <f>'E Gear B'!DZ31</f>
        <v>Anupam : 4137</v>
      </c>
      <c r="H336" s="778" t="str">
        <f>'E Gear B'!EA31</f>
        <v>Lower H.P.</v>
      </c>
      <c r="I336" s="779" t="str">
        <f>'E Gear B'!EB31</f>
        <v>Lower Frame</v>
      </c>
      <c r="J336" s="779" t="str">
        <f>'E Gear B'!EC31</f>
        <v>Pricr of Gear Box</v>
      </c>
      <c r="K336" s="779" t="str">
        <f>'E Gear B'!ED31</f>
        <v>Gear Coupling</v>
      </c>
      <c r="L336" s="779" t="str">
        <f>'E Gear B'!EE31</f>
        <v>Weight OF GB</v>
      </c>
      <c r="M336" s="3" t="str">
        <f>'E Gear B'!EF31</f>
        <v>Right</v>
      </c>
      <c r="O336" s="735" t="s">
        <v>2209</v>
      </c>
      <c r="P336" s="735">
        <f>R336*P330</f>
        <v>189750</v>
      </c>
      <c r="Q336" s="734">
        <f>K302</f>
        <v>26250</v>
      </c>
      <c r="R336" s="275">
        <f>720+39</f>
        <v>759</v>
      </c>
      <c r="S336" s="748" t="s">
        <v>2303</v>
      </c>
      <c r="Y336" s="767">
        <v>117</v>
      </c>
      <c r="Z336" s="768">
        <v>130</v>
      </c>
    </row>
    <row r="337" spans="6:26" ht="20.100000000000001" customHeight="1" thickBot="1">
      <c r="F337" s="277"/>
      <c r="G337" s="283" t="str">
        <f>'E Gear B'!DZ32</f>
        <v>Class I</v>
      </c>
      <c r="H337" s="284">
        <f>'E Gear B'!EA32</f>
        <v>0</v>
      </c>
      <c r="I337" s="284">
        <f>'E Gear B'!EB32</f>
        <v>0</v>
      </c>
      <c r="J337" s="284">
        <f>'E Gear B'!EC32</f>
        <v>0</v>
      </c>
      <c r="K337" s="284">
        <f>'E Gear B'!ED32</f>
        <v>0</v>
      </c>
      <c r="L337" s="284">
        <f>'E Gear B'!EE32</f>
        <v>0</v>
      </c>
      <c r="M337" s="281"/>
      <c r="O337" s="735" t="s">
        <v>2210</v>
      </c>
      <c r="P337" s="735">
        <f>R337*P330</f>
        <v>256500</v>
      </c>
      <c r="Q337" s="734">
        <f>K302</f>
        <v>26250</v>
      </c>
      <c r="R337" s="275">
        <f>970+56</f>
        <v>1026</v>
      </c>
      <c r="S337" s="748" t="s">
        <v>2304</v>
      </c>
      <c r="Y337" s="769">
        <f>VLOOKUP(J279,Y288:Y336,1)</f>
        <v>117</v>
      </c>
      <c r="Z337" s="770">
        <f>VLOOKUP(Y337,Y288:Z336,2,0)</f>
        <v>130</v>
      </c>
    </row>
    <row r="338" spans="6:26" ht="20.100000000000001" customHeight="1">
      <c r="F338" s="277"/>
      <c r="G338" s="283" t="str">
        <f>'E Gear B'!DZ33</f>
        <v>Class II</v>
      </c>
      <c r="H338" s="284">
        <f>'E Gear B'!EA33</f>
        <v>22.09</v>
      </c>
      <c r="I338" s="284" t="str">
        <f>'E Gear B'!EB33</f>
        <v>3AH775</v>
      </c>
      <c r="J338" s="284">
        <f>'E Gear B'!EC33</f>
        <v>195532</v>
      </c>
      <c r="K338" s="284">
        <f>'E Gear B'!ED33</f>
        <v>29400</v>
      </c>
      <c r="L338" s="284">
        <f>'E Gear B'!EE33</f>
        <v>1100</v>
      </c>
      <c r="M338" s="281"/>
      <c r="O338" s="735" t="s">
        <v>2211</v>
      </c>
      <c r="P338" s="735">
        <f>R338*P330</f>
        <v>345000</v>
      </c>
      <c r="Q338" s="734">
        <f>K302</f>
        <v>26250</v>
      </c>
      <c r="R338" s="275">
        <f>1300+80</f>
        <v>1380</v>
      </c>
      <c r="S338" s="748" t="s">
        <v>2305</v>
      </c>
    </row>
    <row r="339" spans="6:26" ht="20.100000000000001" customHeight="1">
      <c r="F339" s="277"/>
      <c r="G339" s="283" t="str">
        <f>'E Gear B'!DZ34</f>
        <v>Class III</v>
      </c>
      <c r="H339" s="284">
        <f>'E Gear B'!EA34</f>
        <v>22.47</v>
      </c>
      <c r="I339" s="284" t="str">
        <f>'E Gear B'!EB34</f>
        <v>3AH825</v>
      </c>
      <c r="J339" s="284">
        <f>'E Gear B'!EC34</f>
        <v>203682</v>
      </c>
      <c r="K339" s="284">
        <f>'E Gear B'!ED34</f>
        <v>33600</v>
      </c>
      <c r="L339" s="284">
        <f>'E Gear B'!EE34</f>
        <v>1400</v>
      </c>
      <c r="M339" s="281"/>
      <c r="O339" s="735" t="s">
        <v>2212</v>
      </c>
      <c r="P339" s="735">
        <f>R339*P330</f>
        <v>471250</v>
      </c>
      <c r="Q339" s="734">
        <f>K302</f>
        <v>26250</v>
      </c>
      <c r="R339" s="275">
        <f>1770+115</f>
        <v>1885</v>
      </c>
      <c r="S339" s="748" t="s">
        <v>2306</v>
      </c>
    </row>
    <row r="340" spans="6:26" ht="20.100000000000001" customHeight="1">
      <c r="F340" s="277"/>
      <c r="G340" s="283" t="str">
        <f>'E Gear B'!DZ35</f>
        <v>Class IV</v>
      </c>
      <c r="H340" s="284">
        <f>'E Gear B'!EA35</f>
        <v>25.46</v>
      </c>
      <c r="I340" s="284" t="str">
        <f>'E Gear B'!EB35</f>
        <v>3AH950</v>
      </c>
      <c r="J340" s="284">
        <f>'E Gear B'!EC35</f>
        <v>321637</v>
      </c>
      <c r="K340" s="284">
        <f>'E Gear B'!ED35</f>
        <v>36750</v>
      </c>
      <c r="L340" s="284">
        <f>'E Gear B'!EE35</f>
        <v>2200</v>
      </c>
      <c r="M340" s="281"/>
      <c r="O340" s="735" t="s">
        <v>2213</v>
      </c>
      <c r="P340" s="735">
        <f>R340*P330</f>
        <v>628750</v>
      </c>
      <c r="Q340" s="734">
        <f>K302</f>
        <v>26250</v>
      </c>
      <c r="R340" s="275">
        <f>2350+165</f>
        <v>2515</v>
      </c>
      <c r="S340" s="748" t="s">
        <v>2307</v>
      </c>
    </row>
    <row r="341" spans="6:26" ht="20.100000000000001" customHeight="1">
      <c r="F341" s="11">
        <f>'E Gear B'!DY36</f>
        <v>3.5877381938691055E-2</v>
      </c>
      <c r="G341" s="780">
        <f>'E Gear B'!DZ36</f>
        <v>120.7</v>
      </c>
      <c r="H341" s="780">
        <f>'E Gear B'!EA36</f>
        <v>22.09</v>
      </c>
      <c r="I341" s="780" t="str">
        <f>'E Gear B'!EB36</f>
        <v>3AH775</v>
      </c>
      <c r="J341" s="780">
        <f>'E Gear B'!EC36</f>
        <v>195532</v>
      </c>
      <c r="K341" s="780">
        <f>'E Gear B'!ED36</f>
        <v>29400</v>
      </c>
      <c r="L341" s="780">
        <f>'E Gear B'!EE36</f>
        <v>1100</v>
      </c>
      <c r="M341" s="281"/>
      <c r="O341" s="735" t="s">
        <v>2214</v>
      </c>
      <c r="P341" s="735">
        <f>R341*P330</f>
        <v>1017500</v>
      </c>
      <c r="Q341" s="734">
        <f>K302</f>
        <v>26250</v>
      </c>
      <c r="R341" s="275">
        <f>3850+220</f>
        <v>4070</v>
      </c>
      <c r="S341" s="748" t="s">
        <v>2308</v>
      </c>
    </row>
    <row r="342" spans="6:26" ht="20.100000000000001" customHeight="1">
      <c r="F342" s="277"/>
      <c r="G342" s="277"/>
      <c r="H342" s="277"/>
      <c r="I342" s="277"/>
      <c r="J342" s="277"/>
      <c r="K342" s="277"/>
      <c r="L342" s="277"/>
      <c r="M342" s="277"/>
      <c r="O342" s="735" t="s">
        <v>2215</v>
      </c>
      <c r="P342" s="735">
        <f>R342*P330</f>
        <v>1402500</v>
      </c>
      <c r="Q342" s="734">
        <f>K302</f>
        <v>26250</v>
      </c>
      <c r="R342" s="275">
        <f>5300+310</f>
        <v>5610</v>
      </c>
      <c r="S342" s="748" t="s">
        <v>2309</v>
      </c>
    </row>
    <row r="343" spans="6:26" ht="20.100000000000001" customHeight="1">
      <c r="F343" s="277"/>
      <c r="G343" s="777" t="str">
        <f>'E Gear B'!DZ38</f>
        <v>Anupam : 4137</v>
      </c>
      <c r="H343" s="778" t="str">
        <f>'E Gear B'!EA38</f>
        <v>Upper H.P.</v>
      </c>
      <c r="I343" s="778" t="str">
        <f>'E Gear B'!EB38</f>
        <v>Upper Frame</v>
      </c>
      <c r="J343" s="779" t="str">
        <f>'E Gear B'!EC38</f>
        <v>Pricr of Gear Box</v>
      </c>
      <c r="K343" s="779" t="str">
        <f>'E Gear B'!ED38</f>
        <v>Gear Coupling</v>
      </c>
      <c r="L343" s="779" t="str">
        <f>'E Gear B'!EE38</f>
        <v>Weight OF GB</v>
      </c>
      <c r="M343" s="2" t="str">
        <f>'E Gear B'!EF38</f>
        <v>Right</v>
      </c>
      <c r="O343" s="735" t="s">
        <v>2216</v>
      </c>
      <c r="P343" s="735">
        <f>R343*P330</f>
        <v>1925000</v>
      </c>
      <c r="Q343" s="734">
        <f>K302</f>
        <v>26250</v>
      </c>
      <c r="R343" s="275">
        <f>7250+450</f>
        <v>7700</v>
      </c>
      <c r="S343" s="748" t="s">
        <v>2310</v>
      </c>
    </row>
    <row r="344" spans="6:26" ht="20.100000000000001" customHeight="1">
      <c r="F344" s="8"/>
      <c r="G344" s="283" t="str">
        <f>'E Gear B'!DZ39</f>
        <v>Class I</v>
      </c>
      <c r="H344" s="285">
        <f>'E Gear B'!EA39</f>
        <v>0</v>
      </c>
      <c r="I344" s="285">
        <f>'E Gear B'!EB39</f>
        <v>0</v>
      </c>
      <c r="J344" s="285">
        <f>'E Gear B'!EC39</f>
        <v>0</v>
      </c>
      <c r="K344" s="285">
        <f>'E Gear B'!ED39</f>
        <v>0</v>
      </c>
      <c r="L344" s="285">
        <f>'E Gear B'!EE39</f>
        <v>0</v>
      </c>
      <c r="M344" s="281"/>
      <c r="O344" s="735" t="s">
        <v>2217</v>
      </c>
      <c r="P344" s="735">
        <f>R344*P330</f>
        <v>2692500</v>
      </c>
      <c r="Q344" s="734">
        <f>K302</f>
        <v>26250</v>
      </c>
      <c r="R344" s="275">
        <f>10100+670</f>
        <v>10770</v>
      </c>
      <c r="S344" s="748">
        <v>710</v>
      </c>
    </row>
    <row r="345" spans="6:26" ht="20.100000000000001" customHeight="1">
      <c r="F345" s="277"/>
      <c r="G345" s="283" t="str">
        <f>'E Gear B'!DZ40</f>
        <v>Class II</v>
      </c>
      <c r="H345" s="285">
        <f>'E Gear B'!EA40</f>
        <v>20.74</v>
      </c>
      <c r="I345" s="285" t="str">
        <f>'E Gear B'!EB40</f>
        <v>3AH775</v>
      </c>
      <c r="J345" s="284">
        <f>'E Gear B'!EC40</f>
        <v>195532</v>
      </c>
      <c r="K345" s="284">
        <f>'E Gear B'!ED40</f>
        <v>29400</v>
      </c>
      <c r="L345" s="284">
        <f>'E Gear B'!EE40</f>
        <v>1100</v>
      </c>
      <c r="M345" s="281"/>
      <c r="O345" s="280" t="s">
        <v>2218</v>
      </c>
      <c r="P345" s="280">
        <f>R345*P330</f>
        <v>3750000</v>
      </c>
      <c r="Q345" s="734">
        <f>K302</f>
        <v>26250</v>
      </c>
      <c r="R345" s="280">
        <f>14100+900</f>
        <v>15000</v>
      </c>
      <c r="S345" s="15">
        <v>800</v>
      </c>
    </row>
    <row r="346" spans="6:26" ht="20.100000000000001" customHeight="1">
      <c r="F346" s="286"/>
      <c r="G346" s="283" t="str">
        <f>'E Gear B'!DZ41</f>
        <v>Class III</v>
      </c>
      <c r="H346" s="285">
        <f>'E Gear B'!EA41</f>
        <v>21.2</v>
      </c>
      <c r="I346" s="285" t="str">
        <f>'E Gear B'!EB41</f>
        <v>3AH825</v>
      </c>
      <c r="J346" s="284">
        <f>'E Gear B'!EC41</f>
        <v>203682</v>
      </c>
      <c r="K346" s="284">
        <f>'E Gear B'!ED41</f>
        <v>33600</v>
      </c>
      <c r="L346" s="284">
        <f>'E Gear B'!EE41</f>
        <v>1400</v>
      </c>
      <c r="M346" s="281"/>
      <c r="O346" s="280" t="s">
        <v>2219</v>
      </c>
      <c r="P346" s="280"/>
      <c r="Q346" s="280"/>
      <c r="R346" s="280"/>
      <c r="S346" s="280"/>
    </row>
    <row r="347" spans="6:26" ht="20.100000000000001" customHeight="1">
      <c r="F347" s="277"/>
      <c r="G347" s="283" t="str">
        <f>'E Gear B'!DZ42</f>
        <v>Class IV</v>
      </c>
      <c r="H347" s="285">
        <f>'E Gear B'!EA42</f>
        <v>23.38</v>
      </c>
      <c r="I347" s="285" t="str">
        <f>'E Gear B'!EB42</f>
        <v>3AH950</v>
      </c>
      <c r="J347" s="284">
        <f>'E Gear B'!EC42</f>
        <v>321637</v>
      </c>
      <c r="K347" s="284">
        <f>'E Gear B'!ED42</f>
        <v>36750</v>
      </c>
      <c r="L347" s="284">
        <f>'E Gear B'!EE42</f>
        <v>2200</v>
      </c>
      <c r="M347" s="281"/>
      <c r="O347" s="280" t="s">
        <v>2220</v>
      </c>
      <c r="P347" s="280">
        <f>R347*P330</f>
        <v>106750</v>
      </c>
      <c r="Q347" s="734">
        <f>K302</f>
        <v>26250</v>
      </c>
      <c r="R347" s="275">
        <f>405+22</f>
        <v>427</v>
      </c>
      <c r="S347" s="15">
        <f>20+225</f>
        <v>245</v>
      </c>
    </row>
    <row r="348" spans="6:26" ht="20.100000000000001" customHeight="1">
      <c r="F348" s="11">
        <f>'E Gear B'!DY43</f>
        <v>3.674576271186436E-2</v>
      </c>
      <c r="G348" s="780">
        <f>'E Gear B'!DZ43</f>
        <v>129.80000000000001</v>
      </c>
      <c r="H348" s="780">
        <f>'E Gear B'!EA43</f>
        <v>20.74</v>
      </c>
      <c r="I348" s="780" t="str">
        <f>'E Gear B'!EB43</f>
        <v>3AH775</v>
      </c>
      <c r="J348" s="780">
        <f>'E Gear B'!EC43</f>
        <v>195532</v>
      </c>
      <c r="K348" s="780">
        <f>'E Gear B'!ED43</f>
        <v>29400</v>
      </c>
      <c r="L348" s="780">
        <f>'E Gear B'!EE43</f>
        <v>1100</v>
      </c>
      <c r="M348" s="281"/>
      <c r="O348" s="280" t="s">
        <v>2221</v>
      </c>
      <c r="P348" s="280">
        <f>R348*P330</f>
        <v>142000</v>
      </c>
      <c r="Q348" s="734">
        <f>K302</f>
        <v>26250</v>
      </c>
      <c r="R348" s="275">
        <f>540+28</f>
        <v>568</v>
      </c>
      <c r="S348" s="15">
        <f>30+250</f>
        <v>280</v>
      </c>
    </row>
    <row r="349" spans="6:26" ht="20.100000000000001" customHeight="1">
      <c r="O349" s="280" t="s">
        <v>2222</v>
      </c>
      <c r="P349" s="280">
        <f>R349*P330</f>
        <v>189750</v>
      </c>
      <c r="Q349" s="734">
        <f>K302</f>
        <v>26250</v>
      </c>
      <c r="R349" s="275">
        <f>720+39</f>
        <v>759</v>
      </c>
      <c r="S349" s="15">
        <f>40+280</f>
        <v>320</v>
      </c>
    </row>
    <row r="350" spans="6:26" ht="20.100000000000001" customHeight="1">
      <c r="H350" s="22" t="s">
        <v>2662</v>
      </c>
      <c r="I350" s="22" t="str">
        <f>IF(F305="A",J350,J351)</f>
        <v>Right</v>
      </c>
      <c r="J350" s="22" t="str">
        <f>IF(M320="Right",IF(M313="Right","Right","3177 Down Wrong"),IF(M313="Right","3177 UP Wrong","3177 Up &amp; Down Wrong "))</f>
        <v>Right</v>
      </c>
      <c r="O350" s="280" t="s">
        <v>2223</v>
      </c>
      <c r="P350" s="280">
        <f>R350*P330</f>
        <v>256500</v>
      </c>
      <c r="Q350" s="734">
        <f>K302</f>
        <v>26250</v>
      </c>
      <c r="R350" s="275">
        <f>970+56</f>
        <v>1026</v>
      </c>
      <c r="S350" s="15">
        <f>40+315</f>
        <v>355</v>
      </c>
    </row>
    <row r="351" spans="6:26" ht="20.100000000000001" customHeight="1">
      <c r="H351" s="22" t="s">
        <v>656</v>
      </c>
      <c r="I351" s="281" t="str">
        <f>IF(M327="Right","Right","Premium Wrong")</f>
        <v>Right</v>
      </c>
      <c r="J351" s="22" t="str">
        <f>IF(M343="Right",IF(M336="Right","Right","4137 Down Wrong"),IF(M336="Right","4137 UP Wrong","4137 Up &amp; Down Wrong "))</f>
        <v>Right</v>
      </c>
      <c r="O351" s="280" t="s">
        <v>2224</v>
      </c>
      <c r="P351" s="280">
        <f>R351*P330</f>
        <v>345000</v>
      </c>
      <c r="Q351" s="734">
        <f>K302</f>
        <v>26250</v>
      </c>
      <c r="R351" s="275">
        <f>1300+80</f>
        <v>1380</v>
      </c>
      <c r="S351" s="15">
        <f>60+355</f>
        <v>415</v>
      </c>
    </row>
    <row r="352" spans="6:26" ht="20.100000000000001" customHeight="1">
      <c r="H352" s="22" t="s">
        <v>660</v>
      </c>
      <c r="I352" s="281" t="str">
        <f>IF(M331="Right","Right","Elecon Wrong")</f>
        <v>Right</v>
      </c>
      <c r="O352" s="280" t="s">
        <v>2225</v>
      </c>
      <c r="P352" s="280">
        <f>R352*P330</f>
        <v>471250</v>
      </c>
      <c r="Q352" s="734">
        <f>K302</f>
        <v>26250</v>
      </c>
      <c r="R352" s="275">
        <f>1770+115</f>
        <v>1885</v>
      </c>
      <c r="S352" s="15">
        <f>60+400</f>
        <v>460</v>
      </c>
    </row>
    <row r="353" spans="7:19" ht="20.100000000000001" customHeight="1">
      <c r="G353" s="22" t="s">
        <v>714</v>
      </c>
      <c r="H353" s="781" t="str">
        <f>J283</f>
        <v>Elite</v>
      </c>
      <c r="I353" s="782" t="str">
        <f>VLOOKUP(H353,H350:I352,2,0)</f>
        <v>Right</v>
      </c>
      <c r="O353" s="280" t="s">
        <v>2226</v>
      </c>
      <c r="P353" s="280">
        <f>R353*P330</f>
        <v>628750</v>
      </c>
      <c r="Q353" s="734">
        <f>K302</f>
        <v>26250</v>
      </c>
      <c r="R353" s="275">
        <f>2350+165</f>
        <v>2515</v>
      </c>
      <c r="S353" s="15">
        <f>80+450</f>
        <v>530</v>
      </c>
    </row>
    <row r="354" spans="7:19" ht="20.100000000000001" customHeight="1">
      <c r="O354" s="280" t="s">
        <v>2227</v>
      </c>
      <c r="P354" s="280">
        <f>R354*P330</f>
        <v>1017500</v>
      </c>
      <c r="Q354" s="734">
        <f>K302</f>
        <v>26250</v>
      </c>
      <c r="R354" s="275">
        <f>3850+220</f>
        <v>4070</v>
      </c>
      <c r="S354" s="15">
        <f>80+500</f>
        <v>580</v>
      </c>
    </row>
    <row r="355" spans="7:19" ht="20.100000000000001" customHeight="1">
      <c r="O355" s="280" t="s">
        <v>2228</v>
      </c>
      <c r="P355" s="280">
        <f>R355*P330</f>
        <v>1402500</v>
      </c>
      <c r="Q355" s="734">
        <f>K302</f>
        <v>26250</v>
      </c>
      <c r="R355" s="275">
        <f>5300+310</f>
        <v>5610</v>
      </c>
      <c r="S355" s="15">
        <f>100+560</f>
        <v>660</v>
      </c>
    </row>
    <row r="356" spans="7:19" ht="20.100000000000001" customHeight="1">
      <c r="O356" s="280" t="s">
        <v>2229</v>
      </c>
      <c r="P356" s="280">
        <f>R356*P330</f>
        <v>1925000</v>
      </c>
      <c r="Q356" s="734">
        <f>K302</f>
        <v>26250</v>
      </c>
      <c r="R356" s="275">
        <f>7250+450</f>
        <v>7700</v>
      </c>
      <c r="S356" s="15">
        <f>100+630</f>
        <v>730</v>
      </c>
    </row>
    <row r="357" spans="7:19" ht="20.100000000000001" customHeight="1">
      <c r="O357" s="280" t="s">
        <v>2230</v>
      </c>
      <c r="P357" s="280">
        <f>R357*P330</f>
        <v>2692500</v>
      </c>
      <c r="Q357" s="734">
        <f>K302</f>
        <v>26250</v>
      </c>
      <c r="R357" s="275">
        <f>10100+670</f>
        <v>10770</v>
      </c>
      <c r="S357" s="15">
        <f>120+710</f>
        <v>830</v>
      </c>
    </row>
    <row r="358" spans="7:19" ht="20.100000000000001" customHeight="1">
      <c r="O358" s="735" t="s">
        <v>2231</v>
      </c>
      <c r="P358" s="735">
        <f>R358*P330</f>
        <v>3750000</v>
      </c>
      <c r="Q358" s="734">
        <f>K302</f>
        <v>26250</v>
      </c>
      <c r="R358" s="280">
        <f>14100+900</f>
        <v>15000</v>
      </c>
      <c r="S358" s="748">
        <f>120+800</f>
        <v>920</v>
      </c>
    </row>
    <row r="359" spans="7:19" ht="20.100000000000001" customHeight="1">
      <c r="Q359" s="903"/>
    </row>
    <row r="360" spans="7:19" ht="20.100000000000001" customHeight="1">
      <c r="Q360" s="903"/>
    </row>
    <row r="361" spans="7:19" ht="20.100000000000001" customHeight="1"/>
    <row r="362" spans="7:19" ht="20.100000000000001" customHeight="1"/>
    <row r="363" spans="7:19" ht="20.100000000000001" customHeight="1"/>
    <row r="364" spans="7:19" ht="20.100000000000001" customHeight="1"/>
    <row r="365" spans="7:19" ht="20.100000000000001" customHeight="1"/>
    <row r="366" spans="7:19" ht="20.100000000000001" customHeight="1"/>
    <row r="367" spans="7:19" ht="20.100000000000001" customHeight="1"/>
    <row r="368" spans="7:19" ht="20.100000000000001" customHeight="1"/>
    <row r="369" ht="20.100000000000001" customHeight="1"/>
    <row r="370" ht="20.100000000000001" customHeight="1"/>
    <row r="371" ht="20.100000000000001" customHeight="1"/>
    <row r="372" ht="20.100000000000001" customHeight="1"/>
    <row r="373" ht="20.100000000000001" customHeight="1"/>
    <row r="374" ht="20.100000000000001" customHeight="1"/>
    <row r="375" ht="20.100000000000001" customHeight="1"/>
    <row r="376" ht="20.100000000000001" customHeight="1"/>
    <row r="377" ht="20.100000000000001" customHeight="1"/>
    <row r="378" ht="20.100000000000001" customHeight="1"/>
    <row r="379" ht="20.100000000000001" customHeight="1"/>
    <row r="380" ht="20.100000000000001" customHeight="1"/>
    <row r="381" ht="20.100000000000001" customHeight="1"/>
    <row r="382" ht="20.100000000000001" customHeight="1"/>
    <row r="383" ht="20.100000000000001" customHeight="1"/>
    <row r="384" ht="20.100000000000001" customHeight="1"/>
    <row r="385" ht="20.100000000000001" customHeight="1"/>
    <row r="386" ht="20.100000000000001" customHeight="1"/>
    <row r="387" ht="20.100000000000001" customHeight="1"/>
    <row r="388" ht="20.100000000000001" customHeight="1"/>
    <row r="389" ht="20.100000000000001" customHeight="1"/>
    <row r="390" ht="20.100000000000001" customHeight="1"/>
    <row r="391" ht="20.100000000000001" customHeight="1"/>
    <row r="392" ht="20.100000000000001" customHeight="1"/>
    <row r="393" ht="20.100000000000001" customHeight="1"/>
    <row r="394" ht="20.100000000000001" customHeight="1"/>
    <row r="395" ht="20.100000000000001" customHeight="1"/>
    <row r="396" ht="20.100000000000001" customHeight="1"/>
    <row r="397" ht="20.100000000000001" customHeight="1"/>
    <row r="398" ht="20.100000000000001" customHeight="1"/>
    <row r="399" ht="20.100000000000001" customHeight="1"/>
    <row r="400" ht="20.100000000000001" customHeight="1"/>
    <row r="401" ht="20.100000000000001" customHeight="1"/>
    <row r="402" ht="20.100000000000001" customHeight="1"/>
    <row r="403" ht="20.100000000000001" customHeight="1"/>
    <row r="404" ht="20.100000000000001" customHeight="1"/>
    <row r="405" ht="20.100000000000001" customHeight="1"/>
    <row r="406" ht="20.100000000000001" customHeight="1"/>
    <row r="407" ht="20.100000000000001" customHeight="1"/>
    <row r="408" ht="20.100000000000001" customHeight="1"/>
    <row r="409" ht="20.100000000000001" customHeight="1"/>
    <row r="410" ht="20.100000000000001" customHeight="1"/>
    <row r="411" ht="20.100000000000001" customHeight="1"/>
    <row r="412" ht="20.100000000000001" customHeight="1"/>
    <row r="413" ht="20.100000000000001" customHeight="1"/>
    <row r="414" ht="20.100000000000001" customHeight="1"/>
    <row r="415" ht="20.100000000000001" customHeight="1"/>
    <row r="416" ht="20.100000000000001" customHeight="1"/>
    <row r="417" ht="20.100000000000001" customHeight="1"/>
    <row r="418" ht="20.100000000000001" customHeight="1"/>
    <row r="419" ht="20.100000000000001" customHeight="1"/>
    <row r="420" ht="20.100000000000001" customHeight="1"/>
    <row r="421" ht="20.100000000000001" customHeight="1"/>
    <row r="422" ht="20.100000000000001" customHeight="1"/>
    <row r="423" ht="20.100000000000001" customHeight="1"/>
    <row r="424" ht="20.100000000000001" customHeight="1"/>
    <row r="425" ht="20.100000000000001" customHeight="1"/>
    <row r="426" ht="20.100000000000001" customHeight="1"/>
    <row r="427" ht="20.100000000000001" customHeight="1"/>
    <row r="428" ht="20.100000000000001" customHeight="1"/>
    <row r="429" ht="20.100000000000001" customHeight="1"/>
    <row r="430" ht="20.100000000000001" customHeight="1"/>
    <row r="431" ht="20.100000000000001" customHeight="1"/>
    <row r="432" ht="20.100000000000001" customHeight="1"/>
    <row r="433" ht="20.100000000000001" customHeight="1"/>
    <row r="434" ht="20.100000000000001" customHeight="1"/>
    <row r="435" ht="20.100000000000001" customHeight="1"/>
    <row r="436" ht="20.100000000000001" customHeight="1"/>
    <row r="437" ht="20.100000000000001" customHeight="1"/>
    <row r="438" ht="20.100000000000001" customHeight="1"/>
    <row r="439" ht="20.100000000000001" customHeight="1"/>
    <row r="440" ht="20.100000000000001" customHeight="1"/>
    <row r="441" ht="20.100000000000001" customHeight="1"/>
    <row r="442" ht="20.100000000000001" customHeight="1"/>
    <row r="443" ht="20.100000000000001" customHeight="1"/>
    <row r="444" ht="20.100000000000001" customHeight="1"/>
    <row r="445" ht="20.100000000000001" customHeight="1"/>
    <row r="446" ht="20.100000000000001" customHeight="1"/>
    <row r="447" ht="20.100000000000001" customHeight="1"/>
    <row r="448" ht="20.100000000000001" customHeight="1"/>
    <row r="449" ht="20.100000000000001" customHeight="1"/>
    <row r="450" ht="20.100000000000001" customHeight="1"/>
    <row r="451" ht="20.100000000000001" customHeight="1"/>
    <row r="452" ht="20.100000000000001" customHeight="1"/>
    <row r="453" ht="20.100000000000001" customHeight="1"/>
    <row r="454" ht="20.100000000000001" customHeight="1"/>
    <row r="455" ht="20.100000000000001" customHeight="1"/>
    <row r="456" ht="20.100000000000001" customHeight="1"/>
    <row r="457" ht="20.100000000000001" customHeight="1"/>
    <row r="458" ht="20.100000000000001" customHeight="1"/>
    <row r="459" ht="20.100000000000001" customHeight="1"/>
    <row r="460" ht="20.100000000000001" customHeight="1"/>
    <row r="461" ht="20.100000000000001" customHeight="1"/>
    <row r="462" ht="20.100000000000001" customHeight="1"/>
    <row r="463" ht="20.100000000000001" customHeight="1"/>
    <row r="464" ht="20.100000000000001" customHeight="1"/>
    <row r="465" ht="20.100000000000001" customHeight="1"/>
    <row r="466" ht="20.100000000000001" customHeight="1"/>
    <row r="467" ht="20.100000000000001" customHeight="1"/>
    <row r="468" ht="20.100000000000001" customHeight="1"/>
    <row r="469" ht="20.100000000000001" customHeight="1"/>
    <row r="470" ht="20.100000000000001" customHeight="1"/>
    <row r="471" ht="20.100000000000001" customHeight="1"/>
    <row r="472" ht="20.100000000000001" customHeight="1"/>
    <row r="473" ht="20.100000000000001" customHeight="1"/>
    <row r="474" ht="20.100000000000001" customHeight="1"/>
    <row r="475" ht="20.100000000000001" customHeight="1"/>
    <row r="476" ht="20.100000000000001" customHeight="1"/>
    <row r="477" ht="20.100000000000001" customHeight="1"/>
    <row r="478" ht="20.100000000000001" customHeight="1"/>
    <row r="479" ht="20.100000000000001" customHeight="1"/>
    <row r="480" ht="20.100000000000001" customHeight="1"/>
    <row r="481" ht="20.100000000000001" customHeight="1"/>
    <row r="482" ht="20.100000000000001" customHeight="1"/>
    <row r="483" ht="20.100000000000001" customHeight="1"/>
    <row r="484" ht="20.100000000000001" customHeight="1"/>
    <row r="485" ht="20.100000000000001" customHeight="1"/>
    <row r="486" ht="20.100000000000001" customHeight="1"/>
    <row r="487" ht="20.100000000000001" customHeight="1"/>
    <row r="488" ht="20.100000000000001" customHeight="1"/>
    <row r="489" ht="20.100000000000001" customHeight="1"/>
    <row r="490" ht="20.100000000000001" customHeight="1"/>
    <row r="491" ht="20.100000000000001" customHeight="1"/>
    <row r="492" ht="20.100000000000001" customHeight="1"/>
    <row r="493" ht="20.100000000000001" customHeight="1"/>
    <row r="494" ht="20.100000000000001" customHeight="1"/>
    <row r="495" ht="20.100000000000001" customHeight="1"/>
    <row r="496" ht="20.100000000000001" customHeight="1"/>
    <row r="497" ht="20.100000000000001" customHeight="1"/>
    <row r="498" ht="20.100000000000001" customHeight="1"/>
    <row r="499" ht="20.100000000000001" customHeight="1"/>
    <row r="500" ht="20.100000000000001" customHeight="1"/>
    <row r="501" ht="20.100000000000001" customHeight="1"/>
    <row r="502" ht="20.100000000000001" customHeight="1"/>
    <row r="503" ht="20.100000000000001" customHeight="1"/>
    <row r="504" ht="20.100000000000001" customHeight="1"/>
    <row r="505" ht="20.100000000000001" customHeight="1"/>
    <row r="506" ht="20.100000000000001" customHeight="1"/>
    <row r="507" ht="20.100000000000001" customHeight="1"/>
    <row r="508" ht="20.100000000000001" customHeight="1"/>
    <row r="509" ht="20.100000000000001" customHeight="1"/>
    <row r="510" ht="20.100000000000001" customHeight="1"/>
    <row r="511" ht="20.100000000000001" customHeight="1"/>
    <row r="512" ht="20.100000000000001" customHeight="1"/>
    <row r="513" ht="20.100000000000001" customHeight="1"/>
    <row r="514" ht="20.100000000000001" customHeight="1"/>
    <row r="515" ht="20.100000000000001" customHeight="1"/>
    <row r="516" ht="20.100000000000001" customHeight="1"/>
    <row r="517" ht="20.100000000000001" customHeight="1"/>
    <row r="518" ht="20.100000000000001" customHeight="1"/>
    <row r="519" ht="20.100000000000001" customHeight="1"/>
    <row r="520" ht="20.100000000000001" customHeight="1"/>
    <row r="521" ht="20.100000000000001" customHeight="1"/>
    <row r="522" ht="20.100000000000001" customHeight="1"/>
    <row r="523" ht="20.100000000000001" customHeight="1"/>
    <row r="524" ht="20.100000000000001" customHeight="1"/>
    <row r="525" ht="20.100000000000001" customHeight="1"/>
    <row r="526" ht="20.100000000000001" customHeight="1"/>
    <row r="527" ht="20.100000000000001" customHeight="1"/>
    <row r="528" ht="20.100000000000001" customHeight="1"/>
    <row r="529" ht="20.100000000000001" customHeight="1"/>
    <row r="530" ht="20.100000000000001" customHeight="1"/>
    <row r="531" ht="20.100000000000001" customHeight="1"/>
    <row r="532" ht="20.100000000000001" customHeight="1"/>
    <row r="533" ht="20.100000000000001" customHeight="1"/>
    <row r="534" ht="20.100000000000001" customHeight="1"/>
    <row r="535" ht="20.100000000000001" customHeight="1"/>
    <row r="536" ht="20.100000000000001" customHeight="1"/>
    <row r="537" ht="20.100000000000001" customHeight="1"/>
    <row r="538" ht="20.100000000000001" customHeight="1"/>
    <row r="539" ht="20.100000000000001" customHeight="1"/>
    <row r="540" ht="20.100000000000001" customHeight="1"/>
    <row r="541" ht="20.100000000000001" customHeight="1"/>
    <row r="542" ht="20.100000000000001" customHeight="1"/>
    <row r="543" ht="20.100000000000001" customHeight="1"/>
    <row r="544" ht="20.100000000000001" customHeight="1"/>
    <row r="545" ht="20.100000000000001" customHeight="1"/>
    <row r="546" ht="20.100000000000001" customHeight="1"/>
    <row r="547" ht="20.100000000000001" customHeight="1"/>
    <row r="548" ht="20.100000000000001" customHeight="1"/>
    <row r="549" ht="20.100000000000001" customHeight="1"/>
    <row r="550" ht="20.100000000000001" customHeight="1"/>
    <row r="551" ht="20.100000000000001" customHeight="1"/>
    <row r="552" ht="20.100000000000001" customHeight="1"/>
    <row r="553" ht="20.100000000000001" customHeight="1"/>
    <row r="554" ht="20.100000000000001" customHeight="1"/>
    <row r="555" ht="20.100000000000001" customHeight="1"/>
    <row r="556" ht="20.100000000000001" customHeight="1"/>
    <row r="557" ht="20.100000000000001" customHeight="1"/>
    <row r="558" ht="20.100000000000001" customHeight="1"/>
    <row r="559" ht="20.100000000000001" customHeight="1"/>
    <row r="560" ht="20.100000000000001" customHeight="1"/>
    <row r="561" ht="20.100000000000001" customHeight="1"/>
    <row r="562" ht="20.100000000000001" customHeight="1"/>
    <row r="563" ht="20.100000000000001" customHeight="1"/>
    <row r="564" ht="20.100000000000001" customHeight="1"/>
    <row r="565" ht="20.100000000000001" customHeight="1"/>
    <row r="566" ht="20.100000000000001" customHeight="1"/>
    <row r="567" ht="20.100000000000001" customHeight="1"/>
    <row r="568" ht="20.100000000000001" customHeight="1"/>
    <row r="569" ht="20.100000000000001" customHeight="1"/>
    <row r="570" ht="20.100000000000001" customHeight="1"/>
    <row r="571" ht="20.100000000000001" customHeight="1"/>
    <row r="572" ht="20.100000000000001" customHeight="1"/>
    <row r="573" ht="20.100000000000001" customHeight="1"/>
    <row r="574" ht="20.100000000000001" customHeight="1"/>
    <row r="575" ht="20.100000000000001" customHeight="1"/>
    <row r="576" ht="20.100000000000001" customHeight="1"/>
    <row r="577" ht="20.100000000000001" customHeight="1"/>
    <row r="578" ht="20.100000000000001" customHeight="1"/>
  </sheetData>
  <mergeCells count="125">
    <mergeCell ref="Q52:Q55"/>
    <mergeCell ref="R52:W52"/>
    <mergeCell ref="R53:R55"/>
    <mergeCell ref="S53:S55"/>
    <mergeCell ref="T53:T55"/>
    <mergeCell ref="U53:U55"/>
    <mergeCell ref="V53:V55"/>
    <mergeCell ref="W53:W55"/>
    <mergeCell ref="AA65:AA68"/>
    <mergeCell ref="S66:S68"/>
    <mergeCell ref="T66:T68"/>
    <mergeCell ref="U66:U68"/>
    <mergeCell ref="V66:V68"/>
    <mergeCell ref="W66:W68"/>
    <mergeCell ref="X66:X68"/>
    <mergeCell ref="Y66:Y68"/>
    <mergeCell ref="Z66:Z68"/>
    <mergeCell ref="V286:W286"/>
    <mergeCell ref="Y286:Z286"/>
    <mergeCell ref="AB286:AC286"/>
    <mergeCell ref="BB1:BB2"/>
    <mergeCell ref="S86:T87"/>
    <mergeCell ref="N86:O87"/>
    <mergeCell ref="P86:Q87"/>
    <mergeCell ref="I3:K4"/>
    <mergeCell ref="I52:K53"/>
    <mergeCell ref="I86:K87"/>
    <mergeCell ref="I122:K123"/>
    <mergeCell ref="I177:K178"/>
    <mergeCell ref="I20:J20"/>
    <mergeCell ref="M20:N20"/>
    <mergeCell ref="M21:N21"/>
    <mergeCell ref="O9:P9"/>
    <mergeCell ref="M19:N19"/>
    <mergeCell ref="BA1:BA2"/>
    <mergeCell ref="C138:I138"/>
    <mergeCell ref="J172:J173"/>
    <mergeCell ref="A232:E232"/>
    <mergeCell ref="F232:H232"/>
    <mergeCell ref="F233:H233"/>
    <mergeCell ref="B251:J251"/>
    <mergeCell ref="C254:J254"/>
    <mergeCell ref="B269:J269"/>
    <mergeCell ref="I232:K233"/>
    <mergeCell ref="A177:E177"/>
    <mergeCell ref="F177:H177"/>
    <mergeCell ref="F178:H178"/>
    <mergeCell ref="A230:E230"/>
    <mergeCell ref="F230:H230"/>
    <mergeCell ref="I230:K230"/>
    <mergeCell ref="A231:E231"/>
    <mergeCell ref="F231:H231"/>
    <mergeCell ref="I231:K231"/>
    <mergeCell ref="A176:E176"/>
    <mergeCell ref="F176:H176"/>
    <mergeCell ref="I176:K176"/>
    <mergeCell ref="F87:H87"/>
    <mergeCell ref="F106:G106"/>
    <mergeCell ref="A120:E120"/>
    <mergeCell ref="F120:H120"/>
    <mergeCell ref="I120:K120"/>
    <mergeCell ref="A121:E121"/>
    <mergeCell ref="F121:H121"/>
    <mergeCell ref="I121:K121"/>
    <mergeCell ref="A122:E122"/>
    <mergeCell ref="F122:H122"/>
    <mergeCell ref="A85:E85"/>
    <mergeCell ref="F85:H85"/>
    <mergeCell ref="I85:K85"/>
    <mergeCell ref="AH85:AO85"/>
    <mergeCell ref="A86:E86"/>
    <mergeCell ref="F86:H86"/>
    <mergeCell ref="F123:H123"/>
    <mergeCell ref="AA132:AF132"/>
    <mergeCell ref="A175:E175"/>
    <mergeCell ref="F175:H175"/>
    <mergeCell ref="I175:K175"/>
    <mergeCell ref="R86:R87"/>
    <mergeCell ref="A52:E52"/>
    <mergeCell ref="F52:H52"/>
    <mergeCell ref="F53:H53"/>
    <mergeCell ref="C81:E81"/>
    <mergeCell ref="C82:E82"/>
    <mergeCell ref="K71:K74"/>
    <mergeCell ref="A84:E84"/>
    <mergeCell ref="F84:H84"/>
    <mergeCell ref="I84:K84"/>
    <mergeCell ref="A50:E50"/>
    <mergeCell ref="F50:H50"/>
    <mergeCell ref="I50:K50"/>
    <mergeCell ref="A51:E51"/>
    <mergeCell ref="F51:H51"/>
    <mergeCell ref="I51:K51"/>
    <mergeCell ref="A2:E2"/>
    <mergeCell ref="F2:H2"/>
    <mergeCell ref="I2:K2"/>
    <mergeCell ref="A3:E3"/>
    <mergeCell ref="F3:H3"/>
    <mergeCell ref="F4:H4"/>
    <mergeCell ref="G10:H10"/>
    <mergeCell ref="K43:K44"/>
    <mergeCell ref="BG1:BG2"/>
    <mergeCell ref="A1:E1"/>
    <mergeCell ref="F1:H1"/>
    <mergeCell ref="I1:K1"/>
    <mergeCell ref="Q1:T1"/>
    <mergeCell ref="AC1:AD1"/>
    <mergeCell ref="AG1:AJ1"/>
    <mergeCell ref="AN1:AO1"/>
    <mergeCell ref="AR1:AU1"/>
    <mergeCell ref="BE1:BF1"/>
    <mergeCell ref="U1:U2"/>
    <mergeCell ref="V1:V2"/>
    <mergeCell ref="W1:W2"/>
    <mergeCell ref="X1:X2"/>
    <mergeCell ref="Y1:Y2"/>
    <mergeCell ref="Z1:Z2"/>
    <mergeCell ref="AA1:AA2"/>
    <mergeCell ref="AK1:AK2"/>
    <mergeCell ref="AL1:AL2"/>
    <mergeCell ref="AV1:AV2"/>
    <mergeCell ref="AW1:AW2"/>
    <mergeCell ref="AX1:AX2"/>
    <mergeCell ref="AY1:AY2"/>
    <mergeCell ref="AZ1:AZ2"/>
  </mergeCells>
  <dataValidations disablePrompts="1" count="17">
    <dataValidation type="list" allowBlank="1" showInputMessage="1" showErrorMessage="1" sqref="J132" xr:uid="{00000000-0002-0000-0400-000000000000}">
      <formula1>$X$133:$X$156</formula1>
    </dataValidation>
    <dataValidation type="list" allowBlank="1" showInputMessage="1" showErrorMessage="1" sqref="J141 J145" xr:uid="{00000000-0002-0000-0400-000001000000}">
      <formula1>$T$133:$T$144</formula1>
    </dataValidation>
    <dataValidation allowBlank="1" showInputMessage="1" showErrorMessage="1" sqref="V89:X89 Q151:R151 R148 Q143:Q148 R143:R146 Q134:R142 J182 O70:P70 U37:X38 U39:U40 M123:O123 F21:G21 J94 F111:F112 J99 I18 AE69 W114:W115 I37:I39 X132:X156 R147:T147 Q149:T149 K13 J191 L120:L121 L110 S145:S146 AE65:AE66 AB58 O75 O68:Q68 Q69 I60" xr:uid="{00000000-0002-0000-0400-000002000000}"/>
    <dataValidation type="list" allowBlank="1" showInputMessage="1" showErrorMessage="1" sqref="I20:J20" xr:uid="{00000000-0002-0000-0400-000003000000}">
      <formula1>$O$19:$O$21</formula1>
    </dataValidation>
    <dataValidation type="list" allowBlank="1" showInputMessage="1" showErrorMessage="1" sqref="I14" xr:uid="{00000000-0002-0000-0400-000004000000}">
      <formula1>$N$14:$O$14</formula1>
    </dataValidation>
    <dataValidation type="list" allowBlank="1" showInputMessage="1" showErrorMessage="1" sqref="I34" xr:uid="{00000000-0002-0000-0400-000005000000}">
      <formula1>$V$37:$W$37</formula1>
    </dataValidation>
    <dataValidation type="list" allowBlank="1" showInputMessage="1" showErrorMessage="1" sqref="I69" xr:uid="{00000000-0002-0000-0400-000006000000}">
      <formula1>$O$68:$Q$68</formula1>
    </dataValidation>
    <dataValidation type="list" allowBlank="1" showInputMessage="1" showErrorMessage="1" sqref="J283" xr:uid="{00000000-0002-0000-0400-000007000000}">
      <formula1>$Z$276:$Z$279</formula1>
    </dataValidation>
    <dataValidation type="list" allowBlank="1" showInputMessage="1" showErrorMessage="1" sqref="J284" xr:uid="{00000000-0002-0000-0400-000008000000}">
      <formula1>$Y$276:$Y$280</formula1>
    </dataValidation>
    <dataValidation type="list" allowBlank="1" showInputMessage="1" showErrorMessage="1" sqref="J126" xr:uid="{00000000-0002-0000-0400-000009000000}">
      <formula1>$N$123:$O$123</formula1>
    </dataValidation>
    <dataValidation type="list" allowBlank="1" showInputMessage="1" showErrorMessage="1" sqref="K286" xr:uid="{00000000-0002-0000-0400-00000A000000}">
      <formula1>$N$289:$N$292</formula1>
    </dataValidation>
    <dataValidation type="list" allowBlank="1" showInputMessage="1" showErrorMessage="1" sqref="F110" xr:uid="{00000000-0002-0000-0400-00000B000000}">
      <formula1>$V$112:$V$117</formula1>
    </dataValidation>
    <dataValidation type="list" allowBlank="1" showInputMessage="1" showErrorMessage="1" sqref="F106:G106" xr:uid="{00000000-0002-0000-0400-00000C000000}">
      <formula1>$W$113:$W$115</formula1>
    </dataValidation>
    <dataValidation type="list" allowBlank="1" showInputMessage="1" showErrorMessage="1" sqref="I71" xr:uid="{00000000-0002-0000-0400-00000D000000}">
      <formula1>$AE$65:$AE$80</formula1>
    </dataValidation>
    <dataValidation type="list" allowBlank="1" showInputMessage="1" showErrorMessage="1" sqref="J290" xr:uid="{00000000-0002-0000-0400-00000E000000}">
      <formula1>$O$285:$O$358</formula1>
    </dataValidation>
    <dataValidation type="list" allowBlank="1" showInputMessage="1" showErrorMessage="1" sqref="I36" xr:uid="{00000000-0002-0000-0400-00000F000000}">
      <formula1>$U$38:$X$38</formula1>
    </dataValidation>
    <dataValidation type="list" allowBlank="1" showInputMessage="1" showErrorMessage="1" sqref="M70" xr:uid="{00000000-0002-0000-0400-000010000000}">
      <formula1>$AQ$57:$AQ$79</formula1>
    </dataValidation>
  </dataValidations>
  <pageMargins left="0.39305555555555599" right="0.196527777777778" top="0.35416666666666702" bottom="0.31388888888888899" header="0.51041666666666696" footer="0.51041666666666696"/>
  <pageSetup paperSize="9" scale="70" orientation="portrait" r:id="rId1"/>
  <headerFooter alignWithMargins="0"/>
  <rowBreaks count="6" manualBreakCount="6">
    <brk id="49" max="10" man="1"/>
    <brk id="85" max="10" man="1"/>
    <brk id="119" max="10" man="1"/>
    <brk id="174" max="10" man="1"/>
    <brk id="229" max="10" man="1"/>
    <brk id="296" max="16383" man="1"/>
  </rowBreaks>
  <ignoredErrors>
    <ignoredError sqref="I73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116"/>
  <sheetViews>
    <sheetView showGridLines="0" view="pageBreakPreview" topLeftCell="A65" zoomScale="85" zoomScaleSheetLayoutView="85" workbookViewId="0">
      <selection activeCell="C21" sqref="C21:D21"/>
    </sheetView>
  </sheetViews>
  <sheetFormatPr defaultColWidth="9.1328125" defaultRowHeight="14.25"/>
  <cols>
    <col min="1" max="2" width="9.1328125" style="22"/>
    <col min="3" max="4" width="12.33203125" style="22" customWidth="1"/>
    <col min="5" max="5" width="10.1328125" style="22" customWidth="1"/>
    <col min="6" max="6" width="11" style="22" customWidth="1"/>
    <col min="7" max="7" width="10.6640625" style="22" customWidth="1"/>
    <col min="8" max="8" width="9.86328125" style="22" customWidth="1"/>
    <col min="9" max="9" width="17.53125" style="22" customWidth="1"/>
    <col min="10" max="10" width="14.6640625" style="22" customWidth="1"/>
    <col min="11" max="11" width="11.6640625" style="22" customWidth="1"/>
    <col min="12" max="12" width="11.33203125" style="22" customWidth="1"/>
    <col min="13" max="13" width="11" style="22" customWidth="1"/>
    <col min="14" max="14" width="9.1328125" style="22"/>
    <col min="15" max="15" width="9.53125" style="22"/>
    <col min="16" max="19" width="9.1328125" style="22"/>
    <col min="20" max="21" width="9.53125" style="22"/>
    <col min="22" max="22" width="12" style="22" bestFit="1" customWidth="1"/>
    <col min="23" max="28" width="9.1328125" style="22"/>
    <col min="29" max="29" width="9.53125" style="22"/>
    <col min="30" max="35" width="9.1328125" style="22"/>
    <col min="36" max="36" width="9.53125" style="22"/>
    <col min="37" max="16384" width="9.1328125" style="22"/>
  </cols>
  <sheetData>
    <row r="1" spans="1:38">
      <c r="A1" s="3769" t="s">
        <v>1</v>
      </c>
      <c r="B1" s="3770"/>
      <c r="C1" s="3770"/>
      <c r="D1" s="3771"/>
      <c r="E1" s="3735" t="s">
        <v>109</v>
      </c>
      <c r="F1" s="3736"/>
      <c r="G1" s="3737"/>
      <c r="H1" s="3738">
        <f>H59</f>
        <v>0</v>
      </c>
      <c r="I1" s="3739"/>
      <c r="J1" s="3740"/>
      <c r="K1" s="20"/>
      <c r="L1" s="20"/>
      <c r="M1" s="20"/>
      <c r="N1" s="20"/>
      <c r="O1" s="20"/>
      <c r="P1" s="20"/>
      <c r="Q1" s="20"/>
      <c r="R1" s="20"/>
      <c r="S1" s="20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</row>
    <row r="2" spans="1:38">
      <c r="A2" s="3805" t="str">
        <f>+AH!A2</f>
        <v>ELITEMHE INDUSTRIES LIMITED</v>
      </c>
      <c r="B2" s="3806"/>
      <c r="C2" s="3806"/>
      <c r="D2" s="3807"/>
      <c r="E2" s="3808" t="str">
        <f>'E Data'!D2</f>
        <v xml:space="preserve">25/15T D/G EOT CRANE  </v>
      </c>
      <c r="F2" s="3770"/>
      <c r="G2" s="3771"/>
      <c r="H2" s="3809">
        <f>'E Data'!G2</f>
        <v>0</v>
      </c>
      <c r="I2" s="3810"/>
      <c r="J2" s="3811"/>
      <c r="K2" s="20"/>
      <c r="L2" s="20"/>
      <c r="M2" s="20"/>
      <c r="N2" s="20"/>
      <c r="O2" s="20"/>
      <c r="P2" s="20"/>
      <c r="Q2" s="20"/>
      <c r="R2" s="20"/>
      <c r="S2" s="20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</row>
    <row r="3" spans="1:38">
      <c r="A3" s="3756" t="e">
        <f>#REF!</f>
        <v>#REF!</v>
      </c>
      <c r="B3" s="3757"/>
      <c r="C3" s="3757"/>
      <c r="D3" s="3758"/>
      <c r="E3" s="3759" t="s">
        <v>122</v>
      </c>
      <c r="F3" s="3760"/>
      <c r="G3" s="3760"/>
      <c r="H3" s="3696" t="s">
        <v>800</v>
      </c>
      <c r="I3" s="3696"/>
      <c r="J3" s="3813"/>
      <c r="K3" s="20"/>
      <c r="L3" s="20"/>
      <c r="M3" s="20"/>
      <c r="N3" s="20"/>
      <c r="O3" s="20"/>
      <c r="P3" s="20"/>
      <c r="Q3" s="20"/>
      <c r="R3" s="20"/>
      <c r="S3" s="20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</row>
    <row r="4" spans="1:38">
      <c r="A4" s="406" t="s">
        <v>32</v>
      </c>
      <c r="B4" s="407" t="e">
        <f>#REF!</f>
        <v>#REF!</v>
      </c>
      <c r="C4" s="407"/>
      <c r="D4" s="408"/>
      <c r="E4" s="3762" t="str">
        <f>'E Data'!D4</f>
        <v xml:space="preserve"> </v>
      </c>
      <c r="F4" s="3742"/>
      <c r="G4" s="3742"/>
      <c r="H4" s="3696"/>
      <c r="I4" s="3696"/>
      <c r="J4" s="3813"/>
      <c r="K4" s="20"/>
      <c r="L4" s="20"/>
      <c r="M4" s="20"/>
      <c r="N4" s="20"/>
      <c r="O4" s="20"/>
      <c r="P4" s="20"/>
      <c r="Q4" s="20"/>
      <c r="R4" s="20"/>
      <c r="S4" s="20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</row>
    <row r="5" spans="1:38">
      <c r="A5" s="913">
        <v>3</v>
      </c>
      <c r="B5" s="673" t="s">
        <v>801</v>
      </c>
      <c r="C5" s="462"/>
      <c r="D5" s="462"/>
      <c r="E5" s="462"/>
      <c r="F5" s="462"/>
      <c r="G5" s="462"/>
      <c r="H5" s="462"/>
      <c r="I5" s="462"/>
      <c r="J5" s="911"/>
      <c r="K5" s="20"/>
      <c r="L5" s="20"/>
      <c r="M5" s="20"/>
      <c r="N5" s="20"/>
      <c r="O5" s="20"/>
      <c r="P5" s="20"/>
      <c r="Q5" s="20"/>
      <c r="R5" s="20"/>
      <c r="S5" s="20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</row>
    <row r="6" spans="1:38">
      <c r="A6" s="670"/>
      <c r="B6" s="462"/>
      <c r="C6" s="462"/>
      <c r="D6" s="462"/>
      <c r="E6" s="462"/>
      <c r="F6" s="462"/>
      <c r="G6" s="462"/>
      <c r="H6" s="462"/>
      <c r="I6" s="462"/>
      <c r="J6" s="911"/>
      <c r="K6" s="20"/>
      <c r="L6" s="20"/>
      <c r="M6" s="20"/>
      <c r="N6" s="20"/>
      <c r="O6" s="20"/>
      <c r="P6" s="20"/>
      <c r="Q6" s="20"/>
      <c r="R6" s="20"/>
      <c r="S6" s="20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</row>
    <row r="7" spans="1:38">
      <c r="A7" s="670"/>
      <c r="B7" s="462" t="s">
        <v>2743</v>
      </c>
      <c r="C7" s="462"/>
      <c r="D7" s="462"/>
      <c r="E7" s="462"/>
      <c r="F7" s="914" t="s">
        <v>802</v>
      </c>
      <c r="H7" s="3799" t="str">
        <f>IF(L9=1,"+"," ")</f>
        <v xml:space="preserve"> </v>
      </c>
      <c r="I7" s="3821" t="str">
        <f>IF(L9=1,"Rw*V*MF / (6117*T)"," ")</f>
        <v xml:space="preserve"> </v>
      </c>
      <c r="J7" s="911"/>
      <c r="K7" s="20"/>
      <c r="L7" s="20"/>
      <c r="M7" s="20"/>
      <c r="N7" s="20"/>
      <c r="O7" s="20"/>
      <c r="P7" s="20"/>
      <c r="Q7" s="20"/>
      <c r="R7" s="20"/>
      <c r="S7" s="20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</row>
    <row r="8" spans="1:38">
      <c r="A8" s="670"/>
      <c r="B8" s="462"/>
      <c r="C8" s="462"/>
      <c r="D8" s="462" t="s">
        <v>803</v>
      </c>
      <c r="E8" s="915" t="s">
        <v>804</v>
      </c>
      <c r="F8" s="462" t="s">
        <v>805</v>
      </c>
      <c r="H8" s="3799"/>
      <c r="I8" s="3821"/>
      <c r="J8" s="911"/>
      <c r="K8" s="17" t="str">
        <f>IF(I10="Yes",IF(I11&gt;0,"Right","Wrong"),IF(I10="No",IF(I11=0,"Right","Wrong")))</f>
        <v>Right</v>
      </c>
      <c r="L8" s="137"/>
      <c r="M8" s="137"/>
      <c r="N8" s="137"/>
      <c r="O8" s="137"/>
      <c r="P8" s="20"/>
      <c r="Q8" s="20"/>
      <c r="R8" s="20"/>
      <c r="S8" s="20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</row>
    <row r="9" spans="1:38">
      <c r="A9" s="670"/>
      <c r="B9" s="916" t="s">
        <v>303</v>
      </c>
      <c r="C9" s="462"/>
      <c r="D9" s="462"/>
      <c r="E9" s="462"/>
      <c r="F9" s="462"/>
      <c r="G9" s="462"/>
      <c r="H9" s="462"/>
      <c r="I9" s="462"/>
      <c r="J9" s="911"/>
      <c r="K9" s="904" t="str">
        <f>IFERROR(VLOOKUP(L9,K10:L11,2),"No")</f>
        <v>No</v>
      </c>
      <c r="L9" s="905">
        <f>'E Data'!N38</f>
        <v>0</v>
      </c>
      <c r="M9" s="137"/>
      <c r="N9" s="137"/>
      <c r="O9" s="137"/>
      <c r="P9" s="20"/>
      <c r="Q9" s="20"/>
      <c r="R9" s="20"/>
      <c r="S9" s="20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</row>
    <row r="10" spans="1:38" ht="9.9499999999999993" customHeight="1">
      <c r="A10" s="670"/>
      <c r="B10" s="187" t="s">
        <v>806</v>
      </c>
      <c r="C10" s="3812" t="str">
        <f>'E Data'!D10&amp;"   ("&amp;'E Data'!D29&amp;")"</f>
        <v>D/G EOT CRANE     (Indoor)</v>
      </c>
      <c r="D10" s="3812"/>
      <c r="E10" s="3812"/>
      <c r="F10" s="917" t="s">
        <v>807</v>
      </c>
      <c r="H10" s="58"/>
      <c r="I10" s="473" t="str">
        <f>K9</f>
        <v>No</v>
      </c>
      <c r="J10" s="326"/>
      <c r="K10" s="906">
        <v>1</v>
      </c>
      <c r="L10" s="617" t="s">
        <v>108</v>
      </c>
      <c r="N10" s="137"/>
      <c r="O10" s="137"/>
      <c r="P10" s="20"/>
      <c r="Q10" s="20"/>
      <c r="R10" s="20"/>
      <c r="S10" s="20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</row>
    <row r="11" spans="1:38" ht="9.9499999999999993" customHeight="1">
      <c r="A11" s="670"/>
      <c r="B11" s="918" t="s">
        <v>808</v>
      </c>
      <c r="C11" s="22" t="str">
        <f>IF(I10="Yes","Wind Load Horizontally in Kg.","")</f>
        <v/>
      </c>
      <c r="D11" s="31"/>
      <c r="E11" s="31"/>
      <c r="F11" s="31"/>
      <c r="G11" s="31"/>
      <c r="H11" s="43" t="str">
        <f t="shared" ref="H11" si="0">IF($I$10="Yes","=","")</f>
        <v/>
      </c>
      <c r="I11" s="919">
        <f>I16*L9</f>
        <v>0</v>
      </c>
      <c r="J11" s="304"/>
      <c r="K11" s="907">
        <v>0</v>
      </c>
      <c r="L11" s="702" t="s">
        <v>809</v>
      </c>
      <c r="N11" s="137"/>
      <c r="O11" s="137"/>
      <c r="P11" s="20"/>
      <c r="Q11" s="20"/>
      <c r="R11" s="20"/>
      <c r="S11" s="20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</row>
    <row r="12" spans="1:38" ht="9.9499999999999993" customHeight="1">
      <c r="A12" s="670"/>
      <c r="B12" s="187"/>
      <c r="C12" s="22" t="str">
        <f>IF(I10="Yes","Effective Area of Trolley","")</f>
        <v/>
      </c>
      <c r="D12" s="920"/>
      <c r="E12" s="920"/>
      <c r="F12" s="920"/>
      <c r="G12" s="920"/>
      <c r="H12" s="43" t="str">
        <f>IF($I$10="Yes","=","")</f>
        <v/>
      </c>
      <c r="I12" s="921">
        <f>2.5*1.5*L9</f>
        <v>0</v>
      </c>
      <c r="J12" s="304"/>
      <c r="L12" s="137"/>
      <c r="M12" s="137"/>
      <c r="N12" s="137"/>
      <c r="O12" s="137"/>
      <c r="P12" s="20"/>
      <c r="Q12" s="20"/>
      <c r="R12" s="20"/>
      <c r="S12" s="20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</row>
    <row r="13" spans="1:38" ht="9.9499999999999993" customHeight="1">
      <c r="A13" s="670"/>
      <c r="B13" s="187"/>
      <c r="C13" s="22" t="str">
        <f>IF(I10="Yes","Area due to weight (1 sq m = 1T) in Sq. M","")</f>
        <v/>
      </c>
      <c r="D13" s="920"/>
      <c r="E13" s="920"/>
      <c r="F13" s="920"/>
      <c r="G13" s="920"/>
      <c r="H13" s="43" t="str">
        <f>IF($I$10="Yes","=","")</f>
        <v/>
      </c>
      <c r="I13" s="53">
        <f>'E Data'!D13*L9</f>
        <v>0</v>
      </c>
      <c r="J13" s="304"/>
      <c r="M13" s="137"/>
      <c r="N13" s="137"/>
      <c r="O13" s="137"/>
      <c r="P13" s="20"/>
      <c r="Q13" s="20"/>
      <c r="R13" s="20"/>
      <c r="S13" s="20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</row>
    <row r="14" spans="1:38" ht="9.9499999999999993" customHeight="1">
      <c r="A14" s="670"/>
      <c r="B14" s="187"/>
      <c r="C14" s="22" t="str">
        <f>IF(I10="Yes","Total Area on Which Load acting","")</f>
        <v/>
      </c>
      <c r="D14" s="920"/>
      <c r="E14" s="920"/>
      <c r="F14" s="920"/>
      <c r="G14" s="920"/>
      <c r="H14" s="43" t="str">
        <f>IF($I$10="Yes","=","")</f>
        <v/>
      </c>
      <c r="I14" s="53">
        <f>SUM(I12:I13)*L9</f>
        <v>0</v>
      </c>
      <c r="J14" s="304"/>
      <c r="M14" s="137"/>
      <c r="N14" s="137"/>
      <c r="O14" s="137"/>
      <c r="P14" s="20"/>
      <c r="Q14" s="20"/>
      <c r="R14" s="20"/>
      <c r="S14" s="20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</row>
    <row r="15" spans="1:38" ht="9.9499999999999993" customHeight="1">
      <c r="A15" s="670"/>
      <c r="B15" s="187"/>
      <c r="C15" s="22" t="str">
        <f>IF(I10="Yes","Load /Pressure due to velocity in Kg","")</f>
        <v/>
      </c>
      <c r="D15" s="920"/>
      <c r="E15" s="920"/>
      <c r="F15" s="920"/>
      <c r="G15" s="920"/>
      <c r="H15" s="43" t="str">
        <f>IF($I$10="Yes","=","")</f>
        <v/>
      </c>
      <c r="I15" s="921">
        <f>25*L9</f>
        <v>0</v>
      </c>
      <c r="J15" s="304"/>
      <c r="M15" s="17"/>
      <c r="N15" s="922">
        <f>I20</f>
        <v>20</v>
      </c>
      <c r="O15" s="923" t="s">
        <v>810</v>
      </c>
      <c r="Q15" s="20"/>
      <c r="R15" s="20"/>
      <c r="S15" s="20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</row>
    <row r="16" spans="1:38" ht="9.9499999999999993" customHeight="1">
      <c r="A16" s="670"/>
      <c r="B16" s="187"/>
      <c r="C16" s="22" t="str">
        <f>IF(I10="Yes","Load  due to Wind effective in kg","")</f>
        <v/>
      </c>
      <c r="D16" s="920"/>
      <c r="E16" s="920"/>
      <c r="F16" s="920"/>
      <c r="G16" s="920"/>
      <c r="H16" s="43" t="str">
        <f>IF($I$10="Yes","=","")</f>
        <v/>
      </c>
      <c r="I16" s="317">
        <f>I15*I14*L9</f>
        <v>0</v>
      </c>
      <c r="J16" s="304"/>
      <c r="K16" s="17"/>
      <c r="M16" s="924" t="s">
        <v>118</v>
      </c>
      <c r="N16" s="925" t="s">
        <v>811</v>
      </c>
      <c r="O16" s="926" t="s">
        <v>812</v>
      </c>
      <c r="Q16" s="20"/>
      <c r="R16" s="20"/>
      <c r="S16" s="20"/>
      <c r="T16" s="17"/>
      <c r="U16" s="17"/>
      <c r="V16" s="17"/>
      <c r="W16" s="17"/>
      <c r="X16" s="17"/>
      <c r="Y16" s="17"/>
    </row>
    <row r="17" spans="1:65">
      <c r="A17" s="670"/>
      <c r="B17" s="20"/>
      <c r="C17" s="20"/>
      <c r="D17" s="20"/>
      <c r="E17" s="20"/>
      <c r="F17" s="20"/>
      <c r="G17" s="20"/>
      <c r="H17" s="20"/>
      <c r="I17" s="20"/>
      <c r="J17" s="304"/>
      <c r="K17" s="17"/>
      <c r="L17" s="137"/>
      <c r="M17" s="927">
        <v>0</v>
      </c>
      <c r="N17" s="928">
        <v>10</v>
      </c>
      <c r="O17" s="110">
        <v>7</v>
      </c>
      <c r="Q17" s="20"/>
      <c r="R17" s="20"/>
      <c r="S17" s="20"/>
      <c r="T17" s="17"/>
      <c r="U17" s="17"/>
      <c r="V17" s="17"/>
      <c r="W17" s="17"/>
      <c r="X17" s="17"/>
      <c r="Y17" s="17"/>
    </row>
    <row r="18" spans="1:65">
      <c r="A18" s="670"/>
      <c r="B18" s="929" t="s">
        <v>152</v>
      </c>
      <c r="C18" s="462" t="s">
        <v>813</v>
      </c>
      <c r="D18" s="462"/>
      <c r="E18" s="462"/>
      <c r="H18" s="462"/>
      <c r="I18" s="462"/>
      <c r="J18" s="304"/>
      <c r="K18" s="17"/>
      <c r="L18" s="137"/>
      <c r="M18" s="927">
        <v>10</v>
      </c>
      <c r="N18" s="930">
        <v>15</v>
      </c>
      <c r="O18" s="66">
        <v>8</v>
      </c>
      <c r="Q18" s="20"/>
      <c r="R18" s="20"/>
      <c r="S18" s="20"/>
      <c r="T18" s="17"/>
      <c r="U18" s="17"/>
      <c r="V18" s="17"/>
      <c r="W18" s="17"/>
      <c r="X18" s="17"/>
      <c r="Y18" s="17"/>
    </row>
    <row r="19" spans="1:65">
      <c r="A19" s="670"/>
      <c r="B19" s="67" t="s">
        <v>160</v>
      </c>
      <c r="C19" s="915" t="s">
        <v>2634</v>
      </c>
      <c r="D19" s="462"/>
      <c r="E19" s="462"/>
      <c r="G19" s="123" t="str">
        <f>'E Data'!D44&amp;"  +  "&amp;'E Data'!D13</f>
        <v>5  +  25</v>
      </c>
      <c r="H19" s="43" t="s">
        <v>160</v>
      </c>
      <c r="I19" s="703">
        <f>'E Data'!D13+'E Data'!D44</f>
        <v>30</v>
      </c>
      <c r="J19" s="304"/>
      <c r="K19" s="17"/>
      <c r="M19" s="927">
        <v>15</v>
      </c>
      <c r="N19" s="930">
        <v>25</v>
      </c>
      <c r="O19" s="65">
        <v>10</v>
      </c>
      <c r="Q19" s="20"/>
      <c r="R19" s="20"/>
      <c r="S19" s="20"/>
      <c r="T19" s="17"/>
      <c r="U19" s="17"/>
      <c r="V19" s="17"/>
      <c r="W19" s="17"/>
      <c r="X19" s="17"/>
      <c r="Y19" s="17"/>
    </row>
    <row r="20" spans="1:65">
      <c r="A20" s="670"/>
      <c r="B20" s="929" t="s">
        <v>652</v>
      </c>
      <c r="C20" s="462" t="s">
        <v>815</v>
      </c>
      <c r="D20" s="462"/>
      <c r="E20" s="462"/>
      <c r="H20" s="55" t="s">
        <v>160</v>
      </c>
      <c r="I20" s="703">
        <f>'E Data'!D38</f>
        <v>20</v>
      </c>
      <c r="J20" s="304"/>
      <c r="K20" s="17"/>
      <c r="M20" s="927">
        <v>25</v>
      </c>
      <c r="N20" s="930">
        <v>40</v>
      </c>
      <c r="O20" s="65">
        <v>12</v>
      </c>
      <c r="Q20" s="20"/>
      <c r="R20" s="20"/>
      <c r="S20" s="20"/>
      <c r="T20" s="17"/>
      <c r="U20" s="17"/>
      <c r="V20" s="17"/>
      <c r="W20" s="17"/>
      <c r="X20" s="17"/>
      <c r="Y20" s="17"/>
    </row>
    <row r="21" spans="1:65">
      <c r="A21" s="670"/>
      <c r="J21" s="911"/>
      <c r="K21" s="20"/>
      <c r="M21" s="927">
        <v>40</v>
      </c>
      <c r="N21" s="930">
        <v>60</v>
      </c>
      <c r="O21" s="66">
        <v>15</v>
      </c>
      <c r="W21" s="17"/>
      <c r="X21" s="3712"/>
      <c r="Y21" s="3712"/>
      <c r="Z21" s="3712"/>
      <c r="AA21" s="3715"/>
      <c r="AB21" s="3713"/>
      <c r="AC21" s="3714"/>
      <c r="AD21" s="3713"/>
      <c r="AE21" s="3713"/>
      <c r="AF21" s="3713"/>
      <c r="AG21" s="3713"/>
      <c r="AH21" s="3713"/>
      <c r="AJ21" s="3712"/>
      <c r="AK21" s="3712"/>
      <c r="AN21" s="3712"/>
      <c r="AO21" s="3712"/>
      <c r="AP21" s="3712"/>
      <c r="AQ21" s="3715"/>
      <c r="AR21" s="3713"/>
      <c r="AS21" s="3714"/>
      <c r="AU21" s="3712"/>
      <c r="AV21" s="3712"/>
      <c r="AY21" s="3712"/>
      <c r="AZ21" s="3712"/>
      <c r="BA21" s="3712"/>
      <c r="BB21" s="3715"/>
      <c r="BC21" s="3713"/>
      <c r="BD21" s="3714"/>
      <c r="BE21" s="3713"/>
      <c r="BF21" s="3713"/>
      <c r="BG21" s="3713"/>
      <c r="BH21" s="3713"/>
      <c r="BI21" s="3713"/>
      <c r="BK21" s="3712"/>
      <c r="BL21" s="3712"/>
      <c r="BM21" s="3714"/>
    </row>
    <row r="22" spans="1:65">
      <c r="A22" s="670"/>
      <c r="B22" s="187" t="s">
        <v>422</v>
      </c>
      <c r="C22" s="931" t="s">
        <v>816</v>
      </c>
      <c r="D22" s="931" t="str">
        <f>'E Data'!E25</f>
        <v>M5</v>
      </c>
      <c r="H22" s="55" t="s">
        <v>160</v>
      </c>
      <c r="I22" s="703">
        <f>'E Data'!F26</f>
        <v>1.25</v>
      </c>
      <c r="J22" s="911"/>
      <c r="K22" s="20"/>
      <c r="M22" s="927">
        <v>60</v>
      </c>
      <c r="N22" s="930">
        <v>100</v>
      </c>
      <c r="O22" s="66">
        <v>19</v>
      </c>
      <c r="W22" s="17"/>
      <c r="X22" s="287"/>
      <c r="Y22" s="288"/>
      <c r="Z22" s="289"/>
      <c r="AA22" s="290"/>
      <c r="AB22" s="3713"/>
      <c r="AC22" s="3714"/>
      <c r="AD22" s="3713"/>
      <c r="AE22" s="3713"/>
      <c r="AF22" s="3713"/>
      <c r="AG22" s="3713"/>
      <c r="AH22" s="3713"/>
      <c r="AJ22" s="291"/>
      <c r="AK22" s="292"/>
      <c r="AN22" s="287"/>
      <c r="AO22" s="288"/>
      <c r="AP22" s="289"/>
      <c r="AQ22" s="290"/>
      <c r="AR22" s="3713"/>
      <c r="AS22" s="3714"/>
      <c r="AU22" s="291"/>
      <c r="AV22" s="292"/>
      <c r="AY22" s="287"/>
      <c r="AZ22" s="288"/>
      <c r="BA22" s="289"/>
      <c r="BB22" s="290"/>
      <c r="BC22" s="3713"/>
      <c r="BD22" s="3714"/>
      <c r="BE22" s="3713"/>
      <c r="BF22" s="3713"/>
      <c r="BG22" s="3713"/>
      <c r="BH22" s="3713"/>
      <c r="BI22" s="3713"/>
      <c r="BK22" s="291"/>
      <c r="BL22" s="292"/>
      <c r="BM22" s="3714"/>
    </row>
    <row r="23" spans="1:65" ht="14.65" thickBot="1">
      <c r="A23" s="670"/>
      <c r="B23" s="187" t="s">
        <v>817</v>
      </c>
      <c r="C23" s="22" t="s">
        <v>818</v>
      </c>
      <c r="H23" s="55" t="s">
        <v>160</v>
      </c>
      <c r="I23" s="703">
        <v>1.06</v>
      </c>
      <c r="J23" s="911"/>
      <c r="K23" s="20"/>
      <c r="M23" s="927">
        <v>100</v>
      </c>
      <c r="N23" s="932">
        <v>120</v>
      </c>
      <c r="O23" s="71">
        <v>22</v>
      </c>
      <c r="W23" s="17"/>
      <c r="X23" s="293"/>
      <c r="Y23" s="19"/>
      <c r="Z23" s="294"/>
      <c r="AA23" s="19"/>
      <c r="AB23" s="19"/>
      <c r="AC23" s="295"/>
      <c r="AD23" s="20"/>
      <c r="AE23" s="20"/>
      <c r="AF23" s="20"/>
      <c r="AG23" s="20"/>
      <c r="AH23" s="20"/>
      <c r="AJ23" s="19"/>
      <c r="AK23" s="19"/>
      <c r="AN23" s="293"/>
      <c r="AP23" s="53"/>
      <c r="AQ23" s="80"/>
      <c r="AR23" s="19"/>
      <c r="AS23" s="19"/>
      <c r="AU23" s="53"/>
      <c r="AY23" s="293"/>
      <c r="AZ23" s="53"/>
      <c r="BA23" s="53"/>
      <c r="BB23" s="80"/>
      <c r="BC23" s="19"/>
      <c r="BD23" s="19"/>
      <c r="BE23" s="20"/>
      <c r="BF23" s="20"/>
      <c r="BG23" s="20"/>
      <c r="BH23" s="20"/>
      <c r="BI23" s="20"/>
      <c r="BK23" s="53"/>
      <c r="BL23" s="80"/>
    </row>
    <row r="24" spans="1:65" ht="14.65" thickBot="1">
      <c r="A24" s="670"/>
      <c r="B24" s="187" t="s">
        <v>819</v>
      </c>
      <c r="C24" s="22" t="s">
        <v>820</v>
      </c>
      <c r="H24" s="55" t="s">
        <v>160</v>
      </c>
      <c r="I24" s="703">
        <v>1.7</v>
      </c>
      <c r="J24" s="933"/>
      <c r="K24" s="20"/>
      <c r="M24" s="107">
        <f>VLOOKUP(N15,M17:M23,1)</f>
        <v>15</v>
      </c>
      <c r="N24" s="107">
        <f>IFERROR(VLOOKUP(N15,N17:N23,1,0),0)</f>
        <v>0</v>
      </c>
      <c r="O24" s="934">
        <f>VLOOKUP(N25,N17:O23,2,0)</f>
        <v>10</v>
      </c>
      <c r="W24" s="17"/>
      <c r="X24" s="298"/>
      <c r="Y24" s="19"/>
      <c r="Z24" s="294"/>
      <c r="AA24" s="19"/>
      <c r="AB24" s="19"/>
      <c r="AC24" s="295"/>
      <c r="AD24" s="20"/>
      <c r="AE24" s="20"/>
      <c r="AF24" s="20"/>
      <c r="AG24" s="20"/>
      <c r="AH24" s="20"/>
      <c r="AJ24" s="19"/>
      <c r="AK24" s="19"/>
      <c r="AN24" s="299"/>
      <c r="AO24" s="17"/>
      <c r="AP24" s="53"/>
      <c r="AQ24" s="80"/>
      <c r="AR24" s="19"/>
      <c r="AS24" s="19"/>
      <c r="AU24" s="53"/>
      <c r="AY24" s="299"/>
      <c r="AZ24" s="216"/>
      <c r="BA24" s="53"/>
      <c r="BB24" s="80"/>
      <c r="BC24" s="19"/>
      <c r="BD24" s="19"/>
      <c r="BE24" s="20"/>
      <c r="BF24" s="20"/>
      <c r="BG24" s="20"/>
      <c r="BH24" s="20"/>
      <c r="BI24" s="20"/>
      <c r="BK24" s="53"/>
      <c r="BL24" s="80"/>
    </row>
    <row r="25" spans="1:65" ht="14.65" thickBot="1">
      <c r="A25" s="670"/>
      <c r="B25" s="187" t="s">
        <v>821</v>
      </c>
      <c r="C25" s="22" t="s">
        <v>822</v>
      </c>
      <c r="H25" s="55" t="s">
        <v>160</v>
      </c>
      <c r="I25" s="703">
        <v>8</v>
      </c>
      <c r="J25" s="911"/>
      <c r="K25" s="20"/>
      <c r="M25" s="107">
        <f>VLOOKUP(M24,M17:N23,2,0)</f>
        <v>25</v>
      </c>
      <c r="N25" s="934">
        <f>IF(N24&gt;0,N24,M25)</f>
        <v>25</v>
      </c>
      <c r="W25" s="17"/>
      <c r="X25" s="303"/>
      <c r="Y25" s="19"/>
      <c r="Z25" s="294"/>
      <c r="AA25" s="19"/>
      <c r="AB25" s="19"/>
      <c r="AC25" s="295"/>
      <c r="AD25" s="20"/>
      <c r="AE25" s="20"/>
      <c r="AF25" s="20"/>
      <c r="AG25" s="20"/>
      <c r="AH25" s="20"/>
      <c r="AJ25" s="19"/>
      <c r="AK25" s="19"/>
      <c r="AN25" s="299"/>
      <c r="AO25" s="17"/>
      <c r="AP25" s="53"/>
      <c r="AQ25" s="80"/>
      <c r="AR25" s="19"/>
      <c r="AS25" s="19"/>
      <c r="AU25" s="53"/>
      <c r="AY25" s="299"/>
      <c r="AZ25" s="216"/>
      <c r="BA25" s="53"/>
      <c r="BB25" s="80"/>
      <c r="BC25" s="19"/>
      <c r="BD25" s="19"/>
      <c r="BE25" s="20"/>
      <c r="BF25" s="20"/>
      <c r="BG25" s="20"/>
      <c r="BH25" s="20"/>
      <c r="BI25" s="20"/>
      <c r="BK25" s="53"/>
      <c r="BL25" s="80"/>
    </row>
    <row r="26" spans="1:65">
      <c r="A26" s="670"/>
      <c r="B26" s="187" t="s">
        <v>823</v>
      </c>
      <c r="C26" s="22" t="s">
        <v>824</v>
      </c>
      <c r="H26" s="55" t="s">
        <v>160</v>
      </c>
      <c r="I26" s="935">
        <f>O24</f>
        <v>10</v>
      </c>
      <c r="J26" s="911"/>
      <c r="K26" s="20"/>
      <c r="W26" s="17"/>
      <c r="X26" s="298"/>
      <c r="Y26" s="19"/>
      <c r="Z26" s="294"/>
      <c r="AA26" s="19"/>
      <c r="AB26" s="19"/>
      <c r="AC26" s="295"/>
      <c r="AD26" s="20"/>
      <c r="AE26" s="20"/>
      <c r="AF26" s="20"/>
      <c r="AG26" s="20"/>
      <c r="AH26" s="20"/>
      <c r="AJ26" s="19"/>
      <c r="AK26" s="19"/>
      <c r="AN26" s="299"/>
      <c r="AO26" s="19"/>
      <c r="AP26" s="53"/>
      <c r="AQ26" s="80"/>
      <c r="AR26" s="19"/>
      <c r="AS26" s="19"/>
      <c r="AU26" s="53"/>
      <c r="AY26" s="299"/>
      <c r="AZ26" s="19"/>
      <c r="BA26" s="53"/>
      <c r="BB26" s="80"/>
      <c r="BC26" s="19"/>
      <c r="BD26" s="19"/>
      <c r="BE26" s="20"/>
      <c r="BF26" s="20"/>
      <c r="BG26" s="20"/>
      <c r="BH26" s="20"/>
      <c r="BI26" s="20"/>
      <c r="BK26" s="53"/>
      <c r="BL26" s="80"/>
    </row>
    <row r="27" spans="1:65">
      <c r="A27" s="670"/>
      <c r="B27" s="187" t="s">
        <v>185</v>
      </c>
      <c r="C27" s="22" t="s">
        <v>825</v>
      </c>
      <c r="H27" s="55" t="s">
        <v>160</v>
      </c>
      <c r="I27" s="703">
        <f>1/I46</f>
        <v>0.5</v>
      </c>
      <c r="J27" s="911"/>
      <c r="W27" s="17"/>
      <c r="X27" s="303"/>
      <c r="Y27" s="19"/>
      <c r="Z27" s="294"/>
      <c r="AA27" s="19"/>
      <c r="AB27" s="19"/>
      <c r="AC27" s="295"/>
      <c r="AD27" s="20"/>
      <c r="AE27" s="20"/>
      <c r="AF27" s="20"/>
      <c r="AG27" s="20"/>
      <c r="AH27" s="20"/>
      <c r="AJ27" s="19"/>
      <c r="AK27" s="19"/>
      <c r="AN27" s="299"/>
      <c r="AO27" s="19"/>
      <c r="AP27" s="53"/>
      <c r="AQ27" s="80"/>
      <c r="AR27" s="19"/>
      <c r="AS27" s="19"/>
      <c r="AU27" s="53"/>
      <c r="AY27" s="299"/>
      <c r="AZ27" s="19"/>
      <c r="BA27" s="53"/>
      <c r="BB27" s="80"/>
      <c r="BC27" s="19"/>
      <c r="BD27" s="19"/>
      <c r="BE27" s="20"/>
      <c r="BF27" s="20"/>
      <c r="BG27" s="20"/>
      <c r="BH27" s="20"/>
      <c r="BI27" s="20"/>
      <c r="BK27" s="53"/>
      <c r="BL27" s="80"/>
    </row>
    <row r="28" spans="1:65">
      <c r="A28" s="670"/>
      <c r="B28" s="918" t="s">
        <v>826</v>
      </c>
      <c r="C28" s="462" t="s">
        <v>827</v>
      </c>
      <c r="H28" s="55" t="s">
        <v>160</v>
      </c>
      <c r="I28" s="935">
        <v>2</v>
      </c>
      <c r="J28" s="911"/>
      <c r="W28" s="391" t="str">
        <f>HYPERLINK("\\Manish-pc\e\03 General\Manish\Selection\VD_Series_6Pole.pdf","M Sq 6 Pole")</f>
        <v>M Sq 6 Pole</v>
      </c>
      <c r="X28" s="391" t="str">
        <f>HYPERLINK("\\Manish-pc\e\03 General\Manish\Selection\Price_Sheet_2013.pdf","Pr Sheet")</f>
        <v>Pr Sheet</v>
      </c>
      <c r="Y28" s="391" t="str">
        <f>HYPERLINK("\\Manish-pc\e\03 General\Manish\Selection\Slipring_Motor.pdf","M Slip Motor")</f>
        <v>M Slip Motor</v>
      </c>
      <c r="Z28" s="294"/>
      <c r="AA28" s="19"/>
      <c r="AB28" s="19"/>
      <c r="AC28" s="295"/>
      <c r="AD28" s="20"/>
      <c r="AE28" s="20"/>
      <c r="AF28" s="20"/>
      <c r="AG28" s="20"/>
      <c r="AH28" s="20"/>
      <c r="AJ28" s="19"/>
      <c r="AK28" s="19"/>
      <c r="AN28" s="299"/>
      <c r="AO28" s="19"/>
      <c r="AP28" s="53"/>
      <c r="AQ28" s="80"/>
      <c r="AR28" s="19"/>
      <c r="AS28" s="19"/>
      <c r="AU28" s="53"/>
      <c r="AY28" s="299"/>
      <c r="AZ28" s="19"/>
      <c r="BA28" s="53"/>
      <c r="BB28" s="80"/>
      <c r="BC28" s="19"/>
      <c r="BD28" s="19"/>
      <c r="BE28" s="20"/>
      <c r="BF28" s="20"/>
      <c r="BG28" s="20"/>
      <c r="BH28" s="20"/>
      <c r="BI28" s="20"/>
      <c r="BK28" s="53"/>
      <c r="BL28" s="80"/>
    </row>
    <row r="29" spans="1:65">
      <c r="A29" s="670"/>
      <c r="B29" s="187" t="s">
        <v>828</v>
      </c>
      <c r="C29" s="462" t="s">
        <v>829</v>
      </c>
      <c r="D29" s="462"/>
      <c r="E29" s="462"/>
      <c r="F29" s="462"/>
      <c r="G29" s="462"/>
      <c r="H29" s="17"/>
      <c r="I29" s="123"/>
      <c r="J29" s="911"/>
      <c r="W29" s="391" t="str">
        <f>HYPERLINK("\\Manish-pc\e\03 General\Manish\Selection\M_Sq_Price.pdf","M Sq Pr")</f>
        <v>M Sq Pr</v>
      </c>
      <c r="X29" s="391" t="str">
        <f>HYPERLINK("\\Manish-pc\e\03 General\Manish\Selection\Weight.pdf","Weight")</f>
        <v>Weight</v>
      </c>
      <c r="Y29" s="391" t="str">
        <f>HYPERLINK("\\Manish-pc\e\03 General\Manish\Selection\Marathon_LP.pdf","M Slip Price")</f>
        <v>M Slip Price</v>
      </c>
      <c r="Z29" s="294"/>
      <c r="AA29" s="19"/>
      <c r="AB29" s="19"/>
      <c r="AC29" s="295"/>
      <c r="AD29" s="20"/>
      <c r="AE29" s="20"/>
      <c r="AF29" s="20"/>
      <c r="AG29" s="20"/>
      <c r="AH29" s="20"/>
      <c r="AJ29" s="19"/>
      <c r="AK29" s="19"/>
      <c r="AN29" s="299"/>
      <c r="AO29" s="19"/>
      <c r="AP29" s="53"/>
      <c r="AQ29" s="80"/>
      <c r="AR29" s="19"/>
      <c r="AS29" s="19"/>
      <c r="AU29" s="53"/>
      <c r="AY29" s="299"/>
      <c r="AZ29" s="19"/>
      <c r="BA29" s="53"/>
      <c r="BB29" s="80"/>
      <c r="BC29" s="19"/>
      <c r="BD29" s="19"/>
      <c r="BE29" s="20"/>
      <c r="BF29" s="20"/>
      <c r="BG29" s="20"/>
      <c r="BH29" s="20"/>
      <c r="BI29" s="20"/>
      <c r="BK29" s="53"/>
      <c r="BL29" s="80"/>
    </row>
    <row r="30" spans="1:65" ht="15" customHeight="1">
      <c r="A30" s="3820"/>
      <c r="B30" s="929"/>
      <c r="C30" s="462" t="s">
        <v>830</v>
      </c>
      <c r="D30" s="462"/>
      <c r="E30" s="462"/>
      <c r="F30" s="462"/>
      <c r="G30" s="462"/>
      <c r="H30" s="3814" t="s">
        <v>831</v>
      </c>
      <c r="I30" s="3815"/>
      <c r="J30" s="911"/>
      <c r="W30" s="391" t="str">
        <f>HYPERLINK("\\Manish-pc\e\03 General\Manish\Selection\M_Sq_Price.xls","M Sq Pr Exl")</f>
        <v>M Sq Pr Exl</v>
      </c>
      <c r="X30" s="391" t="str">
        <f>HYPERLINK("\\Manish-pc\e\03 General\Manish\Selection\Siemens_Motor.pdf","Sie Nor H-F")</f>
        <v>Sie Nor H-F</v>
      </c>
      <c r="Y30" s="391" t="str">
        <f>HYPERLINK("\\Manish-pc\e\03 General\Manish\Selection\Siemens_F-B.pdf","Siem F-B")</f>
        <v>Siem F-B</v>
      </c>
      <c r="AF30" s="59"/>
      <c r="AG30" s="59"/>
      <c r="AH30" s="59"/>
      <c r="AJ30" s="19"/>
      <c r="AK30" s="19"/>
      <c r="AN30" s="299"/>
      <c r="AO30" s="19"/>
      <c r="AP30" s="59" t="s">
        <v>512</v>
      </c>
      <c r="AQ30" s="59" t="s">
        <v>1318</v>
      </c>
      <c r="AR30" s="59" t="s">
        <v>2185</v>
      </c>
      <c r="AS30" s="936" t="s">
        <v>121</v>
      </c>
      <c r="AT30" s="59" t="s">
        <v>275</v>
      </c>
      <c r="AU30" s="59" t="s">
        <v>274</v>
      </c>
      <c r="AY30" s="299"/>
      <c r="AZ30" s="19"/>
      <c r="BA30" s="53"/>
      <c r="BB30" s="80"/>
      <c r="BC30" s="19"/>
      <c r="BD30" s="19"/>
      <c r="BE30" s="20"/>
      <c r="BF30" s="20"/>
      <c r="BG30" s="20"/>
      <c r="BH30" s="20"/>
      <c r="BI30" s="20"/>
      <c r="BK30" s="53"/>
      <c r="BL30" s="80"/>
    </row>
    <row r="31" spans="1:65" ht="12" customHeight="1">
      <c r="A31" s="3820"/>
      <c r="B31" s="937" t="s">
        <v>160</v>
      </c>
      <c r="C31" s="20" t="str">
        <f>"("&amp;D31&amp;")n"</f>
        <v>(0.985)n</v>
      </c>
      <c r="D31" s="938" t="str">
        <f>IF(H30="Spur and Helical Gear Box","0.95",IF(H30="Hardened and ground Gear Box","0.985"))</f>
        <v>0.985</v>
      </c>
      <c r="E31" s="462" t="s">
        <v>832</v>
      </c>
      <c r="F31" s="462"/>
      <c r="G31" s="462"/>
      <c r="H31" s="55" t="s">
        <v>160</v>
      </c>
      <c r="I31" s="939">
        <f>POWER(D31,I28)</f>
        <v>0.970225</v>
      </c>
      <c r="J31" s="911"/>
      <c r="K31" s="80"/>
      <c r="V31" s="954"/>
      <c r="W31" s="391" t="str">
        <f>HYPERLINK("\\Manish-pc\e\03 General\Manish\Selection\","Selection Folder")</f>
        <v>Selection Folder</v>
      </c>
      <c r="X31" s="397" t="str">
        <f>HYPERLINK("\\Manish-pc\e\03 General\Manish\Selection\Siemens_Price.pdf","Siem Pr 2017")</f>
        <v>Siem Pr 2017</v>
      </c>
      <c r="Y31" s="391" t="str">
        <f>HYPERLINK("\\Manish-pc\e\03 General\Manish\Selection\Siemens_H-F.pdf","Siem H-F")</f>
        <v>Siem H-F</v>
      </c>
      <c r="AF31" s="59"/>
      <c r="AG31" s="59"/>
      <c r="AH31" s="59"/>
      <c r="AJ31" s="19"/>
      <c r="AK31" s="19"/>
      <c r="AN31" s="299"/>
      <c r="AO31" s="19"/>
      <c r="AP31" s="59">
        <v>0</v>
      </c>
      <c r="AQ31" s="59">
        <v>0.12</v>
      </c>
      <c r="AR31" s="936" t="s">
        <v>997</v>
      </c>
      <c r="AS31" s="936">
        <v>1350</v>
      </c>
      <c r="AT31" s="59">
        <v>20</v>
      </c>
      <c r="AU31" s="59">
        <v>10000</v>
      </c>
      <c r="AY31" s="299"/>
      <c r="AZ31" s="19"/>
      <c r="BA31" s="53"/>
      <c r="BB31" s="80"/>
      <c r="BC31" s="19"/>
      <c r="BD31" s="19"/>
      <c r="BE31" s="20"/>
      <c r="BF31" s="20"/>
      <c r="BG31" s="20"/>
      <c r="BH31" s="20"/>
      <c r="BI31" s="20"/>
      <c r="BK31" s="53"/>
      <c r="BL31" s="80"/>
    </row>
    <row r="32" spans="1:65">
      <c r="A32" s="670"/>
      <c r="B32" s="187" t="s">
        <v>833</v>
      </c>
      <c r="C32" s="22" t="s">
        <v>834</v>
      </c>
      <c r="E32" s="53" t="str">
        <f>'E Data'!D32&amp;"  ©  "</f>
        <v>50  ©  </v>
      </c>
      <c r="H32" s="462"/>
      <c r="I32" s="123">
        <f>'E Data'!D34</f>
        <v>1</v>
      </c>
      <c r="J32" s="911"/>
      <c r="V32" s="17"/>
      <c r="W32" s="17"/>
      <c r="X32" s="298"/>
      <c r="Y32" s="19"/>
      <c r="AF32" s="59"/>
      <c r="AG32" s="59"/>
      <c r="AH32" s="59"/>
      <c r="AJ32" s="19"/>
      <c r="AK32" s="19"/>
      <c r="AN32" s="299"/>
      <c r="AO32" s="19"/>
      <c r="AP32" s="59">
        <v>0.12</v>
      </c>
      <c r="AQ32" s="59">
        <v>0.18</v>
      </c>
      <c r="AR32" s="936" t="s">
        <v>997</v>
      </c>
      <c r="AS32" s="936">
        <v>1350</v>
      </c>
      <c r="AT32" s="59">
        <v>25</v>
      </c>
      <c r="AU32" s="59">
        <v>12000</v>
      </c>
      <c r="AY32" s="299"/>
      <c r="AZ32" s="19"/>
      <c r="BA32" s="53"/>
      <c r="BB32" s="80"/>
      <c r="BC32" s="19"/>
      <c r="BD32" s="19"/>
      <c r="BE32" s="20"/>
      <c r="BF32" s="20"/>
      <c r="BG32" s="20"/>
      <c r="BH32" s="20"/>
      <c r="BI32" s="20"/>
      <c r="BK32" s="53"/>
      <c r="BL32" s="80"/>
    </row>
    <row r="33" spans="1:64">
      <c r="A33" s="670"/>
      <c r="B33" s="187"/>
      <c r="H33" s="462"/>
      <c r="I33" s="918"/>
      <c r="J33" s="338" t="s">
        <v>245</v>
      </c>
      <c r="V33" s="17"/>
      <c r="W33" s="17"/>
      <c r="X33" s="298"/>
      <c r="Y33" s="19"/>
      <c r="AF33" s="59"/>
      <c r="AG33" s="59"/>
      <c r="AH33" s="59"/>
      <c r="AJ33" s="19"/>
      <c r="AK33" s="19"/>
      <c r="AN33" s="299"/>
      <c r="AO33" s="19"/>
      <c r="AP33" s="59">
        <v>0.18</v>
      </c>
      <c r="AQ33" s="59">
        <v>0.25</v>
      </c>
      <c r="AR33" s="936" t="s">
        <v>998</v>
      </c>
      <c r="AS33" s="53">
        <v>1400</v>
      </c>
      <c r="AT33" s="59">
        <v>26</v>
      </c>
      <c r="AU33" s="59">
        <v>16000</v>
      </c>
      <c r="AY33" s="299"/>
      <c r="AZ33" s="19"/>
      <c r="BA33" s="53"/>
      <c r="BB33" s="80"/>
      <c r="BC33" s="19"/>
      <c r="BD33" s="19"/>
      <c r="BE33" s="20"/>
      <c r="BF33" s="20"/>
      <c r="BG33" s="20"/>
      <c r="BH33" s="20"/>
      <c r="BI33" s="20"/>
      <c r="BK33" s="53"/>
      <c r="BL33" s="80"/>
    </row>
    <row r="34" spans="1:64">
      <c r="A34" s="670"/>
      <c r="D34" s="80" t="s">
        <v>2744</v>
      </c>
      <c r="F34" s="462"/>
      <c r="G34" s="55"/>
      <c r="H34" s="940" t="s">
        <v>160</v>
      </c>
      <c r="I34" s="908">
        <f>((((((I19*I20*I22*I23)/(6117*I24))*(I25+((1100*I26)/(981*I31))))))*(I27/I32))+((I11*I20*I27)/(6117*I24))</f>
        <v>0.7475763842813713</v>
      </c>
      <c r="J34" s="941">
        <f>((I19*I20/6117/I24)*(I25+(1100*I26/981/I31))*I27)+((I11*I20*I27)/(6117*I24))</f>
        <v>0.56420859191046879</v>
      </c>
      <c r="V34" s="17"/>
      <c r="W34" s="17"/>
      <c r="X34" s="303"/>
      <c r="Y34" s="19"/>
      <c r="AF34" s="59"/>
      <c r="AG34" s="59"/>
      <c r="AH34" s="59"/>
      <c r="AJ34" s="19"/>
      <c r="AK34" s="19"/>
      <c r="AN34" s="299"/>
      <c r="AO34" s="17"/>
      <c r="AP34" s="59">
        <v>0.25</v>
      </c>
      <c r="AQ34" s="59">
        <v>0.37</v>
      </c>
      <c r="AR34" s="936" t="s">
        <v>998</v>
      </c>
      <c r="AS34" s="936">
        <v>1400</v>
      </c>
      <c r="AT34" s="59">
        <v>30</v>
      </c>
      <c r="AU34" s="59">
        <v>20000</v>
      </c>
      <c r="AY34" s="299"/>
      <c r="AZ34" s="216"/>
      <c r="BA34" s="53"/>
      <c r="BB34" s="80"/>
      <c r="BC34" s="19"/>
      <c r="BD34" s="19"/>
      <c r="BE34" s="20"/>
      <c r="BF34" s="20"/>
      <c r="BG34" s="20"/>
      <c r="BH34" s="20"/>
      <c r="BI34" s="20"/>
      <c r="BK34" s="53"/>
      <c r="BL34" s="80"/>
    </row>
    <row r="35" spans="1:64">
      <c r="A35" s="670"/>
      <c r="B35" s="915"/>
      <c r="C35" s="462"/>
      <c r="D35" s="942"/>
      <c r="E35" s="462"/>
      <c r="F35" s="783"/>
      <c r="G35" s="943" t="s">
        <v>250</v>
      </c>
      <c r="H35" s="944">
        <v>0</v>
      </c>
      <c r="I35" s="945">
        <f>I34+I34*H35</f>
        <v>0.7475763842813713</v>
      </c>
      <c r="J35" s="946"/>
      <c r="V35" s="17"/>
      <c r="W35" s="17"/>
      <c r="X35" s="298"/>
      <c r="Y35" s="19"/>
      <c r="AF35" s="59"/>
      <c r="AG35" s="59"/>
      <c r="AH35" s="59"/>
      <c r="AJ35" s="19"/>
      <c r="AK35" s="19"/>
      <c r="AN35" s="299"/>
      <c r="AO35" s="17"/>
      <c r="AP35" s="59">
        <v>0.37</v>
      </c>
      <c r="AQ35" s="59">
        <v>0.55000000000000004</v>
      </c>
      <c r="AR35" s="936" t="s">
        <v>999</v>
      </c>
      <c r="AS35" s="936">
        <v>1400</v>
      </c>
      <c r="AT35" s="59">
        <v>50</v>
      </c>
      <c r="AU35" s="59">
        <v>25000</v>
      </c>
      <c r="AY35" s="299"/>
      <c r="AZ35" s="216"/>
      <c r="BA35" s="53"/>
      <c r="BB35" s="80"/>
      <c r="BC35" s="19"/>
      <c r="BD35" s="19"/>
      <c r="BE35" s="20"/>
      <c r="BF35" s="20"/>
      <c r="BG35" s="20"/>
      <c r="BH35" s="20"/>
      <c r="BI35" s="20"/>
      <c r="BK35" s="53"/>
      <c r="BL35" s="80"/>
    </row>
    <row r="36" spans="1:64">
      <c r="A36" s="670"/>
      <c r="B36" s="673"/>
      <c r="C36" s="20"/>
      <c r="D36" s="20"/>
      <c r="E36" s="20"/>
      <c r="F36" s="20"/>
      <c r="G36" s="346" t="str">
        <f>IF(I40="Slipring","Slip Ring Factor 6 %","")</f>
        <v/>
      </c>
      <c r="H36" s="20"/>
      <c r="I36" s="17"/>
      <c r="J36" s="468"/>
      <c r="K36" s="17"/>
      <c r="L36" s="19"/>
      <c r="S36" s="20"/>
      <c r="T36" s="17"/>
      <c r="U36" s="17"/>
      <c r="V36" s="17"/>
      <c r="W36" s="17"/>
      <c r="X36" s="298"/>
      <c r="Y36" s="19"/>
      <c r="AF36" s="59"/>
      <c r="AG36" s="59"/>
      <c r="AH36" s="59"/>
      <c r="AJ36" s="19"/>
      <c r="AK36" s="19"/>
      <c r="AN36" s="299"/>
      <c r="AO36" s="17"/>
      <c r="AP36" s="59">
        <v>0.55000000000000004</v>
      </c>
      <c r="AQ36" s="59">
        <v>0.75</v>
      </c>
      <c r="AR36" s="936" t="s">
        <v>1002</v>
      </c>
      <c r="AS36" s="936">
        <v>1420</v>
      </c>
      <c r="AT36" s="59">
        <v>160</v>
      </c>
      <c r="AU36" s="59">
        <v>30000</v>
      </c>
      <c r="AY36" s="299"/>
      <c r="AZ36" s="216"/>
      <c r="BA36" s="53"/>
      <c r="BB36" s="80"/>
      <c r="BC36" s="19"/>
      <c r="BD36" s="19"/>
      <c r="BE36" s="20"/>
      <c r="BF36" s="20"/>
      <c r="BG36" s="20"/>
      <c r="BH36" s="20"/>
      <c r="BI36" s="20"/>
      <c r="BK36" s="53"/>
      <c r="BL36" s="80"/>
    </row>
    <row r="37" spans="1:64" ht="14.65" thickBot="1">
      <c r="A37" s="670"/>
      <c r="B37" s="673"/>
      <c r="C37" s="947" t="s">
        <v>835</v>
      </c>
      <c r="F37" s="306"/>
      <c r="G37" s="947"/>
      <c r="H37" s="947"/>
      <c r="I37" s="462"/>
      <c r="J37" s="911"/>
      <c r="K37" s="334" t="str">
        <f>IF(I40="Slipring",IF(H35=6%,IF(I35&lt;I49,"Right","Wrong"),"Wrong"),IF(I35&lt;I49,"Right","Wrong"))</f>
        <v>Right</v>
      </c>
      <c r="L37" s="19"/>
      <c r="M37" s="22" t="s">
        <v>261</v>
      </c>
      <c r="S37" s="20"/>
      <c r="T37" s="17"/>
      <c r="U37" s="17"/>
      <c r="V37" s="17"/>
      <c r="W37" s="17"/>
      <c r="X37" s="303"/>
      <c r="Y37" s="19"/>
      <c r="AF37" s="59"/>
      <c r="AG37" s="59"/>
      <c r="AH37" s="59"/>
      <c r="AJ37" s="19"/>
      <c r="AK37" s="19"/>
      <c r="AN37" s="299"/>
      <c r="AO37" s="17"/>
      <c r="AP37" s="59">
        <v>0.75</v>
      </c>
      <c r="AQ37" s="59">
        <v>1.1000000000000001</v>
      </c>
      <c r="AR37" s="948" t="s">
        <v>1002</v>
      </c>
      <c r="AS37" s="936">
        <v>1420</v>
      </c>
      <c r="AT37" s="59">
        <v>150</v>
      </c>
      <c r="AU37" s="59">
        <v>35000</v>
      </c>
      <c r="AY37" s="299"/>
      <c r="AZ37" s="216"/>
      <c r="BA37" s="53"/>
      <c r="BB37" s="80"/>
      <c r="BC37" s="19"/>
      <c r="BD37" s="19"/>
      <c r="BE37" s="20"/>
      <c r="BF37" s="20"/>
      <c r="BG37" s="20"/>
      <c r="BH37" s="20"/>
      <c r="BI37" s="20"/>
      <c r="BK37" s="53"/>
      <c r="BL37" s="80"/>
    </row>
    <row r="38" spans="1:64" ht="12.95" customHeight="1" thickBot="1">
      <c r="A38" s="670"/>
      <c r="B38" s="917"/>
      <c r="C38" s="917"/>
      <c r="D38" s="917"/>
      <c r="E38" s="917"/>
      <c r="F38" s="949"/>
      <c r="G38" s="949"/>
      <c r="H38" s="950"/>
      <c r="I38" s="950"/>
      <c r="J38" s="123"/>
      <c r="K38" s="951">
        <f>IF(I39="Gear Brake Motor",0,1)</f>
        <v>0</v>
      </c>
      <c r="L38" s="952"/>
      <c r="M38" s="333" t="s">
        <v>859</v>
      </c>
      <c r="T38" s="17"/>
      <c r="U38" s="17"/>
      <c r="V38" s="17"/>
      <c r="W38" s="17"/>
      <c r="X38" s="298"/>
      <c r="Y38" s="19"/>
      <c r="AF38" s="59"/>
      <c r="AG38" s="59"/>
      <c r="AH38" s="59"/>
      <c r="AJ38" s="19"/>
      <c r="AK38" s="19"/>
      <c r="AN38" s="299"/>
      <c r="AO38" s="19"/>
      <c r="AP38" s="59">
        <v>1.1000000000000001</v>
      </c>
      <c r="AQ38" s="59">
        <v>1.5</v>
      </c>
      <c r="AR38" s="948" t="s">
        <v>1002</v>
      </c>
      <c r="AS38" s="936">
        <v>1420</v>
      </c>
      <c r="AT38" s="59">
        <v>180</v>
      </c>
      <c r="AU38" s="59">
        <v>41000</v>
      </c>
      <c r="AY38" s="299"/>
      <c r="AZ38" s="19"/>
      <c r="BA38" s="53"/>
      <c r="BB38" s="80"/>
      <c r="BC38" s="19"/>
      <c r="BD38" s="19"/>
      <c r="BE38" s="20"/>
      <c r="BF38" s="20"/>
      <c r="BG38" s="20"/>
      <c r="BH38" s="20"/>
      <c r="BI38" s="20"/>
      <c r="BK38" s="53"/>
      <c r="BL38" s="80"/>
    </row>
    <row r="39" spans="1:64">
      <c r="A39" s="670"/>
      <c r="B39" s="17"/>
      <c r="C39" s="118" t="s">
        <v>836</v>
      </c>
      <c r="D39" s="118"/>
      <c r="E39" s="118"/>
      <c r="F39" s="118"/>
      <c r="G39" s="118"/>
      <c r="H39" s="79"/>
      <c r="I39" s="491" t="str">
        <f>'E Data'!D52</f>
        <v>Gear Brake Motor</v>
      </c>
      <c r="K39" s="3816" t="s">
        <v>838</v>
      </c>
      <c r="L39" s="3817"/>
      <c r="P39" s="2511" t="str">
        <f>HYPERLINK("\\\\SERVER\e\07 Data Bank\GBM\PBL/F-SERIES FINAL CATALOGUE.pdf","F Series")</f>
        <v>F Series</v>
      </c>
      <c r="T39" s="17"/>
      <c r="U39" s="17"/>
      <c r="V39" s="17"/>
      <c r="W39" s="17"/>
      <c r="X39" s="303"/>
      <c r="Y39" s="19"/>
      <c r="AF39" s="59"/>
      <c r="AG39" s="59"/>
      <c r="AH39" s="59"/>
      <c r="AJ39" s="19"/>
      <c r="AK39" s="19"/>
      <c r="AN39" s="299"/>
      <c r="AO39" s="19"/>
      <c r="AP39" s="59">
        <v>1.5</v>
      </c>
      <c r="AQ39" s="59">
        <v>2.2000000000000002</v>
      </c>
      <c r="AR39" s="936" t="s">
        <v>1003</v>
      </c>
      <c r="AS39" s="936">
        <v>1420</v>
      </c>
      <c r="AT39" s="59">
        <v>200</v>
      </c>
      <c r="AU39" s="59">
        <v>46000</v>
      </c>
      <c r="AY39" s="299"/>
      <c r="AZ39" s="19"/>
      <c r="BA39" s="53"/>
      <c r="BB39" s="80"/>
      <c r="BC39" s="19"/>
      <c r="BD39" s="19"/>
      <c r="BE39" s="20"/>
      <c r="BF39" s="20"/>
      <c r="BG39" s="20"/>
      <c r="BH39" s="20"/>
      <c r="BI39" s="20"/>
      <c r="BK39" s="53"/>
      <c r="BL39" s="80"/>
    </row>
    <row r="40" spans="1:64" ht="14.65" thickBot="1">
      <c r="A40" s="670"/>
      <c r="B40" s="17"/>
      <c r="C40" s="80" t="s">
        <v>258</v>
      </c>
      <c r="D40" s="190"/>
      <c r="E40" s="190"/>
      <c r="F40" s="190"/>
      <c r="G40" s="190"/>
      <c r="H40" s="187"/>
      <c r="I40" s="108" t="str">
        <f>'E Data'!C90</f>
        <v>Sq. Cage Motor</v>
      </c>
      <c r="J40" s="187"/>
      <c r="K40" s="3818" t="s">
        <v>839</v>
      </c>
      <c r="L40" s="3819"/>
      <c r="T40" s="20"/>
      <c r="X40" s="298"/>
      <c r="Y40" s="19"/>
      <c r="AF40" s="59"/>
      <c r="AG40" s="59"/>
      <c r="AH40" s="59"/>
      <c r="AJ40" s="19"/>
      <c r="AK40" s="19"/>
      <c r="AN40" s="299"/>
      <c r="AO40" s="19"/>
      <c r="AP40" s="59">
        <v>2.2000000000000002</v>
      </c>
      <c r="AQ40" s="59">
        <v>3</v>
      </c>
      <c r="AR40" s="948" t="s">
        <v>1003</v>
      </c>
      <c r="AS40" s="936">
        <v>1420</v>
      </c>
      <c r="AT40" s="59">
        <v>250</v>
      </c>
      <c r="AU40" s="59">
        <v>50000</v>
      </c>
      <c r="AY40" s="299"/>
      <c r="AZ40" s="19"/>
      <c r="BA40" s="53"/>
      <c r="BB40" s="80"/>
      <c r="BC40" s="19"/>
      <c r="BD40" s="19"/>
      <c r="BE40" s="20"/>
      <c r="BF40" s="20"/>
      <c r="BG40" s="20"/>
      <c r="BH40" s="20"/>
      <c r="BI40" s="20"/>
      <c r="BK40" s="53"/>
      <c r="BL40" s="80"/>
    </row>
    <row r="41" spans="1:64" ht="11.1" customHeight="1" thickBot="1">
      <c r="A41" s="670"/>
      <c r="B41" s="17"/>
      <c r="C41" s="80"/>
      <c r="D41" s="190"/>
      <c r="E41" s="190"/>
      <c r="F41" s="190"/>
      <c r="G41" s="190"/>
      <c r="H41" s="187"/>
      <c r="I41" s="108"/>
      <c r="J41" s="187"/>
      <c r="K41" s="951">
        <f>VLOOKUP(I40,A100:B101,2,0)</f>
        <v>0</v>
      </c>
      <c r="T41" s="20"/>
      <c r="X41" s="303"/>
      <c r="Y41" s="19"/>
      <c r="AF41" s="59"/>
      <c r="AG41" s="59"/>
      <c r="AH41" s="59"/>
      <c r="AJ41" s="19"/>
      <c r="AK41" s="19"/>
      <c r="AN41" s="299"/>
      <c r="AO41" s="17"/>
      <c r="AP41" s="59">
        <v>3</v>
      </c>
      <c r="AQ41" s="59">
        <v>4</v>
      </c>
      <c r="AR41" s="936" t="s">
        <v>1004</v>
      </c>
      <c r="AS41" s="936">
        <f t="shared" ref="AS41:AS51" si="1">+AS40</f>
        <v>1420</v>
      </c>
      <c r="AT41" s="59">
        <v>300</v>
      </c>
      <c r="AU41" s="59">
        <v>70000</v>
      </c>
      <c r="AY41" s="299"/>
      <c r="AZ41" s="19"/>
      <c r="BA41" s="53"/>
      <c r="BB41" s="80"/>
      <c r="BC41" s="19"/>
      <c r="BD41" s="19"/>
      <c r="BE41" s="20"/>
      <c r="BF41" s="20"/>
      <c r="BG41" s="20"/>
      <c r="BH41" s="20"/>
      <c r="BI41" s="20"/>
      <c r="BK41" s="53"/>
      <c r="BL41" s="80"/>
    </row>
    <row r="42" spans="1:64" ht="14.65" thickBot="1">
      <c r="A42" s="670"/>
      <c r="B42" s="17"/>
      <c r="C42" s="80" t="s">
        <v>260</v>
      </c>
      <c r="D42" s="190"/>
      <c r="E42" s="190"/>
      <c r="F42" s="190"/>
      <c r="G42" s="190"/>
      <c r="H42" s="187"/>
      <c r="I42" s="506" t="str">
        <f>B93</f>
        <v>PBL</v>
      </c>
      <c r="J42" s="953"/>
      <c r="M42" s="333"/>
      <c r="T42" s="20"/>
      <c r="X42" s="298"/>
      <c r="Y42" s="19"/>
      <c r="AF42" s="59"/>
      <c r="AG42" s="59"/>
      <c r="AH42" s="59"/>
      <c r="AJ42" s="19"/>
      <c r="AK42" s="19"/>
      <c r="AN42" s="299"/>
      <c r="AP42" s="59">
        <v>4</v>
      </c>
      <c r="AQ42" s="59">
        <v>5.5</v>
      </c>
      <c r="AR42" s="948" t="s">
        <v>1004</v>
      </c>
      <c r="AS42" s="936">
        <f t="shared" si="1"/>
        <v>1420</v>
      </c>
      <c r="AT42" s="59">
        <v>350</v>
      </c>
      <c r="AU42" s="59">
        <v>80000</v>
      </c>
      <c r="AY42" s="299"/>
      <c r="AZ42" s="216"/>
      <c r="BA42" s="216"/>
      <c r="BB42" s="88"/>
      <c r="BC42" s="19"/>
      <c r="BD42" s="19"/>
      <c r="BE42" s="20"/>
      <c r="BF42" s="20"/>
      <c r="BG42" s="20"/>
      <c r="BH42" s="20"/>
      <c r="BI42" s="20"/>
      <c r="BK42" s="53"/>
      <c r="BL42" s="80"/>
    </row>
    <row r="43" spans="1:64" ht="14.65" thickBot="1">
      <c r="A43" s="670"/>
      <c r="B43" s="17"/>
      <c r="C43" s="80" t="s">
        <v>262</v>
      </c>
      <c r="D43" s="190"/>
      <c r="E43" s="190"/>
      <c r="F43" s="190"/>
      <c r="G43" s="190"/>
      <c r="H43" s="187"/>
      <c r="I43" s="167">
        <f>C93</f>
        <v>4</v>
      </c>
      <c r="J43" s="953"/>
      <c r="K43" s="951">
        <f>+K41</f>
        <v>0</v>
      </c>
      <c r="L43" s="954"/>
      <c r="M43" s="954"/>
      <c r="S43" s="19" t="str">
        <f>IF(I39="Conventional Motor",MH!T32,"Gear Brake Motor")</f>
        <v>Gear Brake Motor</v>
      </c>
      <c r="X43" s="303"/>
      <c r="Y43" s="19"/>
      <c r="AF43" s="59"/>
      <c r="AG43" s="59"/>
      <c r="AH43" s="59"/>
      <c r="AJ43" s="19"/>
      <c r="AK43" s="19"/>
      <c r="AN43" s="219"/>
      <c r="AP43" s="59">
        <v>5.5</v>
      </c>
      <c r="AQ43" s="59">
        <v>7.5</v>
      </c>
      <c r="AR43" s="936" t="s">
        <v>1005</v>
      </c>
      <c r="AS43" s="936">
        <f t="shared" si="1"/>
        <v>1420</v>
      </c>
      <c r="AT43" s="59">
        <v>400</v>
      </c>
      <c r="AU43" s="59">
        <v>100000</v>
      </c>
      <c r="AY43" s="219"/>
      <c r="AZ43" s="53"/>
      <c r="BA43" s="216"/>
      <c r="BB43" s="218"/>
      <c r="BC43" s="19"/>
      <c r="BD43" s="19"/>
      <c r="BE43" s="20"/>
      <c r="BF43" s="20"/>
      <c r="BG43" s="20"/>
      <c r="BH43" s="20"/>
      <c r="BI43" s="20"/>
      <c r="BK43" s="53"/>
      <c r="BL43" s="80"/>
    </row>
    <row r="44" spans="1:64">
      <c r="A44" s="670"/>
      <c r="B44" s="17"/>
      <c r="C44" s="80" t="s">
        <v>264</v>
      </c>
      <c r="D44" s="190"/>
      <c r="E44" s="190"/>
      <c r="F44" s="190"/>
      <c r="G44" s="190"/>
      <c r="H44" s="187"/>
      <c r="I44" s="197" t="str">
        <f>D93</f>
        <v>S1-100</v>
      </c>
      <c r="J44" s="187"/>
      <c r="K44" s="807" t="s">
        <v>347</v>
      </c>
      <c r="L44" s="360" t="s">
        <v>2593</v>
      </c>
      <c r="M44" s="361" t="s">
        <v>2496</v>
      </c>
      <c r="N44" s="361" t="s">
        <v>119</v>
      </c>
      <c r="O44" s="361" t="s">
        <v>121</v>
      </c>
      <c r="P44" s="361" t="s">
        <v>274</v>
      </c>
      <c r="Q44" s="361" t="s">
        <v>2497</v>
      </c>
      <c r="R44" s="145" t="s">
        <v>451</v>
      </c>
      <c r="S44" s="363"/>
      <c r="X44" s="298"/>
      <c r="Y44" s="19"/>
      <c r="AF44" s="59"/>
      <c r="AG44" s="59"/>
      <c r="AH44" s="59"/>
      <c r="AJ44" s="19"/>
      <c r="AK44" s="19"/>
      <c r="AN44" s="219"/>
      <c r="AP44" s="59">
        <v>7.5</v>
      </c>
      <c r="AQ44" s="59">
        <v>9.5</v>
      </c>
      <c r="AR44" s="936" t="s">
        <v>1005</v>
      </c>
      <c r="AS44" s="936">
        <f t="shared" si="1"/>
        <v>1420</v>
      </c>
      <c r="AT44" s="59">
        <v>450</v>
      </c>
      <c r="AU44" s="59">
        <v>150000</v>
      </c>
      <c r="AY44" s="219"/>
      <c r="AZ44" s="53"/>
      <c r="BA44" s="19"/>
      <c r="BB44" s="80"/>
      <c r="BC44" s="19"/>
      <c r="BD44" s="19"/>
      <c r="BE44" s="20"/>
      <c r="BF44" s="20"/>
      <c r="BG44" s="20"/>
      <c r="BH44" s="20"/>
      <c r="BI44" s="20"/>
      <c r="BK44" s="53"/>
      <c r="BL44" s="80"/>
    </row>
    <row r="45" spans="1:64">
      <c r="A45" s="670"/>
      <c r="B45" s="17"/>
      <c r="C45" s="118" t="s">
        <v>267</v>
      </c>
      <c r="D45" s="118"/>
      <c r="E45" s="118"/>
      <c r="F45" s="118"/>
      <c r="G45" s="195"/>
      <c r="H45" s="108"/>
      <c r="I45" s="197">
        <f>E93</f>
        <v>150</v>
      </c>
      <c r="J45" s="187"/>
      <c r="K45" s="159" t="s">
        <v>837</v>
      </c>
      <c r="L45" s="145" t="s">
        <v>2594</v>
      </c>
      <c r="M45" s="145">
        <f>AQ53</f>
        <v>0.75</v>
      </c>
      <c r="N45" s="145" t="str">
        <f>AR53</f>
        <v>BF60</v>
      </c>
      <c r="O45" s="145">
        <f>AS53</f>
        <v>1420</v>
      </c>
      <c r="P45" s="145">
        <f>AU53</f>
        <v>30000</v>
      </c>
      <c r="Q45" s="145">
        <f>AT53</f>
        <v>160</v>
      </c>
      <c r="R45" s="955"/>
      <c r="S45" s="53" t="str">
        <f>VLOOKUP(S43,K45:R49,4,0)</f>
        <v>BF60</v>
      </c>
      <c r="X45" s="303"/>
      <c r="Y45" s="19"/>
      <c r="AF45" s="59"/>
      <c r="AG45" s="59"/>
      <c r="AH45" s="59"/>
      <c r="AJ45" s="19"/>
      <c r="AK45" s="19"/>
      <c r="AN45" s="298"/>
      <c r="AP45" s="59">
        <v>9.5</v>
      </c>
      <c r="AQ45" s="59">
        <v>11</v>
      </c>
      <c r="AR45" s="936" t="s">
        <v>1005</v>
      </c>
      <c r="AS45" s="936">
        <f t="shared" si="1"/>
        <v>1420</v>
      </c>
      <c r="AT45" s="59">
        <v>500</v>
      </c>
      <c r="AU45" s="59">
        <v>200000</v>
      </c>
      <c r="AY45" s="298"/>
      <c r="AZ45" s="53"/>
      <c r="BA45" s="19"/>
      <c r="BB45" s="80"/>
      <c r="BC45" s="19"/>
      <c r="BD45" s="19"/>
      <c r="BE45" s="20"/>
      <c r="BF45" s="20"/>
      <c r="BG45" s="20"/>
      <c r="BH45" s="20"/>
      <c r="BI45" s="20"/>
      <c r="BK45" s="53"/>
      <c r="BL45" s="80"/>
    </row>
    <row r="46" spans="1:64">
      <c r="A46" s="670"/>
      <c r="B46" s="20"/>
      <c r="C46" s="80" t="s">
        <v>840</v>
      </c>
      <c r="D46" s="190"/>
      <c r="E46" s="190"/>
      <c r="F46" s="190"/>
      <c r="G46" s="190"/>
      <c r="H46" s="187"/>
      <c r="I46" s="956">
        <v>2</v>
      </c>
      <c r="J46" s="187"/>
      <c r="K46" s="169" t="str">
        <f>'E Motor &amp; Drive'!AA65</f>
        <v xml:space="preserve">SQ Marathon </v>
      </c>
      <c r="L46" s="372" t="str">
        <f>'E Motor &amp; Drive'!AB65</f>
        <v>S1-100</v>
      </c>
      <c r="M46" s="372" t="b">
        <f>'E Motor &amp; Drive'!AC65</f>
        <v>0</v>
      </c>
      <c r="N46" s="372" t="b">
        <f>'E Motor &amp; Drive'!AD65</f>
        <v>0</v>
      </c>
      <c r="O46" s="372" t="b">
        <f>'E Motor &amp; Drive'!AE65</f>
        <v>0</v>
      </c>
      <c r="P46" s="957">
        <f>L53</f>
        <v>0</v>
      </c>
      <c r="Q46" s="372" t="b">
        <f>'E Motor &amp; Drive'!AG65</f>
        <v>0</v>
      </c>
      <c r="R46" s="374">
        <f>'E Motor &amp; Drive'!AH65</f>
        <v>0.4</v>
      </c>
      <c r="S46" s="53">
        <f>VLOOKUP(S43,K45:R49,3,0)</f>
        <v>0.75</v>
      </c>
      <c r="X46" s="298"/>
      <c r="Y46" s="19"/>
      <c r="AF46" s="59"/>
      <c r="AG46" s="59"/>
      <c r="AH46" s="59"/>
      <c r="AJ46" s="19"/>
      <c r="AK46" s="19"/>
      <c r="AN46" s="298"/>
      <c r="AP46" s="59">
        <v>11</v>
      </c>
      <c r="AQ46" s="59">
        <v>15</v>
      </c>
      <c r="AR46" s="936" t="s">
        <v>1005</v>
      </c>
      <c r="AS46" s="936">
        <f t="shared" si="1"/>
        <v>1420</v>
      </c>
      <c r="AT46" s="59">
        <v>550</v>
      </c>
      <c r="AU46" s="59">
        <v>240000</v>
      </c>
      <c r="AY46" s="298"/>
      <c r="AZ46" s="53"/>
      <c r="BA46" s="19"/>
      <c r="BB46" s="80"/>
      <c r="BC46" s="19"/>
      <c r="BD46" s="19"/>
      <c r="BE46" s="20"/>
      <c r="BF46" s="20"/>
      <c r="BG46" s="20"/>
      <c r="BH46" s="20"/>
      <c r="BI46" s="20"/>
      <c r="BK46" s="53"/>
      <c r="BL46" s="80"/>
    </row>
    <row r="47" spans="1:64" ht="16.5" customHeight="1">
      <c r="B47" s="17"/>
      <c r="K47" s="169" t="str">
        <f>'E Motor &amp; Drive'!AA66</f>
        <v xml:space="preserve">Slipring Marathon </v>
      </c>
      <c r="L47" s="372" t="str">
        <f>'E Motor &amp; Drive'!AB66</f>
        <v>S1-100</v>
      </c>
      <c r="M47" s="372" t="b">
        <f>'E Motor &amp; Drive'!AC66</f>
        <v>0</v>
      </c>
      <c r="N47" s="372" t="b">
        <f>'E Motor &amp; Drive'!AD66</f>
        <v>0</v>
      </c>
      <c r="O47" s="372" t="b">
        <f>'E Motor &amp; Drive'!AE66</f>
        <v>0</v>
      </c>
      <c r="P47" s="372" t="b">
        <f>'E Motor &amp; Drive'!AF66</f>
        <v>0</v>
      </c>
      <c r="Q47" s="372" t="b">
        <f>'E Motor &amp; Drive'!AG66</f>
        <v>0</v>
      </c>
      <c r="R47" s="374">
        <f>'E Motor &amp; Drive'!AH66</f>
        <v>0.4</v>
      </c>
      <c r="S47" s="53">
        <f>VLOOKUP(S43,K45:R49,5,0)</f>
        <v>1420</v>
      </c>
      <c r="X47" s="303"/>
      <c r="Y47" s="19"/>
      <c r="AF47" s="59"/>
      <c r="AG47" s="59"/>
      <c r="AH47" s="59"/>
      <c r="AJ47" s="19"/>
      <c r="AK47" s="19"/>
      <c r="AN47" s="298"/>
      <c r="AP47" s="59">
        <v>15</v>
      </c>
      <c r="AQ47" s="59">
        <v>18.5</v>
      </c>
      <c r="AR47" s="936" t="s">
        <v>1005</v>
      </c>
      <c r="AS47" s="936">
        <f t="shared" si="1"/>
        <v>1420</v>
      </c>
      <c r="AT47" s="59">
        <v>600</v>
      </c>
      <c r="AU47" s="59">
        <v>300000</v>
      </c>
    </row>
    <row r="48" spans="1:64">
      <c r="A48" s="670"/>
      <c r="B48" s="17"/>
      <c r="C48" s="80" t="s">
        <v>268</v>
      </c>
      <c r="D48" s="190"/>
      <c r="E48" s="190"/>
      <c r="F48" s="190"/>
      <c r="G48" s="909"/>
      <c r="H48" s="910"/>
      <c r="I48" s="123" t="s">
        <v>133</v>
      </c>
      <c r="J48" s="187"/>
      <c r="K48" s="169" t="str">
        <f>'E Motor &amp; Drive'!AA67</f>
        <v>Siemens H/F</v>
      </c>
      <c r="L48" s="372" t="str">
        <f>'E Motor &amp; Drive'!AB67</f>
        <v>S1-100</v>
      </c>
      <c r="M48" s="372" t="b">
        <f>'E Motor &amp; Drive'!AC67</f>
        <v>0</v>
      </c>
      <c r="N48" s="372" t="b">
        <f>'E Motor &amp; Drive'!AD67</f>
        <v>0</v>
      </c>
      <c r="O48" s="372" t="b">
        <f>'E Motor &amp; Drive'!AE67</f>
        <v>0</v>
      </c>
      <c r="P48" s="372" t="b">
        <f>'E Motor &amp; Drive'!AF67</f>
        <v>0</v>
      </c>
      <c r="Q48" s="372" t="b">
        <f>'E Motor &amp; Drive'!AG67</f>
        <v>0</v>
      </c>
      <c r="R48" s="374">
        <f>'E Motor &amp; Drive'!AH67</f>
        <v>0.68</v>
      </c>
      <c r="S48" s="53">
        <f>VLOOKUP(S43,K45:R49,7,0)</f>
        <v>160</v>
      </c>
      <c r="V48" s="17"/>
      <c r="W48" s="17"/>
      <c r="X48" s="298"/>
      <c r="Y48" s="19"/>
      <c r="AF48" s="59"/>
      <c r="AG48" s="59"/>
      <c r="AH48" s="59"/>
      <c r="AJ48" s="19"/>
      <c r="AK48" s="19"/>
      <c r="AN48" s="298"/>
      <c r="AP48" s="59">
        <v>18.5</v>
      </c>
      <c r="AQ48" s="59">
        <v>22</v>
      </c>
      <c r="AR48" s="936" t="s">
        <v>1005</v>
      </c>
      <c r="AS48" s="936">
        <f t="shared" si="1"/>
        <v>1420</v>
      </c>
      <c r="AT48" s="59">
        <v>650</v>
      </c>
      <c r="AU48" s="59">
        <v>400000</v>
      </c>
    </row>
    <row r="49" spans="1:50" ht="15.75" customHeight="1">
      <c r="A49" s="670"/>
      <c r="B49" s="17"/>
      <c r="C49" s="80" t="s">
        <v>841</v>
      </c>
      <c r="D49" s="53" t="str">
        <f>'E Data'!D32&amp;"  ©  "</f>
        <v>50  ©  </v>
      </c>
      <c r="G49" s="190"/>
      <c r="H49" s="187"/>
      <c r="I49" s="2545">
        <v>1.1000000000000001</v>
      </c>
      <c r="K49" s="169" t="str">
        <f>'E Motor &amp; Drive'!AA68</f>
        <v>Siemens F/B</v>
      </c>
      <c r="L49" s="372" t="str">
        <f>'E Motor &amp; Drive'!AB68</f>
        <v>S1-100</v>
      </c>
      <c r="M49" s="372" t="b">
        <f>'E Motor &amp; Drive'!AC68</f>
        <v>0</v>
      </c>
      <c r="N49" s="372" t="b">
        <f>'E Motor &amp; Drive'!AD68</f>
        <v>0</v>
      </c>
      <c r="O49" s="372" t="b">
        <f>'E Motor &amp; Drive'!AE68</f>
        <v>0</v>
      </c>
      <c r="P49" s="372" t="b">
        <f>'E Motor &amp; Drive'!AF68</f>
        <v>0</v>
      </c>
      <c r="Q49" s="372" t="b">
        <f>'E Motor &amp; Drive'!AG68</f>
        <v>0</v>
      </c>
      <c r="R49" s="374">
        <f>'E Motor &amp; Drive'!AH68</f>
        <v>0.68</v>
      </c>
      <c r="S49" s="53">
        <f>VLOOKUP(S43,K45:R49,6,0)</f>
        <v>30000</v>
      </c>
      <c r="V49" s="17"/>
      <c r="W49" s="17"/>
      <c r="X49" s="303"/>
      <c r="Y49" s="19"/>
      <c r="AF49" s="59"/>
      <c r="AG49" s="59"/>
      <c r="AH49" s="59"/>
      <c r="AJ49" s="19"/>
      <c r="AK49" s="19"/>
      <c r="AN49" s="344"/>
      <c r="AP49" s="59">
        <v>22</v>
      </c>
      <c r="AQ49" s="59">
        <v>30</v>
      </c>
      <c r="AR49" s="936" t="s">
        <v>1005</v>
      </c>
      <c r="AS49" s="936">
        <f t="shared" si="1"/>
        <v>1420</v>
      </c>
      <c r="AT49" s="59">
        <v>700</v>
      </c>
      <c r="AU49" s="59">
        <v>500000</v>
      </c>
    </row>
    <row r="50" spans="1:50">
      <c r="A50" s="670"/>
      <c r="B50" s="17"/>
      <c r="C50" s="80" t="s">
        <v>273</v>
      </c>
      <c r="D50" s="190"/>
      <c r="E50" s="190"/>
      <c r="F50" s="958"/>
      <c r="G50" s="190"/>
      <c r="H50" s="187"/>
      <c r="I50" s="2592">
        <v>1440</v>
      </c>
      <c r="V50" s="17"/>
      <c r="W50" s="17"/>
      <c r="X50" s="298"/>
      <c r="Y50" s="19"/>
      <c r="AF50" s="59"/>
      <c r="AG50" s="59"/>
      <c r="AH50" s="59"/>
      <c r="AJ50" s="19"/>
      <c r="AK50" s="19"/>
      <c r="AN50" s="298"/>
      <c r="AP50" s="59">
        <v>30</v>
      </c>
      <c r="AQ50" s="59">
        <v>37</v>
      </c>
      <c r="AR50" s="936" t="s">
        <v>1005</v>
      </c>
      <c r="AS50" s="936">
        <f t="shared" si="1"/>
        <v>1420</v>
      </c>
      <c r="AT50" s="59">
        <v>750</v>
      </c>
      <c r="AU50" s="59">
        <v>550000</v>
      </c>
    </row>
    <row r="51" spans="1:50">
      <c r="A51" s="670"/>
      <c r="B51" s="20"/>
      <c r="C51" s="118" t="s">
        <v>842</v>
      </c>
      <c r="D51" s="195"/>
      <c r="E51" s="2508"/>
      <c r="F51" s="2508"/>
      <c r="G51" s="2508"/>
      <c r="H51" s="2509"/>
      <c r="I51" s="2592">
        <v>39</v>
      </c>
      <c r="K51" s="145" t="s">
        <v>451</v>
      </c>
      <c r="L51" s="381" t="s">
        <v>2591</v>
      </c>
      <c r="M51" s="382" t="s">
        <v>113</v>
      </c>
      <c r="N51" s="382" t="s">
        <v>114</v>
      </c>
      <c r="O51" s="382" t="s">
        <v>115</v>
      </c>
      <c r="P51" s="382" t="s">
        <v>116</v>
      </c>
      <c r="Q51" s="382" t="s">
        <v>117</v>
      </c>
      <c r="R51" s="361"/>
      <c r="U51" s="17"/>
      <c r="V51" s="17"/>
      <c r="W51" s="17"/>
      <c r="X51" s="303"/>
      <c r="Y51" s="19"/>
      <c r="AF51" s="59"/>
      <c r="AG51" s="59"/>
      <c r="AH51" s="59"/>
      <c r="AJ51" s="19"/>
      <c r="AK51" s="19"/>
      <c r="AN51" s="298"/>
      <c r="AP51" s="59">
        <v>37</v>
      </c>
      <c r="AQ51" s="59">
        <v>45</v>
      </c>
      <c r="AR51" s="936" t="s">
        <v>1005</v>
      </c>
      <c r="AS51" s="936">
        <f t="shared" si="1"/>
        <v>1420</v>
      </c>
      <c r="AT51" s="59">
        <v>800</v>
      </c>
      <c r="AU51" s="59">
        <v>600000</v>
      </c>
    </row>
    <row r="52" spans="1:50">
      <c r="A52" s="670"/>
      <c r="B52" s="17"/>
      <c r="C52" s="118" t="s">
        <v>843</v>
      </c>
      <c r="D52" s="195"/>
      <c r="E52" s="2508"/>
      <c r="F52" s="2508"/>
      <c r="G52" s="2508"/>
      <c r="H52" s="2509"/>
      <c r="I52" s="2592">
        <v>48000</v>
      </c>
      <c r="J52" s="3843" t="s">
        <v>2812</v>
      </c>
      <c r="K52" s="145"/>
      <c r="L52" s="381" t="s">
        <v>2592</v>
      </c>
      <c r="M52" s="145"/>
      <c r="N52" s="145"/>
      <c r="O52" s="145"/>
      <c r="P52" s="145"/>
      <c r="Q52" s="145"/>
      <c r="R52" s="145"/>
      <c r="U52" s="17"/>
      <c r="V52" s="17"/>
      <c r="W52" s="17"/>
      <c r="X52" s="298"/>
      <c r="Y52" s="19"/>
      <c r="AF52" s="59"/>
      <c r="AG52" s="59"/>
      <c r="AH52" s="59"/>
      <c r="AJ52" s="19"/>
      <c r="AK52" s="19"/>
      <c r="AN52" s="299"/>
      <c r="AP52" s="59"/>
      <c r="AQ52" s="53"/>
      <c r="AR52" s="59"/>
      <c r="AS52" s="936"/>
      <c r="AT52" s="59"/>
      <c r="AU52" s="59"/>
    </row>
    <row r="53" spans="1:50">
      <c r="A53" s="670"/>
      <c r="B53" s="17"/>
      <c r="C53" s="17"/>
      <c r="D53" s="195"/>
      <c r="E53" s="118"/>
      <c r="F53" s="118"/>
      <c r="G53" s="80" t="s">
        <v>451</v>
      </c>
      <c r="H53" s="959">
        <v>0</v>
      </c>
      <c r="I53" s="960">
        <f>(100%-H53)*I52</f>
        <v>48000</v>
      </c>
      <c r="J53" s="3843"/>
      <c r="K53" s="811">
        <v>0.38500000000000001</v>
      </c>
      <c r="L53" s="385">
        <f>(M53*(1-K53)*1.05)+N53+O53+P53+Q53</f>
        <v>0</v>
      </c>
      <c r="M53" s="145" t="b">
        <f>'E Motor &amp; Drive'!AL65</f>
        <v>0</v>
      </c>
      <c r="N53" s="145">
        <f>'E Motor &amp; Drive'!AM65*0</f>
        <v>0</v>
      </c>
      <c r="O53" s="145" t="b">
        <f>'E Motor &amp; Drive'!AN65</f>
        <v>0</v>
      </c>
      <c r="P53" s="145" t="b">
        <f>'E Motor &amp; Drive'!AO65</f>
        <v>0</v>
      </c>
      <c r="Q53" s="145">
        <f>'E Motor &amp; Drive'!AP65*0</f>
        <v>0</v>
      </c>
      <c r="R53" s="175" t="b">
        <f>'E Motor &amp; Drive'!AQ65</f>
        <v>0</v>
      </c>
      <c r="S53" s="386" t="str">
        <f>IF(L53=P46,"Same","NotSame")</f>
        <v>Same</v>
      </c>
      <c r="U53" s="17"/>
      <c r="V53" s="17"/>
      <c r="W53" s="17"/>
      <c r="X53" s="17"/>
      <c r="Y53" s="17"/>
      <c r="AP53" s="53">
        <f>VLOOKUP(I35,AP31:AP51,1)</f>
        <v>0.55000000000000004</v>
      </c>
      <c r="AQ53" s="53">
        <f>VLOOKUP(AP53,AP31:AQ51,2,0)</f>
        <v>0.75</v>
      </c>
      <c r="AR53" s="53" t="str">
        <f>VLOOKUP(AQ53,AQ31:AR51,2,0)</f>
        <v>BF60</v>
      </c>
      <c r="AS53" s="53">
        <f>VLOOKUP(AQ53,AQ31:AS51,3,0)</f>
        <v>1420</v>
      </c>
      <c r="AT53" s="53">
        <f>VLOOKUP(AQ53,AQ31:AT51,4,0)</f>
        <v>160</v>
      </c>
      <c r="AU53" s="53">
        <f>VLOOKUP(AQ53,AQ31:AU51,5,0)</f>
        <v>30000</v>
      </c>
    </row>
    <row r="54" spans="1:50">
      <c r="A54" s="670"/>
      <c r="B54" s="17"/>
      <c r="H54" s="383"/>
      <c r="J54" s="468"/>
      <c r="K54" s="811">
        <v>0.38500000000000001</v>
      </c>
      <c r="L54" s="385">
        <f>M54*(1-K54)</f>
        <v>0</v>
      </c>
      <c r="M54" s="145" t="b">
        <f>'E Motor &amp; Drive'!AL66</f>
        <v>0</v>
      </c>
      <c r="N54" s="145" t="b">
        <f>'E Motor &amp; Drive'!AM66</f>
        <v>0</v>
      </c>
      <c r="O54" s="145" t="b">
        <f>'E Motor &amp; Drive'!AN66</f>
        <v>0</v>
      </c>
      <c r="P54" s="145" t="b">
        <f>'E Motor &amp; Drive'!AO66</f>
        <v>0</v>
      </c>
      <c r="Q54" s="145" t="b">
        <f>'E Motor &amp; Drive'!AP66</f>
        <v>0</v>
      </c>
      <c r="R54" s="175" t="b">
        <f>'E Motor &amp; Drive'!AQ66</f>
        <v>0</v>
      </c>
      <c r="S54" s="386" t="str">
        <f>IF(L54=P47,"Same","NotSame")</f>
        <v>NotSame</v>
      </c>
      <c r="U54" s="17"/>
      <c r="V54" s="17"/>
      <c r="W54" s="17"/>
      <c r="X54" s="17"/>
      <c r="Y54" s="17"/>
      <c r="Z54" s="17"/>
    </row>
    <row r="55" spans="1:50">
      <c r="A55" s="670"/>
      <c r="B55" s="17"/>
      <c r="C55" s="80" t="s">
        <v>277</v>
      </c>
      <c r="D55" s="80"/>
      <c r="E55" s="80"/>
      <c r="F55" s="80"/>
      <c r="G55" s="190"/>
      <c r="H55" s="187"/>
      <c r="I55" s="197" t="s">
        <v>278</v>
      </c>
      <c r="J55" s="784"/>
      <c r="K55" s="811">
        <v>0.68</v>
      </c>
      <c r="L55" s="385">
        <f>(M55*(1-K55))+N55+O55+P55+Q55</f>
        <v>0</v>
      </c>
      <c r="M55" s="145" t="b">
        <f>'E Motor &amp; Drive'!AL67</f>
        <v>0</v>
      </c>
      <c r="N55" s="145" t="b">
        <f>'E Motor &amp; Drive'!AM67</f>
        <v>0</v>
      </c>
      <c r="O55" s="145" t="b">
        <f>'E Motor &amp; Drive'!AN67</f>
        <v>0</v>
      </c>
      <c r="P55" s="145" t="b">
        <f>'E Motor &amp; Drive'!AO67</f>
        <v>0</v>
      </c>
      <c r="Q55" s="145" t="b">
        <f>'E Motor &amp; Drive'!AP67</f>
        <v>0</v>
      </c>
      <c r="R55" s="175" t="b">
        <f>'E Motor &amp; Drive'!AQ67</f>
        <v>0</v>
      </c>
      <c r="S55" s="386" t="str">
        <f>IF(L55=P48,"Same","NotSame")</f>
        <v>NotSame</v>
      </c>
      <c r="U55" s="17"/>
      <c r="V55" s="17"/>
      <c r="W55" s="17"/>
      <c r="X55" s="17"/>
      <c r="Y55" s="17"/>
      <c r="Z55" s="17"/>
    </row>
    <row r="56" spans="1:50">
      <c r="A56" s="670"/>
      <c r="B56" s="20"/>
      <c r="C56" s="80" t="s">
        <v>279</v>
      </c>
      <c r="D56" s="80"/>
      <c r="E56" s="80"/>
      <c r="F56" s="80"/>
      <c r="G56" s="190"/>
      <c r="H56" s="187"/>
      <c r="I56" s="197" t="s">
        <v>280</v>
      </c>
      <c r="J56" s="59"/>
      <c r="K56" s="811">
        <v>0.68</v>
      </c>
      <c r="L56" s="385">
        <f>(M56*(1-K56))+N56+O56+P56+Q56</f>
        <v>0</v>
      </c>
      <c r="M56" s="145" t="b">
        <f>'E Motor &amp; Drive'!AL68</f>
        <v>0</v>
      </c>
      <c r="N56" s="145" t="b">
        <f>'E Motor &amp; Drive'!AM68</f>
        <v>0</v>
      </c>
      <c r="O56" s="145" t="b">
        <f>'E Motor &amp; Drive'!AN68</f>
        <v>0</v>
      </c>
      <c r="P56" s="145" t="b">
        <f>'E Motor &amp; Drive'!AO68</f>
        <v>0</v>
      </c>
      <c r="Q56" s="145" t="b">
        <f>'E Motor &amp; Drive'!AP68</f>
        <v>0</v>
      </c>
      <c r="R56" s="175" t="b">
        <f>'E Motor &amp; Drive'!AQ68</f>
        <v>0</v>
      </c>
      <c r="S56" s="386" t="str">
        <f>IF(L56=P49,"Same","NotSame")</f>
        <v>NotSame</v>
      </c>
      <c r="T56" s="333"/>
      <c r="U56" s="17"/>
      <c r="V56" s="17"/>
      <c r="W56" s="17"/>
      <c r="X56" s="17"/>
      <c r="Y56" s="17"/>
      <c r="Z56" s="17"/>
    </row>
    <row r="57" spans="1:50">
      <c r="A57" s="670"/>
      <c r="B57" s="20"/>
      <c r="C57" s="80" t="s">
        <v>281</v>
      </c>
      <c r="D57" s="80"/>
      <c r="E57" s="80"/>
      <c r="F57" s="80"/>
      <c r="G57" s="190"/>
      <c r="H57" s="187"/>
      <c r="I57" s="145" t="s">
        <v>282</v>
      </c>
      <c r="J57" s="961"/>
      <c r="K57" s="396"/>
      <c r="L57" s="962"/>
      <c r="N57" s="398"/>
      <c r="O57" s="301"/>
      <c r="P57" s="223"/>
      <c r="Q57" s="399"/>
      <c r="R57" s="400"/>
      <c r="S57" s="400"/>
      <c r="T57" s="400"/>
      <c r="U57" s="224"/>
      <c r="V57" s="401"/>
      <c r="W57" s="813"/>
      <c r="X57" s="399"/>
      <c r="Y57" s="399"/>
      <c r="Z57" s="399"/>
      <c r="AA57" s="223"/>
      <c r="AB57" s="223"/>
      <c r="AC57" s="223"/>
      <c r="AD57" s="223"/>
      <c r="AE57" s="223"/>
      <c r="AF57" s="223"/>
      <c r="AG57" s="223"/>
      <c r="AH57" s="223"/>
      <c r="AI57" s="223"/>
      <c r="AJ57" s="37"/>
      <c r="AK57" s="37"/>
      <c r="AL57" s="37"/>
      <c r="AM57" s="37"/>
      <c r="AN57" s="37"/>
      <c r="AO57" s="402"/>
      <c r="AP57" s="151"/>
      <c r="AQ57" s="399"/>
      <c r="AR57" s="399"/>
      <c r="AS57" s="223"/>
      <c r="AT57" s="223"/>
      <c r="AU57" s="223"/>
      <c r="AV57" s="223"/>
      <c r="AW57" s="225"/>
    </row>
    <row r="58" spans="1:50" ht="14.65" thickBot="1">
      <c r="A58" s="711"/>
      <c r="B58" s="135"/>
      <c r="C58" s="135"/>
      <c r="D58" s="135"/>
      <c r="E58" s="135"/>
      <c r="F58" s="135"/>
      <c r="G58" s="135"/>
      <c r="H58" s="963"/>
      <c r="I58" s="963"/>
      <c r="J58" s="964"/>
      <c r="N58" s="226"/>
      <c r="O58" s="59"/>
      <c r="P58" s="17"/>
      <c r="Q58" s="418" t="s">
        <v>283</v>
      </c>
      <c r="U58" s="20"/>
      <c r="V58" s="17"/>
      <c r="W58" s="333"/>
      <c r="AA58" s="17"/>
      <c r="AB58" s="17"/>
      <c r="AC58" s="17"/>
      <c r="AD58" s="17"/>
      <c r="AE58" s="17"/>
      <c r="AF58" s="17"/>
      <c r="AG58" s="17"/>
      <c r="AH58" s="17"/>
      <c r="AI58" s="17"/>
      <c r="AJ58" s="20"/>
      <c r="AK58" s="20"/>
      <c r="AL58" s="20"/>
      <c r="AM58" s="20"/>
      <c r="AN58" s="20"/>
      <c r="AO58" s="405"/>
      <c r="AP58" s="153"/>
      <c r="AS58" s="17"/>
      <c r="AT58" s="17"/>
      <c r="AU58" s="17"/>
      <c r="AV58" s="17"/>
      <c r="AW58" s="227"/>
    </row>
    <row r="59" spans="1:50" ht="14.65" thickBot="1">
      <c r="A59" s="3837" t="str">
        <f>A1</f>
        <v>MANUFACTURER :</v>
      </c>
      <c r="B59" s="3838"/>
      <c r="C59" s="3838"/>
      <c r="D59" s="3839"/>
      <c r="E59" s="3840" t="str">
        <f>E1</f>
        <v>MECHANISM CALCULATION</v>
      </c>
      <c r="F59" s="3841"/>
      <c r="G59" s="3841"/>
      <c r="H59" s="3840">
        <f>I1</f>
        <v>0</v>
      </c>
      <c r="I59" s="3840"/>
      <c r="J59" s="3842"/>
      <c r="K59" s="965" t="s">
        <v>844</v>
      </c>
      <c r="L59" s="966">
        <f>CT_wh!O48</f>
        <v>17.904889228418643</v>
      </c>
      <c r="N59" s="226"/>
      <c r="O59" s="19"/>
      <c r="P59" s="19"/>
      <c r="Q59" s="789" t="s">
        <v>285</v>
      </c>
      <c r="R59" s="228" t="s">
        <v>286</v>
      </c>
      <c r="S59" s="228" t="s">
        <v>287</v>
      </c>
      <c r="T59" s="228" t="s">
        <v>288</v>
      </c>
      <c r="U59" s="228" t="s">
        <v>288</v>
      </c>
      <c r="V59" s="228" t="s">
        <v>288</v>
      </c>
      <c r="W59" s="409" t="s">
        <v>2545</v>
      </c>
      <c r="X59" s="229">
        <v>0.28999999999999998</v>
      </c>
      <c r="AA59" s="17"/>
      <c r="AB59" s="17"/>
      <c r="AC59" s="17"/>
      <c r="AD59" s="17"/>
      <c r="AE59" s="17"/>
      <c r="AF59" s="17"/>
      <c r="AG59" s="17"/>
      <c r="AH59" s="17"/>
      <c r="AI59" s="17"/>
      <c r="AJ59" s="20"/>
      <c r="AK59" s="20"/>
      <c r="AL59" s="20"/>
      <c r="AM59" s="20"/>
      <c r="AN59" s="20"/>
      <c r="AO59" s="405"/>
      <c r="AP59" s="153"/>
      <c r="AS59" s="17"/>
      <c r="AT59" s="17"/>
      <c r="AU59" s="17"/>
      <c r="AV59" s="17"/>
      <c r="AW59" s="227"/>
      <c r="AX59" s="17"/>
    </row>
    <row r="60" spans="1:50" ht="14.65" thickBot="1">
      <c r="A60" s="3828" t="s">
        <v>2786</v>
      </c>
      <c r="B60" s="3829"/>
      <c r="C60" s="3829"/>
      <c r="D60" s="3830"/>
      <c r="E60" s="3831" t="str">
        <f>E2</f>
        <v xml:space="preserve">25/15T D/G EOT CRANE  </v>
      </c>
      <c r="F60" s="3832"/>
      <c r="G60" s="3833"/>
      <c r="H60" s="3834">
        <f>H2</f>
        <v>0</v>
      </c>
      <c r="I60" s="3835"/>
      <c r="J60" s="3836"/>
      <c r="K60" s="967">
        <f>CT_wh!I45</f>
        <v>19.894321364909601</v>
      </c>
      <c r="L60" s="968">
        <f>CT_wh!O49</f>
        <v>21.883753501400562</v>
      </c>
      <c r="N60" s="226"/>
      <c r="O60" s="19"/>
      <c r="P60" s="19"/>
      <c r="Q60" s="410"/>
      <c r="R60" s="410"/>
      <c r="S60" s="230"/>
      <c r="T60" s="230" t="s">
        <v>289</v>
      </c>
      <c r="U60" s="230" t="s">
        <v>290</v>
      </c>
      <c r="V60" s="230" t="s">
        <v>291</v>
      </c>
      <c r="W60" s="411" t="s">
        <v>292</v>
      </c>
      <c r="X60" s="411" t="s">
        <v>293</v>
      </c>
      <c r="AA60" s="17"/>
      <c r="AB60" s="17"/>
      <c r="AC60" s="17"/>
      <c r="AD60" s="17"/>
      <c r="AE60" s="17"/>
      <c r="AF60" s="17"/>
      <c r="AG60" s="17"/>
      <c r="AH60" s="17"/>
      <c r="AI60" s="17"/>
      <c r="AJ60" s="20"/>
      <c r="AK60" s="20"/>
      <c r="AL60" s="20"/>
      <c r="AM60" s="20"/>
      <c r="AN60" s="20"/>
      <c r="AO60" s="405"/>
      <c r="AP60" s="412" t="s">
        <v>2406</v>
      </c>
      <c r="AQ60" s="231">
        <f>+AC63</f>
        <v>5.6213688848704759</v>
      </c>
      <c r="AS60" s="17"/>
      <c r="AT60" s="17"/>
      <c r="AU60" s="17"/>
      <c r="AV60" s="17"/>
      <c r="AW60" s="227"/>
      <c r="AX60" s="17"/>
    </row>
    <row r="61" spans="1:50">
      <c r="A61" s="3756" t="e">
        <f>A3</f>
        <v>#REF!</v>
      </c>
      <c r="B61" s="3757"/>
      <c r="C61" s="3757"/>
      <c r="D61" s="3758"/>
      <c r="E61" s="3759" t="s">
        <v>122</v>
      </c>
      <c r="F61" s="3760"/>
      <c r="G61" s="3761"/>
      <c r="H61" s="3750" t="s">
        <v>845</v>
      </c>
      <c r="I61" s="3751"/>
      <c r="J61" s="3752"/>
      <c r="K61" s="908">
        <f>+CT_wh!I68</f>
        <v>72.382464000000013</v>
      </c>
      <c r="N61" s="226"/>
      <c r="O61" s="19"/>
      <c r="P61" s="179" t="s">
        <v>294</v>
      </c>
      <c r="Q61" s="311"/>
      <c r="R61" s="311"/>
      <c r="S61" s="311"/>
      <c r="T61" s="311"/>
      <c r="U61" s="311"/>
      <c r="V61" s="311"/>
      <c r="W61" s="311"/>
      <c r="X61" s="311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20"/>
      <c r="AK61" s="20"/>
      <c r="AL61" s="20"/>
      <c r="AM61" s="20"/>
      <c r="AN61" s="20"/>
      <c r="AO61" s="405"/>
      <c r="AP61" s="131" t="s">
        <v>2408</v>
      </c>
      <c r="AQ61" s="131" t="s">
        <v>2409</v>
      </c>
      <c r="AR61" s="131" t="s">
        <v>2410</v>
      </c>
      <c r="AS61" s="228" t="s">
        <v>400</v>
      </c>
      <c r="AT61" s="228" t="s">
        <v>275</v>
      </c>
      <c r="AU61" s="228" t="s">
        <v>274</v>
      </c>
      <c r="AV61" s="17"/>
      <c r="AW61" s="227"/>
      <c r="AX61" s="17"/>
    </row>
    <row r="62" spans="1:50" ht="26.1" customHeight="1" thickBot="1">
      <c r="A62" s="130" t="s">
        <v>3</v>
      </c>
      <c r="B62" s="963" t="e">
        <f>B4</f>
        <v>#REF!</v>
      </c>
      <c r="C62" s="963"/>
      <c r="D62" s="969"/>
      <c r="E62" s="3825" t="str">
        <f>E4</f>
        <v xml:space="preserve"> </v>
      </c>
      <c r="F62" s="3826"/>
      <c r="G62" s="3827"/>
      <c r="H62" s="3822"/>
      <c r="I62" s="3823"/>
      <c r="J62" s="3824"/>
      <c r="N62" s="226"/>
      <c r="O62" s="413"/>
      <c r="P62" s="232">
        <v>0</v>
      </c>
      <c r="Q62" s="311">
        <v>8</v>
      </c>
      <c r="R62" s="311">
        <v>160</v>
      </c>
      <c r="S62" s="311">
        <v>36</v>
      </c>
      <c r="T62" s="131" t="b">
        <f>IF(M83=1,W62,IF(M83=2,X62/2))</f>
        <v>0</v>
      </c>
      <c r="U62" s="311">
        <v>27800</v>
      </c>
      <c r="V62" s="311">
        <v>36879</v>
      </c>
      <c r="W62" s="385">
        <f>(36145*(1-X59)+(38320))</f>
        <v>63982.95</v>
      </c>
      <c r="X62" s="385">
        <f>((36145*2*(1-X59))+(53240))</f>
        <v>104565.9</v>
      </c>
      <c r="Y62" s="17"/>
      <c r="AA62" s="17"/>
      <c r="AB62" s="414" t="s">
        <v>2407</v>
      </c>
      <c r="AC62" s="233">
        <f>I72</f>
        <v>0.57302435115906991</v>
      </c>
      <c r="AE62" s="17"/>
      <c r="AF62" s="17"/>
      <c r="AG62" s="17"/>
      <c r="AH62" s="17"/>
      <c r="AI62" s="17"/>
      <c r="AJ62" s="20"/>
      <c r="AK62" s="20"/>
      <c r="AL62" s="20"/>
      <c r="AM62" s="20"/>
      <c r="AN62" s="20"/>
      <c r="AO62" s="405"/>
      <c r="AP62" s="131"/>
      <c r="AQ62" s="131"/>
      <c r="AR62" s="131"/>
      <c r="AS62" s="131"/>
      <c r="AT62" s="131"/>
      <c r="AU62" s="131"/>
      <c r="AV62" s="17"/>
      <c r="AW62" s="227"/>
      <c r="AX62" s="17"/>
    </row>
    <row r="63" spans="1:50" ht="15" customHeight="1">
      <c r="A63" s="970">
        <v>4</v>
      </c>
      <c r="B63" s="971" t="s">
        <v>846</v>
      </c>
      <c r="C63" s="972"/>
      <c r="D63" s="972"/>
      <c r="E63" s="972"/>
      <c r="F63" s="972"/>
      <c r="G63" s="972"/>
      <c r="H63" s="972"/>
      <c r="I63" s="972"/>
      <c r="J63" s="199"/>
      <c r="N63" s="226"/>
      <c r="O63" s="413"/>
      <c r="P63" s="232">
        <v>8</v>
      </c>
      <c r="Q63" s="311">
        <v>13.8</v>
      </c>
      <c r="R63" s="311">
        <v>200</v>
      </c>
      <c r="S63" s="311">
        <v>41</v>
      </c>
      <c r="T63" s="131" t="b">
        <f>IF(M83=1,W63,IF(M83=2,X63/2))</f>
        <v>0</v>
      </c>
      <c r="U63" s="311">
        <v>28100</v>
      </c>
      <c r="V63" s="311">
        <v>44420</v>
      </c>
      <c r="W63" s="385">
        <f>(42550*(1-X59))+(42720)</f>
        <v>72930.5</v>
      </c>
      <c r="X63" s="385">
        <f>((42250*2*(1-X59))+(55365))</f>
        <v>115360</v>
      </c>
      <c r="Y63" s="17"/>
      <c r="AA63" s="17"/>
      <c r="AB63" s="414" t="s">
        <v>2406</v>
      </c>
      <c r="AC63" s="234">
        <f>I73</f>
        <v>5.6213688848704759</v>
      </c>
      <c r="AE63" s="17"/>
      <c r="AF63" s="17"/>
      <c r="AG63" s="17"/>
      <c r="AH63" s="17"/>
      <c r="AI63" s="17"/>
      <c r="AJ63" s="20"/>
      <c r="AK63" s="20"/>
      <c r="AL63" s="20"/>
      <c r="AM63" s="20"/>
      <c r="AN63" s="20"/>
      <c r="AO63" s="405"/>
      <c r="AP63" s="145" t="s">
        <v>2434</v>
      </c>
      <c r="AQ63" s="145">
        <v>10</v>
      </c>
      <c r="AR63" s="145" t="s">
        <v>2411</v>
      </c>
      <c r="AS63" s="235">
        <v>200</v>
      </c>
      <c r="AT63" s="235">
        <v>19</v>
      </c>
      <c r="AU63" s="235">
        <v>50000</v>
      </c>
      <c r="AV63" s="216"/>
      <c r="AW63" s="227"/>
      <c r="AX63" s="17"/>
    </row>
    <row r="64" spans="1:50" ht="15" customHeight="1">
      <c r="A64" s="305"/>
      <c r="B64" s="182"/>
      <c r="C64" s="20"/>
      <c r="D64" s="20"/>
      <c r="E64" s="20"/>
      <c r="F64" s="20"/>
      <c r="G64" s="20"/>
      <c r="H64" s="20"/>
      <c r="I64" s="20"/>
      <c r="J64" s="304"/>
      <c r="N64" s="226"/>
      <c r="O64" s="413"/>
      <c r="P64" s="232">
        <v>13.8</v>
      </c>
      <c r="Q64" s="311">
        <v>27.7</v>
      </c>
      <c r="R64" s="311">
        <v>250</v>
      </c>
      <c r="S64" s="311">
        <v>71</v>
      </c>
      <c r="T64" s="131" t="b">
        <f>IF(M83=1,W64,IF(M83=2,X64/2))</f>
        <v>0</v>
      </c>
      <c r="U64" s="311">
        <v>44200</v>
      </c>
      <c r="V64" s="311">
        <v>50770</v>
      </c>
      <c r="W64" s="385">
        <f>(52240*(1-X59))+(45330)</f>
        <v>82420.399999999994</v>
      </c>
      <c r="X64" s="385">
        <f>((52240*2*(1-X59))+(62610))</f>
        <v>136790.79999999999</v>
      </c>
      <c r="Y64" s="17"/>
      <c r="AA64" s="415" t="s">
        <v>314</v>
      </c>
      <c r="AB64" s="236" t="s">
        <v>315</v>
      </c>
      <c r="AC64" s="236" t="s">
        <v>316</v>
      </c>
      <c r="AE64" s="17"/>
      <c r="AF64" s="237" t="s">
        <v>298</v>
      </c>
      <c r="AG64" s="237"/>
      <c r="AH64" s="237"/>
      <c r="AI64" s="237"/>
      <c r="AJ64" s="237"/>
      <c r="AK64" s="237"/>
      <c r="AL64" s="238"/>
      <c r="AM64" s="238"/>
      <c r="AN64" s="416"/>
      <c r="AO64" s="405"/>
      <c r="AP64" s="145" t="s">
        <v>2435</v>
      </c>
      <c r="AQ64" s="145">
        <v>20</v>
      </c>
      <c r="AR64" s="145" t="s">
        <v>2412</v>
      </c>
      <c r="AS64" s="311">
        <v>200</v>
      </c>
      <c r="AT64" s="235">
        <v>19</v>
      </c>
      <c r="AU64" s="235">
        <f>+AU63+5000</f>
        <v>55000</v>
      </c>
      <c r="AV64" s="216"/>
      <c r="AW64" s="227"/>
      <c r="AX64" s="17"/>
    </row>
    <row r="65" spans="1:50" ht="15" customHeight="1">
      <c r="A65" s="36"/>
      <c r="C65" s="20" t="s">
        <v>296</v>
      </c>
      <c r="D65" s="20"/>
      <c r="E65" s="20"/>
      <c r="F65" s="973" t="s">
        <v>297</v>
      </c>
      <c r="G65" s="20"/>
      <c r="H65" s="20"/>
      <c r="I65" s="20"/>
      <c r="J65" s="304" t="s">
        <v>847</v>
      </c>
      <c r="N65" s="226"/>
      <c r="O65" s="413"/>
      <c r="P65" s="232">
        <v>27.7</v>
      </c>
      <c r="Q65" s="311">
        <v>76</v>
      </c>
      <c r="R65" s="311">
        <v>300</v>
      </c>
      <c r="S65" s="311">
        <v>95</v>
      </c>
      <c r="T65" s="131" t="b">
        <f>IF(M83=1,W65,IF(M83=2,X65/2))</f>
        <v>0</v>
      </c>
      <c r="U65" s="311">
        <v>46500</v>
      </c>
      <c r="V65" s="311">
        <v>65753</v>
      </c>
      <c r="W65" s="385">
        <f>(85525*(1-X59))+(49110)</f>
        <v>109832.75</v>
      </c>
      <c r="X65" s="311">
        <f>((85525*2*(1-X59))+(72115))</f>
        <v>193560.5</v>
      </c>
      <c r="Y65" s="17"/>
      <c r="AA65" s="311"/>
      <c r="AB65" s="228"/>
      <c r="AC65" s="311">
        <f>VLOOKUP(AC66,AF67:AG86,2,0)</f>
        <v>250</v>
      </c>
      <c r="AE65" s="17"/>
      <c r="AF65" s="228"/>
      <c r="AG65" s="179" t="s">
        <v>300</v>
      </c>
      <c r="AH65" s="239" t="s">
        <v>301</v>
      </c>
      <c r="AI65" s="179"/>
      <c r="AJ65" s="416"/>
      <c r="AK65" s="416"/>
      <c r="AL65" s="417" t="s">
        <v>302</v>
      </c>
      <c r="AM65" s="417"/>
      <c r="AN65" s="416"/>
      <c r="AO65" s="405"/>
      <c r="AP65" s="145" t="s">
        <v>2436</v>
      </c>
      <c r="AQ65" s="145">
        <v>10</v>
      </c>
      <c r="AR65" s="145" t="s">
        <v>2413</v>
      </c>
      <c r="AS65" s="311">
        <v>250</v>
      </c>
      <c r="AT65" s="235">
        <v>30</v>
      </c>
      <c r="AU65" s="235">
        <v>60000</v>
      </c>
      <c r="AV65" s="216"/>
      <c r="AW65" s="227"/>
      <c r="AX65" s="17"/>
    </row>
    <row r="66" spans="1:50" ht="15" customHeight="1">
      <c r="A66" s="313"/>
      <c r="B66" s="20"/>
      <c r="C66" s="20"/>
      <c r="D66" s="20"/>
      <c r="E66" s="20"/>
      <c r="F66" s="20"/>
      <c r="G66" s="31" t="s">
        <v>299</v>
      </c>
      <c r="H66" s="20"/>
      <c r="I66" s="20"/>
      <c r="J66" s="326"/>
      <c r="N66" s="153"/>
      <c r="O66" s="413"/>
      <c r="P66" s="232">
        <v>76</v>
      </c>
      <c r="Q66" s="311">
        <v>138.30000000000001</v>
      </c>
      <c r="R66" s="311">
        <v>400</v>
      </c>
      <c r="S66" s="311">
        <f>1*240</f>
        <v>240</v>
      </c>
      <c r="T66" s="131" t="b">
        <f>IF(M83=1,W66,IF(M83=2,X66/2))</f>
        <v>0</v>
      </c>
      <c r="U66" s="311">
        <v>82300</v>
      </c>
      <c r="V66" s="311">
        <v>93272</v>
      </c>
      <c r="W66" s="385">
        <f>(137665*(1-X59))+(56545)</f>
        <v>154287.15</v>
      </c>
      <c r="X66" s="385">
        <f>((137665*2*(1-X59))+(79235))</f>
        <v>274719.3</v>
      </c>
      <c r="Y66" s="17"/>
      <c r="AA66" s="160" t="s">
        <v>329</v>
      </c>
      <c r="AB66" s="228">
        <f>VLOOKUP(AC62,R75:R88,1)</f>
        <v>0</v>
      </c>
      <c r="AC66" s="418">
        <f>VLOOKUP(AC63,AF67:AF86,1)</f>
        <v>0</v>
      </c>
      <c r="AE66" s="17"/>
      <c r="AF66" s="228" t="s">
        <v>118</v>
      </c>
      <c r="AG66" s="179" t="s">
        <v>304</v>
      </c>
      <c r="AH66" s="419"/>
      <c r="AI66" s="179" t="s">
        <v>305</v>
      </c>
      <c r="AJ66" s="29" t="s">
        <v>275</v>
      </c>
      <c r="AK66" s="416" t="s">
        <v>274</v>
      </c>
      <c r="AL66" s="29" t="s">
        <v>306</v>
      </c>
      <c r="AM66" s="29" t="s">
        <v>307</v>
      </c>
      <c r="AN66" s="416"/>
      <c r="AO66" s="405"/>
      <c r="AP66" s="145" t="s">
        <v>2437</v>
      </c>
      <c r="AQ66" s="145">
        <v>20</v>
      </c>
      <c r="AR66" s="145" t="s">
        <v>2414</v>
      </c>
      <c r="AS66" s="311">
        <v>250</v>
      </c>
      <c r="AT66" s="235">
        <v>30</v>
      </c>
      <c r="AU66" s="235">
        <f>+AU65+5000</f>
        <v>65000</v>
      </c>
      <c r="AV66" s="216"/>
      <c r="AW66" s="227"/>
      <c r="AX66" s="17"/>
    </row>
    <row r="67" spans="1:50" ht="15" customHeight="1">
      <c r="A67" s="36"/>
      <c r="B67" s="20"/>
      <c r="C67" s="20" t="s">
        <v>848</v>
      </c>
      <c r="D67" s="20"/>
      <c r="E67" s="20"/>
      <c r="F67" s="20"/>
      <c r="G67" s="20"/>
      <c r="H67" s="20"/>
      <c r="I67" s="302">
        <f>I34*I32/I22/I23</f>
        <v>0.56420859191046879</v>
      </c>
      <c r="J67" s="326"/>
      <c r="N67" s="153"/>
      <c r="O67" s="413"/>
      <c r="P67" s="232">
        <v>138.30000000000001</v>
      </c>
      <c r="Q67" s="311">
        <v>277</v>
      </c>
      <c r="R67" s="311">
        <v>500</v>
      </c>
      <c r="S67" s="311">
        <f>1*310</f>
        <v>310</v>
      </c>
      <c r="T67" s="131" t="b">
        <f>IF(M83=1,W67,IF(M83=2,X67/2))</f>
        <v>0</v>
      </c>
      <c r="U67" s="311">
        <v>122100</v>
      </c>
      <c r="V67" s="311">
        <v>144990</v>
      </c>
      <c r="W67" s="385">
        <f>(220025*(1-X59))+(68375)</f>
        <v>224592.75</v>
      </c>
      <c r="X67" s="311">
        <f>((220025*2*(1-X59))+(100105))</f>
        <v>412540.5</v>
      </c>
      <c r="Y67" s="17"/>
      <c r="AA67" s="421" t="s">
        <v>331</v>
      </c>
      <c r="AB67" s="179">
        <f>VLOOKUP(AB66,R75:S88,2,0)</f>
        <v>9</v>
      </c>
      <c r="AC67" s="179" t="str">
        <f>VLOOKUP(AC65,AG67:AH86,2,0)</f>
        <v>25-250</v>
      </c>
      <c r="AE67" s="17"/>
      <c r="AF67" s="240">
        <v>0</v>
      </c>
      <c r="AG67" s="179">
        <v>250</v>
      </c>
      <c r="AH67" s="179" t="s">
        <v>309</v>
      </c>
      <c r="AI67" s="179">
        <v>160</v>
      </c>
      <c r="AJ67" s="29">
        <v>23</v>
      </c>
      <c r="AK67" s="416">
        <v>24593</v>
      </c>
      <c r="AL67" s="416" t="s">
        <v>2518</v>
      </c>
      <c r="AM67" s="416" t="str">
        <f>"N(NV)."&amp;AI67&amp;"."&amp;AL67</f>
        <v>N(NV).160.HYD.023/05</v>
      </c>
      <c r="AN67" s="416"/>
      <c r="AO67" s="405"/>
      <c r="AP67" s="145" t="s">
        <v>2438</v>
      </c>
      <c r="AQ67" s="145">
        <v>30</v>
      </c>
      <c r="AR67" s="145" t="s">
        <v>2415</v>
      </c>
      <c r="AS67" s="311">
        <v>250</v>
      </c>
      <c r="AT67" s="235">
        <v>30</v>
      </c>
      <c r="AU67" s="235">
        <v>70000</v>
      </c>
      <c r="AV67" s="216"/>
      <c r="AW67" s="227"/>
      <c r="AX67" s="17"/>
    </row>
    <row r="68" spans="1:50" ht="15" customHeight="1">
      <c r="A68" s="313"/>
      <c r="B68" s="20"/>
      <c r="C68" s="20" t="s">
        <v>849</v>
      </c>
      <c r="D68" s="20"/>
      <c r="E68" s="182"/>
      <c r="F68" s="20"/>
      <c r="G68" s="20"/>
      <c r="H68" s="20"/>
      <c r="I68" s="345">
        <f>I50</f>
        <v>1440</v>
      </c>
      <c r="J68" s="326"/>
      <c r="N68" s="153"/>
      <c r="O68" s="413"/>
      <c r="P68" s="232">
        <v>277</v>
      </c>
      <c r="Q68" s="311">
        <v>555</v>
      </c>
      <c r="R68" s="311">
        <v>600</v>
      </c>
      <c r="S68" s="311">
        <f>1*410</f>
        <v>410</v>
      </c>
      <c r="T68" s="131" t="b">
        <f>IF(M83=1,W68,IF(M83=2,X68/2))</f>
        <v>0</v>
      </c>
      <c r="U68" s="311">
        <v>154900</v>
      </c>
      <c r="V68" s="311">
        <v>220990</v>
      </c>
      <c r="W68" s="385">
        <f>(351260*(1-X59))+(88165)</f>
        <v>337559.6</v>
      </c>
      <c r="X68" s="385">
        <f>((351260*2*(1-X59))+(126555))</f>
        <v>625344.19999999995</v>
      </c>
      <c r="Y68" s="17"/>
      <c r="AA68" s="421" t="s">
        <v>337</v>
      </c>
      <c r="AB68" s="179">
        <f>VLOOKUP(AB67,S75:T88,2,0)</f>
        <v>18</v>
      </c>
      <c r="AC68" s="241" t="str">
        <f>VLOOKUP(AC65,AG67:AL86,6,0)</f>
        <v>HYD.023/05</v>
      </c>
      <c r="AE68" s="17"/>
      <c r="AF68" s="242">
        <v>250</v>
      </c>
      <c r="AG68" s="179">
        <v>310</v>
      </c>
      <c r="AH68" s="179" t="s">
        <v>311</v>
      </c>
      <c r="AI68" s="179">
        <v>200</v>
      </c>
      <c r="AJ68" s="29">
        <v>27</v>
      </c>
      <c r="AK68" s="416">
        <v>28500</v>
      </c>
      <c r="AL68" s="416" t="s">
        <v>2518</v>
      </c>
      <c r="AM68" s="416" t="str">
        <f t="shared" ref="AM68:AM86" si="2">"N(NV)."&amp;AI68&amp;"."&amp;AL68</f>
        <v>N(NV).200.HYD.023/05</v>
      </c>
      <c r="AN68" s="416"/>
      <c r="AO68" s="405"/>
      <c r="AP68" s="145" t="s">
        <v>2439</v>
      </c>
      <c r="AQ68" s="145">
        <v>10</v>
      </c>
      <c r="AR68" s="145" t="s">
        <v>2416</v>
      </c>
      <c r="AS68" s="311">
        <v>315</v>
      </c>
      <c r="AT68" s="235">
        <v>50</v>
      </c>
      <c r="AU68" s="235">
        <f>+AU67+5000</f>
        <v>75000</v>
      </c>
      <c r="AV68" s="216"/>
      <c r="AW68" s="227"/>
      <c r="AX68" s="17"/>
    </row>
    <row r="69" spans="1:50" ht="15" customHeight="1">
      <c r="A69" s="36"/>
      <c r="B69" s="20"/>
      <c r="C69" s="20" t="s">
        <v>850</v>
      </c>
      <c r="D69" s="20"/>
      <c r="E69" s="20"/>
      <c r="F69" s="20"/>
      <c r="G69" s="20"/>
      <c r="H69" s="20"/>
      <c r="I69" s="19" t="str">
        <f>IF(H75="EHT + DCEM",1.25,IF(H84=1,"1.5",IF(H84&gt;1,"1.25",0)))</f>
        <v>1.5</v>
      </c>
      <c r="J69" s="326"/>
      <c r="N69" s="153"/>
      <c r="O69" s="422"/>
      <c r="X69" s="19"/>
      <c r="Y69" s="17"/>
      <c r="AA69" s="421" t="s">
        <v>341</v>
      </c>
      <c r="AB69" s="179">
        <f>VLOOKUP(AB67,S75:U88,3,0)</f>
        <v>160</v>
      </c>
      <c r="AC69" s="179">
        <f>VLOOKUP(AC65,AG67:AI86,3,0)</f>
        <v>160</v>
      </c>
      <c r="AE69" s="17"/>
      <c r="AF69" s="242">
        <v>310</v>
      </c>
      <c r="AG69" s="179">
        <v>400</v>
      </c>
      <c r="AH69" s="179" t="s">
        <v>313</v>
      </c>
      <c r="AI69" s="179">
        <v>200</v>
      </c>
      <c r="AJ69" s="29">
        <v>31</v>
      </c>
      <c r="AK69" s="416">
        <f t="shared" ref="AK69" si="3">AK68</f>
        <v>28500</v>
      </c>
      <c r="AL69" s="416" t="s">
        <v>2519</v>
      </c>
      <c r="AM69" s="416" t="str">
        <f t="shared" si="2"/>
        <v>N(NV).200.HYD.030/05</v>
      </c>
      <c r="AN69" s="416"/>
      <c r="AO69" s="405"/>
      <c r="AP69" s="145" t="s">
        <v>2440</v>
      </c>
      <c r="AQ69" s="145">
        <v>20</v>
      </c>
      <c r="AR69" s="145" t="s">
        <v>2417</v>
      </c>
      <c r="AS69" s="311">
        <v>315</v>
      </c>
      <c r="AT69" s="235">
        <v>50</v>
      </c>
      <c r="AU69" s="235">
        <f>+AU68+5000</f>
        <v>80000</v>
      </c>
      <c r="AV69" s="216"/>
      <c r="AW69" s="227"/>
      <c r="AX69" s="17"/>
    </row>
    <row r="70" spans="1:50" ht="15" customHeight="1">
      <c r="A70" s="36"/>
      <c r="B70" s="20" t="s">
        <v>525</v>
      </c>
      <c r="C70" s="20"/>
      <c r="D70" s="20"/>
      <c r="E70" s="20"/>
      <c r="F70" s="20"/>
      <c r="G70" s="20"/>
      <c r="H70" s="20"/>
      <c r="I70" s="19"/>
      <c r="J70" s="974"/>
      <c r="N70" s="153"/>
      <c r="O70" s="422"/>
      <c r="Q70" s="17"/>
      <c r="X70" s="17"/>
      <c r="AA70" s="160" t="s">
        <v>344</v>
      </c>
      <c r="AB70" s="179">
        <f>VLOOKUP(AB67,S75:W88,5,0)</f>
        <v>20</v>
      </c>
      <c r="AC70" s="179">
        <f>VLOOKUP(AC65,AG67:AJ86,4,0)</f>
        <v>23</v>
      </c>
      <c r="AE70" s="17"/>
      <c r="AF70" s="242">
        <v>400</v>
      </c>
      <c r="AG70" s="179">
        <v>330</v>
      </c>
      <c r="AH70" s="179" t="s">
        <v>317</v>
      </c>
      <c r="AI70" s="179">
        <v>250</v>
      </c>
      <c r="AJ70" s="29">
        <v>35</v>
      </c>
      <c r="AK70" s="416">
        <v>33200</v>
      </c>
      <c r="AL70" s="416" t="s">
        <v>2518</v>
      </c>
      <c r="AM70" s="416" t="str">
        <f t="shared" si="2"/>
        <v>N(NV).250.HYD.023/05</v>
      </c>
      <c r="AN70" s="416"/>
      <c r="AO70" s="405"/>
      <c r="AP70" s="145" t="s">
        <v>2441</v>
      </c>
      <c r="AQ70" s="145">
        <v>30</v>
      </c>
      <c r="AR70" s="145" t="s">
        <v>2418</v>
      </c>
      <c r="AS70" s="311">
        <v>315</v>
      </c>
      <c r="AT70" s="235">
        <v>50</v>
      </c>
      <c r="AU70" s="235">
        <f>+AU69+5000</f>
        <v>85000</v>
      </c>
      <c r="AV70" s="216"/>
      <c r="AW70" s="227"/>
      <c r="AX70" s="17"/>
    </row>
    <row r="71" spans="1:50" ht="15" customHeight="1">
      <c r="A71" s="36"/>
      <c r="B71" s="20"/>
      <c r="C71" s="20" t="s">
        <v>851</v>
      </c>
      <c r="D71" s="20"/>
      <c r="E71" s="20"/>
      <c r="F71" s="20"/>
      <c r="G71" s="20"/>
      <c r="H71" s="20"/>
      <c r="I71" s="2453">
        <f>975*I67*I69/I68</f>
        <v>0.57302435115906991</v>
      </c>
      <c r="J71" s="326"/>
      <c r="N71" s="391" t="str">
        <f>HYPERLINK("\\Manish-pc\e\03 General\Manish\Selection\","Selection Folder")</f>
        <v>Selection Folder</v>
      </c>
      <c r="O71" s="59"/>
      <c r="P71" s="391" t="str">
        <f>HYPERLINK("\\Manish-pc\e\03 General\Manish\Selection\Sibre_Thruster_Drum_Brake.pdf","Sibre EHT")</f>
        <v>Sibre EHT</v>
      </c>
      <c r="R71" s="423" t="s">
        <v>318</v>
      </c>
      <c r="S71" s="424" t="s">
        <v>319</v>
      </c>
      <c r="T71" s="424"/>
      <c r="U71" s="424"/>
      <c r="V71" s="424"/>
      <c r="W71" s="424"/>
      <c r="X71" s="424"/>
      <c r="Y71" s="425" t="s">
        <v>274</v>
      </c>
      <c r="AA71" s="160" t="s">
        <v>350</v>
      </c>
      <c r="AB71" s="179">
        <f>VLOOKUP(AB69,AA78:AB86,2,0)</f>
        <v>13.7</v>
      </c>
      <c r="AC71" s="179">
        <f>VLOOKUP(AC69,AA78:AB86,2,0)</f>
        <v>13.7</v>
      </c>
      <c r="AD71" s="167" t="s">
        <v>345</v>
      </c>
      <c r="AE71" s="17"/>
      <c r="AF71" s="242">
        <v>330</v>
      </c>
      <c r="AG71" s="179">
        <v>440</v>
      </c>
      <c r="AH71" s="179" t="s">
        <v>320</v>
      </c>
      <c r="AI71" s="179">
        <v>250</v>
      </c>
      <c r="AJ71" s="29">
        <v>39</v>
      </c>
      <c r="AK71" s="416">
        <f>AK70</f>
        <v>33200</v>
      </c>
      <c r="AL71" s="416" t="s">
        <v>2518</v>
      </c>
      <c r="AM71" s="416" t="str">
        <f t="shared" si="2"/>
        <v>N(NV).250.HYD.023/05</v>
      </c>
      <c r="AN71" s="416"/>
      <c r="AO71" s="405"/>
      <c r="AP71" s="145" t="s">
        <v>2442</v>
      </c>
      <c r="AQ71" s="145">
        <v>40</v>
      </c>
      <c r="AR71" s="145" t="s">
        <v>2419</v>
      </c>
      <c r="AS71" s="311">
        <v>315</v>
      </c>
      <c r="AT71" s="235">
        <v>50</v>
      </c>
      <c r="AU71" s="235">
        <f>+AU70+5000</f>
        <v>90000</v>
      </c>
      <c r="AV71" s="216"/>
      <c r="AW71" s="227"/>
      <c r="AX71" s="17"/>
    </row>
    <row r="72" spans="1:50" ht="15" customHeight="1">
      <c r="A72" s="36"/>
      <c r="B72" s="20"/>
      <c r="C72" s="20"/>
      <c r="D72" s="20"/>
      <c r="E72" s="20"/>
      <c r="F72" s="20"/>
      <c r="G72" s="416" t="s">
        <v>250</v>
      </c>
      <c r="H72" s="427">
        <v>0</v>
      </c>
      <c r="I72" s="975">
        <f>I71*H72+I71</f>
        <v>0.57302435115906991</v>
      </c>
      <c r="J72" s="304" t="s">
        <v>852</v>
      </c>
      <c r="N72" s="429" t="str">
        <f>HYPERLINK("\\Manish-pc\e\03 General\Manish\Selection\Price_Sheet_2013.pdf","Price Sheet")</f>
        <v>Price Sheet</v>
      </c>
      <c r="O72" s="391" t="str">
        <f>HYPERLINK("\\Manish-pc\e\03 General\Manish\Selection\BCH_DCEM_Brake.pdf","BCH")</f>
        <v>BCH</v>
      </c>
      <c r="P72" s="391" t="str">
        <f>HYPERLINK("\\Manish-pc\e\03 General\Manish\Selection\SNT_Brake.pdf","SNT Brake")</f>
        <v>SNT Brake</v>
      </c>
      <c r="R72" s="423"/>
      <c r="S72" s="430" t="s">
        <v>323</v>
      </c>
      <c r="T72" s="430" t="s">
        <v>324</v>
      </c>
      <c r="U72" s="430" t="s">
        <v>325</v>
      </c>
      <c r="V72" s="430" t="s">
        <v>100</v>
      </c>
      <c r="W72" s="430" t="s">
        <v>326</v>
      </c>
      <c r="X72" s="431" t="s">
        <v>327</v>
      </c>
      <c r="Y72" s="425" t="s">
        <v>328</v>
      </c>
      <c r="AA72" s="160" t="s">
        <v>354</v>
      </c>
      <c r="AB72" s="179">
        <f>VLOOKUP(AB67,S75:Y88,7,0)</f>
        <v>7892.4999999999991</v>
      </c>
      <c r="AC72" s="179">
        <f>VLOOKUP(AC65,AG67:AK86,5,0)</f>
        <v>24593</v>
      </c>
      <c r="AD72" s="145" t="s">
        <v>290</v>
      </c>
      <c r="AE72" s="17"/>
      <c r="AF72" s="242">
        <v>440</v>
      </c>
      <c r="AG72" s="179">
        <v>720</v>
      </c>
      <c r="AH72" s="179" t="s">
        <v>330</v>
      </c>
      <c r="AI72" s="179">
        <v>250</v>
      </c>
      <c r="AJ72" s="29">
        <v>51</v>
      </c>
      <c r="AK72" s="416">
        <f>AK71</f>
        <v>33200</v>
      </c>
      <c r="AL72" s="416" t="s">
        <v>2520</v>
      </c>
      <c r="AM72" s="416" t="str">
        <f t="shared" si="2"/>
        <v>N(NV).250.HYD.050/06</v>
      </c>
      <c r="AN72" s="416"/>
      <c r="AO72" s="405"/>
      <c r="AP72" s="145" t="s">
        <v>2443</v>
      </c>
      <c r="AQ72" s="145">
        <v>20</v>
      </c>
      <c r="AR72" s="145" t="s">
        <v>2420</v>
      </c>
      <c r="AS72" s="311">
        <v>400</v>
      </c>
      <c r="AT72" s="235">
        <v>85</v>
      </c>
      <c r="AU72" s="235">
        <v>100000</v>
      </c>
      <c r="AV72" s="216"/>
      <c r="AW72" s="227"/>
      <c r="AX72" s="17"/>
    </row>
    <row r="73" spans="1:50">
      <c r="A73" s="36"/>
      <c r="C73" s="182"/>
      <c r="D73" s="182"/>
      <c r="E73" s="182"/>
      <c r="F73" s="182"/>
      <c r="G73" s="182"/>
      <c r="H73" s="182"/>
      <c r="I73" s="697">
        <f>I72*9.81</f>
        <v>5.6213688848704759</v>
      </c>
      <c r="J73" s="974" t="s">
        <v>304</v>
      </c>
      <c r="N73" s="429" t="str">
        <f>HYPERLINK("\\Manish-pc\e\03 General\Manish\Selection\BCH_ Price.pdf","BCH Price")</f>
        <v>BCH Price</v>
      </c>
      <c r="O73" s="391" t="str">
        <f>HYPERLINK("\\Manish-pc\e\03 General\Manish\Selection\SOC_Brake.pdf","SOC Brake")</f>
        <v>SOC Brake</v>
      </c>
      <c r="P73" s="391" t="str">
        <f>HYPERLINK("\\Manish-pc\e\03 General\Manish\Selection\Galvi_EHT_Brake.pdf","Galvi")</f>
        <v>Galvi</v>
      </c>
      <c r="R73" s="29"/>
      <c r="S73" s="311"/>
      <c r="T73" s="311"/>
      <c r="U73" s="311"/>
      <c r="V73" s="311"/>
      <c r="W73" s="311"/>
      <c r="X73" s="311"/>
      <c r="Y73" s="29"/>
      <c r="AA73" s="160" t="s">
        <v>358</v>
      </c>
      <c r="AB73" s="179">
        <f>VLOOKUP(AB69,AA78:AC86,3,0)</f>
        <v>2857</v>
      </c>
      <c r="AC73" s="179">
        <f>VLOOKUP(AC69,AA78:AC86,3,0)</f>
        <v>2857</v>
      </c>
      <c r="AD73" s="171" t="s">
        <v>298</v>
      </c>
      <c r="AE73" s="17"/>
      <c r="AF73" s="242">
        <v>720</v>
      </c>
      <c r="AG73" s="179">
        <v>520</v>
      </c>
      <c r="AH73" s="179" t="s">
        <v>332</v>
      </c>
      <c r="AI73" s="179">
        <v>315</v>
      </c>
      <c r="AJ73" s="29">
        <v>60</v>
      </c>
      <c r="AK73" s="416">
        <v>39250</v>
      </c>
      <c r="AL73" s="416" t="s">
        <v>2519</v>
      </c>
      <c r="AM73" s="416" t="str">
        <f t="shared" si="2"/>
        <v>N(NV).315.HYD.030/05</v>
      </c>
      <c r="AN73" s="416"/>
      <c r="AO73" s="405"/>
      <c r="AP73" s="145" t="s">
        <v>2444</v>
      </c>
      <c r="AQ73" s="145">
        <v>30</v>
      </c>
      <c r="AR73" s="145" t="s">
        <v>2421</v>
      </c>
      <c r="AS73" s="311">
        <v>400</v>
      </c>
      <c r="AT73" s="235">
        <v>85</v>
      </c>
      <c r="AU73" s="235">
        <f>+AU72+5000</f>
        <v>105000</v>
      </c>
      <c r="AV73" s="216"/>
      <c r="AW73" s="227"/>
      <c r="AX73" s="17"/>
    </row>
    <row r="74" spans="1:50" ht="17.25" customHeight="1">
      <c r="A74" s="36"/>
      <c r="B74" s="182" t="s">
        <v>853</v>
      </c>
      <c r="C74" s="462"/>
      <c r="D74" s="462"/>
      <c r="E74" s="462"/>
      <c r="F74" s="462"/>
      <c r="G74" s="462"/>
      <c r="H74" s="462"/>
      <c r="I74" s="462"/>
      <c r="J74" s="304"/>
      <c r="N74" s="818" t="s">
        <v>334</v>
      </c>
      <c r="O74" s="818" t="s">
        <v>335</v>
      </c>
      <c r="P74" s="819" t="s">
        <v>336</v>
      </c>
      <c r="Q74" s="432"/>
      <c r="R74" s="433" t="s">
        <v>294</v>
      </c>
      <c r="S74" s="311"/>
      <c r="T74" s="311"/>
      <c r="U74" s="311"/>
      <c r="V74" s="311"/>
      <c r="W74" s="311"/>
      <c r="X74" s="311"/>
      <c r="Y74" s="29"/>
      <c r="AA74" s="417" t="s">
        <v>302</v>
      </c>
      <c r="AB74" s="30" t="str">
        <f>VLOOKUP(AB67,S75:V88,4,0)</f>
        <v>MDT 160-18</v>
      </c>
      <c r="AC74" s="243" t="str">
        <f>VLOOKUP(AC65,AG67:AM86,7,0)</f>
        <v>N(NV).160.HYD.023/05</v>
      </c>
      <c r="AD74" s="59" t="s">
        <v>2458</v>
      </c>
      <c r="AE74" s="17"/>
      <c r="AF74" s="242">
        <v>520</v>
      </c>
      <c r="AG74" s="29">
        <v>870</v>
      </c>
      <c r="AH74" s="179" t="s">
        <v>338</v>
      </c>
      <c r="AI74" s="179">
        <v>315</v>
      </c>
      <c r="AJ74" s="29">
        <v>70</v>
      </c>
      <c r="AK74" s="416">
        <f t="shared" ref="AK74" si="4">AK73</f>
        <v>39250</v>
      </c>
      <c r="AL74" s="416" t="s">
        <v>2520</v>
      </c>
      <c r="AM74" s="416" t="str">
        <f t="shared" si="2"/>
        <v>N(NV).315.HYD.050/06</v>
      </c>
      <c r="AN74" s="416"/>
      <c r="AO74" s="405"/>
      <c r="AP74" s="145" t="s">
        <v>2445</v>
      </c>
      <c r="AQ74" s="145">
        <v>40</v>
      </c>
      <c r="AR74" s="145" t="s">
        <v>2422</v>
      </c>
      <c r="AS74" s="311">
        <v>400</v>
      </c>
      <c r="AT74" s="235">
        <v>85</v>
      </c>
      <c r="AU74" s="235">
        <f>+AU73+5000</f>
        <v>110000</v>
      </c>
      <c r="AV74" s="216"/>
      <c r="AW74" s="227"/>
      <c r="AX74" s="17"/>
    </row>
    <row r="75" spans="1:50" ht="20" customHeight="1">
      <c r="A75" s="36"/>
      <c r="B75" s="182"/>
      <c r="C75" s="182" t="s">
        <v>339</v>
      </c>
      <c r="D75" s="182"/>
      <c r="E75" s="182"/>
      <c r="F75" s="182"/>
      <c r="G75" s="59"/>
      <c r="H75" s="976" t="str">
        <f>MH!I69</f>
        <v>EHT</v>
      </c>
      <c r="I75" s="462"/>
      <c r="J75" s="304"/>
      <c r="K75" s="977" t="str">
        <f>IF(I72&lt;H79,"Right","Wrong")</f>
        <v>Right</v>
      </c>
      <c r="L75" s="244" t="s">
        <v>2457</v>
      </c>
      <c r="M75" s="820" t="str">
        <f>H75</f>
        <v>EHT</v>
      </c>
      <c r="N75" s="311"/>
      <c r="O75" s="311"/>
      <c r="P75" s="821" t="str">
        <f>N76&amp;" + "&amp;O76</f>
        <v>SOC + FALSE</v>
      </c>
      <c r="Q75" s="437"/>
      <c r="R75" s="438">
        <v>0</v>
      </c>
      <c r="S75" s="311">
        <v>9</v>
      </c>
      <c r="T75" s="311">
        <v>18</v>
      </c>
      <c r="U75" s="311">
        <v>160</v>
      </c>
      <c r="V75" s="311" t="s">
        <v>340</v>
      </c>
      <c r="W75" s="311">
        <v>20</v>
      </c>
      <c r="X75" s="311">
        <v>13.7</v>
      </c>
      <c r="Y75" s="29">
        <f>+Z75*0.7</f>
        <v>7892.4999999999991</v>
      </c>
      <c r="Z75" s="22">
        <v>11275</v>
      </c>
      <c r="AA75" s="417"/>
      <c r="AB75" s="243"/>
      <c r="AC75" s="243"/>
      <c r="AD75" s="173" t="s">
        <v>359</v>
      </c>
      <c r="AE75" s="17"/>
      <c r="AF75" s="439">
        <v>870</v>
      </c>
      <c r="AG75" s="179">
        <v>1550</v>
      </c>
      <c r="AH75" s="179" t="s">
        <v>342</v>
      </c>
      <c r="AI75" s="179">
        <v>315</v>
      </c>
      <c r="AJ75" s="29">
        <v>71</v>
      </c>
      <c r="AK75" s="416">
        <f>AK74</f>
        <v>39250</v>
      </c>
      <c r="AL75" s="416" t="s">
        <v>2521</v>
      </c>
      <c r="AM75" s="416" t="str">
        <f t="shared" si="2"/>
        <v>N(NV).315.HYD.080/06</v>
      </c>
      <c r="AN75" s="416"/>
      <c r="AO75" s="405"/>
      <c r="AP75" s="145" t="s">
        <v>2446</v>
      </c>
      <c r="AQ75" s="145">
        <v>50</v>
      </c>
      <c r="AR75" s="145" t="s">
        <v>2423</v>
      </c>
      <c r="AS75" s="311">
        <v>400</v>
      </c>
      <c r="AT75" s="235">
        <v>85</v>
      </c>
      <c r="AU75" s="235">
        <f>+AU74+5000</f>
        <v>115000</v>
      </c>
      <c r="AV75" s="216"/>
      <c r="AW75" s="227"/>
      <c r="AX75" s="17"/>
    </row>
    <row r="76" spans="1:50" ht="14.1" customHeight="1">
      <c r="A76" s="36"/>
      <c r="B76" s="182"/>
      <c r="C76" s="20"/>
      <c r="D76" s="20"/>
      <c r="E76" s="20"/>
      <c r="F76" s="20"/>
      <c r="G76" s="20"/>
      <c r="H76" s="20"/>
      <c r="I76" s="462"/>
      <c r="J76" s="304"/>
      <c r="K76" s="53"/>
      <c r="L76" s="440" t="s">
        <v>2434</v>
      </c>
      <c r="M76" s="441"/>
      <c r="N76" s="822" t="str">
        <f>IF(M75="EHT",M77,IF(M75="EHT + DCEM",IF(M77="SOC + BCH","SOC",IF(M77="SOC + KAKKU","SOC",IF(M77="GALVI + BCH","GALVI",IF(M77="GALVI + KAKKU","GALVI",IF(M77="GALVI + SOC","GALVI",IF(M77="SOC + SOC","SOC"))))))))</f>
        <v>SOC</v>
      </c>
      <c r="O76" s="822" t="b">
        <f>IF(M75="DCEM",M77,IF(M75="EHT + DCEM",IF(M77="SOC + BCH","BCH",IF(M77="SOC + KAKKU","KAKKU",IF(M77="GALVI + BCH","BCH",IF(M77="GALVI + KAKKU","KAKKU",IF(M77="SOC + SOC","SOC",IF(M77="GALVI + SOC","SOC"))))))))</f>
        <v>0</v>
      </c>
      <c r="P76" s="821"/>
      <c r="Q76" s="437"/>
      <c r="R76" s="438">
        <v>9</v>
      </c>
      <c r="S76" s="311">
        <v>20</v>
      </c>
      <c r="T76" s="311">
        <v>18</v>
      </c>
      <c r="U76" s="311">
        <v>200</v>
      </c>
      <c r="V76" s="311" t="s">
        <v>343</v>
      </c>
      <c r="W76" s="311">
        <v>27</v>
      </c>
      <c r="X76" s="311">
        <v>23.5</v>
      </c>
      <c r="Y76" s="29">
        <f t="shared" ref="Y76:Y88" si="5">+Z76*0.7</f>
        <v>8935.5</v>
      </c>
      <c r="Z76" s="22">
        <v>12765</v>
      </c>
      <c r="AA76" s="19"/>
      <c r="AB76" s="17"/>
      <c r="AC76" s="17"/>
      <c r="AD76" s="53" t="s">
        <v>2458</v>
      </c>
      <c r="AE76" s="17"/>
      <c r="AF76" s="242">
        <v>1550</v>
      </c>
      <c r="AG76" s="179">
        <v>860</v>
      </c>
      <c r="AH76" s="179" t="s">
        <v>346</v>
      </c>
      <c r="AI76" s="179">
        <v>400</v>
      </c>
      <c r="AJ76" s="29">
        <v>95</v>
      </c>
      <c r="AK76" s="416">
        <v>46500</v>
      </c>
      <c r="AL76" s="416" t="s">
        <v>2520</v>
      </c>
      <c r="AM76" s="416" t="str">
        <f t="shared" si="2"/>
        <v>N(NV).400.HYD.050/06</v>
      </c>
      <c r="AN76" s="416"/>
      <c r="AO76" s="405"/>
      <c r="AP76" s="145" t="s">
        <v>2447</v>
      </c>
      <c r="AQ76" s="145">
        <v>30</v>
      </c>
      <c r="AR76" s="145" t="s">
        <v>2424</v>
      </c>
      <c r="AS76" s="311">
        <v>500</v>
      </c>
      <c r="AT76" s="235">
        <v>130</v>
      </c>
      <c r="AU76" s="235">
        <v>120000</v>
      </c>
      <c r="AV76" s="216"/>
      <c r="AW76" s="227"/>
      <c r="AX76" s="17"/>
    </row>
    <row r="77" spans="1:50" ht="18" customHeight="1">
      <c r="A77" s="36"/>
      <c r="B77" s="182"/>
      <c r="C77" s="182" t="s">
        <v>347</v>
      </c>
      <c r="D77" s="20"/>
      <c r="E77" s="20"/>
      <c r="F77" s="462"/>
      <c r="G77" s="462"/>
      <c r="H77" s="976" t="str">
        <f>MH!I71</f>
        <v>SOC</v>
      </c>
      <c r="I77" s="462"/>
      <c r="J77" s="911"/>
      <c r="K77" s="53"/>
      <c r="L77" s="53"/>
      <c r="M77" s="444" t="str">
        <f>+H77</f>
        <v>SOC</v>
      </c>
      <c r="N77" s="445">
        <f>IF(N76="SOC",AB66,IF(N76="GALVI",AC66,0))</f>
        <v>0</v>
      </c>
      <c r="O77" s="445">
        <f>VLOOKUP(AC62,P62:P68,1)</f>
        <v>0</v>
      </c>
      <c r="P77" s="145"/>
      <c r="Q77" s="437"/>
      <c r="R77" s="438">
        <v>20</v>
      </c>
      <c r="S77" s="311">
        <v>32</v>
      </c>
      <c r="T77" s="311">
        <v>34</v>
      </c>
      <c r="U77" s="311">
        <v>200</v>
      </c>
      <c r="V77" s="311" t="s">
        <v>349</v>
      </c>
      <c r="W77" s="311">
        <v>27</v>
      </c>
      <c r="X77" s="311">
        <v>23.5</v>
      </c>
      <c r="Y77" s="29">
        <f t="shared" si="5"/>
        <v>10717</v>
      </c>
      <c r="Z77" s="22">
        <v>15310</v>
      </c>
      <c r="AA77" s="245" t="s">
        <v>372</v>
      </c>
      <c r="AB77" s="446" t="s">
        <v>373</v>
      </c>
      <c r="AC77" s="245" t="s">
        <v>274</v>
      </c>
      <c r="AD77" s="177" t="s">
        <v>289</v>
      </c>
      <c r="AE77" s="17"/>
      <c r="AF77" s="242">
        <v>860</v>
      </c>
      <c r="AG77" s="179">
        <v>1620</v>
      </c>
      <c r="AH77" s="179" t="s">
        <v>351</v>
      </c>
      <c r="AI77" s="179">
        <v>400</v>
      </c>
      <c r="AJ77" s="29">
        <v>96</v>
      </c>
      <c r="AK77" s="416">
        <f>AK76</f>
        <v>46500</v>
      </c>
      <c r="AL77" s="416" t="s">
        <v>2521</v>
      </c>
      <c r="AM77" s="416" t="str">
        <f t="shared" si="2"/>
        <v>N(NV).400.HYD.080/06</v>
      </c>
      <c r="AN77" s="416"/>
      <c r="AO77" s="405"/>
      <c r="AP77" s="145" t="s">
        <v>2448</v>
      </c>
      <c r="AQ77" s="145">
        <v>40</v>
      </c>
      <c r="AR77" s="145" t="s">
        <v>2425</v>
      </c>
      <c r="AS77" s="311">
        <v>500</v>
      </c>
      <c r="AT77" s="235">
        <v>130</v>
      </c>
      <c r="AU77" s="235">
        <f>+AU76+5000</f>
        <v>125000</v>
      </c>
      <c r="AV77" s="216"/>
      <c r="AW77" s="227"/>
      <c r="AX77" s="17"/>
    </row>
    <row r="78" spans="1:50">
      <c r="A78" s="732"/>
      <c r="J78" s="911"/>
      <c r="K78" s="53">
        <f>IF($H$77="SIBRE",L78,M78)</f>
        <v>9</v>
      </c>
      <c r="L78" s="53" t="str">
        <f>VLOOKUP(L76,AP63:AU85,3,0)</f>
        <v>50-300</v>
      </c>
      <c r="M78" s="434">
        <f>IF(M75="EHT",N78,IF(M75="DCEM",O78,IF(M75="EHT + DCEM",P78,0)))</f>
        <v>9</v>
      </c>
      <c r="N78" s="311">
        <f>IF(N76="SOC",AB67,IF(N76="GALVI",AC67,0))</f>
        <v>9</v>
      </c>
      <c r="O78" s="311">
        <f>VLOOKUP(O77,P62:Q68,2,0)</f>
        <v>8</v>
      </c>
      <c r="P78" s="145" t="str">
        <f>N78&amp;" + "&amp;O78</f>
        <v>9 + 8</v>
      </c>
      <c r="Q78" s="437"/>
      <c r="R78" s="438">
        <v>32</v>
      </c>
      <c r="S78" s="311">
        <v>35</v>
      </c>
      <c r="T78" s="311">
        <v>18</v>
      </c>
      <c r="U78" s="311">
        <v>250</v>
      </c>
      <c r="V78" s="311" t="s">
        <v>353</v>
      </c>
      <c r="W78" s="311">
        <v>30</v>
      </c>
      <c r="X78" s="311">
        <v>41</v>
      </c>
      <c r="Y78" s="29">
        <f t="shared" si="5"/>
        <v>9870</v>
      </c>
      <c r="Z78" s="22">
        <v>14100</v>
      </c>
      <c r="AA78" s="29">
        <v>150</v>
      </c>
      <c r="AB78" s="29">
        <v>11.5</v>
      </c>
      <c r="AC78" s="29">
        <v>2679</v>
      </c>
      <c r="AD78" s="171" t="s">
        <v>290</v>
      </c>
      <c r="AE78" s="17"/>
      <c r="AF78" s="242">
        <v>1620</v>
      </c>
      <c r="AG78" s="179">
        <v>2670</v>
      </c>
      <c r="AH78" s="179" t="s">
        <v>355</v>
      </c>
      <c r="AI78" s="179">
        <v>400</v>
      </c>
      <c r="AJ78" s="29">
        <v>117</v>
      </c>
      <c r="AK78" s="416">
        <v>57000</v>
      </c>
      <c r="AL78" s="416" t="s">
        <v>2522</v>
      </c>
      <c r="AM78" s="416" t="str">
        <f t="shared" si="2"/>
        <v>N(NV).400.HYD.121/06</v>
      </c>
      <c r="AN78" s="416"/>
      <c r="AO78" s="405"/>
      <c r="AP78" s="145" t="s">
        <v>2449</v>
      </c>
      <c r="AQ78" s="145">
        <v>50</v>
      </c>
      <c r="AR78" s="145" t="s">
        <v>2426</v>
      </c>
      <c r="AS78" s="311">
        <v>500</v>
      </c>
      <c r="AT78" s="235">
        <v>130</v>
      </c>
      <c r="AU78" s="235">
        <f>+AU77+5000</f>
        <v>130000</v>
      </c>
      <c r="AV78" s="216"/>
      <c r="AW78" s="227"/>
      <c r="AX78" s="17"/>
    </row>
    <row r="79" spans="1:50">
      <c r="A79" s="36"/>
      <c r="B79" s="182"/>
      <c r="C79" s="182" t="s">
        <v>352</v>
      </c>
      <c r="D79" s="182"/>
      <c r="E79" s="182"/>
      <c r="F79" s="182"/>
      <c r="G79" s="59"/>
      <c r="H79" s="434">
        <f>+K78</f>
        <v>9</v>
      </c>
      <c r="I79" s="462"/>
      <c r="J79" s="911"/>
      <c r="K79" s="53">
        <f t="shared" ref="K79:K86" si="6">IF($H$77="SIBRE",L79,M79)</f>
        <v>18</v>
      </c>
      <c r="L79" s="53">
        <f>VLOOKUP(L76,AP63:AU85,2,0)</f>
        <v>10</v>
      </c>
      <c r="M79" s="434">
        <f>IF(M75="EHT",N79,IF(M75="DCEM",O79,IF(M75="EHT + DCEM",P79,0)))</f>
        <v>18</v>
      </c>
      <c r="N79" s="311">
        <f>IF(N76="SOC",AB68,IF(N76="GALVI",AC68,0))</f>
        <v>18</v>
      </c>
      <c r="O79" s="311" t="s">
        <v>26</v>
      </c>
      <c r="P79" s="145" t="str">
        <f>IF(M77="SOC + BCH",N79,IF(M77="SOC + KAKKU",N79,"-"))</f>
        <v>-</v>
      </c>
      <c r="Q79" s="437"/>
      <c r="R79" s="438">
        <v>35</v>
      </c>
      <c r="S79" s="311">
        <v>42</v>
      </c>
      <c r="T79" s="311">
        <v>34</v>
      </c>
      <c r="U79" s="311">
        <v>250</v>
      </c>
      <c r="V79" s="311" t="s">
        <v>357</v>
      </c>
      <c r="W79" s="311">
        <v>30</v>
      </c>
      <c r="X79" s="311">
        <v>41</v>
      </c>
      <c r="Y79" s="29">
        <f t="shared" si="5"/>
        <v>11445</v>
      </c>
      <c r="Z79" s="22">
        <v>16350</v>
      </c>
      <c r="AA79" s="29">
        <v>160</v>
      </c>
      <c r="AB79" s="29">
        <v>13.7</v>
      </c>
      <c r="AC79" s="29">
        <v>2857</v>
      </c>
      <c r="AD79" s="178" t="s">
        <v>368</v>
      </c>
      <c r="AE79" s="17"/>
      <c r="AF79" s="242">
        <v>2670</v>
      </c>
      <c r="AG79" s="179">
        <v>1600</v>
      </c>
      <c r="AH79" s="179" t="s">
        <v>360</v>
      </c>
      <c r="AI79" s="179">
        <v>500</v>
      </c>
      <c r="AJ79" s="29">
        <v>150</v>
      </c>
      <c r="AK79" s="416">
        <v>57600</v>
      </c>
      <c r="AL79" s="416" t="s">
        <v>2521</v>
      </c>
      <c r="AM79" s="416" t="str">
        <f t="shared" si="2"/>
        <v>N(NV).500.HYD.080/06</v>
      </c>
      <c r="AN79" s="416"/>
      <c r="AO79" s="405"/>
      <c r="AP79" s="145" t="s">
        <v>2450</v>
      </c>
      <c r="AQ79" s="145">
        <v>60</v>
      </c>
      <c r="AR79" s="145" t="s">
        <v>2427</v>
      </c>
      <c r="AS79" s="311">
        <v>500</v>
      </c>
      <c r="AT79" s="235">
        <v>130</v>
      </c>
      <c r="AU79" s="235">
        <f>+AU78+5000</f>
        <v>135000</v>
      </c>
      <c r="AV79" s="216"/>
      <c r="AW79" s="227"/>
      <c r="AX79" s="17"/>
    </row>
    <row r="80" spans="1:50">
      <c r="A80" s="36"/>
      <c r="B80" s="182"/>
      <c r="C80" s="182" t="s">
        <v>356</v>
      </c>
      <c r="D80" s="182"/>
      <c r="E80" s="196"/>
      <c r="F80" s="196"/>
      <c r="G80" s="83"/>
      <c r="H80" s="434">
        <f>+K79</f>
        <v>18</v>
      </c>
      <c r="I80" s="462"/>
      <c r="J80" s="911"/>
      <c r="K80" s="53">
        <f t="shared" si="6"/>
        <v>160</v>
      </c>
      <c r="L80" s="53">
        <f>VLOOKUP(L76,AP63:AU85,4,0)</f>
        <v>200</v>
      </c>
      <c r="M80" s="434">
        <f>IF(M75="EHT",N80,IF(M75="DCEM",O80,IF(M75="EHT + DCEM",P80,0)))</f>
        <v>160</v>
      </c>
      <c r="N80" s="311">
        <f>IF(N76="SOC",AB69,IF(N76="GALVI",AC69,0))</f>
        <v>160</v>
      </c>
      <c r="O80" s="311">
        <f>VLOOKUP(O78,Q62:R68,2,0)</f>
        <v>160</v>
      </c>
      <c r="P80" s="145" t="str">
        <f>N80&amp;" + "&amp;O80</f>
        <v>160 + 160</v>
      </c>
      <c r="Q80" s="437"/>
      <c r="R80" s="438">
        <v>42</v>
      </c>
      <c r="S80" s="29">
        <v>62</v>
      </c>
      <c r="T80" s="29">
        <v>34</v>
      </c>
      <c r="U80" s="311">
        <v>300</v>
      </c>
      <c r="V80" s="311" t="s">
        <v>362</v>
      </c>
      <c r="W80" s="311">
        <v>70</v>
      </c>
      <c r="X80" s="311">
        <v>72</v>
      </c>
      <c r="Y80" s="29">
        <f t="shared" si="5"/>
        <v>13405</v>
      </c>
      <c r="Z80" s="22">
        <v>19150</v>
      </c>
      <c r="AA80" s="29">
        <v>200</v>
      </c>
      <c r="AB80" s="29">
        <v>23.5</v>
      </c>
      <c r="AC80" s="29">
        <v>5197</v>
      </c>
      <c r="AD80" s="177" t="s">
        <v>374</v>
      </c>
      <c r="AE80" s="17"/>
      <c r="AF80" s="242">
        <v>1600</v>
      </c>
      <c r="AG80" s="179">
        <v>2910</v>
      </c>
      <c r="AH80" s="179" t="s">
        <v>363</v>
      </c>
      <c r="AI80" s="179">
        <v>500</v>
      </c>
      <c r="AJ80" s="29">
        <v>161</v>
      </c>
      <c r="AK80" s="416">
        <v>68100</v>
      </c>
      <c r="AL80" s="416" t="s">
        <v>2522</v>
      </c>
      <c r="AM80" s="416" t="str">
        <f t="shared" si="2"/>
        <v>N(NV).500.HYD.121/06</v>
      </c>
      <c r="AN80" s="416"/>
      <c r="AO80" s="405"/>
      <c r="AP80" s="145" t="s">
        <v>2451</v>
      </c>
      <c r="AQ80" s="145">
        <v>50</v>
      </c>
      <c r="AR80" s="145" t="s">
        <v>2428</v>
      </c>
      <c r="AS80" s="311">
        <v>630</v>
      </c>
      <c r="AT80" s="235">
        <v>206</v>
      </c>
      <c r="AU80" s="235">
        <v>140000</v>
      </c>
      <c r="AV80" s="216"/>
      <c r="AW80" s="227"/>
      <c r="AX80" s="17"/>
    </row>
    <row r="81" spans="1:50" ht="17.25" customHeight="1">
      <c r="A81" s="36"/>
      <c r="B81" s="182"/>
      <c r="C81" s="182" t="s">
        <v>361</v>
      </c>
      <c r="D81" s="182"/>
      <c r="E81" s="196"/>
      <c r="F81" s="196"/>
      <c r="G81" s="83"/>
      <c r="H81" s="434">
        <f>+K80</f>
        <v>160</v>
      </c>
      <c r="I81" s="462"/>
      <c r="J81" s="911"/>
      <c r="K81" s="53" t="str">
        <f t="shared" si="6"/>
        <v>MDT 160-18</v>
      </c>
      <c r="L81" s="53" t="str">
        <f>L76</f>
        <v>TE 200 (10)</v>
      </c>
      <c r="M81" s="434" t="str">
        <f>IF(M75="EHT",N81,IF(M75="DCEM","-",IF(M75="EHT + DCEM",P81,0)))</f>
        <v>MDT 160-18</v>
      </c>
      <c r="N81" s="449" t="str">
        <f>IF(N76="SOC",AB74,IF(N76="GALVI",AC74))</f>
        <v>MDT 160-18</v>
      </c>
      <c r="O81" s="228"/>
      <c r="P81" s="450" t="str">
        <f>N81&amp;" (For EHT)"</f>
        <v>MDT 160-18 (For EHT)</v>
      </c>
      <c r="Q81" s="437"/>
      <c r="R81" s="451">
        <v>62</v>
      </c>
      <c r="S81" s="311">
        <v>90</v>
      </c>
      <c r="T81" s="311">
        <v>34</v>
      </c>
      <c r="U81" s="311">
        <v>400</v>
      </c>
      <c r="V81" s="311" t="s">
        <v>365</v>
      </c>
      <c r="W81" s="311">
        <v>85</v>
      </c>
      <c r="X81" s="311">
        <v>160</v>
      </c>
      <c r="Y81" s="29">
        <f t="shared" si="5"/>
        <v>16555</v>
      </c>
      <c r="Z81" s="22">
        <v>23650</v>
      </c>
      <c r="AA81" s="29">
        <v>250</v>
      </c>
      <c r="AB81" s="29">
        <v>41</v>
      </c>
      <c r="AC81" s="29">
        <v>6952</v>
      </c>
      <c r="AD81" s="177" t="s">
        <v>377</v>
      </c>
      <c r="AE81" s="17"/>
      <c r="AF81" s="242">
        <v>2910</v>
      </c>
      <c r="AG81" s="179">
        <v>5220</v>
      </c>
      <c r="AH81" s="179" t="s">
        <v>366</v>
      </c>
      <c r="AI81" s="179">
        <v>500</v>
      </c>
      <c r="AJ81" s="29">
        <v>161</v>
      </c>
      <c r="AK81" s="416">
        <f t="shared" ref="AK81" si="7">AK80</f>
        <v>68100</v>
      </c>
      <c r="AL81" s="416" t="s">
        <v>2523</v>
      </c>
      <c r="AM81" s="416" t="str">
        <f t="shared" si="2"/>
        <v>N(NV).500.HYD.201/06</v>
      </c>
      <c r="AN81" s="416"/>
      <c r="AO81" s="405"/>
      <c r="AP81" s="145" t="s">
        <v>2452</v>
      </c>
      <c r="AQ81" s="145">
        <v>60</v>
      </c>
      <c r="AR81" s="145" t="s">
        <v>2429</v>
      </c>
      <c r="AS81" s="311">
        <v>630</v>
      </c>
      <c r="AT81" s="235">
        <v>206</v>
      </c>
      <c r="AU81" s="235">
        <f>+AU80+5000</f>
        <v>145000</v>
      </c>
      <c r="AV81" s="216"/>
      <c r="AW81" s="227"/>
      <c r="AX81" s="17"/>
    </row>
    <row r="82" spans="1:50" ht="15.75" customHeight="1">
      <c r="A82" s="36"/>
      <c r="B82" s="182"/>
      <c r="C82" s="186" t="s">
        <v>364</v>
      </c>
      <c r="D82" s="182"/>
      <c r="E82" s="182"/>
      <c r="F82" s="182"/>
      <c r="G82" s="59"/>
      <c r="H82" s="434" t="str">
        <f>+K81</f>
        <v>MDT 160-18</v>
      </c>
      <c r="I82" s="462"/>
      <c r="J82" s="978" t="s">
        <v>2657</v>
      </c>
      <c r="K82" s="53"/>
      <c r="L82" s="53"/>
      <c r="N82" s="131"/>
      <c r="O82" s="131"/>
      <c r="P82" s="131"/>
      <c r="Q82" s="437"/>
      <c r="R82" s="438">
        <v>90</v>
      </c>
      <c r="S82" s="311">
        <v>110</v>
      </c>
      <c r="T82" s="311">
        <v>46</v>
      </c>
      <c r="U82" s="311">
        <v>400</v>
      </c>
      <c r="V82" s="311" t="s">
        <v>367</v>
      </c>
      <c r="W82" s="311">
        <v>85</v>
      </c>
      <c r="X82" s="311">
        <v>160</v>
      </c>
      <c r="Y82" s="29">
        <f t="shared" si="5"/>
        <v>17815</v>
      </c>
      <c r="Z82" s="22">
        <v>25450</v>
      </c>
      <c r="AA82" s="29">
        <v>300</v>
      </c>
      <c r="AB82" s="29">
        <v>72</v>
      </c>
      <c r="AC82" s="29">
        <v>13432</v>
      </c>
      <c r="AD82" s="173" t="s">
        <v>382</v>
      </c>
      <c r="AE82" s="17"/>
      <c r="AF82" s="242">
        <v>5220</v>
      </c>
      <c r="AG82" s="179">
        <v>3210</v>
      </c>
      <c r="AH82" s="179" t="s">
        <v>369</v>
      </c>
      <c r="AI82" s="179">
        <v>630</v>
      </c>
      <c r="AJ82" s="29">
        <v>242</v>
      </c>
      <c r="AK82" s="416">
        <v>94200</v>
      </c>
      <c r="AL82" s="416" t="s">
        <v>2522</v>
      </c>
      <c r="AM82" s="416" t="str">
        <f t="shared" si="2"/>
        <v>N(NV).630.HYD.121/06</v>
      </c>
      <c r="AN82" s="416"/>
      <c r="AO82" s="405"/>
      <c r="AP82" s="145" t="s">
        <v>2453</v>
      </c>
      <c r="AQ82" s="145">
        <v>70</v>
      </c>
      <c r="AR82" s="145" t="s">
        <v>2430</v>
      </c>
      <c r="AS82" s="311">
        <v>630</v>
      </c>
      <c r="AT82" s="235">
        <v>206</v>
      </c>
      <c r="AU82" s="235">
        <f>+AU81+5000</f>
        <v>150000</v>
      </c>
      <c r="AV82" s="216"/>
      <c r="AW82" s="227"/>
      <c r="AX82" s="17"/>
    </row>
    <row r="83" spans="1:50">
      <c r="A83" s="36"/>
      <c r="B83" s="182"/>
      <c r="J83" s="912" t="s">
        <v>2656</v>
      </c>
      <c r="K83" s="53">
        <f>H84</f>
        <v>1</v>
      </c>
      <c r="L83" s="53">
        <f>H84</f>
        <v>1</v>
      </c>
      <c r="M83" s="72">
        <f>J84</f>
        <v>0.5</v>
      </c>
      <c r="N83" s="311"/>
      <c r="O83" s="311"/>
      <c r="P83" s="145"/>
      <c r="Q83" s="437"/>
      <c r="R83" s="438">
        <v>110</v>
      </c>
      <c r="S83" s="311">
        <v>170</v>
      </c>
      <c r="T83" s="311">
        <v>68</v>
      </c>
      <c r="U83" s="311">
        <v>400</v>
      </c>
      <c r="V83" s="311" t="s">
        <v>371</v>
      </c>
      <c r="W83" s="311">
        <v>88</v>
      </c>
      <c r="X83" s="311">
        <v>160</v>
      </c>
      <c r="Y83" s="29">
        <f t="shared" si="5"/>
        <v>20520.5</v>
      </c>
      <c r="Z83" s="22">
        <v>29315</v>
      </c>
      <c r="AA83" s="29">
        <v>400</v>
      </c>
      <c r="AB83" s="29">
        <v>160</v>
      </c>
      <c r="AC83" s="29">
        <v>24030</v>
      </c>
      <c r="AD83" s="173" t="s">
        <v>386</v>
      </c>
      <c r="AE83" s="17"/>
      <c r="AF83" s="242">
        <v>3210</v>
      </c>
      <c r="AG83" s="179">
        <v>7700</v>
      </c>
      <c r="AH83" s="179" t="s">
        <v>375</v>
      </c>
      <c r="AI83" s="179">
        <v>630</v>
      </c>
      <c r="AJ83" s="29">
        <v>243</v>
      </c>
      <c r="AK83" s="416">
        <f>AK82</f>
        <v>94200</v>
      </c>
      <c r="AL83" s="416" t="s">
        <v>2524</v>
      </c>
      <c r="AM83" s="416" t="str">
        <f t="shared" si="2"/>
        <v>N(NV).630.HYD.301/06</v>
      </c>
      <c r="AN83" s="416"/>
      <c r="AO83" s="405"/>
      <c r="AP83" s="145" t="s">
        <v>2454</v>
      </c>
      <c r="AQ83" s="145">
        <v>50</v>
      </c>
      <c r="AR83" s="145" t="s">
        <v>2431</v>
      </c>
      <c r="AS83" s="311">
        <v>710</v>
      </c>
      <c r="AT83" s="235">
        <v>268</v>
      </c>
      <c r="AU83" s="235">
        <v>160000</v>
      </c>
      <c r="AV83" s="216"/>
      <c r="AW83" s="227"/>
      <c r="AX83" s="17"/>
    </row>
    <row r="84" spans="1:50" ht="15" customHeight="1">
      <c r="A84" s="36"/>
      <c r="C84" s="182" t="s">
        <v>854</v>
      </c>
      <c r="D84" s="20"/>
      <c r="E84" s="20"/>
      <c r="F84" s="20"/>
      <c r="G84" s="20"/>
      <c r="H84" s="60">
        <v>1</v>
      </c>
      <c r="I84" s="386" t="s">
        <v>2658</v>
      </c>
      <c r="J84" s="912">
        <f>H84/I46</f>
        <v>0.5</v>
      </c>
      <c r="K84" s="53"/>
      <c r="L84" s="53"/>
      <c r="N84" s="131"/>
      <c r="O84" s="131"/>
      <c r="P84" s="131"/>
      <c r="Q84" s="437"/>
      <c r="R84" s="438">
        <v>170</v>
      </c>
      <c r="S84" s="311">
        <v>190</v>
      </c>
      <c r="T84" s="311">
        <v>46</v>
      </c>
      <c r="U84" s="311">
        <v>500</v>
      </c>
      <c r="V84" s="311" t="s">
        <v>376</v>
      </c>
      <c r="W84" s="311">
        <v>125</v>
      </c>
      <c r="X84" s="311">
        <v>175</v>
      </c>
      <c r="Y84" s="29">
        <f t="shared" si="5"/>
        <v>25690</v>
      </c>
      <c r="Z84" s="22">
        <v>36700</v>
      </c>
      <c r="AA84" s="29">
        <v>500</v>
      </c>
      <c r="AB84" s="29">
        <v>175</v>
      </c>
      <c r="AC84" s="29">
        <v>30000</v>
      </c>
      <c r="AD84" s="173" t="s">
        <v>391</v>
      </c>
      <c r="AE84" s="17"/>
      <c r="AF84" s="242">
        <v>7700</v>
      </c>
      <c r="AG84" s="179">
        <v>3620</v>
      </c>
      <c r="AH84" s="179" t="s">
        <v>378</v>
      </c>
      <c r="AI84" s="179">
        <v>710</v>
      </c>
      <c r="AJ84" s="29">
        <v>307</v>
      </c>
      <c r="AK84" s="416">
        <v>122415</v>
      </c>
      <c r="AL84" s="416" t="s">
        <v>2522</v>
      </c>
      <c r="AM84" s="416" t="str">
        <f t="shared" si="2"/>
        <v>N(NV).710.HYD.121/06</v>
      </c>
      <c r="AN84" s="416"/>
      <c r="AO84" s="405"/>
      <c r="AP84" s="145" t="s">
        <v>2455</v>
      </c>
      <c r="AQ84" s="145">
        <v>60</v>
      </c>
      <c r="AR84" s="145" t="s">
        <v>2432</v>
      </c>
      <c r="AS84" s="311">
        <v>710</v>
      </c>
      <c r="AT84" s="235">
        <v>268</v>
      </c>
      <c r="AU84" s="235">
        <f>+AU83+5000</f>
        <v>165000</v>
      </c>
      <c r="AV84" s="216"/>
      <c r="AW84" s="227"/>
      <c r="AX84" s="17"/>
    </row>
    <row r="85" spans="1:50">
      <c r="A85" s="36"/>
      <c r="B85" s="20"/>
      <c r="I85" s="462"/>
      <c r="J85" s="911"/>
      <c r="K85" s="53">
        <f t="shared" si="6"/>
        <v>20</v>
      </c>
      <c r="L85" s="53">
        <f>VLOOKUP(L76,AP63:AU85,5,0)</f>
        <v>19</v>
      </c>
      <c r="M85" s="434">
        <f>IF(M75="EHT",N85,IF(M75="DCEM",O85,IF(M75="EHT + DCEM",P85,0)))</f>
        <v>20</v>
      </c>
      <c r="N85" s="311">
        <f>IF(N76="SOC",AB70,IF(N76="GALVI",AC70,0))</f>
        <v>20</v>
      </c>
      <c r="O85" s="311">
        <f>VLOOKUP(O78,Q62:S68,3,0)</f>
        <v>36</v>
      </c>
      <c r="P85" s="145">
        <f t="shared" ref="P85" si="8">N85+O85</f>
        <v>56</v>
      </c>
      <c r="Q85" s="437"/>
      <c r="R85" s="438">
        <v>190</v>
      </c>
      <c r="S85" s="311">
        <v>290</v>
      </c>
      <c r="T85" s="311">
        <v>68</v>
      </c>
      <c r="U85" s="311">
        <v>500</v>
      </c>
      <c r="V85" s="311" t="s">
        <v>381</v>
      </c>
      <c r="W85" s="311">
        <v>125</v>
      </c>
      <c r="X85" s="311">
        <v>175</v>
      </c>
      <c r="Y85" s="29">
        <f t="shared" si="5"/>
        <v>28210</v>
      </c>
      <c r="Z85" s="22">
        <v>40300</v>
      </c>
      <c r="AA85" s="235">
        <v>600</v>
      </c>
      <c r="AB85" s="29">
        <v>268</v>
      </c>
      <c r="AC85" s="29">
        <v>38800</v>
      </c>
      <c r="AD85" s="179" t="s">
        <v>394</v>
      </c>
      <c r="AE85" s="17"/>
      <c r="AF85" s="242">
        <v>3620</v>
      </c>
      <c r="AG85" s="179">
        <v>5800</v>
      </c>
      <c r="AH85" s="179" t="s">
        <v>383</v>
      </c>
      <c r="AI85" s="179">
        <v>710</v>
      </c>
      <c r="AJ85" s="29">
        <v>307</v>
      </c>
      <c r="AK85" s="416">
        <v>150660</v>
      </c>
      <c r="AL85" s="416" t="s">
        <v>2523</v>
      </c>
      <c r="AM85" s="416" t="str">
        <f t="shared" si="2"/>
        <v>N(NV).710.HYD.201/06</v>
      </c>
      <c r="AN85" s="416"/>
      <c r="AO85" s="405"/>
      <c r="AP85" s="145" t="s">
        <v>2456</v>
      </c>
      <c r="AQ85" s="145">
        <v>70</v>
      </c>
      <c r="AR85" s="145" t="s">
        <v>2433</v>
      </c>
      <c r="AS85" s="311">
        <v>710</v>
      </c>
      <c r="AT85" s="235">
        <v>268</v>
      </c>
      <c r="AU85" s="235">
        <f>+AU84+5000</f>
        <v>170000</v>
      </c>
      <c r="AV85" s="216"/>
      <c r="AW85" s="227"/>
      <c r="AX85" s="17"/>
    </row>
    <row r="86" spans="1:50">
      <c r="A86" s="36"/>
      <c r="B86" s="182"/>
      <c r="C86" s="186" t="s">
        <v>379</v>
      </c>
      <c r="D86" s="20"/>
      <c r="E86" s="20"/>
      <c r="F86" s="182"/>
      <c r="G86" s="59"/>
      <c r="H86" s="434">
        <f>+K85</f>
        <v>20</v>
      </c>
      <c r="I86" s="462"/>
      <c r="J86" s="911"/>
      <c r="K86" s="53">
        <f t="shared" si="6"/>
        <v>13.7</v>
      </c>
      <c r="L86" s="53">
        <f>VLOOKUP(L80,AA78:AB86,2,0)</f>
        <v>23.5</v>
      </c>
      <c r="M86" s="434">
        <f>IF(M75="EHT",N86,IF(M75="DCEM",O86,IF(M75="EHT + DCEM",P86,0)))</f>
        <v>13.7</v>
      </c>
      <c r="N86" s="311">
        <f>IF(N76="SOC",AB71,IF(N76="GALVI",AC71,0))</f>
        <v>13.7</v>
      </c>
      <c r="O86" s="311">
        <f>VLOOKUP(O80,AA78:AB86,2,0)</f>
        <v>13.7</v>
      </c>
      <c r="P86" s="145">
        <f>N86+O86</f>
        <v>27.4</v>
      </c>
      <c r="Q86" s="437"/>
      <c r="R86" s="438">
        <v>290</v>
      </c>
      <c r="S86" s="311">
        <v>350</v>
      </c>
      <c r="T86" s="311">
        <v>68</v>
      </c>
      <c r="U86" s="311">
        <v>600</v>
      </c>
      <c r="V86" s="311" t="s">
        <v>385</v>
      </c>
      <c r="W86" s="311">
        <v>190</v>
      </c>
      <c r="X86" s="311">
        <v>268</v>
      </c>
      <c r="Y86" s="29">
        <f t="shared" si="5"/>
        <v>36855</v>
      </c>
      <c r="Z86" s="22">
        <v>52650</v>
      </c>
      <c r="AA86" s="311">
        <v>315</v>
      </c>
      <c r="AB86" s="29">
        <v>140</v>
      </c>
      <c r="AC86" s="29">
        <v>20500</v>
      </c>
      <c r="AD86" s="173" t="s">
        <v>348</v>
      </c>
      <c r="AE86" s="17"/>
      <c r="AF86" s="242">
        <v>5800</v>
      </c>
      <c r="AG86" s="179">
        <v>8700</v>
      </c>
      <c r="AH86" s="179" t="s">
        <v>387</v>
      </c>
      <c r="AI86" s="179">
        <v>710</v>
      </c>
      <c r="AJ86" s="29">
        <v>308</v>
      </c>
      <c r="AK86" s="416">
        <f>AK85</f>
        <v>150660</v>
      </c>
      <c r="AL86" s="416" t="s">
        <v>2524</v>
      </c>
      <c r="AM86" s="416" t="str">
        <f t="shared" si="2"/>
        <v>N(NV).710.HYD.301/06</v>
      </c>
      <c r="AN86" s="416"/>
      <c r="AO86" s="405"/>
      <c r="AP86" s="153"/>
      <c r="AS86" s="20"/>
      <c r="AT86" s="17"/>
      <c r="AU86" s="17"/>
      <c r="AV86" s="17"/>
      <c r="AW86" s="227"/>
      <c r="AX86" s="17"/>
    </row>
    <row r="87" spans="1:50" ht="15" customHeight="1">
      <c r="A87" s="36"/>
      <c r="B87" s="20"/>
      <c r="C87" s="186" t="s">
        <v>384</v>
      </c>
      <c r="D87" s="182"/>
      <c r="E87" s="182"/>
      <c r="F87" s="182"/>
      <c r="G87" s="59"/>
      <c r="H87" s="434">
        <f>+K86</f>
        <v>13.7</v>
      </c>
      <c r="I87" s="462"/>
      <c r="J87" s="304"/>
      <c r="K87" s="53">
        <f>IF($H$77="SIBRE",L87,M87)</f>
        <v>7892.4999999999991</v>
      </c>
      <c r="L87" s="53">
        <f>VLOOKUP(L76,AP63:AU85,6,0)</f>
        <v>50000</v>
      </c>
      <c r="M87" s="434">
        <f>IF(M75="EHT",N87,IF(M75="DCEM",O87,IF(M75="EHT + DCEM",P87,0)))</f>
        <v>7892.4999999999991</v>
      </c>
      <c r="N87" s="311">
        <f>IF(N76="SOC",AB72,IF(N76="GALVI",AC72))</f>
        <v>7892.4999999999991</v>
      </c>
      <c r="O87" s="29" t="b">
        <f>IF(O76="BCH",VLOOKUP(O78,Q62:T68,4,0),IF(O76="SOC",VLOOKUP(O78,Q62:U68,5,0),IF(O76="KAKKU",VLOOKUP(O78,Q62:V68,6,0))))</f>
        <v>0</v>
      </c>
      <c r="P87" s="145">
        <f>N87+O87</f>
        <v>7892.4999999999991</v>
      </c>
      <c r="Q87" s="437"/>
      <c r="R87" s="438">
        <v>350</v>
      </c>
      <c r="S87" s="311">
        <v>485</v>
      </c>
      <c r="T87" s="311">
        <v>114</v>
      </c>
      <c r="U87" s="311">
        <v>500</v>
      </c>
      <c r="V87" s="311" t="s">
        <v>390</v>
      </c>
      <c r="W87" s="311">
        <v>125</v>
      </c>
      <c r="X87" s="311">
        <v>175</v>
      </c>
      <c r="Y87" s="29">
        <f t="shared" si="5"/>
        <v>31762.499999999996</v>
      </c>
      <c r="Z87" s="22">
        <v>45375</v>
      </c>
      <c r="AD87" s="17"/>
      <c r="AE87" s="17"/>
      <c r="AF87" s="53"/>
      <c r="AG87" s="17"/>
      <c r="AH87" s="17"/>
      <c r="AI87" s="17"/>
      <c r="AJ87" s="20"/>
      <c r="AK87" s="20"/>
      <c r="AL87" s="20"/>
      <c r="AM87" s="20"/>
      <c r="AN87" s="20"/>
      <c r="AO87" s="405"/>
      <c r="AP87" s="153"/>
      <c r="AS87" s="17"/>
      <c r="AT87" s="17"/>
      <c r="AU87" s="17"/>
      <c r="AV87" s="17"/>
      <c r="AW87" s="227"/>
      <c r="AX87" s="17"/>
    </row>
    <row r="88" spans="1:50">
      <c r="A88" s="36"/>
      <c r="B88" s="182"/>
      <c r="C88" s="979" t="s">
        <v>388</v>
      </c>
      <c r="D88" s="979"/>
      <c r="E88" s="182"/>
      <c r="F88" s="59"/>
      <c r="G88" s="59"/>
      <c r="H88" s="434">
        <f>+K87</f>
        <v>7892.4999999999991</v>
      </c>
      <c r="I88" s="462"/>
      <c r="J88" s="304"/>
      <c r="K88" s="53">
        <f>IF($H$77="SIBRE",L88,M88)</f>
        <v>2857</v>
      </c>
      <c r="L88" s="53">
        <f>VLOOKUP(L80,AA78:AC86,3,0)</f>
        <v>5197</v>
      </c>
      <c r="M88" s="434">
        <f>IF(M75="EHT",N88,IF(M75="DCEM",O88,IF(M75="EHT + DCEM",P88,0)))</f>
        <v>2857</v>
      </c>
      <c r="N88" s="311">
        <f>IF(N76="SOC",AB73,IF(N76="GALVI",AC73))</f>
        <v>2857</v>
      </c>
      <c r="O88" s="311">
        <f>VLOOKUP(O80,AA78:AC86,3,0)</f>
        <v>2857</v>
      </c>
      <c r="P88" s="145">
        <f>N88+O88</f>
        <v>5714</v>
      </c>
      <c r="Q88" s="455"/>
      <c r="R88" s="438">
        <v>485</v>
      </c>
      <c r="S88" s="311">
        <v>580</v>
      </c>
      <c r="T88" s="311">
        <v>114</v>
      </c>
      <c r="U88" s="311">
        <v>600</v>
      </c>
      <c r="V88" s="29" t="s">
        <v>393</v>
      </c>
      <c r="W88" s="30">
        <v>190</v>
      </c>
      <c r="X88" s="30">
        <v>268</v>
      </c>
      <c r="Y88" s="29">
        <f t="shared" si="5"/>
        <v>39410</v>
      </c>
      <c r="Z88" s="456">
        <v>56300</v>
      </c>
      <c r="AA88" s="456"/>
      <c r="AB88" s="456"/>
      <c r="AC88" s="456"/>
      <c r="AD88" s="407"/>
      <c r="AE88" s="407"/>
      <c r="AF88" s="457"/>
      <c r="AG88" s="458"/>
      <c r="AH88" s="407"/>
      <c r="AI88" s="459"/>
      <c r="AJ88" s="459"/>
      <c r="AK88" s="459"/>
      <c r="AL88" s="459"/>
      <c r="AM88" s="459"/>
      <c r="AN88" s="459"/>
      <c r="AO88" s="460"/>
      <c r="AP88" s="461"/>
      <c r="AQ88" s="456"/>
      <c r="AR88" s="456"/>
      <c r="AS88" s="247"/>
      <c r="AT88" s="247"/>
      <c r="AU88" s="247"/>
      <c r="AV88" s="247"/>
      <c r="AW88" s="248"/>
      <c r="AX88" s="17"/>
    </row>
    <row r="89" spans="1:50">
      <c r="A89" s="36"/>
      <c r="B89" s="182"/>
      <c r="C89" s="182" t="s">
        <v>392</v>
      </c>
      <c r="D89" s="182"/>
      <c r="E89" s="182"/>
      <c r="F89" s="59"/>
      <c r="G89" s="59"/>
      <c r="H89" s="434">
        <f>+K88</f>
        <v>2857</v>
      </c>
      <c r="I89" s="462"/>
      <c r="J89" s="304"/>
      <c r="AX89" s="17"/>
    </row>
    <row r="90" spans="1:50" ht="14.65" thickBot="1">
      <c r="A90" s="394"/>
      <c r="B90" s="135"/>
      <c r="C90" s="135"/>
      <c r="D90" s="135"/>
      <c r="E90" s="135"/>
      <c r="F90" s="135"/>
      <c r="G90" s="135"/>
      <c r="H90" s="135"/>
      <c r="I90" s="135"/>
      <c r="J90" s="136"/>
      <c r="AX90" s="17"/>
    </row>
    <row r="91" spans="1:50">
      <c r="A91" s="123"/>
      <c r="C91" s="123"/>
      <c r="D91" s="294"/>
      <c r="E91" s="20"/>
      <c r="F91" s="20"/>
      <c r="G91" s="20"/>
      <c r="H91" s="20"/>
      <c r="I91" s="20"/>
      <c r="J91" s="20"/>
    </row>
    <row r="92" spans="1:50">
      <c r="A92" s="145" t="s">
        <v>96</v>
      </c>
      <c r="B92" s="159" t="s">
        <v>855</v>
      </c>
      <c r="C92" s="145" t="s">
        <v>831</v>
      </c>
      <c r="D92" s="145"/>
      <c r="E92" s="145"/>
      <c r="F92" s="20"/>
      <c r="G92" s="20"/>
      <c r="H92" s="20"/>
      <c r="I92" s="20"/>
      <c r="J92" s="20"/>
    </row>
    <row r="93" spans="1:50">
      <c r="A93" s="145" t="s">
        <v>856</v>
      </c>
      <c r="B93" s="159" t="str">
        <f>IF(I39="Conventional Motor",MH!I36,E95)</f>
        <v>PBL</v>
      </c>
      <c r="C93" s="145">
        <f>IF(I39="Conventional Motor",MH!I37,B96)</f>
        <v>4</v>
      </c>
      <c r="D93" s="145" t="str">
        <f>IF(I39="Conventional Motor",MH!I38,D97)</f>
        <v>S1-100</v>
      </c>
      <c r="E93" s="145">
        <f>IF(I39="Conventional Motor",MH!I39,B98)</f>
        <v>150</v>
      </c>
      <c r="F93" s="20"/>
      <c r="J93" s="20"/>
    </row>
    <row r="94" spans="1:50">
      <c r="A94" s="145" t="s">
        <v>96</v>
      </c>
      <c r="B94" s="159" t="s">
        <v>259</v>
      </c>
      <c r="C94" s="145" t="s">
        <v>263</v>
      </c>
      <c r="D94" s="145"/>
      <c r="E94" s="145"/>
      <c r="F94" s="20"/>
      <c r="J94" s="20"/>
    </row>
    <row r="95" spans="1:50">
      <c r="A95" s="145" t="s">
        <v>96</v>
      </c>
      <c r="B95" s="159" t="s">
        <v>261</v>
      </c>
      <c r="C95" s="145" t="s">
        <v>265</v>
      </c>
      <c r="D95" s="145" t="s">
        <v>266</v>
      </c>
      <c r="E95" s="145" t="s">
        <v>2790</v>
      </c>
      <c r="F95" s="20"/>
      <c r="H95" s="20"/>
      <c r="I95" s="20"/>
      <c r="J95" s="20"/>
    </row>
    <row r="96" spans="1:50">
      <c r="A96" s="145" t="s">
        <v>96</v>
      </c>
      <c r="B96" s="159">
        <v>4</v>
      </c>
      <c r="C96" s="145">
        <v>6</v>
      </c>
      <c r="D96" s="145">
        <v>8</v>
      </c>
      <c r="E96" s="145"/>
      <c r="F96" s="20"/>
      <c r="H96" s="20"/>
      <c r="I96" s="20"/>
      <c r="J96" s="20"/>
    </row>
    <row r="97" spans="1:38">
      <c r="A97" s="145" t="s">
        <v>96</v>
      </c>
      <c r="B97" s="159">
        <v>0.4</v>
      </c>
      <c r="C97" s="145">
        <v>0.6</v>
      </c>
      <c r="D97" s="145" t="s">
        <v>858</v>
      </c>
      <c r="E97" s="145">
        <v>1</v>
      </c>
      <c r="F97" s="20"/>
      <c r="G97" s="20"/>
      <c r="H97" s="20"/>
      <c r="I97" s="20"/>
      <c r="J97" s="20"/>
    </row>
    <row r="98" spans="1:38">
      <c r="A98" s="145" t="s">
        <v>96</v>
      </c>
      <c r="B98" s="159">
        <v>150</v>
      </c>
      <c r="C98" s="145">
        <v>300</v>
      </c>
      <c r="D98" s="145" t="s">
        <v>26</v>
      </c>
      <c r="E98" s="145"/>
      <c r="F98" s="20"/>
      <c r="G98" s="20"/>
      <c r="H98" s="20"/>
      <c r="I98" s="20"/>
      <c r="J98" s="20"/>
    </row>
    <row r="99" spans="1:38">
      <c r="A99" s="145" t="s">
        <v>96</v>
      </c>
      <c r="B99" s="159" t="s">
        <v>837</v>
      </c>
      <c r="C99" s="145" t="s">
        <v>859</v>
      </c>
      <c r="D99" s="145"/>
      <c r="E99" s="145"/>
      <c r="F99" s="20"/>
      <c r="G99" s="20"/>
      <c r="H99" s="20"/>
      <c r="I99" s="20"/>
      <c r="J99" s="20"/>
    </row>
    <row r="100" spans="1:38">
      <c r="A100" s="159" t="s">
        <v>259</v>
      </c>
      <c r="B100" s="145">
        <v>0</v>
      </c>
      <c r="C100" s="20"/>
      <c r="D100" s="20"/>
      <c r="E100" s="20"/>
      <c r="F100" s="20"/>
      <c r="G100" s="20"/>
      <c r="H100" s="20"/>
      <c r="I100" s="20"/>
      <c r="J100" s="20"/>
    </row>
    <row r="101" spans="1:38">
      <c r="A101" s="145" t="s">
        <v>263</v>
      </c>
      <c r="B101" s="145">
        <v>1</v>
      </c>
      <c r="C101" s="20"/>
      <c r="D101" s="20"/>
      <c r="E101" s="20"/>
      <c r="F101" s="20"/>
      <c r="G101" s="20"/>
      <c r="H101" s="20"/>
      <c r="I101" s="20"/>
      <c r="J101" s="20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</row>
    <row r="102" spans="1:38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</row>
    <row r="103" spans="1:38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</row>
    <row r="104" spans="1:38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</row>
    <row r="105" spans="1:38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</row>
    <row r="106" spans="1:38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</row>
    <row r="107" spans="1:38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</row>
    <row r="108" spans="1:38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</row>
    <row r="109" spans="1:38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</row>
    <row r="110" spans="1:38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</row>
    <row r="111" spans="1:38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</row>
    <row r="112" spans="1:38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</row>
    <row r="113" spans="1:38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</row>
    <row r="114" spans="1:38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</row>
    <row r="115" spans="1:38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</row>
    <row r="116" spans="1:38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</row>
  </sheetData>
  <mergeCells count="51">
    <mergeCell ref="A30:A31"/>
    <mergeCell ref="H7:H8"/>
    <mergeCell ref="I7:I8"/>
    <mergeCell ref="H61:J62"/>
    <mergeCell ref="A61:D61"/>
    <mergeCell ref="E61:G61"/>
    <mergeCell ref="E62:G62"/>
    <mergeCell ref="A60:D60"/>
    <mergeCell ref="E60:G60"/>
    <mergeCell ref="H60:J60"/>
    <mergeCell ref="A59:D59"/>
    <mergeCell ref="E59:G59"/>
    <mergeCell ref="H59:J59"/>
    <mergeCell ref="J52:J53"/>
    <mergeCell ref="K40:L40"/>
    <mergeCell ref="AB21:AB22"/>
    <mergeCell ref="AC21:AC22"/>
    <mergeCell ref="BH21:BH22"/>
    <mergeCell ref="AG21:AG22"/>
    <mergeCell ref="AH21:AH22"/>
    <mergeCell ref="BI21:BI22"/>
    <mergeCell ref="H30:I30"/>
    <mergeCell ref="K39:L39"/>
    <mergeCell ref="AR21:AR22"/>
    <mergeCell ref="AS21:AS22"/>
    <mergeCell ref="BC21:BC22"/>
    <mergeCell ref="BD21:BD22"/>
    <mergeCell ref="AN21:AQ21"/>
    <mergeCell ref="AU21:AV21"/>
    <mergeCell ref="AY21:BB21"/>
    <mergeCell ref="BG21:BG22"/>
    <mergeCell ref="AJ21:AK21"/>
    <mergeCell ref="AD21:AD22"/>
    <mergeCell ref="AE21:AE22"/>
    <mergeCell ref="AF21:AF22"/>
    <mergeCell ref="BM21:BM22"/>
    <mergeCell ref="A1:D1"/>
    <mergeCell ref="E1:G1"/>
    <mergeCell ref="H1:J1"/>
    <mergeCell ref="A2:D2"/>
    <mergeCell ref="E2:G2"/>
    <mergeCell ref="H2:J2"/>
    <mergeCell ref="A3:D3"/>
    <mergeCell ref="E3:G3"/>
    <mergeCell ref="E4:G4"/>
    <mergeCell ref="C10:E10"/>
    <mergeCell ref="X21:AA21"/>
    <mergeCell ref="H3:J4"/>
    <mergeCell ref="BK21:BL21"/>
    <mergeCell ref="BE21:BE22"/>
    <mergeCell ref="BF21:BF22"/>
  </mergeCells>
  <dataValidations disablePrompts="1" count="11">
    <dataValidation allowBlank="1" showInputMessage="1" showErrorMessage="1" sqref="A94:D98 B92 A91:A93 C91:C92 A99:A101 AD71:AD72 AA64 N81 N74:P74 P75 N76:O76 AD75 I41" xr:uid="{00000000-0002-0000-0500-000000000000}"/>
    <dataValidation type="list" allowBlank="1" showInputMessage="1" showErrorMessage="1" sqref="L76" xr:uid="{00000000-0002-0000-0500-000001000000}">
      <formula1>$AP$63:$AP$85</formula1>
    </dataValidation>
    <dataValidation type="list" allowBlank="1" showInputMessage="1" showErrorMessage="1" sqref="H77" xr:uid="{00000000-0002-0000-0500-000002000000}">
      <formula1>$AD$71:$AD$86</formula1>
    </dataValidation>
    <dataValidation type="list" allowBlank="1" showInputMessage="1" showErrorMessage="1" sqref="H75" xr:uid="{00000000-0002-0000-0500-000003000000}">
      <formula1>$N$74:$P$74</formula1>
    </dataValidation>
    <dataValidation type="list" allowBlank="1" showInputMessage="1" showErrorMessage="1" sqref="I10" xr:uid="{00000000-0002-0000-0500-000004000000}">
      <formula1>$K$10:$K$11</formula1>
    </dataValidation>
    <dataValidation type="list" allowBlank="1" showInputMessage="1" showErrorMessage="1" sqref="I40" xr:uid="{00000000-0002-0000-0500-000005000000}">
      <formula1>$B$94:$C$94</formula1>
    </dataValidation>
    <dataValidation type="list" allowBlank="1" showInputMessage="1" showErrorMessage="1" sqref="I39" xr:uid="{00000000-0002-0000-0500-000006000000}">
      <formula1>$A$99:$E$99</formula1>
    </dataValidation>
    <dataValidation type="list" allowBlank="1" showInputMessage="1" showErrorMessage="1" sqref="I42" xr:uid="{00000000-0002-0000-0500-000007000000}">
      <formula1>$A$95:$E$95</formula1>
    </dataValidation>
    <dataValidation type="list" allowBlank="1" showInputMessage="1" showErrorMessage="1" sqref="I43" xr:uid="{00000000-0002-0000-0500-000008000000}">
      <formula1>$A$96:$E$96</formula1>
    </dataValidation>
    <dataValidation type="list" allowBlank="1" showInputMessage="1" showErrorMessage="1" sqref="I45" xr:uid="{00000000-0002-0000-0500-000009000000}">
      <formula1>$A$98:$E$98</formula1>
    </dataValidation>
    <dataValidation type="list" allowBlank="1" showInputMessage="1" showErrorMessage="1" sqref="H30:I30" xr:uid="{00000000-0002-0000-0500-00000A000000}">
      <formula1>$A$92:$E$92</formula1>
    </dataValidation>
  </dataValidations>
  <pageMargins left="0.43263888888888902" right="0.196527777777778" top="0.59027777777777801" bottom="1" header="0.51041666666666696" footer="0.51041666666666696"/>
  <pageSetup paperSize="9" scale="84" orientation="portrait" r:id="rId1"/>
  <headerFooter alignWithMargins="0"/>
  <rowBreaks count="1" manualBreakCount="1">
    <brk id="58" max="9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164"/>
  <sheetViews>
    <sheetView showGridLines="0" view="pageBreakPreview" topLeftCell="B13" zoomScale="85" zoomScaleSheetLayoutView="85" workbookViewId="0">
      <selection activeCell="B13" sqref="B13"/>
    </sheetView>
  </sheetViews>
  <sheetFormatPr defaultColWidth="9.1328125" defaultRowHeight="14.25"/>
  <cols>
    <col min="1" max="1" width="9.1328125" style="22"/>
    <col min="2" max="2" width="7.1328125" style="22" customWidth="1"/>
    <col min="3" max="3" width="12" style="22" customWidth="1"/>
    <col min="4" max="4" width="9.1328125" style="22"/>
    <col min="5" max="5" width="10.33203125" style="22" customWidth="1"/>
    <col min="6" max="6" width="12.86328125" style="22"/>
    <col min="7" max="7" width="12" style="22" customWidth="1"/>
    <col min="8" max="8" width="11" style="22" customWidth="1"/>
    <col min="9" max="9" width="14.46484375" style="22" customWidth="1"/>
    <col min="10" max="10" width="13.1328125" style="22" customWidth="1"/>
    <col min="11" max="11" width="10.53125" style="22"/>
    <col min="12" max="12" width="8.53125" style="22" customWidth="1"/>
    <col min="13" max="13" width="12.86328125" style="22"/>
    <col min="14" max="14" width="20.33203125" style="22" bestFit="1" customWidth="1"/>
    <col min="15" max="15" width="13.6640625" style="22" customWidth="1"/>
    <col min="16" max="16" width="10.6640625" style="22" customWidth="1"/>
    <col min="17" max="17" width="12.86328125" style="53"/>
    <col min="18" max="18" width="15.1328125" style="22" customWidth="1"/>
    <col min="19" max="19" width="12.86328125" style="22"/>
    <col min="20" max="20" width="9.33203125" style="22"/>
    <col min="21" max="26" width="14.6640625" style="22" customWidth="1"/>
    <col min="27" max="16384" width="9.1328125" style="22"/>
  </cols>
  <sheetData>
    <row r="1" spans="1:38" ht="12" customHeight="1">
      <c r="A1" s="3769" t="s">
        <v>1</v>
      </c>
      <c r="B1" s="3770"/>
      <c r="C1" s="3770"/>
      <c r="D1" s="3771"/>
      <c r="E1" s="3735" t="s">
        <v>109</v>
      </c>
      <c r="F1" s="3736"/>
      <c r="G1" s="3737"/>
      <c r="H1" s="3738" t="s">
        <v>2</v>
      </c>
      <c r="I1" s="3739"/>
      <c r="J1" s="3740"/>
      <c r="K1" s="20"/>
      <c r="L1" s="20"/>
      <c r="M1" s="20"/>
      <c r="N1" s="20"/>
      <c r="O1" s="20"/>
      <c r="P1" s="20"/>
      <c r="Q1" s="59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</row>
    <row r="2" spans="1:38" ht="12" customHeight="1">
      <c r="A2" s="3852" t="str">
        <f>+CT_HP!A2</f>
        <v>ELITEMHE INDUSTRIES LIMITED</v>
      </c>
      <c r="B2" s="3747"/>
      <c r="C2" s="3747"/>
      <c r="D2" s="3853"/>
      <c r="E2" s="3744" t="str">
        <f>MH!F85</f>
        <v xml:space="preserve">25/15T D/G EOT CRANE  </v>
      </c>
      <c r="F2" s="3695"/>
      <c r="G2" s="3745"/>
      <c r="H2" s="3746">
        <f>MH!I85</f>
        <v>0</v>
      </c>
      <c r="I2" s="3747"/>
      <c r="J2" s="3748"/>
      <c r="K2" s="20"/>
      <c r="L2" s="20"/>
      <c r="M2" s="20"/>
      <c r="N2" s="20"/>
      <c r="O2" s="20"/>
      <c r="P2" s="20"/>
      <c r="Q2" s="59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</row>
    <row r="3" spans="1:38" ht="12" customHeight="1">
      <c r="A3" s="3763" t="e">
        <f>MH!A86</f>
        <v>#REF!</v>
      </c>
      <c r="B3" s="3760"/>
      <c r="C3" s="3760"/>
      <c r="D3" s="3761"/>
      <c r="E3" s="3759" t="s">
        <v>122</v>
      </c>
      <c r="F3" s="3760"/>
      <c r="G3" s="3761"/>
      <c r="H3" s="3750" t="s">
        <v>860</v>
      </c>
      <c r="I3" s="3751"/>
      <c r="J3" s="3752"/>
      <c r="K3" s="20"/>
      <c r="L3" s="20"/>
      <c r="M3" s="20"/>
      <c r="N3" s="20"/>
      <c r="O3" s="20"/>
      <c r="P3" s="20"/>
      <c r="Q3" s="59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</row>
    <row r="4" spans="1:38" ht="12" customHeight="1">
      <c r="A4" s="406" t="s">
        <v>3</v>
      </c>
      <c r="B4" s="407" t="e">
        <f>MH!B87</f>
        <v>#REF!</v>
      </c>
      <c r="C4" s="407"/>
      <c r="D4" s="408"/>
      <c r="E4" s="3762" t="str">
        <f>MH!F87</f>
        <v xml:space="preserve"> </v>
      </c>
      <c r="F4" s="3742"/>
      <c r="G4" s="3743"/>
      <c r="H4" s="3753"/>
      <c r="I4" s="3754"/>
      <c r="J4" s="3755"/>
      <c r="K4" s="20"/>
      <c r="L4" s="20"/>
      <c r="M4" s="20"/>
      <c r="N4" s="20"/>
      <c r="O4" s="20"/>
      <c r="P4" s="20"/>
      <c r="Q4" s="59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</row>
    <row r="5" spans="1:38" ht="12" customHeight="1">
      <c r="A5" s="36"/>
      <c r="B5" s="20"/>
      <c r="C5" s="20"/>
      <c r="D5" s="20"/>
      <c r="E5" s="20"/>
      <c r="F5" s="20"/>
      <c r="G5" s="20"/>
      <c r="H5" s="20"/>
      <c r="I5" s="20"/>
      <c r="J5" s="304"/>
      <c r="K5" s="20"/>
      <c r="L5" s="20"/>
      <c r="M5" s="20"/>
      <c r="N5" s="20"/>
      <c r="O5" s="20"/>
      <c r="P5" s="20"/>
      <c r="Q5" s="59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</row>
    <row r="6" spans="1:38" ht="20.100000000000001" customHeight="1">
      <c r="A6" s="305">
        <v>9</v>
      </c>
      <c r="B6" s="182" t="s">
        <v>861</v>
      </c>
      <c r="C6" s="20"/>
      <c r="D6" s="20"/>
      <c r="E6" s="20"/>
      <c r="F6" s="20"/>
      <c r="G6" s="20"/>
      <c r="H6" s="20"/>
      <c r="I6" s="20"/>
      <c r="J6" s="304"/>
      <c r="K6" s="20"/>
      <c r="L6" s="20"/>
      <c r="M6" s="20"/>
      <c r="N6" s="20"/>
      <c r="O6" s="20"/>
      <c r="P6" s="20"/>
      <c r="Q6" s="59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</row>
    <row r="7" spans="1:38" ht="20.100000000000001" customHeight="1">
      <c r="A7" s="36"/>
      <c r="B7" s="471"/>
      <c r="C7" s="20"/>
      <c r="D7" s="20"/>
      <c r="E7" s="20"/>
      <c r="F7" s="20"/>
      <c r="G7" s="20"/>
      <c r="H7" s="20"/>
      <c r="I7" s="20"/>
      <c r="J7" s="304"/>
      <c r="K7" s="20"/>
      <c r="L7" s="20"/>
      <c r="M7" s="20"/>
      <c r="N7" s="20"/>
      <c r="O7" s="20"/>
      <c r="P7" s="20"/>
      <c r="Q7" s="59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D7" s="20"/>
      <c r="AE7" s="20"/>
      <c r="AF7" s="20"/>
      <c r="AG7" s="20"/>
      <c r="AH7" s="20"/>
      <c r="AI7" s="20"/>
      <c r="AJ7" s="20"/>
      <c r="AK7" s="20"/>
      <c r="AL7" s="20"/>
    </row>
    <row r="8" spans="1:38" ht="20.100000000000001" customHeight="1">
      <c r="A8" s="36"/>
      <c r="B8" s="182" t="s">
        <v>862</v>
      </c>
      <c r="C8" s="20"/>
      <c r="D8" s="20"/>
      <c r="E8" s="20"/>
      <c r="F8" s="20"/>
      <c r="G8" s="20"/>
      <c r="H8" s="20"/>
      <c r="I8" s="20"/>
      <c r="J8" s="304"/>
      <c r="K8" s="20"/>
      <c r="L8" s="20"/>
      <c r="M8" s="20"/>
      <c r="N8" s="20"/>
      <c r="O8" s="20"/>
      <c r="P8" s="20"/>
      <c r="Q8" s="59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D8" s="20"/>
      <c r="AE8" s="20"/>
      <c r="AF8" s="20"/>
      <c r="AG8" s="20"/>
      <c r="AH8" s="20"/>
      <c r="AI8" s="20"/>
      <c r="AJ8" s="20"/>
      <c r="AK8" s="20"/>
      <c r="AL8" s="20"/>
    </row>
    <row r="9" spans="1:38" ht="20.100000000000001" customHeight="1">
      <c r="A9" s="36"/>
      <c r="B9" s="20"/>
      <c r="C9" s="20"/>
      <c r="D9" s="20"/>
      <c r="E9" s="20"/>
      <c r="F9" s="20"/>
      <c r="G9" s="20"/>
      <c r="H9" s="20"/>
      <c r="I9" s="20"/>
      <c r="J9" s="304"/>
      <c r="K9" s="20"/>
      <c r="L9" s="20"/>
      <c r="M9" s="20"/>
      <c r="N9" s="20"/>
      <c r="O9" s="20"/>
      <c r="P9" s="20"/>
      <c r="Q9" s="59"/>
      <c r="R9" s="20"/>
      <c r="S9" s="20"/>
      <c r="T9" s="20"/>
      <c r="U9" s="53"/>
      <c r="V9" s="20"/>
      <c r="AD9" s="20"/>
      <c r="AE9" s="20"/>
      <c r="AF9" s="20"/>
      <c r="AG9" s="20"/>
      <c r="AH9" s="20"/>
      <c r="AI9" s="20"/>
      <c r="AJ9" s="20"/>
      <c r="AK9" s="20"/>
      <c r="AL9" s="20"/>
    </row>
    <row r="10" spans="1:38" ht="20.100000000000001" customHeight="1">
      <c r="A10" s="36"/>
      <c r="B10" s="182" t="s">
        <v>863</v>
      </c>
      <c r="C10" s="20"/>
      <c r="D10" s="20"/>
      <c r="E10" s="20"/>
      <c r="F10" s="471" t="s">
        <v>864</v>
      </c>
      <c r="G10" s="182"/>
      <c r="H10" s="1004" t="s">
        <v>865</v>
      </c>
      <c r="I10" s="182"/>
      <c r="J10" s="974"/>
      <c r="K10" s="20"/>
      <c r="L10" s="20"/>
      <c r="M10" s="20"/>
      <c r="N10" s="20"/>
      <c r="O10" s="20"/>
      <c r="P10" s="20"/>
      <c r="Q10" s="59"/>
      <c r="R10" s="20"/>
      <c r="S10" s="20"/>
      <c r="T10" s="20"/>
      <c r="V10" s="20"/>
      <c r="AD10" s="20"/>
      <c r="AE10" s="20"/>
      <c r="AF10" s="20"/>
      <c r="AG10" s="20"/>
      <c r="AH10" s="20"/>
      <c r="AI10" s="20"/>
      <c r="AJ10" s="20"/>
      <c r="AK10" s="20"/>
      <c r="AL10" s="20"/>
    </row>
    <row r="11" spans="1:38" ht="20.100000000000001" customHeight="1">
      <c r="A11" s="36"/>
      <c r="B11" s="20"/>
      <c r="C11" s="20"/>
      <c r="D11" s="20"/>
      <c r="E11" s="20"/>
      <c r="F11" s="182" t="s">
        <v>866</v>
      </c>
      <c r="G11" s="182"/>
      <c r="H11" s="193" t="s">
        <v>867</v>
      </c>
      <c r="I11" s="182"/>
      <c r="J11" s="974"/>
      <c r="K11" s="20"/>
      <c r="L11" s="20"/>
      <c r="M11" s="2553"/>
      <c r="N11" s="7" t="s">
        <v>868</v>
      </c>
      <c r="O11" s="2554"/>
      <c r="P11" s="20"/>
      <c r="Q11" s="59"/>
      <c r="R11" s="20"/>
      <c r="V11" s="20"/>
      <c r="AA11" s="29"/>
      <c r="AB11" s="2550" t="s">
        <v>868</v>
      </c>
      <c r="AC11" s="527"/>
      <c r="AF11" s="20"/>
      <c r="AG11" s="20"/>
      <c r="AH11" s="20"/>
      <c r="AI11" s="20"/>
      <c r="AJ11" s="20"/>
      <c r="AK11" s="20"/>
      <c r="AL11" s="20"/>
    </row>
    <row r="12" spans="1:38" ht="20.100000000000001" customHeight="1">
      <c r="A12" s="36"/>
      <c r="B12" s="20"/>
      <c r="C12" s="20"/>
      <c r="D12" s="20"/>
      <c r="E12" s="20"/>
      <c r="F12" s="182"/>
      <c r="G12" s="182"/>
      <c r="H12" s="193"/>
      <c r="I12" s="182"/>
      <c r="J12" s="974"/>
      <c r="K12" s="20"/>
      <c r="L12" s="20"/>
      <c r="M12" s="2553"/>
      <c r="N12" s="7" t="s">
        <v>869</v>
      </c>
      <c r="O12" s="2554"/>
      <c r="P12" s="20"/>
      <c r="Q12" s="59"/>
      <c r="R12" s="20"/>
      <c r="U12" s="55" t="s">
        <v>948</v>
      </c>
      <c r="V12" s="22">
        <f>VLOOKUP((1.3*(D89*D90)/(D91*1.06)),B103:B116,1)</f>
        <v>224</v>
      </c>
      <c r="AA12" s="29"/>
      <c r="AB12" s="2550" t="s">
        <v>869</v>
      </c>
      <c r="AC12" s="527"/>
      <c r="AF12" s="20"/>
      <c r="AG12" s="20"/>
      <c r="AH12" s="20"/>
      <c r="AI12" s="20"/>
      <c r="AJ12" s="20"/>
      <c r="AK12" s="20"/>
      <c r="AL12" s="20"/>
    </row>
    <row r="13" spans="1:38" ht="20.100000000000001" customHeight="1">
      <c r="A13" s="36"/>
      <c r="B13" s="20" t="s">
        <v>870</v>
      </c>
      <c r="C13" s="20"/>
      <c r="D13" s="20"/>
      <c r="E13" s="20"/>
      <c r="F13" s="20"/>
      <c r="G13" s="20"/>
      <c r="H13" s="20"/>
      <c r="I13" s="20"/>
      <c r="J13" s="304"/>
      <c r="K13" s="20"/>
      <c r="L13" s="20"/>
      <c r="M13" s="2554" t="s">
        <v>118</v>
      </c>
      <c r="N13" s="7" t="s">
        <v>121</v>
      </c>
      <c r="O13" s="7" t="s">
        <v>871</v>
      </c>
      <c r="P13" s="20"/>
      <c r="Q13" s="59"/>
      <c r="R13" s="20"/>
      <c r="U13" s="55" t="s">
        <v>2517</v>
      </c>
      <c r="V13" s="22">
        <f>VLOOKUP(V12,B103:D116,3,0)</f>
        <v>4.05</v>
      </c>
      <c r="AA13" s="29" t="s">
        <v>118</v>
      </c>
      <c r="AB13" s="2550" t="s">
        <v>121</v>
      </c>
      <c r="AC13" s="2550" t="s">
        <v>871</v>
      </c>
      <c r="AF13" s="20"/>
      <c r="AG13" s="20"/>
      <c r="AH13" s="20"/>
      <c r="AI13" s="20"/>
      <c r="AJ13" s="20"/>
      <c r="AK13" s="20"/>
      <c r="AL13" s="20"/>
    </row>
    <row r="14" spans="1:38" ht="20.100000000000001" customHeight="1">
      <c r="A14" s="36"/>
      <c r="B14" s="67" t="s">
        <v>872</v>
      </c>
      <c r="C14" s="20" t="s">
        <v>873</v>
      </c>
      <c r="D14" s="20"/>
      <c r="E14" s="20"/>
      <c r="F14" s="20"/>
      <c r="G14" s="20"/>
      <c r="H14" s="43" t="s">
        <v>160</v>
      </c>
      <c r="I14" s="59">
        <f>'E Data'!D13</f>
        <v>25</v>
      </c>
      <c r="J14" s="304"/>
      <c r="K14" s="20"/>
      <c r="L14" s="413" t="str">
        <f>IFERROR(IF($I$46=O14,"→"," "),"")</f>
        <v xml:space="preserve"> </v>
      </c>
      <c r="M14" s="2554">
        <v>0</v>
      </c>
      <c r="N14" s="2554">
        <v>5</v>
      </c>
      <c r="O14" s="2554">
        <v>1.17</v>
      </c>
      <c r="P14" s="20"/>
      <c r="Q14" s="59"/>
      <c r="R14" s="20"/>
      <c r="U14" s="2556">
        <f>I34*I35*I40/(1.5*I37*V13)</f>
        <v>252.31481481481481</v>
      </c>
      <c r="V14" s="145" t="s">
        <v>2263</v>
      </c>
      <c r="X14" s="2556">
        <f>'E Data'!D13+'E Data'!D14</f>
        <v>40</v>
      </c>
      <c r="Y14" s="145" t="s">
        <v>2264</v>
      </c>
      <c r="AA14" s="2551">
        <v>0</v>
      </c>
      <c r="AB14" s="143">
        <v>5</v>
      </c>
      <c r="AC14" s="143">
        <v>1.17</v>
      </c>
      <c r="AF14" s="20"/>
      <c r="AG14" s="20"/>
      <c r="AH14" s="20"/>
      <c r="AI14" s="20"/>
      <c r="AJ14" s="20"/>
      <c r="AK14" s="20"/>
      <c r="AL14" s="20"/>
    </row>
    <row r="15" spans="1:38" ht="20.100000000000001" customHeight="1">
      <c r="A15" s="36"/>
      <c r="B15" s="67"/>
      <c r="C15" s="20" t="s">
        <v>874</v>
      </c>
      <c r="D15" s="20"/>
      <c r="E15" s="20"/>
      <c r="F15" s="20"/>
      <c r="G15" s="20"/>
      <c r="H15" s="43" t="s">
        <v>160</v>
      </c>
      <c r="I15" s="59">
        <f>'E Data'!D44</f>
        <v>5</v>
      </c>
      <c r="J15" s="304"/>
      <c r="K15" s="20"/>
      <c r="L15" s="413" t="str">
        <f t="shared" ref="L15" si="0">IFERROR(IF($I$46=O15,"→"," "),"")</f>
        <v xml:space="preserve"> </v>
      </c>
      <c r="M15" s="2554">
        <v>5</v>
      </c>
      <c r="N15" s="2554">
        <v>5.6</v>
      </c>
      <c r="O15" s="2554">
        <v>1.1599999999999999</v>
      </c>
      <c r="P15" s="20"/>
      <c r="Q15" s="145" t="s">
        <v>875</v>
      </c>
      <c r="R15" s="1094" t="s">
        <v>876</v>
      </c>
      <c r="U15" s="145">
        <f>+VLOOKUP(U14,U17:U28,1)</f>
        <v>250</v>
      </c>
      <c r="V15" s="2557">
        <f>+VLOOKUP(U15,U17:V28,2,0)</f>
        <v>320</v>
      </c>
      <c r="X15" s="145">
        <f>+VLOOKUP(X14,X17:X28,1)</f>
        <v>39</v>
      </c>
      <c r="Y15" s="2557">
        <f>+VLOOKUP(X15,X17:Y28,2,0)</f>
        <v>105</v>
      </c>
      <c r="AA15" s="2551">
        <v>5</v>
      </c>
      <c r="AB15" s="143">
        <v>5.6</v>
      </c>
      <c r="AC15" s="143">
        <v>1.1599999999999999</v>
      </c>
      <c r="AF15" s="20"/>
      <c r="AG15" s="20"/>
      <c r="AH15" s="20"/>
      <c r="AI15" s="20"/>
      <c r="AJ15" s="20"/>
      <c r="AK15" s="20"/>
      <c r="AL15" s="20"/>
    </row>
    <row r="16" spans="1:38" ht="20.100000000000001" customHeight="1">
      <c r="A16" s="36"/>
      <c r="B16" s="67"/>
      <c r="C16" s="20" t="s">
        <v>877</v>
      </c>
      <c r="D16" s="20"/>
      <c r="E16" s="20"/>
      <c r="F16" s="20"/>
      <c r="G16" s="20"/>
      <c r="H16" s="43" t="s">
        <v>160</v>
      </c>
      <c r="I16" s="799">
        <f>+'E Data'!D49</f>
        <v>4</v>
      </c>
      <c r="J16" s="304"/>
      <c r="K16" s="20"/>
      <c r="L16" s="413" t="str">
        <f t="shared" ref="L16:L37" si="1">IFERROR(IF($I$46=O16,"→"," "),"")</f>
        <v xml:space="preserve"> </v>
      </c>
      <c r="M16" s="2554">
        <v>5.6</v>
      </c>
      <c r="N16" s="2554">
        <v>6.3</v>
      </c>
      <c r="O16" s="2554">
        <v>1.1499999999999999</v>
      </c>
      <c r="P16" s="413" t="str">
        <f>IFERROR(IF($I$36=Q16,"→"," "),"")</f>
        <v xml:space="preserve"> </v>
      </c>
      <c r="Q16" s="29" t="s">
        <v>878</v>
      </c>
      <c r="R16" s="1094">
        <v>190</v>
      </c>
      <c r="U16" s="29" t="s">
        <v>305</v>
      </c>
      <c r="V16" s="29" t="s">
        <v>879</v>
      </c>
      <c r="X16" s="29" t="s">
        <v>1101</v>
      </c>
      <c r="Y16" s="29" t="s">
        <v>1135</v>
      </c>
      <c r="AA16" s="2551">
        <v>5.6</v>
      </c>
      <c r="AB16" s="143">
        <v>6.3</v>
      </c>
      <c r="AC16" s="143">
        <v>1.1499999999999999</v>
      </c>
      <c r="AF16" s="20"/>
      <c r="AG16" s="20"/>
      <c r="AH16" s="20"/>
      <c r="AI16" s="20"/>
      <c r="AJ16" s="20"/>
      <c r="AK16" s="20"/>
      <c r="AL16" s="20"/>
    </row>
    <row r="17" spans="1:39" ht="20.100000000000001" customHeight="1">
      <c r="A17" s="36"/>
      <c r="B17" s="67" t="s">
        <v>880</v>
      </c>
      <c r="C17" s="20" t="s">
        <v>881</v>
      </c>
      <c r="D17" s="20"/>
      <c r="E17" s="20"/>
      <c r="F17" s="20"/>
      <c r="G17" s="20"/>
      <c r="H17" s="43" t="s">
        <v>160</v>
      </c>
      <c r="I17" s="1024">
        <v>0.6</v>
      </c>
      <c r="J17" s="304"/>
      <c r="K17" s="20"/>
      <c r="L17" s="413" t="str">
        <f t="shared" si="1"/>
        <v xml:space="preserve"> </v>
      </c>
      <c r="M17" s="2554">
        <v>6.3</v>
      </c>
      <c r="N17" s="2554">
        <v>8</v>
      </c>
      <c r="O17" s="2554">
        <v>1.1399999999999999</v>
      </c>
      <c r="P17" s="413" t="str">
        <f t="shared" ref="P17" si="2">IFERROR(IF($I$36=Q17,"→"," "),"")</f>
        <v xml:space="preserve"> </v>
      </c>
      <c r="Q17" s="29">
        <v>40</v>
      </c>
      <c r="R17" s="1094">
        <v>190</v>
      </c>
      <c r="U17" s="29">
        <v>0</v>
      </c>
      <c r="V17" s="29">
        <v>160</v>
      </c>
      <c r="X17" s="29">
        <v>0</v>
      </c>
      <c r="Y17" s="29">
        <v>50</v>
      </c>
      <c r="AA17" s="2551">
        <v>6.3</v>
      </c>
      <c r="AB17" s="143">
        <v>8</v>
      </c>
      <c r="AC17" s="143">
        <v>1.1399999999999999</v>
      </c>
      <c r="AF17" s="20"/>
      <c r="AG17" s="20"/>
      <c r="AH17" s="20"/>
      <c r="AI17" s="20"/>
      <c r="AJ17" s="20"/>
      <c r="AK17" s="20"/>
      <c r="AL17" s="20"/>
    </row>
    <row r="18" spans="1:39" ht="20.100000000000001" customHeight="1">
      <c r="A18" s="36"/>
      <c r="B18" s="67"/>
      <c r="C18" s="20"/>
      <c r="D18" s="20"/>
      <c r="E18" s="20"/>
      <c r="F18" s="20"/>
      <c r="G18" s="20"/>
      <c r="H18" s="67"/>
      <c r="I18" s="59"/>
      <c r="J18" s="304"/>
      <c r="K18" s="20"/>
      <c r="L18" s="413" t="str">
        <f t="shared" si="1"/>
        <v xml:space="preserve"> </v>
      </c>
      <c r="M18" s="2554">
        <v>8</v>
      </c>
      <c r="N18" s="2554">
        <v>10</v>
      </c>
      <c r="O18" s="2554">
        <v>1.1299999999999999</v>
      </c>
      <c r="P18" s="413" t="str">
        <f t="shared" ref="P18:P28" si="3">IFERROR(IF($I$36=Q18,"→"," "),"")</f>
        <v>→</v>
      </c>
      <c r="Q18" s="29">
        <v>50</v>
      </c>
      <c r="R18" s="1094">
        <v>190</v>
      </c>
      <c r="U18" s="29">
        <v>160</v>
      </c>
      <c r="V18" s="29">
        <v>200</v>
      </c>
      <c r="X18" s="29">
        <v>9</v>
      </c>
      <c r="Y18" s="29">
        <v>50</v>
      </c>
      <c r="AA18" s="2551">
        <v>8</v>
      </c>
      <c r="AB18" s="143">
        <v>10</v>
      </c>
      <c r="AC18" s="143">
        <v>1.1299999999999999</v>
      </c>
      <c r="AF18" s="20"/>
      <c r="AG18" s="20"/>
      <c r="AH18" s="20"/>
      <c r="AI18" s="20"/>
      <c r="AJ18" s="20"/>
      <c r="AK18" s="20"/>
      <c r="AL18" s="20"/>
    </row>
    <row r="19" spans="1:39" ht="20.100000000000001" customHeight="1">
      <c r="A19" s="36"/>
      <c r="B19" s="20" t="s">
        <v>882</v>
      </c>
      <c r="C19" s="20"/>
      <c r="D19" s="20"/>
      <c r="E19" s="20"/>
      <c r="F19" s="20"/>
      <c r="G19" s="20"/>
      <c r="H19" s="43" t="s">
        <v>160</v>
      </c>
      <c r="I19" s="1026">
        <f>2*(I17*I14)/I16+I15/I16</f>
        <v>8.75</v>
      </c>
      <c r="J19" s="304" t="s">
        <v>883</v>
      </c>
      <c r="K19" s="20"/>
      <c r="L19" s="413" t="str">
        <f t="shared" si="1"/>
        <v xml:space="preserve"> </v>
      </c>
      <c r="M19" s="2554">
        <v>10</v>
      </c>
      <c r="N19" s="2554">
        <v>11.2</v>
      </c>
      <c r="O19" s="2554">
        <v>1.1200000000000001</v>
      </c>
      <c r="P19" s="413" t="str">
        <f t="shared" si="3"/>
        <v xml:space="preserve"> </v>
      </c>
      <c r="Q19" s="29">
        <v>63</v>
      </c>
      <c r="R19" s="1094">
        <v>190</v>
      </c>
      <c r="U19" s="29">
        <v>200</v>
      </c>
      <c r="V19" s="29">
        <v>250</v>
      </c>
      <c r="X19" s="29">
        <v>19</v>
      </c>
      <c r="Y19" s="29">
        <v>63</v>
      </c>
      <c r="AA19" s="2551">
        <v>10</v>
      </c>
      <c r="AB19" s="143">
        <v>11.2</v>
      </c>
      <c r="AC19" s="143">
        <v>1.1200000000000001</v>
      </c>
      <c r="AF19" s="20"/>
      <c r="AG19" s="20"/>
      <c r="AH19" s="20"/>
      <c r="AI19" s="20"/>
      <c r="AJ19" s="20"/>
      <c r="AK19" s="20"/>
      <c r="AL19" s="20"/>
    </row>
    <row r="20" spans="1:39" ht="20.100000000000001" customHeight="1">
      <c r="A20" s="36"/>
      <c r="B20" s="20"/>
      <c r="C20" s="20"/>
      <c r="D20" s="20"/>
      <c r="E20" s="20"/>
      <c r="F20" s="20"/>
      <c r="G20" s="20"/>
      <c r="H20" s="67"/>
      <c r="I20" s="25"/>
      <c r="J20" s="304"/>
      <c r="K20" s="20"/>
      <c r="L20" s="413" t="str">
        <f t="shared" si="1"/>
        <v xml:space="preserve"> </v>
      </c>
      <c r="M20" s="2554">
        <v>11.2</v>
      </c>
      <c r="N20" s="2554">
        <v>12.5</v>
      </c>
      <c r="O20" s="2554">
        <v>1.1100000000000001</v>
      </c>
      <c r="P20" s="413" t="str">
        <f t="shared" si="3"/>
        <v xml:space="preserve"> </v>
      </c>
      <c r="Q20" s="29">
        <v>30</v>
      </c>
      <c r="R20" s="1094">
        <v>210</v>
      </c>
      <c r="U20" s="29">
        <v>250</v>
      </c>
      <c r="V20" s="29">
        <v>320</v>
      </c>
      <c r="X20" s="29">
        <v>29</v>
      </c>
      <c r="Y20" s="29">
        <v>63</v>
      </c>
      <c r="AA20" s="2551">
        <v>11.2</v>
      </c>
      <c r="AB20" s="143">
        <v>12.5</v>
      </c>
      <c r="AC20" s="143">
        <v>1.1100000000000001</v>
      </c>
      <c r="AF20" s="20"/>
      <c r="AG20" s="20"/>
      <c r="AH20" s="20"/>
      <c r="AI20" s="20"/>
      <c r="AJ20" s="20"/>
      <c r="AK20" s="20"/>
      <c r="AL20" s="20"/>
    </row>
    <row r="21" spans="1:39" ht="20.100000000000001" customHeight="1">
      <c r="A21" s="36"/>
      <c r="B21" s="20"/>
      <c r="C21" s="20"/>
      <c r="D21" s="20"/>
      <c r="E21" s="20"/>
      <c r="F21" s="20"/>
      <c r="G21" s="20"/>
      <c r="H21" s="20"/>
      <c r="I21" s="20"/>
      <c r="J21" s="304"/>
      <c r="K21" s="20"/>
      <c r="L21" s="413" t="str">
        <f t="shared" si="1"/>
        <v xml:space="preserve"> </v>
      </c>
      <c r="M21" s="2554">
        <v>12.5</v>
      </c>
      <c r="N21" s="2554">
        <v>14</v>
      </c>
      <c r="O21" s="2554">
        <v>1.1000000000000001</v>
      </c>
      <c r="P21" s="413" t="str">
        <f t="shared" si="3"/>
        <v xml:space="preserve"> </v>
      </c>
      <c r="Q21" s="29">
        <v>60</v>
      </c>
      <c r="R21" s="1094">
        <v>210</v>
      </c>
      <c r="U21" s="29">
        <v>320</v>
      </c>
      <c r="V21" s="29">
        <v>400</v>
      </c>
      <c r="X21" s="29">
        <v>39</v>
      </c>
      <c r="Y21" s="29">
        <v>105</v>
      </c>
      <c r="AA21" s="2551">
        <v>12.5</v>
      </c>
      <c r="AB21" s="143">
        <v>14</v>
      </c>
      <c r="AC21" s="143">
        <v>1.1000000000000001</v>
      </c>
      <c r="AF21" s="20"/>
      <c r="AG21" s="20"/>
      <c r="AH21" s="20"/>
      <c r="AI21" s="20"/>
      <c r="AJ21" s="20"/>
      <c r="AK21" s="20"/>
      <c r="AL21" s="20"/>
    </row>
    <row r="22" spans="1:39" ht="20.100000000000001" customHeight="1" thickBot="1">
      <c r="A22" s="36"/>
      <c r="B22" s="182" t="s">
        <v>884</v>
      </c>
      <c r="C22" s="20"/>
      <c r="D22" s="20"/>
      <c r="E22" s="20"/>
      <c r="F22" s="471" t="s">
        <v>885</v>
      </c>
      <c r="G22" s="182"/>
      <c r="H22" s="20"/>
      <c r="I22" s="182"/>
      <c r="J22" s="974"/>
      <c r="K22" s="182"/>
      <c r="L22" s="413" t="str">
        <f t="shared" si="1"/>
        <v xml:space="preserve"> </v>
      </c>
      <c r="M22" s="2554">
        <v>14</v>
      </c>
      <c r="N22" s="2554">
        <v>16</v>
      </c>
      <c r="O22" s="2554">
        <v>1.0900000000000001</v>
      </c>
      <c r="P22" s="413" t="str">
        <f t="shared" si="3"/>
        <v xml:space="preserve"> </v>
      </c>
      <c r="Q22" s="29">
        <v>90</v>
      </c>
      <c r="R22" s="1094">
        <v>210</v>
      </c>
      <c r="U22" s="29">
        <v>400</v>
      </c>
      <c r="V22" s="29">
        <v>500</v>
      </c>
      <c r="X22" s="29">
        <v>49</v>
      </c>
      <c r="Y22" s="29">
        <v>105</v>
      </c>
      <c r="AA22" s="2551">
        <v>14</v>
      </c>
      <c r="AB22" s="143">
        <v>16</v>
      </c>
      <c r="AC22" s="143">
        <v>1.0900000000000001</v>
      </c>
      <c r="AF22" s="20"/>
      <c r="AG22" s="20"/>
      <c r="AH22" s="20"/>
      <c r="AI22" s="20"/>
      <c r="AJ22" s="20"/>
      <c r="AK22" s="20"/>
      <c r="AL22" s="20"/>
    </row>
    <row r="23" spans="1:39" ht="20.100000000000001" customHeight="1" thickBot="1">
      <c r="A23" s="36"/>
      <c r="B23" s="20"/>
      <c r="C23" s="20"/>
      <c r="D23" s="20"/>
      <c r="E23" s="20"/>
      <c r="F23" s="182" t="s">
        <v>886</v>
      </c>
      <c r="G23" s="182"/>
      <c r="H23" s="20"/>
      <c r="I23" s="182"/>
      <c r="J23" s="974"/>
      <c r="K23" s="182"/>
      <c r="L23" s="413" t="str">
        <f t="shared" si="1"/>
        <v xml:space="preserve"> </v>
      </c>
      <c r="M23" s="2554">
        <v>16</v>
      </c>
      <c r="N23" s="2554">
        <v>18</v>
      </c>
      <c r="O23" s="2554">
        <v>1.07</v>
      </c>
      <c r="P23" s="413" t="str">
        <f t="shared" si="3"/>
        <v xml:space="preserve"> </v>
      </c>
      <c r="Q23" s="29">
        <v>105</v>
      </c>
      <c r="R23" s="1094">
        <v>210</v>
      </c>
      <c r="U23" s="29">
        <v>500</v>
      </c>
      <c r="V23" s="29">
        <v>630</v>
      </c>
      <c r="X23" s="29">
        <v>59</v>
      </c>
      <c r="Y23" s="29">
        <v>105</v>
      </c>
      <c r="AA23" s="2551">
        <v>16</v>
      </c>
      <c r="AB23" s="143">
        <v>18</v>
      </c>
      <c r="AC23" s="143">
        <v>1.07</v>
      </c>
      <c r="AF23" s="3784" t="s">
        <v>2662</v>
      </c>
      <c r="AG23" s="3785"/>
      <c r="AH23" s="19"/>
      <c r="AI23" s="1027" t="s">
        <v>656</v>
      </c>
      <c r="AJ23" s="1028"/>
      <c r="AL23" s="1029" t="s">
        <v>660</v>
      </c>
      <c r="AM23" s="1030"/>
    </row>
    <row r="24" spans="1:39" ht="20.100000000000001" customHeight="1">
      <c r="A24" s="36"/>
      <c r="B24" s="67"/>
      <c r="C24" s="20"/>
      <c r="D24" s="20"/>
      <c r="E24" s="20"/>
      <c r="F24" s="20"/>
      <c r="G24" s="20"/>
      <c r="H24" s="67"/>
      <c r="I24" s="19"/>
      <c r="J24" s="304"/>
      <c r="K24" s="20"/>
      <c r="L24" s="413" t="str">
        <f t="shared" si="1"/>
        <v>→</v>
      </c>
      <c r="M24" s="2554">
        <v>18</v>
      </c>
      <c r="N24" s="2554">
        <v>20</v>
      </c>
      <c r="O24" s="2554">
        <v>1.06</v>
      </c>
      <c r="P24" s="413" t="str">
        <f t="shared" si="3"/>
        <v xml:space="preserve"> </v>
      </c>
      <c r="Q24" s="29">
        <v>80</v>
      </c>
      <c r="R24" s="1094">
        <v>220</v>
      </c>
      <c r="U24" s="29">
        <v>630</v>
      </c>
      <c r="V24" s="29">
        <v>710</v>
      </c>
      <c r="X24" s="29">
        <v>69</v>
      </c>
      <c r="Y24" s="29">
        <v>105</v>
      </c>
      <c r="AA24" s="2551">
        <v>18</v>
      </c>
      <c r="AB24" s="143">
        <v>20</v>
      </c>
      <c r="AC24" s="143">
        <v>1.06</v>
      </c>
      <c r="AF24" s="273" t="s">
        <v>512</v>
      </c>
      <c r="AG24" s="274" t="s">
        <v>682</v>
      </c>
      <c r="AH24" s="19"/>
      <c r="AI24" s="273" t="s">
        <v>512</v>
      </c>
      <c r="AJ24" s="274" t="s">
        <v>682</v>
      </c>
      <c r="AL24" s="275">
        <v>0</v>
      </c>
      <c r="AM24" s="740">
        <v>14</v>
      </c>
    </row>
    <row r="25" spans="1:39" ht="20.100000000000001" customHeight="1">
      <c r="A25" s="36"/>
      <c r="B25" s="20" t="s">
        <v>887</v>
      </c>
      <c r="C25" s="20"/>
      <c r="D25" s="20"/>
      <c r="E25" s="20"/>
      <c r="F25" s="20"/>
      <c r="G25" s="20"/>
      <c r="H25" s="43" t="s">
        <v>160</v>
      </c>
      <c r="I25" s="1026">
        <f>I15/I16</f>
        <v>1.25</v>
      </c>
      <c r="J25" s="304" t="s">
        <v>883</v>
      </c>
      <c r="K25" s="20"/>
      <c r="L25" s="413" t="str">
        <f t="shared" si="1"/>
        <v xml:space="preserve"> </v>
      </c>
      <c r="M25" s="2554">
        <v>20</v>
      </c>
      <c r="N25" s="2554">
        <v>22.4</v>
      </c>
      <c r="O25" s="2554">
        <v>1.04</v>
      </c>
      <c r="P25" s="413" t="str">
        <f t="shared" si="3"/>
        <v xml:space="preserve"> </v>
      </c>
      <c r="Q25" s="29">
        <v>100</v>
      </c>
      <c r="R25" s="1094">
        <v>220</v>
      </c>
      <c r="U25" s="29">
        <v>710</v>
      </c>
      <c r="V25" s="29">
        <v>800</v>
      </c>
      <c r="X25" s="29">
        <v>79</v>
      </c>
      <c r="Y25" s="29">
        <v>105</v>
      </c>
      <c r="AA25" s="2551">
        <v>20</v>
      </c>
      <c r="AB25" s="143">
        <v>22.4</v>
      </c>
      <c r="AC25" s="143">
        <v>1.04</v>
      </c>
      <c r="AF25" s="185">
        <v>0</v>
      </c>
      <c r="AG25" s="40">
        <v>15</v>
      </c>
      <c r="AH25" s="19"/>
      <c r="AI25" s="185">
        <v>0</v>
      </c>
      <c r="AJ25" s="40">
        <v>5.6</v>
      </c>
      <c r="AL25" s="740">
        <v>14</v>
      </c>
      <c r="AM25" s="740">
        <v>16</v>
      </c>
    </row>
    <row r="26" spans="1:39" ht="20.100000000000001" customHeight="1">
      <c r="A26" s="36"/>
      <c r="B26" s="67"/>
      <c r="C26" s="20"/>
      <c r="D26" s="20"/>
      <c r="E26" s="20"/>
      <c r="F26" s="20"/>
      <c r="G26" s="20"/>
      <c r="H26" s="31"/>
      <c r="I26" s="20"/>
      <c r="J26" s="304"/>
      <c r="K26" s="20"/>
      <c r="L26" s="413" t="str">
        <f t="shared" si="1"/>
        <v xml:space="preserve"> </v>
      </c>
      <c r="M26" s="2554">
        <v>22.4</v>
      </c>
      <c r="N26" s="2554">
        <v>25</v>
      </c>
      <c r="O26" s="2554">
        <v>1.03</v>
      </c>
      <c r="P26" s="413" t="str">
        <f t="shared" si="3"/>
        <v xml:space="preserve"> </v>
      </c>
      <c r="Q26" s="29">
        <v>120</v>
      </c>
      <c r="R26" s="1094">
        <v>220</v>
      </c>
      <c r="U26" s="29">
        <v>800</v>
      </c>
      <c r="V26" s="29">
        <v>900</v>
      </c>
      <c r="X26" s="29">
        <v>89</v>
      </c>
      <c r="Y26" s="29">
        <v>80</v>
      </c>
      <c r="AA26" s="2551">
        <v>22.4</v>
      </c>
      <c r="AB26" s="143">
        <v>25</v>
      </c>
      <c r="AC26" s="143">
        <v>1.03</v>
      </c>
      <c r="AF26" s="39">
        <v>15</v>
      </c>
      <c r="AG26" s="40">
        <v>18.8</v>
      </c>
      <c r="AH26" s="19"/>
      <c r="AI26" s="39">
        <v>5.6</v>
      </c>
      <c r="AJ26" s="40">
        <v>6.2</v>
      </c>
      <c r="AL26" s="740">
        <v>16</v>
      </c>
      <c r="AM26" s="740">
        <v>18</v>
      </c>
    </row>
    <row r="27" spans="1:39" ht="20.100000000000001" customHeight="1">
      <c r="A27" s="36"/>
      <c r="B27" s="193" t="s">
        <v>888</v>
      </c>
      <c r="C27" s="20"/>
      <c r="D27" s="20"/>
      <c r="E27" s="20"/>
      <c r="F27" s="20"/>
      <c r="G27" s="20"/>
      <c r="H27" s="67" t="s">
        <v>160</v>
      </c>
      <c r="I27" s="471" t="s">
        <v>889</v>
      </c>
      <c r="J27" s="974"/>
      <c r="K27" s="20"/>
      <c r="L27" s="413" t="str">
        <f t="shared" si="1"/>
        <v xml:space="preserve"> </v>
      </c>
      <c r="M27" s="2554">
        <v>25</v>
      </c>
      <c r="N27" s="2554">
        <v>28</v>
      </c>
      <c r="O27" s="2554">
        <v>1.02</v>
      </c>
      <c r="P27" s="413" t="str">
        <f t="shared" si="3"/>
        <v xml:space="preserve"> </v>
      </c>
      <c r="Q27" s="145">
        <f>Q43</f>
        <v>10000</v>
      </c>
      <c r="R27" s="145">
        <f>U43</f>
        <v>0</v>
      </c>
      <c r="U27" s="29">
        <v>900</v>
      </c>
      <c r="V27" s="29">
        <v>1000</v>
      </c>
      <c r="X27" s="29">
        <v>99</v>
      </c>
      <c r="Y27" s="29">
        <v>80</v>
      </c>
      <c r="AA27" s="2551">
        <v>25</v>
      </c>
      <c r="AB27" s="143">
        <v>28</v>
      </c>
      <c r="AC27" s="143">
        <v>1.02</v>
      </c>
      <c r="AF27" s="39">
        <v>18.8</v>
      </c>
      <c r="AG27" s="40">
        <v>23.6</v>
      </c>
      <c r="AH27" s="19"/>
      <c r="AI27" s="39">
        <v>6.2</v>
      </c>
      <c r="AJ27" s="40">
        <v>6.86</v>
      </c>
      <c r="AL27" s="740">
        <v>18</v>
      </c>
      <c r="AM27" s="740">
        <v>20</v>
      </c>
    </row>
    <row r="28" spans="1:39" ht="20.100000000000001" customHeight="1">
      <c r="A28" s="36"/>
      <c r="B28" s="67"/>
      <c r="C28" s="20"/>
      <c r="D28" s="20"/>
      <c r="E28" s="20"/>
      <c r="F28" s="20"/>
      <c r="G28" s="20"/>
      <c r="H28" s="31"/>
      <c r="I28" s="51">
        <v>3</v>
      </c>
      <c r="J28" s="974"/>
      <c r="K28" s="20"/>
      <c r="L28" s="413" t="str">
        <f t="shared" si="1"/>
        <v xml:space="preserve"> </v>
      </c>
      <c r="M28" s="2554">
        <v>28</v>
      </c>
      <c r="N28" s="2554">
        <v>31.5</v>
      </c>
      <c r="O28" s="2554">
        <v>1</v>
      </c>
      <c r="P28" s="413" t="str">
        <f t="shared" si="3"/>
        <v xml:space="preserve"> </v>
      </c>
      <c r="Q28" s="145">
        <f>Q44</f>
        <v>0</v>
      </c>
      <c r="R28" s="145">
        <f>U44</f>
        <v>0</v>
      </c>
      <c r="U28" s="29">
        <v>1000</v>
      </c>
      <c r="V28" s="29">
        <v>1.27</v>
      </c>
      <c r="X28" s="29">
        <v>119</v>
      </c>
      <c r="Y28" s="29">
        <v>80</v>
      </c>
      <c r="AA28" s="2551">
        <v>28</v>
      </c>
      <c r="AB28" s="143">
        <v>31.5</v>
      </c>
      <c r="AC28" s="143">
        <v>1</v>
      </c>
      <c r="AF28" s="39">
        <v>23.6</v>
      </c>
      <c r="AG28" s="40">
        <v>24.5</v>
      </c>
      <c r="AH28" s="19"/>
      <c r="AI28" s="39">
        <v>6.86</v>
      </c>
      <c r="AJ28" s="40">
        <v>7.59</v>
      </c>
      <c r="AL28" s="740">
        <v>20</v>
      </c>
      <c r="AM28" s="740">
        <v>22.4</v>
      </c>
    </row>
    <row r="29" spans="1:39" ht="20.100000000000001" customHeight="1">
      <c r="A29" s="36"/>
      <c r="B29" s="88" t="s">
        <v>888</v>
      </c>
      <c r="C29" s="20"/>
      <c r="D29" s="20"/>
      <c r="E29" s="20"/>
      <c r="F29" s="20"/>
      <c r="G29" s="20"/>
      <c r="H29" s="43" t="s">
        <v>160</v>
      </c>
      <c r="I29" s="1035">
        <f>((2*I19)+I25)/3</f>
        <v>6.25</v>
      </c>
      <c r="J29" s="304" t="str">
        <f>J25</f>
        <v xml:space="preserve"> TONS</v>
      </c>
      <c r="K29" s="20"/>
      <c r="L29" s="413" t="str">
        <f t="shared" si="1"/>
        <v xml:space="preserve"> </v>
      </c>
      <c r="M29" s="2554">
        <v>31.5</v>
      </c>
      <c r="N29" s="2554">
        <v>35.5</v>
      </c>
      <c r="O29" s="2554">
        <v>0.99</v>
      </c>
      <c r="V29" s="20"/>
      <c r="AA29" s="2551">
        <v>31.5</v>
      </c>
      <c r="AB29" s="143">
        <v>35.5</v>
      </c>
      <c r="AC29" s="143">
        <v>0.99</v>
      </c>
      <c r="AF29" s="39">
        <v>24.5</v>
      </c>
      <c r="AG29" s="40">
        <v>29.3</v>
      </c>
      <c r="AH29" s="19"/>
      <c r="AI29" s="39">
        <v>7.59</v>
      </c>
      <c r="AJ29" s="40">
        <v>8.4</v>
      </c>
      <c r="AL29" s="740">
        <v>22.4</v>
      </c>
      <c r="AM29" s="740">
        <v>25</v>
      </c>
    </row>
    <row r="30" spans="1:39" ht="20.100000000000001" customHeight="1">
      <c r="A30" s="36"/>
      <c r="B30" s="67"/>
      <c r="C30" s="20"/>
      <c r="D30" s="20"/>
      <c r="E30" s="20"/>
      <c r="F30" s="20"/>
      <c r="G30" s="20"/>
      <c r="H30" s="31"/>
      <c r="I30" s="20"/>
      <c r="J30" s="304"/>
      <c r="K30" s="20"/>
      <c r="L30" s="413" t="str">
        <f t="shared" si="1"/>
        <v xml:space="preserve"> </v>
      </c>
      <c r="M30" s="2554">
        <v>35.5</v>
      </c>
      <c r="N30" s="2554">
        <v>40</v>
      </c>
      <c r="O30" s="2554">
        <v>0.97</v>
      </c>
      <c r="V30" s="20"/>
      <c r="AA30" s="2551">
        <v>35.5</v>
      </c>
      <c r="AB30" s="143">
        <v>40</v>
      </c>
      <c r="AC30" s="143">
        <v>0.97</v>
      </c>
      <c r="AF30" s="39">
        <v>29.3</v>
      </c>
      <c r="AG30" s="40">
        <v>34.200000000000003</v>
      </c>
      <c r="AH30" s="19"/>
      <c r="AI30" s="39">
        <v>8.4</v>
      </c>
      <c r="AJ30" s="40">
        <v>9.3000000000000007</v>
      </c>
      <c r="AL30" s="740">
        <v>25</v>
      </c>
      <c r="AM30" s="740">
        <v>28</v>
      </c>
    </row>
    <row r="31" spans="1:39" ht="20.100000000000001" customHeight="1">
      <c r="A31" s="36"/>
      <c r="B31" s="193" t="s">
        <v>890</v>
      </c>
      <c r="C31" s="20"/>
      <c r="D31" s="20"/>
      <c r="E31" s="20"/>
      <c r="F31" s="20"/>
      <c r="G31" s="186" t="s">
        <v>160</v>
      </c>
      <c r="H31" s="471" t="s">
        <v>891</v>
      </c>
      <c r="I31" s="182"/>
      <c r="J31" s="304"/>
      <c r="K31" s="20"/>
      <c r="L31" s="413" t="str">
        <f t="shared" si="1"/>
        <v xml:space="preserve"> </v>
      </c>
      <c r="M31" s="2554">
        <v>40</v>
      </c>
      <c r="N31" s="2554">
        <v>45</v>
      </c>
      <c r="O31" s="2554">
        <v>0.96</v>
      </c>
      <c r="P31" s="20"/>
      <c r="Q31" s="29" t="s">
        <v>670</v>
      </c>
      <c r="R31" s="527" t="s">
        <v>875</v>
      </c>
      <c r="S31" s="527" t="s">
        <v>892</v>
      </c>
      <c r="T31" s="527" t="s">
        <v>893</v>
      </c>
      <c r="V31" s="20"/>
      <c r="AA31" s="2551">
        <v>40</v>
      </c>
      <c r="AB31" s="143">
        <v>45</v>
      </c>
      <c r="AC31" s="143">
        <v>0.96</v>
      </c>
      <c r="AF31" s="39">
        <v>34.200000000000003</v>
      </c>
      <c r="AG31" s="40">
        <v>38.799999999999997</v>
      </c>
      <c r="AH31" s="19"/>
      <c r="AI31" s="39">
        <v>9.3000000000000007</v>
      </c>
      <c r="AJ31" s="40">
        <v>10.3</v>
      </c>
      <c r="AL31" s="740">
        <v>28</v>
      </c>
      <c r="AM31" s="740">
        <v>31.5</v>
      </c>
    </row>
    <row r="32" spans="1:39" ht="20.100000000000001" customHeight="1">
      <c r="A32" s="36"/>
      <c r="B32" s="67"/>
      <c r="C32" s="20"/>
      <c r="D32" s="20"/>
      <c r="E32" s="20"/>
      <c r="F32" s="20"/>
      <c r="G32" s="182"/>
      <c r="H32" s="182" t="s">
        <v>894</v>
      </c>
      <c r="I32" s="182"/>
      <c r="J32" s="304"/>
      <c r="K32" s="20"/>
      <c r="L32" s="413" t="str">
        <f t="shared" si="1"/>
        <v xml:space="preserve"> </v>
      </c>
      <c r="M32" s="2554">
        <v>45</v>
      </c>
      <c r="N32" s="2554">
        <v>50</v>
      </c>
      <c r="O32" s="2554">
        <v>0.94</v>
      </c>
      <c r="P32" s="413" t="str">
        <f>IFERROR(IF($I$36=Q32,"→"," "),"")</f>
        <v xml:space="preserve"> </v>
      </c>
      <c r="Q32" s="29">
        <v>40</v>
      </c>
      <c r="R32" s="143" t="s">
        <v>895</v>
      </c>
      <c r="S32" s="143">
        <v>40</v>
      </c>
      <c r="T32" s="143">
        <v>12.56</v>
      </c>
      <c r="AA32" s="2551">
        <v>45</v>
      </c>
      <c r="AB32" s="143">
        <v>50</v>
      </c>
      <c r="AC32" s="143">
        <v>0.94</v>
      </c>
      <c r="AF32" s="39">
        <v>38.799999999999997</v>
      </c>
      <c r="AG32" s="40">
        <v>43.9</v>
      </c>
      <c r="AH32" s="19"/>
      <c r="AI32" s="39">
        <v>10.3</v>
      </c>
      <c r="AJ32" s="40">
        <v>11.4</v>
      </c>
      <c r="AL32" s="740">
        <v>31.5</v>
      </c>
      <c r="AM32" s="740">
        <v>35.5</v>
      </c>
    </row>
    <row r="33" spans="1:39" ht="20.100000000000001" customHeight="1">
      <c r="A33" s="36"/>
      <c r="B33" s="20" t="s">
        <v>870</v>
      </c>
      <c r="C33" s="20"/>
      <c r="D33" s="20"/>
      <c r="E33" s="20"/>
      <c r="F33" s="20"/>
      <c r="G33" s="20"/>
      <c r="H33" s="20"/>
      <c r="I33" s="20"/>
      <c r="J33" s="304"/>
      <c r="K33" s="20"/>
      <c r="L33" s="413" t="str">
        <f t="shared" si="1"/>
        <v xml:space="preserve"> </v>
      </c>
      <c r="M33" s="2554">
        <v>50</v>
      </c>
      <c r="N33" s="2554">
        <v>56</v>
      </c>
      <c r="O33" s="2554">
        <v>0.92</v>
      </c>
      <c r="P33" s="413" t="str">
        <f t="shared" ref="P33" si="4">IFERROR(IF($I$36=Q33,"→"," "),"")</f>
        <v>→</v>
      </c>
      <c r="Q33" s="29">
        <v>50</v>
      </c>
      <c r="R33" s="143" t="s">
        <v>896</v>
      </c>
      <c r="S33" s="143">
        <v>50</v>
      </c>
      <c r="T33" s="143">
        <v>19.62</v>
      </c>
      <c r="V33" s="20"/>
      <c r="AA33" s="2551">
        <v>50</v>
      </c>
      <c r="AB33" s="143">
        <v>56</v>
      </c>
      <c r="AC33" s="143">
        <v>0.92</v>
      </c>
      <c r="AF33" s="39">
        <v>43.9</v>
      </c>
      <c r="AG33" s="40">
        <v>48.8</v>
      </c>
      <c r="AH33" s="19"/>
      <c r="AI33" s="39">
        <v>11.4</v>
      </c>
      <c r="AJ33" s="40">
        <v>12.6</v>
      </c>
      <c r="AL33" s="740">
        <v>35.5</v>
      </c>
      <c r="AM33" s="740">
        <v>40</v>
      </c>
    </row>
    <row r="34" spans="1:39" ht="20.100000000000001" customHeight="1">
      <c r="A34" s="36"/>
      <c r="B34" s="67" t="s">
        <v>897</v>
      </c>
      <c r="C34" s="20" t="s">
        <v>898</v>
      </c>
      <c r="D34" s="20"/>
      <c r="E34" s="20"/>
      <c r="F34" s="20"/>
      <c r="G34" s="20"/>
      <c r="H34" s="67" t="s">
        <v>160</v>
      </c>
      <c r="I34" s="481">
        <f>I29*1000*9.81</f>
        <v>61312.5</v>
      </c>
      <c r="J34" s="304"/>
      <c r="L34" s="413" t="str">
        <f t="shared" si="1"/>
        <v xml:space="preserve"> </v>
      </c>
      <c r="M34" s="2554">
        <v>56</v>
      </c>
      <c r="N34" s="2554">
        <v>63</v>
      </c>
      <c r="O34" s="2554">
        <v>0.91</v>
      </c>
      <c r="P34" s="413" t="str">
        <f t="shared" ref="P34:P44" si="5">IFERROR(IF($I$36=Q34,"→"," "),"")</f>
        <v xml:space="preserve"> </v>
      </c>
      <c r="Q34" s="29">
        <v>63</v>
      </c>
      <c r="R34" s="143" t="s">
        <v>899</v>
      </c>
      <c r="S34" s="143">
        <v>63</v>
      </c>
      <c r="T34" s="143">
        <v>31.16</v>
      </c>
      <c r="V34" s="20"/>
      <c r="Y34" s="245" t="s">
        <v>2653</v>
      </c>
      <c r="Z34" s="245" t="s">
        <v>2654</v>
      </c>
      <c r="AA34" s="2551">
        <v>56</v>
      </c>
      <c r="AB34" s="143">
        <v>63</v>
      </c>
      <c r="AC34" s="143">
        <v>0.91</v>
      </c>
      <c r="AF34" s="39">
        <v>48.8</v>
      </c>
      <c r="AG34" s="40">
        <v>53.7</v>
      </c>
      <c r="AH34" s="19"/>
      <c r="AI34" s="39">
        <v>12.6</v>
      </c>
      <c r="AJ34" s="40">
        <v>14</v>
      </c>
      <c r="AL34" s="740">
        <v>40</v>
      </c>
      <c r="AM34" s="740">
        <v>45</v>
      </c>
    </row>
    <row r="35" spans="1:39" ht="20.100000000000001" customHeight="1">
      <c r="A35" s="36"/>
      <c r="B35" s="67" t="s">
        <v>422</v>
      </c>
      <c r="C35" s="137" t="s">
        <v>900</v>
      </c>
      <c r="D35" s="137"/>
      <c r="E35" s="137"/>
      <c r="F35" s="137"/>
      <c r="G35" s="19" t="str">
        <f>'E Data'!E25</f>
        <v>M5</v>
      </c>
      <c r="H35" s="67"/>
      <c r="I35" s="59">
        <f>'E Data'!D26</f>
        <v>1.25</v>
      </c>
      <c r="J35" s="304"/>
      <c r="L35" s="413" t="str">
        <f t="shared" si="1"/>
        <v xml:space="preserve"> </v>
      </c>
      <c r="M35" s="2554">
        <v>63</v>
      </c>
      <c r="N35" s="2554">
        <v>71</v>
      </c>
      <c r="O35" s="2554">
        <v>0.89</v>
      </c>
      <c r="P35" s="413" t="str">
        <f t="shared" si="5"/>
        <v xml:space="preserve"> </v>
      </c>
      <c r="Q35" s="29">
        <v>30</v>
      </c>
      <c r="R35" s="143" t="s">
        <v>901</v>
      </c>
      <c r="S35" s="143">
        <v>33.200000000000003</v>
      </c>
      <c r="T35" s="143">
        <v>14.86</v>
      </c>
      <c r="V35" s="20"/>
      <c r="Y35" s="29" t="s">
        <v>79</v>
      </c>
      <c r="Z35" s="29">
        <v>1.1200000000000001</v>
      </c>
      <c r="AA35" s="2551">
        <v>63</v>
      </c>
      <c r="AB35" s="143">
        <v>71</v>
      </c>
      <c r="AC35" s="143">
        <v>0.89</v>
      </c>
      <c r="AF35" s="39">
        <v>53.7</v>
      </c>
      <c r="AG35" s="40">
        <v>58.1</v>
      </c>
      <c r="AH35" s="19"/>
      <c r="AI35" s="39">
        <v>14</v>
      </c>
      <c r="AJ35" s="40">
        <v>15.4</v>
      </c>
      <c r="AL35" s="740">
        <v>45</v>
      </c>
      <c r="AM35" s="740">
        <v>50</v>
      </c>
    </row>
    <row r="36" spans="1:39" ht="20.100000000000001" customHeight="1">
      <c r="A36" s="36"/>
      <c r="B36" s="67"/>
      <c r="C36" s="20" t="s">
        <v>902</v>
      </c>
      <c r="D36" s="20"/>
      <c r="E36" s="20"/>
      <c r="F36" s="20"/>
      <c r="G36" s="20"/>
      <c r="I36" s="205">
        <f>+'E Data'!D47</f>
        <v>50</v>
      </c>
      <c r="J36" s="1041" t="str">
        <f>VLOOKUP(I36,Q32:R44,2,FALSE)</f>
        <v>50mm Sq. Bar</v>
      </c>
      <c r="K36" s="489" t="str">
        <f>HYPERLINK("\\Manish-pc\e\03 General\Manish\Selection\IS\IS 3443-1980_Rail.pdf","IS : 3443-1980_Rail")</f>
        <v>IS : 3443-1980_Rail</v>
      </c>
      <c r="L36" s="413" t="str">
        <f t="shared" si="1"/>
        <v xml:space="preserve"> </v>
      </c>
      <c r="M36" s="2554">
        <v>71</v>
      </c>
      <c r="N36" s="2554">
        <v>80</v>
      </c>
      <c r="O36" s="2554">
        <v>0.87</v>
      </c>
      <c r="P36" s="413" t="str">
        <f t="shared" si="5"/>
        <v xml:space="preserve"> </v>
      </c>
      <c r="Q36" s="29">
        <v>60</v>
      </c>
      <c r="R36" s="143" t="s">
        <v>903</v>
      </c>
      <c r="S36" s="143">
        <v>44.44</v>
      </c>
      <c r="T36" s="143">
        <v>29.76</v>
      </c>
      <c r="V36" s="20"/>
      <c r="Y36" s="29" t="s">
        <v>81</v>
      </c>
      <c r="Z36" s="29">
        <v>1.1200000000000001</v>
      </c>
      <c r="AA36" s="2551">
        <v>71</v>
      </c>
      <c r="AB36" s="143">
        <v>80</v>
      </c>
      <c r="AC36" s="143">
        <v>0.87</v>
      </c>
      <c r="AF36" s="39">
        <v>58.1</v>
      </c>
      <c r="AG36" s="40">
        <v>63.4</v>
      </c>
      <c r="AH36" s="19"/>
      <c r="AI36" s="39">
        <v>15.4</v>
      </c>
      <c r="AJ36" s="40">
        <v>17.100000000000001</v>
      </c>
      <c r="AL36" s="740">
        <v>50</v>
      </c>
      <c r="AM36" s="740">
        <v>56</v>
      </c>
    </row>
    <row r="37" spans="1:39" ht="20.100000000000001" customHeight="1">
      <c r="A37" s="36"/>
      <c r="B37" s="67" t="s">
        <v>904</v>
      </c>
      <c r="C37" s="20" t="s">
        <v>905</v>
      </c>
      <c r="D37" s="20"/>
      <c r="E37" s="20"/>
      <c r="F37" s="20"/>
      <c r="G37" s="59">
        <f>VLOOKUP(I36,Q32:T44,4,FALSE)</f>
        <v>19.62</v>
      </c>
      <c r="H37" s="43" t="s">
        <v>160</v>
      </c>
      <c r="I37" s="654">
        <f>VLOOKUP(J36,R32:T44,2,FALSE)</f>
        <v>50</v>
      </c>
      <c r="J37" s="304"/>
      <c r="L37" s="413" t="str">
        <f t="shared" si="1"/>
        <v xml:space="preserve"> </v>
      </c>
      <c r="M37" s="2554">
        <v>80</v>
      </c>
      <c r="N37" s="2554">
        <v>90</v>
      </c>
      <c r="O37" s="2554">
        <v>0.84</v>
      </c>
      <c r="P37" s="413" t="str">
        <f t="shared" si="5"/>
        <v xml:space="preserve"> </v>
      </c>
      <c r="Q37" s="29">
        <v>90</v>
      </c>
      <c r="R37" s="143" t="s">
        <v>906</v>
      </c>
      <c r="S37" s="143">
        <v>49.75</v>
      </c>
      <c r="T37" s="143">
        <v>44.65</v>
      </c>
      <c r="V37" s="20"/>
      <c r="Y37" s="29" t="s">
        <v>36</v>
      </c>
      <c r="Z37" s="29">
        <v>1.1200000000000001</v>
      </c>
      <c r="AA37" s="2551">
        <v>80</v>
      </c>
      <c r="AB37" s="143">
        <v>90</v>
      </c>
      <c r="AC37" s="143">
        <v>0.84</v>
      </c>
      <c r="AF37" s="39">
        <v>63.4</v>
      </c>
      <c r="AG37" s="40">
        <v>68.3</v>
      </c>
      <c r="AH37" s="19"/>
      <c r="AI37" s="39">
        <v>17.100000000000001</v>
      </c>
      <c r="AJ37" s="40">
        <v>18.899999999999999</v>
      </c>
      <c r="AL37" s="740">
        <v>56</v>
      </c>
      <c r="AM37" s="740">
        <v>63</v>
      </c>
    </row>
    <row r="38" spans="1:39" ht="20.100000000000001" customHeight="1">
      <c r="A38" s="36"/>
      <c r="B38" s="67"/>
      <c r="C38" s="20" t="s">
        <v>907</v>
      </c>
      <c r="D38" s="20" t="s">
        <v>908</v>
      </c>
      <c r="E38" s="20"/>
      <c r="F38" s="20"/>
      <c r="G38" s="634"/>
      <c r="H38" s="67" t="s">
        <v>909</v>
      </c>
      <c r="I38" s="2421"/>
      <c r="J38" s="339"/>
      <c r="L38" s="1043"/>
      <c r="M38" s="2554">
        <v>90</v>
      </c>
      <c r="N38" s="2554">
        <v>100</v>
      </c>
      <c r="O38" s="2554">
        <v>0.82</v>
      </c>
      <c r="P38" s="413" t="str">
        <f t="shared" si="5"/>
        <v xml:space="preserve"> </v>
      </c>
      <c r="Q38" s="29">
        <v>105</v>
      </c>
      <c r="R38" s="143" t="s">
        <v>910</v>
      </c>
      <c r="S38" s="143">
        <v>54.34</v>
      </c>
      <c r="T38" s="143">
        <v>52</v>
      </c>
      <c r="V38" s="20"/>
      <c r="Y38" s="29" t="s">
        <v>82</v>
      </c>
      <c r="Z38" s="29">
        <v>1.1200000000000001</v>
      </c>
      <c r="AA38" s="2551">
        <v>90</v>
      </c>
      <c r="AB38" s="143">
        <v>100</v>
      </c>
      <c r="AC38" s="143">
        <v>0.82</v>
      </c>
      <c r="AF38" s="39">
        <v>68.3</v>
      </c>
      <c r="AG38" s="40">
        <v>73.7</v>
      </c>
      <c r="AH38" s="19"/>
      <c r="AI38" s="185">
        <v>18.899999999999999</v>
      </c>
      <c r="AJ38" s="40">
        <v>20.9</v>
      </c>
      <c r="AL38" s="740">
        <v>63</v>
      </c>
      <c r="AM38" s="740">
        <v>71</v>
      </c>
    </row>
    <row r="39" spans="1:39" ht="20.100000000000001" customHeight="1">
      <c r="A39" s="36"/>
      <c r="B39" s="67"/>
      <c r="C39" s="20"/>
      <c r="D39" s="20" t="s">
        <v>911</v>
      </c>
      <c r="E39" s="20"/>
      <c r="F39" s="20"/>
      <c r="G39" s="20"/>
      <c r="H39" s="67" t="s">
        <v>909</v>
      </c>
      <c r="I39" s="2421"/>
      <c r="J39" s="339"/>
      <c r="L39" s="1043"/>
      <c r="M39" s="2554">
        <v>100</v>
      </c>
      <c r="N39" s="2554">
        <v>112</v>
      </c>
      <c r="O39" s="2554">
        <v>0.79</v>
      </c>
      <c r="P39" s="413" t="str">
        <f t="shared" si="5"/>
        <v xml:space="preserve"> </v>
      </c>
      <c r="Q39" s="29">
        <v>80</v>
      </c>
      <c r="R39" s="143" t="s">
        <v>912</v>
      </c>
      <c r="S39" s="143">
        <v>69.3</v>
      </c>
      <c r="T39" s="143">
        <v>64</v>
      </c>
      <c r="V39" s="20"/>
      <c r="Y39" s="29" t="s">
        <v>40</v>
      </c>
      <c r="Z39" s="29">
        <v>1</v>
      </c>
      <c r="AA39" s="2551">
        <v>100</v>
      </c>
      <c r="AB39" s="143">
        <v>112</v>
      </c>
      <c r="AC39" s="143">
        <v>0.79</v>
      </c>
      <c r="AF39" s="39">
        <v>73.7</v>
      </c>
      <c r="AG39" s="40">
        <v>78.2</v>
      </c>
      <c r="AH39" s="19"/>
      <c r="AI39" s="39">
        <v>20.9</v>
      </c>
      <c r="AJ39" s="40">
        <v>23.2</v>
      </c>
      <c r="AL39" s="740">
        <v>71</v>
      </c>
      <c r="AM39" s="740">
        <v>80</v>
      </c>
    </row>
    <row r="40" spans="1:39" ht="20.100000000000001" customHeight="1">
      <c r="A40" s="36"/>
      <c r="B40" s="67" t="s">
        <v>913</v>
      </c>
      <c r="C40" s="20" t="s">
        <v>914</v>
      </c>
      <c r="D40" s="20"/>
      <c r="E40" s="20"/>
      <c r="F40" s="20"/>
      <c r="G40" s="20"/>
      <c r="H40" s="67" t="s">
        <v>160</v>
      </c>
      <c r="I40" s="19">
        <v>1</v>
      </c>
      <c r="J40" s="304"/>
      <c r="L40" s="1043"/>
      <c r="M40" s="2554">
        <v>112</v>
      </c>
      <c r="N40" s="2554">
        <v>125</v>
      </c>
      <c r="O40" s="2554">
        <v>0.77</v>
      </c>
      <c r="P40" s="413" t="str">
        <f t="shared" si="5"/>
        <v xml:space="preserve"> </v>
      </c>
      <c r="Q40" s="29">
        <v>100</v>
      </c>
      <c r="R40" s="143" t="s">
        <v>915</v>
      </c>
      <c r="S40" s="143">
        <v>89.33</v>
      </c>
      <c r="T40" s="143">
        <v>90</v>
      </c>
      <c r="V40" s="20"/>
      <c r="Y40" s="29" t="s">
        <v>85</v>
      </c>
      <c r="Z40" s="2558">
        <v>0.9</v>
      </c>
      <c r="AA40" s="2551">
        <v>112</v>
      </c>
      <c r="AB40" s="143">
        <v>125</v>
      </c>
      <c r="AC40" s="143">
        <v>0.77</v>
      </c>
      <c r="AF40" s="39">
        <v>78.2</v>
      </c>
      <c r="AG40" s="40">
        <v>83.3</v>
      </c>
      <c r="AH40" s="19"/>
      <c r="AI40" s="39">
        <v>23.2</v>
      </c>
      <c r="AJ40" s="40">
        <v>25.6</v>
      </c>
      <c r="AL40" s="740">
        <v>80</v>
      </c>
      <c r="AM40" s="740">
        <v>90</v>
      </c>
    </row>
    <row r="41" spans="1:39" ht="20.100000000000001" customHeight="1">
      <c r="A41" s="36"/>
      <c r="B41" s="67"/>
      <c r="C41" s="20" t="s">
        <v>916</v>
      </c>
      <c r="D41" s="20"/>
      <c r="E41" s="20"/>
      <c r="F41" s="20"/>
      <c r="G41" s="1044"/>
      <c r="H41" s="1045"/>
      <c r="I41" s="19"/>
      <c r="J41" s="784"/>
      <c r="L41" s="1043"/>
      <c r="M41" s="2554">
        <v>125</v>
      </c>
      <c r="N41" s="2554">
        <v>160</v>
      </c>
      <c r="O41" s="2554">
        <v>0.72</v>
      </c>
      <c r="P41" s="413" t="str">
        <f t="shared" si="5"/>
        <v xml:space="preserve"> </v>
      </c>
      <c r="Q41" s="29">
        <v>120</v>
      </c>
      <c r="R41" s="29" t="s">
        <v>917</v>
      </c>
      <c r="S41" s="29">
        <v>109.33</v>
      </c>
      <c r="T41" s="143">
        <v>120</v>
      </c>
      <c r="V41" s="20"/>
      <c r="Y41" s="29" t="s">
        <v>44</v>
      </c>
      <c r="Z41" s="2558">
        <v>0.8</v>
      </c>
      <c r="AA41" s="2551">
        <v>125</v>
      </c>
      <c r="AB41" s="143">
        <v>160</v>
      </c>
      <c r="AC41" s="143">
        <v>0.72</v>
      </c>
      <c r="AF41" s="39">
        <v>83.3</v>
      </c>
      <c r="AG41" s="40">
        <v>88.2</v>
      </c>
      <c r="AH41" s="19"/>
      <c r="AI41" s="39">
        <v>25.6</v>
      </c>
      <c r="AJ41" s="40">
        <v>28.4</v>
      </c>
      <c r="AL41" s="740">
        <v>90</v>
      </c>
      <c r="AM41" s="740">
        <v>100</v>
      </c>
    </row>
    <row r="42" spans="1:39" ht="20.100000000000001" customHeight="1">
      <c r="A42" s="36"/>
      <c r="B42" s="67"/>
      <c r="C42" s="20"/>
      <c r="D42" s="20"/>
      <c r="E42" s="20"/>
      <c r="F42" s="31"/>
      <c r="G42" s="1046"/>
      <c r="H42" s="1047" t="s">
        <v>918</v>
      </c>
      <c r="I42" s="980">
        <f>VLOOKUP(I36,Q16:R28,2,0)</f>
        <v>190</v>
      </c>
      <c r="J42" s="468"/>
      <c r="L42" s="1043"/>
      <c r="M42" s="2554">
        <v>160</v>
      </c>
      <c r="N42" s="2554">
        <v>200</v>
      </c>
      <c r="O42" s="2554">
        <v>0.66</v>
      </c>
      <c r="P42" s="413" t="str">
        <f t="shared" si="5"/>
        <v xml:space="preserve"> </v>
      </c>
      <c r="Q42" s="29" t="s">
        <v>878</v>
      </c>
      <c r="R42" s="143" t="s">
        <v>919</v>
      </c>
      <c r="S42" s="143">
        <v>60</v>
      </c>
      <c r="T42" s="143">
        <f>0.06*0.05*7850</f>
        <v>23.55</v>
      </c>
      <c r="U42" s="145" t="s">
        <v>876</v>
      </c>
      <c r="V42" s="20"/>
      <c r="Y42" s="29" t="s">
        <v>48</v>
      </c>
      <c r="Z42" s="2558">
        <v>0.8</v>
      </c>
      <c r="AA42" s="2551">
        <v>160</v>
      </c>
      <c r="AB42" s="143">
        <v>200</v>
      </c>
      <c r="AC42" s="143">
        <v>0.66</v>
      </c>
      <c r="AF42" s="39">
        <v>88.2</v>
      </c>
      <c r="AG42" s="40">
        <v>92.9</v>
      </c>
      <c r="AH42" s="19"/>
      <c r="AI42" s="39">
        <v>28.4</v>
      </c>
      <c r="AJ42" s="40">
        <v>31.4</v>
      </c>
      <c r="AL42" s="740">
        <v>100</v>
      </c>
      <c r="AM42" s="740">
        <v>112</v>
      </c>
    </row>
    <row r="43" spans="1:39" ht="20.100000000000001" customHeight="1">
      <c r="A43" s="36"/>
      <c r="B43" s="67" t="s">
        <v>920</v>
      </c>
      <c r="C43" s="20" t="s">
        <v>921</v>
      </c>
      <c r="D43" s="20"/>
      <c r="E43" s="20"/>
      <c r="F43" s="20"/>
      <c r="G43" s="20"/>
      <c r="H43" s="67" t="s">
        <v>160</v>
      </c>
      <c r="I43" s="737">
        <v>6.7</v>
      </c>
      <c r="J43" s="304"/>
      <c r="L43" s="1043"/>
      <c r="M43" s="2555">
        <f>VLOOKUP(I45,M14:M42,1)</f>
        <v>18</v>
      </c>
      <c r="N43" s="2555">
        <f>VLOOKUP(M43,M14:N42,2,0)</f>
        <v>20</v>
      </c>
      <c r="O43" s="7">
        <f>VLOOKUP(N44,N14:O42,2,0)</f>
        <v>1.06</v>
      </c>
      <c r="P43" s="413" t="str">
        <f t="shared" si="5"/>
        <v xml:space="preserve"> </v>
      </c>
      <c r="Q43" s="29">
        <v>10000</v>
      </c>
      <c r="R43" s="29"/>
      <c r="S43" s="29"/>
      <c r="T43" s="29"/>
      <c r="U43" s="131"/>
      <c r="V43" s="20"/>
      <c r="X43" s="17"/>
      <c r="Y43" s="2559" t="str">
        <f>G35</f>
        <v>M5</v>
      </c>
      <c r="Z43" s="2560">
        <f>VLOOKUP(Y43,Y35:Z42,2,0)</f>
        <v>1</v>
      </c>
      <c r="AA43" s="145">
        <f>VLOOKUP(I45,AA14:AA42,1)</f>
        <v>18</v>
      </c>
      <c r="AB43" s="145">
        <f>VLOOKUP(AA43,AA14:AB42,2,0)</f>
        <v>20</v>
      </c>
      <c r="AC43" s="2552">
        <f>VLOOKUP(AB44,AB14:AC42,2,0)</f>
        <v>1.06</v>
      </c>
      <c r="AF43" s="39">
        <v>92.9</v>
      </c>
      <c r="AG43" s="40">
        <v>97.1</v>
      </c>
      <c r="AH43" s="19"/>
      <c r="AI43" s="39">
        <v>31.4</v>
      </c>
      <c r="AJ43" s="40">
        <v>34.700000000000003</v>
      </c>
      <c r="AL43" s="740">
        <v>112</v>
      </c>
      <c r="AM43" s="740">
        <v>125</v>
      </c>
    </row>
    <row r="44" spans="1:39" ht="20.100000000000001" customHeight="1">
      <c r="A44" s="36"/>
      <c r="B44" s="67"/>
      <c r="C44" s="20"/>
      <c r="D44" s="20"/>
      <c r="E44" s="20"/>
      <c r="F44" s="20"/>
      <c r="G44" s="20"/>
      <c r="H44" s="67"/>
      <c r="I44" s="737"/>
      <c r="J44" s="304"/>
      <c r="L44" s="118"/>
      <c r="M44" s="2554">
        <f>IFERROR(VLOOKUP(I45,N14:N42,1,0),0)</f>
        <v>0</v>
      </c>
      <c r="N44" s="2555">
        <f>IF(M44&gt;0,M44,N43)</f>
        <v>20</v>
      </c>
      <c r="O44" s="2554"/>
      <c r="P44" s="413" t="str">
        <f t="shared" si="5"/>
        <v xml:space="preserve"> </v>
      </c>
      <c r="Q44" s="29"/>
      <c r="R44" s="29"/>
      <c r="S44" s="29"/>
      <c r="T44" s="29"/>
      <c r="U44" s="131"/>
      <c r="V44" s="20"/>
      <c r="AA44" s="143">
        <f>IFERROR(VLOOKUP(I45,AB14:AB42,1,0),0)</f>
        <v>0</v>
      </c>
      <c r="AB44" s="145">
        <f>IF(AA44&gt;0,AA44,AB43)</f>
        <v>20</v>
      </c>
      <c r="AC44" s="143" t="s">
        <v>2652</v>
      </c>
      <c r="AF44" s="39">
        <v>97.1</v>
      </c>
      <c r="AG44" s="40">
        <v>107.9</v>
      </c>
      <c r="AH44" s="19"/>
      <c r="AI44" s="39">
        <v>34.700000000000003</v>
      </c>
      <c r="AJ44" s="40">
        <v>38.4</v>
      </c>
      <c r="AL44" s="740">
        <v>125</v>
      </c>
      <c r="AM44" s="740">
        <v>140</v>
      </c>
    </row>
    <row r="45" spans="1:39" ht="20.100000000000001" customHeight="1">
      <c r="A45" s="36"/>
      <c r="B45" s="67"/>
      <c r="C45" s="20"/>
      <c r="D45" s="20"/>
      <c r="E45" s="20"/>
      <c r="F45" s="20"/>
      <c r="G45" s="1046"/>
      <c r="H45" s="43" t="s">
        <v>649</v>
      </c>
      <c r="I45" s="697">
        <f>CT_HP!I20/(3.1416*I49/1000)</f>
        <v>19.894321364909601</v>
      </c>
      <c r="J45" s="304"/>
      <c r="K45" s="391" t="str">
        <f>HYPERLINK("\\Manish-pc\e\03 General\Manish\Selection\Wheel_Selection.xls","Wheel Load")</f>
        <v>Wheel Load</v>
      </c>
      <c r="L45" s="981"/>
      <c r="U45" s="333"/>
      <c r="V45" s="20"/>
      <c r="AB45" s="20"/>
      <c r="AC45" s="20"/>
      <c r="AF45" s="39">
        <v>107.9</v>
      </c>
      <c r="AG45" s="40">
        <v>120.7</v>
      </c>
      <c r="AH45" s="19"/>
      <c r="AI45" s="39">
        <v>38.4</v>
      </c>
      <c r="AJ45" s="40">
        <v>42.5</v>
      </c>
      <c r="AL45" s="740">
        <v>140</v>
      </c>
      <c r="AM45" s="740">
        <v>160</v>
      </c>
    </row>
    <row r="46" spans="1:39" ht="20.100000000000001" customHeight="1">
      <c r="A46" s="36"/>
      <c r="B46" s="67" t="s">
        <v>922</v>
      </c>
      <c r="C46" s="20" t="s">
        <v>923</v>
      </c>
      <c r="D46" s="20"/>
      <c r="E46" s="20"/>
      <c r="F46" s="20"/>
      <c r="G46" s="20"/>
      <c r="H46" s="43" t="s">
        <v>160</v>
      </c>
      <c r="I46" s="59">
        <f>O43</f>
        <v>1.06</v>
      </c>
      <c r="J46" s="304"/>
      <c r="K46" s="1057">
        <f>I29</f>
        <v>6.25</v>
      </c>
      <c r="O46" s="2561" t="s">
        <v>271</v>
      </c>
      <c r="AF46" s="39">
        <v>120.7</v>
      </c>
      <c r="AG46" s="40">
        <v>129.80000000000001</v>
      </c>
      <c r="AH46" s="19"/>
      <c r="AI46" s="39">
        <v>42.5</v>
      </c>
      <c r="AJ46" s="40">
        <v>47.1</v>
      </c>
      <c r="AL46" s="740">
        <v>160</v>
      </c>
      <c r="AM46" s="740">
        <v>180</v>
      </c>
    </row>
    <row r="47" spans="1:39" ht="20.100000000000001" customHeight="1">
      <c r="A47" s="36"/>
      <c r="B47" s="20"/>
      <c r="C47" s="20"/>
      <c r="D47" s="20"/>
      <c r="E47" s="20"/>
      <c r="F47" s="20"/>
      <c r="G47" s="20"/>
      <c r="H47" s="20"/>
      <c r="I47" s="59"/>
      <c r="J47" s="20"/>
      <c r="K47" s="140" t="str">
        <f>HYPERLINK("\\Manish-pc\e\03 General\Manish\Selection\Price_Sheet_2013.pdf","Price Sheet")</f>
        <v>Price Sheet</v>
      </c>
      <c r="L47" s="140" t="str">
        <f>HYPERLINK("\\Manish-pc\e\03 General\Manish\Selection\Weight.pdf","Weight")</f>
        <v>Weight</v>
      </c>
      <c r="O47" s="2561">
        <f>CT_HP!I35</f>
        <v>0.7475763842813713</v>
      </c>
      <c r="P47" s="2554" t="s">
        <v>811</v>
      </c>
      <c r="R47" s="20"/>
      <c r="S47" s="333"/>
      <c r="T47" s="1058" t="str">
        <f>Tech!G115</f>
        <v>Right</v>
      </c>
      <c r="V47" s="20"/>
      <c r="AB47" s="20"/>
      <c r="AC47" s="20"/>
      <c r="AF47" s="39">
        <v>129.80000000000001</v>
      </c>
      <c r="AG47" s="40">
        <v>140.1</v>
      </c>
      <c r="AH47" s="19"/>
      <c r="AI47" s="39">
        <v>47.1</v>
      </c>
      <c r="AJ47" s="40">
        <v>52.1</v>
      </c>
      <c r="AL47" s="740">
        <v>180</v>
      </c>
      <c r="AM47" s="740">
        <v>200</v>
      </c>
    </row>
    <row r="48" spans="1:39" ht="20.100000000000001" customHeight="1">
      <c r="A48" s="36"/>
      <c r="B48" s="67" t="s">
        <v>924</v>
      </c>
      <c r="C48" s="20" t="s">
        <v>925</v>
      </c>
      <c r="D48" s="182"/>
      <c r="E48" s="182"/>
      <c r="F48" s="182"/>
      <c r="G48" s="20"/>
      <c r="H48" s="67" t="s">
        <v>160</v>
      </c>
      <c r="I48" s="1258">
        <f>(I34*I35*I40)/(1.5*I37*I43*I46)</f>
        <v>143.88552520416783</v>
      </c>
      <c r="K48" s="1059">
        <f>Selection!C37</f>
        <v>14475</v>
      </c>
      <c r="L48" s="145">
        <f>Selection!C38</f>
        <v>386</v>
      </c>
      <c r="N48" s="2563" t="s">
        <v>926</v>
      </c>
      <c r="O48" s="2562">
        <f>I45*0.9</f>
        <v>17.904889228418643</v>
      </c>
      <c r="P48" s="2562">
        <f>'E Data'!D38</f>
        <v>20</v>
      </c>
      <c r="R48" s="754" t="s">
        <v>107</v>
      </c>
      <c r="S48" s="754" t="s">
        <v>1093</v>
      </c>
      <c r="T48" s="754" t="s">
        <v>1140</v>
      </c>
      <c r="V48" s="20"/>
      <c r="AB48" s="20"/>
      <c r="AC48" s="20"/>
      <c r="AF48" s="39">
        <v>140.1</v>
      </c>
      <c r="AG48" s="40">
        <v>151.30000000000001</v>
      </c>
      <c r="AH48" s="19"/>
      <c r="AI48" s="39">
        <v>52.1</v>
      </c>
      <c r="AJ48" s="40">
        <v>57.7</v>
      </c>
      <c r="AL48" s="740">
        <v>200</v>
      </c>
      <c r="AM48" s="740">
        <v>224</v>
      </c>
    </row>
    <row r="49" spans="1:39" ht="20.100000000000001" customHeight="1">
      <c r="A49" s="36"/>
      <c r="B49" s="67"/>
      <c r="C49" s="20" t="s">
        <v>927</v>
      </c>
      <c r="D49" s="182"/>
      <c r="E49" s="182"/>
      <c r="F49" s="182"/>
      <c r="G49" s="20"/>
      <c r="H49" s="67" t="s">
        <v>160</v>
      </c>
      <c r="I49" s="72">
        <f>V15</f>
        <v>320</v>
      </c>
      <c r="J49" s="304"/>
      <c r="K49" s="334" t="str">
        <f>IF(I48&lt;I49,"Right","Wrong")</f>
        <v>Right</v>
      </c>
      <c r="N49" s="2562">
        <f>I45</f>
        <v>19.894321364909601</v>
      </c>
      <c r="O49" s="2562">
        <f>I45*1.1</f>
        <v>21.883753501400562</v>
      </c>
      <c r="R49" s="53"/>
      <c r="S49" s="757"/>
      <c r="T49" s="1060" t="str">
        <f>Tech!G133</f>
        <v>Right</v>
      </c>
      <c r="V49" s="20"/>
      <c r="AB49" s="20"/>
      <c r="AC49" s="20"/>
      <c r="AF49" s="39">
        <v>151.30000000000001</v>
      </c>
      <c r="AG49" s="40">
        <v>162.68</v>
      </c>
      <c r="AH49" s="19"/>
      <c r="AI49" s="39">
        <v>57.7</v>
      </c>
      <c r="AJ49" s="40">
        <v>63.8</v>
      </c>
      <c r="AL49" s="740">
        <v>224</v>
      </c>
      <c r="AM49" s="740">
        <v>250</v>
      </c>
    </row>
    <row r="50" spans="1:39" ht="20.100000000000001" customHeight="1" thickBot="1">
      <c r="A50" s="394"/>
      <c r="B50" s="1061"/>
      <c r="C50" s="135"/>
      <c r="D50" s="135"/>
      <c r="E50" s="135"/>
      <c r="F50" s="135"/>
      <c r="G50" s="135"/>
      <c r="H50" s="135"/>
      <c r="I50" s="135"/>
      <c r="J50" s="1062">
        <f>I34/(Z43*AC43*6.5*I37)</f>
        <v>177.97532656023222</v>
      </c>
      <c r="K50" s="22" t="s">
        <v>2651</v>
      </c>
      <c r="L50" s="1063" t="str">
        <f>T47</f>
        <v>Right</v>
      </c>
      <c r="Q50" s="59"/>
      <c r="R50" s="53" t="s">
        <v>1488</v>
      </c>
      <c r="S50" s="80" t="s">
        <v>991</v>
      </c>
      <c r="T50" s="53" t="str">
        <f>Tech!G119</f>
        <v>Right</v>
      </c>
      <c r="V50" s="20"/>
      <c r="AB50" s="20"/>
      <c r="AC50" s="20"/>
      <c r="AF50" s="39">
        <v>162.68</v>
      </c>
      <c r="AG50" s="40">
        <v>165.9</v>
      </c>
      <c r="AH50" s="19"/>
      <c r="AI50" s="39">
        <v>63.8</v>
      </c>
      <c r="AJ50" s="40">
        <v>70.599999999999994</v>
      </c>
      <c r="AL50" s="740">
        <v>250</v>
      </c>
      <c r="AM50" s="275">
        <v>280</v>
      </c>
    </row>
    <row r="51" spans="1:39">
      <c r="A51" s="3847" t="s">
        <v>1</v>
      </c>
      <c r="B51" s="3695"/>
      <c r="C51" s="3695"/>
      <c r="D51" s="3745"/>
      <c r="E51" s="3790" t="s">
        <v>109</v>
      </c>
      <c r="F51" s="3791"/>
      <c r="G51" s="3791"/>
      <c r="H51" s="3855" t="s">
        <v>2</v>
      </c>
      <c r="I51" s="3799"/>
      <c r="J51" s="3800"/>
      <c r="L51" s="22" t="s">
        <v>928</v>
      </c>
      <c r="R51" s="53" t="s">
        <v>1489</v>
      </c>
      <c r="S51" s="80" t="s">
        <v>1490</v>
      </c>
      <c r="T51" s="53" t="str">
        <f>Tech!G121</f>
        <v>Right</v>
      </c>
      <c r="V51" s="17"/>
      <c r="W51" s="17"/>
      <c r="X51" s="17"/>
      <c r="Y51" s="17"/>
      <c r="Z51" s="17"/>
      <c r="AA51" s="17"/>
      <c r="AB51" s="17"/>
      <c r="AC51" s="17"/>
      <c r="AF51" s="39">
        <v>165.9</v>
      </c>
      <c r="AG51" s="40">
        <v>177.81</v>
      </c>
      <c r="AH51" s="19"/>
      <c r="AI51" s="39">
        <v>70.599999999999994</v>
      </c>
      <c r="AJ51" s="40">
        <v>78.2</v>
      </c>
      <c r="AL51" s="275">
        <v>280</v>
      </c>
      <c r="AM51" s="275">
        <v>315</v>
      </c>
    </row>
    <row r="52" spans="1:39" ht="14.65" thickBot="1">
      <c r="A52" s="3848" t="s">
        <v>2786</v>
      </c>
      <c r="B52" s="3791"/>
      <c r="C52" s="3791"/>
      <c r="D52" s="3792"/>
      <c r="E52" s="3790" t="str">
        <f>E2</f>
        <v xml:space="preserve">25/15T D/G EOT CRANE  </v>
      </c>
      <c r="F52" s="3791"/>
      <c r="G52" s="3791"/>
      <c r="H52" s="3849">
        <f>H2</f>
        <v>0</v>
      </c>
      <c r="I52" s="3850"/>
      <c r="J52" s="3851"/>
      <c r="L52" s="22" t="s">
        <v>929</v>
      </c>
      <c r="R52" s="53" t="s">
        <v>1491</v>
      </c>
      <c r="S52" s="80" t="s">
        <v>971</v>
      </c>
      <c r="T52" s="53" t="str">
        <f>Tech!G123</f>
        <v>Right</v>
      </c>
      <c r="V52" s="17"/>
      <c r="W52" s="17"/>
      <c r="X52" s="17"/>
      <c r="Y52" s="17"/>
      <c r="Z52" s="17"/>
      <c r="AA52" s="17"/>
      <c r="AB52" s="17"/>
      <c r="AC52" s="17"/>
      <c r="AF52" s="39">
        <v>177.81</v>
      </c>
      <c r="AG52" s="40">
        <v>190.4</v>
      </c>
      <c r="AH52" s="19"/>
      <c r="AI52" s="39">
        <v>78.2</v>
      </c>
      <c r="AJ52" s="40">
        <v>86.5</v>
      </c>
      <c r="AL52" s="275">
        <v>315</v>
      </c>
      <c r="AM52" s="275">
        <v>355</v>
      </c>
    </row>
    <row r="53" spans="1:39">
      <c r="A53" s="3844" t="e">
        <f>A3</f>
        <v>#REF!</v>
      </c>
      <c r="B53" s="3845"/>
      <c r="C53" s="3845"/>
      <c r="D53" s="3846"/>
      <c r="E53" s="3808" t="s">
        <v>122</v>
      </c>
      <c r="F53" s="3770"/>
      <c r="G53" s="3771"/>
      <c r="H53" s="3798" t="s">
        <v>930</v>
      </c>
      <c r="I53" s="3799"/>
      <c r="J53" s="3800"/>
      <c r="R53" s="53" t="s">
        <v>1492</v>
      </c>
      <c r="S53" s="80" t="s">
        <v>1493</v>
      </c>
      <c r="T53" s="53" t="str">
        <f>Tech!G125</f>
        <v>Right</v>
      </c>
      <c r="V53" s="17"/>
      <c r="W53" s="17"/>
      <c r="X53" s="17"/>
      <c r="Y53" s="17"/>
      <c r="AA53" s="17"/>
      <c r="AB53" s="17"/>
      <c r="AC53" s="17"/>
      <c r="AF53" s="39">
        <v>190.4</v>
      </c>
      <c r="AG53" s="40">
        <v>206.43</v>
      </c>
      <c r="AH53" s="19"/>
      <c r="AI53" s="39">
        <v>86.5</v>
      </c>
      <c r="AJ53" s="40">
        <v>95.7</v>
      </c>
      <c r="AL53" s="275">
        <v>355</v>
      </c>
      <c r="AM53" s="275">
        <v>400</v>
      </c>
    </row>
    <row r="54" spans="1:39" ht="14.65" thickBot="1">
      <c r="A54" s="313" t="str">
        <f>A4</f>
        <v>REV. NO.</v>
      </c>
      <c r="B54" s="19" t="e">
        <f>B4</f>
        <v>#REF!</v>
      </c>
      <c r="C54" s="19"/>
      <c r="D54" s="297"/>
      <c r="E54" s="3790" t="str">
        <f>E4</f>
        <v xml:space="preserve"> </v>
      </c>
      <c r="F54" s="3791"/>
      <c r="G54" s="3792"/>
      <c r="H54" s="3798"/>
      <c r="I54" s="3799"/>
      <c r="J54" s="3800"/>
      <c r="K54" s="146"/>
      <c r="N54" s="17"/>
      <c r="R54" s="53" t="s">
        <v>1494</v>
      </c>
      <c r="S54" s="80" t="s">
        <v>1496</v>
      </c>
      <c r="T54" s="53" t="str">
        <f>Tech!G127</f>
        <v>Right</v>
      </c>
      <c r="W54" s="17"/>
      <c r="X54" s="17"/>
      <c r="Y54" s="17"/>
      <c r="Z54" s="17"/>
      <c r="AA54" s="17"/>
      <c r="AB54" s="17"/>
      <c r="AC54" s="17"/>
      <c r="AF54" s="39">
        <v>206.43</v>
      </c>
      <c r="AG54" s="40">
        <v>223.8</v>
      </c>
      <c r="AH54" s="19"/>
      <c r="AI54" s="39">
        <v>95.7</v>
      </c>
      <c r="AJ54" s="40">
        <v>106</v>
      </c>
      <c r="AL54" s="275">
        <v>400</v>
      </c>
      <c r="AM54" s="275">
        <v>450</v>
      </c>
    </row>
    <row r="55" spans="1:39" ht="14.65" thickBot="1">
      <c r="A55" s="1064"/>
      <c r="B55" s="1065"/>
      <c r="C55" s="971"/>
      <c r="D55" s="971"/>
      <c r="E55" s="971"/>
      <c r="F55" s="971"/>
      <c r="G55" s="972"/>
      <c r="H55" s="1065"/>
      <c r="I55" s="972"/>
      <c r="J55" s="199"/>
      <c r="K55" s="31"/>
      <c r="L55" s="20"/>
      <c r="N55" s="17"/>
      <c r="O55" s="19"/>
      <c r="V55" s="17"/>
      <c r="Y55" s="17"/>
      <c r="Z55" s="17"/>
      <c r="AA55" s="17"/>
      <c r="AB55" s="17"/>
      <c r="AC55" s="17"/>
      <c r="AF55" s="767">
        <v>223.8</v>
      </c>
      <c r="AG55" s="768">
        <v>223.8</v>
      </c>
      <c r="AH55" s="19"/>
      <c r="AI55" s="39">
        <v>106</v>
      </c>
      <c r="AJ55" s="40">
        <v>117</v>
      </c>
      <c r="AK55" s="17"/>
      <c r="AL55" s="275">
        <v>450</v>
      </c>
      <c r="AM55" s="275">
        <v>500</v>
      </c>
    </row>
    <row r="56" spans="1:39" ht="14.65" thickBot="1">
      <c r="A56" s="36"/>
      <c r="B56" s="67"/>
      <c r="C56" s="182"/>
      <c r="D56" s="182"/>
      <c r="E56" s="182"/>
      <c r="F56" s="182"/>
      <c r="G56" s="20"/>
      <c r="H56" s="67"/>
      <c r="I56" s="20"/>
      <c r="J56" s="304"/>
      <c r="K56" s="20"/>
      <c r="L56" s="20"/>
      <c r="M56" s="20"/>
      <c r="N56" s="17"/>
      <c r="O56" s="19"/>
      <c r="R56" s="1066" t="s">
        <v>1503</v>
      </c>
      <c r="S56" s="190" t="str">
        <f>Tech!G134</f>
        <v>Gear Brake Motor</v>
      </c>
      <c r="T56" s="1060" t="str">
        <f>Tech!G148</f>
        <v>GB Calculation</v>
      </c>
      <c r="V56" s="17"/>
      <c r="Y56" s="17"/>
      <c r="Z56" s="17"/>
      <c r="AA56" s="17"/>
      <c r="AB56" s="17"/>
      <c r="AC56" s="17"/>
      <c r="AF56" s="769">
        <f>VLOOKUP(I68,AF25:AF55,1)</f>
        <v>68.3</v>
      </c>
      <c r="AG56" s="770">
        <f>VLOOKUP(AF56,AF25:AG55,2,0)</f>
        <v>73.7</v>
      </c>
      <c r="AH56" s="19"/>
      <c r="AI56" s="767">
        <v>117</v>
      </c>
      <c r="AJ56" s="768">
        <v>130</v>
      </c>
      <c r="AK56" s="17"/>
      <c r="AL56" s="275">
        <v>500</v>
      </c>
      <c r="AM56" s="275">
        <v>560</v>
      </c>
    </row>
    <row r="57" spans="1:39" ht="14.65" thickBot="1">
      <c r="A57" s="36"/>
      <c r="B57" s="67"/>
      <c r="C57" s="182"/>
      <c r="D57" s="182"/>
      <c r="E57" s="182"/>
      <c r="F57" s="182"/>
      <c r="G57" s="20"/>
      <c r="H57" s="67"/>
      <c r="I57" s="20"/>
      <c r="J57" s="304"/>
      <c r="M57" s="20"/>
      <c r="N57" s="20"/>
      <c r="O57" s="17"/>
      <c r="R57" s="53" t="s">
        <v>1500</v>
      </c>
      <c r="S57" s="80" t="s">
        <v>1320</v>
      </c>
      <c r="T57" s="53" t="str">
        <f>Tech!G136</f>
        <v>Right</v>
      </c>
      <c r="V57" s="17"/>
      <c r="Y57" s="17"/>
      <c r="Z57" s="17"/>
      <c r="AA57" s="17"/>
      <c r="AB57" s="17"/>
      <c r="AC57" s="17"/>
      <c r="AH57" s="19"/>
      <c r="AI57" s="769">
        <f>VLOOKUP(I68,AI25:AI56,1)</f>
        <v>70.599999999999994</v>
      </c>
      <c r="AJ57" s="770">
        <f>VLOOKUP(AI57,AI25:AJ56,2,0)</f>
        <v>78.2</v>
      </c>
      <c r="AK57" s="17"/>
      <c r="AL57" s="275">
        <v>560</v>
      </c>
      <c r="AM57" s="275">
        <v>630</v>
      </c>
    </row>
    <row r="58" spans="1:39">
      <c r="A58" s="305"/>
      <c r="B58" s="182" t="s">
        <v>931</v>
      </c>
      <c r="C58" s="20"/>
      <c r="D58" s="20"/>
      <c r="E58" s="20"/>
      <c r="F58" s="20"/>
      <c r="G58" s="20"/>
      <c r="H58" s="20"/>
      <c r="I58" s="20"/>
      <c r="J58" s="304"/>
      <c r="K58" s="20"/>
      <c r="L58" s="20"/>
      <c r="M58" s="20"/>
      <c r="N58" s="20"/>
      <c r="O58" s="17"/>
      <c r="R58" s="53" t="s">
        <v>1501</v>
      </c>
      <c r="S58" s="80" t="s">
        <v>1502</v>
      </c>
      <c r="T58" s="53" t="str">
        <f>Tech!G138</f>
        <v>GBC HP Wrong</v>
      </c>
      <c r="V58" s="17"/>
      <c r="Y58" s="17"/>
      <c r="Z58" s="17"/>
      <c r="AA58" s="17"/>
      <c r="AB58" s="17"/>
      <c r="AC58" s="17"/>
      <c r="AH58" s="19"/>
      <c r="AI58" s="19"/>
      <c r="AJ58" s="20"/>
      <c r="AK58" s="17"/>
      <c r="AL58" s="275">
        <v>630</v>
      </c>
      <c r="AM58" s="740">
        <v>630</v>
      </c>
    </row>
    <row r="59" spans="1:39" ht="14.65" thickBot="1">
      <c r="A59" s="36"/>
      <c r="B59" s="20" t="s">
        <v>933</v>
      </c>
      <c r="C59" s="20" t="s">
        <v>934</v>
      </c>
      <c r="D59" s="20"/>
      <c r="E59" s="20"/>
      <c r="F59" s="20"/>
      <c r="G59" s="20"/>
      <c r="H59" s="20"/>
      <c r="I59" s="20"/>
      <c r="J59" s="304"/>
      <c r="K59" s="20"/>
      <c r="M59" s="20"/>
      <c r="N59" s="20"/>
      <c r="O59" s="17"/>
      <c r="R59" s="53" t="s">
        <v>1504</v>
      </c>
      <c r="S59" s="80" t="s">
        <v>1505</v>
      </c>
      <c r="T59" s="53" t="str">
        <f>Tech!G140</f>
        <v>GB Frame Wrong</v>
      </c>
      <c r="V59" s="17"/>
      <c r="Y59" s="17"/>
      <c r="Z59" s="17"/>
      <c r="AA59" s="17"/>
      <c r="AB59" s="17"/>
      <c r="AC59" s="17"/>
      <c r="AF59" s="19"/>
      <c r="AG59" s="19"/>
      <c r="AH59" s="19"/>
      <c r="AI59" s="19"/>
      <c r="AJ59" s="19"/>
      <c r="AK59" s="17"/>
      <c r="AL59" s="773"/>
      <c r="AM59" s="282"/>
    </row>
    <row r="60" spans="1:39" ht="14.65" thickBot="1">
      <c r="A60" s="36"/>
      <c r="B60" s="20" t="s">
        <v>2745</v>
      </c>
      <c r="C60" s="20"/>
      <c r="D60" s="20"/>
      <c r="E60" s="20"/>
      <c r="F60" s="20"/>
      <c r="G60" s="20"/>
      <c r="H60" s="20"/>
      <c r="I60" s="20"/>
      <c r="J60" s="304"/>
      <c r="K60" s="20"/>
      <c r="L60" s="20"/>
      <c r="M60" s="20"/>
      <c r="N60" s="20"/>
      <c r="O60" s="17"/>
      <c r="R60" s="53" t="s">
        <v>1506</v>
      </c>
      <c r="S60" s="80" t="s">
        <v>1508</v>
      </c>
      <c r="T60" s="53" t="str">
        <f>Tech!G142</f>
        <v>Right</v>
      </c>
      <c r="V60" s="17"/>
      <c r="AC60" s="17"/>
      <c r="AF60" s="19"/>
      <c r="AG60" s="19"/>
      <c r="AH60" s="19"/>
      <c r="AI60" s="19"/>
      <c r="AJ60" s="19"/>
      <c r="AK60" s="17"/>
      <c r="AL60" s="769">
        <f>VLOOKUP(I68,AL24:AL58,1)</f>
        <v>71</v>
      </c>
      <c r="AM60" s="770">
        <f>VLOOKUP(AL60,AL24:AM58,2,0)</f>
        <v>80</v>
      </c>
    </row>
    <row r="61" spans="1:39" ht="14.65" thickBot="1">
      <c r="A61" s="36"/>
      <c r="B61" s="20"/>
      <c r="C61" s="20"/>
      <c r="D61" s="20"/>
      <c r="E61" s="20" t="s">
        <v>935</v>
      </c>
      <c r="F61" s="20"/>
      <c r="G61" s="20"/>
      <c r="H61" s="20"/>
      <c r="I61" s="20"/>
      <c r="J61" s="304"/>
      <c r="L61" s="671">
        <f>CT_HP!K41</f>
        <v>0</v>
      </c>
      <c r="O61" s="17"/>
      <c r="R61" s="53" t="s">
        <v>1507</v>
      </c>
      <c r="S61" s="80" t="s">
        <v>1510</v>
      </c>
      <c r="T61" s="53" t="str">
        <f>Tech!G144</f>
        <v>Right</v>
      </c>
      <c r="AF61" s="17"/>
      <c r="AG61" s="17"/>
      <c r="AH61" s="17"/>
      <c r="AI61" s="17"/>
      <c r="AJ61" s="17"/>
      <c r="AK61" s="17"/>
      <c r="AL61" s="17"/>
    </row>
    <row r="62" spans="1:39" ht="14.65" thickBot="1">
      <c r="A62" s="36"/>
      <c r="B62" s="20"/>
      <c r="J62" s="304"/>
      <c r="L62" s="611" t="str">
        <f>IF(I64=L64,L63,IF(I64=M64,M63))</f>
        <v>Sq. Cage Motor</v>
      </c>
      <c r="M62" s="611" t="str">
        <f>CT_HP!I40</f>
        <v>Sq. Cage Motor</v>
      </c>
      <c r="O62" s="17"/>
      <c r="R62" s="53" t="s">
        <v>1509</v>
      </c>
      <c r="S62" s="80" t="s">
        <v>945</v>
      </c>
      <c r="T62" s="53" t="str">
        <f>Tech!G146</f>
        <v>Right</v>
      </c>
      <c r="AF62" s="17"/>
      <c r="AG62" s="17"/>
      <c r="AH62" s="17"/>
      <c r="AI62" s="17"/>
      <c r="AJ62" s="17"/>
      <c r="AK62" s="17"/>
      <c r="AL62" s="17"/>
    </row>
    <row r="63" spans="1:39" ht="14.65" thickBot="1">
      <c r="A63" s="36"/>
      <c r="B63" s="20" t="s">
        <v>303</v>
      </c>
      <c r="C63" s="20"/>
      <c r="D63" s="20"/>
      <c r="E63" s="20"/>
      <c r="F63" s="20"/>
      <c r="G63" s="20"/>
      <c r="H63" s="20"/>
      <c r="I63" s="20"/>
      <c r="J63" s="304"/>
      <c r="K63" s="677" t="str">
        <f>IF(L62=M62,"Right","Wrong")</f>
        <v>Right</v>
      </c>
      <c r="L63" s="678" t="s">
        <v>259</v>
      </c>
      <c r="M63" s="876" t="s">
        <v>645</v>
      </c>
      <c r="O63" s="17"/>
      <c r="S63" s="333"/>
      <c r="U63" s="755">
        <f>I70</f>
        <v>68.3</v>
      </c>
      <c r="V63" s="756">
        <f>VLOOKUP(U63,U65:Z70,2,0)</f>
        <v>7.33</v>
      </c>
      <c r="W63" s="756" t="str">
        <f>VLOOKUP(U63,U65:Z70,3,0)</f>
        <v>3AH400</v>
      </c>
      <c r="X63" s="756">
        <f>VLOOKUP(U63,U65:Z70,4,0)</f>
        <v>46500</v>
      </c>
      <c r="Y63" s="756">
        <f>VLOOKUP(U63,U65:Z70,5,0)</f>
        <v>0</v>
      </c>
      <c r="Z63" s="756">
        <f>VLOOKUP(U63,U65:Z70,6,0)</f>
        <v>330</v>
      </c>
      <c r="AF63" s="17"/>
      <c r="AG63" s="17"/>
      <c r="AH63" s="17"/>
      <c r="AI63" s="17"/>
      <c r="AJ63" s="17"/>
      <c r="AK63" s="17"/>
      <c r="AL63" s="17"/>
    </row>
    <row r="64" spans="1:39" ht="14.65" thickBot="1">
      <c r="A64" s="36"/>
      <c r="B64" s="20"/>
      <c r="C64" s="20" t="s">
        <v>936</v>
      </c>
      <c r="D64" s="20"/>
      <c r="E64" s="3854"/>
      <c r="F64" s="3854"/>
      <c r="G64" s="3854"/>
      <c r="H64" s="20"/>
      <c r="I64" s="1067">
        <f>IF(L61=0,CT_HP!I50,IF(L61=1,CT_HP!I50/1.06))</f>
        <v>1440</v>
      </c>
      <c r="J64" s="326"/>
      <c r="L64" s="878">
        <f>CT_HP!I50</f>
        <v>1440</v>
      </c>
      <c r="M64" s="879">
        <f>L64/1.06</f>
        <v>1358.4905660377358</v>
      </c>
      <c r="P64" s="53"/>
      <c r="R64" s="53"/>
      <c r="S64" s="333"/>
      <c r="U64" s="197" t="s">
        <v>682</v>
      </c>
      <c r="V64" s="197" t="s">
        <v>2178</v>
      </c>
      <c r="W64" s="197" t="s">
        <v>2179</v>
      </c>
      <c r="X64" s="197" t="s">
        <v>2173</v>
      </c>
      <c r="Y64" s="197" t="s">
        <v>2785</v>
      </c>
      <c r="Z64" s="197" t="s">
        <v>2174</v>
      </c>
      <c r="AA64" s="758" t="str">
        <f>+U73</f>
        <v>Right</v>
      </c>
      <c r="AF64" s="17"/>
      <c r="AG64" s="17"/>
      <c r="AH64" s="17"/>
      <c r="AI64" s="17"/>
      <c r="AJ64" s="17"/>
      <c r="AK64" s="17"/>
      <c r="AL64" s="17"/>
    </row>
    <row r="65" spans="1:38" ht="14.65" thickBot="1">
      <c r="A65" s="36"/>
      <c r="B65" s="20"/>
      <c r="C65" s="20" t="s">
        <v>937</v>
      </c>
      <c r="D65" s="20"/>
      <c r="E65" s="20"/>
      <c r="F65" s="20"/>
      <c r="G65" s="20"/>
      <c r="H65" s="20"/>
      <c r="I65" s="19">
        <f>I49</f>
        <v>320</v>
      </c>
      <c r="J65" s="326"/>
      <c r="K65" s="848"/>
      <c r="L65" s="848"/>
      <c r="M65" s="848"/>
      <c r="S65" s="333"/>
      <c r="T65" s="759" t="str">
        <f>MH!F304</f>
        <v xml:space="preserve">IS 3177 </v>
      </c>
      <c r="U65" s="760">
        <f>IF(T66="A",U79,IF(T66="B",U102))</f>
        <v>68.3</v>
      </c>
      <c r="V65" s="760">
        <f>IF(T66="A",V79,IF(T66="B",V102))</f>
        <v>7.33</v>
      </c>
      <c r="W65" s="760" t="str">
        <f>IF(T66="A",W79,IF(T66="B",W102))</f>
        <v>3AH400</v>
      </c>
      <c r="X65" s="760">
        <f>IF(T66="A",X79,IF(T66="B",X102))</f>
        <v>46500</v>
      </c>
      <c r="Y65" s="760">
        <f>IF(T66="A",Y79,IF(T66="B",Y102))</f>
        <v>0</v>
      </c>
      <c r="Z65" s="760">
        <f>IF(T66="A",Z79,IF(T66="B",Z102))</f>
        <v>330</v>
      </c>
      <c r="AA65" s="22" t="str">
        <f>IF(U63=I70,"Right","Wrong")</f>
        <v>Right</v>
      </c>
      <c r="AF65" s="17"/>
      <c r="AG65" s="17"/>
      <c r="AH65" s="17"/>
      <c r="AI65" s="17"/>
      <c r="AJ65" s="17"/>
      <c r="AK65" s="17"/>
      <c r="AL65" s="17"/>
    </row>
    <row r="66" spans="1:38" ht="14.65" thickBot="1">
      <c r="A66" s="296"/>
      <c r="B66" s="67" t="s">
        <v>938</v>
      </c>
      <c r="C66" s="20" t="s">
        <v>939</v>
      </c>
      <c r="D66" s="20"/>
      <c r="E66" s="20"/>
      <c r="F66" s="20"/>
      <c r="G66" s="20"/>
      <c r="H66" s="20"/>
      <c r="I66" s="19">
        <f>'E Data'!D38</f>
        <v>20</v>
      </c>
      <c r="J66" s="304"/>
      <c r="L66" s="1068" t="str">
        <f>IF(I72="Premium",E121,E120)</f>
        <v>Elite</v>
      </c>
      <c r="M66" s="880" t="s">
        <v>661</v>
      </c>
      <c r="P66" s="53"/>
      <c r="R66" s="53"/>
      <c r="S66" s="333"/>
      <c r="T66" s="279" t="str">
        <f>MH!F305</f>
        <v>A</v>
      </c>
      <c r="U66" s="760">
        <f>IF(T66="A",U86,IF(T66="B",U109))</f>
        <v>73.7</v>
      </c>
      <c r="V66" s="760">
        <f>IF(T66="A",V86,IF(T66="B",V109))</f>
        <v>6.73</v>
      </c>
      <c r="W66" s="760" t="str">
        <f>IF(T66="A",W86,IF(T66="B",W109))</f>
        <v>3AH400</v>
      </c>
      <c r="X66" s="760">
        <f>IF(T66="A",X86,IF(T66="B",X109))</f>
        <v>46500</v>
      </c>
      <c r="Y66" s="760">
        <f>IF(T66="A",Y86,IF(T66="B",Y109))</f>
        <v>0</v>
      </c>
      <c r="Z66" s="760">
        <f>IF(T66="A",Z86,IF(T66="B",Z109))</f>
        <v>330</v>
      </c>
      <c r="AA66" s="22" t="str">
        <f>IF(V63=I75,"Right","Wrong")</f>
        <v>Wrong</v>
      </c>
      <c r="AF66" s="17"/>
      <c r="AG66" s="17"/>
      <c r="AH66" s="17"/>
      <c r="AI66" s="17"/>
      <c r="AJ66" s="17"/>
      <c r="AK66" s="17"/>
      <c r="AL66" s="17"/>
    </row>
    <row r="67" spans="1:38" ht="15" customHeight="1" thickBot="1">
      <c r="A67" s="732"/>
      <c r="J67" s="326"/>
      <c r="K67" s="698" t="str">
        <f>+IF(K68&lt;10%,IF(K68&gt;-10%,"Right","Wrong"),"Wrong")</f>
        <v>Right</v>
      </c>
      <c r="L67" s="615">
        <f>IF(I72="Premium",AI57,IF(I72="Elite",AF56,IF(I72="Elecon",AL60,"Wrong")))</f>
        <v>68.3</v>
      </c>
      <c r="M67" s="881">
        <f>(1-(L67/I68))</f>
        <v>5.6401285261579615E-2</v>
      </c>
      <c r="N67" s="882">
        <f>I68*0.9</f>
        <v>65.144217600000019</v>
      </c>
      <c r="S67" s="333"/>
      <c r="T67" s="761" t="s">
        <v>656</v>
      </c>
      <c r="U67" s="197">
        <f t="shared" ref="U67:Z68" si="6">U89</f>
        <v>70.599999999999994</v>
      </c>
      <c r="V67" s="145">
        <f t="shared" si="6"/>
        <v>5.16</v>
      </c>
      <c r="W67" s="145" t="str">
        <f t="shared" si="6"/>
        <v>PCD3 140</v>
      </c>
      <c r="X67" s="145">
        <f t="shared" si="6"/>
        <v>89700</v>
      </c>
      <c r="Y67" s="145">
        <f t="shared" si="6"/>
        <v>0</v>
      </c>
      <c r="Z67" s="145">
        <f t="shared" si="6"/>
        <v>299</v>
      </c>
      <c r="AA67" s="22" t="str">
        <f>IF(W63=I77,"Right","Wrong")</f>
        <v>Wrong</v>
      </c>
      <c r="AF67" s="17"/>
      <c r="AG67" s="17"/>
      <c r="AH67" s="17"/>
      <c r="AI67" s="17"/>
      <c r="AJ67" s="17"/>
      <c r="AK67" s="17"/>
      <c r="AL67" s="17"/>
    </row>
    <row r="68" spans="1:38" ht="14.65" thickBot="1">
      <c r="A68" s="296"/>
      <c r="B68" s="67" t="s">
        <v>93</v>
      </c>
      <c r="C68" s="20" t="s">
        <v>940</v>
      </c>
      <c r="D68" s="20"/>
      <c r="E68" s="20"/>
      <c r="F68" s="20"/>
      <c r="G68" s="20"/>
      <c r="H68" s="20"/>
      <c r="I68" s="697">
        <f>3.1416*I65*I64/I66/1000</f>
        <v>72.382464000000013</v>
      </c>
      <c r="J68" s="304" t="s">
        <v>665</v>
      </c>
      <c r="K68" s="1069">
        <f>100%-I68/I70</f>
        <v>-5.9772532942899304E-2</v>
      </c>
      <c r="L68" s="706">
        <f>IF(I72="Premium",AJ57,IF(I72="Elite",AG56,IF(I72="Elecon",AM60,"Wrong")))</f>
        <v>73.7</v>
      </c>
      <c r="M68" s="883">
        <f>((L68/I68)-1)</f>
        <v>1.8202419856831575E-2</v>
      </c>
      <c r="N68" s="884">
        <f>I68*1.1</f>
        <v>79.620710400000021</v>
      </c>
      <c r="R68" s="53"/>
      <c r="S68" s="333"/>
      <c r="T68" s="761" t="str">
        <f>+T67</f>
        <v>Premium</v>
      </c>
      <c r="U68" s="197">
        <f t="shared" si="6"/>
        <v>78.2</v>
      </c>
      <c r="V68" s="145">
        <f t="shared" si="6"/>
        <v>4.5599999999999996</v>
      </c>
      <c r="W68" s="145" t="str">
        <f t="shared" si="6"/>
        <v>PCD3 140</v>
      </c>
      <c r="X68" s="145">
        <f t="shared" si="6"/>
        <v>89700</v>
      </c>
      <c r="Y68" s="145">
        <f t="shared" si="6"/>
        <v>0</v>
      </c>
      <c r="Z68" s="145">
        <f t="shared" si="6"/>
        <v>299</v>
      </c>
      <c r="AA68" s="22" t="str">
        <f>IF(X63=I79,"Right","Wrong")</f>
        <v>Wrong</v>
      </c>
      <c r="AF68" s="17"/>
      <c r="AG68" s="17"/>
      <c r="AH68" s="17"/>
      <c r="AI68" s="17"/>
      <c r="AJ68" s="17"/>
      <c r="AK68" s="17"/>
      <c r="AL68" s="17"/>
    </row>
    <row r="69" spans="1:38" ht="14.65" thickBot="1">
      <c r="A69" s="36"/>
      <c r="B69" s="67"/>
      <c r="C69" s="20" t="s">
        <v>638</v>
      </c>
      <c r="D69" s="20"/>
      <c r="E69" s="20"/>
      <c r="F69" s="20"/>
      <c r="G69" s="20"/>
      <c r="H69" s="20"/>
      <c r="I69" s="59">
        <f>CT_HP!I46</f>
        <v>2</v>
      </c>
      <c r="J69" s="326"/>
      <c r="K69" s="695"/>
      <c r="L69" s="886" t="s">
        <v>650</v>
      </c>
      <c r="M69" s="717" t="s">
        <v>942</v>
      </c>
      <c r="N69" s="887">
        <f>CT_HP!J34</f>
        <v>0.56420859191046879</v>
      </c>
      <c r="P69" s="53"/>
      <c r="S69" s="333"/>
      <c r="T69" s="761" t="s">
        <v>660</v>
      </c>
      <c r="U69" s="197">
        <f t="shared" ref="U69:Z70" si="7">U93</f>
        <v>71</v>
      </c>
      <c r="V69" s="145">
        <f t="shared" si="7"/>
        <v>6.5</v>
      </c>
      <c r="W69" s="145" t="str">
        <f t="shared" si="7"/>
        <v>SCN 160</v>
      </c>
      <c r="X69" s="145">
        <f>X93</f>
        <v>50400</v>
      </c>
      <c r="Y69" s="145">
        <f t="shared" si="7"/>
        <v>0</v>
      </c>
      <c r="Z69" s="145">
        <f t="shared" si="7"/>
        <v>168</v>
      </c>
      <c r="AA69" s="22" t="str">
        <f>IF(Y63=Y63,"Right","Wrong")</f>
        <v>Right</v>
      </c>
      <c r="AF69" s="17"/>
      <c r="AG69" s="17"/>
      <c r="AH69" s="17"/>
      <c r="AI69" s="17"/>
      <c r="AJ69" s="17"/>
      <c r="AK69" s="17"/>
      <c r="AL69" s="17"/>
    </row>
    <row r="70" spans="1:38" ht="14.65" thickBot="1">
      <c r="A70" s="36"/>
      <c r="B70" s="20"/>
      <c r="C70" s="20" t="s">
        <v>941</v>
      </c>
      <c r="D70" s="20"/>
      <c r="E70" s="20"/>
      <c r="F70" s="20"/>
      <c r="G70" s="20"/>
      <c r="H70" s="20"/>
      <c r="I70" s="1070">
        <f>L67</f>
        <v>68.3</v>
      </c>
      <c r="J70" s="304" t="s">
        <v>665</v>
      </c>
      <c r="L70" s="1071">
        <f>+CT_HP!I50</f>
        <v>1440</v>
      </c>
      <c r="P70" s="333"/>
      <c r="Q70" s="467"/>
      <c r="R70" s="726"/>
      <c r="S70" s="333"/>
      <c r="T70" s="761" t="str">
        <f>+T69</f>
        <v>Elecon</v>
      </c>
      <c r="U70" s="197">
        <f t="shared" si="7"/>
        <v>80</v>
      </c>
      <c r="V70" s="145">
        <f t="shared" si="7"/>
        <v>6</v>
      </c>
      <c r="W70" s="145" t="str">
        <f t="shared" si="7"/>
        <v>SCN 160</v>
      </c>
      <c r="X70" s="145">
        <f t="shared" si="7"/>
        <v>50400</v>
      </c>
      <c r="Y70" s="145">
        <f t="shared" si="7"/>
        <v>0</v>
      </c>
      <c r="Z70" s="145">
        <f t="shared" si="7"/>
        <v>168</v>
      </c>
      <c r="AA70" s="22" t="str">
        <f>IF(Z63=I80,"Right","Wrong")</f>
        <v>Wrong</v>
      </c>
      <c r="AF70" s="17"/>
      <c r="AG70" s="17"/>
      <c r="AH70" s="17"/>
      <c r="AI70" s="17"/>
      <c r="AJ70" s="17"/>
      <c r="AK70" s="17"/>
      <c r="AL70" s="17"/>
    </row>
    <row r="71" spans="1:38">
      <c r="A71" s="36"/>
      <c r="B71" s="20"/>
      <c r="J71" s="304"/>
      <c r="P71" s="50"/>
      <c r="Q71" s="2454"/>
      <c r="R71" s="50"/>
      <c r="S71" s="723"/>
      <c r="T71" s="531"/>
      <c r="Y71" s="19"/>
      <c r="Z71" s="19"/>
      <c r="AA71" s="20"/>
      <c r="AF71" s="17"/>
      <c r="AG71" s="17"/>
      <c r="AH71" s="17"/>
      <c r="AI71" s="17"/>
      <c r="AJ71" s="17"/>
      <c r="AK71" s="17"/>
      <c r="AL71" s="17"/>
    </row>
    <row r="72" spans="1:38">
      <c r="A72" s="36"/>
      <c r="B72" s="182"/>
      <c r="C72" s="20" t="s">
        <v>347</v>
      </c>
      <c r="D72" s="182"/>
      <c r="E72" s="182"/>
      <c r="F72" s="20"/>
      <c r="G72" s="20"/>
      <c r="H72" s="20"/>
      <c r="I72" s="722" t="str">
        <f>MH!J283</f>
        <v>Elite</v>
      </c>
      <c r="J72" s="855" t="str">
        <f>MH!J284</f>
        <v>Class II</v>
      </c>
      <c r="L72" s="1072">
        <f>+U63</f>
        <v>68.3</v>
      </c>
      <c r="M72" s="1073">
        <f>+V63</f>
        <v>7.33</v>
      </c>
      <c r="N72" s="1073" t="str">
        <f>+W63</f>
        <v>3AH400</v>
      </c>
      <c r="O72" s="1073">
        <f>+X63</f>
        <v>46500</v>
      </c>
      <c r="P72" s="1074">
        <f>+Z63</f>
        <v>330</v>
      </c>
      <c r="Q72" s="467"/>
      <c r="R72" s="726"/>
      <c r="S72" s="333"/>
      <c r="T72" s="531"/>
      <c r="Y72" s="19"/>
      <c r="Z72" s="19"/>
      <c r="AA72" s="20"/>
      <c r="AF72" s="17"/>
      <c r="AG72" s="17"/>
      <c r="AH72" s="17"/>
      <c r="AI72" s="17"/>
      <c r="AJ72" s="17"/>
      <c r="AK72" s="17"/>
      <c r="AL72" s="17"/>
    </row>
    <row r="73" spans="1:38">
      <c r="A73" s="36"/>
      <c r="B73" s="20"/>
      <c r="D73" s="20"/>
      <c r="E73" s="20"/>
      <c r="F73" s="20" t="s">
        <v>943</v>
      </c>
      <c r="G73" s="20" t="s">
        <v>944</v>
      </c>
      <c r="H73" s="20"/>
      <c r="I73" s="20"/>
      <c r="J73" s="304"/>
      <c r="K73" s="310"/>
      <c r="L73" s="145" t="s">
        <v>2662</v>
      </c>
      <c r="M73" s="2565">
        <f>N69/0.746</f>
        <v>0.75631178540277322</v>
      </c>
      <c r="N73" s="729" t="s">
        <v>2784</v>
      </c>
      <c r="O73" s="982" t="s">
        <v>674</v>
      </c>
      <c r="P73" s="729" t="s">
        <v>675</v>
      </c>
      <c r="Q73" s="729" t="s">
        <v>275</v>
      </c>
      <c r="R73" s="1076"/>
      <c r="S73" s="333"/>
      <c r="T73" s="762"/>
      <c r="U73" s="762" t="str">
        <f>W114</f>
        <v>Right</v>
      </c>
      <c r="V73" s="281"/>
      <c r="W73" s="281"/>
      <c r="X73" s="281"/>
      <c r="Y73" s="281"/>
      <c r="Z73" s="281"/>
      <c r="AA73" s="281"/>
      <c r="AF73" s="17"/>
      <c r="AG73" s="17"/>
      <c r="AH73" s="17"/>
      <c r="AI73" s="17"/>
      <c r="AJ73" s="17"/>
      <c r="AK73" s="17"/>
      <c r="AL73" s="17"/>
    </row>
    <row r="74" spans="1:38" ht="18" customHeight="1">
      <c r="A74" s="36"/>
      <c r="B74" s="192"/>
      <c r="C74" s="193" t="str">
        <f>VLOOKUP(I72,E120:F122,2,0)</f>
        <v>Required HP</v>
      </c>
      <c r="D74" s="20"/>
      <c r="F74" s="737">
        <f>CT_HP!J34</f>
        <v>0.56420859191046879</v>
      </c>
      <c r="G74" s="737">
        <f>L76</f>
        <v>1.3404825737265416</v>
      </c>
      <c r="H74" s="88"/>
      <c r="I74" s="737">
        <f>+F74*G74</f>
        <v>0.75631178540277322</v>
      </c>
      <c r="J74" s="1077" t="str">
        <f>VLOOKUP(I72,E120:H122,4)</f>
        <v>HP</v>
      </c>
      <c r="L74" s="145" t="s">
        <v>656</v>
      </c>
      <c r="M74" s="2565">
        <f>N69*M78</f>
        <v>1.297679761394078</v>
      </c>
      <c r="N74" s="983" t="s">
        <v>677</v>
      </c>
      <c r="O74" s="984">
        <v>46500</v>
      </c>
      <c r="P74" s="984">
        <v>15750</v>
      </c>
      <c r="Q74" s="735">
        <v>330</v>
      </c>
      <c r="R74" s="1079"/>
      <c r="S74" s="333"/>
      <c r="T74" s="277"/>
      <c r="U74" s="777" t="str">
        <f>'E CT_LT'!C8</f>
        <v>Elite : 3177</v>
      </c>
      <c r="V74" s="778" t="str">
        <f>'E CT_LT'!D8</f>
        <v>Lower H.P.</v>
      </c>
      <c r="W74" s="779" t="str">
        <f>'E CT_LT'!E8</f>
        <v>Lower Frame</v>
      </c>
      <c r="X74" s="779" t="str">
        <f>'E CT_LT'!F8</f>
        <v>Pricr of Gear Box</v>
      </c>
      <c r="Y74" s="779" t="str">
        <f>'E CT_LT'!G8</f>
        <v>Gear Coupling</v>
      </c>
      <c r="Z74" s="779" t="str">
        <f>'E CT_LT'!H8</f>
        <v>Weight OF GB</v>
      </c>
      <c r="AA74" s="3" t="str">
        <f>'E CT_LT'!I8</f>
        <v>Right</v>
      </c>
      <c r="AF74" s="17"/>
      <c r="AG74" s="17"/>
      <c r="AH74" s="17"/>
      <c r="AI74" s="17"/>
      <c r="AJ74" s="17"/>
      <c r="AK74" s="17"/>
      <c r="AL74" s="17"/>
    </row>
    <row r="75" spans="1:38" ht="14.65" thickBot="1">
      <c r="A75" s="36"/>
      <c r="B75" s="192"/>
      <c r="C75" s="193" t="str">
        <f>VLOOKUP(I72,E120:G122,3,0)</f>
        <v>Selected HP</v>
      </c>
      <c r="D75" s="20"/>
      <c r="E75" s="20"/>
      <c r="F75" s="20"/>
      <c r="G75" s="20"/>
      <c r="I75" s="985"/>
      <c r="J75" s="326"/>
      <c r="L75" s="2566" t="s">
        <v>660</v>
      </c>
      <c r="M75" s="2565">
        <f>N69*M79</f>
        <v>1.410521479776172</v>
      </c>
      <c r="N75" s="983" t="s">
        <v>678</v>
      </c>
      <c r="O75" s="984">
        <v>70660</v>
      </c>
      <c r="P75" s="984">
        <v>15750</v>
      </c>
      <c r="Q75" s="735">
        <v>450</v>
      </c>
      <c r="R75" s="1079"/>
      <c r="S75" s="333"/>
      <c r="T75" s="277"/>
      <c r="U75" s="283" t="str">
        <f>'E CT_LT'!C9</f>
        <v>Class I</v>
      </c>
      <c r="V75" s="284">
        <f>'E CT_LT'!D9</f>
        <v>10.1</v>
      </c>
      <c r="W75" s="284" t="str">
        <f>'E CT_LT'!E9</f>
        <v>3AH400</v>
      </c>
      <c r="X75" s="284">
        <f>'E CT_LT'!F9</f>
        <v>46500</v>
      </c>
      <c r="Y75" s="284">
        <f>'E CT_LT'!G9</f>
        <v>0</v>
      </c>
      <c r="Z75" s="284">
        <f>'E CT_LT'!H9</f>
        <v>330</v>
      </c>
      <c r="AA75" s="281"/>
      <c r="AF75" s="17"/>
      <c r="AG75" s="17"/>
      <c r="AH75" s="17"/>
      <c r="AI75" s="17"/>
      <c r="AJ75" s="17"/>
      <c r="AK75" s="17"/>
      <c r="AL75" s="17"/>
    </row>
    <row r="76" spans="1:38" ht="14.65" thickBot="1">
      <c r="A76" s="36"/>
      <c r="B76" s="192"/>
      <c r="I76" s="986"/>
      <c r="J76" s="557"/>
      <c r="K76" s="2564" t="str">
        <f>IF(M81="Right",IF(M80="Right",IF(M85="Right",IF(K67="Right",IF(K63="Right","Right","GBC Motor RPM Wrong "),"GBC Ratio Wrong"),"GBC Price Wrong"),"GBC HP Wrong"),"GBC HP Wrong")</f>
        <v>GBC HP Wrong</v>
      </c>
      <c r="L76" s="29">
        <f>VLOOKUP(I72,L77:M79,2,0)</f>
        <v>1.3404825737265416</v>
      </c>
      <c r="M76" s="2168">
        <f>VLOOKUP(I72,L73:M75,2,0)</f>
        <v>0.75631178540277322</v>
      </c>
      <c r="N76" s="983" t="s">
        <v>680</v>
      </c>
      <c r="O76" s="984">
        <v>92292</v>
      </c>
      <c r="P76" s="984">
        <v>23100</v>
      </c>
      <c r="Q76" s="735">
        <v>550</v>
      </c>
      <c r="R76" s="1079"/>
      <c r="S76" s="333"/>
      <c r="T76" s="277"/>
      <c r="U76" s="283" t="str">
        <f>'E CT_LT'!C10</f>
        <v>Class II</v>
      </c>
      <c r="V76" s="284">
        <f>'E CT_LT'!D10</f>
        <v>7.33</v>
      </c>
      <c r="W76" s="284" t="str">
        <f>'E CT_LT'!E10</f>
        <v>3AH400</v>
      </c>
      <c r="X76" s="284">
        <f>'E CT_LT'!F10</f>
        <v>46500</v>
      </c>
      <c r="Y76" s="284">
        <f>'E CT_LT'!G10</f>
        <v>0</v>
      </c>
      <c r="Z76" s="284">
        <f>'E CT_LT'!H10</f>
        <v>330</v>
      </c>
      <c r="AA76" s="281"/>
      <c r="AF76" s="17"/>
      <c r="AG76" s="17"/>
      <c r="AH76" s="17"/>
      <c r="AI76" s="17"/>
      <c r="AJ76" s="17"/>
      <c r="AK76" s="17"/>
      <c r="AL76" s="17"/>
    </row>
    <row r="77" spans="1:38">
      <c r="A77" s="36"/>
      <c r="B77" s="192"/>
      <c r="C77" s="20" t="s">
        <v>670</v>
      </c>
      <c r="D77" s="20"/>
      <c r="E77" s="20"/>
      <c r="F77" s="20"/>
      <c r="G77" s="108"/>
      <c r="H77" s="108"/>
      <c r="I77" s="1082" t="str">
        <f>""</f>
        <v/>
      </c>
      <c r="J77" s="304"/>
      <c r="L77" s="145" t="s">
        <v>2662</v>
      </c>
      <c r="M77" s="2168">
        <f>1/0.746</f>
        <v>1.3404825737265416</v>
      </c>
      <c r="N77" s="983" t="s">
        <v>681</v>
      </c>
      <c r="O77" s="984">
        <v>108150</v>
      </c>
      <c r="P77" s="984">
        <v>26250</v>
      </c>
      <c r="Q77" s="735">
        <v>700</v>
      </c>
      <c r="R77" s="1079"/>
      <c r="S77" s="333"/>
      <c r="T77" s="277"/>
      <c r="U77" s="283" t="str">
        <f>'E CT_LT'!C11</f>
        <v>Class III</v>
      </c>
      <c r="V77" s="284">
        <f>'E CT_LT'!D11</f>
        <v>6.43</v>
      </c>
      <c r="W77" s="284" t="str">
        <f>'E CT_LT'!E11</f>
        <v>3AH400</v>
      </c>
      <c r="X77" s="284">
        <f>'E CT_LT'!F11</f>
        <v>46500</v>
      </c>
      <c r="Y77" s="284">
        <f>'E CT_LT'!G11</f>
        <v>0</v>
      </c>
      <c r="Z77" s="284">
        <f>'E CT_LT'!H11</f>
        <v>330</v>
      </c>
      <c r="AA77" s="281"/>
      <c r="AF77" s="17"/>
      <c r="AG77" s="17"/>
      <c r="AH77" s="17"/>
      <c r="AI77" s="17"/>
      <c r="AJ77" s="17"/>
      <c r="AK77" s="17"/>
      <c r="AL77" s="17"/>
    </row>
    <row r="78" spans="1:38">
      <c r="A78" s="36"/>
      <c r="B78" s="192"/>
      <c r="J78" s="304"/>
      <c r="L78" s="145" t="s">
        <v>656</v>
      </c>
      <c r="M78" s="145">
        <v>2.2999999999999998</v>
      </c>
      <c r="N78" s="983" t="s">
        <v>683</v>
      </c>
      <c r="O78" s="984">
        <v>195532</v>
      </c>
      <c r="P78" s="984">
        <v>29400</v>
      </c>
      <c r="Q78" s="735">
        <v>1100</v>
      </c>
      <c r="R78" s="1079"/>
      <c r="S78" s="333"/>
      <c r="T78" s="277"/>
      <c r="U78" s="283" t="str">
        <f>'E CT_LT'!C12</f>
        <v>Class IV</v>
      </c>
      <c r="V78" s="284">
        <f>'E CT_LT'!D12</f>
        <v>3.86</v>
      </c>
      <c r="W78" s="284" t="str">
        <f>'E CT_LT'!E12</f>
        <v>3AH400</v>
      </c>
      <c r="X78" s="284">
        <f>'E CT_LT'!F12</f>
        <v>46500</v>
      </c>
      <c r="Y78" s="284">
        <f>'E CT_LT'!G12</f>
        <v>0</v>
      </c>
      <c r="Z78" s="284">
        <f>'E CT_LT'!H12</f>
        <v>330</v>
      </c>
      <c r="AA78" s="281"/>
      <c r="AF78" s="17"/>
      <c r="AG78" s="17"/>
      <c r="AH78" s="17"/>
      <c r="AI78" s="17"/>
      <c r="AJ78" s="17"/>
      <c r="AK78" s="17"/>
      <c r="AL78" s="17"/>
    </row>
    <row r="79" spans="1:38">
      <c r="A79" s="732"/>
      <c r="C79" s="988" t="s">
        <v>945</v>
      </c>
      <c r="D79" s="988"/>
      <c r="E79" s="989"/>
      <c r="F79" s="989"/>
      <c r="G79" s="20"/>
      <c r="H79" s="51"/>
      <c r="I79" s="1083">
        <f>+I80*250</f>
        <v>0</v>
      </c>
      <c r="J79" s="326"/>
      <c r="L79" s="2566" t="s">
        <v>660</v>
      </c>
      <c r="M79" s="145">
        <v>2.5</v>
      </c>
      <c r="N79" s="983" t="s">
        <v>684</v>
      </c>
      <c r="O79" s="984">
        <v>203682</v>
      </c>
      <c r="P79" s="984">
        <v>33600</v>
      </c>
      <c r="Q79" s="735">
        <v>1400</v>
      </c>
      <c r="R79" s="1079"/>
      <c r="S79" s="333"/>
      <c r="T79" s="9">
        <f>'E CT_LT'!B13</f>
        <v>5.9772532942899304E-2</v>
      </c>
      <c r="U79" s="780">
        <f>'E CT_LT'!C13</f>
        <v>68.3</v>
      </c>
      <c r="V79" s="780">
        <f>'E CT_LT'!D13</f>
        <v>7.33</v>
      </c>
      <c r="W79" s="780" t="str">
        <f>'E CT_LT'!E13</f>
        <v>3AH400</v>
      </c>
      <c r="X79" s="780">
        <f>'E CT_LT'!F13</f>
        <v>46500</v>
      </c>
      <c r="Y79" s="780">
        <f>'E CT_LT'!G13</f>
        <v>0</v>
      </c>
      <c r="Z79" s="780">
        <f>'E CT_LT'!H13</f>
        <v>330</v>
      </c>
      <c r="AA79" s="281"/>
      <c r="AF79" s="17"/>
      <c r="AG79" s="17"/>
      <c r="AH79" s="17"/>
      <c r="AI79" s="17"/>
      <c r="AJ79" s="17"/>
      <c r="AK79" s="17"/>
      <c r="AL79" s="17"/>
    </row>
    <row r="80" spans="1:38" ht="14.65" thickBot="1">
      <c r="A80" s="36"/>
      <c r="B80" s="20"/>
      <c r="C80" s="988" t="s">
        <v>946</v>
      </c>
      <c r="D80" s="988"/>
      <c r="E80" s="192"/>
      <c r="F80" s="192"/>
      <c r="G80" s="20"/>
      <c r="H80" s="51"/>
      <c r="I80" s="1083">
        <f>+VLOOKUP(I77,N73:Q164,4,0)</f>
        <v>0</v>
      </c>
      <c r="J80" s="1084"/>
      <c r="K80" s="745" t="str">
        <f>IF(AA67="Right",IF(AA66="Right",IF(AA68="Right",IF(AA69="Right",IF(AA70="Right",IF(AA65="Right",IF(AA64="Right","Right","Auto GB Wrong"),"Ratio Wrong"),"WT Wrong"),"Coupling Wrong"),"GB Price Wrong"),"GB HP Wrong"),"GB Frame Wrong")</f>
        <v>GB Frame Wrong</v>
      </c>
      <c r="M80" s="1085" t="str">
        <f>IF(LEFT(I74,5)=LEFT(M76,5),"Right","Wrong")</f>
        <v>Right</v>
      </c>
      <c r="N80" s="983" t="s">
        <v>686</v>
      </c>
      <c r="O80" s="984">
        <v>321637</v>
      </c>
      <c r="P80" s="984">
        <v>36750</v>
      </c>
      <c r="Q80" s="735">
        <v>2200</v>
      </c>
      <c r="R80" s="1079"/>
      <c r="S80" s="333"/>
      <c r="T80" s="277"/>
      <c r="U80" s="277"/>
      <c r="V80" s="277"/>
      <c r="W80" s="277"/>
      <c r="X80" s="277"/>
      <c r="Y80" s="277"/>
      <c r="Z80" s="277"/>
      <c r="AA80" s="277"/>
      <c r="AF80" s="17"/>
      <c r="AG80" s="17"/>
      <c r="AH80" s="17"/>
      <c r="AI80" s="17"/>
      <c r="AJ80" s="17"/>
      <c r="AK80" s="17"/>
      <c r="AL80" s="17"/>
    </row>
    <row r="81" spans="1:38" ht="12.75" customHeight="1" thickBot="1">
      <c r="A81" s="738"/>
      <c r="B81" s="121"/>
      <c r="C81" s="121"/>
      <c r="D81" s="121"/>
      <c r="E81" s="121"/>
      <c r="F81" s="121"/>
      <c r="G81" s="121"/>
      <c r="H81" s="121"/>
      <c r="I81" s="121"/>
      <c r="J81" s="395"/>
      <c r="K81" s="1086">
        <v>300</v>
      </c>
      <c r="L81" s="698"/>
      <c r="M81" s="1087" t="str">
        <f>IF(I74&lt;I75,"Right","Wrong")</f>
        <v>Wrong</v>
      </c>
      <c r="N81" s="983" t="s">
        <v>687</v>
      </c>
      <c r="O81" s="984">
        <v>412631</v>
      </c>
      <c r="P81" s="984">
        <v>42000</v>
      </c>
      <c r="Q81" s="735">
        <v>2600</v>
      </c>
      <c r="R81" s="1079"/>
      <c r="S81" s="333"/>
      <c r="T81" s="277"/>
      <c r="U81" s="777" t="str">
        <f>'E CT_LT'!C15</f>
        <v>Elite : 3177</v>
      </c>
      <c r="V81" s="778" t="str">
        <f>'E CT_LT'!D15</f>
        <v>Upper H.P.</v>
      </c>
      <c r="W81" s="778" t="str">
        <f>'E CT_LT'!E15</f>
        <v>Upper Frame</v>
      </c>
      <c r="X81" s="779" t="str">
        <f>'E CT_LT'!F15</f>
        <v>Pricr of Gear Box</v>
      </c>
      <c r="Y81" s="779" t="str">
        <f>'E CT_LT'!G15</f>
        <v>Gear Coupling</v>
      </c>
      <c r="Z81" s="779" t="str">
        <f>'E CT_LT'!H15</f>
        <v>Weight OF GB</v>
      </c>
      <c r="AA81" s="2" t="str">
        <f>'E CT_LT'!I15</f>
        <v>Right</v>
      </c>
      <c r="AF81" s="17"/>
      <c r="AG81" s="17"/>
      <c r="AH81" s="17"/>
      <c r="AI81" s="17"/>
      <c r="AJ81" s="17"/>
      <c r="AK81" s="17"/>
      <c r="AL81" s="17"/>
    </row>
    <row r="82" spans="1:38">
      <c r="N82" s="983" t="s">
        <v>690</v>
      </c>
      <c r="O82" s="984">
        <v>504000</v>
      </c>
      <c r="P82" s="984">
        <v>52500</v>
      </c>
      <c r="Q82" s="735">
        <v>3300</v>
      </c>
      <c r="R82" s="1079"/>
      <c r="T82" s="8"/>
      <c r="U82" s="283" t="str">
        <f>'E CT_LT'!C16</f>
        <v>Class I</v>
      </c>
      <c r="V82" s="285">
        <f>'E CT_LT'!D16</f>
        <v>9.31</v>
      </c>
      <c r="W82" s="285" t="str">
        <f>'E CT_LT'!E16</f>
        <v>3AH400</v>
      </c>
      <c r="X82" s="285">
        <f>'E CT_LT'!F16</f>
        <v>46500</v>
      </c>
      <c r="Y82" s="285">
        <f>'E CT_LT'!G16</f>
        <v>0</v>
      </c>
      <c r="Z82" s="285">
        <f>'E CT_LT'!H16</f>
        <v>330</v>
      </c>
      <c r="AA82" s="281"/>
      <c r="AF82" s="17"/>
      <c r="AG82" s="17"/>
      <c r="AH82" s="17"/>
      <c r="AI82" s="17"/>
      <c r="AJ82" s="17"/>
      <c r="AK82" s="17"/>
      <c r="AL82" s="17"/>
    </row>
    <row r="83" spans="1:38">
      <c r="N83" s="983" t="s">
        <v>692</v>
      </c>
      <c r="O83" s="984">
        <v>693000</v>
      </c>
      <c r="P83" s="984">
        <v>57750</v>
      </c>
      <c r="Q83" s="735">
        <v>4250</v>
      </c>
      <c r="R83" s="1079"/>
      <c r="S83" s="1088"/>
      <c r="T83" s="277"/>
      <c r="U83" s="283" t="str">
        <f>'E CT_LT'!C17</f>
        <v>Class II</v>
      </c>
      <c r="V83" s="284">
        <f>'E CT_LT'!D17</f>
        <v>6.73</v>
      </c>
      <c r="W83" s="285" t="str">
        <f>'E CT_LT'!E17</f>
        <v>3AH400</v>
      </c>
      <c r="X83" s="284">
        <f>'E CT_LT'!F17</f>
        <v>46500</v>
      </c>
      <c r="Y83" s="284">
        <f>'E CT_LT'!G17</f>
        <v>0</v>
      </c>
      <c r="Z83" s="284">
        <f>'E CT_LT'!H17</f>
        <v>330</v>
      </c>
      <c r="AA83" s="281"/>
      <c r="AF83" s="17"/>
      <c r="AG83" s="17"/>
      <c r="AH83" s="17"/>
      <c r="AI83" s="17"/>
      <c r="AJ83" s="17"/>
      <c r="AK83" s="17"/>
      <c r="AL83" s="17"/>
    </row>
    <row r="84" spans="1:38" ht="14.65" thickBot="1">
      <c r="I84" s="391" t="str">
        <f>HYPERLINK("\\Manish-pc\e\03 General\Manish\Selection\Elite_Gear_Box.pdf","Elite GB")</f>
        <v>Elite GB</v>
      </c>
      <c r="J84" s="391" t="str">
        <f>HYPERLINK("\\Manish-pc\e\03 General\Manish\Selection\Premium_Gear_Box.pdf","Premium GB")</f>
        <v>Premium GB</v>
      </c>
      <c r="N84" s="983" t="s">
        <v>694</v>
      </c>
      <c r="O84" s="984">
        <v>945000</v>
      </c>
      <c r="P84" s="984">
        <v>73500</v>
      </c>
      <c r="Q84" s="735">
        <v>4900</v>
      </c>
      <c r="R84" s="1079"/>
      <c r="S84" s="1088"/>
      <c r="T84" s="286"/>
      <c r="U84" s="283" t="str">
        <f>'E CT_LT'!C18</f>
        <v>Class III</v>
      </c>
      <c r="V84" s="284">
        <f>'E CT_LT'!D18</f>
        <v>5.87</v>
      </c>
      <c r="W84" s="285" t="str">
        <f>'E CT_LT'!E18</f>
        <v>3AH400</v>
      </c>
      <c r="X84" s="284">
        <f>'E CT_LT'!F18</f>
        <v>46500</v>
      </c>
      <c r="Y84" s="284">
        <f>'E CT_LT'!G18</f>
        <v>0</v>
      </c>
      <c r="Z84" s="284">
        <f>'E CT_LT'!H18</f>
        <v>330</v>
      </c>
      <c r="AA84" s="281"/>
      <c r="AF84" s="17"/>
      <c r="AG84" s="17"/>
      <c r="AH84" s="17"/>
      <c r="AI84" s="17"/>
      <c r="AJ84" s="17"/>
      <c r="AK84" s="17"/>
      <c r="AL84" s="17"/>
    </row>
    <row r="85" spans="1:38" ht="14.65" thickBot="1">
      <c r="A85" s="1089" t="s">
        <v>920</v>
      </c>
      <c r="B85" s="662" t="s">
        <v>947</v>
      </c>
      <c r="C85" s="662"/>
      <c r="D85" s="662"/>
      <c r="E85" s="662"/>
      <c r="F85" s="662"/>
      <c r="G85" s="1090"/>
      <c r="H85" s="1091"/>
      <c r="I85" s="391" t="str">
        <f>HYPERLINK("\\Manish-pc\e\03 General\Manish\Selection\ELECON_ET-SERIES.pdf","Elecon GB")</f>
        <v>Elecon GB</v>
      </c>
      <c r="J85" s="391" t="str">
        <f>HYPERLINK("\\Manish-pc\e\03 General\Manish\Selection\Price_Sheet_2013.pdf","Price Sheet")</f>
        <v>Price Sheet</v>
      </c>
      <c r="M85" s="698" t="str">
        <f>IF(I72="Elite","Right",IF(I79=M87,"Right","Wrong"))</f>
        <v>Right</v>
      </c>
      <c r="N85" s="278" t="s">
        <v>2787</v>
      </c>
      <c r="O85" s="1092" t="s">
        <v>674</v>
      </c>
      <c r="P85" s="278"/>
      <c r="Q85" s="278" t="s">
        <v>695</v>
      </c>
      <c r="R85" s="1093"/>
      <c r="T85" s="277"/>
      <c r="U85" s="283" t="str">
        <f>'E CT_LT'!C19</f>
        <v>Class IV</v>
      </c>
      <c r="V85" s="284">
        <f>'E CT_LT'!D19</f>
        <v>3.76</v>
      </c>
      <c r="W85" s="285" t="str">
        <f>'E CT_LT'!E19</f>
        <v>3AH400</v>
      </c>
      <c r="X85" s="284">
        <f>'E CT_LT'!F19</f>
        <v>46500</v>
      </c>
      <c r="Y85" s="284">
        <f>'E CT_LT'!G19</f>
        <v>0</v>
      </c>
      <c r="Z85" s="284">
        <f>'E CT_LT'!H19</f>
        <v>330</v>
      </c>
      <c r="AA85" s="281"/>
      <c r="AF85" s="17"/>
      <c r="AG85" s="17"/>
      <c r="AH85" s="17"/>
      <c r="AI85" s="17"/>
      <c r="AJ85" s="17"/>
      <c r="AK85" s="17"/>
      <c r="AL85" s="17"/>
    </row>
    <row r="86" spans="1:38">
      <c r="A86" s="670"/>
      <c r="D86" s="462"/>
      <c r="E86" s="462"/>
      <c r="F86" s="669"/>
      <c r="G86" s="462"/>
      <c r="I86" s="199"/>
      <c r="M86" s="118" t="s">
        <v>689</v>
      </c>
      <c r="N86" s="1094" t="s">
        <v>2270</v>
      </c>
      <c r="O86" s="1094">
        <v>24258</v>
      </c>
      <c r="P86" s="984">
        <v>15750</v>
      </c>
      <c r="Q86" s="735">
        <v>130</v>
      </c>
      <c r="R86" s="123"/>
      <c r="S86" s="53"/>
      <c r="T86" s="11">
        <f>'E CT_LT'!B20</f>
        <v>1.7877014925372969E-2</v>
      </c>
      <c r="U86" s="780">
        <f>'E CT_LT'!C20</f>
        <v>73.7</v>
      </c>
      <c r="V86" s="780">
        <f>'E CT_LT'!D20</f>
        <v>6.73</v>
      </c>
      <c r="W86" s="780" t="str">
        <f>'E CT_LT'!E20</f>
        <v>3AH400</v>
      </c>
      <c r="X86" s="780">
        <f>'E CT_LT'!F20</f>
        <v>46500</v>
      </c>
      <c r="Y86" s="780">
        <f>'E CT_LT'!G20</f>
        <v>0</v>
      </c>
      <c r="Z86" s="780">
        <f>'E CT_LT'!H20</f>
        <v>330</v>
      </c>
      <c r="AA86" s="281"/>
      <c r="AF86" s="17"/>
      <c r="AG86" s="17"/>
      <c r="AH86" s="17"/>
      <c r="AI86" s="17"/>
      <c r="AJ86" s="17"/>
      <c r="AK86" s="17"/>
      <c r="AL86" s="17"/>
    </row>
    <row r="87" spans="1:38">
      <c r="A87" s="670"/>
      <c r="C87" s="1096" t="s">
        <v>948</v>
      </c>
      <c r="D87" s="1097" t="s">
        <v>949</v>
      </c>
      <c r="E87" s="1098"/>
      <c r="F87" s="669"/>
      <c r="G87" s="462"/>
      <c r="I87" s="304"/>
      <c r="M87" s="53" t="e">
        <f>IF(I72="Elite",VLOOKUP(N74:O84,2,0),K81*I80)</f>
        <v>#VALUE!</v>
      </c>
      <c r="N87" s="1094" t="s">
        <v>2271</v>
      </c>
      <c r="O87" s="1094">
        <v>33331</v>
      </c>
      <c r="P87" s="984">
        <v>15750</v>
      </c>
      <c r="Q87" s="280">
        <v>180</v>
      </c>
      <c r="R87" s="123"/>
      <c r="S87" s="53"/>
      <c r="T87" s="277"/>
      <c r="U87" s="277"/>
      <c r="V87" s="277"/>
      <c r="W87" s="277"/>
      <c r="X87" s="277"/>
      <c r="Y87" s="277"/>
      <c r="Z87" s="277"/>
      <c r="AA87" s="277"/>
      <c r="AF87" s="17"/>
      <c r="AG87" s="17"/>
      <c r="AH87" s="17"/>
      <c r="AI87" s="17"/>
      <c r="AJ87" s="17"/>
      <c r="AK87" s="17"/>
      <c r="AL87" s="17"/>
    </row>
    <row r="88" spans="1:38" ht="30" customHeight="1">
      <c r="A88" s="670"/>
      <c r="C88" s="1099"/>
      <c r="D88" s="1100" t="s">
        <v>950</v>
      </c>
      <c r="E88" s="455"/>
      <c r="F88" s="1101"/>
      <c r="G88" s="1102"/>
      <c r="I88" s="304"/>
      <c r="N88" s="1094" t="s">
        <v>2272</v>
      </c>
      <c r="O88" s="1094">
        <v>34650</v>
      </c>
      <c r="P88" s="984">
        <v>23100</v>
      </c>
      <c r="Q88" s="280">
        <v>230</v>
      </c>
      <c r="R88" s="123"/>
      <c r="S88" s="53"/>
      <c r="T88" s="277"/>
      <c r="U88" s="777" t="str">
        <f>'E CT_LT'!C22</f>
        <v xml:space="preserve">Premium Ratio  : </v>
      </c>
      <c r="V88" s="778" t="str">
        <f>'E CT_LT'!D22</f>
        <v xml:space="preserve"> H.P.</v>
      </c>
      <c r="W88" s="778" t="str">
        <f>'E CT_LT'!E22</f>
        <v xml:space="preserve"> Frame</v>
      </c>
      <c r="X88" s="779" t="str">
        <f>'E CT_LT'!F22</f>
        <v>Pricr of Gear Box</v>
      </c>
      <c r="Y88" s="778" t="str">
        <f>'E CT_LT'!G22</f>
        <v>Gear Coupling (Acc. Elite &amp; Class)</v>
      </c>
      <c r="Z88" s="779" t="str">
        <f>'E CT_LT'!H22</f>
        <v>Weight OF GB</v>
      </c>
      <c r="AA88" s="3" t="str">
        <f>'E CT_LT'!I15</f>
        <v>Right</v>
      </c>
      <c r="AF88" s="17"/>
      <c r="AG88" s="17"/>
      <c r="AH88" s="17"/>
      <c r="AI88" s="17"/>
      <c r="AJ88" s="17"/>
      <c r="AK88" s="17"/>
      <c r="AL88" s="17"/>
    </row>
    <row r="89" spans="1:38">
      <c r="A89" s="670"/>
      <c r="B89" s="462"/>
      <c r="C89" s="53" t="s">
        <v>951</v>
      </c>
      <c r="D89" s="53">
        <f>I42</f>
        <v>190</v>
      </c>
      <c r="E89" s="80" t="s">
        <v>952</v>
      </c>
      <c r="F89" s="20"/>
      <c r="G89" s="17"/>
      <c r="I89" s="304"/>
      <c r="N89" s="1094" t="s">
        <v>2273</v>
      </c>
      <c r="O89" s="1094">
        <v>53550</v>
      </c>
      <c r="P89" s="984">
        <v>26250</v>
      </c>
      <c r="Q89" s="280">
        <v>310</v>
      </c>
      <c r="R89" s="123"/>
      <c r="S89" s="53"/>
      <c r="T89" s="11">
        <f>'E CT_LT'!B23</f>
        <v>2.5247365439093672E-2</v>
      </c>
      <c r="U89" s="763">
        <f>'E CT_LT'!C23</f>
        <v>70.599999999999994</v>
      </c>
      <c r="V89" s="285">
        <f>'E CT_LT'!D23</f>
        <v>5.16</v>
      </c>
      <c r="W89" s="285" t="str">
        <f>'E CT_LT'!E23</f>
        <v>PCD3 140</v>
      </c>
      <c r="X89" s="285">
        <f>'E CT_LT'!F23</f>
        <v>89700</v>
      </c>
      <c r="Y89" s="285">
        <f>'E CT_LT'!G23</f>
        <v>0</v>
      </c>
      <c r="Z89" s="285">
        <f>'E CT_LT'!H23</f>
        <v>299</v>
      </c>
      <c r="AA89" s="281"/>
      <c r="AF89" s="17"/>
      <c r="AG89" s="17"/>
      <c r="AH89" s="17"/>
      <c r="AI89" s="17"/>
      <c r="AJ89" s="17"/>
      <c r="AK89" s="17"/>
      <c r="AL89" s="17"/>
    </row>
    <row r="90" spans="1:38">
      <c r="A90" s="670"/>
      <c r="B90" s="669"/>
      <c r="C90" s="53" t="s">
        <v>953</v>
      </c>
      <c r="D90" s="1103">
        <f>K113</f>
        <v>1.05</v>
      </c>
      <c r="E90" s="80" t="s">
        <v>954</v>
      </c>
      <c r="F90" s="1101"/>
      <c r="G90" s="1102"/>
      <c r="I90" s="1104">
        <f>'E Data'!D16</f>
        <v>15</v>
      </c>
      <c r="N90" s="1094" t="s">
        <v>2274</v>
      </c>
      <c r="O90" s="1094">
        <v>75600</v>
      </c>
      <c r="P90" s="984">
        <v>29400</v>
      </c>
      <c r="Q90" s="280">
        <v>400</v>
      </c>
      <c r="R90" s="123"/>
      <c r="S90" s="53"/>
      <c r="T90" s="11">
        <f>'E CT_LT'!B24</f>
        <v>7.4393043478260701E-2</v>
      </c>
      <c r="U90" s="763">
        <f>'E CT_LT'!C24</f>
        <v>78.2</v>
      </c>
      <c r="V90" s="285">
        <f>'E CT_LT'!D24</f>
        <v>4.5599999999999996</v>
      </c>
      <c r="W90" s="285" t="str">
        <f>'E CT_LT'!E24</f>
        <v>PCD3 140</v>
      </c>
      <c r="X90" s="285">
        <f>'E CT_LT'!F24</f>
        <v>89700</v>
      </c>
      <c r="Y90" s="285">
        <f>'E CT_LT'!G24</f>
        <v>0</v>
      </c>
      <c r="Z90" s="285">
        <f>'E CT_LT'!H24</f>
        <v>299</v>
      </c>
      <c r="AA90" s="281"/>
      <c r="AF90" s="17"/>
      <c r="AG90" s="17"/>
      <c r="AH90" s="17"/>
      <c r="AI90" s="17"/>
      <c r="AJ90" s="17"/>
      <c r="AK90" s="17"/>
      <c r="AL90" s="17"/>
    </row>
    <row r="91" spans="1:38">
      <c r="A91" s="670"/>
      <c r="B91" s="462"/>
      <c r="C91" s="53" t="s">
        <v>955</v>
      </c>
      <c r="D91" s="53">
        <f>J100</f>
        <v>1</v>
      </c>
      <c r="E91" s="80" t="s">
        <v>956</v>
      </c>
      <c r="F91" s="1101"/>
      <c r="G91" s="1102"/>
      <c r="I91" s="1104">
        <f>I16/2</f>
        <v>2</v>
      </c>
      <c r="N91" s="1094" t="s">
        <v>2275</v>
      </c>
      <c r="O91" s="1094">
        <v>85050</v>
      </c>
      <c r="P91" s="984">
        <v>33600</v>
      </c>
      <c r="Q91" s="280">
        <v>400</v>
      </c>
      <c r="R91" s="123"/>
      <c r="S91" s="53"/>
      <c r="T91" s="1"/>
      <c r="U91" s="281"/>
      <c r="V91" s="281"/>
      <c r="W91" s="281"/>
      <c r="X91" s="281"/>
      <c r="Y91" s="281"/>
      <c r="Z91" s="281"/>
      <c r="AA91" s="281"/>
      <c r="AF91" s="17"/>
      <c r="AG91" s="17"/>
      <c r="AH91" s="17"/>
      <c r="AI91" s="17"/>
      <c r="AJ91" s="17"/>
      <c r="AK91" s="17"/>
      <c r="AL91" s="17"/>
    </row>
    <row r="92" spans="1:38" ht="30" customHeight="1">
      <c r="A92" s="1105" t="str">
        <f>IF(B94="R",IF(A94="R",IF(B93="R",IF(A93="R","Right"))))</f>
        <v>Right</v>
      </c>
      <c r="B92" s="669"/>
      <c r="C92" s="53" t="s">
        <v>957</v>
      </c>
      <c r="D92" s="53">
        <f>G100</f>
        <v>1.0900000000000001</v>
      </c>
      <c r="E92" s="80" t="s">
        <v>958</v>
      </c>
      <c r="F92" s="1101"/>
      <c r="G92" s="20"/>
      <c r="I92" s="1104">
        <f>I49</f>
        <v>320</v>
      </c>
      <c r="N92" s="1094" t="s">
        <v>2276</v>
      </c>
      <c r="O92" s="1094">
        <v>130200</v>
      </c>
      <c r="P92" s="984">
        <v>36750</v>
      </c>
      <c r="Q92" s="280">
        <v>450</v>
      </c>
      <c r="R92" s="123"/>
      <c r="S92" s="53"/>
      <c r="T92" s="1"/>
      <c r="U92" s="3530" t="str">
        <f>'E CT_LT'!C26</f>
        <v xml:space="preserve">Elecon Ratio  : </v>
      </c>
      <c r="V92" s="779" t="str">
        <f>'E CT_LT'!D26</f>
        <v xml:space="preserve"> H.P.</v>
      </c>
      <c r="W92" s="779" t="str">
        <f>'E CT_LT'!E26</f>
        <v xml:space="preserve"> Frame</v>
      </c>
      <c r="X92" s="779" t="str">
        <f>'E CT_LT'!F26</f>
        <v>Pricr of Gear Box</v>
      </c>
      <c r="Y92" s="779" t="str">
        <f>'E CT_LT'!G26</f>
        <v>Gear Coupling (Acc. Elite &amp; Class)</v>
      </c>
      <c r="Z92" s="779" t="str">
        <f>'E CT_LT'!H26</f>
        <v>Weight OF GB</v>
      </c>
      <c r="AA92" s="3" t="str">
        <f>'E CT_LT'!I22</f>
        <v>Right</v>
      </c>
      <c r="AF92" s="17"/>
      <c r="AG92" s="17"/>
      <c r="AH92" s="17"/>
      <c r="AI92" s="17"/>
      <c r="AJ92" s="17"/>
      <c r="AK92" s="17"/>
      <c r="AL92" s="17"/>
    </row>
    <row r="93" spans="1:38">
      <c r="A93" s="1106" t="str">
        <f>IF(D93&gt;C95,"R","Wr")</f>
        <v>R</v>
      </c>
      <c r="B93" s="53" t="str">
        <f>IF(B96&gt;F97,"R","Wr")</f>
        <v>R</v>
      </c>
      <c r="C93" s="53" t="s">
        <v>948</v>
      </c>
      <c r="D93" s="1107">
        <f>(1.3*(D89*D90)/(D91*D92))</f>
        <v>237.93577981651376</v>
      </c>
      <c r="E93" s="80"/>
      <c r="F93" s="669"/>
      <c r="G93" s="462"/>
      <c r="I93" s="304"/>
      <c r="M93" s="17"/>
      <c r="N93" s="1094" t="s">
        <v>2278</v>
      </c>
      <c r="O93" s="1094">
        <v>164052</v>
      </c>
      <c r="P93" s="984">
        <v>42000</v>
      </c>
      <c r="Q93" s="2455">
        <v>550</v>
      </c>
      <c r="R93" s="123"/>
      <c r="S93" s="53"/>
      <c r="T93" s="11">
        <f>'E CT_LT'!B27</f>
        <v>1.9471323943662133E-2</v>
      </c>
      <c r="U93" s="763">
        <f>'E CT_LT'!C27</f>
        <v>71</v>
      </c>
      <c r="V93" s="285">
        <f>'E CT_LT'!D27</f>
        <v>6.5</v>
      </c>
      <c r="W93" s="285" t="str">
        <f>'E CT_LT'!E27</f>
        <v>SCN 160</v>
      </c>
      <c r="X93" s="285">
        <f>'E CT_LT'!F27</f>
        <v>50400</v>
      </c>
      <c r="Y93" s="285">
        <f>'E CT_LT'!G27</f>
        <v>0</v>
      </c>
      <c r="Z93" s="285">
        <f>'E CT_LT'!H27</f>
        <v>168</v>
      </c>
      <c r="AA93" s="281"/>
      <c r="AF93" s="17"/>
      <c r="AG93" s="17"/>
      <c r="AH93" s="17"/>
      <c r="AI93" s="17"/>
      <c r="AJ93" s="17"/>
      <c r="AK93" s="17"/>
      <c r="AL93" s="17"/>
    </row>
    <row r="94" spans="1:38" ht="14.65" thickBot="1">
      <c r="A94" s="1106" t="str">
        <f>IF(D93&lt;B95,"R","W")</f>
        <v>R</v>
      </c>
      <c r="B94" s="53" t="str">
        <f>IF(C96&lt;F97,"R","W")</f>
        <v>R</v>
      </c>
      <c r="C94" s="1108"/>
      <c r="D94" s="118"/>
      <c r="E94" s="118"/>
      <c r="F94" s="20"/>
      <c r="G94" s="20"/>
      <c r="I94" s="304"/>
      <c r="L94" s="20"/>
      <c r="M94" s="20"/>
      <c r="N94" s="1094" t="s">
        <v>677</v>
      </c>
      <c r="O94" s="1094">
        <v>46200</v>
      </c>
      <c r="P94" s="984">
        <v>52500</v>
      </c>
      <c r="Q94" s="735">
        <v>330</v>
      </c>
      <c r="R94" s="123"/>
      <c r="S94" s="53"/>
      <c r="T94" s="11">
        <f>'E CT_LT'!B28</f>
        <v>9.5219199999999837E-2</v>
      </c>
      <c r="U94" s="763">
        <f>'E CT_LT'!C28</f>
        <v>80</v>
      </c>
      <c r="V94" s="285">
        <f>'E CT_LT'!D28</f>
        <v>6</v>
      </c>
      <c r="W94" s="285" t="str">
        <f>'E CT_LT'!E28</f>
        <v>SCN 160</v>
      </c>
      <c r="X94" s="285">
        <f>'E CT_LT'!F28</f>
        <v>50400</v>
      </c>
      <c r="Y94" s="285">
        <f>'E CT_LT'!G28</f>
        <v>0</v>
      </c>
      <c r="Z94" s="285">
        <f>'E CT_LT'!H28</f>
        <v>168</v>
      </c>
      <c r="AA94" s="281"/>
      <c r="AF94" s="17"/>
      <c r="AG94" s="17"/>
      <c r="AH94" s="17"/>
      <c r="AI94" s="17"/>
      <c r="AJ94" s="17"/>
      <c r="AK94" s="17"/>
      <c r="AL94" s="17"/>
    </row>
    <row r="95" spans="1:38" ht="14.65" thickBot="1">
      <c r="A95" s="1109" t="s">
        <v>960</v>
      </c>
      <c r="B95" s="1110">
        <f>B101</f>
        <v>250</v>
      </c>
      <c r="C95" s="1111">
        <f>B100</f>
        <v>224</v>
      </c>
      <c r="E95" s="43" t="s">
        <v>160</v>
      </c>
      <c r="F95" s="80">
        <f>(B95-D93)/(B95-C95)</f>
        <v>0.46400846859562467</v>
      </c>
      <c r="G95" s="20"/>
      <c r="I95" s="304"/>
      <c r="N95" s="1094" t="s">
        <v>2279</v>
      </c>
      <c r="O95" s="1094">
        <v>54075</v>
      </c>
      <c r="P95" s="984">
        <v>57750</v>
      </c>
      <c r="Q95" s="735">
        <v>450</v>
      </c>
      <c r="R95" s="123"/>
      <c r="S95" s="53"/>
      <c r="T95" s="277"/>
      <c r="U95" s="277"/>
      <c r="V95" s="277"/>
      <c r="W95" s="277"/>
      <c r="X95" s="277"/>
      <c r="Y95" s="277"/>
      <c r="Z95" s="277"/>
      <c r="AA95" s="277"/>
      <c r="AF95" s="17"/>
      <c r="AG95" s="17"/>
      <c r="AH95" s="17"/>
      <c r="AI95" s="17"/>
      <c r="AJ95" s="17"/>
      <c r="AK95" s="17"/>
      <c r="AL95" s="17"/>
    </row>
    <row r="96" spans="1:38" ht="14.65" thickBot="1">
      <c r="A96" s="1036" t="s">
        <v>963</v>
      </c>
      <c r="B96" s="302">
        <f>C101</f>
        <v>5.3</v>
      </c>
      <c r="C96" s="19">
        <f>C100</f>
        <v>4.05</v>
      </c>
      <c r="E96" s="43" t="s">
        <v>160</v>
      </c>
      <c r="F96" s="703">
        <f>F95*(B96-C96)</f>
        <v>0.58001058574453079</v>
      </c>
      <c r="G96" s="20"/>
      <c r="I96" s="326"/>
      <c r="N96" s="1094" t="s">
        <v>680</v>
      </c>
      <c r="O96" s="1094">
        <v>81900</v>
      </c>
      <c r="P96" s="984">
        <v>73500</v>
      </c>
      <c r="Q96" s="983">
        <v>550</v>
      </c>
      <c r="R96" s="123"/>
      <c r="S96" s="53"/>
      <c r="T96" s="277"/>
      <c r="U96" s="762"/>
      <c r="V96" s="281"/>
      <c r="W96" s="281"/>
      <c r="X96" s="281"/>
      <c r="Y96" s="281"/>
      <c r="Z96" s="281"/>
      <c r="AA96" s="281"/>
      <c r="AF96" s="17"/>
      <c r="AG96" s="17"/>
      <c r="AH96" s="17"/>
      <c r="AI96" s="17"/>
      <c r="AJ96" s="17"/>
      <c r="AK96" s="17"/>
      <c r="AL96" s="17"/>
    </row>
    <row r="97" spans="1:38" ht="18" customHeight="1" thickBot="1">
      <c r="A97" s="394"/>
      <c r="B97" s="135"/>
      <c r="C97" s="135"/>
      <c r="D97" s="135"/>
      <c r="E97" s="1112" t="s">
        <v>964</v>
      </c>
      <c r="F97" s="992">
        <f>B96-F96</f>
        <v>4.719989414255469</v>
      </c>
      <c r="G97" s="135"/>
      <c r="H97" s="121"/>
      <c r="I97" s="395"/>
      <c r="N97" s="1094" t="s">
        <v>2280</v>
      </c>
      <c r="O97" s="1094">
        <v>111300</v>
      </c>
      <c r="P97" s="1094">
        <f>+P96*1.05</f>
        <v>77175</v>
      </c>
      <c r="Q97" s="983">
        <v>650</v>
      </c>
      <c r="R97" s="123"/>
      <c r="S97" s="53"/>
      <c r="T97" s="277"/>
      <c r="U97" s="777" t="str">
        <f>'E CT_LT'!C31</f>
        <v>Elite : 4137</v>
      </c>
      <c r="V97" s="778" t="str">
        <f>'E CT_LT'!D31</f>
        <v>Lower H.P.</v>
      </c>
      <c r="W97" s="779" t="str">
        <f>'E CT_LT'!E31</f>
        <v>Lower Frame</v>
      </c>
      <c r="X97" s="779" t="str">
        <f>'E CT_LT'!F31</f>
        <v>Pricr of Gear Box</v>
      </c>
      <c r="Y97" s="779" t="str">
        <f>'E CT_LT'!G31</f>
        <v>Gear Coupling</v>
      </c>
      <c r="Z97" s="779" t="str">
        <f>'E CT_LT'!H31</f>
        <v>Weight OF GB</v>
      </c>
      <c r="AA97" s="3" t="str">
        <f>'E CT_LT'!I31</f>
        <v>Right</v>
      </c>
      <c r="AF97" s="20"/>
      <c r="AG97" s="20"/>
      <c r="AH97" s="20"/>
      <c r="AI97" s="20"/>
      <c r="AJ97" s="20"/>
      <c r="AK97" s="20"/>
      <c r="AL97" s="20"/>
    </row>
    <row r="98" spans="1:38">
      <c r="A98" s="20"/>
      <c r="B98" s="20"/>
      <c r="C98" s="20"/>
      <c r="D98" s="20"/>
      <c r="F98" s="67"/>
      <c r="G98" s="20"/>
      <c r="H98" s="20"/>
      <c r="I98" s="17"/>
      <c r="J98" s="1113"/>
      <c r="K98" s="20"/>
      <c r="N98" s="1092" t="str">
        <f>""</f>
        <v/>
      </c>
      <c r="O98" s="1094">
        <v>0</v>
      </c>
      <c r="P98" s="729">
        <v>0</v>
      </c>
      <c r="Q98" s="278">
        <v>0</v>
      </c>
      <c r="R98" s="993"/>
      <c r="S98" s="53"/>
      <c r="T98" s="277"/>
      <c r="U98" s="283" t="str">
        <f>'E CT_LT'!C32</f>
        <v>Class I</v>
      </c>
      <c r="V98" s="284">
        <f>'E CT_LT'!D32</f>
        <v>0</v>
      </c>
      <c r="W98" s="284" t="str">
        <f>'E CT_LT'!E32</f>
        <v>3AH475</v>
      </c>
      <c r="X98" s="284">
        <f>'E CT_LT'!F32</f>
        <v>70660</v>
      </c>
      <c r="Y98" s="284">
        <f>'E CT_LT'!G32</f>
        <v>0</v>
      </c>
      <c r="Z98" s="284">
        <f>'E CT_LT'!H32</f>
        <v>450</v>
      </c>
      <c r="AA98" s="281"/>
      <c r="AF98" s="20"/>
      <c r="AG98" s="20"/>
      <c r="AH98" s="20"/>
      <c r="AI98" s="20"/>
      <c r="AJ98" s="20"/>
      <c r="AK98" s="20"/>
      <c r="AL98" s="20"/>
    </row>
    <row r="99" spans="1:38" ht="14.65" thickBo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N99" s="1092" t="s">
        <v>698</v>
      </c>
      <c r="O99" s="750">
        <f>K81</f>
        <v>300</v>
      </c>
      <c r="P99" s="729" t="s">
        <v>675</v>
      </c>
      <c r="Q99" s="278" t="s">
        <v>695</v>
      </c>
      <c r="R99" s="994"/>
      <c r="S99" s="53"/>
      <c r="T99" s="277"/>
      <c r="U99" s="283" t="str">
        <f>'E CT_LT'!C33</f>
        <v>Class II</v>
      </c>
      <c r="V99" s="284">
        <f>'E CT_LT'!D33</f>
        <v>6.81</v>
      </c>
      <c r="W99" s="284" t="str">
        <f>'E CT_LT'!E33</f>
        <v>3AH475</v>
      </c>
      <c r="X99" s="284">
        <f>'E CT_LT'!F33</f>
        <v>70660</v>
      </c>
      <c r="Y99" s="284">
        <f>'E CT_LT'!G33</f>
        <v>0</v>
      </c>
      <c r="Z99" s="284">
        <f>'E CT_LT'!H33</f>
        <v>450</v>
      </c>
      <c r="AA99" s="281"/>
      <c r="AF99" s="20"/>
      <c r="AG99" s="20"/>
      <c r="AH99" s="20"/>
      <c r="AI99" s="20"/>
      <c r="AJ99" s="20"/>
      <c r="AK99" s="20"/>
      <c r="AL99" s="20"/>
    </row>
    <row r="100" spans="1:38" ht="14.65" thickBot="1">
      <c r="A100" s="1115" t="s">
        <v>965</v>
      </c>
      <c r="B100" s="1116">
        <f>VLOOKUP(D93,A103:A116,1)</f>
        <v>224</v>
      </c>
      <c r="C100" s="1116">
        <f>VLOOKUP(B100,B103:D116,3,0)</f>
        <v>4.05</v>
      </c>
      <c r="D100" s="1117"/>
      <c r="E100" s="20"/>
      <c r="F100" s="1118">
        <f>I49</f>
        <v>320</v>
      </c>
      <c r="G100" s="1118">
        <f>VLOOKUP(F100,F102:G113,2,0)</f>
        <v>1.0900000000000001</v>
      </c>
      <c r="H100" s="20"/>
      <c r="I100" s="1118">
        <f>I16/2</f>
        <v>2</v>
      </c>
      <c r="J100" s="1119">
        <f>VLOOKUP(I100,I102:J109,2,0)</f>
        <v>1</v>
      </c>
      <c r="K100" s="20"/>
      <c r="N100" s="983" t="s">
        <v>699</v>
      </c>
      <c r="O100" s="983">
        <f>Q100*O99</f>
        <v>89700</v>
      </c>
      <c r="P100" s="984">
        <v>23100</v>
      </c>
      <c r="Q100" s="275">
        <f>290+9</f>
        <v>299</v>
      </c>
      <c r="R100" s="1120"/>
      <c r="T100" s="277"/>
      <c r="U100" s="283" t="str">
        <f>'E CT_LT'!C34</f>
        <v>Class III</v>
      </c>
      <c r="V100" s="284">
        <f>'E CT_LT'!D34</f>
        <v>5.67</v>
      </c>
      <c r="W100" s="284" t="str">
        <f>'E CT_LT'!E34</f>
        <v>3AH475</v>
      </c>
      <c r="X100" s="284">
        <f>'E CT_LT'!F34</f>
        <v>70660</v>
      </c>
      <c r="Y100" s="284">
        <f>'E CT_LT'!G34</f>
        <v>0</v>
      </c>
      <c r="Z100" s="284">
        <f>'E CT_LT'!H34</f>
        <v>450</v>
      </c>
      <c r="AA100" s="281"/>
      <c r="AF100" s="20"/>
      <c r="AG100" s="20"/>
      <c r="AH100" s="20"/>
      <c r="AI100" s="20"/>
      <c r="AJ100" s="20"/>
      <c r="AK100" s="20"/>
      <c r="AL100" s="20"/>
    </row>
    <row r="101" spans="1:38" ht="14.65" thickBot="1">
      <c r="A101" s="1121" t="s">
        <v>966</v>
      </c>
      <c r="B101" s="104">
        <f>VLOOKUP(B100,A103:B116,2,0)</f>
        <v>250</v>
      </c>
      <c r="C101" s="104">
        <f>VLOOKUP(B101,B103:D116,3,0)</f>
        <v>5.3</v>
      </c>
      <c r="D101" s="509"/>
      <c r="E101" s="20"/>
      <c r="F101" s="1110" t="s">
        <v>305</v>
      </c>
      <c r="G101" s="492" t="s">
        <v>879</v>
      </c>
      <c r="H101" s="20"/>
      <c r="I101" s="1118" t="s">
        <v>967</v>
      </c>
      <c r="J101" s="1119" t="s">
        <v>2746</v>
      </c>
      <c r="K101" s="20"/>
      <c r="N101" s="983" t="s">
        <v>700</v>
      </c>
      <c r="O101" s="983">
        <f>Q101*O99</f>
        <v>96900</v>
      </c>
      <c r="P101" s="984">
        <v>26250</v>
      </c>
      <c r="Q101" s="275">
        <f>310+13</f>
        <v>323</v>
      </c>
      <c r="R101" s="1120"/>
      <c r="S101" s="53"/>
      <c r="T101" s="277"/>
      <c r="U101" s="283" t="str">
        <f>'E CT_LT'!C35</f>
        <v>Class IV</v>
      </c>
      <c r="V101" s="284">
        <f>'E CT_LT'!D35</f>
        <v>4.38</v>
      </c>
      <c r="W101" s="284" t="str">
        <f>'E CT_LT'!E35</f>
        <v>3AH475</v>
      </c>
      <c r="X101" s="284">
        <f>'E CT_LT'!F35</f>
        <v>70660</v>
      </c>
      <c r="Y101" s="284">
        <f>'E CT_LT'!G35</f>
        <v>0</v>
      </c>
      <c r="Z101" s="284">
        <f>'E CT_LT'!H35</f>
        <v>450</v>
      </c>
      <c r="AA101" s="281"/>
      <c r="AF101" s="20"/>
      <c r="AG101" s="20"/>
      <c r="AH101" s="20"/>
      <c r="AI101" s="20"/>
      <c r="AJ101" s="20"/>
      <c r="AK101" s="20"/>
      <c r="AL101" s="20"/>
    </row>
    <row r="102" spans="1:38" ht="14.65" thickBot="1">
      <c r="A102" s="1122" t="s">
        <v>118</v>
      </c>
      <c r="B102" s="1123" t="s">
        <v>969</v>
      </c>
      <c r="C102" s="1123" t="s">
        <v>970</v>
      </c>
      <c r="D102" s="1124" t="s">
        <v>971</v>
      </c>
      <c r="E102" s="20"/>
      <c r="F102" s="1042">
        <v>160</v>
      </c>
      <c r="G102" s="468">
        <v>1</v>
      </c>
      <c r="H102" s="20"/>
      <c r="I102" s="313">
        <v>2</v>
      </c>
      <c r="J102" s="557">
        <v>1</v>
      </c>
      <c r="K102" s="20"/>
      <c r="N102" s="983" t="s">
        <v>701</v>
      </c>
      <c r="O102" s="983">
        <f>Q102*O99</f>
        <v>104100</v>
      </c>
      <c r="P102" s="984">
        <v>29400</v>
      </c>
      <c r="Q102" s="275">
        <f>330+17</f>
        <v>347</v>
      </c>
      <c r="R102" s="1120"/>
      <c r="S102" s="53"/>
      <c r="T102" s="11">
        <f>'E CT_LT'!B36</f>
        <v>5.9772532942899304E-2</v>
      </c>
      <c r="U102" s="780">
        <f>'E CT_LT'!C36</f>
        <v>68.3</v>
      </c>
      <c r="V102" s="780">
        <f>'E CT_LT'!D36</f>
        <v>6.81</v>
      </c>
      <c r="W102" s="780" t="str">
        <f>'E CT_LT'!E36</f>
        <v>3AH475</v>
      </c>
      <c r="X102" s="780">
        <f>'E CT_LT'!F36</f>
        <v>70660</v>
      </c>
      <c r="Y102" s="780">
        <f>'E CT_LT'!G36</f>
        <v>0</v>
      </c>
      <c r="Z102" s="780">
        <f>'E CT_LT'!H36</f>
        <v>450</v>
      </c>
      <c r="AA102" s="281"/>
      <c r="AF102" s="17"/>
      <c r="AG102" s="17"/>
      <c r="AH102" s="17"/>
      <c r="AI102" s="17"/>
      <c r="AJ102" s="17"/>
      <c r="AK102" s="17"/>
      <c r="AL102" s="17"/>
    </row>
    <row r="103" spans="1:38">
      <c r="A103" s="1125">
        <v>0</v>
      </c>
      <c r="B103" s="95">
        <v>125</v>
      </c>
      <c r="C103" s="95">
        <v>415</v>
      </c>
      <c r="D103" s="96">
        <v>1</v>
      </c>
      <c r="F103" s="1042">
        <v>200</v>
      </c>
      <c r="G103" s="468">
        <v>1.03</v>
      </c>
      <c r="H103" s="20"/>
      <c r="I103" s="313">
        <v>4</v>
      </c>
      <c r="J103" s="557">
        <v>1.08</v>
      </c>
      <c r="K103" s="20"/>
      <c r="N103" s="983" t="s">
        <v>702</v>
      </c>
      <c r="O103" s="983">
        <f>Q103*O99</f>
        <v>120000</v>
      </c>
      <c r="P103" s="984">
        <v>33600</v>
      </c>
      <c r="Q103" s="275">
        <f>380+20</f>
        <v>400</v>
      </c>
      <c r="R103" s="1120"/>
      <c r="S103" s="53"/>
      <c r="T103" s="277"/>
      <c r="U103" s="277"/>
      <c r="V103" s="277"/>
      <c r="W103" s="277"/>
      <c r="X103" s="277"/>
      <c r="Y103" s="277"/>
      <c r="Z103" s="277"/>
      <c r="AA103" s="277"/>
      <c r="AF103" s="17"/>
      <c r="AG103" s="17"/>
      <c r="AH103" s="17"/>
      <c r="AI103" s="17"/>
      <c r="AJ103" s="17"/>
      <c r="AK103" s="17"/>
      <c r="AL103" s="17"/>
    </row>
    <row r="104" spans="1:38">
      <c r="A104" s="1126">
        <v>125</v>
      </c>
      <c r="B104" s="100">
        <v>140</v>
      </c>
      <c r="C104" s="100">
        <v>470</v>
      </c>
      <c r="D104" s="101">
        <v>1.4</v>
      </c>
      <c r="F104" s="1042">
        <v>250</v>
      </c>
      <c r="G104" s="468">
        <v>1.06</v>
      </c>
      <c r="H104" s="20"/>
      <c r="I104" s="313">
        <v>6</v>
      </c>
      <c r="J104" s="557">
        <v>1.1299999999999999</v>
      </c>
      <c r="K104" s="20"/>
      <c r="N104" s="983" t="s">
        <v>703</v>
      </c>
      <c r="O104" s="983">
        <f>Q104*O99</f>
        <v>155100</v>
      </c>
      <c r="P104" s="984">
        <v>36750</v>
      </c>
      <c r="Q104" s="275">
        <f>490+27</f>
        <v>517</v>
      </c>
      <c r="R104" s="1120"/>
      <c r="S104" s="53"/>
      <c r="T104" s="277"/>
      <c r="U104" s="777" t="str">
        <f>'E CT_LT'!C38</f>
        <v>Elite : 4137</v>
      </c>
      <c r="V104" s="778" t="str">
        <f>'E CT_LT'!D38</f>
        <v>Upper H.P.</v>
      </c>
      <c r="W104" s="778" t="str">
        <f>'E CT_LT'!E38</f>
        <v>Upper Frame</v>
      </c>
      <c r="X104" s="779" t="str">
        <f>'E CT_LT'!F38</f>
        <v>Pricr of Gear Box</v>
      </c>
      <c r="Y104" s="779" t="str">
        <f>'E CT_LT'!G38</f>
        <v>Gear Coupling</v>
      </c>
      <c r="Z104" s="779" t="str">
        <f>'E CT_LT'!H38</f>
        <v>Weight OF GB</v>
      </c>
      <c r="AA104" s="2" t="str">
        <f>'E CT_LT'!I38</f>
        <v>Right</v>
      </c>
      <c r="AF104" s="17"/>
      <c r="AG104" s="17"/>
      <c r="AH104" s="17"/>
      <c r="AI104" s="17"/>
      <c r="AJ104" s="17"/>
      <c r="AK104" s="17"/>
      <c r="AL104" s="17"/>
    </row>
    <row r="105" spans="1:38">
      <c r="A105" s="1126">
        <v>140</v>
      </c>
      <c r="B105" s="100">
        <v>160</v>
      </c>
      <c r="C105" s="100">
        <v>540</v>
      </c>
      <c r="D105" s="101">
        <v>1.9</v>
      </c>
      <c r="F105" s="1042">
        <v>320</v>
      </c>
      <c r="G105" s="468">
        <v>1.0900000000000001</v>
      </c>
      <c r="H105" s="20"/>
      <c r="I105" s="313">
        <v>8</v>
      </c>
      <c r="J105" s="557">
        <v>1.17</v>
      </c>
      <c r="K105" s="20"/>
      <c r="N105" s="983" t="s">
        <v>704</v>
      </c>
      <c r="O105" s="983">
        <f>Q105*O99</f>
        <v>199500</v>
      </c>
      <c r="P105" s="984">
        <v>42000</v>
      </c>
      <c r="Q105" s="275">
        <f>630+35</f>
        <v>665</v>
      </c>
      <c r="R105" s="1120"/>
      <c r="S105" s="53"/>
      <c r="T105" s="8"/>
      <c r="U105" s="283" t="str">
        <f>'E CT_LT'!C39</f>
        <v>Class I</v>
      </c>
      <c r="V105" s="285">
        <f>'E CT_LT'!D39</f>
        <v>0</v>
      </c>
      <c r="W105" s="285" t="str">
        <f>'E CT_LT'!E39</f>
        <v>3AH475</v>
      </c>
      <c r="X105" s="284">
        <f>'E CT_LT'!F39</f>
        <v>70660</v>
      </c>
      <c r="Y105" s="285">
        <f>'E CT_LT'!G39</f>
        <v>0</v>
      </c>
      <c r="Z105" s="285">
        <f>'E CT_LT'!H39</f>
        <v>450</v>
      </c>
      <c r="AA105" s="281"/>
      <c r="AF105" s="17"/>
      <c r="AG105" s="17"/>
      <c r="AH105" s="17"/>
      <c r="AI105" s="17"/>
      <c r="AJ105" s="17"/>
      <c r="AK105" s="17"/>
      <c r="AL105" s="17"/>
    </row>
    <row r="106" spans="1:38">
      <c r="A106" s="1126">
        <v>160</v>
      </c>
      <c r="B106" s="100">
        <v>180</v>
      </c>
      <c r="C106" s="100">
        <v>605</v>
      </c>
      <c r="D106" s="101">
        <v>2.5</v>
      </c>
      <c r="F106" s="1042">
        <v>400</v>
      </c>
      <c r="G106" s="468">
        <v>1.1200000000000001</v>
      </c>
      <c r="H106" s="20"/>
      <c r="I106" s="313">
        <v>10</v>
      </c>
      <c r="J106" s="557">
        <v>1.2</v>
      </c>
      <c r="K106" s="20"/>
      <c r="N106" s="983" t="s">
        <v>705</v>
      </c>
      <c r="O106" s="983">
        <f>Q106*O99</f>
        <v>270000</v>
      </c>
      <c r="P106" s="984">
        <v>52500</v>
      </c>
      <c r="Q106" s="275">
        <f>850+50</f>
        <v>900</v>
      </c>
      <c r="R106" s="1120"/>
      <c r="S106" s="53"/>
      <c r="T106" s="277"/>
      <c r="U106" s="283" t="str">
        <f>'E CT_LT'!C40</f>
        <v>Class II</v>
      </c>
      <c r="V106" s="285">
        <f>'E CT_LT'!D40</f>
        <v>6.26</v>
      </c>
      <c r="W106" s="285" t="str">
        <f>'E CT_LT'!E40</f>
        <v>3AH475</v>
      </c>
      <c r="X106" s="284">
        <f>'E CT_LT'!F40</f>
        <v>70660</v>
      </c>
      <c r="Y106" s="284">
        <f>'E CT_LT'!G40</f>
        <v>0</v>
      </c>
      <c r="Z106" s="284">
        <f>'E CT_LT'!H40</f>
        <v>450</v>
      </c>
      <c r="AA106" s="281"/>
      <c r="AF106" s="17"/>
      <c r="AG106" s="17"/>
      <c r="AH106" s="17"/>
      <c r="AI106" s="17"/>
      <c r="AJ106" s="17"/>
      <c r="AK106" s="17"/>
      <c r="AL106" s="17"/>
    </row>
    <row r="107" spans="1:38">
      <c r="A107" s="1126">
        <v>180</v>
      </c>
      <c r="B107" s="100">
        <v>200</v>
      </c>
      <c r="C107" s="100">
        <v>680</v>
      </c>
      <c r="D107" s="101">
        <v>3.15</v>
      </c>
      <c r="F107" s="1042">
        <v>500</v>
      </c>
      <c r="G107" s="468">
        <v>1.1499999999999999</v>
      </c>
      <c r="H107" s="20"/>
      <c r="I107" s="313">
        <v>12</v>
      </c>
      <c r="J107" s="557">
        <v>1.22</v>
      </c>
      <c r="K107" s="20"/>
      <c r="N107" s="983" t="s">
        <v>708</v>
      </c>
      <c r="O107" s="983">
        <f>Q107*O99</f>
        <v>366000</v>
      </c>
      <c r="P107" s="984">
        <v>57750</v>
      </c>
      <c r="Q107" s="275">
        <f>1150+70</f>
        <v>1220</v>
      </c>
      <c r="R107" s="1120"/>
      <c r="S107" s="53"/>
      <c r="T107" s="286"/>
      <c r="U107" s="283" t="str">
        <f>'E CT_LT'!C41</f>
        <v>Class III</v>
      </c>
      <c r="V107" s="285">
        <f>'E CT_LT'!D41</f>
        <v>5.2</v>
      </c>
      <c r="W107" s="285" t="str">
        <f>'E CT_LT'!E41</f>
        <v>3AH475</v>
      </c>
      <c r="X107" s="284">
        <f>'E CT_LT'!F41</f>
        <v>70660</v>
      </c>
      <c r="Y107" s="284">
        <f>'E CT_LT'!G41</f>
        <v>0</v>
      </c>
      <c r="Z107" s="284">
        <f>'E CT_LT'!H41</f>
        <v>450</v>
      </c>
      <c r="AA107" s="281"/>
      <c r="AF107" s="17"/>
      <c r="AG107" s="17"/>
      <c r="AH107" s="17"/>
      <c r="AI107" s="17"/>
      <c r="AJ107" s="17"/>
      <c r="AK107" s="17"/>
      <c r="AL107" s="17"/>
    </row>
    <row r="108" spans="1:38">
      <c r="A108" s="1126">
        <v>200</v>
      </c>
      <c r="B108" s="100">
        <v>224</v>
      </c>
      <c r="C108" s="100">
        <v>760</v>
      </c>
      <c r="D108" s="101">
        <v>4.05</v>
      </c>
      <c r="F108" s="1042">
        <v>630</v>
      </c>
      <c r="G108" s="468">
        <v>1.18</v>
      </c>
      <c r="H108" s="20"/>
      <c r="I108" s="313">
        <v>14</v>
      </c>
      <c r="J108" s="557">
        <v>1.24</v>
      </c>
      <c r="K108" s="20"/>
      <c r="N108" s="983" t="s">
        <v>709</v>
      </c>
      <c r="O108" s="983">
        <f>Q108*O99</f>
        <v>487500</v>
      </c>
      <c r="P108" s="984">
        <v>73500</v>
      </c>
      <c r="Q108" s="275">
        <f>1525+100</f>
        <v>1625</v>
      </c>
      <c r="R108" s="1120"/>
      <c r="S108" s="53"/>
      <c r="T108" s="277"/>
      <c r="U108" s="283" t="str">
        <f>'E CT_LT'!C42</f>
        <v>Class IV</v>
      </c>
      <c r="V108" s="285">
        <f>'E CT_LT'!D42</f>
        <v>4.08</v>
      </c>
      <c r="W108" s="285" t="str">
        <f>'E CT_LT'!E42</f>
        <v>3AH475</v>
      </c>
      <c r="X108" s="284">
        <f>'E CT_LT'!F42</f>
        <v>70660</v>
      </c>
      <c r="Y108" s="284">
        <f>'E CT_LT'!G42</f>
        <v>0</v>
      </c>
      <c r="Z108" s="284">
        <f>'E CT_LT'!H42</f>
        <v>450</v>
      </c>
      <c r="AA108" s="281"/>
      <c r="AF108" s="17"/>
      <c r="AG108" s="17"/>
      <c r="AH108" s="17"/>
      <c r="AI108" s="17"/>
      <c r="AJ108" s="17"/>
      <c r="AK108" s="17"/>
      <c r="AL108" s="17"/>
    </row>
    <row r="109" spans="1:38" ht="14.65" thickBot="1">
      <c r="A109" s="1126">
        <v>224</v>
      </c>
      <c r="B109" s="100">
        <v>250</v>
      </c>
      <c r="C109" s="100">
        <v>845</v>
      </c>
      <c r="D109" s="101">
        <v>5.3</v>
      </c>
      <c r="F109" s="1042">
        <v>710</v>
      </c>
      <c r="G109" s="468">
        <v>1.21</v>
      </c>
      <c r="H109" s="20"/>
      <c r="I109" s="130">
        <v>16</v>
      </c>
      <c r="J109" s="1127">
        <v>1.26</v>
      </c>
      <c r="K109" s="20"/>
      <c r="N109" s="983" t="s">
        <v>710</v>
      </c>
      <c r="O109" s="983">
        <f>Q109*O99</f>
        <v>666000</v>
      </c>
      <c r="P109" s="984">
        <f>+P108*1.05</f>
        <v>77175</v>
      </c>
      <c r="Q109" s="275">
        <f>2080+140</f>
        <v>2220</v>
      </c>
      <c r="R109" s="1120"/>
      <c r="S109" s="53"/>
      <c r="T109" s="11">
        <f>'E CT_LT'!B43</f>
        <v>1.7877014925372969E-2</v>
      </c>
      <c r="U109" s="780">
        <f>'E CT_LT'!C43</f>
        <v>73.7</v>
      </c>
      <c r="V109" s="780">
        <f>'E CT_LT'!D43</f>
        <v>6.26</v>
      </c>
      <c r="W109" s="780" t="str">
        <f>'E CT_LT'!E43</f>
        <v>3AH475</v>
      </c>
      <c r="X109" s="780">
        <f>'E CT_LT'!F43</f>
        <v>70660</v>
      </c>
      <c r="Y109" s="780">
        <f>'E CT_LT'!G43</f>
        <v>0</v>
      </c>
      <c r="Z109" s="780">
        <f>'E CT_LT'!H43</f>
        <v>450</v>
      </c>
      <c r="AA109" s="281"/>
      <c r="AF109" s="17"/>
      <c r="AG109" s="17"/>
      <c r="AH109" s="17"/>
      <c r="AI109" s="17"/>
      <c r="AJ109" s="17"/>
      <c r="AK109" s="17"/>
      <c r="AL109" s="17"/>
    </row>
    <row r="110" spans="1:38">
      <c r="A110" s="1126">
        <v>250</v>
      </c>
      <c r="B110" s="100">
        <v>280</v>
      </c>
      <c r="C110" s="100">
        <v>950</v>
      </c>
      <c r="D110" s="101">
        <v>6.7</v>
      </c>
      <c r="F110" s="1042">
        <v>800</v>
      </c>
      <c r="G110" s="468">
        <v>1.21</v>
      </c>
      <c r="H110" s="20"/>
      <c r="I110" s="20"/>
      <c r="J110" s="20"/>
      <c r="K110" s="20"/>
      <c r="N110" s="983" t="s">
        <v>711</v>
      </c>
      <c r="O110" s="983">
        <f>Q110*O99</f>
        <v>913500</v>
      </c>
      <c r="P110" s="984">
        <f>+P109*1.05</f>
        <v>81033.75</v>
      </c>
      <c r="Q110" s="275">
        <f>2840+205</f>
        <v>3045</v>
      </c>
      <c r="R110" s="1120"/>
      <c r="S110" s="53"/>
      <c r="T110" s="1128"/>
      <c r="V110" s="19"/>
      <c r="AF110" s="17"/>
      <c r="AG110" s="17"/>
      <c r="AH110" s="17"/>
      <c r="AI110" s="17"/>
      <c r="AJ110" s="17"/>
      <c r="AK110" s="17"/>
      <c r="AL110" s="17"/>
    </row>
    <row r="111" spans="1:38">
      <c r="A111" s="1126">
        <v>280</v>
      </c>
      <c r="B111" s="100">
        <v>315</v>
      </c>
      <c r="C111" s="100">
        <v>1065</v>
      </c>
      <c r="D111" s="101">
        <v>8.65</v>
      </c>
      <c r="F111" s="1042">
        <v>900</v>
      </c>
      <c r="G111" s="468">
        <v>1.24</v>
      </c>
      <c r="H111" s="20"/>
      <c r="I111" s="20"/>
      <c r="J111" s="20"/>
      <c r="K111" s="20"/>
      <c r="N111" s="983" t="s">
        <v>712</v>
      </c>
      <c r="O111" s="983">
        <f>Q111*O99</f>
        <v>1258500</v>
      </c>
      <c r="P111" s="984">
        <f>+P110*1.05</f>
        <v>85085.4375</v>
      </c>
      <c r="Q111" s="275">
        <f>3780+415</f>
        <v>4195</v>
      </c>
      <c r="R111" s="1120"/>
      <c r="S111" s="53"/>
      <c r="T111" s="1128"/>
      <c r="V111" s="22" t="s">
        <v>2662</v>
      </c>
      <c r="W111" s="22" t="str">
        <f>IF(T66="A",X111,X112)</f>
        <v>Right</v>
      </c>
      <c r="X111" s="22" t="str">
        <f>IF(AA81="Right",IF(AA74="Right","Right","3177 Down Wrong"),IF(AA74="Right","3177 UP Wrong","3177 Up &amp; Down Wrong "))</f>
        <v>Right</v>
      </c>
      <c r="AF111" s="17"/>
      <c r="AG111" s="17"/>
      <c r="AH111" s="17"/>
      <c r="AI111" s="17"/>
      <c r="AJ111" s="17"/>
      <c r="AK111" s="17"/>
      <c r="AL111" s="17"/>
    </row>
    <row r="112" spans="1:38" ht="14.65" thickBot="1">
      <c r="A112" s="1126">
        <v>315</v>
      </c>
      <c r="B112" s="100">
        <v>355</v>
      </c>
      <c r="C112" s="100">
        <v>1200</v>
      </c>
      <c r="D112" s="101">
        <v>11.2</v>
      </c>
      <c r="F112" s="1042">
        <v>1000</v>
      </c>
      <c r="G112" s="468">
        <v>1.24</v>
      </c>
      <c r="H112" s="20"/>
      <c r="I112" s="20"/>
      <c r="J112" s="20"/>
      <c r="K112" s="20"/>
      <c r="L112" s="20"/>
      <c r="M112" s="20"/>
      <c r="N112" s="280" t="s">
        <v>713</v>
      </c>
      <c r="O112" s="983">
        <f>Q112*O99</f>
        <v>1695000</v>
      </c>
      <c r="P112" s="995">
        <f>+P111*10.5</f>
        <v>893397.09375</v>
      </c>
      <c r="Q112" s="280">
        <f>5100+550</f>
        <v>5650</v>
      </c>
      <c r="R112" s="277"/>
      <c r="S112" s="53"/>
      <c r="T112" s="1128"/>
      <c r="V112" s="22" t="s">
        <v>656</v>
      </c>
      <c r="W112" s="281" t="str">
        <f>IF(AA88="Right","Right","Premium Wrong")</f>
        <v>Right</v>
      </c>
      <c r="X112" s="22" t="str">
        <f>IF(AA104="Right",IF(AA97="Right","Right","4137 Down Wrong"),IF(AA97="Right","4137 UP Wrong","4137 Up &amp; Down Wrong "))</f>
        <v>Right</v>
      </c>
      <c r="Y112" s="19"/>
      <c r="Z112" s="19"/>
      <c r="AA112" s="19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</row>
    <row r="113" spans="1:38" ht="14.65" thickBot="1">
      <c r="A113" s="1126">
        <v>355</v>
      </c>
      <c r="B113" s="100">
        <v>400</v>
      </c>
      <c r="C113" s="100">
        <v>1355</v>
      </c>
      <c r="D113" s="101">
        <v>14.5</v>
      </c>
      <c r="F113" s="212">
        <v>1250</v>
      </c>
      <c r="G113" s="1129">
        <v>1.27</v>
      </c>
      <c r="H113" s="20"/>
      <c r="I113" s="996">
        <f>VLOOKUP(K114,I116:I126,1)</f>
        <v>10</v>
      </c>
      <c r="J113" s="1130">
        <f>VLOOKUP(I113,I116:J126,2,0)</f>
        <v>16</v>
      </c>
      <c r="K113" s="1131">
        <f>VLOOKUP(J114,J116:K126,2,0)</f>
        <v>1.05</v>
      </c>
      <c r="L113" s="20"/>
      <c r="M113" s="20"/>
      <c r="N113" s="280" t="s">
        <v>2189</v>
      </c>
      <c r="O113" s="983">
        <f>Q113*O99</f>
        <v>2317500</v>
      </c>
      <c r="P113" s="995">
        <f>+P112*1.05</f>
        <v>938066.94843750005</v>
      </c>
      <c r="Q113" s="280">
        <f>6900+825</f>
        <v>7725</v>
      </c>
      <c r="R113" s="277"/>
      <c r="S113" s="53"/>
      <c r="T113" s="1128"/>
      <c r="V113" s="22" t="s">
        <v>660</v>
      </c>
      <c r="W113" s="281" t="str">
        <f>IF(AA92="Right","Right","Elecon Wrong")</f>
        <v>Right</v>
      </c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</row>
    <row r="114" spans="1:38" ht="14.65" thickBot="1">
      <c r="A114" s="1126">
        <v>400</v>
      </c>
      <c r="B114" s="100">
        <v>450</v>
      </c>
      <c r="C114" s="100">
        <v>1530</v>
      </c>
      <c r="D114" s="101">
        <v>18.7</v>
      </c>
      <c r="H114" s="20"/>
      <c r="I114" s="997">
        <f>IFERROR(VLOOKUP(K114,I116:I126,1,0),0)</f>
        <v>0</v>
      </c>
      <c r="J114" s="267">
        <f>IF(I114&gt;0,I114,J113)</f>
        <v>16</v>
      </c>
      <c r="K114" s="998">
        <f>'E Data'!D16</f>
        <v>15</v>
      </c>
      <c r="L114" s="20"/>
      <c r="M114" s="20"/>
      <c r="N114" s="278" t="s">
        <v>2239</v>
      </c>
      <c r="O114" s="278" t="s">
        <v>674</v>
      </c>
      <c r="P114" s="729" t="s">
        <v>675</v>
      </c>
      <c r="Q114" s="278" t="s">
        <v>695</v>
      </c>
      <c r="R114" s="1093"/>
      <c r="S114" s="53"/>
      <c r="T114" s="1128"/>
      <c r="U114" s="22" t="s">
        <v>714</v>
      </c>
      <c r="V114" s="781" t="str">
        <f>I72</f>
        <v>Elite</v>
      </c>
      <c r="W114" s="782" t="str">
        <f>VLOOKUP(V114,V111:W113,2,0)</f>
        <v>Right</v>
      </c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</row>
    <row r="115" spans="1:38" ht="14.65" thickBot="1">
      <c r="A115" s="1126">
        <v>450</v>
      </c>
      <c r="B115" s="100">
        <v>500</v>
      </c>
      <c r="C115" s="100">
        <v>1725</v>
      </c>
      <c r="D115" s="101">
        <v>23.2</v>
      </c>
      <c r="F115" s="53"/>
      <c r="H115" s="20"/>
      <c r="I115" s="999" t="s">
        <v>118</v>
      </c>
      <c r="J115" s="1132" t="s">
        <v>968</v>
      </c>
      <c r="K115" s="1133" t="s">
        <v>2747</v>
      </c>
      <c r="L115" s="20"/>
      <c r="M115" s="20"/>
      <c r="N115" s="280" t="s">
        <v>715</v>
      </c>
      <c r="O115" s="983">
        <f>Q115*O99</f>
        <v>68100</v>
      </c>
      <c r="P115" s="984">
        <v>23100</v>
      </c>
      <c r="Q115" s="145">
        <f>220+7</f>
        <v>227</v>
      </c>
      <c r="R115" s="27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</row>
    <row r="116" spans="1:38" ht="14.65" thickBot="1">
      <c r="A116" s="1134">
        <v>500</v>
      </c>
      <c r="B116" s="104">
        <v>560</v>
      </c>
      <c r="C116" s="104">
        <v>1950</v>
      </c>
      <c r="D116" s="509">
        <v>29.5</v>
      </c>
      <c r="E116" s="20"/>
      <c r="G116" s="20"/>
      <c r="H116" s="20"/>
      <c r="I116" s="1126">
        <v>0</v>
      </c>
      <c r="J116" s="829">
        <v>10</v>
      </c>
      <c r="K116" s="1000">
        <v>1</v>
      </c>
      <c r="L116" s="20"/>
      <c r="M116" s="20"/>
      <c r="N116" s="280" t="s">
        <v>716</v>
      </c>
      <c r="O116" s="983">
        <f>Q116*O99</f>
        <v>72600</v>
      </c>
      <c r="P116" s="984">
        <v>26250</v>
      </c>
      <c r="Q116" s="145">
        <f>235+7</f>
        <v>242</v>
      </c>
      <c r="R116" s="27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</row>
    <row r="117" spans="1:38">
      <c r="E117" s="20"/>
      <c r="F117" s="20"/>
      <c r="G117" s="20"/>
      <c r="H117" s="20"/>
      <c r="I117" s="1126">
        <v>10</v>
      </c>
      <c r="J117" s="1135">
        <v>16</v>
      </c>
      <c r="K117" s="1001">
        <v>1.05</v>
      </c>
      <c r="L117" s="20"/>
      <c r="M117" s="20"/>
      <c r="N117" s="280" t="s">
        <v>717</v>
      </c>
      <c r="O117" s="983">
        <f>Q117*O99</f>
        <v>82800</v>
      </c>
      <c r="P117" s="984">
        <v>29400</v>
      </c>
      <c r="Q117" s="145">
        <f>265+11</f>
        <v>276</v>
      </c>
      <c r="R117" s="27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</row>
    <row r="118" spans="1:38" ht="14.65" thickBot="1">
      <c r="E118" s="20"/>
      <c r="F118" s="20"/>
      <c r="G118" s="20"/>
      <c r="H118" s="20"/>
      <c r="I118" s="1126">
        <v>16</v>
      </c>
      <c r="J118" s="416">
        <v>20</v>
      </c>
      <c r="K118" s="1001">
        <v>1.08</v>
      </c>
      <c r="L118" s="20"/>
      <c r="M118" s="20"/>
      <c r="N118" s="280" t="s">
        <v>718</v>
      </c>
      <c r="O118" s="983">
        <f>Q118*O99</f>
        <v>94500</v>
      </c>
      <c r="P118" s="984">
        <v>33600</v>
      </c>
      <c r="Q118" s="145">
        <f>300+15</f>
        <v>315</v>
      </c>
      <c r="R118" s="27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</row>
    <row r="119" spans="1:38" ht="14.65" thickBot="1">
      <c r="E119" s="1036" t="s">
        <v>648</v>
      </c>
      <c r="F119" s="1036" t="s">
        <v>648</v>
      </c>
      <c r="G119" s="1036" t="s">
        <v>648</v>
      </c>
      <c r="H119" s="1036" t="s">
        <v>648</v>
      </c>
      <c r="I119" s="1126">
        <v>20</v>
      </c>
      <c r="J119" s="416">
        <v>25</v>
      </c>
      <c r="K119" s="1001">
        <v>1.1100000000000001</v>
      </c>
      <c r="L119" s="20"/>
      <c r="M119" s="20"/>
      <c r="N119" s="280" t="s">
        <v>719</v>
      </c>
      <c r="O119" s="983">
        <f>Q119*O99</f>
        <v>114000</v>
      </c>
      <c r="P119" s="984">
        <v>36750</v>
      </c>
      <c r="Q119" s="145">
        <f>360+20</f>
        <v>380</v>
      </c>
      <c r="R119" s="27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</row>
    <row r="120" spans="1:38">
      <c r="E120" s="1136" t="s">
        <v>2662</v>
      </c>
      <c r="F120" s="131" t="s">
        <v>738</v>
      </c>
      <c r="G120" s="131" t="s">
        <v>959</v>
      </c>
      <c r="H120" s="131" t="s">
        <v>737</v>
      </c>
      <c r="I120" s="1126">
        <v>25</v>
      </c>
      <c r="J120" s="416">
        <v>31.5</v>
      </c>
      <c r="K120" s="1001">
        <v>1.1399999999999999</v>
      </c>
      <c r="L120" s="20"/>
      <c r="M120" s="20"/>
      <c r="N120" s="280" t="s">
        <v>720</v>
      </c>
      <c r="O120" s="983">
        <f>Q120*O99</f>
        <v>149100</v>
      </c>
      <c r="P120" s="984">
        <v>42000</v>
      </c>
      <c r="Q120" s="145">
        <f>470+27</f>
        <v>497</v>
      </c>
      <c r="R120" s="27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</row>
    <row r="121" spans="1:38">
      <c r="E121" s="170" t="s">
        <v>656</v>
      </c>
      <c r="F121" s="131" t="s">
        <v>961</v>
      </c>
      <c r="G121" s="131" t="s">
        <v>962</v>
      </c>
      <c r="H121" s="131" t="s">
        <v>272</v>
      </c>
      <c r="I121" s="1126">
        <v>31.5</v>
      </c>
      <c r="J121" s="228">
        <v>40</v>
      </c>
      <c r="K121" s="1001">
        <v>1.17</v>
      </c>
      <c r="L121" s="20"/>
      <c r="M121" s="20"/>
      <c r="N121" s="280" t="s">
        <v>721</v>
      </c>
      <c r="O121" s="983">
        <f>Q121*O99</f>
        <v>187500</v>
      </c>
      <c r="P121" s="984">
        <v>52500</v>
      </c>
      <c r="Q121" s="145">
        <f>590+35</f>
        <v>625</v>
      </c>
      <c r="R121" s="27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</row>
    <row r="122" spans="1:38" ht="14.65" thickBot="1">
      <c r="D122" s="20"/>
      <c r="E122" s="1137" t="s">
        <v>660</v>
      </c>
      <c r="F122" s="1138" t="s">
        <v>961</v>
      </c>
      <c r="G122" s="1138" t="s">
        <v>962</v>
      </c>
      <c r="H122" s="1138" t="s">
        <v>272</v>
      </c>
      <c r="I122" s="1126">
        <v>40</v>
      </c>
      <c r="J122" s="228">
        <v>50</v>
      </c>
      <c r="K122" s="1001">
        <v>1.2</v>
      </c>
      <c r="L122" s="20"/>
      <c r="M122" s="20"/>
      <c r="N122" s="280" t="s">
        <v>722</v>
      </c>
      <c r="O122" s="983">
        <f>Q122*O99</f>
        <v>258000</v>
      </c>
      <c r="P122" s="984">
        <v>57750</v>
      </c>
      <c r="Q122" s="145">
        <f>810+50</f>
        <v>860</v>
      </c>
      <c r="R122" s="27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</row>
    <row r="123" spans="1:38">
      <c r="D123" s="20"/>
      <c r="I123" s="1126">
        <v>50</v>
      </c>
      <c r="J123" s="228">
        <v>63</v>
      </c>
      <c r="K123" s="1001">
        <v>1.23</v>
      </c>
      <c r="L123" s="20"/>
      <c r="M123" s="20"/>
      <c r="N123" s="280" t="s">
        <v>723</v>
      </c>
      <c r="O123" s="983">
        <f>Q123*O99</f>
        <v>348000</v>
      </c>
      <c r="P123" s="984">
        <v>73500</v>
      </c>
      <c r="Q123" s="145">
        <f>1090+70</f>
        <v>1160</v>
      </c>
      <c r="R123" s="27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</row>
    <row r="124" spans="1:38">
      <c r="D124" s="20"/>
      <c r="I124" s="1126">
        <v>63</v>
      </c>
      <c r="J124" s="228">
        <v>80</v>
      </c>
      <c r="K124" s="1001">
        <v>1.26</v>
      </c>
      <c r="L124" s="20"/>
      <c r="M124" s="20"/>
      <c r="N124" s="280" t="s">
        <v>724</v>
      </c>
      <c r="O124" s="983">
        <f>Q124*O99</f>
        <v>463500</v>
      </c>
      <c r="P124" s="984">
        <f>+P123*1.05</f>
        <v>77175</v>
      </c>
      <c r="Q124" s="145">
        <f>1445+100</f>
        <v>1545</v>
      </c>
      <c r="R124" s="27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</row>
    <row r="125" spans="1:38">
      <c r="D125" s="20"/>
      <c r="H125" s="20"/>
      <c r="I125" s="1126">
        <v>80</v>
      </c>
      <c r="J125" s="230">
        <v>100</v>
      </c>
      <c r="K125" s="1002">
        <v>1.29</v>
      </c>
      <c r="L125" s="20"/>
      <c r="M125" s="20"/>
      <c r="N125" s="280" t="s">
        <v>725</v>
      </c>
      <c r="O125" s="983">
        <f>Q125*O99</f>
        <v>633000</v>
      </c>
      <c r="P125" s="984">
        <f>+P124*1.05</f>
        <v>81033.75</v>
      </c>
      <c r="Q125" s="145">
        <f>1970+140</f>
        <v>2110</v>
      </c>
      <c r="R125" s="27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</row>
    <row r="126" spans="1:38" ht="14.65" thickBot="1">
      <c r="D126" s="20"/>
      <c r="H126" s="20"/>
      <c r="I126" s="1126">
        <v>100</v>
      </c>
      <c r="J126" s="267">
        <v>100</v>
      </c>
      <c r="K126" s="998">
        <v>1.29</v>
      </c>
      <c r="L126" s="20"/>
      <c r="M126" s="20"/>
      <c r="N126" s="280" t="s">
        <v>726</v>
      </c>
      <c r="O126" s="983">
        <f>Q126*O99</f>
        <v>868500</v>
      </c>
      <c r="P126" s="984">
        <f>+P125*1.05</f>
        <v>85085.4375</v>
      </c>
      <c r="Q126" s="145">
        <f>2690+205</f>
        <v>2895</v>
      </c>
      <c r="R126" s="27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</row>
    <row r="127" spans="1:38">
      <c r="D127" s="20"/>
      <c r="G127" s="20"/>
      <c r="H127" s="20"/>
      <c r="I127" s="20"/>
      <c r="J127" s="20"/>
      <c r="K127" s="20"/>
      <c r="L127" s="20"/>
      <c r="M127" s="20"/>
      <c r="N127" s="280" t="s">
        <v>727</v>
      </c>
      <c r="O127" s="983">
        <f>Q127*O99</f>
        <v>1158000</v>
      </c>
      <c r="P127" s="280">
        <f>+P126*1.05</f>
        <v>89339.709375000006</v>
      </c>
      <c r="Q127" s="145">
        <f>3540+320</f>
        <v>3860</v>
      </c>
      <c r="R127" s="27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</row>
    <row r="128" spans="1:38">
      <c r="D128" s="20"/>
      <c r="G128" s="20"/>
      <c r="H128" s="20"/>
      <c r="I128" s="20"/>
      <c r="J128" s="20"/>
      <c r="K128" s="20"/>
      <c r="L128" s="20"/>
      <c r="M128" s="20"/>
      <c r="N128" s="983" t="s">
        <v>728</v>
      </c>
      <c r="O128" s="983">
        <f>Q128*O99</f>
        <v>1585500</v>
      </c>
      <c r="P128" s="280">
        <f>+P127*1.05</f>
        <v>93806.69484375001</v>
      </c>
      <c r="Q128" s="145">
        <f>4860+425</f>
        <v>5285</v>
      </c>
      <c r="R128" s="11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</row>
    <row r="129" spans="4:38"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80"/>
      <c r="O129" s="280"/>
      <c r="P129" s="280"/>
      <c r="Q129" s="280"/>
      <c r="R129" s="11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</row>
    <row r="130" spans="4:38"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1092" t="s">
        <v>2205</v>
      </c>
      <c r="O130" s="750">
        <f>K81</f>
        <v>300</v>
      </c>
      <c r="P130" s="729" t="s">
        <v>675</v>
      </c>
      <c r="Q130" s="278" t="s">
        <v>695</v>
      </c>
      <c r="R130" s="1093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</row>
    <row r="131" spans="4:38">
      <c r="D131" s="20"/>
      <c r="E131" s="20"/>
      <c r="F131" s="20"/>
      <c r="H131" s="20"/>
      <c r="I131" s="20"/>
      <c r="J131" s="20"/>
      <c r="K131" s="20"/>
      <c r="L131" s="20"/>
      <c r="M131" s="20"/>
      <c r="N131" s="983" t="s">
        <v>696</v>
      </c>
      <c r="O131" s="983">
        <f>Q131*O130</f>
        <v>50400</v>
      </c>
      <c r="P131" s="983">
        <v>15750</v>
      </c>
      <c r="Q131" s="275">
        <f>160+8</f>
        <v>168</v>
      </c>
      <c r="R131" s="11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</row>
    <row r="132" spans="4:38">
      <c r="D132" s="20"/>
      <c r="E132" s="20"/>
      <c r="F132" s="20"/>
      <c r="H132" s="20"/>
      <c r="I132" s="20"/>
      <c r="J132" s="20"/>
      <c r="K132" s="20"/>
      <c r="L132" s="20"/>
      <c r="M132" s="20"/>
      <c r="N132" s="983" t="s">
        <v>697</v>
      </c>
      <c r="O132" s="983">
        <f>Q132*O130</f>
        <v>67500</v>
      </c>
      <c r="P132" s="983">
        <v>23100</v>
      </c>
      <c r="Q132" s="275">
        <f>215+10</f>
        <v>225</v>
      </c>
      <c r="R132" s="11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</row>
    <row r="133" spans="4:38">
      <c r="D133" s="20"/>
      <c r="H133" s="20"/>
      <c r="I133" s="20"/>
      <c r="J133" s="20"/>
      <c r="K133" s="20"/>
      <c r="L133" s="20"/>
      <c r="M133" s="20"/>
      <c r="N133" s="983" t="s">
        <v>2206</v>
      </c>
      <c r="O133" s="983">
        <f>Q133*O130</f>
        <v>92700</v>
      </c>
      <c r="P133" s="983">
        <v>26250</v>
      </c>
      <c r="Q133" s="275">
        <f>295+14</f>
        <v>309</v>
      </c>
      <c r="R133" s="11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</row>
    <row r="134" spans="4:38">
      <c r="H134" s="20"/>
      <c r="I134" s="20"/>
      <c r="J134" s="20"/>
      <c r="K134" s="20"/>
      <c r="L134" s="20"/>
      <c r="M134" s="20"/>
      <c r="N134" s="983" t="s">
        <v>2207</v>
      </c>
      <c r="O134" s="983">
        <f>Q134*O130</f>
        <v>128100</v>
      </c>
      <c r="P134" s="983">
        <v>29400</v>
      </c>
      <c r="Q134" s="275">
        <f>405+22</f>
        <v>427</v>
      </c>
      <c r="R134" s="11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</row>
    <row r="135" spans="4:38">
      <c r="H135" s="20"/>
      <c r="I135" s="20"/>
      <c r="J135" s="20"/>
      <c r="K135" s="20"/>
      <c r="L135" s="20"/>
      <c r="M135" s="20"/>
      <c r="N135" s="983" t="s">
        <v>2208</v>
      </c>
      <c r="O135" s="983">
        <f>Q135*O130</f>
        <v>170400</v>
      </c>
      <c r="P135" s="983">
        <v>33600</v>
      </c>
      <c r="Q135" s="275">
        <f>540+28</f>
        <v>568</v>
      </c>
      <c r="R135" s="11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</row>
    <row r="136" spans="4:38">
      <c r="H136" s="20"/>
      <c r="I136" s="20"/>
      <c r="J136" s="20"/>
      <c r="K136" s="20"/>
      <c r="N136" s="983" t="s">
        <v>2209</v>
      </c>
      <c r="O136" s="983">
        <f>Q136*O130</f>
        <v>227700</v>
      </c>
      <c r="P136" s="983">
        <v>36750</v>
      </c>
      <c r="Q136" s="275">
        <f>720+39</f>
        <v>759</v>
      </c>
      <c r="R136" s="1120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</row>
    <row r="137" spans="4:38">
      <c r="H137" s="20"/>
      <c r="I137" s="20"/>
      <c r="J137" s="20"/>
      <c r="K137" s="20"/>
      <c r="N137" s="983" t="s">
        <v>2210</v>
      </c>
      <c r="O137" s="983">
        <f>Q137*O130</f>
        <v>307800</v>
      </c>
      <c r="P137" s="983">
        <v>42000</v>
      </c>
      <c r="Q137" s="275">
        <f>970+56</f>
        <v>1026</v>
      </c>
      <c r="R137" s="1120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</row>
    <row r="138" spans="4:38">
      <c r="N138" s="983" t="s">
        <v>2211</v>
      </c>
      <c r="O138" s="983">
        <f>Q138*O130</f>
        <v>414000</v>
      </c>
      <c r="P138" s="983">
        <v>52500</v>
      </c>
      <c r="Q138" s="275">
        <f>1300+80</f>
        <v>1380</v>
      </c>
      <c r="R138" s="1120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</row>
    <row r="139" spans="4:38">
      <c r="N139" s="983" t="s">
        <v>2212</v>
      </c>
      <c r="O139" s="983">
        <f>Q139*O130</f>
        <v>565500</v>
      </c>
      <c r="P139" s="983">
        <v>57750</v>
      </c>
      <c r="Q139" s="275">
        <f>1770+115</f>
        <v>1885</v>
      </c>
      <c r="R139" s="1120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</row>
    <row r="140" spans="4:38">
      <c r="N140" s="983" t="s">
        <v>2213</v>
      </c>
      <c r="O140" s="983">
        <f>Q140*O130</f>
        <v>754500</v>
      </c>
      <c r="P140" s="983">
        <v>73500</v>
      </c>
      <c r="Q140" s="275">
        <f>2350+165</f>
        <v>2515</v>
      </c>
      <c r="R140" s="1120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</row>
    <row r="141" spans="4:38">
      <c r="N141" s="983" t="s">
        <v>2214</v>
      </c>
      <c r="O141" s="983">
        <f>Q141*O130</f>
        <v>1221000</v>
      </c>
      <c r="P141" s="280">
        <v>77175</v>
      </c>
      <c r="Q141" s="275">
        <f>3850+220</f>
        <v>4070</v>
      </c>
      <c r="R141" s="1120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</row>
    <row r="142" spans="4:38">
      <c r="N142" s="983" t="s">
        <v>2215</v>
      </c>
      <c r="O142" s="983">
        <f>Q142*O130</f>
        <v>1683000</v>
      </c>
      <c r="P142" s="280">
        <v>81040</v>
      </c>
      <c r="Q142" s="275">
        <f>5300+310</f>
        <v>5610</v>
      </c>
      <c r="R142" s="1120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</row>
    <row r="143" spans="4:38">
      <c r="N143" s="983" t="s">
        <v>2216</v>
      </c>
      <c r="O143" s="983">
        <f>Q143*O130</f>
        <v>2310000</v>
      </c>
      <c r="P143" s="280">
        <v>85090</v>
      </c>
      <c r="Q143" s="275">
        <f>7250+450</f>
        <v>7700</v>
      </c>
      <c r="R143" s="1120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</row>
    <row r="144" spans="4:38">
      <c r="N144" s="983" t="s">
        <v>2217</v>
      </c>
      <c r="O144" s="983">
        <f>Q144*O130</f>
        <v>3231000</v>
      </c>
      <c r="P144" s="280">
        <v>89340</v>
      </c>
      <c r="Q144" s="275">
        <f>10100+670</f>
        <v>10770</v>
      </c>
      <c r="R144" s="1120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</row>
    <row r="145" spans="12:38">
      <c r="N145" s="280" t="s">
        <v>2218</v>
      </c>
      <c r="O145" s="280">
        <f>Q145*O130</f>
        <v>4500000</v>
      </c>
      <c r="P145" s="1003">
        <v>93800</v>
      </c>
      <c r="Q145" s="280">
        <f>14100+900</f>
        <v>15000</v>
      </c>
      <c r="R145" s="27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</row>
    <row r="146" spans="12:38">
      <c r="N146" s="278" t="s">
        <v>2240</v>
      </c>
      <c r="O146" s="278" t="s">
        <v>674</v>
      </c>
      <c r="P146" s="278"/>
      <c r="Q146" s="278" t="s">
        <v>695</v>
      </c>
      <c r="R146" s="1093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</row>
    <row r="147" spans="12:38">
      <c r="N147" s="280" t="s">
        <v>2241</v>
      </c>
      <c r="O147" s="280">
        <f>Q147*O130</f>
        <v>18000</v>
      </c>
      <c r="P147" s="280">
        <v>29400</v>
      </c>
      <c r="Q147" s="275">
        <f>58+2</f>
        <v>60</v>
      </c>
      <c r="R147" s="27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</row>
    <row r="148" spans="12:38">
      <c r="N148" s="280" t="s">
        <v>2258</v>
      </c>
      <c r="O148" s="280">
        <f>Q148*O130</f>
        <v>24300</v>
      </c>
      <c r="P148" s="280">
        <v>33600</v>
      </c>
      <c r="Q148" s="275">
        <f>78+3</f>
        <v>81</v>
      </c>
      <c r="R148" s="27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</row>
    <row r="149" spans="12:38">
      <c r="N149" s="280" t="s">
        <v>2242</v>
      </c>
      <c r="O149" s="280">
        <f>Q149*O130</f>
        <v>34200</v>
      </c>
      <c r="P149" s="280">
        <v>36750</v>
      </c>
      <c r="Q149" s="275">
        <f>110+4</f>
        <v>114</v>
      </c>
      <c r="R149" s="27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</row>
    <row r="150" spans="12:38">
      <c r="N150" s="280" t="s">
        <v>2243</v>
      </c>
      <c r="O150" s="280">
        <f>Q150*O130</f>
        <v>45000</v>
      </c>
      <c r="P150" s="280">
        <v>42000</v>
      </c>
      <c r="Q150" s="275">
        <f>145+5</f>
        <v>150</v>
      </c>
      <c r="R150" s="27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</row>
    <row r="151" spans="12:38">
      <c r="N151" s="280" t="s">
        <v>2244</v>
      </c>
      <c r="O151" s="280">
        <f>Q151*O130</f>
        <v>62400</v>
      </c>
      <c r="P151" s="280">
        <v>52500</v>
      </c>
      <c r="Q151" s="275">
        <f>200+8</f>
        <v>208</v>
      </c>
      <c r="R151" s="27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</row>
    <row r="152" spans="12:38">
      <c r="N152" s="280" t="s">
        <v>2245</v>
      </c>
      <c r="O152" s="280">
        <f>Q152*O130</f>
        <v>84300</v>
      </c>
      <c r="P152" s="280">
        <v>57750</v>
      </c>
      <c r="Q152" s="275">
        <f>270+11</f>
        <v>281</v>
      </c>
      <c r="R152" s="27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</row>
    <row r="153" spans="12:38">
      <c r="N153" s="280" t="s">
        <v>2246</v>
      </c>
      <c r="O153" s="280">
        <f>Q153*O130</f>
        <v>112200</v>
      </c>
      <c r="P153" s="280">
        <v>73500</v>
      </c>
      <c r="Q153" s="275">
        <f>360+14</f>
        <v>374</v>
      </c>
      <c r="R153" s="277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</row>
    <row r="154" spans="12:38">
      <c r="N154" s="280" t="s">
        <v>2247</v>
      </c>
      <c r="O154" s="280">
        <f>Q154*O130</f>
        <v>153300</v>
      </c>
      <c r="P154" s="280">
        <v>77175</v>
      </c>
      <c r="Q154" s="275">
        <f>490+21</f>
        <v>511</v>
      </c>
      <c r="R154" s="277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</row>
    <row r="155" spans="12:38">
      <c r="N155" s="280" t="s">
        <v>2248</v>
      </c>
      <c r="O155" s="280">
        <f>Q155*O130</f>
        <v>211200</v>
      </c>
      <c r="P155" s="280">
        <v>81040</v>
      </c>
      <c r="Q155" s="275">
        <f>675+29</f>
        <v>704</v>
      </c>
      <c r="R155" s="277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</row>
    <row r="156" spans="12:38">
      <c r="N156" s="280" t="s">
        <v>2249</v>
      </c>
      <c r="O156" s="280">
        <f>Q156*O130</f>
        <v>285600</v>
      </c>
      <c r="P156" s="280">
        <v>85090</v>
      </c>
      <c r="Q156" s="275">
        <f>910+42</f>
        <v>952</v>
      </c>
      <c r="R156" s="277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</row>
    <row r="157" spans="12:38">
      <c r="N157" s="280" t="s">
        <v>2250</v>
      </c>
      <c r="O157" s="280">
        <f>Q157*O130</f>
        <v>387000</v>
      </c>
      <c r="P157" s="280">
        <v>89340</v>
      </c>
      <c r="Q157" s="275">
        <f>1230+60</f>
        <v>1290</v>
      </c>
      <c r="R157" s="277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</row>
    <row r="158" spans="12:38">
      <c r="N158" s="983" t="s">
        <v>2251</v>
      </c>
      <c r="O158" s="983">
        <f>Q158*O130</f>
        <v>528000</v>
      </c>
      <c r="P158" s="1003">
        <v>93800</v>
      </c>
      <c r="Q158" s="280">
        <f>1675+85</f>
        <v>1760</v>
      </c>
      <c r="R158" s="11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</row>
    <row r="159" spans="12:38">
      <c r="L159" s="20"/>
      <c r="M159" s="20"/>
      <c r="N159" s="983" t="s">
        <v>2252</v>
      </c>
      <c r="O159" s="983">
        <f>Q159*O130</f>
        <v>712500</v>
      </c>
      <c r="P159" s="1003">
        <f t="shared" ref="P159:P164" si="8">+P158*1.05</f>
        <v>98490</v>
      </c>
      <c r="Q159" s="280">
        <f>2260+115</f>
        <v>2375</v>
      </c>
      <c r="R159" s="11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</row>
    <row r="160" spans="12:38">
      <c r="L160" s="20"/>
      <c r="M160" s="20"/>
      <c r="N160" s="983" t="s">
        <v>2253</v>
      </c>
      <c r="O160" s="983">
        <f>Q160*O130</f>
        <v>1099500</v>
      </c>
      <c r="P160" s="1003">
        <f t="shared" si="8"/>
        <v>103414.5</v>
      </c>
      <c r="Q160" s="280">
        <f>3500+165</f>
        <v>3665</v>
      </c>
      <c r="R160" s="11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</row>
    <row r="161" spans="1:18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N161" s="983" t="s">
        <v>2254</v>
      </c>
      <c r="O161" s="983">
        <f>Q161*O130</f>
        <v>1510500</v>
      </c>
      <c r="P161" s="1003">
        <f t="shared" si="8"/>
        <v>108585.22500000001</v>
      </c>
      <c r="Q161" s="280">
        <f>4800+235</f>
        <v>5035</v>
      </c>
      <c r="R161" s="1120"/>
    </row>
    <row r="162" spans="1:18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N162" s="983" t="s">
        <v>2255</v>
      </c>
      <c r="O162" s="983">
        <f>Q162*O130</f>
        <v>2049000</v>
      </c>
      <c r="P162" s="1003">
        <f t="shared" si="8"/>
        <v>114014.48625000002</v>
      </c>
      <c r="Q162" s="280">
        <f>6500+330</f>
        <v>6830</v>
      </c>
      <c r="R162" s="1120"/>
    </row>
    <row r="163" spans="1:18">
      <c r="N163" s="983" t="s">
        <v>2256</v>
      </c>
      <c r="O163" s="983">
        <f>Q163*O130</f>
        <v>2862000</v>
      </c>
      <c r="P163" s="1003">
        <f t="shared" si="8"/>
        <v>119715.21056250003</v>
      </c>
      <c r="Q163" s="280">
        <f>9100+440</f>
        <v>9540</v>
      </c>
      <c r="R163" s="1120"/>
    </row>
    <row r="164" spans="1:18">
      <c r="N164" s="983" t="s">
        <v>2257</v>
      </c>
      <c r="O164" s="983">
        <f>Q164*O130</f>
        <v>3930000</v>
      </c>
      <c r="P164" s="1003">
        <f t="shared" si="8"/>
        <v>125700.97109062503</v>
      </c>
      <c r="Q164" s="280">
        <f>12500+600</f>
        <v>13100</v>
      </c>
      <c r="R164" s="1120"/>
    </row>
  </sheetData>
  <mergeCells count="22">
    <mergeCell ref="E4:G4"/>
    <mergeCell ref="E51:G51"/>
    <mergeCell ref="H3:J4"/>
    <mergeCell ref="E64:G64"/>
    <mergeCell ref="AF23:AG23"/>
    <mergeCell ref="H51:J51"/>
    <mergeCell ref="A3:D3"/>
    <mergeCell ref="E3:G3"/>
    <mergeCell ref="A1:D1"/>
    <mergeCell ref="E1:G1"/>
    <mergeCell ref="H1:J1"/>
    <mergeCell ref="A2:D2"/>
    <mergeCell ref="E2:G2"/>
    <mergeCell ref="H2:J2"/>
    <mergeCell ref="A53:D53"/>
    <mergeCell ref="E53:G53"/>
    <mergeCell ref="A51:D51"/>
    <mergeCell ref="H53:J54"/>
    <mergeCell ref="E54:G54"/>
    <mergeCell ref="A52:D52"/>
    <mergeCell ref="E52:G52"/>
    <mergeCell ref="H52:J52"/>
  </mergeCells>
  <dataValidations disablePrompts="1" count="6">
    <dataValidation allowBlank="1" showInputMessage="1" showErrorMessage="1" sqref="J72" xr:uid="{00000000-0002-0000-0600-000000000000}"/>
    <dataValidation type="list" allowBlank="1" showInputMessage="1" showErrorMessage="1" sqref="G74" xr:uid="{00000000-0002-0000-0600-000001000000}">
      <formula1>$M$77:$M$78</formula1>
    </dataValidation>
    <dataValidation type="list" allowBlank="1" showInputMessage="1" showErrorMessage="1" sqref="I77" xr:uid="{00000000-0002-0000-0600-000002000000}">
      <formula1>$N$73:$N$164</formula1>
    </dataValidation>
    <dataValidation type="list" allowBlank="1" showInputMessage="1" showErrorMessage="1" sqref="I72" xr:uid="{00000000-0002-0000-0600-000003000000}">
      <formula1>$E$120:$E$122</formula1>
    </dataValidation>
    <dataValidation type="list" allowBlank="1" showInputMessage="1" showErrorMessage="1" sqref="I36" xr:uid="{00000000-0002-0000-0600-000004000000}">
      <formula1>$Q$32:$Q$44</formula1>
    </dataValidation>
    <dataValidation type="list" allowBlank="1" showInputMessage="1" showErrorMessage="1" sqref="I49" xr:uid="{7E0DC8DA-66F5-481F-8C56-CC2538CDF697}">
      <formula1>$U$18:$U$28</formula1>
    </dataValidation>
  </dataValidations>
  <pageMargins left="0.75138888888888899" right="7.7777777777777807E-2" top="0.51041666666666696" bottom="0.43263888888888902" header="0.51041666666666696" footer="0.51041666666666696"/>
  <pageSetup paperSize="9" scale="80" orientation="portrait" r:id="rId1"/>
  <headerFooter alignWithMargins="0"/>
  <rowBreaks count="1" manualBreakCount="1">
    <brk id="50" max="9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H84"/>
  <sheetViews>
    <sheetView showGridLines="0" view="pageBreakPreview" topLeftCell="A3" zoomScaleSheetLayoutView="100" workbookViewId="0">
      <selection activeCell="H18" sqref="H18"/>
    </sheetView>
  </sheetViews>
  <sheetFormatPr defaultColWidth="9.1328125" defaultRowHeight="14.25"/>
  <cols>
    <col min="1" max="1" width="9.46484375" style="22" customWidth="1"/>
    <col min="2" max="4" width="9.1328125" style="22"/>
    <col min="5" max="5" width="8.46484375" style="22" customWidth="1"/>
    <col min="6" max="6" width="15.46484375" style="22" customWidth="1"/>
    <col min="7" max="7" width="11.46484375" style="22" customWidth="1"/>
    <col min="8" max="8" width="15.86328125" style="22" customWidth="1"/>
    <col min="9" max="9" width="9.1328125" style="22"/>
    <col min="10" max="10" width="10.46484375" style="22" customWidth="1"/>
    <col min="11" max="11" width="11.86328125" style="22" customWidth="1"/>
    <col min="12" max="12" width="10.53125" style="22" customWidth="1"/>
    <col min="13" max="14" width="9.1328125" style="22"/>
    <col min="15" max="15" width="12.86328125" style="22"/>
    <col min="16" max="16" width="7.1328125" style="22" customWidth="1"/>
    <col min="17" max="17" width="11.46484375" style="22" customWidth="1"/>
    <col min="18" max="19" width="9.1328125" style="22"/>
    <col min="20" max="20" width="12.86328125" style="22"/>
    <col min="21" max="16384" width="9.1328125" style="22"/>
  </cols>
  <sheetData>
    <row r="1" spans="1:32">
      <c r="A1" s="727"/>
      <c r="B1" s="1091"/>
      <c r="C1" s="1091"/>
      <c r="D1" s="1091"/>
      <c r="E1" s="1091"/>
      <c r="F1" s="1091"/>
      <c r="G1" s="1091"/>
      <c r="H1" s="1091"/>
      <c r="I1" s="1091"/>
      <c r="J1" s="1091"/>
      <c r="K1" s="889"/>
      <c r="L1" s="1750">
        <f>G5</f>
        <v>0</v>
      </c>
      <c r="M1" s="20"/>
      <c r="N1" s="17"/>
      <c r="O1" s="17"/>
      <c r="W1" s="20"/>
      <c r="X1" s="20"/>
      <c r="Y1" s="20"/>
      <c r="Z1" s="20"/>
      <c r="AA1" s="20"/>
      <c r="AB1" s="17"/>
      <c r="AF1" s="17"/>
    </row>
    <row r="2" spans="1:32">
      <c r="A2" s="732"/>
      <c r="J2" s="118" t="s">
        <v>1513</v>
      </c>
      <c r="K2" s="1751" t="str">
        <f>'E Data'!B4</f>
        <v>R00</v>
      </c>
      <c r="L2" s="1750" t="str">
        <f>G6</f>
        <v>25/15T X 15M Span</v>
      </c>
      <c r="M2" s="1752"/>
      <c r="N2" s="17"/>
      <c r="O2" s="17"/>
      <c r="AA2" s="20"/>
      <c r="AB2" s="17"/>
      <c r="AF2" s="17"/>
    </row>
    <row r="3" spans="1:32" ht="18" customHeight="1">
      <c r="A3" s="732"/>
      <c r="B3" s="195" t="s">
        <v>1514</v>
      </c>
      <c r="C3" s="80"/>
      <c r="D3" s="80"/>
      <c r="E3" s="80"/>
      <c r="F3" s="80"/>
      <c r="I3" s="80"/>
      <c r="K3" s="326"/>
      <c r="L3" s="1750" t="str">
        <f>G7</f>
        <v xml:space="preserve">D/G EOT CRANE  </v>
      </c>
      <c r="M3" s="1753"/>
      <c r="N3" s="17"/>
      <c r="O3" s="17"/>
      <c r="AA3" s="20"/>
      <c r="AB3" s="17"/>
      <c r="AF3" s="17"/>
    </row>
    <row r="4" spans="1:32" ht="12" customHeight="1">
      <c r="A4" s="732"/>
      <c r="C4" s="20"/>
      <c r="D4" s="88"/>
      <c r="E4" s="20"/>
      <c r="F4" s="20"/>
      <c r="G4" s="20"/>
      <c r="K4" s="326"/>
      <c r="L4" s="1754">
        <f>G8</f>
        <v>0</v>
      </c>
      <c r="M4" s="1755"/>
      <c r="N4" s="17"/>
      <c r="O4" s="17"/>
      <c r="AA4" s="20"/>
      <c r="AB4" s="17"/>
      <c r="AF4" s="17"/>
    </row>
    <row r="5" spans="1:32">
      <c r="A5" s="36"/>
      <c r="B5" s="20" t="s">
        <v>1515</v>
      </c>
      <c r="E5" s="20"/>
      <c r="F5" s="20"/>
      <c r="G5" s="3712">
        <f>'E Data'!D7</f>
        <v>0</v>
      </c>
      <c r="H5" s="3856"/>
      <c r="I5" s="20"/>
      <c r="J5" s="88" t="s">
        <v>1516</v>
      </c>
      <c r="K5" s="1756">
        <f>'E Data'!D36</f>
        <v>3</v>
      </c>
      <c r="L5" s="1757" t="str">
        <f>'E Data'!D29</f>
        <v>Indoor</v>
      </c>
      <c r="M5" s="20"/>
      <c r="N5" s="17"/>
      <c r="O5" s="17"/>
      <c r="W5" s="20"/>
      <c r="X5" s="20"/>
      <c r="Y5" s="20"/>
      <c r="Z5" s="20"/>
      <c r="AA5" s="20"/>
      <c r="AB5" s="20"/>
      <c r="AF5" s="20"/>
    </row>
    <row r="6" spans="1:32">
      <c r="A6" s="36"/>
      <c r="B6" s="20" t="s">
        <v>1517</v>
      </c>
      <c r="C6" s="20"/>
      <c r="D6" s="20"/>
      <c r="E6" s="20"/>
      <c r="F6" s="20"/>
      <c r="G6" s="3712" t="str">
        <f>IF('E Data'!D14&gt;0,'E Data'!D13&amp;"/"&amp;'E Data'!D14&amp;"T"&amp;" X "&amp;'E Data'!D16&amp;"M Span",'E Data'!D13&amp;"T"&amp;" X "&amp;'E Data'!D16&amp;"M Span")</f>
        <v>25/15T X 15M Span</v>
      </c>
      <c r="H6" s="3856"/>
      <c r="I6" s="88"/>
      <c r="J6" s="88" t="s">
        <v>1518</v>
      </c>
      <c r="K6" s="1756">
        <f>'E Data'!D39</f>
        <v>25</v>
      </c>
      <c r="L6" s="1758">
        <f>K5</f>
        <v>3</v>
      </c>
      <c r="M6" s="3857" t="s">
        <v>1519</v>
      </c>
      <c r="N6" s="3858"/>
      <c r="O6" s="3859"/>
      <c r="Q6" s="1064"/>
      <c r="R6" s="972"/>
      <c r="S6" s="972"/>
      <c r="T6" s="972"/>
      <c r="U6" s="199"/>
      <c r="V6" s="20"/>
      <c r="W6" s="20"/>
      <c r="X6" s="20"/>
      <c r="Y6" s="20"/>
      <c r="Z6" s="20"/>
      <c r="AA6" s="20"/>
      <c r="AB6" s="20"/>
      <c r="AF6" s="20"/>
    </row>
    <row r="7" spans="1:32">
      <c r="A7" s="36"/>
      <c r="B7" s="88" t="s">
        <v>1520</v>
      </c>
      <c r="C7" s="20"/>
      <c r="F7" s="20"/>
      <c r="G7" s="3712" t="str">
        <f>'E Data'!D10</f>
        <v xml:space="preserve">D/G EOT CRANE  </v>
      </c>
      <c r="H7" s="3856"/>
      <c r="I7" s="20"/>
      <c r="J7" s="88" t="s">
        <v>1521</v>
      </c>
      <c r="K7" s="1756">
        <f>'E Data'!D19</f>
        <v>15</v>
      </c>
      <c r="L7" s="1758">
        <f>K6</f>
        <v>25</v>
      </c>
      <c r="M7" s="74" t="s">
        <v>1019</v>
      </c>
      <c r="N7" s="1186"/>
      <c r="O7" s="75" t="s">
        <v>1522</v>
      </c>
      <c r="Q7" s="1443" t="s">
        <v>1523</v>
      </c>
      <c r="R7" s="17"/>
      <c r="S7" s="67" t="s">
        <v>160</v>
      </c>
      <c r="T7" s="799">
        <f>'E Data'!D16*100</f>
        <v>1500</v>
      </c>
      <c r="U7" s="1759" t="s">
        <v>1524</v>
      </c>
      <c r="V7" s="79"/>
      <c r="W7" s="59" t="s">
        <v>1525</v>
      </c>
      <c r="X7" s="59"/>
      <c r="Y7" s="59"/>
      <c r="Z7" s="79"/>
      <c r="AF7" s="17"/>
    </row>
    <row r="8" spans="1:32">
      <c r="A8" s="36"/>
      <c r="B8" s="190" t="s">
        <v>1526</v>
      </c>
      <c r="F8" s="20"/>
      <c r="G8" s="3860">
        <f>Tech!F3</f>
        <v>0</v>
      </c>
      <c r="H8" s="3860"/>
      <c r="I8" s="20"/>
      <c r="J8" s="20"/>
      <c r="K8" s="304"/>
      <c r="L8" s="1758">
        <f>K7</f>
        <v>15</v>
      </c>
      <c r="M8" s="109" t="s">
        <v>79</v>
      </c>
      <c r="N8" s="1205">
        <v>1.06</v>
      </c>
      <c r="O8" s="639">
        <v>1</v>
      </c>
      <c r="Q8" s="1443" t="s">
        <v>1527</v>
      </c>
      <c r="R8" s="20"/>
      <c r="S8" s="67" t="s">
        <v>160</v>
      </c>
      <c r="T8" s="799">
        <f>MH!I12+MH!I13</f>
        <v>25625</v>
      </c>
      <c r="U8" s="1759" t="s">
        <v>276</v>
      </c>
      <c r="V8" s="59">
        <f>MH!I12</f>
        <v>25000</v>
      </c>
      <c r="W8" s="59">
        <f>+MH!I13</f>
        <v>625</v>
      </c>
      <c r="X8" s="79"/>
      <c r="Y8" s="79"/>
      <c r="Z8" s="79"/>
      <c r="AF8" s="17"/>
    </row>
    <row r="9" spans="1:32">
      <c r="A9" s="36"/>
      <c r="H9" s="53"/>
      <c r="J9" s="20"/>
      <c r="K9" s="304"/>
      <c r="L9" s="1757"/>
      <c r="M9" s="602" t="s">
        <v>81</v>
      </c>
      <c r="N9" s="145">
        <v>1.1200000000000001</v>
      </c>
      <c r="O9" s="912">
        <v>1</v>
      </c>
      <c r="Q9" s="1443" t="s">
        <v>1528</v>
      </c>
      <c r="R9" s="20"/>
      <c r="S9" s="67" t="s">
        <v>160</v>
      </c>
      <c r="T9" s="1760" t="str">
        <f>'E Data'!E25</f>
        <v>M5</v>
      </c>
      <c r="U9" s="1759"/>
      <c r="V9" s="59"/>
      <c r="W9" s="59"/>
      <c r="X9" s="59"/>
      <c r="Y9" s="59"/>
      <c r="Z9" s="79"/>
      <c r="AF9" s="17"/>
    </row>
    <row r="10" spans="1:32">
      <c r="A10" s="36"/>
      <c r="B10" s="118" t="s">
        <v>1529</v>
      </c>
      <c r="C10" s="31"/>
      <c r="D10" s="31"/>
      <c r="E10" s="31"/>
      <c r="F10" s="59"/>
      <c r="G10" s="59" t="s">
        <v>160</v>
      </c>
      <c r="H10" s="59">
        <f>'E Data'!D16*100</f>
        <v>1500</v>
      </c>
      <c r="I10" s="118" t="s">
        <v>1524</v>
      </c>
      <c r="J10" s="20"/>
      <c r="K10" s="1761">
        <f>'E Data'!D16*100</f>
        <v>1500</v>
      </c>
      <c r="L10" s="1757"/>
      <c r="M10" s="602" t="s">
        <v>36</v>
      </c>
      <c r="N10" s="145">
        <v>1.18</v>
      </c>
      <c r="O10" s="912">
        <v>1</v>
      </c>
      <c r="Q10" s="1443" t="s">
        <v>1530</v>
      </c>
      <c r="R10" s="20"/>
      <c r="S10" s="67" t="s">
        <v>160</v>
      </c>
      <c r="T10" s="1760" t="str">
        <f>'E Data'!E25</f>
        <v>M5</v>
      </c>
      <c r="U10" s="1759"/>
      <c r="V10" s="59" t="s">
        <v>1531</v>
      </c>
      <c r="W10" s="59"/>
      <c r="X10" s="59" t="s">
        <v>61</v>
      </c>
      <c r="Y10" s="59" t="s">
        <v>1532</v>
      </c>
      <c r="Z10" s="59"/>
      <c r="AF10" s="17"/>
    </row>
    <row r="11" spans="1:32">
      <c r="A11" s="296"/>
      <c r="B11" s="118" t="s">
        <v>1533</v>
      </c>
      <c r="C11" s="31"/>
      <c r="D11" s="31"/>
      <c r="G11" s="59" t="s">
        <v>160</v>
      </c>
      <c r="H11" s="1762">
        <f>'E Data'!D13*1000*1.025</f>
        <v>25624.999999999996</v>
      </c>
      <c r="I11" s="118" t="s">
        <v>276</v>
      </c>
      <c r="J11" s="20"/>
      <c r="K11" s="1761">
        <f>MH!I12+MH!I13</f>
        <v>25625</v>
      </c>
      <c r="L11" s="1757"/>
      <c r="M11" s="602" t="s">
        <v>82</v>
      </c>
      <c r="N11" s="145">
        <v>1.25</v>
      </c>
      <c r="O11" s="912">
        <v>1.05</v>
      </c>
      <c r="Q11" s="1443" t="s">
        <v>1534</v>
      </c>
      <c r="R11" s="20"/>
      <c r="S11" s="67" t="s">
        <v>160</v>
      </c>
      <c r="T11" s="799">
        <f>V11-W8</f>
        <v>4375</v>
      </c>
      <c r="U11" s="1759" t="s">
        <v>276</v>
      </c>
      <c r="V11" s="59">
        <f>'E Data'!D44*1000</f>
        <v>5000</v>
      </c>
      <c r="W11" s="59"/>
      <c r="X11" s="936">
        <f>'E Data'!J44*1000-W8</f>
        <v>4443.6519354838711</v>
      </c>
      <c r="Y11" s="936">
        <f>ROUNDUP(T11-X11,-1)</f>
        <v>-70</v>
      </c>
      <c r="Z11" s="79"/>
      <c r="AF11" s="17"/>
    </row>
    <row r="12" spans="1:32">
      <c r="A12" s="1763"/>
      <c r="B12" s="118" t="s">
        <v>1535</v>
      </c>
      <c r="C12" s="31"/>
      <c r="D12" s="31"/>
      <c r="F12" s="1764" t="str">
        <f>'E Data'!E25</f>
        <v>M5</v>
      </c>
      <c r="G12" s="59" t="s">
        <v>160</v>
      </c>
      <c r="H12" s="59">
        <f>VLOOKUP(F12,M8:O15,3,0)</f>
        <v>1.06</v>
      </c>
      <c r="I12" s="1765"/>
      <c r="K12" s="1761" t="str">
        <f>F12</f>
        <v>M5</v>
      </c>
      <c r="L12" s="1757"/>
      <c r="M12" s="602" t="s">
        <v>40</v>
      </c>
      <c r="N12" s="145">
        <v>1.32</v>
      </c>
      <c r="O12" s="912">
        <v>1.06</v>
      </c>
      <c r="Q12" s="1443" t="s">
        <v>1536</v>
      </c>
      <c r="R12" s="20"/>
      <c r="S12" s="67" t="s">
        <v>160</v>
      </c>
      <c r="T12" s="799">
        <f>ROUNDUP((V12+W12+X12+Y12)/10,-1)</f>
        <v>150</v>
      </c>
      <c r="U12" s="1759" t="s">
        <v>1524</v>
      </c>
      <c r="V12" s="59">
        <f>CT_wh!I49</f>
        <v>320</v>
      </c>
      <c r="W12" s="59">
        <f>MH!S314/2</f>
        <v>0</v>
      </c>
      <c r="X12" s="59">
        <f>AH!R316/2</f>
        <v>161.5</v>
      </c>
      <c r="Y12" s="59">
        <v>1000</v>
      </c>
      <c r="Z12" s="59">
        <f>Y12+X12+W12+V12</f>
        <v>1481.5</v>
      </c>
      <c r="AF12" s="17"/>
    </row>
    <row r="13" spans="1:32">
      <c r="A13" s="1763"/>
      <c r="B13" s="118" t="s">
        <v>1537</v>
      </c>
      <c r="C13" s="31"/>
      <c r="D13" s="31"/>
      <c r="G13" s="59" t="s">
        <v>160</v>
      </c>
      <c r="H13" s="59">
        <f>VLOOKUP(F12,M8:N15,2,0)</f>
        <v>1.32</v>
      </c>
      <c r="I13" s="118"/>
      <c r="J13" s="31"/>
      <c r="K13" s="1761" t="str">
        <f>K12</f>
        <v>M5</v>
      </c>
      <c r="L13" s="1757">
        <f>'E Data'!D44*1000</f>
        <v>5000</v>
      </c>
      <c r="M13" s="602" t="s">
        <v>85</v>
      </c>
      <c r="N13" s="145">
        <v>1.4</v>
      </c>
      <c r="O13" s="912">
        <v>1.1000000000000001</v>
      </c>
      <c r="Q13" s="1443" t="s">
        <v>1538</v>
      </c>
      <c r="R13" s="20"/>
      <c r="S13" s="67" t="s">
        <v>160</v>
      </c>
      <c r="T13" s="799">
        <f>CT_wh!I16</f>
        <v>4</v>
      </c>
      <c r="U13" s="1759" t="s">
        <v>1539</v>
      </c>
      <c r="V13" s="20"/>
      <c r="W13" s="20"/>
      <c r="X13" s="20"/>
      <c r="Y13" s="20"/>
      <c r="Z13" s="20"/>
      <c r="AF13" s="17"/>
    </row>
    <row r="14" spans="1:32">
      <c r="A14" s="1763"/>
      <c r="B14" s="118" t="s">
        <v>1540</v>
      </c>
      <c r="C14" s="31"/>
      <c r="D14" s="31"/>
      <c r="E14" s="31"/>
      <c r="F14" s="59"/>
      <c r="G14" s="59" t="s">
        <v>160</v>
      </c>
      <c r="H14" s="205">
        <f>K14</f>
        <v>4375</v>
      </c>
      <c r="I14" s="118" t="s">
        <v>276</v>
      </c>
      <c r="J14" s="1592"/>
      <c r="K14" s="1761">
        <f>'E Data'!D44*1000-MH!I13</f>
        <v>4375</v>
      </c>
      <c r="L14" s="1757">
        <f>MH!I13</f>
        <v>625</v>
      </c>
      <c r="M14" s="602" t="s">
        <v>44</v>
      </c>
      <c r="N14" s="145">
        <v>1.4</v>
      </c>
      <c r="O14" s="912">
        <v>1.1200000000000001</v>
      </c>
      <c r="Q14" s="1443" t="s">
        <v>1541</v>
      </c>
      <c r="R14" s="20"/>
      <c r="S14" s="67" t="s">
        <v>160</v>
      </c>
      <c r="T14" s="799">
        <f>LT_wh!I16*100</f>
        <v>140</v>
      </c>
      <c r="U14" s="1759" t="s">
        <v>1524</v>
      </c>
      <c r="V14" s="20"/>
      <c r="W14" s="20"/>
      <c r="X14" s="20"/>
      <c r="Y14" s="20"/>
      <c r="Z14" s="20"/>
      <c r="AF14" s="17"/>
    </row>
    <row r="15" spans="1:32">
      <c r="A15" s="1763"/>
      <c r="B15" s="118" t="s">
        <v>1536</v>
      </c>
      <c r="C15" s="31"/>
      <c r="D15" s="31"/>
      <c r="E15" s="31"/>
      <c r="F15" s="59"/>
      <c r="G15" s="59" t="s">
        <v>160</v>
      </c>
      <c r="H15" s="72">
        <f>K15</f>
        <v>150</v>
      </c>
      <c r="I15" s="118" t="s">
        <v>1524</v>
      </c>
      <c r="J15" s="31"/>
      <c r="K15" s="1761">
        <f>T12</f>
        <v>150</v>
      </c>
      <c r="L15" s="1757"/>
      <c r="M15" s="111" t="s">
        <v>48</v>
      </c>
      <c r="N15" s="1055">
        <v>1.5</v>
      </c>
      <c r="O15" s="1187">
        <v>1.2</v>
      </c>
      <c r="Q15" s="1443" t="s">
        <v>1542</v>
      </c>
      <c r="R15" s="20"/>
      <c r="S15" s="67" t="s">
        <v>160</v>
      </c>
      <c r="T15" s="1760" t="str">
        <f>CT_wh!J36</f>
        <v>50mm Sq. Bar</v>
      </c>
      <c r="U15" s="1759" t="s">
        <v>1135</v>
      </c>
      <c r="V15" s="20"/>
      <c r="W15" s="20"/>
      <c r="X15" s="20"/>
      <c r="Y15" s="20"/>
      <c r="Z15" s="20"/>
      <c r="AF15" s="17"/>
    </row>
    <row r="16" spans="1:32">
      <c r="A16" s="1763"/>
      <c r="B16" s="118" t="s">
        <v>1543</v>
      </c>
      <c r="C16" s="31"/>
      <c r="D16" s="31"/>
      <c r="E16" s="31"/>
      <c r="F16" s="59"/>
      <c r="G16" s="59" t="s">
        <v>160</v>
      </c>
      <c r="H16" s="59">
        <f>CT_wh!I16</f>
        <v>4</v>
      </c>
      <c r="I16" s="118" t="s">
        <v>1539</v>
      </c>
      <c r="J16" s="31"/>
      <c r="K16" s="1761">
        <f>CT_wh!I16</f>
        <v>4</v>
      </c>
      <c r="L16" s="1757"/>
      <c r="O16" s="31"/>
      <c r="Q16" s="1443" t="s">
        <v>1544</v>
      </c>
      <c r="R16" s="20"/>
      <c r="S16" s="67" t="s">
        <v>160</v>
      </c>
      <c r="T16" s="799">
        <f>LT_wh!I20</f>
        <v>4</v>
      </c>
      <c r="U16" s="1759" t="s">
        <v>1539</v>
      </c>
      <c r="V16" s="20"/>
      <c r="W16" s="20"/>
      <c r="X16" s="20"/>
      <c r="Y16" s="20"/>
      <c r="Z16" s="20"/>
      <c r="AF16" s="17"/>
    </row>
    <row r="17" spans="1:32">
      <c r="A17" s="1763"/>
      <c r="B17" s="118" t="s">
        <v>1545</v>
      </c>
      <c r="C17" s="31"/>
      <c r="D17" s="31"/>
      <c r="E17" s="31"/>
      <c r="F17" s="59"/>
      <c r="G17" s="59" t="s">
        <v>160</v>
      </c>
      <c r="H17" s="1762">
        <f>LT_wh!I16*100</f>
        <v>140</v>
      </c>
      <c r="I17" s="118" t="s">
        <v>1524</v>
      </c>
      <c r="J17" s="31"/>
      <c r="K17" s="1761">
        <f>LT_wh!I16*100</f>
        <v>140</v>
      </c>
      <c r="L17" s="1757"/>
      <c r="M17" s="1766" t="s">
        <v>670</v>
      </c>
      <c r="N17" s="1767" t="s">
        <v>1546</v>
      </c>
      <c r="O17" s="1768" t="s">
        <v>1547</v>
      </c>
      <c r="Q17" s="36"/>
      <c r="R17" s="20"/>
      <c r="S17" s="20"/>
      <c r="T17" s="20"/>
      <c r="U17" s="304"/>
      <c r="V17" s="20"/>
      <c r="W17" s="20"/>
      <c r="X17" s="20"/>
      <c r="Y17" s="20"/>
      <c r="Z17" s="20"/>
      <c r="AF17" s="20"/>
    </row>
    <row r="18" spans="1:32">
      <c r="A18" s="1763"/>
      <c r="B18" s="118" t="s">
        <v>1548</v>
      </c>
      <c r="C18" s="31"/>
      <c r="D18" s="31"/>
      <c r="E18" s="31"/>
      <c r="F18" s="1762" t="str">
        <f>CT_wh!J36</f>
        <v>50mm Sq. Bar</v>
      </c>
      <c r="G18" s="59" t="s">
        <v>160</v>
      </c>
      <c r="H18" s="1762">
        <f>VLOOKUP(F18,M18:O31,2,0)</f>
        <v>5</v>
      </c>
      <c r="I18" s="118" t="s">
        <v>571</v>
      </c>
      <c r="J18" s="31"/>
      <c r="K18" s="1761" t="str">
        <f>F18</f>
        <v>50mm Sq. Bar</v>
      </c>
      <c r="L18" s="1757"/>
      <c r="M18" s="1769" t="s">
        <v>895</v>
      </c>
      <c r="N18" s="167">
        <v>4</v>
      </c>
      <c r="O18" s="1190">
        <v>40</v>
      </c>
      <c r="Q18" s="36"/>
      <c r="R18" s="20"/>
      <c r="S18" s="20"/>
      <c r="T18" s="20"/>
      <c r="U18" s="304"/>
      <c r="V18" s="59" t="s">
        <v>1549</v>
      </c>
      <c r="W18" s="59" t="s">
        <v>1550</v>
      </c>
      <c r="X18" s="59" t="s">
        <v>1551</v>
      </c>
      <c r="Y18" s="59" t="s">
        <v>1552</v>
      </c>
      <c r="Z18" s="59" t="s">
        <v>1553</v>
      </c>
      <c r="AF18" s="17"/>
    </row>
    <row r="19" spans="1:32">
      <c r="A19" s="1763"/>
      <c r="B19" s="118" t="s">
        <v>1554</v>
      </c>
      <c r="C19" s="31"/>
      <c r="D19" s="31"/>
      <c r="E19" s="31"/>
      <c r="F19" s="59"/>
      <c r="G19" s="59" t="s">
        <v>160</v>
      </c>
      <c r="H19" s="59">
        <f>LT_wh!I20</f>
        <v>4</v>
      </c>
      <c r="I19" s="118" t="s">
        <v>1539</v>
      </c>
      <c r="J19" s="31"/>
      <c r="K19" s="1770">
        <f>LT_wh!I20</f>
        <v>4</v>
      </c>
      <c r="L19" s="1757"/>
      <c r="M19" s="1771" t="s">
        <v>896</v>
      </c>
      <c r="N19" s="145">
        <v>5</v>
      </c>
      <c r="O19" s="912">
        <v>50</v>
      </c>
      <c r="Q19" s="1443" t="s">
        <v>1555</v>
      </c>
      <c r="R19" s="20"/>
      <c r="S19" s="67" t="s">
        <v>160</v>
      </c>
      <c r="T19" s="205">
        <f>ROUNDUP(Z19,-2)</f>
        <v>700</v>
      </c>
      <c r="U19" s="304" t="s">
        <v>276</v>
      </c>
      <c r="V19" s="59">
        <v>0</v>
      </c>
      <c r="W19" s="59">
        <v>0</v>
      </c>
      <c r="X19" s="59">
        <f>ESt!K46</f>
        <v>630</v>
      </c>
      <c r="Y19" s="59">
        <v>0</v>
      </c>
      <c r="Z19" s="59">
        <f>V19+W19+X19+Y19</f>
        <v>630</v>
      </c>
      <c r="AF19" s="17"/>
    </row>
    <row r="20" spans="1:32">
      <c r="A20" s="1763"/>
      <c r="J20" s="31"/>
      <c r="K20" s="1772"/>
      <c r="L20" s="1773"/>
      <c r="M20" s="1774" t="s">
        <v>899</v>
      </c>
      <c r="N20" s="145">
        <v>6.3</v>
      </c>
      <c r="O20" s="912">
        <v>63</v>
      </c>
      <c r="Q20" s="36"/>
      <c r="R20" s="17"/>
      <c r="S20" s="20"/>
      <c r="T20" s="20"/>
      <c r="U20" s="304"/>
      <c r="V20" s="20"/>
      <c r="W20" s="20"/>
      <c r="X20" s="20"/>
      <c r="Y20" s="20"/>
      <c r="Z20" s="20"/>
      <c r="AA20" s="20"/>
      <c r="AB20" s="17"/>
      <c r="AF20" s="17"/>
    </row>
    <row r="21" spans="1:32">
      <c r="A21" s="1763"/>
      <c r="B21" s="195" t="s">
        <v>1556</v>
      </c>
      <c r="C21" s="31"/>
      <c r="D21" s="31"/>
      <c r="E21" s="31"/>
      <c r="F21" s="31"/>
      <c r="G21" s="43"/>
      <c r="H21" s="59"/>
      <c r="I21" s="118"/>
      <c r="J21" s="31"/>
      <c r="K21" s="1772"/>
      <c r="M21" s="602" t="s">
        <v>901</v>
      </c>
      <c r="N21" s="145">
        <v>7.9329999999999998</v>
      </c>
      <c r="O21" s="912">
        <v>35.94</v>
      </c>
      <c r="Q21" s="36"/>
      <c r="R21" s="20"/>
      <c r="S21" s="20"/>
      <c r="T21" s="20"/>
      <c r="U21" s="304"/>
      <c r="V21" s="20"/>
      <c r="W21" s="20"/>
      <c r="X21" s="20"/>
      <c r="Y21" s="20"/>
      <c r="Z21" s="20"/>
      <c r="AA21" s="20"/>
      <c r="AB21" s="20"/>
      <c r="AF21" s="20"/>
    </row>
    <row r="22" spans="1:32">
      <c r="A22" s="1763"/>
      <c r="B22" s="118" t="s">
        <v>1557</v>
      </c>
      <c r="C22" s="118"/>
      <c r="D22" s="31"/>
      <c r="E22" s="31"/>
      <c r="F22" s="31"/>
      <c r="G22" s="59" t="s">
        <v>160</v>
      </c>
      <c r="H22" s="1775">
        <v>100</v>
      </c>
      <c r="I22" s="118" t="s">
        <v>1558</v>
      </c>
      <c r="J22" s="31"/>
      <c r="K22" s="1772"/>
      <c r="M22" s="602" t="s">
        <v>903</v>
      </c>
      <c r="N22" s="145">
        <v>11.43</v>
      </c>
      <c r="O22" s="912">
        <v>44.4</v>
      </c>
      <c r="Q22" s="36" t="str">
        <f>'E Data'!B46</f>
        <v>Operation :</v>
      </c>
      <c r="R22" s="20" t="s">
        <v>1215</v>
      </c>
      <c r="S22" s="20" t="str">
        <f>'E Data'!D46</f>
        <v>Pendant Push Button (Movable Type) + RRC (Push Button Type)</v>
      </c>
      <c r="T22" s="20"/>
      <c r="U22" s="304"/>
      <c r="V22" s="20"/>
      <c r="W22" s="20"/>
      <c r="X22" s="20"/>
      <c r="Y22" s="20"/>
      <c r="Z22" s="20"/>
      <c r="AA22" s="20"/>
      <c r="AB22" s="20"/>
      <c r="AF22" s="20"/>
    </row>
    <row r="23" spans="1:32">
      <c r="A23" s="1763"/>
      <c r="B23" s="195" t="s">
        <v>1559</v>
      </c>
      <c r="C23" s="118"/>
      <c r="D23" s="31"/>
      <c r="E23" s="31"/>
      <c r="F23" s="31"/>
      <c r="G23" s="59"/>
      <c r="H23" s="59"/>
      <c r="J23" s="31"/>
      <c r="K23" s="1772"/>
      <c r="M23" s="602" t="s">
        <v>906</v>
      </c>
      <c r="N23" s="145">
        <v>14.238</v>
      </c>
      <c r="O23" s="912">
        <v>49.74</v>
      </c>
      <c r="Q23" s="36" t="s">
        <v>1560</v>
      </c>
      <c r="R23" s="20" t="s">
        <v>1215</v>
      </c>
      <c r="S23" s="20">
        <f>'E Data'!D11</f>
        <v>0</v>
      </c>
      <c r="T23" s="20"/>
      <c r="U23" s="304"/>
      <c r="V23" s="20"/>
      <c r="W23" s="20"/>
      <c r="X23" s="20"/>
      <c r="Y23" s="20"/>
      <c r="Z23" s="20"/>
      <c r="AA23" s="20"/>
      <c r="AB23" s="17"/>
      <c r="AF23" s="17"/>
    </row>
    <row r="24" spans="1:32">
      <c r="A24" s="1763"/>
      <c r="B24" s="118" t="s">
        <v>1561</v>
      </c>
      <c r="C24" s="118"/>
      <c r="D24" s="31"/>
      <c r="E24" s="31"/>
      <c r="F24" s="31"/>
      <c r="G24" s="59" t="s">
        <v>160</v>
      </c>
      <c r="H24" s="276">
        <f>+K24</f>
        <v>700</v>
      </c>
      <c r="I24" s="118" t="s">
        <v>380</v>
      </c>
      <c r="J24" s="31"/>
      <c r="K24" s="1772">
        <f>T19</f>
        <v>700</v>
      </c>
      <c r="M24" s="602" t="s">
        <v>910</v>
      </c>
      <c r="N24" s="145">
        <v>15.6</v>
      </c>
      <c r="O24" s="912">
        <v>52.2</v>
      </c>
      <c r="Q24" s="738"/>
      <c r="R24" s="121"/>
      <c r="S24" s="121"/>
      <c r="T24" s="121"/>
      <c r="U24" s="136"/>
      <c r="V24" s="20"/>
      <c r="W24" s="20"/>
      <c r="X24" s="20"/>
      <c r="Y24" s="20"/>
      <c r="Z24" s="20"/>
      <c r="AA24" s="20"/>
      <c r="AB24" s="17"/>
      <c r="AF24" s="17"/>
    </row>
    <row r="25" spans="1:32">
      <c r="A25" s="1763"/>
      <c r="J25" s="31"/>
      <c r="K25" s="129"/>
      <c r="M25" s="602" t="s">
        <v>912</v>
      </c>
      <c r="N25" s="145">
        <v>13</v>
      </c>
      <c r="O25" s="912">
        <v>69.34</v>
      </c>
      <c r="P25" s="31"/>
      <c r="Q25" s="31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</row>
    <row r="26" spans="1:32">
      <c r="A26" s="1763"/>
      <c r="B26" s="195" t="s">
        <v>1562</v>
      </c>
      <c r="C26" s="118"/>
      <c r="D26" s="31"/>
      <c r="E26" s="31"/>
      <c r="F26" s="31"/>
      <c r="G26" s="108"/>
      <c r="H26" s="59"/>
      <c r="I26" s="118"/>
      <c r="J26" s="31"/>
      <c r="K26" s="129"/>
      <c r="M26" s="602" t="s">
        <v>915</v>
      </c>
      <c r="N26" s="145">
        <v>15</v>
      </c>
      <c r="O26" s="912">
        <v>89.34</v>
      </c>
      <c r="P26" s="31"/>
      <c r="Q26" s="31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</row>
    <row r="27" spans="1:32">
      <c r="A27" s="1763"/>
      <c r="B27" s="118" t="s">
        <v>1563</v>
      </c>
      <c r="C27" s="118"/>
      <c r="D27" s="31"/>
      <c r="E27" s="31"/>
      <c r="F27" s="31"/>
      <c r="G27" s="108" t="s">
        <v>160</v>
      </c>
      <c r="H27" s="1762">
        <f>H14</f>
        <v>4375</v>
      </c>
      <c r="I27" s="118" t="s">
        <v>380</v>
      </c>
      <c r="J27" s="31"/>
      <c r="K27" s="129"/>
      <c r="M27" s="602" t="s">
        <v>917</v>
      </c>
      <c r="N27" s="145">
        <v>17</v>
      </c>
      <c r="O27" s="912">
        <v>109.34</v>
      </c>
      <c r="P27" s="31"/>
      <c r="Q27" s="31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</row>
    <row r="28" spans="1:32">
      <c r="A28" s="1763"/>
      <c r="B28" s="118" t="s">
        <v>1564</v>
      </c>
      <c r="C28" s="118"/>
      <c r="D28" s="31"/>
      <c r="E28" s="31"/>
      <c r="F28" s="31"/>
      <c r="G28" s="108" t="s">
        <v>160</v>
      </c>
      <c r="H28" s="1762">
        <f>H11</f>
        <v>25624.999999999996</v>
      </c>
      <c r="I28" s="118" t="s">
        <v>380</v>
      </c>
      <c r="J28" s="31"/>
      <c r="K28" s="129"/>
      <c r="M28" s="602" t="s">
        <v>1565</v>
      </c>
      <c r="N28" s="145">
        <v>9.5</v>
      </c>
      <c r="O28" s="912">
        <v>83.5</v>
      </c>
      <c r="P28" s="31"/>
      <c r="Q28" s="31"/>
    </row>
    <row r="29" spans="1:32" ht="24" customHeight="1">
      <c r="A29" s="36"/>
      <c r="B29" s="20"/>
      <c r="C29" s="20"/>
      <c r="D29" s="20"/>
      <c r="E29" s="20"/>
      <c r="F29" s="20"/>
      <c r="G29" s="20"/>
      <c r="H29" s="20"/>
      <c r="I29" s="20"/>
      <c r="J29" s="20"/>
      <c r="K29" s="304"/>
      <c r="M29" s="602" t="s">
        <v>1566</v>
      </c>
      <c r="N29" s="145">
        <v>10.5</v>
      </c>
      <c r="O29" s="912">
        <v>120</v>
      </c>
    </row>
    <row r="30" spans="1:32">
      <c r="A30" s="36"/>
      <c r="B30" s="88">
        <f>G34*10</f>
        <v>20</v>
      </c>
      <c r="C30" s="19">
        <f>G31*10</f>
        <v>610</v>
      </c>
      <c r="D30" s="20"/>
      <c r="E30" s="20"/>
      <c r="F30" s="20"/>
      <c r="G30" s="20"/>
      <c r="H30" s="20"/>
      <c r="I30" s="67" t="s">
        <v>1567</v>
      </c>
      <c r="J30" s="20"/>
      <c r="K30" s="304"/>
      <c r="M30" s="602"/>
      <c r="N30" s="145"/>
      <c r="O30" s="912"/>
    </row>
    <row r="31" spans="1:32" ht="18" customHeight="1">
      <c r="A31" s="36"/>
      <c r="B31" s="20"/>
      <c r="C31" s="20"/>
      <c r="D31" s="20"/>
      <c r="E31" s="20"/>
      <c r="F31" s="161" t="s">
        <v>2641</v>
      </c>
      <c r="G31" s="1742">
        <f>+L33</f>
        <v>61</v>
      </c>
      <c r="H31" s="118" t="s">
        <v>1569</v>
      </c>
      <c r="I31" s="54">
        <f>H10/60</f>
        <v>25</v>
      </c>
      <c r="J31" s="20" t="s">
        <v>571</v>
      </c>
      <c r="K31" s="1776">
        <f>G33/G31</f>
        <v>1.6229508196721312</v>
      </c>
      <c r="L31" s="1777" t="str">
        <f>IF(K31&lt;=3.5,"Safe","Not Safe")</f>
        <v>Safe</v>
      </c>
      <c r="M31" s="602" t="s">
        <v>1570</v>
      </c>
      <c r="N31" s="145">
        <v>8.5</v>
      </c>
      <c r="O31" s="912" t="e">
        <f>75-#REF!</f>
        <v>#REF!</v>
      </c>
      <c r="U31" s="55" t="s">
        <v>1568</v>
      </c>
      <c r="V31" s="17">
        <f>S70</f>
        <v>61</v>
      </c>
    </row>
    <row r="32" spans="1:32" ht="18" customHeight="1">
      <c r="A32" s="36"/>
      <c r="B32" s="20"/>
      <c r="C32" s="20"/>
      <c r="D32" s="20"/>
      <c r="E32" s="20"/>
      <c r="F32" s="161" t="s">
        <v>2642</v>
      </c>
      <c r="G32" s="1742">
        <f>G31</f>
        <v>61</v>
      </c>
      <c r="H32" s="118" t="s">
        <v>1569</v>
      </c>
      <c r="I32" s="54">
        <f>H10/60</f>
        <v>25</v>
      </c>
      <c r="J32" s="20" t="s">
        <v>571</v>
      </c>
      <c r="K32" s="1778"/>
      <c r="M32" s="1020"/>
      <c r="N32" s="833"/>
      <c r="O32" s="1779"/>
      <c r="U32" s="55"/>
      <c r="V32" s="17"/>
    </row>
    <row r="33" spans="1:22" ht="18" customHeight="1" thickBot="1">
      <c r="A33" s="36"/>
      <c r="B33" s="20"/>
      <c r="C33" s="20"/>
      <c r="D33" s="20"/>
      <c r="E33" s="20"/>
      <c r="F33" s="161" t="s">
        <v>1571</v>
      </c>
      <c r="G33" s="1742">
        <f>+L34</f>
        <v>99</v>
      </c>
      <c r="H33" s="118" t="s">
        <v>1569</v>
      </c>
      <c r="I33" s="54">
        <f>H10/25</f>
        <v>60</v>
      </c>
      <c r="J33" s="20" t="s">
        <v>571</v>
      </c>
      <c r="K33" s="326"/>
      <c r="L33" s="53">
        <f>+V31</f>
        <v>61</v>
      </c>
      <c r="M33" s="256"/>
      <c r="N33" s="1354"/>
      <c r="O33" s="1187"/>
      <c r="P33" s="17"/>
      <c r="Q33" s="17"/>
      <c r="U33" s="55" t="s">
        <v>1571</v>
      </c>
      <c r="V33" s="17">
        <f>U75</f>
        <v>99</v>
      </c>
    </row>
    <row r="34" spans="1:22" ht="18" customHeight="1">
      <c r="A34" s="36"/>
      <c r="B34" s="67">
        <f>G36*10</f>
        <v>8</v>
      </c>
      <c r="C34" s="19">
        <f>G31*10-(G36*10)-(E45*2)</f>
        <v>514</v>
      </c>
      <c r="D34" s="67" t="s">
        <v>1572</v>
      </c>
      <c r="E34" s="67"/>
      <c r="F34" s="161" t="s">
        <v>1573</v>
      </c>
      <c r="G34" s="1743">
        <f>+L35</f>
        <v>2</v>
      </c>
      <c r="H34" s="118" t="s">
        <v>1569</v>
      </c>
      <c r="I34" s="54">
        <f>(C34+B34)/50/10</f>
        <v>1.044</v>
      </c>
      <c r="J34" s="20" t="s">
        <v>571</v>
      </c>
      <c r="K34" s="304"/>
      <c r="L34" s="19">
        <f>+V33</f>
        <v>99</v>
      </c>
      <c r="M34" s="20"/>
      <c r="O34" s="17"/>
      <c r="P34" s="17"/>
      <c r="Q34" s="17"/>
      <c r="U34" s="55" t="s">
        <v>1573</v>
      </c>
      <c r="V34" s="17">
        <f>W70</f>
        <v>2</v>
      </c>
    </row>
    <row r="35" spans="1:22" ht="27.95" customHeight="1">
      <c r="A35" s="36"/>
      <c r="B35" s="3863">
        <f>(G33-G34-G35)*10</f>
        <v>960</v>
      </c>
      <c r="C35" s="20"/>
      <c r="D35" s="3863">
        <f>G33*10</f>
        <v>990</v>
      </c>
      <c r="E35" s="1780"/>
      <c r="F35" s="161" t="s">
        <v>2643</v>
      </c>
      <c r="G35" s="1743">
        <f>+L36</f>
        <v>1</v>
      </c>
      <c r="H35" s="118" t="s">
        <v>1569</v>
      </c>
      <c r="I35" s="20"/>
      <c r="J35" s="20"/>
      <c r="K35" s="304"/>
      <c r="L35" s="19">
        <f>+V34</f>
        <v>2</v>
      </c>
      <c r="M35" s="20"/>
      <c r="O35" s="17"/>
      <c r="P35" s="17"/>
      <c r="Q35" s="17"/>
      <c r="U35" s="55" t="s">
        <v>1575</v>
      </c>
      <c r="V35" s="20">
        <f>W69</f>
        <v>1</v>
      </c>
    </row>
    <row r="36" spans="1:22" ht="18" customHeight="1" thickBot="1">
      <c r="A36" s="36"/>
      <c r="B36" s="3863"/>
      <c r="C36" s="20"/>
      <c r="D36" s="3863"/>
      <c r="E36" s="20"/>
      <c r="F36" s="161" t="s">
        <v>2644</v>
      </c>
      <c r="G36" s="1743">
        <f>+L37</f>
        <v>0.8</v>
      </c>
      <c r="H36" s="118" t="s">
        <v>1569</v>
      </c>
      <c r="I36" s="54">
        <f>B35/250/10</f>
        <v>0.38400000000000001</v>
      </c>
      <c r="J36" s="20" t="s">
        <v>571</v>
      </c>
      <c r="K36" s="304"/>
      <c r="L36" s="19">
        <f>+V35</f>
        <v>1</v>
      </c>
      <c r="M36" s="20"/>
      <c r="U36" s="55" t="s">
        <v>1577</v>
      </c>
      <c r="V36" s="20">
        <f>Y60</f>
        <v>0.8</v>
      </c>
    </row>
    <row r="37" spans="1:22" ht="18" customHeight="1">
      <c r="A37" s="36"/>
      <c r="B37" s="1781"/>
      <c r="C37" s="20"/>
      <c r="D37" s="1781"/>
      <c r="E37" s="20"/>
      <c r="F37" s="161" t="s">
        <v>2645</v>
      </c>
      <c r="G37" s="1743">
        <f>G36</f>
        <v>0.8</v>
      </c>
      <c r="H37" s="118" t="s">
        <v>1569</v>
      </c>
      <c r="I37" s="54">
        <f>B35/250/10</f>
        <v>0.38400000000000001</v>
      </c>
      <c r="J37" s="20" t="s">
        <v>571</v>
      </c>
      <c r="K37" s="304"/>
      <c r="L37" s="19">
        <f>+V36</f>
        <v>0.8</v>
      </c>
      <c r="M37" s="20"/>
      <c r="O37" s="1782" t="s">
        <v>1568</v>
      </c>
      <c r="P37" s="662" t="s">
        <v>1579</v>
      </c>
      <c r="Q37" s="662"/>
      <c r="R37" s="1145"/>
      <c r="U37" s="55"/>
      <c r="V37" s="20"/>
    </row>
    <row r="38" spans="1:22" ht="18" customHeight="1">
      <c r="A38" s="36"/>
      <c r="B38" s="20"/>
      <c r="C38" s="20"/>
      <c r="D38" s="67" t="s">
        <v>1580</v>
      </c>
      <c r="E38" s="67"/>
      <c r="F38" s="161" t="s">
        <v>1581</v>
      </c>
      <c r="G38" s="1783">
        <f>G33-G34-G35</f>
        <v>96</v>
      </c>
      <c r="H38" s="118" t="s">
        <v>1569</v>
      </c>
      <c r="I38" s="20"/>
      <c r="J38" s="20"/>
      <c r="K38" s="304"/>
      <c r="M38" s="20"/>
      <c r="O38" s="1784" t="s">
        <v>1571</v>
      </c>
      <c r="P38" s="1785" t="s">
        <v>1583</v>
      </c>
      <c r="Q38" s="1785"/>
      <c r="R38" s="1786"/>
      <c r="U38" s="55"/>
      <c r="V38" s="17"/>
    </row>
    <row r="39" spans="1:22" ht="20.100000000000001" customHeight="1" thickBot="1">
      <c r="A39" s="36"/>
      <c r="B39" s="20"/>
      <c r="C39" s="20"/>
      <c r="D39" s="20"/>
      <c r="E39" s="20"/>
      <c r="F39" s="161" t="s">
        <v>287</v>
      </c>
      <c r="G39" s="1744">
        <f>+L39</f>
        <v>264.23100000000005</v>
      </c>
      <c r="H39" s="118" t="s">
        <v>442</v>
      </c>
      <c r="I39" s="20"/>
      <c r="J39" s="20"/>
      <c r="K39" s="304"/>
      <c r="L39" s="577">
        <f>+V39</f>
        <v>264.23100000000005</v>
      </c>
      <c r="M39" s="20"/>
      <c r="O39" s="1787" t="s">
        <v>1584</v>
      </c>
      <c r="P39" s="712" t="s">
        <v>1585</v>
      </c>
      <c r="Q39" s="712"/>
      <c r="R39" s="1788"/>
      <c r="U39" s="55" t="s">
        <v>287</v>
      </c>
      <c r="V39" s="1745">
        <f>'E OUTPUT'!G193</f>
        <v>264.23100000000005</v>
      </c>
    </row>
    <row r="40" spans="1:22" ht="14.65" thickBot="1">
      <c r="A40" s="36"/>
      <c r="B40" s="20"/>
      <c r="C40" s="20"/>
      <c r="D40" s="20"/>
      <c r="E40" s="20"/>
      <c r="F40" s="20"/>
      <c r="G40" s="1746">
        <f>+L40</f>
        <v>303.86565000000002</v>
      </c>
      <c r="H40" s="88" t="s">
        <v>1587</v>
      </c>
      <c r="I40" s="20"/>
      <c r="J40" s="20"/>
      <c r="K40" s="304"/>
      <c r="L40" s="577">
        <f>+V40</f>
        <v>303.86565000000002</v>
      </c>
      <c r="Q40" s="17"/>
      <c r="U40" s="55" t="s">
        <v>1587</v>
      </c>
      <c r="V40" s="17">
        <f>+V39*1.15</f>
        <v>303.86565000000002</v>
      </c>
    </row>
    <row r="41" spans="1:22" ht="20.100000000000001" customHeight="1">
      <c r="A41" s="36"/>
      <c r="B41" s="88">
        <f>G35*10</f>
        <v>10</v>
      </c>
      <c r="C41" s="20"/>
      <c r="D41" s="20"/>
      <c r="E41" s="20"/>
      <c r="F41" s="20"/>
      <c r="I41" s="20"/>
      <c r="J41" s="20"/>
      <c r="K41" s="304"/>
      <c r="L41" s="3810" t="s">
        <v>1586</v>
      </c>
      <c r="M41" s="3810"/>
      <c r="N41" s="3810"/>
      <c r="O41" s="3810"/>
      <c r="P41" s="3811"/>
      <c r="Q41" s="17"/>
    </row>
    <row r="42" spans="1:22">
      <c r="A42" s="36"/>
      <c r="B42" s="19"/>
      <c r="C42" s="20"/>
      <c r="D42" s="20"/>
      <c r="E42" s="20"/>
      <c r="F42" s="20"/>
      <c r="G42" s="20"/>
      <c r="H42" s="20"/>
      <c r="I42" s="20"/>
      <c r="J42" s="20"/>
      <c r="K42" s="304"/>
      <c r="L42" s="556" t="str">
        <f t="shared" ref="L42" si="0">IF(M42&lt;=O42,"Safe","Not safe")</f>
        <v>Safe</v>
      </c>
      <c r="M42" s="1789">
        <f>H10/G33</f>
        <v>15.151515151515152</v>
      </c>
      <c r="N42" s="19" t="s">
        <v>1574</v>
      </c>
      <c r="O42" s="1790">
        <v>18</v>
      </c>
      <c r="P42" s="1791">
        <v>1</v>
      </c>
      <c r="Q42" s="17"/>
    </row>
    <row r="43" spans="1:22">
      <c r="A43" s="36"/>
      <c r="B43" s="19"/>
      <c r="C43" s="1792" t="s">
        <v>1588</v>
      </c>
      <c r="D43" s="37"/>
      <c r="E43" s="37"/>
      <c r="F43" s="37"/>
      <c r="G43" s="402"/>
      <c r="H43" s="20"/>
      <c r="I43" s="20"/>
      <c r="J43" s="20"/>
      <c r="K43" s="304"/>
      <c r="L43" s="556" t="str">
        <f>IF(M43&lt;=O43,"Safe","Not safe")</f>
        <v>Safe</v>
      </c>
      <c r="M43" s="1789">
        <f>H10/G31</f>
        <v>24.590163934426229</v>
      </c>
      <c r="N43" s="19" t="s">
        <v>1576</v>
      </c>
      <c r="O43" s="1790">
        <v>60</v>
      </c>
      <c r="P43" s="1791">
        <v>2</v>
      </c>
      <c r="Q43" s="17"/>
    </row>
    <row r="44" spans="1:22">
      <c r="A44" s="36"/>
      <c r="B44" s="20"/>
      <c r="C44" s="1793" t="s">
        <v>1589</v>
      </c>
      <c r="D44" s="1753">
        <f>G31/2+50</f>
        <v>80.5</v>
      </c>
      <c r="E44" s="88"/>
      <c r="F44" s="20" t="s">
        <v>1569</v>
      </c>
      <c r="G44" s="405"/>
      <c r="H44" s="20"/>
      <c r="I44" s="20" t="s">
        <v>1590</v>
      </c>
      <c r="J44" s="20"/>
      <c r="K44" s="304"/>
      <c r="L44" s="556" t="str">
        <f>IF(M44&lt;=O44,"Safe","Not safe")</f>
        <v>Safe</v>
      </c>
      <c r="M44" s="1789">
        <f>G31/G34</f>
        <v>30.5</v>
      </c>
      <c r="N44" s="19" t="s">
        <v>1578</v>
      </c>
      <c r="O44" s="1790">
        <v>60</v>
      </c>
      <c r="P44" s="1791">
        <v>3</v>
      </c>
      <c r="Q44" s="17"/>
    </row>
    <row r="45" spans="1:22" ht="20.100000000000001" customHeight="1">
      <c r="A45" s="36"/>
      <c r="B45" s="20"/>
      <c r="C45" s="1794" t="s">
        <v>1591</v>
      </c>
      <c r="D45" s="1795">
        <f>E45-G36*10/2</f>
        <v>40</v>
      </c>
      <c r="E45" s="1747">
        <v>44</v>
      </c>
      <c r="F45" s="459" t="s">
        <v>1592</v>
      </c>
      <c r="G45" s="460"/>
      <c r="H45" s="20"/>
      <c r="I45" s="20" t="s">
        <v>1593</v>
      </c>
      <c r="J45" s="20"/>
      <c r="K45" s="304"/>
      <c r="L45" s="556" t="str">
        <f>IF(M45&lt;=O45,"Safe","Not safe")</f>
        <v>Safe</v>
      </c>
      <c r="M45" s="1796">
        <f>G33/G31</f>
        <v>1.6229508196721312</v>
      </c>
      <c r="N45" s="19" t="s">
        <v>1582</v>
      </c>
      <c r="O45" s="1790">
        <v>3.5</v>
      </c>
      <c r="P45" s="1791">
        <v>4</v>
      </c>
      <c r="Q45" s="17"/>
      <c r="R45" s="17"/>
      <c r="S45" s="17"/>
    </row>
    <row r="46" spans="1:22">
      <c r="A46" s="36"/>
      <c r="B46" s="20"/>
      <c r="C46" s="20"/>
      <c r="D46" s="20"/>
      <c r="E46" s="20"/>
      <c r="F46" s="20"/>
      <c r="G46" s="20"/>
      <c r="H46" s="20"/>
      <c r="I46" s="20"/>
      <c r="J46" s="20"/>
      <c r="K46" s="304"/>
      <c r="L46" s="556" t="str">
        <f>IF(M46&lt;=O46,"Safe","Not safe")</f>
        <v>Safe</v>
      </c>
      <c r="M46" s="1789">
        <f>B35/(G34*10)</f>
        <v>48</v>
      </c>
      <c r="N46" s="19" t="s">
        <v>1594</v>
      </c>
      <c r="O46" s="1790">
        <v>250</v>
      </c>
      <c r="P46" s="1791">
        <v>5</v>
      </c>
      <c r="Q46" s="20">
        <f>H10/18</f>
        <v>83.333333333333329</v>
      </c>
      <c r="R46" s="17"/>
      <c r="S46" s="17"/>
    </row>
    <row r="47" spans="1:22">
      <c r="A47" s="1165" t="s">
        <v>1595</v>
      </c>
      <c r="B47" s="20"/>
      <c r="C47" s="20"/>
      <c r="D47" s="20"/>
      <c r="E47" s="20"/>
      <c r="F47" s="20"/>
      <c r="G47" s="20"/>
      <c r="H47" s="346"/>
      <c r="I47" s="20"/>
      <c r="J47" s="20"/>
      <c r="K47" s="304"/>
      <c r="L47" s="1797" t="str">
        <f>IF(M47&lt;=O47,"Safe","Not safe")</f>
        <v>Safe</v>
      </c>
      <c r="M47" s="1798">
        <f>C34/50</f>
        <v>10.28</v>
      </c>
      <c r="N47" s="1183" t="s">
        <v>1596</v>
      </c>
      <c r="O47" s="1799">
        <v>16</v>
      </c>
      <c r="P47" s="1800">
        <v>6</v>
      </c>
      <c r="Q47" s="17"/>
      <c r="R47" s="17"/>
      <c r="S47" s="17"/>
    </row>
    <row r="48" spans="1:22">
      <c r="A48" s="1801" t="s">
        <v>1597</v>
      </c>
      <c r="B48" s="1802"/>
      <c r="C48" s="1803">
        <f>'E OUTPUT'!H248</f>
        <v>834.34618059070965</v>
      </c>
      <c r="D48" s="1804" t="str">
        <f>'E OUTPUT'!I248</f>
        <v>&lt;1521</v>
      </c>
      <c r="E48" s="1805" t="s">
        <v>1598</v>
      </c>
      <c r="F48" s="3864" t="s">
        <v>1599</v>
      </c>
      <c r="G48" s="3865"/>
      <c r="H48" s="3866" t="str">
        <f>IF(H50&lt;=H52,"Section is Safe in Deflection","Section is not safe in deflection")</f>
        <v>Section is Safe in Deflection</v>
      </c>
      <c r="I48" s="3867"/>
      <c r="J48" s="3867"/>
      <c r="K48" s="3868"/>
      <c r="L48" s="1748" t="str">
        <f>IF(C48&lt;'E OUTPUT'!H226,"Safe in (Axial+Bending)","Notsafe")</f>
        <v>Safe in (Axial+Bending)</v>
      </c>
      <c r="M48" s="1749"/>
      <c r="N48" s="1749"/>
      <c r="O48" s="31"/>
      <c r="P48" s="31"/>
      <c r="Q48" s="31"/>
      <c r="R48" s="31"/>
      <c r="S48" s="31"/>
    </row>
    <row r="49" spans="1:34">
      <c r="A49" s="1806"/>
      <c r="B49" s="1807"/>
      <c r="C49" s="1808"/>
      <c r="D49" s="1809"/>
      <c r="E49" s="129"/>
      <c r="F49" s="1810"/>
      <c r="G49" s="31"/>
      <c r="H49" s="491" t="s">
        <v>1600</v>
      </c>
      <c r="I49" s="31"/>
      <c r="J49" s="31"/>
      <c r="K49" s="129"/>
      <c r="L49" s="31"/>
      <c r="M49" s="31"/>
      <c r="N49" s="31"/>
      <c r="O49" s="31"/>
      <c r="P49" s="31"/>
      <c r="Q49" s="31"/>
      <c r="R49" s="31"/>
      <c r="S49" s="31"/>
    </row>
    <row r="50" spans="1:34">
      <c r="A50" s="1811" t="s">
        <v>1601</v>
      </c>
      <c r="B50" s="1807"/>
      <c r="C50" s="1812">
        <f>'E OUTPUT'!H250</f>
        <v>143.69551848877438</v>
      </c>
      <c r="D50" s="1813" t="s">
        <v>1602</v>
      </c>
      <c r="E50" s="1225" t="s">
        <v>1598</v>
      </c>
      <c r="F50" s="3869" t="s">
        <v>1603</v>
      </c>
      <c r="G50" s="3870"/>
      <c r="H50" s="1814">
        <f>'E CALCU'!C271</f>
        <v>9.5429727552282912</v>
      </c>
      <c r="I50" s="1815" t="s">
        <v>466</v>
      </c>
      <c r="J50" s="1236">
        <f>H10/100</f>
        <v>15</v>
      </c>
      <c r="K50" s="1225" t="s">
        <v>466</v>
      </c>
      <c r="L50" s="1748" t="str">
        <f>IF(C50&lt;1000,"Safe in (Shear+Torsional)","Not Safe")</f>
        <v>Safe in (Shear+Torsional)</v>
      </c>
      <c r="M50" s="1749"/>
      <c r="N50" s="1749"/>
      <c r="O50" s="31"/>
      <c r="P50" s="31"/>
      <c r="Q50" s="31"/>
      <c r="R50" s="31"/>
      <c r="S50" s="31"/>
    </row>
    <row r="51" spans="1:34">
      <c r="A51" s="1806"/>
      <c r="B51" s="1807"/>
      <c r="C51" s="1808"/>
      <c r="D51" s="1019"/>
      <c r="E51" s="129"/>
      <c r="F51" s="1816"/>
      <c r="G51" s="31"/>
      <c r="H51" s="1817"/>
      <c r="I51" s="31"/>
      <c r="J51" s="3799" t="s">
        <v>1604</v>
      </c>
      <c r="K51" s="3800"/>
      <c r="L51" s="31"/>
      <c r="M51" s="31"/>
      <c r="N51" s="31"/>
      <c r="O51" s="31"/>
      <c r="P51" s="31"/>
      <c r="Q51" s="31"/>
      <c r="R51" s="31"/>
      <c r="S51" s="31"/>
    </row>
    <row r="52" spans="1:34">
      <c r="A52" s="1818" t="s">
        <v>1605</v>
      </c>
      <c r="B52" s="1819"/>
      <c r="C52" s="1820">
        <f>'E OUTPUT'!H252</f>
        <v>870.67718194953181</v>
      </c>
      <c r="D52" s="1821" t="s">
        <v>1606</v>
      </c>
      <c r="E52" s="1822" t="s">
        <v>1598</v>
      </c>
      <c r="F52" s="3861" t="s">
        <v>1607</v>
      </c>
      <c r="G52" s="3862"/>
      <c r="H52" s="1823">
        <f>'E OUTPUT'!G258</f>
        <v>16.666666666666668</v>
      </c>
      <c r="I52" s="1824" t="s">
        <v>466</v>
      </c>
      <c r="J52" s="1565">
        <f>H10*10/750</f>
        <v>20</v>
      </c>
      <c r="K52" s="1225" t="s">
        <v>466</v>
      </c>
      <c r="L52" s="1748" t="str">
        <f>IF(C52&lt;2250,"Safe in Combine","Not Safe")</f>
        <v>Safe in Combine</v>
      </c>
      <c r="M52" s="1749"/>
      <c r="N52" s="1749"/>
      <c r="O52" s="31"/>
      <c r="P52" s="31"/>
      <c r="Q52" s="31"/>
      <c r="R52" s="31"/>
      <c r="S52" s="31"/>
    </row>
    <row r="53" spans="1:34">
      <c r="A53" s="1208"/>
      <c r="B53" s="31"/>
      <c r="C53" s="31" t="s">
        <v>1608</v>
      </c>
      <c r="D53" s="31"/>
      <c r="E53" s="1817">
        <f>'E CALCU'!C271+'E CALCU'!D278</f>
        <v>11.153559381821351</v>
      </c>
      <c r="F53" s="31"/>
      <c r="G53" s="31"/>
      <c r="H53" s="195" t="s">
        <v>1609</v>
      </c>
      <c r="I53" s="31"/>
      <c r="J53" s="212" t="s">
        <v>1610</v>
      </c>
      <c r="K53" s="1825"/>
      <c r="L53" s="31"/>
      <c r="M53" s="31"/>
      <c r="N53" s="31"/>
      <c r="O53" s="31"/>
      <c r="P53" s="31"/>
      <c r="Q53" s="31"/>
      <c r="R53" s="31"/>
      <c r="S53" s="31"/>
    </row>
    <row r="54" spans="1:34">
      <c r="A54" s="1826"/>
      <c r="B54" s="1827"/>
      <c r="C54" s="1827"/>
      <c r="D54" s="1827"/>
      <c r="E54" s="1827"/>
      <c r="F54" s="1827"/>
      <c r="G54" s="1827"/>
      <c r="H54" s="1827"/>
      <c r="I54" s="1827"/>
      <c r="J54" s="1827">
        <f>H10*10/800</f>
        <v>18.75</v>
      </c>
      <c r="K54" s="122"/>
      <c r="L54" s="31"/>
      <c r="M54" s="31"/>
      <c r="N54" s="31"/>
      <c r="O54" s="31"/>
      <c r="P54" s="31"/>
      <c r="Q54" s="31"/>
      <c r="R54" s="31"/>
      <c r="S54" s="31"/>
    </row>
    <row r="55" spans="1:34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</row>
    <row r="56" spans="1:34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AD56" s="131" t="s">
        <v>1101</v>
      </c>
      <c r="AE56" s="131" t="s">
        <v>1550</v>
      </c>
      <c r="AF56" s="131" t="s">
        <v>2163</v>
      </c>
      <c r="AG56" s="131" t="str">
        <f>IF(ESt!D40=4,"(c) End Carriage","(c) Boggie + Tie")</f>
        <v>(c) End Carriage</v>
      </c>
      <c r="AH56" s="417"/>
    </row>
    <row r="57" spans="1:34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1828">
        <f>H10/60</f>
        <v>25</v>
      </c>
      <c r="V57" s="131">
        <f>H10/25</f>
        <v>60</v>
      </c>
      <c r="X57" s="1829">
        <f>T69/60</f>
        <v>0.6166666666666667</v>
      </c>
      <c r="AD57" s="131">
        <v>0</v>
      </c>
      <c r="AE57" s="131">
        <v>0</v>
      </c>
      <c r="AF57" s="131">
        <v>500</v>
      </c>
      <c r="AG57" s="131">
        <f>IF(ESt!$D$40=4,AF57*3,(ESt!$C$40*4+AF57*2+300))</f>
        <v>1500</v>
      </c>
      <c r="AH57" s="131"/>
    </row>
    <row r="58" spans="1:34">
      <c r="P58" s="17"/>
      <c r="Q58" s="17"/>
      <c r="R58" s="17"/>
      <c r="S58" s="228">
        <v>0</v>
      </c>
      <c r="T58" s="147">
        <v>37</v>
      </c>
      <c r="U58" s="131">
        <v>0</v>
      </c>
      <c r="V58" s="131">
        <v>37</v>
      </c>
      <c r="W58" s="131">
        <v>0</v>
      </c>
      <c r="X58" s="131">
        <v>0.6</v>
      </c>
      <c r="Y58" s="22">
        <f>+U75-W67-X67</f>
        <v>97.600000000000009</v>
      </c>
      <c r="Z58" s="22">
        <f>Y58/250</f>
        <v>0.39040000000000002</v>
      </c>
      <c r="AD58" s="131">
        <v>9</v>
      </c>
      <c r="AE58" s="131">
        <v>100</v>
      </c>
      <c r="AF58" s="131">
        <v>500</v>
      </c>
      <c r="AG58" s="131">
        <f>IF(ESt!$D$40=4,AF58*3,(ESt!$C$40*4+AF58*2+300))</f>
        <v>1500</v>
      </c>
      <c r="AH58" s="131"/>
    </row>
    <row r="59" spans="1:34">
      <c r="R59" s="17"/>
      <c r="S59" s="131">
        <v>37</v>
      </c>
      <c r="T59" s="147">
        <v>41</v>
      </c>
      <c r="U59" s="131">
        <v>37</v>
      </c>
      <c r="V59" s="131">
        <v>41</v>
      </c>
      <c r="W59" s="131">
        <v>0.6</v>
      </c>
      <c r="X59" s="131">
        <v>0.8</v>
      </c>
      <c r="Y59" s="22">
        <f>VLOOKUP(Z58,W58:W65,1)</f>
        <v>0</v>
      </c>
      <c r="Z59" s="22">
        <f>VLOOKUP(Y59,W58:X65,2,0)</f>
        <v>0.6</v>
      </c>
      <c r="AD59" s="131">
        <v>19</v>
      </c>
      <c r="AE59" s="131">
        <v>200</v>
      </c>
      <c r="AF59" s="131">
        <v>500</v>
      </c>
      <c r="AG59" s="131">
        <f>IF(ESt!$D$40=4,AF59*3,(ESt!$C$40*4+AF59*2+300))</f>
        <v>1500</v>
      </c>
      <c r="AH59" s="131"/>
    </row>
    <row r="60" spans="1:34">
      <c r="B60" s="22" t="s">
        <v>2459</v>
      </c>
      <c r="C60" s="1830">
        <f>'E Data'!I52</f>
        <v>3000</v>
      </c>
      <c r="R60" s="17"/>
      <c r="S60" s="131">
        <v>41</v>
      </c>
      <c r="T60" s="147">
        <v>49</v>
      </c>
      <c r="U60" s="131">
        <v>41</v>
      </c>
      <c r="V60" s="131">
        <v>49</v>
      </c>
      <c r="W60" s="131">
        <v>0.8</v>
      </c>
      <c r="X60" s="131">
        <v>1</v>
      </c>
      <c r="Y60" s="1831">
        <f>IFERROR(Z60,Z59)</f>
        <v>0.8</v>
      </c>
      <c r="Z60" s="22">
        <f>VLOOKUP(Z59,W58:X65,2,0)</f>
        <v>0.8</v>
      </c>
      <c r="AD60" s="131">
        <v>29</v>
      </c>
      <c r="AE60" s="131">
        <v>300</v>
      </c>
      <c r="AF60" s="131">
        <v>500</v>
      </c>
      <c r="AG60" s="131">
        <f>IF(ESt!$D$40=4,AF60*3,(ESt!$C$40*4+AF60*2+300))</f>
        <v>1500</v>
      </c>
      <c r="AH60" s="131"/>
    </row>
    <row r="61" spans="1:34">
      <c r="B61" s="22" t="str">
        <f>A64</f>
        <v>Head Room :</v>
      </c>
      <c r="C61" s="53">
        <f>+C64</f>
        <v>2500</v>
      </c>
      <c r="R61" s="17"/>
      <c r="S61" s="131">
        <v>49</v>
      </c>
      <c r="T61" s="147">
        <v>61</v>
      </c>
      <c r="U61" s="131">
        <v>49</v>
      </c>
      <c r="V61" s="131">
        <v>61</v>
      </c>
      <c r="W61" s="131">
        <v>1</v>
      </c>
      <c r="X61" s="131">
        <v>1.2</v>
      </c>
      <c r="AD61" s="131">
        <v>39</v>
      </c>
      <c r="AE61" s="131">
        <v>400</v>
      </c>
      <c r="AF61" s="131">
        <v>600</v>
      </c>
      <c r="AG61" s="131">
        <f>IF(ESt!$D$40=4,AF61*3,(ESt!$C$40*4+AF61*2+300))</f>
        <v>1800</v>
      </c>
      <c r="AH61" s="131"/>
    </row>
    <row r="62" spans="1:34">
      <c r="B62" s="22" t="s">
        <v>2460</v>
      </c>
      <c r="C62" s="145">
        <f>C60-C61</f>
        <v>500</v>
      </c>
      <c r="D62" s="131" t="str">
        <f>IF(C62&gt;30,"Right","Wrong")</f>
        <v>Right</v>
      </c>
      <c r="R62" s="20"/>
      <c r="S62" s="131">
        <v>61</v>
      </c>
      <c r="T62" s="147">
        <v>71</v>
      </c>
      <c r="U62" s="131">
        <v>61</v>
      </c>
      <c r="V62" s="131">
        <v>71</v>
      </c>
      <c r="W62" s="131">
        <v>1.2</v>
      </c>
      <c r="X62" s="131">
        <v>1.6</v>
      </c>
      <c r="AD62" s="131">
        <v>49</v>
      </c>
      <c r="AE62" s="131">
        <v>500</v>
      </c>
      <c r="AF62" s="131">
        <v>800</v>
      </c>
      <c r="AG62" s="131">
        <f>IF(ESt!$D$40=4,AF62*3,(ESt!$C$40*4+AF62*2+300))</f>
        <v>2400</v>
      </c>
      <c r="AH62" s="131"/>
    </row>
    <row r="63" spans="1:34">
      <c r="R63" s="20"/>
      <c r="S63" s="131">
        <v>71</v>
      </c>
      <c r="T63" s="147">
        <v>74</v>
      </c>
      <c r="U63" s="131">
        <v>71</v>
      </c>
      <c r="V63" s="131">
        <v>74</v>
      </c>
      <c r="W63" s="131">
        <v>1.6</v>
      </c>
      <c r="X63" s="131">
        <v>2</v>
      </c>
      <c r="AD63" s="131">
        <v>59</v>
      </c>
      <c r="AE63" s="131">
        <v>600</v>
      </c>
      <c r="AF63" s="131">
        <v>1000</v>
      </c>
      <c r="AG63" s="131">
        <f>IF(ESt!$D$40=4,AF63*3,(ESt!$C$40*4+AF63*2+300))</f>
        <v>3000</v>
      </c>
      <c r="AH63" s="131"/>
    </row>
    <row r="64" spans="1:34">
      <c r="A64" s="1832" t="s">
        <v>2164</v>
      </c>
      <c r="B64" s="131"/>
      <c r="C64" s="1833">
        <f>ROUNDUP(SUM(C65:C71),-2)</f>
        <v>2500</v>
      </c>
      <c r="F64" s="1832" t="s">
        <v>2296</v>
      </c>
      <c r="G64" s="1834">
        <f>ROUNDUP(SUM(G65:G71),-2)</f>
        <v>3300</v>
      </c>
      <c r="R64" s="17"/>
      <c r="S64" s="131">
        <v>74</v>
      </c>
      <c r="T64" s="147">
        <v>82</v>
      </c>
      <c r="U64" s="131">
        <v>74</v>
      </c>
      <c r="V64" s="131">
        <v>82</v>
      </c>
      <c r="W64" s="131">
        <v>2</v>
      </c>
      <c r="X64" s="131">
        <v>2.5</v>
      </c>
      <c r="AD64" s="131">
        <v>69</v>
      </c>
      <c r="AE64" s="131">
        <v>800</v>
      </c>
      <c r="AF64" s="131">
        <v>1000</v>
      </c>
      <c r="AG64" s="131">
        <f>IF(ESt!$D$40=4,AF64*3,(ESt!$C$40*4+AF64*2+300))</f>
        <v>3000</v>
      </c>
      <c r="AH64" s="131"/>
    </row>
    <row r="65" spans="1:34">
      <c r="A65" s="131" t="s">
        <v>2168</v>
      </c>
      <c r="B65" s="131"/>
      <c r="C65" s="131">
        <f>LT_wh!I53</f>
        <v>250</v>
      </c>
      <c r="D65" s="22" t="s">
        <v>466</v>
      </c>
      <c r="F65" s="131" t="s">
        <v>2297</v>
      </c>
      <c r="G65" s="1828">
        <f>IFERROR(IF(MH!J171&gt;AH!J171,MH!J171,AH!J171),MH!J171)</f>
        <v>1770</v>
      </c>
      <c r="H65" s="22" t="s">
        <v>466</v>
      </c>
      <c r="R65" s="17"/>
      <c r="S65" s="131">
        <v>82</v>
      </c>
      <c r="T65" s="147">
        <v>99</v>
      </c>
      <c r="U65" s="131">
        <v>82</v>
      </c>
      <c r="V65" s="131">
        <v>99</v>
      </c>
      <c r="W65" s="131">
        <v>2.5</v>
      </c>
      <c r="X65" s="131">
        <v>3.2</v>
      </c>
      <c r="AD65" s="131">
        <v>79</v>
      </c>
      <c r="AE65" s="131">
        <v>1000</v>
      </c>
      <c r="AF65" s="131">
        <v>1200</v>
      </c>
      <c r="AG65" s="131">
        <f>IF(ESt!$D$40=4,AF65*3,(ESt!$C$40*4+AF65*2+300))</f>
        <v>3600</v>
      </c>
      <c r="AH65" s="131"/>
    </row>
    <row r="66" spans="1:34">
      <c r="A66" s="131" t="s">
        <v>2165</v>
      </c>
      <c r="B66" s="131"/>
      <c r="C66" s="1835">
        <v>200</v>
      </c>
      <c r="D66" s="22" t="s">
        <v>466</v>
      </c>
      <c r="F66" s="131" t="s">
        <v>2311</v>
      </c>
      <c r="G66" s="1836">
        <f>IFERROR(IF(MH!J171&gt;AH!J171,MH!S284,AH!S284),MH!S284)</f>
        <v>775</v>
      </c>
      <c r="H66" s="22" t="s">
        <v>466</v>
      </c>
      <c r="R66" s="17"/>
      <c r="S66" s="131">
        <v>99</v>
      </c>
      <c r="T66" s="147">
        <v>122</v>
      </c>
      <c r="U66" s="131">
        <v>99</v>
      </c>
      <c r="V66" s="131">
        <v>122</v>
      </c>
      <c r="AD66" s="131">
        <v>89</v>
      </c>
      <c r="AE66" s="131">
        <v>1200</v>
      </c>
      <c r="AF66" s="131">
        <v>1500</v>
      </c>
      <c r="AG66" s="131">
        <f>IF(ESt!$D$40=4,AF66*3,(ESt!$C$40*4+AF66*2+300))</f>
        <v>4500</v>
      </c>
      <c r="AH66" s="131"/>
    </row>
    <row r="67" spans="1:34">
      <c r="A67" s="131" t="s">
        <v>2167</v>
      </c>
      <c r="B67" s="131"/>
      <c r="C67" s="1837">
        <f>IF(G33&lt;70,G33/2,G33/3)*10</f>
        <v>330</v>
      </c>
      <c r="D67" s="22" t="s">
        <v>466</v>
      </c>
      <c r="F67" s="131" t="s">
        <v>1087</v>
      </c>
      <c r="G67" s="1828">
        <v>200</v>
      </c>
      <c r="H67" s="22" t="s">
        <v>466</v>
      </c>
      <c r="P67" s="17"/>
      <c r="Q67" s="17"/>
      <c r="S67" s="228">
        <v>122</v>
      </c>
      <c r="T67" s="147">
        <v>125</v>
      </c>
      <c r="U67" s="131">
        <v>122</v>
      </c>
      <c r="V67" s="131">
        <v>125</v>
      </c>
      <c r="W67" s="22">
        <f>VLOOKUP(X57,W58:W65,1)</f>
        <v>0.6</v>
      </c>
      <c r="X67" s="22">
        <f>+VLOOKUP(W67,W58:X65,2,0)</f>
        <v>0.8</v>
      </c>
      <c r="Y67" s="22">
        <f>+VLOOKUP(X67,W58:X65,2,0)</f>
        <v>1</v>
      </c>
      <c r="Z67" s="22">
        <f>+VLOOKUP(Y67,W58:X65,2,0)</f>
        <v>1.2</v>
      </c>
      <c r="AD67" s="131">
        <v>99</v>
      </c>
      <c r="AE67" s="131">
        <v>1400</v>
      </c>
      <c r="AF67" s="131">
        <v>1500</v>
      </c>
      <c r="AG67" s="131">
        <f>IF(ESt!$D$40=4,AF67*3,(ESt!$C$40*4+AF67*2+300))</f>
        <v>4500</v>
      </c>
      <c r="AH67" s="131"/>
    </row>
    <row r="68" spans="1:34">
      <c r="A68" s="131" t="s">
        <v>2169</v>
      </c>
      <c r="B68" s="131"/>
      <c r="C68" s="131">
        <f>H18*10</f>
        <v>50</v>
      </c>
      <c r="D68" s="22" t="s">
        <v>466</v>
      </c>
      <c r="F68" s="131" t="s">
        <v>2312</v>
      </c>
      <c r="G68" s="131">
        <v>200</v>
      </c>
      <c r="H68" s="22" t="s">
        <v>466</v>
      </c>
      <c r="P68" s="17"/>
      <c r="Q68" s="17"/>
      <c r="R68" s="17"/>
      <c r="U68" s="131">
        <v>125</v>
      </c>
      <c r="V68" s="131">
        <v>150</v>
      </c>
      <c r="Y68" s="106">
        <f>IF(T77&lt;12,X67,IF(T77&lt;30,Y67,Z67))</f>
        <v>1</v>
      </c>
      <c r="AD68" s="131">
        <v>119</v>
      </c>
      <c r="AE68" s="131">
        <v>1600</v>
      </c>
      <c r="AF68" s="131">
        <v>1500</v>
      </c>
      <c r="AG68" s="131">
        <f>IF(ESt!$D$40=4,AF68*3,(ESt!$C$40*4+AF68*2+300))</f>
        <v>4500</v>
      </c>
      <c r="AH68" s="131"/>
    </row>
    <row r="69" spans="1:34">
      <c r="A69" s="131" t="s">
        <v>2166</v>
      </c>
      <c r="B69" s="131"/>
      <c r="C69" s="131">
        <f>CT_wh!I49</f>
        <v>320</v>
      </c>
      <c r="D69" s="22" t="s">
        <v>466</v>
      </c>
      <c r="F69" s="131" t="s">
        <v>2313</v>
      </c>
      <c r="G69" s="131">
        <v>200</v>
      </c>
      <c r="H69" s="22" t="s">
        <v>466</v>
      </c>
      <c r="P69" s="17"/>
      <c r="Q69" s="17"/>
      <c r="R69" s="17"/>
      <c r="S69" s="22">
        <f>VLOOKUP(T57,S58:S67,1)</f>
        <v>0</v>
      </c>
      <c r="T69" s="22">
        <f>VLOOKUP(S69,S58:T67,2,0)</f>
        <v>37</v>
      </c>
      <c r="U69" s="131">
        <v>150</v>
      </c>
      <c r="V69" s="131">
        <v>180</v>
      </c>
      <c r="W69" s="1831">
        <f>IFERROR(Y68,Z67)</f>
        <v>1</v>
      </c>
      <c r="AD69" s="131"/>
      <c r="AE69" s="131"/>
      <c r="AF69" s="131"/>
      <c r="AG69" s="131"/>
      <c r="AH69" s="131"/>
    </row>
    <row r="70" spans="1:34">
      <c r="A70" s="131" t="s">
        <v>2165</v>
      </c>
      <c r="B70" s="131"/>
      <c r="C70" s="1835">
        <v>300</v>
      </c>
      <c r="D70" s="22" t="s">
        <v>466</v>
      </c>
      <c r="F70" s="131" t="s">
        <v>2314</v>
      </c>
      <c r="G70" s="1835">
        <v>100</v>
      </c>
      <c r="H70" s="22" t="s">
        <v>466</v>
      </c>
      <c r="P70" s="17"/>
      <c r="Q70" s="17"/>
      <c r="R70" s="17"/>
      <c r="S70" s="1831">
        <f>IFERROR(S73,T73)</f>
        <v>61</v>
      </c>
      <c r="T70" s="22">
        <f>VLOOKUP(T69,S58:T67,2,0)</f>
        <v>41</v>
      </c>
      <c r="U70" s="131">
        <v>180</v>
      </c>
      <c r="V70" s="131">
        <v>210</v>
      </c>
      <c r="W70" s="1831">
        <f>IFERROR(W72,X74)</f>
        <v>2</v>
      </c>
      <c r="X70" s="22">
        <f>VLOOKUP(X67,W58:X65,2,)</f>
        <v>1</v>
      </c>
      <c r="AD70" s="131">
        <f>VLOOKUP(ESt!C5,AD57:AD68,1)</f>
        <v>19</v>
      </c>
      <c r="AE70" s="131">
        <f>VLOOKUP(AD70,AD57:AE68,2,0)</f>
        <v>200</v>
      </c>
      <c r="AF70" s="131">
        <f>VLOOKUP(AD70,AD57:AF68,3,0)</f>
        <v>500</v>
      </c>
      <c r="AG70" s="131">
        <f>VLOOKUP(AD70,AD57:AG68,4,0)</f>
        <v>1500</v>
      </c>
      <c r="AH70" s="131"/>
    </row>
    <row r="71" spans="1:34">
      <c r="A71" s="131" t="s">
        <v>2165</v>
      </c>
      <c r="B71" s="131"/>
      <c r="C71" s="1835">
        <v>1000</v>
      </c>
      <c r="D71" s="22" t="s">
        <v>466</v>
      </c>
      <c r="F71" s="131"/>
      <c r="G71" s="1835"/>
      <c r="H71" s="22" t="s">
        <v>466</v>
      </c>
      <c r="P71" s="17"/>
      <c r="Q71" s="17"/>
      <c r="R71" s="17"/>
      <c r="S71" s="17"/>
      <c r="T71" s="22">
        <f>VLOOKUP(T70,S58:T67,2,0)</f>
        <v>49</v>
      </c>
      <c r="U71" s="131">
        <v>210</v>
      </c>
      <c r="V71" s="131">
        <v>250</v>
      </c>
      <c r="X71" s="22">
        <f>VLOOKUP(X70,W58:X65,2,0)</f>
        <v>1.2</v>
      </c>
    </row>
    <row r="72" spans="1:34">
      <c r="P72" s="17"/>
      <c r="Q72" s="17"/>
      <c r="R72" s="17"/>
      <c r="S72" s="17"/>
      <c r="T72" s="22">
        <f>VLOOKUP(T71,S58:T67,2,0)</f>
        <v>61</v>
      </c>
      <c r="U72" s="131">
        <v>250</v>
      </c>
      <c r="V72" s="131">
        <v>250</v>
      </c>
      <c r="W72" s="106">
        <f>IF(T77&lt;16,X72,IF(T77&lt;30,X73,X74))</f>
        <v>2</v>
      </c>
      <c r="X72" s="22">
        <f>VLOOKUP(X71,W58:X65,2,0)</f>
        <v>1.6</v>
      </c>
    </row>
    <row r="73" spans="1:34">
      <c r="P73" s="17"/>
      <c r="Q73" s="17"/>
      <c r="R73" s="17"/>
      <c r="S73" s="106">
        <f>IF(T77&lt;16,T71,IF(T77&lt;30,T72,T73))</f>
        <v>61</v>
      </c>
      <c r="T73" s="22">
        <f>VLOOKUP(T72,S58:T67,2,0)</f>
        <v>71</v>
      </c>
      <c r="X73" s="22">
        <f>VLOOKUP(X72,W58:X65,2,0)</f>
        <v>2</v>
      </c>
    </row>
    <row r="74" spans="1:34">
      <c r="P74" s="20"/>
      <c r="Q74" s="20"/>
      <c r="R74" s="20"/>
      <c r="S74" s="20"/>
      <c r="U74" s="22">
        <f>VLOOKUP(V57,U58:U72,1)</f>
        <v>49</v>
      </c>
      <c r="V74" s="22">
        <f>VLOOKUP(U74,U58:V72,2,0)</f>
        <v>61</v>
      </c>
      <c r="W74" s="1838"/>
      <c r="X74" s="22">
        <f>VLOOKUP(X73,W58:X65,2,0)</f>
        <v>2.5</v>
      </c>
    </row>
    <row r="75" spans="1:34">
      <c r="P75" s="17"/>
      <c r="Q75" s="17"/>
      <c r="R75" s="17"/>
      <c r="U75" s="1831">
        <f>IFERROR(U77,V79)</f>
        <v>99</v>
      </c>
      <c r="V75" s="22">
        <f>VLOOKUP(V74,U58:V72,2,0)</f>
        <v>71</v>
      </c>
      <c r="W75" s="1838"/>
    </row>
    <row r="76" spans="1:34">
      <c r="P76" s="17"/>
      <c r="Q76" s="17"/>
      <c r="R76" s="17"/>
      <c r="S76" s="17"/>
      <c r="V76" s="22">
        <f>VLOOKUP(V75,U58:V72,2,0)</f>
        <v>74</v>
      </c>
    </row>
    <row r="77" spans="1:34">
      <c r="P77" s="17"/>
      <c r="Q77" s="17"/>
      <c r="R77" s="17"/>
      <c r="S77" s="17"/>
      <c r="T77" s="908">
        <f>+H11/H10</f>
        <v>17.083333333333332</v>
      </c>
      <c r="U77" s="106">
        <f>IF(T77&lt;12,V77,IF(T77&lt;30,V78,V79))</f>
        <v>99</v>
      </c>
      <c r="V77" s="22">
        <f>VLOOKUP(V76,U58:V72,2,0)</f>
        <v>82</v>
      </c>
    </row>
    <row r="78" spans="1:34">
      <c r="P78" s="20"/>
      <c r="Q78" s="20"/>
      <c r="R78" s="20"/>
      <c r="S78" s="20"/>
      <c r="T78" s="53" t="s">
        <v>2282</v>
      </c>
      <c r="V78" s="22">
        <f>VLOOKUP(V77,U58:V72,2,0)</f>
        <v>99</v>
      </c>
    </row>
    <row r="79" spans="1:34">
      <c r="P79" s="20"/>
      <c r="Q79" s="20"/>
      <c r="R79" s="20"/>
      <c r="S79" s="20"/>
      <c r="V79" s="22">
        <f>VLOOKUP(V78,U58:V72,2,0)</f>
        <v>122</v>
      </c>
    </row>
    <row r="80" spans="1:34">
      <c r="P80" s="17"/>
      <c r="Q80" s="17"/>
      <c r="R80" s="17"/>
      <c r="S80" s="17"/>
    </row>
    <row r="81" spans="16:19">
      <c r="P81" s="17"/>
      <c r="Q81" s="17"/>
      <c r="R81" s="17"/>
      <c r="S81" s="17"/>
    </row>
    <row r="82" spans="16:19">
      <c r="P82" s="20"/>
      <c r="Q82" s="20"/>
      <c r="R82" s="20"/>
      <c r="S82" s="20"/>
    </row>
    <row r="83" spans="16:19">
      <c r="P83" s="20"/>
      <c r="Q83" s="20"/>
      <c r="R83" s="20"/>
      <c r="S83" s="20"/>
    </row>
    <row r="84" spans="16:19">
      <c r="P84" s="20"/>
      <c r="Q84" s="20"/>
      <c r="R84" s="20"/>
      <c r="S84" s="20"/>
    </row>
  </sheetData>
  <mergeCells count="13">
    <mergeCell ref="F52:G52"/>
    <mergeCell ref="B35:B36"/>
    <mergeCell ref="D35:D36"/>
    <mergeCell ref="L41:P41"/>
    <mergeCell ref="F48:G48"/>
    <mergeCell ref="H48:K48"/>
    <mergeCell ref="F50:G50"/>
    <mergeCell ref="J51:K51"/>
    <mergeCell ref="G5:H5"/>
    <mergeCell ref="G6:H6"/>
    <mergeCell ref="M6:O6"/>
    <mergeCell ref="G7:H7"/>
    <mergeCell ref="G8:H8"/>
  </mergeCells>
  <dataValidations disablePrompts="1" count="2">
    <dataValidation type="list" allowBlank="1" showInputMessage="1" showErrorMessage="1" sqref="F12" xr:uid="{00000000-0002-0000-0B00-000000000000}">
      <formula1>$M$8:$M$15</formula1>
    </dataValidation>
    <dataValidation type="list" allowBlank="1" showInputMessage="1" showErrorMessage="1" sqref="F18" xr:uid="{00000000-0002-0000-0B00-000001000000}">
      <formula1>$M$18:$M$33</formula1>
    </dataValidation>
  </dataValidations>
  <pageMargins left="0.39305555555555599" right="0.15625" top="0.66666666666666696" bottom="0.15625" header="0.51041666666666696" footer="0.15625"/>
  <pageSetup paperSize="9" scale="83" orientation="portrait" r:id="rId1"/>
  <headerFooter alignWithMargins="0"/>
  <colBreaks count="1" manualBreakCount="1">
    <brk id="11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5C513-3AD1-40F0-B4E7-64CA631ECEF0}">
  <dimension ref="A1:Z83"/>
  <sheetViews>
    <sheetView view="pageBreakPreview" topLeftCell="A29" zoomScale="85" zoomScaleSheetLayoutView="85" workbookViewId="0">
      <selection activeCell="C21" sqref="C21:D21"/>
    </sheetView>
  </sheetViews>
  <sheetFormatPr defaultColWidth="9.1328125" defaultRowHeight="12.75"/>
  <cols>
    <col min="1" max="1" width="6.86328125" style="2635" customWidth="1"/>
    <col min="2" max="2" width="9.53125" style="2633" customWidth="1"/>
    <col min="3" max="3" width="12.1328125" style="2633" customWidth="1"/>
    <col min="4" max="4" width="10.33203125" style="2633" customWidth="1"/>
    <col min="5" max="5" width="10.46484375" style="2633" customWidth="1"/>
    <col min="6" max="6" width="13.1328125" style="2633" customWidth="1"/>
    <col min="7" max="7" width="8.53125" style="2633" customWidth="1"/>
    <col min="8" max="8" width="10.86328125" style="2633" customWidth="1"/>
    <col min="9" max="9" width="11" style="2633" customWidth="1"/>
    <col min="10" max="10" width="9" style="2633" customWidth="1"/>
    <col min="11" max="11" width="6.53125" style="2633" customWidth="1"/>
    <col min="12" max="12" width="0.1328125" style="2633" customWidth="1"/>
    <col min="13" max="13" width="7.46484375" style="2633" customWidth="1"/>
    <col min="14" max="14" width="8.1328125" style="2633" customWidth="1"/>
    <col min="15" max="15" width="8" style="2633" customWidth="1"/>
    <col min="16" max="16" width="16" style="2633" customWidth="1"/>
    <col min="17" max="17" width="11.1328125" style="2633" customWidth="1"/>
    <col min="18" max="23" width="9.1328125" style="2633"/>
    <col min="24" max="24" width="12.46484375" style="2633" customWidth="1"/>
    <col min="25" max="16384" width="9.1328125" style="2633"/>
  </cols>
  <sheetData>
    <row r="1" spans="1:26">
      <c r="A1" s="2625"/>
      <c r="B1" s="2626"/>
      <c r="C1" s="2626"/>
      <c r="D1" s="2626"/>
      <c r="E1" s="2626"/>
      <c r="F1" s="2626"/>
      <c r="G1" s="2626" t="s">
        <v>2822</v>
      </c>
      <c r="H1" s="2627"/>
      <c r="I1" s="3874" t="s">
        <v>2823</v>
      </c>
      <c r="J1" s="3875"/>
      <c r="K1" s="3876"/>
      <c r="L1" s="2628"/>
      <c r="M1" s="2629" t="s">
        <v>2824</v>
      </c>
      <c r="N1" s="2628"/>
      <c r="O1" s="2630">
        <v>350</v>
      </c>
      <c r="P1" s="2631" t="s">
        <v>2825</v>
      </c>
      <c r="Q1" s="2632"/>
    </row>
    <row r="2" spans="1:26" ht="13.5">
      <c r="A2" s="2634"/>
      <c r="B2" s="3877" t="s">
        <v>1514</v>
      </c>
      <c r="C2" s="3877"/>
      <c r="D2" s="3878"/>
      <c r="E2" s="3879"/>
      <c r="F2" s="2635"/>
      <c r="G2" s="2635" t="s">
        <v>2826</v>
      </c>
      <c r="H2" s="2636"/>
      <c r="I2" s="2637" t="s">
        <v>1516</v>
      </c>
      <c r="J2" s="2638">
        <f>+input!K5</f>
        <v>3</v>
      </c>
      <c r="K2" s="2639" t="s">
        <v>1309</v>
      </c>
      <c r="M2" s="2640" t="s">
        <v>2827</v>
      </c>
      <c r="O2" s="2641">
        <f>O1/H15</f>
        <v>2.3333333333333335</v>
      </c>
      <c r="P2" s="2642"/>
      <c r="Q2" s="2643"/>
    </row>
    <row r="3" spans="1:26" ht="13.5">
      <c r="A3" s="2634"/>
      <c r="B3" s="3880" t="s">
        <v>1515</v>
      </c>
      <c r="C3" s="3881"/>
      <c r="D3" s="3882">
        <f>+input!G5</f>
        <v>0</v>
      </c>
      <c r="E3" s="3883"/>
      <c r="F3" s="2644" t="s">
        <v>2828</v>
      </c>
      <c r="G3" s="2635" t="s">
        <v>2829</v>
      </c>
      <c r="H3" s="2645"/>
      <c r="I3" s="2637" t="s">
        <v>1518</v>
      </c>
      <c r="J3" s="2638">
        <f>+input!K6</f>
        <v>25</v>
      </c>
      <c r="K3" s="2646" t="s">
        <v>1309</v>
      </c>
      <c r="M3" s="2647" t="s">
        <v>2830</v>
      </c>
      <c r="N3" s="2648"/>
      <c r="O3" s="2649">
        <v>0.05</v>
      </c>
      <c r="P3" s="2650" t="s">
        <v>2831</v>
      </c>
      <c r="Q3" s="2651" t="s">
        <v>2832</v>
      </c>
    </row>
    <row r="4" spans="1:26" ht="17.25" customHeight="1">
      <c r="A4" s="2634"/>
      <c r="B4" s="3880" t="s">
        <v>1517</v>
      </c>
      <c r="C4" s="3881"/>
      <c r="D4" s="3882" t="str">
        <f>+input!G6</f>
        <v>25/15T X 15M Span</v>
      </c>
      <c r="E4" s="3883"/>
      <c r="F4" s="2633" t="s">
        <v>2833</v>
      </c>
      <c r="G4" s="2635"/>
      <c r="H4" s="2652"/>
      <c r="I4" s="2653" t="s">
        <v>1521</v>
      </c>
      <c r="J4" s="2638">
        <f>+input!K7</f>
        <v>15</v>
      </c>
      <c r="K4" s="2654" t="s">
        <v>2834</v>
      </c>
      <c r="N4" s="3884" t="s">
        <v>1519</v>
      </c>
      <c r="O4" s="3884"/>
      <c r="P4" s="3884"/>
      <c r="Q4" s="2643"/>
    </row>
    <row r="5" spans="1:26" ht="13.5">
      <c r="A5" s="2634"/>
      <c r="B5" s="3880" t="s">
        <v>2835</v>
      </c>
      <c r="C5" s="3881"/>
      <c r="D5" s="3882" t="str">
        <f>+input!G7</f>
        <v xml:space="preserve">D/G EOT CRANE  </v>
      </c>
      <c r="E5" s="3883"/>
      <c r="F5" s="2655" t="s">
        <v>2836</v>
      </c>
      <c r="G5" s="2656" t="s">
        <v>2837</v>
      </c>
      <c r="I5" s="2635"/>
      <c r="J5" s="2635"/>
      <c r="K5" s="2646"/>
      <c r="N5" s="2657" t="s">
        <v>1019</v>
      </c>
      <c r="O5" s="2657"/>
      <c r="P5" s="2658" t="s">
        <v>2838</v>
      </c>
      <c r="Q5" s="2643"/>
      <c r="V5" s="2659" t="s">
        <v>2839</v>
      </c>
      <c r="W5" s="2660">
        <f>VLOOKUP(F18,V8:Z19,2,FALSE)</f>
        <v>5</v>
      </c>
      <c r="X5" s="2660">
        <f>VLOOKUP(F18,V8:Z19,3,FALSE)</f>
        <v>50</v>
      </c>
      <c r="Y5" s="2660">
        <f>VLOOKUP(F18,V8:Z19,4,FALSE)</f>
        <v>5</v>
      </c>
      <c r="Z5" s="2660">
        <f>VLOOKUP(F18,V8:Z19,5,FALSE)</f>
        <v>19.62</v>
      </c>
    </row>
    <row r="6" spans="1:26" ht="13.5">
      <c r="A6" s="2634"/>
      <c r="B6" s="3880" t="s">
        <v>2840</v>
      </c>
      <c r="C6" s="3881"/>
      <c r="D6" s="3885"/>
      <c r="E6" s="3885"/>
      <c r="F6" s="2655"/>
      <c r="G6" s="2656"/>
      <c r="H6" s="2661" t="s">
        <v>2841</v>
      </c>
      <c r="I6" s="2662" t="s">
        <v>2842</v>
      </c>
      <c r="J6" s="2663" t="s">
        <v>2843</v>
      </c>
      <c r="K6" s="2663"/>
      <c r="M6" s="3886" t="s">
        <v>2844</v>
      </c>
      <c r="N6" s="2664" t="s">
        <v>79</v>
      </c>
      <c r="O6" s="2665">
        <v>1.06</v>
      </c>
      <c r="P6" s="2666">
        <v>1</v>
      </c>
      <c r="Q6" s="2646"/>
      <c r="W6" s="2660" t="s">
        <v>1524</v>
      </c>
      <c r="X6" s="2660" t="s">
        <v>466</v>
      </c>
      <c r="Y6" s="2660" t="s">
        <v>1524</v>
      </c>
      <c r="Z6" s="2660" t="s">
        <v>2845</v>
      </c>
    </row>
    <row r="7" spans="1:26" ht="13.5">
      <c r="A7" s="2634"/>
      <c r="B7" s="3880" t="s">
        <v>2846</v>
      </c>
      <c r="C7" s="3881"/>
      <c r="D7" s="3887"/>
      <c r="E7" s="3887"/>
      <c r="F7" s="2635"/>
      <c r="H7" s="2667"/>
      <c r="I7" s="2662" t="str">
        <f>'G SEISMIC-1893'!D88</f>
        <v>SAFE</v>
      </c>
      <c r="J7" s="2663" t="s">
        <v>2847</v>
      </c>
      <c r="K7" s="2663"/>
      <c r="M7" s="3886"/>
      <c r="N7" s="2664" t="s">
        <v>81</v>
      </c>
      <c r="O7" s="2665">
        <v>1.1200000000000001</v>
      </c>
      <c r="P7" s="2666">
        <v>1</v>
      </c>
      <c r="Q7" s="2646"/>
      <c r="V7" s="2668" t="s">
        <v>670</v>
      </c>
      <c r="W7" s="2668" t="s">
        <v>1546</v>
      </c>
      <c r="X7" s="2669" t="s">
        <v>2848</v>
      </c>
      <c r="Y7" s="2669" t="s">
        <v>2849</v>
      </c>
      <c r="Z7" s="2669" t="s">
        <v>2850</v>
      </c>
    </row>
    <row r="8" spans="1:26" ht="13.5">
      <c r="A8" s="2634"/>
      <c r="B8" s="3888" t="s">
        <v>1513</v>
      </c>
      <c r="C8" s="3889"/>
      <c r="D8" s="3890" t="s">
        <v>2851</v>
      </c>
      <c r="E8" s="3887"/>
      <c r="F8" s="2635" t="s">
        <v>93</v>
      </c>
      <c r="H8" s="2667" t="s">
        <v>2852</v>
      </c>
      <c r="I8" s="2635"/>
      <c r="J8" s="2635"/>
      <c r="K8" s="2646"/>
      <c r="M8" s="3886"/>
      <c r="N8" s="2670" t="s">
        <v>36</v>
      </c>
      <c r="O8" s="2671">
        <v>1.18</v>
      </c>
      <c r="P8" s="2672">
        <v>1</v>
      </c>
      <c r="Q8" s="2646"/>
      <c r="V8" s="2673" t="s">
        <v>2853</v>
      </c>
      <c r="W8" s="2674">
        <v>4</v>
      </c>
      <c r="X8" s="2675">
        <v>40</v>
      </c>
      <c r="Y8" s="2676">
        <f>40/10</f>
        <v>4</v>
      </c>
      <c r="Z8" s="2675">
        <v>12.56</v>
      </c>
    </row>
    <row r="9" spans="1:26" ht="13.5">
      <c r="A9" s="2677">
        <v>2</v>
      </c>
      <c r="B9" s="2678" t="s">
        <v>1897</v>
      </c>
      <c r="C9" s="2635"/>
      <c r="D9" s="2635"/>
      <c r="E9" s="2635"/>
      <c r="F9" s="2635"/>
      <c r="G9" s="2679" t="s">
        <v>2854</v>
      </c>
      <c r="H9" s="2680"/>
      <c r="I9" s="2652"/>
      <c r="J9" s="2635"/>
      <c r="K9" s="2646"/>
      <c r="M9" s="3886"/>
      <c r="N9" s="2664" t="s">
        <v>82</v>
      </c>
      <c r="O9" s="2681">
        <v>1.25</v>
      </c>
      <c r="P9" s="2682">
        <v>1.05</v>
      </c>
      <c r="Q9" s="2646"/>
      <c r="V9" s="2673" t="s">
        <v>2855</v>
      </c>
      <c r="W9" s="2674">
        <v>5</v>
      </c>
      <c r="X9" s="2675">
        <v>50</v>
      </c>
      <c r="Y9" s="2676">
        <f>50/10</f>
        <v>5</v>
      </c>
      <c r="Z9" s="2675">
        <v>19.62</v>
      </c>
    </row>
    <row r="10" spans="1:26" ht="13.9" thickBot="1">
      <c r="A10" s="2677">
        <v>2.1</v>
      </c>
      <c r="B10" s="2678" t="s">
        <v>1898</v>
      </c>
      <c r="C10" s="2635"/>
      <c r="D10" s="2635"/>
      <c r="E10" s="2635"/>
      <c r="F10" s="2635"/>
      <c r="G10" s="2655"/>
      <c r="H10" s="2683">
        <f>+input!H10</f>
        <v>1500</v>
      </c>
      <c r="I10" s="2679" t="s">
        <v>1524</v>
      </c>
      <c r="J10" s="2635"/>
      <c r="K10" s="2646"/>
      <c r="M10" s="3871" t="s">
        <v>2856</v>
      </c>
      <c r="N10" s="2684" t="s">
        <v>40</v>
      </c>
      <c r="O10" s="2681">
        <v>1.32</v>
      </c>
      <c r="P10" s="2682">
        <v>1.06</v>
      </c>
      <c r="Q10" s="2646"/>
      <c r="V10" s="2673" t="s">
        <v>2857</v>
      </c>
      <c r="W10" s="2674">
        <v>7.9329999999999998</v>
      </c>
      <c r="X10" s="2675">
        <v>35.94</v>
      </c>
      <c r="Y10" s="2675">
        <f>76.2/10</f>
        <v>7.62</v>
      </c>
      <c r="Z10" s="2675">
        <v>14.86</v>
      </c>
    </row>
    <row r="11" spans="1:26" ht="15.4" thickBot="1">
      <c r="A11" s="2677">
        <v>2.2000000000000002</v>
      </c>
      <c r="B11" s="2678" t="s">
        <v>1527</v>
      </c>
      <c r="C11" s="2635"/>
      <c r="D11" s="2635"/>
      <c r="E11" s="2635"/>
      <c r="F11" s="2635"/>
      <c r="G11" s="2655"/>
      <c r="H11" s="2685">
        <f>+input!H11</f>
        <v>25624.999999999996</v>
      </c>
      <c r="I11" s="2679" t="s">
        <v>276</v>
      </c>
      <c r="J11" s="3872" t="s">
        <v>2858</v>
      </c>
      <c r="K11" s="3873"/>
      <c r="M11" s="3871"/>
      <c r="N11" s="2684" t="s">
        <v>85</v>
      </c>
      <c r="O11" s="2681">
        <v>1.4</v>
      </c>
      <c r="P11" s="2682">
        <v>1.1000000000000001</v>
      </c>
      <c r="Q11" s="2646"/>
      <c r="V11" s="2673" t="s">
        <v>2859</v>
      </c>
      <c r="W11" s="2674">
        <v>11.43</v>
      </c>
      <c r="X11" s="2675">
        <v>44.4</v>
      </c>
      <c r="Y11" s="2675">
        <f>105.4/10</f>
        <v>10.540000000000001</v>
      </c>
      <c r="Z11" s="2675">
        <v>29.76</v>
      </c>
    </row>
    <row r="12" spans="1:26" ht="13.5">
      <c r="A12" s="2677" t="s">
        <v>2860</v>
      </c>
      <c r="B12" s="2656" t="s">
        <v>1535</v>
      </c>
      <c r="C12" s="2635"/>
      <c r="D12" s="2635"/>
      <c r="E12" s="2635"/>
      <c r="F12" s="2686" t="s">
        <v>40</v>
      </c>
      <c r="G12" s="2655"/>
      <c r="H12" s="2687">
        <f>VLOOKUP(F12,N6:P13,3,0)</f>
        <v>1.06</v>
      </c>
      <c r="I12" s="2679"/>
      <c r="J12" s="2652"/>
      <c r="K12" s="2688"/>
      <c r="M12" s="2689" t="s">
        <v>2861</v>
      </c>
      <c r="N12" s="2684" t="s">
        <v>44</v>
      </c>
      <c r="O12" s="2681">
        <v>1.4</v>
      </c>
      <c r="P12" s="2682">
        <v>1.1200000000000001</v>
      </c>
      <c r="Q12" s="2646"/>
      <c r="V12" s="2673" t="s">
        <v>2862</v>
      </c>
      <c r="W12" s="2675">
        <v>14.238</v>
      </c>
      <c r="X12" s="2675">
        <v>49.74</v>
      </c>
      <c r="Y12" s="2675">
        <f>136/10</f>
        <v>13.6</v>
      </c>
      <c r="Z12" s="2675">
        <v>44.61</v>
      </c>
    </row>
    <row r="13" spans="1:26" ht="13.9" thickBot="1">
      <c r="A13" s="2677">
        <v>2.2999999999999998</v>
      </c>
      <c r="B13" s="2678" t="s">
        <v>2863</v>
      </c>
      <c r="C13" s="2635"/>
      <c r="D13" s="2635"/>
      <c r="E13" s="2635"/>
      <c r="F13" s="2686" t="str">
        <f>F12</f>
        <v>M5</v>
      </c>
      <c r="G13" s="2655"/>
      <c r="H13" s="2687">
        <f>VLOOKUP(F12,N6:O13,2,0)</f>
        <v>1.32</v>
      </c>
      <c r="I13" s="2679"/>
      <c r="J13" s="2652"/>
      <c r="K13" s="2688"/>
      <c r="M13" s="2690" t="s">
        <v>2864</v>
      </c>
      <c r="N13" s="2684" t="s">
        <v>48</v>
      </c>
      <c r="O13" s="2681">
        <v>1.5</v>
      </c>
      <c r="P13" s="2682">
        <v>1.2</v>
      </c>
      <c r="Q13" s="2646"/>
      <c r="V13" s="2673" t="s">
        <v>2865</v>
      </c>
      <c r="W13" s="2674">
        <v>15.6</v>
      </c>
      <c r="X13" s="2675">
        <v>52.2</v>
      </c>
      <c r="Y13" s="2675">
        <f>136/10</f>
        <v>13.6</v>
      </c>
      <c r="Z13" s="2675">
        <v>52</v>
      </c>
    </row>
    <row r="14" spans="1:26" ht="15.4" thickBot="1">
      <c r="A14" s="2677">
        <v>2.4</v>
      </c>
      <c r="B14" s="2678" t="s">
        <v>1901</v>
      </c>
      <c r="C14" s="2635"/>
      <c r="D14" s="2635"/>
      <c r="E14" s="2635"/>
      <c r="F14" s="2635" t="s">
        <v>93</v>
      </c>
      <c r="G14" s="2655"/>
      <c r="H14" s="2685">
        <f>+input!H14</f>
        <v>4375</v>
      </c>
      <c r="I14" s="2679" t="s">
        <v>276</v>
      </c>
      <c r="J14" s="3872" t="s">
        <v>2866</v>
      </c>
      <c r="K14" s="3873"/>
      <c r="Q14" s="2643"/>
      <c r="V14" s="2673" t="s">
        <v>912</v>
      </c>
      <c r="W14" s="2674">
        <v>13</v>
      </c>
      <c r="X14" s="2675">
        <v>69.34</v>
      </c>
      <c r="Y14" s="2675">
        <f>130/10</f>
        <v>13</v>
      </c>
      <c r="Z14" s="2675">
        <v>64.2</v>
      </c>
    </row>
    <row r="15" spans="1:26" ht="13.5">
      <c r="A15" s="2677" t="s">
        <v>1902</v>
      </c>
      <c r="B15" s="2678" t="s">
        <v>1536</v>
      </c>
      <c r="C15" s="2635"/>
      <c r="D15" s="2635"/>
      <c r="E15" s="2635"/>
      <c r="F15" s="2635"/>
      <c r="G15" s="2655"/>
      <c r="H15" s="2685">
        <f>+input!H15</f>
        <v>150</v>
      </c>
      <c r="I15" s="2679" t="s">
        <v>1524</v>
      </c>
      <c r="J15" s="2635"/>
      <c r="K15" s="2646"/>
      <c r="N15" s="2668" t="s">
        <v>670</v>
      </c>
      <c r="O15" s="2668" t="s">
        <v>1546</v>
      </c>
      <c r="P15" s="2669" t="s">
        <v>1547</v>
      </c>
      <c r="Q15" s="2643"/>
      <c r="V15" s="2673" t="s">
        <v>915</v>
      </c>
      <c r="W15" s="2674">
        <v>15</v>
      </c>
      <c r="X15" s="2675">
        <v>89.34</v>
      </c>
      <c r="Y15" s="2675">
        <f>150/10</f>
        <v>15</v>
      </c>
      <c r="Z15" s="2675">
        <v>89</v>
      </c>
    </row>
    <row r="16" spans="1:26" ht="13.5">
      <c r="A16" s="2677">
        <v>2.5</v>
      </c>
      <c r="B16" s="2678" t="s">
        <v>1538</v>
      </c>
      <c r="C16" s="2635"/>
      <c r="D16" s="2635"/>
      <c r="E16" s="2635"/>
      <c r="F16" s="2635"/>
      <c r="G16" s="2655"/>
      <c r="H16" s="2685">
        <f>+input!H16</f>
        <v>4</v>
      </c>
      <c r="I16" s="2679" t="s">
        <v>1539</v>
      </c>
      <c r="J16" s="2635"/>
      <c r="K16" s="2646"/>
      <c r="N16" s="2691" t="s">
        <v>2853</v>
      </c>
      <c r="O16" s="2692">
        <v>4</v>
      </c>
      <c r="P16" s="2693">
        <v>40</v>
      </c>
      <c r="Q16" s="2643"/>
      <c r="V16" s="2673" t="s">
        <v>917</v>
      </c>
      <c r="W16" s="2674">
        <v>17</v>
      </c>
      <c r="X16" s="2675">
        <v>109.34</v>
      </c>
      <c r="Y16" s="2675">
        <f>170/10</f>
        <v>17</v>
      </c>
      <c r="Z16" s="2675">
        <v>118</v>
      </c>
    </row>
    <row r="17" spans="1:26" ht="13.5">
      <c r="A17" s="2677">
        <v>2.6</v>
      </c>
      <c r="B17" s="2678" t="s">
        <v>1541</v>
      </c>
      <c r="C17" s="2635"/>
      <c r="D17" s="2635"/>
      <c r="E17" s="2635"/>
      <c r="F17" s="2635"/>
      <c r="G17" s="2655"/>
      <c r="H17" s="2685">
        <f>+input!H17</f>
        <v>140</v>
      </c>
      <c r="I17" s="2679" t="s">
        <v>1524</v>
      </c>
      <c r="J17" s="2635"/>
      <c r="K17" s="2646"/>
      <c r="N17" s="2691" t="s">
        <v>2855</v>
      </c>
      <c r="O17" s="2692">
        <v>5</v>
      </c>
      <c r="P17" s="2693">
        <v>50</v>
      </c>
      <c r="Q17" s="2643"/>
      <c r="V17" s="2673" t="s">
        <v>1565</v>
      </c>
      <c r="W17" s="2674">
        <v>9.5</v>
      </c>
      <c r="X17" s="2675">
        <v>83.5</v>
      </c>
      <c r="Y17" s="2675">
        <f>200/10</f>
        <v>20</v>
      </c>
      <c r="Z17" s="2675">
        <v>74.3</v>
      </c>
    </row>
    <row r="18" spans="1:26" ht="13.5">
      <c r="A18" s="2677">
        <v>2.7</v>
      </c>
      <c r="B18" s="2678" t="s">
        <v>1542</v>
      </c>
      <c r="C18" s="2635"/>
      <c r="D18" s="2635"/>
      <c r="E18" s="2635"/>
      <c r="F18" s="2686" t="s">
        <v>2855</v>
      </c>
      <c r="G18" s="2655"/>
      <c r="H18" s="2687">
        <f>+input!H18</f>
        <v>5</v>
      </c>
      <c r="I18" s="2679" t="s">
        <v>571</v>
      </c>
      <c r="J18" s="2635"/>
      <c r="K18" s="2646"/>
      <c r="N18" s="2691" t="s">
        <v>2857</v>
      </c>
      <c r="O18" s="2692">
        <v>7.9329999999999998</v>
      </c>
      <c r="P18" s="2693">
        <v>35.94</v>
      </c>
      <c r="Q18" s="2643"/>
      <c r="V18" s="2673" t="s">
        <v>1566</v>
      </c>
      <c r="W18" s="2674">
        <v>10.5</v>
      </c>
      <c r="X18" s="2675">
        <v>120</v>
      </c>
      <c r="Y18" s="2675">
        <f>220/10</f>
        <v>22</v>
      </c>
      <c r="Z18" s="2675">
        <v>100</v>
      </c>
    </row>
    <row r="19" spans="1:26" ht="13.5">
      <c r="A19" s="2677">
        <v>2.8</v>
      </c>
      <c r="B19" s="2678" t="s">
        <v>1544</v>
      </c>
      <c r="C19" s="2635"/>
      <c r="D19" s="2635"/>
      <c r="E19" s="2635"/>
      <c r="F19" s="2635"/>
      <c r="G19" s="2655"/>
      <c r="H19" s="2683">
        <v>4</v>
      </c>
      <c r="I19" s="2679" t="s">
        <v>1539</v>
      </c>
      <c r="J19" s="2635"/>
      <c r="K19" s="2646"/>
      <c r="N19" s="2691" t="s">
        <v>2859</v>
      </c>
      <c r="O19" s="2692">
        <v>11.43</v>
      </c>
      <c r="P19" s="2693">
        <v>44.4</v>
      </c>
      <c r="Q19" s="2643"/>
      <c r="V19" s="2673" t="s">
        <v>2867</v>
      </c>
      <c r="W19" s="2674">
        <v>6.3</v>
      </c>
      <c r="X19" s="2675">
        <v>63</v>
      </c>
      <c r="Y19" s="2694">
        <v>6.3</v>
      </c>
      <c r="Z19" s="2675">
        <v>31.15</v>
      </c>
    </row>
    <row r="20" spans="1:26" ht="13.5">
      <c r="A20" s="2695">
        <v>3.1</v>
      </c>
      <c r="B20" s="2696" t="s">
        <v>2868</v>
      </c>
      <c r="C20" s="2635"/>
      <c r="D20" s="2635"/>
      <c r="E20" s="2635"/>
      <c r="F20" s="2635"/>
      <c r="G20" s="2655"/>
      <c r="H20" s="2697"/>
      <c r="I20" s="2679"/>
      <c r="J20" s="2635"/>
      <c r="K20" s="2646"/>
      <c r="N20" s="2691" t="s">
        <v>2862</v>
      </c>
      <c r="O20" s="2693">
        <v>14.238</v>
      </c>
      <c r="P20" s="2693">
        <v>49.74</v>
      </c>
      <c r="Q20" s="2643"/>
    </row>
    <row r="21" spans="1:26" ht="13.5">
      <c r="A21" s="2677" t="s">
        <v>1916</v>
      </c>
      <c r="B21" s="2678" t="s">
        <v>1557</v>
      </c>
      <c r="C21" s="2679"/>
      <c r="D21" s="2635"/>
      <c r="E21" s="2635"/>
      <c r="H21" s="2683">
        <v>100</v>
      </c>
      <c r="I21" s="2679" t="s">
        <v>1558</v>
      </c>
      <c r="J21" s="2635"/>
      <c r="K21" s="2646"/>
      <c r="N21" s="2691" t="s">
        <v>2865</v>
      </c>
      <c r="O21" s="2693">
        <v>15.6</v>
      </c>
      <c r="P21" s="2693">
        <v>52.2</v>
      </c>
      <c r="Q21" s="2643"/>
    </row>
    <row r="22" spans="1:26" ht="13.5">
      <c r="A22" s="2677" t="s">
        <v>1917</v>
      </c>
      <c r="B22" s="2696" t="s">
        <v>1559</v>
      </c>
      <c r="C22" s="2679"/>
      <c r="D22" s="2635"/>
      <c r="E22" s="2635"/>
      <c r="F22" s="2635"/>
      <c r="G22" s="2655" t="s">
        <v>93</v>
      </c>
      <c r="H22" s="2697"/>
      <c r="I22" s="2679"/>
      <c r="J22" s="2635"/>
      <c r="K22" s="2646"/>
      <c r="N22" s="2698" t="s">
        <v>912</v>
      </c>
      <c r="O22" s="2699">
        <v>13</v>
      </c>
      <c r="P22" s="2700">
        <v>69.34</v>
      </c>
      <c r="Q22" s="2643"/>
    </row>
    <row r="23" spans="1:26" ht="13.5">
      <c r="A23" s="2677" t="s">
        <v>1918</v>
      </c>
      <c r="B23" s="2678" t="s">
        <v>1561</v>
      </c>
      <c r="C23" s="2679"/>
      <c r="D23" s="2635"/>
      <c r="E23" s="2635"/>
      <c r="F23" s="2635"/>
      <c r="G23" s="2655"/>
      <c r="H23" s="2683">
        <f>+input!H24</f>
        <v>700</v>
      </c>
      <c r="I23" s="2679" t="s">
        <v>2869</v>
      </c>
      <c r="J23" s="2635"/>
      <c r="K23" s="2646"/>
      <c r="N23" s="2691" t="s">
        <v>915</v>
      </c>
      <c r="O23" s="2692">
        <v>15</v>
      </c>
      <c r="P23" s="2693">
        <v>89.34</v>
      </c>
      <c r="Q23" s="2643"/>
    </row>
    <row r="24" spans="1:26" ht="13.5">
      <c r="A24" s="2677">
        <v>3.2</v>
      </c>
      <c r="B24" s="2696" t="s">
        <v>1562</v>
      </c>
      <c r="C24" s="2679"/>
      <c r="D24" s="2635"/>
      <c r="E24" s="2635"/>
      <c r="F24" s="2635"/>
      <c r="G24" s="2655"/>
      <c r="H24" s="2701"/>
      <c r="I24" s="2679"/>
      <c r="J24" s="2635"/>
      <c r="K24" s="2646"/>
      <c r="N24" s="2691" t="s">
        <v>917</v>
      </c>
      <c r="O24" s="2692">
        <v>17</v>
      </c>
      <c r="P24" s="2693">
        <v>109.34</v>
      </c>
      <c r="Q24" s="2643"/>
    </row>
    <row r="25" spans="1:26" ht="14.25">
      <c r="A25" s="2677" t="s">
        <v>1919</v>
      </c>
      <c r="B25" s="2678" t="s">
        <v>1563</v>
      </c>
      <c r="C25" s="2679"/>
      <c r="D25" s="2635"/>
      <c r="E25" s="2655" t="s">
        <v>823</v>
      </c>
      <c r="F25" s="2702">
        <f>C28-E41-B31-C31-(D31/2)</f>
        <v>33</v>
      </c>
      <c r="G25" s="2655"/>
      <c r="H25" s="2703">
        <f>H14</f>
        <v>4375</v>
      </c>
      <c r="I25" s="2679" t="s">
        <v>380</v>
      </c>
      <c r="J25" s="2635"/>
      <c r="K25" s="2646"/>
      <c r="N25" s="2691" t="s">
        <v>1565</v>
      </c>
      <c r="O25" s="2692">
        <v>9.5</v>
      </c>
      <c r="P25" s="2693">
        <v>83.5</v>
      </c>
      <c r="Q25" s="2643"/>
      <c r="R25" s="3891" t="s">
        <v>2870</v>
      </c>
      <c r="S25" s="3891"/>
      <c r="T25" s="3891"/>
      <c r="U25" s="3891"/>
      <c r="V25" s="2704"/>
    </row>
    <row r="26" spans="1:26" ht="13.5">
      <c r="A26" s="2677" t="s">
        <v>1921</v>
      </c>
      <c r="B26" s="2678" t="s">
        <v>1564</v>
      </c>
      <c r="C26" s="2679"/>
      <c r="D26" s="2635"/>
      <c r="E26" s="2635"/>
      <c r="F26" s="2705" t="s">
        <v>466</v>
      </c>
      <c r="G26" s="2655"/>
      <c r="H26" s="2706">
        <f>H11</f>
        <v>25624.999999999996</v>
      </c>
      <c r="I26" s="2679" t="s">
        <v>380</v>
      </c>
      <c r="J26" s="2635"/>
      <c r="K26" s="2646"/>
      <c r="N26" s="2691" t="s">
        <v>1566</v>
      </c>
      <c r="O26" s="2692">
        <v>10.5</v>
      </c>
      <c r="P26" s="2693">
        <v>120</v>
      </c>
      <c r="Q26" s="2707"/>
      <c r="R26" s="2708" t="s">
        <v>2871</v>
      </c>
      <c r="S26" s="2709">
        <f>ROUND(H10/'G CALCU'!F15,2)</f>
        <v>49.34</v>
      </c>
      <c r="T26" s="2708" t="s">
        <v>476</v>
      </c>
      <c r="U26" s="2709">
        <v>60</v>
      </c>
      <c r="V26" s="2710" t="str">
        <f t="shared" ref="V26" si="0">IF(S26&lt;U26,"SAFE","UNSAFE")</f>
        <v>SAFE</v>
      </c>
    </row>
    <row r="27" spans="1:26">
      <c r="A27" s="2711"/>
      <c r="B27" s="2635"/>
      <c r="C27" s="2635"/>
      <c r="D27" s="2635"/>
      <c r="G27" s="2635"/>
      <c r="H27" s="2635"/>
      <c r="I27" s="2652" t="s">
        <v>2872</v>
      </c>
      <c r="J27" s="2635"/>
      <c r="K27" s="2646"/>
      <c r="N27" s="2691" t="s">
        <v>2867</v>
      </c>
      <c r="O27" s="2692">
        <v>6.3</v>
      </c>
      <c r="P27" s="2693">
        <v>63</v>
      </c>
      <c r="Q27" s="2643"/>
      <c r="R27" s="2708" t="s">
        <v>2873</v>
      </c>
      <c r="S27" s="2709">
        <f>ROUND(H10/'G CALCU'!F16,2)</f>
        <v>12.39</v>
      </c>
      <c r="T27" s="2708" t="s">
        <v>476</v>
      </c>
      <c r="U27" s="2709">
        <v>18</v>
      </c>
      <c r="V27" s="2710" t="str">
        <f>IF(S27&lt;U27,"SAFE","UNSAFE")</f>
        <v>SAFE</v>
      </c>
    </row>
    <row r="28" spans="1:26" ht="13.5">
      <c r="A28" s="2711"/>
      <c r="B28" s="2679">
        <f>G31*10</f>
        <v>10</v>
      </c>
      <c r="C28" s="2712">
        <f>G28*10</f>
        <v>370</v>
      </c>
      <c r="D28" s="2635"/>
      <c r="E28" s="2635"/>
      <c r="F28" s="2713" t="s">
        <v>2641</v>
      </c>
      <c r="G28" s="2714">
        <v>37</v>
      </c>
      <c r="H28" s="2635" t="s">
        <v>1569</v>
      </c>
      <c r="I28" s="2715">
        <f>H10/60</f>
        <v>25</v>
      </c>
      <c r="J28" s="2635" t="s">
        <v>571</v>
      </c>
      <c r="K28" s="2646"/>
      <c r="Q28" s="2643"/>
      <c r="R28" s="2708" t="s">
        <v>2874</v>
      </c>
      <c r="S28" s="2709">
        <f>ROUND('G CALCU'!F17/'G CALCU'!F10,2)</f>
        <v>14.9</v>
      </c>
      <c r="T28" s="2708" t="s">
        <v>476</v>
      </c>
      <c r="U28" s="2709">
        <v>39.700000000000003</v>
      </c>
      <c r="V28" s="2710" t="str">
        <f>IF(S28&lt;U28,"SAFE","UNSAFE")</f>
        <v>SAFE</v>
      </c>
      <c r="X28" s="2633">
        <v>71</v>
      </c>
    </row>
    <row r="29" spans="1:26" ht="13.5">
      <c r="A29" s="2711"/>
      <c r="B29" s="2635"/>
      <c r="C29" s="2635"/>
      <c r="D29" s="2635"/>
      <c r="E29" s="2635"/>
      <c r="F29" s="2713" t="s">
        <v>2642</v>
      </c>
      <c r="G29" s="2714">
        <v>37</v>
      </c>
      <c r="H29" s="2635" t="s">
        <v>1569</v>
      </c>
      <c r="I29" s="2715">
        <f>H10/60</f>
        <v>25</v>
      </c>
      <c r="J29" s="2635" t="s">
        <v>571</v>
      </c>
      <c r="K29" s="2646"/>
      <c r="L29" s="2716"/>
      <c r="P29" s="2717" t="s">
        <v>2832</v>
      </c>
      <c r="Q29" s="2643"/>
      <c r="R29" s="2708" t="s">
        <v>2875</v>
      </c>
      <c r="S29" s="2709">
        <f>ROUND(H10/'G CALCU'!I17,2)</f>
        <v>107.66</v>
      </c>
      <c r="T29" s="2709" t="s">
        <v>476</v>
      </c>
      <c r="U29" s="2709">
        <v>126.1</v>
      </c>
      <c r="V29" s="2710" t="str">
        <f>IF(S29&lt;U29,"SAFE","UNSAFE")</f>
        <v>SAFE</v>
      </c>
      <c r="X29" s="2633">
        <v>71</v>
      </c>
    </row>
    <row r="30" spans="1:26" ht="13.5">
      <c r="A30" s="2711"/>
      <c r="B30" s="2635"/>
      <c r="C30" s="2635"/>
      <c r="D30" s="2635"/>
      <c r="E30" s="2635"/>
      <c r="F30" s="2713" t="s">
        <v>1571</v>
      </c>
      <c r="G30" s="2718">
        <v>122</v>
      </c>
      <c r="H30" s="2635" t="s">
        <v>1569</v>
      </c>
      <c r="I30" s="2719">
        <f>H10/25</f>
        <v>60</v>
      </c>
      <c r="J30" s="2635" t="s">
        <v>571</v>
      </c>
      <c r="K30" s="2646"/>
      <c r="N30" s="2633" t="s">
        <v>2876</v>
      </c>
      <c r="P30" s="2686">
        <v>0.6</v>
      </c>
      <c r="Q30" s="2643"/>
      <c r="R30" s="2708" t="s">
        <v>2877</v>
      </c>
      <c r="S30" s="2709">
        <f>ROUND(G35/G33,2)</f>
        <v>200.33</v>
      </c>
      <c r="T30" s="2709" t="s">
        <v>476</v>
      </c>
      <c r="U30" s="2709">
        <v>170</v>
      </c>
      <c r="V30" s="2710" t="str">
        <f>IF(S30&lt;U30,"SAFE","UNSAFE")</f>
        <v>UNSAFE</v>
      </c>
      <c r="X30" s="2633">
        <v>180</v>
      </c>
    </row>
    <row r="31" spans="1:26" ht="13.5">
      <c r="A31" s="2711"/>
      <c r="B31" s="2655">
        <f>G33*10</f>
        <v>6</v>
      </c>
      <c r="C31" s="2652">
        <f>'G CALCU'!C10</f>
        <v>298</v>
      </c>
      <c r="D31" s="2679">
        <f>G34*10</f>
        <v>6</v>
      </c>
      <c r="E31" s="2720" t="s">
        <v>1976</v>
      </c>
      <c r="F31" s="2713" t="s">
        <v>1573</v>
      </c>
      <c r="G31" s="2714">
        <v>1</v>
      </c>
      <c r="H31" s="2635" t="s">
        <v>1569</v>
      </c>
      <c r="I31" s="2721">
        <f>G28/60</f>
        <v>0.6166666666666667</v>
      </c>
      <c r="J31" s="2633" t="s">
        <v>571</v>
      </c>
      <c r="K31" s="2646"/>
      <c r="N31" s="2722" t="s">
        <v>1586</v>
      </c>
      <c r="O31" s="2723"/>
      <c r="P31" s="2723"/>
      <c r="Q31" s="2707"/>
      <c r="X31" s="2633">
        <v>1.2</v>
      </c>
    </row>
    <row r="32" spans="1:26" ht="26.25" customHeight="1">
      <c r="A32" s="2711"/>
      <c r="B32" s="2724">
        <f>(G30-G31-G32)*10</f>
        <v>1202</v>
      </c>
      <c r="C32" s="2635"/>
      <c r="D32" s="2724">
        <f>G30*10</f>
        <v>1220</v>
      </c>
      <c r="E32" s="2725"/>
      <c r="F32" s="2713" t="s">
        <v>2643</v>
      </c>
      <c r="G32" s="2714">
        <v>0.8</v>
      </c>
      <c r="H32" s="2726" t="s">
        <v>1569</v>
      </c>
      <c r="I32" s="2727"/>
      <c r="J32" s="2635"/>
      <c r="K32" s="2646"/>
      <c r="N32" s="2728" t="str">
        <f t="shared" ref="N32" si="1">IF(O32&lt;=Q32,"Safe","Not safe")</f>
        <v>Safe</v>
      </c>
      <c r="O32" s="2729">
        <f>H10/G30</f>
        <v>12.295081967213115</v>
      </c>
      <c r="P32" s="2730" t="s">
        <v>2878</v>
      </c>
      <c r="Q32" s="2731">
        <v>25</v>
      </c>
      <c r="R32" s="2633" t="s">
        <v>2879</v>
      </c>
      <c r="X32" s="2633">
        <v>0.8</v>
      </c>
    </row>
    <row r="33" spans="1:24" ht="13.5">
      <c r="A33" s="2711"/>
      <c r="B33" s="2635"/>
      <c r="C33" s="2635"/>
      <c r="D33" s="2635"/>
      <c r="E33" s="2635"/>
      <c r="F33" s="2713" t="s">
        <v>2644</v>
      </c>
      <c r="G33" s="2714">
        <v>0.6</v>
      </c>
      <c r="H33" s="2635" t="s">
        <v>1569</v>
      </c>
      <c r="I33" s="2721">
        <f>B32/250</f>
        <v>4.8079999999999998</v>
      </c>
      <c r="J33" s="2652" t="s">
        <v>2880</v>
      </c>
      <c r="K33" s="2732">
        <f>B32/400</f>
        <v>3.0049999999999999</v>
      </c>
      <c r="N33" s="2728" t="str">
        <f>IF(O33&lt;=Q33,"Safe","Not safe")</f>
        <v>Safe</v>
      </c>
      <c r="O33" s="2729">
        <f>H10/G28</f>
        <v>40.54054054054054</v>
      </c>
      <c r="P33" s="2730" t="s">
        <v>1576</v>
      </c>
      <c r="Q33" s="2731">
        <v>60</v>
      </c>
      <c r="R33" s="2633" t="s">
        <v>2881</v>
      </c>
      <c r="X33" s="2633">
        <v>0.8</v>
      </c>
    </row>
    <row r="34" spans="1:24" ht="13.5">
      <c r="A34" s="2711"/>
      <c r="B34" s="2635"/>
      <c r="C34" s="2635"/>
      <c r="D34" s="2655"/>
      <c r="E34" s="2720" t="s">
        <v>1977</v>
      </c>
      <c r="F34" s="2713" t="s">
        <v>2645</v>
      </c>
      <c r="G34" s="2714">
        <v>0.6</v>
      </c>
      <c r="H34" s="2635" t="s">
        <v>1569</v>
      </c>
      <c r="I34" s="2721">
        <f>B32/250</f>
        <v>4.8079999999999998</v>
      </c>
      <c r="J34" s="2652" t="s">
        <v>2880</v>
      </c>
      <c r="K34" s="2732">
        <f>B32/400</f>
        <v>3.0049999999999999</v>
      </c>
      <c r="N34" s="2728" t="str">
        <f>IF(O34&lt;=Q34,"Safe","Not safe")</f>
        <v>Safe</v>
      </c>
      <c r="O34" s="2729">
        <f>C31/B28</f>
        <v>29.8</v>
      </c>
      <c r="P34" s="2730" t="s">
        <v>2882</v>
      </c>
      <c r="Q34" s="2731">
        <v>38</v>
      </c>
      <c r="X34" s="2633">
        <v>0.8</v>
      </c>
    </row>
    <row r="35" spans="1:24">
      <c r="A35" s="2711"/>
      <c r="B35" s="2635"/>
      <c r="C35" s="2733"/>
      <c r="D35" s="2635"/>
      <c r="E35" s="2635"/>
      <c r="F35" s="2713" t="s">
        <v>1581</v>
      </c>
      <c r="G35" s="2734">
        <f>B32/10</f>
        <v>120.2</v>
      </c>
      <c r="H35" s="2635" t="s">
        <v>1569</v>
      </c>
      <c r="K35" s="2643"/>
      <c r="M35" s="2735"/>
      <c r="N35" s="2728" t="str">
        <f>IF(O35&lt;=Q35,"Safe","Not safe")</f>
        <v>Safe</v>
      </c>
      <c r="O35" s="2736">
        <f>G30/G28</f>
        <v>3.2972972972972974</v>
      </c>
      <c r="P35" s="2730" t="s">
        <v>1582</v>
      </c>
      <c r="Q35" s="2731">
        <v>3.5</v>
      </c>
      <c r="R35" s="2633">
        <v>40</v>
      </c>
      <c r="S35" s="2737">
        <f>+G30-R35</f>
        <v>82</v>
      </c>
      <c r="T35" s="2633">
        <f>+S35/2</f>
        <v>41</v>
      </c>
      <c r="X35" s="2633">
        <v>178</v>
      </c>
    </row>
    <row r="36" spans="1:24">
      <c r="A36" s="2711"/>
      <c r="B36" s="2635"/>
      <c r="C36" s="2635"/>
      <c r="D36" s="2635"/>
      <c r="E36" s="2635"/>
      <c r="F36" s="2738" t="s">
        <v>287</v>
      </c>
      <c r="G36" s="2739">
        <f>'G OUTPUT'!G200</f>
        <v>165.5094</v>
      </c>
      <c r="H36" s="2635" t="s">
        <v>442</v>
      </c>
      <c r="J36" s="2635" t="s">
        <v>93</v>
      </c>
      <c r="K36" s="2646"/>
      <c r="N36" s="2740" t="str">
        <f>IF(O36&lt;=Q36,"Safe","Not safe")</f>
        <v>Safe</v>
      </c>
      <c r="O36" s="2741">
        <f>B32/(G33*10)</f>
        <v>200.33333333333334</v>
      </c>
      <c r="P36" s="2691" t="s">
        <v>2883</v>
      </c>
      <c r="Q36" s="2742">
        <v>400</v>
      </c>
      <c r="X36" s="2633">
        <v>335.03800000000001</v>
      </c>
    </row>
    <row r="37" spans="1:24" ht="16.5" customHeight="1">
      <c r="A37" s="2711"/>
      <c r="B37" s="2679">
        <f>G32*10</f>
        <v>8</v>
      </c>
      <c r="C37" s="2652">
        <f>G29*10</f>
        <v>370</v>
      </c>
      <c r="D37" s="2635"/>
      <c r="E37" s="2635"/>
      <c r="F37" s="2635"/>
      <c r="G37" s="2743">
        <f>G36+'G DIAPHRAGM '!I56+'G BUCKLING'!M87+'G BUCKLING'!M114+'G DIAPHRAGM '!V91+'G DIAPHRAGM '!W128</f>
        <v>204.02886666666666</v>
      </c>
      <c r="H37" s="2635" t="s">
        <v>2884</v>
      </c>
      <c r="I37" s="2635"/>
      <c r="J37" s="2635"/>
      <c r="K37" s="2646"/>
      <c r="N37" s="2740" t="str">
        <f>IF(O37&lt;=Q37,"Safe","Not safe")</f>
        <v>Safe</v>
      </c>
      <c r="O37" s="2741">
        <f>B32/(G33*10)</f>
        <v>200.33333333333334</v>
      </c>
      <c r="P37" s="2691" t="s">
        <v>2885</v>
      </c>
      <c r="Q37" s="2742">
        <v>250</v>
      </c>
      <c r="S37" s="2737">
        <f>+G33</f>
        <v>0.6</v>
      </c>
      <c r="X37" s="2633">
        <v>406.947</v>
      </c>
    </row>
    <row r="38" spans="1:24" ht="13.5">
      <c r="A38" s="2711"/>
      <c r="B38" s="2652"/>
      <c r="C38" s="2635"/>
      <c r="E38" s="2744" t="s">
        <v>2886</v>
      </c>
      <c r="F38" s="2745"/>
      <c r="G38" s="2714" t="s">
        <v>2887</v>
      </c>
      <c r="H38" s="2746">
        <v>250</v>
      </c>
      <c r="I38" s="2635" t="s">
        <v>2888</v>
      </c>
      <c r="J38" s="2635"/>
      <c r="K38" s="2646"/>
      <c r="O38" s="2747">
        <f>ROUND('G CALCU'!I13/'G CALCU'!I12,2)</f>
        <v>0.1</v>
      </c>
      <c r="P38" s="2748" t="s">
        <v>2889</v>
      </c>
      <c r="Q38" s="2643"/>
      <c r="R38" s="2749" t="s">
        <v>2890</v>
      </c>
      <c r="S38" s="2750"/>
      <c r="T38" s="2750"/>
    </row>
    <row r="39" spans="1:24" ht="13.15" thickBot="1">
      <c r="A39" s="2711"/>
      <c r="B39" s="2652"/>
      <c r="C39" s="2751" t="s">
        <v>1588</v>
      </c>
      <c r="D39" s="2752"/>
      <c r="E39" s="2752"/>
      <c r="F39" s="2752"/>
      <c r="G39" s="2753"/>
      <c r="H39" s="3892" t="str">
        <f>IF(G38="ST-42",D68,D69)</f>
        <v>E250 IS 2062 GR:BR</v>
      </c>
      <c r="I39" s="3893"/>
      <c r="J39" s="2635"/>
      <c r="K39" s="2646"/>
      <c r="O39" s="2754"/>
      <c r="Q39" s="2643"/>
      <c r="R39" s="2749" t="s">
        <v>2891</v>
      </c>
      <c r="S39" s="2750"/>
      <c r="T39" s="2750"/>
    </row>
    <row r="40" spans="1:24">
      <c r="A40" s="2711"/>
      <c r="B40" s="2635"/>
      <c r="C40" s="2755" t="s">
        <v>1589</v>
      </c>
      <c r="D40" s="2756">
        <f>G28/2+50</f>
        <v>68.5</v>
      </c>
      <c r="E40" s="2679"/>
      <c r="F40" s="2635" t="s">
        <v>1569</v>
      </c>
      <c r="H40" s="2635"/>
      <c r="I40" s="2757"/>
      <c r="J40" s="2635"/>
      <c r="K40" s="2646"/>
      <c r="M40" s="3894" t="s">
        <v>2892</v>
      </c>
      <c r="N40" s="3894"/>
      <c r="O40" s="3894"/>
      <c r="P40" s="3894"/>
      <c r="Q40" s="2643"/>
      <c r="S40" s="2806" t="s">
        <v>1568</v>
      </c>
      <c r="T40" s="2807" t="s">
        <v>1579</v>
      </c>
      <c r="U40" s="2807"/>
      <c r="V40" s="2808"/>
    </row>
    <row r="41" spans="1:24">
      <c r="A41" s="2711"/>
      <c r="B41" s="2635"/>
      <c r="C41" s="2758" t="s">
        <v>1591</v>
      </c>
      <c r="D41" s="2756">
        <f>E41-G33*10/2</f>
        <v>27</v>
      </c>
      <c r="E41" s="2759">
        <v>30</v>
      </c>
      <c r="F41" s="2760" t="s">
        <v>1592</v>
      </c>
      <c r="G41" s="2761"/>
      <c r="H41" s="2635"/>
      <c r="I41" s="2757"/>
      <c r="J41" s="2635"/>
      <c r="K41" s="2646"/>
      <c r="M41" s="3894" t="s">
        <v>2893</v>
      </c>
      <c r="N41" s="3894"/>
      <c r="O41" s="3894"/>
      <c r="P41" s="3894"/>
      <c r="Q41" s="2643" t="s">
        <v>2894</v>
      </c>
      <c r="S41" s="2809" t="s">
        <v>1571</v>
      </c>
      <c r="T41" s="2810" t="s">
        <v>1583</v>
      </c>
      <c r="U41" s="2810"/>
      <c r="V41" s="2811"/>
    </row>
    <row r="42" spans="1:24" ht="13.9" thickBot="1">
      <c r="A42" s="2711"/>
      <c r="B42" s="2635"/>
      <c r="C42" s="2635"/>
      <c r="D42" s="2635"/>
      <c r="E42" s="3895" t="s">
        <v>2895</v>
      </c>
      <c r="F42" s="3895"/>
      <c r="G42" s="3895"/>
      <c r="H42" s="3896"/>
      <c r="I42" s="2762">
        <f>ROUND((G36*((H10+100)/100))+('G BUCKLING'!I87)+('G BUCKLING'!M110)+('G DIAPHRAGM '!I55)+('G DIAPHRAGM '!V93)+(Z5*H10/100)+'G DIAPHRAGM '!W129,2)</f>
        <v>3520.24</v>
      </c>
      <c r="J42" s="2763" t="s">
        <v>2896</v>
      </c>
      <c r="K42" s="2646"/>
      <c r="M42" s="2764" t="s">
        <v>2897</v>
      </c>
      <c r="N42" s="2765">
        <f>U74</f>
        <v>0</v>
      </c>
      <c r="O42" s="2766" t="s">
        <v>571</v>
      </c>
      <c r="P42" s="3897" t="s">
        <v>2898</v>
      </c>
      <c r="Q42" s="2643"/>
      <c r="S42" s="2815" t="s">
        <v>1584</v>
      </c>
      <c r="T42" s="2816" t="s">
        <v>1585</v>
      </c>
      <c r="U42" s="2816"/>
      <c r="V42" s="2817"/>
    </row>
    <row r="43" spans="1:24" ht="13.9" thickBot="1">
      <c r="A43" s="3899" t="s">
        <v>1595</v>
      </c>
      <c r="B43" s="3900"/>
      <c r="C43" s="2635"/>
      <c r="D43" s="2702" t="s">
        <v>2899</v>
      </c>
      <c r="E43" s="2635"/>
      <c r="F43" s="2635" t="s">
        <v>2900</v>
      </c>
      <c r="J43" s="2635"/>
      <c r="K43" s="2646"/>
      <c r="M43" s="2764" t="s">
        <v>2901</v>
      </c>
      <c r="N43" s="2765">
        <f>V74</f>
        <v>0</v>
      </c>
      <c r="O43" s="2766" t="s">
        <v>571</v>
      </c>
      <c r="P43" s="3898"/>
      <c r="Q43" s="2643"/>
    </row>
    <row r="44" spans="1:24" ht="18" customHeight="1" thickBot="1">
      <c r="A44" s="3901" t="s">
        <v>2902</v>
      </c>
      <c r="B44" s="3902"/>
      <c r="C44" s="2767">
        <f>'G CALCU'!G217</f>
        <v>1335.4963196082554</v>
      </c>
      <c r="D44" s="2768" t="str">
        <f>"&lt;"&amp;ROUNDUP('G OUTPUT'!M265,1)</f>
        <v>&lt;1477.4</v>
      </c>
      <c r="E44" s="2769" t="s">
        <v>1598</v>
      </c>
      <c r="F44" s="3903" t="s">
        <v>1599</v>
      </c>
      <c r="G44" s="3900"/>
      <c r="H44" s="2770" t="str">
        <f>IF(H46&lt;=H48,"Section is Safe in Deflection","Section is not safe in deflection")</f>
        <v>Section is Safe in Deflection</v>
      </c>
      <c r="I44" s="2771"/>
      <c r="J44" s="2772"/>
      <c r="K44" s="2773"/>
      <c r="M44" s="3904" t="s">
        <v>2903</v>
      </c>
      <c r="N44" s="3904"/>
      <c r="O44" s="3905" t="str">
        <f>IF(O34&gt;Q34,'G BUCKLING'!F115,"NOT REQUIRED")</f>
        <v>NOT REQUIRED</v>
      </c>
      <c r="P44" s="3905"/>
      <c r="Q44" s="2643"/>
      <c r="U44" s="2774"/>
    </row>
    <row r="45" spans="1:24" ht="13.9" thickBot="1">
      <c r="A45" s="3906" t="s">
        <v>2904</v>
      </c>
      <c r="B45" s="3907"/>
      <c r="C45" s="2767">
        <f>'G CALCU'!E217</f>
        <v>1414.9594512008923</v>
      </c>
      <c r="D45" s="2775" t="str">
        <f>CONCATENATE("&lt;",'G OUTPUT'!I256)</f>
        <v>&lt;1698.95</v>
      </c>
      <c r="E45" s="2769" t="s">
        <v>1598</v>
      </c>
      <c r="F45" s="2763"/>
      <c r="G45" s="2635"/>
      <c r="H45" s="2635"/>
      <c r="I45" s="2635"/>
      <c r="J45" s="2635"/>
      <c r="K45" s="2776"/>
      <c r="M45" s="3908" t="s">
        <v>2905</v>
      </c>
      <c r="N45" s="3909"/>
      <c r="O45" s="3909"/>
      <c r="P45" s="3910"/>
      <c r="Q45" s="2643"/>
    </row>
    <row r="46" spans="1:24" ht="18" customHeight="1" thickBot="1">
      <c r="A46" s="3906" t="s">
        <v>2906</v>
      </c>
      <c r="B46" s="3907"/>
      <c r="C46" s="2767">
        <f>'G OUTPUT'!H257</f>
        <v>181.69618962140123</v>
      </c>
      <c r="D46" s="2775" t="str">
        <f>CONCATENATE("&lt;",'G OUTPUT'!I257)</f>
        <v>&lt;980.92</v>
      </c>
      <c r="E46" s="2777" t="s">
        <v>1598</v>
      </c>
      <c r="F46" s="3911" t="s">
        <v>2907</v>
      </c>
      <c r="G46" s="3912"/>
      <c r="H46" s="2778">
        <f>'G CALCU'!C278</f>
        <v>11.787198116901045</v>
      </c>
      <c r="I46" s="2779" t="s">
        <v>466</v>
      </c>
      <c r="J46" s="2780">
        <f>H10/100</f>
        <v>15</v>
      </c>
      <c r="K46" s="2781" t="s">
        <v>466</v>
      </c>
      <c r="M46" s="3913" t="s">
        <v>2908</v>
      </c>
      <c r="N46" s="3913"/>
      <c r="O46" s="2782">
        <f>'G Time'!E55</f>
        <v>6.0756855084044288</v>
      </c>
      <c r="P46" s="2783"/>
      <c r="Q46" s="2784"/>
      <c r="U46" s="2774"/>
    </row>
    <row r="47" spans="1:24" ht="13.15" thickBot="1">
      <c r="A47" s="2711"/>
      <c r="B47" s="2635"/>
      <c r="C47" s="2635"/>
      <c r="D47" s="2635"/>
      <c r="E47" s="2777"/>
      <c r="F47" s="3914" t="s">
        <v>2909</v>
      </c>
      <c r="G47" s="3915"/>
      <c r="H47" s="2778">
        <f>'G CALCU'!C278+'G CALCU'!D285</f>
        <v>13.554082913617851</v>
      </c>
      <c r="I47" s="2779" t="s">
        <v>466</v>
      </c>
      <c r="J47" s="2785" t="s">
        <v>1604</v>
      </c>
      <c r="K47" s="2786"/>
      <c r="M47" s="3913"/>
      <c r="N47" s="3913"/>
      <c r="O47" s="2787"/>
      <c r="P47" s="2787"/>
      <c r="Q47" s="2643"/>
    </row>
    <row r="48" spans="1:24" ht="21" customHeight="1" thickBot="1">
      <c r="A48" s="3918" t="s">
        <v>1605</v>
      </c>
      <c r="B48" s="3919"/>
      <c r="C48" s="2767">
        <f>'G OUTPUT'!H259</f>
        <v>1372.0754117963065</v>
      </c>
      <c r="D48" s="2775" t="str">
        <f>CONCATENATE("&lt;",'G OUTPUT'!I259)</f>
        <v>&lt;2250</v>
      </c>
      <c r="E48" s="2788" t="s">
        <v>1598</v>
      </c>
      <c r="F48" s="3920" t="s">
        <v>1607</v>
      </c>
      <c r="G48" s="3921"/>
      <c r="H48" s="2789">
        <f>'G OUTPUT'!G265</f>
        <v>16.666666666666668</v>
      </c>
      <c r="I48" s="2790" t="s">
        <v>466</v>
      </c>
      <c r="J48" s="2791">
        <f>H10*10/750</f>
        <v>20</v>
      </c>
      <c r="K48" s="2792" t="s">
        <v>466</v>
      </c>
      <c r="M48" s="3922" t="s">
        <v>2910</v>
      </c>
      <c r="N48" s="3923"/>
      <c r="O48" s="2793">
        <f>'G CALCU'!D308</f>
        <v>1126.5374067932946</v>
      </c>
      <c r="P48" s="2794" t="str">
        <f>'G CALCU'!G308</f>
        <v>SAFE in Cat."b"</v>
      </c>
      <c r="Q48" s="2643"/>
      <c r="U48" s="2774"/>
    </row>
    <row r="49" spans="1:22" ht="18" customHeight="1" thickBot="1">
      <c r="A49" s="2711"/>
      <c r="B49" s="2635"/>
      <c r="C49" s="2635"/>
      <c r="D49" s="2635"/>
      <c r="E49" s="2635"/>
      <c r="F49" s="2635"/>
      <c r="G49" s="2635"/>
      <c r="H49" s="2795" t="s">
        <v>1609</v>
      </c>
      <c r="I49" s="2726"/>
      <c r="J49" s="2795" t="s">
        <v>1610</v>
      </c>
      <c r="K49" s="2646"/>
      <c r="M49" s="3924"/>
      <c r="N49" s="3925"/>
      <c r="O49" s="2787"/>
      <c r="P49" s="2796"/>
      <c r="Q49" s="2643"/>
    </row>
    <row r="50" spans="1:22" ht="13.5" customHeight="1">
      <c r="A50" s="2711"/>
      <c r="B50" s="2635"/>
      <c r="C50" s="2635"/>
      <c r="D50" s="2635"/>
      <c r="E50" s="2635"/>
      <c r="F50" s="2635"/>
      <c r="G50" s="2635"/>
      <c r="H50" s="2635"/>
      <c r="I50" s="2635"/>
      <c r="J50" s="2635"/>
      <c r="K50" s="2646"/>
      <c r="M50" s="3926" t="s">
        <v>2911</v>
      </c>
      <c r="N50" s="3926"/>
      <c r="O50" s="3927">
        <f>'G DIAPHRAGM '!X111</f>
        <v>0</v>
      </c>
      <c r="P50" s="3928"/>
      <c r="Q50" s="2643" t="s">
        <v>466</v>
      </c>
    </row>
    <row r="51" spans="1:22" ht="13.5" customHeight="1" thickBot="1">
      <c r="A51" s="2797"/>
      <c r="B51" s="2635"/>
      <c r="C51" s="2635"/>
      <c r="D51" s="2635"/>
      <c r="E51" s="2635"/>
      <c r="F51" s="2635"/>
      <c r="G51" s="2635"/>
      <c r="H51" s="2635"/>
      <c r="I51" s="2635"/>
      <c r="J51" s="2635"/>
      <c r="K51" s="2646"/>
      <c r="M51" s="3929" t="s">
        <v>2912</v>
      </c>
      <c r="N51" s="3929"/>
      <c r="O51" s="3930" t="str">
        <f>'G BUCKLING'!C57</f>
        <v>ISMC 125 x 65</v>
      </c>
      <c r="P51" s="3931"/>
      <c r="Q51" s="2643"/>
    </row>
    <row r="52" spans="1:22" ht="13.5" customHeight="1" thickBot="1">
      <c r="A52" s="2711"/>
      <c r="B52" s="2635"/>
      <c r="C52" s="2635"/>
      <c r="D52" s="2635"/>
      <c r="E52" s="2635"/>
      <c r="F52" s="2635"/>
      <c r="G52" s="2635"/>
      <c r="H52" s="2635"/>
      <c r="I52" s="2635"/>
      <c r="J52" s="2635"/>
      <c r="K52" s="2646"/>
      <c r="M52" s="3929" t="s">
        <v>2913</v>
      </c>
      <c r="N52" s="3929"/>
      <c r="O52" s="3930">
        <f>'G DIAPHRAGM '!E83</f>
        <v>8</v>
      </c>
      <c r="P52" s="3931"/>
      <c r="Q52" s="2643" t="s">
        <v>466</v>
      </c>
    </row>
    <row r="53" spans="1:22" ht="15" customHeight="1" thickBot="1">
      <c r="A53" s="2798" t="s">
        <v>2914</v>
      </c>
      <c r="B53" s="2799" t="str">
        <f>IF(O34&gt;Q34,"PROVIDE STIFFENER PLATE IN BETWEEN COMPRESSION PLATE HAVING DIMENSION GIVEN IN TABLE 1","NO STIFFENER PLATE IN BETWEEN COMPRESSION PLATE REQUIRED")</f>
        <v>NO STIFFENER PLATE IN BETWEEN COMPRESSION PLATE REQUIRED</v>
      </c>
      <c r="C53" s="2800"/>
      <c r="D53" s="2800"/>
      <c r="E53" s="2800"/>
      <c r="F53" s="2800"/>
      <c r="G53" s="2800"/>
      <c r="H53" s="2800"/>
      <c r="I53" s="2800"/>
      <c r="J53" s="2800"/>
      <c r="K53" s="2801"/>
      <c r="L53" s="2802"/>
      <c r="M53" s="3932" t="s">
        <v>2915</v>
      </c>
      <c r="N53" s="3933"/>
      <c r="O53" s="3934"/>
      <c r="P53" s="2803">
        <f>'G DIAPHRAGM '!E146</f>
        <v>0</v>
      </c>
      <c r="Q53" s="2804" t="s">
        <v>466</v>
      </c>
    </row>
    <row r="54" spans="1:22" ht="13.15" thickBot="1">
      <c r="T54" s="2660" t="s">
        <v>670</v>
      </c>
      <c r="U54" s="2660" t="s">
        <v>1056</v>
      </c>
      <c r="V54" s="2660" t="s">
        <v>2916</v>
      </c>
    </row>
    <row r="55" spans="1:22">
      <c r="A55" s="2633"/>
      <c r="B55" s="2655" t="s">
        <v>2917</v>
      </c>
      <c r="C55" s="2805">
        <f>'G Time'!M45</f>
        <v>8.1333333333333341E-2</v>
      </c>
      <c r="M55" s="2806" t="s">
        <v>1568</v>
      </c>
      <c r="N55" s="2807" t="s">
        <v>1579</v>
      </c>
      <c r="O55" s="2807"/>
      <c r="P55" s="2808"/>
      <c r="T55" s="2660" t="s">
        <v>2898</v>
      </c>
      <c r="U55" s="2660">
        <v>0</v>
      </c>
      <c r="V55" s="2660">
        <v>0</v>
      </c>
    </row>
    <row r="56" spans="1:22" ht="14.25">
      <c r="B56" s="2655" t="s">
        <v>2918</v>
      </c>
      <c r="C56" s="2805">
        <f>'G Time'!M46</f>
        <v>6.6666666666666666E-2</v>
      </c>
      <c r="E56" s="2633">
        <f>ROUND((H38*10*0.66),2)</f>
        <v>1650</v>
      </c>
      <c r="M56" s="2809" t="s">
        <v>1571</v>
      </c>
      <c r="N56" s="2810" t="s">
        <v>1583</v>
      </c>
      <c r="O56" s="2810"/>
      <c r="P56" s="2811"/>
      <c r="T56" s="2812" t="s">
        <v>2919</v>
      </c>
      <c r="U56" s="2813">
        <v>5</v>
      </c>
      <c r="V56" s="2814">
        <v>0.6</v>
      </c>
    </row>
    <row r="57" spans="1:22" ht="14.65" thickBot="1">
      <c r="B57" s="2635" t="s">
        <v>2920</v>
      </c>
      <c r="C57" s="2635">
        <f>'G CALCU'!X171</f>
        <v>0</v>
      </c>
      <c r="G57" s="2660">
        <f>G28/G31</f>
        <v>37</v>
      </c>
      <c r="H57" s="2633" t="s">
        <v>2921</v>
      </c>
      <c r="M57" s="2815" t="s">
        <v>1584</v>
      </c>
      <c r="N57" s="2816" t="s">
        <v>1585</v>
      </c>
      <c r="O57" s="2816"/>
      <c r="P57" s="2817"/>
      <c r="T57" s="2812" t="s">
        <v>2922</v>
      </c>
      <c r="U57" s="2813">
        <v>5</v>
      </c>
      <c r="V57" s="2814">
        <v>0.8</v>
      </c>
    </row>
    <row r="58" spans="1:22" ht="14.25">
      <c r="B58" s="2633" t="s">
        <v>2923</v>
      </c>
      <c r="C58" s="2659" t="str">
        <f>'G BUCKLING'!D74</f>
        <v>SAFE</v>
      </c>
      <c r="T58" s="2812" t="s">
        <v>2924</v>
      </c>
      <c r="U58" s="2813">
        <v>5</v>
      </c>
      <c r="V58" s="2814">
        <v>1</v>
      </c>
    </row>
    <row r="59" spans="1:22" ht="14.65" thickBot="1">
      <c r="B59" s="2633" t="s">
        <v>2925</v>
      </c>
      <c r="C59" s="2659" t="str">
        <f>'G BUCKLING'!D90</f>
        <v>UNSAFE</v>
      </c>
      <c r="T59" s="2812" t="s">
        <v>2926</v>
      </c>
      <c r="U59" s="2814">
        <v>7.5</v>
      </c>
      <c r="V59" s="2814">
        <v>0.6</v>
      </c>
    </row>
    <row r="60" spans="1:22" ht="14.65" thickBot="1">
      <c r="B60" s="2633" t="s">
        <v>2927</v>
      </c>
      <c r="C60" s="2633">
        <f>'G BUCKLING'!D25</f>
        <v>140</v>
      </c>
      <c r="E60" s="2818" t="s">
        <v>2928</v>
      </c>
      <c r="F60" s="2819">
        <f>G37*(H10/100)</f>
        <v>3060.433</v>
      </c>
      <c r="H60" s="2820" t="s">
        <v>1568</v>
      </c>
      <c r="I60" s="2821" t="s">
        <v>1579</v>
      </c>
      <c r="J60" s="2821"/>
      <c r="K60" s="2822"/>
      <c r="T60" s="2812" t="s">
        <v>2929</v>
      </c>
      <c r="U60" s="2814">
        <v>7.5</v>
      </c>
      <c r="V60" s="2814">
        <v>0.8</v>
      </c>
    </row>
    <row r="61" spans="1:22" ht="14.25">
      <c r="H61" s="2823" t="s">
        <v>1571</v>
      </c>
      <c r="I61" s="2824" t="s">
        <v>2930</v>
      </c>
      <c r="J61" s="2824"/>
      <c r="K61" s="2825"/>
      <c r="N61" s="3935" t="s">
        <v>2931</v>
      </c>
      <c r="O61" s="3936"/>
      <c r="P61" s="3936"/>
      <c r="Q61" s="3936"/>
      <c r="R61" s="3937"/>
      <c r="T61" s="2812" t="s">
        <v>2932</v>
      </c>
      <c r="U61" s="2814">
        <v>7.5</v>
      </c>
      <c r="V61" s="2814">
        <v>1</v>
      </c>
    </row>
    <row r="62" spans="1:22" ht="14.65" thickBot="1">
      <c r="H62" s="2826" t="s">
        <v>1584</v>
      </c>
      <c r="I62" s="2827" t="s">
        <v>1585</v>
      </c>
      <c r="J62" s="2827"/>
      <c r="K62" s="2828"/>
      <c r="N62" s="3938" t="s">
        <v>2933</v>
      </c>
      <c r="O62" s="3939"/>
      <c r="P62" s="2829">
        <v>31</v>
      </c>
      <c r="Q62" s="2783" t="s">
        <v>2934</v>
      </c>
      <c r="R62" s="2745"/>
      <c r="T62" s="2812" t="s">
        <v>2935</v>
      </c>
      <c r="U62" s="2814">
        <v>10</v>
      </c>
      <c r="V62" s="2814">
        <v>0.6</v>
      </c>
    </row>
    <row r="63" spans="1:22" ht="14.25">
      <c r="D63" s="2709" t="s">
        <v>2936</v>
      </c>
      <c r="E63" s="2660" t="s">
        <v>2937</v>
      </c>
      <c r="F63" s="2660" t="s">
        <v>2887</v>
      </c>
      <c r="N63" s="2640"/>
      <c r="O63" s="2830"/>
      <c r="R63" s="2642"/>
      <c r="T63" s="2812" t="s">
        <v>2938</v>
      </c>
      <c r="U63" s="2814">
        <v>10</v>
      </c>
      <c r="V63" s="2814">
        <v>0.8</v>
      </c>
    </row>
    <row r="64" spans="1:22" ht="13.5" customHeight="1">
      <c r="D64" s="2709" t="s">
        <v>2939</v>
      </c>
      <c r="E64" s="2831">
        <v>350</v>
      </c>
      <c r="F64" s="2831">
        <v>250</v>
      </c>
      <c r="G64" s="2633" t="s">
        <v>438</v>
      </c>
      <c r="J64" s="3916"/>
      <c r="K64" s="3916"/>
      <c r="N64" s="3917" t="s">
        <v>2940</v>
      </c>
      <c r="O64" s="3917"/>
      <c r="P64" s="2832">
        <f>P62*G36*H10/100*2</f>
        <v>153923.742</v>
      </c>
      <c r="Q64" s="2633" t="s">
        <v>2941</v>
      </c>
      <c r="R64" s="2642"/>
      <c r="T64" s="2812" t="s">
        <v>2942</v>
      </c>
      <c r="U64" s="2814">
        <v>10</v>
      </c>
      <c r="V64" s="2814">
        <v>1</v>
      </c>
    </row>
    <row r="65" spans="4:22" ht="12.75" customHeight="1">
      <c r="D65" s="2709" t="s">
        <v>2943</v>
      </c>
      <c r="E65" s="2709">
        <v>330</v>
      </c>
      <c r="F65" s="2709">
        <v>240</v>
      </c>
      <c r="G65" s="2633" t="s">
        <v>438</v>
      </c>
      <c r="N65" s="2640"/>
      <c r="R65" s="2642"/>
      <c r="T65" s="2812" t="s">
        <v>2944</v>
      </c>
      <c r="U65" s="2814">
        <v>10</v>
      </c>
      <c r="V65" s="2814">
        <v>1.2</v>
      </c>
    </row>
    <row r="66" spans="4:22" ht="12.75" customHeight="1">
      <c r="D66" s="2709" t="s">
        <v>2945</v>
      </c>
      <c r="E66" s="2709">
        <v>320</v>
      </c>
      <c r="F66" s="2709">
        <v>230</v>
      </c>
      <c r="G66" s="2633" t="s">
        <v>438</v>
      </c>
      <c r="N66" s="3940" t="s">
        <v>2933</v>
      </c>
      <c r="O66" s="3941"/>
      <c r="P66" s="2833">
        <v>38</v>
      </c>
      <c r="Q66" s="2633" t="s">
        <v>2946</v>
      </c>
      <c r="R66" s="2642"/>
      <c r="T66" s="2812" t="s">
        <v>2947</v>
      </c>
      <c r="U66" s="2814">
        <v>12.5</v>
      </c>
      <c r="V66" s="2814">
        <v>0.6</v>
      </c>
    </row>
    <row r="67" spans="4:22" ht="14.25">
      <c r="N67" s="2640"/>
      <c r="O67" s="2830"/>
      <c r="R67" s="2642"/>
      <c r="T67" s="2812" t="s">
        <v>2948</v>
      </c>
      <c r="U67" s="2814">
        <v>12.5</v>
      </c>
      <c r="V67" s="2814">
        <v>0.8</v>
      </c>
    </row>
    <row r="68" spans="4:22" ht="14.25">
      <c r="D68" s="3892" t="s">
        <v>2949</v>
      </c>
      <c r="E68" s="3942"/>
      <c r="J68" s="3916"/>
      <c r="K68" s="3916"/>
      <c r="N68" s="3917" t="s">
        <v>2940</v>
      </c>
      <c r="O68" s="3917"/>
      <c r="P68" s="2832">
        <f>P66*G36*H10/100*2</f>
        <v>188680.71600000001</v>
      </c>
      <c r="Q68" s="2648" t="s">
        <v>2941</v>
      </c>
      <c r="R68" s="2650"/>
      <c r="T68" s="2812" t="s">
        <v>2950</v>
      </c>
      <c r="U68" s="2814">
        <v>12.5</v>
      </c>
      <c r="V68" s="2814">
        <v>1</v>
      </c>
    </row>
    <row r="69" spans="4:22" ht="14.25">
      <c r="D69" s="3892" t="s">
        <v>2951</v>
      </c>
      <c r="E69" s="3942"/>
      <c r="T69" s="2812" t="s">
        <v>2952</v>
      </c>
      <c r="U69" s="2814">
        <v>15</v>
      </c>
      <c r="V69" s="2814">
        <v>0.6</v>
      </c>
    </row>
    <row r="70" spans="4:22" ht="14.25">
      <c r="T70" s="2812" t="s">
        <v>2953</v>
      </c>
      <c r="U70" s="2814">
        <v>15</v>
      </c>
      <c r="V70" s="2814">
        <v>0.8</v>
      </c>
    </row>
    <row r="71" spans="4:22" ht="14.25">
      <c r="T71" s="2812" t="s">
        <v>2954</v>
      </c>
      <c r="U71" s="2814">
        <v>15</v>
      </c>
      <c r="V71" s="2814">
        <v>1</v>
      </c>
    </row>
    <row r="72" spans="4:22" ht="14.25">
      <c r="T72" s="2812" t="s">
        <v>2955</v>
      </c>
      <c r="U72" s="2814">
        <v>15</v>
      </c>
      <c r="V72" s="2814">
        <v>1.2</v>
      </c>
    </row>
    <row r="73" spans="4:22" ht="14.25">
      <c r="T73" s="2812" t="s">
        <v>2956</v>
      </c>
      <c r="U73" s="2814">
        <v>6.5</v>
      </c>
      <c r="V73" s="2814">
        <v>0.6</v>
      </c>
    </row>
    <row r="74" spans="4:22">
      <c r="U74" s="2660">
        <f>VLOOKUP(P42,T55:V73,2,FALSE)</f>
        <v>0</v>
      </c>
      <c r="V74" s="2660">
        <f>VLOOKUP(P42,T55:V73,3,FALSE)</f>
        <v>0</v>
      </c>
    </row>
    <row r="76" spans="4:22">
      <c r="T76" s="2754"/>
    </row>
    <row r="77" spans="4:22">
      <c r="T77" s="2754"/>
    </row>
    <row r="83" ht="18.75" customHeight="1"/>
  </sheetData>
  <mergeCells count="56">
    <mergeCell ref="N66:O66"/>
    <mergeCell ref="D68:E68"/>
    <mergeCell ref="J68:K68"/>
    <mergeCell ref="N68:O68"/>
    <mergeCell ref="D69:E69"/>
    <mergeCell ref="J64:K64"/>
    <mergeCell ref="N64:O64"/>
    <mergeCell ref="A48:B48"/>
    <mergeCell ref="F48:G48"/>
    <mergeCell ref="M48:N49"/>
    <mergeCell ref="M50:N50"/>
    <mergeCell ref="O50:P50"/>
    <mergeCell ref="M51:N51"/>
    <mergeCell ref="O51:P51"/>
    <mergeCell ref="M52:N52"/>
    <mergeCell ref="O52:P52"/>
    <mergeCell ref="M53:O53"/>
    <mergeCell ref="N61:R61"/>
    <mergeCell ref="N62:O62"/>
    <mergeCell ref="A45:B45"/>
    <mergeCell ref="M45:P45"/>
    <mergeCell ref="A46:B46"/>
    <mergeCell ref="F46:G46"/>
    <mergeCell ref="M46:N47"/>
    <mergeCell ref="F47:G47"/>
    <mergeCell ref="A43:B43"/>
    <mergeCell ref="A44:B44"/>
    <mergeCell ref="F44:G44"/>
    <mergeCell ref="M44:N44"/>
    <mergeCell ref="O44:P44"/>
    <mergeCell ref="R25:U25"/>
    <mergeCell ref="H39:I39"/>
    <mergeCell ref="M41:P41"/>
    <mergeCell ref="E42:H42"/>
    <mergeCell ref="P42:P43"/>
    <mergeCell ref="M40:P40"/>
    <mergeCell ref="N4:P4"/>
    <mergeCell ref="B5:C5"/>
    <mergeCell ref="D5:E5"/>
    <mergeCell ref="B6:C6"/>
    <mergeCell ref="D6:E6"/>
    <mergeCell ref="M6:M9"/>
    <mergeCell ref="B7:C7"/>
    <mergeCell ref="D7:E7"/>
    <mergeCell ref="B8:C8"/>
    <mergeCell ref="D8:E8"/>
    <mergeCell ref="B4:C4"/>
    <mergeCell ref="D4:E4"/>
    <mergeCell ref="M10:M11"/>
    <mergeCell ref="J11:K11"/>
    <mergeCell ref="J14:K14"/>
    <mergeCell ref="I1:K1"/>
    <mergeCell ref="B2:C2"/>
    <mergeCell ref="D2:E2"/>
    <mergeCell ref="B3:C3"/>
    <mergeCell ref="D3:E3"/>
  </mergeCells>
  <dataValidations disablePrompts="1" count="6">
    <dataValidation type="list" allowBlank="1" showInputMessage="1" showErrorMessage="1" sqref="H38" xr:uid="{5B6CB2D0-EAB3-428D-B7E3-2E56D45ADAAC}">
      <formula1>IF($G$38="ST-42",$F$64:$F$66,$E$64:$E$66)</formula1>
    </dataValidation>
    <dataValidation type="list" allowBlank="1" showInputMessage="1" showErrorMessage="1" sqref="I6" xr:uid="{7B046234-71C4-4B72-9F23-4E4C3AC358B1}">
      <formula1>"Zone II,Zone III,Zone IV,Zone V"</formula1>
    </dataValidation>
    <dataValidation type="list" allowBlank="1" showInputMessage="1" showErrorMessage="1" sqref="P42" xr:uid="{31D7DE78-F3E2-4214-A55B-17B2040D7849}">
      <formula1>$T$55:$T$73</formula1>
    </dataValidation>
    <dataValidation type="list" allowBlank="1" showInputMessage="1" showErrorMessage="1" sqref="F18" xr:uid="{2D87D1AF-ADAD-4D4C-A9E1-E972C511EA6D}">
      <formula1>$N$16:$N$27</formula1>
    </dataValidation>
    <dataValidation type="list" allowBlank="1" showInputMessage="1" showErrorMessage="1" sqref="G38" xr:uid="{AB02DD4D-E32C-4D12-A36E-CDF09099DF98}">
      <formula1>$E$63:$F$63</formula1>
    </dataValidation>
    <dataValidation type="list" allowBlank="1" showInputMessage="1" showErrorMessage="1" sqref="F12" xr:uid="{A188EBEE-C2AB-400A-976F-F94F27EA3DC4}">
      <formula1>$N$6:$N$13</formula1>
    </dataValidation>
  </dataValidations>
  <printOptions horizontalCentered="1"/>
  <pageMargins left="0.47916666666666702" right="0.25902777777777802" top="1.39513888888889" bottom="0.45" header="0.95902777777777803" footer="0.26874999999999999"/>
  <pageSetup paperSize="9" scale="63" orientation="portrait" r:id="rId1"/>
  <headerFooter alignWithMargins="0">
    <oddHeader>&amp;C&amp;G</oddHeader>
    <oddFooter>&amp;L&amp;G&amp;RApproved by:-</oddFooter>
  </headerFooter>
  <colBreaks count="6" manualBreakCount="6">
    <brk id="11" max="52" man="1"/>
    <brk id="21" max="49" man="1"/>
    <brk id="31" max="49" man="1"/>
    <brk id="41" max="49" man="1"/>
    <brk id="51" max="49" man="1"/>
    <brk id="61" max="49" man="1"/>
  </colBreaks>
  <ignoredErrors>
    <ignoredError sqref="H10:H24" unlockedFormula="1"/>
  </ignoredErrors>
  <drawing r:id="rId2"/>
  <legacyDrawing r:id="rId3"/>
  <legacyDrawingHF r:id="rId4"/>
  <oleObjects>
    <mc:AlternateContent xmlns:mc="http://schemas.openxmlformats.org/markup-compatibility/2006">
      <mc:Choice Requires="x14">
        <oleObject progId="AutoCAD.Drawing.18" shapeId="23553" r:id="rId5">
          <objectPr defaultSize="0" autoPict="0" r:id="rId6">
            <anchor moveWithCells="1">
              <from>
                <xdr:col>2</xdr:col>
                <xdr:colOff>523875</xdr:colOff>
                <xdr:row>22</xdr:row>
                <xdr:rowOff>142875</xdr:rowOff>
              </from>
              <to>
                <xdr:col>4</xdr:col>
                <xdr:colOff>219075</xdr:colOff>
                <xdr:row>26</xdr:row>
                <xdr:rowOff>104775</xdr:rowOff>
              </to>
            </anchor>
          </objectPr>
        </oleObject>
      </mc:Choice>
      <mc:Fallback>
        <oleObject progId="AutoCAD.Drawing.18" shapeId="23553" r:id="rId5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99"/>
  </sheetPr>
  <dimension ref="A1:AT130"/>
  <sheetViews>
    <sheetView showGridLines="0" view="pageBreakPreview" topLeftCell="A18" zoomScale="85" zoomScaleNormal="85" zoomScaleSheetLayoutView="85" workbookViewId="0">
      <selection activeCell="C32" sqref="C32"/>
    </sheetView>
  </sheetViews>
  <sheetFormatPr defaultColWidth="9.1328125" defaultRowHeight="14.25"/>
  <cols>
    <col min="1" max="1" width="12.6640625" style="22" customWidth="1"/>
    <col min="2" max="2" width="34.86328125" style="22" customWidth="1"/>
    <col min="3" max="4" width="24.33203125" style="22" customWidth="1"/>
    <col min="5" max="5" width="5.86328125" style="22" customWidth="1"/>
    <col min="6" max="6" width="16.33203125" style="22" customWidth="1"/>
    <col min="7" max="7" width="9.1328125" style="22" customWidth="1"/>
    <col min="8" max="8" width="9.33203125" style="22" customWidth="1"/>
    <col min="9" max="9" width="9.1328125" style="22"/>
    <col min="10" max="10" width="10.53125" style="22" bestFit="1" customWidth="1"/>
    <col min="11" max="11" width="8.33203125" style="22" bestFit="1" customWidth="1"/>
    <col min="12" max="12" width="7.6640625" style="22" bestFit="1" customWidth="1"/>
    <col min="13" max="13" width="14.33203125" style="22" bestFit="1" customWidth="1"/>
    <col min="14" max="14" width="10.33203125" style="22" bestFit="1" customWidth="1"/>
    <col min="15" max="15" width="12.33203125" style="22" bestFit="1" customWidth="1"/>
    <col min="16" max="21" width="12.33203125" style="53" customWidth="1"/>
    <col min="22" max="22" width="13.1328125" style="53" customWidth="1"/>
    <col min="23" max="23" width="13.1328125" style="22" customWidth="1"/>
    <col min="24" max="25" width="9.1328125" style="22"/>
    <col min="26" max="26" width="13.53125" style="22" bestFit="1" customWidth="1"/>
    <col min="27" max="27" width="11" style="22" customWidth="1"/>
    <col min="28" max="28" width="12.46484375" style="22" customWidth="1"/>
    <col min="29" max="29" width="14.6640625" style="22" customWidth="1"/>
    <col min="30" max="30" width="8.86328125" style="22" bestFit="1" customWidth="1"/>
    <col min="31" max="31" width="11.33203125" style="22" bestFit="1" customWidth="1"/>
    <col min="32" max="16384" width="9.1328125" style="22"/>
  </cols>
  <sheetData>
    <row r="1" spans="1:46" ht="20" customHeight="1" thickBot="1">
      <c r="A1" s="3947" t="s">
        <v>1</v>
      </c>
      <c r="B1" s="3948"/>
      <c r="C1" s="3949" t="s">
        <v>109</v>
      </c>
      <c r="D1" s="3950"/>
      <c r="E1" s="3951" t="s">
        <v>2</v>
      </c>
      <c r="F1" s="3952"/>
      <c r="G1" s="1375" t="s">
        <v>1084</v>
      </c>
      <c r="H1" s="17"/>
      <c r="I1" s="17"/>
      <c r="J1" s="17"/>
      <c r="K1" s="17"/>
      <c r="L1" s="17"/>
      <c r="M1" s="17"/>
      <c r="N1" s="17"/>
      <c r="O1" s="17"/>
      <c r="P1" s="216"/>
      <c r="Q1" s="216"/>
      <c r="R1" s="216"/>
      <c r="S1" s="216"/>
      <c r="T1" s="216" t="s">
        <v>108</v>
      </c>
      <c r="U1" s="216"/>
      <c r="V1" s="216"/>
      <c r="W1" s="17"/>
      <c r="X1" s="17"/>
      <c r="Y1" s="17"/>
      <c r="Z1" s="17"/>
      <c r="AA1" s="17"/>
      <c r="AB1" s="17"/>
      <c r="AC1" s="17"/>
      <c r="AD1" s="17"/>
      <c r="AE1" s="17"/>
      <c r="AR1" s="17"/>
      <c r="AS1" s="17"/>
      <c r="AT1" s="17"/>
    </row>
    <row r="2" spans="1:46" ht="20" customHeight="1">
      <c r="A2" s="3953" t="str">
        <f>+LT_wh!A2</f>
        <v>ELITEMHE INDUSTRIES LIMITED</v>
      </c>
      <c r="B2" s="3954"/>
      <c r="C2" s="3955">
        <f>CT_wh!C2</f>
        <v>0</v>
      </c>
      <c r="D2" s="3956"/>
      <c r="E2" s="3957" t="str">
        <f>CT_wh!E2</f>
        <v xml:space="preserve">25/15T D/G EOT CRANE  </v>
      </c>
      <c r="F2" s="3958"/>
      <c r="G2" s="1376" t="str">
        <f>IF(D8&gt;0,"YES","NO")</f>
        <v>YES</v>
      </c>
      <c r="H2" s="17"/>
      <c r="I2" s="17"/>
      <c r="J2" s="17"/>
      <c r="K2" s="17"/>
      <c r="L2" s="17"/>
      <c r="M2" s="17"/>
      <c r="N2" s="17"/>
      <c r="O2" s="17"/>
      <c r="P2" s="216"/>
      <c r="Q2" s="216"/>
      <c r="R2" s="216"/>
      <c r="S2" s="216"/>
      <c r="T2" s="216" t="s">
        <v>809</v>
      </c>
      <c r="U2" s="216"/>
      <c r="V2" s="216"/>
      <c r="W2" s="17"/>
      <c r="X2" s="17"/>
      <c r="Y2" s="17"/>
      <c r="Z2" s="17"/>
      <c r="AA2" s="17"/>
      <c r="AB2" s="17"/>
      <c r="AC2" s="17"/>
      <c r="AD2" s="17"/>
      <c r="AE2" s="17"/>
      <c r="AR2" s="17"/>
      <c r="AS2" s="17"/>
      <c r="AT2" s="17"/>
    </row>
    <row r="3" spans="1:46" ht="20" customHeight="1" thickBot="1">
      <c r="A3" s="3959" t="e">
        <f>CT_wh!A3</f>
        <v>#REF!</v>
      </c>
      <c r="B3" s="3956"/>
      <c r="C3" s="3960" t="s">
        <v>122</v>
      </c>
      <c r="D3" s="3961"/>
      <c r="E3" s="3967" t="s">
        <v>27</v>
      </c>
      <c r="F3" s="3968"/>
      <c r="G3" s="1377" t="str">
        <f>IF(D8&gt;0,"1","0")</f>
        <v>1</v>
      </c>
      <c r="H3" s="17"/>
      <c r="I3" s="1312" t="str">
        <f>IF(C8*500&lt;C14,"Right","Wrong")</f>
        <v>Right</v>
      </c>
      <c r="J3" s="2579" t="s">
        <v>1085</v>
      </c>
      <c r="K3" s="2550" t="s">
        <v>1086</v>
      </c>
      <c r="L3" s="2550" t="s">
        <v>1087</v>
      </c>
      <c r="M3" s="2550" t="s">
        <v>1088</v>
      </c>
      <c r="N3" s="2550" t="s">
        <v>1089</v>
      </c>
      <c r="O3" s="3965" t="s">
        <v>1090</v>
      </c>
      <c r="P3" s="3965"/>
      <c r="Q3" s="216"/>
      <c r="R3" s="216"/>
      <c r="S3" s="216"/>
      <c r="T3" s="216"/>
      <c r="U3" s="216"/>
      <c r="V3" s="216"/>
      <c r="W3" s="17"/>
      <c r="X3" s="17"/>
      <c r="Y3" s="17"/>
      <c r="Z3" s="17"/>
      <c r="AA3" s="17"/>
      <c r="AB3" s="17"/>
      <c r="AC3" s="17"/>
      <c r="AD3" s="17"/>
      <c r="AE3" s="17"/>
      <c r="AR3" s="17"/>
      <c r="AS3" s="17"/>
      <c r="AT3" s="17"/>
    </row>
    <row r="4" spans="1:46" ht="20" customHeight="1">
      <c r="A4" s="1378" t="s">
        <v>3</v>
      </c>
      <c r="B4" s="1379" t="e">
        <f>CT_wh!B4</f>
        <v>#REF!</v>
      </c>
      <c r="C4" s="3966" t="str">
        <f>CT_wh!E4</f>
        <v xml:space="preserve"> </v>
      </c>
      <c r="D4" s="3954"/>
      <c r="E4" s="3969"/>
      <c r="F4" s="3970"/>
      <c r="G4" s="17"/>
      <c r="H4" s="17"/>
      <c r="I4" s="1312" t="str">
        <f>IF(D8*500&lt;D14,"Right","Wrong")</f>
        <v>Right</v>
      </c>
      <c r="J4" s="2580" t="s">
        <v>1091</v>
      </c>
      <c r="K4" s="2580" t="s">
        <v>274</v>
      </c>
      <c r="L4" s="2580" t="s">
        <v>274</v>
      </c>
      <c r="M4" s="2580" t="s">
        <v>1092</v>
      </c>
      <c r="N4" s="2580" t="s">
        <v>274</v>
      </c>
      <c r="O4" s="2580" t="s">
        <v>1090</v>
      </c>
      <c r="P4" s="2580"/>
      <c r="Q4" s="216"/>
      <c r="R4" s="216"/>
      <c r="S4" s="216"/>
      <c r="T4" s="216"/>
      <c r="U4" s="216"/>
      <c r="V4" s="216"/>
      <c r="W4" s="17"/>
      <c r="X4" s="17"/>
      <c r="Y4" s="17"/>
      <c r="Z4" s="17"/>
      <c r="AA4" s="17"/>
      <c r="AB4" s="17"/>
      <c r="AC4" s="17"/>
      <c r="AD4" s="17"/>
      <c r="AE4" s="17"/>
      <c r="AR4" s="17"/>
      <c r="AS4" s="17"/>
      <c r="AT4" s="17"/>
    </row>
    <row r="5" spans="1:46" ht="20" customHeight="1">
      <c r="A5" s="1313"/>
      <c r="B5" s="1380"/>
      <c r="C5" s="1314"/>
      <c r="D5" s="1314"/>
      <c r="E5" s="1314"/>
      <c r="F5" s="1315"/>
      <c r="G5" s="17"/>
      <c r="H5" s="17"/>
      <c r="I5" s="17"/>
      <c r="J5" s="2581">
        <v>1</v>
      </c>
      <c r="K5" s="29">
        <f>+N5/2</f>
        <v>750</v>
      </c>
      <c r="L5" s="29">
        <v>4000</v>
      </c>
      <c r="M5" s="29">
        <v>22210</v>
      </c>
      <c r="N5" s="145">
        <v>1500</v>
      </c>
      <c r="O5" s="29">
        <v>51209</v>
      </c>
      <c r="P5" s="179" t="s">
        <v>520</v>
      </c>
      <c r="Q5" s="216"/>
      <c r="R5" s="216"/>
      <c r="S5" s="216"/>
      <c r="T5" s="216"/>
      <c r="U5" s="216"/>
      <c r="V5" s="216"/>
      <c r="W5" s="17"/>
      <c r="X5" s="17"/>
      <c r="Y5" s="17"/>
      <c r="Z5" s="17"/>
      <c r="AA5" s="17"/>
      <c r="AB5" s="17"/>
      <c r="AC5" s="17"/>
      <c r="AD5" s="17"/>
      <c r="AE5" s="17"/>
      <c r="AR5" s="17"/>
      <c r="AS5" s="17"/>
      <c r="AT5" s="17"/>
    </row>
    <row r="6" spans="1:46" ht="20" customHeight="1">
      <c r="A6" s="1381" t="s">
        <v>107</v>
      </c>
      <c r="B6" s="1382" t="s">
        <v>1093</v>
      </c>
      <c r="C6" s="1383" t="s">
        <v>1094</v>
      </c>
      <c r="D6" s="1383" t="s">
        <v>1095</v>
      </c>
      <c r="E6" s="3945"/>
      <c r="F6" s="3946"/>
      <c r="G6" s="216"/>
      <c r="H6" s="216"/>
      <c r="I6" s="17"/>
      <c r="J6" s="2581">
        <v>2</v>
      </c>
      <c r="K6" s="29">
        <f t="shared" ref="K6:K21" si="0">+N6/2</f>
        <v>1050</v>
      </c>
      <c r="L6" s="29">
        <v>4000</v>
      </c>
      <c r="M6" s="29">
        <v>22210</v>
      </c>
      <c r="N6" s="145">
        <v>2100</v>
      </c>
      <c r="O6" s="29">
        <v>51209</v>
      </c>
      <c r="P6" s="179" t="s">
        <v>520</v>
      </c>
      <c r="Q6" s="216"/>
      <c r="R6" s="2582" t="s">
        <v>1096</v>
      </c>
      <c r="S6" s="2574" t="s">
        <v>274</v>
      </c>
      <c r="T6" s="2574" t="s">
        <v>1097</v>
      </c>
      <c r="U6" s="2574" t="s">
        <v>1098</v>
      </c>
      <c r="V6" s="2574" t="s">
        <v>1099</v>
      </c>
      <c r="W6" s="2583" t="s">
        <v>1100</v>
      </c>
      <c r="X6" s="216"/>
      <c r="Y6" s="216"/>
      <c r="Z6" s="2584" t="s">
        <v>1092</v>
      </c>
      <c r="AA6" s="1317" t="s">
        <v>274</v>
      </c>
      <c r="AB6" s="2583" t="s">
        <v>1100</v>
      </c>
      <c r="AC6" s="2584" t="s">
        <v>1090</v>
      </c>
      <c r="AD6" s="1317" t="s">
        <v>274</v>
      </c>
      <c r="AE6" s="216"/>
      <c r="AR6" s="216"/>
      <c r="AS6" s="216"/>
      <c r="AT6" s="216"/>
    </row>
    <row r="7" spans="1:46" ht="20" customHeight="1">
      <c r="A7" s="1318"/>
      <c r="B7" s="1380"/>
      <c r="C7" s="1314"/>
      <c r="D7" s="1314"/>
      <c r="E7" s="1314"/>
      <c r="F7" s="1315"/>
      <c r="G7" s="17"/>
      <c r="H7" s="17"/>
      <c r="I7" s="17"/>
      <c r="J7" s="2581">
        <v>3</v>
      </c>
      <c r="K7" s="29">
        <f t="shared" si="0"/>
        <v>1600</v>
      </c>
      <c r="L7" s="29">
        <v>4500</v>
      </c>
      <c r="M7" s="29">
        <v>22212</v>
      </c>
      <c r="N7" s="2121">
        <v>3200</v>
      </c>
      <c r="O7" s="29">
        <v>51211</v>
      </c>
      <c r="P7" s="179" t="s">
        <v>520</v>
      </c>
      <c r="Q7" s="216"/>
      <c r="R7" s="29"/>
      <c r="S7" s="29"/>
      <c r="T7" s="29"/>
      <c r="U7" s="29">
        <v>6210</v>
      </c>
      <c r="V7" s="809">
        <v>409.5</v>
      </c>
      <c r="W7" s="809">
        <v>409.5</v>
      </c>
      <c r="X7" s="17"/>
      <c r="Y7" s="17"/>
      <c r="Z7" s="179">
        <v>22208</v>
      </c>
      <c r="AA7" s="1846">
        <v>5069</v>
      </c>
      <c r="AB7" s="2588">
        <f>+AA7*0.48</f>
        <v>2433.12</v>
      </c>
      <c r="AC7" s="179">
        <v>51209</v>
      </c>
      <c r="AD7" s="179">
        <v>1543.3</v>
      </c>
      <c r="AR7" s="17"/>
      <c r="AS7" s="17"/>
      <c r="AT7" s="17"/>
    </row>
    <row r="8" spans="1:46" ht="20" customHeight="1">
      <c r="A8" s="1318"/>
      <c r="B8" s="1384" t="s">
        <v>1101</v>
      </c>
      <c r="C8" s="1385">
        <f>'E Data'!D13</f>
        <v>25</v>
      </c>
      <c r="D8" s="1385">
        <f>'E Data'!D14</f>
        <v>15</v>
      </c>
      <c r="E8" s="1321"/>
      <c r="F8" s="1322"/>
      <c r="G8" s="17"/>
      <c r="H8" s="17"/>
      <c r="I8" s="17"/>
      <c r="J8" s="2581">
        <v>5</v>
      </c>
      <c r="K8" s="29">
        <f t="shared" si="0"/>
        <v>3200</v>
      </c>
      <c r="L8" s="29">
        <v>4800</v>
      </c>
      <c r="M8" s="29">
        <v>22212</v>
      </c>
      <c r="N8" s="145">
        <v>6400</v>
      </c>
      <c r="O8" s="29">
        <v>51212</v>
      </c>
      <c r="P8" s="179" t="s">
        <v>520</v>
      </c>
      <c r="Q8" s="216"/>
      <c r="R8" s="29">
        <v>160</v>
      </c>
      <c r="S8" s="29">
        <f>+T8*200</f>
        <v>3600</v>
      </c>
      <c r="T8" s="29">
        <v>18</v>
      </c>
      <c r="U8" s="143">
        <v>6212</v>
      </c>
      <c r="V8" s="2587">
        <v>622.5</v>
      </c>
      <c r="W8" s="2587">
        <v>622.5</v>
      </c>
      <c r="X8" s="17"/>
      <c r="Y8" s="17"/>
      <c r="Z8" s="179">
        <v>22209</v>
      </c>
      <c r="AA8" s="1846">
        <v>5513</v>
      </c>
      <c r="AB8" s="2588">
        <f t="shared" ref="AB8:AB23" si="1">+AA8*0.48</f>
        <v>2646.24</v>
      </c>
      <c r="AC8" s="179">
        <v>51214</v>
      </c>
      <c r="AD8" s="179">
        <v>4151.3999999999996</v>
      </c>
      <c r="AR8" s="17"/>
      <c r="AS8" s="17"/>
      <c r="AT8" s="17"/>
    </row>
    <row r="9" spans="1:46" ht="20" customHeight="1">
      <c r="A9" s="1318"/>
      <c r="B9" s="1380"/>
      <c r="C9" s="1314"/>
      <c r="D9" s="1314"/>
      <c r="E9" s="1314"/>
      <c r="F9" s="1315"/>
      <c r="G9" s="17"/>
      <c r="H9" s="793"/>
      <c r="I9" s="17"/>
      <c r="J9" s="2581">
        <v>7.5</v>
      </c>
      <c r="K9" s="29">
        <f t="shared" si="0"/>
        <v>5500</v>
      </c>
      <c r="L9" s="29">
        <v>4800</v>
      </c>
      <c r="M9" s="29">
        <v>22214</v>
      </c>
      <c r="N9" s="143">
        <v>11000</v>
      </c>
      <c r="O9" s="29">
        <v>51214</v>
      </c>
      <c r="P9" s="179" t="s">
        <v>520</v>
      </c>
      <c r="Q9" s="216"/>
      <c r="R9" s="29">
        <v>200</v>
      </c>
      <c r="S9" s="29">
        <f t="shared" ref="S9:S18" si="2">+T9*200</f>
        <v>4100</v>
      </c>
      <c r="T9" s="29">
        <v>20.5</v>
      </c>
      <c r="U9" s="143">
        <v>6214</v>
      </c>
      <c r="V9" s="2587">
        <v>872</v>
      </c>
      <c r="W9" s="2587">
        <v>872</v>
      </c>
      <c r="X9" s="17"/>
      <c r="Y9" s="17"/>
      <c r="Z9" s="179">
        <v>22210</v>
      </c>
      <c r="AA9" s="1846">
        <v>5571</v>
      </c>
      <c r="AB9" s="2588">
        <f t="shared" si="1"/>
        <v>2674.08</v>
      </c>
      <c r="AC9" s="179">
        <v>51216</v>
      </c>
      <c r="AD9" s="179">
        <v>5339.4</v>
      </c>
      <c r="AR9" s="17"/>
      <c r="AS9" s="17"/>
      <c r="AT9" s="17"/>
    </row>
    <row r="10" spans="1:46" ht="20" customHeight="1">
      <c r="A10" s="1318"/>
      <c r="B10" s="1323" t="s">
        <v>1086</v>
      </c>
      <c r="C10" s="1327">
        <f>VLOOKUP(C8,J5:K30,2,0)</f>
        <v>22000</v>
      </c>
      <c r="D10" s="1327">
        <f>IF(D8&gt;0,VLOOKUP(D8,J5:K30,2,0),0)</f>
        <v>13750</v>
      </c>
      <c r="E10" s="1314"/>
      <c r="F10" s="1315"/>
      <c r="G10" s="17"/>
      <c r="H10" s="17"/>
      <c r="I10" s="17"/>
      <c r="J10" s="2581">
        <v>8</v>
      </c>
      <c r="K10" s="29">
        <f t="shared" si="0"/>
        <v>5500</v>
      </c>
      <c r="L10" s="29">
        <v>4800</v>
      </c>
      <c r="M10" s="29">
        <v>22214</v>
      </c>
      <c r="N10" s="143">
        <v>11000</v>
      </c>
      <c r="O10" s="29">
        <v>51216</v>
      </c>
      <c r="P10" s="179" t="s">
        <v>520</v>
      </c>
      <c r="Q10" s="216"/>
      <c r="R10" s="29">
        <v>250</v>
      </c>
      <c r="S10" s="29">
        <f t="shared" si="2"/>
        <v>6700</v>
      </c>
      <c r="T10" s="29">
        <v>33.5</v>
      </c>
      <c r="U10" s="143">
        <v>6216</v>
      </c>
      <c r="V10" s="2587">
        <v>1501</v>
      </c>
      <c r="W10" s="2587">
        <v>1501</v>
      </c>
      <c r="X10" s="17"/>
      <c r="Y10" s="17"/>
      <c r="Z10" s="179">
        <v>22211</v>
      </c>
      <c r="AA10" s="1846">
        <v>5832</v>
      </c>
      <c r="AB10" s="2588">
        <f t="shared" si="1"/>
        <v>2799.3599999999997</v>
      </c>
      <c r="AC10" s="179">
        <v>51217</v>
      </c>
      <c r="AD10" s="179">
        <v>6421.25</v>
      </c>
      <c r="AR10" s="17"/>
      <c r="AS10" s="17"/>
      <c r="AT10" s="17"/>
    </row>
    <row r="11" spans="1:46" ht="20" customHeight="1">
      <c r="A11" s="1318"/>
      <c r="B11" s="1323" t="s">
        <v>1102</v>
      </c>
      <c r="C11" s="1327">
        <f>VLOOKUP(C8,J5:L30,3,0)</f>
        <v>9800</v>
      </c>
      <c r="D11" s="1327">
        <f>IF(D8&gt;0,VLOOKUP(D8,J5:L30,3,0),0)</f>
        <v>7500</v>
      </c>
      <c r="E11" s="1314"/>
      <c r="F11" s="1315"/>
      <c r="G11" s="1324" t="str">
        <f>IF(C8&gt;=40,"Ramshorn Type","C Type")</f>
        <v>C Type</v>
      </c>
      <c r="H11" s="1324" t="str">
        <f>IF(D8&gt;=40,"Ramshorn Type","C Type")</f>
        <v>C Type</v>
      </c>
      <c r="I11" s="17"/>
      <c r="J11" s="2581">
        <v>10</v>
      </c>
      <c r="K11" s="29">
        <f t="shared" si="0"/>
        <v>7250</v>
      </c>
      <c r="L11" s="29">
        <v>5200</v>
      </c>
      <c r="M11" s="29">
        <v>22214</v>
      </c>
      <c r="N11" s="143">
        <v>14500</v>
      </c>
      <c r="O11" s="29">
        <v>51217</v>
      </c>
      <c r="P11" s="179" t="s">
        <v>520</v>
      </c>
      <c r="Q11" s="216"/>
      <c r="R11" s="29">
        <v>320</v>
      </c>
      <c r="S11" s="29">
        <f t="shared" si="2"/>
        <v>13000</v>
      </c>
      <c r="T11" s="29">
        <v>65</v>
      </c>
      <c r="U11" s="143">
        <v>6218</v>
      </c>
      <c r="V11" s="2587">
        <v>2161.5</v>
      </c>
      <c r="W11" s="2587">
        <v>2161.5</v>
      </c>
      <c r="X11" s="17"/>
      <c r="Y11" s="17"/>
      <c r="Z11" s="179">
        <v>22212</v>
      </c>
      <c r="AA11" s="2588">
        <v>6320</v>
      </c>
      <c r="AB11" s="2588">
        <f t="shared" si="1"/>
        <v>3033.6</v>
      </c>
      <c r="AC11" s="179">
        <v>51220</v>
      </c>
      <c r="AD11" s="179">
        <v>8268.15</v>
      </c>
      <c r="AR11" s="17"/>
      <c r="AS11" s="17"/>
      <c r="AT11" s="17"/>
    </row>
    <row r="12" spans="1:46" ht="20" customHeight="1">
      <c r="A12" s="1318"/>
      <c r="B12" s="1325"/>
      <c r="C12" s="1387"/>
      <c r="D12" s="1387"/>
      <c r="E12" s="1314"/>
      <c r="F12" s="1315"/>
      <c r="G12" s="59">
        <f>VLOOKUP(C8,J9:N30,5,0)</f>
        <v>44000</v>
      </c>
      <c r="H12" s="59">
        <f>IF(D8&gt;0,VLOOKUP(D8,J5:N26,5,0),0)</f>
        <v>27500</v>
      </c>
      <c r="I12" s="17"/>
      <c r="J12" s="2581">
        <v>12</v>
      </c>
      <c r="K12" s="29">
        <f t="shared" si="0"/>
        <v>9550</v>
      </c>
      <c r="L12" s="29">
        <v>6000</v>
      </c>
      <c r="M12" s="29">
        <v>22216</v>
      </c>
      <c r="N12" s="143">
        <v>19100</v>
      </c>
      <c r="O12" s="29">
        <v>51220</v>
      </c>
      <c r="P12" s="179" t="s">
        <v>520</v>
      </c>
      <c r="Q12" s="216"/>
      <c r="R12" s="29">
        <v>400</v>
      </c>
      <c r="S12" s="29">
        <f t="shared" si="2"/>
        <v>15000</v>
      </c>
      <c r="T12" s="29">
        <v>75</v>
      </c>
      <c r="U12" s="143">
        <v>6220</v>
      </c>
      <c r="V12" s="2587">
        <v>5669.5</v>
      </c>
      <c r="W12" s="2587">
        <v>5669.5</v>
      </c>
      <c r="X12" s="17"/>
      <c r="Y12" s="17"/>
      <c r="Z12" s="179">
        <v>22214</v>
      </c>
      <c r="AA12" s="2588">
        <v>7643</v>
      </c>
      <c r="AB12" s="2588">
        <f t="shared" si="1"/>
        <v>3668.64</v>
      </c>
      <c r="AC12" s="179">
        <v>51224</v>
      </c>
      <c r="AD12" s="179">
        <v>11155.65</v>
      </c>
      <c r="AR12" s="17"/>
      <c r="AS12" s="17"/>
      <c r="AT12" s="17"/>
    </row>
    <row r="13" spans="1:46" ht="20" customHeight="1">
      <c r="A13" s="1326">
        <v>1</v>
      </c>
      <c r="B13" s="1388" t="s">
        <v>1103</v>
      </c>
      <c r="C13" s="1389" t="s">
        <v>520</v>
      </c>
      <c r="D13" s="1389" t="str">
        <f>H11</f>
        <v>C Type</v>
      </c>
      <c r="E13" s="1314"/>
      <c r="F13" s="1315"/>
      <c r="J13" s="2581">
        <v>12.5</v>
      </c>
      <c r="K13" s="29">
        <f t="shared" si="0"/>
        <v>9550</v>
      </c>
      <c r="L13" s="29">
        <v>6000</v>
      </c>
      <c r="M13" s="29">
        <v>22216</v>
      </c>
      <c r="N13" s="143">
        <v>19100</v>
      </c>
      <c r="O13" s="29">
        <v>51222</v>
      </c>
      <c r="P13" s="179" t="s">
        <v>520</v>
      </c>
      <c r="Q13" s="216"/>
      <c r="R13" s="29">
        <v>500</v>
      </c>
      <c r="S13" s="29">
        <f t="shared" si="2"/>
        <v>21000</v>
      </c>
      <c r="T13" s="29">
        <v>105</v>
      </c>
      <c r="U13" s="143">
        <v>6222</v>
      </c>
      <c r="V13" s="1846">
        <v>6860</v>
      </c>
      <c r="W13" s="1846">
        <v>6860</v>
      </c>
      <c r="X13" s="17"/>
      <c r="Y13" s="17"/>
      <c r="Z13" s="179">
        <v>22215</v>
      </c>
      <c r="AA13" s="2588">
        <v>7954</v>
      </c>
      <c r="AB13" s="2588">
        <f t="shared" si="1"/>
        <v>3817.92</v>
      </c>
      <c r="AC13" s="179">
        <v>51236</v>
      </c>
      <c r="AD13" s="179" t="s">
        <v>2818</v>
      </c>
      <c r="AR13" s="17"/>
      <c r="AS13" s="17"/>
      <c r="AT13" s="17"/>
    </row>
    <row r="14" spans="1:46" ht="20" customHeight="1">
      <c r="A14" s="1326">
        <v>2</v>
      </c>
      <c r="B14" s="1328" t="s">
        <v>1104</v>
      </c>
      <c r="C14" s="1390">
        <f>+G12</f>
        <v>44000</v>
      </c>
      <c r="D14" s="1390">
        <f>+H12</f>
        <v>27500</v>
      </c>
      <c r="E14" s="1314"/>
      <c r="F14" s="1387"/>
      <c r="G14" s="1391" t="str">
        <f>HYPERLINK("C:\Users\Admin\Desktop\Manish\Selection\Hook_PO","Hook PO")</f>
        <v>Hook PO</v>
      </c>
      <c r="H14" s="17"/>
      <c r="J14" s="2581">
        <v>15</v>
      </c>
      <c r="K14" s="29">
        <f t="shared" si="0"/>
        <v>13750</v>
      </c>
      <c r="L14" s="29">
        <v>7500</v>
      </c>
      <c r="M14" s="29">
        <v>22216</v>
      </c>
      <c r="N14" s="143">
        <v>27500</v>
      </c>
      <c r="O14" s="29">
        <v>51222</v>
      </c>
      <c r="P14" s="179" t="s">
        <v>520</v>
      </c>
      <c r="Q14" s="216"/>
      <c r="R14" s="29">
        <v>630</v>
      </c>
      <c r="S14" s="29">
        <f t="shared" si="2"/>
        <v>36000</v>
      </c>
      <c r="T14" s="29">
        <v>180</v>
      </c>
      <c r="U14" s="143">
        <v>6224</v>
      </c>
      <c r="V14" s="1846">
        <v>8049.9999999999991</v>
      </c>
      <c r="W14" s="1846">
        <v>8049.9999999999991</v>
      </c>
      <c r="X14" s="17"/>
      <c r="Y14" s="17"/>
      <c r="Z14" s="179">
        <v>22216</v>
      </c>
      <c r="AA14" s="1846">
        <v>8487</v>
      </c>
      <c r="AB14" s="2588">
        <f t="shared" si="1"/>
        <v>4073.7599999999998</v>
      </c>
      <c r="AC14" s="179">
        <v>51248</v>
      </c>
      <c r="AD14" s="179" t="s">
        <v>2818</v>
      </c>
      <c r="AR14" s="17"/>
      <c r="AS14" s="17"/>
      <c r="AT14" s="17"/>
    </row>
    <row r="15" spans="1:46" ht="20" customHeight="1">
      <c r="A15" s="1387"/>
      <c r="B15" s="1387"/>
      <c r="C15" s="1387"/>
      <c r="D15" s="1387"/>
      <c r="E15" s="1314"/>
      <c r="F15" s="1387"/>
      <c r="G15" s="1392" t="str">
        <f>IF(I3="Right",IF(I4="Right","Right","AH Wrong"),"MH Wrong")</f>
        <v>Right</v>
      </c>
      <c r="I15" s="17"/>
      <c r="J15" s="2581">
        <v>16</v>
      </c>
      <c r="K15" s="29">
        <f t="shared" si="0"/>
        <v>13750</v>
      </c>
      <c r="L15" s="29">
        <v>8000</v>
      </c>
      <c r="M15" s="29">
        <v>22216</v>
      </c>
      <c r="N15" s="143">
        <v>27500</v>
      </c>
      <c r="O15" s="29">
        <v>51318</v>
      </c>
      <c r="P15" s="179" t="s">
        <v>520</v>
      </c>
      <c r="Q15" s="216"/>
      <c r="R15" s="29">
        <v>710</v>
      </c>
      <c r="S15" s="29">
        <f t="shared" si="2"/>
        <v>42000</v>
      </c>
      <c r="T15" s="29">
        <v>210</v>
      </c>
      <c r="U15" s="143">
        <v>6226</v>
      </c>
      <c r="V15" s="1846">
        <v>9450</v>
      </c>
      <c r="W15" s="1846">
        <v>9450</v>
      </c>
      <c r="X15" s="17"/>
      <c r="Y15" s="17"/>
      <c r="Z15" s="179">
        <v>22218</v>
      </c>
      <c r="AA15" s="1846">
        <v>11723</v>
      </c>
      <c r="AB15" s="2588">
        <f t="shared" si="1"/>
        <v>5627.04</v>
      </c>
      <c r="AC15" s="179">
        <v>51310</v>
      </c>
      <c r="AD15" s="179">
        <v>3136.65</v>
      </c>
      <c r="AR15" s="17"/>
      <c r="AS15" s="17"/>
      <c r="AT15" s="17"/>
    </row>
    <row r="16" spans="1:46" ht="20" customHeight="1">
      <c r="A16" s="1326"/>
      <c r="B16" s="1323" t="s">
        <v>1106</v>
      </c>
      <c r="C16" s="1327">
        <f>MH!J141</f>
        <v>400</v>
      </c>
      <c r="D16" s="1327">
        <f>IF(D8&gt;0,AH!J141,0)</f>
        <v>400</v>
      </c>
      <c r="E16" s="1314"/>
      <c r="F16" s="1315"/>
      <c r="G16" s="2510" t="str">
        <f>HYPERLINK("E:\03 General\Catalogues\Fag Bearing\FAG Imported 50% discount.pdf","FAG 50%")</f>
        <v>FAG 50%</v>
      </c>
      <c r="H16" s="17"/>
      <c r="I16" s="17"/>
      <c r="J16" s="2581">
        <v>20</v>
      </c>
      <c r="K16" s="29">
        <f t="shared" si="0"/>
        <v>15300</v>
      </c>
      <c r="L16" s="29">
        <v>8000</v>
      </c>
      <c r="M16" s="29">
        <v>22218</v>
      </c>
      <c r="N16" s="143">
        <v>30600</v>
      </c>
      <c r="O16" s="29">
        <v>51318</v>
      </c>
      <c r="P16" s="179" t="s">
        <v>520</v>
      </c>
      <c r="Q16" s="216"/>
      <c r="R16" s="29">
        <v>800</v>
      </c>
      <c r="S16" s="29">
        <f t="shared" si="2"/>
        <v>48000</v>
      </c>
      <c r="T16" s="29">
        <v>240</v>
      </c>
      <c r="U16" s="143">
        <v>6228</v>
      </c>
      <c r="V16" s="1846">
        <v>10920</v>
      </c>
      <c r="W16" s="1846">
        <v>10920</v>
      </c>
      <c r="X16" s="17"/>
      <c r="Y16" s="17"/>
      <c r="Z16" s="179">
        <v>22220</v>
      </c>
      <c r="AA16" s="1846">
        <v>14456</v>
      </c>
      <c r="AB16" s="2588">
        <f t="shared" si="1"/>
        <v>6938.88</v>
      </c>
      <c r="AC16" s="179">
        <v>51312</v>
      </c>
      <c r="AD16" s="179">
        <v>5616.05</v>
      </c>
      <c r="AR16" s="17"/>
      <c r="AS16" s="17"/>
      <c r="AT16" s="17"/>
    </row>
    <row r="17" spans="1:46" ht="20" customHeight="1">
      <c r="A17" s="1326"/>
      <c r="B17" s="1323" t="s">
        <v>1107</v>
      </c>
      <c r="C17" s="1327">
        <f>VLOOKUP(C16,R8:S18,2,0)</f>
        <v>15000</v>
      </c>
      <c r="D17" s="1327">
        <f>IF(D8&gt;0,VLOOKUP(D16,R8:S18,2,0),0)</f>
        <v>15000</v>
      </c>
      <c r="E17" s="1387"/>
      <c r="F17" s="1393"/>
      <c r="G17" s="2510" t="str">
        <f>HYPERLINK("E:\03 General\Catalogues\Fag Bearing\FAG INDIA INDUSTRIAL 48% discount.pdf","FAG 48%")</f>
        <v>FAG 48%</v>
      </c>
      <c r="H17" s="17"/>
      <c r="I17" s="17"/>
      <c r="J17" s="2581">
        <v>25</v>
      </c>
      <c r="K17" s="29">
        <f t="shared" si="0"/>
        <v>22000</v>
      </c>
      <c r="L17" s="29">
        <v>9800</v>
      </c>
      <c r="M17" s="29">
        <v>22220</v>
      </c>
      <c r="N17" s="143">
        <v>44000</v>
      </c>
      <c r="O17" s="29">
        <v>51320</v>
      </c>
      <c r="P17" s="179" t="s">
        <v>520</v>
      </c>
      <c r="Q17" s="216"/>
      <c r="R17" s="29">
        <v>900</v>
      </c>
      <c r="S17" s="29">
        <f t="shared" si="2"/>
        <v>75200</v>
      </c>
      <c r="T17" s="29">
        <v>376</v>
      </c>
      <c r="U17" s="143">
        <v>6230</v>
      </c>
      <c r="V17" s="1846">
        <v>13160</v>
      </c>
      <c r="W17" s="1846">
        <v>13160</v>
      </c>
      <c r="X17" s="17"/>
      <c r="Y17" s="17"/>
      <c r="Z17" s="179">
        <v>22222</v>
      </c>
      <c r="AA17" s="1846">
        <v>19967</v>
      </c>
      <c r="AB17" s="2588">
        <f t="shared" si="1"/>
        <v>9584.16</v>
      </c>
      <c r="AC17" s="179">
        <v>51317</v>
      </c>
      <c r="AD17" s="179">
        <v>13087.8</v>
      </c>
      <c r="AR17" s="17"/>
      <c r="AS17" s="17"/>
      <c r="AT17" s="17"/>
    </row>
    <row r="18" spans="1:46" ht="20" customHeight="1">
      <c r="A18" s="1326"/>
      <c r="B18" s="1323" t="s">
        <v>1108</v>
      </c>
      <c r="C18" s="1327">
        <f>VLOOKUP(C16,R8:T18,3,0)</f>
        <v>75</v>
      </c>
      <c r="D18" s="1327">
        <f>IF(D8&gt;0,VLOOKUP(D16,R8:T18,3,0),0)</f>
        <v>75</v>
      </c>
      <c r="E18" s="1387"/>
      <c r="F18" s="1393"/>
      <c r="G18" s="1394" t="str">
        <f>HYPERLINK("C:\Users\Admin\Desktop\Manish\Selection\Fag_Bearing_Price.pdf","FAG MAKE")</f>
        <v>FAG MAKE</v>
      </c>
      <c r="H18" s="17"/>
      <c r="I18" s="17"/>
      <c r="J18" s="2581">
        <v>30</v>
      </c>
      <c r="K18" s="29">
        <f t="shared" si="0"/>
        <v>37000</v>
      </c>
      <c r="L18" s="29">
        <v>9800</v>
      </c>
      <c r="M18" s="29">
        <v>22220</v>
      </c>
      <c r="N18" s="143">
        <v>74000</v>
      </c>
      <c r="O18" s="29">
        <v>51320</v>
      </c>
      <c r="P18" s="179" t="s">
        <v>520</v>
      </c>
      <c r="Q18" s="216"/>
      <c r="R18" s="29">
        <v>1000</v>
      </c>
      <c r="S18" s="29">
        <f t="shared" si="2"/>
        <v>82800</v>
      </c>
      <c r="T18" s="29">
        <v>414</v>
      </c>
      <c r="U18" s="143">
        <v>6232</v>
      </c>
      <c r="V18" s="1846">
        <v>14000</v>
      </c>
      <c r="W18" s="1846">
        <v>14000</v>
      </c>
      <c r="X18" s="17"/>
      <c r="Y18" s="17"/>
      <c r="Z18" s="179">
        <v>22224</v>
      </c>
      <c r="AA18" s="1846">
        <v>26208</v>
      </c>
      <c r="AB18" s="2588">
        <f t="shared" si="1"/>
        <v>12579.84</v>
      </c>
      <c r="AC18" s="179">
        <v>51318</v>
      </c>
      <c r="AD18" s="179">
        <v>13158.75</v>
      </c>
      <c r="AR18" s="17"/>
      <c r="AS18" s="17"/>
      <c r="AT18" s="17"/>
    </row>
    <row r="19" spans="1:46" ht="20" customHeight="1">
      <c r="A19" s="1326"/>
      <c r="B19" s="1380"/>
      <c r="C19" s="1314"/>
      <c r="D19" s="1314"/>
      <c r="E19" s="1387"/>
      <c r="F19" s="1387"/>
      <c r="G19" s="1396" t="str">
        <f>IF(Y41=TRUE,"Right","Wrong")</f>
        <v>Right</v>
      </c>
      <c r="I19" s="17"/>
      <c r="J19" s="2581">
        <v>32</v>
      </c>
      <c r="K19" s="29">
        <f t="shared" si="0"/>
        <v>37000</v>
      </c>
      <c r="L19" s="29">
        <v>12000</v>
      </c>
      <c r="M19" s="29">
        <v>22222</v>
      </c>
      <c r="N19" s="143">
        <v>74000</v>
      </c>
      <c r="O19" s="29">
        <v>51322</v>
      </c>
      <c r="P19" s="179" t="s">
        <v>520</v>
      </c>
      <c r="Q19" s="216"/>
      <c r="R19" s="216"/>
      <c r="S19" s="216"/>
      <c r="T19" s="216"/>
      <c r="U19" s="216"/>
      <c r="V19" s="216"/>
      <c r="W19" s="17"/>
      <c r="X19" s="17"/>
      <c r="Y19" s="17"/>
      <c r="Z19" s="179">
        <v>22226</v>
      </c>
      <c r="AA19" s="1846">
        <v>32000</v>
      </c>
      <c r="AB19" s="2588">
        <f t="shared" si="1"/>
        <v>15360</v>
      </c>
      <c r="AC19" s="179">
        <v>51320</v>
      </c>
      <c r="AD19" s="179">
        <v>16780.5</v>
      </c>
      <c r="AR19" s="17"/>
      <c r="AS19" s="17"/>
      <c r="AT19" s="17"/>
    </row>
    <row r="20" spans="1:46" ht="20" customHeight="1">
      <c r="A20" s="1326"/>
      <c r="B20" s="1323" t="s">
        <v>1109</v>
      </c>
      <c r="C20" s="1327">
        <f>VLOOKUP(C8,J5:M30,4,0)</f>
        <v>22220</v>
      </c>
      <c r="D20" s="1327">
        <f>IF(D8&gt;0,VLOOKUP(D8,J5:M30,4,0),0)</f>
        <v>22216</v>
      </c>
      <c r="E20" s="1387"/>
      <c r="F20" s="1387"/>
      <c r="G20" s="3971" t="s">
        <v>2557</v>
      </c>
      <c r="H20" s="3972"/>
      <c r="I20" s="79"/>
      <c r="J20" s="2581">
        <v>40</v>
      </c>
      <c r="K20" s="29">
        <f t="shared" si="0"/>
        <v>46500</v>
      </c>
      <c r="L20" s="29">
        <v>18000</v>
      </c>
      <c r="M20" s="29">
        <v>22222</v>
      </c>
      <c r="N20" s="143">
        <v>93000</v>
      </c>
      <c r="O20" s="29">
        <v>51326</v>
      </c>
      <c r="P20" s="179" t="s">
        <v>520</v>
      </c>
      <c r="Q20" s="216"/>
      <c r="R20" s="216"/>
      <c r="S20" s="216"/>
      <c r="T20" s="216"/>
      <c r="U20" s="216"/>
      <c r="V20" s="216"/>
      <c r="W20" s="17"/>
      <c r="X20" s="17"/>
      <c r="Y20" s="17"/>
      <c r="Z20" s="179">
        <v>22228</v>
      </c>
      <c r="AA20" s="1846">
        <v>37501</v>
      </c>
      <c r="AB20" s="2588">
        <f t="shared" si="1"/>
        <v>18000.48</v>
      </c>
      <c r="AC20" s="179">
        <v>51322</v>
      </c>
      <c r="AD20" s="179">
        <v>51200</v>
      </c>
      <c r="AR20" s="17"/>
      <c r="AS20" s="17"/>
      <c r="AT20" s="17"/>
    </row>
    <row r="21" spans="1:46" ht="20" customHeight="1">
      <c r="A21" s="1326"/>
      <c r="B21" s="1328" t="s">
        <v>1110</v>
      </c>
      <c r="C21" s="1397">
        <f>AD45</f>
        <v>22220</v>
      </c>
      <c r="D21" s="1398">
        <f>IF(D8&gt;0,AD47,0)</f>
        <v>22216</v>
      </c>
      <c r="E21" s="1387"/>
      <c r="F21" s="1387"/>
      <c r="G21" s="1399" t="s">
        <v>2589</v>
      </c>
      <c r="H21" s="1399" t="s">
        <v>2558</v>
      </c>
      <c r="J21" s="2581">
        <v>50</v>
      </c>
      <c r="K21" s="29">
        <f t="shared" si="0"/>
        <v>64000</v>
      </c>
      <c r="L21" s="29">
        <v>18000</v>
      </c>
      <c r="M21" s="29">
        <v>22224</v>
      </c>
      <c r="N21" s="143">
        <v>128000</v>
      </c>
      <c r="O21" s="29">
        <v>51326</v>
      </c>
      <c r="P21" s="179" t="s">
        <v>520</v>
      </c>
      <c r="Q21" s="216"/>
      <c r="S21" s="1317" t="s">
        <v>1111</v>
      </c>
      <c r="T21" s="1317" t="s">
        <v>274</v>
      </c>
      <c r="U21" s="1317" t="s">
        <v>275</v>
      </c>
      <c r="V21" s="216" t="s">
        <v>524</v>
      </c>
      <c r="W21" s="17">
        <v>0</v>
      </c>
      <c r="X21" s="17"/>
      <c r="Y21" s="17" t="s">
        <v>2504</v>
      </c>
      <c r="Z21" s="179">
        <v>22230</v>
      </c>
      <c r="AA21" s="1846">
        <v>40871</v>
      </c>
      <c r="AB21" s="2588">
        <f t="shared" si="1"/>
        <v>19618.079999999998</v>
      </c>
      <c r="AC21" s="179">
        <v>51326</v>
      </c>
      <c r="AD21" s="179">
        <v>81400</v>
      </c>
      <c r="AR21" s="17"/>
      <c r="AS21" s="17"/>
      <c r="AT21" s="17"/>
    </row>
    <row r="22" spans="1:46" ht="20" customHeight="1">
      <c r="A22" s="1326"/>
      <c r="B22" s="1329" t="s">
        <v>1112</v>
      </c>
      <c r="C22" s="1400">
        <f>VLOOKUP(C21,Z7:AB23,2,0)*(1+H22)</f>
        <v>14456</v>
      </c>
      <c r="D22" s="1400">
        <f>VLOOKUP(D21,Z7:AB23,2,0)*(1+H22)</f>
        <v>8487</v>
      </c>
      <c r="E22" s="1387"/>
      <c r="F22" s="1401"/>
      <c r="G22" s="1402" t="s">
        <v>809</v>
      </c>
      <c r="H22" s="1403">
        <v>0</v>
      </c>
      <c r="I22" s="17"/>
      <c r="J22" s="2581">
        <v>40</v>
      </c>
      <c r="K22" s="29">
        <v>85000</v>
      </c>
      <c r="L22" s="29">
        <v>22000</v>
      </c>
      <c r="M22" s="29">
        <v>22222</v>
      </c>
      <c r="N22" s="143">
        <v>111000</v>
      </c>
      <c r="O22" s="29">
        <v>51328</v>
      </c>
      <c r="P22" s="179" t="s">
        <v>1105</v>
      </c>
      <c r="Q22" s="216"/>
      <c r="S22" s="179"/>
      <c r="T22" s="179"/>
      <c r="U22" s="179"/>
      <c r="V22" s="216" t="s">
        <v>520</v>
      </c>
      <c r="W22" s="17">
        <v>1</v>
      </c>
      <c r="X22" s="17"/>
      <c r="Y22" s="17" t="s">
        <v>2516</v>
      </c>
      <c r="Z22" s="179">
        <v>22232</v>
      </c>
      <c r="AA22" s="1846">
        <v>52396</v>
      </c>
      <c r="AB22" s="2588">
        <f t="shared" si="1"/>
        <v>25150.079999999998</v>
      </c>
      <c r="AC22" s="179">
        <v>51328</v>
      </c>
      <c r="AD22" s="179">
        <v>84000</v>
      </c>
      <c r="AR22" s="17"/>
      <c r="AS22" s="17"/>
      <c r="AT22" s="17"/>
    </row>
    <row r="23" spans="1:46" ht="20" customHeight="1">
      <c r="A23" s="1326"/>
      <c r="B23" s="1380"/>
      <c r="C23" s="1314"/>
      <c r="D23" s="1314"/>
      <c r="E23" s="1387"/>
      <c r="F23" s="1387"/>
      <c r="I23" s="216"/>
      <c r="J23" s="2581">
        <v>50</v>
      </c>
      <c r="K23" s="29">
        <v>95000</v>
      </c>
      <c r="L23" s="29">
        <v>30000</v>
      </c>
      <c r="M23" s="29">
        <v>22224</v>
      </c>
      <c r="N23" s="143">
        <v>125000</v>
      </c>
      <c r="O23" s="29">
        <v>51332</v>
      </c>
      <c r="P23" s="179" t="s">
        <v>1105</v>
      </c>
      <c r="Q23" s="216"/>
      <c r="S23" s="179" t="s">
        <v>1113</v>
      </c>
      <c r="T23" s="179">
        <v>2500</v>
      </c>
      <c r="U23" s="179">
        <v>10</v>
      </c>
      <c r="V23" s="216"/>
      <c r="W23" s="17">
        <v>2</v>
      </c>
      <c r="X23" s="17"/>
      <c r="Y23" s="17"/>
      <c r="Z23" s="179">
        <v>22234</v>
      </c>
      <c r="AA23" s="1846">
        <v>71933</v>
      </c>
      <c r="AB23" s="2588">
        <f t="shared" si="1"/>
        <v>34527.839999999997</v>
      </c>
      <c r="AC23" s="179">
        <v>51330</v>
      </c>
      <c r="AD23" s="179">
        <v>112900</v>
      </c>
      <c r="AR23" s="17"/>
      <c r="AS23" s="17"/>
      <c r="AT23" s="17"/>
    </row>
    <row r="24" spans="1:46" ht="20" customHeight="1">
      <c r="A24" s="1326"/>
      <c r="B24" s="1323" t="s">
        <v>1114</v>
      </c>
      <c r="C24" s="1327">
        <f>VLOOKUP(C8,J5:O30,6,0)</f>
        <v>51320</v>
      </c>
      <c r="D24" s="1327">
        <f>IF(D8&gt;0,VLOOKUP(D8,J5:O30,6,0),0)</f>
        <v>51222</v>
      </c>
      <c r="E24" s="1387"/>
      <c r="F24" s="1393"/>
      <c r="J24" s="2581">
        <v>63</v>
      </c>
      <c r="K24" s="29">
        <v>112000</v>
      </c>
      <c r="L24" s="29">
        <v>36000</v>
      </c>
      <c r="M24" s="29">
        <v>22226</v>
      </c>
      <c r="N24" s="143">
        <v>145000</v>
      </c>
      <c r="O24" s="29">
        <v>29340</v>
      </c>
      <c r="P24" s="179" t="s">
        <v>1105</v>
      </c>
      <c r="Q24" s="216"/>
      <c r="S24" s="179" t="s">
        <v>1115</v>
      </c>
      <c r="T24" s="179">
        <v>3000</v>
      </c>
      <c r="U24" s="179">
        <v>15</v>
      </c>
      <c r="V24" s="216"/>
      <c r="W24" s="17"/>
      <c r="X24" s="17"/>
      <c r="Y24" s="17"/>
      <c r="Z24" s="17"/>
      <c r="AA24" s="17"/>
      <c r="AB24" s="17"/>
      <c r="AC24" s="179">
        <v>51332</v>
      </c>
      <c r="AD24" s="179">
        <v>129700</v>
      </c>
      <c r="AR24" s="17"/>
      <c r="AS24" s="17"/>
      <c r="AT24" s="17"/>
    </row>
    <row r="25" spans="1:46" ht="20" customHeight="1">
      <c r="A25" s="1326"/>
      <c r="B25" s="1328" t="s">
        <v>1116</v>
      </c>
      <c r="C25" s="1398">
        <f>AD51</f>
        <v>51320</v>
      </c>
      <c r="D25" s="1398">
        <f>IF(D8&gt;0,AD53,0)</f>
        <v>51222</v>
      </c>
      <c r="E25" s="1387"/>
      <c r="F25" s="1393"/>
      <c r="J25" s="2581">
        <v>80</v>
      </c>
      <c r="K25" s="29">
        <v>145000</v>
      </c>
      <c r="L25" s="29">
        <v>44000</v>
      </c>
      <c r="M25" s="29">
        <v>22228</v>
      </c>
      <c r="N25" s="143">
        <v>175000</v>
      </c>
      <c r="O25" s="29">
        <v>29342</v>
      </c>
      <c r="P25" s="179" t="s">
        <v>1105</v>
      </c>
      <c r="Q25" s="216"/>
      <c r="S25" s="179" t="s">
        <v>1117</v>
      </c>
      <c r="T25" s="179">
        <v>5200</v>
      </c>
      <c r="U25" s="179">
        <v>26</v>
      </c>
      <c r="V25" s="216"/>
      <c r="W25" s="17"/>
      <c r="X25" s="17"/>
      <c r="Y25" s="17"/>
      <c r="Z25" s="17"/>
      <c r="AA25" s="17"/>
      <c r="AB25" s="17"/>
      <c r="AC25" s="179">
        <v>51336</v>
      </c>
      <c r="AD25" s="179">
        <v>205299</v>
      </c>
      <c r="AR25" s="17"/>
      <c r="AS25" s="17"/>
      <c r="AT25" s="17"/>
    </row>
    <row r="26" spans="1:46" ht="20" customHeight="1">
      <c r="A26" s="1326"/>
      <c r="B26" s="1329" t="s">
        <v>1118</v>
      </c>
      <c r="C26" s="2590">
        <f>VLOOKUP(C25,AC7:AD29,2,0)*(1+H22)</f>
        <v>16780.5</v>
      </c>
      <c r="D26" s="2590">
        <f>VLOOKUP(D25,AC7:AD28,2,0)*(1+H22)</f>
        <v>10250.9</v>
      </c>
      <c r="E26" s="1387"/>
      <c r="F26" s="1393"/>
      <c r="G26" s="391" t="str">
        <f>HYPERLINK("C:\Users\Admin\Desktop\Manish\Selection\Price_Sheet_2013.pdf","Price Sheet")</f>
        <v>Price Sheet</v>
      </c>
      <c r="H26" s="17"/>
      <c r="I26" s="17"/>
      <c r="J26" s="2581">
        <v>100</v>
      </c>
      <c r="K26" s="29">
        <v>167000</v>
      </c>
      <c r="L26" s="29">
        <v>52000</v>
      </c>
      <c r="M26" s="29">
        <v>22230</v>
      </c>
      <c r="N26" s="143">
        <v>340000</v>
      </c>
      <c r="O26" s="29">
        <v>29348</v>
      </c>
      <c r="P26" s="179" t="s">
        <v>1105</v>
      </c>
      <c r="Q26" s="216"/>
      <c r="S26" s="179" t="s">
        <v>1119</v>
      </c>
      <c r="T26" s="179">
        <v>7600</v>
      </c>
      <c r="U26" s="179">
        <v>40</v>
      </c>
      <c r="V26" s="216"/>
      <c r="W26" s="17"/>
      <c r="X26" s="17"/>
      <c r="Y26" s="17"/>
      <c r="Z26" s="17"/>
      <c r="AA26" s="17"/>
      <c r="AB26" s="17"/>
      <c r="AC26" s="179">
        <v>51212</v>
      </c>
      <c r="AD26" s="179">
        <v>3468.85</v>
      </c>
      <c r="AR26" s="17"/>
      <c r="AS26" s="17"/>
      <c r="AT26" s="17"/>
    </row>
    <row r="27" spans="1:46" ht="20" customHeight="1">
      <c r="A27" s="1326"/>
      <c r="B27" s="1380"/>
      <c r="C27" s="1314"/>
      <c r="D27" s="1314"/>
      <c r="E27" s="1387"/>
      <c r="F27" s="1393"/>
      <c r="G27" s="397" t="str">
        <f>HYPERLINK("C:\Users\Admin\Desktop\Manish\Selection\Weight.pdf","Weight")</f>
        <v>Weight</v>
      </c>
      <c r="H27" s="17"/>
      <c r="I27" s="17"/>
      <c r="J27" s="2581">
        <v>125</v>
      </c>
      <c r="K27" s="29">
        <v>175000</v>
      </c>
      <c r="L27" s="29">
        <v>63000</v>
      </c>
      <c r="M27" s="29">
        <v>22232</v>
      </c>
      <c r="N27" s="143">
        <v>385000</v>
      </c>
      <c r="O27" s="29">
        <v>29348</v>
      </c>
      <c r="P27" s="179" t="s">
        <v>1105</v>
      </c>
      <c r="Q27" s="216"/>
      <c r="S27" s="179" t="s">
        <v>1120</v>
      </c>
      <c r="T27" s="179">
        <v>11600</v>
      </c>
      <c r="U27" s="179">
        <v>62</v>
      </c>
      <c r="V27" s="216"/>
      <c r="W27" s="17"/>
      <c r="X27" s="17"/>
      <c r="Y27" s="17"/>
      <c r="Z27" s="17"/>
      <c r="AA27" s="17"/>
      <c r="AB27" s="17"/>
      <c r="AC27" s="179">
        <v>51222</v>
      </c>
      <c r="AD27" s="179">
        <v>10250.9</v>
      </c>
      <c r="AR27" s="17"/>
      <c r="AS27" s="17"/>
      <c r="AT27" s="17"/>
    </row>
    <row r="28" spans="1:46" ht="20" customHeight="1">
      <c r="A28" s="1326"/>
      <c r="B28" s="1323" t="s">
        <v>1121</v>
      </c>
      <c r="C28" s="1327">
        <f>VLOOKUP(C16,R8:U18,4,0)</f>
        <v>6220</v>
      </c>
      <c r="D28" s="1327">
        <f>IF(D8&gt;0,VLOOKUP(D16,R8:U18,4,0),0)</f>
        <v>6220</v>
      </c>
      <c r="E28" s="1387"/>
      <c r="F28" s="1393"/>
      <c r="G28" s="17"/>
      <c r="J28" s="2581">
        <v>160</v>
      </c>
      <c r="K28" s="29">
        <v>180000</v>
      </c>
      <c r="L28" s="29">
        <v>75000</v>
      </c>
      <c r="M28" s="29">
        <v>22234</v>
      </c>
      <c r="N28" s="143">
        <v>430000</v>
      </c>
      <c r="O28" s="29">
        <v>29352</v>
      </c>
      <c r="P28" s="179" t="s">
        <v>1105</v>
      </c>
      <c r="Q28" s="216"/>
      <c r="S28" s="179" t="s">
        <v>1122</v>
      </c>
      <c r="T28" s="179">
        <v>17400</v>
      </c>
      <c r="U28" s="179">
        <v>85</v>
      </c>
      <c r="V28" s="216"/>
      <c r="W28" s="17"/>
      <c r="X28" s="17"/>
      <c r="Y28" s="17"/>
      <c r="Z28" s="17"/>
      <c r="AA28" s="17"/>
      <c r="AB28" s="17"/>
      <c r="AC28" s="179">
        <v>29340</v>
      </c>
      <c r="AD28" s="179">
        <v>44272</v>
      </c>
      <c r="AE28" s="17"/>
      <c r="AR28" s="17"/>
      <c r="AS28" s="17"/>
      <c r="AT28" s="17"/>
    </row>
    <row r="29" spans="1:46" ht="20" customHeight="1">
      <c r="A29" s="1326"/>
      <c r="B29" s="1328" t="s">
        <v>1123</v>
      </c>
      <c r="C29" s="1398">
        <f>AD57</f>
        <v>6220</v>
      </c>
      <c r="D29" s="1398">
        <f>IF(D8&gt;0,AD59,0)</f>
        <v>6220</v>
      </c>
      <c r="E29" s="1387"/>
      <c r="F29" s="1393"/>
      <c r="G29" s="17"/>
      <c r="I29" s="17"/>
      <c r="J29" s="2581">
        <v>200</v>
      </c>
      <c r="K29" s="29">
        <v>195000</v>
      </c>
      <c r="L29" s="29">
        <v>90000</v>
      </c>
      <c r="M29" s="29">
        <v>29340</v>
      </c>
      <c r="N29" s="143">
        <v>550000</v>
      </c>
      <c r="O29" s="29">
        <v>29464</v>
      </c>
      <c r="P29" s="179" t="s">
        <v>1105</v>
      </c>
      <c r="Q29" s="216"/>
      <c r="S29" s="179" t="s">
        <v>1124</v>
      </c>
      <c r="T29" s="179">
        <v>24000</v>
      </c>
      <c r="U29" s="179">
        <v>120</v>
      </c>
      <c r="V29" s="216"/>
      <c r="AC29" s="179"/>
      <c r="AD29" s="179"/>
      <c r="AR29" s="17"/>
      <c r="AS29" s="17"/>
      <c r="AT29" s="17"/>
    </row>
    <row r="30" spans="1:46" ht="20" customHeight="1">
      <c r="A30" s="1326"/>
      <c r="B30" s="1329" t="s">
        <v>1125</v>
      </c>
      <c r="C30" s="2590">
        <f>VLOOKUP(C29,U7:W16,3,0)*(1+H22)</f>
        <v>5669.5</v>
      </c>
      <c r="D30" s="2590">
        <f>VLOOKUP(D29,U7:W16,3,0)*(1+H22)</f>
        <v>5669.5</v>
      </c>
      <c r="E30" s="1387"/>
      <c r="F30" s="1393"/>
      <c r="G30" s="17"/>
      <c r="H30" s="17"/>
      <c r="I30" s="17"/>
      <c r="J30" s="2581">
        <v>250</v>
      </c>
      <c r="K30" s="29">
        <v>215000</v>
      </c>
      <c r="L30" s="29">
        <v>110000</v>
      </c>
      <c r="M30" s="29">
        <v>29348</v>
      </c>
      <c r="N30" s="143">
        <v>650000</v>
      </c>
      <c r="O30" s="29">
        <v>29464</v>
      </c>
      <c r="P30" s="179" t="s">
        <v>1105</v>
      </c>
      <c r="Q30" s="216"/>
      <c r="U30" s="216"/>
      <c r="V30" s="216"/>
      <c r="AR30" s="17"/>
      <c r="AS30" s="17"/>
      <c r="AT30" s="17"/>
    </row>
    <row r="31" spans="1:46" ht="20" customHeight="1">
      <c r="A31" s="1326"/>
      <c r="B31" s="1380"/>
      <c r="C31" s="1314"/>
      <c r="D31" s="1314"/>
      <c r="E31" s="1404"/>
      <c r="F31" s="1405"/>
      <c r="G31" s="981"/>
      <c r="H31" s="17"/>
      <c r="I31" s="17"/>
      <c r="J31" s="216"/>
      <c r="K31" s="17"/>
      <c r="L31" s="17"/>
      <c r="M31" s="17"/>
      <c r="N31" s="17"/>
      <c r="O31" s="17"/>
      <c r="P31" s="216"/>
      <c r="Q31" s="216"/>
      <c r="R31" s="216"/>
      <c r="S31" s="216"/>
      <c r="T31" s="216"/>
      <c r="U31" s="216"/>
      <c r="V31" s="216"/>
      <c r="AR31" s="17"/>
      <c r="AS31" s="17"/>
      <c r="AT31" s="17"/>
    </row>
    <row r="32" spans="1:46" ht="20" customHeight="1">
      <c r="A32" s="1381"/>
      <c r="B32" s="1382" t="s">
        <v>1068</v>
      </c>
      <c r="C32" s="1383" t="s">
        <v>1126</v>
      </c>
      <c r="D32" s="1383" t="s">
        <v>1127</v>
      </c>
      <c r="E32" s="3945"/>
      <c r="F32" s="3946"/>
      <c r="G32" s="1331"/>
      <c r="L32" s="1331"/>
      <c r="AN32" s="17"/>
      <c r="AO32" s="17"/>
      <c r="AP32" s="17"/>
      <c r="AQ32" s="1331"/>
      <c r="AR32" s="1331"/>
      <c r="AS32" s="1331"/>
      <c r="AT32" s="1331"/>
    </row>
    <row r="33" spans="1:46" ht="20" customHeight="1">
      <c r="A33" s="1326"/>
      <c r="B33" s="1387" t="s">
        <v>1128</v>
      </c>
      <c r="C33" s="1406">
        <f>CT_wh!I16</f>
        <v>4</v>
      </c>
      <c r="D33" s="1406">
        <f>LT_wh!I20</f>
        <v>4</v>
      </c>
      <c r="E33" s="1387"/>
      <c r="F33" s="1393"/>
      <c r="G33" s="17"/>
      <c r="L33" s="17"/>
      <c r="AN33" s="17"/>
      <c r="AO33" s="17"/>
      <c r="AP33" s="17"/>
      <c r="AQ33" s="17"/>
      <c r="AR33" s="17"/>
      <c r="AS33" s="17"/>
      <c r="AT33" s="17"/>
    </row>
    <row r="34" spans="1:46" ht="20" customHeight="1">
      <c r="A34" s="1326"/>
      <c r="B34" s="1325" t="s">
        <v>875</v>
      </c>
      <c r="C34" s="1407">
        <f>CT_wh!I36</f>
        <v>50</v>
      </c>
      <c r="D34" s="1407" t="str">
        <f>LT_wh!I40</f>
        <v>70X40</v>
      </c>
      <c r="E34" s="1314"/>
      <c r="F34" s="1315"/>
      <c r="L34" s="17"/>
      <c r="AN34" s="17"/>
      <c r="AO34" s="17"/>
      <c r="AP34" s="17"/>
      <c r="AQ34" s="17"/>
      <c r="AR34" s="17"/>
      <c r="AS34" s="17"/>
      <c r="AT34" s="17"/>
    </row>
    <row r="35" spans="1:46" ht="20" customHeight="1">
      <c r="A35" s="1326"/>
      <c r="B35" s="1325" t="s">
        <v>875</v>
      </c>
      <c r="C35" s="1332" t="str">
        <f>CT_wh!J36</f>
        <v>50mm Sq. Bar</v>
      </c>
      <c r="D35" s="1332" t="str">
        <f>LT_wh!J40</f>
        <v>70X40mm bar</v>
      </c>
      <c r="E35" s="1314"/>
      <c r="F35" s="1315"/>
      <c r="L35" s="17"/>
      <c r="AN35" s="17"/>
      <c r="AO35" s="17"/>
      <c r="AP35" s="17"/>
      <c r="AQ35" s="17"/>
      <c r="AR35" s="17"/>
      <c r="AS35" s="17"/>
      <c r="AT35" s="17"/>
    </row>
    <row r="36" spans="1:46" ht="20" customHeight="1" thickBot="1">
      <c r="A36" s="1326"/>
      <c r="B36" s="1325" t="s">
        <v>1007</v>
      </c>
      <c r="C36" s="1408">
        <f>CT_wh!I49</f>
        <v>320</v>
      </c>
      <c r="D36" s="1408">
        <f>LT_wh!I53</f>
        <v>250</v>
      </c>
      <c r="E36" s="1332"/>
      <c r="F36" s="1333"/>
      <c r="M36" s="17"/>
      <c r="N36" s="1409"/>
      <c r="O36" s="17"/>
      <c r="P36" s="216"/>
      <c r="Q36" s="216"/>
      <c r="R36" s="216"/>
      <c r="S36" s="216"/>
      <c r="T36" s="216"/>
      <c r="U36" s="216"/>
      <c r="V36" s="216"/>
      <c r="Y36" s="3943" t="s">
        <v>1129</v>
      </c>
      <c r="Z36" s="3944"/>
      <c r="AN36" s="17"/>
      <c r="AO36" s="17"/>
      <c r="AP36" s="17"/>
      <c r="AQ36" s="17"/>
      <c r="AR36" s="17"/>
      <c r="AS36" s="17"/>
      <c r="AT36" s="17"/>
    </row>
    <row r="37" spans="1:46" ht="20" customHeight="1">
      <c r="A37" s="1326"/>
      <c r="B37" s="1328" t="s">
        <v>1130</v>
      </c>
      <c r="C37" s="2578">
        <f>H68</f>
        <v>14475</v>
      </c>
      <c r="D37" s="2578">
        <f>I68</f>
        <v>17100</v>
      </c>
      <c r="E37" s="1387"/>
      <c r="F37" s="1387"/>
      <c r="G37" s="1410" t="str">
        <f>H77</f>
        <v>Right</v>
      </c>
      <c r="H37" s="22">
        <f>+C38/4</f>
        <v>96.5</v>
      </c>
      <c r="I37" s="22">
        <f>+D38/4</f>
        <v>113.75</v>
      </c>
      <c r="L37" s="17"/>
      <c r="M37" s="17"/>
      <c r="N37" s="1409"/>
      <c r="O37" s="17"/>
      <c r="P37" s="216"/>
      <c r="Q37" s="216"/>
      <c r="R37" s="216"/>
      <c r="S37" s="216"/>
      <c r="T37" s="216"/>
      <c r="U37" s="216"/>
      <c r="V37" s="216"/>
      <c r="Y37" s="1334" t="b">
        <f>OR(C20-C21=1,C20-C21=2,C20-C21=0)</f>
        <v>1</v>
      </c>
      <c r="Z37" s="1335" t="b">
        <f>OR(D20-D21=1,D20-D21=2,D20-D21=0)</f>
        <v>1</v>
      </c>
      <c r="AN37" s="17"/>
      <c r="AO37" s="17"/>
      <c r="AP37" s="17"/>
      <c r="AQ37" s="17"/>
      <c r="AR37" s="17"/>
      <c r="AS37" s="17"/>
      <c r="AT37" s="17"/>
    </row>
    <row r="38" spans="1:46" ht="20" customHeight="1">
      <c r="A38" s="1326"/>
      <c r="B38" s="1411" t="s">
        <v>1131</v>
      </c>
      <c r="C38" s="1412">
        <f>J68*N54</f>
        <v>386</v>
      </c>
      <c r="D38" s="1412">
        <f>K68*O54</f>
        <v>455</v>
      </c>
      <c r="E38" s="1387"/>
      <c r="F38" s="1387"/>
      <c r="G38" s="1410" t="str">
        <f>I77</f>
        <v>Right</v>
      </c>
      <c r="H38" s="22">
        <f>+H37*200</f>
        <v>19300</v>
      </c>
      <c r="I38" s="22">
        <f>+I37*200</f>
        <v>22750</v>
      </c>
      <c r="K38" s="17"/>
      <c r="L38" s="17"/>
      <c r="M38" s="17"/>
      <c r="N38" s="17"/>
      <c r="O38" s="17"/>
      <c r="P38" s="3965"/>
      <c r="Q38" s="3965"/>
      <c r="R38" s="1317"/>
      <c r="S38" s="1317" t="s">
        <v>1068</v>
      </c>
      <c r="T38" s="3964" t="s">
        <v>1132</v>
      </c>
      <c r="U38" s="3964" t="s">
        <v>1133</v>
      </c>
      <c r="V38" s="3964" t="s">
        <v>1134</v>
      </c>
      <c r="Y38" s="1319" t="b">
        <f>OR(C24-C25=1,C24-C25=2,C24-C25=0)</f>
        <v>1</v>
      </c>
      <c r="Z38" s="1336" t="b">
        <f>OR(D24-D25=1,D24-D25=2,D24-D25=0)</f>
        <v>1</v>
      </c>
      <c r="AN38" s="17"/>
      <c r="AO38" s="17"/>
      <c r="AP38" s="17"/>
      <c r="AQ38" s="17"/>
      <c r="AR38" s="17"/>
      <c r="AS38" s="17"/>
      <c r="AT38" s="17"/>
    </row>
    <row r="39" spans="1:46" ht="16.25" customHeight="1">
      <c r="A39" s="1413"/>
      <c r="B39" s="1387"/>
      <c r="C39" s="1387"/>
      <c r="D39" s="1387"/>
      <c r="E39" s="1387"/>
      <c r="F39" s="1393"/>
      <c r="G39" s="17"/>
      <c r="H39" s="22">
        <f>+C37+C44</f>
        <v>19300</v>
      </c>
      <c r="I39" s="22">
        <f>+D37+D44</f>
        <v>22800</v>
      </c>
      <c r="P39" s="527" t="s">
        <v>670</v>
      </c>
      <c r="Q39" s="527" t="s">
        <v>1135</v>
      </c>
      <c r="R39" s="1317" t="s">
        <v>1136</v>
      </c>
      <c r="S39" s="1317" t="s">
        <v>1137</v>
      </c>
      <c r="T39" s="3964"/>
      <c r="U39" s="3964"/>
      <c r="V39" s="3964"/>
      <c r="Y39" s="1319" t="b">
        <f>OR(C28-C29=1,C28-C29=2,C28-C29=0)</f>
        <v>1</v>
      </c>
      <c r="Z39" s="1336" t="b">
        <f>OR(D28-D29=1,D28-D29=2,D28-D29=0)</f>
        <v>1</v>
      </c>
      <c r="AN39" s="17"/>
      <c r="AO39" s="17"/>
      <c r="AP39" s="17"/>
      <c r="AQ39" s="17"/>
      <c r="AR39" s="17"/>
      <c r="AS39" s="17"/>
      <c r="AT39" s="17"/>
    </row>
    <row r="40" spans="1:46" ht="20" customHeight="1" thickBot="1">
      <c r="A40" s="1326"/>
      <c r="B40" s="1325" t="s">
        <v>1138</v>
      </c>
      <c r="C40" s="1337">
        <f>L68</f>
        <v>22214</v>
      </c>
      <c r="D40" s="1337">
        <f>M68</f>
        <v>22214</v>
      </c>
      <c r="E40" s="1387"/>
      <c r="F40" s="1393"/>
      <c r="G40" s="17"/>
      <c r="P40" s="3973">
        <v>160</v>
      </c>
      <c r="Q40" s="3973"/>
      <c r="R40" s="3973"/>
      <c r="S40" s="3973"/>
      <c r="T40" s="3973"/>
      <c r="U40" s="3973"/>
      <c r="V40" s="145"/>
      <c r="Y40" s="1338" t="b">
        <f>OR(C40-C41=1,C40-C41=2,C40-C41=0)</f>
        <v>1</v>
      </c>
      <c r="Z40" s="78" t="b">
        <f>OR(D40-D41=1,D40-D41=2,D40-D41=0)</f>
        <v>1</v>
      </c>
      <c r="AN40" s="17"/>
      <c r="AO40" s="17"/>
      <c r="AP40" s="17"/>
      <c r="AQ40" s="17"/>
      <c r="AR40" s="17"/>
      <c r="AS40" s="17"/>
      <c r="AT40" s="17"/>
    </row>
    <row r="41" spans="1:46" ht="20" customHeight="1" thickBot="1">
      <c r="A41" s="1326"/>
      <c r="B41" s="1388" t="s">
        <v>1139</v>
      </c>
      <c r="C41" s="1414">
        <f>AD63</f>
        <v>22214</v>
      </c>
      <c r="D41" s="1414">
        <f>AD65</f>
        <v>22214</v>
      </c>
      <c r="E41" s="1387"/>
      <c r="F41" s="1393"/>
      <c r="G41" s="17"/>
      <c r="P41" s="29">
        <v>160</v>
      </c>
      <c r="Q41" s="179" t="s">
        <v>895</v>
      </c>
      <c r="R41" s="179">
        <v>40</v>
      </c>
      <c r="S41" s="179">
        <f>ROUNDUP((T41/4)*200,-2)*0.75</f>
        <v>7875</v>
      </c>
      <c r="T41" s="179">
        <v>210</v>
      </c>
      <c r="U41" s="179">
        <v>22210</v>
      </c>
      <c r="V41" s="179">
        <f>ROUNDUP((T41/4)*200,-2)*0.25</f>
        <v>2625</v>
      </c>
      <c r="Y41" s="1339" t="b">
        <f>AND(Y37,Z37,Y38,Z38,Y39,Z39,Y40,Z40)</f>
        <v>1</v>
      </c>
      <c r="Z41" s="17"/>
      <c r="AN41" s="17"/>
      <c r="AO41" s="17"/>
      <c r="AP41" s="17"/>
      <c r="AQ41" s="17"/>
      <c r="AR41" s="17"/>
      <c r="AS41" s="17"/>
      <c r="AT41" s="17"/>
    </row>
    <row r="42" spans="1:46" ht="20" customHeight="1" thickBot="1">
      <c r="A42" s="1326"/>
      <c r="B42" s="1388" t="s">
        <v>1100</v>
      </c>
      <c r="C42" s="2589">
        <f>VLOOKUP(C41,Z7:AB23,3,0)*(1+H22)</f>
        <v>3668.64</v>
      </c>
      <c r="D42" s="2589">
        <f>VLOOKUP(D41,Z7:AB23,3,0)*(1+H22)</f>
        <v>3668.64</v>
      </c>
      <c r="E42" s="1314"/>
      <c r="F42" s="1315"/>
      <c r="P42" s="3973">
        <v>200</v>
      </c>
      <c r="Q42" s="3973"/>
      <c r="R42" s="3973"/>
      <c r="S42" s="3973"/>
      <c r="T42" s="3973"/>
      <c r="U42" s="3973"/>
      <c r="V42" s="145"/>
      <c r="AN42" s="17"/>
      <c r="AO42" s="17"/>
      <c r="AP42" s="17"/>
      <c r="AQ42" s="17"/>
      <c r="AR42" s="17"/>
      <c r="AS42" s="17"/>
      <c r="AT42" s="17"/>
    </row>
    <row r="43" spans="1:46" ht="12.6" customHeight="1" thickBot="1">
      <c r="A43" s="1413"/>
      <c r="B43" s="1387"/>
      <c r="C43" s="1387"/>
      <c r="D43" s="1387"/>
      <c r="E43" s="3962"/>
      <c r="F43" s="3963"/>
      <c r="G43" s="17"/>
      <c r="P43" s="2576">
        <v>200</v>
      </c>
      <c r="Q43" s="2577" t="s">
        <v>1140</v>
      </c>
      <c r="R43" s="2576">
        <f>CT_wh!I36</f>
        <v>50</v>
      </c>
      <c r="S43" s="2576">
        <f>VLOOKUP(R43,R45:U54,2,0)</f>
        <v>10500</v>
      </c>
      <c r="T43" s="2577">
        <f>VLOOKUP(R43,R45:U54,3,0)</f>
        <v>280</v>
      </c>
      <c r="U43" s="2577">
        <f>VLOOKUP(R43,R45:U54,4,0)</f>
        <v>22210</v>
      </c>
      <c r="V43" s="2577">
        <f>VLOOKUP(R43,R45:V54,5,0)</f>
        <v>3500</v>
      </c>
      <c r="X43" s="17"/>
      <c r="Y43" s="17"/>
      <c r="AC43" s="611" t="s">
        <v>1141</v>
      </c>
      <c r="AD43" s="611" t="s">
        <v>1142</v>
      </c>
      <c r="AN43" s="17"/>
      <c r="AO43" s="17"/>
      <c r="AP43" s="17"/>
      <c r="AQ43" s="17"/>
      <c r="AR43" s="17"/>
      <c r="AS43" s="17"/>
      <c r="AT43" s="17"/>
    </row>
    <row r="44" spans="1:46" ht="20" customHeight="1" thickBot="1">
      <c r="A44" s="1326"/>
      <c r="B44" s="1415" t="s">
        <v>1143</v>
      </c>
      <c r="C44" s="1327">
        <f>N68</f>
        <v>4825</v>
      </c>
      <c r="D44" s="1327">
        <f>O68</f>
        <v>5700</v>
      </c>
      <c r="E44" s="1387"/>
      <c r="F44" s="1393"/>
      <c r="G44" s="17"/>
      <c r="K44" s="17"/>
      <c r="P44" s="2576">
        <v>200</v>
      </c>
      <c r="Q44" s="1431" t="s">
        <v>1144</v>
      </c>
      <c r="R44" s="1431" t="str">
        <f>LT_wh!I40</f>
        <v>70X40</v>
      </c>
      <c r="S44" s="2576" t="e">
        <f>VLOOKUP(R44,R45:U54,2,0)</f>
        <v>#N/A</v>
      </c>
      <c r="T44" s="2577" t="e">
        <f>VLOOKUP(R44,R45:U54,3,0)</f>
        <v>#N/A</v>
      </c>
      <c r="U44" s="2577" t="e">
        <f>VLOOKUP(R44,R45:U54,4,0)</f>
        <v>#N/A</v>
      </c>
      <c r="V44" s="2577" t="e">
        <f>VLOOKUP(R44,R45:V54,5,0)</f>
        <v>#N/A</v>
      </c>
      <c r="X44" s="17"/>
      <c r="Y44" s="17"/>
      <c r="Z44" s="1340" t="s">
        <v>1145</v>
      </c>
      <c r="AA44" s="1316"/>
      <c r="AB44" s="17"/>
      <c r="AC44" s="1339" t="s">
        <v>714</v>
      </c>
      <c r="AD44" s="1341" t="str">
        <f>G22</f>
        <v>No</v>
      </c>
      <c r="AN44" s="17"/>
      <c r="AO44" s="17"/>
      <c r="AP44" s="17"/>
      <c r="AQ44" s="17"/>
      <c r="AR44" s="17"/>
      <c r="AS44" s="17"/>
      <c r="AT44" s="17"/>
    </row>
    <row r="45" spans="1:46" ht="20" customHeight="1" thickBot="1">
      <c r="A45" s="1326">
        <v>3</v>
      </c>
      <c r="B45" s="1388" t="s">
        <v>1146</v>
      </c>
      <c r="C45" s="1416" t="str">
        <f>IF(C33=4,"8*16","8*16*2")</f>
        <v>8*16</v>
      </c>
      <c r="D45" s="1416" t="str">
        <f>IF(D33=4,"8*16","8*16*2")</f>
        <v>8*16</v>
      </c>
      <c r="E45" s="1387"/>
      <c r="F45" s="1393"/>
      <c r="G45" s="17"/>
      <c r="K45" s="17"/>
      <c r="P45" s="29"/>
      <c r="Q45" s="29" t="s">
        <v>901</v>
      </c>
      <c r="R45" s="29">
        <v>30</v>
      </c>
      <c r="S45" s="179">
        <f t="shared" ref="S45:S54" si="3">ROUNDUP((T45/4)*200,-2)*0.75</f>
        <v>10500</v>
      </c>
      <c r="T45" s="179">
        <v>280</v>
      </c>
      <c r="U45" s="179">
        <v>22210</v>
      </c>
      <c r="V45" s="179">
        <f t="shared" ref="V45:V54" si="4">ROUNDUP((T45/4)*200,-2)*0.25</f>
        <v>3500</v>
      </c>
      <c r="X45" s="17"/>
      <c r="Y45" s="675" t="s">
        <v>1094</v>
      </c>
      <c r="Z45" s="1417">
        <f>C20</f>
        <v>22220</v>
      </c>
      <c r="AA45" s="1418">
        <f>C20-1</f>
        <v>22219</v>
      </c>
      <c r="AB45" s="1342">
        <f>C20-2</f>
        <v>22218</v>
      </c>
      <c r="AC45" s="17">
        <f>IF(AC46=Z46,Z45,IF(AC46=AA46,AA45,IF(AC46=AB46,AB45)))</f>
        <v>22218</v>
      </c>
      <c r="AD45" s="611">
        <f>IF($AD$44="Yes",AC45,Z45)</f>
        <v>22220</v>
      </c>
      <c r="AN45" s="17"/>
      <c r="AO45" s="17"/>
      <c r="AP45" s="17"/>
      <c r="AQ45" s="17"/>
      <c r="AR45" s="17"/>
      <c r="AS45" s="17"/>
      <c r="AT45" s="17"/>
    </row>
    <row r="46" spans="1:46" ht="20" customHeight="1" thickBot="1">
      <c r="A46" s="1326"/>
      <c r="B46" s="1380" t="s">
        <v>1147</v>
      </c>
      <c r="C46" s="1343" t="str">
        <f>IF(C36=160,"HGC-101",IF(C36&lt;251,"HGC-102",IF(C36&lt;401,"HGC-103",IF(C36&lt;631,"HGC-104",IF(C36=710,"HGC-105",IF(C36=800,"HGC-106"))))))</f>
        <v>HGC-103</v>
      </c>
      <c r="D46" s="1343" t="str">
        <f>IF(D36=160,"HGC-101",IF(D36&lt;251,"HGC-102",IF(D36&lt;401,"HGC-103",IF(D36&lt;631,"HGC-104",IF(D36=710,"HGC-105",IF(D36=800,"HGC-106"))))))</f>
        <v>HGC-102</v>
      </c>
      <c r="E46" s="1343"/>
      <c r="F46" s="1315"/>
      <c r="G46" s="17"/>
      <c r="K46" s="17"/>
      <c r="P46" s="29"/>
      <c r="Q46" s="29" t="s">
        <v>895</v>
      </c>
      <c r="R46" s="29">
        <v>40</v>
      </c>
      <c r="S46" s="179">
        <f t="shared" si="3"/>
        <v>10500</v>
      </c>
      <c r="T46" s="179">
        <v>280</v>
      </c>
      <c r="U46" s="179">
        <f t="shared" ref="U46" si="5">+U45</f>
        <v>22210</v>
      </c>
      <c r="V46" s="179">
        <f t="shared" si="4"/>
        <v>3500</v>
      </c>
      <c r="X46" s="17"/>
      <c r="Z46" s="1279">
        <f>VLOOKUP(Z45,Z7:AB23,2,0)</f>
        <v>14456</v>
      </c>
      <c r="AA46" s="267">
        <f>IFERROR(VLOOKUP(AA45,Z7:AB23,2,0),0)</f>
        <v>0</v>
      </c>
      <c r="AB46" s="998">
        <f>IFERROR(VLOOKUP(AB45,Z7:AB23,2,0),0)</f>
        <v>11723</v>
      </c>
      <c r="AC46" s="1344">
        <f>IF(AA46&gt;0,AA46,IF(AB46&gt;0,AB46,Z46))</f>
        <v>11723</v>
      </c>
      <c r="AD46" s="611">
        <f t="shared" ref="AD46" si="6">IF($AD$44="Yes",AC46,Z46)</f>
        <v>14456</v>
      </c>
      <c r="AN46" s="17"/>
      <c r="AO46" s="17"/>
      <c r="AP46" s="17"/>
      <c r="AQ46" s="17"/>
      <c r="AR46" s="17"/>
      <c r="AS46" s="17"/>
      <c r="AT46" s="17"/>
    </row>
    <row r="47" spans="1:46" ht="20" customHeight="1" thickBot="1">
      <c r="A47" s="1326"/>
      <c r="B47" s="1380" t="s">
        <v>1148</v>
      </c>
      <c r="C47" s="1332">
        <f>VLOOKUP(C46,S22:T28,2,0)</f>
        <v>5200</v>
      </c>
      <c r="D47" s="1332">
        <f>VLOOKUP(D46,S23:T29,2,0)</f>
        <v>3000</v>
      </c>
      <c r="E47" s="1387"/>
      <c r="F47" s="1345" t="s">
        <v>1149</v>
      </c>
      <c r="G47" s="397" t="str">
        <f>HYPERLINK("C:\Users\Admin\Desktop\Manish\Selection\Coupling_Price.pdf","Coupling Price")</f>
        <v>Coupling Price</v>
      </c>
      <c r="K47" s="17"/>
      <c r="P47" s="179"/>
      <c r="Q47" s="29" t="s">
        <v>896</v>
      </c>
      <c r="R47" s="29">
        <v>50</v>
      </c>
      <c r="S47" s="179">
        <f t="shared" si="3"/>
        <v>10500</v>
      </c>
      <c r="T47" s="179">
        <v>280</v>
      </c>
      <c r="U47" s="179">
        <f>+U46</f>
        <v>22210</v>
      </c>
      <c r="V47" s="179">
        <f t="shared" si="4"/>
        <v>3500</v>
      </c>
      <c r="X47" s="17"/>
      <c r="Y47" s="675" t="s">
        <v>1095</v>
      </c>
      <c r="Z47" s="1417">
        <f>D20</f>
        <v>22216</v>
      </c>
      <c r="AA47" s="1418">
        <f>D20-1</f>
        <v>22215</v>
      </c>
      <c r="AB47" s="1342">
        <f>D20-2</f>
        <v>22214</v>
      </c>
      <c r="AC47" s="1344">
        <f>IF(AC48=Z48,Z47,IF(AC48=AA48,AA47,IF(AC48=AB48,AB47)))</f>
        <v>22215</v>
      </c>
      <c r="AD47" s="611">
        <f>IF($AD$44="Yes",AC47,Z47)</f>
        <v>22216</v>
      </c>
      <c r="AN47" s="17"/>
      <c r="AO47" s="17"/>
      <c r="AP47" s="17"/>
      <c r="AQ47" s="17"/>
      <c r="AR47" s="17"/>
      <c r="AS47" s="17"/>
      <c r="AT47" s="17"/>
    </row>
    <row r="48" spans="1:46" ht="20" customHeight="1" thickBot="1">
      <c r="A48" s="1413"/>
      <c r="B48" s="1380" t="s">
        <v>1150</v>
      </c>
      <c r="C48" s="1332">
        <f>VLOOKUP(C46,S23:U28,3,0)</f>
        <v>26</v>
      </c>
      <c r="D48" s="1332">
        <f>VLOOKUP(D46,S23:U29,3,0)</f>
        <v>15</v>
      </c>
      <c r="E48" s="1314"/>
      <c r="F48" s="1315"/>
      <c r="G48" s="17"/>
      <c r="K48" s="17"/>
      <c r="L48" s="17"/>
      <c r="M48" s="17"/>
      <c r="N48" s="17"/>
      <c r="O48" s="17"/>
      <c r="P48" s="179"/>
      <c r="Q48" s="29" t="s">
        <v>903</v>
      </c>
      <c r="R48" s="29">
        <v>60</v>
      </c>
      <c r="S48" s="179">
        <f t="shared" si="3"/>
        <v>13500</v>
      </c>
      <c r="T48" s="179">
        <v>360</v>
      </c>
      <c r="U48" s="179">
        <v>22212</v>
      </c>
      <c r="V48" s="179">
        <f t="shared" si="4"/>
        <v>4500</v>
      </c>
      <c r="X48" s="17"/>
      <c r="Z48" s="997">
        <f>VLOOKUP(Z47,Z7:AB23,2,0)</f>
        <v>8487</v>
      </c>
      <c r="AA48" s="267">
        <f>IFERROR(VLOOKUP(AA47,Z7:AB23,2,0),0)</f>
        <v>7954</v>
      </c>
      <c r="AB48" s="998">
        <f>IFERROR(VLOOKUP(AB47,Z7:AB23,2,0),0)</f>
        <v>7643</v>
      </c>
      <c r="AC48" s="1344">
        <f>IF(AA48&gt;0,AA48,IF(AB48&gt;0,AB48,Z48))</f>
        <v>7954</v>
      </c>
      <c r="AD48" s="611">
        <f>IF($AD$44="Yes",AC48,Z48)</f>
        <v>8487</v>
      </c>
      <c r="AN48" s="17"/>
      <c r="AO48" s="17"/>
      <c r="AP48" s="17"/>
      <c r="AQ48" s="17"/>
      <c r="AR48" s="17"/>
      <c r="AS48" s="17"/>
      <c r="AT48" s="17"/>
    </row>
    <row r="49" spans="1:46" ht="20" customHeight="1" thickBot="1">
      <c r="A49" s="1326">
        <v>4</v>
      </c>
      <c r="B49" s="1346" t="s">
        <v>1151</v>
      </c>
      <c r="C49" s="2585" t="s">
        <v>1152</v>
      </c>
      <c r="D49" s="2585" t="s">
        <v>1152</v>
      </c>
      <c r="E49" s="1314"/>
      <c r="F49" s="1315"/>
      <c r="G49" s="17"/>
      <c r="P49" s="179"/>
      <c r="Q49" s="29" t="s">
        <v>906</v>
      </c>
      <c r="R49" s="29">
        <v>90</v>
      </c>
      <c r="S49" s="179">
        <f t="shared" si="3"/>
        <v>13500</v>
      </c>
      <c r="T49" s="179">
        <v>360</v>
      </c>
      <c r="U49" s="179">
        <f t="shared" ref="U49" si="7">+U48</f>
        <v>22212</v>
      </c>
      <c r="V49" s="179">
        <f t="shared" si="4"/>
        <v>4500</v>
      </c>
      <c r="X49" s="17"/>
      <c r="AD49" s="17"/>
      <c r="AN49" s="17"/>
      <c r="AO49" s="17"/>
      <c r="AP49" s="17"/>
      <c r="AQ49" s="17"/>
      <c r="AR49" s="17"/>
      <c r="AS49" s="17"/>
      <c r="AT49" s="17"/>
    </row>
    <row r="50" spans="1:46" ht="20" customHeight="1" thickBot="1">
      <c r="A50" s="1347"/>
      <c r="B50" s="1419"/>
      <c r="C50" s="1419"/>
      <c r="D50" s="1419"/>
      <c r="E50" s="1348"/>
      <c r="F50" s="1349"/>
      <c r="G50" s="17"/>
      <c r="P50" s="145"/>
      <c r="Q50" s="29" t="s">
        <v>878</v>
      </c>
      <c r="R50" s="179" t="s">
        <v>878</v>
      </c>
      <c r="S50" s="179">
        <f t="shared" si="3"/>
        <v>13500</v>
      </c>
      <c r="T50" s="179">
        <v>360</v>
      </c>
      <c r="U50" s="179">
        <f>+U49</f>
        <v>22212</v>
      </c>
      <c r="V50" s="179">
        <f t="shared" si="4"/>
        <v>4500</v>
      </c>
      <c r="X50" s="17"/>
      <c r="Z50" s="675" t="s">
        <v>1090</v>
      </c>
      <c r="AA50" s="1420"/>
      <c r="AC50" s="611" t="s">
        <v>714</v>
      </c>
      <c r="AD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</row>
    <row r="51" spans="1:46" ht="14.65" thickBot="1">
      <c r="A51" s="17"/>
      <c r="B51" s="17"/>
      <c r="C51" s="186"/>
      <c r="D51" s="186"/>
      <c r="E51" s="186"/>
      <c r="F51" s="186"/>
      <c r="G51" s="17"/>
      <c r="P51" s="145"/>
      <c r="Q51" s="29" t="s">
        <v>1153</v>
      </c>
      <c r="R51" s="179" t="s">
        <v>1153</v>
      </c>
      <c r="S51" s="179">
        <f t="shared" si="3"/>
        <v>13500</v>
      </c>
      <c r="T51" s="179">
        <v>360</v>
      </c>
      <c r="U51" s="179">
        <f>+U50</f>
        <v>22212</v>
      </c>
      <c r="V51" s="179">
        <f t="shared" si="4"/>
        <v>4500</v>
      </c>
      <c r="X51" s="17"/>
      <c r="Y51" s="675" t="s">
        <v>1094</v>
      </c>
      <c r="Z51" s="1417">
        <f>C24</f>
        <v>51320</v>
      </c>
      <c r="AA51" s="486">
        <f>C24-1</f>
        <v>51319</v>
      </c>
      <c r="AB51" s="1342">
        <f>C24-2</f>
        <v>51318</v>
      </c>
      <c r="AC51" s="1344">
        <f>IF(AC52=Z52,Z51,IF(AC52=AA52,AA51,IF(AC52=AB52,AB51)))</f>
        <v>51318</v>
      </c>
      <c r="AD51" s="611">
        <f t="shared" ref="AD51" si="8">IF($AD$44="Yes",AC51,Z51)</f>
        <v>51320</v>
      </c>
      <c r="AM51" s="17"/>
      <c r="AN51" s="17"/>
      <c r="AO51" s="17"/>
      <c r="AP51" s="17"/>
      <c r="AQ51" s="17"/>
      <c r="AR51" s="17"/>
      <c r="AS51" s="17"/>
      <c r="AT51" s="17"/>
    </row>
    <row r="52" spans="1:46" ht="14.65" thickBot="1">
      <c r="A52" s="17"/>
      <c r="B52" s="1409"/>
      <c r="C52" s="17"/>
      <c r="D52" s="17"/>
      <c r="E52" s="17"/>
      <c r="F52" s="17"/>
      <c r="G52" s="17"/>
      <c r="N52" s="1350" t="s">
        <v>1154</v>
      </c>
      <c r="O52" s="1351" t="s">
        <v>1155</v>
      </c>
      <c r="P52" s="179"/>
      <c r="Q52" s="29" t="s">
        <v>910</v>
      </c>
      <c r="R52" s="29">
        <v>105</v>
      </c>
      <c r="S52" s="179">
        <f t="shared" si="3"/>
        <v>13500</v>
      </c>
      <c r="T52" s="179">
        <v>360</v>
      </c>
      <c r="U52" s="179">
        <f>+U51</f>
        <v>22212</v>
      </c>
      <c r="V52" s="179">
        <f t="shared" si="4"/>
        <v>4500</v>
      </c>
      <c r="X52" s="17"/>
      <c r="Z52" s="732">
        <f>VLOOKUP(Z51,AC7:AD28,2,0)</f>
        <v>16780.5</v>
      </c>
      <c r="AA52" s="267">
        <f>IFERROR(VLOOKUP(AA51,AC7:AD28,2,0),0)</f>
        <v>0</v>
      </c>
      <c r="AB52" s="998">
        <f>IFERROR(VLOOKUP(AB51,AC7:AD28,2,0),0)</f>
        <v>13158.75</v>
      </c>
      <c r="AC52" s="1344">
        <f>IF(AA52&gt;0,AA52,IF(AB52&gt;0,AB52,Z52))</f>
        <v>13158.75</v>
      </c>
      <c r="AD52" s="611">
        <f>IF($AD$44="Yes",AC52,Z52)</f>
        <v>16780.5</v>
      </c>
      <c r="AM52" s="17"/>
      <c r="AN52" s="17"/>
      <c r="AO52" s="17"/>
      <c r="AP52" s="17"/>
      <c r="AQ52" s="17"/>
      <c r="AR52" s="17"/>
      <c r="AS52" s="17"/>
      <c r="AT52" s="17"/>
    </row>
    <row r="53" spans="1:46" ht="14.65" thickBot="1">
      <c r="A53" s="17"/>
      <c r="B53" s="1409"/>
      <c r="C53" s="17"/>
      <c r="D53" s="17"/>
      <c r="E53" s="17"/>
      <c r="F53" s="17"/>
      <c r="M53" s="1421" t="s">
        <v>1156</v>
      </c>
      <c r="N53" s="1352">
        <f>C33</f>
        <v>4</v>
      </c>
      <c r="O53" s="1353">
        <f>D33</f>
        <v>4</v>
      </c>
      <c r="P53" s="145"/>
      <c r="Q53" s="29" t="s">
        <v>912</v>
      </c>
      <c r="R53" s="29">
        <v>80</v>
      </c>
      <c r="S53" s="179">
        <f t="shared" si="3"/>
        <v>13500</v>
      </c>
      <c r="T53" s="179">
        <v>360</v>
      </c>
      <c r="U53" s="179">
        <f>+U52</f>
        <v>22212</v>
      </c>
      <c r="V53" s="179">
        <f t="shared" si="4"/>
        <v>4500</v>
      </c>
      <c r="X53" s="17"/>
      <c r="Y53" s="675" t="s">
        <v>1095</v>
      </c>
      <c r="Z53" s="1417">
        <f>D24</f>
        <v>51222</v>
      </c>
      <c r="AA53" s="1418">
        <f>D24-1</f>
        <v>51221</v>
      </c>
      <c r="AB53" s="1342">
        <f>D24-2</f>
        <v>51220</v>
      </c>
      <c r="AC53" s="1344">
        <f>IF(AC54=Z54,Z53,IF(AC54=AA54,AA53,IF(AC54=AB54,AB53)))</f>
        <v>51220</v>
      </c>
      <c r="AD53" s="611">
        <f>IF($AD$44="Yes",AC53,Z53)</f>
        <v>51222</v>
      </c>
      <c r="AM53" s="17"/>
      <c r="AN53" s="17"/>
      <c r="AO53" s="17"/>
      <c r="AP53" s="17"/>
      <c r="AQ53" s="17"/>
      <c r="AR53" s="17"/>
      <c r="AS53" s="17"/>
      <c r="AT53" s="17"/>
    </row>
    <row r="54" spans="1:46" ht="14.65" thickBot="1">
      <c r="K54" s="22" t="str">
        <f>+I55</f>
        <v>70X40</v>
      </c>
      <c r="M54" s="997" t="s">
        <v>1157</v>
      </c>
      <c r="N54" s="1354">
        <f>N53/4</f>
        <v>1</v>
      </c>
      <c r="O54" s="1355">
        <f>O53/4</f>
        <v>1</v>
      </c>
      <c r="P54" s="145"/>
      <c r="Q54" s="29" t="s">
        <v>915</v>
      </c>
      <c r="R54" s="29">
        <v>100</v>
      </c>
      <c r="S54" s="179">
        <f t="shared" si="3"/>
        <v>13500</v>
      </c>
      <c r="T54" s="179">
        <v>360</v>
      </c>
      <c r="U54" s="179">
        <f>+U53</f>
        <v>22212</v>
      </c>
      <c r="V54" s="179">
        <f t="shared" si="4"/>
        <v>4500</v>
      </c>
      <c r="X54" s="17"/>
      <c r="Z54" s="997">
        <f>VLOOKUP(Z53,AC7:AD28,2,0)</f>
        <v>10250.9</v>
      </c>
      <c r="AA54" s="267">
        <f>IFERROR(VLOOKUP(AA53,AC7:AD28,2,0),0)</f>
        <v>0</v>
      </c>
      <c r="AB54" s="998">
        <f>IFERROR(VLOOKUP(AB53,AC7:AD28,2,0),0)</f>
        <v>8268.15</v>
      </c>
      <c r="AC54" s="1344">
        <f>IF(AA54&gt;0,AA54,IF(AB54&gt;0,AB54,Z54))</f>
        <v>8268.15</v>
      </c>
      <c r="AD54" s="611">
        <f>IF($AD$44="Yes",AC54,Z54)</f>
        <v>10250.9</v>
      </c>
      <c r="AM54" s="17"/>
      <c r="AN54" s="17"/>
      <c r="AO54" s="17"/>
      <c r="AP54" s="17"/>
      <c r="AQ54" s="17"/>
      <c r="AR54" s="17"/>
      <c r="AS54" s="17"/>
      <c r="AT54" s="17"/>
    </row>
    <row r="55" spans="1:46" ht="14.65" thickBot="1">
      <c r="G55" s="1356" t="s">
        <v>670</v>
      </c>
      <c r="H55" s="1357">
        <f>CT_wh!I36</f>
        <v>50</v>
      </c>
      <c r="I55" s="1358" t="str">
        <f>LT_wh!I40</f>
        <v>70X40</v>
      </c>
      <c r="J55" s="1358">
        <f t="shared" ref="J55" si="9">+H55</f>
        <v>50</v>
      </c>
      <c r="K55" s="1352" t="str">
        <f>I55</f>
        <v>70X40</v>
      </c>
      <c r="L55" s="1352">
        <f>+J55</f>
        <v>50</v>
      </c>
      <c r="M55" s="1352" t="str">
        <f t="shared" ref="M55" si="10">+K55</f>
        <v>70X40</v>
      </c>
      <c r="N55" s="1352">
        <f>+L55</f>
        <v>50</v>
      </c>
      <c r="O55" s="1353" t="str">
        <f>+M55</f>
        <v>70X40</v>
      </c>
      <c r="P55" s="3973">
        <v>250</v>
      </c>
      <c r="Q55" s="3973"/>
      <c r="R55" s="3973"/>
      <c r="S55" s="3973"/>
      <c r="T55" s="3973"/>
      <c r="U55" s="3973"/>
      <c r="V55" s="145"/>
      <c r="X55" s="17"/>
      <c r="AD55" s="17"/>
      <c r="AM55" s="17"/>
      <c r="AN55" s="17"/>
      <c r="AO55" s="17"/>
      <c r="AP55" s="17"/>
      <c r="AQ55" s="17"/>
      <c r="AR55" s="17"/>
      <c r="AS55" s="17"/>
      <c r="AT55" s="17"/>
    </row>
    <row r="56" spans="1:46" ht="14.65" thickBot="1">
      <c r="G56" s="1422" t="s">
        <v>1007</v>
      </c>
      <c r="H56" s="1350" t="s">
        <v>1158</v>
      </c>
      <c r="I56" s="1350" t="s">
        <v>1159</v>
      </c>
      <c r="J56" s="1351" t="s">
        <v>1160</v>
      </c>
      <c r="K56" s="1351" t="s">
        <v>1161</v>
      </c>
      <c r="L56" s="1351" t="s">
        <v>1162</v>
      </c>
      <c r="M56" s="1351" t="s">
        <v>1163</v>
      </c>
      <c r="N56" s="1351" t="s">
        <v>1164</v>
      </c>
      <c r="O56" s="1351" t="s">
        <v>1165</v>
      </c>
      <c r="P56" s="2575">
        <v>250</v>
      </c>
      <c r="Q56" s="2137" t="s">
        <v>1140</v>
      </c>
      <c r="R56" s="2575">
        <f>CT_wh!I36</f>
        <v>50</v>
      </c>
      <c r="S56" s="2575">
        <f>VLOOKUP(R56,R58:U67,2,0)</f>
        <v>14475</v>
      </c>
      <c r="T56" s="2137">
        <f>VLOOKUP(R56,R58:U67,3,0)</f>
        <v>386</v>
      </c>
      <c r="U56" s="2137">
        <f>VLOOKUP(R56,R58:U67,4,0)</f>
        <v>22212</v>
      </c>
      <c r="V56" s="2137">
        <f>VLOOKUP(R56,R58:V67,5,0)</f>
        <v>4825</v>
      </c>
      <c r="X56" s="17"/>
      <c r="Z56" s="675" t="s">
        <v>1166</v>
      </c>
      <c r="AA56" s="1420"/>
      <c r="AC56" s="611" t="s">
        <v>714</v>
      </c>
      <c r="AD56" s="17"/>
      <c r="AM56" s="17"/>
      <c r="AN56" s="17"/>
      <c r="AO56" s="17"/>
      <c r="AP56" s="17"/>
      <c r="AQ56" s="17"/>
      <c r="AR56" s="17"/>
      <c r="AS56" s="17"/>
      <c r="AT56" s="17"/>
    </row>
    <row r="57" spans="1:46" ht="14.65" thickBot="1">
      <c r="G57" s="1334">
        <v>160</v>
      </c>
      <c r="H57" s="1359">
        <f>IFERROR(VLOOKUP(I55,R41:V41,2,0),S41)</f>
        <v>7875</v>
      </c>
      <c r="I57" s="1360">
        <f>IFERROR(VLOOKUP(I55,R41:V41,3,0),S41)</f>
        <v>7875</v>
      </c>
      <c r="J57" s="1360">
        <f>IFERROR(VLOOKUP(J55,R41:V41,3,0),T41)</f>
        <v>210</v>
      </c>
      <c r="K57" s="1360">
        <f>IFERROR(VLOOKUP(K55,R41:V41,3,0),T41)</f>
        <v>210</v>
      </c>
      <c r="L57" s="1360">
        <f>IFERROR(VLOOKUP(L55,R41:V41,4,0),U41)</f>
        <v>22210</v>
      </c>
      <c r="M57" s="1360">
        <f>IFERROR(VLOOKUP(M55,R41:V41,4,0),U41)</f>
        <v>22210</v>
      </c>
      <c r="N57" s="1360">
        <f>IFERROR(VLOOKUP(N55,R41:V41,5,0),V41)</f>
        <v>2625</v>
      </c>
      <c r="O57" s="1360">
        <f>IFERROR(VLOOKUP(O55,R41:V41,5,0),V41)</f>
        <v>2625</v>
      </c>
      <c r="P57" s="2575">
        <v>250</v>
      </c>
      <c r="Q57" s="197" t="s">
        <v>1144</v>
      </c>
      <c r="R57" s="197" t="str">
        <f>LT_wh!I40</f>
        <v>70X40</v>
      </c>
      <c r="S57" s="2575" t="e">
        <f>VLOOKUP(R57,R58:U67,2,0)</f>
        <v>#N/A</v>
      </c>
      <c r="T57" s="2137" t="e">
        <f>VLOOKUP(R57,R58:U67,3,0)</f>
        <v>#N/A</v>
      </c>
      <c r="U57" s="2137" t="e">
        <f>VLOOKUP(R57,R58:U67,4,0)</f>
        <v>#N/A</v>
      </c>
      <c r="V57" s="2137" t="e">
        <f>VLOOKUP(R57,R58:V67,5,0)</f>
        <v>#N/A</v>
      </c>
      <c r="X57" s="17"/>
      <c r="Y57" s="611" t="s">
        <v>1094</v>
      </c>
      <c r="Z57" s="455">
        <f>C28</f>
        <v>6220</v>
      </c>
      <c r="AA57" s="486">
        <f>C28-1</f>
        <v>6219</v>
      </c>
      <c r="AB57" s="1342">
        <f>C28-2</f>
        <v>6218</v>
      </c>
      <c r="AC57" s="486">
        <f>IF(AC58=Z58,Z57,IF(AC58=AA58,AA57,IF(AC58=AB58,AB57)))</f>
        <v>6218</v>
      </c>
      <c r="AD57" s="611">
        <f t="shared" ref="AD57" si="11">IF($AD$44="Yes",AC57,Z57)</f>
        <v>6220</v>
      </c>
      <c r="AM57" s="17"/>
      <c r="AN57" s="17"/>
      <c r="AO57" s="17"/>
      <c r="AP57" s="17"/>
      <c r="AQ57" s="17"/>
      <c r="AR57" s="17"/>
      <c r="AS57" s="17"/>
      <c r="AT57" s="17"/>
    </row>
    <row r="58" spans="1:46" ht="14.65" thickBot="1">
      <c r="G58" s="1334">
        <v>200</v>
      </c>
      <c r="H58" s="1359">
        <f>IFERROR(VLOOKUP(H55,R45:U54,2,0),S52)</f>
        <v>10500</v>
      </c>
      <c r="I58" s="1360">
        <f t="shared" ref="I58" si="12">IFERROR(VLOOKUP(I55,R45:U54,2,0),S52)</f>
        <v>13500</v>
      </c>
      <c r="J58" s="1360">
        <f>IFERROR(VLOOKUP(J55,R45:U54,3,0),T52)</f>
        <v>280</v>
      </c>
      <c r="K58" s="1360">
        <f>IFERROR(VLOOKUP(K55,R45:U54,3,0),T52)</f>
        <v>360</v>
      </c>
      <c r="L58" s="1360">
        <f>IFERROR(VLOOKUP(L55,R45:V54,4,0),U52)</f>
        <v>22210</v>
      </c>
      <c r="M58" s="1360">
        <f>IFERROR(VLOOKUP(M55,R45:V54,4,0),U52)</f>
        <v>22212</v>
      </c>
      <c r="N58" s="1360">
        <f>IFERROR(VLOOKUP(N55,R45:V54,5,0),V52)</f>
        <v>3500</v>
      </c>
      <c r="O58" s="1360">
        <f>IFERROR(VLOOKUP(O55,R45:V54,5,0),V52)</f>
        <v>4500</v>
      </c>
      <c r="P58" s="179"/>
      <c r="Q58" s="235" t="s">
        <v>901</v>
      </c>
      <c r="R58" s="235">
        <v>30</v>
      </c>
      <c r="S58" s="179">
        <f t="shared" ref="S58:S67" si="13">ROUNDUP((T58/4)*200,-2)*0.75</f>
        <v>14475</v>
      </c>
      <c r="T58" s="29">
        <v>386</v>
      </c>
      <c r="U58" s="29">
        <v>22212</v>
      </c>
      <c r="V58" s="179">
        <f t="shared" ref="V58:V67" si="14">ROUNDUP((T58/4)*200,-2)*0.25</f>
        <v>4825</v>
      </c>
      <c r="X58" s="17"/>
      <c r="Z58" s="732">
        <f>VLOOKUP(Z57,U7:W16,3,0)</f>
        <v>5669.5</v>
      </c>
      <c r="AA58" s="267">
        <f>IFERROR(VLOOKUP(AA57,U7:W16,3,0),0)</f>
        <v>0</v>
      </c>
      <c r="AB58" s="998">
        <f>IFERROR(VLOOKUP(AB57,U7:W16,3,0),0)</f>
        <v>2161.5</v>
      </c>
      <c r="AC58" s="22">
        <f>IF(AA58&gt;0,AA58,IF(AB58&gt;0,AB58,Z58))</f>
        <v>2161.5</v>
      </c>
      <c r="AD58" s="611">
        <f>IF($AD$44="Yes",AC58,Z58)</f>
        <v>5669.5</v>
      </c>
      <c r="AM58" s="17"/>
      <c r="AN58" s="17"/>
      <c r="AO58" s="17"/>
      <c r="AP58" s="17"/>
      <c r="AQ58" s="17"/>
      <c r="AR58" s="17"/>
      <c r="AS58" s="17"/>
      <c r="AT58" s="17"/>
    </row>
    <row r="59" spans="1:46" ht="14.65" thickBot="1">
      <c r="G59" s="1319">
        <v>250</v>
      </c>
      <c r="H59" s="179">
        <f>IFERROR(VLOOKUP(H55,R58:U67,2,0),S65)</f>
        <v>14475</v>
      </c>
      <c r="I59" s="177">
        <f>IFERROR(VLOOKUP(I55,R58:U67,2,0),S65)</f>
        <v>17100</v>
      </c>
      <c r="J59" s="177">
        <f>IFERROR(VLOOKUP(J55,R58:U67,3,0),T65)</f>
        <v>386</v>
      </c>
      <c r="K59" s="177">
        <f>IFERROR(VLOOKUP(K55,R58:U67,3,0),T65)</f>
        <v>455</v>
      </c>
      <c r="L59" s="177">
        <f>IFERROR(VLOOKUP(L55,R58:U67,4,0),U65)</f>
        <v>22212</v>
      </c>
      <c r="M59" s="177">
        <f>IFERROR(VLOOKUP(M55,R58:U67,4,0),U65)</f>
        <v>22214</v>
      </c>
      <c r="N59" s="177">
        <f>IFERROR(VLOOKUP(N55,R58:V67,5,0),V65)</f>
        <v>4825</v>
      </c>
      <c r="O59" s="177">
        <f>IFERROR(VLOOKUP(O55,R58:V67,5,0),V65)</f>
        <v>5700</v>
      </c>
      <c r="P59" s="179"/>
      <c r="Q59" s="311" t="s">
        <v>895</v>
      </c>
      <c r="R59" s="235">
        <v>40</v>
      </c>
      <c r="S59" s="179">
        <f t="shared" si="13"/>
        <v>14475</v>
      </c>
      <c r="T59" s="29">
        <v>386</v>
      </c>
      <c r="U59" s="29">
        <f t="shared" ref="U59" si="15">+U58</f>
        <v>22212</v>
      </c>
      <c r="V59" s="179">
        <f t="shared" si="14"/>
        <v>4825</v>
      </c>
      <c r="X59" s="17"/>
      <c r="Y59" s="675" t="s">
        <v>1095</v>
      </c>
      <c r="Z59" s="1417">
        <f>D28</f>
        <v>6220</v>
      </c>
      <c r="AA59" s="1418">
        <f>D28-1</f>
        <v>6219</v>
      </c>
      <c r="AB59" s="1342">
        <f>D28-2</f>
        <v>6218</v>
      </c>
      <c r="AC59" s="1344">
        <f>IF(AC60=Z60,Z59,IF(AC60=AA60,AA59,IF(AC60=AB60,AB59)))</f>
        <v>6218</v>
      </c>
      <c r="AD59" s="611">
        <f>IF($AD$44="Yes",AC59,Z59)</f>
        <v>6220</v>
      </c>
      <c r="AE59" s="17"/>
      <c r="AM59" s="17"/>
      <c r="AN59" s="17"/>
      <c r="AO59" s="17"/>
      <c r="AP59" s="17"/>
      <c r="AQ59" s="17"/>
      <c r="AR59" s="17"/>
      <c r="AS59" s="17"/>
      <c r="AT59" s="17"/>
    </row>
    <row r="60" spans="1:46" ht="14.65" thickBot="1">
      <c r="G60" s="1319">
        <v>320</v>
      </c>
      <c r="H60" s="179">
        <f>IFERROR(VLOOKUP(H55,R71:U79,2,0),S78)</f>
        <v>14475</v>
      </c>
      <c r="I60" s="177">
        <f t="shared" ref="I60" si="16">IFERROR(VLOOKUP(I55,R71:U79,2,0),S78)</f>
        <v>30750</v>
      </c>
      <c r="J60" s="177">
        <f>IFERROR(VLOOKUP(J55,R71:U79,3,0),T78)</f>
        <v>386</v>
      </c>
      <c r="K60" s="177">
        <f>IFERROR(VLOOKUP(K55,R71:U79,3,0),T78)</f>
        <v>820</v>
      </c>
      <c r="L60" s="177">
        <f>IFERROR(VLOOKUP(L55,R71:V79,4,0),U78)</f>
        <v>22214</v>
      </c>
      <c r="M60" s="177">
        <f>IFERROR(VLOOKUP(M55,R71:V79,4,0),U78)</f>
        <v>22218</v>
      </c>
      <c r="N60" s="177">
        <f>IFERROR(VLOOKUP(N55,R71:V79,5,0),U78)</f>
        <v>4825</v>
      </c>
      <c r="O60" s="177">
        <f>IFERROR(VLOOKUP(O55,R71:V79,5,0),V78)</f>
        <v>10250</v>
      </c>
      <c r="P60" s="179"/>
      <c r="Q60" s="311" t="s">
        <v>896</v>
      </c>
      <c r="R60" s="235">
        <v>50</v>
      </c>
      <c r="S60" s="179">
        <f t="shared" si="13"/>
        <v>14475</v>
      </c>
      <c r="T60" s="29">
        <v>386</v>
      </c>
      <c r="U60" s="29">
        <f>+U59</f>
        <v>22212</v>
      </c>
      <c r="V60" s="179">
        <f t="shared" si="14"/>
        <v>4825</v>
      </c>
      <c r="X60" s="17"/>
      <c r="Z60" s="997">
        <f>VLOOKUP(Z59,U7:W16,3,0)</f>
        <v>5669.5</v>
      </c>
      <c r="AA60" s="267">
        <f>IFERROR(VLOOKUP(AA59,U7:W16,3,0),0)</f>
        <v>0</v>
      </c>
      <c r="AB60" s="998">
        <f>IFERROR(VLOOKUP(AB59,U7:W16,3,0),0)</f>
        <v>2161.5</v>
      </c>
      <c r="AC60" s="1344">
        <f>IF(AA60&gt;0,AA60,IF(AB60&gt;0,AB60,Z60))</f>
        <v>2161.5</v>
      </c>
      <c r="AD60" s="611">
        <f>IF($AD$44="Yes",AC60,Z60)</f>
        <v>5669.5</v>
      </c>
      <c r="AE60" s="17"/>
      <c r="AM60" s="17"/>
      <c r="AN60" s="17"/>
      <c r="AO60" s="17"/>
      <c r="AP60" s="17"/>
      <c r="AQ60" s="17"/>
      <c r="AR60" s="17"/>
      <c r="AS60" s="17"/>
      <c r="AT60" s="17"/>
    </row>
    <row r="61" spans="1:46" ht="12.95" customHeight="1" thickBot="1">
      <c r="G61" s="1319">
        <v>400</v>
      </c>
      <c r="H61" s="179">
        <f>IFERROR(VLOOKUP(H55,R83:U90,2,0),S89)</f>
        <v>36750</v>
      </c>
      <c r="I61" s="177">
        <f t="shared" ref="I61" si="17">IFERROR(VLOOKUP(I55,R83:U90,2,0),S89)</f>
        <v>38625</v>
      </c>
      <c r="J61" s="177">
        <f>IFERROR(VLOOKUP(J55,R83:U90,3,0),T89)</f>
        <v>980</v>
      </c>
      <c r="K61" s="177">
        <f>IFERROR(VLOOKUP(K55,R83:U90,3,0),T89)</f>
        <v>1030</v>
      </c>
      <c r="L61" s="177">
        <f>IFERROR(VLOOKUP(L55,R83:V90,4,0),U89)</f>
        <v>22218</v>
      </c>
      <c r="M61" s="177">
        <f>IFERROR(VLOOKUP(M55,R83:V90,4,0),U89)</f>
        <v>22222</v>
      </c>
      <c r="N61" s="177">
        <f>IFERROR(VLOOKUP(N55,R83:V90,5,0),V89)</f>
        <v>12250</v>
      </c>
      <c r="O61" s="177">
        <f>IFERROR(VLOOKUP(O55,R83:V90,5,0),V89)</f>
        <v>12875</v>
      </c>
      <c r="P61" s="179"/>
      <c r="Q61" s="235" t="s">
        <v>903</v>
      </c>
      <c r="R61" s="235">
        <v>60</v>
      </c>
      <c r="S61" s="179">
        <f t="shared" si="13"/>
        <v>17100</v>
      </c>
      <c r="T61" s="29">
        <v>455</v>
      </c>
      <c r="U61" s="29">
        <v>22214</v>
      </c>
      <c r="V61" s="179">
        <f t="shared" si="14"/>
        <v>5700</v>
      </c>
      <c r="X61" s="17"/>
      <c r="Y61" s="17"/>
      <c r="Z61" s="17"/>
      <c r="AA61" s="17"/>
      <c r="AB61" s="17"/>
      <c r="AC61" s="17"/>
      <c r="AD61" s="17"/>
      <c r="AE61" s="17"/>
      <c r="AM61" s="17"/>
      <c r="AN61" s="17"/>
      <c r="AO61" s="17"/>
      <c r="AP61" s="17"/>
      <c r="AQ61" s="17"/>
      <c r="AR61" s="17"/>
      <c r="AS61" s="17"/>
      <c r="AT61" s="17"/>
    </row>
    <row r="62" spans="1:46" ht="14.65" thickBot="1">
      <c r="G62" s="1319">
        <v>500</v>
      </c>
      <c r="H62" s="179">
        <f>IFERROR(VLOOKUP(H55,R94:U99,2,0),S98)</f>
        <v>63225</v>
      </c>
      <c r="I62" s="177">
        <f t="shared" ref="I62" si="18">IFERROR(VLOOKUP(I55,R94:U99,2,0),S98)</f>
        <v>63225</v>
      </c>
      <c r="J62" s="177">
        <f>IFERROR(VLOOKUP(J55,R94:U99,3,0),T98)</f>
        <v>1685</v>
      </c>
      <c r="K62" s="177">
        <f>IFERROR(VLOOKUP(K55,R94:U99,3,0),T98)</f>
        <v>1685</v>
      </c>
      <c r="L62" s="177">
        <f>IFERROR(VLOOKUP(L55,R94:V99,4,0),U98)</f>
        <v>22226</v>
      </c>
      <c r="M62" s="177">
        <f>IFERROR(VLOOKUP(M55,R94:V99,4,0),U98)</f>
        <v>22226</v>
      </c>
      <c r="N62" s="177">
        <f>IFERROR(VLOOKUP(N55,R94:V99,5,0),V98)</f>
        <v>21075</v>
      </c>
      <c r="O62" s="177">
        <f>IFERROR(VLOOKUP(O55,R94:V99,5,0),V98)</f>
        <v>21075</v>
      </c>
      <c r="P62" s="179"/>
      <c r="Q62" s="311" t="s">
        <v>906</v>
      </c>
      <c r="R62" s="235">
        <v>90</v>
      </c>
      <c r="S62" s="179">
        <f t="shared" si="13"/>
        <v>17100</v>
      </c>
      <c r="T62" s="29">
        <v>455</v>
      </c>
      <c r="U62" s="29">
        <v>22214</v>
      </c>
      <c r="V62" s="179">
        <f t="shared" si="14"/>
        <v>5700</v>
      </c>
      <c r="X62" s="17"/>
      <c r="Z62" s="675" t="s">
        <v>1167</v>
      </c>
      <c r="AA62" s="1420"/>
      <c r="AC62" s="611" t="s">
        <v>714</v>
      </c>
      <c r="AD62" s="17"/>
      <c r="AE62" s="17"/>
      <c r="AM62" s="17"/>
      <c r="AN62" s="17"/>
      <c r="AO62" s="17"/>
      <c r="AP62" s="17"/>
      <c r="AQ62" s="17"/>
      <c r="AR62" s="17"/>
      <c r="AS62" s="17"/>
      <c r="AT62" s="17"/>
    </row>
    <row r="63" spans="1:46" ht="14.65" thickBot="1">
      <c r="G63" s="1319">
        <v>630</v>
      </c>
      <c r="H63" s="179">
        <f>IFERROR(VLOOKUP(H55,R103:U108,2,0),S107)</f>
        <v>90975</v>
      </c>
      <c r="I63" s="177">
        <f t="shared" ref="I63" si="19">IFERROR(VLOOKUP(I55,R103:U108,2,0),S107)</f>
        <v>90975</v>
      </c>
      <c r="J63" s="177">
        <f>IFERROR(VLOOKUP(J55,R103:U108,3,0),T107)</f>
        <v>2425</v>
      </c>
      <c r="K63" s="177">
        <f>IFERROR(VLOOKUP(K55,R103:U108,3,0),T107)</f>
        <v>2425</v>
      </c>
      <c r="L63" s="177">
        <f>IFERROR(VLOOKUP(L55,R103:V108,4,0),U107)</f>
        <v>22226</v>
      </c>
      <c r="M63" s="177">
        <f>IFERROR(VLOOKUP(M55,R103:V108,4,0),U107)</f>
        <v>22226</v>
      </c>
      <c r="N63" s="177">
        <f>IFERROR(VLOOKUP(N55,R103:V108,5,0),V107)</f>
        <v>30325</v>
      </c>
      <c r="O63" s="177">
        <f>IFERROR(VLOOKUP(O55,R103:V108,5,0),V107)</f>
        <v>30325</v>
      </c>
      <c r="P63" s="145"/>
      <c r="Q63" s="311" t="s">
        <v>878</v>
      </c>
      <c r="R63" s="235" t="s">
        <v>878</v>
      </c>
      <c r="S63" s="179">
        <f t="shared" si="13"/>
        <v>17100</v>
      </c>
      <c r="T63" s="29">
        <v>455</v>
      </c>
      <c r="U63" s="29">
        <f t="shared" ref="U63" si="20">+U62</f>
        <v>22214</v>
      </c>
      <c r="V63" s="179">
        <f t="shared" si="14"/>
        <v>5700</v>
      </c>
      <c r="X63" s="17"/>
      <c r="Y63" s="611" t="s">
        <v>1140</v>
      </c>
      <c r="Z63" s="455">
        <f>C40</f>
        <v>22214</v>
      </c>
      <c r="AA63" s="486">
        <f>C40-1</f>
        <v>22213</v>
      </c>
      <c r="AB63" s="1342">
        <f>C40-2</f>
        <v>22212</v>
      </c>
      <c r="AC63" s="22">
        <f>IF(AC64=Z64,Z63,IF(AC64=AA64,AA63,IF(AC64=AB64,AB63)))</f>
        <v>22212</v>
      </c>
      <c r="AD63" s="611">
        <f t="shared" ref="AD63" si="21">IF($AD$44="Yes",AC63,Z63)</f>
        <v>22214</v>
      </c>
      <c r="AE63" s="17"/>
      <c r="AM63" s="17"/>
      <c r="AN63" s="17"/>
      <c r="AO63" s="17"/>
      <c r="AP63" s="17"/>
      <c r="AQ63" s="17"/>
      <c r="AR63" s="17"/>
      <c r="AS63" s="17"/>
      <c r="AT63" s="17"/>
    </row>
    <row r="64" spans="1:46" ht="14.65" thickBot="1">
      <c r="G64" s="1338">
        <v>710</v>
      </c>
      <c r="H64" s="1362">
        <f>IFERROR(VLOOKUP(H55,R112:U115,2,0),S114)</f>
        <v>121125</v>
      </c>
      <c r="I64" s="178">
        <f t="shared" ref="I64" si="22">IFERROR(VLOOKUP(I55,R112:U115,2,0),S114)</f>
        <v>121125</v>
      </c>
      <c r="J64" s="178">
        <f>IFERROR(VLOOKUP(J55,R112:U115,3,0),T114)</f>
        <v>3230</v>
      </c>
      <c r="K64" s="178">
        <f>IFERROR(VLOOKUP(K55,R112:U115,3,0),T114)</f>
        <v>3230</v>
      </c>
      <c r="L64" s="178">
        <f>IFERROR(VLOOKUP(L55,R112:V115,4,0),U114)</f>
        <v>22228</v>
      </c>
      <c r="M64" s="178">
        <f>IFERROR(VLOOKUP(M55,R112:V115,4,0),U114)</f>
        <v>22228</v>
      </c>
      <c r="N64" s="178">
        <f>IFERROR(VLOOKUP(N55,R112:V115,5,0),V114)</f>
        <v>40375</v>
      </c>
      <c r="O64" s="178">
        <f>IFERROR(VLOOKUP(O55,R112:V115,5,0),V114)</f>
        <v>40375</v>
      </c>
      <c r="P64" s="145"/>
      <c r="Q64" s="311" t="s">
        <v>1153</v>
      </c>
      <c r="R64" s="235" t="s">
        <v>1153</v>
      </c>
      <c r="S64" s="179">
        <f t="shared" si="13"/>
        <v>17100</v>
      </c>
      <c r="T64" s="29">
        <v>455</v>
      </c>
      <c r="U64" s="29">
        <f t="shared" ref="U64:U67" si="23">+U63</f>
        <v>22214</v>
      </c>
      <c r="V64" s="179">
        <f t="shared" si="14"/>
        <v>5700</v>
      </c>
      <c r="Z64" s="732">
        <f>VLOOKUP(Z63,Z7:AB23,3,0)</f>
        <v>3668.64</v>
      </c>
      <c r="AA64" s="267">
        <f>IFERROR(VLOOKUP(AA63,Z7:AB23,3,0),0)</f>
        <v>0</v>
      </c>
      <c r="AB64" s="998">
        <f>IFERROR(VLOOKUP(AB63,Z7:AB23,3,0),0)</f>
        <v>3033.6</v>
      </c>
      <c r="AC64" s="121">
        <f>IF(AA64&gt;0,AA64,IF(AB64&gt;0,AB64,Z64))</f>
        <v>3033.6</v>
      </c>
      <c r="AD64" s="611">
        <f>IF($AD$44="Yes",AC64,Z64)</f>
        <v>3668.64</v>
      </c>
      <c r="AE64" s="17"/>
      <c r="AM64" s="17"/>
      <c r="AN64" s="17"/>
      <c r="AO64" s="17"/>
      <c r="AP64" s="17"/>
      <c r="AQ64" s="17"/>
      <c r="AR64" s="17"/>
      <c r="AS64" s="17"/>
      <c r="AT64" s="17"/>
    </row>
    <row r="65" spans="7:46" ht="14.65" thickBot="1">
      <c r="G65" s="1338">
        <v>800</v>
      </c>
      <c r="H65" s="1362">
        <f>IFERROR(VLOOKUP(H55,R119:U122,2,0),S122)</f>
        <v>145350</v>
      </c>
      <c r="I65" s="178">
        <f t="shared" ref="I65" si="24">IFERROR(VLOOKUP(I55,R119:U122,2,0),S122)</f>
        <v>145350</v>
      </c>
      <c r="J65" s="178">
        <f>IFERROR(VLOOKUP(J55,R119:U122,3,0),T122)</f>
        <v>3876</v>
      </c>
      <c r="K65" s="178">
        <f>IFERROR(VLOOKUP(K55,R119:U122,3,0),T122)</f>
        <v>3876</v>
      </c>
      <c r="L65" s="178">
        <f>IFERROR(VLOOKUP(L55,R119:V122,4,0),U122)</f>
        <v>22232</v>
      </c>
      <c r="M65" s="178">
        <f>IFERROR(VLOOKUP(M55,R119:V122,4,0),U122)</f>
        <v>22232</v>
      </c>
      <c r="N65" s="178">
        <f>IFERROR(VLOOKUP(N55,R119:V122,5,0),V122)</f>
        <v>48450</v>
      </c>
      <c r="O65" s="178">
        <f>IFERROR(VLOOKUP(O55,R119:V122,5,0),V122)</f>
        <v>48450</v>
      </c>
      <c r="P65" s="179"/>
      <c r="Q65" s="235" t="s">
        <v>910</v>
      </c>
      <c r="R65" s="235">
        <v>105</v>
      </c>
      <c r="S65" s="179">
        <f t="shared" si="13"/>
        <v>17100</v>
      </c>
      <c r="T65" s="29">
        <v>455</v>
      </c>
      <c r="U65" s="29">
        <f t="shared" si="23"/>
        <v>22214</v>
      </c>
      <c r="V65" s="179">
        <f t="shared" si="14"/>
        <v>5700</v>
      </c>
      <c r="Y65" s="675" t="s">
        <v>1144</v>
      </c>
      <c r="Z65" s="1417">
        <f>D40</f>
        <v>22214</v>
      </c>
      <c r="AA65" s="1418">
        <f>D40-1</f>
        <v>22213</v>
      </c>
      <c r="AB65" s="1342">
        <f>D40-2</f>
        <v>22212</v>
      </c>
      <c r="AC65" s="1344">
        <f>IF(AC66=Z66,Z65,IF(AC66=AA66,AA65,IF(AC66=AB66,AB65)))</f>
        <v>22212</v>
      </c>
      <c r="AD65" s="611">
        <f>IF($AD$44="Yes",AC65,Z65)</f>
        <v>22214</v>
      </c>
      <c r="AE65" s="17"/>
      <c r="AM65" s="17"/>
      <c r="AN65" s="17"/>
      <c r="AO65" s="17"/>
      <c r="AP65" s="17"/>
      <c r="AQ65" s="17"/>
      <c r="AR65" s="17"/>
      <c r="AS65" s="17"/>
      <c r="AT65" s="17"/>
    </row>
    <row r="66" spans="7:46" ht="14.65" thickBot="1">
      <c r="G66" s="1338">
        <v>900</v>
      </c>
      <c r="H66" s="1362">
        <f>IFERROR(VLOOKUP(H55,R126:U128,2,0),S128)</f>
        <v>174450</v>
      </c>
      <c r="I66" s="178">
        <f>IFERROR(VLOOKUP(I55,R125:U128,2,0),S128)</f>
        <v>174450</v>
      </c>
      <c r="J66" s="178">
        <f>IFERROR(VLOOKUP(J55,R126:U128,3,0),T128)</f>
        <v>4651.2</v>
      </c>
      <c r="K66" s="178">
        <f>IFERROR(VLOOKUP(K55,R126:U128,3,0),T128)</f>
        <v>4651.2</v>
      </c>
      <c r="L66" s="178">
        <f>IFERROR(VLOOKUP(L55,R126:V128,4,0),U128)</f>
        <v>22234</v>
      </c>
      <c r="M66" s="178">
        <f>IFERROR(VLOOKUP(M55,R126:V128,4,0),U128)</f>
        <v>22234</v>
      </c>
      <c r="N66" s="178">
        <f>IFERROR(VLOOKUP(N55,R126:V128,5,0),V128)</f>
        <v>58150</v>
      </c>
      <c r="O66" s="178">
        <f>IFERROR(VLOOKUP(O55,R126:V128,5,0),V128)</f>
        <v>58150</v>
      </c>
      <c r="P66" s="145"/>
      <c r="Q66" s="311" t="s">
        <v>912</v>
      </c>
      <c r="R66" s="311">
        <v>80</v>
      </c>
      <c r="S66" s="179">
        <f t="shared" si="13"/>
        <v>17100</v>
      </c>
      <c r="T66" s="235">
        <f>+T65</f>
        <v>455</v>
      </c>
      <c r="U66" s="235">
        <f t="shared" si="23"/>
        <v>22214</v>
      </c>
      <c r="V66" s="179">
        <f t="shared" si="14"/>
        <v>5700</v>
      </c>
      <c r="Z66" s="997">
        <f>VLOOKUP(Z65,Z7:AB23,3,0)</f>
        <v>3668.64</v>
      </c>
      <c r="AA66" s="267">
        <f>IFERROR(VLOOKUP(AA65,Z7:AB23,3,0),0)</f>
        <v>0</v>
      </c>
      <c r="AB66" s="998">
        <f>IFERROR(VLOOKUP(AB65,Z7:AB23,3,0),0)</f>
        <v>3033.6</v>
      </c>
      <c r="AC66" s="1344">
        <f>IF(AA66&gt;0,AA66,IF(AB66&gt;0,AB66,Z66))</f>
        <v>3033.6</v>
      </c>
      <c r="AD66" s="611">
        <f>IF($AD$44="Yes",AC66,Z66)</f>
        <v>3668.64</v>
      </c>
      <c r="AE66" s="17"/>
      <c r="AM66" s="17"/>
      <c r="AN66" s="17"/>
      <c r="AO66" s="17"/>
      <c r="AP66" s="17"/>
      <c r="AQ66" s="17"/>
      <c r="AR66" s="17"/>
      <c r="AS66" s="17"/>
      <c r="AT66" s="17"/>
    </row>
    <row r="67" spans="7:46" ht="14.65" thickBot="1">
      <c r="G67" s="1338">
        <v>1000</v>
      </c>
      <c r="H67" s="1359">
        <f>IFERROR(VLOOKUP(H55,R130:U130,2,0),S130)</f>
        <v>191925</v>
      </c>
      <c r="I67" s="1360">
        <f t="shared" ref="I67" si="25">IFERROR(VLOOKUP(I55,R130:U130,3,0),S130)</f>
        <v>191925</v>
      </c>
      <c r="J67" s="1360">
        <f>IFERROR(VLOOKUP(J55,R130:U130,3,0),T130)</f>
        <v>5116.1000000000004</v>
      </c>
      <c r="K67" s="1360">
        <f>IFERROR(VLOOKUP(K55,R130:U130,3,0),T130)</f>
        <v>5116.1000000000004</v>
      </c>
      <c r="L67" s="1360">
        <f>IFERROR(VLOOKUP(L55,R130:U130,4,0),U130)</f>
        <v>22238</v>
      </c>
      <c r="M67" s="1360">
        <f>IFERROR(VLOOKUP(M55,R130:U130,4,0),U130)</f>
        <v>22238</v>
      </c>
      <c r="N67" s="1360">
        <f>IFERROR(VLOOKUP(N55,R130:V130,5,0),V130)</f>
        <v>63975</v>
      </c>
      <c r="O67" s="1360">
        <f>IFERROR(VLOOKUP(O55,R130:V130,5,0),V130)</f>
        <v>63975</v>
      </c>
      <c r="P67" s="145"/>
      <c r="Q67" s="311" t="s">
        <v>915</v>
      </c>
      <c r="R67" s="311">
        <v>100</v>
      </c>
      <c r="S67" s="179">
        <f t="shared" si="13"/>
        <v>17100</v>
      </c>
      <c r="T67" s="235">
        <f>+T66</f>
        <v>455</v>
      </c>
      <c r="U67" s="235">
        <f t="shared" si="23"/>
        <v>22214</v>
      </c>
      <c r="V67" s="179">
        <f t="shared" si="14"/>
        <v>5700</v>
      </c>
      <c r="AE67" s="17"/>
      <c r="AM67" s="17"/>
      <c r="AN67" s="17"/>
      <c r="AO67" s="17"/>
      <c r="AP67" s="17"/>
      <c r="AQ67" s="17"/>
      <c r="AR67" s="17"/>
      <c r="AS67" s="17"/>
      <c r="AT67" s="17"/>
    </row>
    <row r="68" spans="7:46" ht="14.65" thickBot="1">
      <c r="G68" s="1421" t="s">
        <v>714</v>
      </c>
      <c r="H68" s="1363">
        <f>VLOOKUP(C36,G57:I67,2,0)</f>
        <v>14475</v>
      </c>
      <c r="I68" s="1364">
        <f>VLOOKUP(D36,G57:I67,3,0)</f>
        <v>17100</v>
      </c>
      <c r="J68" s="1364">
        <f>VLOOKUP(C36,G57:K67,4,0)</f>
        <v>386</v>
      </c>
      <c r="K68" s="1364">
        <f>VLOOKUP(D36,G57:K67,5,0)</f>
        <v>455</v>
      </c>
      <c r="L68" s="1364">
        <f>VLOOKUP(C36,G57:L67,6,0)</f>
        <v>22214</v>
      </c>
      <c r="M68" s="1364">
        <f>VLOOKUP(D36,G57:M67,7,0)</f>
        <v>22214</v>
      </c>
      <c r="N68" s="1364">
        <f>VLOOKUP(C36,G57:N67,8,0)</f>
        <v>4825</v>
      </c>
      <c r="O68" s="1364">
        <f>VLOOKUP(D36,G57:O67,9,0)</f>
        <v>5700</v>
      </c>
      <c r="P68" s="3973">
        <v>320</v>
      </c>
      <c r="Q68" s="3973"/>
      <c r="R68" s="3973"/>
      <c r="S68" s="3973"/>
      <c r="T68" s="3973"/>
      <c r="U68" s="3973"/>
      <c r="V68" s="145"/>
      <c r="AC68" s="17"/>
      <c r="AD68" s="17"/>
      <c r="AE68" s="17"/>
      <c r="AM68" s="17"/>
      <c r="AN68" s="17"/>
      <c r="AO68" s="17"/>
      <c r="AP68" s="17"/>
      <c r="AQ68" s="17"/>
      <c r="AR68" s="17"/>
      <c r="AS68" s="17"/>
      <c r="AT68" s="17"/>
    </row>
    <row r="69" spans="7:46">
      <c r="H69" s="22" t="s">
        <v>1158</v>
      </c>
      <c r="I69" s="22" t="s">
        <v>1159</v>
      </c>
      <c r="J69" s="22" t="s">
        <v>1160</v>
      </c>
      <c r="K69" s="22" t="s">
        <v>1161</v>
      </c>
      <c r="L69" s="22" t="s">
        <v>1162</v>
      </c>
      <c r="M69" s="22" t="s">
        <v>1163</v>
      </c>
      <c r="N69" s="22" t="s">
        <v>1164</v>
      </c>
      <c r="O69" s="22" t="s">
        <v>1165</v>
      </c>
      <c r="P69" s="2575">
        <v>320</v>
      </c>
      <c r="Q69" s="2137" t="s">
        <v>1140</v>
      </c>
      <c r="R69" s="2575">
        <f>CT_wh!I36</f>
        <v>50</v>
      </c>
      <c r="S69" s="2575">
        <f>VLOOKUP(R69,R71:U79,2,0)</f>
        <v>14475</v>
      </c>
      <c r="T69" s="2137">
        <f>VLOOKUP(R69,R71:U79,3,0)</f>
        <v>386</v>
      </c>
      <c r="U69" s="2137">
        <f>VLOOKUP(R69,R71:U79,4,0)</f>
        <v>22214</v>
      </c>
      <c r="V69" s="2137">
        <f>VLOOKUP(R69,R71:V79,5,0)</f>
        <v>4825</v>
      </c>
      <c r="AD69" s="17"/>
      <c r="AE69" s="17"/>
      <c r="AN69" s="17"/>
      <c r="AO69" s="17"/>
      <c r="AP69" s="17"/>
      <c r="AQ69" s="17"/>
      <c r="AR69" s="17"/>
      <c r="AS69" s="17"/>
      <c r="AT69" s="17"/>
    </row>
    <row r="70" spans="7:46" ht="14.65" thickBot="1">
      <c r="G70" s="17"/>
      <c r="P70" s="2575">
        <v>320</v>
      </c>
      <c r="Q70" s="197" t="s">
        <v>1144</v>
      </c>
      <c r="R70" s="2575" t="str">
        <f>LT_wh!I40</f>
        <v>70X40</v>
      </c>
      <c r="S70" s="2575" t="e">
        <f>VLOOKUP(R70,R71:U79,2,0)</f>
        <v>#N/A</v>
      </c>
      <c r="T70" s="2137" t="e">
        <f>VLOOKUP(R70,R71:U79,3,0)</f>
        <v>#N/A</v>
      </c>
      <c r="U70" s="2137" t="e">
        <f>VLOOKUP(R70,R71:U79,4,0)</f>
        <v>#N/A</v>
      </c>
      <c r="V70" s="2137" t="e">
        <f>VLOOKUP(R70,R71:V79,5,0)</f>
        <v>#N/A</v>
      </c>
      <c r="AD70" s="17"/>
      <c r="AE70" s="17"/>
      <c r="AN70" s="17"/>
      <c r="AO70" s="17"/>
      <c r="AP70" s="17"/>
      <c r="AQ70" s="17"/>
      <c r="AR70" s="17"/>
      <c r="AS70" s="17"/>
      <c r="AT70" s="17"/>
    </row>
    <row r="71" spans="7:46" ht="14.65" thickBot="1">
      <c r="G71" s="727"/>
      <c r="H71" s="1265" t="s">
        <v>1140</v>
      </c>
      <c r="I71" s="1034" t="s">
        <v>1144</v>
      </c>
      <c r="J71" s="1423" t="s">
        <v>1168</v>
      </c>
      <c r="K71" s="1422" t="s">
        <v>1169</v>
      </c>
      <c r="L71" s="1422" t="s">
        <v>1170</v>
      </c>
      <c r="M71" s="1422" t="s">
        <v>1171</v>
      </c>
      <c r="N71" s="1422" t="s">
        <v>1172</v>
      </c>
      <c r="O71" s="2568" t="s">
        <v>1173</v>
      </c>
      <c r="P71" s="179"/>
      <c r="Q71" s="311" t="s">
        <v>895</v>
      </c>
      <c r="R71" s="235">
        <v>40</v>
      </c>
      <c r="S71" s="179">
        <f t="shared" ref="S71:S79" si="26">ROUNDUP((T71/4)*200,-2)*0.75</f>
        <v>14475</v>
      </c>
      <c r="T71" s="29">
        <v>386</v>
      </c>
      <c r="U71" s="29">
        <v>22214</v>
      </c>
      <c r="V71" s="179">
        <f t="shared" ref="V71:V79" si="27">ROUNDUP((T71/4)*200,-2)*0.25</f>
        <v>4825</v>
      </c>
      <c r="AD71" s="17"/>
      <c r="AE71" s="17"/>
      <c r="AN71" s="17"/>
      <c r="AO71" s="17"/>
      <c r="AP71" s="17"/>
      <c r="AQ71" s="17"/>
      <c r="AR71" s="17"/>
      <c r="AS71" s="17"/>
      <c r="AT71" s="17"/>
    </row>
    <row r="72" spans="7:46">
      <c r="G72" s="1237" t="s">
        <v>1174</v>
      </c>
      <c r="H72" s="53" t="str">
        <f>IF(H68=L100,"Right","Wrong")</f>
        <v>Right</v>
      </c>
      <c r="I72" s="679" t="str">
        <f>IF(I68=L101,"Right","Wrong")</f>
        <v>Right</v>
      </c>
      <c r="J72" s="1365">
        <v>160</v>
      </c>
      <c r="K72" s="1359">
        <f>R41</f>
        <v>40</v>
      </c>
      <c r="L72" s="1360">
        <f t="shared" ref="L72" si="28">S41</f>
        <v>7875</v>
      </c>
      <c r="M72" s="1360">
        <f>T41</f>
        <v>210</v>
      </c>
      <c r="N72" s="1360">
        <f>U41</f>
        <v>22210</v>
      </c>
      <c r="O72" s="177">
        <f>V41</f>
        <v>2625</v>
      </c>
      <c r="P72" s="145"/>
      <c r="Q72" s="311" t="s">
        <v>896</v>
      </c>
      <c r="R72" s="235">
        <v>50</v>
      </c>
      <c r="S72" s="179">
        <f t="shared" si="26"/>
        <v>14475</v>
      </c>
      <c r="T72" s="29">
        <v>386</v>
      </c>
      <c r="U72" s="29">
        <f t="shared" ref="U72" si="29">+U71</f>
        <v>22214</v>
      </c>
      <c r="V72" s="179">
        <f t="shared" si="27"/>
        <v>4825</v>
      </c>
      <c r="AN72" s="17"/>
      <c r="AO72" s="17"/>
      <c r="AP72" s="17"/>
      <c r="AQ72" s="17"/>
      <c r="AR72" s="17"/>
      <c r="AS72" s="17"/>
      <c r="AT72" s="17"/>
    </row>
    <row r="73" spans="7:46">
      <c r="G73" s="1053" t="s">
        <v>1174</v>
      </c>
      <c r="H73" s="53" t="str">
        <f>IF(J68=M100,"Right","Wrong")</f>
        <v>Right</v>
      </c>
      <c r="I73" s="679" t="str">
        <f>IF(K68=M101,"Right","Wrong")</f>
        <v>Right</v>
      </c>
      <c r="J73" s="1365">
        <v>200</v>
      </c>
      <c r="K73" s="1359">
        <f t="shared" ref="K73" si="30">R43</f>
        <v>50</v>
      </c>
      <c r="L73" s="1359">
        <f>S43</f>
        <v>10500</v>
      </c>
      <c r="M73" s="1359">
        <f>T43</f>
        <v>280</v>
      </c>
      <c r="N73" s="1359">
        <f>U43</f>
        <v>22210</v>
      </c>
      <c r="O73" s="177">
        <f>V43</f>
        <v>3500</v>
      </c>
      <c r="P73" s="145"/>
      <c r="Q73" s="235" t="s">
        <v>903</v>
      </c>
      <c r="R73" s="235">
        <v>60</v>
      </c>
      <c r="S73" s="179">
        <f t="shared" si="26"/>
        <v>26250</v>
      </c>
      <c r="T73" s="29">
        <v>700</v>
      </c>
      <c r="U73" s="145">
        <f>+U72</f>
        <v>22214</v>
      </c>
      <c r="V73" s="179">
        <f t="shared" si="27"/>
        <v>8750</v>
      </c>
      <c r="AN73" s="17"/>
      <c r="AO73" s="17"/>
      <c r="AP73" s="17"/>
      <c r="AQ73" s="17"/>
      <c r="AR73" s="17"/>
      <c r="AS73" s="17"/>
      <c r="AT73" s="17"/>
    </row>
    <row r="74" spans="7:46">
      <c r="G74" s="1053" t="s">
        <v>1141</v>
      </c>
      <c r="H74" s="53" t="str">
        <f>IF(L68=N100,"Right","Wrong")</f>
        <v>Right</v>
      </c>
      <c r="I74" s="679" t="str">
        <f>IF(M68=N101,"Right","Wrong")</f>
        <v>Right</v>
      </c>
      <c r="J74" s="1365">
        <v>250</v>
      </c>
      <c r="K74" s="1359">
        <f>R56</f>
        <v>50</v>
      </c>
      <c r="L74" s="1360">
        <f t="shared" ref="L74" si="31">S56</f>
        <v>14475</v>
      </c>
      <c r="M74" s="1360">
        <f>T56</f>
        <v>386</v>
      </c>
      <c r="N74" s="1360">
        <f>U56</f>
        <v>22212</v>
      </c>
      <c r="O74" s="177">
        <f>V56</f>
        <v>4825</v>
      </c>
      <c r="P74" s="145"/>
      <c r="Q74" s="311" t="s">
        <v>878</v>
      </c>
      <c r="R74" s="235" t="s">
        <v>878</v>
      </c>
      <c r="S74" s="179">
        <f t="shared" si="26"/>
        <v>26250</v>
      </c>
      <c r="T74" s="145">
        <v>700</v>
      </c>
      <c r="U74" s="145">
        <v>22218</v>
      </c>
      <c r="V74" s="179">
        <f t="shared" si="27"/>
        <v>8750</v>
      </c>
      <c r="AN74" s="17"/>
      <c r="AO74" s="17"/>
      <c r="AP74" s="17"/>
      <c r="AQ74" s="17"/>
      <c r="AR74" s="17"/>
      <c r="AS74" s="17"/>
      <c r="AT74" s="17"/>
    </row>
    <row r="75" spans="7:46">
      <c r="G75" s="1053" t="s">
        <v>1175</v>
      </c>
      <c r="H75" s="53" t="str">
        <f>IF(N68=O100,"Right","Wrong")</f>
        <v>Right</v>
      </c>
      <c r="I75" s="679" t="str">
        <f>IF(O68=O101,"Right","Wrong")</f>
        <v>Right</v>
      </c>
      <c r="J75" s="1365">
        <v>320</v>
      </c>
      <c r="K75" s="1359">
        <f>R69</f>
        <v>50</v>
      </c>
      <c r="L75" s="1360">
        <f t="shared" ref="L75" si="32">S69</f>
        <v>14475</v>
      </c>
      <c r="M75" s="1360">
        <f>T69</f>
        <v>386</v>
      </c>
      <c r="N75" s="1360">
        <f>U69</f>
        <v>22214</v>
      </c>
      <c r="O75" s="177">
        <f>V69</f>
        <v>4825</v>
      </c>
      <c r="P75" s="145"/>
      <c r="Q75" s="311" t="s">
        <v>1153</v>
      </c>
      <c r="R75" s="235" t="s">
        <v>1153</v>
      </c>
      <c r="S75" s="179">
        <f t="shared" si="26"/>
        <v>26250</v>
      </c>
      <c r="T75" s="145">
        <f t="shared" ref="T75" si="33">+T74</f>
        <v>700</v>
      </c>
      <c r="U75" s="145">
        <f>+U74</f>
        <v>22218</v>
      </c>
      <c r="V75" s="179">
        <f t="shared" si="27"/>
        <v>8750</v>
      </c>
      <c r="AN75" s="17"/>
      <c r="AO75" s="17"/>
      <c r="AP75" s="17"/>
      <c r="AQ75" s="17"/>
      <c r="AR75" s="17"/>
      <c r="AS75" s="17"/>
      <c r="AT75" s="17"/>
    </row>
    <row r="76" spans="7:46" ht="14.65" thickBot="1">
      <c r="G76" s="874"/>
      <c r="H76" s="53"/>
      <c r="I76" s="679"/>
      <c r="J76" s="1334">
        <v>400</v>
      </c>
      <c r="K76" s="1359">
        <f t="shared" ref="K76" si="34">R81</f>
        <v>50</v>
      </c>
      <c r="L76" s="1360">
        <f>S81</f>
        <v>36750</v>
      </c>
      <c r="M76" s="1360">
        <f>T81</f>
        <v>980</v>
      </c>
      <c r="N76" s="1360">
        <f>U81</f>
        <v>22218</v>
      </c>
      <c r="O76" s="177">
        <f>V81</f>
        <v>12250</v>
      </c>
      <c r="P76" s="179"/>
      <c r="Q76" s="311" t="s">
        <v>906</v>
      </c>
      <c r="R76" s="235">
        <v>90</v>
      </c>
      <c r="S76" s="179">
        <f t="shared" si="26"/>
        <v>26250</v>
      </c>
      <c r="T76" s="29">
        <v>700</v>
      </c>
      <c r="U76" s="29">
        <f t="shared" ref="U76" si="35">+U75</f>
        <v>22218</v>
      </c>
      <c r="V76" s="179">
        <f t="shared" si="27"/>
        <v>8750</v>
      </c>
      <c r="AN76" s="17"/>
      <c r="AO76" s="17"/>
      <c r="AP76" s="17"/>
      <c r="AQ76" s="17"/>
      <c r="AR76" s="17"/>
      <c r="AS76" s="17"/>
      <c r="AT76" s="17"/>
    </row>
    <row r="77" spans="7:46" ht="14.65" thickBot="1">
      <c r="G77" s="738"/>
      <c r="H77" s="1424" t="str">
        <f>IF(H72="Right",IF(H73="Right",IF(H74="Right",IF(H75="Right","Right","Wrong"))))</f>
        <v>Right</v>
      </c>
      <c r="I77" s="1425" t="str">
        <f>IF(I72="Right",IF(I73="Right",IF(I74="Right",IF(I75="Right","Right","Wrong"))))</f>
        <v>Right</v>
      </c>
      <c r="J77" s="1365">
        <v>500</v>
      </c>
      <c r="K77" s="1359">
        <f t="shared" ref="K77" si="36">R92</f>
        <v>50</v>
      </c>
      <c r="L77" s="1360" t="e">
        <f>S92</f>
        <v>#N/A</v>
      </c>
      <c r="M77" s="1360" t="e">
        <f>T92</f>
        <v>#N/A</v>
      </c>
      <c r="N77" s="1360" t="e">
        <f>U92</f>
        <v>#N/A</v>
      </c>
      <c r="O77" s="177" t="e">
        <f>V92</f>
        <v>#N/A</v>
      </c>
      <c r="P77" s="179"/>
      <c r="Q77" s="235" t="s">
        <v>910</v>
      </c>
      <c r="R77" s="235">
        <v>105</v>
      </c>
      <c r="S77" s="179">
        <f t="shared" si="26"/>
        <v>26250</v>
      </c>
      <c r="T77" s="29">
        <v>700</v>
      </c>
      <c r="U77" s="29">
        <f t="shared" ref="U77:U79" si="37">+U76</f>
        <v>22218</v>
      </c>
      <c r="V77" s="179">
        <f t="shared" si="27"/>
        <v>8750</v>
      </c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</row>
    <row r="78" spans="7:46">
      <c r="J78" s="1334">
        <v>630</v>
      </c>
      <c r="K78" s="1359">
        <f t="shared" ref="K78" si="38">R101</f>
        <v>50</v>
      </c>
      <c r="L78" s="1360" t="e">
        <f>S101</f>
        <v>#N/A</v>
      </c>
      <c r="M78" s="1360" t="e">
        <f>T101</f>
        <v>#N/A</v>
      </c>
      <c r="N78" s="1360" t="e">
        <f>U101</f>
        <v>#N/A</v>
      </c>
      <c r="O78" s="177" t="e">
        <f>V101</f>
        <v>#N/A</v>
      </c>
      <c r="P78" s="179"/>
      <c r="Q78" s="235" t="s">
        <v>912</v>
      </c>
      <c r="R78" s="235">
        <v>80</v>
      </c>
      <c r="S78" s="179">
        <f t="shared" si="26"/>
        <v>30750</v>
      </c>
      <c r="T78" s="29">
        <v>820</v>
      </c>
      <c r="U78" s="29">
        <f t="shared" si="37"/>
        <v>22218</v>
      </c>
      <c r="V78" s="179">
        <f t="shared" si="27"/>
        <v>10250</v>
      </c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</row>
    <row r="79" spans="7:46">
      <c r="J79" s="1334">
        <v>710</v>
      </c>
      <c r="K79" s="1359">
        <f t="shared" ref="K79" si="39">R110</f>
        <v>50</v>
      </c>
      <c r="L79" s="1360" t="e">
        <f>S110</f>
        <v>#N/A</v>
      </c>
      <c r="M79" s="1360" t="e">
        <f>T110</f>
        <v>#N/A</v>
      </c>
      <c r="N79" s="1360" t="e">
        <f>U110</f>
        <v>#N/A</v>
      </c>
      <c r="O79" s="177" t="e">
        <f>V110</f>
        <v>#N/A</v>
      </c>
      <c r="P79" s="145"/>
      <c r="Q79" s="311" t="s">
        <v>915</v>
      </c>
      <c r="R79" s="311">
        <v>100</v>
      </c>
      <c r="S79" s="179">
        <f t="shared" si="26"/>
        <v>30750</v>
      </c>
      <c r="T79" s="235">
        <f>+T78</f>
        <v>820</v>
      </c>
      <c r="U79" s="235">
        <f t="shared" si="37"/>
        <v>22218</v>
      </c>
      <c r="V79" s="179">
        <f t="shared" si="27"/>
        <v>10250</v>
      </c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</row>
    <row r="80" spans="7:46">
      <c r="J80" s="1334">
        <v>800</v>
      </c>
      <c r="K80" s="1359">
        <f t="shared" ref="K80" si="40">R117</f>
        <v>50</v>
      </c>
      <c r="L80" s="1360" t="e">
        <f>S117</f>
        <v>#N/A</v>
      </c>
      <c r="M80" s="1360" t="e">
        <f>T117</f>
        <v>#N/A</v>
      </c>
      <c r="N80" s="1360" t="e">
        <f>U117</f>
        <v>#N/A</v>
      </c>
      <c r="O80" s="177" t="e">
        <f>V117</f>
        <v>#N/A</v>
      </c>
      <c r="P80" s="3973">
        <v>400</v>
      </c>
      <c r="Q80" s="3973"/>
      <c r="R80" s="3973"/>
      <c r="S80" s="3973"/>
      <c r="T80" s="3973"/>
      <c r="U80" s="3973"/>
      <c r="V80" s="145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</row>
    <row r="81" spans="10:46">
      <c r="J81" s="1334">
        <v>900</v>
      </c>
      <c r="K81" s="1359">
        <f t="shared" ref="K81" si="41">R124</f>
        <v>50</v>
      </c>
      <c r="L81" s="1360" t="e">
        <f>S124</f>
        <v>#N/A</v>
      </c>
      <c r="M81" s="1360" t="e">
        <f>T124</f>
        <v>#N/A</v>
      </c>
      <c r="N81" s="1360" t="e">
        <f>U124</f>
        <v>#N/A</v>
      </c>
      <c r="O81" s="177" t="e">
        <f>V124</f>
        <v>#N/A</v>
      </c>
      <c r="P81" s="1361">
        <v>400</v>
      </c>
      <c r="Q81" s="433" t="s">
        <v>1140</v>
      </c>
      <c r="R81" s="2567">
        <f>CT_wh!I36</f>
        <v>50</v>
      </c>
      <c r="S81" s="2567">
        <f>VLOOKUP(R81,R83:V90,2,0)</f>
        <v>36750</v>
      </c>
      <c r="T81" s="2567">
        <f>VLOOKUP(R81,R83:V90,3,0)</f>
        <v>980</v>
      </c>
      <c r="U81" s="2567">
        <f>VLOOKUP(R81,R83:V90,4,0)</f>
        <v>22218</v>
      </c>
      <c r="V81" s="2567">
        <f>VLOOKUP(R81,R83:V90,5,0)</f>
        <v>12250</v>
      </c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</row>
    <row r="82" spans="10:46" ht="14.65" thickBot="1">
      <c r="J82" s="1334">
        <v>1000</v>
      </c>
      <c r="K82" s="1359">
        <f>R130</f>
        <v>120</v>
      </c>
      <c r="L82" s="1360">
        <f t="shared" ref="L82" si="42">S130</f>
        <v>191925</v>
      </c>
      <c r="M82" s="1360">
        <f>T130</f>
        <v>5116.1000000000004</v>
      </c>
      <c r="N82" s="1360">
        <f>U130</f>
        <v>22238</v>
      </c>
      <c r="O82" s="2569">
        <f>V130</f>
        <v>63975</v>
      </c>
      <c r="P82" s="1361">
        <v>400</v>
      </c>
      <c r="Q82" s="145" t="s">
        <v>1144</v>
      </c>
      <c r="R82" s="2567" t="str">
        <f>LT_wh!I40</f>
        <v>70X40</v>
      </c>
      <c r="S82" s="2567" t="e">
        <f>VLOOKUP(R82,R83:V90,2,0)</f>
        <v>#N/A</v>
      </c>
      <c r="T82" s="2567" t="e">
        <f>VLOOKUP(R82,R83:V90,3,0)</f>
        <v>#N/A</v>
      </c>
      <c r="U82" s="2567" t="e">
        <f>VLOOKUP(R82,R83:V90,4,0)</f>
        <v>#N/A</v>
      </c>
      <c r="V82" s="2567" t="e">
        <f>VLOOKUP(R82,R83:V90,5,0)</f>
        <v>#N/A</v>
      </c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</row>
    <row r="83" spans="10:46" ht="14.65" thickBot="1">
      <c r="J83" s="1426" t="s">
        <v>1176</v>
      </c>
      <c r="K83" s="1426" t="s">
        <v>1070</v>
      </c>
      <c r="L83" s="1426" t="s">
        <v>1177</v>
      </c>
      <c r="M83" s="1426" t="s">
        <v>1178</v>
      </c>
      <c r="N83" s="1426" t="s">
        <v>1179</v>
      </c>
      <c r="O83" s="2570" t="s">
        <v>1180</v>
      </c>
      <c r="P83" s="145"/>
      <c r="Q83" s="311" t="s">
        <v>896</v>
      </c>
      <c r="R83" s="235">
        <v>50</v>
      </c>
      <c r="S83" s="179">
        <f t="shared" ref="S83:S90" si="43">ROUNDUP((T83/4)*200,-2)*0.75</f>
        <v>36750</v>
      </c>
      <c r="T83" s="29">
        <v>980</v>
      </c>
      <c r="U83" s="29">
        <v>22218</v>
      </c>
      <c r="V83" s="179">
        <f t="shared" ref="V83:V90" si="44">ROUNDUP((T83/4)*200,-2)*0.25</f>
        <v>12250</v>
      </c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</row>
    <row r="84" spans="10:46">
      <c r="J84" s="1366">
        <v>160</v>
      </c>
      <c r="K84" s="1367">
        <f t="shared" ref="K84" si="45">R41</f>
        <v>40</v>
      </c>
      <c r="L84" s="1367">
        <f>S41</f>
        <v>7875</v>
      </c>
      <c r="M84" s="1367">
        <f>T41</f>
        <v>210</v>
      </c>
      <c r="N84" s="1367">
        <f>U41</f>
        <v>22210</v>
      </c>
      <c r="O84" s="1370">
        <f>V41</f>
        <v>2625</v>
      </c>
      <c r="P84" s="145"/>
      <c r="Q84" s="311" t="s">
        <v>878</v>
      </c>
      <c r="R84" s="235" t="s">
        <v>878</v>
      </c>
      <c r="S84" s="179">
        <f t="shared" si="43"/>
        <v>36750</v>
      </c>
      <c r="T84" s="145">
        <v>980</v>
      </c>
      <c r="U84" s="145">
        <f t="shared" ref="U84" si="46">+U83</f>
        <v>22218</v>
      </c>
      <c r="V84" s="179">
        <f t="shared" si="44"/>
        <v>12250</v>
      </c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</row>
    <row r="85" spans="10:46">
      <c r="J85" s="1334">
        <v>200</v>
      </c>
      <c r="K85" s="1359" t="str">
        <f t="shared" ref="K85" si="47">R44</f>
        <v>70X40</v>
      </c>
      <c r="L85" s="1359" t="e">
        <f>S44</f>
        <v>#N/A</v>
      </c>
      <c r="M85" s="1359" t="e">
        <f>T44</f>
        <v>#N/A</v>
      </c>
      <c r="N85" s="1359" t="e">
        <f>U44</f>
        <v>#N/A</v>
      </c>
      <c r="O85" s="1360" t="e">
        <f>V44</f>
        <v>#N/A</v>
      </c>
      <c r="P85" s="145"/>
      <c r="Q85" s="311" t="s">
        <v>1153</v>
      </c>
      <c r="R85" s="235" t="s">
        <v>1153</v>
      </c>
      <c r="S85" s="179">
        <f t="shared" si="43"/>
        <v>36750</v>
      </c>
      <c r="T85" s="145">
        <v>980</v>
      </c>
      <c r="U85" s="145">
        <f t="shared" ref="U85:U88" si="48">+U84</f>
        <v>22218</v>
      </c>
      <c r="V85" s="179">
        <f t="shared" si="44"/>
        <v>12250</v>
      </c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</row>
    <row r="86" spans="10:46">
      <c r="J86" s="1334">
        <v>250</v>
      </c>
      <c r="K86" s="1359" t="str">
        <f t="shared" ref="K86" si="49">R57</f>
        <v>70X40</v>
      </c>
      <c r="L86" s="1360" t="e">
        <f>S57</f>
        <v>#N/A</v>
      </c>
      <c r="M86" s="1360" t="e">
        <f>T57</f>
        <v>#N/A</v>
      </c>
      <c r="N86" s="1360" t="e">
        <f>U57</f>
        <v>#N/A</v>
      </c>
      <c r="O86" s="177" t="e">
        <f>V57</f>
        <v>#N/A</v>
      </c>
      <c r="P86" s="179"/>
      <c r="Q86" s="235" t="s">
        <v>1181</v>
      </c>
      <c r="R86" s="235">
        <v>60</v>
      </c>
      <c r="S86" s="179">
        <f t="shared" si="43"/>
        <v>36750</v>
      </c>
      <c r="T86" s="29">
        <v>980</v>
      </c>
      <c r="U86" s="29">
        <f t="shared" si="48"/>
        <v>22218</v>
      </c>
      <c r="V86" s="179">
        <f t="shared" si="44"/>
        <v>12250</v>
      </c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</row>
    <row r="87" spans="10:46">
      <c r="J87" s="1334">
        <v>320</v>
      </c>
      <c r="K87" s="1359" t="str">
        <f t="shared" ref="K87" si="50">R70</f>
        <v>70X40</v>
      </c>
      <c r="L87" s="1360" t="e">
        <f>S70</f>
        <v>#N/A</v>
      </c>
      <c r="M87" s="1360" t="e">
        <f>T70</f>
        <v>#N/A</v>
      </c>
      <c r="N87" s="1360" t="e">
        <f>U70</f>
        <v>#N/A</v>
      </c>
      <c r="O87" s="177" t="e">
        <f>V70</f>
        <v>#N/A</v>
      </c>
      <c r="P87" s="179"/>
      <c r="Q87" s="311" t="s">
        <v>1182</v>
      </c>
      <c r="R87" s="235">
        <v>90</v>
      </c>
      <c r="S87" s="179">
        <f t="shared" si="43"/>
        <v>36750</v>
      </c>
      <c r="T87" s="29">
        <v>980</v>
      </c>
      <c r="U87" s="29">
        <f t="shared" si="48"/>
        <v>22218</v>
      </c>
      <c r="V87" s="179">
        <f t="shared" si="44"/>
        <v>12250</v>
      </c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</row>
    <row r="88" spans="10:46">
      <c r="J88" s="1334">
        <v>400</v>
      </c>
      <c r="K88" s="1359" t="str">
        <f t="shared" ref="K88" si="51">R82</f>
        <v>70X40</v>
      </c>
      <c r="L88" s="1360" t="e">
        <f>S82</f>
        <v>#N/A</v>
      </c>
      <c r="M88" s="1360" t="e">
        <f>T82</f>
        <v>#N/A</v>
      </c>
      <c r="N88" s="1360" t="e">
        <f>U82</f>
        <v>#N/A</v>
      </c>
      <c r="O88" s="177" t="e">
        <f>V82</f>
        <v>#N/A</v>
      </c>
      <c r="P88" s="179"/>
      <c r="Q88" s="235" t="s">
        <v>1183</v>
      </c>
      <c r="R88" s="235">
        <v>105</v>
      </c>
      <c r="S88" s="179">
        <f t="shared" si="43"/>
        <v>36750</v>
      </c>
      <c r="T88" s="29">
        <v>980</v>
      </c>
      <c r="U88" s="29">
        <f t="shared" si="48"/>
        <v>22218</v>
      </c>
      <c r="V88" s="179">
        <f t="shared" si="44"/>
        <v>12250</v>
      </c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</row>
    <row r="89" spans="10:46">
      <c r="J89" s="1334">
        <v>500</v>
      </c>
      <c r="K89" s="1359" t="str">
        <f t="shared" ref="K89" si="52">R93</f>
        <v>70X40</v>
      </c>
      <c r="L89" s="1360" t="e">
        <f>S93</f>
        <v>#N/A</v>
      </c>
      <c r="M89" s="1360" t="e">
        <f>T93</f>
        <v>#N/A</v>
      </c>
      <c r="N89" s="1360" t="e">
        <f>U93</f>
        <v>#N/A</v>
      </c>
      <c r="O89" s="177" t="e">
        <f>V93</f>
        <v>#N/A</v>
      </c>
      <c r="P89" s="179"/>
      <c r="Q89" s="235" t="s">
        <v>912</v>
      </c>
      <c r="R89" s="235">
        <v>80</v>
      </c>
      <c r="S89" s="179">
        <f t="shared" si="43"/>
        <v>38625</v>
      </c>
      <c r="T89" s="29">
        <v>1030</v>
      </c>
      <c r="U89" s="29">
        <v>22222</v>
      </c>
      <c r="V89" s="179">
        <f t="shared" si="44"/>
        <v>12875</v>
      </c>
    </row>
    <row r="90" spans="10:46">
      <c r="J90" s="1334">
        <v>630</v>
      </c>
      <c r="K90" s="1359" t="str">
        <f t="shared" ref="K90" si="53">R102</f>
        <v>70X40</v>
      </c>
      <c r="L90" s="1360" t="e">
        <f>S102</f>
        <v>#N/A</v>
      </c>
      <c r="M90" s="1360" t="e">
        <f>T102</f>
        <v>#N/A</v>
      </c>
      <c r="N90" s="1360" t="e">
        <f>U102</f>
        <v>#N/A</v>
      </c>
      <c r="O90" s="177" t="e">
        <f>V102</f>
        <v>#N/A</v>
      </c>
      <c r="P90" s="179"/>
      <c r="Q90" s="235" t="s">
        <v>915</v>
      </c>
      <c r="R90" s="235">
        <v>100</v>
      </c>
      <c r="S90" s="179">
        <f t="shared" si="43"/>
        <v>45150</v>
      </c>
      <c r="T90" s="29">
        <v>1204</v>
      </c>
      <c r="U90" s="29">
        <v>22226</v>
      </c>
      <c r="V90" s="179">
        <f t="shared" si="44"/>
        <v>15050</v>
      </c>
    </row>
    <row r="91" spans="10:46">
      <c r="J91" s="1334">
        <v>710</v>
      </c>
      <c r="K91" s="1359" t="str">
        <f t="shared" ref="K91" si="54">R111</f>
        <v>70X40</v>
      </c>
      <c r="L91" s="1360" t="e">
        <f>S111</f>
        <v>#N/A</v>
      </c>
      <c r="M91" s="1360" t="e">
        <f>T111</f>
        <v>#N/A</v>
      </c>
      <c r="N91" s="1360" t="e">
        <f>U111</f>
        <v>#N/A</v>
      </c>
      <c r="O91" s="177" t="e">
        <f>V111</f>
        <v>#N/A</v>
      </c>
      <c r="P91" s="3973">
        <v>500</v>
      </c>
      <c r="Q91" s="3973"/>
      <c r="R91" s="3973"/>
      <c r="S91" s="3973"/>
      <c r="T91" s="3973"/>
      <c r="U91" s="3973"/>
      <c r="V91" s="145"/>
    </row>
    <row r="92" spans="10:46">
      <c r="J92" s="1334">
        <v>800</v>
      </c>
      <c r="K92" s="1359" t="str">
        <f t="shared" ref="K92" si="55">R118</f>
        <v>70X40</v>
      </c>
      <c r="L92" s="1360" t="e">
        <f>S118</f>
        <v>#N/A</v>
      </c>
      <c r="M92" s="1360" t="e">
        <f>T118</f>
        <v>#N/A</v>
      </c>
      <c r="N92" s="1360" t="e">
        <f>U118</f>
        <v>#N/A</v>
      </c>
      <c r="O92" s="177" t="e">
        <f>V118</f>
        <v>#N/A</v>
      </c>
      <c r="P92" s="1361">
        <v>500</v>
      </c>
      <c r="Q92" s="433" t="s">
        <v>1140</v>
      </c>
      <c r="R92" s="2567">
        <f>CT_wh!I36</f>
        <v>50</v>
      </c>
      <c r="S92" s="2567" t="e">
        <f>VLOOKUP(R92,R94:V99,2,0)</f>
        <v>#N/A</v>
      </c>
      <c r="T92" s="2567" t="e">
        <f>VLOOKUP(R92,R94:V99,3,0)</f>
        <v>#N/A</v>
      </c>
      <c r="U92" s="2567" t="e">
        <f>VLOOKUP(R92,R94:V99,4,0)</f>
        <v>#N/A</v>
      </c>
      <c r="V92" s="145" t="e">
        <f>VLOOKUP(R92,R94:V99,5,0)</f>
        <v>#N/A</v>
      </c>
    </row>
    <row r="93" spans="10:46">
      <c r="J93" s="1334">
        <v>900</v>
      </c>
      <c r="K93" s="1359" t="str">
        <f t="shared" ref="K93" si="56">R125</f>
        <v>70X40</v>
      </c>
      <c r="L93" s="1360" t="e">
        <f>S125</f>
        <v>#N/A</v>
      </c>
      <c r="M93" s="1360" t="e">
        <f>T125</f>
        <v>#N/A</v>
      </c>
      <c r="N93" s="1360" t="e">
        <f>U125</f>
        <v>#N/A</v>
      </c>
      <c r="O93" s="177" t="e">
        <f>V125</f>
        <v>#N/A</v>
      </c>
      <c r="P93" s="1361">
        <v>500</v>
      </c>
      <c r="Q93" s="145" t="s">
        <v>1144</v>
      </c>
      <c r="R93" s="2567" t="str">
        <f>LT_wh!I40</f>
        <v>70X40</v>
      </c>
      <c r="S93" s="2567" t="e">
        <f>VLOOKUP(R93,R94:V99,2,0)</f>
        <v>#N/A</v>
      </c>
      <c r="T93" s="2567" t="e">
        <f>VLOOKUP(R93,R94:V99,3,0)</f>
        <v>#N/A</v>
      </c>
      <c r="U93" s="2567" t="e">
        <f>VLOOKUP(R93,R94:V99,4,0)</f>
        <v>#N/A</v>
      </c>
      <c r="V93" s="145" t="e">
        <f>VLOOKUP(R93,R94:V99,5,0)</f>
        <v>#N/A</v>
      </c>
    </row>
    <row r="94" spans="10:46" ht="14.65" thickBot="1">
      <c r="J94" s="1368">
        <v>1000</v>
      </c>
      <c r="K94" s="1369">
        <f t="shared" ref="K94" si="57">R130</f>
        <v>120</v>
      </c>
      <c r="L94" s="1369">
        <f>S130</f>
        <v>191925</v>
      </c>
      <c r="M94" s="1369">
        <f>T130</f>
        <v>5116.1000000000004</v>
      </c>
      <c r="N94" s="1369">
        <f>U130</f>
        <v>22238</v>
      </c>
      <c r="O94" s="2571">
        <f>V130</f>
        <v>63975</v>
      </c>
      <c r="P94" s="145"/>
      <c r="Q94" s="311" t="s">
        <v>878</v>
      </c>
      <c r="R94" s="235" t="s">
        <v>878</v>
      </c>
      <c r="S94" s="179">
        <f t="shared" ref="S94:S99" si="58">ROUNDUP((T94/4)*200,-2)*0.75</f>
        <v>53100</v>
      </c>
      <c r="T94" s="145">
        <v>1415</v>
      </c>
      <c r="U94" s="145">
        <v>22220</v>
      </c>
      <c r="V94" s="179">
        <f t="shared" ref="V94:V99" si="59">ROUNDUP((T94/4)*200,-2)*0.25</f>
        <v>17700</v>
      </c>
    </row>
    <row r="95" spans="10:46" ht="14.65" thickBot="1">
      <c r="P95" s="145"/>
      <c r="Q95" s="311" t="s">
        <v>1153</v>
      </c>
      <c r="R95" s="235" t="s">
        <v>1153</v>
      </c>
      <c r="S95" s="179">
        <f t="shared" si="58"/>
        <v>53100</v>
      </c>
      <c r="T95" s="145">
        <f t="shared" ref="T95" si="60">+T94</f>
        <v>1415</v>
      </c>
      <c r="U95" s="145">
        <f>+U94</f>
        <v>22220</v>
      </c>
      <c r="V95" s="179">
        <f t="shared" si="59"/>
        <v>17700</v>
      </c>
    </row>
    <row r="96" spans="10:46">
      <c r="J96" s="1421" t="s">
        <v>1140</v>
      </c>
      <c r="K96" s="1367">
        <f>C36</f>
        <v>320</v>
      </c>
      <c r="L96" s="1370">
        <f>VLOOKUP(K96,J72:O82,3,0)</f>
        <v>14475</v>
      </c>
      <c r="M96" s="1370">
        <f>VLOOKUP(K96,J72:O82,4,0)</f>
        <v>386</v>
      </c>
      <c r="N96" s="1370">
        <f>VLOOKUP(K96,J72:O82,5,0)</f>
        <v>22214</v>
      </c>
      <c r="O96" s="2572">
        <f>VLOOKUP(K96,J72:O82,6,0)</f>
        <v>4825</v>
      </c>
      <c r="P96" s="179"/>
      <c r="Q96" s="235" t="s">
        <v>1183</v>
      </c>
      <c r="R96" s="235">
        <v>105</v>
      </c>
      <c r="S96" s="179">
        <f t="shared" si="58"/>
        <v>53100</v>
      </c>
      <c r="T96" s="29">
        <f t="shared" ref="T96" si="61">+T95</f>
        <v>1415</v>
      </c>
      <c r="U96" s="29">
        <f>+U95</f>
        <v>22220</v>
      </c>
      <c r="V96" s="179">
        <f t="shared" si="59"/>
        <v>17700</v>
      </c>
    </row>
    <row r="97" spans="10:22" ht="14.65" thickBot="1">
      <c r="J97" s="997" t="s">
        <v>1144</v>
      </c>
      <c r="K97" s="1354">
        <f>D36</f>
        <v>250</v>
      </c>
      <c r="L97" s="1355" t="e">
        <f>VLOOKUP(K97,J84:O94,3,0)</f>
        <v>#N/A</v>
      </c>
      <c r="M97" s="1355" t="e">
        <f>VLOOKUP(K97,J84:O94,4,0)</f>
        <v>#N/A</v>
      </c>
      <c r="N97" s="1355" t="e">
        <f>VLOOKUP(K97,J84:O94,5,0)</f>
        <v>#N/A</v>
      </c>
      <c r="O97" s="2573" t="e">
        <f>VLOOKUP(K97,J84:O94,6,0)</f>
        <v>#N/A</v>
      </c>
      <c r="P97" s="179"/>
      <c r="Q97" s="235" t="s">
        <v>912</v>
      </c>
      <c r="R97" s="235">
        <v>80</v>
      </c>
      <c r="S97" s="179">
        <f t="shared" si="58"/>
        <v>61500</v>
      </c>
      <c r="T97" s="29">
        <v>1640</v>
      </c>
      <c r="U97" s="29">
        <v>22222</v>
      </c>
      <c r="V97" s="179">
        <f t="shared" si="59"/>
        <v>20500</v>
      </c>
    </row>
    <row r="98" spans="10:22">
      <c r="K98" s="22" t="s">
        <v>1140</v>
      </c>
      <c r="L98" s="22">
        <f>IF($K$96=160,S41,IF($K$96=200,S52,IF($K$96=250,S65,IF($K$96=320,$S$78,IF($K$96=400,S89,IF($K$96=500,S98,IF($K$96=630,S107,IF($K$96=710,S114,IF($K$96=800,S122,IF($K$96=900,S128,IF($K$96=1000,S130)))))))))))</f>
        <v>30750</v>
      </c>
      <c r="M98" s="22">
        <f>IF($K$96=160,T41,IF($K$96=200,T52,IF($K$96=250,T65,IF($K$96=320,T78,IF($K$96=400,T89,IF($K$96=500,T98,IF($K$96=630,T107,IF($K$96=710,T114,IF($K$96=800,T122,IF($K$96=900,T128,IF($K$96=1000,T130)))))))))))</f>
        <v>820</v>
      </c>
      <c r="N98" s="22">
        <f>IF($K$96=160,U41,IF($K$96=200,U52,IF($K$96=250,U65,IF($K$96=320,U78,IF($K$96=400,U89,IF($K$96=500,U98,IF($K$96=630,U107,IF($K$96=710,U114,IF($K$96=800,U122,IF($K$96=900,U128,IF($K$96=1000,U130)))))))))))</f>
        <v>22218</v>
      </c>
      <c r="O98" s="22">
        <f>IF($K$96=160,V41,IF($K$96=200,V52,IF($K$96=250,V65,IF($K$96=320,V78,IF($K$96=400,V89,IF($K$96=500,V98,IF($K$96=630,V107,IF($K$96=710,V114,IF($K$96=800,V122,IF($K$96=900,V128,IF($K$96=1000,V130)))))))))))</f>
        <v>10250</v>
      </c>
      <c r="P98" s="179"/>
      <c r="Q98" s="235" t="s">
        <v>915</v>
      </c>
      <c r="R98" s="235">
        <v>100</v>
      </c>
      <c r="S98" s="179">
        <f t="shared" si="58"/>
        <v>63225</v>
      </c>
      <c r="T98" s="29">
        <v>1685</v>
      </c>
      <c r="U98" s="29">
        <v>22226</v>
      </c>
      <c r="V98" s="179">
        <f t="shared" si="59"/>
        <v>21075</v>
      </c>
    </row>
    <row r="99" spans="10:22" ht="14.65" thickBot="1">
      <c r="J99" s="17"/>
      <c r="K99" s="22" t="s">
        <v>1144</v>
      </c>
      <c r="L99" s="22">
        <f>IF($K$97=160,S41,IF($K$97=200,S52,IF($K$97=250,S65,IF($K$97=320,S78,IF($K$97=400,S89,IF($K$97=500,S98,IF($K$97=630,S107,IF($K$97=710,S114,IF($K$97=800,S122,IF($K$97=900,S128,IF($K$97=1000,S130)))))))))))</f>
        <v>17100</v>
      </c>
      <c r="M99" s="22">
        <f>IF($K$97=160,T41,IF($K$97=200,T52,IF($K$97=250,T65,IF($K$97=320,T78,IF($K$97=400,T89,IF($K$97=500,T98,IF($K$97=630,T107,IF($K$97=710,T114,IF($K$97=800,T122,IF($K$97=900,T128,IF($K$97=1000,T130)))))))))))</f>
        <v>455</v>
      </c>
      <c r="N99" s="22">
        <f>IF($K$97=160,U41,IF($K$97=200,U52,IF($K$97=250,U65,IF($K$97=320,U78,IF($K$97=400,U89,IF($K$97=500,U98,IF($K$97=630,U107,IF($K$97=710,U114,IF($K$97=800,U122,IF($K$97=900,U128,IF($K$97=1000,U130)))))))))))</f>
        <v>22214</v>
      </c>
      <c r="O99" s="22">
        <f>IF($K$97=160,V41,IF($K$97=200,V52,IF($K$97=250,V65,IF($K$97=320,V78,IF($K$97=400,V89,IF($K$97=500,V98,IF($K$97=630,V107,IF($K$97=710,V114,IF($K$97=800,V122,IF($K$97=900,V128,IF($K$97=1000,V130)))))))))))</f>
        <v>5700</v>
      </c>
      <c r="P99" s="179"/>
      <c r="Q99" s="235" t="s">
        <v>917</v>
      </c>
      <c r="R99" s="235">
        <v>120</v>
      </c>
      <c r="S99" s="179">
        <f t="shared" si="58"/>
        <v>74100</v>
      </c>
      <c r="T99" s="29">
        <v>1975</v>
      </c>
      <c r="U99" s="29">
        <v>22228</v>
      </c>
      <c r="V99" s="179">
        <f t="shared" si="59"/>
        <v>24700</v>
      </c>
    </row>
    <row r="100" spans="10:22">
      <c r="K100" s="1421" t="s">
        <v>1140</v>
      </c>
      <c r="L100" s="1371">
        <f>IFERROR(L96,L98)</f>
        <v>14475</v>
      </c>
      <c r="M100" s="1372">
        <f t="shared" ref="M100" si="62">IFERROR(M96,M98)</f>
        <v>386</v>
      </c>
      <c r="N100" s="1371">
        <f>IFERROR(N96,N98)</f>
        <v>22214</v>
      </c>
      <c r="O100" s="1372">
        <f>IFERROR(O96,O98)</f>
        <v>4825</v>
      </c>
      <c r="P100" s="3973">
        <v>630</v>
      </c>
      <c r="Q100" s="3973"/>
      <c r="R100" s="3973"/>
      <c r="S100" s="3973"/>
      <c r="T100" s="3973"/>
      <c r="U100" s="3973"/>
      <c r="V100" s="145"/>
    </row>
    <row r="101" spans="10:22" ht="14.65" thickBot="1">
      <c r="K101" s="997" t="s">
        <v>1144</v>
      </c>
      <c r="L101" s="1373">
        <f t="shared" ref="L101" si="63">IFERROR(L97,L99)</f>
        <v>17100</v>
      </c>
      <c r="M101" s="1374">
        <f>IFERROR(M97,M99)</f>
        <v>455</v>
      </c>
      <c r="N101" s="1373">
        <f>IFERROR(N97,N99)</f>
        <v>22214</v>
      </c>
      <c r="O101" s="1374">
        <f>IFERROR(O97,O99)</f>
        <v>5700</v>
      </c>
      <c r="P101" s="1361">
        <v>630</v>
      </c>
      <c r="Q101" s="433" t="s">
        <v>1140</v>
      </c>
      <c r="R101" s="2567">
        <f>CT_wh!I36</f>
        <v>50</v>
      </c>
      <c r="S101" s="2567" t="e">
        <f>VLOOKUP(R101,R103:V108,2,0)</f>
        <v>#N/A</v>
      </c>
      <c r="T101" s="2567" t="e">
        <f>VLOOKUP(R101,R103:V108,3,0)</f>
        <v>#N/A</v>
      </c>
      <c r="U101" s="2567" t="e">
        <f>VLOOKUP(R101,R103:V108,4,0)</f>
        <v>#N/A</v>
      </c>
      <c r="V101" s="2567" t="e">
        <f>VLOOKUP(R101,R103:V108,5,0)</f>
        <v>#N/A</v>
      </c>
    </row>
    <row r="102" spans="10:22">
      <c r="P102" s="1361">
        <v>630</v>
      </c>
      <c r="Q102" s="145" t="s">
        <v>1144</v>
      </c>
      <c r="R102" s="2567" t="str">
        <f>LT_wh!I40</f>
        <v>70X40</v>
      </c>
      <c r="S102" s="2567" t="e">
        <f>VLOOKUP(R102,R103:V108,2,0)</f>
        <v>#N/A</v>
      </c>
      <c r="T102" s="2567" t="e">
        <f>VLOOKUP(R102,R103:V108,3,0)</f>
        <v>#N/A</v>
      </c>
      <c r="U102" s="2567" t="e">
        <f>VLOOKUP(R102,R103:V108,4,0)</f>
        <v>#N/A</v>
      </c>
      <c r="V102" s="2567" t="e">
        <f>VLOOKUP(R102,R103:V108,5,0)</f>
        <v>#N/A</v>
      </c>
    </row>
    <row r="103" spans="10:22">
      <c r="P103" s="145"/>
      <c r="Q103" s="311" t="s">
        <v>878</v>
      </c>
      <c r="R103" s="235" t="s">
        <v>878</v>
      </c>
      <c r="S103" s="179">
        <f t="shared" ref="S103:S108" si="64">ROUNDUP((T103/4)*200,-2)*0.75</f>
        <v>89100</v>
      </c>
      <c r="T103" s="145">
        <v>2375</v>
      </c>
      <c r="U103" s="145">
        <v>22222</v>
      </c>
      <c r="V103" s="179">
        <f t="shared" ref="V103:V108" si="65">ROUNDUP((T103/4)*200,-2)*0.25</f>
        <v>29700</v>
      </c>
    </row>
    <row r="104" spans="10:22">
      <c r="P104" s="145"/>
      <c r="Q104" s="311" t="s">
        <v>1153</v>
      </c>
      <c r="R104" s="235" t="s">
        <v>1153</v>
      </c>
      <c r="S104" s="179">
        <f t="shared" si="64"/>
        <v>89100</v>
      </c>
      <c r="T104" s="145">
        <f t="shared" ref="T104:U105" si="66">+T103</f>
        <v>2375</v>
      </c>
      <c r="U104" s="145">
        <f t="shared" si="66"/>
        <v>22222</v>
      </c>
      <c r="V104" s="179">
        <f t="shared" si="65"/>
        <v>29700</v>
      </c>
    </row>
    <row r="105" spans="10:22">
      <c r="P105" s="145"/>
      <c r="Q105" s="235" t="s">
        <v>1183</v>
      </c>
      <c r="R105" s="235">
        <v>105</v>
      </c>
      <c r="S105" s="179">
        <f t="shared" si="64"/>
        <v>89100</v>
      </c>
      <c r="T105" s="145">
        <f t="shared" si="66"/>
        <v>2375</v>
      </c>
      <c r="U105" s="145">
        <f t="shared" si="66"/>
        <v>22222</v>
      </c>
      <c r="V105" s="179">
        <f t="shared" si="65"/>
        <v>29700</v>
      </c>
    </row>
    <row r="106" spans="10:22">
      <c r="P106" s="179"/>
      <c r="Q106" s="235" t="s">
        <v>912</v>
      </c>
      <c r="R106" s="235">
        <v>80</v>
      </c>
      <c r="S106" s="179">
        <f t="shared" si="64"/>
        <v>89100</v>
      </c>
      <c r="T106" s="29">
        <v>2375</v>
      </c>
      <c r="U106" s="29">
        <f>+U105</f>
        <v>22222</v>
      </c>
      <c r="V106" s="179">
        <f t="shared" si="65"/>
        <v>29700</v>
      </c>
    </row>
    <row r="107" spans="10:22">
      <c r="P107" s="179"/>
      <c r="Q107" s="235" t="s">
        <v>915</v>
      </c>
      <c r="R107" s="235">
        <v>100</v>
      </c>
      <c r="S107" s="179">
        <f t="shared" si="64"/>
        <v>90975</v>
      </c>
      <c r="T107" s="29">
        <v>2425</v>
      </c>
      <c r="U107" s="29">
        <v>22226</v>
      </c>
      <c r="V107" s="179">
        <f t="shared" si="65"/>
        <v>30325</v>
      </c>
    </row>
    <row r="108" spans="10:22">
      <c r="P108" s="179"/>
      <c r="Q108" s="235" t="s">
        <v>917</v>
      </c>
      <c r="R108" s="235">
        <v>120</v>
      </c>
      <c r="S108" s="179">
        <f t="shared" si="64"/>
        <v>106500</v>
      </c>
      <c r="T108" s="311">
        <v>2840</v>
      </c>
      <c r="U108" s="311">
        <v>22228</v>
      </c>
      <c r="V108" s="179">
        <f t="shared" si="65"/>
        <v>35500</v>
      </c>
    </row>
    <row r="109" spans="10:22">
      <c r="P109" s="3973">
        <v>710</v>
      </c>
      <c r="Q109" s="3973"/>
      <c r="R109" s="3973"/>
      <c r="S109" s="3973"/>
      <c r="T109" s="3973"/>
      <c r="U109" s="3973"/>
      <c r="V109" s="145"/>
    </row>
    <row r="110" spans="10:22">
      <c r="P110" s="1361">
        <v>710</v>
      </c>
      <c r="Q110" s="433" t="s">
        <v>1140</v>
      </c>
      <c r="R110" s="2567">
        <f>CT_wh!I36</f>
        <v>50</v>
      </c>
      <c r="S110" s="2567" t="e">
        <f>VLOOKUP(R110,R112:V115,2,0)</f>
        <v>#N/A</v>
      </c>
      <c r="T110" s="2567" t="e">
        <f>VLOOKUP(R110,R112:V115,3,0)</f>
        <v>#N/A</v>
      </c>
      <c r="U110" s="2567" t="e">
        <f>VLOOKUP(R110,R112:V115,4,0)</f>
        <v>#N/A</v>
      </c>
      <c r="V110" s="2567" t="e">
        <f>VLOOKUP(R110,R112:V115,5,0)</f>
        <v>#N/A</v>
      </c>
    </row>
    <row r="111" spans="10:22">
      <c r="P111" s="1361">
        <v>710</v>
      </c>
      <c r="Q111" s="145" t="s">
        <v>1144</v>
      </c>
      <c r="R111" s="2567" t="str">
        <f>LT_wh!I40</f>
        <v>70X40</v>
      </c>
      <c r="S111" s="2567" t="e">
        <f>VLOOKUP(R111,R112:V115,2,0)</f>
        <v>#N/A</v>
      </c>
      <c r="T111" s="2567" t="e">
        <f>VLOOKUP(R111,R112:V115,3,0)</f>
        <v>#N/A</v>
      </c>
      <c r="U111" s="2567" t="e">
        <f>VLOOKUP(R111,R112:V115,4,0)</f>
        <v>#N/A</v>
      </c>
      <c r="V111" s="2567" t="e">
        <f>VLOOKUP(R111,R112:V115,5,0)</f>
        <v>#N/A</v>
      </c>
    </row>
    <row r="112" spans="10:22">
      <c r="P112" s="145"/>
      <c r="Q112" s="235" t="s">
        <v>1183</v>
      </c>
      <c r="R112" s="235">
        <v>105</v>
      </c>
      <c r="S112" s="179">
        <f t="shared" ref="S112:S115" si="67">ROUNDUP((T112/4)*200,-2)*0.75</f>
        <v>121125</v>
      </c>
      <c r="T112" s="145">
        <v>3230</v>
      </c>
      <c r="U112" s="145">
        <v>22228</v>
      </c>
      <c r="V112" s="179">
        <f t="shared" ref="V112:V115" si="68">ROUNDUP((T112/4)*200,-2)*0.25</f>
        <v>40375</v>
      </c>
    </row>
    <row r="113" spans="16:22">
      <c r="P113" s="145"/>
      <c r="Q113" s="235" t="s">
        <v>912</v>
      </c>
      <c r="R113" s="235">
        <v>80</v>
      </c>
      <c r="S113" s="179">
        <f t="shared" si="67"/>
        <v>121125</v>
      </c>
      <c r="T113" s="29">
        <f>+T112</f>
        <v>3230</v>
      </c>
      <c r="U113" s="29">
        <f>+U112</f>
        <v>22228</v>
      </c>
      <c r="V113" s="179">
        <f t="shared" si="68"/>
        <v>40375</v>
      </c>
    </row>
    <row r="114" spans="16:22">
      <c r="P114" s="179"/>
      <c r="Q114" s="235" t="s">
        <v>915</v>
      </c>
      <c r="R114" s="235">
        <v>100</v>
      </c>
      <c r="S114" s="179">
        <f t="shared" si="67"/>
        <v>121125</v>
      </c>
      <c r="T114" s="311">
        <v>3230</v>
      </c>
      <c r="U114" s="311">
        <f>+U113</f>
        <v>22228</v>
      </c>
      <c r="V114" s="179">
        <f t="shared" si="68"/>
        <v>40375</v>
      </c>
    </row>
    <row r="115" spans="16:22">
      <c r="P115" s="145"/>
      <c r="Q115" s="235" t="s">
        <v>917</v>
      </c>
      <c r="R115" s="235">
        <v>120</v>
      </c>
      <c r="S115" s="179">
        <f t="shared" si="67"/>
        <v>121125</v>
      </c>
      <c r="T115" s="311">
        <v>3230</v>
      </c>
      <c r="U115" s="311">
        <v>22230</v>
      </c>
      <c r="V115" s="179">
        <f t="shared" si="68"/>
        <v>40375</v>
      </c>
    </row>
    <row r="116" spans="16:22">
      <c r="P116" s="3973">
        <v>800</v>
      </c>
      <c r="Q116" s="3973"/>
      <c r="R116" s="3973"/>
      <c r="S116" s="3973"/>
      <c r="T116" s="3973"/>
      <c r="U116" s="3973"/>
      <c r="V116" s="145"/>
    </row>
    <row r="117" spans="16:22">
      <c r="P117" s="1361">
        <v>800</v>
      </c>
      <c r="Q117" s="433" t="s">
        <v>1140</v>
      </c>
      <c r="R117" s="2567">
        <f>CT_wh!I36</f>
        <v>50</v>
      </c>
      <c r="S117" s="2567" t="e">
        <f>VLOOKUP(R117,R119:V122,2,0)</f>
        <v>#N/A</v>
      </c>
      <c r="T117" s="2567" t="e">
        <f>VLOOKUP(R117,R119:V122,3,0)</f>
        <v>#N/A</v>
      </c>
      <c r="U117" s="2567" t="e">
        <f>VLOOKUP(R117,R119:V122,4,0)</f>
        <v>#N/A</v>
      </c>
      <c r="V117" s="2567" t="e">
        <f>VLOOKUP(R117,R119:V122,5,0)</f>
        <v>#N/A</v>
      </c>
    </row>
    <row r="118" spans="16:22">
      <c r="P118" s="1361">
        <v>800</v>
      </c>
      <c r="Q118" s="145" t="s">
        <v>1144</v>
      </c>
      <c r="R118" s="2567" t="str">
        <f>LT_wh!I40</f>
        <v>70X40</v>
      </c>
      <c r="S118" s="2567" t="e">
        <f>VLOOKUP(R118,R119:V122,2,0)</f>
        <v>#N/A</v>
      </c>
      <c r="T118" s="2567" t="e">
        <f>VLOOKUP(R118,R119:V122,3,0)</f>
        <v>#N/A</v>
      </c>
      <c r="U118" s="2567" t="e">
        <f>VLOOKUP(R118,R119:V122,4,0)</f>
        <v>#N/A</v>
      </c>
      <c r="V118" s="2567" t="e">
        <f>VLOOKUP(R118,R119:V122,5,0)</f>
        <v>#N/A</v>
      </c>
    </row>
    <row r="119" spans="16:22">
      <c r="P119" s="145"/>
      <c r="Q119" s="235" t="s">
        <v>1183</v>
      </c>
      <c r="R119" s="235">
        <v>105</v>
      </c>
      <c r="S119" s="179">
        <f t="shared" ref="S119:S122" si="69">ROUNDUP((T119/4)*200,-2)*0.75</f>
        <v>145350</v>
      </c>
      <c r="T119" s="145">
        <f>3230*1.2</f>
        <v>3876</v>
      </c>
      <c r="U119" s="145">
        <v>22230</v>
      </c>
      <c r="V119" s="179">
        <f t="shared" ref="V119:V122" si="70">ROUNDUP((T119/4)*200,-2)*0.25</f>
        <v>48450</v>
      </c>
    </row>
    <row r="120" spans="16:22">
      <c r="P120" s="145"/>
      <c r="Q120" s="235" t="s">
        <v>912</v>
      </c>
      <c r="R120" s="235">
        <v>80</v>
      </c>
      <c r="S120" s="179">
        <f t="shared" si="69"/>
        <v>145350</v>
      </c>
      <c r="T120" s="29">
        <f t="shared" ref="T120:U121" si="71">+T119</f>
        <v>3876</v>
      </c>
      <c r="U120" s="29">
        <f t="shared" si="71"/>
        <v>22230</v>
      </c>
      <c r="V120" s="179">
        <f t="shared" si="70"/>
        <v>48450</v>
      </c>
    </row>
    <row r="121" spans="16:22">
      <c r="P121" s="179"/>
      <c r="Q121" s="235" t="s">
        <v>915</v>
      </c>
      <c r="R121" s="235">
        <v>100</v>
      </c>
      <c r="S121" s="179">
        <f t="shared" si="69"/>
        <v>145350</v>
      </c>
      <c r="T121" s="311">
        <f t="shared" si="71"/>
        <v>3876</v>
      </c>
      <c r="U121" s="311">
        <f t="shared" si="71"/>
        <v>22230</v>
      </c>
      <c r="V121" s="179">
        <f t="shared" si="70"/>
        <v>48450</v>
      </c>
    </row>
    <row r="122" spans="16:22">
      <c r="P122" s="145"/>
      <c r="Q122" s="235" t="s">
        <v>917</v>
      </c>
      <c r="R122" s="235">
        <v>120</v>
      </c>
      <c r="S122" s="179">
        <f t="shared" si="69"/>
        <v>145350</v>
      </c>
      <c r="T122" s="311">
        <f>+T121</f>
        <v>3876</v>
      </c>
      <c r="U122" s="311">
        <v>22232</v>
      </c>
      <c r="V122" s="179">
        <f t="shared" si="70"/>
        <v>48450</v>
      </c>
    </row>
    <row r="123" spans="16:22">
      <c r="P123" s="3973">
        <v>900</v>
      </c>
      <c r="Q123" s="3973"/>
      <c r="R123" s="3973"/>
      <c r="S123" s="3973"/>
      <c r="T123" s="3973"/>
      <c r="U123" s="3973"/>
      <c r="V123" s="145"/>
    </row>
    <row r="124" spans="16:22">
      <c r="P124" s="1361">
        <v>900</v>
      </c>
      <c r="Q124" s="433" t="s">
        <v>1140</v>
      </c>
      <c r="R124" s="2567">
        <f>CT_wh!I36</f>
        <v>50</v>
      </c>
      <c r="S124" s="2567" t="e">
        <f>VLOOKUP(R124,R126:V128,2,0)</f>
        <v>#N/A</v>
      </c>
      <c r="T124" s="2567" t="e">
        <f>VLOOKUP(R124,R126:V128,3,0)</f>
        <v>#N/A</v>
      </c>
      <c r="U124" s="2567" t="e">
        <f>VLOOKUP(R124,R126:V128,4,0)</f>
        <v>#N/A</v>
      </c>
      <c r="V124" s="2567" t="e">
        <f>VLOOKUP(R124,R126:V128,5,0)</f>
        <v>#N/A</v>
      </c>
    </row>
    <row r="125" spans="16:22">
      <c r="P125" s="1361">
        <v>900</v>
      </c>
      <c r="Q125" s="145" t="s">
        <v>1144</v>
      </c>
      <c r="R125" s="2567" t="str">
        <f>LT_wh!I40</f>
        <v>70X40</v>
      </c>
      <c r="S125" s="2567" t="e">
        <f>VLOOKUP(R125,R126:V128,2,0)</f>
        <v>#N/A</v>
      </c>
      <c r="T125" s="2567" t="e">
        <f>VLOOKUP(R125,R126:V128,3,0)</f>
        <v>#N/A</v>
      </c>
      <c r="U125" s="2567" t="e">
        <f>VLOOKUP(R125,R126:V128,4,0)</f>
        <v>#N/A</v>
      </c>
      <c r="V125" s="2567" t="e">
        <f>VLOOKUP(R125,R126:V128,5,0)</f>
        <v>#N/A</v>
      </c>
    </row>
    <row r="126" spans="16:22">
      <c r="P126" s="145"/>
      <c r="Q126" s="235" t="s">
        <v>912</v>
      </c>
      <c r="R126" s="235">
        <v>80</v>
      </c>
      <c r="S126" s="179">
        <f t="shared" ref="S126:S128" si="72">ROUNDUP((T126/4)*200,-2)*0.75</f>
        <v>174450</v>
      </c>
      <c r="T126" s="29">
        <f>3876*1.2</f>
        <v>4651.2</v>
      </c>
      <c r="U126" s="29">
        <v>22234</v>
      </c>
      <c r="V126" s="179">
        <f t="shared" ref="V126:V128" si="73">ROUNDUP((T126/4)*200,-2)*0.25</f>
        <v>58150</v>
      </c>
    </row>
    <row r="127" spans="16:22">
      <c r="P127" s="145"/>
      <c r="Q127" s="235" t="s">
        <v>915</v>
      </c>
      <c r="R127" s="235">
        <v>100</v>
      </c>
      <c r="S127" s="179">
        <f t="shared" si="72"/>
        <v>174450</v>
      </c>
      <c r="T127" s="311">
        <f>+T126</f>
        <v>4651.2</v>
      </c>
      <c r="U127" s="311">
        <f>+U126</f>
        <v>22234</v>
      </c>
      <c r="V127" s="179">
        <f t="shared" si="73"/>
        <v>58150</v>
      </c>
    </row>
    <row r="128" spans="16:22">
      <c r="P128" s="179"/>
      <c r="Q128" s="235" t="s">
        <v>917</v>
      </c>
      <c r="R128" s="235">
        <v>120</v>
      </c>
      <c r="S128" s="179">
        <f t="shared" si="72"/>
        <v>174450</v>
      </c>
      <c r="T128" s="311">
        <f t="shared" ref="T128" si="74">+T127</f>
        <v>4651.2</v>
      </c>
      <c r="U128" s="311">
        <f>+U127</f>
        <v>22234</v>
      </c>
      <c r="V128" s="179">
        <f t="shared" si="73"/>
        <v>58150</v>
      </c>
    </row>
    <row r="129" spans="16:22">
      <c r="P129" s="3973">
        <v>1000</v>
      </c>
      <c r="Q129" s="3973"/>
      <c r="R129" s="3973"/>
      <c r="S129" s="3973"/>
      <c r="T129" s="3973"/>
      <c r="U129" s="3973"/>
      <c r="V129" s="145"/>
    </row>
    <row r="130" spans="16:22">
      <c r="P130" s="1361">
        <v>1000</v>
      </c>
      <c r="Q130" s="235" t="s">
        <v>917</v>
      </c>
      <c r="R130" s="235">
        <v>120</v>
      </c>
      <c r="S130" s="179">
        <f t="shared" ref="S130" si="75">ROUNDUP((T130/4)*200,-2)*0.75</f>
        <v>191925</v>
      </c>
      <c r="T130" s="311">
        <f>4651*1.1</f>
        <v>5116.1000000000004</v>
      </c>
      <c r="U130" s="311">
        <v>22238</v>
      </c>
      <c r="V130" s="179">
        <f t="shared" ref="V130" si="76">ROUNDUP((T130/4)*200,-2)*0.25</f>
        <v>63975</v>
      </c>
    </row>
  </sheetData>
  <sheetProtection selectLockedCells="1"/>
  <mergeCells count="31">
    <mergeCell ref="P109:U109"/>
    <mergeCell ref="P116:U116"/>
    <mergeCell ref="P123:U123"/>
    <mergeCell ref="P129:U129"/>
    <mergeCell ref="T38:T39"/>
    <mergeCell ref="U38:U39"/>
    <mergeCell ref="P55:U55"/>
    <mergeCell ref="P68:U68"/>
    <mergeCell ref="P80:U80"/>
    <mergeCell ref="P91:U91"/>
    <mergeCell ref="P100:U100"/>
    <mergeCell ref="P38:Q38"/>
    <mergeCell ref="P40:U40"/>
    <mergeCell ref="P42:U42"/>
    <mergeCell ref="E43:F43"/>
    <mergeCell ref="V38:V39"/>
    <mergeCell ref="O3:P3"/>
    <mergeCell ref="C4:D4"/>
    <mergeCell ref="E6:F6"/>
    <mergeCell ref="E3:F4"/>
    <mergeCell ref="G20:H20"/>
    <mergeCell ref="Y36:Z36"/>
    <mergeCell ref="E32:F32"/>
    <mergeCell ref="A1:B1"/>
    <mergeCell ref="C1:D1"/>
    <mergeCell ref="E1:F1"/>
    <mergeCell ref="A2:B2"/>
    <mergeCell ref="C2:D2"/>
    <mergeCell ref="E2:F2"/>
    <mergeCell ref="A3:B3"/>
    <mergeCell ref="C3:D3"/>
  </mergeCells>
  <dataValidations disablePrompts="1" count="3">
    <dataValidation allowBlank="1" showInputMessage="1" showErrorMessage="1" sqref="G16:G18 G11:H11 F47 G14 R8:R18 R6" xr:uid="{00000000-0002-0000-0900-000000000000}"/>
    <dataValidation type="list" allowBlank="1" showInputMessage="1" showErrorMessage="1" sqref="C13:D13" xr:uid="{00000000-0002-0000-0900-000001000000}">
      <formula1>$V$21:$V$22</formula1>
    </dataValidation>
    <dataValidation type="list" allowBlank="1" showInputMessage="1" showErrorMessage="1" sqref="G22" xr:uid="{00000000-0002-0000-0900-000002000000}">
      <formula1>$T$1:$T$2</formula1>
    </dataValidation>
  </dataValidations>
  <pageMargins left="0.31388888888888899" right="3.8888888888888903E-2" top="0.43263888888888902" bottom="0.15625" header="0.51041666666666696" footer="0.118055555555556"/>
  <pageSetup paperSize="9" scale="85" orientation="portrait" r:id="rId1"/>
  <headerFooter alignWithMargins="0"/>
  <ignoredErrors>
    <ignoredError sqref="C8:D12 A3:F4 B2:F2 C44:D49 C14:D36 D13 C38:D43 C37:D37" unlockedFormula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L109"/>
  <sheetViews>
    <sheetView showGridLines="0" view="pageBreakPreview" topLeftCell="A36" zoomScale="85" zoomScaleSheetLayoutView="85" workbookViewId="0">
      <selection activeCell="C21" sqref="C21:D21"/>
    </sheetView>
  </sheetViews>
  <sheetFormatPr defaultColWidth="9.1328125" defaultRowHeight="14.25"/>
  <cols>
    <col min="1" max="1" width="10.33203125" style="22" customWidth="1"/>
    <col min="2" max="2" width="9.1328125" style="22"/>
    <col min="3" max="3" width="12.33203125" style="22" customWidth="1"/>
    <col min="4" max="4" width="9.1328125" style="22"/>
    <col min="5" max="5" width="11.6640625" style="22" customWidth="1"/>
    <col min="6" max="6" width="14" style="22" customWidth="1"/>
    <col min="7" max="7" width="9.6640625" style="22" customWidth="1"/>
    <col min="8" max="8" width="13.33203125" style="22" customWidth="1"/>
    <col min="9" max="9" width="20" style="22" customWidth="1"/>
    <col min="10" max="10" width="15.86328125" style="22" customWidth="1"/>
    <col min="11" max="11" width="11.46484375" style="22" customWidth="1"/>
    <col min="12" max="12" width="12" style="22" customWidth="1"/>
    <col min="13" max="13" width="10.6640625" style="22" customWidth="1"/>
    <col min="14" max="19" width="9.1328125" style="22"/>
    <col min="20" max="21" width="9.53125" style="22"/>
    <col min="22" max="22" width="9.1328125" style="22"/>
    <col min="23" max="23" width="13.6640625" style="22" customWidth="1"/>
    <col min="24" max="27" width="9.1328125" style="22"/>
    <col min="28" max="28" width="9.53125" style="22"/>
    <col min="29" max="37" width="9.1328125" style="22"/>
    <col min="38" max="38" width="9.53125" style="22"/>
    <col min="39" max="16384" width="9.1328125" style="22"/>
  </cols>
  <sheetData>
    <row r="1" spans="1:38">
      <c r="A1" s="3769" t="s">
        <v>1</v>
      </c>
      <c r="B1" s="3770"/>
      <c r="C1" s="3770"/>
      <c r="D1" s="3771"/>
      <c r="E1" s="3735" t="s">
        <v>109</v>
      </c>
      <c r="F1" s="3736"/>
      <c r="G1" s="3736"/>
      <c r="H1" s="3978" t="s">
        <v>2</v>
      </c>
      <c r="I1" s="3978"/>
      <c r="J1" s="3979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</row>
    <row r="2" spans="1:38">
      <c r="A2" s="3741" t="str">
        <f>+CT_wh!A2</f>
        <v>ELITEMHE INDUSTRIES LIMITED</v>
      </c>
      <c r="B2" s="3742"/>
      <c r="C2" s="3742"/>
      <c r="D2" s="3743"/>
      <c r="E2" s="3744" t="str">
        <f>'E Data'!D2</f>
        <v xml:space="preserve">25/15T D/G EOT CRANE  </v>
      </c>
      <c r="F2" s="3695"/>
      <c r="G2" s="3695"/>
      <c r="H2" s="3980">
        <f>'E Data'!G2</f>
        <v>0</v>
      </c>
      <c r="I2" s="3980"/>
      <c r="J2" s="3981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</row>
    <row r="3" spans="1:38">
      <c r="A3" s="3756" t="e">
        <f>#REF!</f>
        <v>#REF!</v>
      </c>
      <c r="B3" s="3757"/>
      <c r="C3" s="3757"/>
      <c r="D3" s="3758"/>
      <c r="E3" s="3759" t="s">
        <v>122</v>
      </c>
      <c r="F3" s="3760"/>
      <c r="G3" s="3760"/>
      <c r="H3" s="3696" t="s">
        <v>972</v>
      </c>
      <c r="I3" s="3696"/>
      <c r="J3" s="3813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</row>
    <row r="4" spans="1:38">
      <c r="A4" s="130" t="s">
        <v>3</v>
      </c>
      <c r="B4" s="963" t="e">
        <f>#REF!</f>
        <v>#REF!</v>
      </c>
      <c r="C4" s="963"/>
      <c r="D4" s="969"/>
      <c r="E4" s="3974"/>
      <c r="F4" s="3975"/>
      <c r="G4" s="3975"/>
      <c r="H4" s="3976"/>
      <c r="I4" s="3976"/>
      <c r="J4" s="397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</row>
    <row r="5" spans="1:38">
      <c r="A5" s="913">
        <v>5</v>
      </c>
      <c r="B5" s="673" t="s">
        <v>973</v>
      </c>
      <c r="C5" s="462"/>
      <c r="D5" s="462"/>
      <c r="E5" s="462"/>
      <c r="F5" s="462"/>
      <c r="G5" s="462"/>
      <c r="H5" s="462"/>
      <c r="I5" s="462"/>
      <c r="J5" s="304"/>
      <c r="K5" s="17"/>
      <c r="L5" s="1139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</row>
    <row r="6" spans="1:38">
      <c r="A6" s="670"/>
      <c r="B6" s="462"/>
      <c r="C6" s="462"/>
      <c r="D6" s="462"/>
      <c r="E6" s="462"/>
      <c r="F6" s="462"/>
      <c r="G6" s="462"/>
      <c r="H6" s="462"/>
      <c r="I6" s="462"/>
      <c r="J6" s="304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</row>
    <row r="7" spans="1:38">
      <c r="A7" s="670"/>
      <c r="B7" s="462" t="s">
        <v>2748</v>
      </c>
      <c r="C7" s="462"/>
      <c r="D7" s="462"/>
      <c r="E7" s="462"/>
      <c r="F7" s="458"/>
      <c r="H7" s="3799" t="str">
        <f>IF(J10=1,"+"," ")</f>
        <v xml:space="preserve"> </v>
      </c>
      <c r="I7" s="3821" t="str">
        <f>IF(J10=1,"Rw*V*MF / (6117*T)"," ")</f>
        <v xml:space="preserve"> </v>
      </c>
      <c r="J7" s="304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</row>
    <row r="8" spans="1:38">
      <c r="A8" s="670"/>
      <c r="B8" s="462"/>
      <c r="C8" s="462"/>
      <c r="D8" s="123" t="s">
        <v>974</v>
      </c>
      <c r="E8" s="669" t="s">
        <v>804</v>
      </c>
      <c r="F8" s="915" t="s">
        <v>975</v>
      </c>
      <c r="H8" s="3799"/>
      <c r="I8" s="3821"/>
      <c r="J8" s="304"/>
      <c r="K8" s="17" t="str">
        <f>IF(I10="Yes",IF(I11&gt;0,"Right","Wrong"),IF(I10="No",IF(I11=0,"Right","Wrong")))</f>
        <v>Right</v>
      </c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</row>
    <row r="9" spans="1:38" ht="14.65" thickBot="1">
      <c r="A9" s="670"/>
      <c r="B9" s="462"/>
      <c r="C9" s="462"/>
      <c r="D9" s="462"/>
      <c r="E9" s="462"/>
      <c r="F9" s="462"/>
      <c r="G9" s="462"/>
      <c r="H9" s="462"/>
      <c r="I9" s="462"/>
      <c r="J9" s="304"/>
      <c r="K9" s="904" t="str">
        <f>VLOOKUP(L9,K10:L11,2,0)</f>
        <v>No</v>
      </c>
      <c r="L9" s="905">
        <f>'E Data'!N38</f>
        <v>0</v>
      </c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</row>
    <row r="10" spans="1:38">
      <c r="A10" s="1146"/>
      <c r="B10" s="53" t="s">
        <v>806</v>
      </c>
      <c r="C10" s="3812" t="str">
        <f>'E Data'!D10&amp;"   ("&amp;'E Data'!D29&amp;")"</f>
        <v>D/G EOT CRANE     (Indoor)</v>
      </c>
      <c r="D10" s="3812"/>
      <c r="E10" s="3812"/>
      <c r="F10" s="917" t="s">
        <v>976</v>
      </c>
      <c r="H10" s="58"/>
      <c r="I10" s="1147" t="str">
        <f>K9</f>
        <v>No</v>
      </c>
      <c r="J10" s="1140">
        <f>IF(I10="Yes",1,0)</f>
        <v>0</v>
      </c>
      <c r="K10" s="906">
        <v>1</v>
      </c>
      <c r="L10" s="617" t="s">
        <v>108</v>
      </c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</row>
    <row r="11" spans="1:38" ht="14.1" customHeight="1" thickBot="1">
      <c r="A11" s="670"/>
      <c r="B11" s="918" t="s">
        <v>808</v>
      </c>
      <c r="C11" s="462" t="str">
        <f>IF($I$10="Yes","Wind Load Horizontally in Kg.","")</f>
        <v/>
      </c>
      <c r="D11" s="20"/>
      <c r="E11" s="20"/>
      <c r="F11" s="31"/>
      <c r="G11" s="31"/>
      <c r="H11" s="59" t="str">
        <f t="shared" ref="H11" si="0">IF($I$10="Yes","=","")</f>
        <v/>
      </c>
      <c r="I11" s="1148">
        <f>I20*J10</f>
        <v>0</v>
      </c>
      <c r="J11" s="304"/>
      <c r="K11" s="907">
        <v>0</v>
      </c>
      <c r="L11" s="702" t="s">
        <v>809</v>
      </c>
      <c r="M11" s="17"/>
      <c r="N11" s="17"/>
      <c r="O11" s="17"/>
      <c r="P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</row>
    <row r="12" spans="1:38" ht="5.0999999999999996" customHeight="1">
      <c r="A12" s="670"/>
      <c r="B12" s="80"/>
      <c r="C12" s="22" t="str">
        <f>IF($I$10="Yes","Effective Area of Main Girder (Front Girder)","")</f>
        <v/>
      </c>
      <c r="D12" s="31"/>
      <c r="E12" s="31"/>
      <c r="F12" s="31"/>
      <c r="G12" s="31"/>
      <c r="H12" s="59" t="str">
        <f t="shared" ref="H12:H20" si="1">IF($I$10="Yes","=","")</f>
        <v/>
      </c>
      <c r="I12" s="908">
        <f>1.6*'E Data'!D16*(input!G33/100)*J10</f>
        <v>0</v>
      </c>
      <c r="J12" s="304"/>
      <c r="K12" s="17"/>
      <c r="M12" s="17"/>
      <c r="N12" s="17"/>
      <c r="O12" s="17"/>
      <c r="V12" s="17" t="s">
        <v>977</v>
      </c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</row>
    <row r="13" spans="1:38" ht="5.0999999999999996" customHeight="1">
      <c r="A13" s="670"/>
      <c r="B13" s="55"/>
      <c r="C13" s="22" t="str">
        <f>IF($I$10="Yes","Effective Area of Main Girder (Back Girder)","")</f>
        <v/>
      </c>
      <c r="D13" s="31"/>
      <c r="E13" s="31"/>
      <c r="F13" s="31"/>
      <c r="G13" s="31"/>
      <c r="H13" s="59" t="str">
        <f t="shared" si="1"/>
        <v/>
      </c>
      <c r="I13" s="908">
        <f>1.2*'E Data'!D16*(input!G33/100)*J10</f>
        <v>0</v>
      </c>
      <c r="J13" s="304"/>
      <c r="M13" s="17"/>
      <c r="N13" s="17"/>
      <c r="O13" s="17"/>
      <c r="V13" s="399" t="s">
        <v>2749</v>
      </c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</row>
    <row r="14" spans="1:38" ht="5.0999999999999996" customHeight="1">
      <c r="A14" s="670"/>
      <c r="B14" s="55"/>
      <c r="C14" s="22" t="str">
        <f>IF($I$10="Yes","Effective Area of Legs 2nos at front side in Sq .M","")</f>
        <v/>
      </c>
      <c r="D14" s="31"/>
      <c r="E14" s="31"/>
      <c r="F14" s="31"/>
      <c r="G14" s="31"/>
      <c r="H14" s="59" t="str">
        <f t="shared" si="1"/>
        <v/>
      </c>
      <c r="I14" s="908">
        <f>((1.6*'E Data'!D19*0.8)+(1.2*'E Data'!D19*0.8))*J10</f>
        <v>0</v>
      </c>
      <c r="J14" s="304"/>
      <c r="K14" s="17"/>
      <c r="M14" s="17"/>
      <c r="N14" s="17"/>
      <c r="O14" s="17"/>
      <c r="V14" s="22" t="s">
        <v>2750</v>
      </c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</row>
    <row r="15" spans="1:38" ht="5.0999999999999996" customHeight="1">
      <c r="A15" s="670"/>
      <c r="B15" s="55"/>
      <c r="C15" s="22" t="str">
        <f>IF($I$10="Yes","Effective Area of  Trolley (WxHxF) in Sq M ","")</f>
        <v/>
      </c>
      <c r="D15" s="31"/>
      <c r="E15" s="31"/>
      <c r="F15" s="31"/>
      <c r="G15" s="31"/>
      <c r="H15" s="59" t="str">
        <f t="shared" si="1"/>
        <v/>
      </c>
      <c r="I15" s="908">
        <f>CT_HP!I12*J10</f>
        <v>0</v>
      </c>
      <c r="J15" s="304"/>
      <c r="N15" s="17"/>
      <c r="O15" s="17"/>
      <c r="V15" s="22" t="s">
        <v>978</v>
      </c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</row>
    <row r="16" spans="1:38" ht="5.0999999999999996" customHeight="1">
      <c r="A16" s="670"/>
      <c r="B16" s="55"/>
      <c r="C16" s="22" t="str">
        <f>IF($I$10="Yes","Effective Area of  End carriage at front side in Sq .M ","")</f>
        <v/>
      </c>
      <c r="D16" s="31"/>
      <c r="E16" s="31"/>
      <c r="F16" s="31"/>
      <c r="G16" s="31"/>
      <c r="H16" s="59" t="str">
        <f t="shared" si="1"/>
        <v/>
      </c>
      <c r="I16" s="1149">
        <f>0.8*0.4*J10</f>
        <v>0</v>
      </c>
      <c r="J16" s="304"/>
      <c r="N16" s="17"/>
      <c r="O16" s="17"/>
      <c r="V16" s="22" t="s">
        <v>979</v>
      </c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</row>
    <row r="17" spans="1:64" ht="5.0999999999999996" customHeight="1">
      <c r="A17" s="670"/>
      <c r="B17" s="55"/>
      <c r="C17" s="22" t="str">
        <f>IF($I$10="Yes","Area due to weight (1 sq m = 1T) in Sq. M","")</f>
        <v/>
      </c>
      <c r="D17" s="31"/>
      <c r="E17" s="31"/>
      <c r="F17" s="31"/>
      <c r="G17" s="31"/>
      <c r="H17" s="59" t="str">
        <f t="shared" si="1"/>
        <v/>
      </c>
      <c r="I17" s="908">
        <f>CT_HP!I13*J10</f>
        <v>0</v>
      </c>
      <c r="J17" s="304"/>
      <c r="M17" s="17"/>
      <c r="N17" s="17"/>
      <c r="O17" s="17"/>
      <c r="V17" s="22" t="s">
        <v>980</v>
      </c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</row>
    <row r="18" spans="1:64" ht="5.0999999999999996" customHeight="1">
      <c r="A18" s="670"/>
      <c r="B18" s="55"/>
      <c r="C18" s="22" t="str">
        <f>IF($I$10="Yes","Total Effective Area in m2","")</f>
        <v/>
      </c>
      <c r="D18" s="31"/>
      <c r="E18" s="31"/>
      <c r="F18" s="31"/>
      <c r="G18" s="31"/>
      <c r="H18" s="59" t="str">
        <f t="shared" si="1"/>
        <v/>
      </c>
      <c r="I18" s="908">
        <f>SUM(I12:I17)*J10</f>
        <v>0</v>
      </c>
      <c r="J18" s="304"/>
      <c r="K18" s="17"/>
      <c r="M18" s="17"/>
      <c r="N18" s="17"/>
      <c r="O18" s="17"/>
      <c r="V18" s="22" t="s">
        <v>981</v>
      </c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</row>
    <row r="19" spans="1:64" ht="5.0999999999999996" customHeight="1">
      <c r="A19" s="670"/>
      <c r="B19" s="55"/>
      <c r="C19" s="22" t="str">
        <f>IF($I$10="Yes","Pressure due to  velocity","")</f>
        <v/>
      </c>
      <c r="D19" s="31"/>
      <c r="E19" s="31"/>
      <c r="F19" s="31"/>
      <c r="G19" s="31"/>
      <c r="H19" s="59" t="str">
        <f t="shared" si="1"/>
        <v/>
      </c>
      <c r="I19" s="1150">
        <f>25*J10</f>
        <v>0</v>
      </c>
      <c r="J19" s="304"/>
      <c r="K19" s="17"/>
      <c r="O19" s="17"/>
      <c r="V19" s="22" t="s">
        <v>982</v>
      </c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</row>
    <row r="20" spans="1:64" ht="5.0999999999999996" customHeight="1" thickBot="1">
      <c r="A20" s="670"/>
      <c r="B20" s="55"/>
      <c r="C20" s="22" t="str">
        <f>IF($I$10="Yes","Load  due to Wind effective","")</f>
        <v/>
      </c>
      <c r="D20" s="31"/>
      <c r="E20" s="31"/>
      <c r="F20" s="31"/>
      <c r="G20" s="31"/>
      <c r="H20" s="59" t="str">
        <f t="shared" si="1"/>
        <v/>
      </c>
      <c r="I20" s="317">
        <f>I18*I19*J10</f>
        <v>0</v>
      </c>
      <c r="J20" s="304"/>
      <c r="K20" s="17"/>
      <c r="O20" s="17"/>
      <c r="V20" s="22" t="s">
        <v>983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</row>
    <row r="21" spans="1:64" ht="14.65" thickBot="1">
      <c r="A21" s="670"/>
      <c r="B21" s="20"/>
      <c r="C21" s="20"/>
      <c r="D21" s="20"/>
      <c r="E21" s="20"/>
      <c r="F21" s="20"/>
      <c r="G21" s="20"/>
      <c r="H21" s="20"/>
      <c r="I21" s="20"/>
      <c r="J21" s="304"/>
      <c r="K21" s="17"/>
      <c r="O21" s="17"/>
      <c r="P21" s="228" t="s">
        <v>991</v>
      </c>
      <c r="Q21" s="150" t="s">
        <v>992</v>
      </c>
      <c r="R21" s="1151" t="s">
        <v>875</v>
      </c>
      <c r="S21" s="1141" t="s">
        <v>993</v>
      </c>
      <c r="V21" s="456" t="s">
        <v>984</v>
      </c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</row>
    <row r="22" spans="1:64" ht="14.65" thickBot="1">
      <c r="A22" s="670"/>
      <c r="B22" s="929" t="s">
        <v>152</v>
      </c>
      <c r="C22" s="462" t="s">
        <v>813</v>
      </c>
      <c r="D22" s="462"/>
      <c r="E22" s="462"/>
      <c r="F22" s="462"/>
      <c r="G22" s="462"/>
      <c r="H22" s="462"/>
      <c r="I22" s="462"/>
      <c r="J22" s="304"/>
      <c r="K22" s="17"/>
      <c r="L22" s="17"/>
      <c r="M22" s="922">
        <f>I24</f>
        <v>25</v>
      </c>
      <c r="N22" s="923" t="s">
        <v>810</v>
      </c>
      <c r="O22" s="17"/>
      <c r="P22" s="486" t="s">
        <v>995</v>
      </c>
      <c r="Q22" s="486">
        <v>64</v>
      </c>
      <c r="R22" s="845" t="s">
        <v>878</v>
      </c>
      <c r="S22" s="1022">
        <v>50</v>
      </c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</row>
    <row r="23" spans="1:64" ht="14.65" thickBot="1">
      <c r="A23" s="670"/>
      <c r="B23" s="67" t="s">
        <v>160</v>
      </c>
      <c r="C23" s="915" t="s">
        <v>814</v>
      </c>
      <c r="D23" s="462"/>
      <c r="E23" s="462"/>
      <c r="F23" s="123"/>
      <c r="G23" s="123" t="str">
        <f>'E Data'!D43&amp;"  +  "&amp;'E Data'!D13</f>
        <v>17  +  25</v>
      </c>
      <c r="H23" s="67" t="s">
        <v>160</v>
      </c>
      <c r="I23" s="123">
        <f>'E Data'!D43+('E Data'!D13)</f>
        <v>42</v>
      </c>
      <c r="J23" s="304" t="s">
        <v>985</v>
      </c>
      <c r="K23" s="17"/>
      <c r="L23" s="924" t="s">
        <v>118</v>
      </c>
      <c r="M23" s="925" t="s">
        <v>811</v>
      </c>
      <c r="N23" s="926" t="s">
        <v>812</v>
      </c>
      <c r="P23" s="131" t="s">
        <v>996</v>
      </c>
      <c r="Q23" s="131">
        <v>80</v>
      </c>
      <c r="R23" s="512">
        <v>40</v>
      </c>
      <c r="S23" s="1025">
        <v>40</v>
      </c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</row>
    <row r="24" spans="1:64">
      <c r="A24" s="670"/>
      <c r="B24" s="929" t="s">
        <v>652</v>
      </c>
      <c r="C24" s="462" t="s">
        <v>815</v>
      </c>
      <c r="D24" s="462"/>
      <c r="E24" s="462"/>
      <c r="F24" s="462"/>
      <c r="G24" s="462"/>
      <c r="H24" s="67" t="s">
        <v>160</v>
      </c>
      <c r="I24" s="123">
        <f>'E Data'!D39</f>
        <v>25</v>
      </c>
      <c r="J24" s="304" t="s">
        <v>986</v>
      </c>
      <c r="K24" s="17"/>
      <c r="L24" s="927">
        <v>0</v>
      </c>
      <c r="M24" s="928">
        <v>10</v>
      </c>
      <c r="N24" s="110">
        <v>7</v>
      </c>
      <c r="P24" s="131" t="s">
        <v>997</v>
      </c>
      <c r="Q24" s="131">
        <v>89</v>
      </c>
      <c r="R24" s="512">
        <v>50</v>
      </c>
      <c r="S24" s="1025">
        <v>50</v>
      </c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</row>
    <row r="25" spans="1:64">
      <c r="A25" s="670"/>
      <c r="J25" s="304"/>
      <c r="K25" s="20"/>
      <c r="L25" s="927">
        <v>10</v>
      </c>
      <c r="M25" s="930">
        <v>15</v>
      </c>
      <c r="N25" s="66">
        <v>8</v>
      </c>
      <c r="P25" s="131" t="s">
        <v>998</v>
      </c>
      <c r="Q25" s="131">
        <v>103</v>
      </c>
      <c r="R25" s="512">
        <v>63</v>
      </c>
      <c r="S25" s="1025">
        <v>63</v>
      </c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</row>
    <row r="26" spans="1:64">
      <c r="A26" s="670"/>
      <c r="B26" s="187" t="s">
        <v>422</v>
      </c>
      <c r="C26" s="462" t="s">
        <v>816</v>
      </c>
      <c r="D26" s="123" t="str">
        <f>CT_HP!D22</f>
        <v>M5</v>
      </c>
      <c r="E26" s="17"/>
      <c r="F26" s="462"/>
      <c r="G26" s="462"/>
      <c r="H26" s="67" t="s">
        <v>160</v>
      </c>
      <c r="I26" s="703">
        <f>'E Data'!F26</f>
        <v>1.25</v>
      </c>
      <c r="J26" s="304"/>
      <c r="L26" s="927">
        <v>15</v>
      </c>
      <c r="M26" s="930">
        <v>25</v>
      </c>
      <c r="N26" s="65">
        <v>10</v>
      </c>
      <c r="P26" s="131" t="s">
        <v>999</v>
      </c>
      <c r="Q26" s="131">
        <v>115.5</v>
      </c>
      <c r="R26" s="512">
        <v>30</v>
      </c>
      <c r="S26" s="1025">
        <v>79.38</v>
      </c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</row>
    <row r="27" spans="1:64">
      <c r="A27" s="670"/>
      <c r="B27" s="187" t="s">
        <v>817</v>
      </c>
      <c r="C27" s="462" t="s">
        <v>747</v>
      </c>
      <c r="D27" s="462"/>
      <c r="E27" s="462"/>
      <c r="F27" s="462"/>
      <c r="G27" s="462"/>
      <c r="H27" s="67" t="s">
        <v>160</v>
      </c>
      <c r="I27" s="703">
        <v>1</v>
      </c>
      <c r="J27" s="304"/>
      <c r="L27" s="927">
        <v>25</v>
      </c>
      <c r="M27" s="930">
        <v>40</v>
      </c>
      <c r="N27" s="65">
        <v>12</v>
      </c>
      <c r="P27" s="131" t="s">
        <v>1001</v>
      </c>
      <c r="Q27" s="131">
        <v>134</v>
      </c>
      <c r="R27" s="512">
        <v>60</v>
      </c>
      <c r="S27" s="1025">
        <v>105</v>
      </c>
      <c r="Z27" s="1152"/>
      <c r="AA27" s="1153"/>
      <c r="AB27" s="1154"/>
      <c r="AC27" s="1153"/>
      <c r="AD27" s="1153"/>
      <c r="AE27" s="1153"/>
      <c r="AF27" s="1153"/>
      <c r="AG27" s="1153"/>
      <c r="AP27" s="1152"/>
      <c r="AQ27" s="1153"/>
      <c r="AR27" s="1154"/>
      <c r="BA27" s="1152"/>
      <c r="BB27" s="1153"/>
      <c r="BC27" s="1154"/>
      <c r="BD27" s="1153"/>
      <c r="BE27" s="1153"/>
      <c r="BF27" s="1153"/>
      <c r="BG27" s="1153"/>
      <c r="BH27" s="1153"/>
      <c r="BL27" s="1154"/>
    </row>
    <row r="28" spans="1:64">
      <c r="A28" s="670"/>
      <c r="B28" s="187" t="s">
        <v>819</v>
      </c>
      <c r="C28" s="462" t="s">
        <v>987</v>
      </c>
      <c r="D28" s="462"/>
      <c r="E28" s="462"/>
      <c r="F28" s="462"/>
      <c r="G28" s="462"/>
      <c r="H28" s="67" t="s">
        <v>160</v>
      </c>
      <c r="I28" s="703">
        <v>1.7</v>
      </c>
      <c r="J28" s="933"/>
      <c r="L28" s="927">
        <v>40</v>
      </c>
      <c r="M28" s="930">
        <v>60</v>
      </c>
      <c r="N28" s="66">
        <v>15</v>
      </c>
      <c r="P28" s="131" t="s">
        <v>1002</v>
      </c>
      <c r="Q28" s="131">
        <v>161</v>
      </c>
      <c r="R28" s="512">
        <v>90</v>
      </c>
      <c r="S28" s="1025">
        <v>142.88</v>
      </c>
      <c r="X28" s="288"/>
      <c r="Y28" s="289"/>
      <c r="Z28" s="290"/>
      <c r="AA28" s="1153"/>
      <c r="AB28" s="1154"/>
      <c r="AC28" s="1153"/>
      <c r="AD28" s="1153"/>
      <c r="AE28" s="1153"/>
      <c r="AF28" s="1153"/>
      <c r="AG28" s="1153"/>
      <c r="AI28" s="291"/>
      <c r="AJ28" s="292"/>
      <c r="AM28" s="287"/>
      <c r="AN28" s="288"/>
      <c r="AO28" s="289"/>
      <c r="AP28" s="290"/>
      <c r="AQ28" s="1153"/>
      <c r="AR28" s="1154"/>
      <c r="AT28" s="291"/>
      <c r="AU28" s="292"/>
      <c r="AX28" s="287"/>
      <c r="AY28" s="288"/>
      <c r="AZ28" s="289"/>
      <c r="BA28" s="290"/>
      <c r="BB28" s="1153"/>
      <c r="BC28" s="1154"/>
      <c r="BD28" s="1153"/>
      <c r="BE28" s="1153"/>
      <c r="BF28" s="1153"/>
      <c r="BG28" s="1153"/>
      <c r="BH28" s="1153"/>
      <c r="BJ28" s="291"/>
      <c r="BK28" s="292"/>
      <c r="BL28" s="1154"/>
    </row>
    <row r="29" spans="1:64">
      <c r="A29" s="670"/>
      <c r="B29" s="187" t="s">
        <v>821</v>
      </c>
      <c r="C29" s="462" t="s">
        <v>822</v>
      </c>
      <c r="D29" s="462"/>
      <c r="E29" s="462"/>
      <c r="F29" s="462"/>
      <c r="G29" s="462"/>
      <c r="H29" s="67" t="s">
        <v>160</v>
      </c>
      <c r="I29" s="1155">
        <v>8</v>
      </c>
      <c r="J29" s="304"/>
      <c r="L29" s="927">
        <v>60</v>
      </c>
      <c r="M29" s="930">
        <v>100</v>
      </c>
      <c r="N29" s="66">
        <v>19</v>
      </c>
      <c r="P29" s="131" t="s">
        <v>1003</v>
      </c>
      <c r="Q29" s="131">
        <v>198</v>
      </c>
      <c r="R29" s="512">
        <v>105</v>
      </c>
      <c r="S29" s="1025">
        <v>156</v>
      </c>
      <c r="X29" s="19"/>
      <c r="Y29" s="294"/>
      <c r="Z29" s="19"/>
      <c r="AA29" s="19"/>
      <c r="AB29" s="295"/>
      <c r="AC29" s="20"/>
      <c r="AD29" s="20"/>
      <c r="AE29" s="20"/>
      <c r="AF29" s="20"/>
      <c r="AG29" s="20"/>
      <c r="AI29" s="19"/>
      <c r="AJ29" s="19"/>
      <c r="AM29" s="293"/>
      <c r="AO29" s="53"/>
      <c r="AP29" s="80"/>
      <c r="AQ29" s="19"/>
      <c r="AR29" s="19"/>
      <c r="AT29" s="53"/>
      <c r="AX29" s="293"/>
      <c r="AY29" s="53"/>
      <c r="AZ29" s="53"/>
      <c r="BA29" s="80"/>
      <c r="BB29" s="19"/>
      <c r="BC29" s="19"/>
      <c r="BD29" s="20"/>
      <c r="BE29" s="20"/>
      <c r="BF29" s="20"/>
      <c r="BG29" s="20"/>
      <c r="BH29" s="20"/>
      <c r="BJ29" s="53"/>
      <c r="BK29" s="80"/>
    </row>
    <row r="30" spans="1:64" ht="20.100000000000001" customHeight="1" thickBot="1">
      <c r="A30" s="670"/>
      <c r="B30" s="187" t="s">
        <v>823</v>
      </c>
      <c r="C30" s="462" t="s">
        <v>988</v>
      </c>
      <c r="D30" s="462"/>
      <c r="E30" s="462"/>
      <c r="F30" s="462"/>
      <c r="G30" s="462"/>
      <c r="H30" s="67" t="s">
        <v>160</v>
      </c>
      <c r="I30" s="935">
        <f>N31</f>
        <v>10</v>
      </c>
      <c r="J30" s="304"/>
      <c r="L30" s="927">
        <v>100</v>
      </c>
      <c r="M30" s="932">
        <v>120</v>
      </c>
      <c r="N30" s="71">
        <v>22</v>
      </c>
      <c r="O30" s="17"/>
      <c r="P30" s="131" t="s">
        <v>1004</v>
      </c>
      <c r="Q30" s="131">
        <v>190</v>
      </c>
      <c r="R30" s="512">
        <v>80</v>
      </c>
      <c r="S30" s="1025">
        <v>130</v>
      </c>
      <c r="X30" s="19"/>
      <c r="Y30" s="294"/>
      <c r="Z30" s="19"/>
      <c r="AA30" s="19"/>
      <c r="AB30" s="295"/>
      <c r="AC30" s="20"/>
      <c r="AD30" s="20"/>
      <c r="AE30" s="20"/>
      <c r="AF30" s="20"/>
      <c r="AG30" s="20"/>
      <c r="AI30" s="19"/>
      <c r="AJ30" s="19"/>
      <c r="AM30" s="299"/>
      <c r="AN30" s="17"/>
      <c r="AO30" s="53"/>
      <c r="AP30" s="80"/>
      <c r="AQ30" s="19"/>
      <c r="AR30" s="19"/>
      <c r="AT30" s="53"/>
      <c r="AX30" s="299"/>
      <c r="AY30" s="216"/>
      <c r="AZ30" s="53"/>
      <c r="BA30" s="80"/>
      <c r="BB30" s="19"/>
      <c r="BC30" s="19"/>
      <c r="BD30" s="20"/>
      <c r="BE30" s="20"/>
      <c r="BF30" s="20"/>
      <c r="BG30" s="20"/>
      <c r="BH30" s="20"/>
      <c r="BJ30" s="53"/>
      <c r="BK30" s="80"/>
    </row>
    <row r="31" spans="1:64" ht="14.65" thickBot="1">
      <c r="A31" s="670"/>
      <c r="B31" s="918" t="s">
        <v>185</v>
      </c>
      <c r="C31" s="462" t="s">
        <v>989</v>
      </c>
      <c r="D31" s="462"/>
      <c r="E31" s="462"/>
      <c r="F31" s="462"/>
      <c r="G31" s="462"/>
      <c r="H31" s="67" t="s">
        <v>160</v>
      </c>
      <c r="I31" s="108">
        <f>1/I50</f>
        <v>0.5</v>
      </c>
      <c r="J31" s="304"/>
      <c r="L31" s="107">
        <f>VLOOKUP(M22,L24:L30,1)</f>
        <v>25</v>
      </c>
      <c r="M31" s="107">
        <f>IFERROR(VLOOKUP(M22,M24:M30,1,0),0)</f>
        <v>25</v>
      </c>
      <c r="N31" s="934">
        <f>VLOOKUP(M32,M24:N30,2,0)</f>
        <v>10</v>
      </c>
      <c r="O31" s="17"/>
      <c r="P31" s="131" t="s">
        <v>1005</v>
      </c>
      <c r="Q31" s="131">
        <v>220.5</v>
      </c>
      <c r="R31" s="512">
        <v>100</v>
      </c>
      <c r="S31" s="1025">
        <v>150</v>
      </c>
      <c r="X31" s="19"/>
      <c r="Y31" s="294"/>
      <c r="Z31" s="19"/>
      <c r="AA31" s="19"/>
      <c r="AB31" s="295"/>
      <c r="AC31" s="20"/>
      <c r="AD31" s="20"/>
      <c r="AE31" s="20"/>
      <c r="AF31" s="20"/>
      <c r="AG31" s="20"/>
      <c r="AI31" s="19"/>
      <c r="AJ31" s="19"/>
      <c r="AM31" s="299"/>
      <c r="AN31" s="17"/>
      <c r="AO31" s="53"/>
      <c r="AP31" s="80"/>
      <c r="AQ31" s="19"/>
      <c r="AR31" s="19"/>
      <c r="AT31" s="53"/>
      <c r="AX31" s="299"/>
      <c r="AY31" s="216"/>
      <c r="AZ31" s="53"/>
      <c r="BA31" s="80"/>
      <c r="BB31" s="19"/>
      <c r="BC31" s="19"/>
      <c r="BD31" s="20"/>
      <c r="BE31" s="20"/>
      <c r="BF31" s="20"/>
      <c r="BG31" s="20"/>
      <c r="BH31" s="20"/>
      <c r="BJ31" s="53"/>
      <c r="BK31" s="80"/>
    </row>
    <row r="32" spans="1:64" ht="20.100000000000001" customHeight="1" thickBot="1">
      <c r="A32" s="670"/>
      <c r="B32" s="918" t="s">
        <v>990</v>
      </c>
      <c r="C32" s="462" t="s">
        <v>827</v>
      </c>
      <c r="D32" s="462"/>
      <c r="E32" s="462"/>
      <c r="F32" s="462"/>
      <c r="G32" s="462"/>
      <c r="H32" s="67" t="s">
        <v>160</v>
      </c>
      <c r="I32" s="1142">
        <v>3</v>
      </c>
      <c r="J32" s="304"/>
      <c r="L32" s="107">
        <f>VLOOKUP(L31,L24:M30,2,0)</f>
        <v>40</v>
      </c>
      <c r="M32" s="934">
        <f>IF(M31&gt;0,M31,L32)</f>
        <v>25</v>
      </c>
      <c r="P32" s="131"/>
      <c r="Q32" s="131"/>
      <c r="R32" s="514">
        <v>120</v>
      </c>
      <c r="S32" s="1031">
        <v>170</v>
      </c>
      <c r="X32" s="19"/>
      <c r="Y32" s="294"/>
      <c r="Z32" s="59"/>
      <c r="AA32" s="59"/>
      <c r="AB32" s="59"/>
      <c r="AC32" s="936"/>
      <c r="AD32" s="59"/>
      <c r="AE32" s="59"/>
      <c r="AF32" s="20"/>
      <c r="AG32" s="20"/>
      <c r="AI32" s="19"/>
      <c r="AJ32" s="19"/>
      <c r="AM32" s="299"/>
      <c r="AN32" s="19"/>
      <c r="AO32" s="53"/>
      <c r="AP32" s="80"/>
      <c r="AQ32" s="19"/>
      <c r="AR32" s="19"/>
      <c r="AT32" s="53"/>
      <c r="AX32" s="299"/>
      <c r="AY32" s="19"/>
      <c r="AZ32" s="53"/>
      <c r="BA32" s="80"/>
      <c r="BB32" s="19"/>
      <c r="BC32" s="19"/>
      <c r="BD32" s="20"/>
      <c r="BE32" s="20"/>
      <c r="BF32" s="20"/>
      <c r="BG32" s="20"/>
      <c r="BH32" s="20"/>
      <c r="BJ32" s="53"/>
      <c r="BK32" s="80"/>
    </row>
    <row r="33" spans="1:63" ht="14.65" thickBot="1">
      <c r="A33" s="670"/>
      <c r="B33" s="918" t="s">
        <v>828</v>
      </c>
      <c r="C33" s="462" t="s">
        <v>829</v>
      </c>
      <c r="D33" s="462"/>
      <c r="E33" s="462"/>
      <c r="F33" s="462"/>
      <c r="G33" s="462"/>
      <c r="H33" s="17"/>
      <c r="I33" s="123"/>
      <c r="J33" s="304"/>
      <c r="P33" s="131"/>
      <c r="Q33" s="131"/>
      <c r="R33" s="1034">
        <f>S62</f>
        <v>0</v>
      </c>
      <c r="S33" s="1034">
        <f>Y62</f>
        <v>0</v>
      </c>
      <c r="X33" s="19"/>
      <c r="Y33" s="294"/>
      <c r="Z33" s="59"/>
      <c r="AA33" s="59"/>
      <c r="AB33" s="936"/>
      <c r="AC33" s="936"/>
      <c r="AD33" s="59"/>
      <c r="AE33" s="59"/>
      <c r="AF33" s="20"/>
      <c r="AG33" s="20"/>
      <c r="AI33" s="19"/>
      <c r="AJ33" s="19"/>
      <c r="AM33" s="299"/>
      <c r="AN33" s="19"/>
      <c r="AO33" s="53"/>
      <c r="AP33" s="80"/>
      <c r="AQ33" s="19"/>
      <c r="AR33" s="19"/>
      <c r="AT33" s="53"/>
      <c r="AX33" s="299"/>
      <c r="AY33" s="19"/>
      <c r="AZ33" s="53"/>
      <c r="BA33" s="80"/>
      <c r="BB33" s="19"/>
      <c r="BC33" s="19"/>
      <c r="BD33" s="20"/>
      <c r="BE33" s="20"/>
      <c r="BF33" s="20"/>
      <c r="BG33" s="20"/>
      <c r="BH33" s="20"/>
      <c r="BJ33" s="53"/>
      <c r="BK33" s="80"/>
    </row>
    <row r="34" spans="1:63" ht="20.100000000000001" customHeight="1">
      <c r="A34" s="670"/>
      <c r="B34" s="929"/>
      <c r="C34" s="462" t="s">
        <v>830</v>
      </c>
      <c r="D34" s="462"/>
      <c r="E34" s="462"/>
      <c r="F34" s="462"/>
      <c r="G34" s="462"/>
      <c r="H34" s="3814" t="str">
        <f>CT_HP!H30</f>
        <v>Hardened and ground Gear Box</v>
      </c>
      <c r="I34" s="3815"/>
      <c r="J34" s="304"/>
      <c r="P34" s="22" t="str">
        <f>LEFT(I52,4)</f>
        <v>100L</v>
      </c>
      <c r="Q34" s="22" t="e">
        <f>VLOOKUP(P34,P22:Q33,2,0)</f>
        <v>#N/A</v>
      </c>
      <c r="R34" s="22" t="str">
        <f>LT_wh!I40</f>
        <v>70X40</v>
      </c>
      <c r="S34" s="22" t="e">
        <f>VLOOKUP(R34,R22:S33,2,0)</f>
        <v>#N/A</v>
      </c>
      <c r="X34" s="19"/>
      <c r="Y34" s="294"/>
      <c r="AF34" s="20"/>
      <c r="AG34" s="20"/>
      <c r="AN34" s="19"/>
      <c r="AO34" s="53"/>
      <c r="AP34" s="59" t="s">
        <v>512</v>
      </c>
      <c r="AQ34" s="59" t="s">
        <v>1318</v>
      </c>
      <c r="AR34" s="59" t="s">
        <v>2185</v>
      </c>
      <c r="AS34" s="936" t="s">
        <v>121</v>
      </c>
      <c r="AT34" s="59" t="s">
        <v>275</v>
      </c>
      <c r="AU34" s="59" t="s">
        <v>274</v>
      </c>
      <c r="AX34" s="299"/>
      <c r="AY34" s="19"/>
      <c r="AZ34" s="53"/>
      <c r="BA34" s="80"/>
      <c r="BB34" s="19"/>
      <c r="BC34" s="19"/>
      <c r="BD34" s="20"/>
      <c r="BE34" s="20"/>
      <c r="BF34" s="20"/>
      <c r="BG34" s="20"/>
      <c r="BH34" s="20"/>
      <c r="BJ34" s="53"/>
      <c r="BK34" s="80"/>
    </row>
    <row r="35" spans="1:63" ht="20.100000000000001" customHeight="1">
      <c r="A35" s="1156"/>
      <c r="B35" s="937" t="s">
        <v>160</v>
      </c>
      <c r="C35" s="20" t="str">
        <f>"("&amp;D35&amp;")n"</f>
        <v>(0.985)n</v>
      </c>
      <c r="D35" s="938" t="str">
        <f>IF(H34="Spur and Helical Gear Box","0.95",IF(H34="Hardened and ground Gear Box","0.985"))</f>
        <v>0.985</v>
      </c>
      <c r="E35" s="462" t="s">
        <v>832</v>
      </c>
      <c r="F35" s="462"/>
      <c r="G35" s="462"/>
      <c r="H35" s="67" t="s">
        <v>160</v>
      </c>
      <c r="I35" s="939">
        <f>POWER(D35,I32)</f>
        <v>0.95567162500000002</v>
      </c>
      <c r="J35" s="304"/>
      <c r="K35" s="17"/>
      <c r="L35" s="17"/>
      <c r="M35" s="17" t="str">
        <f>I52</f>
        <v>100L</v>
      </c>
      <c r="N35" s="17"/>
      <c r="O35" s="17"/>
      <c r="P35" s="22" t="s">
        <v>1007</v>
      </c>
      <c r="Q35" s="17">
        <f>LT_wh!I53</f>
        <v>250</v>
      </c>
      <c r="R35" s="131" t="s">
        <v>1008</v>
      </c>
      <c r="S35" s="131">
        <v>160</v>
      </c>
      <c r="X35" s="19"/>
      <c r="Y35" s="294"/>
      <c r="AF35" s="20"/>
      <c r="AG35" s="20"/>
      <c r="AN35" s="19"/>
      <c r="AO35" s="53"/>
      <c r="AP35" s="59">
        <v>0</v>
      </c>
      <c r="AQ35" s="59">
        <v>0.12</v>
      </c>
      <c r="AR35" s="936" t="s">
        <v>997</v>
      </c>
      <c r="AS35" s="936">
        <v>1350</v>
      </c>
      <c r="AT35" s="59">
        <v>20</v>
      </c>
      <c r="AU35" s="59">
        <v>10000</v>
      </c>
      <c r="AX35" s="299"/>
      <c r="AY35" s="19"/>
      <c r="AZ35" s="53"/>
      <c r="BA35" s="80"/>
      <c r="BB35" s="19"/>
      <c r="BC35" s="19"/>
      <c r="BD35" s="20"/>
      <c r="BE35" s="20"/>
      <c r="BF35" s="20"/>
      <c r="BG35" s="20"/>
      <c r="BH35" s="20"/>
      <c r="BJ35" s="53"/>
      <c r="BK35" s="80"/>
    </row>
    <row r="36" spans="1:63" ht="20.100000000000001" customHeight="1">
      <c r="A36" s="670"/>
      <c r="B36" s="1157" t="s">
        <v>240</v>
      </c>
      <c r="C36" s="462" t="s">
        <v>994</v>
      </c>
      <c r="D36" s="462"/>
      <c r="E36" s="915" t="str">
        <f>'E Data'!D32&amp;"  ©  "</f>
        <v>50  ©  </v>
      </c>
      <c r="F36" s="462"/>
      <c r="G36" s="462"/>
      <c r="H36" s="67" t="s">
        <v>160</v>
      </c>
      <c r="I36" s="123">
        <f>'E Data'!D34</f>
        <v>1</v>
      </c>
      <c r="J36" s="304"/>
      <c r="K36" s="17"/>
      <c r="L36" s="17"/>
      <c r="M36" s="17"/>
      <c r="N36" s="17"/>
      <c r="P36" s="22" t="s">
        <v>1009</v>
      </c>
      <c r="Q36" s="17" t="e">
        <f>S34</f>
        <v>#N/A</v>
      </c>
      <c r="R36" s="131">
        <v>80</v>
      </c>
      <c r="S36" s="131">
        <f>VLOOKUP(R36,R22:S33,2,0)</f>
        <v>130</v>
      </c>
      <c r="X36" s="19"/>
      <c r="Y36" s="294"/>
      <c r="AF36" s="20"/>
      <c r="AG36" s="20"/>
      <c r="AN36" s="19"/>
      <c r="AO36" s="53"/>
      <c r="AP36" s="59">
        <v>0.12</v>
      </c>
      <c r="AQ36" s="59">
        <v>0.18</v>
      </c>
      <c r="AR36" s="936" t="s">
        <v>997</v>
      </c>
      <c r="AS36" s="936">
        <v>1350</v>
      </c>
      <c r="AT36" s="59">
        <v>25</v>
      </c>
      <c r="AU36" s="59">
        <v>12000</v>
      </c>
      <c r="AX36" s="299"/>
      <c r="AY36" s="19"/>
      <c r="AZ36" s="53"/>
      <c r="BA36" s="80"/>
      <c r="BB36" s="19"/>
      <c r="BC36" s="19"/>
      <c r="BD36" s="20"/>
      <c r="BE36" s="20"/>
      <c r="BF36" s="20"/>
      <c r="BG36" s="20"/>
      <c r="BH36" s="20"/>
      <c r="BJ36" s="53"/>
      <c r="BK36" s="80"/>
    </row>
    <row r="37" spans="1:63">
      <c r="A37" s="670"/>
      <c r="B37" s="1158"/>
      <c r="C37" s="462"/>
      <c r="D37" s="462"/>
      <c r="E37" s="1159"/>
      <c r="F37" s="462"/>
      <c r="G37" s="462"/>
      <c r="H37" s="17"/>
      <c r="I37" s="918"/>
      <c r="J37" s="338" t="s">
        <v>245</v>
      </c>
      <c r="K37" s="17"/>
      <c r="L37" s="17"/>
      <c r="M37" s="17"/>
      <c r="P37" s="22" t="s">
        <v>1011</v>
      </c>
      <c r="Q37" s="1160" t="e">
        <f>Q36+(Q35/2)-Q34</f>
        <v>#N/A</v>
      </c>
      <c r="R37" s="131" t="s">
        <v>1010</v>
      </c>
      <c r="S37" s="131">
        <f>Q29</f>
        <v>198</v>
      </c>
      <c r="X37" s="19"/>
      <c r="Y37" s="294"/>
      <c r="AF37" s="20"/>
      <c r="AG37" s="20"/>
      <c r="AN37" s="19"/>
      <c r="AO37" s="53"/>
      <c r="AP37" s="59">
        <v>0.18</v>
      </c>
      <c r="AQ37" s="59">
        <v>0.25</v>
      </c>
      <c r="AR37" s="936" t="s">
        <v>998</v>
      </c>
      <c r="AS37" s="53">
        <v>1400</v>
      </c>
      <c r="AT37" s="59">
        <v>26</v>
      </c>
      <c r="AU37" s="59">
        <v>16000</v>
      </c>
      <c r="AX37" s="299"/>
      <c r="AY37" s="19"/>
      <c r="AZ37" s="53"/>
      <c r="BA37" s="80"/>
      <c r="BB37" s="19"/>
      <c r="BC37" s="19"/>
      <c r="BD37" s="20"/>
      <c r="BE37" s="20"/>
      <c r="BF37" s="20"/>
      <c r="BG37" s="20"/>
      <c r="BH37" s="20"/>
      <c r="BJ37" s="53"/>
      <c r="BK37" s="80"/>
    </row>
    <row r="38" spans="1:63" ht="20.100000000000001" customHeight="1">
      <c r="A38" s="670"/>
      <c r="B38" s="915"/>
      <c r="C38" s="17"/>
      <c r="D38" s="80" t="s">
        <v>2744</v>
      </c>
      <c r="F38" s="462"/>
      <c r="G38" s="462"/>
      <c r="H38" s="43" t="s">
        <v>160</v>
      </c>
      <c r="I38" s="908">
        <f>(((I23*I24*I26*I27)/(6117*I28))*(I29+((1100*I30)/(981*I35)))*(I31/I36))+((I11*I24*I31)/(6117*I28))</f>
        <v>1.2453130745563414</v>
      </c>
      <c r="J38" s="1161">
        <f>(((I23*I24)/(6117*I28))*(I29+((1100*I30)/(981*I35)))*I31)+((I11*I24*I31)/(6117*I28))</f>
        <v>0.99625045964507308</v>
      </c>
      <c r="K38" s="1162"/>
      <c r="P38" s="484" t="str">
        <f>+IF(Q38&gt;60,"Right","Wrong")</f>
        <v>Right</v>
      </c>
      <c r="Q38" s="53">
        <f>IF('E Data'!N38=1,LT_HP!Q37,70)</f>
        <v>70</v>
      </c>
      <c r="S38" s="782">
        <f>S36+(S35/2)-S37</f>
        <v>12</v>
      </c>
      <c r="X38" s="19"/>
      <c r="Y38" s="294"/>
      <c r="AF38" s="20"/>
      <c r="AG38" s="20"/>
      <c r="AN38" s="19"/>
      <c r="AO38" s="53"/>
      <c r="AP38" s="59">
        <v>0.25</v>
      </c>
      <c r="AQ38" s="59">
        <v>0.37</v>
      </c>
      <c r="AR38" s="936" t="s">
        <v>998</v>
      </c>
      <c r="AS38" s="936">
        <v>1400</v>
      </c>
      <c r="AT38" s="59">
        <v>30</v>
      </c>
      <c r="AU38" s="59">
        <v>20000</v>
      </c>
      <c r="AX38" s="299"/>
      <c r="AY38" s="19"/>
      <c r="AZ38" s="53"/>
      <c r="BA38" s="80"/>
      <c r="BB38" s="19"/>
      <c r="BC38" s="19"/>
      <c r="BD38" s="20"/>
      <c r="BE38" s="20"/>
      <c r="BF38" s="20"/>
      <c r="BG38" s="20"/>
      <c r="BH38" s="20"/>
      <c r="BJ38" s="53"/>
      <c r="BK38" s="80"/>
    </row>
    <row r="39" spans="1:63" ht="20.100000000000001" customHeight="1">
      <c r="A39" s="670"/>
      <c r="B39" s="915"/>
      <c r="C39" s="17"/>
      <c r="D39" s="942"/>
      <c r="E39" s="462"/>
      <c r="F39" s="783"/>
      <c r="G39" s="943" t="s">
        <v>250</v>
      </c>
      <c r="H39" s="944">
        <v>0</v>
      </c>
      <c r="I39" s="1163">
        <f>I38+I38*H39</f>
        <v>1.2453130745563414</v>
      </c>
      <c r="J39" s="946"/>
      <c r="K39" s="1164"/>
      <c r="X39" s="19"/>
      <c r="Y39" s="294"/>
      <c r="AF39" s="20"/>
      <c r="AG39" s="20"/>
      <c r="AN39" s="19"/>
      <c r="AO39" s="53"/>
      <c r="AP39" s="59">
        <v>0.37</v>
      </c>
      <c r="AQ39" s="59">
        <v>0.55000000000000004</v>
      </c>
      <c r="AR39" s="936" t="s">
        <v>999</v>
      </c>
      <c r="AS39" s="936">
        <v>1400</v>
      </c>
      <c r="AT39" s="59">
        <v>50</v>
      </c>
      <c r="AU39" s="59">
        <v>25000</v>
      </c>
      <c r="AX39" s="299"/>
      <c r="AY39" s="19"/>
      <c r="AZ39" s="53"/>
      <c r="BA39" s="80"/>
      <c r="BB39" s="19"/>
      <c r="BC39" s="19"/>
      <c r="BD39" s="20"/>
      <c r="BE39" s="20"/>
      <c r="BF39" s="20"/>
      <c r="BG39" s="20"/>
      <c r="BH39" s="20"/>
      <c r="BJ39" s="53"/>
      <c r="BK39" s="80"/>
    </row>
    <row r="40" spans="1:63">
      <c r="A40" s="1165"/>
      <c r="B40" s="310"/>
      <c r="C40" s="20"/>
      <c r="D40" s="17"/>
      <c r="E40" s="462"/>
      <c r="F40" s="20"/>
      <c r="G40" s="346" t="str">
        <f>IF(I44="Slipring","Slip Ring Factor 6 %","")</f>
        <v/>
      </c>
      <c r="H40" s="20"/>
      <c r="I40" s="17"/>
      <c r="J40" s="1166"/>
      <c r="K40" s="1164"/>
      <c r="L40" s="17"/>
      <c r="M40" s="17"/>
      <c r="X40" s="19"/>
      <c r="Y40" s="294"/>
      <c r="AF40" s="20"/>
      <c r="AG40" s="20"/>
      <c r="AN40" s="17"/>
      <c r="AO40" s="53"/>
      <c r="AP40" s="59">
        <v>0.55000000000000004</v>
      </c>
      <c r="AQ40" s="59">
        <v>0.75</v>
      </c>
      <c r="AR40" s="936" t="s">
        <v>1002</v>
      </c>
      <c r="AS40" s="936">
        <v>1420</v>
      </c>
      <c r="AT40" s="59">
        <v>160</v>
      </c>
      <c r="AU40" s="59">
        <v>30000</v>
      </c>
      <c r="AX40" s="299"/>
      <c r="AY40" s="216"/>
      <c r="AZ40" s="53"/>
      <c r="BA40" s="80"/>
      <c r="BB40" s="19"/>
      <c r="BC40" s="19"/>
      <c r="BD40" s="20"/>
      <c r="BE40" s="20"/>
      <c r="BF40" s="20"/>
      <c r="BG40" s="20"/>
      <c r="BH40" s="20"/>
      <c r="BJ40" s="53"/>
      <c r="BK40" s="80"/>
    </row>
    <row r="41" spans="1:63" ht="14.65" thickBot="1">
      <c r="A41" s="1165"/>
      <c r="B41" s="310"/>
      <c r="C41" s="20"/>
      <c r="D41" s="17"/>
      <c r="E41" s="947" t="s">
        <v>1000</v>
      </c>
      <c r="F41" s="306"/>
      <c r="G41" s="1167"/>
      <c r="H41" s="1168"/>
      <c r="I41" s="17"/>
      <c r="J41" s="1166"/>
      <c r="K41" s="334" t="str">
        <f>IF(I44="Slipring",IF(H39=6%,IF(I39&lt;I53,"Right","Wrong"),"Wrong"),IF(I39&lt;I53,"Right","Wrong"))</f>
        <v>Right</v>
      </c>
      <c r="L41" s="334"/>
      <c r="M41" s="17"/>
      <c r="X41" s="19"/>
      <c r="Y41" s="294"/>
      <c r="AF41" s="20"/>
      <c r="AG41" s="20"/>
      <c r="AN41" s="17"/>
      <c r="AO41" s="53"/>
      <c r="AP41" s="59">
        <v>0.75</v>
      </c>
      <c r="AQ41" s="59">
        <v>1.1000000000000001</v>
      </c>
      <c r="AR41" s="948" t="s">
        <v>1002</v>
      </c>
      <c r="AS41" s="936">
        <v>1420</v>
      </c>
      <c r="AT41" s="59">
        <v>150</v>
      </c>
      <c r="AU41" s="59">
        <v>35000</v>
      </c>
      <c r="AX41" s="299"/>
      <c r="AY41" s="216"/>
      <c r="AZ41" s="53"/>
      <c r="BA41" s="80"/>
      <c r="BB41" s="19"/>
      <c r="BC41" s="19"/>
      <c r="BD41" s="20"/>
      <c r="BE41" s="20"/>
      <c r="BF41" s="20"/>
      <c r="BG41" s="20"/>
      <c r="BH41" s="20"/>
      <c r="BJ41" s="53"/>
      <c r="BK41" s="80"/>
    </row>
    <row r="42" spans="1:63" ht="12" customHeight="1" thickBot="1">
      <c r="A42" s="670"/>
      <c r="B42" s="17"/>
      <c r="C42" s="462"/>
      <c r="D42" s="673"/>
      <c r="E42" s="20"/>
      <c r="F42" s="17"/>
      <c r="G42" s="673"/>
      <c r="H42" s="673"/>
      <c r="I42" s="1169"/>
      <c r="J42" s="310"/>
      <c r="K42" s="951">
        <f>IF(I43="Gear Brake Motor",0,1)</f>
        <v>0</v>
      </c>
      <c r="L42" s="17"/>
      <c r="M42" s="17"/>
      <c r="V42" s="17"/>
      <c r="W42" s="298"/>
      <c r="X42" s="19"/>
      <c r="Y42" s="294"/>
      <c r="AF42" s="20"/>
      <c r="AG42" s="20"/>
      <c r="AN42" s="17"/>
      <c r="AO42" s="53"/>
      <c r="AP42" s="59">
        <v>1.1000000000000001</v>
      </c>
      <c r="AQ42" s="59">
        <v>1.5</v>
      </c>
      <c r="AR42" s="948" t="s">
        <v>1002</v>
      </c>
      <c r="AS42" s="936">
        <v>1420</v>
      </c>
      <c r="AT42" s="59">
        <v>180</v>
      </c>
      <c r="AU42" s="59">
        <v>41000</v>
      </c>
      <c r="AX42" s="299"/>
      <c r="AY42" s="216"/>
      <c r="AZ42" s="53"/>
      <c r="BA42" s="80"/>
      <c r="BB42" s="19"/>
      <c r="BC42" s="19"/>
      <c r="BD42" s="20"/>
      <c r="BE42" s="20"/>
      <c r="BF42" s="20"/>
      <c r="BG42" s="20"/>
      <c r="BH42" s="20"/>
      <c r="BJ42" s="53"/>
      <c r="BK42" s="80"/>
    </row>
    <row r="43" spans="1:63" ht="20.100000000000001" customHeight="1">
      <c r="A43" s="670"/>
      <c r="B43" s="20" t="s">
        <v>836</v>
      </c>
      <c r="C43" s="20"/>
      <c r="D43" s="20"/>
      <c r="E43" s="20"/>
      <c r="F43" s="20"/>
      <c r="G43" s="20"/>
      <c r="H43" s="17"/>
      <c r="I43" s="491" t="str">
        <f>CT_HP!I39</f>
        <v>Gear Brake Motor</v>
      </c>
      <c r="J43" s="326"/>
      <c r="K43" s="3816" t="s">
        <v>838</v>
      </c>
      <c r="L43" s="3817"/>
      <c r="P43" s="2507" t="str">
        <f>HYPERLINK("E:\03 General\Catalogues\PBL\F-SERIES FINAL CATALOGUE.pdf","F-SERIES")</f>
        <v>F-SERIES</v>
      </c>
      <c r="V43" s="17"/>
      <c r="W43" s="303"/>
      <c r="X43" s="19"/>
      <c r="Y43" s="294"/>
      <c r="AF43" s="20"/>
      <c r="AG43" s="20"/>
      <c r="AN43" s="17"/>
      <c r="AO43" s="53"/>
      <c r="AP43" s="59">
        <v>1.5</v>
      </c>
      <c r="AQ43" s="59">
        <v>2.2000000000000002</v>
      </c>
      <c r="AR43" s="936" t="s">
        <v>1003</v>
      </c>
      <c r="AS43" s="936">
        <v>1420</v>
      </c>
      <c r="AT43" s="59">
        <v>200</v>
      </c>
      <c r="AU43" s="59">
        <v>46000</v>
      </c>
      <c r="AX43" s="299"/>
      <c r="AY43" s="216"/>
      <c r="AZ43" s="53"/>
      <c r="BA43" s="80"/>
      <c r="BB43" s="19"/>
      <c r="BC43" s="19"/>
      <c r="BD43" s="20"/>
      <c r="BE43" s="20"/>
      <c r="BF43" s="20"/>
      <c r="BG43" s="20"/>
      <c r="BH43" s="20"/>
      <c r="BJ43" s="53"/>
      <c r="BK43" s="80"/>
    </row>
    <row r="44" spans="1:63" ht="20.100000000000001" customHeight="1" thickBot="1">
      <c r="A44" s="670"/>
      <c r="B44" s="462" t="s">
        <v>258</v>
      </c>
      <c r="C44" s="462"/>
      <c r="D44" s="673"/>
      <c r="E44" s="673"/>
      <c r="F44" s="673"/>
      <c r="G44" s="673"/>
      <c r="H44" s="17"/>
      <c r="I44" s="108" t="str">
        <f>CT_HP!I40</f>
        <v>Sq. Cage Motor</v>
      </c>
      <c r="J44" s="304"/>
      <c r="K44" s="3818" t="s">
        <v>839</v>
      </c>
      <c r="L44" s="3819"/>
      <c r="O44" s="391" t="str">
        <f>HYPERLINK("\\Manish-pc\e\03 General\Manish\Selection\VD_Series_6Pole.pdf","M Sq 6 Pole")</f>
        <v>M Sq 6 Pole</v>
      </c>
      <c r="P44" s="391" t="str">
        <f>HYPERLINK("\\Manish-pc\e\03 General\Manish\Selection\Price_Sheet_2013.pdf","Pr Sheet")</f>
        <v>Pr Sheet</v>
      </c>
      <c r="Q44" s="391" t="str">
        <f>HYPERLINK("\\Manish-pc\e\03 General\Manish\Selection\Slipring_Motor.pdf","M Slip Motor")</f>
        <v>M Slip Motor</v>
      </c>
      <c r="V44" s="17"/>
      <c r="W44" s="298"/>
      <c r="X44" s="19"/>
      <c r="Y44" s="294"/>
      <c r="AF44" s="20"/>
      <c r="AG44" s="20"/>
      <c r="AN44" s="19"/>
      <c r="AO44" s="53"/>
      <c r="AP44" s="59">
        <v>2.2000000000000002</v>
      </c>
      <c r="AQ44" s="59">
        <v>3</v>
      </c>
      <c r="AR44" s="948" t="s">
        <v>1003</v>
      </c>
      <c r="AS44" s="936">
        <v>1420</v>
      </c>
      <c r="AT44" s="59">
        <v>250</v>
      </c>
      <c r="AU44" s="59">
        <v>50000</v>
      </c>
      <c r="AX44" s="299"/>
      <c r="AY44" s="19"/>
      <c r="AZ44" s="53"/>
      <c r="BA44" s="80"/>
      <c r="BB44" s="19"/>
      <c r="BC44" s="19"/>
      <c r="BD44" s="20"/>
      <c r="BE44" s="20"/>
      <c r="BF44" s="20"/>
      <c r="BG44" s="20"/>
      <c r="BH44" s="20"/>
      <c r="BJ44" s="53"/>
      <c r="BK44" s="80"/>
    </row>
    <row r="45" spans="1:63" ht="12.95" customHeight="1" thickBot="1">
      <c r="A45" s="670"/>
      <c r="B45" s="20"/>
      <c r="C45" s="20"/>
      <c r="D45" s="20"/>
      <c r="E45" s="20"/>
      <c r="F45" s="20"/>
      <c r="G45" s="20"/>
      <c r="H45" s="20"/>
      <c r="I45" s="17"/>
      <c r="J45" s="304"/>
      <c r="K45" s="951">
        <f>VLOOKUP(I44,A108:B109,2,0)</f>
        <v>0</v>
      </c>
      <c r="M45" s="17"/>
      <c r="O45" s="391" t="str">
        <f>HYPERLINK("\\Manish-pc\e\03 General\Manish\Selection\M_Sq_Price.pdf","M Sq Pr")</f>
        <v>M Sq Pr</v>
      </c>
      <c r="P45" s="391" t="str">
        <f>HYPERLINK("\\Manish-pc\e\03 General\Manish\Selection\Weight.pdf","Weight")</f>
        <v>Weight</v>
      </c>
      <c r="Q45" s="391" t="str">
        <f>HYPERLINK("\\Manish-pc\e\03 General\Manish\Selection\Marathon_LP.pdf","M Slip Price")</f>
        <v>M Slip Price</v>
      </c>
      <c r="V45" s="17"/>
      <c r="W45" s="303"/>
      <c r="X45" s="19"/>
      <c r="Y45" s="294"/>
      <c r="AF45" s="20"/>
      <c r="AG45" s="20"/>
      <c r="AN45" s="19"/>
      <c r="AO45" s="53"/>
      <c r="AP45" s="59">
        <v>3</v>
      </c>
      <c r="AQ45" s="59">
        <v>4</v>
      </c>
      <c r="AR45" s="936" t="s">
        <v>1004</v>
      </c>
      <c r="AS45" s="936">
        <f t="shared" ref="AS45:AS55" si="2">+AS44</f>
        <v>1420</v>
      </c>
      <c r="AT45" s="59">
        <v>300</v>
      </c>
      <c r="AU45" s="59">
        <v>70000</v>
      </c>
      <c r="AX45" s="299"/>
      <c r="AY45" s="19"/>
      <c r="AZ45" s="53"/>
      <c r="BA45" s="80"/>
      <c r="BB45" s="19"/>
      <c r="BC45" s="19"/>
      <c r="BD45" s="20"/>
      <c r="BE45" s="20"/>
      <c r="BF45" s="20"/>
      <c r="BG45" s="20"/>
      <c r="BH45" s="20"/>
      <c r="BJ45" s="53"/>
      <c r="BK45" s="80"/>
    </row>
    <row r="46" spans="1:63" ht="20.100000000000001" customHeight="1" thickBot="1">
      <c r="A46" s="670"/>
      <c r="B46" s="462" t="s">
        <v>260</v>
      </c>
      <c r="C46" s="462"/>
      <c r="D46" s="673"/>
      <c r="E46" s="673"/>
      <c r="F46" s="673"/>
      <c r="G46" s="673"/>
      <c r="H46" s="17"/>
      <c r="I46" s="506" t="str">
        <f>CT_HP!I42</f>
        <v>PBL</v>
      </c>
      <c r="J46" s="304"/>
      <c r="N46" s="17"/>
      <c r="O46" s="391" t="str">
        <f>HYPERLINK("\\Manish-pc\e\03 General\Manish\Selection\M_Sq_Price.xls","M Sq Pr Exl")</f>
        <v>M Sq Pr Exl</v>
      </c>
      <c r="P46" s="391" t="str">
        <f>HYPERLINK("\\Manish-pc\e\03 General\Manish\Selection\Siemens_Motor.pdf","Sie Nor H-F")</f>
        <v>Sie Nor H-F</v>
      </c>
      <c r="Q46" s="391" t="str">
        <f>HYPERLINK("\\Manish-pc\e\03 General\Manish\Selection\Siemens_F-B.pdf","Siem F-B")</f>
        <v>Siem F-B</v>
      </c>
      <c r="W46" s="298"/>
      <c r="X46" s="19"/>
      <c r="Y46" s="294"/>
      <c r="AF46" s="20"/>
      <c r="AG46" s="20"/>
      <c r="AN46" s="19"/>
      <c r="AO46" s="53"/>
      <c r="AP46" s="59">
        <v>4</v>
      </c>
      <c r="AQ46" s="59">
        <v>5.5</v>
      </c>
      <c r="AR46" s="948" t="s">
        <v>1004</v>
      </c>
      <c r="AS46" s="936">
        <f t="shared" si="2"/>
        <v>1420</v>
      </c>
      <c r="AT46" s="59">
        <v>350</v>
      </c>
      <c r="AU46" s="59">
        <v>80000</v>
      </c>
      <c r="AX46" s="299"/>
      <c r="AY46" s="19"/>
      <c r="AZ46" s="53"/>
      <c r="BA46" s="80"/>
      <c r="BB46" s="19"/>
      <c r="BC46" s="19"/>
      <c r="BD46" s="20"/>
      <c r="BE46" s="20"/>
      <c r="BF46" s="20"/>
      <c r="BG46" s="20"/>
      <c r="BH46" s="20"/>
      <c r="BJ46" s="53"/>
      <c r="BK46" s="80"/>
    </row>
    <row r="47" spans="1:63" ht="20.100000000000001" customHeight="1" thickBot="1">
      <c r="A47" s="670"/>
      <c r="B47" s="462" t="s">
        <v>1006</v>
      </c>
      <c r="C47" s="462"/>
      <c r="D47" s="673"/>
      <c r="E47" s="673"/>
      <c r="F47" s="673"/>
      <c r="G47" s="673"/>
      <c r="H47" s="17"/>
      <c r="I47" s="145">
        <f>CT_HP!I43</f>
        <v>4</v>
      </c>
      <c r="J47" s="20"/>
      <c r="K47" s="951">
        <f>K45</f>
        <v>0</v>
      </c>
      <c r="L47" s="954"/>
      <c r="M47" s="954"/>
      <c r="N47" s="954"/>
      <c r="O47" s="391" t="str">
        <f>HYPERLINK("\\Manish-pc\e\03 General\Manish\Selection\","Selection Folder")</f>
        <v>Selection Folder</v>
      </c>
      <c r="P47" s="397" t="str">
        <f>HYPERLINK("\\Manish-pc\e\03 General\Manish\Selection\Siemens_Price.pdf","Siem Pr 2017")</f>
        <v>Siem Pr 2017</v>
      </c>
      <c r="Q47" s="391" t="str">
        <f>HYPERLINK("\\Manish-pc\e\03 General\Manish\Selection\Siemens_H-F.pdf","Siem H-F")</f>
        <v>Siem H-F</v>
      </c>
      <c r="S47" s="19" t="str">
        <f>CT_HP!S43</f>
        <v>Gear Brake Motor</v>
      </c>
      <c r="W47" s="303"/>
      <c r="X47" s="19"/>
      <c r="Y47" s="294"/>
      <c r="AF47" s="20"/>
      <c r="AG47" s="20"/>
      <c r="AN47" s="17"/>
      <c r="AO47" s="53"/>
      <c r="AP47" s="59">
        <v>5.5</v>
      </c>
      <c r="AQ47" s="59">
        <v>7.5</v>
      </c>
      <c r="AR47" s="936" t="s">
        <v>1005</v>
      </c>
      <c r="AS47" s="936">
        <f t="shared" si="2"/>
        <v>1420</v>
      </c>
      <c r="AT47" s="59">
        <v>400</v>
      </c>
      <c r="AU47" s="59">
        <v>100000</v>
      </c>
      <c r="AX47" s="299"/>
      <c r="AY47" s="19"/>
      <c r="AZ47" s="53"/>
      <c r="BA47" s="80"/>
      <c r="BB47" s="19"/>
      <c r="BC47" s="19"/>
      <c r="BD47" s="20"/>
      <c r="BE47" s="20"/>
      <c r="BF47" s="20"/>
      <c r="BG47" s="20"/>
      <c r="BH47" s="20"/>
      <c r="BJ47" s="53"/>
      <c r="BK47" s="80"/>
    </row>
    <row r="48" spans="1:63" ht="20.100000000000001" customHeight="1">
      <c r="A48" s="670"/>
      <c r="B48" s="462" t="s">
        <v>264</v>
      </c>
      <c r="C48" s="462"/>
      <c r="D48" s="673"/>
      <c r="E48" s="673"/>
      <c r="F48" s="673"/>
      <c r="G48" s="673"/>
      <c r="H48" s="17"/>
      <c r="I48" s="1170" t="str">
        <f>CT_HP!I44</f>
        <v>S1-100</v>
      </c>
      <c r="J48" s="1171"/>
      <c r="K48" s="807" t="s">
        <v>347</v>
      </c>
      <c r="L48" s="360" t="s">
        <v>2593</v>
      </c>
      <c r="M48" s="361" t="s">
        <v>2496</v>
      </c>
      <c r="N48" s="361" t="s">
        <v>119</v>
      </c>
      <c r="O48" s="361" t="s">
        <v>121</v>
      </c>
      <c r="P48" s="361" t="s">
        <v>274</v>
      </c>
      <c r="Q48" s="361" t="s">
        <v>2497</v>
      </c>
      <c r="R48" s="145" t="s">
        <v>451</v>
      </c>
      <c r="S48" s="363"/>
      <c r="W48" s="298"/>
      <c r="X48" s="19"/>
      <c r="Y48" s="294"/>
      <c r="AF48" s="20"/>
      <c r="AG48" s="20"/>
      <c r="AO48" s="216"/>
      <c r="AP48" s="59">
        <v>7.5</v>
      </c>
      <c r="AQ48" s="59">
        <v>9.5</v>
      </c>
      <c r="AR48" s="936" t="s">
        <v>1005</v>
      </c>
      <c r="AS48" s="936">
        <f t="shared" si="2"/>
        <v>1420</v>
      </c>
      <c r="AT48" s="59">
        <v>450</v>
      </c>
      <c r="AU48" s="59">
        <v>150000</v>
      </c>
      <c r="AX48" s="299"/>
      <c r="AY48" s="216"/>
      <c r="AZ48" s="216"/>
      <c r="BA48" s="88"/>
      <c r="BB48" s="19"/>
      <c r="BC48" s="19"/>
      <c r="BD48" s="20"/>
      <c r="BE48" s="20"/>
      <c r="BF48" s="20"/>
      <c r="BG48" s="20"/>
      <c r="BH48" s="20"/>
      <c r="BJ48" s="53"/>
      <c r="BK48" s="80"/>
    </row>
    <row r="49" spans="1:63" ht="20.100000000000001" customHeight="1">
      <c r="A49" s="670"/>
      <c r="B49" s="31" t="s">
        <v>267</v>
      </c>
      <c r="C49" s="20"/>
      <c r="D49" s="20"/>
      <c r="E49" s="20"/>
      <c r="F49" s="20"/>
      <c r="G49" s="20"/>
      <c r="H49" s="17"/>
      <c r="I49" s="197">
        <f>CT_HP!I45</f>
        <v>150</v>
      </c>
      <c r="J49" s="1143"/>
      <c r="K49" s="159" t="s">
        <v>837</v>
      </c>
      <c r="L49" s="145" t="s">
        <v>2594</v>
      </c>
      <c r="M49" s="145">
        <f>AQ57</f>
        <v>1.5</v>
      </c>
      <c r="N49" s="145" t="str">
        <f>AR57</f>
        <v>BF60</v>
      </c>
      <c r="O49" s="145">
        <f>AS57</f>
        <v>1420</v>
      </c>
      <c r="P49" s="145">
        <f>AU57</f>
        <v>41000</v>
      </c>
      <c r="Q49" s="145">
        <f>AT57</f>
        <v>180</v>
      </c>
      <c r="R49" s="131"/>
      <c r="S49" s="53" t="str">
        <f>VLOOKUP(S47,K49:R53,4,0)</f>
        <v>BF60</v>
      </c>
      <c r="W49" s="303"/>
      <c r="X49" s="19"/>
      <c r="Y49" s="294"/>
      <c r="AF49" s="20"/>
      <c r="AG49" s="20"/>
      <c r="AO49" s="216"/>
      <c r="AP49" s="59">
        <v>9.5</v>
      </c>
      <c r="AQ49" s="59">
        <v>11</v>
      </c>
      <c r="AR49" s="936" t="s">
        <v>1005</v>
      </c>
      <c r="AS49" s="936">
        <f t="shared" si="2"/>
        <v>1420</v>
      </c>
      <c r="AT49" s="59">
        <v>500</v>
      </c>
      <c r="AU49" s="59">
        <v>200000</v>
      </c>
      <c r="AX49" s="219"/>
      <c r="AY49" s="53"/>
      <c r="AZ49" s="216"/>
      <c r="BA49" s="218"/>
      <c r="BB49" s="19"/>
      <c r="BC49" s="19"/>
      <c r="BD49" s="20"/>
      <c r="BE49" s="20"/>
      <c r="BF49" s="20"/>
      <c r="BG49" s="20"/>
      <c r="BH49" s="20"/>
      <c r="BJ49" s="53"/>
      <c r="BK49" s="80"/>
    </row>
    <row r="50" spans="1:63" ht="20.100000000000001" customHeight="1">
      <c r="A50" s="670"/>
      <c r="B50" s="1102" t="s">
        <v>840</v>
      </c>
      <c r="C50" s="1102"/>
      <c r="D50" s="1172"/>
      <c r="E50" s="1172"/>
      <c r="F50" s="1172"/>
      <c r="G50" s="1172"/>
      <c r="H50" s="17"/>
      <c r="I50" s="956">
        <v>2</v>
      </c>
      <c r="J50" s="1143"/>
      <c r="K50" s="372" t="str">
        <f>'E Motor &amp; Drive'!AA70</f>
        <v xml:space="preserve">SQ Marathon </v>
      </c>
      <c r="L50" s="372" t="str">
        <f>'E Motor &amp; Drive'!AB70</f>
        <v>S1-100</v>
      </c>
      <c r="M50" s="372" t="b">
        <f>'E Motor &amp; Drive'!AC70</f>
        <v>0</v>
      </c>
      <c r="N50" s="372" t="b">
        <f>'E Motor &amp; Drive'!AD70</f>
        <v>0</v>
      </c>
      <c r="O50" s="372" t="b">
        <f>'E Motor &amp; Drive'!AE70</f>
        <v>0</v>
      </c>
      <c r="P50" s="957">
        <f>L57</f>
        <v>0</v>
      </c>
      <c r="Q50" s="372" t="b">
        <f>'E Motor &amp; Drive'!AG70</f>
        <v>0</v>
      </c>
      <c r="R50" s="374">
        <f>'E Motor &amp; Drive'!AH70</f>
        <v>0.4</v>
      </c>
      <c r="S50" s="53">
        <f>VLOOKUP(S47,K49:R53,3,0)</f>
        <v>1.5</v>
      </c>
      <c r="W50" s="298"/>
      <c r="X50" s="19"/>
      <c r="Y50" s="294"/>
      <c r="AF50" s="20"/>
      <c r="AG50" s="20"/>
      <c r="AO50" s="19"/>
      <c r="AP50" s="59">
        <v>11</v>
      </c>
      <c r="AQ50" s="59">
        <v>15</v>
      </c>
      <c r="AR50" s="936" t="s">
        <v>1005</v>
      </c>
      <c r="AS50" s="936">
        <f t="shared" si="2"/>
        <v>1420</v>
      </c>
      <c r="AT50" s="59">
        <v>550</v>
      </c>
      <c r="AU50" s="59">
        <v>240000</v>
      </c>
      <c r="AX50" s="219"/>
      <c r="AY50" s="53"/>
      <c r="AZ50" s="19"/>
      <c r="BA50" s="80"/>
      <c r="BB50" s="19"/>
      <c r="BC50" s="19"/>
      <c r="BD50" s="20"/>
      <c r="BE50" s="20"/>
      <c r="BF50" s="20"/>
      <c r="BG50" s="20"/>
      <c r="BH50" s="20"/>
      <c r="BJ50" s="53"/>
      <c r="BK50" s="80"/>
    </row>
    <row r="51" spans="1:63" ht="15.95" customHeight="1">
      <c r="A51" s="670"/>
      <c r="K51" s="169" t="str">
        <f>'E Motor &amp; Drive'!AA71</f>
        <v xml:space="preserve">Slipring Marathon </v>
      </c>
      <c r="L51" s="372" t="str">
        <f>'E Motor &amp; Drive'!AB71</f>
        <v>S1-100</v>
      </c>
      <c r="M51" s="372" t="b">
        <f>'E Motor &amp; Drive'!AC71</f>
        <v>0</v>
      </c>
      <c r="N51" s="372" t="b">
        <f>'E Motor &amp; Drive'!AD71</f>
        <v>0</v>
      </c>
      <c r="O51" s="372" t="b">
        <f>'E Motor &amp; Drive'!AE71</f>
        <v>0</v>
      </c>
      <c r="P51" s="373" t="b">
        <f>'E Motor &amp; Drive'!AF71</f>
        <v>0</v>
      </c>
      <c r="Q51" s="372" t="b">
        <f>'E Motor &amp; Drive'!AG71</f>
        <v>0</v>
      </c>
      <c r="R51" s="374">
        <f>'E Motor &amp; Drive'!AH71</f>
        <v>0.4</v>
      </c>
      <c r="S51" s="53">
        <f>VLOOKUP(S47,K49:R53,5,0)</f>
        <v>1420</v>
      </c>
      <c r="W51" s="303"/>
      <c r="X51" s="19"/>
      <c r="Y51" s="294"/>
      <c r="AF51" s="20"/>
      <c r="AG51" s="20"/>
      <c r="AO51" s="19"/>
      <c r="AP51" s="59">
        <v>15</v>
      </c>
      <c r="AQ51" s="59">
        <v>18.5</v>
      </c>
      <c r="AR51" s="936" t="s">
        <v>1005</v>
      </c>
      <c r="AS51" s="936">
        <f t="shared" si="2"/>
        <v>1420</v>
      </c>
      <c r="AT51" s="59">
        <v>600</v>
      </c>
      <c r="AU51" s="59">
        <v>300000</v>
      </c>
      <c r="AX51" s="298"/>
      <c r="AY51" s="53"/>
      <c r="AZ51" s="19"/>
      <c r="BA51" s="80"/>
      <c r="BB51" s="19"/>
      <c r="BC51" s="19"/>
      <c r="BD51" s="20"/>
      <c r="BE51" s="20"/>
      <c r="BF51" s="20"/>
      <c r="BG51" s="20"/>
      <c r="BH51" s="20"/>
      <c r="BJ51" s="53"/>
      <c r="BK51" s="80"/>
    </row>
    <row r="52" spans="1:63" ht="20.100000000000001" customHeight="1">
      <c r="A52" s="670"/>
      <c r="B52" s="462" t="s">
        <v>268</v>
      </c>
      <c r="C52" s="462"/>
      <c r="D52" s="673"/>
      <c r="E52" s="673"/>
      <c r="F52" s="673"/>
      <c r="G52" s="1144"/>
      <c r="I52" s="123" t="s">
        <v>140</v>
      </c>
      <c r="J52" s="1143"/>
      <c r="K52" s="372" t="str">
        <f>'E Motor &amp; Drive'!AA72</f>
        <v>Siemens H/F</v>
      </c>
      <c r="L52" s="372" t="str">
        <f>'E Motor &amp; Drive'!AB72</f>
        <v>S1-100</v>
      </c>
      <c r="M52" s="372" t="b">
        <f>'E Motor &amp; Drive'!AC72</f>
        <v>0</v>
      </c>
      <c r="N52" s="372" t="b">
        <f>'E Motor &amp; Drive'!AD72</f>
        <v>0</v>
      </c>
      <c r="O52" s="372" t="b">
        <f>'E Motor &amp; Drive'!AE72</f>
        <v>0</v>
      </c>
      <c r="P52" s="372" t="b">
        <f>'E Motor &amp; Drive'!AF72</f>
        <v>0</v>
      </c>
      <c r="Q52" s="372" t="b">
        <f>'E Motor &amp; Drive'!AG72</f>
        <v>0</v>
      </c>
      <c r="R52" s="374">
        <f>'E Motor &amp; Drive'!AH72</f>
        <v>0.68</v>
      </c>
      <c r="S52" s="53">
        <f>VLOOKUP(S47,K49:R53,7,0)</f>
        <v>180</v>
      </c>
      <c r="W52" s="298"/>
      <c r="X52" s="19"/>
      <c r="Y52" s="294"/>
      <c r="AF52" s="20"/>
      <c r="AG52" s="20"/>
      <c r="AO52" s="19"/>
      <c r="AP52" s="59">
        <v>18.5</v>
      </c>
      <c r="AQ52" s="59">
        <v>22</v>
      </c>
      <c r="AR52" s="936" t="s">
        <v>1005</v>
      </c>
      <c r="AS52" s="936">
        <f t="shared" si="2"/>
        <v>1420</v>
      </c>
      <c r="AT52" s="59">
        <v>650</v>
      </c>
      <c r="AU52" s="59">
        <v>400000</v>
      </c>
      <c r="AX52" s="298"/>
      <c r="AY52" s="53"/>
      <c r="AZ52" s="19"/>
      <c r="BA52" s="80"/>
      <c r="BB52" s="19"/>
      <c r="BC52" s="19"/>
      <c r="BD52" s="20"/>
      <c r="BE52" s="20"/>
      <c r="BF52" s="20"/>
      <c r="BG52" s="20"/>
      <c r="BH52" s="20"/>
      <c r="BJ52" s="53"/>
      <c r="BK52" s="80"/>
    </row>
    <row r="53" spans="1:63" ht="20.100000000000001" customHeight="1">
      <c r="A53" s="670"/>
      <c r="B53" s="462" t="s">
        <v>1012</v>
      </c>
      <c r="C53" s="462"/>
      <c r="D53" s="1173" t="str">
        <f>'E Data'!D32&amp;"  ©  "</f>
        <v>50  ©  </v>
      </c>
      <c r="E53" s="673"/>
      <c r="F53" s="673"/>
      <c r="G53" s="673"/>
      <c r="H53" s="17"/>
      <c r="I53" s="2593">
        <v>2.2000000000000002</v>
      </c>
      <c r="J53" s="1143"/>
      <c r="K53" s="372" t="str">
        <f>'E Motor &amp; Drive'!AA73</f>
        <v>Siemens F/B</v>
      </c>
      <c r="L53" s="372" t="str">
        <f>'E Motor &amp; Drive'!AB73</f>
        <v>S1-100</v>
      </c>
      <c r="M53" s="372" t="b">
        <f>'E Motor &amp; Drive'!AC73</f>
        <v>0</v>
      </c>
      <c r="N53" s="372" t="b">
        <f>'E Motor &amp; Drive'!AD73</f>
        <v>0</v>
      </c>
      <c r="O53" s="372" t="b">
        <f>'E Motor &amp; Drive'!AE73</f>
        <v>0</v>
      </c>
      <c r="P53" s="372" t="b">
        <f>'E Motor &amp; Drive'!AF73</f>
        <v>0</v>
      </c>
      <c r="Q53" s="372" t="b">
        <f>'E Motor &amp; Drive'!AG73</f>
        <v>0</v>
      </c>
      <c r="R53" s="374">
        <f>'E Motor &amp; Drive'!AH73</f>
        <v>0.68</v>
      </c>
      <c r="S53" s="53">
        <f>VLOOKUP(S47,K49:R53,6,0)</f>
        <v>41000</v>
      </c>
      <c r="W53" s="303"/>
      <c r="X53" s="19"/>
      <c r="Y53" s="294"/>
      <c r="AF53" s="20"/>
      <c r="AG53" s="20"/>
      <c r="AO53" s="19"/>
      <c r="AP53" s="59">
        <v>22</v>
      </c>
      <c r="AQ53" s="59">
        <v>30</v>
      </c>
      <c r="AR53" s="936" t="s">
        <v>1005</v>
      </c>
      <c r="AS53" s="936">
        <f t="shared" si="2"/>
        <v>1420</v>
      </c>
      <c r="AT53" s="59">
        <v>700</v>
      </c>
      <c r="AU53" s="59">
        <v>500000</v>
      </c>
    </row>
    <row r="54" spans="1:63" ht="20.100000000000001" customHeight="1">
      <c r="A54" s="670"/>
      <c r="B54" s="462" t="s">
        <v>1013</v>
      </c>
      <c r="C54" s="462"/>
      <c r="D54" s="673"/>
      <c r="E54" s="673"/>
      <c r="F54" s="673"/>
      <c r="G54" s="673"/>
      <c r="H54" s="17"/>
      <c r="I54" s="1175">
        <v>1440</v>
      </c>
      <c r="J54" s="1143"/>
      <c r="Q54" s="22" t="s">
        <v>2655</v>
      </c>
      <c r="V54" s="17"/>
      <c r="W54" s="298"/>
      <c r="X54" s="19"/>
      <c r="Y54" s="294"/>
      <c r="AF54" s="20"/>
      <c r="AG54" s="20"/>
      <c r="AO54" s="59"/>
      <c r="AP54" s="59">
        <v>30</v>
      </c>
      <c r="AQ54" s="59">
        <v>37</v>
      </c>
      <c r="AR54" s="936" t="s">
        <v>1005</v>
      </c>
      <c r="AS54" s="936">
        <f t="shared" si="2"/>
        <v>1420</v>
      </c>
      <c r="AT54" s="59">
        <v>750</v>
      </c>
      <c r="AU54" s="59">
        <v>550000</v>
      </c>
    </row>
    <row r="55" spans="1:63" ht="17.25" customHeight="1">
      <c r="A55" s="1174"/>
      <c r="B55" s="3723" t="s">
        <v>842</v>
      </c>
      <c r="C55" s="3723"/>
      <c r="D55" s="20"/>
      <c r="E55" s="2508"/>
      <c r="H55" s="437"/>
      <c r="I55" s="1175">
        <v>86</v>
      </c>
      <c r="J55" s="1143"/>
      <c r="K55" s="145" t="s">
        <v>451</v>
      </c>
      <c r="L55" s="381" t="s">
        <v>2591</v>
      </c>
      <c r="M55" s="382" t="s">
        <v>113</v>
      </c>
      <c r="N55" s="382" t="s">
        <v>114</v>
      </c>
      <c r="O55" s="382" t="s">
        <v>115</v>
      </c>
      <c r="P55" s="382" t="s">
        <v>116</v>
      </c>
      <c r="Q55" s="382" t="s">
        <v>117</v>
      </c>
      <c r="R55" s="361"/>
      <c r="U55" s="17"/>
      <c r="V55" s="17"/>
      <c r="W55" s="303"/>
      <c r="X55" s="19"/>
      <c r="Y55" s="294"/>
      <c r="AF55" s="20"/>
      <c r="AG55" s="20"/>
      <c r="AO55" s="19"/>
      <c r="AP55" s="59">
        <v>37</v>
      </c>
      <c r="AQ55" s="59">
        <v>45</v>
      </c>
      <c r="AR55" s="936" t="s">
        <v>1005</v>
      </c>
      <c r="AS55" s="936">
        <f t="shared" si="2"/>
        <v>1420</v>
      </c>
      <c r="AT55" s="59">
        <v>800</v>
      </c>
      <c r="AU55" s="59">
        <v>600000</v>
      </c>
    </row>
    <row r="56" spans="1:63" ht="17.25" customHeight="1">
      <c r="A56" s="1174"/>
      <c r="B56" s="3723" t="s">
        <v>843</v>
      </c>
      <c r="C56" s="3723"/>
      <c r="D56" s="20"/>
      <c r="H56" s="437"/>
      <c r="I56" s="1175">
        <v>52000</v>
      </c>
      <c r="J56" s="1143"/>
      <c r="K56" s="145"/>
      <c r="L56" s="381" t="s">
        <v>2592</v>
      </c>
      <c r="M56" s="145"/>
      <c r="N56" s="145"/>
      <c r="O56" s="145"/>
      <c r="P56" s="145"/>
      <c r="Q56" s="145"/>
      <c r="R56" s="145"/>
      <c r="U56" s="17"/>
      <c r="V56" s="17"/>
      <c r="W56" s="298"/>
      <c r="X56" s="19"/>
      <c r="Y56" s="294"/>
      <c r="AF56" s="20"/>
      <c r="AG56" s="20"/>
      <c r="AO56" s="19"/>
      <c r="AP56" s="59"/>
      <c r="AQ56" s="53"/>
      <c r="AR56" s="59"/>
      <c r="AS56" s="936"/>
      <c r="AT56" s="59"/>
      <c r="AU56" s="59"/>
    </row>
    <row r="57" spans="1:63" ht="20.100000000000001" customHeight="1">
      <c r="A57" s="670"/>
      <c r="B57" s="20"/>
      <c r="C57" s="20"/>
      <c r="D57" s="20"/>
      <c r="E57" s="20"/>
      <c r="F57" s="17"/>
      <c r="G57" s="53" t="s">
        <v>451</v>
      </c>
      <c r="H57" s="959">
        <v>0</v>
      </c>
      <c r="I57" s="1176">
        <f>(100%-H57)*I56</f>
        <v>52000</v>
      </c>
      <c r="J57" s="304"/>
      <c r="K57" s="811">
        <v>0.38500000000000001</v>
      </c>
      <c r="L57" s="385">
        <f>(M57*(1-K57)*1.03)+N57+O57+P57+Q57</f>
        <v>0</v>
      </c>
      <c r="M57" s="145" t="b">
        <f>'E Motor &amp; Drive'!AL70</f>
        <v>0</v>
      </c>
      <c r="N57" s="145">
        <f>'E Motor &amp; Drive'!AM70*0</f>
        <v>0</v>
      </c>
      <c r="O57" s="145" t="b">
        <f>'E Motor &amp; Drive'!AN70</f>
        <v>0</v>
      </c>
      <c r="P57" s="145" t="b">
        <f>'E Motor &amp; Drive'!AO70</f>
        <v>0</v>
      </c>
      <c r="Q57" s="145">
        <f>'E Motor &amp; Drive'!AP70*0</f>
        <v>0</v>
      </c>
      <c r="R57" s="175" t="b">
        <f>'E Motor &amp; Drive'!AQ70</f>
        <v>0</v>
      </c>
      <c r="S57" s="386" t="str">
        <f>IF(L57=P50,"Same","NotSame")</f>
        <v>Same</v>
      </c>
      <c r="U57" s="17"/>
      <c r="V57" s="17"/>
      <c r="W57" s="303"/>
      <c r="X57" s="19"/>
      <c r="Y57" s="294"/>
      <c r="AF57" s="20"/>
      <c r="AG57" s="20"/>
      <c r="AO57" s="53"/>
      <c r="AP57" s="53">
        <f>VLOOKUP(I39,AP35:AP55,1)</f>
        <v>1.1000000000000001</v>
      </c>
      <c r="AQ57" s="53">
        <f>VLOOKUP(AP57,AP35:AQ55,2,0)</f>
        <v>1.5</v>
      </c>
      <c r="AR57" s="53" t="str">
        <f>VLOOKUP(AQ57,AQ35:AR55,2,0)</f>
        <v>BF60</v>
      </c>
      <c r="AS57" s="53">
        <f>VLOOKUP(AQ57,AQ35:AS55,3,0)</f>
        <v>1420</v>
      </c>
      <c r="AT57" s="53">
        <f>VLOOKUP(AQ57,AQ35:AT55,4,0)</f>
        <v>180</v>
      </c>
      <c r="AU57" s="53">
        <f>VLOOKUP(AQ57,AQ35:AU55,5,0)</f>
        <v>41000</v>
      </c>
    </row>
    <row r="58" spans="1:63" ht="12.75" customHeight="1">
      <c r="A58" s="670"/>
      <c r="H58" s="383"/>
      <c r="J58" s="304"/>
      <c r="K58" s="811">
        <v>0.38500000000000001</v>
      </c>
      <c r="L58" s="385">
        <f>M58*(1-K58)</f>
        <v>0</v>
      </c>
      <c r="M58" s="145" t="b">
        <f>'E Motor &amp; Drive'!AL71</f>
        <v>0</v>
      </c>
      <c r="N58" s="145" t="b">
        <f>'E Motor &amp; Drive'!AM71</f>
        <v>0</v>
      </c>
      <c r="O58" s="145" t="b">
        <f>'E Motor &amp; Drive'!AN71</f>
        <v>0</v>
      </c>
      <c r="P58" s="145" t="b">
        <f>'E Motor &amp; Drive'!AO71</f>
        <v>0</v>
      </c>
      <c r="Q58" s="145" t="b">
        <f>'E Motor &amp; Drive'!AP71</f>
        <v>0</v>
      </c>
      <c r="R58" s="175" t="b">
        <f>'E Motor &amp; Drive'!AQ71</f>
        <v>0</v>
      </c>
      <c r="S58" s="386" t="str">
        <f>IF(L58=P51,"Same","NotSame")</f>
        <v>NotSame</v>
      </c>
      <c r="U58" s="17"/>
      <c r="V58" s="17"/>
      <c r="W58" s="298"/>
      <c r="X58" s="19"/>
      <c r="Y58" s="294"/>
      <c r="Z58" s="19"/>
      <c r="AA58" s="19"/>
      <c r="AB58" s="295"/>
      <c r="AC58" s="182"/>
      <c r="AD58" s="20"/>
      <c r="AE58" s="20"/>
      <c r="AF58" s="20"/>
      <c r="AG58" s="20"/>
      <c r="AI58" s="19"/>
      <c r="AJ58" s="19"/>
      <c r="AM58" s="299"/>
      <c r="AO58" s="53"/>
      <c r="AP58" s="80"/>
      <c r="AQ58" s="19"/>
      <c r="AR58" s="345"/>
      <c r="AT58" s="53"/>
    </row>
    <row r="59" spans="1:63" ht="20.100000000000001" customHeight="1">
      <c r="A59" s="670"/>
      <c r="B59" s="1102" t="s">
        <v>277</v>
      </c>
      <c r="C59" s="462"/>
      <c r="D59" s="462"/>
      <c r="E59" s="462"/>
      <c r="F59" s="462"/>
      <c r="G59" s="462"/>
      <c r="H59" s="17"/>
      <c r="I59" s="197" t="s">
        <v>278</v>
      </c>
      <c r="J59" s="1177"/>
      <c r="K59" s="811">
        <v>0.68</v>
      </c>
      <c r="L59" s="385">
        <f>(M59*(1-K59))+N59+O59+P59+Q59</f>
        <v>0</v>
      </c>
      <c r="M59" s="145" t="b">
        <f>'E Motor &amp; Drive'!AL72</f>
        <v>0</v>
      </c>
      <c r="N59" s="145" t="b">
        <f>'E Motor &amp; Drive'!AM72</f>
        <v>0</v>
      </c>
      <c r="O59" s="145" t="b">
        <f>'E Motor &amp; Drive'!AN72</f>
        <v>0</v>
      </c>
      <c r="P59" s="145" t="b">
        <f>'E Motor &amp; Drive'!AO72</f>
        <v>0</v>
      </c>
      <c r="Q59" s="145" t="b">
        <f>'E Motor &amp; Drive'!AP72</f>
        <v>0</v>
      </c>
      <c r="R59" s="175" t="b">
        <f>'E Motor &amp; Drive'!AQ72</f>
        <v>0</v>
      </c>
      <c r="S59" s="386" t="str">
        <f>IF(L59=P52,"Same","NotSame")</f>
        <v>NotSame</v>
      </c>
      <c r="U59" s="17"/>
      <c r="V59" s="17"/>
      <c r="AD59" s="17"/>
      <c r="AE59" s="17"/>
    </row>
    <row r="60" spans="1:63" ht="20.100000000000001" customHeight="1">
      <c r="A60" s="670"/>
      <c r="B60" s="462" t="s">
        <v>279</v>
      </c>
      <c r="C60" s="462"/>
      <c r="D60" s="462"/>
      <c r="E60" s="462"/>
      <c r="F60" s="462"/>
      <c r="G60" s="462"/>
      <c r="H60" s="17"/>
      <c r="I60" s="145" t="s">
        <v>280</v>
      </c>
      <c r="J60" s="20"/>
      <c r="K60" s="811">
        <v>0.68</v>
      </c>
      <c r="L60" s="385">
        <f>(M60*(1-K60))+N60+O60+P60+Q60</f>
        <v>0</v>
      </c>
      <c r="M60" s="145" t="b">
        <f>'E Motor &amp; Drive'!AL73</f>
        <v>0</v>
      </c>
      <c r="N60" s="145" t="b">
        <f>'E Motor &amp; Drive'!AM73</f>
        <v>0</v>
      </c>
      <c r="O60" s="145" t="b">
        <f>'E Motor &amp; Drive'!AN73</f>
        <v>0</v>
      </c>
      <c r="P60" s="145" t="b">
        <f>'E Motor &amp; Drive'!AO73</f>
        <v>0</v>
      </c>
      <c r="Q60" s="145" t="b">
        <f>'E Motor &amp; Drive'!AP73</f>
        <v>0</v>
      </c>
      <c r="R60" s="175" t="b">
        <f>'E Motor &amp; Drive'!AQ73</f>
        <v>0</v>
      </c>
      <c r="S60" s="386" t="str">
        <f>IF(L60=P53,"Same","NotSame")</f>
        <v>NotSame</v>
      </c>
      <c r="T60" s="333"/>
      <c r="U60" s="17"/>
      <c r="V60" s="17"/>
      <c r="AD60" s="17"/>
      <c r="AE60" s="17"/>
    </row>
    <row r="61" spans="1:63" ht="20.100000000000001" customHeight="1" thickBot="1">
      <c r="A61" s="670"/>
      <c r="B61" s="462" t="s">
        <v>281</v>
      </c>
      <c r="I61" s="145" t="s">
        <v>282</v>
      </c>
      <c r="J61" s="304"/>
      <c r="N61" s="398"/>
      <c r="O61" s="301"/>
      <c r="P61" s="223"/>
      <c r="Q61" s="399"/>
      <c r="R61" s="400"/>
      <c r="S61" s="400"/>
      <c r="T61" s="400"/>
      <c r="U61" s="224"/>
      <c r="V61" s="401"/>
      <c r="W61" s="813"/>
      <c r="X61" s="399"/>
      <c r="Y61" s="399"/>
      <c r="Z61" s="399"/>
      <c r="AA61" s="223"/>
      <c r="AB61" s="223"/>
      <c r="AC61" s="223"/>
      <c r="AD61" s="223"/>
      <c r="AE61" s="223"/>
      <c r="AF61" s="223"/>
      <c r="AG61" s="223"/>
      <c r="AH61" s="223"/>
      <c r="AI61" s="223"/>
      <c r="AJ61" s="37"/>
      <c r="AK61" s="37"/>
      <c r="AL61" s="37"/>
      <c r="AM61" s="37"/>
      <c r="AN61" s="37"/>
      <c r="AO61" s="402"/>
      <c r="AP61" s="151"/>
      <c r="AQ61" s="399"/>
      <c r="AR61" s="399"/>
      <c r="AS61" s="223"/>
      <c r="AT61" s="223"/>
      <c r="AU61" s="223"/>
      <c r="AV61" s="223"/>
      <c r="AW61" s="225"/>
    </row>
    <row r="62" spans="1:63" ht="14.65" thickBot="1">
      <c r="A62" s="711"/>
      <c r="J62" s="136"/>
      <c r="K62" s="1178" t="s">
        <v>121</v>
      </c>
      <c r="L62" s="966">
        <f>LT_wh!N56</f>
        <v>28.647822765469822</v>
      </c>
      <c r="N62" s="226"/>
      <c r="O62" s="59"/>
      <c r="P62" s="17"/>
      <c r="Q62" s="404" t="s">
        <v>283</v>
      </c>
      <c r="U62" s="20"/>
      <c r="V62" s="17"/>
      <c r="W62" s="333"/>
      <c r="AA62" s="17"/>
      <c r="AB62" s="17"/>
      <c r="AC62" s="17"/>
      <c r="AD62" s="17"/>
      <c r="AE62" s="17"/>
      <c r="AF62" s="17"/>
      <c r="AG62" s="17"/>
      <c r="AH62" s="17"/>
      <c r="AI62" s="17"/>
      <c r="AJ62" s="20"/>
      <c r="AK62" s="20"/>
      <c r="AL62" s="20"/>
      <c r="AM62" s="20"/>
      <c r="AN62" s="20"/>
      <c r="AO62" s="405"/>
      <c r="AP62" s="153"/>
      <c r="AS62" s="17"/>
      <c r="AT62" s="17"/>
      <c r="AU62" s="17"/>
      <c r="AV62" s="17"/>
      <c r="AW62" s="227"/>
    </row>
    <row r="63" spans="1:63" ht="15" customHeight="1" thickBot="1">
      <c r="A63" s="3982" t="str">
        <f>A1</f>
        <v>MANUFACTURER :</v>
      </c>
      <c r="B63" s="3983"/>
      <c r="C63" s="3983"/>
      <c r="D63" s="3831"/>
      <c r="E63" s="3983" t="str">
        <f>E1</f>
        <v>MECHANISM CALCULATION</v>
      </c>
      <c r="F63" s="3983"/>
      <c r="G63" s="3831"/>
      <c r="H63" s="3983" t="str">
        <f>H1</f>
        <v>CLIENT :</v>
      </c>
      <c r="I63" s="3983"/>
      <c r="J63" s="3984"/>
      <c r="K63" s="1179">
        <f>LT_wh!I49</f>
        <v>31.830914183855359</v>
      </c>
      <c r="L63" s="968">
        <f>LT_wh!N57</f>
        <v>35.0140056022409</v>
      </c>
      <c r="N63" s="226"/>
      <c r="O63" s="19"/>
      <c r="P63" s="19"/>
      <c r="Q63" s="228" t="s">
        <v>285</v>
      </c>
      <c r="R63" s="228" t="s">
        <v>286</v>
      </c>
      <c r="S63" s="228" t="s">
        <v>287</v>
      </c>
      <c r="T63" s="228" t="s">
        <v>288</v>
      </c>
      <c r="U63" s="228" t="s">
        <v>288</v>
      </c>
      <c r="V63" s="228" t="s">
        <v>288</v>
      </c>
      <c r="W63" s="409" t="s">
        <v>2545</v>
      </c>
      <c r="X63" s="229">
        <v>0.28999999999999998</v>
      </c>
      <c r="AA63" s="17"/>
      <c r="AB63" s="17"/>
      <c r="AC63" s="17"/>
      <c r="AD63" s="17"/>
      <c r="AE63" s="17"/>
      <c r="AF63" s="17"/>
      <c r="AG63" s="17"/>
      <c r="AH63" s="17"/>
      <c r="AI63" s="17"/>
      <c r="AJ63" s="20"/>
      <c r="AK63" s="20"/>
      <c r="AL63" s="20"/>
      <c r="AM63" s="20"/>
      <c r="AN63" s="20"/>
      <c r="AO63" s="405"/>
      <c r="AP63" s="153"/>
      <c r="AS63" s="17"/>
      <c r="AT63" s="17"/>
      <c r="AU63" s="17"/>
      <c r="AV63" s="17"/>
      <c r="AW63" s="227"/>
    </row>
    <row r="64" spans="1:63" ht="15" customHeight="1">
      <c r="A64" s="3828" t="s">
        <v>2786</v>
      </c>
      <c r="B64" s="3829"/>
      <c r="C64" s="3829"/>
      <c r="D64" s="3830"/>
      <c r="E64" s="3831" t="str">
        <f>E2</f>
        <v xml:space="preserve">25/15T D/G EOT CRANE  </v>
      </c>
      <c r="F64" s="3832"/>
      <c r="G64" s="3833"/>
      <c r="H64" s="3985">
        <f>H2</f>
        <v>0</v>
      </c>
      <c r="I64" s="3986"/>
      <c r="J64" s="3987"/>
      <c r="K64" s="908">
        <f>+LT_wh!I67</f>
        <v>45.239040000000003</v>
      </c>
      <c r="N64" s="226"/>
      <c r="O64" s="19"/>
      <c r="P64" s="19"/>
      <c r="Q64" s="410"/>
      <c r="R64" s="410"/>
      <c r="S64" s="230"/>
      <c r="T64" s="230" t="s">
        <v>289</v>
      </c>
      <c r="U64" s="230" t="s">
        <v>290</v>
      </c>
      <c r="V64" s="230" t="s">
        <v>291</v>
      </c>
      <c r="W64" s="411" t="s">
        <v>292</v>
      </c>
      <c r="X64" s="411" t="s">
        <v>293</v>
      </c>
      <c r="AA64" s="17"/>
      <c r="AB64" s="17"/>
      <c r="AC64" s="17"/>
      <c r="AD64" s="17"/>
      <c r="AE64" s="17"/>
      <c r="AF64" s="17"/>
      <c r="AG64" s="17"/>
      <c r="AH64" s="17"/>
      <c r="AI64" s="17"/>
      <c r="AJ64" s="20"/>
      <c r="AK64" s="20"/>
      <c r="AL64" s="20"/>
      <c r="AM64" s="20"/>
      <c r="AN64" s="20"/>
      <c r="AO64" s="405"/>
      <c r="AP64" s="412" t="s">
        <v>2406</v>
      </c>
      <c r="AQ64" s="231">
        <f>+AC67</f>
        <v>8.2716029374046993</v>
      </c>
      <c r="AS64" s="17"/>
      <c r="AT64" s="17"/>
      <c r="AU64" s="17"/>
      <c r="AV64" s="17"/>
      <c r="AW64" s="227"/>
    </row>
    <row r="65" spans="1:49" ht="15" customHeight="1">
      <c r="A65" s="3756" t="e">
        <f>A3</f>
        <v>#REF!</v>
      </c>
      <c r="B65" s="3757"/>
      <c r="C65" s="3757"/>
      <c r="D65" s="3758"/>
      <c r="E65" s="3759" t="s">
        <v>122</v>
      </c>
      <c r="F65" s="3760"/>
      <c r="G65" s="3760"/>
      <c r="H65" s="3696" t="s">
        <v>1014</v>
      </c>
      <c r="I65" s="3696"/>
      <c r="J65" s="3813"/>
      <c r="N65" s="226"/>
      <c r="O65" s="19"/>
      <c r="P65" s="179" t="s">
        <v>294</v>
      </c>
      <c r="Q65" s="311"/>
      <c r="R65" s="311"/>
      <c r="S65" s="311"/>
      <c r="T65" s="311"/>
      <c r="U65" s="311"/>
      <c r="V65" s="311"/>
      <c r="W65" s="311"/>
      <c r="X65" s="311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20"/>
      <c r="AK65" s="20"/>
      <c r="AL65" s="20"/>
      <c r="AM65" s="20"/>
      <c r="AN65" s="20"/>
      <c r="AO65" s="405"/>
      <c r="AP65" s="131" t="s">
        <v>2408</v>
      </c>
      <c r="AQ65" s="131" t="s">
        <v>2409</v>
      </c>
      <c r="AR65" s="131" t="s">
        <v>2410</v>
      </c>
      <c r="AS65" s="228" t="s">
        <v>400</v>
      </c>
      <c r="AT65" s="228" t="s">
        <v>275</v>
      </c>
      <c r="AU65" s="228" t="s">
        <v>274</v>
      </c>
      <c r="AV65" s="17"/>
      <c r="AW65" s="227"/>
    </row>
    <row r="66" spans="1:49" ht="15" customHeight="1" thickBot="1">
      <c r="A66" s="313" t="s">
        <v>3</v>
      </c>
      <c r="B66" s="19" t="e">
        <f>B4</f>
        <v>#REF!</v>
      </c>
      <c r="C66" s="19"/>
      <c r="D66" s="297"/>
      <c r="E66" s="3988">
        <f>E4</f>
        <v>0</v>
      </c>
      <c r="F66" s="3989"/>
      <c r="G66" s="3989"/>
      <c r="H66" s="3990"/>
      <c r="I66" s="3990"/>
      <c r="J66" s="3991"/>
      <c r="N66" s="226"/>
      <c r="O66" s="413"/>
      <c r="P66" s="232">
        <v>0</v>
      </c>
      <c r="Q66" s="311">
        <v>8</v>
      </c>
      <c r="R66" s="311">
        <v>160</v>
      </c>
      <c r="S66" s="311">
        <v>36</v>
      </c>
      <c r="T66" s="131">
        <f>IF(M87=1,W66,IF(M87=2,X66/2))</f>
        <v>63982.95</v>
      </c>
      <c r="U66" s="311">
        <v>27800</v>
      </c>
      <c r="V66" s="311">
        <v>36879</v>
      </c>
      <c r="W66" s="385">
        <f>(36145*(1-X63)+(38320))</f>
        <v>63982.95</v>
      </c>
      <c r="X66" s="385">
        <f>((36145*2*(1-X63))+(53240))</f>
        <v>104565.9</v>
      </c>
      <c r="Y66" s="17"/>
      <c r="AA66" s="17"/>
      <c r="AB66" s="414" t="s">
        <v>2407</v>
      </c>
      <c r="AC66" s="233">
        <f>I77</f>
        <v>0.84318072756418949</v>
      </c>
      <c r="AE66" s="17"/>
      <c r="AF66" s="17"/>
      <c r="AG66" s="17"/>
      <c r="AH66" s="17"/>
      <c r="AI66" s="17"/>
      <c r="AJ66" s="20"/>
      <c r="AK66" s="20"/>
      <c r="AL66" s="20"/>
      <c r="AM66" s="20"/>
      <c r="AN66" s="20"/>
      <c r="AO66" s="405"/>
      <c r="AP66" s="131"/>
      <c r="AQ66" s="131"/>
      <c r="AR66" s="131"/>
      <c r="AS66" s="131"/>
      <c r="AT66" s="131"/>
      <c r="AU66" s="131"/>
      <c r="AV66" s="17"/>
      <c r="AW66" s="227"/>
    </row>
    <row r="67" spans="1:49" ht="15" customHeight="1">
      <c r="A67" s="970">
        <v>6</v>
      </c>
      <c r="B67" s="971" t="s">
        <v>1015</v>
      </c>
      <c r="C67" s="972"/>
      <c r="D67" s="972"/>
      <c r="E67" s="972"/>
      <c r="F67" s="972"/>
      <c r="G67" s="972"/>
      <c r="H67" s="972"/>
      <c r="I67" s="972"/>
      <c r="J67" s="1145"/>
      <c r="N67" s="226"/>
      <c r="O67" s="413"/>
      <c r="P67" s="232">
        <v>8</v>
      </c>
      <c r="Q67" s="311">
        <v>13.8</v>
      </c>
      <c r="R67" s="311">
        <v>200</v>
      </c>
      <c r="S67" s="311">
        <v>41</v>
      </c>
      <c r="T67" s="131">
        <f>IF(M87=1,W67,IF(M87=2,X67/2))</f>
        <v>72930.5</v>
      </c>
      <c r="U67" s="311">
        <v>28100</v>
      </c>
      <c r="V67" s="311">
        <v>44420</v>
      </c>
      <c r="W67" s="385">
        <f>(42550*(1-X63))+(42720)</f>
        <v>72930.5</v>
      </c>
      <c r="X67" s="385">
        <f>((42250*2*(1-X63))+(55365))</f>
        <v>115360</v>
      </c>
      <c r="Y67" s="17"/>
      <c r="AA67" s="17"/>
      <c r="AB67" s="414" t="s">
        <v>2406</v>
      </c>
      <c r="AC67" s="234">
        <f>I78</f>
        <v>8.2716029374046993</v>
      </c>
      <c r="AE67" s="17"/>
      <c r="AF67" s="17"/>
      <c r="AG67" s="17"/>
      <c r="AH67" s="17"/>
      <c r="AI67" s="17"/>
      <c r="AJ67" s="20"/>
      <c r="AK67" s="20"/>
      <c r="AL67" s="20"/>
      <c r="AM67" s="20"/>
      <c r="AN67" s="20"/>
      <c r="AO67" s="405"/>
      <c r="AP67" s="145" t="s">
        <v>2434</v>
      </c>
      <c r="AQ67" s="145">
        <v>10</v>
      </c>
      <c r="AR67" s="145" t="s">
        <v>2411</v>
      </c>
      <c r="AS67" s="235">
        <v>200</v>
      </c>
      <c r="AT67" s="235">
        <v>19</v>
      </c>
      <c r="AU67" s="235">
        <v>50000</v>
      </c>
      <c r="AV67" s="216"/>
      <c r="AW67" s="227"/>
    </row>
    <row r="68" spans="1:49" ht="15" customHeight="1">
      <c r="A68" s="36"/>
      <c r="B68" s="20"/>
      <c r="C68" s="20"/>
      <c r="D68" s="20" t="s">
        <v>93</v>
      </c>
      <c r="E68" s="20"/>
      <c r="F68" s="20"/>
      <c r="G68" s="20"/>
      <c r="H68" s="20"/>
      <c r="I68" s="20"/>
      <c r="J68" s="911"/>
      <c r="N68" s="226"/>
      <c r="O68" s="413"/>
      <c r="P68" s="232">
        <v>13.8</v>
      </c>
      <c r="Q68" s="311">
        <v>27.7</v>
      </c>
      <c r="R68" s="311">
        <v>250</v>
      </c>
      <c r="S68" s="311">
        <v>71</v>
      </c>
      <c r="T68" s="131">
        <f>IF(M87=1,W68,IF(M87=2,X68/2))</f>
        <v>82420.399999999994</v>
      </c>
      <c r="U68" s="311">
        <v>44200</v>
      </c>
      <c r="V68" s="311">
        <v>50770</v>
      </c>
      <c r="W68" s="385">
        <f>(52240*(1-X63))+(45330)</f>
        <v>82420.399999999994</v>
      </c>
      <c r="X68" s="385">
        <f>((52240*2*(1-X63))+(62610))</f>
        <v>136790.79999999999</v>
      </c>
      <c r="Y68" s="17"/>
      <c r="AA68" s="415" t="s">
        <v>314</v>
      </c>
      <c r="AB68" s="236" t="s">
        <v>315</v>
      </c>
      <c r="AC68" s="236" t="s">
        <v>316</v>
      </c>
      <c r="AE68" s="17"/>
      <c r="AF68" s="237" t="s">
        <v>298</v>
      </c>
      <c r="AG68" s="237"/>
      <c r="AH68" s="237"/>
      <c r="AI68" s="237"/>
      <c r="AJ68" s="237"/>
      <c r="AK68" s="237"/>
      <c r="AL68" s="238"/>
      <c r="AM68" s="238"/>
      <c r="AN68" s="416"/>
      <c r="AO68" s="405"/>
      <c r="AP68" s="145" t="s">
        <v>2435</v>
      </c>
      <c r="AQ68" s="145">
        <v>20</v>
      </c>
      <c r="AR68" s="145" t="s">
        <v>2412</v>
      </c>
      <c r="AS68" s="311">
        <v>200</v>
      </c>
      <c r="AT68" s="235">
        <v>19</v>
      </c>
      <c r="AU68" s="235">
        <f>+AU67+5000</f>
        <v>55000</v>
      </c>
      <c r="AV68" s="216"/>
      <c r="AW68" s="227"/>
    </row>
    <row r="69" spans="1:49" ht="15" customHeight="1">
      <c r="A69" s="313"/>
      <c r="C69" s="20" t="s">
        <v>296</v>
      </c>
      <c r="D69" s="20"/>
      <c r="E69" s="20"/>
      <c r="F69" s="306" t="s">
        <v>297</v>
      </c>
      <c r="G69" s="20"/>
      <c r="H69" s="20"/>
      <c r="I69" s="54"/>
      <c r="J69" s="911"/>
      <c r="N69" s="226"/>
      <c r="O69" s="413"/>
      <c r="P69" s="232">
        <v>27.7</v>
      </c>
      <c r="Q69" s="311">
        <v>76</v>
      </c>
      <c r="R69" s="311">
        <v>300</v>
      </c>
      <c r="S69" s="311">
        <v>95</v>
      </c>
      <c r="T69" s="131">
        <f>IF(M87=1,W69,IF(M87=2,X69/2))</f>
        <v>109832.75</v>
      </c>
      <c r="U69" s="311">
        <v>46500</v>
      </c>
      <c r="V69" s="311">
        <v>65753</v>
      </c>
      <c r="W69" s="385">
        <f>(85525*(1-X63))+(49110)</f>
        <v>109832.75</v>
      </c>
      <c r="X69" s="311">
        <f>((85525*2*(1-X63))+(72115))</f>
        <v>193560.5</v>
      </c>
      <c r="Y69" s="17"/>
      <c r="AA69" s="311"/>
      <c r="AB69" s="228"/>
      <c r="AC69" s="311">
        <f>VLOOKUP(AC70,AF71:AG90,2,0)</f>
        <v>250</v>
      </c>
      <c r="AE69" s="17"/>
      <c r="AF69" s="228"/>
      <c r="AG69" s="179" t="s">
        <v>300</v>
      </c>
      <c r="AH69" s="239" t="s">
        <v>301</v>
      </c>
      <c r="AI69" s="179"/>
      <c r="AJ69" s="416"/>
      <c r="AK69" s="416"/>
      <c r="AL69" s="417" t="s">
        <v>302</v>
      </c>
      <c r="AM69" s="417"/>
      <c r="AN69" s="416"/>
      <c r="AO69" s="405"/>
      <c r="AP69" s="145" t="s">
        <v>2436</v>
      </c>
      <c r="AQ69" s="145">
        <v>10</v>
      </c>
      <c r="AR69" s="145" t="s">
        <v>2413</v>
      </c>
      <c r="AS69" s="311">
        <v>250</v>
      </c>
      <c r="AT69" s="235">
        <v>30</v>
      </c>
      <c r="AU69" s="235">
        <v>60000</v>
      </c>
      <c r="AV69" s="216"/>
      <c r="AW69" s="227"/>
    </row>
    <row r="70" spans="1:49" ht="15" customHeight="1">
      <c r="A70" s="36"/>
      <c r="B70" s="20"/>
      <c r="C70" s="20"/>
      <c r="D70" s="20"/>
      <c r="E70" s="20"/>
      <c r="F70" s="20"/>
      <c r="G70" s="20" t="s">
        <v>299</v>
      </c>
      <c r="H70" s="20"/>
      <c r="I70" s="20"/>
      <c r="J70" s="911"/>
      <c r="N70" s="153"/>
      <c r="O70" s="413"/>
      <c r="P70" s="232">
        <v>76</v>
      </c>
      <c r="Q70" s="311">
        <v>138.30000000000001</v>
      </c>
      <c r="R70" s="311">
        <v>400</v>
      </c>
      <c r="S70" s="311">
        <f>1*240</f>
        <v>240</v>
      </c>
      <c r="T70" s="131">
        <f>IF(M87=1,W70,IF(M87=2,X70/2))</f>
        <v>154287.15</v>
      </c>
      <c r="U70" s="311">
        <v>82300</v>
      </c>
      <c r="V70" s="311">
        <v>93272</v>
      </c>
      <c r="W70" s="385">
        <f>(137665*(1-X63))+(56545)</f>
        <v>154287.15</v>
      </c>
      <c r="X70" s="385">
        <f>((137665*2*(1-X63))+(79235))</f>
        <v>274719.3</v>
      </c>
      <c r="Y70" s="17"/>
      <c r="AA70" s="160" t="s">
        <v>329</v>
      </c>
      <c r="AB70" s="228">
        <f>VLOOKUP(AC66,R79:R92,1)</f>
        <v>0</v>
      </c>
      <c r="AC70" s="418">
        <f>VLOOKUP(AC67,AF71:AF90,1)</f>
        <v>0</v>
      </c>
      <c r="AE70" s="17"/>
      <c r="AF70" s="228" t="s">
        <v>118</v>
      </c>
      <c r="AG70" s="179" t="s">
        <v>304</v>
      </c>
      <c r="AH70" s="419"/>
      <c r="AI70" s="179" t="s">
        <v>305</v>
      </c>
      <c r="AJ70" s="29" t="s">
        <v>275</v>
      </c>
      <c r="AK70" s="416" t="s">
        <v>274</v>
      </c>
      <c r="AL70" s="29" t="s">
        <v>306</v>
      </c>
      <c r="AM70" s="29" t="s">
        <v>307</v>
      </c>
      <c r="AN70" s="416"/>
      <c r="AO70" s="405"/>
      <c r="AP70" s="145" t="s">
        <v>2437</v>
      </c>
      <c r="AQ70" s="145">
        <v>20</v>
      </c>
      <c r="AR70" s="145" t="s">
        <v>2414</v>
      </c>
      <c r="AS70" s="311">
        <v>250</v>
      </c>
      <c r="AT70" s="235">
        <v>30</v>
      </c>
      <c r="AU70" s="235">
        <f>+AU69+5000</f>
        <v>65000</v>
      </c>
      <c r="AV70" s="216"/>
      <c r="AW70" s="227"/>
    </row>
    <row r="71" spans="1:49" ht="15" customHeight="1">
      <c r="A71" s="36"/>
      <c r="B71" s="20"/>
      <c r="C71" s="20"/>
      <c r="D71" s="20"/>
      <c r="E71" s="20"/>
      <c r="F71" s="20"/>
      <c r="G71" s="20"/>
      <c r="H71" s="462"/>
      <c r="I71" s="20"/>
      <c r="J71" s="911"/>
      <c r="N71" s="153"/>
      <c r="O71" s="413"/>
      <c r="P71" s="232">
        <v>138.30000000000001</v>
      </c>
      <c r="Q71" s="311">
        <v>277</v>
      </c>
      <c r="R71" s="311">
        <v>500</v>
      </c>
      <c r="S71" s="311">
        <f>1*310</f>
        <v>310</v>
      </c>
      <c r="T71" s="131">
        <f>IF(M87=1,W71,IF(M87=2,X71/2))</f>
        <v>224592.75</v>
      </c>
      <c r="U71" s="311">
        <v>122100</v>
      </c>
      <c r="V71" s="311">
        <v>144990</v>
      </c>
      <c r="W71" s="385">
        <f>(220025*(1-X63))+(68375)</f>
        <v>224592.75</v>
      </c>
      <c r="X71" s="311">
        <f>((220025*2*(1-X63))+(100105))</f>
        <v>412540.5</v>
      </c>
      <c r="Y71" s="17"/>
      <c r="AA71" s="421" t="s">
        <v>331</v>
      </c>
      <c r="AB71" s="179">
        <f>VLOOKUP(AB70,R79:S92,2,0)</f>
        <v>9</v>
      </c>
      <c r="AC71" s="179" t="str">
        <f>VLOOKUP(AC69,AG71:AH90,2,0)</f>
        <v>25-250</v>
      </c>
      <c r="AE71" s="17"/>
      <c r="AF71" s="240">
        <v>0</v>
      </c>
      <c r="AG71" s="179">
        <v>250</v>
      </c>
      <c r="AH71" s="179" t="s">
        <v>309</v>
      </c>
      <c r="AI71" s="179">
        <v>160</v>
      </c>
      <c r="AJ71" s="29">
        <v>23</v>
      </c>
      <c r="AK71" s="416">
        <v>24593</v>
      </c>
      <c r="AL71" s="416" t="s">
        <v>2518</v>
      </c>
      <c r="AM71" s="416" t="str">
        <f>"N(NV)."&amp;AI71&amp;"."&amp;AL71</f>
        <v>N(NV).160.HYD.023/05</v>
      </c>
      <c r="AN71" s="416"/>
      <c r="AO71" s="405"/>
      <c r="AP71" s="145" t="s">
        <v>2438</v>
      </c>
      <c r="AQ71" s="145">
        <v>30</v>
      </c>
      <c r="AR71" s="145" t="s">
        <v>2415</v>
      </c>
      <c r="AS71" s="311">
        <v>250</v>
      </c>
      <c r="AT71" s="235">
        <v>30</v>
      </c>
      <c r="AU71" s="235">
        <v>70000</v>
      </c>
      <c r="AV71" s="216"/>
      <c r="AW71" s="227"/>
    </row>
    <row r="72" spans="1:49" ht="15" customHeight="1">
      <c r="A72" s="36"/>
      <c r="B72" s="20"/>
      <c r="C72" s="20" t="s">
        <v>848</v>
      </c>
      <c r="D72" s="20"/>
      <c r="E72" s="20"/>
      <c r="F72" s="20"/>
      <c r="G72" s="20"/>
      <c r="H72" s="462"/>
      <c r="I72" s="302">
        <f>I38*I36/I27/I26</f>
        <v>0.99625045964507319</v>
      </c>
      <c r="J72" s="326"/>
      <c r="N72" s="153"/>
      <c r="O72" s="413"/>
      <c r="P72" s="232">
        <v>277</v>
      </c>
      <c r="Q72" s="311">
        <v>555</v>
      </c>
      <c r="R72" s="311">
        <v>600</v>
      </c>
      <c r="S72" s="311">
        <f>1*410</f>
        <v>410</v>
      </c>
      <c r="T72" s="131">
        <f>IF(M87=1,W72,IF(M87=2,X72/2))</f>
        <v>337559.6</v>
      </c>
      <c r="U72" s="311">
        <v>154900</v>
      </c>
      <c r="V72" s="311">
        <v>220990</v>
      </c>
      <c r="W72" s="385">
        <f>(351260*(1-X63))+(88165)</f>
        <v>337559.6</v>
      </c>
      <c r="X72" s="385">
        <f>((351260*2*(1-X63))+(126555))</f>
        <v>625344.19999999995</v>
      </c>
      <c r="Y72" s="17"/>
      <c r="AA72" s="421" t="s">
        <v>337</v>
      </c>
      <c r="AB72" s="179">
        <f>VLOOKUP(AB71,S79:T92,2,0)</f>
        <v>18</v>
      </c>
      <c r="AC72" s="241" t="str">
        <f>VLOOKUP(AC69,AG71:AL90,6,0)</f>
        <v>HYD.023/05</v>
      </c>
      <c r="AE72" s="17"/>
      <c r="AF72" s="242">
        <v>250</v>
      </c>
      <c r="AG72" s="179">
        <v>310</v>
      </c>
      <c r="AH72" s="179" t="s">
        <v>311</v>
      </c>
      <c r="AI72" s="179">
        <v>200</v>
      </c>
      <c r="AJ72" s="29">
        <v>27</v>
      </c>
      <c r="AK72" s="416">
        <v>28500</v>
      </c>
      <c r="AL72" s="416" t="s">
        <v>2518</v>
      </c>
      <c r="AM72" s="416" t="str">
        <f t="shared" ref="AM72:AM90" si="3">"N(NV)."&amp;AI72&amp;"."&amp;AL72</f>
        <v>N(NV).200.HYD.023/05</v>
      </c>
      <c r="AN72" s="416"/>
      <c r="AO72" s="405"/>
      <c r="AP72" s="145" t="s">
        <v>2439</v>
      </c>
      <c r="AQ72" s="145">
        <v>10</v>
      </c>
      <c r="AR72" s="145" t="s">
        <v>2416</v>
      </c>
      <c r="AS72" s="311">
        <v>315</v>
      </c>
      <c r="AT72" s="235">
        <v>50</v>
      </c>
      <c r="AU72" s="235">
        <f>+AU71+5000</f>
        <v>75000</v>
      </c>
      <c r="AV72" s="216"/>
      <c r="AW72" s="227"/>
    </row>
    <row r="73" spans="1:49" ht="15" customHeight="1">
      <c r="A73" s="313"/>
      <c r="B73" s="20"/>
      <c r="C73" s="20" t="s">
        <v>1016</v>
      </c>
      <c r="D73" s="20"/>
      <c r="E73" s="182"/>
      <c r="F73" s="20"/>
      <c r="G73" s="20"/>
      <c r="H73" s="462"/>
      <c r="I73" s="1067">
        <f>I54</f>
        <v>1440</v>
      </c>
      <c r="J73" s="326"/>
      <c r="N73" s="153"/>
      <c r="O73" s="422"/>
      <c r="X73" s="19"/>
      <c r="Y73" s="17"/>
      <c r="AA73" s="421" t="s">
        <v>341</v>
      </c>
      <c r="AB73" s="179">
        <f>VLOOKUP(AB71,S79:U92,3,0)</f>
        <v>160</v>
      </c>
      <c r="AC73" s="179">
        <f>VLOOKUP(AC69,AG71:AI90,3,0)</f>
        <v>160</v>
      </c>
      <c r="AE73" s="17"/>
      <c r="AF73" s="242">
        <v>310</v>
      </c>
      <c r="AG73" s="179">
        <v>400</v>
      </c>
      <c r="AH73" s="179" t="s">
        <v>313</v>
      </c>
      <c r="AI73" s="179">
        <v>200</v>
      </c>
      <c r="AJ73" s="29">
        <v>31</v>
      </c>
      <c r="AK73" s="416">
        <f t="shared" ref="AK73" si="4">AK72</f>
        <v>28500</v>
      </c>
      <c r="AL73" s="416" t="s">
        <v>2519</v>
      </c>
      <c r="AM73" s="416" t="str">
        <f t="shared" si="3"/>
        <v>N(NV).200.HYD.030/05</v>
      </c>
      <c r="AN73" s="416"/>
      <c r="AO73" s="405"/>
      <c r="AP73" s="145" t="s">
        <v>2440</v>
      </c>
      <c r="AQ73" s="145">
        <v>20</v>
      </c>
      <c r="AR73" s="145" t="s">
        <v>2417</v>
      </c>
      <c r="AS73" s="311">
        <v>315</v>
      </c>
      <c r="AT73" s="235">
        <v>50</v>
      </c>
      <c r="AU73" s="235">
        <f>+AU72+5000</f>
        <v>80000</v>
      </c>
      <c r="AV73" s="216"/>
      <c r="AW73" s="227"/>
    </row>
    <row r="74" spans="1:49" ht="15" customHeight="1">
      <c r="A74" s="36"/>
      <c r="B74" s="20"/>
      <c r="C74" s="20" t="s">
        <v>850</v>
      </c>
      <c r="D74" s="20"/>
      <c r="E74" s="20"/>
      <c r="F74" s="20"/>
      <c r="G74" s="20"/>
      <c r="H74" s="462"/>
      <c r="I74" s="19" t="str">
        <f>IF(H81="EHT + DCEM",1.25,IF(H90=1,"1.5",IF(H90&gt;1,"1.25",0)))</f>
        <v>1.25</v>
      </c>
      <c r="J74" s="326"/>
      <c r="N74" s="153"/>
      <c r="O74" s="422"/>
      <c r="Q74" s="17"/>
      <c r="X74" s="17"/>
      <c r="AA74" s="160" t="s">
        <v>344</v>
      </c>
      <c r="AB74" s="179">
        <f>VLOOKUP(AB71,S79:W92,5,0)</f>
        <v>20</v>
      </c>
      <c r="AC74" s="179">
        <f>VLOOKUP(AC69,AG71:AJ90,4,0)</f>
        <v>23</v>
      </c>
      <c r="AE74" s="17"/>
      <c r="AF74" s="242">
        <v>400</v>
      </c>
      <c r="AG74" s="179">
        <v>330</v>
      </c>
      <c r="AH74" s="179" t="s">
        <v>317</v>
      </c>
      <c r="AI74" s="179">
        <v>250</v>
      </c>
      <c r="AJ74" s="29">
        <v>35</v>
      </c>
      <c r="AK74" s="416">
        <v>33200</v>
      </c>
      <c r="AL74" s="416" t="s">
        <v>2518</v>
      </c>
      <c r="AM74" s="416" t="str">
        <f t="shared" si="3"/>
        <v>N(NV).250.HYD.023/05</v>
      </c>
      <c r="AN74" s="416"/>
      <c r="AO74" s="405"/>
      <c r="AP74" s="145" t="s">
        <v>2441</v>
      </c>
      <c r="AQ74" s="145">
        <v>30</v>
      </c>
      <c r="AR74" s="145" t="s">
        <v>2418</v>
      </c>
      <c r="AS74" s="311">
        <v>315</v>
      </c>
      <c r="AT74" s="235">
        <v>50</v>
      </c>
      <c r="AU74" s="235">
        <f>+AU73+5000</f>
        <v>85000</v>
      </c>
      <c r="AV74" s="216"/>
      <c r="AW74" s="227"/>
    </row>
    <row r="75" spans="1:49" ht="15" customHeight="1">
      <c r="A75" s="36"/>
      <c r="B75" s="20" t="s">
        <v>525</v>
      </c>
      <c r="C75" s="20"/>
      <c r="D75" s="20"/>
      <c r="E75" s="20"/>
      <c r="F75" s="20"/>
      <c r="G75" s="20"/>
      <c r="H75" s="462"/>
      <c r="I75" s="19"/>
      <c r="J75" s="974"/>
      <c r="N75" s="391" t="str">
        <f>HYPERLINK("\\Manish-pc\e\03 General\Manish\Selection\","Selection Folder")</f>
        <v>Selection Folder</v>
      </c>
      <c r="O75" s="59"/>
      <c r="P75" s="391" t="str">
        <f>HYPERLINK("\\Manish-pc\e\03 General\Manish\Selection\Sibre_Thruster_Drum_Brake.pdf","Sibre EHT")</f>
        <v>Sibre EHT</v>
      </c>
      <c r="R75" s="423" t="s">
        <v>318</v>
      </c>
      <c r="S75" s="424" t="s">
        <v>319</v>
      </c>
      <c r="T75" s="424"/>
      <c r="U75" s="424"/>
      <c r="V75" s="424"/>
      <c r="W75" s="424"/>
      <c r="X75" s="424"/>
      <c r="Y75" s="425" t="s">
        <v>274</v>
      </c>
      <c r="AA75" s="160" t="s">
        <v>350</v>
      </c>
      <c r="AB75" s="179">
        <f>VLOOKUP(AB73,AA82:AB90,2,0)</f>
        <v>13.7</v>
      </c>
      <c r="AC75" s="179">
        <f>VLOOKUP(AC73,AA82:AB90,2,0)</f>
        <v>13.7</v>
      </c>
      <c r="AD75" s="167" t="s">
        <v>345</v>
      </c>
      <c r="AE75" s="17"/>
      <c r="AF75" s="242">
        <v>330</v>
      </c>
      <c r="AG75" s="179">
        <v>440</v>
      </c>
      <c r="AH75" s="179" t="s">
        <v>320</v>
      </c>
      <c r="AI75" s="179">
        <v>250</v>
      </c>
      <c r="AJ75" s="29">
        <v>39</v>
      </c>
      <c r="AK75" s="416">
        <f>AK74</f>
        <v>33200</v>
      </c>
      <c r="AL75" s="416" t="s">
        <v>2518</v>
      </c>
      <c r="AM75" s="416" t="str">
        <f t="shared" si="3"/>
        <v>N(NV).250.HYD.023/05</v>
      </c>
      <c r="AN75" s="416"/>
      <c r="AO75" s="405"/>
      <c r="AP75" s="145" t="s">
        <v>2442</v>
      </c>
      <c r="AQ75" s="145">
        <v>40</v>
      </c>
      <c r="AR75" s="145" t="s">
        <v>2419</v>
      </c>
      <c r="AS75" s="311">
        <v>315</v>
      </c>
      <c r="AT75" s="235">
        <v>50</v>
      </c>
      <c r="AU75" s="235">
        <f>+AU74+5000</f>
        <v>90000</v>
      </c>
      <c r="AV75" s="216"/>
      <c r="AW75" s="227"/>
    </row>
    <row r="76" spans="1:49" ht="15" customHeight="1">
      <c r="A76" s="36"/>
      <c r="B76" s="20"/>
      <c r="C76" s="20" t="s">
        <v>851</v>
      </c>
      <c r="D76" s="20"/>
      <c r="E76" s="20"/>
      <c r="F76" s="20"/>
      <c r="G76" s="20"/>
      <c r="H76" s="462"/>
      <c r="I76" s="2453">
        <f>975*I72*I74/I73</f>
        <v>0.84318072756418949</v>
      </c>
      <c r="J76" s="304" t="s">
        <v>1017</v>
      </c>
      <c r="N76" s="429" t="str">
        <f>HYPERLINK("\\Manish-pc\e\03 General\Manish\Selection\Price_Sheet_2013.pdf","Price Sheet")</f>
        <v>Price Sheet</v>
      </c>
      <c r="O76" s="391" t="str">
        <f>HYPERLINK("\\Manish-pc\e\03 General\Manish\Selection\BCH_DCEM_Brake.pdf","BCH")</f>
        <v>BCH</v>
      </c>
      <c r="P76" s="391" t="str">
        <f>HYPERLINK("\\Manish-pc\e\03 General\Manish\Selection\SNT_Brake.pdf","SNT Brake")</f>
        <v>SNT Brake</v>
      </c>
      <c r="R76" s="423"/>
      <c r="S76" s="430" t="s">
        <v>323</v>
      </c>
      <c r="T76" s="430" t="s">
        <v>324</v>
      </c>
      <c r="U76" s="430" t="s">
        <v>325</v>
      </c>
      <c r="V76" s="430" t="s">
        <v>100</v>
      </c>
      <c r="W76" s="430" t="s">
        <v>326</v>
      </c>
      <c r="X76" s="431" t="s">
        <v>327</v>
      </c>
      <c r="Y76" s="425" t="s">
        <v>328</v>
      </c>
      <c r="AA76" s="160" t="s">
        <v>354</v>
      </c>
      <c r="AB76" s="179">
        <f>VLOOKUP(AB71,S79:Y92,7,0)</f>
        <v>7892.4999999999991</v>
      </c>
      <c r="AC76" s="179">
        <f>VLOOKUP(AC69,AG71:AK90,5,0)</f>
        <v>24593</v>
      </c>
      <c r="AD76" s="145" t="s">
        <v>290</v>
      </c>
      <c r="AE76" s="17"/>
      <c r="AF76" s="242">
        <v>440</v>
      </c>
      <c r="AG76" s="179">
        <v>720</v>
      </c>
      <c r="AH76" s="179" t="s">
        <v>330</v>
      </c>
      <c r="AI76" s="179">
        <v>250</v>
      </c>
      <c r="AJ76" s="29">
        <v>51</v>
      </c>
      <c r="AK76" s="416">
        <f>AK75</f>
        <v>33200</v>
      </c>
      <c r="AL76" s="416" t="s">
        <v>2520</v>
      </c>
      <c r="AM76" s="416" t="str">
        <f t="shared" si="3"/>
        <v>N(NV).250.HYD.050/06</v>
      </c>
      <c r="AN76" s="416"/>
      <c r="AO76" s="405"/>
      <c r="AP76" s="145" t="s">
        <v>2443</v>
      </c>
      <c r="AQ76" s="145">
        <v>20</v>
      </c>
      <c r="AR76" s="145" t="s">
        <v>2420</v>
      </c>
      <c r="AS76" s="311">
        <v>400</v>
      </c>
      <c r="AT76" s="235">
        <v>85</v>
      </c>
      <c r="AU76" s="235">
        <v>100000</v>
      </c>
      <c r="AV76" s="216"/>
      <c r="AW76" s="227"/>
    </row>
    <row r="77" spans="1:49" ht="15" customHeight="1">
      <c r="A77" s="36"/>
      <c r="B77" s="20"/>
      <c r="C77" s="20"/>
      <c r="D77" s="20"/>
      <c r="E77" s="20"/>
      <c r="F77" s="1180"/>
      <c r="G77" s="416" t="s">
        <v>250</v>
      </c>
      <c r="H77" s="427">
        <v>0</v>
      </c>
      <c r="I77" s="975">
        <f>I76*H77+I76</f>
        <v>0.84318072756418949</v>
      </c>
      <c r="J77" s="304" t="s">
        <v>304</v>
      </c>
      <c r="N77" s="429" t="str">
        <f>HYPERLINK("\\Manish-pc\e\03 General\Manish\Selection\BCH_ Price.pdf","BCH Price")</f>
        <v>BCH Price</v>
      </c>
      <c r="O77" s="391" t="str">
        <f>HYPERLINK("\\Manish-pc\e\03 General\Manish\Selection\SOC_Brake.pdf","SOC Brake")</f>
        <v>SOC Brake</v>
      </c>
      <c r="P77" s="391" t="str">
        <f>HYPERLINK("\\Manish-pc\e\03 General\Manish\Selection\Galvi_EHT_Brake.pdf","Galvi")</f>
        <v>Galvi</v>
      </c>
      <c r="R77" s="29"/>
      <c r="S77" s="311"/>
      <c r="T77" s="311"/>
      <c r="U77" s="311"/>
      <c r="V77" s="311"/>
      <c r="W77" s="311"/>
      <c r="X77" s="311"/>
      <c r="Y77" s="29"/>
      <c r="AA77" s="160" t="s">
        <v>358</v>
      </c>
      <c r="AB77" s="179">
        <f>VLOOKUP(AB73,AA82:AC90,3,0)</f>
        <v>2857</v>
      </c>
      <c r="AC77" s="179">
        <f>VLOOKUP(AC73,AA82:AC90,3,0)</f>
        <v>2857</v>
      </c>
      <c r="AD77" s="171" t="s">
        <v>298</v>
      </c>
      <c r="AE77" s="17"/>
      <c r="AF77" s="242">
        <v>720</v>
      </c>
      <c r="AG77" s="179">
        <v>520</v>
      </c>
      <c r="AH77" s="179" t="s">
        <v>332</v>
      </c>
      <c r="AI77" s="179">
        <v>315</v>
      </c>
      <c r="AJ77" s="29">
        <v>60</v>
      </c>
      <c r="AK77" s="416">
        <v>39250</v>
      </c>
      <c r="AL77" s="416" t="s">
        <v>2519</v>
      </c>
      <c r="AM77" s="416" t="str">
        <f t="shared" si="3"/>
        <v>N(NV).315.HYD.030/05</v>
      </c>
      <c r="AN77" s="416"/>
      <c r="AO77" s="405"/>
      <c r="AP77" s="145" t="s">
        <v>2444</v>
      </c>
      <c r="AQ77" s="145">
        <v>30</v>
      </c>
      <c r="AR77" s="145" t="s">
        <v>2421</v>
      </c>
      <c r="AS77" s="311">
        <v>400</v>
      </c>
      <c r="AT77" s="235">
        <v>85</v>
      </c>
      <c r="AU77" s="235">
        <f>+AU76+5000</f>
        <v>105000</v>
      </c>
      <c r="AV77" s="216"/>
      <c r="AW77" s="227"/>
    </row>
    <row r="78" spans="1:49" ht="15" customHeight="1">
      <c r="A78" s="36"/>
      <c r="B78" s="182"/>
      <c r="C78" s="20"/>
      <c r="D78" s="20"/>
      <c r="E78" s="20"/>
      <c r="F78" s="20"/>
      <c r="G78" s="20"/>
      <c r="H78" s="462"/>
      <c r="I78" s="648">
        <f>I77*9.81</f>
        <v>8.2716029374046993</v>
      </c>
      <c r="J78" s="326"/>
      <c r="N78" s="818" t="s">
        <v>334</v>
      </c>
      <c r="O78" s="818" t="s">
        <v>335</v>
      </c>
      <c r="P78" s="819" t="s">
        <v>336</v>
      </c>
      <c r="Q78" s="432"/>
      <c r="R78" s="433" t="s">
        <v>294</v>
      </c>
      <c r="S78" s="311"/>
      <c r="T78" s="311"/>
      <c r="U78" s="311"/>
      <c r="V78" s="311"/>
      <c r="W78" s="311"/>
      <c r="X78" s="311"/>
      <c r="Y78" s="29"/>
      <c r="AA78" s="417" t="s">
        <v>302</v>
      </c>
      <c r="AB78" s="30" t="str">
        <f>VLOOKUP(AB71,S79:V92,4,0)</f>
        <v>MDT 160-18</v>
      </c>
      <c r="AC78" s="243" t="str">
        <f>VLOOKUP(AC69,AG71:AM90,7,0)</f>
        <v>N(NV).160.HYD.023/05</v>
      </c>
      <c r="AD78" s="59" t="s">
        <v>2458</v>
      </c>
      <c r="AE78" s="17"/>
      <c r="AF78" s="242">
        <v>520</v>
      </c>
      <c r="AG78" s="29">
        <v>870</v>
      </c>
      <c r="AH78" s="179" t="s">
        <v>338</v>
      </c>
      <c r="AI78" s="179">
        <v>315</v>
      </c>
      <c r="AJ78" s="29">
        <v>70</v>
      </c>
      <c r="AK78" s="416">
        <f t="shared" ref="AK78" si="5">AK77</f>
        <v>39250</v>
      </c>
      <c r="AL78" s="416" t="s">
        <v>2520</v>
      </c>
      <c r="AM78" s="416" t="str">
        <f t="shared" si="3"/>
        <v>N(NV).315.HYD.050/06</v>
      </c>
      <c r="AN78" s="416"/>
      <c r="AO78" s="405"/>
      <c r="AP78" s="145" t="s">
        <v>2445</v>
      </c>
      <c r="AQ78" s="145">
        <v>40</v>
      </c>
      <c r="AR78" s="145" t="s">
        <v>2422</v>
      </c>
      <c r="AS78" s="311">
        <v>400</v>
      </c>
      <c r="AT78" s="235">
        <v>85</v>
      </c>
      <c r="AU78" s="235">
        <f>+AU77+5000</f>
        <v>110000</v>
      </c>
      <c r="AV78" s="216"/>
      <c r="AW78" s="227"/>
    </row>
    <row r="79" spans="1:49" ht="15" customHeight="1">
      <c r="A79" s="36"/>
      <c r="B79" s="182" t="s">
        <v>853</v>
      </c>
      <c r="C79" s="20"/>
      <c r="D79" s="20"/>
      <c r="E79" s="20"/>
      <c r="F79" s="20"/>
      <c r="G79" s="20"/>
      <c r="H79" s="462"/>
      <c r="I79" s="54"/>
      <c r="J79" s="304"/>
      <c r="K79" s="403" t="str">
        <f>IF(I77&lt;H85,"Right","Wrong")</f>
        <v>Right</v>
      </c>
      <c r="L79" s="244" t="s">
        <v>2457</v>
      </c>
      <c r="M79" s="820" t="str">
        <f>H81</f>
        <v>EHT</v>
      </c>
      <c r="N79" s="311"/>
      <c r="O79" s="311"/>
      <c r="P79" s="821" t="str">
        <f>N80&amp;" + "&amp;O80</f>
        <v>SOC + FALSE</v>
      </c>
      <c r="Q79" s="437"/>
      <c r="R79" s="438">
        <v>0</v>
      </c>
      <c r="S79" s="311">
        <v>9</v>
      </c>
      <c r="T79" s="311">
        <v>18</v>
      </c>
      <c r="U79" s="311">
        <v>160</v>
      </c>
      <c r="V79" s="311" t="s">
        <v>340</v>
      </c>
      <c r="W79" s="311">
        <v>20</v>
      </c>
      <c r="X79" s="311">
        <v>13.7</v>
      </c>
      <c r="Y79" s="29">
        <f>+Z79*0.7</f>
        <v>7892.4999999999991</v>
      </c>
      <c r="Z79" s="22">
        <v>11275</v>
      </c>
      <c r="AA79" s="417"/>
      <c r="AB79" s="243"/>
      <c r="AC79" s="243"/>
      <c r="AD79" s="173" t="s">
        <v>359</v>
      </c>
      <c r="AE79" s="17"/>
      <c r="AF79" s="439">
        <v>870</v>
      </c>
      <c r="AG79" s="179">
        <v>1550</v>
      </c>
      <c r="AH79" s="179" t="s">
        <v>342</v>
      </c>
      <c r="AI79" s="179">
        <v>315</v>
      </c>
      <c r="AJ79" s="29">
        <v>71</v>
      </c>
      <c r="AK79" s="416">
        <f>AK78</f>
        <v>39250</v>
      </c>
      <c r="AL79" s="416" t="s">
        <v>2521</v>
      </c>
      <c r="AM79" s="416" t="str">
        <f t="shared" si="3"/>
        <v>N(NV).315.HYD.080/06</v>
      </c>
      <c r="AN79" s="416"/>
      <c r="AO79" s="405"/>
      <c r="AP79" s="145" t="s">
        <v>2446</v>
      </c>
      <c r="AQ79" s="145">
        <v>50</v>
      </c>
      <c r="AR79" s="145" t="s">
        <v>2423</v>
      </c>
      <c r="AS79" s="311">
        <v>400</v>
      </c>
      <c r="AT79" s="235">
        <v>85</v>
      </c>
      <c r="AU79" s="235">
        <f>+AU78+5000</f>
        <v>115000</v>
      </c>
      <c r="AV79" s="216"/>
      <c r="AW79" s="227"/>
    </row>
    <row r="80" spans="1:49" ht="15" customHeight="1">
      <c r="A80" s="36"/>
      <c r="B80" s="182"/>
      <c r="C80" s="20"/>
      <c r="D80" s="20"/>
      <c r="E80" s="20"/>
      <c r="F80" s="20"/>
      <c r="G80" s="20"/>
      <c r="H80" s="462"/>
      <c r="I80" s="54"/>
      <c r="J80" s="304"/>
      <c r="K80" s="53"/>
      <c r="L80" s="440" t="s">
        <v>2434</v>
      </c>
      <c r="M80" s="441"/>
      <c r="N80" s="822" t="str">
        <f>IF(M79="EHT",M81,IF(M79="EHT + DCEM",IF(M81="SOC + BCH","SOC",IF(M81="SOC + KAKKU","SOC",IF(M81="GALVI + BCH","GALVI",IF(M81="GALVI + KAKKU","GALVI",IF(M81="GALVI + SOC","GALVI",IF(M81="SOC + SOC","SOC"))))))))</f>
        <v>SOC</v>
      </c>
      <c r="O80" s="822" t="b">
        <f>IF(M79="DCEM",M81,IF(M79="EHT + DCEM",IF(M81="SOC + BCH","BCH",IF(M81="SOC + KAKKU","KAKKU",IF(M81="GALVI + BCH","BCH",IF(M81="GALVI + KAKKU","KAKKU",IF(M81="SOC + SOC","SOC",IF(M81="GALVI + SOC","SOC"))))))))</f>
        <v>0</v>
      </c>
      <c r="P80" s="821"/>
      <c r="Q80" s="437"/>
      <c r="R80" s="438">
        <v>9</v>
      </c>
      <c r="S80" s="311">
        <v>20</v>
      </c>
      <c r="T80" s="311">
        <v>18</v>
      </c>
      <c r="U80" s="311">
        <v>200</v>
      </c>
      <c r="V80" s="311" t="s">
        <v>343</v>
      </c>
      <c r="W80" s="311">
        <v>27</v>
      </c>
      <c r="X80" s="311">
        <v>23.5</v>
      </c>
      <c r="Y80" s="29">
        <f t="shared" ref="Y80:Y92" si="6">+Z80*0.7</f>
        <v>8935.5</v>
      </c>
      <c r="Z80" s="22">
        <v>12765</v>
      </c>
      <c r="AA80" s="19"/>
      <c r="AB80" s="17"/>
      <c r="AC80" s="17"/>
      <c r="AD80" s="53" t="s">
        <v>2458</v>
      </c>
      <c r="AE80" s="17"/>
      <c r="AF80" s="242">
        <v>1550</v>
      </c>
      <c r="AG80" s="179">
        <v>860</v>
      </c>
      <c r="AH80" s="179" t="s">
        <v>346</v>
      </c>
      <c r="AI80" s="179">
        <v>400</v>
      </c>
      <c r="AJ80" s="29">
        <v>95</v>
      </c>
      <c r="AK80" s="416">
        <v>46500</v>
      </c>
      <c r="AL80" s="416" t="s">
        <v>2520</v>
      </c>
      <c r="AM80" s="416" t="str">
        <f t="shared" si="3"/>
        <v>N(NV).400.HYD.050/06</v>
      </c>
      <c r="AN80" s="416"/>
      <c r="AO80" s="405"/>
      <c r="AP80" s="145" t="s">
        <v>2447</v>
      </c>
      <c r="AQ80" s="145">
        <v>30</v>
      </c>
      <c r="AR80" s="145" t="s">
        <v>2424</v>
      </c>
      <c r="AS80" s="311">
        <v>500</v>
      </c>
      <c r="AT80" s="235">
        <v>130</v>
      </c>
      <c r="AU80" s="235">
        <v>120000</v>
      </c>
      <c r="AV80" s="216"/>
      <c r="AW80" s="227"/>
    </row>
    <row r="81" spans="1:49" ht="15" customHeight="1">
      <c r="A81" s="36"/>
      <c r="B81" s="182"/>
      <c r="C81" s="182" t="s">
        <v>339</v>
      </c>
      <c r="D81" s="182"/>
      <c r="E81" s="182"/>
      <c r="F81" s="182"/>
      <c r="G81" s="59"/>
      <c r="H81" s="443" t="str">
        <f>CT_HP!H75</f>
        <v>EHT</v>
      </c>
      <c r="I81" s="462"/>
      <c r="J81" s="304"/>
      <c r="K81" s="53"/>
      <c r="L81" s="53"/>
      <c r="M81" s="444" t="str">
        <f>+H83</f>
        <v>SOC</v>
      </c>
      <c r="N81" s="445">
        <f>IF(N80="SOC",AB70,IF(N80="GALVI",AC70,0))</f>
        <v>0</v>
      </c>
      <c r="O81" s="445">
        <f>VLOOKUP(AC66,P66:P72,1)</f>
        <v>0</v>
      </c>
      <c r="P81" s="145"/>
      <c r="Q81" s="437"/>
      <c r="R81" s="438">
        <v>20</v>
      </c>
      <c r="S81" s="311">
        <v>32</v>
      </c>
      <c r="T81" s="311">
        <v>34</v>
      </c>
      <c r="U81" s="311">
        <v>200</v>
      </c>
      <c r="V81" s="311" t="s">
        <v>349</v>
      </c>
      <c r="W81" s="311">
        <v>27</v>
      </c>
      <c r="X81" s="311">
        <v>23.5</v>
      </c>
      <c r="Y81" s="29">
        <f t="shared" si="6"/>
        <v>10717</v>
      </c>
      <c r="Z81" s="22">
        <v>15310</v>
      </c>
      <c r="AA81" s="245" t="s">
        <v>372</v>
      </c>
      <c r="AB81" s="446" t="s">
        <v>373</v>
      </c>
      <c r="AC81" s="245" t="s">
        <v>274</v>
      </c>
      <c r="AD81" s="177" t="s">
        <v>289</v>
      </c>
      <c r="AE81" s="17"/>
      <c r="AF81" s="242">
        <v>860</v>
      </c>
      <c r="AG81" s="179">
        <v>1620</v>
      </c>
      <c r="AH81" s="179" t="s">
        <v>351</v>
      </c>
      <c r="AI81" s="179">
        <v>400</v>
      </c>
      <c r="AJ81" s="29">
        <v>96</v>
      </c>
      <c r="AK81" s="416">
        <f>AK80</f>
        <v>46500</v>
      </c>
      <c r="AL81" s="416" t="s">
        <v>2521</v>
      </c>
      <c r="AM81" s="416" t="str">
        <f t="shared" si="3"/>
        <v>N(NV).400.HYD.080/06</v>
      </c>
      <c r="AN81" s="416"/>
      <c r="AO81" s="405"/>
      <c r="AP81" s="145" t="s">
        <v>2448</v>
      </c>
      <c r="AQ81" s="145">
        <v>40</v>
      </c>
      <c r="AR81" s="145" t="s">
        <v>2425</v>
      </c>
      <c r="AS81" s="311">
        <v>500</v>
      </c>
      <c r="AT81" s="235">
        <v>130</v>
      </c>
      <c r="AU81" s="235">
        <f>+AU80+5000</f>
        <v>125000</v>
      </c>
      <c r="AV81" s="216"/>
      <c r="AW81" s="227"/>
    </row>
    <row r="82" spans="1:49" ht="15" customHeight="1">
      <c r="A82" s="36"/>
      <c r="B82" s="182"/>
      <c r="C82" s="20"/>
      <c r="D82" s="20"/>
      <c r="E82" s="20"/>
      <c r="F82" s="462"/>
      <c r="G82" s="20"/>
      <c r="H82" s="20"/>
      <c r="I82" s="462"/>
      <c r="J82" s="304"/>
      <c r="K82" s="53">
        <f>IF($H$83="SIBRE",L82,M82)</f>
        <v>9</v>
      </c>
      <c r="L82" s="53" t="str">
        <f>VLOOKUP(L80,AP67:AU89,3,0)</f>
        <v>50-300</v>
      </c>
      <c r="M82" s="434">
        <f>IF(M79="EHT",N82,IF(M79="DCEM",O82,IF(M79="EHT + DCEM",P82,0)))</f>
        <v>9</v>
      </c>
      <c r="N82" s="311">
        <f>IF(N80="SOC",AB71,IF(N80="GALVI",AC71,0))</f>
        <v>9</v>
      </c>
      <c r="O82" s="311">
        <f>VLOOKUP(O81,P66:Q72,2,0)</f>
        <v>8</v>
      </c>
      <c r="P82" s="145" t="str">
        <f>N82&amp;" + "&amp;O82</f>
        <v>9 + 8</v>
      </c>
      <c r="Q82" s="437"/>
      <c r="R82" s="438">
        <v>32</v>
      </c>
      <c r="S82" s="311">
        <v>35</v>
      </c>
      <c r="T82" s="311">
        <v>18</v>
      </c>
      <c r="U82" s="311">
        <v>250</v>
      </c>
      <c r="V82" s="311" t="s">
        <v>353</v>
      </c>
      <c r="W82" s="311">
        <v>30</v>
      </c>
      <c r="X82" s="311">
        <v>41</v>
      </c>
      <c r="Y82" s="29">
        <f t="shared" si="6"/>
        <v>9870</v>
      </c>
      <c r="Z82" s="22">
        <v>14100</v>
      </c>
      <c r="AA82" s="29">
        <v>150</v>
      </c>
      <c r="AB82" s="29">
        <v>11.5</v>
      </c>
      <c r="AC82" s="29">
        <v>2679</v>
      </c>
      <c r="AD82" s="171" t="s">
        <v>290</v>
      </c>
      <c r="AE82" s="17"/>
      <c r="AF82" s="242">
        <v>1620</v>
      </c>
      <c r="AG82" s="179">
        <v>2670</v>
      </c>
      <c r="AH82" s="179" t="s">
        <v>355</v>
      </c>
      <c r="AI82" s="179">
        <v>400</v>
      </c>
      <c r="AJ82" s="29">
        <v>117</v>
      </c>
      <c r="AK82" s="416">
        <v>57000</v>
      </c>
      <c r="AL82" s="416" t="s">
        <v>2522</v>
      </c>
      <c r="AM82" s="416" t="str">
        <f t="shared" si="3"/>
        <v>N(NV).400.HYD.121/06</v>
      </c>
      <c r="AN82" s="416"/>
      <c r="AO82" s="405"/>
      <c r="AP82" s="145" t="s">
        <v>2449</v>
      </c>
      <c r="AQ82" s="145">
        <v>50</v>
      </c>
      <c r="AR82" s="145" t="s">
        <v>2426</v>
      </c>
      <c r="AS82" s="311">
        <v>500</v>
      </c>
      <c r="AT82" s="235">
        <v>130</v>
      </c>
      <c r="AU82" s="235">
        <f>+AU81+5000</f>
        <v>130000</v>
      </c>
      <c r="AV82" s="216"/>
      <c r="AW82" s="227"/>
    </row>
    <row r="83" spans="1:49" ht="15" customHeight="1">
      <c r="A83" s="36"/>
      <c r="B83" s="182"/>
      <c r="C83" s="182" t="s">
        <v>347</v>
      </c>
      <c r="D83" s="462"/>
      <c r="E83" s="462"/>
      <c r="F83" s="462"/>
      <c r="G83" s="462"/>
      <c r="H83" s="443" t="str">
        <f>CT_HP!H77</f>
        <v>SOC</v>
      </c>
      <c r="I83" s="462"/>
      <c r="J83" s="304"/>
      <c r="K83" s="53">
        <f>IF($H$83="SIBRE",L83,M83)</f>
        <v>18</v>
      </c>
      <c r="L83" s="53">
        <f>VLOOKUP(L80,AP67:AU89,2,0)</f>
        <v>10</v>
      </c>
      <c r="M83" s="434">
        <f>IF(M79="EHT",N83,IF(M79="DCEM",O83,IF(M79="EHT + DCEM",P83,0)))</f>
        <v>18</v>
      </c>
      <c r="N83" s="311">
        <f>IF(N80="SOC",AB72,IF(N80="GALVI",AC72,0))</f>
        <v>18</v>
      </c>
      <c r="O83" s="311" t="s">
        <v>26</v>
      </c>
      <c r="P83" s="145" t="str">
        <f>IF(M81="SOC + BCH",N83,IF(M81="SOC + KAKKU",N83,"-"))</f>
        <v>-</v>
      </c>
      <c r="Q83" s="437"/>
      <c r="R83" s="438">
        <v>35</v>
      </c>
      <c r="S83" s="311">
        <v>42</v>
      </c>
      <c r="T83" s="311">
        <v>34</v>
      </c>
      <c r="U83" s="311">
        <v>250</v>
      </c>
      <c r="V83" s="311" t="s">
        <v>357</v>
      </c>
      <c r="W83" s="311">
        <v>30</v>
      </c>
      <c r="X83" s="311">
        <v>41</v>
      </c>
      <c r="Y83" s="29">
        <f t="shared" si="6"/>
        <v>11445</v>
      </c>
      <c r="Z83" s="22">
        <v>16350</v>
      </c>
      <c r="AA83" s="29">
        <v>160</v>
      </c>
      <c r="AB83" s="29">
        <v>13.7</v>
      </c>
      <c r="AC83" s="29">
        <v>2857</v>
      </c>
      <c r="AD83" s="178" t="s">
        <v>368</v>
      </c>
      <c r="AE83" s="17"/>
      <c r="AF83" s="242">
        <v>2670</v>
      </c>
      <c r="AG83" s="179">
        <v>1600</v>
      </c>
      <c r="AH83" s="179" t="s">
        <v>360</v>
      </c>
      <c r="AI83" s="179">
        <v>500</v>
      </c>
      <c r="AJ83" s="29">
        <v>150</v>
      </c>
      <c r="AK83" s="416">
        <v>57600</v>
      </c>
      <c r="AL83" s="416" t="s">
        <v>2521</v>
      </c>
      <c r="AM83" s="416" t="str">
        <f t="shared" si="3"/>
        <v>N(NV).500.HYD.080/06</v>
      </c>
      <c r="AN83" s="416"/>
      <c r="AO83" s="405"/>
      <c r="AP83" s="145" t="s">
        <v>2450</v>
      </c>
      <c r="AQ83" s="145">
        <v>60</v>
      </c>
      <c r="AR83" s="145" t="s">
        <v>2427</v>
      </c>
      <c r="AS83" s="311">
        <v>500</v>
      </c>
      <c r="AT83" s="235">
        <v>130</v>
      </c>
      <c r="AU83" s="235">
        <f>+AU82+5000</f>
        <v>135000</v>
      </c>
      <c r="AV83" s="216"/>
      <c r="AW83" s="227"/>
    </row>
    <row r="84" spans="1:49" ht="15" customHeight="1">
      <c r="A84" s="36"/>
      <c r="B84" s="182"/>
      <c r="J84" s="304"/>
      <c r="K84" s="53">
        <f>IF($H$83="SIBRE",L84,M84)</f>
        <v>160</v>
      </c>
      <c r="L84" s="53">
        <f>VLOOKUP(L80,AP67:AU89,4,0)</f>
        <v>200</v>
      </c>
      <c r="M84" s="434">
        <f>IF(M79="EHT",N84,IF(M79="DCEM",O84,IF(M79="EHT + DCEM",P84,0)))</f>
        <v>160</v>
      </c>
      <c r="N84" s="311">
        <f>IF(N80="SOC",AB73,IF(N80="GALVI",AC73,0))</f>
        <v>160</v>
      </c>
      <c r="O84" s="311">
        <f>VLOOKUP(O82,Q66:R72,2,0)</f>
        <v>160</v>
      </c>
      <c r="P84" s="145" t="str">
        <f>N84&amp;" + "&amp;O84</f>
        <v>160 + 160</v>
      </c>
      <c r="Q84" s="437"/>
      <c r="R84" s="438">
        <v>42</v>
      </c>
      <c r="S84" s="29">
        <v>62</v>
      </c>
      <c r="T84" s="29">
        <v>34</v>
      </c>
      <c r="U84" s="311">
        <v>300</v>
      </c>
      <c r="V84" s="311" t="s">
        <v>362</v>
      </c>
      <c r="W84" s="311">
        <v>70</v>
      </c>
      <c r="X84" s="311">
        <v>72</v>
      </c>
      <c r="Y84" s="29">
        <f t="shared" si="6"/>
        <v>13405</v>
      </c>
      <c r="Z84" s="22">
        <v>19150</v>
      </c>
      <c r="AA84" s="29">
        <v>200</v>
      </c>
      <c r="AB84" s="29">
        <v>23.5</v>
      </c>
      <c r="AC84" s="29">
        <v>5197</v>
      </c>
      <c r="AD84" s="177" t="s">
        <v>374</v>
      </c>
      <c r="AE84" s="17"/>
      <c r="AF84" s="242">
        <v>1600</v>
      </c>
      <c r="AG84" s="179">
        <v>2910</v>
      </c>
      <c r="AH84" s="179" t="s">
        <v>363</v>
      </c>
      <c r="AI84" s="179">
        <v>500</v>
      </c>
      <c r="AJ84" s="29">
        <v>161</v>
      </c>
      <c r="AK84" s="416">
        <v>68100</v>
      </c>
      <c r="AL84" s="416" t="s">
        <v>2522</v>
      </c>
      <c r="AM84" s="416" t="str">
        <f t="shared" si="3"/>
        <v>N(NV).500.HYD.121/06</v>
      </c>
      <c r="AN84" s="416"/>
      <c r="AO84" s="405"/>
      <c r="AP84" s="145" t="s">
        <v>2451</v>
      </c>
      <c r="AQ84" s="145">
        <v>50</v>
      </c>
      <c r="AR84" s="145" t="s">
        <v>2428</v>
      </c>
      <c r="AS84" s="311">
        <v>630</v>
      </c>
      <c r="AT84" s="235">
        <v>206</v>
      </c>
      <c r="AU84" s="235">
        <v>140000</v>
      </c>
      <c r="AV84" s="216"/>
      <c r="AW84" s="227"/>
    </row>
    <row r="85" spans="1:49" ht="15" customHeight="1">
      <c r="A85" s="36"/>
      <c r="B85" s="182"/>
      <c r="C85" s="182" t="s">
        <v>352</v>
      </c>
      <c r="D85" s="182"/>
      <c r="E85" s="182"/>
      <c r="F85" s="182"/>
      <c r="G85" s="59"/>
      <c r="H85" s="434">
        <f>+K82</f>
        <v>9</v>
      </c>
      <c r="I85" s="462"/>
      <c r="J85" s="304"/>
      <c r="K85" s="53" t="str">
        <f>IF($H$83="SIBRE",L85,M85)</f>
        <v>MDT 160-18</v>
      </c>
      <c r="L85" s="53" t="str">
        <f>L80</f>
        <v>TE 200 (10)</v>
      </c>
      <c r="M85" s="434" t="str">
        <f>IF(M79="EHT",N85,IF(M79="DCEM","-",IF(M79="EHT + DCEM",P85,0)))</f>
        <v>MDT 160-18</v>
      </c>
      <c r="N85" s="449" t="str">
        <f>IF(N80="SOC",AB78,IF(N80="GALVI",AC78))</f>
        <v>MDT 160-18</v>
      </c>
      <c r="O85" s="228"/>
      <c r="P85" s="450" t="str">
        <f>N85&amp;" (For EHT)"</f>
        <v>MDT 160-18 (For EHT)</v>
      </c>
      <c r="Q85" s="437"/>
      <c r="R85" s="451">
        <v>62</v>
      </c>
      <c r="S85" s="311">
        <v>90</v>
      </c>
      <c r="T85" s="311">
        <v>34</v>
      </c>
      <c r="U85" s="311">
        <v>400</v>
      </c>
      <c r="V85" s="311" t="s">
        <v>365</v>
      </c>
      <c r="W85" s="311">
        <v>85</v>
      </c>
      <c r="X85" s="311">
        <v>160</v>
      </c>
      <c r="Y85" s="29">
        <f t="shared" si="6"/>
        <v>16555</v>
      </c>
      <c r="Z85" s="22">
        <v>23650</v>
      </c>
      <c r="AA85" s="29">
        <v>250</v>
      </c>
      <c r="AB85" s="29">
        <v>41</v>
      </c>
      <c r="AC85" s="29">
        <v>6952</v>
      </c>
      <c r="AD85" s="177" t="s">
        <v>377</v>
      </c>
      <c r="AE85" s="17"/>
      <c r="AF85" s="242">
        <v>2910</v>
      </c>
      <c r="AG85" s="179">
        <v>5220</v>
      </c>
      <c r="AH85" s="179" t="s">
        <v>366</v>
      </c>
      <c r="AI85" s="179">
        <v>500</v>
      </c>
      <c r="AJ85" s="29">
        <v>161</v>
      </c>
      <c r="AK85" s="416">
        <f t="shared" ref="AK85" si="7">AK84</f>
        <v>68100</v>
      </c>
      <c r="AL85" s="416" t="s">
        <v>2523</v>
      </c>
      <c r="AM85" s="416" t="str">
        <f t="shared" si="3"/>
        <v>N(NV).500.HYD.201/06</v>
      </c>
      <c r="AN85" s="416"/>
      <c r="AO85" s="405"/>
      <c r="AP85" s="145" t="s">
        <v>2452</v>
      </c>
      <c r="AQ85" s="145">
        <v>60</v>
      </c>
      <c r="AR85" s="145" t="s">
        <v>2429</v>
      </c>
      <c r="AS85" s="311">
        <v>630</v>
      </c>
      <c r="AT85" s="235">
        <v>206</v>
      </c>
      <c r="AU85" s="235">
        <f>+AU84+5000</f>
        <v>145000</v>
      </c>
      <c r="AV85" s="216"/>
      <c r="AW85" s="227"/>
    </row>
    <row r="86" spans="1:49" ht="15" customHeight="1">
      <c r="A86" s="36"/>
      <c r="B86" s="182"/>
      <c r="C86" s="182" t="s">
        <v>356</v>
      </c>
      <c r="D86" s="182"/>
      <c r="E86" s="196"/>
      <c r="F86" s="196"/>
      <c r="G86" s="83"/>
      <c r="H86" s="434">
        <f>+K83</f>
        <v>18</v>
      </c>
      <c r="I86" s="462"/>
      <c r="J86" s="304"/>
      <c r="K86" s="53"/>
      <c r="L86" s="53"/>
      <c r="N86" s="131"/>
      <c r="O86" s="131"/>
      <c r="P86" s="131"/>
      <c r="Q86" s="437"/>
      <c r="R86" s="438">
        <v>90</v>
      </c>
      <c r="S86" s="311">
        <v>110</v>
      </c>
      <c r="T86" s="311">
        <v>46</v>
      </c>
      <c r="U86" s="311">
        <v>400</v>
      </c>
      <c r="V86" s="311" t="s">
        <v>367</v>
      </c>
      <c r="W86" s="311">
        <v>85</v>
      </c>
      <c r="X86" s="311">
        <v>160</v>
      </c>
      <c r="Y86" s="29">
        <f t="shared" si="6"/>
        <v>17815</v>
      </c>
      <c r="Z86" s="22">
        <v>25450</v>
      </c>
      <c r="AA86" s="29">
        <v>300</v>
      </c>
      <c r="AB86" s="29">
        <v>72</v>
      </c>
      <c r="AC86" s="29">
        <v>13432</v>
      </c>
      <c r="AD86" s="173" t="s">
        <v>382</v>
      </c>
      <c r="AE86" s="17"/>
      <c r="AF86" s="242">
        <v>5220</v>
      </c>
      <c r="AG86" s="179">
        <v>3210</v>
      </c>
      <c r="AH86" s="179" t="s">
        <v>369</v>
      </c>
      <c r="AI86" s="179">
        <v>630</v>
      </c>
      <c r="AJ86" s="29">
        <v>242</v>
      </c>
      <c r="AK86" s="416">
        <v>94200</v>
      </c>
      <c r="AL86" s="416" t="s">
        <v>2522</v>
      </c>
      <c r="AM86" s="416" t="str">
        <f t="shared" si="3"/>
        <v>N(NV).630.HYD.121/06</v>
      </c>
      <c r="AN86" s="416"/>
      <c r="AO86" s="405"/>
      <c r="AP86" s="145" t="s">
        <v>2453</v>
      </c>
      <c r="AQ86" s="145">
        <v>70</v>
      </c>
      <c r="AR86" s="145" t="s">
        <v>2430</v>
      </c>
      <c r="AS86" s="311">
        <v>630</v>
      </c>
      <c r="AT86" s="235">
        <v>206</v>
      </c>
      <c r="AU86" s="235">
        <f>+AU85+5000</f>
        <v>150000</v>
      </c>
      <c r="AV86" s="216"/>
      <c r="AW86" s="227"/>
    </row>
    <row r="87" spans="1:49" ht="15" customHeight="1">
      <c r="A87" s="36"/>
      <c r="B87" s="182"/>
      <c r="C87" s="182" t="s">
        <v>361</v>
      </c>
      <c r="D87" s="182"/>
      <c r="E87" s="196"/>
      <c r="F87" s="196"/>
      <c r="G87" s="83"/>
      <c r="H87" s="434">
        <f>+K84</f>
        <v>160</v>
      </c>
      <c r="I87" s="462"/>
      <c r="J87" s="304"/>
      <c r="K87" s="53">
        <f>+H90</f>
        <v>2</v>
      </c>
      <c r="L87" s="53">
        <f>+H90</f>
        <v>2</v>
      </c>
      <c r="M87" s="72">
        <f>J90</f>
        <v>1</v>
      </c>
      <c r="N87" s="311"/>
      <c r="O87" s="311"/>
      <c r="P87" s="145"/>
      <c r="Q87" s="437"/>
      <c r="R87" s="438">
        <v>110</v>
      </c>
      <c r="S87" s="311">
        <v>170</v>
      </c>
      <c r="T87" s="311">
        <v>68</v>
      </c>
      <c r="U87" s="311">
        <v>400</v>
      </c>
      <c r="V87" s="311" t="s">
        <v>371</v>
      </c>
      <c r="W87" s="311">
        <v>88</v>
      </c>
      <c r="X87" s="311">
        <v>160</v>
      </c>
      <c r="Y87" s="29">
        <f t="shared" si="6"/>
        <v>20520.5</v>
      </c>
      <c r="Z87" s="22">
        <v>29315</v>
      </c>
      <c r="AA87" s="29">
        <v>400</v>
      </c>
      <c r="AB87" s="29">
        <v>160</v>
      </c>
      <c r="AC87" s="29">
        <v>24030</v>
      </c>
      <c r="AD87" s="173" t="s">
        <v>386</v>
      </c>
      <c r="AE87" s="17"/>
      <c r="AF87" s="242">
        <v>3210</v>
      </c>
      <c r="AG87" s="179">
        <v>7700</v>
      </c>
      <c r="AH87" s="179" t="s">
        <v>375</v>
      </c>
      <c r="AI87" s="179">
        <v>630</v>
      </c>
      <c r="AJ87" s="29">
        <v>243</v>
      </c>
      <c r="AK87" s="416">
        <f>AK86</f>
        <v>94200</v>
      </c>
      <c r="AL87" s="416" t="s">
        <v>2524</v>
      </c>
      <c r="AM87" s="416" t="str">
        <f t="shared" si="3"/>
        <v>N(NV).630.HYD.301/06</v>
      </c>
      <c r="AN87" s="416"/>
      <c r="AO87" s="405"/>
      <c r="AP87" s="145" t="s">
        <v>2454</v>
      </c>
      <c r="AQ87" s="145">
        <v>50</v>
      </c>
      <c r="AR87" s="145" t="s">
        <v>2431</v>
      </c>
      <c r="AS87" s="311">
        <v>710</v>
      </c>
      <c r="AT87" s="235">
        <v>268</v>
      </c>
      <c r="AU87" s="235">
        <v>160000</v>
      </c>
      <c r="AV87" s="216"/>
      <c r="AW87" s="227"/>
    </row>
    <row r="88" spans="1:49" ht="20" customHeight="1">
      <c r="A88" s="36"/>
      <c r="C88" s="186" t="s">
        <v>364</v>
      </c>
      <c r="D88" s="182"/>
      <c r="E88" s="182"/>
      <c r="F88" s="182"/>
      <c r="G88" s="59"/>
      <c r="H88" s="434" t="str">
        <f>+K85</f>
        <v>MDT 160-18</v>
      </c>
      <c r="I88" s="462"/>
      <c r="J88" s="1181" t="s">
        <v>2657</v>
      </c>
      <c r="K88" s="53"/>
      <c r="L88" s="53"/>
      <c r="N88" s="131"/>
      <c r="O88" s="131"/>
      <c r="P88" s="131"/>
      <c r="Q88" s="437"/>
      <c r="R88" s="438">
        <v>170</v>
      </c>
      <c r="S88" s="311">
        <v>190</v>
      </c>
      <c r="T88" s="311">
        <v>46</v>
      </c>
      <c r="U88" s="311">
        <v>500</v>
      </c>
      <c r="V88" s="311" t="s">
        <v>376</v>
      </c>
      <c r="W88" s="311">
        <v>125</v>
      </c>
      <c r="X88" s="311">
        <v>175</v>
      </c>
      <c r="Y88" s="29">
        <f t="shared" si="6"/>
        <v>25690</v>
      </c>
      <c r="Z88" s="22">
        <v>36700</v>
      </c>
      <c r="AA88" s="29">
        <v>500</v>
      </c>
      <c r="AB88" s="29">
        <v>175</v>
      </c>
      <c r="AC88" s="29">
        <v>30000</v>
      </c>
      <c r="AD88" s="173" t="s">
        <v>391</v>
      </c>
      <c r="AE88" s="17"/>
      <c r="AF88" s="242">
        <v>7700</v>
      </c>
      <c r="AG88" s="179">
        <v>3620</v>
      </c>
      <c r="AH88" s="179" t="s">
        <v>378</v>
      </c>
      <c r="AI88" s="179">
        <v>710</v>
      </c>
      <c r="AJ88" s="29">
        <v>307</v>
      </c>
      <c r="AK88" s="416">
        <v>122415</v>
      </c>
      <c r="AL88" s="416" t="s">
        <v>2522</v>
      </c>
      <c r="AM88" s="416" t="str">
        <f t="shared" si="3"/>
        <v>N(NV).710.HYD.121/06</v>
      </c>
      <c r="AN88" s="416"/>
      <c r="AO88" s="405"/>
      <c r="AP88" s="145" t="s">
        <v>2455</v>
      </c>
      <c r="AQ88" s="145">
        <v>60</v>
      </c>
      <c r="AR88" s="145" t="s">
        <v>2432</v>
      </c>
      <c r="AS88" s="311">
        <v>710</v>
      </c>
      <c r="AT88" s="235">
        <v>268</v>
      </c>
      <c r="AU88" s="235">
        <f>+AU87+5000</f>
        <v>165000</v>
      </c>
      <c r="AV88" s="216"/>
      <c r="AW88" s="227"/>
    </row>
    <row r="89" spans="1:49" ht="15" customHeight="1">
      <c r="A89" s="36"/>
      <c r="B89" s="182"/>
      <c r="J89" s="145" t="s">
        <v>2656</v>
      </c>
      <c r="K89" s="53">
        <f>IF($H$83="SIBRE",L89,M89)</f>
        <v>20</v>
      </c>
      <c r="L89" s="53">
        <f>VLOOKUP(L80,AP67:AU89,5,0)</f>
        <v>19</v>
      </c>
      <c r="M89" s="434">
        <f>IF(M79="EHT",N89,IF(M79="DCEM",O89,IF(M79="EHT + DCEM",P89,0)))</f>
        <v>20</v>
      </c>
      <c r="N89" s="311">
        <f>IF(N80="SOC",AB74,IF(N80="GALVI",AC74,0))</f>
        <v>20</v>
      </c>
      <c r="O89" s="311">
        <f>VLOOKUP(O82,Q66:S72,3,0)</f>
        <v>36</v>
      </c>
      <c r="P89" s="145">
        <f t="shared" ref="P89" si="8">N89+O89</f>
        <v>56</v>
      </c>
      <c r="Q89" s="437"/>
      <c r="R89" s="438">
        <v>190</v>
      </c>
      <c r="S89" s="311">
        <v>290</v>
      </c>
      <c r="T89" s="311">
        <v>68</v>
      </c>
      <c r="U89" s="311">
        <v>500</v>
      </c>
      <c r="V89" s="311" t="s">
        <v>381</v>
      </c>
      <c r="W89" s="311">
        <v>125</v>
      </c>
      <c r="X89" s="311">
        <v>175</v>
      </c>
      <c r="Y89" s="29">
        <f t="shared" si="6"/>
        <v>28210</v>
      </c>
      <c r="Z89" s="22">
        <v>40300</v>
      </c>
      <c r="AA89" s="235">
        <v>600</v>
      </c>
      <c r="AB89" s="29">
        <v>268</v>
      </c>
      <c r="AC89" s="29">
        <v>38800</v>
      </c>
      <c r="AD89" s="179" t="s">
        <v>394</v>
      </c>
      <c r="AE89" s="17"/>
      <c r="AF89" s="242">
        <v>3620</v>
      </c>
      <c r="AG89" s="179">
        <v>5800</v>
      </c>
      <c r="AH89" s="179" t="s">
        <v>383</v>
      </c>
      <c r="AI89" s="179">
        <v>710</v>
      </c>
      <c r="AJ89" s="29">
        <v>307</v>
      </c>
      <c r="AK89" s="416">
        <v>150660</v>
      </c>
      <c r="AL89" s="416" t="s">
        <v>2523</v>
      </c>
      <c r="AM89" s="416" t="str">
        <f t="shared" si="3"/>
        <v>N(NV).710.HYD.201/06</v>
      </c>
      <c r="AN89" s="416"/>
      <c r="AO89" s="405"/>
      <c r="AP89" s="145" t="s">
        <v>2456</v>
      </c>
      <c r="AQ89" s="145">
        <v>70</v>
      </c>
      <c r="AR89" s="145" t="s">
        <v>2433</v>
      </c>
      <c r="AS89" s="311">
        <v>710</v>
      </c>
      <c r="AT89" s="235">
        <v>268</v>
      </c>
      <c r="AU89" s="235">
        <f>+AU88+5000</f>
        <v>170000</v>
      </c>
      <c r="AV89" s="216"/>
      <c r="AW89" s="227"/>
    </row>
    <row r="90" spans="1:49">
      <c r="A90" s="36"/>
      <c r="C90" s="182" t="s">
        <v>854</v>
      </c>
      <c r="D90" s="20"/>
      <c r="E90" s="20"/>
      <c r="F90" s="20"/>
      <c r="G90" s="20"/>
      <c r="H90" s="60">
        <f>I50</f>
        <v>2</v>
      </c>
      <c r="I90" s="386" t="s">
        <v>2588</v>
      </c>
      <c r="J90" s="145">
        <f>H90/I50</f>
        <v>1</v>
      </c>
      <c r="K90" s="53">
        <f>IF($H$83="SIBRE",L90,M90)</f>
        <v>13.7</v>
      </c>
      <c r="L90" s="53">
        <f>VLOOKUP(L84,AA82:AB90,2,0)</f>
        <v>23.5</v>
      </c>
      <c r="M90" s="434">
        <f>IF(M79="EHT",N90,IF(M79="DCEM",O90,IF(M79="EHT + DCEM",P90,0)))</f>
        <v>13.7</v>
      </c>
      <c r="N90" s="311">
        <f>IF(N80="SOC",AB75,IF(N80="GALVI",AC75,0))</f>
        <v>13.7</v>
      </c>
      <c r="O90" s="311">
        <f>VLOOKUP(O84,AA82:AB90,2,0)</f>
        <v>13.7</v>
      </c>
      <c r="P90" s="145">
        <f>N90+O90</f>
        <v>27.4</v>
      </c>
      <c r="Q90" s="437"/>
      <c r="R90" s="438">
        <v>290</v>
      </c>
      <c r="S90" s="311">
        <v>350</v>
      </c>
      <c r="T90" s="311">
        <v>68</v>
      </c>
      <c r="U90" s="311">
        <v>600</v>
      </c>
      <c r="V90" s="311" t="s">
        <v>385</v>
      </c>
      <c r="W90" s="311">
        <v>190</v>
      </c>
      <c r="X90" s="311">
        <v>268</v>
      </c>
      <c r="Y90" s="29">
        <f t="shared" si="6"/>
        <v>36855</v>
      </c>
      <c r="Z90" s="22">
        <v>52650</v>
      </c>
      <c r="AA90" s="311">
        <v>315</v>
      </c>
      <c r="AB90" s="29">
        <v>140</v>
      </c>
      <c r="AC90" s="29">
        <v>20500</v>
      </c>
      <c r="AD90" s="173" t="s">
        <v>348</v>
      </c>
      <c r="AE90" s="17"/>
      <c r="AF90" s="242">
        <v>5800</v>
      </c>
      <c r="AG90" s="179">
        <v>8700</v>
      </c>
      <c r="AH90" s="179" t="s">
        <v>387</v>
      </c>
      <c r="AI90" s="179">
        <v>710</v>
      </c>
      <c r="AJ90" s="29">
        <v>308</v>
      </c>
      <c r="AK90" s="416">
        <f>AK89</f>
        <v>150660</v>
      </c>
      <c r="AL90" s="416" t="s">
        <v>2524</v>
      </c>
      <c r="AM90" s="416" t="str">
        <f t="shared" si="3"/>
        <v>N(NV).710.HYD.301/06</v>
      </c>
      <c r="AN90" s="416"/>
      <c r="AO90" s="405"/>
      <c r="AP90" s="153"/>
      <c r="AS90" s="20"/>
      <c r="AT90" s="17"/>
      <c r="AU90" s="17"/>
      <c r="AV90" s="17"/>
      <c r="AW90" s="227"/>
    </row>
    <row r="91" spans="1:49">
      <c r="A91" s="36"/>
      <c r="B91" s="182"/>
      <c r="J91" s="468"/>
      <c r="K91" s="53">
        <f>IF($H$83="SIBRE",L91,M91)</f>
        <v>7892.4999999999991</v>
      </c>
      <c r="L91" s="53">
        <f>VLOOKUP(L80,AP67:AU89,6,0)</f>
        <v>50000</v>
      </c>
      <c r="M91" s="434">
        <f>IF(M79="EHT",N91,IF(M79="DCEM",O91,IF(M79="EHT + DCEM",P91,0)))</f>
        <v>7892.4999999999991</v>
      </c>
      <c r="N91" s="311">
        <f>IF(N80="SOC",AB76,IF(N80="GALVI",AC76))</f>
        <v>7892.4999999999991</v>
      </c>
      <c r="O91" s="29" t="b">
        <f>IF(O80="BCH",VLOOKUP(O82,Q66:T72,4,0),IF(O80="SOC",VLOOKUP(O82,Q66:U72,5,0),IF(O80="KAKKU",VLOOKUP(O82,Q66:V72,6,0))))</f>
        <v>0</v>
      </c>
      <c r="P91" s="145">
        <f>N91+O91</f>
        <v>7892.4999999999991</v>
      </c>
      <c r="Q91" s="437"/>
      <c r="R91" s="438">
        <v>350</v>
      </c>
      <c r="S91" s="311">
        <v>485</v>
      </c>
      <c r="T91" s="311">
        <v>114</v>
      </c>
      <c r="U91" s="311">
        <v>500</v>
      </c>
      <c r="V91" s="311" t="s">
        <v>390</v>
      </c>
      <c r="W91" s="311">
        <v>125</v>
      </c>
      <c r="X91" s="311">
        <v>175</v>
      </c>
      <c r="Y91" s="29">
        <f t="shared" si="6"/>
        <v>31762.499999999996</v>
      </c>
      <c r="Z91" s="22">
        <v>45375</v>
      </c>
      <c r="AD91" s="17"/>
      <c r="AE91" s="17"/>
      <c r="AF91" s="53"/>
      <c r="AG91" s="17"/>
      <c r="AH91" s="17"/>
      <c r="AI91" s="17"/>
      <c r="AJ91" s="20"/>
      <c r="AK91" s="20"/>
      <c r="AL91" s="20"/>
      <c r="AM91" s="20"/>
      <c r="AN91" s="20"/>
      <c r="AO91" s="405"/>
      <c r="AP91" s="153"/>
      <c r="AS91" s="17"/>
      <c r="AT91" s="17"/>
      <c r="AU91" s="17"/>
      <c r="AV91" s="17"/>
      <c r="AW91" s="227"/>
    </row>
    <row r="92" spans="1:49">
      <c r="A92" s="36"/>
      <c r="B92" s="20"/>
      <c r="C92" s="186" t="s">
        <v>379</v>
      </c>
      <c r="D92" s="20"/>
      <c r="E92" s="20"/>
      <c r="F92" s="182"/>
      <c r="G92" s="59"/>
      <c r="H92" s="434">
        <f>+K89</f>
        <v>20</v>
      </c>
      <c r="I92" s="462" t="s">
        <v>276</v>
      </c>
      <c r="J92" s="468"/>
      <c r="K92" s="53">
        <f>IF($H$83="SIBRE",L92,M92)</f>
        <v>2857</v>
      </c>
      <c r="L92" s="53">
        <f>VLOOKUP(L84,AA82:AC90,3,0)</f>
        <v>5197</v>
      </c>
      <c r="M92" s="434">
        <f>IF(M79="EHT",N92,IF(M79="DCEM",O92,IF(M79="EHT + DCEM",P92,0)))</f>
        <v>2857</v>
      </c>
      <c r="N92" s="311">
        <f>IF(N80="SOC",AB77,IF(N80="GALVI",AC77))</f>
        <v>2857</v>
      </c>
      <c r="O92" s="311">
        <f>VLOOKUP(O84,AA82:AC90,3,0)</f>
        <v>2857</v>
      </c>
      <c r="P92" s="145">
        <f>N92+O92</f>
        <v>5714</v>
      </c>
      <c r="Q92" s="455"/>
      <c r="R92" s="438">
        <v>485</v>
      </c>
      <c r="S92" s="311">
        <v>580</v>
      </c>
      <c r="T92" s="311">
        <v>114</v>
      </c>
      <c r="U92" s="311">
        <v>600</v>
      </c>
      <c r="V92" s="29" t="s">
        <v>393</v>
      </c>
      <c r="W92" s="30">
        <v>190</v>
      </c>
      <c r="X92" s="30">
        <v>268</v>
      </c>
      <c r="Y92" s="29">
        <f t="shared" si="6"/>
        <v>39410</v>
      </c>
      <c r="Z92" s="456">
        <v>56300</v>
      </c>
      <c r="AA92" s="456"/>
      <c r="AB92" s="456"/>
      <c r="AC92" s="456"/>
      <c r="AD92" s="407"/>
      <c r="AE92" s="407"/>
      <c r="AF92" s="457"/>
      <c r="AG92" s="458"/>
      <c r="AH92" s="407"/>
      <c r="AI92" s="459"/>
      <c r="AJ92" s="459"/>
      <c r="AK92" s="459"/>
      <c r="AL92" s="459"/>
      <c r="AM92" s="459"/>
      <c r="AN92" s="459"/>
      <c r="AO92" s="460"/>
      <c r="AP92" s="461"/>
      <c r="AQ92" s="456"/>
      <c r="AR92" s="456"/>
      <c r="AS92" s="247"/>
      <c r="AT92" s="247"/>
      <c r="AU92" s="247"/>
      <c r="AV92" s="247"/>
      <c r="AW92" s="248"/>
    </row>
    <row r="93" spans="1:49" ht="15" customHeight="1">
      <c r="A93" s="36"/>
      <c r="B93" s="182"/>
      <c r="C93" s="186" t="s">
        <v>384</v>
      </c>
      <c r="D93" s="182"/>
      <c r="E93" s="182"/>
      <c r="F93" s="182"/>
      <c r="G93" s="59"/>
      <c r="H93" s="434">
        <f>+K90</f>
        <v>13.7</v>
      </c>
      <c r="I93" s="462" t="s">
        <v>276</v>
      </c>
      <c r="J93" s="304"/>
    </row>
    <row r="94" spans="1:49">
      <c r="A94" s="36"/>
      <c r="B94" s="20"/>
      <c r="C94" s="979" t="s">
        <v>388</v>
      </c>
      <c r="D94" s="979"/>
      <c r="E94" s="182"/>
      <c r="F94" s="59"/>
      <c r="G94" s="59"/>
      <c r="H94" s="434">
        <f>+K91</f>
        <v>7892.4999999999991</v>
      </c>
      <c r="I94" s="462" t="s">
        <v>389</v>
      </c>
      <c r="J94" s="304"/>
    </row>
    <row r="95" spans="1:49">
      <c r="A95" s="36"/>
      <c r="B95" s="20"/>
      <c r="C95" s="182" t="s">
        <v>392</v>
      </c>
      <c r="D95" s="182"/>
      <c r="E95" s="182"/>
      <c r="F95" s="59"/>
      <c r="G95" s="59"/>
      <c r="H95" s="434">
        <f>+K92</f>
        <v>2857</v>
      </c>
      <c r="I95" s="462" t="s">
        <v>389</v>
      </c>
      <c r="J95" s="1182"/>
    </row>
    <row r="96" spans="1:49" ht="14.65" thickBot="1">
      <c r="A96" s="394"/>
      <c r="B96" s="135"/>
      <c r="C96" s="135"/>
      <c r="D96" s="135"/>
      <c r="E96" s="135"/>
      <c r="F96" s="135"/>
      <c r="G96" s="1183"/>
      <c r="H96" s="135"/>
      <c r="I96" s="135"/>
      <c r="J96" s="1184"/>
    </row>
    <row r="97" spans="1:10">
      <c r="A97" s="123"/>
      <c r="B97" s="123"/>
      <c r="C97" s="915"/>
      <c r="D97" s="294"/>
      <c r="E97" s="20"/>
      <c r="F97" s="20"/>
      <c r="G97" s="20"/>
      <c r="H97" s="20"/>
      <c r="I97" s="20"/>
      <c r="J97" s="17"/>
    </row>
    <row r="98" spans="1:10">
      <c r="F98" s="20"/>
      <c r="G98" s="20"/>
      <c r="H98" s="20"/>
      <c r="I98" s="17"/>
      <c r="J98" s="17"/>
    </row>
    <row r="99" spans="1:10" ht="14.65" thickBot="1">
      <c r="F99" s="20"/>
      <c r="G99" s="20"/>
      <c r="H99" s="20"/>
      <c r="I99" s="20"/>
      <c r="J99" s="17"/>
    </row>
    <row r="100" spans="1:10">
      <c r="A100" s="1185" t="s">
        <v>856</v>
      </c>
      <c r="B100" s="1186" t="str">
        <f>IF(K42=0,"IC-BAURE",IF(K42=1,"MARATHON","Please Check"))</f>
        <v>IC-BAURE</v>
      </c>
      <c r="C100" s="1186">
        <f>IF(K42=0,4,IF(K42=1,6,"Please Check"))</f>
        <v>4</v>
      </c>
      <c r="D100" s="1186" t="str">
        <f>IF(K42=0,"S1-100",IF(K42=1,"40%","Please Check"))</f>
        <v>S1-100</v>
      </c>
      <c r="E100" s="75" t="str">
        <f>IF(K42=0,"-",IF(K42=1,150,"Please Check"))</f>
        <v>-</v>
      </c>
      <c r="F100" s="20"/>
      <c r="G100" s="20"/>
      <c r="H100" s="20"/>
      <c r="I100" s="20"/>
      <c r="J100" s="17"/>
    </row>
    <row r="101" spans="1:10">
      <c r="A101" s="602" t="s">
        <v>96</v>
      </c>
      <c r="B101" s="159" t="s">
        <v>855</v>
      </c>
      <c r="C101" s="159" t="s">
        <v>831</v>
      </c>
      <c r="D101" s="1055"/>
      <c r="E101" s="1187"/>
      <c r="F101" s="20"/>
      <c r="G101" s="20"/>
      <c r="H101" s="20"/>
      <c r="I101" s="20"/>
      <c r="J101" s="17"/>
    </row>
    <row r="102" spans="1:10">
      <c r="A102" s="1188" t="s">
        <v>96</v>
      </c>
      <c r="B102" s="1189" t="s">
        <v>259</v>
      </c>
      <c r="C102" s="167" t="s">
        <v>263</v>
      </c>
      <c r="D102" s="167"/>
      <c r="E102" s="1190"/>
      <c r="F102" s="20"/>
      <c r="G102" s="20"/>
      <c r="H102" s="20"/>
      <c r="I102" s="20"/>
      <c r="J102" s="17"/>
    </row>
    <row r="103" spans="1:10">
      <c r="A103" s="602" t="s">
        <v>96</v>
      </c>
      <c r="B103" s="159" t="s">
        <v>261</v>
      </c>
      <c r="C103" s="145" t="s">
        <v>265</v>
      </c>
      <c r="D103" s="145" t="s">
        <v>857</v>
      </c>
      <c r="E103" s="912" t="s">
        <v>2790</v>
      </c>
    </row>
    <row r="104" spans="1:10">
      <c r="A104" s="602" t="s">
        <v>96</v>
      </c>
      <c r="B104" s="145">
        <v>4</v>
      </c>
      <c r="C104" s="145">
        <v>6</v>
      </c>
      <c r="D104" s="145">
        <v>8</v>
      </c>
      <c r="E104" s="912"/>
    </row>
    <row r="105" spans="1:10">
      <c r="A105" s="602" t="s">
        <v>96</v>
      </c>
      <c r="B105" s="145">
        <v>0.4</v>
      </c>
      <c r="C105" s="145">
        <v>0.6</v>
      </c>
      <c r="D105" s="145" t="s">
        <v>858</v>
      </c>
      <c r="E105" s="912">
        <v>1</v>
      </c>
    </row>
    <row r="106" spans="1:10">
      <c r="A106" s="602" t="s">
        <v>96</v>
      </c>
      <c r="B106" s="145">
        <v>150</v>
      </c>
      <c r="C106" s="145">
        <v>300</v>
      </c>
      <c r="D106" s="145" t="s">
        <v>26</v>
      </c>
      <c r="E106" s="912"/>
    </row>
    <row r="107" spans="1:10">
      <c r="A107" s="1020" t="s">
        <v>96</v>
      </c>
      <c r="B107" s="833" t="s">
        <v>837</v>
      </c>
      <c r="C107" s="1055" t="s">
        <v>859</v>
      </c>
      <c r="D107" s="1055"/>
      <c r="E107" s="1187"/>
    </row>
    <row r="108" spans="1:10">
      <c r="A108" s="1191" t="s">
        <v>259</v>
      </c>
      <c r="B108" s="639">
        <v>0</v>
      </c>
    </row>
    <row r="109" spans="1:10">
      <c r="A109" s="111" t="s">
        <v>263</v>
      </c>
      <c r="B109" s="1187">
        <v>1</v>
      </c>
    </row>
  </sheetData>
  <mergeCells count="28">
    <mergeCell ref="K44:L44"/>
    <mergeCell ref="H7:H8"/>
    <mergeCell ref="I7:I8"/>
    <mergeCell ref="E66:G66"/>
    <mergeCell ref="H65:J66"/>
    <mergeCell ref="H34:I34"/>
    <mergeCell ref="K43:L43"/>
    <mergeCell ref="A64:D64"/>
    <mergeCell ref="E64:G64"/>
    <mergeCell ref="H64:J64"/>
    <mergeCell ref="A65:D65"/>
    <mergeCell ref="E65:G65"/>
    <mergeCell ref="B55:C55"/>
    <mergeCell ref="B56:C56"/>
    <mergeCell ref="A63:D63"/>
    <mergeCell ref="E63:G63"/>
    <mergeCell ref="H63:J63"/>
    <mergeCell ref="A1:D1"/>
    <mergeCell ref="E1:G1"/>
    <mergeCell ref="H1:J1"/>
    <mergeCell ref="A2:D2"/>
    <mergeCell ref="E2:G2"/>
    <mergeCell ref="H2:J2"/>
    <mergeCell ref="A3:D3"/>
    <mergeCell ref="E3:G3"/>
    <mergeCell ref="E4:G4"/>
    <mergeCell ref="C10:E10"/>
    <mergeCell ref="H3:J4"/>
  </mergeCells>
  <dataValidations disablePrompts="1" count="12">
    <dataValidation allowBlank="1" showInputMessage="1" showErrorMessage="1" sqref="A101:C105 B106:D106 D102 A106:A109 C100:D100 E103 D104:D105 A100 A97:C97 AD75:AD76 AA68 N85 N78:P78 P79 N80:O80 AD79" xr:uid="{00000000-0002-0000-0700-000000000000}"/>
    <dataValidation type="list" allowBlank="1" showInputMessage="1" showErrorMessage="1" sqref="I10" xr:uid="{00000000-0002-0000-0700-000001000000}">
      <formula1>$K$10:$K$11</formula1>
    </dataValidation>
    <dataValidation type="list" allowBlank="1" showInputMessage="1" showErrorMessage="1" sqref="I44" xr:uid="{00000000-0002-0000-0700-000002000000}">
      <formula1>$B$102:$C$102</formula1>
    </dataValidation>
    <dataValidation type="list" allowBlank="1" showInputMessage="1" showErrorMessage="1" sqref="I46" xr:uid="{00000000-0002-0000-0700-000003000000}">
      <formula1>$A$103:$E$103</formula1>
    </dataValidation>
    <dataValidation type="list" allowBlank="1" showInputMessage="1" showErrorMessage="1" sqref="I47" xr:uid="{00000000-0002-0000-0700-000004000000}">
      <formula1>$A$104:$E$104</formula1>
    </dataValidation>
    <dataValidation type="list" allowBlank="1" showInputMessage="1" showErrorMessage="1" sqref="I48" xr:uid="{00000000-0002-0000-0700-000005000000}">
      <formula1>$A$105:$E$105</formula1>
    </dataValidation>
    <dataValidation type="list" allowBlank="1" showInputMessage="1" showErrorMessage="1" sqref="I49" xr:uid="{00000000-0002-0000-0700-000006000000}">
      <formula1>$A$106:$E$106</formula1>
    </dataValidation>
    <dataValidation type="list" allowBlank="1" showInputMessage="1" showErrorMessage="1" sqref="H34:I34" xr:uid="{00000000-0002-0000-0700-000007000000}">
      <formula1>$A$101:$E$101</formula1>
    </dataValidation>
    <dataValidation type="list" allowBlank="1" showInputMessage="1" showErrorMessage="1" sqref="I43" xr:uid="{00000000-0002-0000-0700-000008000000}">
      <formula1>$A$107:$E$107</formula1>
    </dataValidation>
    <dataValidation type="list" allowBlank="1" showInputMessage="1" showErrorMessage="1" sqref="L80" xr:uid="{00000000-0002-0000-0700-000009000000}">
      <formula1>$AP$67:$AP$89</formula1>
    </dataValidation>
    <dataValidation type="list" allowBlank="1" showInputMessage="1" showErrorMessage="1" sqref="H81" xr:uid="{00000000-0002-0000-0700-00000A000000}">
      <formula1>$N$78:$P$78</formula1>
    </dataValidation>
    <dataValidation type="list" allowBlank="1" showInputMessage="1" showErrorMessage="1" sqref="H83" xr:uid="{00000000-0002-0000-0700-00000B000000}">
      <formula1>$AD$75:$AD$90</formula1>
    </dataValidation>
  </dataValidations>
  <pageMargins left="0.75" right="0.75" top="1" bottom="1" header="0.51041666666666696" footer="0.51041666666666696"/>
  <pageSetup paperSize="9" scale="70" orientation="portrait" r:id="rId1"/>
  <headerFooter alignWithMargins="0"/>
  <rowBreaks count="1" manualBreakCount="1">
    <brk id="62" max="9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N162"/>
  <sheetViews>
    <sheetView showGridLines="0" view="pageBreakPreview" topLeftCell="D21" zoomScaleSheetLayoutView="100" workbookViewId="0">
      <selection activeCell="Q30" sqref="Q30:T43"/>
    </sheetView>
  </sheetViews>
  <sheetFormatPr defaultColWidth="9.1328125" defaultRowHeight="14.25"/>
  <cols>
    <col min="1" max="3" width="9.1328125" style="22"/>
    <col min="4" max="4" width="10.46484375" style="22" customWidth="1"/>
    <col min="5" max="5" width="9.1328125" style="22"/>
    <col min="6" max="6" width="12.86328125" style="22"/>
    <col min="7" max="7" width="11.86328125" style="22" customWidth="1"/>
    <col min="8" max="8" width="9.1328125" style="22"/>
    <col min="9" max="9" width="16.1328125" style="22" customWidth="1"/>
    <col min="10" max="10" width="11" style="22" customWidth="1"/>
    <col min="11" max="12" width="9.1328125" style="22"/>
    <col min="13" max="14" width="12.86328125" style="22"/>
    <col min="15" max="15" width="10.53125" style="22"/>
    <col min="16" max="16" width="10.53125" style="22" customWidth="1"/>
    <col min="17" max="17" width="9.33203125" style="22"/>
    <col min="18" max="18" width="12.86328125" style="22"/>
    <col min="19" max="20" width="9.53125" style="22"/>
    <col min="21" max="26" width="15.53125" style="22" customWidth="1"/>
    <col min="27" max="16384" width="9.1328125" style="22"/>
  </cols>
  <sheetData>
    <row r="1" spans="1:39" ht="14.65" thickBot="1">
      <c r="A1" s="3769" t="s">
        <v>1</v>
      </c>
      <c r="B1" s="3770"/>
      <c r="C1" s="3770"/>
      <c r="D1" s="3771"/>
      <c r="E1" s="3735" t="s">
        <v>109</v>
      </c>
      <c r="F1" s="3736"/>
      <c r="G1" s="3737"/>
      <c r="H1" s="3738" t="s">
        <v>2</v>
      </c>
      <c r="I1" s="3739"/>
      <c r="J1" s="3740"/>
      <c r="K1" s="17"/>
      <c r="L1" s="4019" t="s">
        <v>1018</v>
      </c>
      <c r="M1" s="4020"/>
      <c r="N1" s="4021"/>
      <c r="O1" s="182"/>
      <c r="P1" s="4025" t="s">
        <v>1019</v>
      </c>
      <c r="Q1" s="4026"/>
      <c r="R1" s="20"/>
      <c r="S1" s="83">
        <f>IF(I15&gt;20,8,4)</f>
        <v>4</v>
      </c>
      <c r="T1" s="22">
        <f>IF(I17&gt;59,8,4)</f>
        <v>4</v>
      </c>
      <c r="U1" s="182">
        <f>IF(T1&gt;S1,T1,S1)</f>
        <v>4</v>
      </c>
      <c r="V1" s="17"/>
      <c r="W1" s="17"/>
      <c r="X1" s="17"/>
      <c r="Y1" s="17"/>
      <c r="Z1" s="17"/>
      <c r="AA1" s="17"/>
      <c r="AB1" s="17"/>
      <c r="AC1" s="216"/>
      <c r="AD1" s="17"/>
      <c r="AE1" s="17"/>
      <c r="AF1" s="17"/>
      <c r="AG1" s="17"/>
      <c r="AH1" s="17"/>
      <c r="AI1" s="17"/>
      <c r="AJ1" s="17"/>
      <c r="AK1" s="17"/>
      <c r="AL1" s="17"/>
      <c r="AM1" s="17"/>
    </row>
    <row r="2" spans="1:39">
      <c r="A2" s="4022" t="str">
        <f>+LT_HP!A2</f>
        <v>ELITEMHE INDUSTRIES LIMITED</v>
      </c>
      <c r="B2" s="4023"/>
      <c r="C2" s="4023"/>
      <c r="D2" s="4024"/>
      <c r="E2" s="3744" t="str">
        <f>CT_wh!E2</f>
        <v xml:space="preserve">25/15T D/G EOT CRANE  </v>
      </c>
      <c r="F2" s="3695"/>
      <c r="G2" s="3745"/>
      <c r="H2" s="3746">
        <f>CT_wh!H2</f>
        <v>0</v>
      </c>
      <c r="I2" s="3747"/>
      <c r="J2" s="3748"/>
      <c r="K2" s="17"/>
      <c r="L2" s="1203">
        <v>0</v>
      </c>
      <c r="M2" s="1204">
        <v>5</v>
      </c>
      <c r="N2" s="1015">
        <v>1</v>
      </c>
      <c r="O2" s="51"/>
      <c r="P2" s="145" t="s">
        <v>79</v>
      </c>
      <c r="Q2" s="145">
        <v>1.06</v>
      </c>
      <c r="R2" s="182"/>
      <c r="T2" s="17"/>
      <c r="U2" s="17"/>
      <c r="V2" s="17"/>
      <c r="W2" s="17"/>
      <c r="X2" s="17"/>
      <c r="Y2" s="17"/>
      <c r="Z2" s="17"/>
      <c r="AA2" s="17"/>
      <c r="AB2" s="17"/>
      <c r="AC2" s="216"/>
      <c r="AD2" s="17"/>
      <c r="AE2" s="17"/>
      <c r="AF2" s="17"/>
      <c r="AG2" s="17"/>
      <c r="AH2" s="17"/>
      <c r="AI2" s="17"/>
      <c r="AJ2" s="17"/>
      <c r="AK2" s="17"/>
      <c r="AL2" s="17"/>
      <c r="AM2" s="17"/>
    </row>
    <row r="3" spans="1:39">
      <c r="A3" s="3763" t="e">
        <f>CT_wh!A3</f>
        <v>#REF!</v>
      </c>
      <c r="B3" s="3760"/>
      <c r="C3" s="3760"/>
      <c r="D3" s="3761"/>
      <c r="E3" s="3759" t="s">
        <v>122</v>
      </c>
      <c r="F3" s="3760"/>
      <c r="G3" s="3761"/>
      <c r="H3" s="3750" t="s">
        <v>1020</v>
      </c>
      <c r="I3" s="3751"/>
      <c r="J3" s="3752"/>
      <c r="K3" s="17"/>
      <c r="L3" s="1014">
        <v>5</v>
      </c>
      <c r="M3" s="145">
        <v>15</v>
      </c>
      <c r="N3" s="912">
        <v>1.2</v>
      </c>
      <c r="O3" s="51"/>
      <c r="P3" s="145" t="s">
        <v>81</v>
      </c>
      <c r="Q3" s="145">
        <v>1.1200000000000001</v>
      </c>
      <c r="R3" s="51"/>
      <c r="S3" s="182"/>
      <c r="T3" s="182"/>
      <c r="U3" s="182"/>
      <c r="V3" s="182"/>
      <c r="W3" s="17"/>
      <c r="X3" s="17"/>
      <c r="Y3" s="17"/>
      <c r="Z3" s="17"/>
      <c r="AA3" s="17"/>
      <c r="AB3" s="17"/>
      <c r="AC3" s="216"/>
      <c r="AD3" s="17"/>
      <c r="AE3" s="17"/>
      <c r="AF3" s="17"/>
      <c r="AG3" s="17"/>
      <c r="AH3" s="17"/>
      <c r="AI3" s="17"/>
      <c r="AJ3" s="17"/>
      <c r="AK3" s="17"/>
      <c r="AL3" s="17"/>
      <c r="AM3" s="17"/>
    </row>
    <row r="4" spans="1:39">
      <c r="A4" s="406" t="s">
        <v>3</v>
      </c>
      <c r="B4" s="407" t="e">
        <f>CT_wh!B4</f>
        <v>#REF!</v>
      </c>
      <c r="C4" s="407"/>
      <c r="D4" s="408"/>
      <c r="E4" s="3762" t="str">
        <f>CT_wh!E4</f>
        <v xml:space="preserve"> </v>
      </c>
      <c r="F4" s="3742"/>
      <c r="G4" s="3743"/>
      <c r="H4" s="3753"/>
      <c r="I4" s="3754"/>
      <c r="J4" s="3755"/>
      <c r="K4" s="17"/>
      <c r="L4" s="602">
        <v>15</v>
      </c>
      <c r="M4" s="145">
        <v>30</v>
      </c>
      <c r="N4" s="912">
        <v>1.4</v>
      </c>
      <c r="O4" s="51"/>
      <c r="P4" s="145" t="s">
        <v>36</v>
      </c>
      <c r="Q4" s="145">
        <v>1.18</v>
      </c>
      <c r="R4" s="51"/>
      <c r="S4" s="51"/>
      <c r="T4" s="182"/>
      <c r="U4" s="182"/>
      <c r="V4" s="182"/>
      <c r="W4" s="17"/>
      <c r="X4" s="17"/>
      <c r="Y4" s="17"/>
      <c r="Z4" s="17"/>
      <c r="AA4" s="17"/>
      <c r="AB4" s="17"/>
      <c r="AC4" s="216"/>
      <c r="AD4" s="17"/>
      <c r="AE4" s="17"/>
      <c r="AF4" s="17"/>
      <c r="AG4" s="17"/>
      <c r="AH4" s="17"/>
      <c r="AI4" s="17"/>
      <c r="AJ4" s="17"/>
      <c r="AK4" s="17"/>
      <c r="AL4" s="17"/>
      <c r="AM4" s="17"/>
    </row>
    <row r="5" spans="1:39">
      <c r="A5" s="300"/>
      <c r="B5" s="37"/>
      <c r="C5" s="37"/>
      <c r="D5" s="37"/>
      <c r="E5" s="37"/>
      <c r="F5" s="37"/>
      <c r="G5" s="37"/>
      <c r="H5" s="37"/>
      <c r="I5" s="37"/>
      <c r="J5" s="38"/>
      <c r="K5" s="17"/>
      <c r="L5" s="602">
        <v>30</v>
      </c>
      <c r="M5" s="145">
        <v>50</v>
      </c>
      <c r="N5" s="912">
        <v>1.5</v>
      </c>
      <c r="O5" s="51"/>
      <c r="P5" s="145" t="s">
        <v>82</v>
      </c>
      <c r="Q5" s="145">
        <v>1.25</v>
      </c>
      <c r="R5" s="51"/>
      <c r="S5" s="51"/>
      <c r="T5" s="182"/>
      <c r="U5" s="182"/>
      <c r="V5" s="182"/>
      <c r="W5" s="17"/>
      <c r="X5" s="17"/>
      <c r="Y5" s="17"/>
      <c r="Z5" s="17"/>
      <c r="AA5" s="17"/>
      <c r="AB5" s="17"/>
      <c r="AC5" s="216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>
      <c r="A6" s="1207">
        <v>10</v>
      </c>
      <c r="B6" s="186" t="s">
        <v>1021</v>
      </c>
      <c r="C6" s="31"/>
      <c r="D6" s="31"/>
      <c r="E6" s="31"/>
      <c r="F6" s="31"/>
      <c r="G6" s="31"/>
      <c r="H6" s="31"/>
      <c r="J6" s="129"/>
      <c r="K6" s="31"/>
      <c r="L6" s="602">
        <v>50</v>
      </c>
      <c r="M6" s="143">
        <v>60</v>
      </c>
      <c r="N6" s="1019">
        <v>1.6</v>
      </c>
      <c r="O6" s="108"/>
      <c r="P6" s="145" t="s">
        <v>40</v>
      </c>
      <c r="Q6" s="145">
        <v>1.32</v>
      </c>
      <c r="R6" s="108"/>
      <c r="S6" s="108"/>
      <c r="T6" s="186"/>
      <c r="U6" s="186"/>
      <c r="V6" s="186"/>
      <c r="W6" s="31"/>
      <c r="X6" s="31"/>
      <c r="Y6" s="31"/>
      <c r="Z6" s="31"/>
      <c r="AA6" s="31"/>
      <c r="AB6" s="31"/>
      <c r="AC6" s="59"/>
      <c r="AD6" s="31"/>
      <c r="AE6" s="31"/>
      <c r="AF6" s="31"/>
      <c r="AG6" s="31"/>
      <c r="AH6" s="31"/>
      <c r="AI6" s="31"/>
      <c r="AJ6" s="31"/>
      <c r="AK6" s="31"/>
      <c r="AL6" s="31"/>
      <c r="AM6" s="31"/>
    </row>
    <row r="7" spans="1:39">
      <c r="A7" s="1208"/>
      <c r="B7" s="485"/>
      <c r="C7" s="31"/>
      <c r="D7" s="31"/>
      <c r="E7" s="31"/>
      <c r="F7" s="31"/>
      <c r="G7" s="31"/>
      <c r="H7" s="31"/>
      <c r="J7" s="129"/>
      <c r="K7" s="31"/>
      <c r="L7" s="1018">
        <v>50</v>
      </c>
      <c r="M7" s="143">
        <v>70</v>
      </c>
      <c r="N7" s="1019">
        <v>1.8</v>
      </c>
      <c r="O7" s="108"/>
      <c r="P7" s="145" t="s">
        <v>85</v>
      </c>
      <c r="Q7" s="145">
        <v>1.4</v>
      </c>
      <c r="R7" s="108"/>
      <c r="S7" s="108"/>
      <c r="T7" s="186"/>
      <c r="U7" s="186"/>
      <c r="V7" s="186"/>
      <c r="W7" s="31"/>
      <c r="X7" s="31"/>
      <c r="Y7" s="31"/>
      <c r="Z7" s="31"/>
      <c r="AA7" s="31"/>
      <c r="AB7" s="31"/>
      <c r="AC7" s="59"/>
      <c r="AD7" s="31"/>
      <c r="AE7" s="31"/>
      <c r="AF7" s="31"/>
      <c r="AG7" s="31"/>
      <c r="AH7" s="31"/>
      <c r="AI7" s="31"/>
      <c r="AJ7" s="31"/>
      <c r="AK7" s="31"/>
      <c r="AL7" s="31"/>
      <c r="AM7" s="31"/>
    </row>
    <row r="8" spans="1:39">
      <c r="A8" s="1208"/>
      <c r="B8" s="186" t="s">
        <v>1022</v>
      </c>
      <c r="C8" s="31"/>
      <c r="D8" s="31"/>
      <c r="E8" s="31"/>
      <c r="F8" s="31"/>
      <c r="G8" s="31"/>
      <c r="H8" s="31"/>
      <c r="I8" s="31"/>
      <c r="J8" s="129"/>
      <c r="K8" s="31"/>
      <c r="L8" s="1018">
        <v>70</v>
      </c>
      <c r="M8" s="143">
        <v>85</v>
      </c>
      <c r="N8" s="1019">
        <v>1.9</v>
      </c>
      <c r="O8" s="108"/>
      <c r="P8" s="145" t="s">
        <v>44</v>
      </c>
      <c r="Q8" s="145">
        <v>1.4</v>
      </c>
      <c r="R8" s="108"/>
      <c r="S8" s="108"/>
      <c r="T8" s="186"/>
      <c r="U8" s="186"/>
      <c r="V8" s="186"/>
      <c r="W8" s="31"/>
      <c r="X8" s="31"/>
      <c r="Y8" s="31"/>
      <c r="Z8" s="31"/>
      <c r="AA8" s="31"/>
      <c r="AB8" s="31"/>
      <c r="AC8" s="59"/>
      <c r="AD8" s="31"/>
      <c r="AE8" s="31"/>
      <c r="AF8" s="31"/>
      <c r="AG8" s="31"/>
      <c r="AH8" s="31"/>
      <c r="AI8" s="31"/>
      <c r="AJ8" s="31"/>
      <c r="AK8" s="31"/>
      <c r="AL8" s="31"/>
      <c r="AM8" s="31"/>
    </row>
    <row r="9" spans="1:39">
      <c r="A9" s="1208"/>
      <c r="B9" s="31"/>
      <c r="C9" s="31"/>
      <c r="D9" s="31"/>
      <c r="E9" s="31"/>
      <c r="F9" s="31"/>
      <c r="G9" s="31"/>
      <c r="H9" s="31"/>
      <c r="J9" s="129"/>
      <c r="K9" s="31"/>
      <c r="L9" s="1018">
        <v>85</v>
      </c>
      <c r="M9" s="143">
        <v>100</v>
      </c>
      <c r="N9" s="1019">
        <v>2</v>
      </c>
      <c r="O9" s="108"/>
      <c r="P9" s="145" t="s">
        <v>48</v>
      </c>
      <c r="Q9" s="145">
        <v>1.5</v>
      </c>
      <c r="R9" s="108"/>
      <c r="S9" s="108"/>
      <c r="T9" s="186"/>
      <c r="U9" s="186"/>
      <c r="V9" s="186"/>
      <c r="W9" s="31"/>
      <c r="X9" s="31"/>
      <c r="Y9" s="31"/>
      <c r="Z9" s="31"/>
      <c r="AA9" s="31"/>
      <c r="AB9" s="31"/>
      <c r="AC9" s="59"/>
      <c r="AD9" s="31"/>
      <c r="AE9" s="31"/>
      <c r="AF9" s="31"/>
      <c r="AG9" s="31"/>
      <c r="AH9" s="31"/>
      <c r="AI9" s="31"/>
      <c r="AJ9" s="31"/>
      <c r="AK9" s="31"/>
      <c r="AL9" s="31"/>
      <c r="AM9" s="31"/>
    </row>
    <row r="10" spans="1:39" ht="14.65" thickBot="1">
      <c r="A10" s="1208"/>
      <c r="B10" s="186" t="s">
        <v>1023</v>
      </c>
      <c r="C10" s="186"/>
      <c r="D10" s="186"/>
      <c r="E10" s="485" t="s">
        <v>1024</v>
      </c>
      <c r="F10" s="186"/>
      <c r="G10" s="485" t="s">
        <v>1025</v>
      </c>
      <c r="H10" s="186"/>
      <c r="I10" s="186"/>
      <c r="J10" s="129"/>
      <c r="K10" s="31"/>
      <c r="L10" s="1018">
        <v>100</v>
      </c>
      <c r="M10" s="143">
        <v>125</v>
      </c>
      <c r="N10" s="1019">
        <v>2.2000000000000002</v>
      </c>
      <c r="O10" s="108"/>
      <c r="P10" s="245" t="str">
        <f>'E Data'!E25</f>
        <v>M5</v>
      </c>
      <c r="Q10" s="245">
        <f>VLOOKUP(P10,P2:Q9,2,0)</f>
        <v>1.32</v>
      </c>
      <c r="R10" s="108"/>
      <c r="S10" s="108"/>
      <c r="T10" s="186"/>
      <c r="U10" s="186"/>
      <c r="V10" s="186"/>
      <c r="W10" s="31"/>
      <c r="X10" s="31"/>
      <c r="Y10" s="31"/>
      <c r="Z10" s="31"/>
      <c r="AA10" s="31"/>
      <c r="AB10" s="31"/>
      <c r="AC10" s="59"/>
      <c r="AD10" s="31"/>
      <c r="AE10" s="31"/>
      <c r="AF10" s="31"/>
      <c r="AG10" s="31"/>
      <c r="AH10" s="31"/>
      <c r="AI10" s="31"/>
      <c r="AJ10" s="31"/>
      <c r="AK10" s="31"/>
      <c r="AL10" s="31"/>
      <c r="AM10" s="31"/>
    </row>
    <row r="11" spans="1:39" ht="14.65" thickBot="1">
      <c r="A11" s="1208"/>
      <c r="B11" s="186" t="s">
        <v>1026</v>
      </c>
      <c r="C11" s="186"/>
      <c r="D11" s="186"/>
      <c r="E11" s="186" t="s">
        <v>1027</v>
      </c>
      <c r="F11" s="186"/>
      <c r="G11" s="186" t="s">
        <v>1028</v>
      </c>
      <c r="H11" s="186"/>
      <c r="I11" s="186"/>
      <c r="J11" s="129"/>
      <c r="K11" s="31"/>
      <c r="L11" s="1054">
        <v>125</v>
      </c>
      <c r="M11" s="1055">
        <v>150</v>
      </c>
      <c r="N11" s="1187">
        <v>2.5</v>
      </c>
      <c r="Q11" s="59"/>
      <c r="R11" s="59"/>
      <c r="U11" s="1016">
        <f>I38*I39*I44/(1.5*I41*6.7)</f>
        <v>211.68621179815213</v>
      </c>
      <c r="V11" s="639"/>
      <c r="X11" s="1016">
        <f>'E Data'!D13+'E Data'!D14</f>
        <v>40</v>
      </c>
      <c r="Y11" s="639"/>
      <c r="AB11" s="31"/>
      <c r="AE11" s="31"/>
      <c r="AF11" s="31"/>
      <c r="AG11" s="31"/>
      <c r="AH11" s="31"/>
      <c r="AI11" s="31"/>
      <c r="AJ11" s="31"/>
      <c r="AK11" s="31"/>
      <c r="AL11" s="31"/>
      <c r="AM11" s="31"/>
    </row>
    <row r="12" spans="1:39" ht="11.1" customHeight="1" thickBot="1">
      <c r="A12" s="1208"/>
      <c r="B12" s="31"/>
      <c r="C12" s="31"/>
      <c r="D12" s="31"/>
      <c r="E12" s="31"/>
      <c r="F12" s="31"/>
      <c r="G12" s="31"/>
      <c r="H12" s="31"/>
      <c r="I12" s="31"/>
      <c r="K12" s="31"/>
      <c r="L12" s="1106">
        <f>+VLOOKUP('E Data'!D13,L2:L11,1)</f>
        <v>15</v>
      </c>
      <c r="M12" s="167">
        <f>+VLOOKUP(L12,L2:M11,2,0)</f>
        <v>30</v>
      </c>
      <c r="N12" s="1209">
        <f>+VLOOKUP(M13,M2:N11,2,0)</f>
        <v>1.4</v>
      </c>
      <c r="Q12" s="59"/>
      <c r="R12" s="59"/>
      <c r="U12" s="1020">
        <f>+VLOOKUP(U11,U14:U25,1)</f>
        <v>200</v>
      </c>
      <c r="V12" s="1021">
        <f>+VLOOKUP(U12,U14:V25,2,0)</f>
        <v>250</v>
      </c>
      <c r="X12" s="1020">
        <f>+VLOOKUP(X11,X14:X25,1)</f>
        <v>39</v>
      </c>
      <c r="Y12" s="1021">
        <f>+VLOOKUP(X12,X14:Y25,2,0)</f>
        <v>105</v>
      </c>
      <c r="AB12" s="31"/>
      <c r="AE12" s="31"/>
      <c r="AF12" s="31"/>
      <c r="AG12" s="31"/>
      <c r="AH12" s="31"/>
      <c r="AI12" s="31"/>
      <c r="AJ12" s="31"/>
      <c r="AK12" s="31"/>
      <c r="AL12" s="31"/>
      <c r="AM12" s="31"/>
    </row>
    <row r="13" spans="1:39" ht="18" customHeight="1" thickBot="1">
      <c r="A13" s="1208"/>
      <c r="B13" s="31" t="s">
        <v>303</v>
      </c>
      <c r="C13" s="31"/>
      <c r="D13" s="31"/>
      <c r="E13" s="31"/>
      <c r="F13" s="31"/>
      <c r="G13" s="31"/>
      <c r="H13" s="31"/>
      <c r="I13" s="59" t="str">
        <f>'E Data'!E25</f>
        <v>M5</v>
      </c>
      <c r="J13" s="1210">
        <f>VLOOKUP(I13,P2:Q9,2,0)</f>
        <v>1.32</v>
      </c>
      <c r="K13" s="31"/>
      <c r="L13" s="637">
        <f>IFERROR(VLOOKUP('E Data'!D13,M2:M11,1,0),0)</f>
        <v>0</v>
      </c>
      <c r="M13" s="1055">
        <f>IF(L13=0,M12,L13)</f>
        <v>30</v>
      </c>
      <c r="N13" s="1187"/>
      <c r="Q13" s="59"/>
      <c r="U13" s="1023" t="s">
        <v>305</v>
      </c>
      <c r="V13" s="826" t="s">
        <v>879</v>
      </c>
      <c r="X13" s="1023" t="s">
        <v>1101</v>
      </c>
      <c r="Y13" s="826" t="s">
        <v>1135</v>
      </c>
      <c r="AB13" s="31"/>
      <c r="AE13" s="31"/>
      <c r="AF13" s="31"/>
      <c r="AG13" s="31"/>
      <c r="AH13" s="31"/>
      <c r="AI13" s="31"/>
      <c r="AJ13" s="31"/>
      <c r="AK13" s="31"/>
      <c r="AL13" s="31"/>
      <c r="AM13" s="31"/>
    </row>
    <row r="14" spans="1:39" ht="18" customHeight="1" thickBot="1">
      <c r="A14" s="1208"/>
      <c r="B14" s="31"/>
      <c r="C14" s="31"/>
      <c r="D14" s="31"/>
      <c r="E14" s="31"/>
      <c r="F14" s="31"/>
      <c r="G14" s="31"/>
      <c r="H14" s="31"/>
      <c r="I14" s="31"/>
      <c r="J14" s="129"/>
      <c r="K14" s="31"/>
      <c r="L14" s="413"/>
      <c r="Q14" s="1151" t="s">
        <v>875</v>
      </c>
      <c r="R14" s="1141" t="s">
        <v>876</v>
      </c>
      <c r="S14" s="1141" t="s">
        <v>993</v>
      </c>
      <c r="U14" s="612">
        <v>0</v>
      </c>
      <c r="V14" s="63">
        <v>160</v>
      </c>
      <c r="X14" s="612">
        <v>0</v>
      </c>
      <c r="Y14" s="63">
        <v>50</v>
      </c>
      <c r="AB14" s="31"/>
      <c r="AE14" s="31"/>
      <c r="AF14" s="31"/>
      <c r="AG14" s="31"/>
      <c r="AH14" s="31"/>
      <c r="AI14" s="31"/>
      <c r="AJ14" s="31"/>
      <c r="AK14" s="31"/>
      <c r="AL14" s="31"/>
      <c r="AM14" s="31"/>
    </row>
    <row r="15" spans="1:39" ht="18" customHeight="1" thickBot="1">
      <c r="A15" s="1208"/>
      <c r="B15" s="43" t="s">
        <v>1029</v>
      </c>
      <c r="C15" s="31" t="s">
        <v>1030</v>
      </c>
      <c r="D15" s="31"/>
      <c r="E15" s="31"/>
      <c r="F15" s="31"/>
      <c r="G15" s="31"/>
      <c r="H15" s="43" t="s">
        <v>160</v>
      </c>
      <c r="I15" s="59">
        <f>'E Data'!D16</f>
        <v>15</v>
      </c>
      <c r="J15" s="129">
        <f t="shared" ref="J15" si="0">I15</f>
        <v>15</v>
      </c>
      <c r="K15" s="3992" t="s">
        <v>1018</v>
      </c>
      <c r="L15" s="3993"/>
      <c r="M15" s="1005"/>
      <c r="N15" s="1006" t="s">
        <v>868</v>
      </c>
      <c r="O15" s="1007"/>
      <c r="Q15" s="845" t="s">
        <v>878</v>
      </c>
      <c r="R15" s="1022">
        <v>190</v>
      </c>
      <c r="S15" s="1022">
        <v>50</v>
      </c>
      <c r="U15" s="606">
        <v>160</v>
      </c>
      <c r="V15" s="66">
        <v>200</v>
      </c>
      <c r="X15" s="606">
        <v>9</v>
      </c>
      <c r="Y15" s="66">
        <v>50</v>
      </c>
      <c r="AB15" s="31"/>
      <c r="AE15" s="31"/>
      <c r="AF15" s="31"/>
      <c r="AG15" s="31"/>
      <c r="AH15" s="31"/>
      <c r="AI15" s="31"/>
      <c r="AJ15" s="31"/>
      <c r="AK15" s="31"/>
      <c r="AL15" s="31"/>
      <c r="AM15" s="31"/>
    </row>
    <row r="16" spans="1:39" ht="18" customHeight="1" thickBot="1">
      <c r="A16" s="1208"/>
      <c r="B16" s="43" t="s">
        <v>1031</v>
      </c>
      <c r="C16" s="31" t="s">
        <v>1032</v>
      </c>
      <c r="D16" s="31"/>
      <c r="E16" s="31"/>
      <c r="F16" s="31"/>
      <c r="G16" s="31"/>
      <c r="H16" s="43" t="s">
        <v>160</v>
      </c>
      <c r="I16" s="205">
        <f>N12</f>
        <v>1.4</v>
      </c>
      <c r="J16" s="129">
        <f>I16</f>
        <v>1.4</v>
      </c>
      <c r="K16" s="1211" t="s">
        <v>1033</v>
      </c>
      <c r="L16" s="1212" t="s">
        <v>1034</v>
      </c>
      <c r="M16" s="1008"/>
      <c r="N16" s="1009" t="s">
        <v>869</v>
      </c>
      <c r="O16" s="1010"/>
      <c r="P16" s="413" t="str">
        <f>IFERROR(IF($I$40=Q15,"→"," "),"")</f>
        <v xml:space="preserve"> </v>
      </c>
      <c r="Q16" s="845" t="s">
        <v>3965</v>
      </c>
      <c r="R16" s="1022">
        <v>190</v>
      </c>
      <c r="S16" s="1022">
        <v>50</v>
      </c>
      <c r="U16" s="606">
        <v>200</v>
      </c>
      <c r="V16" s="66">
        <v>250</v>
      </c>
      <c r="X16" s="606">
        <v>19</v>
      </c>
      <c r="Y16" s="66">
        <v>105</v>
      </c>
      <c r="AB16" s="31"/>
      <c r="AE16" s="31"/>
      <c r="AF16" s="31"/>
      <c r="AG16" s="31"/>
      <c r="AH16" s="31"/>
      <c r="AI16" s="31"/>
      <c r="AJ16" s="31"/>
      <c r="AK16" s="31"/>
      <c r="AL16" s="31"/>
      <c r="AM16" s="31"/>
    </row>
    <row r="17" spans="1:39" ht="18" customHeight="1" thickBot="1">
      <c r="A17" s="1208"/>
      <c r="B17" s="43" t="s">
        <v>872</v>
      </c>
      <c r="C17" s="31" t="s">
        <v>873</v>
      </c>
      <c r="D17" s="31"/>
      <c r="E17" s="31"/>
      <c r="F17" s="31"/>
      <c r="G17" s="31"/>
      <c r="H17" s="43" t="s">
        <v>160</v>
      </c>
      <c r="I17" s="59">
        <f>'E Data'!D13</f>
        <v>25</v>
      </c>
      <c r="J17" s="129">
        <f>I17*J13</f>
        <v>33</v>
      </c>
      <c r="K17" s="1213" t="s">
        <v>1035</v>
      </c>
      <c r="L17" s="1019" t="s">
        <v>1036</v>
      </c>
      <c r="M17" s="212" t="s">
        <v>118</v>
      </c>
      <c r="N17" s="1011" t="s">
        <v>121</v>
      </c>
      <c r="O17" s="1012" t="s">
        <v>871</v>
      </c>
      <c r="P17" s="413" t="str">
        <f t="shared" ref="P17" si="1">IFERROR(IF($I$40=Q17,"→"," "),"")</f>
        <v xml:space="preserve"> </v>
      </c>
      <c r="Q17" s="512">
        <v>40</v>
      </c>
      <c r="R17" s="1025">
        <v>190</v>
      </c>
      <c r="S17" s="1025">
        <v>40</v>
      </c>
      <c r="U17" s="606">
        <v>250</v>
      </c>
      <c r="V17" s="66">
        <v>320</v>
      </c>
      <c r="X17" s="606">
        <v>29</v>
      </c>
      <c r="Y17" s="66">
        <v>105</v>
      </c>
      <c r="AB17" s="31"/>
      <c r="AE17" s="31"/>
      <c r="AF17" s="1064"/>
      <c r="AG17" s="1214" t="s">
        <v>868</v>
      </c>
      <c r="AH17" s="1007"/>
      <c r="AI17" s="31"/>
      <c r="AJ17" s="31"/>
      <c r="AK17" s="31"/>
      <c r="AL17" s="31"/>
      <c r="AM17" s="31"/>
    </row>
    <row r="18" spans="1:39" ht="18" customHeight="1" thickBot="1">
      <c r="A18" s="1208"/>
      <c r="B18" s="31"/>
      <c r="C18" s="31" t="s">
        <v>1037</v>
      </c>
      <c r="D18" s="31"/>
      <c r="E18" s="31"/>
      <c r="F18" s="31"/>
      <c r="G18" s="31"/>
      <c r="H18" s="43" t="s">
        <v>160</v>
      </c>
      <c r="I18" s="59">
        <f>'E Data'!D44</f>
        <v>5</v>
      </c>
      <c r="J18" s="129">
        <f t="shared" ref="J18" si="2">I18</f>
        <v>5</v>
      </c>
      <c r="K18" s="1213" t="s">
        <v>1038</v>
      </c>
      <c r="L18" s="1019" t="s">
        <v>1039</v>
      </c>
      <c r="M18" s="1013">
        <v>0</v>
      </c>
      <c r="N18" s="1014">
        <v>5</v>
      </c>
      <c r="O18" s="1015">
        <v>1.17</v>
      </c>
      <c r="P18" s="413" t="str">
        <f t="shared" ref="P18:P28" si="3">IFERROR(IF($I$40=Q18,"→"," "),"")</f>
        <v xml:space="preserve"> </v>
      </c>
      <c r="Q18" s="512">
        <v>50</v>
      </c>
      <c r="R18" s="1025">
        <v>190</v>
      </c>
      <c r="S18" s="1025">
        <v>50</v>
      </c>
      <c r="U18" s="606">
        <v>320</v>
      </c>
      <c r="V18" s="66">
        <v>400</v>
      </c>
      <c r="X18" s="606">
        <v>39</v>
      </c>
      <c r="Y18" s="66">
        <v>105</v>
      </c>
      <c r="AB18" s="31"/>
      <c r="AE18" s="31"/>
      <c r="AF18" s="1215"/>
      <c r="AG18" s="1216" t="s">
        <v>869</v>
      </c>
      <c r="AH18" s="1217"/>
      <c r="AI18" s="31"/>
      <c r="AJ18" s="31"/>
      <c r="AK18" s="31"/>
      <c r="AL18" s="31"/>
      <c r="AM18" s="31"/>
    </row>
    <row r="19" spans="1:39" ht="18" customHeight="1" thickBot="1">
      <c r="A19" s="1208"/>
      <c r="B19" s="31"/>
      <c r="C19" s="31" t="s">
        <v>1040</v>
      </c>
      <c r="D19" s="31"/>
      <c r="E19" s="31"/>
      <c r="F19" s="31"/>
      <c r="G19" s="31"/>
      <c r="H19" s="43" t="s">
        <v>160</v>
      </c>
      <c r="I19" s="59">
        <f>'E Data'!D43</f>
        <v>17</v>
      </c>
      <c r="J19" s="1210">
        <f>I19</f>
        <v>17</v>
      </c>
      <c r="K19" s="1218" t="s">
        <v>1041</v>
      </c>
      <c r="L19" s="1219" t="s">
        <v>1042</v>
      </c>
      <c r="M19" s="1017">
        <v>5</v>
      </c>
      <c r="N19" s="1018">
        <v>5.6</v>
      </c>
      <c r="O19" s="1019">
        <v>1.1599999999999999</v>
      </c>
      <c r="P19" s="413" t="str">
        <f t="shared" si="3"/>
        <v xml:space="preserve"> </v>
      </c>
      <c r="Q19" s="512">
        <v>63</v>
      </c>
      <c r="R19" s="1025">
        <v>190</v>
      </c>
      <c r="S19" s="1025">
        <v>63</v>
      </c>
      <c r="U19" s="606">
        <v>400</v>
      </c>
      <c r="V19" s="66">
        <v>500</v>
      </c>
      <c r="X19" s="606">
        <v>49</v>
      </c>
      <c r="Y19" s="66">
        <v>105</v>
      </c>
      <c r="AB19" s="31"/>
      <c r="AE19" s="31"/>
      <c r="AF19" s="212" t="s">
        <v>118</v>
      </c>
      <c r="AG19" s="1011" t="s">
        <v>121</v>
      </c>
      <c r="AH19" s="1220" t="s">
        <v>871</v>
      </c>
      <c r="AI19" s="31"/>
      <c r="AJ19" s="31"/>
      <c r="AK19" s="31"/>
      <c r="AL19" s="31"/>
      <c r="AM19" s="31"/>
    </row>
    <row r="20" spans="1:39" ht="18" customHeight="1">
      <c r="A20" s="1208"/>
      <c r="B20" s="31"/>
      <c r="C20" s="31" t="s">
        <v>1043</v>
      </c>
      <c r="D20" s="31"/>
      <c r="E20" s="31"/>
      <c r="F20" s="31"/>
      <c r="G20" s="31"/>
      <c r="H20" s="43" t="s">
        <v>160</v>
      </c>
      <c r="I20" s="276">
        <f>+'E Data'!D50</f>
        <v>4</v>
      </c>
      <c r="J20" s="129">
        <f>I20</f>
        <v>4</v>
      </c>
      <c r="K20" s="22">
        <f>U1</f>
        <v>4</v>
      </c>
      <c r="M20" s="1017">
        <v>5.6</v>
      </c>
      <c r="N20" s="1018">
        <v>6.3</v>
      </c>
      <c r="O20" s="1019">
        <v>1.1499999999999999</v>
      </c>
      <c r="P20" s="413" t="str">
        <f t="shared" si="3"/>
        <v xml:space="preserve"> </v>
      </c>
      <c r="Q20" s="512">
        <v>30</v>
      </c>
      <c r="R20" s="1025">
        <v>210</v>
      </c>
      <c r="S20" s="1025">
        <v>79.38</v>
      </c>
      <c r="U20" s="606">
        <v>500</v>
      </c>
      <c r="V20" s="66">
        <v>630</v>
      </c>
      <c r="X20" s="606">
        <v>59</v>
      </c>
      <c r="Y20" s="66">
        <v>80</v>
      </c>
      <c r="AB20" s="31"/>
      <c r="AE20" s="31"/>
      <c r="AF20" s="1014">
        <v>0</v>
      </c>
      <c r="AG20" s="1014">
        <v>5</v>
      </c>
      <c r="AH20" s="1015">
        <v>1.17</v>
      </c>
      <c r="AI20" s="31"/>
      <c r="AJ20" s="31"/>
      <c r="AK20" s="31"/>
      <c r="AL20" s="31"/>
      <c r="AM20" s="31"/>
    </row>
    <row r="21" spans="1:39" ht="12" customHeight="1">
      <c r="A21" s="1208"/>
      <c r="B21" s="31"/>
      <c r="C21" s="31"/>
      <c r="D21" s="31"/>
      <c r="E21" s="31"/>
      <c r="F21" s="31"/>
      <c r="G21" s="31"/>
      <c r="H21" s="31"/>
      <c r="I21" s="31"/>
      <c r="J21" s="129"/>
      <c r="M21" s="1017">
        <v>6.3</v>
      </c>
      <c r="N21" s="1018">
        <v>8</v>
      </c>
      <c r="O21" s="1019">
        <v>1.1399999999999999</v>
      </c>
      <c r="P21" s="413" t="str">
        <f t="shared" si="3"/>
        <v xml:space="preserve"> </v>
      </c>
      <c r="Q21" s="512">
        <v>60</v>
      </c>
      <c r="R21" s="1025">
        <v>210</v>
      </c>
      <c r="S21" s="1025">
        <v>105</v>
      </c>
      <c r="U21" s="606">
        <v>630</v>
      </c>
      <c r="V21" s="66">
        <v>710</v>
      </c>
      <c r="X21" s="606">
        <v>69</v>
      </c>
      <c r="Y21" s="66">
        <v>80</v>
      </c>
      <c r="AB21" s="31"/>
      <c r="AE21" s="31"/>
      <c r="AF21" s="1018">
        <v>5</v>
      </c>
      <c r="AG21" s="1018">
        <v>5.6</v>
      </c>
      <c r="AH21" s="1019">
        <v>1.1599999999999999</v>
      </c>
      <c r="AI21" s="31"/>
      <c r="AJ21" s="31"/>
      <c r="AK21" s="31"/>
      <c r="AL21" s="31"/>
      <c r="AM21" s="31"/>
    </row>
    <row r="22" spans="1:39" ht="18" customHeight="1">
      <c r="A22" s="1208"/>
      <c r="B22" s="31" t="s">
        <v>525</v>
      </c>
      <c r="C22" s="31"/>
      <c r="D22" s="31"/>
      <c r="E22" s="31"/>
      <c r="F22" s="31"/>
      <c r="G22" s="31"/>
      <c r="H22" s="31"/>
      <c r="I22" s="31"/>
      <c r="J22" s="129"/>
      <c r="M22" s="1017">
        <v>8</v>
      </c>
      <c r="N22" s="1018">
        <v>10</v>
      </c>
      <c r="O22" s="1019">
        <v>1.1299999999999999</v>
      </c>
      <c r="P22" s="413" t="str">
        <f t="shared" si="3"/>
        <v xml:space="preserve"> </v>
      </c>
      <c r="Q22" s="512">
        <v>90</v>
      </c>
      <c r="R22" s="1025">
        <v>210</v>
      </c>
      <c r="S22" s="1025">
        <v>142.88</v>
      </c>
      <c r="U22" s="606">
        <v>710</v>
      </c>
      <c r="V22" s="66">
        <v>800</v>
      </c>
      <c r="X22" s="606">
        <v>79</v>
      </c>
      <c r="Y22" s="66">
        <v>80</v>
      </c>
      <c r="AB22" s="31"/>
      <c r="AE22" s="31"/>
      <c r="AF22" s="1018">
        <v>5.6</v>
      </c>
      <c r="AG22" s="1018">
        <v>6.3</v>
      </c>
      <c r="AH22" s="1019">
        <v>1.1499999999999999</v>
      </c>
      <c r="AI22" s="31"/>
      <c r="AJ22" s="31"/>
      <c r="AK22" s="31"/>
      <c r="AL22" s="31"/>
      <c r="AM22" s="31"/>
    </row>
    <row r="23" spans="1:39" ht="18" customHeight="1">
      <c r="A23" s="1208"/>
      <c r="B23" s="31" t="s">
        <v>1044</v>
      </c>
      <c r="C23" s="31"/>
      <c r="D23" s="31"/>
      <c r="E23" s="31"/>
      <c r="F23" s="31"/>
      <c r="G23" s="31"/>
      <c r="H23" s="43" t="s">
        <v>160</v>
      </c>
      <c r="I23" s="697">
        <f>2*(I15-I16)*(I18+I17)/(I15*I20)+(I19-I18)/I20</f>
        <v>16.600000000000001</v>
      </c>
      <c r="J23" s="1221">
        <f>2*(J15-J16)*(J18+J17)/(J15*J20)+(J19-J18)/J20</f>
        <v>20.226666666666667</v>
      </c>
      <c r="M23" s="1017">
        <v>10</v>
      </c>
      <c r="N23" s="1018">
        <v>11.2</v>
      </c>
      <c r="O23" s="1019">
        <v>1.1200000000000001</v>
      </c>
      <c r="P23" s="413" t="str">
        <f t="shared" si="3"/>
        <v xml:space="preserve"> </v>
      </c>
      <c r="Q23" s="512">
        <v>105</v>
      </c>
      <c r="R23" s="1025">
        <v>210</v>
      </c>
      <c r="S23" s="1025">
        <v>156</v>
      </c>
      <c r="U23" s="606">
        <v>800</v>
      </c>
      <c r="V23" s="66">
        <v>900</v>
      </c>
      <c r="X23" s="606">
        <v>89</v>
      </c>
      <c r="Y23" s="66">
        <v>80</v>
      </c>
      <c r="AB23" s="31"/>
      <c r="AE23" s="31"/>
      <c r="AF23" s="1018">
        <v>6.3</v>
      </c>
      <c r="AG23" s="1018">
        <v>8</v>
      </c>
      <c r="AH23" s="1019">
        <v>1.1399999999999999</v>
      </c>
      <c r="AI23" s="31"/>
      <c r="AJ23" s="31"/>
      <c r="AK23" s="31"/>
      <c r="AL23" s="31"/>
      <c r="AM23" s="31"/>
    </row>
    <row r="24" spans="1:39" ht="18" customHeight="1">
      <c r="A24" s="1208"/>
      <c r="B24" s="31"/>
      <c r="C24" s="31"/>
      <c r="D24" s="31"/>
      <c r="E24" s="31"/>
      <c r="F24" s="31"/>
      <c r="G24" s="31"/>
      <c r="H24" s="31"/>
      <c r="I24" s="31"/>
      <c r="J24" s="129"/>
      <c r="M24" s="1017">
        <v>11.2</v>
      </c>
      <c r="N24" s="1018">
        <v>12.5</v>
      </c>
      <c r="O24" s="1019">
        <v>1.1100000000000001</v>
      </c>
      <c r="P24" s="413" t="str">
        <f t="shared" si="3"/>
        <v xml:space="preserve"> </v>
      </c>
      <c r="Q24" s="512">
        <v>80</v>
      </c>
      <c r="R24" s="1025">
        <v>220</v>
      </c>
      <c r="S24" s="1025">
        <v>130</v>
      </c>
      <c r="U24" s="606">
        <v>900</v>
      </c>
      <c r="V24" s="66">
        <v>1000</v>
      </c>
      <c r="X24" s="606">
        <v>99</v>
      </c>
      <c r="Y24" s="66">
        <v>80</v>
      </c>
      <c r="AB24" s="31"/>
      <c r="AE24" s="31"/>
      <c r="AF24" s="1018">
        <v>8</v>
      </c>
      <c r="AG24" s="1018">
        <v>10</v>
      </c>
      <c r="AH24" s="1019">
        <v>1.1299999999999999</v>
      </c>
      <c r="AI24" s="31"/>
      <c r="AJ24" s="31"/>
      <c r="AK24" s="31"/>
      <c r="AL24" s="31"/>
      <c r="AM24" s="31"/>
    </row>
    <row r="25" spans="1:39" ht="18" customHeight="1" thickBot="1">
      <c r="A25" s="1208"/>
      <c r="B25" s="186" t="s">
        <v>1045</v>
      </c>
      <c r="C25" s="186"/>
      <c r="D25" s="186"/>
      <c r="E25" s="485" t="s">
        <v>1046</v>
      </c>
      <c r="F25" s="186"/>
      <c r="G25" s="1222" t="s">
        <v>1047</v>
      </c>
      <c r="H25" s="186"/>
      <c r="I25" s="186"/>
      <c r="J25" s="129"/>
      <c r="M25" s="1017">
        <v>12.5</v>
      </c>
      <c r="N25" s="1018">
        <v>14</v>
      </c>
      <c r="O25" s="1019">
        <v>1.1000000000000001</v>
      </c>
      <c r="P25" s="413" t="str">
        <f t="shared" si="3"/>
        <v xml:space="preserve"> </v>
      </c>
      <c r="Q25" s="512">
        <v>100</v>
      </c>
      <c r="R25" s="1025">
        <v>220</v>
      </c>
      <c r="S25" s="1025">
        <v>150</v>
      </c>
      <c r="U25" s="637">
        <v>1000</v>
      </c>
      <c r="V25" s="71">
        <v>1.27</v>
      </c>
      <c r="X25" s="637">
        <v>119</v>
      </c>
      <c r="Y25" s="71">
        <v>80</v>
      </c>
      <c r="AB25" s="31"/>
      <c r="AE25" s="31"/>
      <c r="AF25" s="1018">
        <v>10</v>
      </c>
      <c r="AG25" s="1018">
        <v>11.2</v>
      </c>
      <c r="AH25" s="1019">
        <v>1.1200000000000001</v>
      </c>
      <c r="AI25" s="31"/>
      <c r="AJ25" s="31"/>
      <c r="AK25" s="31"/>
      <c r="AL25" s="31"/>
      <c r="AM25" s="31"/>
    </row>
    <row r="26" spans="1:39" ht="18" customHeight="1" thickBot="1">
      <c r="A26" s="1208"/>
      <c r="B26" s="186" t="s">
        <v>1026</v>
      </c>
      <c r="C26" s="186"/>
      <c r="D26" s="186"/>
      <c r="E26" s="186" t="s">
        <v>1048</v>
      </c>
      <c r="F26" s="186"/>
      <c r="G26" s="186" t="s">
        <v>1049</v>
      </c>
      <c r="H26" s="186"/>
      <c r="I26" s="186"/>
      <c r="J26" s="129"/>
      <c r="M26" s="1017">
        <v>14</v>
      </c>
      <c r="N26" s="1018">
        <v>16</v>
      </c>
      <c r="O26" s="1019">
        <v>1.0900000000000001</v>
      </c>
      <c r="P26" s="413" t="str">
        <f t="shared" si="3"/>
        <v xml:space="preserve"> </v>
      </c>
      <c r="Q26" s="514">
        <v>120</v>
      </c>
      <c r="R26" s="1031">
        <v>220</v>
      </c>
      <c r="S26" s="1031">
        <v>170</v>
      </c>
      <c r="AB26" s="31"/>
      <c r="AE26" s="31"/>
      <c r="AF26" s="1018">
        <v>11.2</v>
      </c>
      <c r="AG26" s="1018">
        <v>12.5</v>
      </c>
      <c r="AH26" s="1019">
        <v>1.1100000000000001</v>
      </c>
      <c r="AI26" s="31"/>
      <c r="AJ26" s="31"/>
      <c r="AK26" s="31"/>
      <c r="AL26" s="31"/>
      <c r="AM26" s="31"/>
    </row>
    <row r="27" spans="1:39" ht="18" customHeight="1" thickBot="1">
      <c r="A27" s="1208"/>
      <c r="B27" s="31"/>
      <c r="C27" s="31"/>
      <c r="D27" s="31"/>
      <c r="E27" s="31"/>
      <c r="F27" s="31"/>
      <c r="G27" s="31"/>
      <c r="H27" s="31"/>
      <c r="I27" s="31"/>
      <c r="J27" s="129"/>
      <c r="M27" s="1017">
        <v>16</v>
      </c>
      <c r="N27" s="1018">
        <v>18</v>
      </c>
      <c r="O27" s="1019">
        <v>1.07</v>
      </c>
      <c r="P27" s="413" t="str">
        <f t="shared" si="3"/>
        <v xml:space="preserve"> </v>
      </c>
      <c r="Q27" s="1039" t="str">
        <f>Q43</f>
        <v>70X60</v>
      </c>
      <c r="R27" s="1033">
        <f>U43</f>
        <v>190</v>
      </c>
      <c r="S27" s="1033">
        <f>W43</f>
        <v>6</v>
      </c>
      <c r="Z27" s="1058" t="str">
        <f>Tech!H115</f>
        <v>Right</v>
      </c>
      <c r="AE27" s="31"/>
      <c r="AF27" s="1018">
        <v>12.5</v>
      </c>
      <c r="AG27" s="1018">
        <v>14</v>
      </c>
      <c r="AH27" s="1019">
        <v>1.1000000000000001</v>
      </c>
      <c r="AI27" s="31"/>
      <c r="AJ27" s="31"/>
      <c r="AK27" s="31"/>
      <c r="AL27" s="31"/>
      <c r="AM27" s="31"/>
    </row>
    <row r="28" spans="1:39" ht="18" customHeight="1" thickBot="1">
      <c r="A28" s="1208"/>
      <c r="B28" s="31" t="s">
        <v>525</v>
      </c>
      <c r="C28" s="31"/>
      <c r="D28" s="31"/>
      <c r="E28" s="31"/>
      <c r="F28" s="31"/>
      <c r="G28" s="31"/>
      <c r="H28" s="31"/>
      <c r="I28" s="31"/>
      <c r="J28" s="129"/>
      <c r="K28" s="31"/>
      <c r="L28" s="413" t="str">
        <f t="shared" ref="L28" si="4">IFERROR(IF($I$50=O28,"→"," "),"")</f>
        <v xml:space="preserve"> </v>
      </c>
      <c r="M28" s="1017">
        <v>18</v>
      </c>
      <c r="N28" s="1018">
        <v>20</v>
      </c>
      <c r="O28" s="1019">
        <v>1.06</v>
      </c>
      <c r="P28" s="413" t="str">
        <f t="shared" si="3"/>
        <v xml:space="preserve"> </v>
      </c>
      <c r="Q28" s="73">
        <f>Q44</f>
        <v>0</v>
      </c>
      <c r="R28" s="107">
        <f>U44</f>
        <v>0</v>
      </c>
      <c r="S28" s="107">
        <f>W44</f>
        <v>0</v>
      </c>
      <c r="V28" s="31"/>
      <c r="W28" s="31"/>
      <c r="X28" s="754" t="s">
        <v>107</v>
      </c>
      <c r="Y28" s="754" t="s">
        <v>1093</v>
      </c>
      <c r="Z28" s="754" t="s">
        <v>1144</v>
      </c>
      <c r="AA28" s="31"/>
      <c r="AE28" s="31"/>
      <c r="AF28" s="1018">
        <v>14</v>
      </c>
      <c r="AG28" s="1018">
        <v>16</v>
      </c>
      <c r="AH28" s="1019">
        <v>1.0900000000000001</v>
      </c>
      <c r="AI28" s="31"/>
      <c r="AJ28" s="31"/>
      <c r="AK28" s="31"/>
      <c r="AL28" s="31"/>
      <c r="AM28" s="31"/>
    </row>
    <row r="29" spans="1:39" ht="18" customHeight="1" thickBot="1">
      <c r="A29" s="1208"/>
      <c r="B29" s="31" t="s">
        <v>1050</v>
      </c>
      <c r="C29" s="31"/>
      <c r="D29" s="31"/>
      <c r="E29" s="31"/>
      <c r="F29" s="31"/>
      <c r="G29" s="31"/>
      <c r="H29" s="55" t="s">
        <v>160</v>
      </c>
      <c r="I29" s="697">
        <f>(((I16*(I18))/(I15*I20/2))+((I19-I18)/I20))</f>
        <v>3.2333333333333334</v>
      </c>
      <c r="J29" s="129" t="s">
        <v>1051</v>
      </c>
      <c r="K29" s="31"/>
      <c r="L29" s="413" t="str">
        <f t="shared" ref="L29:L41" si="5">IFERROR(IF($I$50=O29,"→"," "),"")</f>
        <v xml:space="preserve"> </v>
      </c>
      <c r="M29" s="1017">
        <v>20</v>
      </c>
      <c r="N29" s="1018">
        <v>22.4</v>
      </c>
      <c r="O29" s="1019">
        <v>1.04</v>
      </c>
      <c r="Q29" s="31"/>
      <c r="V29" s="31"/>
      <c r="W29" s="31"/>
      <c r="X29" s="53"/>
      <c r="Y29" s="757"/>
      <c r="Z29" s="1060" t="str">
        <f>Tech!H133</f>
        <v>Right</v>
      </c>
      <c r="AA29" s="31"/>
      <c r="AE29" s="31"/>
      <c r="AF29" s="1018">
        <v>16</v>
      </c>
      <c r="AG29" s="1018">
        <v>18</v>
      </c>
      <c r="AH29" s="1019">
        <v>1.07</v>
      </c>
      <c r="AK29" s="31"/>
      <c r="AL29" s="31"/>
      <c r="AM29" s="31"/>
    </row>
    <row r="30" spans="1:39" ht="18" customHeight="1" thickBot="1">
      <c r="A30" s="1208"/>
      <c r="B30" s="31"/>
      <c r="C30" s="31"/>
      <c r="D30" s="31"/>
      <c r="E30" s="31"/>
      <c r="F30" s="31"/>
      <c r="G30" s="31"/>
      <c r="H30" s="31"/>
      <c r="I30" s="31"/>
      <c r="J30" s="129"/>
      <c r="K30" s="31"/>
      <c r="L30" s="413" t="str">
        <f t="shared" si="5"/>
        <v xml:space="preserve"> </v>
      </c>
      <c r="M30" s="1017">
        <v>22.4</v>
      </c>
      <c r="N30" s="1018">
        <v>25</v>
      </c>
      <c r="O30" s="1019">
        <v>1.03</v>
      </c>
      <c r="P30" s="1043"/>
      <c r="Q30" s="1223" t="s">
        <v>670</v>
      </c>
      <c r="R30" s="1216" t="s">
        <v>875</v>
      </c>
      <c r="S30" s="1224" t="s">
        <v>892</v>
      </c>
      <c r="T30" s="1006" t="s">
        <v>893</v>
      </c>
      <c r="W30" s="31"/>
      <c r="X30" s="53" t="s">
        <v>1488</v>
      </c>
      <c r="Y30" s="80" t="s">
        <v>991</v>
      </c>
      <c r="Z30" s="53" t="str">
        <f>Tech!H119</f>
        <v>Right</v>
      </c>
      <c r="AA30" s="31"/>
      <c r="AE30" s="31"/>
      <c r="AF30" s="1018">
        <v>18</v>
      </c>
      <c r="AG30" s="1018">
        <v>20</v>
      </c>
      <c r="AH30" s="1019">
        <v>1.06</v>
      </c>
      <c r="AK30" s="31"/>
      <c r="AL30" s="31"/>
      <c r="AM30" s="31"/>
    </row>
    <row r="31" spans="1:39" ht="18" customHeight="1">
      <c r="A31" s="1208"/>
      <c r="B31" s="195" t="s">
        <v>888</v>
      </c>
      <c r="C31" s="31"/>
      <c r="D31" s="31"/>
      <c r="E31" s="31"/>
      <c r="F31" s="195" t="s">
        <v>160</v>
      </c>
      <c r="G31" s="485" t="s">
        <v>889</v>
      </c>
      <c r="J31" s="1225"/>
      <c r="K31" s="31"/>
      <c r="L31" s="413" t="str">
        <f t="shared" si="5"/>
        <v xml:space="preserve"> </v>
      </c>
      <c r="M31" s="1017">
        <v>25</v>
      </c>
      <c r="N31" s="1018">
        <v>28</v>
      </c>
      <c r="O31" s="1019">
        <v>1.02</v>
      </c>
      <c r="P31" s="413" t="str">
        <f>IFERROR(IF($I$40=Q31,"→"," "),"")</f>
        <v xml:space="preserve"> </v>
      </c>
      <c r="Q31" s="1042">
        <v>40</v>
      </c>
      <c r="R31" s="1226" t="s">
        <v>895</v>
      </c>
      <c r="S31" s="192">
        <v>40</v>
      </c>
      <c r="T31" s="1227">
        <f>40/1000*40/1000*7850</f>
        <v>12.56</v>
      </c>
      <c r="W31" s="31"/>
      <c r="X31" s="53" t="s">
        <v>1489</v>
      </c>
      <c r="Y31" s="80" t="s">
        <v>1490</v>
      </c>
      <c r="Z31" s="53" t="str">
        <f>Tech!H121</f>
        <v>Right</v>
      </c>
      <c r="AA31" s="31"/>
      <c r="AE31" s="31"/>
      <c r="AF31" s="1018">
        <v>20</v>
      </c>
      <c r="AG31" s="1018">
        <v>22.4</v>
      </c>
      <c r="AH31" s="1019">
        <v>1.04</v>
      </c>
      <c r="AK31" s="31"/>
      <c r="AL31" s="31"/>
      <c r="AM31" s="31"/>
    </row>
    <row r="32" spans="1:39" ht="18" customHeight="1">
      <c r="A32" s="1208"/>
      <c r="B32" s="43"/>
      <c r="C32" s="31"/>
      <c r="D32" s="31"/>
      <c r="E32" s="31"/>
      <c r="F32" s="31"/>
      <c r="G32" s="108">
        <v>3</v>
      </c>
      <c r="J32" s="1225"/>
      <c r="K32" s="31"/>
      <c r="L32" s="413" t="str">
        <f t="shared" si="5"/>
        <v xml:space="preserve"> </v>
      </c>
      <c r="M32" s="1017">
        <v>28</v>
      </c>
      <c r="N32" s="1018">
        <v>31.5</v>
      </c>
      <c r="O32" s="1019">
        <v>1</v>
      </c>
      <c r="P32" s="413" t="str">
        <f t="shared" ref="P32" si="6">IFERROR(IF($I$40=Q32,"→"," "),"")</f>
        <v xml:space="preserve"> </v>
      </c>
      <c r="Q32" s="1042">
        <v>50</v>
      </c>
      <c r="R32" s="1226" t="s">
        <v>896</v>
      </c>
      <c r="S32" s="192">
        <v>50</v>
      </c>
      <c r="T32" s="1228">
        <f>50/1000*50/1000*7850</f>
        <v>19.625</v>
      </c>
      <c r="W32" s="31"/>
      <c r="X32" s="53" t="s">
        <v>1491</v>
      </c>
      <c r="Y32" s="80" t="s">
        <v>971</v>
      </c>
      <c r="Z32" s="53" t="str">
        <f>Tech!H123</f>
        <v>Right</v>
      </c>
      <c r="AA32" s="31"/>
      <c r="AE32" s="31"/>
      <c r="AF32" s="1018">
        <v>22.4</v>
      </c>
      <c r="AG32" s="1018">
        <v>25</v>
      </c>
      <c r="AH32" s="1019">
        <v>1.03</v>
      </c>
      <c r="AK32" s="31"/>
      <c r="AL32" s="31"/>
      <c r="AM32" s="31"/>
    </row>
    <row r="33" spans="1:39" ht="18" customHeight="1">
      <c r="A33" s="1208"/>
      <c r="B33" s="118" t="s">
        <v>888</v>
      </c>
      <c r="C33" s="31"/>
      <c r="D33" s="31"/>
      <c r="E33" s="31"/>
      <c r="F33" s="31"/>
      <c r="G33" s="31"/>
      <c r="H33" s="43" t="s">
        <v>160</v>
      </c>
      <c r="I33" s="1229">
        <f>((2*I23)+I29)/3</f>
        <v>12.144444444444446</v>
      </c>
      <c r="J33" s="129"/>
      <c r="K33" s="31"/>
      <c r="L33" s="413" t="str">
        <f t="shared" si="5"/>
        <v>→</v>
      </c>
      <c r="M33" s="1017">
        <v>31.5</v>
      </c>
      <c r="N33" s="1018">
        <v>35.5</v>
      </c>
      <c r="O33" s="1019">
        <v>0.99</v>
      </c>
      <c r="P33" s="413" t="str">
        <f t="shared" ref="P33:P40" si="7">IFERROR(IF($I$40=Q33,"→"," "),"")</f>
        <v xml:space="preserve"> </v>
      </c>
      <c r="Q33" s="1042">
        <v>63</v>
      </c>
      <c r="R33" s="1226" t="s">
        <v>899</v>
      </c>
      <c r="S33" s="192">
        <v>63</v>
      </c>
      <c r="T33" s="1228">
        <f>63/1000*63/1000*7850</f>
        <v>31.156649999999996</v>
      </c>
      <c r="X33" s="53" t="s">
        <v>1492</v>
      </c>
      <c r="Y33" s="80" t="s">
        <v>1493</v>
      </c>
      <c r="Z33" s="53" t="str">
        <f>Tech!H125</f>
        <v>Right</v>
      </c>
      <c r="AA33" s="31"/>
      <c r="AE33" s="31"/>
      <c r="AF33" s="1018">
        <v>25</v>
      </c>
      <c r="AG33" s="1018">
        <v>28</v>
      </c>
      <c r="AH33" s="1019">
        <v>1.02</v>
      </c>
      <c r="AK33" s="31"/>
      <c r="AL33" s="31"/>
      <c r="AM33" s="31"/>
    </row>
    <row r="34" spans="1:39" ht="18" customHeight="1">
      <c r="A34" s="1208"/>
      <c r="B34" s="31"/>
      <c r="C34" s="31"/>
      <c r="D34" s="31"/>
      <c r="E34" s="31"/>
      <c r="F34" s="31"/>
      <c r="G34" s="31"/>
      <c r="H34" s="31"/>
      <c r="I34" s="1230"/>
      <c r="J34" s="129"/>
      <c r="K34" s="31"/>
      <c r="L34" s="413" t="str">
        <f t="shared" si="5"/>
        <v xml:space="preserve"> </v>
      </c>
      <c r="M34" s="1017">
        <v>35.5</v>
      </c>
      <c r="N34" s="1018">
        <v>40</v>
      </c>
      <c r="O34" s="1019">
        <v>0.97</v>
      </c>
      <c r="P34" s="413" t="str">
        <f t="shared" si="7"/>
        <v xml:space="preserve"> </v>
      </c>
      <c r="Q34" s="1042">
        <v>30</v>
      </c>
      <c r="R34" s="1226" t="s">
        <v>901</v>
      </c>
      <c r="S34" s="192">
        <v>33.200000000000003</v>
      </c>
      <c r="T34" s="1227">
        <v>14.86</v>
      </c>
      <c r="X34" s="53" t="s">
        <v>1494</v>
      </c>
      <c r="Y34" s="80" t="s">
        <v>1496</v>
      </c>
      <c r="Z34" s="53" t="str">
        <f>Tech!H127</f>
        <v>Right</v>
      </c>
      <c r="AA34" s="31"/>
      <c r="AE34" s="31"/>
      <c r="AF34" s="1018">
        <v>28</v>
      </c>
      <c r="AG34" s="1018">
        <v>31.5</v>
      </c>
      <c r="AH34" s="1019">
        <v>1</v>
      </c>
      <c r="AK34" s="31"/>
      <c r="AL34" s="31"/>
      <c r="AM34" s="31"/>
    </row>
    <row r="35" spans="1:39" ht="18" customHeight="1">
      <c r="A35" s="1208"/>
      <c r="B35" s="195" t="s">
        <v>1052</v>
      </c>
      <c r="C35" s="31"/>
      <c r="D35" s="31"/>
      <c r="E35" s="31"/>
      <c r="F35" s="186" t="s">
        <v>160</v>
      </c>
      <c r="G35" s="485" t="s">
        <v>891</v>
      </c>
      <c r="I35" s="186"/>
      <c r="J35" s="129"/>
      <c r="K35" s="31"/>
      <c r="L35" s="413" t="str">
        <f t="shared" si="5"/>
        <v xml:space="preserve"> </v>
      </c>
      <c r="M35" s="1017">
        <v>40</v>
      </c>
      <c r="N35" s="1018">
        <v>45</v>
      </c>
      <c r="O35" s="1019">
        <v>0.96</v>
      </c>
      <c r="P35" s="413" t="str">
        <f t="shared" si="7"/>
        <v xml:space="preserve"> </v>
      </c>
      <c r="Q35" s="1042">
        <v>60</v>
      </c>
      <c r="R35" s="1226" t="s">
        <v>903</v>
      </c>
      <c r="S35" s="192">
        <v>44.44</v>
      </c>
      <c r="T35" s="1227">
        <v>29.76</v>
      </c>
      <c r="AA35" s="31"/>
      <c r="AE35" s="31"/>
      <c r="AF35" s="1018">
        <v>31.5</v>
      </c>
      <c r="AG35" s="1018">
        <v>35.5</v>
      </c>
      <c r="AH35" s="1019">
        <v>0.99</v>
      </c>
      <c r="AK35" s="31"/>
      <c r="AL35" s="31"/>
      <c r="AM35" s="31"/>
    </row>
    <row r="36" spans="1:39" ht="18" customHeight="1">
      <c r="A36" s="1208"/>
      <c r="B36" s="43"/>
      <c r="C36" s="31"/>
      <c r="D36" s="31"/>
      <c r="E36" s="31"/>
      <c r="F36" s="186"/>
      <c r="G36" s="186" t="s">
        <v>894</v>
      </c>
      <c r="I36" s="186"/>
      <c r="J36" s="129"/>
      <c r="K36" s="31"/>
      <c r="L36" s="413" t="str">
        <f t="shared" si="5"/>
        <v xml:space="preserve"> </v>
      </c>
      <c r="M36" s="1017">
        <v>45</v>
      </c>
      <c r="N36" s="1018">
        <v>50</v>
      </c>
      <c r="O36" s="1019">
        <v>0.94</v>
      </c>
      <c r="P36" s="413" t="str">
        <f t="shared" si="7"/>
        <v xml:space="preserve"> </v>
      </c>
      <c r="Q36" s="1042">
        <v>90</v>
      </c>
      <c r="R36" s="1226" t="s">
        <v>906</v>
      </c>
      <c r="S36" s="192">
        <v>49.75</v>
      </c>
      <c r="T36" s="1227">
        <v>44.65</v>
      </c>
      <c r="X36" s="1066" t="s">
        <v>1503</v>
      </c>
      <c r="Y36" s="190" t="str">
        <f>Tech!H134</f>
        <v>Gear Brake Motor</v>
      </c>
      <c r="Z36" s="1060" t="str">
        <f>Tech!H148</f>
        <v>GB Calculation</v>
      </c>
      <c r="AA36" s="31"/>
      <c r="AE36" s="31"/>
      <c r="AF36" s="1018">
        <v>35.5</v>
      </c>
      <c r="AG36" s="1018">
        <v>40</v>
      </c>
      <c r="AH36" s="1019">
        <v>0.97</v>
      </c>
      <c r="AK36" s="31"/>
      <c r="AL36" s="31"/>
      <c r="AM36" s="31"/>
    </row>
    <row r="37" spans="1:39" ht="18" customHeight="1">
      <c r="A37" s="1208"/>
      <c r="B37" s="31" t="s">
        <v>303</v>
      </c>
      <c r="C37" s="31"/>
      <c r="D37" s="31"/>
      <c r="E37" s="31"/>
      <c r="F37" s="31"/>
      <c r="G37" s="31"/>
      <c r="H37" s="31"/>
      <c r="I37" s="31"/>
      <c r="J37" s="129"/>
      <c r="K37" s="1230"/>
      <c r="L37" s="413" t="str">
        <f t="shared" si="5"/>
        <v xml:space="preserve"> </v>
      </c>
      <c r="M37" s="1017">
        <v>50</v>
      </c>
      <c r="N37" s="1018">
        <v>56</v>
      </c>
      <c r="O37" s="1019">
        <v>0.92</v>
      </c>
      <c r="P37" s="413" t="str">
        <f t="shared" si="7"/>
        <v xml:space="preserve"> </v>
      </c>
      <c r="Q37" s="1042">
        <v>105</v>
      </c>
      <c r="R37" s="1226" t="s">
        <v>910</v>
      </c>
      <c r="S37" s="192">
        <v>54.34</v>
      </c>
      <c r="T37" s="1227">
        <v>52</v>
      </c>
      <c r="X37" s="53" t="s">
        <v>1500</v>
      </c>
      <c r="Y37" s="80" t="s">
        <v>1320</v>
      </c>
      <c r="Z37" s="1231" t="str">
        <f>Tech!H136</f>
        <v>Right</v>
      </c>
      <c r="AA37" s="31"/>
      <c r="AE37" s="31"/>
      <c r="AF37" s="1018">
        <v>40</v>
      </c>
      <c r="AG37" s="1018">
        <v>45</v>
      </c>
      <c r="AH37" s="1019">
        <v>0.96</v>
      </c>
      <c r="AK37" s="31"/>
      <c r="AL37" s="31"/>
      <c r="AM37" s="31"/>
    </row>
    <row r="38" spans="1:39" ht="18" customHeight="1">
      <c r="A38" s="1208"/>
      <c r="B38" s="43" t="s">
        <v>897</v>
      </c>
      <c r="C38" s="31" t="s">
        <v>1053</v>
      </c>
      <c r="D38" s="31"/>
      <c r="E38" s="31"/>
      <c r="F38" s="31"/>
      <c r="G38" s="31"/>
      <c r="H38" s="43" t="s">
        <v>160</v>
      </c>
      <c r="I38" s="481">
        <f>I33*1000*9.81</f>
        <v>119137.00000000001</v>
      </c>
      <c r="J38" s="129"/>
      <c r="K38" s="1232"/>
      <c r="L38" s="413" t="str">
        <f t="shared" si="5"/>
        <v xml:space="preserve"> </v>
      </c>
      <c r="M38" s="1017">
        <v>56</v>
      </c>
      <c r="N38" s="1018">
        <v>63</v>
      </c>
      <c r="O38" s="1019">
        <v>0.91</v>
      </c>
      <c r="P38" s="413" t="str">
        <f t="shared" si="7"/>
        <v xml:space="preserve"> </v>
      </c>
      <c r="Q38" s="1042">
        <v>80</v>
      </c>
      <c r="R38" s="1226" t="s">
        <v>912</v>
      </c>
      <c r="S38" s="192">
        <v>69.3</v>
      </c>
      <c r="T38" s="1227">
        <v>64</v>
      </c>
      <c r="V38" s="1233"/>
      <c r="W38" s="1078"/>
      <c r="X38" s="53" t="s">
        <v>1501</v>
      </c>
      <c r="Y38" s="80" t="s">
        <v>1502</v>
      </c>
      <c r="Z38" s="53" t="str">
        <f>Tech!H138</f>
        <v>GBC HP Wrong</v>
      </c>
      <c r="AA38" s="31"/>
      <c r="AE38" s="31"/>
      <c r="AF38" s="1018">
        <v>45</v>
      </c>
      <c r="AG38" s="1018">
        <v>50</v>
      </c>
      <c r="AH38" s="1019">
        <v>0.94</v>
      </c>
      <c r="AK38" s="31"/>
      <c r="AL38" s="31"/>
      <c r="AM38" s="31"/>
    </row>
    <row r="39" spans="1:39" ht="18" customHeight="1">
      <c r="A39" s="1208"/>
      <c r="B39" s="43" t="s">
        <v>422</v>
      </c>
      <c r="C39" s="31" t="s">
        <v>900</v>
      </c>
      <c r="D39" s="31"/>
      <c r="E39" s="31"/>
      <c r="F39" s="31"/>
      <c r="G39" s="59" t="str">
        <f>'E Data'!E25</f>
        <v>M5</v>
      </c>
      <c r="H39" s="55" t="s">
        <v>160</v>
      </c>
      <c r="I39" s="59">
        <f>'E Data'!D26</f>
        <v>1.25</v>
      </c>
      <c r="J39" s="326"/>
      <c r="L39" s="413" t="str">
        <f t="shared" si="5"/>
        <v xml:space="preserve"> </v>
      </c>
      <c r="M39" s="1017">
        <v>63</v>
      </c>
      <c r="N39" s="1018">
        <v>71</v>
      </c>
      <c r="O39" s="1019">
        <v>0.89</v>
      </c>
      <c r="P39" s="413" t="str">
        <f t="shared" si="7"/>
        <v xml:space="preserve"> </v>
      </c>
      <c r="Q39" s="1042">
        <v>100</v>
      </c>
      <c r="R39" s="1226" t="s">
        <v>915</v>
      </c>
      <c r="S39" s="192">
        <v>89.33</v>
      </c>
      <c r="T39" s="1227">
        <v>90</v>
      </c>
      <c r="W39" s="1078"/>
      <c r="X39" s="53" t="s">
        <v>1504</v>
      </c>
      <c r="Y39" s="80" t="s">
        <v>1505</v>
      </c>
      <c r="Z39" s="53" t="e">
        <f>Tech!H140</f>
        <v>#N/A</v>
      </c>
      <c r="AA39" s="31"/>
      <c r="AE39" s="31"/>
      <c r="AF39" s="1018">
        <v>50</v>
      </c>
      <c r="AG39" s="1018">
        <v>56</v>
      </c>
      <c r="AH39" s="1019">
        <v>0.92</v>
      </c>
      <c r="AK39" s="31"/>
      <c r="AL39" s="31"/>
      <c r="AM39" s="31"/>
    </row>
    <row r="40" spans="1:39" ht="18" customHeight="1" thickBot="1">
      <c r="A40" s="1208"/>
      <c r="B40" s="43"/>
      <c r="C40" s="31" t="s">
        <v>1054</v>
      </c>
      <c r="D40" s="31"/>
      <c r="E40" s="31"/>
      <c r="F40" s="31"/>
      <c r="G40" s="19"/>
      <c r="H40" s="55" t="s">
        <v>160</v>
      </c>
      <c r="I40" s="276" t="str">
        <f>'E Data'!D48</f>
        <v>70X40</v>
      </c>
      <c r="J40" s="1234" t="str">
        <f>VLOOKUP(I40,Q31:R44,2,FALSE)</f>
        <v>70X40mm bar</v>
      </c>
      <c r="K40" s="489" t="str">
        <f>HYPERLINK("\\Manish-pc\e\03 General\Manish\Selection\IS\IS 3443-1980_Rail.pdf","IS : 3443-1980_Rail")</f>
        <v>IS : 3443-1980_Rail</v>
      </c>
      <c r="L40" s="413" t="str">
        <f t="shared" si="5"/>
        <v xml:space="preserve"> </v>
      </c>
      <c r="M40" s="1017">
        <v>71</v>
      </c>
      <c r="N40" s="1018">
        <v>80</v>
      </c>
      <c r="O40" s="1019">
        <v>0.87</v>
      </c>
      <c r="P40" s="413" t="str">
        <f t="shared" si="7"/>
        <v xml:space="preserve"> </v>
      </c>
      <c r="Q40" s="1042">
        <v>120</v>
      </c>
      <c r="R40" s="1226" t="s">
        <v>917</v>
      </c>
      <c r="S40" s="192">
        <v>109.33</v>
      </c>
      <c r="T40" s="1227">
        <v>118</v>
      </c>
      <c r="W40" s="1078"/>
      <c r="X40" s="53" t="s">
        <v>1506</v>
      </c>
      <c r="Y40" s="80" t="s">
        <v>1508</v>
      </c>
      <c r="Z40" s="53" t="str">
        <f>Tech!H142</f>
        <v>Right</v>
      </c>
      <c r="AA40" s="31"/>
      <c r="AE40" s="31"/>
      <c r="AF40" s="1018">
        <v>56</v>
      </c>
      <c r="AG40" s="1018">
        <v>63</v>
      </c>
      <c r="AH40" s="1019">
        <v>0.91</v>
      </c>
      <c r="AK40" s="31"/>
      <c r="AL40" s="31"/>
      <c r="AM40" s="31"/>
    </row>
    <row r="41" spans="1:39" ht="18" customHeight="1" thickBot="1">
      <c r="A41" s="1208"/>
      <c r="B41" s="43" t="s">
        <v>904</v>
      </c>
      <c r="C41" s="31" t="s">
        <v>905</v>
      </c>
      <c r="D41" s="31"/>
      <c r="E41" s="31"/>
      <c r="F41" s="55" t="s">
        <v>160</v>
      </c>
      <c r="G41" s="59">
        <f>VLOOKUP(I40,Q31:T44,4,FALSE)</f>
        <v>21.980000000000004</v>
      </c>
      <c r="H41" s="55" t="s">
        <v>160</v>
      </c>
      <c r="I41" s="654">
        <f>VLOOKUP(J40,R31:T44,2,FALSE)</f>
        <v>70</v>
      </c>
      <c r="J41" s="129"/>
      <c r="L41" s="413" t="str">
        <f t="shared" si="5"/>
        <v xml:space="preserve"> </v>
      </c>
      <c r="M41" s="1017">
        <v>80</v>
      </c>
      <c r="N41" s="1018">
        <v>90</v>
      </c>
      <c r="O41" s="1019">
        <v>0.84</v>
      </c>
      <c r="P41" s="413" t="str">
        <f>IFERROR(IF($I$40=Q41,"→"," "),"")</f>
        <v>→</v>
      </c>
      <c r="Q41" s="1042" t="s">
        <v>3965</v>
      </c>
      <c r="R41" s="1226" t="s">
        <v>3966</v>
      </c>
      <c r="S41" s="192">
        <v>70</v>
      </c>
      <c r="T41" s="1227">
        <f>70/1000*40/1000*7850</f>
        <v>21.980000000000004</v>
      </c>
      <c r="X41" s="53" t="s">
        <v>1507</v>
      </c>
      <c r="Y41" s="80" t="s">
        <v>1510</v>
      </c>
      <c r="Z41" s="53" t="str">
        <f>Tech!H144</f>
        <v>Right</v>
      </c>
      <c r="AA41" s="31"/>
      <c r="AD41" s="1235" t="s">
        <v>2653</v>
      </c>
      <c r="AE41" s="1236" t="s">
        <v>2654</v>
      </c>
      <c r="AF41" s="1018">
        <v>63</v>
      </c>
      <c r="AG41" s="1018">
        <v>71</v>
      </c>
      <c r="AH41" s="1019">
        <v>0.89</v>
      </c>
      <c r="AK41" s="31"/>
      <c r="AL41" s="31"/>
      <c r="AM41" s="31"/>
    </row>
    <row r="42" spans="1:39" ht="18" customHeight="1" thickBot="1">
      <c r="A42" s="1208"/>
      <c r="B42" s="43" t="s">
        <v>1057</v>
      </c>
      <c r="C42" s="31" t="s">
        <v>1058</v>
      </c>
      <c r="D42" s="31" t="s">
        <v>908</v>
      </c>
      <c r="E42" s="31"/>
      <c r="F42" s="31"/>
      <c r="G42" s="31" t="s">
        <v>909</v>
      </c>
      <c r="H42" s="31"/>
      <c r="I42" s="31"/>
      <c r="J42" s="129"/>
      <c r="L42" s="1043"/>
      <c r="M42" s="1017">
        <v>90</v>
      </c>
      <c r="N42" s="1018">
        <v>100</v>
      </c>
      <c r="O42" s="1019">
        <v>0.82</v>
      </c>
      <c r="P42" s="413" t="str">
        <f>IFERROR(IF($I$40=Q43,"→"," "),"")</f>
        <v xml:space="preserve"> </v>
      </c>
      <c r="Q42" s="1042" t="s">
        <v>1153</v>
      </c>
      <c r="R42" s="1226" t="s">
        <v>2637</v>
      </c>
      <c r="S42" s="192">
        <v>70</v>
      </c>
      <c r="T42" s="1227">
        <f>70/1000*50/1000*7850</f>
        <v>27.475000000000005</v>
      </c>
      <c r="U42" s="53" t="s">
        <v>876</v>
      </c>
      <c r="V42" s="53" t="s">
        <v>1055</v>
      </c>
      <c r="W42" s="53" t="s">
        <v>1056</v>
      </c>
      <c r="X42" s="53" t="s">
        <v>1509</v>
      </c>
      <c r="Y42" s="80" t="s">
        <v>945</v>
      </c>
      <c r="Z42" s="53" t="str">
        <f>Tech!H146</f>
        <v>Right</v>
      </c>
      <c r="AA42" s="31"/>
      <c r="AD42" s="1042" t="s">
        <v>79</v>
      </c>
      <c r="AE42" s="468">
        <v>1.1200000000000001</v>
      </c>
      <c r="AF42" s="1018">
        <v>71</v>
      </c>
      <c r="AG42" s="1018">
        <v>80</v>
      </c>
      <c r="AH42" s="1019">
        <v>0.87</v>
      </c>
      <c r="AI42" s="31"/>
      <c r="AJ42" s="31"/>
      <c r="AK42" s="31"/>
      <c r="AL42" s="31"/>
      <c r="AM42" s="31"/>
    </row>
    <row r="43" spans="1:39" ht="18" customHeight="1" thickBot="1">
      <c r="A43" s="1208"/>
      <c r="B43" s="43"/>
      <c r="C43" s="31"/>
      <c r="D43" s="31" t="s">
        <v>911</v>
      </c>
      <c r="E43" s="31"/>
      <c r="F43" s="31"/>
      <c r="G43" s="31" t="s">
        <v>909</v>
      </c>
      <c r="H43" s="31"/>
      <c r="I43" s="31"/>
      <c r="J43" s="129"/>
      <c r="L43" s="1043"/>
      <c r="M43" s="1017">
        <v>100</v>
      </c>
      <c r="N43" s="1018">
        <v>112</v>
      </c>
      <c r="O43" s="1019">
        <v>0.79</v>
      </c>
      <c r="P43" s="413" t="str">
        <f>IFERROR(IF($I$40=Q44,"→"," "),"")</f>
        <v xml:space="preserve"> </v>
      </c>
      <c r="Q43" s="1042" t="s">
        <v>2638</v>
      </c>
      <c r="R43" s="1226" t="s">
        <v>2639</v>
      </c>
      <c r="S43" s="192">
        <v>70</v>
      </c>
      <c r="T43" s="1227">
        <f>70/1000*60/1000*7850</f>
        <v>32.970000000000006</v>
      </c>
      <c r="U43" s="1032">
        <v>190</v>
      </c>
      <c r="V43" s="1237">
        <v>55</v>
      </c>
      <c r="W43" s="1237">
        <v>6</v>
      </c>
      <c r="AA43" s="31"/>
      <c r="AD43" s="1042" t="s">
        <v>81</v>
      </c>
      <c r="AE43" s="468">
        <v>1.1200000000000001</v>
      </c>
      <c r="AF43" s="1018">
        <v>80</v>
      </c>
      <c r="AG43" s="1018">
        <v>90</v>
      </c>
      <c r="AH43" s="1019">
        <v>0.84</v>
      </c>
      <c r="AI43" s="31"/>
      <c r="AJ43" s="31"/>
      <c r="AK43" s="31"/>
      <c r="AL43" s="31"/>
      <c r="AM43" s="31"/>
    </row>
    <row r="44" spans="1:39" ht="18" customHeight="1" thickBot="1">
      <c r="A44" s="1208"/>
      <c r="B44" s="43" t="s">
        <v>913</v>
      </c>
      <c r="C44" s="31" t="s">
        <v>914</v>
      </c>
      <c r="D44" s="31"/>
      <c r="E44" s="31"/>
      <c r="F44" s="31"/>
      <c r="G44" s="31"/>
      <c r="H44" s="43" t="s">
        <v>160</v>
      </c>
      <c r="I44" s="59">
        <v>1</v>
      </c>
      <c r="J44" s="129"/>
      <c r="L44" s="1043"/>
      <c r="M44" s="1017">
        <v>112</v>
      </c>
      <c r="N44" s="1018">
        <v>125</v>
      </c>
      <c r="O44" s="1019">
        <v>0.77</v>
      </c>
      <c r="Q44" s="1110"/>
      <c r="R44" s="1238"/>
      <c r="S44" s="1239"/>
      <c r="T44" s="1240"/>
      <c r="U44" s="675"/>
      <c r="V44" s="611"/>
      <c r="W44" s="611"/>
      <c r="AB44" s="31"/>
      <c r="AD44" s="1042" t="s">
        <v>36</v>
      </c>
      <c r="AE44" s="468">
        <v>1.1200000000000001</v>
      </c>
      <c r="AF44" s="1018">
        <v>90</v>
      </c>
      <c r="AG44" s="1018">
        <v>100</v>
      </c>
      <c r="AH44" s="1019">
        <v>0.82</v>
      </c>
      <c r="AI44" s="31"/>
      <c r="AJ44" s="31"/>
      <c r="AK44" s="31"/>
      <c r="AL44" s="31"/>
      <c r="AM44" s="31"/>
    </row>
    <row r="45" spans="1:39" ht="18" customHeight="1">
      <c r="A45" s="1208"/>
      <c r="B45" s="43"/>
      <c r="C45" s="31" t="s">
        <v>916</v>
      </c>
      <c r="D45" s="31"/>
      <c r="E45" s="31"/>
      <c r="F45" s="31"/>
      <c r="G45" s="31"/>
      <c r="H45" s="43"/>
      <c r="I45" s="31"/>
      <c r="J45" s="129"/>
      <c r="L45" s="1043"/>
      <c r="M45" s="1017">
        <v>125</v>
      </c>
      <c r="N45" s="1018">
        <v>160</v>
      </c>
      <c r="O45" s="1019">
        <v>0.72</v>
      </c>
      <c r="AB45" s="31"/>
      <c r="AD45" s="1042" t="s">
        <v>82</v>
      </c>
      <c r="AE45" s="468">
        <v>1.1200000000000001</v>
      </c>
      <c r="AF45" s="1018">
        <v>100</v>
      </c>
      <c r="AG45" s="1018">
        <v>112</v>
      </c>
      <c r="AH45" s="1019">
        <v>0.79</v>
      </c>
      <c r="AI45" s="31"/>
      <c r="AJ45" s="31"/>
      <c r="AK45" s="31"/>
      <c r="AL45" s="31"/>
      <c r="AM45" s="31"/>
    </row>
    <row r="46" spans="1:39" ht="18" customHeight="1" thickBot="1">
      <c r="A46" s="1208"/>
      <c r="B46" s="43"/>
      <c r="C46" s="31"/>
      <c r="D46" s="31"/>
      <c r="E46" s="31"/>
      <c r="F46" s="31"/>
      <c r="G46" s="31"/>
      <c r="H46" s="43" t="s">
        <v>918</v>
      </c>
      <c r="I46" s="499">
        <f>VLOOKUP(I40,Q15:R28,2,0)</f>
        <v>190</v>
      </c>
      <c r="J46" s="129"/>
      <c r="L46" s="1043"/>
      <c r="M46" s="1048">
        <v>160</v>
      </c>
      <c r="N46" s="1049">
        <v>200</v>
      </c>
      <c r="O46" s="1050">
        <v>0.66</v>
      </c>
      <c r="AB46" s="31"/>
      <c r="AD46" s="1042" t="s">
        <v>40</v>
      </c>
      <c r="AE46" s="468">
        <v>1</v>
      </c>
      <c r="AF46" s="1018">
        <v>112</v>
      </c>
      <c r="AG46" s="1018">
        <v>125</v>
      </c>
      <c r="AH46" s="1019">
        <v>0.77</v>
      </c>
      <c r="AI46" s="31"/>
      <c r="AJ46" s="31"/>
      <c r="AK46" s="31"/>
      <c r="AL46" s="31"/>
      <c r="AM46" s="31"/>
    </row>
    <row r="47" spans="1:39" ht="18" customHeight="1" thickBot="1">
      <c r="A47" s="1208"/>
      <c r="B47" s="43" t="s">
        <v>920</v>
      </c>
      <c r="C47" s="31" t="s">
        <v>1059</v>
      </c>
      <c r="D47" s="31"/>
      <c r="E47" s="31"/>
      <c r="F47" s="31"/>
      <c r="G47" s="31"/>
      <c r="H47" s="43" t="s">
        <v>160</v>
      </c>
      <c r="I47" s="1241">
        <v>6.7</v>
      </c>
      <c r="J47" s="129"/>
      <c r="L47" s="1043"/>
      <c r="M47" s="109">
        <f>VLOOKUP(I49,M18:M46,1)</f>
        <v>31.5</v>
      </c>
      <c r="N47" s="1051">
        <f>VLOOKUP(M47,M18:N46,2,0)</f>
        <v>35.5</v>
      </c>
      <c r="O47" s="1052">
        <f>VLOOKUP(N48,N18:O46,2,0)</f>
        <v>0.99</v>
      </c>
      <c r="AB47" s="31"/>
      <c r="AC47" s="59"/>
      <c r="AD47" s="1042" t="s">
        <v>85</v>
      </c>
      <c r="AE47" s="389">
        <v>0.9</v>
      </c>
      <c r="AF47" s="1018">
        <v>125</v>
      </c>
      <c r="AG47" s="1018">
        <v>160</v>
      </c>
      <c r="AH47" s="1019">
        <v>0.72</v>
      </c>
      <c r="AI47" s="31"/>
      <c r="AJ47" s="31"/>
      <c r="AK47" s="31"/>
      <c r="AL47" s="31"/>
      <c r="AM47" s="31"/>
    </row>
    <row r="48" spans="1:39" ht="18" customHeight="1" thickBot="1">
      <c r="A48" s="1208"/>
      <c r="B48" s="43"/>
      <c r="C48" s="31"/>
      <c r="D48" s="31"/>
      <c r="E48" s="31"/>
      <c r="F48" s="31"/>
      <c r="G48" s="31"/>
      <c r="H48" s="31"/>
      <c r="I48" s="31"/>
      <c r="J48" s="129"/>
      <c r="M48" s="1054">
        <f>IFERROR(VLOOKUP(I49,N18:N46,1,0),0)</f>
        <v>0</v>
      </c>
      <c r="N48" s="1055">
        <f>IF(M48&gt;0,M48,N47)</f>
        <v>35.5</v>
      </c>
      <c r="O48" s="1056"/>
      <c r="AB48" s="31"/>
      <c r="AC48" s="59"/>
      <c r="AD48" s="1042" t="s">
        <v>44</v>
      </c>
      <c r="AE48" s="389">
        <v>0.8</v>
      </c>
      <c r="AF48" s="1049">
        <v>160</v>
      </c>
      <c r="AG48" s="1049">
        <v>200</v>
      </c>
      <c r="AH48" s="1050">
        <v>0.66</v>
      </c>
      <c r="AI48" s="31"/>
      <c r="AJ48" s="31"/>
      <c r="AK48" s="31"/>
      <c r="AL48" s="31"/>
      <c r="AM48" s="31"/>
    </row>
    <row r="49" spans="1:40" ht="18" customHeight="1" thickBot="1">
      <c r="A49" s="1208"/>
      <c r="B49" s="43"/>
      <c r="C49" s="31"/>
      <c r="D49" s="31"/>
      <c r="E49" s="31"/>
      <c r="F49" s="31"/>
      <c r="G49" s="31"/>
      <c r="H49" s="43" t="s">
        <v>649</v>
      </c>
      <c r="I49" s="697">
        <f>LT_HP!I24/(3.1416*I53/1000)</f>
        <v>31.830914183855359</v>
      </c>
      <c r="J49" s="129"/>
      <c r="K49" s="397" t="str">
        <f>HYPERLINK("\\Manish-pc\e\03 General\Manish\Selection\Wheel_Selection.xls","Wheel Load")</f>
        <v>Wheel Load</v>
      </c>
      <c r="T49" s="1242" t="s">
        <v>1060</v>
      </c>
      <c r="U49" s="1243">
        <f>'E Data'!D17</f>
        <v>100</v>
      </c>
      <c r="Z49" s="1244" t="s">
        <v>1061</v>
      </c>
      <c r="AA49" s="107" t="e">
        <f>IF(AB53="Right",AB52,"Wrong")</f>
        <v>#N/A</v>
      </c>
      <c r="AB49" s="31"/>
      <c r="AC49" s="59"/>
      <c r="AD49" s="1042" t="s">
        <v>48</v>
      </c>
      <c r="AE49" s="389">
        <v>0.8</v>
      </c>
      <c r="AF49" s="109">
        <f>VLOOKUP(I49,AF20:AF48,1)</f>
        <v>31.5</v>
      </c>
      <c r="AG49" s="1051">
        <f>VLOOKUP(AF49,AF20:AG48,2,0)</f>
        <v>35.5</v>
      </c>
      <c r="AH49" s="1052">
        <f>VLOOKUP(AG50,AG20:AH48,2,0)</f>
        <v>0.99</v>
      </c>
      <c r="AI49" s="31"/>
      <c r="AJ49" s="31"/>
      <c r="AK49" s="31"/>
      <c r="AL49" s="31"/>
      <c r="AM49" s="31"/>
    </row>
    <row r="50" spans="1:40" ht="18" customHeight="1" thickBot="1">
      <c r="A50" s="1208"/>
      <c r="B50" s="43" t="s">
        <v>922</v>
      </c>
      <c r="C50" s="31" t="s">
        <v>1062</v>
      </c>
      <c r="D50" s="31"/>
      <c r="E50" s="31"/>
      <c r="F50" s="31"/>
      <c r="G50" s="31"/>
      <c r="H50" s="43" t="s">
        <v>160</v>
      </c>
      <c r="I50" s="59">
        <f>O47</f>
        <v>0.99</v>
      </c>
      <c r="J50" s="557"/>
      <c r="K50" s="1245">
        <f>I33</f>
        <v>12.144444444444446</v>
      </c>
      <c r="N50" s="926" t="s">
        <v>1063</v>
      </c>
      <c r="T50" s="1246" t="s">
        <v>670</v>
      </c>
      <c r="U50" s="1220" t="s">
        <v>893</v>
      </c>
      <c r="V50" s="194" t="s">
        <v>2636</v>
      </c>
      <c r="W50" s="1247" t="s">
        <v>1055</v>
      </c>
      <c r="X50" s="194" t="s">
        <v>1065</v>
      </c>
      <c r="Y50" s="1248" t="s">
        <v>1066</v>
      </c>
      <c r="Z50" s="1249" t="s">
        <v>1067</v>
      </c>
      <c r="AA50" s="1250" t="s">
        <v>661</v>
      </c>
      <c r="AB50" s="31"/>
      <c r="AC50" s="59"/>
      <c r="AD50" s="1251" t="str">
        <f>I13</f>
        <v>M5</v>
      </c>
      <c r="AE50" s="1252">
        <f>VLOOKUP(AD50,AD42:AE49,2,0)</f>
        <v>1</v>
      </c>
      <c r="AF50" s="1054">
        <f>IFERROR(VLOOKUP(I49,AG20:AG48,1,0),0)</f>
        <v>0</v>
      </c>
      <c r="AG50" s="1055">
        <f>IF(AF50&gt;0,AF50,AG49)</f>
        <v>35.5</v>
      </c>
      <c r="AH50" s="1056"/>
      <c r="AI50" s="31"/>
      <c r="AJ50" s="31"/>
      <c r="AK50" s="31"/>
      <c r="AL50" s="31"/>
      <c r="AM50" s="31"/>
    </row>
    <row r="51" spans="1:40" ht="18" customHeight="1" thickBot="1">
      <c r="A51" s="1208"/>
      <c r="B51" s="43" t="s">
        <v>473</v>
      </c>
      <c r="C51" s="31"/>
      <c r="D51" s="31"/>
      <c r="E51" s="31"/>
      <c r="F51" s="31"/>
      <c r="G51" s="31"/>
      <c r="H51" s="31"/>
      <c r="I51" s="31"/>
      <c r="J51" s="557"/>
      <c r="K51" s="140" t="str">
        <f>HYPERLINK("\\Manish-pc\e\03 General\Manish\Selection\Price_Sheet_2013.pdf","Price Sheet")</f>
        <v>Price Sheet</v>
      </c>
      <c r="L51" s="140" t="str">
        <f>HYPERLINK("\\Manish-pc\e\03 General\Manish\Selection\Weight.pdf","Weight")</f>
        <v>Weight</v>
      </c>
      <c r="N51" s="1253">
        <f>'E Data'!D39</f>
        <v>25</v>
      </c>
      <c r="S51" s="413" t="str">
        <f>IFERROR(IF($I$40=T51,"→"," "),"")</f>
        <v xml:space="preserve"> </v>
      </c>
      <c r="T51" s="926">
        <v>40</v>
      </c>
      <c r="U51" s="1227">
        <f>40/1000*40/1000*7850</f>
        <v>12.56</v>
      </c>
      <c r="V51" s="1254">
        <v>0</v>
      </c>
      <c r="W51" s="53">
        <v>55</v>
      </c>
      <c r="X51" s="1255">
        <f>W51*(U51+V51)</f>
        <v>690.80000000000007</v>
      </c>
      <c r="Y51" s="1255">
        <f>X51*2</f>
        <v>1381.6000000000001</v>
      </c>
      <c r="Z51" s="1256">
        <f>Y51*$U$49</f>
        <v>138160</v>
      </c>
      <c r="AA51" s="1257">
        <f>IF(I40=40,Z51,0)</f>
        <v>0</v>
      </c>
      <c r="AB51" s="936">
        <f>SUM(AA51:AA63)</f>
        <v>0</v>
      </c>
      <c r="AC51" s="59"/>
      <c r="AD51" s="31"/>
      <c r="AE51" s="31"/>
      <c r="AF51" s="31"/>
      <c r="AG51" s="31"/>
      <c r="AH51" s="31"/>
      <c r="AI51" s="31"/>
      <c r="AJ51" s="31"/>
      <c r="AK51" s="31"/>
      <c r="AL51" s="31"/>
      <c r="AM51" s="31"/>
    </row>
    <row r="52" spans="1:40" ht="18" customHeight="1" thickBot="1">
      <c r="A52" s="1208"/>
      <c r="B52" s="1047"/>
      <c r="C52" s="20" t="s">
        <v>925</v>
      </c>
      <c r="D52" s="1192"/>
      <c r="E52" s="1192"/>
      <c r="F52" s="1192"/>
      <c r="G52" s="1230"/>
      <c r="H52" s="1047" t="s">
        <v>160</v>
      </c>
      <c r="I52" s="1258">
        <f>I38*I39*I44/(1.5*I41*I47*I50)</f>
        <v>213.82445636176982</v>
      </c>
      <c r="J52" s="129"/>
      <c r="K52" s="1259">
        <f>Selection!D37</f>
        <v>17100</v>
      </c>
      <c r="L52" s="684">
        <f>Selection!D38</f>
        <v>455</v>
      </c>
      <c r="N52" s="1260" t="s">
        <v>1069</v>
      </c>
      <c r="Q52" s="1261" t="s">
        <v>2640</v>
      </c>
      <c r="R52" s="1261"/>
      <c r="S52" s="413" t="str">
        <f t="shared" ref="S52" si="8">IFERROR(IF($I$40=T52,"→"," "),"")</f>
        <v xml:space="preserve"> </v>
      </c>
      <c r="T52" s="538">
        <v>50</v>
      </c>
      <c r="U52" s="1228">
        <f>50/1000*50/1000*7850</f>
        <v>19.625</v>
      </c>
      <c r="V52" s="1254">
        <v>0</v>
      </c>
      <c r="W52" s="53">
        <v>55</v>
      </c>
      <c r="X52" s="1255">
        <f t="shared" ref="X52:X53" si="9">W52*(U52+V52)</f>
        <v>1079.375</v>
      </c>
      <c r="Y52" s="1255">
        <f t="shared" ref="Y52" si="10">X52*2</f>
        <v>2158.75</v>
      </c>
      <c r="Z52" s="1256">
        <f t="shared" ref="Z52" si="11">Y52*$U$49</f>
        <v>215875</v>
      </c>
      <c r="AA52" s="1257">
        <f>IF(I40=50,Z52,0)</f>
        <v>0</v>
      </c>
      <c r="AB52" s="59" t="e">
        <f>VLOOKUP(I40,T51:AA62,7,0)</f>
        <v>#N/A</v>
      </c>
      <c r="AC52" s="59"/>
      <c r="AD52" s="31"/>
      <c r="AE52" s="31"/>
      <c r="AF52" s="31"/>
      <c r="AG52" s="31"/>
      <c r="AH52" s="31"/>
      <c r="AI52" s="31"/>
      <c r="AJ52" s="31"/>
      <c r="AK52" s="31"/>
      <c r="AL52" s="31"/>
      <c r="AM52" s="31"/>
    </row>
    <row r="53" spans="1:40" ht="18" customHeight="1" thickBot="1">
      <c r="A53" s="1262"/>
      <c r="B53" s="1047"/>
      <c r="C53" s="20" t="s">
        <v>927</v>
      </c>
      <c r="D53" s="1192"/>
      <c r="E53" s="1192"/>
      <c r="F53" s="1192"/>
      <c r="G53" s="1230"/>
      <c r="H53" s="1047" t="s">
        <v>160</v>
      </c>
      <c r="I53" s="72">
        <f>+V12</f>
        <v>250</v>
      </c>
      <c r="J53" s="1263"/>
      <c r="K53" s="334" t="str">
        <f>IF(I52&lt;I53,"Right","Wrong")</f>
        <v>Right</v>
      </c>
      <c r="N53" s="1264">
        <f>LT_HP!I39</f>
        <v>1.2453130745563414</v>
      </c>
      <c r="P53" s="611" t="s">
        <v>1064</v>
      </c>
      <c r="Q53" s="1265">
        <f>I53</f>
        <v>250</v>
      </c>
      <c r="R53" s="107" t="str">
        <f>I40</f>
        <v>70X40</v>
      </c>
      <c r="S53" s="413" t="str">
        <f t="shared" ref="S53" si="12">IFERROR(IF($I$40=T53,"→"," "),"")</f>
        <v xml:space="preserve"> </v>
      </c>
      <c r="T53" s="538">
        <v>63</v>
      </c>
      <c r="U53" s="1228">
        <f>63/1000*63/1000*7850</f>
        <v>31.156649999999996</v>
      </c>
      <c r="V53" s="1254">
        <v>0</v>
      </c>
      <c r="W53" s="53">
        <v>55</v>
      </c>
      <c r="X53" s="1255">
        <f t="shared" si="9"/>
        <v>1713.6157499999997</v>
      </c>
      <c r="Y53" s="1255">
        <f t="shared" ref="Y53" si="13">X53*2</f>
        <v>3427.2314999999994</v>
      </c>
      <c r="Z53" s="1256">
        <f t="shared" ref="Z53" si="14">Y53*$U$49</f>
        <v>342723.14999999997</v>
      </c>
      <c r="AA53" s="1257">
        <f>IF(I40=63,Z53,0)</f>
        <v>0</v>
      </c>
      <c r="AB53" s="209" t="e">
        <f>IF(AB51=AB52,"Right","Wrong")</f>
        <v>#N/A</v>
      </c>
      <c r="AC53" s="59"/>
      <c r="AD53" s="31"/>
      <c r="AE53" s="31"/>
      <c r="AF53" s="31"/>
      <c r="AG53" s="31"/>
      <c r="AH53" s="31"/>
      <c r="AI53" s="31"/>
      <c r="AJ53" s="31"/>
      <c r="AK53" s="31"/>
      <c r="AL53" s="31"/>
      <c r="AM53" s="31"/>
    </row>
    <row r="54" spans="1:40" ht="18" customHeight="1" thickBot="1">
      <c r="A54" s="1262"/>
      <c r="B54" s="1047"/>
      <c r="C54" s="1192"/>
      <c r="D54" s="1192"/>
      <c r="E54" s="1192"/>
      <c r="F54" s="1192"/>
      <c r="G54" s="1230"/>
      <c r="H54" s="1047"/>
      <c r="I54" s="192"/>
      <c r="J54" s="1266">
        <f>I38/(AH49*6.5*AE50*I41)</f>
        <v>264.48440448440454</v>
      </c>
      <c r="K54" s="22" t="s">
        <v>2651</v>
      </c>
      <c r="L54" s="1267" t="str">
        <f>Z27</f>
        <v>Right</v>
      </c>
      <c r="N54" s="1268" t="s">
        <v>926</v>
      </c>
      <c r="Q54" s="1269" t="s">
        <v>1068</v>
      </c>
      <c r="R54" s="1270">
        <f>ESt!G40</f>
        <v>68400</v>
      </c>
      <c r="T54" s="538">
        <v>60</v>
      </c>
      <c r="U54" s="1228">
        <v>29.76</v>
      </c>
      <c r="V54" s="1254">
        <v>5</v>
      </c>
      <c r="W54" s="53">
        <v>100</v>
      </c>
      <c r="X54" s="1255">
        <f t="shared" ref="X54:X61" si="15">W54*(U54+V54)</f>
        <v>3476.0000000000005</v>
      </c>
      <c r="Y54" s="1255">
        <f t="shared" ref="Y54:Y59" si="16">X54*2</f>
        <v>6952.0000000000009</v>
      </c>
      <c r="Z54" s="1256">
        <f t="shared" ref="Z54:Z63" si="17">Y54*$U$49</f>
        <v>695200.00000000012</v>
      </c>
      <c r="AA54" s="1257">
        <f>IF(I41=63,Z54,0)</f>
        <v>0</v>
      </c>
      <c r="AC54" s="59"/>
      <c r="AD54" s="31"/>
      <c r="AE54" s="31"/>
      <c r="AF54" s="31"/>
      <c r="AG54" s="31"/>
      <c r="AH54" s="31"/>
      <c r="AI54" s="31"/>
      <c r="AJ54" s="31"/>
      <c r="AK54" s="31"/>
      <c r="AL54" s="31"/>
      <c r="AM54" s="31"/>
    </row>
    <row r="55" spans="1:40" ht="15" customHeight="1" thickBot="1">
      <c r="A55" s="3994" t="s">
        <v>1</v>
      </c>
      <c r="B55" s="3995"/>
      <c r="C55" s="3995"/>
      <c r="D55" s="3996"/>
      <c r="E55" s="3997" t="s">
        <v>109</v>
      </c>
      <c r="F55" s="3998"/>
      <c r="G55" s="3998"/>
      <c r="H55" s="3999" t="s">
        <v>2</v>
      </c>
      <c r="I55" s="4000"/>
      <c r="J55" s="4001"/>
      <c r="N55" s="1193">
        <f>LT_HP!I24/(3.1416*I53/1000)</f>
        <v>31.830914183855359</v>
      </c>
      <c r="Q55" s="1271" t="s">
        <v>1070</v>
      </c>
      <c r="R55" s="1272" t="e">
        <f>AA49</f>
        <v>#N/A</v>
      </c>
      <c r="S55" s="413" t="str">
        <f>IFERROR(IF($I$40=T55,"→"," "),"")</f>
        <v xml:space="preserve"> </v>
      </c>
      <c r="T55" s="538">
        <v>90</v>
      </c>
      <c r="U55" s="1227">
        <v>44.65</v>
      </c>
      <c r="V55" s="1254">
        <v>5</v>
      </c>
      <c r="W55" s="53">
        <v>110</v>
      </c>
      <c r="X55" s="1255">
        <f t="shared" si="15"/>
        <v>5461.5</v>
      </c>
      <c r="Y55" s="1255">
        <f t="shared" si="16"/>
        <v>10923</v>
      </c>
      <c r="Z55" s="1256">
        <f t="shared" si="17"/>
        <v>1092300</v>
      </c>
      <c r="AA55" s="1194">
        <f>IF(I40=90,Z55,0)</f>
        <v>0</v>
      </c>
      <c r="AB55" s="31"/>
      <c r="AC55" s="216"/>
      <c r="AD55" s="17"/>
      <c r="AE55" s="17"/>
      <c r="AF55" s="17"/>
      <c r="AG55" s="17"/>
      <c r="AH55" s="17"/>
      <c r="AI55" s="17"/>
      <c r="AJ55" s="17"/>
      <c r="AK55" s="17"/>
      <c r="AL55" s="17"/>
      <c r="AM55" s="17"/>
    </row>
    <row r="56" spans="1:40" ht="20.100000000000001" customHeight="1" thickBot="1">
      <c r="A56" s="4002" t="s">
        <v>2786</v>
      </c>
      <c r="B56" s="4003"/>
      <c r="C56" s="4003"/>
      <c r="D56" s="4004"/>
      <c r="E56" s="4005" t="str">
        <f>E2</f>
        <v xml:space="preserve">25/15T D/G EOT CRANE  </v>
      </c>
      <c r="F56" s="3801"/>
      <c r="G56" s="3801"/>
      <c r="H56" s="4006">
        <f>H2</f>
        <v>0</v>
      </c>
      <c r="I56" s="4007"/>
      <c r="J56" s="4008"/>
      <c r="N56" s="1273">
        <f>0.9*I49</f>
        <v>28.647822765469822</v>
      </c>
      <c r="P56" s="675" t="s">
        <v>1071</v>
      </c>
      <c r="Q56" s="1195">
        <v>200</v>
      </c>
      <c r="R56" s="1274">
        <v>105</v>
      </c>
      <c r="S56" s="413" t="str">
        <f>IFERROR(IF($I$40=T56,"→"," "),"")</f>
        <v xml:space="preserve"> </v>
      </c>
      <c r="T56" s="538">
        <v>105</v>
      </c>
      <c r="U56" s="1227">
        <v>52</v>
      </c>
      <c r="V56" s="1254">
        <v>5</v>
      </c>
      <c r="W56" s="53">
        <v>55</v>
      </c>
      <c r="X56" s="1255">
        <f t="shared" si="15"/>
        <v>3135</v>
      </c>
      <c r="Y56" s="1255">
        <f t="shared" si="16"/>
        <v>6270</v>
      </c>
      <c r="Z56" s="1256">
        <f t="shared" si="17"/>
        <v>627000</v>
      </c>
      <c r="AA56" s="1194">
        <f>IF(I40=105,Z56,0)</f>
        <v>0</v>
      </c>
      <c r="AB56" s="17"/>
      <c r="AC56" s="216"/>
      <c r="AD56" s="17"/>
      <c r="AE56" s="17"/>
      <c r="AF56" s="17"/>
      <c r="AG56" s="17"/>
      <c r="AH56" s="17"/>
      <c r="AI56" s="17"/>
      <c r="AJ56" s="17"/>
      <c r="AK56" s="17"/>
      <c r="AL56" s="17"/>
      <c r="AM56" s="17"/>
    </row>
    <row r="57" spans="1:40" ht="15.95" customHeight="1" thickBot="1">
      <c r="A57" s="4013" t="e">
        <f>A3</f>
        <v>#REF!</v>
      </c>
      <c r="B57" s="4014"/>
      <c r="C57" s="4014"/>
      <c r="D57" s="4015"/>
      <c r="E57" s="4016" t="s">
        <v>122</v>
      </c>
      <c r="F57" s="4017"/>
      <c r="G57" s="4018"/>
      <c r="H57" s="4009" t="s">
        <v>1073</v>
      </c>
      <c r="I57" s="4010"/>
      <c r="J57" s="4011"/>
      <c r="K57" s="20"/>
      <c r="L57" s="20"/>
      <c r="N57" s="1275">
        <f>1.1*I49</f>
        <v>35.0140056022409</v>
      </c>
      <c r="O57" s="17"/>
      <c r="Q57" s="1276" t="s">
        <v>1068</v>
      </c>
      <c r="R57" s="1277">
        <f>VLOOKUP(Q56,Selection!G57:I67,3,0)*I20</f>
        <v>54000</v>
      </c>
      <c r="S57" s="413" t="str">
        <f>IFERROR(IF($I$40=T57,"→"," "),"")</f>
        <v xml:space="preserve"> </v>
      </c>
      <c r="T57" s="538">
        <v>80</v>
      </c>
      <c r="U57" s="1227">
        <v>64</v>
      </c>
      <c r="V57" s="1254">
        <v>5</v>
      </c>
      <c r="W57" s="53">
        <v>64</v>
      </c>
      <c r="X57" s="1255">
        <f t="shared" si="15"/>
        <v>4416</v>
      </c>
      <c r="Y57" s="1255">
        <f t="shared" si="16"/>
        <v>8832</v>
      </c>
      <c r="Z57" s="1256">
        <f t="shared" si="17"/>
        <v>883200</v>
      </c>
      <c r="AA57" s="1194">
        <f>IF(I40=80,Z57,0)</f>
        <v>0</v>
      </c>
      <c r="AB57" s="17"/>
      <c r="AC57" s="216"/>
      <c r="AD57" s="17"/>
      <c r="AE57" s="17"/>
      <c r="AF57" s="17"/>
      <c r="AG57" s="17"/>
      <c r="AH57" s="17"/>
      <c r="AI57" s="17"/>
      <c r="AJ57" s="17"/>
      <c r="AK57" s="17"/>
      <c r="AL57" s="17"/>
      <c r="AM57" s="17"/>
    </row>
    <row r="58" spans="1:40" ht="14.1" customHeight="1" thickBot="1">
      <c r="A58" s="1226" t="s">
        <v>3</v>
      </c>
      <c r="B58" s="333" t="e">
        <f>B4</f>
        <v>#REF!</v>
      </c>
      <c r="C58" s="333"/>
      <c r="D58" s="1278"/>
      <c r="E58" s="4029" t="str">
        <f>E4</f>
        <v xml:space="preserve"> </v>
      </c>
      <c r="F58" s="3734"/>
      <c r="G58" s="4030"/>
      <c r="H58" s="4012"/>
      <c r="I58" s="4010"/>
      <c r="J58" s="4011"/>
      <c r="K58" s="20"/>
      <c r="L58" s="19"/>
      <c r="M58" s="20"/>
      <c r="N58" s="20"/>
      <c r="O58" s="17"/>
      <c r="Q58" s="1279" t="s">
        <v>1070</v>
      </c>
      <c r="R58" s="1280">
        <f>VLOOKUP(R56,T51:Z63,6,0)</f>
        <v>6270</v>
      </c>
      <c r="S58" s="413" t="str">
        <f>IFERROR(IF($I$40=T58,"→"," "),"")</f>
        <v xml:space="preserve"> </v>
      </c>
      <c r="T58" s="538">
        <v>100</v>
      </c>
      <c r="U58" s="1227">
        <v>90</v>
      </c>
      <c r="V58" s="1254">
        <v>5</v>
      </c>
      <c r="W58" s="53">
        <v>64</v>
      </c>
      <c r="X58" s="1255">
        <f t="shared" si="15"/>
        <v>6080</v>
      </c>
      <c r="Y58" s="1255">
        <f t="shared" si="16"/>
        <v>12160</v>
      </c>
      <c r="Z58" s="1256">
        <f t="shared" si="17"/>
        <v>1216000</v>
      </c>
      <c r="AA58" s="1194">
        <f>IF(I40=100,Z58,0)</f>
        <v>0</v>
      </c>
      <c r="AB58" s="17"/>
      <c r="AC58" s="216"/>
      <c r="AD58" s="17"/>
      <c r="AE58" s="17"/>
      <c r="AF58" s="17"/>
      <c r="AG58" s="17"/>
      <c r="AH58" s="17"/>
      <c r="AI58" s="17"/>
      <c r="AJ58" s="17"/>
      <c r="AK58" s="17"/>
      <c r="AL58" s="17"/>
      <c r="AM58" s="17"/>
    </row>
    <row r="59" spans="1:40" ht="20.100000000000001" customHeight="1" thickBot="1">
      <c r="A59" s="1281"/>
      <c r="B59" s="1196" t="s">
        <v>1076</v>
      </c>
      <c r="C59" s="1282"/>
      <c r="D59" s="1282"/>
      <c r="E59" s="1282"/>
      <c r="F59" s="1282"/>
      <c r="G59" s="1282"/>
      <c r="H59" s="1282"/>
      <c r="I59" s="1282"/>
      <c r="J59" s="1283"/>
      <c r="L59" s="1284">
        <f>LT_HP!K45</f>
        <v>0</v>
      </c>
      <c r="N59" s="17"/>
      <c r="O59" s="17"/>
      <c r="P59" s="675" t="s">
        <v>1072</v>
      </c>
      <c r="Q59" s="1285">
        <f>R54-R57</f>
        <v>14400</v>
      </c>
      <c r="R59" s="1197" t="e">
        <f>R55-R58</f>
        <v>#N/A</v>
      </c>
      <c r="S59" s="413" t="str">
        <f>IFERROR(IF($I$40=T59,"→"," "),"")</f>
        <v xml:space="preserve"> </v>
      </c>
      <c r="T59" s="538">
        <v>120</v>
      </c>
      <c r="U59" s="1227">
        <v>118</v>
      </c>
      <c r="V59" s="1254">
        <v>5</v>
      </c>
      <c r="W59" s="53">
        <v>64</v>
      </c>
      <c r="X59" s="1255">
        <f t="shared" si="15"/>
        <v>7872</v>
      </c>
      <c r="Y59" s="1255">
        <f t="shared" si="16"/>
        <v>15744</v>
      </c>
      <c r="Z59" s="1256">
        <f t="shared" si="17"/>
        <v>1574400</v>
      </c>
      <c r="AA59" s="1194">
        <f>IF(I40=120,Z59,0)</f>
        <v>0</v>
      </c>
      <c r="AB59" s="17"/>
      <c r="AC59" s="216"/>
      <c r="AD59" s="17"/>
      <c r="AE59" s="17"/>
      <c r="AF59" s="17"/>
      <c r="AG59" s="17"/>
      <c r="AH59" s="17"/>
      <c r="AI59" s="17"/>
      <c r="AJ59" s="17"/>
      <c r="AK59" s="17"/>
      <c r="AL59" s="17"/>
      <c r="AM59" s="17"/>
    </row>
    <row r="60" spans="1:40" ht="12.95" customHeight="1" thickBot="1">
      <c r="A60" s="1286"/>
      <c r="B60" s="137" t="s">
        <v>933</v>
      </c>
      <c r="C60" s="137"/>
      <c r="D60" s="137"/>
      <c r="E60" s="137"/>
      <c r="F60" s="137"/>
      <c r="G60" s="137"/>
      <c r="H60" s="137"/>
      <c r="I60" s="137"/>
      <c r="J60" s="1287"/>
      <c r="L60" s="611" t="str">
        <f>IF(I63=L62,L61,IF(I63=M62,M61))</f>
        <v>Sq. Cage Motor</v>
      </c>
      <c r="M60" s="611" t="str">
        <f>LT_HP!I44</f>
        <v>Sq. Cage Motor</v>
      </c>
      <c r="O60" s="17"/>
      <c r="Q60" s="1288" t="e">
        <f>R59+Q59</f>
        <v>#N/A</v>
      </c>
      <c r="R60" s="1289"/>
      <c r="S60" s="413" t="str">
        <f>IFERROR(IF($I$40=T61,"→"," "),"")</f>
        <v xml:space="preserve"> </v>
      </c>
      <c r="T60" s="1037" t="s">
        <v>878</v>
      </c>
      <c r="U60" s="1227">
        <f>60/1000*50/1000*7850</f>
        <v>23.55</v>
      </c>
      <c r="V60" s="1254">
        <v>0</v>
      </c>
      <c r="W60" s="53">
        <v>55</v>
      </c>
      <c r="X60" s="1255">
        <f t="shared" si="15"/>
        <v>1295.25</v>
      </c>
      <c r="Y60" s="1255">
        <f t="shared" ref="Y60" si="18">X60*2</f>
        <v>2590.5</v>
      </c>
      <c r="Z60" s="1256">
        <f t="shared" si="17"/>
        <v>259050</v>
      </c>
      <c r="AA60" s="1198">
        <f>IF(I39=T60,Z60,0)</f>
        <v>0</v>
      </c>
      <c r="AB60" s="17"/>
      <c r="AC60" s="216"/>
      <c r="AD60" s="17"/>
      <c r="AE60" s="17"/>
      <c r="AF60" s="17"/>
      <c r="AG60" s="17"/>
      <c r="AH60" s="17"/>
      <c r="AI60" s="17"/>
      <c r="AJ60" s="17"/>
      <c r="AK60" s="17"/>
      <c r="AL60" s="17"/>
      <c r="AM60" s="17"/>
    </row>
    <row r="61" spans="1:40" ht="15" customHeight="1" thickBot="1">
      <c r="A61" s="1286"/>
      <c r="B61" s="137" t="s">
        <v>2745</v>
      </c>
      <c r="C61" s="137"/>
      <c r="D61" s="137"/>
      <c r="E61" s="137"/>
      <c r="F61" s="137"/>
      <c r="G61" s="137"/>
      <c r="H61" s="137"/>
      <c r="I61" s="137"/>
      <c r="J61" s="1287"/>
      <c r="K61" s="677" t="str">
        <f>IF(L60=M60,"Right","Wrong")</f>
        <v>Right</v>
      </c>
      <c r="L61" s="678" t="s">
        <v>259</v>
      </c>
      <c r="M61" s="876" t="s">
        <v>645</v>
      </c>
      <c r="O61" s="17"/>
      <c r="P61" s="611" t="s">
        <v>1074</v>
      </c>
      <c r="Q61" s="1290" t="e">
        <f>Q60/100000</f>
        <v>#N/A</v>
      </c>
      <c r="R61" s="1034" t="s">
        <v>1075</v>
      </c>
      <c r="S61" s="413" t="str">
        <f>IFERROR(IF($I$40=T62,"→"," "),"")</f>
        <v xml:space="preserve"> </v>
      </c>
      <c r="T61" s="719" t="s">
        <v>1153</v>
      </c>
      <c r="U61" s="1291">
        <f>70/1000*50/1000*7850</f>
        <v>27.475000000000005</v>
      </c>
      <c r="V61" s="1254">
        <v>0</v>
      </c>
      <c r="W61" s="53">
        <v>55</v>
      </c>
      <c r="X61" s="1255">
        <f t="shared" si="15"/>
        <v>1511.1250000000002</v>
      </c>
      <c r="Y61" s="1255">
        <f>X61*2</f>
        <v>3022.2500000000005</v>
      </c>
      <c r="Z61" s="1256">
        <f t="shared" si="17"/>
        <v>302225.00000000006</v>
      </c>
      <c r="AA61" s="1198">
        <f>IF(I40=T61,Z61,0)</f>
        <v>0</v>
      </c>
      <c r="AB61" s="17"/>
      <c r="AC61" s="216"/>
      <c r="AD61" s="17"/>
      <c r="AE61" s="17"/>
      <c r="AF61" s="17"/>
      <c r="AG61" s="17"/>
      <c r="AH61" s="17"/>
      <c r="AI61" s="17"/>
      <c r="AJ61" s="17"/>
      <c r="AK61" s="17"/>
      <c r="AL61" s="17"/>
      <c r="AM61" s="17"/>
    </row>
    <row r="62" spans="1:40" ht="20.100000000000001" customHeight="1" thickBot="1">
      <c r="A62" s="1286"/>
      <c r="B62" s="137"/>
      <c r="C62" s="137"/>
      <c r="D62" s="137"/>
      <c r="E62" s="3801" t="s">
        <v>935</v>
      </c>
      <c r="F62" s="3801"/>
      <c r="G62" s="137"/>
      <c r="H62" s="137"/>
      <c r="I62" s="137"/>
      <c r="J62" s="1287"/>
      <c r="L62" s="878">
        <f>LT_HP!I54</f>
        <v>1440</v>
      </c>
      <c r="M62" s="879">
        <f>L62/1.06</f>
        <v>1358.4905660377358</v>
      </c>
      <c r="O62" s="17"/>
      <c r="S62" s="413" t="str">
        <f>IFERROR(IF($I$40=T63,"→"," "),"")</f>
        <v xml:space="preserve"> </v>
      </c>
      <c r="T62" s="1039" t="str">
        <f>Q43</f>
        <v>70X60</v>
      </c>
      <c r="U62" s="1292">
        <f>T43</f>
        <v>32.970000000000006</v>
      </c>
      <c r="V62" s="1033">
        <v>0</v>
      </c>
      <c r="W62" s="1293">
        <f>V43</f>
        <v>55</v>
      </c>
      <c r="X62" s="1294">
        <f>W62*U62</f>
        <v>1813.3500000000004</v>
      </c>
      <c r="Y62" s="1295">
        <f>X62*2</f>
        <v>3626.7000000000007</v>
      </c>
      <c r="Z62" s="1296">
        <f t="shared" si="17"/>
        <v>362670.00000000006</v>
      </c>
      <c r="AA62" s="1199">
        <f>IF(I40=T62,Z62,0)</f>
        <v>0</v>
      </c>
      <c r="AB62" s="17"/>
      <c r="AC62" s="216"/>
      <c r="AD62" s="17"/>
      <c r="AE62" s="17"/>
      <c r="AF62" s="17"/>
      <c r="AG62" s="17"/>
      <c r="AH62" s="17"/>
      <c r="AI62" s="17"/>
      <c r="AJ62" s="17"/>
      <c r="AK62" s="17"/>
      <c r="AL62" s="17"/>
      <c r="AM62" s="17"/>
    </row>
    <row r="63" spans="1:40" ht="20.100000000000001" customHeight="1" thickBot="1">
      <c r="A63" s="1286"/>
      <c r="B63" s="137" t="s">
        <v>303</v>
      </c>
      <c r="C63" s="137" t="s">
        <v>936</v>
      </c>
      <c r="D63" s="137"/>
      <c r="E63" s="196"/>
      <c r="F63" s="137"/>
      <c r="G63" s="137"/>
      <c r="H63" s="137"/>
      <c r="I63" s="1297">
        <f>IF(L59=0,LT_HP!I54,IF(L59=1,LT_HP!I54/1.06))</f>
        <v>1440</v>
      </c>
      <c r="J63" s="1287"/>
      <c r="P63" s="50"/>
      <c r="Q63" s="50"/>
      <c r="R63" s="50"/>
      <c r="T63" s="73">
        <f>Q44</f>
        <v>0</v>
      </c>
      <c r="U63" s="1298">
        <f>T44</f>
        <v>0</v>
      </c>
      <c r="V63" s="107"/>
      <c r="W63" s="1265">
        <f>V44</f>
        <v>0</v>
      </c>
      <c r="X63" s="73">
        <f>W63*U63</f>
        <v>0</v>
      </c>
      <c r="Y63" s="73">
        <f>X63*2</f>
        <v>0</v>
      </c>
      <c r="Z63" s="1299">
        <f t="shared" si="17"/>
        <v>0</v>
      </c>
      <c r="AA63" s="1300">
        <f>IF(I40=T63,Z63,0)</f>
        <v>0</v>
      </c>
      <c r="AC63" s="216"/>
      <c r="AD63" s="17"/>
      <c r="AE63" s="17"/>
      <c r="AF63" s="17"/>
      <c r="AG63" s="17"/>
      <c r="AH63" s="17"/>
      <c r="AI63" s="17"/>
      <c r="AJ63" s="17"/>
      <c r="AK63" s="17"/>
      <c r="AL63" s="17"/>
      <c r="AM63" s="17"/>
    </row>
    <row r="64" spans="1:40" ht="14.65" thickBot="1">
      <c r="A64" s="1286"/>
      <c r="B64" s="137"/>
      <c r="C64" s="137" t="s">
        <v>1077</v>
      </c>
      <c r="D64" s="137"/>
      <c r="E64" s="137"/>
      <c r="F64" s="137"/>
      <c r="G64" s="137"/>
      <c r="H64" s="137"/>
      <c r="I64" s="333">
        <f>I53</f>
        <v>250</v>
      </c>
      <c r="J64" s="326"/>
      <c r="L64" s="1068" t="str">
        <f>IF(I71="Premium",F129,F128)</f>
        <v>Elite</v>
      </c>
      <c r="M64" s="880" t="s">
        <v>661</v>
      </c>
      <c r="P64" s="333"/>
      <c r="Q64" s="726"/>
      <c r="R64" s="726"/>
      <c r="S64" s="333"/>
      <c r="T64" s="531"/>
      <c r="U64" s="20"/>
      <c r="V64" s="17"/>
      <c r="W64" s="17"/>
      <c r="X64" s="17"/>
      <c r="Y64" s="17"/>
      <c r="AA64" s="17"/>
      <c r="AB64" s="17"/>
      <c r="AE64" s="17"/>
      <c r="AF64" s="17"/>
      <c r="AG64" s="3784" t="s">
        <v>2662</v>
      </c>
      <c r="AH64" s="3785"/>
      <c r="AI64" s="19"/>
      <c r="AJ64" s="3784" t="s">
        <v>656</v>
      </c>
      <c r="AK64" s="3785"/>
      <c r="AL64" s="17"/>
      <c r="AM64" s="3732" t="s">
        <v>660</v>
      </c>
      <c r="AN64" s="3733"/>
    </row>
    <row r="65" spans="1:40" ht="14.65" thickBot="1">
      <c r="A65" s="1286"/>
      <c r="B65" s="1200" t="s">
        <v>938</v>
      </c>
      <c r="C65" s="137" t="s">
        <v>1078</v>
      </c>
      <c r="D65" s="137"/>
      <c r="E65" s="137"/>
      <c r="F65" s="137"/>
      <c r="G65" s="137"/>
      <c r="H65" s="137"/>
      <c r="I65" s="333">
        <f>'E Data'!D39</f>
        <v>25</v>
      </c>
      <c r="J65" s="326"/>
      <c r="K65" s="698" t="e">
        <f>+IF(K66&lt;10%,IF(K66&gt;-10%,"Right","Wrong"),"Wrong")</f>
        <v>#DIV/0!</v>
      </c>
      <c r="L65" s="615">
        <f>IF(I71="Premium",AJ98,IF(I71="Elite",AG97,IF(I71="Elecon",AM109,"Wrong")))</f>
        <v>43.9</v>
      </c>
      <c r="M65" s="881">
        <f>(1-(L65/I67))</f>
        <v>2.9599213422742965E-2</v>
      </c>
      <c r="N65" s="882">
        <f>I67*0.9</f>
        <v>40.715136000000001</v>
      </c>
      <c r="P65" s="333"/>
      <c r="Q65" s="726"/>
      <c r="R65" s="726"/>
      <c r="S65" s="333"/>
      <c r="T65" s="531"/>
      <c r="U65" s="20"/>
      <c r="V65" s="17"/>
      <c r="W65" s="17"/>
      <c r="X65" s="17"/>
      <c r="Y65" s="17"/>
      <c r="Z65" s="17"/>
      <c r="AA65" s="17"/>
      <c r="AB65" s="17"/>
      <c r="AE65" s="17"/>
      <c r="AF65" s="17"/>
      <c r="AG65" s="273" t="s">
        <v>512</v>
      </c>
      <c r="AH65" s="274" t="s">
        <v>682</v>
      </c>
      <c r="AI65" s="19"/>
      <c r="AJ65" s="273" t="s">
        <v>512</v>
      </c>
      <c r="AK65" s="274" t="s">
        <v>682</v>
      </c>
      <c r="AL65" s="17"/>
      <c r="AM65" s="275" t="s">
        <v>512</v>
      </c>
      <c r="AN65" s="740" t="s">
        <v>682</v>
      </c>
    </row>
    <row r="66" spans="1:40" ht="14.65" thickBot="1">
      <c r="A66" s="1286"/>
      <c r="J66" s="1287"/>
      <c r="K66" s="1301" t="e">
        <f>100%-I67/I69</f>
        <v>#DIV/0!</v>
      </c>
      <c r="L66" s="706">
        <f>IF(I71="Premium",AK98,IF(I71="Elite",AH97,IF(I71="Elecon",AN109,"Wrong")))</f>
        <v>48.8</v>
      </c>
      <c r="M66" s="883">
        <f>((L66/I67)-1)</f>
        <v>7.871431400843143E-2</v>
      </c>
      <c r="N66" s="884">
        <f>I67*1.1</f>
        <v>49.762944000000005</v>
      </c>
      <c r="P66" s="333"/>
      <c r="Q66" s="726"/>
      <c r="R66" s="726"/>
      <c r="S66" s="333"/>
      <c r="T66" s="531"/>
      <c r="AB66" s="17"/>
      <c r="AE66" s="17"/>
      <c r="AF66" s="17"/>
      <c r="AG66" s="1201">
        <v>0</v>
      </c>
      <c r="AH66" s="1302">
        <v>15</v>
      </c>
      <c r="AI66" s="19"/>
      <c r="AJ66" s="185">
        <v>0</v>
      </c>
      <c r="AK66" s="40">
        <v>5.6</v>
      </c>
      <c r="AL66" s="17"/>
      <c r="AM66" s="275">
        <v>0</v>
      </c>
      <c r="AN66" s="740">
        <v>6.3</v>
      </c>
    </row>
    <row r="67" spans="1:40" ht="14.65" thickBot="1">
      <c r="A67" s="1303"/>
      <c r="B67" s="1200" t="s">
        <v>1079</v>
      </c>
      <c r="C67" s="137" t="s">
        <v>1080</v>
      </c>
      <c r="D67" s="137"/>
      <c r="E67" s="137"/>
      <c r="F67" s="137"/>
      <c r="G67" s="137"/>
      <c r="H67" s="137"/>
      <c r="I67" s="342">
        <f>3.1416*I64*I63/I65/1000</f>
        <v>45.239040000000003</v>
      </c>
      <c r="J67" s="1287" t="s">
        <v>665</v>
      </c>
      <c r="K67" s="695"/>
      <c r="L67" s="1304" t="s">
        <v>650</v>
      </c>
      <c r="M67" s="717" t="s">
        <v>942</v>
      </c>
      <c r="N67" s="887">
        <f>LT_HP!J38</f>
        <v>0.99625045964507308</v>
      </c>
      <c r="P67" s="333"/>
      <c r="Q67" s="726"/>
      <c r="R67" s="726"/>
      <c r="S67" s="333"/>
      <c r="T67" s="531"/>
      <c r="AB67" s="17"/>
      <c r="AE67" s="17"/>
      <c r="AF67" s="17"/>
      <c r="AG67" s="1302">
        <v>15</v>
      </c>
      <c r="AH67" s="1302">
        <v>18.8</v>
      </c>
      <c r="AI67" s="19"/>
      <c r="AJ67" s="39">
        <v>5.6</v>
      </c>
      <c r="AK67" s="40">
        <v>6.2</v>
      </c>
      <c r="AL67" s="17"/>
      <c r="AM67" s="275">
        <v>6.3</v>
      </c>
      <c r="AN67" s="740">
        <v>7.1</v>
      </c>
    </row>
    <row r="68" spans="1:40" ht="14.65" thickBot="1">
      <c r="A68" s="1303"/>
      <c r="B68" s="137"/>
      <c r="C68" s="137" t="s">
        <v>638</v>
      </c>
      <c r="D68" s="137"/>
      <c r="E68" s="137"/>
      <c r="F68" s="137" t="s">
        <v>93</v>
      </c>
      <c r="G68" s="137"/>
      <c r="H68" s="137"/>
      <c r="I68" s="19">
        <f>LT_HP!I50</f>
        <v>2</v>
      </c>
      <c r="J68" s="1287" t="s">
        <v>665</v>
      </c>
      <c r="L68" s="1071">
        <f>LT_HP!I54</f>
        <v>1440</v>
      </c>
      <c r="M68" s="1305"/>
      <c r="P68" s="333"/>
      <c r="Q68" s="726"/>
      <c r="R68" s="726"/>
      <c r="S68" s="333"/>
      <c r="T68" s="531"/>
      <c r="AE68" s="17"/>
      <c r="AF68" s="17"/>
      <c r="AG68" s="1302">
        <v>18.8</v>
      </c>
      <c r="AH68" s="1302">
        <v>23.6</v>
      </c>
      <c r="AI68" s="19"/>
      <c r="AJ68" s="39">
        <v>6.2</v>
      </c>
      <c r="AK68" s="40">
        <v>6.86</v>
      </c>
      <c r="AL68" s="17"/>
      <c r="AM68" s="275">
        <v>7.1</v>
      </c>
      <c r="AN68" s="740">
        <v>8</v>
      </c>
    </row>
    <row r="69" spans="1:40">
      <c r="A69" s="1286"/>
      <c r="B69" s="137"/>
      <c r="C69" s="137" t="s">
        <v>655</v>
      </c>
      <c r="D69" s="137"/>
      <c r="E69" s="137"/>
      <c r="F69" s="1306"/>
      <c r="G69" s="137"/>
      <c r="H69" s="137"/>
      <c r="I69" s="1070"/>
      <c r="J69" s="1287"/>
      <c r="P69" s="333"/>
      <c r="Q69" s="726"/>
      <c r="R69" s="726"/>
      <c r="S69" s="333"/>
      <c r="T69" s="531"/>
      <c r="AE69" s="17"/>
      <c r="AF69" s="17"/>
      <c r="AG69" s="1302">
        <v>23.6</v>
      </c>
      <c r="AH69" s="1302">
        <v>24.5</v>
      </c>
      <c r="AI69" s="19"/>
      <c r="AJ69" s="39">
        <v>6.86</v>
      </c>
      <c r="AK69" s="40">
        <v>7.59</v>
      </c>
      <c r="AL69" s="17"/>
      <c r="AM69" s="275">
        <v>8</v>
      </c>
      <c r="AN69" s="740">
        <v>9</v>
      </c>
    </row>
    <row r="70" spans="1:40" ht="14.65" thickBot="1">
      <c r="A70" s="1286"/>
      <c r="B70" s="137"/>
      <c r="J70" s="1287"/>
      <c r="L70" s="1072">
        <f>U74</f>
        <v>0</v>
      </c>
      <c r="M70" s="1072" t="e">
        <f>V74</f>
        <v>#N/A</v>
      </c>
      <c r="N70" s="1072" t="e">
        <f t="shared" ref="N70" si="19">W74</f>
        <v>#N/A</v>
      </c>
      <c r="O70" s="1307" t="e">
        <f>X74</f>
        <v>#N/A</v>
      </c>
      <c r="P70" s="1307" t="e">
        <f>Z74</f>
        <v>#N/A</v>
      </c>
      <c r="R70" s="726"/>
      <c r="S70" s="333"/>
      <c r="T70" s="531"/>
      <c r="AE70" s="17"/>
      <c r="AF70" s="17"/>
      <c r="AG70" s="1302">
        <v>24.5</v>
      </c>
      <c r="AH70" s="1302">
        <v>29.3</v>
      </c>
      <c r="AI70" s="19"/>
      <c r="AJ70" s="39">
        <v>7.59</v>
      </c>
      <c r="AK70" s="40">
        <v>8.4</v>
      </c>
      <c r="AL70" s="17"/>
      <c r="AM70" s="275">
        <v>9</v>
      </c>
      <c r="AN70" s="740">
        <v>10</v>
      </c>
    </row>
    <row r="71" spans="1:40">
      <c r="A71" s="1286"/>
      <c r="B71" s="196"/>
      <c r="C71" s="137" t="s">
        <v>347</v>
      </c>
      <c r="D71" s="137"/>
      <c r="E71" s="137"/>
      <c r="F71" s="137"/>
      <c r="G71" s="137"/>
      <c r="H71" s="137"/>
      <c r="I71" s="722" t="str">
        <f>CT_wh!I72</f>
        <v>Elite</v>
      </c>
      <c r="J71" s="855" t="str">
        <f>CT_wh!J72</f>
        <v>Class II</v>
      </c>
      <c r="K71" s="310"/>
      <c r="L71" s="727" t="s">
        <v>2662</v>
      </c>
      <c r="M71" s="1075">
        <f>N67/0.746</f>
        <v>1.3354563802212776</v>
      </c>
      <c r="N71" s="729" t="s">
        <v>2784</v>
      </c>
      <c r="O71" s="982" t="s">
        <v>674</v>
      </c>
      <c r="P71" s="729" t="s">
        <v>675</v>
      </c>
      <c r="Q71" s="729" t="s">
        <v>275</v>
      </c>
      <c r="R71" s="1076"/>
      <c r="S71" s="333"/>
      <c r="T71" s="531"/>
      <c r="V71" s="19"/>
      <c r="Y71" s="19"/>
      <c r="Z71" s="19"/>
      <c r="AA71" s="20"/>
      <c r="AF71" s="17"/>
      <c r="AG71" s="1302">
        <v>29.3</v>
      </c>
      <c r="AH71" s="1302">
        <v>34.200000000000003</v>
      </c>
      <c r="AI71" s="19"/>
      <c r="AJ71" s="39">
        <v>8.4</v>
      </c>
      <c r="AK71" s="40">
        <v>9.3000000000000007</v>
      </c>
      <c r="AL71" s="17"/>
      <c r="AM71" s="275">
        <v>10</v>
      </c>
      <c r="AN71" s="740">
        <v>11.2</v>
      </c>
    </row>
    <row r="72" spans="1:40">
      <c r="A72" s="1286"/>
      <c r="B72" s="137"/>
      <c r="C72" s="137"/>
      <c r="D72" s="137"/>
      <c r="E72" s="137"/>
      <c r="F72" s="20" t="s">
        <v>943</v>
      </c>
      <c r="G72" s="20" t="s">
        <v>944</v>
      </c>
      <c r="H72" s="137"/>
      <c r="I72" s="83"/>
      <c r="J72" s="1287"/>
      <c r="L72" s="732" t="s">
        <v>656</v>
      </c>
      <c r="M72" s="1078">
        <f>N67*M76</f>
        <v>2.2913760571836681</v>
      </c>
      <c r="N72" s="983" t="s">
        <v>677</v>
      </c>
      <c r="O72" s="984">
        <v>46500</v>
      </c>
      <c r="P72" s="984">
        <v>15750</v>
      </c>
      <c r="Q72" s="735">
        <v>330</v>
      </c>
      <c r="R72" s="1079"/>
      <c r="S72" s="333"/>
      <c r="T72" s="531"/>
      <c r="V72" s="19"/>
      <c r="AF72" s="17"/>
      <c r="AG72" s="1302">
        <v>34.200000000000003</v>
      </c>
      <c r="AH72" s="1302">
        <v>38.799999999999997</v>
      </c>
      <c r="AI72" s="19"/>
      <c r="AJ72" s="39">
        <v>9.3000000000000007</v>
      </c>
      <c r="AK72" s="40">
        <v>10.3</v>
      </c>
      <c r="AL72" s="17"/>
      <c r="AM72" s="275">
        <v>11.2</v>
      </c>
      <c r="AN72" s="740">
        <v>12.5</v>
      </c>
    </row>
    <row r="73" spans="1:40" ht="14.65" thickBot="1">
      <c r="A73" s="36"/>
      <c r="B73" s="196"/>
      <c r="C73" s="193" t="str">
        <f>VLOOKUP(I71,F128:G130,2,0)</f>
        <v>Required HP</v>
      </c>
      <c r="D73" s="462"/>
      <c r="E73" s="137"/>
      <c r="F73" s="737">
        <f>+LT_HP!J38</f>
        <v>0.99625045964507308</v>
      </c>
      <c r="G73" s="737">
        <f>+L74</f>
        <v>1.3404825737265416</v>
      </c>
      <c r="H73" s="137"/>
      <c r="I73" s="737">
        <f>+F73*G73</f>
        <v>1.3354563802212776</v>
      </c>
      <c r="J73" s="1077" t="str">
        <f>VLOOKUP(I71,F127:I130,4,0)</f>
        <v>HP</v>
      </c>
      <c r="L73" s="743" t="s">
        <v>660</v>
      </c>
      <c r="M73" s="1080">
        <f>N67*M77</f>
        <v>2.4906261491126829</v>
      </c>
      <c r="N73" s="983" t="s">
        <v>678</v>
      </c>
      <c r="O73" s="984">
        <v>70660</v>
      </c>
      <c r="P73" s="984">
        <v>15750</v>
      </c>
      <c r="Q73" s="735">
        <v>450</v>
      </c>
      <c r="R73" s="1079"/>
      <c r="S73" s="333"/>
      <c r="T73" s="531"/>
      <c r="V73" s="17"/>
      <c r="AF73" s="17"/>
      <c r="AG73" s="1302">
        <v>38.799999999999997</v>
      </c>
      <c r="AH73" s="1302">
        <v>43.9</v>
      </c>
      <c r="AI73" s="19"/>
      <c r="AJ73" s="39">
        <v>10.3</v>
      </c>
      <c r="AK73" s="40">
        <v>11.4</v>
      </c>
      <c r="AL73" s="17"/>
      <c r="AM73" s="275">
        <v>12.5</v>
      </c>
      <c r="AN73" s="740">
        <v>14</v>
      </c>
    </row>
    <row r="74" spans="1:40" ht="14.65" thickBot="1">
      <c r="A74" s="36"/>
      <c r="B74" s="192"/>
      <c r="C74" s="193" t="str">
        <f>VLOOKUP(I71,F128:H130,3,0)</f>
        <v>Selected HP</v>
      </c>
      <c r="D74" s="462"/>
      <c r="E74" s="4031"/>
      <c r="F74" s="4031"/>
      <c r="G74" s="20"/>
      <c r="H74" s="51"/>
      <c r="I74" s="985"/>
      <c r="J74" s="551"/>
      <c r="K74" s="479" t="str">
        <f>IF(M79="Right",IF(M78="Right",IF(M83="Right",IF(K65="Right",IF(K61="Right","Right","GBC Motor RPM Wrong "),"GBC Ratio Wrong"),"GBC Price Wrong"),"GBC HP Wrong"),"GBC HP Wrong")</f>
        <v>GBC HP Wrong</v>
      </c>
      <c r="L74" s="492">
        <f>VLOOKUP(I71,L75:M77,2,0)</f>
        <v>1.3404825737265416</v>
      </c>
      <c r="M74" s="1081">
        <f>VLOOKUP(I71,L71:M73,2,0)</f>
        <v>1.3354563802212776</v>
      </c>
      <c r="N74" s="983" t="s">
        <v>680</v>
      </c>
      <c r="O74" s="984">
        <v>92292</v>
      </c>
      <c r="P74" s="984">
        <v>23100</v>
      </c>
      <c r="Q74" s="735">
        <v>550</v>
      </c>
      <c r="R74" s="1079"/>
      <c r="S74" s="333"/>
      <c r="U74" s="755">
        <f>I69</f>
        <v>0</v>
      </c>
      <c r="V74" s="756" t="e">
        <f>VLOOKUP(U74,U76:Z81,2,0)</f>
        <v>#N/A</v>
      </c>
      <c r="W74" s="756" t="e">
        <f>VLOOKUP(U74,U76:Z81,3,0)</f>
        <v>#N/A</v>
      </c>
      <c r="X74" s="756" t="e">
        <f>VLOOKUP(U74,U76:Z81,4,0)</f>
        <v>#N/A</v>
      </c>
      <c r="Y74" s="756" t="e">
        <f>VLOOKUP(U74,U76:Z81,5,0)</f>
        <v>#N/A</v>
      </c>
      <c r="Z74" s="756" t="e">
        <f>VLOOKUP(U74,U76:Z81,6,0)</f>
        <v>#N/A</v>
      </c>
      <c r="AF74" s="17"/>
      <c r="AG74" s="1302">
        <v>43.9</v>
      </c>
      <c r="AH74" s="1302">
        <v>48.8</v>
      </c>
      <c r="AI74" s="19"/>
      <c r="AJ74" s="39">
        <v>11.4</v>
      </c>
      <c r="AK74" s="40">
        <v>12.6</v>
      </c>
      <c r="AL74" s="17"/>
      <c r="AM74" s="740">
        <v>14</v>
      </c>
      <c r="AN74" s="740">
        <v>16</v>
      </c>
    </row>
    <row r="75" spans="1:40">
      <c r="A75" s="36"/>
      <c r="B75" s="192"/>
      <c r="C75" s="137" t="s">
        <v>670</v>
      </c>
      <c r="D75" s="137"/>
      <c r="E75" s="137"/>
      <c r="F75" s="137"/>
      <c r="G75" s="196"/>
      <c r="H75" s="192"/>
      <c r="I75" s="1082" t="str">
        <f>""</f>
        <v/>
      </c>
      <c r="J75" s="304"/>
      <c r="L75" s="727" t="s">
        <v>2662</v>
      </c>
      <c r="M75" s="889">
        <f>1/0.746</f>
        <v>1.3404825737265416</v>
      </c>
      <c r="N75" s="987" t="s">
        <v>681</v>
      </c>
      <c r="O75" s="984">
        <v>108150</v>
      </c>
      <c r="P75" s="984">
        <v>26250</v>
      </c>
      <c r="Q75" s="735">
        <v>700</v>
      </c>
      <c r="R75" s="1079"/>
      <c r="U75" s="197" t="s">
        <v>682</v>
      </c>
      <c r="V75" s="197" t="s">
        <v>2178</v>
      </c>
      <c r="W75" s="197" t="s">
        <v>2179</v>
      </c>
      <c r="X75" s="197" t="s">
        <v>2173</v>
      </c>
      <c r="Y75" s="197" t="s">
        <v>2785</v>
      </c>
      <c r="Z75" s="197" t="s">
        <v>2174</v>
      </c>
      <c r="AA75" s="758" t="str">
        <f>+U84</f>
        <v>Right</v>
      </c>
      <c r="AF75" s="17"/>
      <c r="AG75" s="1302">
        <v>48.8</v>
      </c>
      <c r="AH75" s="1302">
        <v>53.7</v>
      </c>
      <c r="AI75" s="19"/>
      <c r="AJ75" s="39">
        <v>12.6</v>
      </c>
      <c r="AK75" s="40">
        <v>14</v>
      </c>
      <c r="AL75" s="17"/>
      <c r="AM75" s="740">
        <v>16</v>
      </c>
      <c r="AN75" s="740">
        <v>18</v>
      </c>
    </row>
    <row r="76" spans="1:40">
      <c r="A76" s="36"/>
      <c r="B76" s="192"/>
      <c r="I76" s="986"/>
      <c r="J76" s="557"/>
      <c r="L76" s="732" t="s">
        <v>656</v>
      </c>
      <c r="M76" s="326">
        <v>2.2999999999999998</v>
      </c>
      <c r="N76" s="987" t="s">
        <v>683</v>
      </c>
      <c r="O76" s="984">
        <v>195532</v>
      </c>
      <c r="P76" s="984">
        <v>29400</v>
      </c>
      <c r="Q76" s="735">
        <v>1100</v>
      </c>
      <c r="R76" s="1079"/>
      <c r="T76" s="759" t="str">
        <f>MH!F304</f>
        <v xml:space="preserve">IS 3177 </v>
      </c>
      <c r="U76" s="760">
        <f>IF(T77="A",U90,IF(T77="B",U113))</f>
        <v>43.9</v>
      </c>
      <c r="V76" s="760">
        <f>IF(T77="A",V90,IF(T77="B",V113))</f>
        <v>10.79</v>
      </c>
      <c r="W76" s="760" t="str">
        <f>IF(T77="A",W90,IF(T77="B",W113))</f>
        <v>3AH400</v>
      </c>
      <c r="X76" s="760">
        <f>IF(T77="A",X90,IF(T77="B",X113))</f>
        <v>46500</v>
      </c>
      <c r="Y76" s="760">
        <f>IF(T77="A",Y90,IF(T77="B",Y113))</f>
        <v>0</v>
      </c>
      <c r="Z76" s="760">
        <f>IF(T77="A",Z90,IF(T77="B",Z113))</f>
        <v>330</v>
      </c>
      <c r="AA76" s="22" t="str">
        <f>IF(U74=I69,"Right","Wrong")</f>
        <v>Right</v>
      </c>
      <c r="AF76" s="17"/>
      <c r="AG76" s="1302">
        <v>53.7</v>
      </c>
      <c r="AH76" s="1302">
        <v>58.1</v>
      </c>
      <c r="AI76" s="19"/>
      <c r="AJ76" s="39">
        <v>14</v>
      </c>
      <c r="AK76" s="40">
        <v>15.4</v>
      </c>
      <c r="AL76" s="17"/>
      <c r="AM76" s="740">
        <v>18</v>
      </c>
      <c r="AN76" s="740">
        <v>20</v>
      </c>
    </row>
    <row r="77" spans="1:40" ht="14.65" thickBot="1">
      <c r="A77" s="36"/>
      <c r="B77" s="192"/>
      <c r="C77" s="4027" t="s">
        <v>945</v>
      </c>
      <c r="D77" s="4027"/>
      <c r="E77" s="4028"/>
      <c r="F77" s="4028"/>
      <c r="G77" s="20"/>
      <c r="H77" s="19"/>
      <c r="I77" s="1083">
        <f>+I78*250</f>
        <v>0</v>
      </c>
      <c r="J77" s="304"/>
      <c r="L77" s="743" t="s">
        <v>660</v>
      </c>
      <c r="M77" s="395">
        <v>2.5</v>
      </c>
      <c r="N77" s="987" t="s">
        <v>684</v>
      </c>
      <c r="O77" s="984">
        <v>203682</v>
      </c>
      <c r="P77" s="984">
        <v>33600</v>
      </c>
      <c r="Q77" s="735">
        <v>1400</v>
      </c>
      <c r="R77" s="1079"/>
      <c r="T77" s="279" t="str">
        <f>MH!F305</f>
        <v>A</v>
      </c>
      <c r="U77" s="760">
        <f>IF(T77="A",U97,IF(T77="B",U120))</f>
        <v>48.8</v>
      </c>
      <c r="V77" s="760">
        <f>IF(T77="A",V97,IF(T77="B",V120))</f>
        <v>9.8000000000000007</v>
      </c>
      <c r="W77" s="760" t="str">
        <f>IF(T77="A",W97,IF(T77="B",W120))</f>
        <v>3AH400</v>
      </c>
      <c r="X77" s="760">
        <f>IF(T77="A",X97,IF(T77="B",X120))</f>
        <v>46500</v>
      </c>
      <c r="Y77" s="760">
        <f>IF(T77="A",Y97,IF(T77="B",Y120))</f>
        <v>0</v>
      </c>
      <c r="Z77" s="760">
        <f>IF(T77="A",Z97,IF(T77="B",Z120))</f>
        <v>330</v>
      </c>
      <c r="AA77" s="22" t="e">
        <f>IF(V74=I74,"Right","Wrong")</f>
        <v>#N/A</v>
      </c>
      <c r="AF77" s="17"/>
      <c r="AG77" s="1302">
        <v>58.1</v>
      </c>
      <c r="AH77" s="1302">
        <v>63.4</v>
      </c>
      <c r="AI77" s="19"/>
      <c r="AJ77" s="39">
        <v>15.4</v>
      </c>
      <c r="AK77" s="40">
        <v>17.100000000000001</v>
      </c>
      <c r="AL77" s="17"/>
      <c r="AM77" s="740">
        <v>20</v>
      </c>
      <c r="AN77" s="740">
        <v>22.4</v>
      </c>
    </row>
    <row r="78" spans="1:40" ht="14.65" thickBot="1">
      <c r="A78" s="36"/>
      <c r="B78" s="192"/>
      <c r="C78" s="4027" t="s">
        <v>946</v>
      </c>
      <c r="D78" s="4027"/>
      <c r="E78" s="4028"/>
      <c r="F78" s="4028"/>
      <c r="G78" s="20"/>
      <c r="H78" s="20"/>
      <c r="I78" s="1083">
        <f>+VLOOKUP(I75,N71:Q162,4,0)</f>
        <v>0</v>
      </c>
      <c r="J78" s="304"/>
      <c r="K78" s="745" t="e">
        <f>IF(AA78="Right",IF(AA77="Right",IF(AA79="Right",IF(AA80="Right",IF(AA81="Right",IF(AA76="Right",IF(AA75="Right","Right","Auto GB Wrong"),"Ratio Wrong"),"WT Wrong"),"Coupling Wrong"),"GB Price Wrong"),"GB HP Wrong"),"GB Frame Wrong")</f>
        <v>#N/A</v>
      </c>
      <c r="M78" s="1308" t="str">
        <f>IF(LEFT(I73,5)=LEFT(M74,5),"Right","Wrong")</f>
        <v>Right</v>
      </c>
      <c r="N78" s="1202" t="s">
        <v>686</v>
      </c>
      <c r="O78" s="984">
        <v>321637</v>
      </c>
      <c r="P78" s="984">
        <v>36750</v>
      </c>
      <c r="Q78" s="735">
        <v>2200</v>
      </c>
      <c r="R78" s="1079"/>
      <c r="T78" s="761" t="s">
        <v>656</v>
      </c>
      <c r="U78" s="197">
        <f t="shared" ref="U78:Z79" si="20">U100</f>
        <v>42.5</v>
      </c>
      <c r="V78" s="145">
        <f t="shared" si="20"/>
        <v>8.89</v>
      </c>
      <c r="W78" s="145" t="str">
        <f t="shared" si="20"/>
        <v>PCD3 140</v>
      </c>
      <c r="X78" s="145">
        <f t="shared" si="20"/>
        <v>89700</v>
      </c>
      <c r="Y78" s="145">
        <f t="shared" si="20"/>
        <v>0</v>
      </c>
      <c r="Z78" s="145">
        <f t="shared" si="20"/>
        <v>299</v>
      </c>
      <c r="AA78" s="22" t="e">
        <f>IF(W74=I75,"Right","Wrong")</f>
        <v>#N/A</v>
      </c>
      <c r="AF78" s="17"/>
      <c r="AG78" s="1302">
        <v>63.4</v>
      </c>
      <c r="AH78" s="1302">
        <v>68.3</v>
      </c>
      <c r="AI78" s="19"/>
      <c r="AJ78" s="39">
        <v>17.100000000000001</v>
      </c>
      <c r="AK78" s="40">
        <v>18.899999999999999</v>
      </c>
      <c r="AL78" s="17"/>
      <c r="AM78" s="740">
        <v>22.4</v>
      </c>
      <c r="AN78" s="740">
        <v>25</v>
      </c>
    </row>
    <row r="79" spans="1:40" ht="14.65" thickBot="1">
      <c r="A79" s="738"/>
      <c r="B79" s="121"/>
      <c r="C79" s="121"/>
      <c r="D79" s="121"/>
      <c r="E79" s="121"/>
      <c r="F79" s="121"/>
      <c r="G79" s="121"/>
      <c r="H79" s="121"/>
      <c r="I79" s="121"/>
      <c r="J79" s="395"/>
      <c r="K79" s="746">
        <v>300</v>
      </c>
      <c r="L79" s="698"/>
      <c r="M79" s="1309" t="str">
        <f>IF(I73&lt;I74,"Right","Wrong")</f>
        <v>Wrong</v>
      </c>
      <c r="N79" s="1202" t="s">
        <v>687</v>
      </c>
      <c r="O79" s="984">
        <v>412631</v>
      </c>
      <c r="P79" s="984">
        <v>42000</v>
      </c>
      <c r="Q79" s="735">
        <v>2600</v>
      </c>
      <c r="R79" s="1079"/>
      <c r="T79" s="761" t="str">
        <f>+T78</f>
        <v>Premium</v>
      </c>
      <c r="U79" s="197">
        <f t="shared" si="20"/>
        <v>47.1</v>
      </c>
      <c r="V79" s="145">
        <f t="shared" si="20"/>
        <v>8.35</v>
      </c>
      <c r="W79" s="145" t="str">
        <f t="shared" si="20"/>
        <v>PCD3 140</v>
      </c>
      <c r="X79" s="145">
        <f t="shared" si="20"/>
        <v>89700</v>
      </c>
      <c r="Y79" s="145">
        <f t="shared" si="20"/>
        <v>0</v>
      </c>
      <c r="Z79" s="145">
        <f t="shared" si="20"/>
        <v>299</v>
      </c>
      <c r="AA79" s="22" t="e">
        <f>IF(X74=I77,"Right","Wrong")</f>
        <v>#N/A</v>
      </c>
      <c r="AF79" s="17"/>
      <c r="AG79" s="1302">
        <v>68.3</v>
      </c>
      <c r="AH79" s="1302">
        <v>73.7</v>
      </c>
      <c r="AI79" s="19"/>
      <c r="AJ79" s="185">
        <v>18.899999999999999</v>
      </c>
      <c r="AK79" s="40">
        <v>20.9</v>
      </c>
      <c r="AL79" s="17"/>
      <c r="AM79" s="740">
        <v>25</v>
      </c>
      <c r="AN79" s="740">
        <v>28</v>
      </c>
    </row>
    <row r="80" spans="1:40">
      <c r="N80" s="983" t="s">
        <v>690</v>
      </c>
      <c r="O80" s="984">
        <v>504000</v>
      </c>
      <c r="P80" s="984">
        <v>52500</v>
      </c>
      <c r="Q80" s="735">
        <v>3300</v>
      </c>
      <c r="R80" s="1079"/>
      <c r="T80" s="761" t="s">
        <v>660</v>
      </c>
      <c r="U80" s="197">
        <f t="shared" ref="U80:Z81" si="21">U104</f>
        <v>45</v>
      </c>
      <c r="V80" s="145">
        <f t="shared" si="21"/>
        <v>12</v>
      </c>
      <c r="W80" s="145" t="str">
        <f t="shared" si="21"/>
        <v>SCN 160</v>
      </c>
      <c r="X80" s="145">
        <f t="shared" si="21"/>
        <v>50400</v>
      </c>
      <c r="Y80" s="145">
        <f t="shared" si="21"/>
        <v>0</v>
      </c>
      <c r="Z80" s="145">
        <f t="shared" si="21"/>
        <v>168</v>
      </c>
      <c r="AA80" s="22" t="e">
        <f>IF(Y74=Y74,"Right","Wrong")</f>
        <v>#N/A</v>
      </c>
      <c r="AF80" s="17"/>
      <c r="AG80" s="1302">
        <v>73.7</v>
      </c>
      <c r="AH80" s="1302">
        <v>78.2</v>
      </c>
      <c r="AI80" s="19"/>
      <c r="AJ80" s="39">
        <v>20.9</v>
      </c>
      <c r="AK80" s="40">
        <v>23.2</v>
      </c>
      <c r="AL80" s="17"/>
      <c r="AM80" s="740">
        <v>28</v>
      </c>
      <c r="AN80" s="740">
        <v>31.5</v>
      </c>
    </row>
    <row r="81" spans="1:40">
      <c r="A81" s="20"/>
      <c r="B81" s="20"/>
      <c r="C81" s="20"/>
      <c r="D81" s="19"/>
      <c r="E81" s="20"/>
      <c r="F81" s="20"/>
      <c r="G81" s="20"/>
      <c r="H81" s="20"/>
      <c r="I81" s="391" t="str">
        <f>HYPERLINK("\\Manish-pc\e\03 General\Manish\Selection\Elite_Gear_Box.pdf","Elite GB")</f>
        <v>Elite GB</v>
      </c>
      <c r="J81" s="391" t="str">
        <f>HYPERLINK("\\Manish-pc\e\03 General\Manish\Selection\Premium_Gear_Box.pdf","Premium GB")</f>
        <v>Premium GB</v>
      </c>
      <c r="N81" s="983" t="s">
        <v>692</v>
      </c>
      <c r="O81" s="984">
        <v>693000</v>
      </c>
      <c r="P81" s="984">
        <v>57750</v>
      </c>
      <c r="Q81" s="735">
        <v>4250</v>
      </c>
      <c r="R81" s="1079"/>
      <c r="T81" s="761" t="str">
        <f>+T80</f>
        <v>Elecon</v>
      </c>
      <c r="U81" s="197">
        <f t="shared" si="21"/>
        <v>50</v>
      </c>
      <c r="V81" s="145">
        <f t="shared" si="21"/>
        <v>11</v>
      </c>
      <c r="W81" s="145" t="str">
        <f t="shared" si="21"/>
        <v>SCN 160</v>
      </c>
      <c r="X81" s="145">
        <f t="shared" si="21"/>
        <v>50400</v>
      </c>
      <c r="Y81" s="145">
        <f t="shared" si="21"/>
        <v>0</v>
      </c>
      <c r="Z81" s="145">
        <f t="shared" si="21"/>
        <v>168</v>
      </c>
      <c r="AA81" s="22" t="e">
        <f>IF(Z74=I78,"Right","Wrong")</f>
        <v>#N/A</v>
      </c>
      <c r="AF81" s="17"/>
      <c r="AG81" s="1302">
        <v>78.2</v>
      </c>
      <c r="AH81" s="1302">
        <v>83.3</v>
      </c>
      <c r="AI81" s="19"/>
      <c r="AJ81" s="39">
        <v>23.2</v>
      </c>
      <c r="AK81" s="40">
        <v>25.6</v>
      </c>
      <c r="AL81" s="17"/>
      <c r="AM81" s="740">
        <v>31.5</v>
      </c>
      <c r="AN81" s="740">
        <v>35.5</v>
      </c>
    </row>
    <row r="82" spans="1:40" ht="14.65" thickBot="1">
      <c r="A82" s="20"/>
      <c r="B82" s="20"/>
      <c r="C82" s="20"/>
      <c r="D82" s="19"/>
      <c r="E82" s="20"/>
      <c r="F82" s="20"/>
      <c r="G82" s="20"/>
      <c r="H82" s="17"/>
      <c r="I82" s="391" t="str">
        <f>HYPERLINK("\\Manish-pc\e\03 General\Manish\Selection\ELECON_ET-SERIES.pdf","Elecon GB")</f>
        <v>Elecon GB</v>
      </c>
      <c r="J82" s="391" t="str">
        <f>HYPERLINK("\\Manish-pc\e\03 General\Manish\Selection\Price_Sheet_2013.pdf","Price Sheet")</f>
        <v>Price Sheet</v>
      </c>
      <c r="N82" s="983" t="s">
        <v>694</v>
      </c>
      <c r="O82" s="984">
        <v>945000</v>
      </c>
      <c r="P82" s="984">
        <v>73500</v>
      </c>
      <c r="Q82" s="735">
        <v>4900</v>
      </c>
      <c r="R82" s="1079"/>
      <c r="T82" s="531"/>
      <c r="Y82" s="19"/>
      <c r="Z82" s="19"/>
      <c r="AA82" s="20"/>
      <c r="AF82" s="17"/>
      <c r="AG82" s="1302">
        <v>83.3</v>
      </c>
      <c r="AH82" s="1302">
        <v>88.2</v>
      </c>
      <c r="AI82" s="19"/>
      <c r="AJ82" s="39">
        <v>25.6</v>
      </c>
      <c r="AK82" s="40">
        <v>28.4</v>
      </c>
      <c r="AL82" s="17"/>
      <c r="AM82" s="740">
        <v>35.5</v>
      </c>
      <c r="AN82" s="740">
        <v>40</v>
      </c>
    </row>
    <row r="83" spans="1:40">
      <c r="A83" s="1089" t="s">
        <v>920</v>
      </c>
      <c r="B83" s="662" t="s">
        <v>947</v>
      </c>
      <c r="C83" s="662"/>
      <c r="D83" s="662"/>
      <c r="E83" s="662"/>
      <c r="F83" s="662"/>
      <c r="G83" s="1090"/>
      <c r="H83" s="1091"/>
      <c r="I83" s="199"/>
      <c r="M83" s="698" t="str">
        <f>IF(I71="Elite","Right",IF(I77=M85,"Right","Wrong"))</f>
        <v>Right</v>
      </c>
      <c r="N83" s="278" t="s">
        <v>2787</v>
      </c>
      <c r="O83" s="1092" t="s">
        <v>674</v>
      </c>
      <c r="P83" s="278"/>
      <c r="Q83" s="278" t="s">
        <v>695</v>
      </c>
      <c r="R83" s="1093"/>
      <c r="T83" s="531"/>
      <c r="Y83" s="19"/>
      <c r="Z83" s="19"/>
      <c r="AA83" s="20"/>
      <c r="AF83" s="17"/>
      <c r="AG83" s="1302">
        <v>88.2</v>
      </c>
      <c r="AH83" s="1302">
        <v>92.9</v>
      </c>
      <c r="AI83" s="19"/>
      <c r="AJ83" s="39">
        <v>28.4</v>
      </c>
      <c r="AK83" s="40">
        <v>31.4</v>
      </c>
      <c r="AL83" s="17"/>
      <c r="AM83" s="740">
        <v>40</v>
      </c>
      <c r="AN83" s="740">
        <v>45</v>
      </c>
    </row>
    <row r="84" spans="1:40">
      <c r="A84" s="670"/>
      <c r="B84" s="462" t="s">
        <v>948</v>
      </c>
      <c r="C84" s="914" t="s">
        <v>949</v>
      </c>
      <c r="D84" s="462"/>
      <c r="E84" s="462"/>
      <c r="F84" s="669"/>
      <c r="G84" s="462"/>
      <c r="I84" s="304"/>
      <c r="M84" s="118" t="s">
        <v>689</v>
      </c>
      <c r="N84" s="1094" t="s">
        <v>2270</v>
      </c>
      <c r="O84" s="1094">
        <v>24258</v>
      </c>
      <c r="P84" s="984">
        <v>15750</v>
      </c>
      <c r="Q84" s="991">
        <v>130</v>
      </c>
      <c r="R84" s="123"/>
      <c r="T84" s="277"/>
      <c r="U84" s="762" t="str">
        <f>W125</f>
        <v>Right</v>
      </c>
      <c r="V84" s="281"/>
      <c r="W84" s="281"/>
      <c r="X84" s="281"/>
      <c r="Y84" s="281"/>
      <c r="Z84" s="281"/>
      <c r="AA84" s="281"/>
      <c r="AF84" s="17"/>
      <c r="AG84" s="1302">
        <v>92.9</v>
      </c>
      <c r="AH84" s="1302">
        <v>97.1</v>
      </c>
      <c r="AI84" s="19"/>
      <c r="AJ84" s="39">
        <v>31.4</v>
      </c>
      <c r="AK84" s="40">
        <v>34.700000000000003</v>
      </c>
      <c r="AL84" s="17"/>
      <c r="AM84" s="740">
        <v>45</v>
      </c>
      <c r="AN84" s="740">
        <v>50</v>
      </c>
    </row>
    <row r="85" spans="1:40">
      <c r="A85" s="670"/>
      <c r="B85" s="462"/>
      <c r="C85" s="80" t="s">
        <v>950</v>
      </c>
      <c r="D85" s="80"/>
      <c r="E85" s="80"/>
      <c r="F85" s="669"/>
      <c r="G85" s="462"/>
      <c r="I85" s="304"/>
      <c r="M85" s="53" t="e">
        <f>IF(I71="Elite",VLOOKUP(N72:O82,2,0),K79*I78)</f>
        <v>#VALUE!</v>
      </c>
      <c r="N85" s="1094" t="s">
        <v>2271</v>
      </c>
      <c r="O85" s="1094">
        <v>33331</v>
      </c>
      <c r="P85" s="984">
        <v>15750</v>
      </c>
      <c r="Q85" s="991">
        <v>180</v>
      </c>
      <c r="R85" s="123"/>
      <c r="T85" s="277"/>
      <c r="U85" s="777" t="str">
        <f>'E CT_LT'!DY8</f>
        <v>Elite : 3177</v>
      </c>
      <c r="V85" s="778" t="str">
        <f>'E CT_LT'!DZ8</f>
        <v>Lower H.P.</v>
      </c>
      <c r="W85" s="779" t="str">
        <f>'E CT_LT'!EA8</f>
        <v>Lower Frame</v>
      </c>
      <c r="X85" s="779" t="str">
        <f>'E CT_LT'!EB8</f>
        <v>Pricr of Gear Box</v>
      </c>
      <c r="Y85" s="779" t="str">
        <f>'E CT_LT'!EC8</f>
        <v>Gear Coupling</v>
      </c>
      <c r="Z85" s="779" t="str">
        <f>'E CT_LT'!ED8</f>
        <v>Weight OF GB</v>
      </c>
      <c r="AA85" s="3" t="str">
        <f>'E CT_LT'!EE8</f>
        <v>Right</v>
      </c>
      <c r="AF85" s="17"/>
      <c r="AG85" s="1302">
        <v>97.1</v>
      </c>
      <c r="AH85" s="1302">
        <v>107.9</v>
      </c>
      <c r="AI85" s="19"/>
      <c r="AJ85" s="39">
        <v>34.700000000000003</v>
      </c>
      <c r="AK85" s="40">
        <v>38.4</v>
      </c>
      <c r="AL85" s="17"/>
      <c r="AM85" s="740">
        <v>50</v>
      </c>
      <c r="AN85" s="740">
        <v>56</v>
      </c>
    </row>
    <row r="86" spans="1:40">
      <c r="A86" s="670"/>
      <c r="B86" s="915"/>
      <c r="C86" s="145" t="s">
        <v>951</v>
      </c>
      <c r="D86" s="145">
        <f>I46</f>
        <v>190</v>
      </c>
      <c r="E86" s="80" t="s">
        <v>952</v>
      </c>
      <c r="F86" s="1101"/>
      <c r="G86" s="1102"/>
      <c r="I86" s="304"/>
      <c r="N86" s="1094" t="s">
        <v>2272</v>
      </c>
      <c r="O86" s="1094">
        <v>34650</v>
      </c>
      <c r="P86" s="984">
        <v>23100</v>
      </c>
      <c r="Q86" s="991">
        <v>200</v>
      </c>
      <c r="R86" s="123"/>
      <c r="T86" s="277"/>
      <c r="U86" s="283" t="str">
        <f>'E CT_LT'!DY9</f>
        <v>Class I</v>
      </c>
      <c r="V86" s="284">
        <f>'E CT_LT'!DZ9</f>
        <v>14.95</v>
      </c>
      <c r="W86" s="284" t="str">
        <f>'E CT_LT'!EA9</f>
        <v>3AH400</v>
      </c>
      <c r="X86" s="284">
        <f>'E CT_LT'!EB9</f>
        <v>46500</v>
      </c>
      <c r="Y86" s="284">
        <f>'E CT_LT'!EC9</f>
        <v>0</v>
      </c>
      <c r="Z86" s="284">
        <f>'E CT_LT'!ED9</f>
        <v>330</v>
      </c>
      <c r="AA86" s="281"/>
      <c r="AF86" s="17"/>
      <c r="AG86" s="1302">
        <v>107.9</v>
      </c>
      <c r="AH86" s="1302">
        <v>120.7</v>
      </c>
      <c r="AI86" s="19"/>
      <c r="AJ86" s="39">
        <v>38.4</v>
      </c>
      <c r="AK86" s="40">
        <v>42.5</v>
      </c>
      <c r="AL86" s="17"/>
      <c r="AM86" s="740">
        <v>56</v>
      </c>
      <c r="AN86" s="740">
        <v>63</v>
      </c>
    </row>
    <row r="87" spans="1:40">
      <c r="A87" s="670"/>
      <c r="B87" s="462"/>
      <c r="C87" s="20"/>
      <c r="D87" s="20"/>
      <c r="E87" s="20"/>
      <c r="F87" s="20"/>
      <c r="G87" s="17"/>
      <c r="I87" s="304"/>
      <c r="N87" s="1094" t="s">
        <v>2273</v>
      </c>
      <c r="O87" s="1094">
        <v>53550</v>
      </c>
      <c r="P87" s="984">
        <v>26250</v>
      </c>
      <c r="Q87" s="991">
        <v>218</v>
      </c>
      <c r="R87" s="123"/>
      <c r="T87" s="277"/>
      <c r="U87" s="283" t="str">
        <f>'E CT_LT'!DY10</f>
        <v>Class II</v>
      </c>
      <c r="V87" s="284">
        <f>'E CT_LT'!DZ10</f>
        <v>10.79</v>
      </c>
      <c r="W87" s="284" t="str">
        <f>'E CT_LT'!EA10</f>
        <v>3AH400</v>
      </c>
      <c r="X87" s="284">
        <f>'E CT_LT'!EB10</f>
        <v>46500</v>
      </c>
      <c r="Y87" s="284">
        <f>'E CT_LT'!EC10</f>
        <v>0</v>
      </c>
      <c r="Z87" s="284">
        <f>'E CT_LT'!ED10</f>
        <v>330</v>
      </c>
      <c r="AA87" s="281"/>
      <c r="AF87" s="17"/>
      <c r="AG87" s="1302">
        <v>120.7</v>
      </c>
      <c r="AH87" s="1302">
        <v>129.80000000000001</v>
      </c>
      <c r="AI87" s="19"/>
      <c r="AJ87" s="39">
        <v>42.5</v>
      </c>
      <c r="AK87" s="40">
        <v>47.1</v>
      </c>
      <c r="AL87" s="17"/>
      <c r="AM87" s="740">
        <v>63</v>
      </c>
      <c r="AN87" s="740">
        <v>71</v>
      </c>
    </row>
    <row r="88" spans="1:40">
      <c r="A88" s="670"/>
      <c r="B88" s="669"/>
      <c r="C88" s="53" t="s">
        <v>953</v>
      </c>
      <c r="D88" s="53">
        <f>D119</f>
        <v>1.29</v>
      </c>
      <c r="E88" s="80" t="s">
        <v>1081</v>
      </c>
      <c r="F88" s="1101"/>
      <c r="G88" s="1102"/>
      <c r="I88" s="1104">
        <f>'E Data'!D17</f>
        <v>100</v>
      </c>
      <c r="N88" s="1094" t="s">
        <v>2274</v>
      </c>
      <c r="O88" s="1094">
        <v>75600</v>
      </c>
      <c r="P88" s="984">
        <v>29400</v>
      </c>
      <c r="Q88" s="991">
        <v>310</v>
      </c>
      <c r="R88" s="123"/>
      <c r="T88" s="277"/>
      <c r="U88" s="283" t="str">
        <f>'E CT_LT'!DY11</f>
        <v>Class III</v>
      </c>
      <c r="V88" s="284">
        <f>'E CT_LT'!DZ11</f>
        <v>9.26</v>
      </c>
      <c r="W88" s="284" t="str">
        <f>'E CT_LT'!EA11</f>
        <v>3AH400</v>
      </c>
      <c r="X88" s="284">
        <f>'E CT_LT'!EB11</f>
        <v>46500</v>
      </c>
      <c r="Y88" s="284">
        <f>'E CT_LT'!EC11</f>
        <v>0</v>
      </c>
      <c r="Z88" s="284">
        <f>'E CT_LT'!ED11</f>
        <v>330</v>
      </c>
      <c r="AA88" s="281"/>
      <c r="AF88" s="17"/>
      <c r="AG88" s="1302">
        <v>129.80000000000001</v>
      </c>
      <c r="AH88" s="1302">
        <v>140.1</v>
      </c>
      <c r="AI88" s="19"/>
      <c r="AJ88" s="39">
        <v>47.1</v>
      </c>
      <c r="AK88" s="40">
        <v>52.1</v>
      </c>
      <c r="AL88" s="17"/>
      <c r="AM88" s="740">
        <v>71</v>
      </c>
      <c r="AN88" s="740">
        <v>80</v>
      </c>
    </row>
    <row r="89" spans="1:40">
      <c r="A89" s="670"/>
      <c r="B89" s="462"/>
      <c r="C89" s="53" t="s">
        <v>955</v>
      </c>
      <c r="D89" s="53">
        <f>G116</f>
        <v>1</v>
      </c>
      <c r="E89" s="80" t="s">
        <v>956</v>
      </c>
      <c r="F89" s="1101"/>
      <c r="G89" s="1102"/>
      <c r="I89" s="1104">
        <f>I20/2</f>
        <v>2</v>
      </c>
      <c r="N89" s="1094" t="s">
        <v>2275</v>
      </c>
      <c r="O89" s="1094">
        <v>85050</v>
      </c>
      <c r="P89" s="984">
        <v>33600</v>
      </c>
      <c r="Q89" s="991">
        <v>415</v>
      </c>
      <c r="R89" s="123"/>
      <c r="T89" s="277"/>
      <c r="U89" s="283" t="str">
        <f>'E CT_LT'!DY12</f>
        <v>Class IV</v>
      </c>
      <c r="V89" s="284">
        <f>'E CT_LT'!DZ12</f>
        <v>5.35</v>
      </c>
      <c r="W89" s="284" t="str">
        <f>'E CT_LT'!EA12</f>
        <v>3AH400</v>
      </c>
      <c r="X89" s="284">
        <f>'E CT_LT'!EB12</f>
        <v>46500</v>
      </c>
      <c r="Y89" s="284">
        <f>'E CT_LT'!EC12</f>
        <v>0</v>
      </c>
      <c r="Z89" s="284">
        <f>'E CT_LT'!ED12</f>
        <v>330</v>
      </c>
      <c r="AA89" s="281"/>
      <c r="AF89" s="17"/>
      <c r="AG89" s="1302">
        <v>140.1</v>
      </c>
      <c r="AH89" s="1302">
        <v>151.30000000000001</v>
      </c>
      <c r="AI89" s="19"/>
      <c r="AJ89" s="39">
        <v>52.1</v>
      </c>
      <c r="AK89" s="40">
        <v>57.7</v>
      </c>
      <c r="AL89" s="17"/>
      <c r="AM89" s="740">
        <v>80</v>
      </c>
      <c r="AN89" s="740">
        <v>90</v>
      </c>
    </row>
    <row r="90" spans="1:40">
      <c r="A90" s="1105" t="str">
        <f>IF(B92="R",IF(A92="R",IF(B91="R",IF(A91="R","Right"))))</f>
        <v>Right</v>
      </c>
      <c r="B90" s="669"/>
      <c r="C90" s="53" t="s">
        <v>957</v>
      </c>
      <c r="D90" s="53">
        <f>G98</f>
        <v>1.06</v>
      </c>
      <c r="E90" s="80" t="s">
        <v>958</v>
      </c>
      <c r="F90" s="1101"/>
      <c r="G90" s="20"/>
      <c r="I90" s="1104">
        <f>I53</f>
        <v>250</v>
      </c>
      <c r="N90" s="1094" t="s">
        <v>2276</v>
      </c>
      <c r="O90" s="1094">
        <v>130200</v>
      </c>
      <c r="P90" s="984">
        <v>36750</v>
      </c>
      <c r="Q90" s="991">
        <v>650</v>
      </c>
      <c r="R90" s="123"/>
      <c r="T90" s="9">
        <f>'E CT_LT'!DX13</f>
        <v>3.0502050113895285E-2</v>
      </c>
      <c r="U90" s="780">
        <f>'E CT_LT'!DY13</f>
        <v>43.9</v>
      </c>
      <c r="V90" s="780">
        <f>'E CT_LT'!DZ13</f>
        <v>10.79</v>
      </c>
      <c r="W90" s="780" t="str">
        <f>'E CT_LT'!EA13</f>
        <v>3AH400</v>
      </c>
      <c r="X90" s="780">
        <f>'E CT_LT'!EB13</f>
        <v>46500</v>
      </c>
      <c r="Y90" s="780">
        <f>'E CT_LT'!EC13</f>
        <v>0</v>
      </c>
      <c r="Z90" s="780">
        <f>'E CT_LT'!ED13</f>
        <v>330</v>
      </c>
      <c r="AA90" s="281"/>
      <c r="AF90" s="17"/>
      <c r="AG90" s="1302">
        <v>151.30000000000001</v>
      </c>
      <c r="AH90" s="1302">
        <v>162.68</v>
      </c>
      <c r="AI90" s="19"/>
      <c r="AJ90" s="39">
        <v>57.7</v>
      </c>
      <c r="AK90" s="40">
        <v>63.8</v>
      </c>
      <c r="AL90" s="17"/>
      <c r="AM90" s="740">
        <v>90</v>
      </c>
      <c r="AN90" s="740">
        <v>100</v>
      </c>
    </row>
    <row r="91" spans="1:40">
      <c r="A91" s="1106" t="str">
        <f>IF(D91&gt;C93,"R","Wr")</f>
        <v>R</v>
      </c>
      <c r="B91" s="53" t="str">
        <f>IF(B94&gt;F95,"R","Wr")</f>
        <v>R</v>
      </c>
      <c r="C91" s="53" t="s">
        <v>948</v>
      </c>
      <c r="D91" s="1310">
        <f>(1.3*(D86*D88)/(D89*D90))</f>
        <v>300.59433962264148</v>
      </c>
      <c r="E91" s="80"/>
      <c r="F91" s="669"/>
      <c r="G91" s="462"/>
      <c r="I91" s="304"/>
      <c r="J91" s="53"/>
      <c r="N91" s="1094" t="s">
        <v>2278</v>
      </c>
      <c r="O91" s="1094">
        <v>164052</v>
      </c>
      <c r="P91" s="984">
        <v>42000</v>
      </c>
      <c r="Q91" s="991">
        <v>750</v>
      </c>
      <c r="R91" s="123"/>
      <c r="T91" s="277"/>
      <c r="U91" s="277"/>
      <c r="V91" s="277"/>
      <c r="W91" s="277"/>
      <c r="X91" s="277"/>
      <c r="Y91" s="277"/>
      <c r="Z91" s="277"/>
      <c r="AA91" s="277"/>
      <c r="AF91" s="17"/>
      <c r="AG91" s="1302">
        <v>162.68</v>
      </c>
      <c r="AH91" s="1302">
        <v>165.9</v>
      </c>
      <c r="AI91" s="19"/>
      <c r="AJ91" s="39">
        <v>63.8</v>
      </c>
      <c r="AK91" s="40">
        <v>70.599999999999994</v>
      </c>
      <c r="AL91" s="17"/>
      <c r="AM91" s="740">
        <v>100</v>
      </c>
      <c r="AN91" s="740">
        <v>112</v>
      </c>
    </row>
    <row r="92" spans="1:40" ht="14.65" thickBot="1">
      <c r="A92" s="1106" t="str">
        <f>IF(D91&lt;B93,"R","W")</f>
        <v>R</v>
      </c>
      <c r="B92" s="53" t="str">
        <f>IF(C94&lt;F95,"R","W")</f>
        <v>R</v>
      </c>
      <c r="C92" s="1108"/>
      <c r="D92" s="118"/>
      <c r="E92" s="118"/>
      <c r="F92" s="20"/>
      <c r="G92" s="20"/>
      <c r="I92" s="304"/>
      <c r="M92" s="17"/>
      <c r="N92" s="1094" t="s">
        <v>677</v>
      </c>
      <c r="O92" s="1094">
        <v>46200</v>
      </c>
      <c r="P92" s="984">
        <v>52500</v>
      </c>
      <c r="Q92" s="983">
        <f>0.95*260</f>
        <v>247</v>
      </c>
      <c r="R92" s="123"/>
      <c r="T92" s="277"/>
      <c r="U92" s="777" t="str">
        <f>'E CT_LT'!DY15</f>
        <v>Elite : 3177</v>
      </c>
      <c r="V92" s="778" t="str">
        <f>'E CT_LT'!DZ15</f>
        <v>Upper H.P.</v>
      </c>
      <c r="W92" s="778" t="str">
        <f>'E CT_LT'!EA15</f>
        <v>Upper Frame</v>
      </c>
      <c r="X92" s="779" t="str">
        <f>'E CT_LT'!EB15</f>
        <v>Pricr of Gear Box</v>
      </c>
      <c r="Y92" s="779" t="str">
        <f>'E CT_LT'!EC15</f>
        <v>Gear Coupling</v>
      </c>
      <c r="Z92" s="779" t="str">
        <f>'E CT_LT'!ED15</f>
        <v>Weight OF GB</v>
      </c>
      <c r="AA92" s="2" t="str">
        <f>'E CT_LT'!EE15</f>
        <v>Right</v>
      </c>
      <c r="AF92" s="17"/>
      <c r="AG92" s="1302">
        <v>165.9</v>
      </c>
      <c r="AH92" s="1302">
        <v>177.81</v>
      </c>
      <c r="AI92" s="19"/>
      <c r="AJ92" s="39">
        <v>70.599999999999994</v>
      </c>
      <c r="AK92" s="40">
        <v>78.2</v>
      </c>
      <c r="AL92" s="17"/>
      <c r="AM92" s="740">
        <v>112</v>
      </c>
      <c r="AN92" s="740">
        <v>125</v>
      </c>
    </row>
    <row r="93" spans="1:40" ht="14.65" thickBot="1">
      <c r="A93" s="1109" t="s">
        <v>960</v>
      </c>
      <c r="B93" s="1110">
        <f>B99</f>
        <v>315</v>
      </c>
      <c r="C93" s="1111">
        <f>B98</f>
        <v>280</v>
      </c>
      <c r="E93" s="43" t="s">
        <v>160</v>
      </c>
      <c r="F93" s="80">
        <f>(B93-D91)/(B93-C93)</f>
        <v>0.41159029649595757</v>
      </c>
      <c r="G93" s="20"/>
      <c r="I93" s="304"/>
      <c r="M93" s="20"/>
      <c r="N93" s="1094" t="s">
        <v>2279</v>
      </c>
      <c r="O93" s="1094">
        <v>54075</v>
      </c>
      <c r="P93" s="984">
        <v>57750</v>
      </c>
      <c r="Q93" s="983">
        <f>0.95*300</f>
        <v>285</v>
      </c>
      <c r="R93" s="123"/>
      <c r="T93" s="8"/>
      <c r="U93" s="283" t="str">
        <f>'E CT_LT'!DY16</f>
        <v>Class I</v>
      </c>
      <c r="V93" s="285">
        <f>'E CT_LT'!DZ16</f>
        <v>13.66</v>
      </c>
      <c r="W93" s="285" t="str">
        <f>'E CT_LT'!EA16</f>
        <v>3AH400</v>
      </c>
      <c r="X93" s="285">
        <f>'E CT_LT'!EB16</f>
        <v>46500</v>
      </c>
      <c r="Y93" s="285">
        <f>'E CT_LT'!EC16</f>
        <v>0</v>
      </c>
      <c r="Z93" s="285">
        <f>'E CT_LT'!ED16</f>
        <v>330</v>
      </c>
      <c r="AA93" s="281"/>
      <c r="AF93" s="17"/>
      <c r="AG93" s="1302">
        <v>177.81</v>
      </c>
      <c r="AH93" s="1302">
        <v>190.4</v>
      </c>
      <c r="AI93" s="19"/>
      <c r="AJ93" s="39">
        <v>78.2</v>
      </c>
      <c r="AK93" s="40">
        <v>86.5</v>
      </c>
      <c r="AL93" s="17"/>
      <c r="AM93" s="740">
        <v>125</v>
      </c>
      <c r="AN93" s="740">
        <v>140</v>
      </c>
    </row>
    <row r="94" spans="1:40" ht="14.65" thickBot="1">
      <c r="A94" s="1036" t="s">
        <v>963</v>
      </c>
      <c r="B94" s="302">
        <f>C99</f>
        <v>8.65</v>
      </c>
      <c r="C94" s="19">
        <f>C98</f>
        <v>6.7</v>
      </c>
      <c r="E94" s="43" t="s">
        <v>160</v>
      </c>
      <c r="F94" s="703">
        <f>F93*(B94-C94)</f>
        <v>0.80260107816711734</v>
      </c>
      <c r="G94" s="20"/>
      <c r="I94" s="326"/>
      <c r="J94" s="53"/>
      <c r="N94" s="1094" t="s">
        <v>680</v>
      </c>
      <c r="O94" s="1094">
        <v>81900</v>
      </c>
      <c r="P94" s="984">
        <v>73500</v>
      </c>
      <c r="Q94" s="983">
        <f>0.95*420</f>
        <v>399</v>
      </c>
      <c r="R94" s="123"/>
      <c r="T94" s="277"/>
      <c r="U94" s="283" t="str">
        <f>'E CT_LT'!DY17</f>
        <v>Class II</v>
      </c>
      <c r="V94" s="284">
        <f>'E CT_LT'!DZ17</f>
        <v>9.8000000000000007</v>
      </c>
      <c r="W94" s="285" t="str">
        <f>'E CT_LT'!EA17</f>
        <v>3AH400</v>
      </c>
      <c r="X94" s="284">
        <f>'E CT_LT'!EB17</f>
        <v>46500</v>
      </c>
      <c r="Y94" s="284">
        <f>'E CT_LT'!EC17</f>
        <v>0</v>
      </c>
      <c r="Z94" s="284">
        <f>'E CT_LT'!ED17</f>
        <v>330</v>
      </c>
      <c r="AA94" s="281"/>
      <c r="AF94" s="17"/>
      <c r="AG94" s="1302">
        <v>190.4</v>
      </c>
      <c r="AH94" s="1302">
        <v>206.43</v>
      </c>
      <c r="AI94" s="19"/>
      <c r="AJ94" s="39">
        <v>86.5</v>
      </c>
      <c r="AK94" s="40">
        <v>95.7</v>
      </c>
      <c r="AL94" s="17"/>
      <c r="AM94" s="740">
        <v>140</v>
      </c>
      <c r="AN94" s="740">
        <v>160</v>
      </c>
    </row>
    <row r="95" spans="1:40" ht="14.65" thickBot="1">
      <c r="A95" s="394"/>
      <c r="B95" s="135"/>
      <c r="C95" s="135"/>
      <c r="D95" s="135"/>
      <c r="E95" s="1112" t="s">
        <v>964</v>
      </c>
      <c r="F95" s="992">
        <f>B94-F94</f>
        <v>7.847398921832883</v>
      </c>
      <c r="G95" s="135"/>
      <c r="H95" s="121"/>
      <c r="I95" s="395"/>
      <c r="J95" s="53"/>
      <c r="N95" s="1094" t="s">
        <v>2280</v>
      </c>
      <c r="O95" s="1094">
        <v>111300</v>
      </c>
      <c r="P95" s="1094">
        <f>+P94*1.05</f>
        <v>77175</v>
      </c>
      <c r="Q95" s="983">
        <f>0.95*625</f>
        <v>593.75</v>
      </c>
      <c r="R95" s="123"/>
      <c r="T95" s="286"/>
      <c r="U95" s="283" t="str">
        <f>'E CT_LT'!DY18</f>
        <v>Class III</v>
      </c>
      <c r="V95" s="284">
        <f>'E CT_LT'!DZ18</f>
        <v>8.58</v>
      </c>
      <c r="W95" s="285" t="str">
        <f>'E CT_LT'!EA18</f>
        <v>3AH400</v>
      </c>
      <c r="X95" s="284">
        <f>'E CT_LT'!EB18</f>
        <v>46500</v>
      </c>
      <c r="Y95" s="284">
        <f>'E CT_LT'!EC18</f>
        <v>0</v>
      </c>
      <c r="Z95" s="284">
        <f>'E CT_LT'!ED18</f>
        <v>330</v>
      </c>
      <c r="AA95" s="281"/>
      <c r="AF95" s="20"/>
      <c r="AG95" s="1302">
        <v>206.43</v>
      </c>
      <c r="AH95" s="1302">
        <v>223.8</v>
      </c>
      <c r="AI95" s="19"/>
      <c r="AJ95" s="39">
        <v>95.7</v>
      </c>
      <c r="AK95" s="40">
        <v>106</v>
      </c>
      <c r="AL95" s="17"/>
      <c r="AM95" s="740">
        <v>160</v>
      </c>
      <c r="AN95" s="740">
        <v>180</v>
      </c>
    </row>
    <row r="96" spans="1:40" ht="14.65" thickBot="1">
      <c r="A96" s="20"/>
      <c r="B96" s="20"/>
      <c r="C96" s="20"/>
      <c r="D96" s="20"/>
      <c r="F96" s="67"/>
      <c r="G96" s="20"/>
      <c r="H96" s="20"/>
      <c r="I96" s="17"/>
      <c r="J96" s="1113"/>
      <c r="N96" s="1092" t="str">
        <f>""</f>
        <v/>
      </c>
      <c r="O96" s="1114">
        <v>0</v>
      </c>
      <c r="P96" s="729">
        <v>0</v>
      </c>
      <c r="Q96" s="278">
        <v>0</v>
      </c>
      <c r="R96" s="993"/>
      <c r="T96" s="277"/>
      <c r="U96" s="283" t="str">
        <f>'E CT_LT'!DY19</f>
        <v>Class IV</v>
      </c>
      <c r="V96" s="284">
        <f>'E CT_LT'!DZ19</f>
        <v>5.25</v>
      </c>
      <c r="W96" s="285" t="str">
        <f>'E CT_LT'!EA19</f>
        <v>3AH400</v>
      </c>
      <c r="X96" s="284">
        <f>'E CT_LT'!EB19</f>
        <v>46500</v>
      </c>
      <c r="Y96" s="284">
        <f>'E CT_LT'!EC19</f>
        <v>0</v>
      </c>
      <c r="Z96" s="284">
        <f>'E CT_LT'!ED19</f>
        <v>330</v>
      </c>
      <c r="AA96" s="281"/>
      <c r="AF96" s="20"/>
      <c r="AG96" s="1311">
        <f>+AH95</f>
        <v>223.8</v>
      </c>
      <c r="AH96" s="1311">
        <f>+AH95</f>
        <v>223.8</v>
      </c>
      <c r="AI96" s="19"/>
      <c r="AJ96" s="39">
        <v>106</v>
      </c>
      <c r="AK96" s="40">
        <v>117</v>
      </c>
      <c r="AL96" s="17"/>
      <c r="AM96" s="740">
        <v>180</v>
      </c>
      <c r="AN96" s="740">
        <v>200</v>
      </c>
    </row>
    <row r="97" spans="1:40" ht="14.65" thickBo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N97" s="1092" t="s">
        <v>698</v>
      </c>
      <c r="O97" s="750">
        <f>K79</f>
        <v>300</v>
      </c>
      <c r="P97" s="729" t="s">
        <v>675</v>
      </c>
      <c r="Q97" s="278" t="s">
        <v>695</v>
      </c>
      <c r="R97" s="994"/>
      <c r="T97" s="11">
        <f>'E CT_LT'!DX20</f>
        <v>7.2970491803278525E-2</v>
      </c>
      <c r="U97" s="780">
        <f>'E CT_LT'!DY20</f>
        <v>48.8</v>
      </c>
      <c r="V97" s="780">
        <f>'E CT_LT'!DZ20</f>
        <v>9.8000000000000007</v>
      </c>
      <c r="W97" s="780" t="str">
        <f>'E CT_LT'!EA20</f>
        <v>3AH400</v>
      </c>
      <c r="X97" s="780">
        <f>'E CT_LT'!EB20</f>
        <v>46500</v>
      </c>
      <c r="Y97" s="780">
        <f>'E CT_LT'!EC20</f>
        <v>0</v>
      </c>
      <c r="Z97" s="780">
        <f>'E CT_LT'!ED20</f>
        <v>330</v>
      </c>
      <c r="AA97" s="281"/>
      <c r="AF97" s="20"/>
      <c r="AG97" s="769">
        <f>VLOOKUP(I67,AG66:AG96,1)</f>
        <v>43.9</v>
      </c>
      <c r="AH97" s="770">
        <f>VLOOKUP(AG97,AG66:AH96,2,0)</f>
        <v>48.8</v>
      </c>
      <c r="AI97" s="19"/>
      <c r="AJ97" s="767">
        <v>117</v>
      </c>
      <c r="AK97" s="768">
        <v>130</v>
      </c>
      <c r="AL97" s="17"/>
      <c r="AM97" s="740">
        <v>200</v>
      </c>
      <c r="AN97" s="740">
        <v>224</v>
      </c>
    </row>
    <row r="98" spans="1:40" ht="14.65" thickBot="1">
      <c r="A98" s="1115" t="s">
        <v>965</v>
      </c>
      <c r="B98" s="1116">
        <f>VLOOKUP(D91,A101:A114,1)</f>
        <v>280</v>
      </c>
      <c r="C98" s="1116">
        <f>VLOOKUP(B98,B101:D114,3,0)</f>
        <v>6.7</v>
      </c>
      <c r="D98" s="1117"/>
      <c r="E98" s="20"/>
      <c r="F98" s="1118">
        <f>I53</f>
        <v>250</v>
      </c>
      <c r="G98" s="1118">
        <f>VLOOKUP(F98,F100:G111,2,0)</f>
        <v>1.06</v>
      </c>
      <c r="H98" s="20"/>
      <c r="I98" s="996">
        <f>VLOOKUP(K99,I101:I111,1)</f>
        <v>10</v>
      </c>
      <c r="J98" s="1130">
        <f>VLOOKUP(I98,I101:J111,2,0)</f>
        <v>16</v>
      </c>
      <c r="K98" s="1131">
        <f>VLOOKUP(J99,J101:K111,2,0)</f>
        <v>1.05</v>
      </c>
      <c r="N98" s="983" t="s">
        <v>699</v>
      </c>
      <c r="O98" s="983">
        <f>Q98*O97</f>
        <v>89700</v>
      </c>
      <c r="P98" s="984">
        <v>23100</v>
      </c>
      <c r="Q98" s="275">
        <f>290+9</f>
        <v>299</v>
      </c>
      <c r="R98" s="1120"/>
      <c r="T98" s="277"/>
      <c r="U98" s="277"/>
      <c r="V98" s="277"/>
      <c r="W98" s="277"/>
      <c r="X98" s="277"/>
      <c r="Y98" s="277"/>
      <c r="Z98" s="277"/>
      <c r="AA98" s="277"/>
      <c r="AF98" s="20"/>
      <c r="AI98" s="19"/>
      <c r="AJ98" s="769">
        <f>VLOOKUP(I67,AJ66:AJ97,1)</f>
        <v>42.5</v>
      </c>
      <c r="AK98" s="770">
        <f>VLOOKUP(AJ98,AJ66:AK97,2,0)</f>
        <v>47.1</v>
      </c>
      <c r="AL98" s="17"/>
      <c r="AM98" s="740">
        <v>224</v>
      </c>
      <c r="AN98" s="740">
        <v>250</v>
      </c>
    </row>
    <row r="99" spans="1:40" ht="19.5" customHeight="1" thickBot="1">
      <c r="A99" s="1121" t="s">
        <v>966</v>
      </c>
      <c r="B99" s="104">
        <f>VLOOKUP(B98,A101:B114,2,0)</f>
        <v>315</v>
      </c>
      <c r="C99" s="104">
        <f>VLOOKUP(B99,B101:D114,3,0)</f>
        <v>8.65</v>
      </c>
      <c r="D99" s="509"/>
      <c r="E99" s="20"/>
      <c r="F99" s="1110" t="s">
        <v>305</v>
      </c>
      <c r="G99" s="492" t="s">
        <v>879</v>
      </c>
      <c r="H99" s="20"/>
      <c r="I99" s="997">
        <f>IFERROR(VLOOKUP(K99,I101:I111,1,0),0)</f>
        <v>0</v>
      </c>
      <c r="J99" s="267">
        <f>IF(I99&gt;0,I99,J98)</f>
        <v>16</v>
      </c>
      <c r="K99" s="998">
        <f>'E Data'!D20</f>
        <v>15</v>
      </c>
      <c r="N99" s="983" t="s">
        <v>700</v>
      </c>
      <c r="O99" s="983">
        <f>Q99*O97</f>
        <v>96900</v>
      </c>
      <c r="P99" s="984">
        <v>26250</v>
      </c>
      <c r="Q99" s="275">
        <f>310+13</f>
        <v>323</v>
      </c>
      <c r="R99" s="1120"/>
      <c r="T99" s="277"/>
      <c r="U99" s="777" t="str">
        <f>'E CT_LT'!DY22</f>
        <v xml:space="preserve">Premium Ratio  : </v>
      </c>
      <c r="V99" s="778" t="str">
        <f>'E CT_LT'!DZ22</f>
        <v xml:space="preserve"> H.P.</v>
      </c>
      <c r="W99" s="778" t="str">
        <f>'E CT_LT'!EA22</f>
        <v xml:space="preserve"> Frame</v>
      </c>
      <c r="X99" s="779" t="str">
        <f>'E CT_LT'!EB22</f>
        <v>Pricr of Gear Box</v>
      </c>
      <c r="Y99" s="778" t="str">
        <f>'E CT_LT'!EC22</f>
        <v>Gear Coupling (Acc. Elite &amp; Class)</v>
      </c>
      <c r="Z99" s="779" t="str">
        <f>'E CT_LT'!ED22</f>
        <v>Weight OF GB</v>
      </c>
      <c r="AA99" s="3" t="str">
        <f>'E CT_LT'!EE22</f>
        <v>Right</v>
      </c>
      <c r="AF99" s="20"/>
      <c r="AI99" s="19"/>
      <c r="AJ99" s="19"/>
      <c r="AK99" s="20"/>
      <c r="AL99" s="17"/>
      <c r="AM99" s="740">
        <v>250</v>
      </c>
      <c r="AN99" s="275">
        <v>280</v>
      </c>
    </row>
    <row r="100" spans="1:40" ht="14.65" thickBot="1">
      <c r="A100" s="1122" t="s">
        <v>118</v>
      </c>
      <c r="B100" s="1123" t="s">
        <v>969</v>
      </c>
      <c r="C100" s="1123" t="s">
        <v>970</v>
      </c>
      <c r="D100" s="1124" t="s">
        <v>971</v>
      </c>
      <c r="E100" s="20"/>
      <c r="F100" s="1042">
        <v>160</v>
      </c>
      <c r="G100" s="468">
        <v>1</v>
      </c>
      <c r="H100" s="20"/>
      <c r="I100" s="999" t="s">
        <v>118</v>
      </c>
      <c r="J100" s="1132" t="s">
        <v>968</v>
      </c>
      <c r="K100" s="1133" t="s">
        <v>2747</v>
      </c>
      <c r="N100" s="983" t="s">
        <v>701</v>
      </c>
      <c r="O100" s="983">
        <f>Q100*O97</f>
        <v>104100</v>
      </c>
      <c r="P100" s="984">
        <v>29400</v>
      </c>
      <c r="Q100" s="275">
        <f>330+17</f>
        <v>347</v>
      </c>
      <c r="R100" s="1120"/>
      <c r="T100" s="11">
        <f>'E CT_LT'!DX23</f>
        <v>6.4448000000000061E-2</v>
      </c>
      <c r="U100" s="763">
        <f>'E CT_LT'!DY23</f>
        <v>42.5</v>
      </c>
      <c r="V100" s="285">
        <f>'E CT_LT'!DZ23</f>
        <v>8.89</v>
      </c>
      <c r="W100" s="285" t="str">
        <f>'E CT_LT'!EA23</f>
        <v>PCD3 140</v>
      </c>
      <c r="X100" s="285">
        <f>'E CT_LT'!EB23</f>
        <v>89700</v>
      </c>
      <c r="Y100" s="285">
        <f>'E CT_LT'!EC23</f>
        <v>0</v>
      </c>
      <c r="Z100" s="285">
        <f>'E CT_LT'!ED23</f>
        <v>299</v>
      </c>
      <c r="AA100" s="281"/>
      <c r="AF100" s="17"/>
      <c r="AG100" s="17"/>
      <c r="AH100" s="17"/>
      <c r="AI100" s="17"/>
      <c r="AJ100" s="17"/>
      <c r="AK100" s="17"/>
      <c r="AL100" s="17"/>
      <c r="AM100" s="275">
        <v>280</v>
      </c>
      <c r="AN100" s="275">
        <v>315</v>
      </c>
    </row>
    <row r="101" spans="1:40">
      <c r="A101" s="1125">
        <v>0</v>
      </c>
      <c r="B101" s="95">
        <v>125</v>
      </c>
      <c r="C101" s="95">
        <v>415</v>
      </c>
      <c r="D101" s="96">
        <v>1</v>
      </c>
      <c r="F101" s="1042">
        <v>200</v>
      </c>
      <c r="G101" s="468">
        <v>1.03</v>
      </c>
      <c r="H101" s="20"/>
      <c r="I101" s="1126">
        <v>0</v>
      </c>
      <c r="J101" s="829">
        <v>10</v>
      </c>
      <c r="K101" s="1000">
        <v>1</v>
      </c>
      <c r="N101" s="983" t="s">
        <v>702</v>
      </c>
      <c r="O101" s="983">
        <f>Q101*O97</f>
        <v>120000</v>
      </c>
      <c r="P101" s="984">
        <v>33600</v>
      </c>
      <c r="Q101" s="275">
        <f>380+20</f>
        <v>400</v>
      </c>
      <c r="R101" s="1120"/>
      <c r="T101" s="11">
        <f>'E CT_LT'!DX24</f>
        <v>3.9510828025477673E-2</v>
      </c>
      <c r="U101" s="763">
        <f>'E CT_LT'!DY24</f>
        <v>47.1</v>
      </c>
      <c r="V101" s="285">
        <f>'E CT_LT'!DZ24</f>
        <v>8.35</v>
      </c>
      <c r="W101" s="285" t="str">
        <f>'E CT_LT'!EA24</f>
        <v>PCD3 140</v>
      </c>
      <c r="X101" s="285">
        <f>'E CT_LT'!EB24</f>
        <v>89700</v>
      </c>
      <c r="Y101" s="285">
        <f>'E CT_LT'!EC24</f>
        <v>0</v>
      </c>
      <c r="Z101" s="285">
        <f>'E CT_LT'!ED24</f>
        <v>299</v>
      </c>
      <c r="AA101" s="281"/>
      <c r="AF101" s="17"/>
      <c r="AG101" s="17"/>
      <c r="AH101" s="17"/>
      <c r="AI101" s="17"/>
      <c r="AJ101" s="17"/>
      <c r="AK101" s="17"/>
      <c r="AL101" s="17"/>
      <c r="AM101" s="275">
        <v>315</v>
      </c>
      <c r="AN101" s="275">
        <v>355</v>
      </c>
    </row>
    <row r="102" spans="1:40">
      <c r="A102" s="1126">
        <v>125</v>
      </c>
      <c r="B102" s="100">
        <v>140</v>
      </c>
      <c r="C102" s="100">
        <v>470</v>
      </c>
      <c r="D102" s="101">
        <v>1.4</v>
      </c>
      <c r="F102" s="1042">
        <v>250</v>
      </c>
      <c r="G102" s="468">
        <v>1.06</v>
      </c>
      <c r="H102" s="20"/>
      <c r="I102" s="1126">
        <v>10</v>
      </c>
      <c r="J102" s="1135">
        <v>16</v>
      </c>
      <c r="K102" s="1001">
        <v>1.05</v>
      </c>
      <c r="N102" s="983" t="s">
        <v>703</v>
      </c>
      <c r="O102" s="983">
        <f>Q102*O97</f>
        <v>155100</v>
      </c>
      <c r="P102" s="984">
        <v>36750</v>
      </c>
      <c r="Q102" s="275">
        <f>490+27</f>
        <v>517</v>
      </c>
      <c r="R102" s="1120"/>
      <c r="T102" s="1"/>
      <c r="U102" s="281"/>
      <c r="V102" s="281"/>
      <c r="W102" s="281"/>
      <c r="X102" s="281"/>
      <c r="Y102" s="281"/>
      <c r="Z102" s="281"/>
      <c r="AA102" s="281"/>
      <c r="AF102" s="17"/>
      <c r="AG102" s="17"/>
      <c r="AH102" s="17"/>
      <c r="AI102" s="17"/>
      <c r="AJ102" s="17"/>
      <c r="AK102" s="17"/>
      <c r="AL102" s="17"/>
      <c r="AM102" s="275">
        <v>355</v>
      </c>
      <c r="AN102" s="275">
        <v>400</v>
      </c>
    </row>
    <row r="103" spans="1:40" ht="19.5" customHeight="1">
      <c r="A103" s="1126">
        <v>140</v>
      </c>
      <c r="B103" s="100">
        <v>160</v>
      </c>
      <c r="C103" s="100">
        <v>540</v>
      </c>
      <c r="D103" s="101">
        <v>1.9</v>
      </c>
      <c r="F103" s="1042">
        <v>320</v>
      </c>
      <c r="G103" s="468">
        <v>1.0900000000000001</v>
      </c>
      <c r="H103" s="20"/>
      <c r="I103" s="1126">
        <v>16</v>
      </c>
      <c r="J103" s="416">
        <v>20</v>
      </c>
      <c r="K103" s="1001">
        <v>1.08</v>
      </c>
      <c r="N103" s="983" t="s">
        <v>704</v>
      </c>
      <c r="O103" s="983">
        <f>Q103*O97</f>
        <v>199500</v>
      </c>
      <c r="P103" s="984">
        <v>42000</v>
      </c>
      <c r="Q103" s="275">
        <f>630+35</f>
        <v>665</v>
      </c>
      <c r="R103" s="1120"/>
      <c r="T103" s="1"/>
      <c r="U103" s="777" t="str">
        <f>'E CT_LT'!DY26</f>
        <v xml:space="preserve">Elecon Ratio  : </v>
      </c>
      <c r="V103" s="778" t="str">
        <f>'E CT_LT'!DZ26</f>
        <v xml:space="preserve"> H.P.</v>
      </c>
      <c r="W103" s="778" t="str">
        <f>'E CT_LT'!EA26</f>
        <v xml:space="preserve"> Frame</v>
      </c>
      <c r="X103" s="779" t="str">
        <f>'E CT_LT'!EB26</f>
        <v>Pricr of Gear Box</v>
      </c>
      <c r="Y103" s="778" t="str">
        <f>'E CT_LT'!EC26</f>
        <v>Gear Coupling (Acc. Elite &amp; Class)</v>
      </c>
      <c r="Z103" s="779" t="str">
        <f>'E CT_LT'!ED26</f>
        <v>Weight OF GB</v>
      </c>
      <c r="AA103" s="3" t="str">
        <f>'E CT_LT'!EE26</f>
        <v>Right</v>
      </c>
      <c r="AE103" s="17"/>
      <c r="AF103" s="17"/>
      <c r="AG103" s="17"/>
      <c r="AH103" s="17"/>
      <c r="AI103" s="17"/>
      <c r="AJ103" s="17"/>
      <c r="AK103" s="17"/>
      <c r="AL103" s="17"/>
      <c r="AM103" s="275">
        <v>400</v>
      </c>
      <c r="AN103" s="275">
        <v>450</v>
      </c>
    </row>
    <row r="104" spans="1:40">
      <c r="A104" s="1126">
        <v>160</v>
      </c>
      <c r="B104" s="100">
        <v>180</v>
      </c>
      <c r="C104" s="100">
        <v>605</v>
      </c>
      <c r="D104" s="101">
        <v>2.5</v>
      </c>
      <c r="F104" s="1042">
        <v>400</v>
      </c>
      <c r="G104" s="468">
        <v>1.1200000000000001</v>
      </c>
      <c r="H104" s="20"/>
      <c r="I104" s="1126">
        <v>20</v>
      </c>
      <c r="J104" s="416">
        <v>25</v>
      </c>
      <c r="K104" s="1001">
        <v>1.1100000000000001</v>
      </c>
      <c r="N104" s="983" t="s">
        <v>705</v>
      </c>
      <c r="O104" s="983">
        <f>Q104*O97</f>
        <v>270000</v>
      </c>
      <c r="P104" s="984">
        <v>52500</v>
      </c>
      <c r="Q104" s="275">
        <f>850+50</f>
        <v>900</v>
      </c>
      <c r="R104" s="1120"/>
      <c r="T104" s="11">
        <f>'E CT_LT'!DX27</f>
        <v>5.3119999999999834E-3</v>
      </c>
      <c r="U104" s="763">
        <f>'E CT_LT'!DY27</f>
        <v>45</v>
      </c>
      <c r="V104" s="285">
        <f>'E CT_LT'!DZ27</f>
        <v>12</v>
      </c>
      <c r="W104" s="285" t="str">
        <f>'E CT_LT'!EA27</f>
        <v>SCN 160</v>
      </c>
      <c r="X104" s="285">
        <f>'E CT_LT'!EB27</f>
        <v>50400</v>
      </c>
      <c r="Y104" s="285">
        <f>'E CT_LT'!EC27</f>
        <v>0</v>
      </c>
      <c r="Z104" s="285">
        <f>'E CT_LT'!ED27</f>
        <v>168</v>
      </c>
      <c r="AA104" s="281"/>
      <c r="AB104" s="17"/>
      <c r="AE104" s="17"/>
      <c r="AF104" s="17"/>
      <c r="AG104" s="17"/>
      <c r="AH104" s="17"/>
      <c r="AI104" s="17"/>
      <c r="AJ104" s="17"/>
      <c r="AK104" s="17"/>
      <c r="AL104" s="17"/>
      <c r="AM104" s="275">
        <v>450</v>
      </c>
      <c r="AN104" s="275">
        <v>500</v>
      </c>
    </row>
    <row r="105" spans="1:40">
      <c r="A105" s="1126">
        <v>180</v>
      </c>
      <c r="B105" s="100">
        <v>200</v>
      </c>
      <c r="C105" s="100">
        <v>680</v>
      </c>
      <c r="D105" s="101">
        <v>3.15</v>
      </c>
      <c r="F105" s="1042">
        <v>500</v>
      </c>
      <c r="G105" s="468">
        <v>1.1499999999999999</v>
      </c>
      <c r="H105" s="20"/>
      <c r="I105" s="1126">
        <v>25</v>
      </c>
      <c r="J105" s="416">
        <v>31.5</v>
      </c>
      <c r="K105" s="1001">
        <v>1.1399999999999999</v>
      </c>
      <c r="N105" s="983" t="s">
        <v>708</v>
      </c>
      <c r="O105" s="983">
        <f>Q105*O97</f>
        <v>366000</v>
      </c>
      <c r="P105" s="984">
        <v>57750</v>
      </c>
      <c r="Q105" s="275">
        <f>1150+70</f>
        <v>1220</v>
      </c>
      <c r="R105" s="1120"/>
      <c r="T105" s="11">
        <f>'E CT_LT'!DX28</f>
        <v>9.5219199999999948E-2</v>
      </c>
      <c r="U105" s="763">
        <f>'E CT_LT'!DY28</f>
        <v>50</v>
      </c>
      <c r="V105" s="285">
        <f>'E CT_LT'!DZ28</f>
        <v>11</v>
      </c>
      <c r="W105" s="285" t="str">
        <f>'E CT_LT'!EA28</f>
        <v>SCN 160</v>
      </c>
      <c r="X105" s="285">
        <f>'E CT_LT'!EB28</f>
        <v>50400</v>
      </c>
      <c r="Y105" s="285">
        <f>'E CT_LT'!EC28</f>
        <v>0</v>
      </c>
      <c r="Z105" s="285">
        <f>'E CT_LT'!ED28</f>
        <v>168</v>
      </c>
      <c r="AA105" s="281"/>
      <c r="AB105" s="17"/>
      <c r="AE105" s="17"/>
      <c r="AF105" s="17"/>
      <c r="AG105" s="17"/>
      <c r="AH105" s="17"/>
      <c r="AI105" s="17"/>
      <c r="AJ105" s="17"/>
      <c r="AK105" s="17"/>
      <c r="AL105" s="17"/>
      <c r="AM105" s="275">
        <v>500</v>
      </c>
      <c r="AN105" s="275">
        <v>560</v>
      </c>
    </row>
    <row r="106" spans="1:40">
      <c r="A106" s="1126">
        <v>200</v>
      </c>
      <c r="B106" s="100">
        <v>224</v>
      </c>
      <c r="C106" s="100">
        <v>760</v>
      </c>
      <c r="D106" s="101">
        <v>4.05</v>
      </c>
      <c r="F106" s="1042">
        <v>630</v>
      </c>
      <c r="G106" s="468">
        <v>1.18</v>
      </c>
      <c r="H106" s="20"/>
      <c r="I106" s="1126">
        <v>31.5</v>
      </c>
      <c r="J106" s="228">
        <v>40</v>
      </c>
      <c r="K106" s="1001">
        <v>1.17</v>
      </c>
      <c r="N106" s="983" t="s">
        <v>709</v>
      </c>
      <c r="O106" s="983">
        <f>Q106*O97</f>
        <v>487500</v>
      </c>
      <c r="P106" s="984">
        <v>73500</v>
      </c>
      <c r="Q106" s="275">
        <f>1525+100</f>
        <v>1625</v>
      </c>
      <c r="R106" s="1120"/>
      <c r="T106" s="277"/>
      <c r="U106" s="277"/>
      <c r="V106" s="277"/>
      <c r="W106" s="277"/>
      <c r="X106" s="277"/>
      <c r="Y106" s="277"/>
      <c r="Z106" s="277"/>
      <c r="AA106" s="277"/>
      <c r="AB106" s="17"/>
      <c r="AE106" s="17"/>
      <c r="AF106" s="17"/>
      <c r="AG106" s="17"/>
      <c r="AH106" s="17"/>
      <c r="AI106" s="17"/>
      <c r="AJ106" s="17"/>
      <c r="AK106" s="17"/>
      <c r="AL106" s="17"/>
      <c r="AM106" s="275">
        <v>560</v>
      </c>
      <c r="AN106" s="275">
        <v>630</v>
      </c>
    </row>
    <row r="107" spans="1:40">
      <c r="A107" s="1126">
        <v>224</v>
      </c>
      <c r="B107" s="100">
        <v>250</v>
      </c>
      <c r="C107" s="100">
        <v>845</v>
      </c>
      <c r="D107" s="101">
        <v>5.3</v>
      </c>
      <c r="F107" s="1042">
        <v>710</v>
      </c>
      <c r="G107" s="468">
        <v>1.21</v>
      </c>
      <c r="H107" s="20"/>
      <c r="I107" s="1126">
        <v>40</v>
      </c>
      <c r="J107" s="228">
        <v>50</v>
      </c>
      <c r="K107" s="1001">
        <v>1.2</v>
      </c>
      <c r="N107" s="983" t="s">
        <v>710</v>
      </c>
      <c r="O107" s="983">
        <f>Q107*O97</f>
        <v>666000</v>
      </c>
      <c r="P107" s="984">
        <f>+P106*1.05</f>
        <v>77175</v>
      </c>
      <c r="Q107" s="275">
        <f>2080+140</f>
        <v>2220</v>
      </c>
      <c r="R107" s="1120"/>
      <c r="T107" s="277"/>
      <c r="U107" s="762"/>
      <c r="V107" s="281"/>
      <c r="W107" s="281"/>
      <c r="X107" s="281"/>
      <c r="Y107" s="281"/>
      <c r="Z107" s="281"/>
      <c r="AA107" s="281"/>
      <c r="AB107" s="17"/>
      <c r="AE107" s="17"/>
      <c r="AF107" s="17"/>
      <c r="AG107" s="17"/>
      <c r="AH107" s="17"/>
      <c r="AI107" s="17"/>
      <c r="AJ107" s="17"/>
      <c r="AK107" s="17"/>
      <c r="AL107" s="17"/>
      <c r="AM107" s="275">
        <v>630</v>
      </c>
      <c r="AN107" s="740">
        <v>630</v>
      </c>
    </row>
    <row r="108" spans="1:40" ht="14.65" thickBot="1">
      <c r="A108" s="1126">
        <v>250</v>
      </c>
      <c r="B108" s="100">
        <v>280</v>
      </c>
      <c r="C108" s="100">
        <v>950</v>
      </c>
      <c r="D108" s="101">
        <v>6.7</v>
      </c>
      <c r="F108" s="1042">
        <v>800</v>
      </c>
      <c r="G108" s="468">
        <v>1.21</v>
      </c>
      <c r="H108" s="20"/>
      <c r="I108" s="1126">
        <v>50</v>
      </c>
      <c r="J108" s="228">
        <v>63</v>
      </c>
      <c r="K108" s="1001">
        <v>1.23</v>
      </c>
      <c r="N108" s="983" t="s">
        <v>711</v>
      </c>
      <c r="O108" s="983">
        <f>Q108*O97</f>
        <v>913500</v>
      </c>
      <c r="P108" s="984">
        <f>+P107*1.05</f>
        <v>81033.75</v>
      </c>
      <c r="Q108" s="275">
        <f>2840+205</f>
        <v>3045</v>
      </c>
      <c r="R108" s="1120"/>
      <c r="T108" s="277"/>
      <c r="U108" s="777" t="str">
        <f>'E CT_LT'!DY31</f>
        <v>Elite : 4137</v>
      </c>
      <c r="V108" s="778" t="str">
        <f>'E CT_LT'!DZ31</f>
        <v>Lower H.P.</v>
      </c>
      <c r="W108" s="779" t="str">
        <f>'E CT_LT'!EA31</f>
        <v>Lower Frame</v>
      </c>
      <c r="X108" s="779" t="str">
        <f>'E CT_LT'!EB31</f>
        <v>Pricr of Gear Box</v>
      </c>
      <c r="Y108" s="779" t="str">
        <f>'E CT_LT'!EC31</f>
        <v>Gear Coupling</v>
      </c>
      <c r="Z108" s="779" t="str">
        <f>'E CT_LT'!ED31</f>
        <v>Weight OF GB</v>
      </c>
      <c r="AA108" s="3" t="str">
        <f>'E CT_LT'!EE31</f>
        <v>Right</v>
      </c>
      <c r="AB108" s="17"/>
      <c r="AE108" s="17"/>
      <c r="AF108" s="17"/>
      <c r="AG108" s="17"/>
      <c r="AH108" s="17"/>
      <c r="AI108" s="17"/>
      <c r="AJ108" s="17"/>
      <c r="AK108" s="17"/>
      <c r="AL108" s="17"/>
      <c r="AM108" s="773"/>
      <c r="AN108" s="282"/>
    </row>
    <row r="109" spans="1:40" ht="14.65" thickBot="1">
      <c r="A109" s="1126">
        <v>280</v>
      </c>
      <c r="B109" s="100">
        <v>315</v>
      </c>
      <c r="C109" s="100">
        <v>1065</v>
      </c>
      <c r="D109" s="101">
        <v>8.65</v>
      </c>
      <c r="F109" s="1042">
        <v>900</v>
      </c>
      <c r="G109" s="468">
        <v>1.24</v>
      </c>
      <c r="H109" s="20"/>
      <c r="I109" s="1126">
        <v>63</v>
      </c>
      <c r="J109" s="228">
        <v>80</v>
      </c>
      <c r="K109" s="1001">
        <v>1.26</v>
      </c>
      <c r="N109" s="983" t="s">
        <v>712</v>
      </c>
      <c r="O109" s="983">
        <f>Q109*O97</f>
        <v>1258500</v>
      </c>
      <c r="P109" s="984">
        <f>+P108*1.05</f>
        <v>85085.4375</v>
      </c>
      <c r="Q109" s="275">
        <f>3780+415</f>
        <v>4195</v>
      </c>
      <c r="R109" s="1120"/>
      <c r="T109" s="277"/>
      <c r="U109" s="283" t="str">
        <f>'E CT_LT'!DY32</f>
        <v>Class I</v>
      </c>
      <c r="V109" s="284">
        <f>'E CT_LT'!DZ32</f>
        <v>0</v>
      </c>
      <c r="W109" s="284" t="str">
        <f>'E CT_LT'!EA32</f>
        <v>3AH475</v>
      </c>
      <c r="X109" s="284">
        <f>'E CT_LT'!EB32</f>
        <v>70660</v>
      </c>
      <c r="Y109" s="284">
        <f>'E CT_LT'!EC32</f>
        <v>0</v>
      </c>
      <c r="Z109" s="284">
        <f>'E CT_LT'!ED32</f>
        <v>450</v>
      </c>
      <c r="AA109" s="281"/>
      <c r="AB109" s="17"/>
      <c r="AE109" s="17"/>
      <c r="AF109" s="17"/>
      <c r="AG109" s="17"/>
      <c r="AH109" s="17"/>
      <c r="AI109" s="17"/>
      <c r="AJ109" s="17"/>
      <c r="AK109" s="17"/>
      <c r="AL109" s="17"/>
      <c r="AM109" s="769">
        <f>VLOOKUP(I67,AM65:AM107,1)</f>
        <v>45</v>
      </c>
      <c r="AN109" s="770">
        <f>VLOOKUP(AM109,AM65:AN107,2,0)</f>
        <v>50</v>
      </c>
    </row>
    <row r="110" spans="1:40">
      <c r="A110" s="1126">
        <v>315</v>
      </c>
      <c r="B110" s="100">
        <v>355</v>
      </c>
      <c r="C110" s="100">
        <v>1200</v>
      </c>
      <c r="D110" s="101">
        <v>11.2</v>
      </c>
      <c r="F110" s="1042">
        <v>1000</v>
      </c>
      <c r="G110" s="468">
        <v>1.24</v>
      </c>
      <c r="H110" s="20"/>
      <c r="I110" s="1126">
        <v>80</v>
      </c>
      <c r="J110" s="230">
        <v>100</v>
      </c>
      <c r="K110" s="1002">
        <v>1.29</v>
      </c>
      <c r="N110" s="280" t="s">
        <v>713</v>
      </c>
      <c r="O110" s="983">
        <f>Q110*O97</f>
        <v>1695000</v>
      </c>
      <c r="P110" s="995">
        <f>+P109*10.5</f>
        <v>893397.09375</v>
      </c>
      <c r="Q110" s="280">
        <f>5100+550</f>
        <v>5650</v>
      </c>
      <c r="R110" s="277"/>
      <c r="T110" s="277"/>
      <c r="U110" s="283" t="str">
        <f>'E CT_LT'!DY33</f>
        <v>Class II</v>
      </c>
      <c r="V110" s="284">
        <f>'E CT_LT'!DZ33</f>
        <v>9.8800000000000008</v>
      </c>
      <c r="W110" s="284" t="str">
        <f>'E CT_LT'!EA33</f>
        <v>3AH475</v>
      </c>
      <c r="X110" s="284">
        <f>'E CT_LT'!EB33</f>
        <v>70660</v>
      </c>
      <c r="Y110" s="284">
        <f>'E CT_LT'!EC33</f>
        <v>0</v>
      </c>
      <c r="Z110" s="284">
        <f>'E CT_LT'!ED33</f>
        <v>450</v>
      </c>
      <c r="AA110" s="281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</row>
    <row r="111" spans="1:40" ht="14.65" thickBot="1">
      <c r="A111" s="1126">
        <v>355</v>
      </c>
      <c r="B111" s="100">
        <v>400</v>
      </c>
      <c r="C111" s="100">
        <v>1355</v>
      </c>
      <c r="D111" s="101">
        <v>14.5</v>
      </c>
      <c r="F111" s="212">
        <v>1250</v>
      </c>
      <c r="G111" s="1129">
        <v>1.27</v>
      </c>
      <c r="H111" s="20"/>
      <c r="I111" s="1126">
        <v>100</v>
      </c>
      <c r="J111" s="267">
        <v>100</v>
      </c>
      <c r="K111" s="998">
        <v>1.29</v>
      </c>
      <c r="L111" s="20"/>
      <c r="M111" s="20"/>
      <c r="N111" s="280" t="s">
        <v>2189</v>
      </c>
      <c r="O111" s="983">
        <f>Q111*O97</f>
        <v>2317500</v>
      </c>
      <c r="P111" s="995">
        <f>+P110*1.05</f>
        <v>938066.94843750005</v>
      </c>
      <c r="Q111" s="280">
        <f>6900+825</f>
        <v>7725</v>
      </c>
      <c r="R111" s="277"/>
      <c r="T111" s="277"/>
      <c r="U111" s="283" t="str">
        <f>'E CT_LT'!DY34</f>
        <v>Class III</v>
      </c>
      <c r="V111" s="284">
        <f>'E CT_LT'!DZ34</f>
        <v>8.1999999999999993</v>
      </c>
      <c r="W111" s="284" t="str">
        <f>'E CT_LT'!EA34</f>
        <v>3AH475</v>
      </c>
      <c r="X111" s="284">
        <f>'E CT_LT'!EB34</f>
        <v>70660</v>
      </c>
      <c r="Y111" s="284">
        <f>'E CT_LT'!EC34</f>
        <v>0</v>
      </c>
      <c r="Z111" s="284">
        <f>'E CT_LT'!ED34</f>
        <v>450</v>
      </c>
      <c r="AA111" s="281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</row>
    <row r="112" spans="1:40">
      <c r="A112" s="1126">
        <v>400</v>
      </c>
      <c r="B112" s="100">
        <v>450</v>
      </c>
      <c r="C112" s="100">
        <v>1530</v>
      </c>
      <c r="D112" s="101">
        <v>18.7</v>
      </c>
      <c r="H112" s="20"/>
      <c r="I112" s="20"/>
      <c r="J112" s="20"/>
      <c r="K112" s="20"/>
      <c r="L112" s="20"/>
      <c r="M112" s="20"/>
      <c r="N112" s="278" t="s">
        <v>2239</v>
      </c>
      <c r="O112" s="278" t="s">
        <v>674</v>
      </c>
      <c r="P112" s="729" t="s">
        <v>675</v>
      </c>
      <c r="Q112" s="278" t="s">
        <v>695</v>
      </c>
      <c r="R112" s="1093"/>
      <c r="T112" s="277"/>
      <c r="U112" s="283" t="str">
        <f>'E CT_LT'!DY35</f>
        <v>Class IV</v>
      </c>
      <c r="V112" s="284">
        <f>'E CT_LT'!DZ35</f>
        <v>6.77</v>
      </c>
      <c r="W112" s="284" t="str">
        <f>'E CT_LT'!EA35</f>
        <v>3AH475</v>
      </c>
      <c r="X112" s="284">
        <f>'E CT_LT'!EB35</f>
        <v>70660</v>
      </c>
      <c r="Y112" s="284">
        <f>'E CT_LT'!EC35</f>
        <v>0</v>
      </c>
      <c r="Z112" s="284">
        <f>'E CT_LT'!ED35</f>
        <v>450</v>
      </c>
      <c r="AA112" s="281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</row>
    <row r="113" spans="1:39">
      <c r="A113" s="1126">
        <v>450</v>
      </c>
      <c r="B113" s="100">
        <v>500</v>
      </c>
      <c r="C113" s="100">
        <v>1725</v>
      </c>
      <c r="D113" s="101">
        <v>23.2</v>
      </c>
      <c r="H113" s="20"/>
      <c r="I113" s="20"/>
      <c r="J113" s="20"/>
      <c r="K113" s="20"/>
      <c r="L113" s="20"/>
      <c r="M113" s="20"/>
      <c r="N113" s="280" t="s">
        <v>715</v>
      </c>
      <c r="O113" s="983">
        <f>Q113*O97</f>
        <v>68100</v>
      </c>
      <c r="P113" s="984">
        <v>23100</v>
      </c>
      <c r="Q113" s="145">
        <f>220+7</f>
        <v>227</v>
      </c>
      <c r="R113" s="277"/>
      <c r="T113" s="11">
        <f>'E CT_LT'!DX36</f>
        <v>3.0502050113895285E-2</v>
      </c>
      <c r="U113" s="780">
        <f>'E CT_LT'!DY36</f>
        <v>43.9</v>
      </c>
      <c r="V113" s="780">
        <f>'E CT_LT'!DZ36</f>
        <v>9.8800000000000008</v>
      </c>
      <c r="W113" s="780" t="str">
        <f>'E CT_LT'!EA36</f>
        <v>3AH475</v>
      </c>
      <c r="X113" s="780">
        <f>'E CT_LT'!EB36</f>
        <v>70660</v>
      </c>
      <c r="Y113" s="780">
        <f>'E CT_LT'!EC36</f>
        <v>0</v>
      </c>
      <c r="Z113" s="780">
        <f>'E CT_LT'!ED36</f>
        <v>450</v>
      </c>
      <c r="AA113" s="281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</row>
    <row r="114" spans="1:39" ht="14.65" thickBot="1">
      <c r="A114" s="1134">
        <v>500</v>
      </c>
      <c r="B114" s="104">
        <v>560</v>
      </c>
      <c r="C114" s="104">
        <v>1950</v>
      </c>
      <c r="D114" s="509">
        <v>29.5</v>
      </c>
      <c r="E114" s="20"/>
      <c r="F114" s="20" t="s">
        <v>1082</v>
      </c>
      <c r="G114" s="20"/>
      <c r="H114" s="20"/>
      <c r="I114" s="20"/>
      <c r="J114" s="20"/>
      <c r="K114" s="20"/>
      <c r="L114" s="20"/>
      <c r="M114" s="20"/>
      <c r="N114" s="280" t="s">
        <v>716</v>
      </c>
      <c r="O114" s="983">
        <f>Q114*O97</f>
        <v>72600</v>
      </c>
      <c r="P114" s="984">
        <v>26250</v>
      </c>
      <c r="Q114" s="145">
        <f>235+7</f>
        <v>242</v>
      </c>
      <c r="R114" s="277"/>
      <c r="T114" s="277"/>
      <c r="U114" s="277"/>
      <c r="V114" s="277"/>
      <c r="W114" s="277"/>
      <c r="X114" s="277"/>
      <c r="Y114" s="277"/>
      <c r="Z114" s="277"/>
      <c r="AA114" s="277"/>
      <c r="AB114" s="17"/>
      <c r="AC114" s="17"/>
      <c r="AD114" s="17"/>
      <c r="AE114" s="17"/>
      <c r="AF114" s="17"/>
      <c r="AG114" s="17"/>
      <c r="AH114" s="17"/>
      <c r="AI114" s="17"/>
      <c r="AJ114" s="20"/>
      <c r="AK114" s="20"/>
      <c r="AL114" s="20"/>
      <c r="AM114" s="20"/>
    </row>
    <row r="115" spans="1:39" ht="14.65" thickBot="1">
      <c r="E115" s="20"/>
      <c r="F115" s="20"/>
      <c r="G115" s="20"/>
      <c r="H115" s="20"/>
      <c r="I115" s="20"/>
      <c r="J115" s="20"/>
      <c r="K115" s="20"/>
      <c r="N115" s="280" t="s">
        <v>717</v>
      </c>
      <c r="O115" s="983">
        <f>Q115*O97</f>
        <v>82800</v>
      </c>
      <c r="P115" s="984">
        <v>29400</v>
      </c>
      <c r="Q115" s="145">
        <f>265+11</f>
        <v>276</v>
      </c>
      <c r="R115" s="277"/>
      <c r="T115" s="277"/>
      <c r="U115" s="777" t="str">
        <f>'E CT_LT'!DY38</f>
        <v>Elite : 4137</v>
      </c>
      <c r="V115" s="778" t="str">
        <f>'E CT_LT'!DZ38</f>
        <v>Upper H.P.</v>
      </c>
      <c r="W115" s="778" t="str">
        <f>'E CT_LT'!EA38</f>
        <v>Upper Frame</v>
      </c>
      <c r="X115" s="779" t="str">
        <f>'E CT_LT'!EB38</f>
        <v>Pricr of Gear Box</v>
      </c>
      <c r="Y115" s="779" t="str">
        <f>'E CT_LT'!EC38</f>
        <v>Gear Coupling</v>
      </c>
      <c r="Z115" s="779" t="str">
        <f>'E CT_LT'!ED38</f>
        <v>Weight OF GB</v>
      </c>
      <c r="AA115" s="2" t="str">
        <f>'E CT_LT'!EE38</f>
        <v>Right</v>
      </c>
      <c r="AB115" s="17"/>
      <c r="AC115" s="17"/>
      <c r="AD115" s="17"/>
      <c r="AE115" s="17"/>
      <c r="AF115" s="17"/>
      <c r="AG115" s="17"/>
      <c r="AH115" s="17"/>
      <c r="AI115" s="17"/>
      <c r="AJ115" s="20"/>
      <c r="AK115" s="20"/>
      <c r="AL115" s="20"/>
      <c r="AM115" s="20"/>
    </row>
    <row r="116" spans="1:39" ht="14.65" thickBot="1">
      <c r="E116" s="20"/>
      <c r="F116" s="1118">
        <f>I20/2</f>
        <v>2</v>
      </c>
      <c r="G116" s="1119">
        <f>VLOOKUP(F116,F118:G125,2,0)</f>
        <v>1</v>
      </c>
      <c r="H116" s="20"/>
      <c r="I116" s="20"/>
      <c r="J116" s="20"/>
      <c r="K116" s="20"/>
      <c r="N116" s="280" t="s">
        <v>718</v>
      </c>
      <c r="O116" s="983">
        <f>Q116*O97</f>
        <v>94500</v>
      </c>
      <c r="P116" s="984">
        <v>33600</v>
      </c>
      <c r="Q116" s="145">
        <f>300+15</f>
        <v>315</v>
      </c>
      <c r="R116" s="277"/>
      <c r="T116" s="8"/>
      <c r="U116" s="283" t="str">
        <f>'E CT_LT'!DY39</f>
        <v>Class I</v>
      </c>
      <c r="V116" s="285">
        <f>'E CT_LT'!DZ39</f>
        <v>0</v>
      </c>
      <c r="W116" s="285" t="str">
        <f>'E CT_LT'!EA39</f>
        <v>3AH475</v>
      </c>
      <c r="X116" s="284">
        <f>'E CT_LT'!EB39</f>
        <v>70660</v>
      </c>
      <c r="Y116" s="285">
        <f>'E CT_LT'!EC39</f>
        <v>0</v>
      </c>
      <c r="Z116" s="285">
        <f>'E CT_LT'!ED39</f>
        <v>450</v>
      </c>
      <c r="AA116" s="281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</row>
    <row r="117" spans="1:39" ht="14.65" thickBot="1">
      <c r="E117" s="20"/>
      <c r="F117" s="1118" t="s">
        <v>967</v>
      </c>
      <c r="G117" s="1119" t="s">
        <v>2746</v>
      </c>
      <c r="H117" s="20"/>
      <c r="I117" s="20"/>
      <c r="J117" s="20"/>
      <c r="N117" s="280" t="s">
        <v>719</v>
      </c>
      <c r="O117" s="983">
        <f>Q117*O97</f>
        <v>114000</v>
      </c>
      <c r="P117" s="984">
        <v>36750</v>
      </c>
      <c r="Q117" s="145">
        <f>360+20</f>
        <v>380</v>
      </c>
      <c r="R117" s="277"/>
      <c r="T117" s="277"/>
      <c r="U117" s="283" t="str">
        <f>'E CT_LT'!DY40</f>
        <v>Class II</v>
      </c>
      <c r="V117" s="285">
        <f>'E CT_LT'!DZ40</f>
        <v>9.08</v>
      </c>
      <c r="W117" s="285" t="str">
        <f>'E CT_LT'!EA40</f>
        <v>3AH475</v>
      </c>
      <c r="X117" s="284">
        <f>'E CT_LT'!EB40</f>
        <v>70660</v>
      </c>
      <c r="Y117" s="284">
        <f>'E CT_LT'!EC40</f>
        <v>0</v>
      </c>
      <c r="Z117" s="284">
        <f>'E CT_LT'!ED40</f>
        <v>450</v>
      </c>
      <c r="AA117" s="281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</row>
    <row r="118" spans="1:39" ht="14.65" thickBot="1">
      <c r="C118" s="22" t="s">
        <v>1083</v>
      </c>
      <c r="F118" s="313">
        <v>2</v>
      </c>
      <c r="G118" s="557">
        <v>1</v>
      </c>
      <c r="H118" s="20"/>
      <c r="I118" s="20"/>
      <c r="J118" s="20"/>
      <c r="N118" s="280" t="s">
        <v>720</v>
      </c>
      <c r="O118" s="983">
        <f>Q118*O97</f>
        <v>149100</v>
      </c>
      <c r="P118" s="984">
        <v>42000</v>
      </c>
      <c r="Q118" s="145">
        <f>470+27</f>
        <v>497</v>
      </c>
      <c r="R118" s="277"/>
      <c r="T118" s="286"/>
      <c r="U118" s="283" t="str">
        <f>'E CT_LT'!DY41</f>
        <v>Class III</v>
      </c>
      <c r="V118" s="285">
        <f>'E CT_LT'!DZ41</f>
        <v>7.53</v>
      </c>
      <c r="W118" s="285" t="str">
        <f>'E CT_LT'!EA41</f>
        <v>3AH475</v>
      </c>
      <c r="X118" s="284">
        <f>'E CT_LT'!EB41</f>
        <v>70660</v>
      </c>
      <c r="Y118" s="284">
        <f>'E CT_LT'!EC41</f>
        <v>0</v>
      </c>
      <c r="Z118" s="284">
        <f>'E CT_LT'!ED41</f>
        <v>450</v>
      </c>
      <c r="AA118" s="281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</row>
    <row r="119" spans="1:39" ht="14.65" thickBot="1">
      <c r="B119" s="996">
        <f>VLOOKUP(D120,B122:B132,1)</f>
        <v>100</v>
      </c>
      <c r="C119" s="1130">
        <f>VLOOKUP(B119,B122:C132,2,0)</f>
        <v>100</v>
      </c>
      <c r="D119" s="1131">
        <f>VLOOKUP(C120,C122:D132,2,0)</f>
        <v>1.29</v>
      </c>
      <c r="F119" s="313">
        <v>4</v>
      </c>
      <c r="G119" s="557">
        <v>1.08</v>
      </c>
      <c r="H119" s="20"/>
      <c r="I119" s="20"/>
      <c r="J119" s="20"/>
      <c r="N119" s="280" t="s">
        <v>721</v>
      </c>
      <c r="O119" s="983">
        <f>Q119*O97</f>
        <v>187500</v>
      </c>
      <c r="P119" s="984">
        <v>52500</v>
      </c>
      <c r="Q119" s="145">
        <f>590+35</f>
        <v>625</v>
      </c>
      <c r="R119" s="277"/>
      <c r="T119" s="277"/>
      <c r="U119" s="283" t="str">
        <f>'E CT_LT'!DY42</f>
        <v>Class IV</v>
      </c>
      <c r="V119" s="285">
        <f>'E CT_LT'!DZ42</f>
        <v>6</v>
      </c>
      <c r="W119" s="285" t="str">
        <f>'E CT_LT'!EA42</f>
        <v>3AH475</v>
      </c>
      <c r="X119" s="284">
        <f>'E CT_LT'!EB42</f>
        <v>70660</v>
      </c>
      <c r="Y119" s="284">
        <f>'E CT_LT'!EC42</f>
        <v>0</v>
      </c>
      <c r="Z119" s="284">
        <f>'E CT_LT'!ED42</f>
        <v>450</v>
      </c>
      <c r="AA119" s="281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</row>
    <row r="120" spans="1:39" ht="14.65" thickBot="1">
      <c r="B120" s="997">
        <f>IFERROR(VLOOKUP(D120,B122:B132,1,0),0)</f>
        <v>100</v>
      </c>
      <c r="C120" s="267">
        <f>IF(B120&gt;0,B120,C119)</f>
        <v>100</v>
      </c>
      <c r="D120" s="998">
        <f>'E Data'!D17</f>
        <v>100</v>
      </c>
      <c r="F120" s="313">
        <v>6</v>
      </c>
      <c r="G120" s="557">
        <v>1.1299999999999999</v>
      </c>
      <c r="H120" s="20"/>
      <c r="I120" s="20"/>
      <c r="J120" s="20"/>
      <c r="L120" s="20"/>
      <c r="M120" s="20"/>
      <c r="N120" s="280" t="s">
        <v>722</v>
      </c>
      <c r="O120" s="983">
        <f>Q120*O97</f>
        <v>258000</v>
      </c>
      <c r="P120" s="984">
        <v>57750</v>
      </c>
      <c r="Q120" s="145">
        <f>810+50</f>
        <v>860</v>
      </c>
      <c r="R120" s="277"/>
      <c r="T120" s="11">
        <f>'E CT_LT'!DX43</f>
        <v>7.2970491803278525E-2</v>
      </c>
      <c r="U120" s="780">
        <f>'E CT_LT'!DY43</f>
        <v>48.8</v>
      </c>
      <c r="V120" s="780">
        <f>'E CT_LT'!DZ43</f>
        <v>9.08</v>
      </c>
      <c r="W120" s="780" t="str">
        <f>'E CT_LT'!EA43</f>
        <v>3AH475</v>
      </c>
      <c r="X120" s="780">
        <f>'E CT_LT'!EB43</f>
        <v>70660</v>
      </c>
      <c r="Y120" s="780">
        <f>'E CT_LT'!EC43</f>
        <v>0</v>
      </c>
      <c r="Z120" s="780">
        <f>'E CT_LT'!ED43</f>
        <v>450</v>
      </c>
      <c r="AA120" s="281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</row>
    <row r="121" spans="1:39" ht="14.65" thickBot="1">
      <c r="B121" s="999" t="s">
        <v>118</v>
      </c>
      <c r="C121" s="1132" t="s">
        <v>968</v>
      </c>
      <c r="D121" s="1133" t="s">
        <v>2747</v>
      </c>
      <c r="F121" s="313">
        <v>8</v>
      </c>
      <c r="G121" s="557">
        <v>1.17</v>
      </c>
      <c r="H121" s="20"/>
      <c r="I121" s="20"/>
      <c r="J121" s="20"/>
      <c r="L121" s="20"/>
      <c r="M121" s="20"/>
      <c r="N121" s="280" t="s">
        <v>723</v>
      </c>
      <c r="O121" s="983">
        <f>Q121*O97</f>
        <v>348000</v>
      </c>
      <c r="P121" s="984">
        <v>73500</v>
      </c>
      <c r="Q121" s="145">
        <f>1090+70</f>
        <v>1160</v>
      </c>
      <c r="R121" s="277"/>
      <c r="T121" s="1128"/>
      <c r="U121" s="762"/>
      <c r="V121" s="281"/>
      <c r="W121" s="281"/>
      <c r="X121" s="281"/>
      <c r="Y121" s="281"/>
      <c r="Z121" s="281"/>
      <c r="AA121" s="281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</row>
    <row r="122" spans="1:39">
      <c r="B122" s="1126">
        <v>0</v>
      </c>
      <c r="C122" s="829">
        <v>10</v>
      </c>
      <c r="D122" s="1000">
        <v>1</v>
      </c>
      <c r="F122" s="313">
        <v>10</v>
      </c>
      <c r="G122" s="557">
        <v>1.2</v>
      </c>
      <c r="H122" s="20"/>
      <c r="I122" s="20"/>
      <c r="J122" s="20"/>
      <c r="K122" s="20"/>
      <c r="L122" s="20"/>
      <c r="M122" s="20"/>
      <c r="N122" s="280" t="s">
        <v>724</v>
      </c>
      <c r="O122" s="983">
        <f>Q122*O97</f>
        <v>463500</v>
      </c>
      <c r="P122" s="984">
        <f>+P121*1.05</f>
        <v>77175</v>
      </c>
      <c r="Q122" s="145">
        <f>1445+100</f>
        <v>1545</v>
      </c>
      <c r="R122" s="277"/>
      <c r="V122" s="22" t="s">
        <v>2662</v>
      </c>
      <c r="W122" s="22" t="str">
        <f>IF(T77="A",X122,X123)</f>
        <v>Right</v>
      </c>
      <c r="X122" s="22" t="str">
        <f>IF(AA92="Right",IF(AA85="Right","Right","3177 Down Wrong"),IF(AA85="Right","3177 UP Wrong","3177 Up &amp; Down Wrong "))</f>
        <v>Right</v>
      </c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</row>
    <row r="123" spans="1:39">
      <c r="B123" s="1126">
        <v>10</v>
      </c>
      <c r="C123" s="1135">
        <v>16</v>
      </c>
      <c r="D123" s="1001">
        <v>1.05</v>
      </c>
      <c r="F123" s="313">
        <v>12</v>
      </c>
      <c r="G123" s="557">
        <v>1.22</v>
      </c>
      <c r="H123" s="20"/>
      <c r="I123" s="20"/>
      <c r="J123" s="20"/>
      <c r="K123" s="20"/>
      <c r="L123" s="20"/>
      <c r="M123" s="20"/>
      <c r="N123" s="280" t="s">
        <v>725</v>
      </c>
      <c r="O123" s="983">
        <f>Q123*O97</f>
        <v>633000</v>
      </c>
      <c r="P123" s="984">
        <f>+P122*1.05</f>
        <v>81033.75</v>
      </c>
      <c r="Q123" s="145">
        <f>1970+140</f>
        <v>2110</v>
      </c>
      <c r="R123" s="277"/>
      <c r="V123" s="22" t="s">
        <v>656</v>
      </c>
      <c r="W123" s="281" t="str">
        <f>IF(AA99="Right","Right","Premium Wrong")</f>
        <v>Right</v>
      </c>
      <c r="X123" s="22" t="str">
        <f>IF(AA115="Right",IF(AA108="Right","Right","4137 Down Wrong"),IF(AA108="Right","4137 UP Wrong","4137 Up &amp; Down Wrong "))</f>
        <v>Right</v>
      </c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</row>
    <row r="124" spans="1:39">
      <c r="B124" s="1126">
        <v>16</v>
      </c>
      <c r="C124" s="416">
        <v>20</v>
      </c>
      <c r="D124" s="1001">
        <v>1.08</v>
      </c>
      <c r="F124" s="313">
        <v>14</v>
      </c>
      <c r="G124" s="557">
        <v>1.24</v>
      </c>
      <c r="H124" s="20"/>
      <c r="I124" s="20"/>
      <c r="J124" s="20"/>
      <c r="K124" s="20"/>
      <c r="L124" s="20"/>
      <c r="M124" s="20"/>
      <c r="N124" s="280" t="s">
        <v>726</v>
      </c>
      <c r="O124" s="983">
        <f>Q124*O97</f>
        <v>868500</v>
      </c>
      <c r="P124" s="984">
        <f>+P123*1.05</f>
        <v>85085.4375</v>
      </c>
      <c r="Q124" s="145">
        <f>2690+205</f>
        <v>2895</v>
      </c>
      <c r="R124" s="277"/>
      <c r="V124" s="22" t="s">
        <v>660</v>
      </c>
      <c r="W124" s="281" t="str">
        <f>IF(AA103="Right","Right","Elecon Wrong")</f>
        <v>Right</v>
      </c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</row>
    <row r="125" spans="1:39" ht="14.65" thickBot="1">
      <c r="B125" s="1126">
        <v>20</v>
      </c>
      <c r="C125" s="416">
        <v>25</v>
      </c>
      <c r="D125" s="1001">
        <v>1.1100000000000001</v>
      </c>
      <c r="F125" s="130">
        <v>16</v>
      </c>
      <c r="G125" s="1127">
        <v>1.26</v>
      </c>
      <c r="H125" s="20"/>
      <c r="I125" s="20"/>
      <c r="J125" s="20"/>
      <c r="K125" s="20"/>
      <c r="L125" s="20"/>
      <c r="M125" s="20"/>
      <c r="N125" s="280" t="s">
        <v>727</v>
      </c>
      <c r="O125" s="983">
        <f>Q125*O97</f>
        <v>1158000</v>
      </c>
      <c r="P125" s="280">
        <f>+P124*1.05</f>
        <v>89339.709375000006</v>
      </c>
      <c r="Q125" s="145">
        <f>3540+320</f>
        <v>3860</v>
      </c>
      <c r="R125" s="277"/>
      <c r="U125" s="22" t="s">
        <v>714</v>
      </c>
      <c r="V125" s="781" t="str">
        <f>I71</f>
        <v>Elite</v>
      </c>
      <c r="W125" s="782" t="str">
        <f>VLOOKUP(V125,V122:W124,2,0)</f>
        <v>Right</v>
      </c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20"/>
      <c r="AK125" s="20"/>
      <c r="AL125" s="20"/>
      <c r="AM125" s="20"/>
    </row>
    <row r="126" spans="1:39" ht="14.65" thickBot="1">
      <c r="B126" s="1126">
        <v>25</v>
      </c>
      <c r="C126" s="416">
        <v>31.5</v>
      </c>
      <c r="D126" s="1001">
        <v>1.1399999999999999</v>
      </c>
      <c r="H126" s="20"/>
      <c r="I126" s="20"/>
      <c r="J126" s="20"/>
      <c r="K126" s="20"/>
      <c r="L126" s="20"/>
      <c r="M126" s="20"/>
      <c r="N126" s="983" t="s">
        <v>728</v>
      </c>
      <c r="O126" s="983">
        <f>Q126*O97</f>
        <v>1585500</v>
      </c>
      <c r="P126" s="280">
        <f>+P125*1.05</f>
        <v>93806.69484375001</v>
      </c>
      <c r="Q126" s="145">
        <f>4860+425</f>
        <v>5285</v>
      </c>
      <c r="R126" s="11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</row>
    <row r="127" spans="1:39" ht="14.65" thickBot="1">
      <c r="B127" s="1126">
        <v>31.5</v>
      </c>
      <c r="C127" s="228">
        <v>40</v>
      </c>
      <c r="D127" s="1001">
        <v>1.17</v>
      </c>
      <c r="F127" s="1036" t="s">
        <v>648</v>
      </c>
      <c r="G127" s="1036" t="s">
        <v>648</v>
      </c>
      <c r="H127" s="1036" t="s">
        <v>648</v>
      </c>
      <c r="I127" s="1036" t="s">
        <v>648</v>
      </c>
      <c r="J127" s="20"/>
      <c r="K127" s="20"/>
      <c r="L127" s="20"/>
      <c r="M127" s="20"/>
      <c r="N127" s="280"/>
      <c r="O127" s="280"/>
      <c r="P127" s="280"/>
      <c r="Q127" s="280"/>
      <c r="R127" s="11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</row>
    <row r="128" spans="1:39">
      <c r="B128" s="1126">
        <v>40</v>
      </c>
      <c r="C128" s="228">
        <v>50</v>
      </c>
      <c r="D128" s="1001">
        <v>1.2</v>
      </c>
      <c r="F128" s="1136" t="s">
        <v>2662</v>
      </c>
      <c r="G128" s="131" t="s">
        <v>738</v>
      </c>
      <c r="H128" s="131" t="s">
        <v>959</v>
      </c>
      <c r="I128" s="131" t="s">
        <v>737</v>
      </c>
      <c r="J128" s="20"/>
      <c r="K128" s="20"/>
      <c r="L128" s="20"/>
      <c r="M128" s="20"/>
      <c r="N128" s="1092" t="s">
        <v>2205</v>
      </c>
      <c r="O128" s="750">
        <f>K79</f>
        <v>300</v>
      </c>
      <c r="P128" s="729" t="s">
        <v>675</v>
      </c>
      <c r="Q128" s="278" t="s">
        <v>695</v>
      </c>
      <c r="R128" s="1093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</row>
    <row r="129" spans="2:39">
      <c r="B129" s="1126">
        <v>50</v>
      </c>
      <c r="C129" s="228">
        <v>63</v>
      </c>
      <c r="D129" s="1001">
        <v>1.23</v>
      </c>
      <c r="E129" s="20"/>
      <c r="F129" s="170" t="s">
        <v>656</v>
      </c>
      <c r="G129" s="131" t="s">
        <v>961</v>
      </c>
      <c r="H129" s="131" t="s">
        <v>962</v>
      </c>
      <c r="I129" s="131" t="s">
        <v>272</v>
      </c>
      <c r="J129" s="20"/>
      <c r="K129" s="20"/>
      <c r="L129" s="20"/>
      <c r="M129" s="20"/>
      <c r="N129" s="983" t="s">
        <v>696</v>
      </c>
      <c r="O129" s="983">
        <f>Q129*O128</f>
        <v>50400</v>
      </c>
      <c r="P129" s="983">
        <v>15750</v>
      </c>
      <c r="Q129" s="275">
        <f>160+8</f>
        <v>168</v>
      </c>
      <c r="R129" s="11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17"/>
      <c r="AK129" s="17"/>
      <c r="AL129" s="17"/>
      <c r="AM129" s="17"/>
    </row>
    <row r="130" spans="2:39" ht="14.65" thickBot="1">
      <c r="B130" s="1126">
        <v>63</v>
      </c>
      <c r="C130" s="228">
        <v>80</v>
      </c>
      <c r="D130" s="1001">
        <v>1.26</v>
      </c>
      <c r="E130" s="20"/>
      <c r="F130" s="1137" t="s">
        <v>660</v>
      </c>
      <c r="G130" s="1138" t="s">
        <v>961</v>
      </c>
      <c r="H130" s="1138" t="s">
        <v>962</v>
      </c>
      <c r="I130" s="1138" t="s">
        <v>272</v>
      </c>
      <c r="J130" s="20"/>
      <c r="K130" s="20"/>
      <c r="L130" s="20"/>
      <c r="M130" s="20"/>
      <c r="N130" s="983" t="s">
        <v>697</v>
      </c>
      <c r="O130" s="983">
        <f>Q130*O128</f>
        <v>67500</v>
      </c>
      <c r="P130" s="983">
        <v>23100</v>
      </c>
      <c r="Q130" s="275">
        <f>215+10</f>
        <v>225</v>
      </c>
      <c r="R130" s="11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17"/>
      <c r="AK130" s="17"/>
      <c r="AL130" s="17"/>
      <c r="AM130" s="17"/>
    </row>
    <row r="131" spans="2:39">
      <c r="B131" s="1126">
        <v>80</v>
      </c>
      <c r="C131" s="230">
        <v>100</v>
      </c>
      <c r="D131" s="1002">
        <v>1.29</v>
      </c>
      <c r="E131" s="20"/>
      <c r="F131" s="20"/>
      <c r="H131" s="20"/>
      <c r="I131" s="20"/>
      <c r="J131" s="20"/>
      <c r="K131" s="20"/>
      <c r="L131" s="20"/>
      <c r="M131" s="20"/>
      <c r="N131" s="983" t="s">
        <v>2206</v>
      </c>
      <c r="O131" s="983">
        <f>Q131*O128</f>
        <v>92700</v>
      </c>
      <c r="P131" s="983">
        <v>26250</v>
      </c>
      <c r="Q131" s="275">
        <f>295+14</f>
        <v>309</v>
      </c>
      <c r="R131" s="11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17"/>
      <c r="AK131" s="17"/>
      <c r="AL131" s="17"/>
      <c r="AM131" s="17"/>
    </row>
    <row r="132" spans="2:39" ht="14.65" thickBot="1">
      <c r="B132" s="1126">
        <v>100</v>
      </c>
      <c r="C132" s="267">
        <v>100</v>
      </c>
      <c r="D132" s="998">
        <v>1.29</v>
      </c>
      <c r="E132" s="20"/>
      <c r="F132" s="20"/>
      <c r="H132" s="20"/>
      <c r="I132" s="20"/>
      <c r="J132" s="20"/>
      <c r="K132" s="20"/>
      <c r="L132" s="20"/>
      <c r="M132" s="20"/>
      <c r="N132" s="983" t="s">
        <v>2207</v>
      </c>
      <c r="O132" s="983">
        <f>Q132*O128</f>
        <v>128100</v>
      </c>
      <c r="P132" s="983">
        <v>29400</v>
      </c>
      <c r="Q132" s="275">
        <f>405+22</f>
        <v>427</v>
      </c>
      <c r="R132" s="11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17"/>
      <c r="AK132" s="17"/>
      <c r="AL132" s="17"/>
      <c r="AM132" s="17"/>
    </row>
    <row r="133" spans="2:39">
      <c r="D133" s="20"/>
      <c r="H133" s="20"/>
      <c r="I133" s="20"/>
      <c r="J133" s="20"/>
      <c r="K133" s="20"/>
      <c r="L133" s="20"/>
      <c r="M133" s="20"/>
      <c r="N133" s="983" t="s">
        <v>2208</v>
      </c>
      <c r="O133" s="983">
        <f>Q133*O128</f>
        <v>170400</v>
      </c>
      <c r="P133" s="983">
        <v>33600</v>
      </c>
      <c r="Q133" s="275">
        <f>540+28</f>
        <v>568</v>
      </c>
      <c r="R133" s="11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17"/>
      <c r="AK133" s="17"/>
      <c r="AL133" s="17"/>
      <c r="AM133" s="17"/>
    </row>
    <row r="134" spans="2:39">
      <c r="D134" s="20"/>
      <c r="H134" s="20"/>
      <c r="I134" s="20"/>
      <c r="J134" s="20"/>
      <c r="K134" s="20"/>
      <c r="L134" s="20"/>
      <c r="M134" s="20"/>
      <c r="N134" s="983" t="s">
        <v>2209</v>
      </c>
      <c r="O134" s="983">
        <f>Q134*O128</f>
        <v>227700</v>
      </c>
      <c r="P134" s="983">
        <v>36750</v>
      </c>
      <c r="Q134" s="275">
        <f>720+39</f>
        <v>759</v>
      </c>
      <c r="R134" s="1120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</row>
    <row r="135" spans="2:39">
      <c r="D135" s="20"/>
      <c r="H135" s="20"/>
      <c r="I135" s="20"/>
      <c r="J135" s="20"/>
      <c r="K135" s="20"/>
      <c r="L135" s="20"/>
      <c r="M135" s="20"/>
      <c r="N135" s="983" t="s">
        <v>2210</v>
      </c>
      <c r="O135" s="983">
        <f>Q135*O128</f>
        <v>307800</v>
      </c>
      <c r="P135" s="983">
        <v>42000</v>
      </c>
      <c r="Q135" s="275">
        <f>970+56</f>
        <v>1026</v>
      </c>
      <c r="R135" s="1120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</row>
    <row r="136" spans="2:39">
      <c r="D136" s="20"/>
      <c r="H136" s="20"/>
      <c r="I136" s="20"/>
      <c r="J136" s="20"/>
      <c r="K136" s="20"/>
      <c r="L136" s="20"/>
      <c r="M136" s="20"/>
      <c r="N136" s="983" t="s">
        <v>2211</v>
      </c>
      <c r="O136" s="983">
        <f>Q136*O128</f>
        <v>414000</v>
      </c>
      <c r="P136" s="983">
        <v>52500</v>
      </c>
      <c r="Q136" s="275">
        <f>1300+80</f>
        <v>1380</v>
      </c>
      <c r="R136" s="1120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</row>
    <row r="137" spans="2:39">
      <c r="D137" s="20"/>
      <c r="H137" s="20"/>
      <c r="I137" s="20"/>
      <c r="J137" s="20"/>
      <c r="K137" s="20"/>
      <c r="N137" s="983" t="s">
        <v>2212</v>
      </c>
      <c r="O137" s="983">
        <f>Q137*O128</f>
        <v>565500</v>
      </c>
      <c r="P137" s="983">
        <v>57750</v>
      </c>
      <c r="Q137" s="275">
        <f>1770+115</f>
        <v>1885</v>
      </c>
      <c r="R137" s="1120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</row>
    <row r="138" spans="2:39">
      <c r="D138" s="20"/>
      <c r="H138" s="20"/>
      <c r="I138" s="20"/>
      <c r="J138" s="20"/>
      <c r="K138" s="20"/>
      <c r="N138" s="983" t="s">
        <v>2213</v>
      </c>
      <c r="O138" s="983">
        <f>Q138*O128</f>
        <v>754500</v>
      </c>
      <c r="P138" s="983">
        <v>73500</v>
      </c>
      <c r="Q138" s="275">
        <f>2350+165</f>
        <v>2515</v>
      </c>
      <c r="R138" s="1120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</row>
    <row r="139" spans="2:39">
      <c r="N139" s="983" t="s">
        <v>2214</v>
      </c>
      <c r="O139" s="983">
        <f>Q139*O128</f>
        <v>1221000</v>
      </c>
      <c r="P139" s="280">
        <v>77175</v>
      </c>
      <c r="Q139" s="275">
        <f>3850+220</f>
        <v>4070</v>
      </c>
      <c r="R139" s="1120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</row>
    <row r="140" spans="2:39">
      <c r="N140" s="983" t="s">
        <v>2215</v>
      </c>
      <c r="O140" s="983">
        <f>Q140*O128</f>
        <v>1683000</v>
      </c>
      <c r="P140" s="280">
        <v>81040</v>
      </c>
      <c r="Q140" s="275">
        <f>5300+310</f>
        <v>5610</v>
      </c>
      <c r="R140" s="1120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</row>
    <row r="141" spans="2:39">
      <c r="N141" s="983" t="s">
        <v>2216</v>
      </c>
      <c r="O141" s="983">
        <f>Q141*O128</f>
        <v>2310000</v>
      </c>
      <c r="P141" s="280">
        <v>85090</v>
      </c>
      <c r="Q141" s="275">
        <f>7250+450</f>
        <v>7700</v>
      </c>
      <c r="R141" s="1120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</row>
    <row r="142" spans="2:39">
      <c r="N142" s="983" t="s">
        <v>2217</v>
      </c>
      <c r="O142" s="983">
        <f>Q142*O128</f>
        <v>3231000</v>
      </c>
      <c r="P142" s="280">
        <v>89340</v>
      </c>
      <c r="Q142" s="275">
        <f>10100+670</f>
        <v>10770</v>
      </c>
      <c r="R142" s="1120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</row>
    <row r="143" spans="2:39">
      <c r="N143" s="280" t="s">
        <v>2218</v>
      </c>
      <c r="O143" s="280">
        <f>Q143*O128</f>
        <v>4500000</v>
      </c>
      <c r="P143" s="1003">
        <v>93800</v>
      </c>
      <c r="Q143" s="280">
        <f>14100+900</f>
        <v>15000</v>
      </c>
      <c r="R143" s="27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</row>
    <row r="144" spans="2:39">
      <c r="N144" s="278" t="s">
        <v>2240</v>
      </c>
      <c r="O144" s="278" t="s">
        <v>674</v>
      </c>
      <c r="P144" s="278"/>
      <c r="Q144" s="278" t="s">
        <v>695</v>
      </c>
      <c r="R144" s="1093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</row>
    <row r="145" spans="14:35">
      <c r="N145" s="280" t="s">
        <v>2241</v>
      </c>
      <c r="O145" s="280">
        <f>Q145*O128</f>
        <v>18000</v>
      </c>
      <c r="P145" s="280">
        <v>29400</v>
      </c>
      <c r="Q145" s="275">
        <f>58+2</f>
        <v>60</v>
      </c>
      <c r="R145" s="27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</row>
    <row r="146" spans="14:35">
      <c r="N146" s="280" t="s">
        <v>2258</v>
      </c>
      <c r="O146" s="280">
        <f>Q146*O128</f>
        <v>24300</v>
      </c>
      <c r="P146" s="280">
        <v>33600</v>
      </c>
      <c r="Q146" s="275">
        <f>78+3</f>
        <v>81</v>
      </c>
      <c r="R146" s="27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</row>
    <row r="147" spans="14:35">
      <c r="N147" s="280" t="s">
        <v>2242</v>
      </c>
      <c r="O147" s="280">
        <f>Q147*O128</f>
        <v>34200</v>
      </c>
      <c r="P147" s="280">
        <v>36750</v>
      </c>
      <c r="Q147" s="275">
        <f>110+4</f>
        <v>114</v>
      </c>
      <c r="R147" s="27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</row>
    <row r="148" spans="14:35">
      <c r="N148" s="280" t="s">
        <v>2243</v>
      </c>
      <c r="O148" s="280">
        <f>Q148*O128</f>
        <v>45000</v>
      </c>
      <c r="P148" s="280">
        <v>42000</v>
      </c>
      <c r="Q148" s="275">
        <f>145+5</f>
        <v>150</v>
      </c>
      <c r="R148" s="27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</row>
    <row r="149" spans="14:35">
      <c r="N149" s="280" t="s">
        <v>2244</v>
      </c>
      <c r="O149" s="280">
        <f>Q149*O128</f>
        <v>62400</v>
      </c>
      <c r="P149" s="280">
        <v>52500</v>
      </c>
      <c r="Q149" s="275">
        <f>200+8</f>
        <v>208</v>
      </c>
      <c r="R149" s="27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</row>
    <row r="150" spans="14:35">
      <c r="N150" s="280" t="s">
        <v>2245</v>
      </c>
      <c r="O150" s="280">
        <f>Q150*O128</f>
        <v>84300</v>
      </c>
      <c r="P150" s="280">
        <v>57750</v>
      </c>
      <c r="Q150" s="275">
        <f>270+11</f>
        <v>281</v>
      </c>
      <c r="R150" s="27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</row>
    <row r="151" spans="14:35">
      <c r="N151" s="280" t="s">
        <v>2246</v>
      </c>
      <c r="O151" s="280">
        <f>Q151*O128</f>
        <v>112200</v>
      </c>
      <c r="P151" s="280">
        <v>73500</v>
      </c>
      <c r="Q151" s="275">
        <f>360+14</f>
        <v>374</v>
      </c>
      <c r="R151" s="277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</row>
    <row r="152" spans="14:35">
      <c r="N152" s="280" t="s">
        <v>2247</v>
      </c>
      <c r="O152" s="280">
        <f>Q152*O128</f>
        <v>153300</v>
      </c>
      <c r="P152" s="280">
        <v>77175</v>
      </c>
      <c r="Q152" s="275">
        <f>490+21</f>
        <v>511</v>
      </c>
      <c r="R152" s="277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</row>
    <row r="153" spans="14:35">
      <c r="N153" s="280" t="s">
        <v>2248</v>
      </c>
      <c r="O153" s="280">
        <f>Q153*O128</f>
        <v>211200</v>
      </c>
      <c r="P153" s="280">
        <v>81040</v>
      </c>
      <c r="Q153" s="275">
        <f>675+29</f>
        <v>704</v>
      </c>
      <c r="R153" s="277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</row>
    <row r="154" spans="14:35">
      <c r="N154" s="280" t="s">
        <v>2249</v>
      </c>
      <c r="O154" s="280">
        <f>Q154*O128</f>
        <v>285600</v>
      </c>
      <c r="P154" s="280">
        <v>85090</v>
      </c>
      <c r="Q154" s="275">
        <f>910+42</f>
        <v>952</v>
      </c>
      <c r="R154" s="277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</row>
    <row r="155" spans="14:35">
      <c r="N155" s="280" t="s">
        <v>2250</v>
      </c>
      <c r="O155" s="280">
        <f>Q155*O128</f>
        <v>387000</v>
      </c>
      <c r="P155" s="280">
        <v>89340</v>
      </c>
      <c r="Q155" s="275">
        <f>1230+60</f>
        <v>1290</v>
      </c>
      <c r="R155" s="277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</row>
    <row r="156" spans="14:35">
      <c r="N156" s="983" t="s">
        <v>2251</v>
      </c>
      <c r="O156" s="983">
        <f>Q156*O128</f>
        <v>528000</v>
      </c>
      <c r="P156" s="1003">
        <v>93800</v>
      </c>
      <c r="Q156" s="280">
        <f>1675+85</f>
        <v>1760</v>
      </c>
      <c r="R156" s="11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</row>
    <row r="157" spans="14:35">
      <c r="N157" s="983" t="s">
        <v>2252</v>
      </c>
      <c r="O157" s="983">
        <f>Q157*O128</f>
        <v>712500</v>
      </c>
      <c r="P157" s="1003">
        <f t="shared" ref="P157:P162" si="22">+P156*1.05</f>
        <v>98490</v>
      </c>
      <c r="Q157" s="280">
        <f>2260+115</f>
        <v>2375</v>
      </c>
      <c r="R157" s="11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</row>
    <row r="158" spans="14:35">
      <c r="N158" s="983" t="s">
        <v>2253</v>
      </c>
      <c r="O158" s="983">
        <f>Q158*O128</f>
        <v>1099500</v>
      </c>
      <c r="P158" s="1003">
        <f t="shared" si="22"/>
        <v>103414.5</v>
      </c>
      <c r="Q158" s="280">
        <f>3500+165</f>
        <v>3665</v>
      </c>
      <c r="R158" s="11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</row>
    <row r="159" spans="14:35">
      <c r="N159" s="983" t="s">
        <v>2254</v>
      </c>
      <c r="O159" s="983">
        <f>Q159*O128</f>
        <v>1510500</v>
      </c>
      <c r="P159" s="1003">
        <f t="shared" si="22"/>
        <v>108585.22500000001</v>
      </c>
      <c r="Q159" s="280">
        <f>4800+235</f>
        <v>5035</v>
      </c>
      <c r="R159" s="1120"/>
    </row>
    <row r="160" spans="14:35">
      <c r="N160" s="983" t="s">
        <v>2255</v>
      </c>
      <c r="O160" s="983">
        <f>Q160*O128</f>
        <v>2049000</v>
      </c>
      <c r="P160" s="1003">
        <f t="shared" si="22"/>
        <v>114014.48625000002</v>
      </c>
      <c r="Q160" s="280">
        <f>6500+330</f>
        <v>6830</v>
      </c>
      <c r="R160" s="1120"/>
    </row>
    <row r="161" spans="14:18">
      <c r="N161" s="983" t="s">
        <v>2256</v>
      </c>
      <c r="O161" s="983">
        <f>Q161*O128</f>
        <v>2862000</v>
      </c>
      <c r="P161" s="1003">
        <f t="shared" si="22"/>
        <v>119715.21056250003</v>
      </c>
      <c r="Q161" s="280">
        <f>9100+440</f>
        <v>9540</v>
      </c>
      <c r="R161" s="1120"/>
    </row>
    <row r="162" spans="14:18">
      <c r="N162" s="983" t="s">
        <v>2257</v>
      </c>
      <c r="O162" s="983">
        <f>Q162*O128</f>
        <v>3930000</v>
      </c>
      <c r="P162" s="1003">
        <f t="shared" si="22"/>
        <v>125700.97109062503</v>
      </c>
      <c r="Q162" s="280">
        <f>12500+600</f>
        <v>13100</v>
      </c>
      <c r="R162" s="1120"/>
    </row>
  </sheetData>
  <mergeCells count="32">
    <mergeCell ref="C77:D77"/>
    <mergeCell ref="E77:F77"/>
    <mergeCell ref="C78:D78"/>
    <mergeCell ref="E78:F78"/>
    <mergeCell ref="E58:G58"/>
    <mergeCell ref="E62:F62"/>
    <mergeCell ref="E74:F74"/>
    <mergeCell ref="AJ64:AK64"/>
    <mergeCell ref="A1:D1"/>
    <mergeCell ref="E1:G1"/>
    <mergeCell ref="H1:J1"/>
    <mergeCell ref="L1:N1"/>
    <mergeCell ref="A2:D2"/>
    <mergeCell ref="E2:G2"/>
    <mergeCell ref="H2:J2"/>
    <mergeCell ref="P1:Q1"/>
    <mergeCell ref="AM64:AN64"/>
    <mergeCell ref="A3:D3"/>
    <mergeCell ref="E3:G3"/>
    <mergeCell ref="E4:G4"/>
    <mergeCell ref="K15:L15"/>
    <mergeCell ref="A55:D55"/>
    <mergeCell ref="E55:G55"/>
    <mergeCell ref="H55:J55"/>
    <mergeCell ref="A56:D56"/>
    <mergeCell ref="E56:G56"/>
    <mergeCell ref="H56:J56"/>
    <mergeCell ref="H3:J4"/>
    <mergeCell ref="H57:J58"/>
    <mergeCell ref="A57:D57"/>
    <mergeCell ref="E57:G57"/>
    <mergeCell ref="AG64:AH64"/>
  </mergeCells>
  <dataValidations disablePrompts="1" count="6">
    <dataValidation allowBlank="1" showInputMessage="1" showErrorMessage="1" sqref="J71" xr:uid="{00000000-0002-0000-0800-000000000000}"/>
    <dataValidation type="list" allowBlank="1" showInputMessage="1" showErrorMessage="1" sqref="G73" xr:uid="{00000000-0002-0000-0800-000001000000}">
      <formula1>$M$75:$M$77</formula1>
    </dataValidation>
    <dataValidation type="list" allowBlank="1" showInputMessage="1" showErrorMessage="1" sqref="I40" xr:uid="{00000000-0002-0000-0800-000002000000}">
      <formula1>$Q$31:$Q$44</formula1>
    </dataValidation>
    <dataValidation type="list" allowBlank="1" showInputMessage="1" showErrorMessage="1" sqref="I71" xr:uid="{00000000-0002-0000-0800-000003000000}">
      <formula1>$F$128:$F$130</formula1>
    </dataValidation>
    <dataValidation type="list" allowBlank="1" showInputMessage="1" showErrorMessage="1" sqref="I75" xr:uid="{00000000-0002-0000-0800-000004000000}">
      <formula1>$N$71:$N$162</formula1>
    </dataValidation>
    <dataValidation type="list" allowBlank="1" showInputMessage="1" showErrorMessage="1" sqref="I53" xr:uid="{406A718C-61C2-49D9-82C5-76E241B67BF3}">
      <formula1>$U$15:$U$25</formula1>
    </dataValidation>
  </dataValidations>
  <pageMargins left="0.75" right="0.35416666666666702" top="0.55000000000000004" bottom="1" header="0.51041666666666696" footer="0.51041666666666696"/>
  <pageSetup paperSize="9" scale="74" orientation="portrait" r:id="rId1"/>
  <headerFooter alignWithMargins="0"/>
  <rowBreaks count="1" manualBreakCount="1">
    <brk id="54" max="9" man="1"/>
  </rowBreaks>
  <ignoredErrors>
    <ignoredError sqref="J17:J20" formula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H191"/>
  <sheetViews>
    <sheetView view="pageBreakPreview" zoomScaleSheetLayoutView="100" workbookViewId="0">
      <selection activeCell="B12" sqref="B12"/>
    </sheetView>
  </sheetViews>
  <sheetFormatPr defaultColWidth="9.1328125" defaultRowHeight="14.25"/>
  <cols>
    <col min="1" max="1" width="18.53125" style="22" customWidth="1"/>
    <col min="2" max="2" width="10.53125" style="22" customWidth="1"/>
    <col min="3" max="4" width="20.6640625" style="22" customWidth="1"/>
    <col min="5" max="5" width="20.53125" style="22" customWidth="1"/>
    <col min="6" max="6" width="10.46484375" style="22" customWidth="1"/>
    <col min="7" max="8" width="20.6640625" style="22" customWidth="1"/>
    <col min="9" max="9" width="11.46484375" style="22" customWidth="1"/>
    <col min="10" max="26" width="10.33203125" style="22" customWidth="1"/>
    <col min="27" max="27" width="9.1328125" style="22"/>
    <col min="28" max="28" width="36.53125" style="22" customWidth="1"/>
    <col min="29" max="29" width="35.86328125" style="22" customWidth="1"/>
    <col min="30" max="31" width="9.1328125" style="22"/>
    <col min="32" max="32" width="12.33203125" style="22" customWidth="1"/>
    <col min="33" max="33" width="7.86328125" style="22" customWidth="1"/>
    <col min="34" max="53" width="9.1328125" style="22"/>
    <col min="54" max="54" width="25.53125" style="22" customWidth="1"/>
    <col min="55" max="16384" width="9.1328125" style="22"/>
  </cols>
  <sheetData>
    <row r="1" spans="1:54" ht="44" customHeight="1" thickBot="1">
      <c r="A1" s="4038" t="s">
        <v>1184</v>
      </c>
      <c r="B1" s="4039"/>
      <c r="C1" s="4039"/>
      <c r="D1" s="4039"/>
      <c r="E1" s="4039"/>
      <c r="F1" s="4039"/>
      <c r="G1" s="4039"/>
      <c r="H1" s="4040"/>
      <c r="I1" s="137"/>
      <c r="J1" s="83"/>
      <c r="K1" s="137"/>
      <c r="L1" s="4041" t="s">
        <v>1185</v>
      </c>
      <c r="M1" s="4042"/>
      <c r="N1" s="727"/>
      <c r="O1" s="1091"/>
      <c r="P1" s="1091"/>
      <c r="Q1" s="1495" t="s">
        <v>1186</v>
      </c>
      <c r="R1" s="1091"/>
      <c r="S1" s="1091"/>
      <c r="T1" s="889"/>
      <c r="V1" s="137"/>
      <c r="AA1" s="4048" t="s">
        <v>2315</v>
      </c>
      <c r="AB1" s="4049"/>
      <c r="AC1" s="4050"/>
      <c r="AE1" s="137"/>
      <c r="AH1" s="17"/>
      <c r="AI1" s="4043" t="s">
        <v>1187</v>
      </c>
      <c r="AJ1" s="4044"/>
      <c r="AK1" s="4044"/>
      <c r="AL1" s="4044"/>
      <c r="AM1" s="4044"/>
      <c r="AN1" s="4044"/>
      <c r="AO1" s="4021"/>
      <c r="AP1" s="17"/>
      <c r="AQ1" s="17"/>
      <c r="AR1" s="1496">
        <v>1</v>
      </c>
      <c r="AS1" s="4089" t="s">
        <v>2663</v>
      </c>
      <c r="AT1" s="4089"/>
      <c r="AU1" s="4089"/>
      <c r="AV1" s="4089"/>
      <c r="AW1" s="4090" t="str">
        <f t="shared" ref="AW1:AW8" si="0">+P6</f>
        <v>25T</v>
      </c>
      <c r="AX1" s="4091"/>
      <c r="AY1" s="4091"/>
      <c r="AZ1" s="4091"/>
      <c r="BA1" s="4091"/>
      <c r="BB1" s="4092"/>
    </row>
    <row r="2" spans="1:54" ht="17.100000000000001" customHeight="1" thickBot="1">
      <c r="A2" s="1497" t="s">
        <v>1188</v>
      </c>
      <c r="B2" s="4045">
        <f>'E Data'!G2</f>
        <v>0</v>
      </c>
      <c r="C2" s="4045"/>
      <c r="D2" s="1498"/>
      <c r="E2" s="1499" t="s">
        <v>1189</v>
      </c>
      <c r="F2" s="1500">
        <f>B2</f>
        <v>0</v>
      </c>
      <c r="G2" s="1501"/>
      <c r="H2" s="926" t="s">
        <v>1190</v>
      </c>
      <c r="I2" s="1230"/>
      <c r="J2" s="1230"/>
      <c r="K2" s="1230"/>
      <c r="L2" s="1502"/>
      <c r="M2" s="456"/>
      <c r="N2" s="1503"/>
      <c r="O2" s="1504"/>
      <c r="P2" s="925"/>
      <c r="Q2" s="121"/>
      <c r="R2" s="925"/>
      <c r="S2" s="1505"/>
      <c r="T2" s="1506"/>
      <c r="U2" s="83"/>
      <c r="V2" s="137"/>
      <c r="W2" s="1507" t="s">
        <v>1191</v>
      </c>
      <c r="X2" s="1508"/>
      <c r="AA2" s="4051" t="s">
        <v>2316</v>
      </c>
      <c r="AB2" s="4052"/>
      <c r="AC2" s="4053"/>
      <c r="AE2" s="137"/>
      <c r="AH2" s="1230"/>
      <c r="AI2" s="1216" t="s">
        <v>1192</v>
      </c>
      <c r="AJ2" s="1509"/>
      <c r="AK2" s="1509" t="s">
        <v>1193</v>
      </c>
      <c r="AL2" s="1509" t="s">
        <v>1194</v>
      </c>
      <c r="AM2" s="1509" t="s">
        <v>1195</v>
      </c>
      <c r="AN2" s="1509" t="s">
        <v>1196</v>
      </c>
      <c r="AO2" s="1509" t="s">
        <v>1197</v>
      </c>
      <c r="AP2" s="1230"/>
      <c r="AQ2" s="1230"/>
      <c r="AR2" s="1496">
        <f>+AR1+1</f>
        <v>2</v>
      </c>
      <c r="AS2" s="4089" t="s">
        <v>2664</v>
      </c>
      <c r="AT2" s="4089"/>
      <c r="AU2" s="4089"/>
      <c r="AV2" s="4089"/>
      <c r="AW2" s="4090" t="str">
        <f t="shared" si="0"/>
        <v>15T</v>
      </c>
      <c r="AX2" s="4091"/>
      <c r="AY2" s="4091"/>
      <c r="AZ2" s="4091"/>
      <c r="BA2" s="4091"/>
      <c r="BB2" s="4092"/>
    </row>
    <row r="3" spans="1:54" ht="17.100000000000001" customHeight="1" thickBot="1">
      <c r="A3" s="1262" t="s">
        <v>1198</v>
      </c>
      <c r="B3" s="4046" t="str">
        <f>'E Data'!D4</f>
        <v xml:space="preserve"> </v>
      </c>
      <c r="C3" s="4046"/>
      <c r="D3" s="1510" t="str">
        <f>'E Data'!B4</f>
        <v>R00</v>
      </c>
      <c r="E3" s="1230" t="s">
        <v>1199</v>
      </c>
      <c r="F3" s="1511">
        <f>'E Data'!E6</f>
        <v>0</v>
      </c>
      <c r="G3" s="1512"/>
      <c r="H3" s="4047">
        <f>'E Data'!D11</f>
        <v>0</v>
      </c>
      <c r="I3" s="1230"/>
      <c r="J3" s="1230"/>
      <c r="K3" s="1230"/>
      <c r="L3" s="1513">
        <f>F2</f>
        <v>0</v>
      </c>
      <c r="M3" s="1429" t="s">
        <v>1200</v>
      </c>
      <c r="N3" s="1514" t="str">
        <f>"TECHNICAL DATA SHEET FOR "&amp;'E Data'!D2</f>
        <v xml:space="preserve">TECHNICAL DATA SHEET FOR 25/15T D/G EOT CRANE  </v>
      </c>
      <c r="O3" s="1230"/>
      <c r="P3" s="83"/>
      <c r="R3" s="83"/>
      <c r="S3" s="83"/>
      <c r="T3" s="1227"/>
      <c r="U3" s="83"/>
      <c r="V3" s="1515" t="s">
        <v>1093</v>
      </c>
      <c r="W3" s="1516"/>
      <c r="X3" s="1517" t="s">
        <v>347</v>
      </c>
      <c r="Y3" s="1420"/>
      <c r="AA3" s="1430" t="s">
        <v>2317</v>
      </c>
      <c r="AB3" s="1430" t="s">
        <v>2318</v>
      </c>
      <c r="AC3" s="1430" t="s">
        <v>2319</v>
      </c>
      <c r="AE3" s="137"/>
      <c r="AH3" s="1230"/>
      <c r="AI3" s="1518">
        <v>1</v>
      </c>
      <c r="AJ3" s="1519">
        <v>1</v>
      </c>
      <c r="AK3" s="1520" t="s">
        <v>1201</v>
      </c>
      <c r="AL3" s="1521">
        <v>22208</v>
      </c>
      <c r="AM3" s="1522" t="s">
        <v>1202</v>
      </c>
      <c r="AN3" s="1522" t="s">
        <v>1203</v>
      </c>
      <c r="AO3" s="1519" t="s">
        <v>1204</v>
      </c>
      <c r="AP3" s="1230"/>
      <c r="AQ3" s="1230"/>
      <c r="AR3" s="1496">
        <f t="shared" ref="AR3:AR48" si="1">+AR2+1</f>
        <v>3</v>
      </c>
      <c r="AS3" s="4089" t="s">
        <v>2665</v>
      </c>
      <c r="AT3" s="4089"/>
      <c r="AU3" s="4089"/>
      <c r="AV3" s="4089"/>
      <c r="AW3" s="4090" t="str">
        <f t="shared" si="0"/>
        <v>15m</v>
      </c>
      <c r="AX3" s="4091"/>
      <c r="AY3" s="4091"/>
      <c r="AZ3" s="4091"/>
      <c r="BA3" s="4091"/>
      <c r="BB3" s="4092"/>
    </row>
    <row r="4" spans="1:54" ht="17.100000000000001" customHeight="1" thickBot="1">
      <c r="A4" s="1262" t="s">
        <v>1205</v>
      </c>
      <c r="B4" s="1440">
        <v>1</v>
      </c>
      <c r="C4" s="721"/>
      <c r="D4" s="192"/>
      <c r="E4" s="1230" t="s">
        <v>1206</v>
      </c>
      <c r="F4" s="1523">
        <f>'E Data'!D13</f>
        <v>25</v>
      </c>
      <c r="G4" s="1524">
        <f>'E Data'!D14</f>
        <v>15</v>
      </c>
      <c r="H4" s="4047"/>
      <c r="I4" s="1230"/>
      <c r="J4" s="1230"/>
      <c r="K4" s="1230"/>
      <c r="L4" s="1525" t="str">
        <f>B5</f>
        <v xml:space="preserve">D/G EOT CRANE  </v>
      </c>
      <c r="M4" s="80" t="s">
        <v>1207</v>
      </c>
      <c r="N4" s="732"/>
      <c r="T4" s="326"/>
      <c r="U4" s="83"/>
      <c r="V4" s="1262"/>
      <c r="X4" s="1230"/>
      <c r="Y4" s="326"/>
      <c r="AA4" s="1431">
        <v>1</v>
      </c>
      <c r="AB4" s="1432" t="s">
        <v>91</v>
      </c>
      <c r="AC4" s="1433">
        <f>'E Data'!H11</f>
        <v>0</v>
      </c>
      <c r="AE4" s="137"/>
      <c r="AH4" s="1230"/>
      <c r="AI4" s="1526"/>
      <c r="AJ4" s="1519">
        <v>2</v>
      </c>
      <c r="AK4" s="1520" t="s">
        <v>1208</v>
      </c>
      <c r="AL4" s="1519" t="s">
        <v>1209</v>
      </c>
      <c r="AM4" s="1527"/>
      <c r="AN4" s="1527"/>
      <c r="AO4" s="1519" t="s">
        <v>1210</v>
      </c>
      <c r="AP4" s="1230"/>
      <c r="AQ4" s="1230"/>
      <c r="AR4" s="1496">
        <f t="shared" si="1"/>
        <v>4</v>
      </c>
      <c r="AS4" s="4089" t="s">
        <v>2666</v>
      </c>
      <c r="AT4" s="4089"/>
      <c r="AU4" s="4089"/>
      <c r="AV4" s="4089"/>
      <c r="AW4" s="4090" t="str">
        <f t="shared" si="0"/>
        <v>15m</v>
      </c>
      <c r="AX4" s="4091"/>
      <c r="AY4" s="4091"/>
      <c r="AZ4" s="4091"/>
      <c r="BA4" s="4091"/>
      <c r="BB4" s="4092"/>
    </row>
    <row r="5" spans="1:54" ht="17.100000000000001" customHeight="1" thickBot="1">
      <c r="A5" s="1262" t="s">
        <v>1211</v>
      </c>
      <c r="B5" s="1528" t="str">
        <f>'E Data'!D10</f>
        <v xml:space="preserve">D/G EOT CRANE  </v>
      </c>
      <c r="C5" s="1529"/>
      <c r="D5" s="192"/>
      <c r="E5" s="1230" t="s">
        <v>1212</v>
      </c>
      <c r="F5" s="1530">
        <f>'E Data'!D19</f>
        <v>15</v>
      </c>
      <c r="G5" s="1531">
        <f>'E Data'!D20</f>
        <v>15</v>
      </c>
      <c r="H5" s="4047"/>
      <c r="I5" s="1230"/>
      <c r="L5" s="1525">
        <f>B7</f>
        <v>100</v>
      </c>
      <c r="M5" s="80" t="s">
        <v>1213</v>
      </c>
      <c r="N5" s="1532" t="s">
        <v>1214</v>
      </c>
      <c r="O5" s="1533" t="s">
        <v>1215</v>
      </c>
      <c r="P5" s="1534" t="str">
        <f>'E Data'!D29</f>
        <v>Indoor</v>
      </c>
      <c r="Q5" s="1534"/>
      <c r="R5" s="1535"/>
      <c r="S5" s="1091" t="s">
        <v>1216</v>
      </c>
      <c r="T5" s="889"/>
      <c r="U5" s="83"/>
      <c r="V5" s="1262" t="s">
        <v>2751</v>
      </c>
      <c r="X5" s="988" t="str">
        <f>ESt!I50</f>
        <v>Elite</v>
      </c>
      <c r="Y5" s="326"/>
      <c r="AA5" s="1431">
        <v>2</v>
      </c>
      <c r="AB5" s="1432" t="s">
        <v>2320</v>
      </c>
      <c r="AC5" s="1434" t="s">
        <v>2321</v>
      </c>
      <c r="AE5" s="137"/>
      <c r="AH5" s="1230"/>
      <c r="AI5" s="1536"/>
      <c r="AJ5" s="1537"/>
      <c r="AK5" s="1537"/>
      <c r="AL5" s="1537"/>
      <c r="AM5" s="1537"/>
      <c r="AN5" s="1537"/>
      <c r="AO5" s="1519"/>
      <c r="AP5" s="1230"/>
      <c r="AQ5" s="1230"/>
      <c r="AR5" s="1496">
        <f t="shared" si="1"/>
        <v>5</v>
      </c>
      <c r="AS5" s="4089" t="s">
        <v>2667</v>
      </c>
      <c r="AT5" s="4089"/>
      <c r="AU5" s="4089"/>
      <c r="AV5" s="4089"/>
      <c r="AW5" s="4090" t="str">
        <f t="shared" si="0"/>
        <v>15m</v>
      </c>
      <c r="AX5" s="4091"/>
      <c r="AY5" s="4091"/>
      <c r="AZ5" s="4091"/>
      <c r="BA5" s="4091"/>
      <c r="BB5" s="4092"/>
    </row>
    <row r="6" spans="1:54" ht="17.100000000000001" customHeight="1">
      <c r="A6" s="1262" t="s">
        <v>1217</v>
      </c>
      <c r="B6" s="1538">
        <f>'E Data'!D16</f>
        <v>15</v>
      </c>
      <c r="C6" s="721" t="s">
        <v>1218</v>
      </c>
      <c r="D6" s="1192"/>
      <c r="E6" s="1230" t="s">
        <v>1219</v>
      </c>
      <c r="F6" s="4032" t="str">
        <f>'E Data'!D30</f>
        <v>IS 3177 -1999 &amp; IS 807/800</v>
      </c>
      <c r="G6" s="4033"/>
      <c r="H6" s="1077"/>
      <c r="I6" s="1230"/>
      <c r="J6" s="1230"/>
      <c r="K6" s="1230"/>
      <c r="L6" s="1525">
        <f>IF(L5&lt;50,3,IF(L5&lt;100,4,IF(L5&lt;150,5,IF(L5&lt;200,6,IF(L5&lt;250,7,IF(L5&lt;300,8,IF(L5&lt;350,9,IF(L5&lt;400,10))))))))</f>
        <v>5</v>
      </c>
      <c r="M6" s="80" t="s">
        <v>1220</v>
      </c>
      <c r="N6" s="1539" t="s">
        <v>1221</v>
      </c>
      <c r="O6" s="1533" t="s">
        <v>1215</v>
      </c>
      <c r="P6" s="1534" t="str">
        <f>'E Data'!D13&amp;"T"</f>
        <v>25T</v>
      </c>
      <c r="Q6" s="1534"/>
      <c r="R6" s="732"/>
      <c r="T6" s="679"/>
      <c r="U6" s="83"/>
      <c r="V6" s="1262" t="s">
        <v>1222</v>
      </c>
      <c r="X6" s="988" t="str">
        <f>ESt!I52</f>
        <v>EHT  :  SOC</v>
      </c>
      <c r="Y6" s="326"/>
      <c r="AA6" s="1431">
        <v>3</v>
      </c>
      <c r="AB6" s="1432" t="s">
        <v>2322</v>
      </c>
      <c r="AC6" s="1434" t="s">
        <v>2323</v>
      </c>
      <c r="AE6" s="137"/>
      <c r="AH6" s="1230"/>
      <c r="AI6" s="1518">
        <v>2</v>
      </c>
      <c r="AJ6" s="1519">
        <v>1</v>
      </c>
      <c r="AK6" s="1520" t="s">
        <v>1223</v>
      </c>
      <c r="AL6" s="1521">
        <v>22210</v>
      </c>
      <c r="AM6" s="1522" t="s">
        <v>1224</v>
      </c>
      <c r="AN6" s="1522" t="s">
        <v>1225</v>
      </c>
      <c r="AO6" s="1519" t="s">
        <v>1226</v>
      </c>
      <c r="AP6" s="1230"/>
      <c r="AQ6" s="1230"/>
      <c r="AR6" s="1496">
        <f t="shared" si="1"/>
        <v>6</v>
      </c>
      <c r="AS6" s="4089" t="s">
        <v>1252</v>
      </c>
      <c r="AT6" s="4089"/>
      <c r="AU6" s="4089"/>
      <c r="AV6" s="4089"/>
      <c r="AW6" s="4090" t="str">
        <f t="shared" si="0"/>
        <v>IS 3177 -1999 &amp; IS 807/800</v>
      </c>
      <c r="AX6" s="4091"/>
      <c r="AY6" s="4091"/>
      <c r="AZ6" s="4091"/>
      <c r="BA6" s="4091"/>
      <c r="BB6" s="4092"/>
    </row>
    <row r="7" spans="1:54" ht="17.100000000000001" customHeight="1">
      <c r="A7" s="1262" t="s">
        <v>1227</v>
      </c>
      <c r="B7" s="245">
        <f>'E Data'!D17</f>
        <v>100</v>
      </c>
      <c r="C7" s="721" t="s">
        <v>1218</v>
      </c>
      <c r="D7" s="1192"/>
      <c r="E7" s="1230"/>
      <c r="F7" s="83"/>
      <c r="G7" s="83"/>
      <c r="H7" s="1227"/>
      <c r="I7" s="1230"/>
      <c r="J7" s="1230"/>
      <c r="K7" s="1230"/>
      <c r="L7" s="1525">
        <f>'E Data'!D32</f>
        <v>50</v>
      </c>
      <c r="M7" s="80" t="s">
        <v>1228</v>
      </c>
      <c r="N7" s="1532" t="str">
        <f>IF('E Data'!D14&gt;0,"Capacity of A.H.","  ")</f>
        <v>Capacity of A.H.</v>
      </c>
      <c r="O7" s="1533" t="s">
        <v>1215</v>
      </c>
      <c r="P7" s="1534" t="str">
        <f>IF('E Data'!D14&gt;0,'E Data'!D14&amp;"T","N.A")</f>
        <v>15T</v>
      </c>
      <c r="R7" s="1540" t="s">
        <v>1229</v>
      </c>
      <c r="S7" s="1541" t="s">
        <v>1230</v>
      </c>
      <c r="T7" s="1542" t="s">
        <v>1231</v>
      </c>
      <c r="U7" s="83"/>
      <c r="V7" s="1262" t="s">
        <v>1232</v>
      </c>
      <c r="X7" s="80" t="str">
        <f>ESt!I37</f>
        <v/>
      </c>
      <c r="Y7" s="326"/>
      <c r="AA7" s="1431">
        <v>4</v>
      </c>
      <c r="AB7" s="1432" t="s">
        <v>2324</v>
      </c>
      <c r="AC7" s="1435">
        <f>'E Data'!D11</f>
        <v>0</v>
      </c>
      <c r="AE7" s="137"/>
      <c r="AH7" s="1230"/>
      <c r="AI7" s="1526"/>
      <c r="AJ7" s="1519"/>
      <c r="AK7" s="1520"/>
      <c r="AL7" s="1521"/>
      <c r="AM7" s="1543"/>
      <c r="AN7" s="1543"/>
      <c r="AO7" s="1519"/>
      <c r="AP7" s="1230"/>
      <c r="AQ7" s="1230"/>
      <c r="AR7" s="1496">
        <f t="shared" si="1"/>
        <v>7</v>
      </c>
      <c r="AS7" s="4089" t="s">
        <v>1261</v>
      </c>
      <c r="AT7" s="4089"/>
      <c r="AU7" s="4089"/>
      <c r="AV7" s="4089"/>
      <c r="AW7" s="4090" t="str">
        <f t="shared" si="0"/>
        <v>M5</v>
      </c>
      <c r="AX7" s="4091"/>
      <c r="AY7" s="4091"/>
      <c r="AZ7" s="4091"/>
      <c r="BA7" s="4091"/>
      <c r="BB7" s="4092"/>
    </row>
    <row r="8" spans="1:54" ht="17.100000000000001" customHeight="1">
      <c r="A8" s="1262" t="s">
        <v>1233</v>
      </c>
      <c r="B8" s="1544"/>
      <c r="C8" s="1545" t="str">
        <f>'E Data'!D25&amp;"     "&amp;"("&amp;'E Data'!E25&amp;")"</f>
        <v>Mech-II     (M5)</v>
      </c>
      <c r="D8" s="1546" t="str">
        <f>'E Data'!F25&amp;"       ("&amp;'E Data'!G25&amp;")"</f>
        <v>Ele-II       (M5)</v>
      </c>
      <c r="E8" s="1547" t="s">
        <v>99</v>
      </c>
      <c r="F8" s="4034" t="str">
        <f>'E Data'!D46</f>
        <v>Pendant Push Button (Movable Type) + RRC (Push Button Type)</v>
      </c>
      <c r="G8" s="4034"/>
      <c r="H8" s="4035"/>
      <c r="I8" s="1230"/>
      <c r="J8" s="17"/>
      <c r="K8" s="17"/>
      <c r="L8" s="1548">
        <v>1</v>
      </c>
      <c r="M8" s="80" t="s">
        <v>1234</v>
      </c>
      <c r="N8" s="1539" t="s">
        <v>1235</v>
      </c>
      <c r="O8" s="1533" t="s">
        <v>1215</v>
      </c>
      <c r="P8" s="1534" t="str">
        <f>'E Data'!D16&amp;"m"</f>
        <v>15m</v>
      </c>
      <c r="R8" s="1549">
        <f>ESt!D197</f>
        <v>2790000</v>
      </c>
      <c r="S8" s="1550">
        <f>ESt!D198</f>
        <v>0.85</v>
      </c>
      <c r="T8" s="1551">
        <f>ESt!I197</f>
        <v>3290000</v>
      </c>
      <c r="U8" s="83"/>
      <c r="V8" s="1262" t="s">
        <v>1236</v>
      </c>
      <c r="X8" s="988" t="str">
        <f>ESt!I49</f>
        <v>CGL</v>
      </c>
      <c r="Y8" s="1287"/>
      <c r="Z8" s="137"/>
      <c r="AA8" s="1431">
        <v>5</v>
      </c>
      <c r="AB8" s="1432" t="s">
        <v>1101</v>
      </c>
      <c r="AC8" s="1434"/>
      <c r="AD8" s="137"/>
      <c r="AE8" s="137"/>
      <c r="AH8" s="1230"/>
      <c r="AI8" s="1526"/>
      <c r="AJ8" s="1519">
        <v>2</v>
      </c>
      <c r="AK8" s="1520" t="s">
        <v>1237</v>
      </c>
      <c r="AL8" s="1521" t="s">
        <v>1238</v>
      </c>
      <c r="AM8" s="1543"/>
      <c r="AN8" s="1543"/>
      <c r="AO8" s="1519" t="s">
        <v>1204</v>
      </c>
      <c r="AP8" s="1230"/>
      <c r="AQ8" s="1230"/>
      <c r="AR8" s="1496">
        <f t="shared" si="1"/>
        <v>8</v>
      </c>
      <c r="AS8" s="4089" t="s">
        <v>1269</v>
      </c>
      <c r="AT8" s="4089"/>
      <c r="AU8" s="4089"/>
      <c r="AV8" s="4089"/>
      <c r="AW8" s="4090" t="str">
        <f t="shared" si="0"/>
        <v>50°C</v>
      </c>
      <c r="AX8" s="4091"/>
      <c r="AY8" s="4091"/>
      <c r="AZ8" s="4091"/>
      <c r="BA8" s="4091"/>
      <c r="BB8" s="4092"/>
    </row>
    <row r="9" spans="1:54" ht="17.100000000000001" customHeight="1">
      <c r="A9" s="1262" t="s">
        <v>1239</v>
      </c>
      <c r="B9" s="245" t="str">
        <f>'E Data'!D32&amp;"  °©  "</f>
        <v>50  °©  </v>
      </c>
      <c r="C9" s="1552" t="str">
        <f>"Camb  =            "&amp;MH!I27</f>
        <v>Camb  =            1</v>
      </c>
      <c r="D9" s="245"/>
      <c r="E9" s="4036" t="s">
        <v>1240</v>
      </c>
      <c r="F9" s="4037"/>
      <c r="G9" s="1436" t="s">
        <v>1241</v>
      </c>
      <c r="H9" s="1553"/>
      <c r="I9" s="1230"/>
      <c r="J9" s="17"/>
      <c r="K9" s="17"/>
      <c r="L9" s="1554" t="str">
        <f>IF(G4&gt;0,F4&amp;"/"&amp;G4&amp;"T",F4&amp;"T")</f>
        <v>25/15T</v>
      </c>
      <c r="M9" s="80" t="s">
        <v>1101</v>
      </c>
      <c r="N9" s="1539" t="s">
        <v>1242</v>
      </c>
      <c r="O9" s="1533" t="s">
        <v>1215</v>
      </c>
      <c r="P9" s="1534" t="str">
        <f>IF('E Data'!F19&gt;0,"AFL - "&amp;'E Data'!E19&amp;"m &amp; BFL - "&amp;'E Data'!F19&amp;"m",'E Data'!D19&amp;"m")</f>
        <v>15m</v>
      </c>
      <c r="Q9" s="1555"/>
      <c r="R9" s="1106"/>
      <c r="S9" s="53"/>
      <c r="T9" s="1227"/>
      <c r="U9" s="83"/>
      <c r="V9" s="1262" t="str">
        <f>IF(CT_HP!I39="Conventional Motor","CT Motor: -","GBM : -")</f>
        <v>GBM : -</v>
      </c>
      <c r="X9" s="988" t="str">
        <f>ESt!I34</f>
        <v>PBL</v>
      </c>
      <c r="Y9" s="1556"/>
      <c r="Z9" s="1508"/>
      <c r="AA9" s="1431"/>
      <c r="AB9" s="1434" t="s">
        <v>1274</v>
      </c>
      <c r="AC9" s="1434" t="str">
        <f>'E Data'!D13&amp;"T"</f>
        <v>25T</v>
      </c>
      <c r="AD9" s="1508"/>
      <c r="AE9" s="137"/>
      <c r="AH9" s="1230"/>
      <c r="AI9" s="1526"/>
      <c r="AJ9" s="1519">
        <v>3</v>
      </c>
      <c r="AK9" s="1520" t="s">
        <v>1243</v>
      </c>
      <c r="AL9" s="1519"/>
      <c r="AM9" s="1527"/>
      <c r="AN9" s="1527"/>
      <c r="AO9" s="1519" t="s">
        <v>1210</v>
      </c>
      <c r="AP9" s="1230"/>
      <c r="AQ9" s="1230"/>
      <c r="AR9" s="1496">
        <f t="shared" si="1"/>
        <v>9</v>
      </c>
      <c r="AS9" s="4089" t="s">
        <v>2668</v>
      </c>
      <c r="AT9" s="4089"/>
      <c r="AU9" s="4089"/>
      <c r="AV9" s="4089"/>
      <c r="AW9" s="4090" t="s">
        <v>2669</v>
      </c>
      <c r="AX9" s="4091"/>
      <c r="AY9" s="4091"/>
      <c r="AZ9" s="4091"/>
      <c r="BA9" s="4091"/>
      <c r="BB9" s="4092"/>
    </row>
    <row r="10" spans="1:54" ht="17.100000000000001" customHeight="1">
      <c r="A10" s="1262" t="s">
        <v>1244</v>
      </c>
      <c r="B10" s="513">
        <f>'E Data'!D43</f>
        <v>17</v>
      </c>
      <c r="C10" s="1192" t="s">
        <v>1245</v>
      </c>
      <c r="D10" s="1192"/>
      <c r="E10" s="4037" t="s">
        <v>1246</v>
      </c>
      <c r="F10" s="4037"/>
      <c r="G10" s="1436" t="str">
        <f>IF(H25=2,"Twin Drive",IF(H25=4,"Four Corner Drive",IF(H25=8,"Eight Corner Drive")))</f>
        <v>Twin Drive</v>
      </c>
      <c r="H10" s="1553"/>
      <c r="I10" s="1230"/>
      <c r="J10" s="17"/>
      <c r="K10" s="17"/>
      <c r="L10" s="1525">
        <f>C20</f>
        <v>18</v>
      </c>
      <c r="M10" s="80" t="s">
        <v>1094</v>
      </c>
      <c r="N10" s="1532" t="str">
        <f>IF('E Data'!D14&gt;0,"A.H Height of Lift","  ")</f>
        <v>A.H Height of Lift</v>
      </c>
      <c r="O10" s="1533" t="s">
        <v>1215</v>
      </c>
      <c r="P10" s="22" t="str">
        <f>IF('E Data'!D14&gt;0,IF('E Data'!F20&gt;0,"AFL - "&amp;'E Data'!E20&amp;"m &amp; BFL - "&amp;'E Data'!F20&amp;"m",'E Data'!D20&amp;"m"),"N.A")</f>
        <v>15m</v>
      </c>
      <c r="Q10" s="1555"/>
      <c r="R10" s="1540" t="s">
        <v>875</v>
      </c>
      <c r="S10" s="1541" t="s">
        <v>1247</v>
      </c>
      <c r="T10" s="1542" t="s">
        <v>1248</v>
      </c>
      <c r="U10" s="17"/>
      <c r="V10" s="1262" t="s">
        <v>1249</v>
      </c>
      <c r="X10" s="988" t="str">
        <f>ESt!I165</f>
        <v/>
      </c>
      <c r="Y10" s="1556"/>
      <c r="Z10" s="1508"/>
      <c r="AA10" s="1431"/>
      <c r="AB10" s="1434" t="s">
        <v>2325</v>
      </c>
      <c r="AC10" s="1434" t="str">
        <f>IF('E Data'!D14&gt;0,'E Data'!D14&amp;"T","N.A")</f>
        <v>15T</v>
      </c>
      <c r="AD10" s="1508"/>
      <c r="AE10" s="137"/>
      <c r="AH10" s="1230"/>
      <c r="AI10" s="1526"/>
      <c r="AJ10" s="1557"/>
      <c r="AK10" s="1558"/>
      <c r="AL10" s="1558"/>
      <c r="AM10" s="1558"/>
      <c r="AN10" s="1558"/>
      <c r="AO10" s="1559"/>
      <c r="AP10" s="1230"/>
      <c r="AQ10" s="1230"/>
      <c r="AR10" s="1496">
        <f t="shared" si="1"/>
        <v>10</v>
      </c>
      <c r="AS10" s="4089" t="s">
        <v>91</v>
      </c>
      <c r="AT10" s="4089"/>
      <c r="AU10" s="4089"/>
      <c r="AV10" s="4089"/>
      <c r="AW10" s="4090" t="str">
        <f>+P5</f>
        <v>Indoor</v>
      </c>
      <c r="AX10" s="4091"/>
      <c r="AY10" s="4091"/>
      <c r="AZ10" s="4091"/>
      <c r="BA10" s="4091"/>
      <c r="BB10" s="4092"/>
    </row>
    <row r="11" spans="1:54" ht="17.100000000000001" customHeight="1">
      <c r="A11" s="1262" t="s">
        <v>1250</v>
      </c>
      <c r="B11" s="1560">
        <f>'E Data'!D44</f>
        <v>5</v>
      </c>
      <c r="C11" s="1192" t="s">
        <v>1245</v>
      </c>
      <c r="D11" s="1192"/>
      <c r="E11" s="4037" t="s">
        <v>1251</v>
      </c>
      <c r="F11" s="4037"/>
      <c r="G11" s="1437" t="str">
        <f>'E Data'!D29</f>
        <v>Indoor</v>
      </c>
      <c r="H11" s="1553"/>
      <c r="I11" s="1230"/>
      <c r="J11" s="17"/>
      <c r="L11" s="1525">
        <f>IF(G4=0,0,D20)</f>
        <v>18</v>
      </c>
      <c r="M11" s="80" t="s">
        <v>1095</v>
      </c>
      <c r="N11" s="1539" t="s">
        <v>1252</v>
      </c>
      <c r="O11" s="1533" t="s">
        <v>1215</v>
      </c>
      <c r="P11" s="1534" t="str">
        <f>'E Data'!D30</f>
        <v>IS 3177 -1999 &amp; IS 807/800</v>
      </c>
      <c r="Q11" s="1534"/>
      <c r="R11" s="107" t="str">
        <f>LT_wh!J40</f>
        <v>70X40mm bar</v>
      </c>
      <c r="S11" s="1550">
        <f>B7</f>
        <v>100</v>
      </c>
      <c r="T11" s="194" t="e">
        <f>LT_wh!AA49/LT_wh!U49</f>
        <v>#N/A</v>
      </c>
      <c r="U11" s="17"/>
      <c r="V11" s="1262" t="s">
        <v>1253</v>
      </c>
      <c r="X11" s="988" t="str">
        <f>LEFT(ESt!I107,10)</f>
        <v>SCHNEIDER</v>
      </c>
      <c r="Y11" s="1556"/>
      <c r="Z11" s="1508"/>
      <c r="AA11" s="1431">
        <v>6</v>
      </c>
      <c r="AB11" s="1432" t="s">
        <v>1235</v>
      </c>
      <c r="AC11" s="1438" t="str">
        <f>'E Data'!D16&amp;" meter"</f>
        <v>15 meter</v>
      </c>
      <c r="AD11" s="1508"/>
      <c r="AE11" s="137"/>
      <c r="AH11" s="1230"/>
      <c r="AI11" s="1526"/>
      <c r="AJ11" s="1519">
        <v>1</v>
      </c>
      <c r="AK11" s="1520" t="s">
        <v>1254</v>
      </c>
      <c r="AL11" s="1521">
        <v>22212</v>
      </c>
      <c r="AM11" s="1522" t="s">
        <v>1255</v>
      </c>
      <c r="AN11" s="1522" t="s">
        <v>1256</v>
      </c>
      <c r="AO11" s="1519" t="s">
        <v>1257</v>
      </c>
      <c r="AP11" s="1230"/>
      <c r="AQ11" s="1230"/>
      <c r="AR11" s="1496">
        <f t="shared" si="1"/>
        <v>11</v>
      </c>
      <c r="AS11" s="4089" t="s">
        <v>99</v>
      </c>
      <c r="AT11" s="4089"/>
      <c r="AU11" s="4089"/>
      <c r="AV11" s="4089"/>
      <c r="AW11" s="4090" t="str">
        <f>+P17</f>
        <v>Pendant Push Button (Movable Type) + RRC (Push Button Type)</v>
      </c>
      <c r="AX11" s="4091"/>
      <c r="AY11" s="4091"/>
      <c r="AZ11" s="4091"/>
      <c r="BA11" s="4091"/>
      <c r="BB11" s="4092"/>
    </row>
    <row r="12" spans="1:54" ht="17.100000000000001" customHeight="1" thickBot="1">
      <c r="A12" s="1561" t="s">
        <v>1258</v>
      </c>
      <c r="B12" s="1236">
        <f>MH!I26</f>
        <v>1.5</v>
      </c>
      <c r="C12" s="1562" t="s">
        <v>1259</v>
      </c>
      <c r="D12" s="1563">
        <f>MH!I25</f>
        <v>0.84880124999999984</v>
      </c>
      <c r="E12" s="1564" t="s">
        <v>1260</v>
      </c>
      <c r="F12" s="1565">
        <f>'E Data'!D26</f>
        <v>1.25</v>
      </c>
      <c r="G12" s="1564"/>
      <c r="H12" s="1564"/>
      <c r="I12" s="1230"/>
      <c r="J12" s="17"/>
      <c r="K12" s="17"/>
      <c r="L12" s="1525">
        <f>G20</f>
        <v>1.1000000000000001</v>
      </c>
      <c r="M12" s="80" t="s">
        <v>1140</v>
      </c>
      <c r="N12" s="1539" t="s">
        <v>1261</v>
      </c>
      <c r="O12" s="1533" t="s">
        <v>1215</v>
      </c>
      <c r="P12" s="1534" t="str">
        <f>'E Data'!E25</f>
        <v>M5</v>
      </c>
      <c r="Q12" s="1534"/>
      <c r="R12" s="1540"/>
      <c r="S12" s="1566"/>
      <c r="T12" s="1227"/>
      <c r="U12" s="17"/>
      <c r="V12" s="1262" t="s">
        <v>1262</v>
      </c>
      <c r="X12" s="988" t="str">
        <f>MH!F113</f>
        <v>USHA MARTIN</v>
      </c>
      <c r="Y12" s="1287"/>
      <c r="Z12" s="137"/>
      <c r="AA12" s="1431">
        <v>7</v>
      </c>
      <c r="AB12" s="1432" t="s">
        <v>2326</v>
      </c>
      <c r="AC12" s="1439" t="str">
        <f>H47&amp;" (Purchaser scope)"</f>
        <v>70X40mm bar (Purchaser scope)</v>
      </c>
      <c r="AD12" s="137"/>
      <c r="AE12" s="137"/>
      <c r="AH12" s="1230"/>
      <c r="AI12" s="1526"/>
      <c r="AJ12" s="1519">
        <v>2</v>
      </c>
      <c r="AK12" s="1520" t="s">
        <v>1263</v>
      </c>
      <c r="AL12" s="1521" t="s">
        <v>1264</v>
      </c>
      <c r="AM12" s="1543"/>
      <c r="AN12" s="1543"/>
      <c r="AO12" s="1519" t="s">
        <v>1265</v>
      </c>
      <c r="AP12" s="1230"/>
      <c r="AQ12" s="1230"/>
      <c r="AR12" s="1496">
        <f t="shared" si="1"/>
        <v>12</v>
      </c>
      <c r="AS12" s="4089" t="s">
        <v>2670</v>
      </c>
      <c r="AT12" s="4089"/>
      <c r="AU12" s="4089"/>
      <c r="AV12" s="4089"/>
      <c r="AW12" s="4090" t="str">
        <f>P23&amp;"m/min Micro Motion through VFD"</f>
        <v>3m/min Micro Motion through VFD</v>
      </c>
      <c r="AX12" s="4091"/>
      <c r="AY12" s="4091"/>
      <c r="AZ12" s="4091"/>
      <c r="BA12" s="4091"/>
      <c r="BB12" s="4092"/>
    </row>
    <row r="13" spans="1:54" ht="17.100000000000001" customHeight="1" thickBot="1">
      <c r="A13" s="1561" t="s">
        <v>1266</v>
      </c>
      <c r="B13" s="1236">
        <f>'E Data'!G26</f>
        <v>1.5</v>
      </c>
      <c r="C13" s="1562" t="s">
        <v>1259</v>
      </c>
      <c r="D13" s="1563">
        <f>AH!I25</f>
        <v>0.84880124999999984</v>
      </c>
      <c r="E13" s="1564" t="s">
        <v>1267</v>
      </c>
      <c r="F13" s="1565" t="s">
        <v>1268</v>
      </c>
      <c r="G13" s="1565">
        <v>1.06</v>
      </c>
      <c r="H13" s="1565">
        <v>1</v>
      </c>
      <c r="I13" s="1230"/>
      <c r="J13" s="17"/>
      <c r="K13" s="17"/>
      <c r="L13" s="1525">
        <f>H20</f>
        <v>2.2000000000000002</v>
      </c>
      <c r="M13" s="80" t="s">
        <v>1144</v>
      </c>
      <c r="N13" s="1539" t="s">
        <v>1269</v>
      </c>
      <c r="O13" s="1533" t="s">
        <v>1215</v>
      </c>
      <c r="P13" s="1534" t="str">
        <f>'E Data'!D32&amp;"°C"</f>
        <v>50°C</v>
      </c>
      <c r="Q13" s="1555"/>
      <c r="R13" s="1540" t="s">
        <v>275</v>
      </c>
      <c r="S13" s="1567">
        <f>ESt!L199</f>
        <v>17000</v>
      </c>
      <c r="T13" s="1568">
        <f>ESt!K199</f>
        <v>17028.651935483871</v>
      </c>
      <c r="U13" s="17"/>
      <c r="V13" s="1262" t="s">
        <v>1270</v>
      </c>
      <c r="X13" s="988" t="str">
        <f>Selection!G14</f>
        <v>Hook PO</v>
      </c>
      <c r="Y13" s="1556"/>
      <c r="Z13" s="1508"/>
      <c r="AA13" s="1431">
        <v>8</v>
      </c>
      <c r="AB13" s="1432" t="s">
        <v>2327</v>
      </c>
      <c r="AC13" s="1439" t="str">
        <f>'E Data'!D17&amp;" meter"</f>
        <v>100 meter</v>
      </c>
      <c r="AD13" s="1508"/>
      <c r="AE13" s="137"/>
      <c r="AH13" s="1230"/>
      <c r="AI13" s="1526"/>
      <c r="AJ13" s="1519">
        <v>3</v>
      </c>
      <c r="AK13" s="1520" t="s">
        <v>1271</v>
      </c>
      <c r="AL13" s="1519"/>
      <c r="AM13" s="1527"/>
      <c r="AN13" s="1527"/>
      <c r="AO13" s="1519" t="s">
        <v>1272</v>
      </c>
      <c r="AP13" s="1230"/>
      <c r="AQ13" s="1230"/>
      <c r="AR13" s="1496">
        <f t="shared" si="1"/>
        <v>13</v>
      </c>
      <c r="AS13" s="4089" t="s">
        <v>2671</v>
      </c>
      <c r="AT13" s="4089"/>
      <c r="AU13" s="4089"/>
      <c r="AV13" s="4089"/>
      <c r="AW13" s="4090" t="str">
        <f>Q23&amp;"m/min Micro Motion through VFD"</f>
        <v>5m/min Micro Motion through VFD</v>
      </c>
      <c r="AX13" s="4091"/>
      <c r="AY13" s="4091"/>
      <c r="AZ13" s="4091"/>
      <c r="BA13" s="4091"/>
      <c r="BB13" s="4092"/>
    </row>
    <row r="14" spans="1:54" ht="17.100000000000001" customHeight="1" thickBot="1">
      <c r="A14" s="4054" t="s">
        <v>1273</v>
      </c>
      <c r="B14" s="4055"/>
      <c r="C14" s="1440" t="s">
        <v>1274</v>
      </c>
      <c r="D14" s="3580" t="str">
        <f>IF(G4&gt;0,"Auxilary Hoist","")</f>
        <v>Auxilary Hoist</v>
      </c>
      <c r="E14" s="4058" t="s">
        <v>1275</v>
      </c>
      <c r="F14" s="4059"/>
      <c r="G14" s="1440" t="s">
        <v>1140</v>
      </c>
      <c r="H14" s="1441" t="s">
        <v>1144</v>
      </c>
      <c r="I14" s="1230"/>
      <c r="J14" s="17"/>
      <c r="K14" s="17"/>
      <c r="L14" s="1525">
        <f>IF(G4=0,0,1)</f>
        <v>1</v>
      </c>
      <c r="M14" s="80" t="s">
        <v>1276</v>
      </c>
      <c r="N14" s="1539" t="s">
        <v>1277</v>
      </c>
      <c r="O14" s="1533" t="s">
        <v>1215</v>
      </c>
      <c r="P14" s="1555" t="s">
        <v>1278</v>
      </c>
      <c r="Q14" s="1555"/>
      <c r="R14" s="1540"/>
      <c r="T14" s="1227"/>
      <c r="U14" s="17"/>
      <c r="V14" s="1262" t="s">
        <v>1279</v>
      </c>
      <c r="X14" s="988" t="str">
        <f>ESt!I41</f>
        <v>FAG MAKE</v>
      </c>
      <c r="Y14" s="1556"/>
      <c r="Z14" s="1508"/>
      <c r="AA14" s="1431">
        <v>9</v>
      </c>
      <c r="AB14" s="1432" t="s">
        <v>2328</v>
      </c>
      <c r="AC14" s="1439" t="str">
        <f>'E Data'!D28</f>
        <v>Shrouded Type DSL</v>
      </c>
      <c r="AD14" s="1508"/>
      <c r="AE14" s="137"/>
      <c r="AH14" s="1230"/>
      <c r="AI14" s="1536"/>
      <c r="AJ14" s="1537"/>
      <c r="AK14" s="1537"/>
      <c r="AL14" s="1537"/>
      <c r="AM14" s="1537"/>
      <c r="AN14" s="1537"/>
      <c r="AO14" s="1519"/>
      <c r="AP14" s="1230"/>
      <c r="AQ14" s="1230"/>
      <c r="AR14" s="1496">
        <f t="shared" si="1"/>
        <v>14</v>
      </c>
      <c r="AS14" s="4089" t="s">
        <v>2672</v>
      </c>
      <c r="AT14" s="4089"/>
      <c r="AU14" s="4089"/>
      <c r="AV14" s="4089"/>
      <c r="AW14" s="4090" t="str">
        <f>R23&amp;"m/min Micro Motion through VFD"</f>
        <v>20m/min Micro Motion through VFD</v>
      </c>
      <c r="AX14" s="4091"/>
      <c r="AY14" s="4091"/>
      <c r="AZ14" s="4091"/>
      <c r="BA14" s="4091"/>
      <c r="BB14" s="4092"/>
    </row>
    <row r="15" spans="1:54" ht="17.100000000000001" customHeight="1" thickBot="1">
      <c r="A15" s="4056"/>
      <c r="B15" s="4057"/>
      <c r="C15" s="143"/>
      <c r="D15" s="3581"/>
      <c r="E15" s="4006"/>
      <c r="F15" s="4060"/>
      <c r="G15" s="1569">
        <f>CT_HP!$I$26</f>
        <v>10</v>
      </c>
      <c r="H15" s="1570">
        <f>LT_HP!I30</f>
        <v>10</v>
      </c>
      <c r="I15" s="1230"/>
      <c r="J15" s="17"/>
      <c r="K15" s="17"/>
      <c r="L15" s="1525">
        <f>G25</f>
        <v>2</v>
      </c>
      <c r="M15" s="80" t="s">
        <v>1280</v>
      </c>
      <c r="N15" s="1539" t="s">
        <v>1281</v>
      </c>
      <c r="O15" s="1533" t="s">
        <v>1215</v>
      </c>
      <c r="P15" s="1555" t="s">
        <v>1282</v>
      </c>
      <c r="Q15" s="1555"/>
      <c r="R15" s="1571"/>
      <c r="S15" s="1572"/>
      <c r="T15" s="1506"/>
      <c r="U15" s="17"/>
      <c r="V15" s="1262" t="s">
        <v>1283</v>
      </c>
      <c r="X15" s="988" t="str">
        <f>ESt!I45</f>
        <v/>
      </c>
      <c r="Y15" s="1556"/>
      <c r="Z15" s="1508"/>
      <c r="AA15" s="1431">
        <v>10</v>
      </c>
      <c r="AB15" s="1432" t="s">
        <v>2329</v>
      </c>
      <c r="AC15" s="1434" t="str">
        <f>'E Data'!D32&amp;"°C"</f>
        <v>50°C</v>
      </c>
      <c r="AD15" s="1508"/>
      <c r="AE15" s="137"/>
      <c r="AH15" s="1230"/>
      <c r="AI15" s="1518">
        <v>3</v>
      </c>
      <c r="AJ15" s="1519">
        <v>1</v>
      </c>
      <c r="AK15" s="1520" t="s">
        <v>1284</v>
      </c>
      <c r="AL15" s="1521">
        <v>22212</v>
      </c>
      <c r="AM15" s="1522" t="s">
        <v>1285</v>
      </c>
      <c r="AN15" s="1522" t="s">
        <v>1286</v>
      </c>
      <c r="AO15" s="1519" t="s">
        <v>1226</v>
      </c>
      <c r="AP15" s="1230"/>
      <c r="AQ15" s="1230"/>
      <c r="AR15" s="1496">
        <f t="shared" si="1"/>
        <v>15</v>
      </c>
      <c r="AS15" s="4089" t="s">
        <v>2673</v>
      </c>
      <c r="AT15" s="4089"/>
      <c r="AU15" s="4089"/>
      <c r="AV15" s="4089"/>
      <c r="AW15" s="4090" t="str">
        <f>S23&amp;"m/min Micro Motion through VFD"</f>
        <v>25m/min Micro Motion through VFD</v>
      </c>
      <c r="AX15" s="4091"/>
      <c r="AY15" s="4091"/>
      <c r="AZ15" s="4091"/>
      <c r="BA15" s="4091"/>
      <c r="BB15" s="4092"/>
    </row>
    <row r="16" spans="1:54" ht="17.100000000000001" customHeight="1" thickBot="1">
      <c r="A16" s="4065" t="s">
        <v>1287</v>
      </c>
      <c r="B16" s="4066"/>
      <c r="C16" s="1427">
        <f>'E Data'!D36</f>
        <v>3</v>
      </c>
      <c r="D16" s="3581">
        <f>'E Data'!D37</f>
        <v>5</v>
      </c>
      <c r="E16" s="4057"/>
      <c r="F16" s="4057"/>
      <c r="G16" s="1427">
        <f>'E Data'!D38</f>
        <v>20</v>
      </c>
      <c r="H16" s="66">
        <f>'E Data'!D39</f>
        <v>25</v>
      </c>
      <c r="I16" s="1230"/>
      <c r="K16" s="17"/>
      <c r="L16" s="1502">
        <f>H25</f>
        <v>2</v>
      </c>
      <c r="M16" s="1100" t="s">
        <v>1288</v>
      </c>
      <c r="N16" s="1539" t="s">
        <v>1289</v>
      </c>
      <c r="O16" s="1533" t="s">
        <v>1215</v>
      </c>
      <c r="P16" s="1534" t="str">
        <f>'E Data'!D17&amp;"m"</f>
        <v>100m</v>
      </c>
      <c r="Q16" s="1555"/>
      <c r="T16" s="326"/>
      <c r="U16" s="17"/>
      <c r="V16" s="1262" t="s">
        <v>1290</v>
      </c>
      <c r="X16" s="988" t="str">
        <f>ESt!I157</f>
        <v>Reputed Make</v>
      </c>
      <c r="Y16" s="1556"/>
      <c r="Z16" s="1508"/>
      <c r="AA16" s="1431">
        <v>11</v>
      </c>
      <c r="AB16" s="1432" t="s">
        <v>91</v>
      </c>
      <c r="AC16" s="1434" t="str">
        <f>'E Data'!D29</f>
        <v>Indoor</v>
      </c>
      <c r="AD16" s="1508"/>
      <c r="AE16" s="137"/>
      <c r="AH16" s="1230"/>
      <c r="AI16" s="1526"/>
      <c r="AJ16" s="1519">
        <v>2</v>
      </c>
      <c r="AK16" s="1520" t="s">
        <v>1291</v>
      </c>
      <c r="AL16" s="1521" t="s">
        <v>1292</v>
      </c>
      <c r="AM16" s="1543"/>
      <c r="AN16" s="1543"/>
      <c r="AO16" s="1519" t="s">
        <v>1204</v>
      </c>
      <c r="AP16" s="1230"/>
      <c r="AQ16" s="1230"/>
      <c r="AR16" s="1496">
        <f t="shared" si="1"/>
        <v>16</v>
      </c>
      <c r="AS16" s="4089" t="s">
        <v>2674</v>
      </c>
      <c r="AT16" s="4089"/>
      <c r="AU16" s="4089"/>
      <c r="AV16" s="4089"/>
      <c r="AW16" s="4090" t="str">
        <f>C20&amp;"KW x " &amp;C25&amp;"Nos"</f>
        <v>18KW x 1Nos</v>
      </c>
      <c r="AX16" s="4091"/>
      <c r="AY16" s="4091"/>
      <c r="AZ16" s="4091"/>
      <c r="BA16" s="4091"/>
      <c r="BB16" s="4092"/>
    </row>
    <row r="17" spans="1:60" ht="17.100000000000001" customHeight="1" thickBot="1">
      <c r="A17" s="1573" t="s">
        <v>991</v>
      </c>
      <c r="B17" s="1574" t="s">
        <v>100</v>
      </c>
      <c r="C17" s="1575" t="str">
        <f>MH!I34</f>
        <v>Sq. Cage Motor</v>
      </c>
      <c r="D17" s="3582" t="str">
        <f>AH!I34</f>
        <v>Sq. Cage Motor</v>
      </c>
      <c r="E17" s="1576" t="s">
        <v>991</v>
      </c>
      <c r="F17" s="1577" t="s">
        <v>100</v>
      </c>
      <c r="G17" s="1575" t="str">
        <f>CT_HP!I40</f>
        <v>Sq. Cage Motor</v>
      </c>
      <c r="H17" s="1578" t="str">
        <f>LT_HP!I44</f>
        <v>Sq. Cage Motor</v>
      </c>
      <c r="I17" s="1230"/>
      <c r="J17" s="17"/>
      <c r="K17" s="17"/>
      <c r="L17" s="17"/>
      <c r="M17" s="1230"/>
      <c r="N17" s="1539" t="s">
        <v>99</v>
      </c>
      <c r="O17" s="1533" t="s">
        <v>1215</v>
      </c>
      <c r="P17" s="1534" t="str">
        <f>'E Data'!D46</f>
        <v>Pendant Push Button (Movable Type) + RRC (Push Button Type)</v>
      </c>
      <c r="Q17" s="1555"/>
      <c r="T17" s="326"/>
      <c r="U17" s="1579"/>
      <c r="V17" s="1580" t="s">
        <v>1293</v>
      </c>
      <c r="W17" s="121"/>
      <c r="X17" s="907" t="str">
        <f>ESt!I133</f>
        <v>SOC/KAKKU MAKE</v>
      </c>
      <c r="Y17" s="1581"/>
      <c r="Z17" s="137"/>
      <c r="AA17" s="1431">
        <v>12</v>
      </c>
      <c r="AB17" s="1432" t="s">
        <v>2330</v>
      </c>
      <c r="AC17" s="1435" t="str">
        <f>"Class-"&amp;'E Data'!E25&amp;" "&amp;'E Data'!D30</f>
        <v>Class-M5 IS 3177 -1999 &amp; IS 807/800</v>
      </c>
      <c r="AD17" s="137"/>
      <c r="AE17" s="137"/>
      <c r="AH17" s="1230"/>
      <c r="AI17" s="1526"/>
      <c r="AJ17" s="1519">
        <v>3</v>
      </c>
      <c r="AK17" s="1520" t="s">
        <v>1294</v>
      </c>
      <c r="AL17" s="1519"/>
      <c r="AM17" s="1527"/>
      <c r="AN17" s="1527"/>
      <c r="AO17" s="1519" t="s">
        <v>1210</v>
      </c>
      <c r="AP17" s="1230"/>
      <c r="AQ17" s="1230"/>
      <c r="AR17" s="1496">
        <f t="shared" si="1"/>
        <v>17</v>
      </c>
      <c r="AS17" s="4089" t="s">
        <v>2675</v>
      </c>
      <c r="AT17" s="4089"/>
      <c r="AU17" s="4089"/>
      <c r="AV17" s="4089"/>
      <c r="AW17" s="4090" t="str">
        <f>D20&amp;"KW x " &amp;D25&amp;"Nos"</f>
        <v>18KW x 1Nos</v>
      </c>
      <c r="AX17" s="4091"/>
      <c r="AY17" s="4091"/>
      <c r="AZ17" s="4091"/>
      <c r="BA17" s="4091"/>
      <c r="BB17" s="4092"/>
    </row>
    <row r="18" spans="1:60" ht="17.100000000000001" customHeight="1" thickBot="1">
      <c r="A18" s="1582" t="s">
        <v>1295</v>
      </c>
      <c r="B18" s="1230"/>
      <c r="C18" s="1583">
        <f>MH!J29</f>
        <v>14.857314197811444</v>
      </c>
      <c r="D18" s="3583">
        <f>AH!J29</f>
        <v>14.896296509977123</v>
      </c>
      <c r="E18" s="1584" t="s">
        <v>1295</v>
      </c>
      <c r="F18" s="1230"/>
      <c r="G18" s="1585">
        <f>CT_HP!J34</f>
        <v>0.56420859191046879</v>
      </c>
      <c r="H18" s="1586">
        <f>LT_HP!J38</f>
        <v>0.99625045964507308</v>
      </c>
      <c r="I18" s="1230"/>
      <c r="J18" s="17"/>
      <c r="K18" s="17"/>
      <c r="L18" s="17"/>
      <c r="M18" s="1230"/>
      <c r="Q18" s="1534"/>
      <c r="T18" s="326"/>
      <c r="U18" s="17"/>
      <c r="V18" s="22" t="str">
        <f>+"Design, Manufacturing &amp; Supply of "&amp;V20&amp;" capacity "&amp;V21&amp;" having span "&amp;P8&amp;" and height of lift for "&amp;V22&amp;" operated through "&amp;P17&amp;" and design as per "&amp;P12&amp;"; "&amp;P11&amp;" and other specifications as per attached technical data sheet"</f>
        <v>Design, Manufacturing &amp; Supply of D/G EOT CRANE   capacity 25/15T having span 15m and height of lift for Main hoist is15m &amp; Auxiliary hoist is 15m operated through Pendant Push Button (Movable Type) + RRC (Push Button Type) and design as per M5; IS 3177 -1999 &amp; IS 807/800 and other specifications as per attached technical data sheet</v>
      </c>
      <c r="Y18" s="137"/>
      <c r="Z18" s="137"/>
      <c r="AA18" s="1431">
        <v>13</v>
      </c>
      <c r="AB18" s="1432" t="s">
        <v>2331</v>
      </c>
      <c r="AC18" s="1439"/>
      <c r="AD18" s="137"/>
      <c r="AE18" s="137"/>
      <c r="AH18" s="1230"/>
      <c r="AI18" s="1536"/>
      <c r="AJ18" s="1537"/>
      <c r="AK18" s="1537"/>
      <c r="AL18" s="1537"/>
      <c r="AM18" s="1537"/>
      <c r="AN18" s="1537"/>
      <c r="AO18" s="1519"/>
      <c r="AP18" s="1230"/>
      <c r="AQ18" s="1230"/>
      <c r="AR18" s="1496">
        <f t="shared" si="1"/>
        <v>18</v>
      </c>
      <c r="AS18" s="4089" t="s">
        <v>2676</v>
      </c>
      <c r="AT18" s="4089"/>
      <c r="AU18" s="4089"/>
      <c r="AV18" s="4089"/>
      <c r="AW18" s="4090" t="str">
        <f>G20&amp;"KW x " &amp;G25&amp;"Nos"</f>
        <v>1.1KW x 2Nos</v>
      </c>
      <c r="AX18" s="4091"/>
      <c r="AY18" s="4091"/>
      <c r="AZ18" s="4091"/>
      <c r="BA18" s="4091"/>
      <c r="BB18" s="4092"/>
    </row>
    <row r="19" spans="1:60" ht="17.100000000000001" customHeight="1" thickBot="1">
      <c r="A19" s="1582" t="s">
        <v>1296</v>
      </c>
      <c r="B19" s="1587" t="s">
        <v>250</v>
      </c>
      <c r="C19" s="1461">
        <f>MH!I30</f>
        <v>14.931600768800502</v>
      </c>
      <c r="D19" s="3583">
        <f>AH!I30</f>
        <v>14.970777992527008</v>
      </c>
      <c r="E19" s="1584" t="s">
        <v>1296</v>
      </c>
      <c r="F19" s="1587" t="s">
        <v>250</v>
      </c>
      <c r="G19" s="1589">
        <f>CT_HP!I35</f>
        <v>0.7475763842813713</v>
      </c>
      <c r="H19" s="1590">
        <f>LT_HP!I39</f>
        <v>1.2453130745563414</v>
      </c>
      <c r="I19" s="1230"/>
      <c r="J19" s="17"/>
      <c r="K19" s="17"/>
      <c r="L19" s="17"/>
      <c r="M19" s="1230"/>
      <c r="N19" s="1539"/>
      <c r="O19" s="1555"/>
      <c r="P19" s="1534"/>
      <c r="Q19" s="1534"/>
      <c r="T19" s="326"/>
      <c r="U19" s="17"/>
      <c r="Y19" s="137"/>
      <c r="Z19" s="137"/>
      <c r="AA19" s="1431"/>
      <c r="AB19" s="1439" t="s">
        <v>1274</v>
      </c>
      <c r="AC19" s="1439" t="str">
        <f>'E Data'!D36&amp;" m/min"</f>
        <v>3 m/min</v>
      </c>
      <c r="AD19" s="137"/>
      <c r="AE19" s="137"/>
      <c r="AH19" s="1230"/>
      <c r="AI19" s="1591"/>
      <c r="AJ19" s="1537"/>
      <c r="AK19" s="1537"/>
      <c r="AL19" s="1592"/>
      <c r="AM19" s="1592"/>
      <c r="AN19" s="1592"/>
      <c r="AO19" s="1519"/>
      <c r="AP19" s="1230"/>
      <c r="AQ19" s="1230"/>
      <c r="AR19" s="1496">
        <f t="shared" si="1"/>
        <v>19</v>
      </c>
      <c r="AS19" s="4089" t="s">
        <v>2677</v>
      </c>
      <c r="AT19" s="4089"/>
      <c r="AU19" s="4089"/>
      <c r="AV19" s="4089"/>
      <c r="AW19" s="4090" t="str">
        <f>H20&amp;"KW x " &amp;H25&amp;"Nos"</f>
        <v>2.2KW x 2Nos</v>
      </c>
      <c r="AX19" s="4091"/>
      <c r="AY19" s="4091"/>
      <c r="AZ19" s="4091"/>
      <c r="BA19" s="4091"/>
      <c r="BB19" s="4092"/>
    </row>
    <row r="20" spans="1:60" ht="17.100000000000001" customHeight="1" thickBot="1">
      <c r="A20" s="1262" t="s">
        <v>1297</v>
      </c>
      <c r="B20" s="1593">
        <f>MH!H30</f>
        <v>0</v>
      </c>
      <c r="C20" s="1594">
        <f>MH!I41</f>
        <v>18</v>
      </c>
      <c r="D20" s="3584">
        <f>AH!I41</f>
        <v>18</v>
      </c>
      <c r="E20" s="1595" t="s">
        <v>1297</v>
      </c>
      <c r="F20" s="1596">
        <f>CT_HP!H35</f>
        <v>0</v>
      </c>
      <c r="G20" s="1594">
        <f>CT_HP!I49</f>
        <v>1.1000000000000001</v>
      </c>
      <c r="H20" s="1597">
        <f>LT_HP!I53</f>
        <v>2.2000000000000002</v>
      </c>
      <c r="I20" s="1230"/>
      <c r="J20" s="17"/>
      <c r="K20" s="17"/>
      <c r="L20" s="17"/>
      <c r="M20" s="1230"/>
      <c r="N20" s="1442" t="s">
        <v>2752</v>
      </c>
      <c r="O20" s="1555"/>
      <c r="P20" s="17"/>
      <c r="S20" s="17"/>
      <c r="T20" s="1287"/>
      <c r="U20" s="17"/>
      <c r="V20" s="22" t="str">
        <f>'E Data'!D10</f>
        <v xml:space="preserve">D/G EOT CRANE  </v>
      </c>
      <c r="X20" s="137"/>
      <c r="Y20" s="137"/>
      <c r="Z20" s="137"/>
      <c r="AA20" s="1431"/>
      <c r="AB20" s="1439" t="s">
        <v>2332</v>
      </c>
      <c r="AC20" s="1439" t="str">
        <f>IF('E Data'!D14&gt;0,'E Data'!D37&amp;" m/min","N.A")</f>
        <v>5 m/min</v>
      </c>
      <c r="AD20" s="137"/>
      <c r="AE20" s="137"/>
      <c r="AH20" s="1230"/>
      <c r="AI20" s="1518">
        <v>4</v>
      </c>
      <c r="AJ20" s="1519">
        <v>1</v>
      </c>
      <c r="AK20" s="1520" t="s">
        <v>1298</v>
      </c>
      <c r="AL20" s="1521">
        <v>22214</v>
      </c>
      <c r="AM20" s="1522" t="s">
        <v>1299</v>
      </c>
      <c r="AN20" s="1522" t="s">
        <v>1300</v>
      </c>
      <c r="AO20" s="1519" t="s">
        <v>1204</v>
      </c>
      <c r="AP20" s="1230"/>
      <c r="AQ20" s="1230"/>
      <c r="AR20" s="1496">
        <f t="shared" si="1"/>
        <v>20</v>
      </c>
      <c r="AS20" s="4115" t="s">
        <v>836</v>
      </c>
      <c r="AT20" s="4116"/>
      <c r="AU20" s="4116"/>
      <c r="AV20" s="4117"/>
      <c r="AW20" s="4090" t="str">
        <f>C17 &amp;"  "&amp;P30&amp;"CDF,"&amp;P31&amp;"Starts/hr,"&amp;D26&amp;",  "&amp;A24&amp;"-"&amp;C24&amp;" "&amp;"Poles-"&amp;P28</f>
        <v>Sq. Cage Motor  40%CDF,150Starts/hr,IP-55,  Enclousure-TEFC Poles-6</v>
      </c>
      <c r="AX20" s="4091"/>
      <c r="AY20" s="4091"/>
      <c r="AZ20" s="4091"/>
      <c r="BA20" s="4091"/>
      <c r="BB20" s="4092"/>
      <c r="BC20" s="4111" t="str">
        <f>C17 &amp;"  "&amp;P30&amp;"CDF,"&amp;P31&amp;"Starts/hr,"&amp;D26&amp;",  "&amp;A24&amp;"-"&amp;C24&amp;" "&amp;"Poles-"&amp;P28</f>
        <v>Sq. Cage Motor  40%CDF,150Starts/hr,IP-55,  Enclousure-TEFC Poles-6</v>
      </c>
      <c r="BD20" s="4112"/>
      <c r="BE20" s="4112"/>
      <c r="BF20" s="4112"/>
      <c r="BG20" s="4112"/>
      <c r="BH20" s="4112"/>
    </row>
    <row r="21" spans="1:60" ht="24" customHeight="1" thickBot="1">
      <c r="A21" s="1598" t="s">
        <v>1301</v>
      </c>
      <c r="B21" s="1599"/>
      <c r="C21" s="1600" t="str">
        <f>MH!I40</f>
        <v>180L</v>
      </c>
      <c r="D21" s="3584" t="str">
        <f>AH!I40</f>
        <v>180L</v>
      </c>
      <c r="E21" s="1601" t="s">
        <v>1301</v>
      </c>
      <c r="F21" s="1602"/>
      <c r="G21" s="1603" t="str">
        <f>CT_HP!I48</f>
        <v>90S</v>
      </c>
      <c r="H21" s="1604" t="str">
        <f>LT_HP!I52</f>
        <v>100L</v>
      </c>
      <c r="I21" s="1230"/>
      <c r="J21" s="17"/>
      <c r="K21" s="17"/>
      <c r="L21" s="17"/>
      <c r="M21" s="1230"/>
      <c r="N21" s="1443"/>
      <c r="O21" s="17"/>
      <c r="P21" s="17"/>
      <c r="Q21" s="17"/>
      <c r="R21" s="17"/>
      <c r="S21" s="17"/>
      <c r="T21" s="1287"/>
      <c r="V21" s="22" t="str">
        <f>'E Data'!U6</f>
        <v>25/15T</v>
      </c>
      <c r="AA21" s="1431"/>
      <c r="AB21" s="1439" t="s">
        <v>1742</v>
      </c>
      <c r="AC21" s="1439" t="str">
        <f>'E Data'!D38&amp;" m/min"</f>
        <v>20 m/min</v>
      </c>
      <c r="AD21" s="137"/>
      <c r="AE21" s="137"/>
      <c r="AH21" s="1230"/>
      <c r="AI21" s="1518"/>
      <c r="AJ21" s="1519">
        <v>2</v>
      </c>
      <c r="AK21" s="1520" t="s">
        <v>1302</v>
      </c>
      <c r="AL21" s="1521" t="s">
        <v>1303</v>
      </c>
      <c r="AM21" s="1522"/>
      <c r="AN21" s="1522"/>
      <c r="AO21" s="1519" t="s">
        <v>1226</v>
      </c>
      <c r="AP21" s="1230"/>
      <c r="AQ21" s="1230"/>
      <c r="AR21" s="1496">
        <f t="shared" si="1"/>
        <v>21</v>
      </c>
      <c r="AS21" s="4118" t="s">
        <v>2678</v>
      </c>
      <c r="AT21" s="4089"/>
      <c r="AU21" s="4089"/>
      <c r="AV21" s="4089"/>
      <c r="AW21" s="4090" t="str">
        <f>C28&amp;" "&amp;C32&amp;"Dia "&amp;C31&amp;"Nos"</f>
        <v>EHT 200Dia 1Nos</v>
      </c>
      <c r="AX21" s="4091"/>
      <c r="AY21" s="4091"/>
      <c r="AZ21" s="4091"/>
      <c r="BA21" s="4091"/>
      <c r="BB21" s="4092"/>
      <c r="BC21" s="4113"/>
      <c r="BD21" s="4114"/>
      <c r="BE21" s="4114"/>
      <c r="BF21" s="4114"/>
      <c r="BG21" s="4114"/>
      <c r="BH21" s="4114"/>
    </row>
    <row r="22" spans="1:60" ht="17.100000000000001" customHeight="1" thickBot="1">
      <c r="A22" s="1582" t="s">
        <v>1304</v>
      </c>
      <c r="B22" s="1605"/>
      <c r="C22" s="1606">
        <f>MH!I37</f>
        <v>6</v>
      </c>
      <c r="D22" s="3585">
        <f>AH!I37</f>
        <v>6</v>
      </c>
      <c r="E22" s="1584" t="s">
        <v>1304</v>
      </c>
      <c r="F22" s="1595"/>
      <c r="G22" s="1608">
        <f>CT_HP!I43</f>
        <v>4</v>
      </c>
      <c r="H22" s="1609">
        <f>LT_HP!I47</f>
        <v>4</v>
      </c>
      <c r="I22" s="1230"/>
      <c r="J22" s="17"/>
      <c r="K22" s="17"/>
      <c r="L22" s="17"/>
      <c r="M22" s="1230"/>
      <c r="N22" s="1443" t="s">
        <v>811</v>
      </c>
      <c r="O22" s="17"/>
      <c r="P22" s="79" t="s">
        <v>1305</v>
      </c>
      <c r="Q22" s="79" t="s">
        <v>2403</v>
      </c>
      <c r="R22" s="79" t="s">
        <v>1306</v>
      </c>
      <c r="S22" s="981" t="s">
        <v>1307</v>
      </c>
      <c r="T22" s="1287"/>
      <c r="V22" s="22" t="str">
        <f>+'E Data'!U7</f>
        <v>Main hoist is15m &amp; Auxiliary hoist is 15m</v>
      </c>
      <c r="AA22" s="1431"/>
      <c r="AB22" s="1439" t="s">
        <v>2333</v>
      </c>
      <c r="AC22" s="1439" t="str">
        <f>'E Data'!D39&amp;" m/min"</f>
        <v>25 m/min</v>
      </c>
      <c r="AD22" s="137"/>
      <c r="AE22" s="137"/>
      <c r="AH22" s="1230"/>
      <c r="AI22" s="1526"/>
      <c r="AJ22" s="1519"/>
      <c r="AK22" s="1520"/>
      <c r="AL22" s="1521"/>
      <c r="AM22" s="1543"/>
      <c r="AN22" s="1543"/>
      <c r="AO22" s="1519"/>
      <c r="AP22" s="1230"/>
      <c r="AQ22" s="1230"/>
      <c r="AR22" s="1496">
        <f t="shared" si="1"/>
        <v>22</v>
      </c>
      <c r="AS22" s="4118" t="s">
        <v>2679</v>
      </c>
      <c r="AT22" s="4089"/>
      <c r="AU22" s="4089"/>
      <c r="AV22" s="4089"/>
      <c r="AW22" s="4090" t="str">
        <f>D28&amp;" "&amp;D32&amp;"Dia "&amp;D31&amp;"Nos"</f>
        <v>EHT 200Dia 1Nos</v>
      </c>
      <c r="AX22" s="4091"/>
      <c r="AY22" s="4091"/>
      <c r="AZ22" s="4091"/>
      <c r="BA22" s="4091"/>
      <c r="BB22" s="4092"/>
    </row>
    <row r="23" spans="1:60" ht="17.100000000000001" customHeight="1" thickBot="1">
      <c r="A23" s="1582" t="s">
        <v>121</v>
      </c>
      <c r="B23" s="83"/>
      <c r="C23" s="1459">
        <f>MH!I42</f>
        <v>960</v>
      </c>
      <c r="D23" s="3586">
        <f>AH!I42</f>
        <v>960</v>
      </c>
      <c r="E23" s="1584" t="s">
        <v>121</v>
      </c>
      <c r="F23" s="1611"/>
      <c r="G23" s="1459">
        <f>CT_HP!I50</f>
        <v>1440</v>
      </c>
      <c r="H23" s="1227">
        <f>LT_HP!I54</f>
        <v>1440</v>
      </c>
      <c r="I23" s="1230"/>
      <c r="J23" s="17"/>
      <c r="K23" s="17"/>
      <c r="L23" s="17"/>
      <c r="M23" s="1230"/>
      <c r="N23" s="1443" t="s">
        <v>1308</v>
      </c>
      <c r="O23" s="17" t="s">
        <v>1309</v>
      </c>
      <c r="P23" s="179">
        <f>'E Data'!D36</f>
        <v>3</v>
      </c>
      <c r="Q23" s="179">
        <f>IF(G4&gt;0,'E Data'!D37,"N.A")</f>
        <v>5</v>
      </c>
      <c r="R23" s="179">
        <f>'E Data'!D38</f>
        <v>20</v>
      </c>
      <c r="S23" s="179">
        <f>'E Data'!D39</f>
        <v>25</v>
      </c>
      <c r="T23" s="1287"/>
      <c r="U23" s="22" t="b">
        <f>P23=C16</f>
        <v>1</v>
      </c>
      <c r="V23" s="22" t="b">
        <f>Q23=D16</f>
        <v>1</v>
      </c>
      <c r="W23" s="22" t="b">
        <f>G16=R23</f>
        <v>1</v>
      </c>
      <c r="X23" s="22" t="b">
        <f>H16=S23</f>
        <v>1</v>
      </c>
      <c r="Y23" s="22" t="str">
        <f>IF('E Data'!$D$14&gt;0,IF(U23=V23=W23=X23=TRUE,"Right","Wrong"),IF(U23=W23=X23=TRUE,"Right","Wrong"))</f>
        <v>Right</v>
      </c>
      <c r="AA23" s="1431"/>
      <c r="AB23" s="1439" t="s">
        <v>2334</v>
      </c>
      <c r="AC23" s="1439" t="s">
        <v>2335</v>
      </c>
      <c r="AD23" s="137"/>
      <c r="AE23" s="137"/>
      <c r="AH23" s="1230"/>
      <c r="AI23" s="1526"/>
      <c r="AJ23" s="1519">
        <v>3</v>
      </c>
      <c r="AK23" s="1520" t="s">
        <v>1310</v>
      </c>
      <c r="AL23" s="1521"/>
      <c r="AM23" s="1543"/>
      <c r="AN23" s="1527"/>
      <c r="AO23" s="1519" t="s">
        <v>1210</v>
      </c>
      <c r="AP23" s="1230"/>
      <c r="AQ23" s="1230"/>
      <c r="AR23" s="1496">
        <f t="shared" si="1"/>
        <v>23</v>
      </c>
      <c r="AS23" s="4118" t="s">
        <v>2680</v>
      </c>
      <c r="AT23" s="4089"/>
      <c r="AU23" s="4089"/>
      <c r="AV23" s="4089"/>
      <c r="AW23" s="4090" t="str">
        <f>IF(BE23=1,BC23,"EM Disc type brake inbuilt in geared brake motor")</f>
        <v>EM Disc type brake inbuilt in geared brake motor</v>
      </c>
      <c r="AX23" s="4091"/>
      <c r="AY23" s="4091"/>
      <c r="AZ23" s="4091"/>
      <c r="BA23" s="4091"/>
      <c r="BB23" s="4092"/>
      <c r="BC23" s="22" t="str">
        <f>G28&amp;" "&amp;G32&amp;"Dia "&amp;G31&amp;"Nos"</f>
        <v>EHT 160Dia 1Nos</v>
      </c>
      <c r="BE23" s="22">
        <f>+O37</f>
        <v>0</v>
      </c>
    </row>
    <row r="24" spans="1:60" ht="17.100000000000001" customHeight="1" thickBot="1">
      <c r="A24" s="1582" t="s">
        <v>1311</v>
      </c>
      <c r="B24" s="83"/>
      <c r="C24" s="1459" t="str">
        <f>MH!I47</f>
        <v>TEFC</v>
      </c>
      <c r="D24" s="3586" t="str">
        <f>AH!I47</f>
        <v>TEFC</v>
      </c>
      <c r="E24" s="1584" t="s">
        <v>1311</v>
      </c>
      <c r="F24" s="1611"/>
      <c r="G24" s="1459" t="str">
        <f>CT_HP!I56</f>
        <v>TEFC</v>
      </c>
      <c r="H24" s="1227" t="str">
        <f>G24</f>
        <v>TEFC</v>
      </c>
      <c r="I24" s="1230"/>
      <c r="J24" s="17"/>
      <c r="K24" s="17"/>
      <c r="L24" s="17"/>
      <c r="M24" s="1230"/>
      <c r="N24" s="1443" t="str">
        <f>IF(MH!I34="Sq. Cage Motor","Creep Speed",IF(MH!I34="Slipring",""))</f>
        <v>Creep Speed</v>
      </c>
      <c r="O24" s="17" t="str">
        <f>IF(MH!I34="Sq. Cage Motor","m/min.",IF(MH!I34="Slipring",""))</f>
        <v>m/min.</v>
      </c>
      <c r="P24" s="4102" t="str">
        <f>IF(MH!I34="Sq. Cage Motor","10-100% of Main Speed through VVVF Drive",IF(MH!I34="Slipring",""))</f>
        <v>10-100% of Main Speed through VVVF Drive</v>
      </c>
      <c r="Q24" s="4102"/>
      <c r="R24" s="4102"/>
      <c r="S24" s="4102"/>
      <c r="T24" s="1287"/>
      <c r="AA24" s="1431">
        <v>14</v>
      </c>
      <c r="AB24" s="1432" t="s">
        <v>2336</v>
      </c>
      <c r="AC24" s="1444" t="str">
        <f>'E Data'!D46</f>
        <v>Pendant Push Button (Movable Type) + RRC (Push Button Type)</v>
      </c>
      <c r="AD24" s="137"/>
      <c r="AE24" s="137"/>
      <c r="AH24" s="1230"/>
      <c r="AI24" s="1526"/>
      <c r="AJ24" s="1519"/>
      <c r="AK24" s="1520"/>
      <c r="AL24" s="1521"/>
      <c r="AM24" s="1543"/>
      <c r="AN24" s="1543"/>
      <c r="AO24" s="1519"/>
      <c r="AP24" s="1230"/>
      <c r="AQ24" s="1230"/>
      <c r="AR24" s="1496">
        <f t="shared" si="1"/>
        <v>24</v>
      </c>
      <c r="AS24" s="4118" t="s">
        <v>2681</v>
      </c>
      <c r="AT24" s="4089"/>
      <c r="AU24" s="4089"/>
      <c r="AV24" s="4089"/>
      <c r="AW24" s="4090" t="str">
        <f>IF(BE24=1,BC24,"EM Disc type brake inbuilt in geared brake motor")</f>
        <v>EM Disc type brake inbuilt in geared brake motor</v>
      </c>
      <c r="AX24" s="4091"/>
      <c r="AY24" s="4091"/>
      <c r="AZ24" s="4091"/>
      <c r="BA24" s="4091"/>
      <c r="BB24" s="4092"/>
      <c r="BC24" s="22" t="str">
        <f>H28&amp;" "&amp;H32&amp;"Dia "&amp;H31&amp;"Nos"</f>
        <v>EHT 160Dia 2Nos</v>
      </c>
      <c r="BE24" s="22">
        <f>+O38</f>
        <v>0</v>
      </c>
    </row>
    <row r="25" spans="1:60" ht="17.100000000000001" customHeight="1" thickBot="1">
      <c r="A25" s="1582" t="s">
        <v>638</v>
      </c>
      <c r="B25" s="83"/>
      <c r="C25" s="1459">
        <f>MH!I16</f>
        <v>1</v>
      </c>
      <c r="D25" s="3586">
        <f>AH!I16</f>
        <v>1</v>
      </c>
      <c r="E25" s="1584" t="s">
        <v>638</v>
      </c>
      <c r="F25" s="1612"/>
      <c r="G25" s="1459">
        <f>CT_HP!I46</f>
        <v>2</v>
      </c>
      <c r="H25" s="1227">
        <f>LT_HP!I50</f>
        <v>2</v>
      </c>
      <c r="I25" s="1230"/>
      <c r="J25" s="17"/>
      <c r="K25" s="17"/>
      <c r="L25" s="17"/>
      <c r="M25" s="1230"/>
      <c r="N25" s="1443" t="s">
        <v>991</v>
      </c>
      <c r="O25" s="17"/>
      <c r="P25" s="17"/>
      <c r="Q25" s="17"/>
      <c r="R25" s="17"/>
      <c r="S25" s="17"/>
      <c r="T25" s="1287"/>
      <c r="AA25" s="1431">
        <v>15</v>
      </c>
      <c r="AB25" s="1432" t="s">
        <v>2337</v>
      </c>
      <c r="AC25" s="1439" t="s">
        <v>2567</v>
      </c>
      <c r="AD25" s="137"/>
      <c r="AE25" s="137"/>
      <c r="AH25" s="1230"/>
      <c r="AI25" s="1526"/>
      <c r="AJ25" s="1519">
        <v>4</v>
      </c>
      <c r="AK25" s="1520" t="s">
        <v>1312</v>
      </c>
      <c r="AL25" s="1521"/>
      <c r="AM25" s="1543"/>
      <c r="AN25" s="1522" t="s">
        <v>1313</v>
      </c>
      <c r="AO25" s="1519" t="s">
        <v>1257</v>
      </c>
      <c r="AP25" s="1230"/>
      <c r="AQ25" s="1230"/>
      <c r="AR25" s="1496">
        <f>+AR24+1</f>
        <v>25</v>
      </c>
      <c r="AS25" s="4118" t="s">
        <v>2682</v>
      </c>
      <c r="AT25" s="4089"/>
      <c r="AU25" s="4089"/>
      <c r="AV25" s="4089"/>
      <c r="AW25" s="4119" t="str">
        <f>+C35&amp;":1"</f>
        <v>190.4:1</v>
      </c>
      <c r="AX25" s="4091"/>
      <c r="AY25" s="4091"/>
      <c r="AZ25" s="4091"/>
      <c r="BA25" s="4091"/>
      <c r="BB25" s="4092"/>
    </row>
    <row r="26" spans="1:60" ht="17.100000000000001" customHeight="1" thickBot="1">
      <c r="A26" s="1582" t="s">
        <v>1314</v>
      </c>
      <c r="B26" s="83"/>
      <c r="C26" s="1459" t="str">
        <f>MH!I48</f>
        <v>IP-55</v>
      </c>
      <c r="D26" s="3586" t="str">
        <f>AH!I48</f>
        <v>IP-55</v>
      </c>
      <c r="E26" s="1584" t="s">
        <v>1314</v>
      </c>
      <c r="F26" s="1595"/>
      <c r="G26" s="1459" t="str">
        <f>CT_HP!I57</f>
        <v>IP-55</v>
      </c>
      <c r="H26" s="1227" t="str">
        <f>LT_HP!I61</f>
        <v>IP-55</v>
      </c>
      <c r="I26" s="1230"/>
      <c r="J26" s="17"/>
      <c r="K26" s="17"/>
      <c r="L26" s="17"/>
      <c r="M26" s="1230"/>
      <c r="N26" s="1442" t="s">
        <v>100</v>
      </c>
      <c r="O26" s="17"/>
      <c r="P26" s="79" t="str">
        <f>IF(MH!I34="Sq. Cage Motor","Sq. Cage",IF(MH!I34="Slipring","Slip Ring"))</f>
        <v>Sq. Cage</v>
      </c>
      <c r="Q26" s="79" t="str">
        <f>IF(G4&gt;0,IF(AH!I34="Sq. Cage Motor","Sq. Cage",IF(AH!I34="Slipring","Slip Ring")),"N.A")</f>
        <v>Sq. Cage</v>
      </c>
      <c r="R26" s="79" t="str">
        <f>IF(CT_HP!I40="Sq. Cage Motor","Sq. Cage",IF(CT_HP!I40="Slipring","Slip Ring"))</f>
        <v>Sq. Cage</v>
      </c>
      <c r="S26" s="79" t="str">
        <f>IF(LT_HP!I44="Sq. Cage Motor","Sq. Cage",IF(LT_HP!I44="Slipring","Slip Ring"))</f>
        <v>Sq. Cage</v>
      </c>
      <c r="T26" s="1287"/>
      <c r="AA26" s="1431">
        <v>16</v>
      </c>
      <c r="AB26" s="1432" t="s">
        <v>2338</v>
      </c>
      <c r="AC26" s="1439" t="str">
        <f>'E Data'!D21&amp;" mtr"</f>
        <v>- mtr</v>
      </c>
      <c r="AD26" s="137"/>
      <c r="AE26" s="137"/>
      <c r="AH26" s="1230"/>
      <c r="AI26" s="1526"/>
      <c r="AJ26" s="1519">
        <v>5</v>
      </c>
      <c r="AK26" s="1520" t="s">
        <v>1315</v>
      </c>
      <c r="AL26" s="1521"/>
      <c r="AM26" s="1543"/>
      <c r="AN26" s="1543"/>
      <c r="AO26" s="1519" t="s">
        <v>1265</v>
      </c>
      <c r="AP26" s="1230"/>
      <c r="AQ26" s="1230"/>
      <c r="AR26" s="1496">
        <f t="shared" ref="AR26:AR30" si="2">+AR25+1</f>
        <v>26</v>
      </c>
      <c r="AS26" s="4118" t="s">
        <v>2683</v>
      </c>
      <c r="AT26" s="4089"/>
      <c r="AU26" s="4089"/>
      <c r="AV26" s="4089"/>
      <c r="AW26" s="4119" t="str">
        <f>D35&amp;":1"</f>
        <v>129.8:1</v>
      </c>
      <c r="AX26" s="4091"/>
      <c r="AY26" s="4091"/>
      <c r="AZ26" s="4091"/>
      <c r="BA26" s="4091"/>
      <c r="BB26" s="4092"/>
    </row>
    <row r="27" spans="1:60" ht="17.100000000000001" customHeight="1" thickBot="1">
      <c r="A27" s="1582" t="s">
        <v>1316</v>
      </c>
      <c r="B27" s="83"/>
      <c r="C27" s="1458" t="str">
        <f>MH!I38*100&amp;"%"&amp;" / "&amp;MH!I39</f>
        <v>40% / 150</v>
      </c>
      <c r="D27" s="3586" t="str">
        <f>AH!I38*100&amp;"%"&amp;" / "&amp;AH!I39</f>
        <v>40% / 150</v>
      </c>
      <c r="E27" s="1584" t="s">
        <v>1317</v>
      </c>
      <c r="F27" s="1595"/>
      <c r="G27" s="1458" t="str">
        <f>CT_HP!I44&amp;" / "&amp;CT_HP!I45</f>
        <v>S1-100 / 150</v>
      </c>
      <c r="H27" s="1227" t="str">
        <f>LT_HP!I48&amp;" / "&amp;LT_HP!I49</f>
        <v>S1-100 / 150</v>
      </c>
      <c r="I27" s="1230"/>
      <c r="J27" s="17"/>
      <c r="K27" s="17"/>
      <c r="L27" s="17"/>
      <c r="M27" s="1230"/>
      <c r="N27" s="1442" t="s">
        <v>2753</v>
      </c>
      <c r="O27" s="17" t="s">
        <v>1318</v>
      </c>
      <c r="P27" s="1445">
        <f>MH!J29</f>
        <v>14.857314197811444</v>
      </c>
      <c r="Q27" s="1445">
        <f>IF(G4&gt;0,AH!J29,"N.A")</f>
        <v>14.896296509977123</v>
      </c>
      <c r="R27" s="1445">
        <f>CT_HP!J34</f>
        <v>0.56420859191046879</v>
      </c>
      <c r="S27" s="1445">
        <f>LT_HP!J38</f>
        <v>0.99625045964507308</v>
      </c>
      <c r="T27" s="1287"/>
      <c r="U27" s="22" t="b">
        <f>P27=C18</f>
        <v>1</v>
      </c>
      <c r="V27" s="22" t="b">
        <f>Q27=D18</f>
        <v>1</v>
      </c>
      <c r="W27" s="22" t="b">
        <f>R27=G18</f>
        <v>1</v>
      </c>
      <c r="X27" s="22" t="b">
        <f>S27=H18</f>
        <v>1</v>
      </c>
      <c r="Y27" s="22" t="str">
        <f>IF('E Data'!$D$14&gt;0,IF(U27=V27=W27=X27=TRUE,"Right","Wrong"),IF(U27=W27=X27=TRUE,"Right","Wrong"))</f>
        <v>Right</v>
      </c>
      <c r="AA27" s="1431">
        <v>17</v>
      </c>
      <c r="AB27" s="1432" t="s">
        <v>2339</v>
      </c>
      <c r="AC27" s="1439" t="s">
        <v>2340</v>
      </c>
      <c r="AD27" s="137"/>
      <c r="AE27" s="137"/>
      <c r="AH27" s="1230"/>
      <c r="AI27" s="1526"/>
      <c r="AJ27" s="1519">
        <v>6</v>
      </c>
      <c r="AK27" s="1520" t="s">
        <v>1319</v>
      </c>
      <c r="AL27" s="1519"/>
      <c r="AM27" s="1527"/>
      <c r="AN27" s="1527"/>
      <c r="AO27" s="1519" t="s">
        <v>1272</v>
      </c>
      <c r="AP27" s="1230"/>
      <c r="AQ27" s="1230"/>
      <c r="AR27" s="1496">
        <f t="shared" si="2"/>
        <v>27</v>
      </c>
      <c r="AS27" s="4118" t="s">
        <v>2684</v>
      </c>
      <c r="AT27" s="4089"/>
      <c r="AU27" s="4089"/>
      <c r="AV27" s="4089"/>
      <c r="AW27" s="4119" t="str">
        <f>IF(BE23=1,BC27,"Inline with helical type inbluit in geared brake motor")</f>
        <v>Inline with helical type inbluit in geared brake motor</v>
      </c>
      <c r="AX27" s="4091"/>
      <c r="AY27" s="4091"/>
      <c r="AZ27" s="4091"/>
      <c r="BA27" s="4091"/>
      <c r="BB27" s="4092"/>
      <c r="BC27" s="4119" t="str">
        <f>+G35&amp;":1"</f>
        <v>68.3:1</v>
      </c>
      <c r="BD27" s="4091"/>
      <c r="BE27" s="4091"/>
      <c r="BF27" s="4091"/>
      <c r="BG27" s="4091"/>
      <c r="BH27" s="4092"/>
    </row>
    <row r="28" spans="1:60" ht="17.100000000000001" customHeight="1" thickBot="1">
      <c r="A28" s="1573" t="s">
        <v>1320</v>
      </c>
      <c r="B28" s="1613" t="s">
        <v>100</v>
      </c>
      <c r="C28" s="1614" t="str">
        <f>MH!I69</f>
        <v>EHT</v>
      </c>
      <c r="D28" s="3587" t="str">
        <f>AH!I69</f>
        <v>EHT</v>
      </c>
      <c r="E28" s="1615" t="s">
        <v>1320</v>
      </c>
      <c r="F28" s="1613" t="s">
        <v>100</v>
      </c>
      <c r="G28" s="3590" t="str">
        <f>CT_HP!H75</f>
        <v>EHT</v>
      </c>
      <c r="H28" s="3605" t="str">
        <f>LT_HP!H81</f>
        <v>EHT</v>
      </c>
      <c r="I28" s="1230"/>
      <c r="J28" s="17"/>
      <c r="K28" s="17"/>
      <c r="L28" s="17"/>
      <c r="M28" s="1230"/>
      <c r="N28" s="1442" t="s">
        <v>1321</v>
      </c>
      <c r="O28" s="17"/>
      <c r="P28" s="1359">
        <f>MH!I37</f>
        <v>6</v>
      </c>
      <c r="Q28" s="1359">
        <f>IF(G4&gt;0,AH!I37,"N.A")</f>
        <v>6</v>
      </c>
      <c r="R28" s="1359">
        <f>G22</f>
        <v>4</v>
      </c>
      <c r="S28" s="1359">
        <f>H22</f>
        <v>4</v>
      </c>
      <c r="T28" s="1287"/>
      <c r="U28" s="22" t="b">
        <f>P28=C22</f>
        <v>1</v>
      </c>
      <c r="V28" s="22" t="b">
        <f>Q28=D22</f>
        <v>1</v>
      </c>
      <c r="W28" s="22" t="b">
        <f>G22=R28</f>
        <v>1</v>
      </c>
      <c r="X28" s="22" t="b">
        <f>H22=S28</f>
        <v>1</v>
      </c>
      <c r="Y28" s="22" t="str">
        <f>IF('E Data'!$D$14&gt;0,IF(U28=V28=W28=X28=TRUE,"Right","Wrong"),IF(U28=W28=X28=TRUE,"Right","Wrong"))</f>
        <v>Right</v>
      </c>
      <c r="AA28" s="1431"/>
      <c r="AB28" s="1439" t="s">
        <v>2341</v>
      </c>
      <c r="AC28" s="1439" t="str">
        <f>'E Data'!E19&amp;" mtr / "&amp;'E Data'!F19&amp;" mtr"</f>
        <v>15 mtr / 0 mtr</v>
      </c>
      <c r="AD28" s="137"/>
      <c r="AE28" s="137"/>
      <c r="AH28" s="1230"/>
      <c r="AI28" s="1536"/>
      <c r="AJ28" s="1537"/>
      <c r="AK28" s="1537"/>
      <c r="AL28" s="1537"/>
      <c r="AM28" s="1537"/>
      <c r="AN28" s="1537"/>
      <c r="AO28" s="1519"/>
      <c r="AP28" s="1230"/>
      <c r="AQ28" s="1230"/>
      <c r="AR28" s="1496">
        <f t="shared" si="2"/>
        <v>28</v>
      </c>
      <c r="AS28" s="4118" t="s">
        <v>2685</v>
      </c>
      <c r="AT28" s="4089"/>
      <c r="AU28" s="4089"/>
      <c r="AV28" s="4089"/>
      <c r="AW28" s="4119" t="str">
        <f>IF(BE24=1,BC28,"Inline with helical type inbluit in geared brake motor")</f>
        <v>Inline with helical type inbluit in geared brake motor</v>
      </c>
      <c r="AX28" s="4091"/>
      <c r="AY28" s="4091"/>
      <c r="AZ28" s="4091"/>
      <c r="BA28" s="4091"/>
      <c r="BB28" s="4092"/>
      <c r="BC28" s="4119" t="str">
        <f>+H35&amp;":1"</f>
        <v>0:1</v>
      </c>
      <c r="BD28" s="4091"/>
      <c r="BE28" s="4091"/>
      <c r="BF28" s="4091"/>
      <c r="BG28" s="4091"/>
      <c r="BH28" s="4092"/>
    </row>
    <row r="29" spans="1:60" ht="17.100000000000001" customHeight="1" thickBot="1">
      <c r="A29" s="1582" t="s">
        <v>1322</v>
      </c>
      <c r="B29" s="1610"/>
      <c r="C29" s="1617">
        <f>MH!I66</f>
        <v>22.634189598228371</v>
      </c>
      <c r="D29" s="3588">
        <f>AH!I64</f>
        <v>22.693576714418274</v>
      </c>
      <c r="E29" s="1619" t="s">
        <v>1322</v>
      </c>
      <c r="F29" s="1610"/>
      <c r="G29" s="3583">
        <f>CT_HP!I72</f>
        <v>0.57302435115906991</v>
      </c>
      <c r="H29" s="3606">
        <f>LT_HP!I77</f>
        <v>0.84318072756418949</v>
      </c>
      <c r="I29" s="1230"/>
      <c r="J29" s="17"/>
      <c r="K29" s="17"/>
      <c r="L29" s="17"/>
      <c r="M29" s="1230"/>
      <c r="N29" s="1442" t="s">
        <v>1323</v>
      </c>
      <c r="O29" s="17" t="s">
        <v>121</v>
      </c>
      <c r="P29" s="179">
        <f>MH!I42</f>
        <v>960</v>
      </c>
      <c r="Q29" s="179">
        <f>IF(G4&gt;0,AH!I42,"N.A")</f>
        <v>960</v>
      </c>
      <c r="R29" s="179">
        <f>CT_HP!I50</f>
        <v>1440</v>
      </c>
      <c r="S29" s="179">
        <f>LT_HP!I54</f>
        <v>1440</v>
      </c>
      <c r="T29" s="1287"/>
      <c r="U29" s="22" t="b">
        <f>P29=C23</f>
        <v>1</v>
      </c>
      <c r="V29" s="22" t="b">
        <f>Q29=D23</f>
        <v>1</v>
      </c>
      <c r="W29" s="22" t="b">
        <f>G23=R29</f>
        <v>1</v>
      </c>
      <c r="X29" s="22" t="b">
        <f>H23=S29</f>
        <v>1</v>
      </c>
      <c r="Y29" s="22" t="str">
        <f>IF('E Data'!$D$14&gt;0,IF(U29=V29=W29=X29=TRUE,"Right","Wrong"),IF(U29=W29=X29=TRUE,"Right","Wrong"))</f>
        <v>Right</v>
      </c>
      <c r="AA29" s="1431"/>
      <c r="AB29" s="1439" t="s">
        <v>2332</v>
      </c>
      <c r="AC29" s="1439" t="str">
        <f>IF('E Data'!D14&gt;0,'E Data'!E20&amp;" mtr / "&amp;'E Data'!F20&amp;" mtr","N.A")</f>
        <v>15 mtr / 0 mtr</v>
      </c>
      <c r="AD29" s="137"/>
      <c r="AE29" s="137"/>
      <c r="AH29" s="1230"/>
      <c r="AI29" s="1518">
        <v>5</v>
      </c>
      <c r="AJ29" s="1519">
        <v>1</v>
      </c>
      <c r="AK29" s="1520" t="s">
        <v>1324</v>
      </c>
      <c r="AL29" s="1521">
        <v>22214</v>
      </c>
      <c r="AM29" s="1522" t="s">
        <v>1299</v>
      </c>
      <c r="AN29" s="1522" t="s">
        <v>1325</v>
      </c>
      <c r="AO29" s="1519" t="s">
        <v>1204</v>
      </c>
      <c r="AP29" s="1230"/>
      <c r="AQ29" s="1230"/>
      <c r="AR29" s="1496">
        <f t="shared" si="2"/>
        <v>29</v>
      </c>
      <c r="AS29" s="4118" t="s">
        <v>2686</v>
      </c>
      <c r="AT29" s="4089"/>
      <c r="AU29" s="4089"/>
      <c r="AV29" s="4089"/>
      <c r="AW29" s="4090" t="str">
        <f>+C33</f>
        <v>Helical</v>
      </c>
      <c r="AX29" s="4091"/>
      <c r="AY29" s="4091"/>
      <c r="AZ29" s="4091"/>
      <c r="BA29" s="4091"/>
      <c r="BB29" s="4092"/>
    </row>
    <row r="30" spans="1:60" ht="17.100000000000001" customHeight="1" thickBot="1">
      <c r="A30" s="1582" t="s">
        <v>1326</v>
      </c>
      <c r="B30" s="1610"/>
      <c r="C30" s="1617">
        <f>MH!I72</f>
        <v>32</v>
      </c>
      <c r="D30" s="3588">
        <f>AH!I72</f>
        <v>32</v>
      </c>
      <c r="E30" s="1619" t="s">
        <v>1326</v>
      </c>
      <c r="F30" s="1610"/>
      <c r="G30" s="3583">
        <f>CT_HP!H79</f>
        <v>9</v>
      </c>
      <c r="H30" s="3606">
        <f>LT_HP!H85</f>
        <v>9</v>
      </c>
      <c r="I30" s="1230"/>
      <c r="J30" s="17"/>
      <c r="K30" s="17"/>
      <c r="L30" s="17"/>
      <c r="M30" s="1230"/>
      <c r="N30" s="1442" t="s">
        <v>1327</v>
      </c>
      <c r="O30" s="17"/>
      <c r="P30" s="1446" t="str">
        <f>MH!I38</f>
        <v>40%</v>
      </c>
      <c r="Q30" s="1446" t="str">
        <f>IF(G4&gt;0,AH!I38,"N.A")</f>
        <v>40%</v>
      </c>
      <c r="R30" s="179" t="str">
        <f>CT_HP!I44</f>
        <v>S1-100</v>
      </c>
      <c r="S30" s="1447" t="str">
        <f>LT_HP!I48</f>
        <v>S1-100</v>
      </c>
      <c r="T30" s="1287"/>
      <c r="U30" s="22" t="b">
        <f>C27=P30*100&amp;"%"&amp;" / "&amp;P31</f>
        <v>1</v>
      </c>
      <c r="V30" s="22" t="b">
        <f>D27=Q30*100&amp;"%"&amp;" / "&amp;Q31</f>
        <v>1</v>
      </c>
      <c r="W30" s="22" t="b">
        <f>G27=R30&amp;" / "&amp;R31</f>
        <v>0</v>
      </c>
      <c r="X30" s="22" t="b">
        <f>H27=S30&amp;" / "&amp;S31</f>
        <v>0</v>
      </c>
      <c r="Y30" s="22" t="str">
        <f>IF('E Data'!$D$14&gt;0,IF(U30=V30=W30=X30=TRUE,"Right","Wrong"),IF(U30=W30=X30=TRUE,"Right","Wrong"))</f>
        <v>Right</v>
      </c>
      <c r="AA30" s="197">
        <v>18</v>
      </c>
      <c r="AB30" s="1448" t="s">
        <v>2342</v>
      </c>
      <c r="AC30" s="1449"/>
      <c r="AD30" s="137"/>
      <c r="AE30" s="137"/>
      <c r="AH30" s="1230"/>
      <c r="AI30" s="1526"/>
      <c r="AJ30" s="1519">
        <v>2</v>
      </c>
      <c r="AK30" s="1520" t="s">
        <v>1328</v>
      </c>
      <c r="AL30" s="1521" t="s">
        <v>1303</v>
      </c>
      <c r="AM30" s="1543"/>
      <c r="AN30" s="1543"/>
      <c r="AO30" s="1519" t="s">
        <v>1226</v>
      </c>
      <c r="AP30" s="1230"/>
      <c r="AQ30" s="1230"/>
      <c r="AR30" s="1496">
        <f t="shared" si="2"/>
        <v>30</v>
      </c>
      <c r="AS30" s="4089" t="s">
        <v>2687</v>
      </c>
      <c r="AT30" s="4089"/>
      <c r="AU30" s="4089"/>
      <c r="AV30" s="4089"/>
      <c r="AW30" s="4090" t="str">
        <f>C43&amp;"mm"</f>
        <v>22mm</v>
      </c>
      <c r="AX30" s="4091"/>
      <c r="AY30" s="4091"/>
      <c r="AZ30" s="4091"/>
      <c r="BA30" s="4091"/>
      <c r="BB30" s="4092"/>
    </row>
    <row r="31" spans="1:60" ht="17.100000000000001" customHeight="1" thickBot="1">
      <c r="A31" s="1582" t="s">
        <v>1329</v>
      </c>
      <c r="B31" s="1610"/>
      <c r="C31" s="83">
        <f>MH!I77</f>
        <v>1</v>
      </c>
      <c r="D31" s="3589">
        <f>AH!I77</f>
        <v>1</v>
      </c>
      <c r="E31" s="1619" t="s">
        <v>638</v>
      </c>
      <c r="F31" s="1620"/>
      <c r="G31" s="3586">
        <f>CT_HP!H84</f>
        <v>1</v>
      </c>
      <c r="H31" s="3607">
        <f>LT_HP!H90</f>
        <v>2</v>
      </c>
      <c r="I31" s="1230"/>
      <c r="J31" s="17"/>
      <c r="K31" s="17"/>
      <c r="L31" s="17"/>
      <c r="M31" s="1230"/>
      <c r="N31" s="1442" t="s">
        <v>1330</v>
      </c>
      <c r="O31" s="17"/>
      <c r="P31" s="179">
        <f>MH!I39</f>
        <v>150</v>
      </c>
      <c r="Q31" s="179">
        <f>IF(G4&gt;0,AH!I39,"N.A")</f>
        <v>150</v>
      </c>
      <c r="R31" s="179" t="str">
        <f>IF(LT_HP!K42=0,"-",150)</f>
        <v>-</v>
      </c>
      <c r="S31" s="179" t="str">
        <f>IF(LT_HP!K42=0,"-",150)</f>
        <v>-</v>
      </c>
      <c r="T31" s="1287"/>
      <c r="AA31" s="1431"/>
      <c r="AB31" s="1439" t="s">
        <v>100</v>
      </c>
      <c r="AC31" s="1439" t="str">
        <f>C17</f>
        <v>Sq. Cage Motor</v>
      </c>
      <c r="AD31" s="137"/>
      <c r="AE31" s="137"/>
      <c r="AH31" s="1230"/>
      <c r="AI31" s="1526"/>
      <c r="AJ31" s="1519">
        <v>3</v>
      </c>
      <c r="AK31" s="1520" t="s">
        <v>1331</v>
      </c>
      <c r="AL31" s="1521"/>
      <c r="AM31" s="1543"/>
      <c r="AN31" s="1527"/>
      <c r="AO31" s="1519" t="s">
        <v>1210</v>
      </c>
      <c r="AP31" s="1230"/>
      <c r="AQ31" s="1230"/>
      <c r="AR31" s="1496">
        <f t="shared" si="1"/>
        <v>31</v>
      </c>
      <c r="AS31" s="4089" t="s">
        <v>2688</v>
      </c>
      <c r="AT31" s="4089"/>
      <c r="AU31" s="4089"/>
      <c r="AV31" s="4089"/>
      <c r="AW31" s="4090" t="str">
        <f>D43&amp;"mm"</f>
        <v>18mm</v>
      </c>
      <c r="AX31" s="4091"/>
      <c r="AY31" s="4091"/>
      <c r="AZ31" s="4091"/>
      <c r="BA31" s="4091"/>
      <c r="BB31" s="4092"/>
    </row>
    <row r="32" spans="1:60" ht="17.100000000000001" customHeight="1" thickBot="1">
      <c r="A32" s="1621" t="s">
        <v>1332</v>
      </c>
      <c r="B32" s="1204"/>
      <c r="C32" s="1622">
        <f>MH!I74</f>
        <v>200</v>
      </c>
      <c r="D32" s="3580">
        <f>AH!I74</f>
        <v>200</v>
      </c>
      <c r="E32" s="1623" t="s">
        <v>1333</v>
      </c>
      <c r="F32" s="1623"/>
      <c r="G32" s="3608">
        <f>CT_HP!H81</f>
        <v>160</v>
      </c>
      <c r="H32" s="3609">
        <f>LT_HP!H87</f>
        <v>160</v>
      </c>
      <c r="I32" s="1230"/>
      <c r="J32" s="17"/>
      <c r="K32" s="17"/>
      <c r="L32" s="17"/>
      <c r="M32" s="1230"/>
      <c r="N32" s="1442" t="s">
        <v>1334</v>
      </c>
      <c r="O32" s="17" t="s">
        <v>646</v>
      </c>
      <c r="P32" s="17"/>
      <c r="Q32" s="17"/>
      <c r="R32" s="17"/>
      <c r="S32" s="17"/>
      <c r="T32" s="1287"/>
      <c r="AA32" s="1431"/>
      <c r="AB32" s="1439" t="s">
        <v>2343</v>
      </c>
      <c r="AC32" s="1434" t="str">
        <f>C20&amp;" kW"</f>
        <v>18 kW</v>
      </c>
      <c r="AD32" s="137"/>
      <c r="AE32" s="137"/>
      <c r="AH32" s="1230"/>
      <c r="AI32" s="1526"/>
      <c r="AJ32" s="1519">
        <v>4</v>
      </c>
      <c r="AK32" s="1520" t="s">
        <v>1335</v>
      </c>
      <c r="AL32" s="1521"/>
      <c r="AM32" s="1543"/>
      <c r="AN32" s="1522" t="s">
        <v>1336</v>
      </c>
      <c r="AO32" s="1519" t="s">
        <v>1257</v>
      </c>
      <c r="AP32" s="1230"/>
      <c r="AQ32" s="1230"/>
      <c r="AR32" s="1496">
        <f>+AR31+1</f>
        <v>32</v>
      </c>
      <c r="AS32" s="4089" t="s">
        <v>2689</v>
      </c>
      <c r="AT32" s="4089"/>
      <c r="AU32" s="4089"/>
      <c r="AV32" s="4089"/>
      <c r="AW32" s="4090">
        <f>+C39</f>
        <v>4</v>
      </c>
      <c r="AX32" s="4091"/>
      <c r="AY32" s="4091"/>
      <c r="AZ32" s="4091"/>
      <c r="BA32" s="4091"/>
      <c r="BB32" s="4092"/>
    </row>
    <row r="33" spans="1:60" ht="17.100000000000001" customHeight="1" thickBot="1">
      <c r="A33" s="1624" t="s">
        <v>1337</v>
      </c>
      <c r="B33" s="1577" t="s">
        <v>100</v>
      </c>
      <c r="C33" s="1575" t="s">
        <v>1338</v>
      </c>
      <c r="D33" s="3590" t="s">
        <v>1338</v>
      </c>
      <c r="E33" s="1625" t="s">
        <v>1337</v>
      </c>
      <c r="F33" s="1626" t="s">
        <v>100</v>
      </c>
      <c r="G33" s="3582" t="s">
        <v>1338</v>
      </c>
      <c r="H33" s="3605" t="s">
        <v>1338</v>
      </c>
      <c r="I33" s="1230"/>
      <c r="J33" s="17"/>
      <c r="K33" s="17"/>
      <c r="L33" s="17"/>
      <c r="M33" s="1230"/>
      <c r="N33" s="1442" t="s">
        <v>1339</v>
      </c>
      <c r="O33" s="17"/>
      <c r="P33" s="17"/>
      <c r="Q33" s="1627" t="str">
        <f>IF(V47="Right",IF(U47="Right","Right","Wrong"))</f>
        <v>Right</v>
      </c>
      <c r="R33" s="17"/>
      <c r="S33" s="17"/>
      <c r="T33" s="1287"/>
      <c r="AA33" s="1431"/>
      <c r="AB33" s="1439" t="s">
        <v>2182</v>
      </c>
      <c r="AC33" s="1450" t="str">
        <f>C21</f>
        <v>180L</v>
      </c>
      <c r="AD33" s="137"/>
      <c r="AE33" s="137"/>
      <c r="AH33" s="1230"/>
      <c r="AI33" s="1526"/>
      <c r="AJ33" s="1519">
        <v>5</v>
      </c>
      <c r="AK33" s="1520" t="s">
        <v>1340</v>
      </c>
      <c r="AL33" s="1521"/>
      <c r="AM33" s="1543"/>
      <c r="AN33" s="1543"/>
      <c r="AO33" s="1519" t="s">
        <v>1265</v>
      </c>
      <c r="AP33" s="1230"/>
      <c r="AQ33" s="1230"/>
      <c r="AR33" s="1496">
        <f>+AR32+1</f>
        <v>33</v>
      </c>
      <c r="AS33" s="4089" t="s">
        <v>2690</v>
      </c>
      <c r="AT33" s="4089"/>
      <c r="AU33" s="4089"/>
      <c r="AV33" s="4089"/>
      <c r="AW33" s="4090">
        <f>+D39</f>
        <v>4</v>
      </c>
      <c r="AX33" s="4091"/>
      <c r="AY33" s="4091"/>
      <c r="AZ33" s="4091"/>
      <c r="BA33" s="4091"/>
      <c r="BB33" s="4092"/>
    </row>
    <row r="34" spans="1:60" ht="17.100000000000001" customHeight="1" thickBot="1">
      <c r="A34" s="1262" t="s">
        <v>2754</v>
      </c>
      <c r="B34" s="1628">
        <f>MH!I62/0.746</f>
        <v>19.915970774546171</v>
      </c>
      <c r="C34" s="1618">
        <f>MH!J279</f>
        <v>204.36114285714288</v>
      </c>
      <c r="D34" s="3588">
        <f>AH!J279</f>
        <v>125.03040000000001</v>
      </c>
      <c r="E34" s="1230" t="s">
        <v>2755</v>
      </c>
      <c r="F34" s="1629">
        <f>CT_HP!I67/0.746</f>
        <v>0.75631178540277322</v>
      </c>
      <c r="G34" s="3594">
        <f>CT_wh!I68</f>
        <v>72.382464000000013</v>
      </c>
      <c r="H34" s="3610">
        <f>LT_wh!I67</f>
        <v>45.239040000000003</v>
      </c>
      <c r="I34" s="1230"/>
      <c r="J34" s="17"/>
      <c r="K34" s="17"/>
      <c r="L34" s="17"/>
      <c r="M34" s="1230"/>
      <c r="N34" s="1442" t="s">
        <v>1341</v>
      </c>
      <c r="O34" s="17"/>
      <c r="P34" s="17"/>
      <c r="Q34" s="17"/>
      <c r="R34" s="17"/>
      <c r="S34" s="17"/>
      <c r="T34" s="1287"/>
      <c r="AA34" s="1431"/>
      <c r="AB34" s="1439" t="s">
        <v>1321</v>
      </c>
      <c r="AC34" s="1451">
        <f>C22</f>
        <v>6</v>
      </c>
      <c r="AD34" s="137"/>
      <c r="AE34" s="137"/>
      <c r="AH34" s="1230"/>
      <c r="AI34" s="1526"/>
      <c r="AJ34" s="1519">
        <v>6</v>
      </c>
      <c r="AK34" s="1520" t="s">
        <v>1342</v>
      </c>
      <c r="AL34" s="1519"/>
      <c r="AM34" s="1527"/>
      <c r="AN34" s="1527"/>
      <c r="AO34" s="1519" t="s">
        <v>1272</v>
      </c>
      <c r="AP34" s="1230"/>
      <c r="AQ34" s="1230"/>
      <c r="AR34" s="1496">
        <f t="shared" si="1"/>
        <v>34</v>
      </c>
      <c r="AS34" s="4089" t="s">
        <v>2691</v>
      </c>
      <c r="AT34" s="4089"/>
      <c r="AU34" s="4089"/>
      <c r="AV34" s="4089"/>
      <c r="AW34" s="4090" t="str">
        <f>P53&amp;" , "&amp;P55&amp;" "</f>
        <v xml:space="preserve">6X36 (Steel Core) , 1960 N/mm^2 </v>
      </c>
      <c r="AX34" s="4091"/>
      <c r="AY34" s="4091"/>
      <c r="AZ34" s="4091"/>
      <c r="BA34" s="4091"/>
      <c r="BB34" s="4092"/>
      <c r="BC34" s="22" t="str">
        <f>+N56&amp;" "&amp;P56</f>
        <v>Factor of Safety 5.25</v>
      </c>
    </row>
    <row r="35" spans="1:60" ht="17.100000000000001" customHeight="1" thickBot="1">
      <c r="A35" s="1262" t="s">
        <v>1343</v>
      </c>
      <c r="B35" s="1632"/>
      <c r="C35" s="1600">
        <f>MH!J281</f>
        <v>190.4</v>
      </c>
      <c r="D35" s="3591">
        <f>AH!J281</f>
        <v>129.80000000000001</v>
      </c>
      <c r="E35" s="1230" t="s">
        <v>655</v>
      </c>
      <c r="F35" s="1632"/>
      <c r="G35" s="3588">
        <f>CT_wh!I70</f>
        <v>68.3</v>
      </c>
      <c r="H35" s="3610">
        <f>LT_wh!I69</f>
        <v>0</v>
      </c>
      <c r="I35" s="1230"/>
      <c r="J35" s="1230"/>
      <c r="K35" s="1230"/>
      <c r="L35" s="1230"/>
      <c r="M35" s="1230"/>
      <c r="N35" s="1262"/>
      <c r="O35" s="17" t="s">
        <v>1344</v>
      </c>
      <c r="P35" s="179">
        <f>ESt!D49</f>
        <v>1</v>
      </c>
      <c r="Q35" s="179">
        <f>IF(G4&gt;0,ESt!D69,"N.A")</f>
        <v>1</v>
      </c>
      <c r="R35" s="179">
        <f>ESt!D89</f>
        <v>2</v>
      </c>
      <c r="S35" s="179">
        <f>ESt!D34</f>
        <v>2</v>
      </c>
      <c r="T35" s="1287"/>
      <c r="U35" s="22" t="b">
        <f>P35=C37</f>
        <v>1</v>
      </c>
      <c r="V35" s="22" t="b">
        <f>Q35=D37</f>
        <v>1</v>
      </c>
      <c r="W35" s="22" t="b">
        <f>R35=CT_HP!I46</f>
        <v>1</v>
      </c>
      <c r="X35" s="22" t="b">
        <f>S35=LT_HP!I50</f>
        <v>1</v>
      </c>
      <c r="Y35" s="22" t="str">
        <f>IF('E Data'!$D$14&gt;0,IF(U35=V35=W35=X35=TRUE,"Right","Wrong"),IF(U35=W35=X35=TRUE,"Right","Wrong"))</f>
        <v>Right</v>
      </c>
      <c r="AA35" s="1431"/>
      <c r="AB35" s="1439" t="s">
        <v>2344</v>
      </c>
      <c r="AC35" s="1434">
        <f>C23</f>
        <v>960</v>
      </c>
      <c r="AD35" s="137"/>
      <c r="AE35" s="137"/>
      <c r="AH35" s="1230"/>
      <c r="AI35" s="1536"/>
      <c r="AJ35" s="1537"/>
      <c r="AK35" s="1537"/>
      <c r="AL35" s="1537"/>
      <c r="AM35" s="1537"/>
      <c r="AN35" s="1537"/>
      <c r="AO35" s="1519"/>
      <c r="AP35" s="1230"/>
      <c r="AQ35" s="1230"/>
      <c r="AR35" s="1496">
        <f t="shared" si="1"/>
        <v>35</v>
      </c>
      <c r="AS35" s="4089" t="s">
        <v>1409</v>
      </c>
      <c r="AT35" s="4089"/>
      <c r="AU35" s="4089"/>
      <c r="AV35" s="4089"/>
      <c r="AW35" s="4090" t="str">
        <f>+BC34</f>
        <v>Factor of Safety 5.25</v>
      </c>
      <c r="AX35" s="4091"/>
      <c r="AY35" s="4091"/>
      <c r="AZ35" s="4091"/>
      <c r="BA35" s="4091"/>
      <c r="BB35" s="4092"/>
    </row>
    <row r="36" spans="1:60" ht="17.100000000000001" customHeight="1" thickBot="1">
      <c r="A36" s="1262" t="s">
        <v>2756</v>
      </c>
      <c r="B36" s="1628">
        <f>AH!I61/0.746</f>
        <v>19.968225884687833</v>
      </c>
      <c r="C36" s="1633" t="str">
        <f>MH!J290</f>
        <v>3AH775</v>
      </c>
      <c r="D36" s="3590" t="str">
        <f>AH!J290</f>
        <v>3AH650</v>
      </c>
      <c r="E36" s="1230" t="s">
        <v>2757</v>
      </c>
      <c r="F36" s="1629">
        <f>LT_HP!I72/0.746</f>
        <v>1.3354563802212778</v>
      </c>
      <c r="G36" s="3601" t="str">
        <f>CT_wh!I77</f>
        <v/>
      </c>
      <c r="H36" s="3611" t="str">
        <f>LT_wh!I75</f>
        <v/>
      </c>
      <c r="I36" s="4010" t="s">
        <v>1345</v>
      </c>
      <c r="J36" s="4010"/>
      <c r="K36" s="4010"/>
      <c r="L36" s="4010"/>
      <c r="M36" s="1230"/>
      <c r="N36" s="1443" t="s">
        <v>1337</v>
      </c>
      <c r="O36" s="17"/>
      <c r="P36" s="1331"/>
      <c r="Q36" s="1331"/>
      <c r="R36" s="1331"/>
      <c r="S36" s="1331"/>
      <c r="T36" s="1287"/>
      <c r="AA36" s="1431"/>
      <c r="AB36" s="1439" t="s">
        <v>2345</v>
      </c>
      <c r="AC36" s="1434" t="str">
        <f>MH!I38</f>
        <v>40%</v>
      </c>
      <c r="AD36" s="137"/>
      <c r="AE36" s="137"/>
      <c r="AH36" s="1230"/>
      <c r="AI36" s="1518">
        <v>6</v>
      </c>
      <c r="AJ36" s="1519">
        <v>1</v>
      </c>
      <c r="AK36" s="1520" t="s">
        <v>1346</v>
      </c>
      <c r="AL36" s="1521">
        <v>22216</v>
      </c>
      <c r="AM36" s="1522" t="s">
        <v>1347</v>
      </c>
      <c r="AN36" s="1522" t="s">
        <v>1325</v>
      </c>
      <c r="AO36" s="1519" t="s">
        <v>1204</v>
      </c>
      <c r="AP36" s="1230"/>
      <c r="AQ36" s="1230"/>
      <c r="AR36" s="1496">
        <f t="shared" si="1"/>
        <v>36</v>
      </c>
      <c r="AS36" s="4089" t="s">
        <v>2692</v>
      </c>
      <c r="AT36" s="4089"/>
      <c r="AU36" s="4089"/>
      <c r="AV36" s="4089"/>
      <c r="AW36" s="4090" t="str">
        <f>+P57</f>
        <v>C Type</v>
      </c>
      <c r="AX36" s="4091"/>
      <c r="AY36" s="4091"/>
      <c r="AZ36" s="4091"/>
      <c r="BA36" s="4091"/>
      <c r="BB36" s="4092"/>
    </row>
    <row r="37" spans="1:60" ht="17.100000000000001" customHeight="1" thickBot="1">
      <c r="A37" s="1262" t="s">
        <v>638</v>
      </c>
      <c r="B37" s="1595"/>
      <c r="C37" s="1616">
        <f>MH!J280</f>
        <v>1</v>
      </c>
      <c r="D37" s="3590">
        <f>AH!J280</f>
        <v>1</v>
      </c>
      <c r="E37" s="1230" t="s">
        <v>1329</v>
      </c>
      <c r="F37" s="1584"/>
      <c r="G37" s="3601">
        <f>CT_wh!I69</f>
        <v>2</v>
      </c>
      <c r="H37" s="3611">
        <f>LT_wh!I68</f>
        <v>2</v>
      </c>
      <c r="I37" s="1635" t="s">
        <v>1348</v>
      </c>
      <c r="J37" s="1635">
        <v>156</v>
      </c>
      <c r="K37" s="1635" t="s">
        <v>1349</v>
      </c>
      <c r="L37" s="1636">
        <v>120</v>
      </c>
      <c r="M37" s="1230"/>
      <c r="N37" s="1443" t="s">
        <v>100</v>
      </c>
      <c r="O37" s="1637">
        <f>CT_HP!K38</f>
        <v>0</v>
      </c>
      <c r="P37" s="1638" t="s">
        <v>1338</v>
      </c>
      <c r="Q37" s="1638" t="str">
        <f>IF(G4&gt;0,"Helical","N.A")</f>
        <v>Helical</v>
      </c>
      <c r="R37" s="447" t="str">
        <f>IF(O37=1,"Helical","Inline with helical type inbluit in geared brake motor")</f>
        <v>Inline with helical type inbluit in geared brake motor</v>
      </c>
      <c r="S37" s="447" t="str">
        <f>IF(O38=1,"Helical","Inline with helical type inbluit in geared brake motor")</f>
        <v>Inline with helical type inbluit in geared brake motor</v>
      </c>
      <c r="T37" s="1287"/>
      <c r="AA37" s="1431"/>
      <c r="AB37" s="1439" t="s">
        <v>1330</v>
      </c>
      <c r="AC37" s="1451">
        <f>MH!I39</f>
        <v>150</v>
      </c>
      <c r="AD37" s="137"/>
      <c r="AE37" s="137"/>
      <c r="AH37" s="1230"/>
      <c r="AI37" s="1526"/>
      <c r="AJ37" s="1519">
        <v>2</v>
      </c>
      <c r="AK37" s="1520" t="s">
        <v>1350</v>
      </c>
      <c r="AL37" s="1521" t="s">
        <v>1351</v>
      </c>
      <c r="AM37" s="1543"/>
      <c r="AN37" s="1543"/>
      <c r="AO37" s="1519" t="s">
        <v>1226</v>
      </c>
      <c r="AP37" s="1230"/>
      <c r="AQ37" s="1230"/>
      <c r="AR37" s="1496">
        <f t="shared" si="1"/>
        <v>37</v>
      </c>
      <c r="AS37" s="4089" t="s">
        <v>2693</v>
      </c>
      <c r="AT37" s="4089"/>
      <c r="AU37" s="4089"/>
      <c r="AV37" s="4089"/>
      <c r="AW37" s="4090" t="str">
        <f>+Q57</f>
        <v>C Type</v>
      </c>
      <c r="AX37" s="4091"/>
      <c r="AY37" s="4091"/>
      <c r="AZ37" s="4091"/>
      <c r="BA37" s="4091"/>
      <c r="BB37" s="4092"/>
    </row>
    <row r="38" spans="1:60" ht="17.100000000000001" customHeight="1" thickBot="1">
      <c r="A38" s="1639" t="s">
        <v>347</v>
      </c>
      <c r="B38" s="1640"/>
      <c r="C38" s="1458" t="str">
        <f>MH!J283</f>
        <v>Elite</v>
      </c>
      <c r="D38" s="3592" t="str">
        <f>AH!J283</f>
        <v>Elite</v>
      </c>
      <c r="E38" s="1641" t="s">
        <v>347</v>
      </c>
      <c r="F38" s="1642"/>
      <c r="G38" s="3592" t="str">
        <f>CT_wh!I72</f>
        <v>Elite</v>
      </c>
      <c r="H38" s="3612" t="str">
        <f>LT_wh!I71</f>
        <v>Elite</v>
      </c>
      <c r="I38" s="1230" t="s">
        <v>1127</v>
      </c>
      <c r="J38" s="1230">
        <f>H52</f>
        <v>250</v>
      </c>
      <c r="K38" s="1230" t="s">
        <v>1352</v>
      </c>
      <c r="L38" s="1619">
        <f>800</f>
        <v>800</v>
      </c>
      <c r="M38" s="1230"/>
      <c r="N38" s="1443" t="s">
        <v>1353</v>
      </c>
      <c r="O38" s="1637">
        <f>LT_HP!K42</f>
        <v>0</v>
      </c>
      <c r="P38" s="1638" t="s">
        <v>68</v>
      </c>
      <c r="Q38" s="1638" t="str">
        <f>IF(G4&gt;0,"Horizontal","N.A")</f>
        <v>Horizontal</v>
      </c>
      <c r="R38" s="53" t="str">
        <f>IF(O37=1,"Vertical","")</f>
        <v/>
      </c>
      <c r="S38" s="53" t="str">
        <f>IF(O38=1,"Horizontal","")</f>
        <v/>
      </c>
      <c r="T38" s="1287"/>
      <c r="AA38" s="1431"/>
      <c r="AB38" s="1439" t="s">
        <v>1334</v>
      </c>
      <c r="AC38" s="1434" t="str">
        <f>'E Data'!D89</f>
        <v>F</v>
      </c>
      <c r="AD38" s="137"/>
      <c r="AE38" s="137"/>
      <c r="AH38" s="1230"/>
      <c r="AI38" s="1526"/>
      <c r="AJ38" s="1519">
        <v>3</v>
      </c>
      <c r="AK38" s="1520" t="s">
        <v>1354</v>
      </c>
      <c r="AL38" s="1521"/>
      <c r="AM38" s="1543"/>
      <c r="AN38" s="1527"/>
      <c r="AO38" s="1519" t="s">
        <v>1210</v>
      </c>
      <c r="AP38" s="1230"/>
      <c r="AQ38" s="1230"/>
      <c r="AR38" s="1496">
        <f t="shared" si="1"/>
        <v>38</v>
      </c>
      <c r="AS38" s="4089" t="s">
        <v>2694</v>
      </c>
      <c r="AT38" s="4089"/>
      <c r="AU38" s="4089"/>
      <c r="AV38" s="4089"/>
      <c r="AW38" s="4090" t="str">
        <f>R60&amp;"Dia X"&amp;" "&amp;R59&amp;"nos"</f>
        <v>320Dia X 4nos</v>
      </c>
      <c r="AX38" s="4091"/>
      <c r="AY38" s="4091"/>
      <c r="AZ38" s="4091"/>
      <c r="BA38" s="4091"/>
      <c r="BB38" s="4092"/>
      <c r="BC38" s="4090" t="s">
        <v>2695</v>
      </c>
      <c r="BD38" s="4091"/>
      <c r="BE38" s="4091"/>
      <c r="BF38" s="4091"/>
      <c r="BG38" s="4091"/>
      <c r="BH38" s="4092"/>
    </row>
    <row r="39" spans="1:60" ht="17.100000000000001" customHeight="1" thickBot="1">
      <c r="A39" s="1452" t="s">
        <v>1355</v>
      </c>
      <c r="B39" s="1643"/>
      <c r="C39" s="1644">
        <f>MH!J98</f>
        <v>4</v>
      </c>
      <c r="D39" s="3593">
        <f>'E Data'!D42</f>
        <v>4</v>
      </c>
      <c r="E39" s="4067" t="s">
        <v>1356</v>
      </c>
      <c r="F39" s="4068"/>
      <c r="G39" s="143">
        <f>CT_wh!I16</f>
        <v>4</v>
      </c>
      <c r="H39" s="1019">
        <f>LT_wh!I20</f>
        <v>4</v>
      </c>
      <c r="I39" s="1230" t="s">
        <v>1357</v>
      </c>
      <c r="J39" s="1230">
        <v>400</v>
      </c>
      <c r="K39" s="1230" t="s">
        <v>1358</v>
      </c>
      <c r="L39" s="1619">
        <v>100</v>
      </c>
      <c r="M39" s="1230"/>
      <c r="N39" s="1262"/>
      <c r="O39" s="17" t="s">
        <v>1344</v>
      </c>
      <c r="P39" s="179">
        <f>P35</f>
        <v>1</v>
      </c>
      <c r="Q39" s="179">
        <f>IF(G4&gt;0,Q35,"N.A")</f>
        <v>1</v>
      </c>
      <c r="R39" s="179">
        <f>R35</f>
        <v>2</v>
      </c>
      <c r="S39" s="179">
        <f>S35</f>
        <v>2</v>
      </c>
      <c r="T39" s="1287"/>
      <c r="AA39" s="1431"/>
      <c r="AB39" s="1439" t="s">
        <v>1339</v>
      </c>
      <c r="AC39" s="1434" t="str">
        <f>C24</f>
        <v>TEFC</v>
      </c>
      <c r="AD39" s="137"/>
      <c r="AE39" s="137"/>
      <c r="AH39" s="1230"/>
      <c r="AI39" s="1526"/>
      <c r="AJ39" s="1519">
        <v>4</v>
      </c>
      <c r="AK39" s="1520" t="s">
        <v>1359</v>
      </c>
      <c r="AL39" s="1521"/>
      <c r="AM39" s="1543"/>
      <c r="AN39" s="1522" t="s">
        <v>1336</v>
      </c>
      <c r="AO39" s="1519" t="s">
        <v>1257</v>
      </c>
      <c r="AP39" s="1230"/>
      <c r="AQ39" s="1230"/>
      <c r="AR39" s="1496">
        <f t="shared" si="1"/>
        <v>39</v>
      </c>
      <c r="AS39" s="4089" t="s">
        <v>2696</v>
      </c>
      <c r="AT39" s="4089"/>
      <c r="AU39" s="4089"/>
      <c r="AV39" s="4089"/>
      <c r="AW39" s="4090" t="str">
        <f>+S60&amp;"Dia X"&amp;" "&amp;S59&amp;"nos"</f>
        <v>250Dia X 4nos</v>
      </c>
      <c r="AX39" s="4091"/>
      <c r="AY39" s="4091"/>
      <c r="AZ39" s="4091"/>
      <c r="BA39" s="4091"/>
      <c r="BB39" s="4092"/>
    </row>
    <row r="40" spans="1:60" ht="17.100000000000001" customHeight="1" thickBot="1">
      <c r="A40" s="1573" t="s">
        <v>1360</v>
      </c>
      <c r="B40" s="1613" t="s">
        <v>100</v>
      </c>
      <c r="C40" s="1645" t="str">
        <f>MH!F111</f>
        <v>Steel Core</v>
      </c>
      <c r="D40" s="3582" t="str">
        <f>AH!F111</f>
        <v>Steel Core</v>
      </c>
      <c r="E40" s="4067" t="s">
        <v>1361</v>
      </c>
      <c r="F40" s="4068"/>
      <c r="G40" s="1634" t="s">
        <v>1362</v>
      </c>
      <c r="H40" s="1263" t="s">
        <v>1362</v>
      </c>
      <c r="I40" s="1230" t="s">
        <v>1363</v>
      </c>
      <c r="J40" s="1230">
        <f>D77*60%</f>
        <v>594</v>
      </c>
      <c r="K40" s="1230"/>
      <c r="L40" s="1646">
        <f>L39+L38+L37+J43+J42+J41+J40+J39+J38+J37+150</f>
        <v>3190</v>
      </c>
      <c r="M40" s="1230"/>
      <c r="N40" s="1443" t="s">
        <v>1320</v>
      </c>
      <c r="O40" s="17"/>
      <c r="P40" s="1331"/>
      <c r="Q40" s="1331"/>
      <c r="R40" s="1331"/>
      <c r="S40" s="1331"/>
      <c r="T40" s="1287"/>
      <c r="AA40" s="1431"/>
      <c r="AB40" s="1439" t="s">
        <v>1341</v>
      </c>
      <c r="AC40" s="1434" t="str">
        <f>C26</f>
        <v>IP-55</v>
      </c>
      <c r="AD40" s="137"/>
      <c r="AE40" s="137"/>
      <c r="AH40" s="1230"/>
      <c r="AI40" s="1526"/>
      <c r="AJ40" s="1519">
        <v>5</v>
      </c>
      <c r="AK40" s="1520" t="s">
        <v>1364</v>
      </c>
      <c r="AL40" s="1521"/>
      <c r="AM40" s="1543"/>
      <c r="AN40" s="1543"/>
      <c r="AO40" s="1519" t="s">
        <v>1265</v>
      </c>
      <c r="AP40" s="1230"/>
      <c r="AQ40" s="1230"/>
      <c r="AR40" s="1496">
        <f t="shared" si="1"/>
        <v>40</v>
      </c>
      <c r="AS40" s="4089" t="s">
        <v>1427</v>
      </c>
      <c r="AT40" s="4089"/>
      <c r="AU40" s="4089"/>
      <c r="AV40" s="4089"/>
      <c r="AW40" s="4089" t="str">
        <f>+S61</f>
        <v xml:space="preserve">Forged Steel (C55Mn75) </v>
      </c>
      <c r="AX40" s="4089"/>
      <c r="AY40" s="4089"/>
      <c r="AZ40" s="4089"/>
      <c r="BA40" s="4089"/>
      <c r="BB40" s="4089"/>
    </row>
    <row r="41" spans="1:60" ht="17.100000000000001" customHeight="1" thickBot="1">
      <c r="A41" s="1582" t="s">
        <v>1365</v>
      </c>
      <c r="B41" s="1610" t="s">
        <v>398</v>
      </c>
      <c r="C41" s="1630">
        <f>MH!J102</f>
        <v>331.24154765625002</v>
      </c>
      <c r="D41" s="3594">
        <f>AH!J102</f>
        <v>199.26639140625002</v>
      </c>
      <c r="E41" s="1647" t="s">
        <v>1366</v>
      </c>
      <c r="F41" s="143"/>
      <c r="G41" s="1588">
        <f>CT_wh!I25</f>
        <v>1.25</v>
      </c>
      <c r="H41" s="1631">
        <f>LT_wh!I29</f>
        <v>3.2333333333333334</v>
      </c>
      <c r="I41" s="1230" t="s">
        <v>1367</v>
      </c>
      <c r="J41" s="1230">
        <v>50</v>
      </c>
      <c r="K41" s="1230"/>
      <c r="L41" s="1619">
        <f>4500+150</f>
        <v>4650</v>
      </c>
      <c r="M41" s="1230"/>
      <c r="N41" s="1443" t="s">
        <v>347</v>
      </c>
      <c r="O41" s="17"/>
      <c r="P41" s="1331"/>
      <c r="Q41" s="1331"/>
      <c r="R41" s="1331"/>
      <c r="S41" s="1331"/>
      <c r="T41" s="1287"/>
      <c r="AA41" s="1431"/>
      <c r="AB41" s="1439" t="s">
        <v>2346</v>
      </c>
      <c r="AC41" s="1434">
        <f>C37</f>
        <v>1</v>
      </c>
      <c r="AD41" s="137"/>
      <c r="AE41" s="137"/>
      <c r="AH41" s="1230"/>
      <c r="AI41" s="1648"/>
      <c r="AJ41" s="1649">
        <v>6</v>
      </c>
      <c r="AK41" s="1520" t="s">
        <v>1368</v>
      </c>
      <c r="AL41" s="1519"/>
      <c r="AM41" s="1527"/>
      <c r="AN41" s="1527"/>
      <c r="AO41" s="1519" t="s">
        <v>1272</v>
      </c>
      <c r="AP41" s="1230"/>
      <c r="AQ41" s="1230"/>
      <c r="AR41" s="4120"/>
      <c r="AS41" s="4120"/>
      <c r="AT41" s="4120"/>
      <c r="AU41" s="4120"/>
      <c r="AV41" s="4120"/>
      <c r="AW41" s="4120"/>
      <c r="AX41" s="4120"/>
      <c r="AY41" s="4120"/>
      <c r="AZ41" s="4120"/>
      <c r="BA41" s="4120"/>
      <c r="BB41" s="4120"/>
    </row>
    <row r="42" spans="1:60" ht="17.100000000000001" customHeight="1" thickBot="1">
      <c r="A42" s="1582" t="s">
        <v>1369</v>
      </c>
      <c r="B42" s="1610" t="s">
        <v>398</v>
      </c>
      <c r="C42" s="1650">
        <f>MH!F108</f>
        <v>338</v>
      </c>
      <c r="D42" s="3595">
        <f>AH!F108</f>
        <v>204</v>
      </c>
      <c r="E42" s="1601" t="s">
        <v>1370</v>
      </c>
      <c r="F42" s="143" t="s">
        <v>1371</v>
      </c>
      <c r="G42" s="1594">
        <f>CT_wh!I29</f>
        <v>6.25</v>
      </c>
      <c r="H42" s="1597">
        <f>LT_wh!I33</f>
        <v>12.144444444444446</v>
      </c>
      <c r="I42" s="1651" t="s">
        <v>1126</v>
      </c>
      <c r="J42" s="1230">
        <f>G52</f>
        <v>320</v>
      </c>
      <c r="K42" s="1230"/>
      <c r="L42" s="1619">
        <f>L40-L41</f>
        <v>-1460</v>
      </c>
      <c r="M42" s="1230"/>
      <c r="N42" s="1262"/>
      <c r="O42" s="1453" t="s">
        <v>100</v>
      </c>
      <c r="P42" s="179" t="str">
        <f>MH!I69</f>
        <v>EHT</v>
      </c>
      <c r="Q42" s="179" t="str">
        <f>IF(G4&gt;0,AH!I69,"")</f>
        <v>EHT</v>
      </c>
      <c r="R42" s="1454" t="str">
        <f>IF(O37=1,G28,"EM Disc type brake inbuilt in geared brake motor")</f>
        <v>EM Disc type brake inbuilt in geared brake motor</v>
      </c>
      <c r="S42" s="1454" t="str">
        <f>IF(O38=1,H28,"EM Disc type brake inbuilt in geared brake motor")</f>
        <v>EM Disc type brake inbuilt in geared brake motor</v>
      </c>
      <c r="T42" s="326"/>
      <c r="U42" s="22" t="b">
        <f>P42=C28</f>
        <v>1</v>
      </c>
      <c r="V42" s="22" t="b">
        <f>Q42=D28</f>
        <v>1</v>
      </c>
      <c r="W42" s="22" t="str">
        <f>IF('E Data'!$D$14&gt;0,IF(U42=V42=TRUE,"Right","Wrong"),IF(U42=TRUE,"Right","Wrong"))</f>
        <v>Right</v>
      </c>
      <c r="AA42" s="1431">
        <v>19</v>
      </c>
      <c r="AB42" s="1432" t="s">
        <v>2347</v>
      </c>
      <c r="AC42" s="1439"/>
      <c r="AD42" s="137"/>
      <c r="AE42" s="137"/>
      <c r="AH42" s="1230"/>
      <c r="AI42" s="1652"/>
      <c r="AJ42" s="1653"/>
      <c r="AK42" s="1653"/>
      <c r="AL42" s="1653"/>
      <c r="AM42" s="1653"/>
      <c r="AN42" s="1653"/>
      <c r="AO42" s="1654"/>
      <c r="AP42" s="1230"/>
      <c r="AQ42" s="1230"/>
      <c r="AR42" s="1496">
        <f>+AR40+1</f>
        <v>41</v>
      </c>
      <c r="AS42" s="4089" t="s">
        <v>2697</v>
      </c>
      <c r="AT42" s="4089"/>
      <c r="AU42" s="4089"/>
      <c r="AV42" s="4089"/>
      <c r="AW42" s="4089" t="str">
        <f>+S62</f>
        <v>280 to 300</v>
      </c>
      <c r="AX42" s="4089"/>
      <c r="AY42" s="4089"/>
      <c r="AZ42" s="4089"/>
      <c r="BA42" s="4089"/>
      <c r="BB42" s="4089"/>
    </row>
    <row r="43" spans="1:60" ht="17.100000000000001" customHeight="1" thickBot="1">
      <c r="A43" s="1582" t="s">
        <v>1372</v>
      </c>
      <c r="B43" s="1610" t="s">
        <v>466</v>
      </c>
      <c r="C43" s="1610">
        <f>MH!F109</f>
        <v>22</v>
      </c>
      <c r="D43" s="3586">
        <f>AH!F109</f>
        <v>18</v>
      </c>
      <c r="E43" s="143">
        <f>LT_wh!I16</f>
        <v>1.4</v>
      </c>
      <c r="F43" s="1458" t="s">
        <v>1373</v>
      </c>
      <c r="G43" s="1655">
        <f>CT_wh!I19</f>
        <v>8.75</v>
      </c>
      <c r="H43" s="1656">
        <f>LT_wh!I23</f>
        <v>16.600000000000001</v>
      </c>
      <c r="I43" s="1641" t="s">
        <v>1357</v>
      </c>
      <c r="J43" s="1641">
        <v>250</v>
      </c>
      <c r="K43" s="1641"/>
      <c r="L43" s="1623"/>
      <c r="M43" s="1230"/>
      <c r="N43" s="1443" t="s">
        <v>1374</v>
      </c>
      <c r="O43" s="17" t="s">
        <v>466</v>
      </c>
      <c r="P43" s="179">
        <f>ESt!C52</f>
        <v>200</v>
      </c>
      <c r="Q43" s="179">
        <f>IF(G4&gt;0,ESt!C72,"N.A")</f>
        <v>200</v>
      </c>
      <c r="R43" s="79" t="str">
        <f>IF(O37=1,G32,"")</f>
        <v/>
      </c>
      <c r="S43" s="79" t="str">
        <f>IF(O38=1,H32,"")</f>
        <v/>
      </c>
      <c r="T43" s="326"/>
      <c r="U43" s="22" t="b">
        <f>P43=C32</f>
        <v>1</v>
      </c>
      <c r="V43" s="22" t="b">
        <f>Q43=D32</f>
        <v>1</v>
      </c>
      <c r="W43" s="22" t="str">
        <f>IF('E Data'!$D$14&gt;0,IF(U43=V43=TRUE,"Right","Wrong"),IF(U43=TRUE,"Right","Wrong"))</f>
        <v>Right</v>
      </c>
      <c r="AA43" s="1431"/>
      <c r="AB43" s="1439" t="s">
        <v>100</v>
      </c>
      <c r="AC43" s="1434" t="str">
        <f>IF('E Data'!D14&gt;0,D17,"N.A")</f>
        <v>Sq. Cage Motor</v>
      </c>
      <c r="AD43" s="137"/>
      <c r="AE43" s="137"/>
      <c r="AH43" s="1230"/>
      <c r="AI43" s="1518">
        <v>7</v>
      </c>
      <c r="AJ43" s="1519">
        <v>1</v>
      </c>
      <c r="AK43" s="1520" t="s">
        <v>1375</v>
      </c>
      <c r="AL43" s="1521">
        <v>22218</v>
      </c>
      <c r="AM43" s="1522" t="s">
        <v>1376</v>
      </c>
      <c r="AN43" s="1519" t="s">
        <v>1377</v>
      </c>
      <c r="AO43" s="1519" t="s">
        <v>1378</v>
      </c>
      <c r="AP43" s="1230"/>
      <c r="AQ43" s="1230"/>
      <c r="AR43" s="1496">
        <f t="shared" si="1"/>
        <v>42</v>
      </c>
      <c r="AS43" s="4089" t="s">
        <v>2698</v>
      </c>
      <c r="AT43" s="4089"/>
      <c r="AU43" s="4089"/>
      <c r="AV43" s="4089"/>
      <c r="AW43" s="4089" t="str">
        <f>+R64</f>
        <v>50mm Sq. Bar</v>
      </c>
      <c r="AX43" s="4089"/>
      <c r="AY43" s="4089"/>
      <c r="AZ43" s="4089"/>
      <c r="BA43" s="4089"/>
      <c r="BB43" s="4089"/>
    </row>
    <row r="44" spans="1:60" ht="17.100000000000001" customHeight="1" thickBot="1">
      <c r="A44" s="1582" t="s">
        <v>437</v>
      </c>
      <c r="B44" s="1610"/>
      <c r="C44" s="1610">
        <f>MH!F112</f>
        <v>1960</v>
      </c>
      <c r="D44" s="3586">
        <f>AH!F112</f>
        <v>1770</v>
      </c>
      <c r="E44" s="1577"/>
      <c r="F44" s="83"/>
      <c r="G44" s="490"/>
      <c r="H44" s="1631"/>
      <c r="M44" s="1230"/>
      <c r="N44" s="1262"/>
      <c r="O44" s="17" t="s">
        <v>1344</v>
      </c>
      <c r="P44" s="179">
        <f>ESt!D52</f>
        <v>1</v>
      </c>
      <c r="Q44" s="179">
        <f>IF(G4&gt;0,ESt!D72,"N.A")</f>
        <v>1</v>
      </c>
      <c r="R44" s="179">
        <f>G31</f>
        <v>1</v>
      </c>
      <c r="S44" s="179">
        <f>H31</f>
        <v>2</v>
      </c>
      <c r="T44" s="1287"/>
      <c r="U44" s="137" t="b">
        <f>C31=P44</f>
        <v>1</v>
      </c>
      <c r="V44" s="137" t="b">
        <f>D31=Q44</f>
        <v>1</v>
      </c>
      <c r="W44" s="22" t="str">
        <f>IF('E Data'!$D$14&gt;0,IF(U44=V44=TRUE,"Right","Wrong"),IF(U44=TRUE,"Right","Wrong"))</f>
        <v>Right</v>
      </c>
      <c r="X44" s="137"/>
      <c r="Y44" s="137"/>
      <c r="Z44" s="137"/>
      <c r="AA44" s="1431"/>
      <c r="AB44" s="1439" t="s">
        <v>2343</v>
      </c>
      <c r="AC44" s="1434">
        <f>IF('E Data'!D14&gt;0,D20,"N.A")</f>
        <v>18</v>
      </c>
      <c r="AD44" s="137"/>
      <c r="AE44" s="137"/>
      <c r="AH44" s="1230"/>
      <c r="AI44" s="1526"/>
      <c r="AJ44" s="1519"/>
      <c r="AK44" s="1520"/>
      <c r="AL44" s="1521"/>
      <c r="AM44" s="1543"/>
      <c r="AN44" s="1519"/>
      <c r="AO44" s="1519"/>
      <c r="AP44" s="1230"/>
      <c r="AQ44" s="1230"/>
      <c r="AR44" s="1496">
        <f t="shared" si="1"/>
        <v>43</v>
      </c>
      <c r="AS44" s="4089" t="s">
        <v>2699</v>
      </c>
      <c r="AT44" s="4089"/>
      <c r="AU44" s="4089"/>
      <c r="AV44" s="4089"/>
      <c r="AW44" s="4090" t="str">
        <f>+S64</f>
        <v>70X40mm bar</v>
      </c>
      <c r="AX44" s="4091"/>
      <c r="AY44" s="4091"/>
      <c r="AZ44" s="4091"/>
      <c r="BA44" s="4091"/>
      <c r="BB44" s="4092"/>
    </row>
    <row r="45" spans="1:60" ht="17.100000000000001" customHeight="1" thickBot="1">
      <c r="A45" s="1621" t="s">
        <v>1379</v>
      </c>
      <c r="B45" s="1204" t="s">
        <v>1380</v>
      </c>
      <c r="C45" s="1657">
        <f>MH!F115</f>
        <v>75</v>
      </c>
      <c r="D45" s="3596">
        <f>AH!F115</f>
        <v>75</v>
      </c>
      <c r="E45" s="1577"/>
      <c r="F45" s="1574"/>
      <c r="G45" s="1658"/>
      <c r="H45" s="1659"/>
      <c r="M45" s="1230"/>
      <c r="N45" s="1443" t="s">
        <v>1381</v>
      </c>
      <c r="O45" s="17"/>
      <c r="P45" s="1331"/>
      <c r="Q45" s="1331"/>
      <c r="R45" s="1331"/>
      <c r="S45" s="1331"/>
      <c r="T45" s="1287"/>
      <c r="U45" s="137"/>
      <c r="V45" s="87"/>
      <c r="W45" s="17"/>
      <c r="X45" s="137"/>
      <c r="Y45" s="137"/>
      <c r="Z45" s="137"/>
      <c r="AA45" s="1431"/>
      <c r="AB45" s="1439" t="s">
        <v>2182</v>
      </c>
      <c r="AC45" s="1434" t="str">
        <f>IF('E Data'!D14&gt;0,D21,"N.A")</f>
        <v>180L</v>
      </c>
      <c r="AD45" s="137"/>
      <c r="AE45" s="137"/>
      <c r="AH45" s="1230"/>
      <c r="AI45" s="1526"/>
      <c r="AJ45" s="1519">
        <v>2</v>
      </c>
      <c r="AK45" s="1520" t="s">
        <v>1382</v>
      </c>
      <c r="AL45" s="1521" t="s">
        <v>1383</v>
      </c>
      <c r="AM45" s="1543"/>
      <c r="AN45" s="1519" t="s">
        <v>1336</v>
      </c>
      <c r="AO45" s="1519" t="s">
        <v>1265</v>
      </c>
      <c r="AP45" s="1230"/>
      <c r="AQ45" s="1230"/>
      <c r="AR45" s="1496">
        <f t="shared" si="1"/>
        <v>44</v>
      </c>
      <c r="AS45" s="4089" t="s">
        <v>1438</v>
      </c>
      <c r="AT45" s="4089"/>
      <c r="AU45" s="4089"/>
      <c r="AV45" s="4089"/>
      <c r="AW45" s="4090" t="str">
        <f>'E Data'!D43&amp;" T Approx."</f>
        <v>17 T Approx.</v>
      </c>
      <c r="AX45" s="4091"/>
      <c r="AY45" s="4091"/>
      <c r="AZ45" s="4091"/>
      <c r="BA45" s="4091"/>
      <c r="BB45" s="4092"/>
    </row>
    <row r="46" spans="1:60" ht="17.100000000000001" customHeight="1" thickBot="1">
      <c r="A46" s="4069" t="s">
        <v>1384</v>
      </c>
      <c r="B46" s="4070"/>
      <c r="C46" s="1655">
        <f>MH!J109</f>
        <v>5.25</v>
      </c>
      <c r="D46" s="3597">
        <f>AH!J108</f>
        <v>5.25</v>
      </c>
      <c r="E46" s="1660"/>
      <c r="F46" s="1661"/>
      <c r="G46" s="83"/>
      <c r="H46" s="1227"/>
      <c r="M46" s="1230"/>
      <c r="N46" s="1443" t="s">
        <v>100</v>
      </c>
      <c r="O46" s="17"/>
      <c r="Q46" s="79"/>
      <c r="R46" s="79"/>
      <c r="S46" s="79"/>
      <c r="T46" s="1287"/>
      <c r="U46" s="137"/>
      <c r="V46" s="87"/>
      <c r="W46" s="17"/>
      <c r="X46" s="137"/>
      <c r="Y46" s="137"/>
      <c r="Z46" s="137"/>
      <c r="AA46" s="1431"/>
      <c r="AB46" s="1439" t="s">
        <v>1321</v>
      </c>
      <c r="AC46" s="1434">
        <f>IF('E Data'!D14&gt;0,D22,"N.A")</f>
        <v>6</v>
      </c>
      <c r="AD46" s="1662"/>
      <c r="AE46" s="1662"/>
      <c r="AF46" s="1662"/>
      <c r="AG46" s="1662"/>
      <c r="AH46" s="1230"/>
      <c r="AI46" s="1526"/>
      <c r="AJ46" s="1519">
        <v>3</v>
      </c>
      <c r="AK46" s="1520" t="s">
        <v>1385</v>
      </c>
      <c r="AL46" s="1519"/>
      <c r="AM46" s="1527"/>
      <c r="AN46" s="1519" t="s">
        <v>1336</v>
      </c>
      <c r="AO46" s="1519" t="s">
        <v>1272</v>
      </c>
      <c r="AP46" s="1230"/>
      <c r="AQ46" s="1230"/>
      <c r="AR46" s="1496">
        <f t="shared" si="1"/>
        <v>45</v>
      </c>
      <c r="AS46" s="4089" t="s">
        <v>2700</v>
      </c>
      <c r="AT46" s="4089"/>
      <c r="AU46" s="4089"/>
      <c r="AV46" s="4089"/>
      <c r="AW46" s="4090" t="str">
        <f>'E Data'!D44&amp;" T Approx."</f>
        <v>5 T Approx.</v>
      </c>
      <c r="AX46" s="4091"/>
      <c r="AY46" s="4091"/>
      <c r="AZ46" s="4091"/>
      <c r="BA46" s="4091"/>
      <c r="BB46" s="4092"/>
    </row>
    <row r="47" spans="1:60" ht="17.100000000000001" customHeight="1" thickBot="1">
      <c r="A47" s="4071" t="s">
        <v>1386</v>
      </c>
      <c r="B47" s="4072"/>
      <c r="C47" s="1663" t="str">
        <f>Selection!C13</f>
        <v>C Type</v>
      </c>
      <c r="D47" s="3581" t="str">
        <f>Selection!D13</f>
        <v>C Type</v>
      </c>
      <c r="E47" s="1664" t="s">
        <v>875</v>
      </c>
      <c r="F47" s="1635"/>
      <c r="G47" s="1663" t="str">
        <f>CT_wh!J36</f>
        <v>50mm Sq. Bar</v>
      </c>
      <c r="H47" s="1665" t="str">
        <f>LT_wh!J40</f>
        <v>70X40mm bar</v>
      </c>
      <c r="M47" s="1230"/>
      <c r="N47" s="1443" t="s">
        <v>1344</v>
      </c>
      <c r="O47" s="17"/>
      <c r="P47" s="79"/>
      <c r="Q47" s="79"/>
      <c r="R47" s="79"/>
      <c r="S47" s="79"/>
      <c r="T47" s="1287"/>
      <c r="U47" s="22" t="str">
        <f>IF(Y27="Right",IF(Y28="Right",IF(Y29="Right",IF(Y30="Right",IF(Y35="Right",IF(W42="Right",IF(W43="Right",IF(W44="Right",IF(Y23="Right","Right","Wrong")))))))))</f>
        <v>Right</v>
      </c>
      <c r="V47" s="22" t="str">
        <f>IF(W52="Right",IF(W54="Right",IF(W55="Right",IF(W56="Right",IF(W57="Right",IF(W59="Right",IF(W60="Right",IF(W63="Right",IF(W64="Right",IF(W53="Right","Right","Wrong"))))))))))</f>
        <v>Right</v>
      </c>
      <c r="X47" s="137"/>
      <c r="Y47" s="137"/>
      <c r="Z47" s="137"/>
      <c r="AA47" s="1431"/>
      <c r="AB47" s="1439" t="s">
        <v>2344</v>
      </c>
      <c r="AC47" s="1434">
        <f>IF('E Data'!D14&gt;0,D23,"N.A")</f>
        <v>960</v>
      </c>
      <c r="AD47" s="1662"/>
      <c r="AE47" s="1662"/>
      <c r="AF47" s="1662"/>
      <c r="AG47" s="1662"/>
      <c r="AH47" s="1230"/>
      <c r="AI47" s="1536"/>
      <c r="AJ47" s="1537"/>
      <c r="AK47" s="1537"/>
      <c r="AL47" s="1537"/>
      <c r="AM47" s="1537"/>
      <c r="AN47" s="1537"/>
      <c r="AO47" s="1519"/>
      <c r="AP47" s="1230"/>
      <c r="AQ47" s="1230"/>
      <c r="AR47" s="1496">
        <f t="shared" si="1"/>
        <v>46</v>
      </c>
      <c r="AS47" s="4089" t="s">
        <v>1442</v>
      </c>
      <c r="AT47" s="4089"/>
      <c r="AU47" s="4089"/>
      <c r="AV47" s="4089"/>
      <c r="AW47" s="4090" t="str">
        <f>+'E Data'!J45&amp;" T Approx."</f>
        <v>16.6 T Approx.</v>
      </c>
      <c r="AX47" s="4091"/>
      <c r="AY47" s="4091"/>
      <c r="AZ47" s="4091"/>
      <c r="BA47" s="4091"/>
      <c r="BB47" s="4092"/>
    </row>
    <row r="48" spans="1:60" ht="17.100000000000001" customHeight="1" thickBot="1">
      <c r="A48" s="1666" t="s">
        <v>1090</v>
      </c>
      <c r="B48" s="1667"/>
      <c r="C48" s="29">
        <f>Selection!C25</f>
        <v>51320</v>
      </c>
      <c r="D48" s="3581">
        <f>Selection!D25</f>
        <v>51222</v>
      </c>
      <c r="E48" s="1640" t="s">
        <v>1387</v>
      </c>
      <c r="F48" s="1641"/>
      <c r="G48" s="1459">
        <f>CT_wh!I37</f>
        <v>50</v>
      </c>
      <c r="H48" s="1668">
        <f>LT_wh!I41</f>
        <v>70</v>
      </c>
      <c r="M48" s="1230"/>
      <c r="N48" s="1443" t="s">
        <v>675</v>
      </c>
      <c r="O48" s="17"/>
      <c r="P48" s="1638" t="s">
        <v>1388</v>
      </c>
      <c r="Q48" s="1638" t="str">
        <f>IF('E Data'!D14&gt;0,"Flexible Type","N.A")</f>
        <v>Flexible Type</v>
      </c>
      <c r="R48" s="1638" t="str">
        <f>IF(O37=1,"Flexible Type","-")</f>
        <v>-</v>
      </c>
      <c r="S48" s="1638" t="str">
        <f>IF(O38=1,"Flexible Type","-")</f>
        <v>-</v>
      </c>
      <c r="T48" s="1287"/>
      <c r="U48" s="137"/>
      <c r="V48" s="1579"/>
      <c r="W48" s="17"/>
      <c r="X48" s="137"/>
      <c r="Y48" s="137"/>
      <c r="Z48" s="137"/>
      <c r="AA48" s="1431"/>
      <c r="AB48" s="1439" t="s">
        <v>2345</v>
      </c>
      <c r="AC48" s="1455" t="str">
        <f>IF('E Data'!D14&gt;0,AH!I38,"N.A")</f>
        <v>40%</v>
      </c>
      <c r="AD48" s="1662"/>
      <c r="AE48" s="1662"/>
      <c r="AF48" s="1662"/>
      <c r="AG48" s="1662"/>
      <c r="AH48" s="1230"/>
      <c r="AI48" s="1518">
        <v>8</v>
      </c>
      <c r="AJ48" s="1519">
        <v>1</v>
      </c>
      <c r="AK48" s="1520" t="s">
        <v>1389</v>
      </c>
      <c r="AL48" s="1521">
        <v>22216</v>
      </c>
      <c r="AM48" s="1522" t="s">
        <v>1347</v>
      </c>
      <c r="AN48" s="1522" t="s">
        <v>1390</v>
      </c>
      <c r="AO48" s="1519" t="s">
        <v>1204</v>
      </c>
      <c r="AP48" s="1230"/>
      <c r="AQ48" s="1230"/>
      <c r="AR48" s="1496">
        <f t="shared" si="1"/>
        <v>47</v>
      </c>
      <c r="AS48" s="4089" t="s">
        <v>1444</v>
      </c>
      <c r="AT48" s="4089"/>
      <c r="AU48" s="4089"/>
      <c r="AV48" s="4089"/>
      <c r="AW48" s="4090" t="str">
        <f>+D67</f>
        <v>Full length platform on Drive side and Two short corners on the other side of girder</v>
      </c>
      <c r="AX48" s="4091"/>
      <c r="AY48" s="4091"/>
      <c r="AZ48" s="4091"/>
      <c r="BA48" s="4091"/>
      <c r="BB48" s="4092"/>
    </row>
    <row r="49" spans="1:54" ht="15" customHeight="1" thickBot="1">
      <c r="A49" s="1669"/>
      <c r="B49" s="1230"/>
      <c r="C49" s="192"/>
      <c r="D49" s="3598" t="s">
        <v>847</v>
      </c>
      <c r="E49" s="1230"/>
      <c r="F49" s="1230"/>
      <c r="G49" s="1574"/>
      <c r="H49" s="1670"/>
      <c r="M49" s="137"/>
      <c r="N49" s="1443" t="s">
        <v>1391</v>
      </c>
      <c r="O49" s="17"/>
      <c r="P49" s="79"/>
      <c r="Q49" s="79"/>
      <c r="R49" s="79"/>
      <c r="S49" s="79"/>
      <c r="T49" s="1287"/>
      <c r="U49" s="137"/>
      <c r="X49" s="137"/>
      <c r="AA49" s="1431"/>
      <c r="AB49" s="1439" t="s">
        <v>1330</v>
      </c>
      <c r="AC49" s="1434">
        <f>IF('E Data'!D14&gt;0,AH!I39,"N.A")</f>
        <v>150</v>
      </c>
      <c r="AD49" s="1662"/>
      <c r="AE49" s="1662"/>
      <c r="AF49" s="1662"/>
      <c r="AG49" s="1662"/>
      <c r="AH49" s="17"/>
      <c r="AI49" s="1671"/>
      <c r="AJ49" s="1519">
        <v>2</v>
      </c>
      <c r="AK49" s="1520" t="s">
        <v>1392</v>
      </c>
      <c r="AL49" s="1521" t="s">
        <v>1393</v>
      </c>
      <c r="AM49" s="1543"/>
      <c r="AN49" s="1527"/>
      <c r="AO49" s="1519" t="s">
        <v>1226</v>
      </c>
      <c r="AP49" s="17"/>
      <c r="AQ49" s="17"/>
      <c r="AR49" s="1496">
        <f>+AR48+1</f>
        <v>48</v>
      </c>
      <c r="AS49" s="4089" t="s">
        <v>1449</v>
      </c>
      <c r="AT49" s="4089"/>
      <c r="AU49" s="4089"/>
      <c r="AV49" s="4089"/>
      <c r="AW49" s="4090" t="str">
        <f>+D73</f>
        <v xml:space="preserve">Two Coat of Red Oxide &amp; Two coat of Synthetic Enamel </v>
      </c>
      <c r="AX49" s="4091"/>
      <c r="AY49" s="4091"/>
      <c r="AZ49" s="4091"/>
      <c r="BA49" s="4091"/>
      <c r="BB49" s="4092"/>
    </row>
    <row r="50" spans="1:54" ht="17.100000000000001" customHeight="1" thickBot="1">
      <c r="A50" s="1573" t="s">
        <v>1394</v>
      </c>
      <c r="B50" s="1636" t="s">
        <v>1333</v>
      </c>
      <c r="C50" s="1672">
        <f>MH!J139</f>
        <v>396</v>
      </c>
      <c r="D50" s="3599">
        <f>AH!J139</f>
        <v>324</v>
      </c>
      <c r="E50" s="1673" t="s">
        <v>1395</v>
      </c>
      <c r="F50" s="143" t="s">
        <v>121</v>
      </c>
      <c r="G50" s="1674">
        <f>CT_wh!I45</f>
        <v>19.894321364909601</v>
      </c>
      <c r="H50" s="1675">
        <f>LT_wh!I49</f>
        <v>31.830914183855359</v>
      </c>
      <c r="M50" s="1230"/>
      <c r="N50" s="1443" t="s">
        <v>347</v>
      </c>
      <c r="O50" s="17"/>
      <c r="P50" s="17"/>
      <c r="Q50" s="17"/>
      <c r="R50" s="17"/>
      <c r="S50" s="17"/>
      <c r="T50" s="1287"/>
      <c r="U50" s="137"/>
      <c r="V50" s="1676"/>
      <c r="W50" s="1456"/>
      <c r="X50" s="17"/>
      <c r="AA50" s="1431"/>
      <c r="AB50" s="1439" t="s">
        <v>1334</v>
      </c>
      <c r="AC50" s="1434" t="str">
        <f>'E Data'!D89</f>
        <v>F</v>
      </c>
      <c r="AD50" s="1662"/>
      <c r="AE50" s="1662"/>
      <c r="AF50" s="1662"/>
      <c r="AG50" s="1662"/>
      <c r="AH50" s="17"/>
      <c r="AI50" s="1671"/>
      <c r="AJ50" s="1519">
        <v>3</v>
      </c>
      <c r="AK50" s="1520" t="s">
        <v>1396</v>
      </c>
      <c r="AL50" s="1521"/>
      <c r="AM50" s="1543"/>
      <c r="AN50" s="1521"/>
      <c r="AO50" s="1519" t="s">
        <v>1257</v>
      </c>
      <c r="AP50" s="17"/>
      <c r="AQ50" s="17"/>
      <c r="AR50" s="1496">
        <f t="shared" ref="AR50:AR54" si="3">+AR49+1</f>
        <v>49</v>
      </c>
      <c r="AS50" s="4115" t="s">
        <v>2701</v>
      </c>
      <c r="AT50" s="4116"/>
      <c r="AU50" s="4116"/>
      <c r="AV50" s="4117"/>
      <c r="AW50" s="4121" t="s">
        <v>2702</v>
      </c>
      <c r="AX50" s="4122"/>
      <c r="AY50" s="4122"/>
      <c r="AZ50" s="4122"/>
      <c r="BA50" s="4122"/>
      <c r="BB50" s="4123"/>
    </row>
    <row r="51" spans="1:54" ht="17.100000000000001" customHeight="1" thickBot="1">
      <c r="A51" s="1582" t="s">
        <v>1397</v>
      </c>
      <c r="B51" s="1619" t="s">
        <v>1333</v>
      </c>
      <c r="C51" s="1616">
        <f>MH!J141</f>
        <v>400</v>
      </c>
      <c r="D51" s="3590">
        <f>AH!J141</f>
        <v>400</v>
      </c>
      <c r="E51" s="1677" t="s">
        <v>1333</v>
      </c>
      <c r="F51" s="1230"/>
      <c r="G51" s="1672">
        <f>CT_wh!I48</f>
        <v>143.88552520416783</v>
      </c>
      <c r="H51" s="1678">
        <f>LT_wh!I52</f>
        <v>213.82445636176982</v>
      </c>
      <c r="M51" s="1230"/>
      <c r="N51" s="1443" t="s">
        <v>1398</v>
      </c>
      <c r="O51" s="17"/>
      <c r="P51" s="1331"/>
      <c r="Q51" s="1331"/>
      <c r="R51" s="1331"/>
      <c r="S51" s="1331"/>
      <c r="T51" s="1287"/>
      <c r="U51" s="137"/>
      <c r="V51" s="1192"/>
      <c r="W51" s="1457"/>
      <c r="X51" s="17"/>
      <c r="AA51" s="1431"/>
      <c r="AB51" s="1439" t="s">
        <v>1339</v>
      </c>
      <c r="AC51" s="1434" t="str">
        <f>IF('E Data'!D14&gt;0,D24,"N.A")</f>
        <v>TEFC</v>
      </c>
      <c r="AH51" s="1230"/>
      <c r="AI51" s="1526"/>
      <c r="AJ51" s="1519">
        <v>4</v>
      </c>
      <c r="AK51" s="1520" t="s">
        <v>1399</v>
      </c>
      <c r="AL51" s="1521"/>
      <c r="AM51" s="1543"/>
      <c r="AN51" s="1521" t="s">
        <v>1400</v>
      </c>
      <c r="AO51" s="1519" t="s">
        <v>1265</v>
      </c>
      <c r="AP51" s="1230"/>
      <c r="AQ51" s="1230"/>
      <c r="AR51" s="1496">
        <f>+AR50+1</f>
        <v>50</v>
      </c>
      <c r="AS51" s="4089" t="s">
        <v>2703</v>
      </c>
      <c r="AT51" s="4089"/>
      <c r="AU51" s="4089"/>
      <c r="AV51" s="4089"/>
      <c r="AW51" s="4090" t="s">
        <v>2367</v>
      </c>
      <c r="AX51" s="4091"/>
      <c r="AY51" s="4091"/>
      <c r="AZ51" s="4091"/>
      <c r="BA51" s="4091"/>
      <c r="BB51" s="4092"/>
    </row>
    <row r="52" spans="1:54" ht="17.100000000000001" customHeight="1" thickBot="1">
      <c r="A52" s="1582"/>
      <c r="B52" s="1619" t="s">
        <v>638</v>
      </c>
      <c r="C52" s="1616">
        <f>C39-2</f>
        <v>2</v>
      </c>
      <c r="D52" s="3590">
        <f>D39-2</f>
        <v>2</v>
      </c>
      <c r="E52" s="1584" t="s">
        <v>1333</v>
      </c>
      <c r="F52" s="1230"/>
      <c r="G52" s="1633">
        <f>CT_wh!I49</f>
        <v>320</v>
      </c>
      <c r="H52" s="1679">
        <f>LT_wh!I53</f>
        <v>250</v>
      </c>
      <c r="M52" s="1230"/>
      <c r="N52" s="1443" t="s">
        <v>1401</v>
      </c>
      <c r="O52" s="17" t="s">
        <v>466</v>
      </c>
      <c r="P52" s="179">
        <f>MH!F109</f>
        <v>22</v>
      </c>
      <c r="Q52" s="177">
        <f>IF(G4&gt;0,AH!F109,"N.A")</f>
        <v>18</v>
      </c>
      <c r="R52" s="4107" t="s">
        <v>1402</v>
      </c>
      <c r="S52" s="4103" t="s">
        <v>1402</v>
      </c>
      <c r="T52" s="1287"/>
      <c r="U52" s="137" t="b">
        <f>P52=C43</f>
        <v>1</v>
      </c>
      <c r="V52" s="137" t="b">
        <f>Q52=D43</f>
        <v>1</v>
      </c>
      <c r="W52" s="22" t="str">
        <f>IF('E Data'!$D$14&gt;0,IF(U52=V52=TRUE,"Right","Wrong"),IF(U52=TRUE,"Right","Wrong"))</f>
        <v>Right</v>
      </c>
      <c r="X52" s="17"/>
      <c r="AA52" s="1431"/>
      <c r="AB52" s="1439" t="s">
        <v>1341</v>
      </c>
      <c r="AC52" s="1434" t="str">
        <f>IF('E Data'!D14&gt;0,D26,"N.A")</f>
        <v>IP-55</v>
      </c>
      <c r="AH52" s="1230"/>
      <c r="AI52" s="1526"/>
      <c r="AJ52" s="1519">
        <v>5</v>
      </c>
      <c r="AK52" s="1520" t="s">
        <v>1403</v>
      </c>
      <c r="AL52" s="1519"/>
      <c r="AM52" s="1527"/>
      <c r="AN52" s="1519"/>
      <c r="AO52" s="1519" t="s">
        <v>1272</v>
      </c>
      <c r="AP52" s="1230"/>
      <c r="AQ52" s="1230"/>
      <c r="AR52" s="1496">
        <f>+AR51+1</f>
        <v>51</v>
      </c>
      <c r="AS52" s="4089" t="s">
        <v>2704</v>
      </c>
      <c r="AT52" s="4089"/>
      <c r="AU52" s="4089"/>
      <c r="AV52" s="4089"/>
      <c r="AW52" s="4090" t="s">
        <v>2368</v>
      </c>
      <c r="AX52" s="4091"/>
      <c r="AY52" s="4091"/>
      <c r="AZ52" s="4091"/>
      <c r="BA52" s="4091"/>
      <c r="BB52" s="4092"/>
    </row>
    <row r="53" spans="1:54" ht="17.100000000000001" customHeight="1" thickBot="1">
      <c r="A53" s="1621"/>
      <c r="B53" s="1623" t="s">
        <v>1141</v>
      </c>
      <c r="C53" s="1458">
        <f>Selection!C29</f>
        <v>6220</v>
      </c>
      <c r="D53" s="3592">
        <f>Selection!D29</f>
        <v>6220</v>
      </c>
      <c r="E53" s="1595" t="s">
        <v>1141</v>
      </c>
      <c r="F53" s="1584"/>
      <c r="G53" s="1459">
        <f>Selection!C41</f>
        <v>22214</v>
      </c>
      <c r="H53" s="1227">
        <f>Selection!D41</f>
        <v>22214</v>
      </c>
      <c r="M53" s="22" t="str">
        <f>AH!F110&amp;" "&amp;"("&amp;D40&amp;")"</f>
        <v>6X36 (Steel Core)</v>
      </c>
      <c r="N53" s="1443" t="s">
        <v>433</v>
      </c>
      <c r="O53" s="17"/>
      <c r="P53" s="179" t="str">
        <f>MH!F110&amp;" "&amp;"("&amp;MH!F111&amp;")"</f>
        <v>6X36 (Steel Core)</v>
      </c>
      <c r="Q53" s="177" t="str">
        <f>IF(G4&gt;0,AH!F110&amp;" "&amp;"("&amp;AH!F111&amp;")","N.A")</f>
        <v>6X36 (Steel Core)</v>
      </c>
      <c r="R53" s="4108"/>
      <c r="S53" s="4104"/>
      <c r="T53" s="1287"/>
      <c r="U53" s="137" t="b">
        <f>+P53=MH!F110&amp;" "&amp;"("&amp;C40&amp;")"</f>
        <v>1</v>
      </c>
      <c r="V53" s="137" t="b">
        <f>+Q53=AH!F110&amp;" "&amp;"("&amp;D40&amp;")"</f>
        <v>1</v>
      </c>
      <c r="W53" s="22" t="str">
        <f>IF('E Data'!$D$14&gt;0,IF(U53=V53=TRUE,"Right","Wrong"),IF(U53=TRUE,"Right","Wrong"))</f>
        <v>Right</v>
      </c>
      <c r="X53" s="17"/>
      <c r="AA53" s="1431"/>
      <c r="AB53" s="1439" t="s">
        <v>2346</v>
      </c>
      <c r="AC53" s="1434">
        <f>IF('E Data'!D14&gt;0,D37,"N.A")</f>
        <v>1</v>
      </c>
      <c r="AH53" s="1230"/>
      <c r="AI53" s="1536"/>
      <c r="AJ53" s="1537"/>
      <c r="AK53" s="1537"/>
      <c r="AL53" s="1537"/>
      <c r="AM53" s="1537"/>
      <c r="AN53" s="1537"/>
      <c r="AO53" s="1519"/>
      <c r="AP53" s="1230"/>
      <c r="AQ53" s="1230"/>
      <c r="AR53" s="1496">
        <f>+AR52+1</f>
        <v>52</v>
      </c>
      <c r="AS53" s="4089" t="s">
        <v>2705</v>
      </c>
      <c r="AT53" s="4089"/>
      <c r="AU53" s="4089"/>
      <c r="AV53" s="4089"/>
      <c r="AW53" s="4090" t="s">
        <v>2706</v>
      </c>
      <c r="AX53" s="4091"/>
      <c r="AY53" s="4091"/>
      <c r="AZ53" s="4091"/>
      <c r="BA53" s="4091"/>
      <c r="BB53" s="4092"/>
    </row>
    <row r="54" spans="1:54" ht="17.100000000000001" customHeight="1" thickBot="1">
      <c r="A54" s="1573" t="s">
        <v>1404</v>
      </c>
      <c r="B54" s="1636" t="s">
        <v>1333</v>
      </c>
      <c r="C54" s="1680">
        <f>MH!J143</f>
        <v>264</v>
      </c>
      <c r="D54" s="3600">
        <f>AH!J143</f>
        <v>216</v>
      </c>
      <c r="E54" s="1681" t="s">
        <v>1405</v>
      </c>
      <c r="F54" s="1458"/>
      <c r="G54" s="1459" t="str">
        <f>Selection!C45</f>
        <v>8*16</v>
      </c>
      <c r="H54" s="1227" t="str">
        <f>Selection!D45</f>
        <v>8*16</v>
      </c>
      <c r="M54" s="1230"/>
      <c r="N54" s="1443" t="s">
        <v>1406</v>
      </c>
      <c r="O54" s="17"/>
      <c r="P54" s="179">
        <f>'E Data'!D41</f>
        <v>4</v>
      </c>
      <c r="Q54" s="177">
        <f>IF(G4&gt;0,'E Data'!D42,"N.A")</f>
        <v>4</v>
      </c>
      <c r="R54" s="4108"/>
      <c r="S54" s="4104"/>
      <c r="T54" s="1287"/>
      <c r="U54" s="137" t="b">
        <f>P54=C39</f>
        <v>1</v>
      </c>
      <c r="V54" s="137" t="b">
        <f>Q54=D39</f>
        <v>1</v>
      </c>
      <c r="W54" s="22" t="str">
        <f>IF('E Data'!$D$14&gt;0,IF(U54=V54=TRUE,"Right","Wrong"),IF(U54=TRUE,"Right","Wrong"))</f>
        <v>Right</v>
      </c>
      <c r="X54" s="17"/>
      <c r="Y54" s="17"/>
      <c r="Z54" s="137"/>
      <c r="AA54" s="1431">
        <v>20</v>
      </c>
      <c r="AB54" s="1432" t="s">
        <v>2348</v>
      </c>
      <c r="AC54" s="1434"/>
      <c r="AD54" s="137"/>
      <c r="AE54" s="137"/>
      <c r="AH54" s="1230"/>
      <c r="AI54" s="1518">
        <v>9</v>
      </c>
      <c r="AJ54" s="1519">
        <v>1</v>
      </c>
      <c r="AK54" s="1520" t="s">
        <v>1407</v>
      </c>
      <c r="AL54" s="1521">
        <v>22218</v>
      </c>
      <c r="AM54" s="1522" t="s">
        <v>1376</v>
      </c>
      <c r="AN54" s="1522" t="s">
        <v>1390</v>
      </c>
      <c r="AO54" s="1519" t="s">
        <v>1204</v>
      </c>
      <c r="AP54" s="1230"/>
      <c r="AQ54" s="1230"/>
      <c r="AR54" s="1496">
        <f t="shared" si="3"/>
        <v>53</v>
      </c>
      <c r="AS54" s="4089" t="s">
        <v>2707</v>
      </c>
      <c r="AT54" s="4089"/>
      <c r="AU54" s="4089"/>
      <c r="AV54" s="4089"/>
      <c r="AW54" s="4089" t="s">
        <v>2708</v>
      </c>
      <c r="AX54" s="4089"/>
      <c r="AY54" s="4089"/>
      <c r="AZ54" s="4089"/>
      <c r="BA54" s="4089"/>
      <c r="BB54" s="4089"/>
    </row>
    <row r="55" spans="1:54" ht="17.100000000000001" customHeight="1" thickBot="1">
      <c r="A55" s="1582" t="s">
        <v>714</v>
      </c>
      <c r="B55" s="1619" t="s">
        <v>1333</v>
      </c>
      <c r="C55" s="1634">
        <f>MH!J145</f>
        <v>320</v>
      </c>
      <c r="D55" s="3601">
        <f>AH!J145</f>
        <v>250</v>
      </c>
      <c r="E55" s="1682" t="s">
        <v>1151</v>
      </c>
      <c r="F55" s="1641"/>
      <c r="G55" s="143" t="str">
        <f>Selection!C49</f>
        <v>SPRING</v>
      </c>
      <c r="H55" s="1019" t="str">
        <f>Selection!D49</f>
        <v>SPRING</v>
      </c>
      <c r="M55" s="1230"/>
      <c r="N55" s="1443" t="s">
        <v>429</v>
      </c>
      <c r="O55" s="17"/>
      <c r="P55" s="179" t="str">
        <f>MH!F112&amp;" N/mm^2"</f>
        <v>1960 N/mm^2</v>
      </c>
      <c r="Q55" s="177" t="str">
        <f>IF(G4&gt;0,AH!F112&amp;" N/mm^2","N.A")</f>
        <v>1770 N/mm^2</v>
      </c>
      <c r="R55" s="4108"/>
      <c r="S55" s="4104"/>
      <c r="T55" s="1287"/>
      <c r="U55" s="137" t="b">
        <f>P55=C44&amp;" N/mm^2"</f>
        <v>1</v>
      </c>
      <c r="V55" s="137" t="b">
        <f>Q55=D44&amp;" N/mm^2"</f>
        <v>1</v>
      </c>
      <c r="W55" s="22" t="str">
        <f>IF('E Data'!$D$14&gt;0,IF(U55=V55=TRUE,"Right","Wrong"),IF(U55=TRUE,"Right","Wrong"))</f>
        <v>Right</v>
      </c>
      <c r="X55" s="17"/>
      <c r="Y55" s="17"/>
      <c r="Z55" s="137"/>
      <c r="AA55" s="1431"/>
      <c r="AB55" s="1439" t="s">
        <v>100</v>
      </c>
      <c r="AC55" s="1439" t="str">
        <f>G17</f>
        <v>Sq. Cage Motor</v>
      </c>
      <c r="AE55" s="137"/>
      <c r="AH55" s="1230"/>
      <c r="AI55" s="1526"/>
      <c r="AJ55" s="1519">
        <v>2</v>
      </c>
      <c r="AK55" s="1520" t="s">
        <v>1408</v>
      </c>
      <c r="AL55" s="1521" t="s">
        <v>1383</v>
      </c>
      <c r="AM55" s="1543"/>
      <c r="AN55" s="1527"/>
      <c r="AO55" s="1519" t="s">
        <v>1226</v>
      </c>
      <c r="AP55" s="1230"/>
      <c r="AQ55" s="1230"/>
      <c r="AR55" s="1496">
        <f>+AR54+1</f>
        <v>54</v>
      </c>
      <c r="AS55" s="4089" t="s">
        <v>2709</v>
      </c>
      <c r="AT55" s="4089"/>
      <c r="AU55" s="4089"/>
      <c r="AV55" s="4089"/>
      <c r="AW55" s="4089" t="s">
        <v>2710</v>
      </c>
      <c r="AX55" s="4089"/>
      <c r="AY55" s="4089"/>
      <c r="AZ55" s="4089"/>
      <c r="BA55" s="4089"/>
      <c r="BB55" s="4089"/>
    </row>
    <row r="56" spans="1:54" ht="17.100000000000001" customHeight="1" thickBot="1">
      <c r="A56" s="1582"/>
      <c r="B56" s="1619" t="s">
        <v>638</v>
      </c>
      <c r="C56" s="1634">
        <v>1</v>
      </c>
      <c r="D56" s="3601">
        <v>1</v>
      </c>
      <c r="E56" s="1230"/>
      <c r="F56" s="1230"/>
      <c r="G56" s="1230"/>
      <c r="H56" s="1683"/>
      <c r="M56" s="1230"/>
      <c r="N56" s="1443" t="s">
        <v>1409</v>
      </c>
      <c r="O56" s="17"/>
      <c r="P56" s="179">
        <f>MH!J109</f>
        <v>5.25</v>
      </c>
      <c r="Q56" s="177">
        <f>IF(G4&gt;0,AH!J108,"N.A")</f>
        <v>5.25</v>
      </c>
      <c r="R56" s="4108"/>
      <c r="S56" s="4104"/>
      <c r="T56" s="1287"/>
      <c r="U56" s="1047" t="b">
        <f>P56=C46</f>
        <v>1</v>
      </c>
      <c r="V56" s="1047" t="b">
        <f>Q56=D46</f>
        <v>1</v>
      </c>
      <c r="W56" s="22" t="str">
        <f>IF('E Data'!$D$14&gt;0,IF(U56=V56=TRUE,"Right","Wrong"),IF(U56=TRUE,"Right","Wrong"))</f>
        <v>Right</v>
      </c>
      <c r="X56" s="17"/>
      <c r="Y56" s="17"/>
      <c r="Z56" s="137"/>
      <c r="AA56" s="1431"/>
      <c r="AB56" s="1439" t="s">
        <v>2343</v>
      </c>
      <c r="AC56" s="1434" t="str">
        <f>G20&amp;" kW"</f>
        <v>1.1 kW</v>
      </c>
      <c r="AE56" s="137"/>
      <c r="AH56" s="1230"/>
      <c r="AI56" s="1526"/>
      <c r="AJ56" s="1519">
        <v>3</v>
      </c>
      <c r="AK56" s="1520" t="s">
        <v>1410</v>
      </c>
      <c r="AL56" s="1521"/>
      <c r="AM56" s="1543"/>
      <c r="AN56" s="1522" t="s">
        <v>1400</v>
      </c>
      <c r="AO56" s="1519" t="s">
        <v>1257</v>
      </c>
      <c r="AP56" s="1230"/>
      <c r="AQ56" s="1230"/>
      <c r="AR56" s="1496">
        <f>+AR55+1</f>
        <v>55</v>
      </c>
      <c r="AS56" s="4089" t="s">
        <v>2711</v>
      </c>
      <c r="AT56" s="4089"/>
      <c r="AU56" s="4089"/>
      <c r="AV56" s="4089"/>
      <c r="AW56" s="4089" t="s">
        <v>2710</v>
      </c>
      <c r="AX56" s="4089"/>
      <c r="AY56" s="4089"/>
      <c r="AZ56" s="4089"/>
      <c r="BA56" s="4089"/>
      <c r="BB56" s="4089"/>
    </row>
    <row r="57" spans="1:54" ht="17.100000000000001" customHeight="1" thickBot="1">
      <c r="A57" s="1621"/>
      <c r="B57" s="1619" t="s">
        <v>1141</v>
      </c>
      <c r="C57" s="1204">
        <f>C53</f>
        <v>6220</v>
      </c>
      <c r="D57" s="3602">
        <f>D53</f>
        <v>6220</v>
      </c>
      <c r="E57" s="1230"/>
      <c r="F57" s="4007" t="s">
        <v>1411</v>
      </c>
      <c r="G57" s="4007"/>
      <c r="H57" s="4008"/>
      <c r="M57" s="1230"/>
      <c r="N57" s="1443" t="s">
        <v>1386</v>
      </c>
      <c r="O57" s="17"/>
      <c r="P57" s="179" t="str">
        <f>Selection!C13</f>
        <v>C Type</v>
      </c>
      <c r="Q57" s="177" t="str">
        <f>IF(G4&gt;0,Selection!D13,"N.A")</f>
        <v>C Type</v>
      </c>
      <c r="R57" s="4109"/>
      <c r="S57" s="4105"/>
      <c r="T57" s="1287"/>
      <c r="U57" s="1047" t="b">
        <f>P57=C47</f>
        <v>1</v>
      </c>
      <c r="V57" s="1047" t="b">
        <f>Q57=D47</f>
        <v>1</v>
      </c>
      <c r="W57" s="22" t="str">
        <f>IF('E Data'!$D$14&gt;0,IF(U57=V57=TRUE,"Right","Wrong"),IF(U57=TRUE,"Right","Wrong"))</f>
        <v>Right</v>
      </c>
      <c r="X57" s="17"/>
      <c r="Y57" s="17"/>
      <c r="Z57" s="137"/>
      <c r="AA57" s="1431"/>
      <c r="AB57" s="1439" t="s">
        <v>2182</v>
      </c>
      <c r="AC57" s="1450" t="str">
        <f>G21</f>
        <v>90S</v>
      </c>
      <c r="AE57" s="1460"/>
      <c r="AH57" s="1230"/>
      <c r="AI57" s="1526"/>
      <c r="AJ57" s="1519">
        <v>4</v>
      </c>
      <c r="AK57" s="1520" t="s">
        <v>1412</v>
      </c>
      <c r="AL57" s="1521"/>
      <c r="AM57" s="1543"/>
      <c r="AN57" s="1543"/>
      <c r="AO57" s="1519" t="s">
        <v>1265</v>
      </c>
      <c r="AP57" s="1230"/>
      <c r="AQ57" s="1230"/>
      <c r="AR57" s="1684"/>
      <c r="AS57" s="1685"/>
      <c r="AT57" s="1685"/>
      <c r="AU57" s="1685"/>
      <c r="AV57" s="1685"/>
      <c r="AW57" s="1685"/>
      <c r="AX57" s="1685"/>
      <c r="AY57" s="1685"/>
      <c r="AZ57" s="1685"/>
      <c r="BA57" s="1685"/>
      <c r="BB57" s="1685"/>
    </row>
    <row r="58" spans="1:54" ht="17.100000000000001" customHeight="1" thickBot="1">
      <c r="A58" s="1624" t="s">
        <v>1088</v>
      </c>
      <c r="B58" s="1677" t="s">
        <v>1333</v>
      </c>
      <c r="C58" s="1680">
        <f>MH!J130</f>
        <v>396</v>
      </c>
      <c r="D58" s="3600">
        <f>AH!J130</f>
        <v>324</v>
      </c>
      <c r="E58" s="1230"/>
      <c r="F58" s="1575" t="s">
        <v>1413</v>
      </c>
      <c r="G58" s="1575" t="s">
        <v>1414</v>
      </c>
      <c r="H58" s="1686" t="s">
        <v>1415</v>
      </c>
      <c r="M58" s="1230"/>
      <c r="N58" s="1443" t="s">
        <v>1416</v>
      </c>
      <c r="O58" s="17"/>
      <c r="P58" s="17"/>
      <c r="Q58" s="17"/>
      <c r="R58" s="17"/>
      <c r="S58" s="17"/>
      <c r="T58" s="1287"/>
      <c r="U58" s="1047"/>
      <c r="V58" s="1460"/>
      <c r="W58" s="1460"/>
      <c r="X58" s="1460"/>
      <c r="Y58" s="1460"/>
      <c r="Z58" s="1460"/>
      <c r="AA58" s="1431"/>
      <c r="AB58" s="1439" t="s">
        <v>1321</v>
      </c>
      <c r="AC58" s="1451">
        <f>G22</f>
        <v>4</v>
      </c>
      <c r="AE58" s="137"/>
      <c r="AH58" s="1230"/>
      <c r="AI58" s="1526"/>
      <c r="AJ58" s="1519">
        <v>5</v>
      </c>
      <c r="AK58" s="1520" t="s">
        <v>1417</v>
      </c>
      <c r="AL58" s="1519"/>
      <c r="AM58" s="1527"/>
      <c r="AN58" s="1527"/>
      <c r="AO58" s="1519" t="s">
        <v>1272</v>
      </c>
      <c r="AP58" s="1230"/>
      <c r="AQ58" s="1230"/>
      <c r="AR58" s="1465" t="s">
        <v>2712</v>
      </c>
      <c r="AS58" s="1685"/>
      <c r="AT58" s="1685"/>
      <c r="AU58" s="1685"/>
      <c r="AV58" s="1685"/>
      <c r="AW58" s="1685"/>
      <c r="AX58" s="1685"/>
      <c r="AY58" s="1685"/>
      <c r="AZ58" s="1685"/>
      <c r="BA58" s="1685"/>
      <c r="BB58" s="1685"/>
    </row>
    <row r="59" spans="1:54" ht="17.100000000000001" customHeight="1" thickBot="1">
      <c r="A59" s="1262" t="s">
        <v>1418</v>
      </c>
      <c r="B59" s="1584" t="s">
        <v>1333</v>
      </c>
      <c r="C59" s="1634">
        <f>MH!J132</f>
        <v>406.4</v>
      </c>
      <c r="D59" s="3601">
        <f>AH!J132</f>
        <v>406.4</v>
      </c>
      <c r="E59" s="83"/>
      <c r="F59" s="1687" t="s">
        <v>1419</v>
      </c>
      <c r="G59" s="1577">
        <f>CT_wh!I40</f>
        <v>1</v>
      </c>
      <c r="H59" s="1659">
        <f>LT_wh!I44</f>
        <v>1</v>
      </c>
      <c r="M59" s="1230"/>
      <c r="N59" s="1443" t="s">
        <v>1420</v>
      </c>
      <c r="O59" s="17"/>
      <c r="P59" s="4107" t="s">
        <v>1402</v>
      </c>
      <c r="Q59" s="4103" t="s">
        <v>1402</v>
      </c>
      <c r="R59" s="1320">
        <f>CT_wh!I16</f>
        <v>4</v>
      </c>
      <c r="S59" s="179">
        <f>LT_wh!I20</f>
        <v>4</v>
      </c>
      <c r="T59" s="1287"/>
      <c r="U59" s="137" t="b">
        <f>R59=G39</f>
        <v>1</v>
      </c>
      <c r="V59" s="137" t="b">
        <f>S59=H39</f>
        <v>1</v>
      </c>
      <c r="W59" s="22" t="str">
        <f>IF(U59=V59=TRUE,"Right","Wrong")</f>
        <v>Right</v>
      </c>
      <c r="X59" s="137"/>
      <c r="Y59" s="137"/>
      <c r="Z59" s="137"/>
      <c r="AA59" s="1431"/>
      <c r="AB59" s="1439" t="s">
        <v>2344</v>
      </c>
      <c r="AC59" s="1434">
        <f>G23</f>
        <v>1440</v>
      </c>
      <c r="AE59" s="137"/>
      <c r="AH59" s="1230"/>
      <c r="AI59" s="1536"/>
      <c r="AJ59" s="1537"/>
      <c r="AK59" s="1537"/>
      <c r="AL59" s="1537"/>
      <c r="AM59" s="1537"/>
      <c r="AN59" s="1537"/>
      <c r="AO59" s="1519"/>
      <c r="AP59" s="1230"/>
      <c r="AQ59" s="1230"/>
      <c r="AR59" s="1684">
        <v>1</v>
      </c>
      <c r="AS59" s="1465" t="s">
        <v>2713</v>
      </c>
      <c r="AT59" s="1685"/>
      <c r="AU59" s="1685"/>
      <c r="AV59" s="1685"/>
      <c r="AW59" s="1685"/>
      <c r="AX59" s="1685"/>
      <c r="AY59" s="1685"/>
      <c r="AZ59" s="1685"/>
      <c r="BA59" s="1685"/>
      <c r="BB59" s="1685"/>
    </row>
    <row r="60" spans="1:54" ht="17.100000000000001" customHeight="1" thickBot="1">
      <c r="A60" s="1262" t="s">
        <v>1421</v>
      </c>
      <c r="B60" s="1584" t="s">
        <v>968</v>
      </c>
      <c r="C60" s="1607">
        <f>MH!J171</f>
        <v>1770</v>
      </c>
      <c r="D60" s="3585">
        <f>AH!J171</f>
        <v>1550</v>
      </c>
      <c r="E60" s="1230"/>
      <c r="F60" s="1687" t="s">
        <v>971</v>
      </c>
      <c r="G60" s="1688">
        <f>CT_wh!I43</f>
        <v>6.7</v>
      </c>
      <c r="H60" s="1689">
        <f>LT_wh!I47</f>
        <v>6.7</v>
      </c>
      <c r="J60" s="22">
        <v>2040</v>
      </c>
      <c r="M60" s="1230"/>
      <c r="N60" s="1443" t="s">
        <v>1422</v>
      </c>
      <c r="O60" s="17" t="s">
        <v>466</v>
      </c>
      <c r="P60" s="4108"/>
      <c r="Q60" s="4104"/>
      <c r="R60" s="1320">
        <f>Selection!C36</f>
        <v>320</v>
      </c>
      <c r="S60" s="179">
        <f>Selection!D36</f>
        <v>250</v>
      </c>
      <c r="T60" s="1287"/>
      <c r="U60" s="137" t="b">
        <f>G52=R60</f>
        <v>1</v>
      </c>
      <c r="V60" s="137" t="b">
        <f>H52=S60</f>
        <v>1</v>
      </c>
      <c r="W60" s="22" t="str">
        <f>IF(U60=V60=TRUE,"Right","Wrong")</f>
        <v>Right</v>
      </c>
      <c r="X60" s="137"/>
      <c r="Y60" s="137"/>
      <c r="Z60" s="137"/>
      <c r="AA60" s="1431"/>
      <c r="AB60" s="1439" t="s">
        <v>2345</v>
      </c>
      <c r="AC60" s="1434" t="str">
        <f>CT_HP!I44</f>
        <v>S1-100</v>
      </c>
      <c r="AE60" s="137"/>
      <c r="AH60" s="1230"/>
      <c r="AI60" s="1518">
        <v>10</v>
      </c>
      <c r="AJ60" s="1519">
        <v>1</v>
      </c>
      <c r="AK60" s="1520" t="s">
        <v>1423</v>
      </c>
      <c r="AL60" s="1521">
        <v>22220</v>
      </c>
      <c r="AM60" s="1522" t="s">
        <v>1424</v>
      </c>
      <c r="AN60" s="1519" t="s">
        <v>1425</v>
      </c>
      <c r="AO60" s="1519" t="s">
        <v>1378</v>
      </c>
      <c r="AP60" s="1230"/>
      <c r="AQ60" s="1230"/>
      <c r="AR60" s="1684">
        <v>2</v>
      </c>
      <c r="AS60" s="1685" t="s">
        <v>2388</v>
      </c>
      <c r="AT60" s="1685"/>
      <c r="AU60" s="1685"/>
      <c r="AV60" s="1685"/>
      <c r="AW60" s="1685"/>
      <c r="AX60" s="1685"/>
      <c r="AY60" s="1685"/>
      <c r="AZ60" s="1685"/>
      <c r="BA60" s="1685"/>
      <c r="BB60" s="1685"/>
    </row>
    <row r="61" spans="1:54" ht="17.100000000000001" customHeight="1" thickBot="1">
      <c r="A61" s="1262" t="str">
        <f>MH!J126</f>
        <v>Seamless Tube</v>
      </c>
      <c r="B61" s="1584" t="s">
        <v>549</v>
      </c>
      <c r="C61" s="83">
        <f>MH!J260</f>
        <v>31</v>
      </c>
      <c r="D61" s="3589">
        <f>AH!J191</f>
        <v>26.2</v>
      </c>
      <c r="E61" s="1230"/>
      <c r="F61" s="1682" t="s">
        <v>1426</v>
      </c>
      <c r="G61" s="1386">
        <f>CT_wh!I46</f>
        <v>1.06</v>
      </c>
      <c r="H61" s="1690">
        <f>LT_wh!I50</f>
        <v>0.99</v>
      </c>
      <c r="J61" s="22">
        <v>700</v>
      </c>
      <c r="M61" s="1230"/>
      <c r="N61" s="1443" t="s">
        <v>1427</v>
      </c>
      <c r="O61" s="17"/>
      <c r="P61" s="4108"/>
      <c r="Q61" s="4104"/>
      <c r="R61" s="1320" t="s">
        <v>2635</v>
      </c>
      <c r="S61" s="179" t="s">
        <v>2635</v>
      </c>
      <c r="T61" s="1287"/>
      <c r="U61" s="137"/>
      <c r="V61" s="137"/>
      <c r="AA61" s="1431"/>
      <c r="AB61" s="1439" t="s">
        <v>1330</v>
      </c>
      <c r="AC61" s="1451">
        <f>CT_HP!I45</f>
        <v>150</v>
      </c>
      <c r="AE61" s="137"/>
      <c r="AH61" s="1230"/>
      <c r="AI61" s="1526"/>
      <c r="AJ61" s="1519">
        <v>2</v>
      </c>
      <c r="AK61" s="1520" t="s">
        <v>1428</v>
      </c>
      <c r="AL61" s="1521" t="s">
        <v>1429</v>
      </c>
      <c r="AM61" s="1543"/>
      <c r="AN61" s="1519" t="s">
        <v>1400</v>
      </c>
      <c r="AO61" s="1519" t="s">
        <v>1265</v>
      </c>
      <c r="AP61" s="1230"/>
      <c r="AQ61" s="1230"/>
      <c r="AR61" s="1684">
        <v>3</v>
      </c>
      <c r="AS61" s="1685" t="s">
        <v>2389</v>
      </c>
      <c r="AT61" s="1685"/>
      <c r="AU61" s="1685"/>
      <c r="AV61" s="1685"/>
      <c r="AW61" s="1685"/>
      <c r="AX61" s="1685"/>
      <c r="AY61" s="1685"/>
      <c r="AZ61" s="1685"/>
      <c r="BA61" s="1685"/>
      <c r="BB61" s="1685"/>
    </row>
    <row r="62" spans="1:54" ht="17.100000000000001" customHeight="1" thickBot="1">
      <c r="A62" s="1262"/>
      <c r="B62" s="1584" t="s">
        <v>1141</v>
      </c>
      <c r="C62" s="83">
        <f>Selection!C21</f>
        <v>22220</v>
      </c>
      <c r="D62" s="3589">
        <f>Selection!D21</f>
        <v>22216</v>
      </c>
      <c r="E62" s="1230"/>
      <c r="F62" s="192"/>
      <c r="G62" s="83"/>
      <c r="H62" s="1227"/>
      <c r="J62" s="22">
        <v>600</v>
      </c>
      <c r="M62" s="1230"/>
      <c r="N62" s="1443" t="s">
        <v>1430</v>
      </c>
      <c r="O62" s="17" t="s">
        <v>1431</v>
      </c>
      <c r="P62" s="4108"/>
      <c r="Q62" s="4104"/>
      <c r="R62" s="1320" t="str">
        <f>+S62</f>
        <v>280 to 300</v>
      </c>
      <c r="S62" s="179" t="s">
        <v>2717</v>
      </c>
      <c r="T62" s="1287"/>
      <c r="U62" s="137"/>
      <c r="V62" s="137"/>
      <c r="AA62" s="1431"/>
      <c r="AB62" s="1439" t="s">
        <v>1334</v>
      </c>
      <c r="AC62" s="1434" t="str">
        <f>'E Data'!D89</f>
        <v>F</v>
      </c>
      <c r="AE62" s="137"/>
      <c r="AH62" s="1230"/>
      <c r="AI62" s="1526"/>
      <c r="AJ62" s="1519">
        <v>3</v>
      </c>
      <c r="AK62" s="1520" t="s">
        <v>1432</v>
      </c>
      <c r="AL62" s="1519"/>
      <c r="AM62" s="1527"/>
      <c r="AN62" s="1519" t="s">
        <v>1400</v>
      </c>
      <c r="AO62" s="1519" t="s">
        <v>1272</v>
      </c>
      <c r="AP62" s="1230"/>
      <c r="AQ62" s="1230"/>
      <c r="AR62" s="1684">
        <v>4</v>
      </c>
      <c r="AS62" s="1685" t="s">
        <v>2714</v>
      </c>
      <c r="AT62" s="1685"/>
      <c r="AU62" s="1685"/>
      <c r="AV62" s="1685"/>
      <c r="AW62" s="1685"/>
      <c r="AX62" s="1685"/>
      <c r="AY62" s="1685"/>
      <c r="AZ62" s="1685"/>
      <c r="BA62" s="1685"/>
      <c r="BB62" s="1685"/>
    </row>
    <row r="63" spans="1:54" ht="17.100000000000001" customHeight="1" thickBot="1">
      <c r="A63" s="1262"/>
      <c r="B63" s="1584" t="s">
        <v>1433</v>
      </c>
      <c r="C63" s="490">
        <f>C60/C59</f>
        <v>4.3553149606299213</v>
      </c>
      <c r="D63" s="3603">
        <f>D60/D59</f>
        <v>3.813976377952756</v>
      </c>
      <c r="E63" s="1230"/>
      <c r="F63" s="192"/>
      <c r="G63" s="83"/>
      <c r="H63" s="1227"/>
      <c r="J63" s="22">
        <f>SUM(J60:J62)</f>
        <v>3340</v>
      </c>
      <c r="M63" s="1230"/>
      <c r="N63" s="1443" t="s">
        <v>1151</v>
      </c>
      <c r="O63" s="17"/>
      <c r="P63" s="4108"/>
      <c r="Q63" s="4104"/>
      <c r="R63" s="1320" t="str">
        <f>G55</f>
        <v>SPRING</v>
      </c>
      <c r="S63" s="179" t="str">
        <f>H55</f>
        <v>SPRING</v>
      </c>
      <c r="T63" s="1287"/>
      <c r="U63" s="137" t="b">
        <f>R63=G55</f>
        <v>1</v>
      </c>
      <c r="V63" s="137" t="b">
        <f>S63=H55</f>
        <v>1</v>
      </c>
      <c r="W63" s="22" t="str">
        <f>IF(U63=V63=TRUE,"Right","Wrong")</f>
        <v>Right</v>
      </c>
      <c r="X63" s="137"/>
      <c r="Y63" s="137"/>
      <c r="Z63" s="137"/>
      <c r="AA63" s="1431"/>
      <c r="AB63" s="1439" t="s">
        <v>1339</v>
      </c>
      <c r="AC63" s="1434" t="str">
        <f>G24</f>
        <v>TEFC</v>
      </c>
      <c r="AE63" s="137"/>
      <c r="AH63" s="1230"/>
      <c r="AI63" s="1691"/>
      <c r="AJ63" s="1537"/>
      <c r="AK63" s="1692"/>
      <c r="AL63" s="1537"/>
      <c r="AM63" s="1537"/>
      <c r="AN63" s="1537"/>
      <c r="AO63" s="1519"/>
      <c r="AP63" s="1230"/>
      <c r="AQ63" s="1230"/>
      <c r="AR63" s="1684">
        <v>5</v>
      </c>
      <c r="AS63" s="1685" t="s">
        <v>2387</v>
      </c>
      <c r="AT63" s="1685"/>
      <c r="AU63" s="1685"/>
      <c r="AV63" s="1685"/>
      <c r="AW63" s="1685"/>
      <c r="AX63" s="1685"/>
      <c r="AY63" s="1685"/>
      <c r="AZ63" s="1685"/>
      <c r="BA63" s="1685"/>
      <c r="BB63" s="1685"/>
    </row>
    <row r="64" spans="1:54" ht="17.100000000000001" customHeight="1" thickBot="1">
      <c r="A64" s="1503"/>
      <c r="B64" s="1693" t="s">
        <v>1434</v>
      </c>
      <c r="C64" s="925">
        <f>(C62-22200)*5+10</f>
        <v>110</v>
      </c>
      <c r="D64" s="3604">
        <f>IF(D62&gt;0,(D62-22200)*5+10,0)</f>
        <v>90</v>
      </c>
      <c r="E64" s="1249"/>
      <c r="F64" s="4073"/>
      <c r="G64" s="4073"/>
      <c r="H64" s="4074"/>
      <c r="M64" s="1230"/>
      <c r="N64" s="1443" t="s">
        <v>875</v>
      </c>
      <c r="O64" s="17"/>
      <c r="P64" s="4109"/>
      <c r="Q64" s="4105"/>
      <c r="R64" s="1320" t="str">
        <f>CT_wh!J36</f>
        <v>50mm Sq. Bar</v>
      </c>
      <c r="S64" s="179" t="str">
        <f>LT_wh!J40</f>
        <v>70X40mm bar</v>
      </c>
      <c r="T64" s="1287"/>
      <c r="U64" s="137" t="b">
        <f>R64=G47</f>
        <v>1</v>
      </c>
      <c r="V64" s="137" t="b">
        <f>S64=H47</f>
        <v>1</v>
      </c>
      <c r="W64" s="22" t="str">
        <f>IF(U64=V64=TRUE,"Right","Wrong")</f>
        <v>Right</v>
      </c>
      <c r="X64" s="1462"/>
      <c r="Y64" s="1462"/>
      <c r="Z64" s="1462"/>
      <c r="AA64" s="1431"/>
      <c r="AB64" s="1439" t="s">
        <v>1341</v>
      </c>
      <c r="AC64" s="1434" t="str">
        <f>G26</f>
        <v>IP-55</v>
      </c>
      <c r="AE64" s="1462"/>
      <c r="AH64" s="1230"/>
      <c r="AI64" s="1691"/>
      <c r="AJ64" s="1537"/>
      <c r="AK64" s="1692"/>
      <c r="AL64" s="1537"/>
      <c r="AM64" s="1537"/>
      <c r="AN64" s="1537"/>
      <c r="AO64" s="1519"/>
      <c r="AP64" s="1230"/>
      <c r="AQ64" s="1230"/>
      <c r="AR64" s="1684"/>
      <c r="AS64" s="1685"/>
      <c r="AT64" s="1685"/>
      <c r="AU64" s="1685"/>
      <c r="AV64" s="1685"/>
      <c r="AW64" s="1685"/>
      <c r="AX64" s="1685"/>
      <c r="AY64" s="1685"/>
      <c r="AZ64" s="1685"/>
      <c r="BA64" s="1685"/>
      <c r="BB64" s="1685"/>
    </row>
    <row r="65" spans="1:54" ht="9.9499999999999993" customHeight="1" thickBot="1">
      <c r="A65" s="4061"/>
      <c r="B65" s="4062"/>
      <c r="C65" s="4062"/>
      <c r="D65" s="4062"/>
      <c r="E65" s="4062"/>
      <c r="F65" s="4062"/>
      <c r="G65" s="4062"/>
      <c r="H65" s="4063"/>
      <c r="M65" s="137"/>
      <c r="N65" s="4064" t="s">
        <v>1435</v>
      </c>
      <c r="O65" s="3718"/>
      <c r="P65" s="17"/>
      <c r="Q65" s="17"/>
      <c r="R65" s="17"/>
      <c r="S65" s="17"/>
      <c r="T65" s="1287"/>
      <c r="U65" s="137"/>
      <c r="V65" s="949"/>
      <c r="W65" s="949"/>
      <c r="X65" s="949"/>
      <c r="Y65" s="949"/>
      <c r="Z65" s="949"/>
      <c r="AA65" s="1431"/>
      <c r="AB65" s="1439" t="s">
        <v>2346</v>
      </c>
      <c r="AC65" s="1434">
        <f>G25</f>
        <v>2</v>
      </c>
      <c r="AE65" s="1694"/>
      <c r="AH65" s="1230"/>
      <c r="AI65" s="1536"/>
      <c r="AJ65" s="1537"/>
      <c r="AK65" s="1537"/>
      <c r="AL65" s="1537"/>
      <c r="AM65" s="1537"/>
      <c r="AN65" s="1537"/>
      <c r="AO65" s="1519"/>
      <c r="AP65" s="1230"/>
      <c r="AQ65" s="1230"/>
      <c r="AR65" s="1465" t="s">
        <v>2715</v>
      </c>
      <c r="AS65" s="1685"/>
      <c r="AT65" s="1685"/>
      <c r="AU65" s="1685"/>
      <c r="AV65" s="1685"/>
      <c r="AW65" s="1685"/>
      <c r="AX65" s="1685"/>
      <c r="AY65" s="1685"/>
      <c r="AZ65" s="1685"/>
      <c r="BA65" s="1685"/>
      <c r="BB65" s="1685"/>
    </row>
    <row r="66" spans="1:54" ht="17.100000000000001" customHeight="1" thickBot="1">
      <c r="A66" s="1695" t="s">
        <v>1436</v>
      </c>
      <c r="B66" s="1696" t="s">
        <v>1437</v>
      </c>
      <c r="C66" s="1697"/>
      <c r="D66" s="1698"/>
      <c r="E66" s="1699"/>
      <c r="F66" s="1699"/>
      <c r="G66" s="1699"/>
      <c r="H66" s="1700"/>
      <c r="M66" s="1230"/>
      <c r="N66" s="1330" t="s">
        <v>1438</v>
      </c>
      <c r="O66" s="1463"/>
      <c r="P66" s="4106" t="str">
        <f>'E Data'!D43&amp;" T Approx."</f>
        <v>17 T Approx.</v>
      </c>
      <c r="Q66" s="4106"/>
      <c r="R66" s="4106"/>
      <c r="S66" s="4101"/>
      <c r="T66" s="1287"/>
      <c r="U66" s="137"/>
      <c r="V66" s="1694"/>
      <c r="W66" s="1694"/>
      <c r="X66" s="1694"/>
      <c r="Y66" s="1694"/>
      <c r="Z66" s="1694"/>
      <c r="AA66" s="1431">
        <v>21</v>
      </c>
      <c r="AB66" s="1432" t="s">
        <v>2349</v>
      </c>
      <c r="AC66" s="1439"/>
      <c r="AD66" s="1694"/>
      <c r="AE66" s="1694"/>
      <c r="AH66" s="17"/>
      <c r="AI66" s="1701">
        <v>11</v>
      </c>
      <c r="AJ66" s="1519">
        <v>1</v>
      </c>
      <c r="AK66" s="1520" t="s">
        <v>1439</v>
      </c>
      <c r="AL66" s="1521">
        <v>22222</v>
      </c>
      <c r="AM66" s="1522" t="s">
        <v>1440</v>
      </c>
      <c r="AN66" s="1519" t="s">
        <v>1425</v>
      </c>
      <c r="AO66" s="1519" t="s">
        <v>1378</v>
      </c>
      <c r="AP66" s="17"/>
      <c r="AQ66" s="17"/>
      <c r="AR66" s="1684"/>
      <c r="AS66" s="1685"/>
      <c r="AT66" s="1685"/>
      <c r="AU66" s="1685"/>
      <c r="AV66" s="1685"/>
      <c r="AW66" s="1685"/>
      <c r="AX66" s="1685"/>
      <c r="AY66" s="1685"/>
      <c r="AZ66" s="1685"/>
      <c r="BA66" s="1685"/>
      <c r="BB66" s="1685"/>
    </row>
    <row r="67" spans="1:54" ht="17.100000000000001" customHeight="1" thickBot="1">
      <c r="A67" s="1702">
        <v>1</v>
      </c>
      <c r="B67" s="988" t="s">
        <v>1441</v>
      </c>
      <c r="C67" s="988"/>
      <c r="D67" s="4096" t="s">
        <v>2791</v>
      </c>
      <c r="E67" s="4096"/>
      <c r="F67" s="4096"/>
      <c r="G67" s="4096"/>
      <c r="H67" s="4096"/>
      <c r="M67" s="1230"/>
      <c r="N67" s="1330" t="s">
        <v>1442</v>
      </c>
      <c r="O67" s="228"/>
      <c r="P67" s="4106" t="str">
        <f>'E Data'!J45&amp;" T Approx."</f>
        <v>16.6 T Approx.</v>
      </c>
      <c r="Q67" s="4106"/>
      <c r="R67" s="4106"/>
      <c r="S67" s="4101"/>
      <c r="T67" s="1287"/>
      <c r="U67" s="137"/>
      <c r="V67" s="1694"/>
      <c r="W67" s="1694"/>
      <c r="X67" s="1694"/>
      <c r="Y67" s="1694"/>
      <c r="Z67" s="1694"/>
      <c r="AA67" s="1431"/>
      <c r="AB67" s="1439" t="s">
        <v>100</v>
      </c>
      <c r="AC67" s="1439" t="str">
        <f>H17</f>
        <v>Sq. Cage Motor</v>
      </c>
      <c r="AD67" s="1694"/>
      <c r="AE67" s="1694"/>
      <c r="AH67" s="1230"/>
      <c r="AI67" s="4080"/>
      <c r="AJ67" s="4081"/>
      <c r="AK67" s="4081"/>
      <c r="AL67" s="4081"/>
      <c r="AM67" s="4081"/>
      <c r="AN67" s="4081"/>
      <c r="AO67" s="4082"/>
      <c r="AP67" s="1230"/>
      <c r="AQ67" s="1230"/>
      <c r="AR67" s="1465" t="s">
        <v>2716</v>
      </c>
      <c r="AS67" s="1685"/>
      <c r="AT67" s="1685"/>
      <c r="AU67" s="1685"/>
      <c r="AV67" s="1685"/>
      <c r="AW67" s="1685"/>
      <c r="AX67" s="1685"/>
      <c r="AY67" s="1685"/>
      <c r="AZ67" s="1685"/>
      <c r="BA67" s="1685"/>
      <c r="BB67" s="1685"/>
    </row>
    <row r="68" spans="1:54" ht="17.100000000000001" customHeight="1" thickBot="1">
      <c r="A68" s="1702">
        <v>2</v>
      </c>
      <c r="B68" s="988" t="s">
        <v>1443</v>
      </c>
      <c r="C68" s="988"/>
      <c r="D68" s="4100" t="str">
        <f>ESt!B158</f>
        <v>4 Nos. HPSV Lamp UBL</v>
      </c>
      <c r="E68" s="4100"/>
      <c r="F68" s="4100"/>
      <c r="G68" s="4100"/>
      <c r="H68" s="4100"/>
      <c r="M68" s="1230"/>
      <c r="N68" s="1330" t="s">
        <v>1444</v>
      </c>
      <c r="O68" s="228"/>
      <c r="P68" s="4101" t="str">
        <f>D67</f>
        <v>Full length platform on Drive side and Two short corners on the other side of girder</v>
      </c>
      <c r="Q68" s="4101"/>
      <c r="R68" s="4101"/>
      <c r="S68" s="4101"/>
      <c r="T68" s="1287"/>
      <c r="U68" s="137"/>
      <c r="V68" s="1694"/>
      <c r="W68" s="1694"/>
      <c r="X68" s="1694"/>
      <c r="Y68" s="1694"/>
      <c r="Z68" s="1694"/>
      <c r="AA68" s="1431"/>
      <c r="AB68" s="1439" t="s">
        <v>2343</v>
      </c>
      <c r="AC68" s="1434" t="str">
        <f>H20&amp;" kW"</f>
        <v>2.2 kW</v>
      </c>
      <c r="AD68" s="1460"/>
      <c r="AE68" s="1460"/>
      <c r="AH68" s="1230"/>
      <c r="AI68" s="1518">
        <v>18</v>
      </c>
      <c r="AJ68" s="1559">
        <v>1</v>
      </c>
      <c r="AK68" s="1703" t="s">
        <v>1445</v>
      </c>
      <c r="AL68" s="1704">
        <v>22226</v>
      </c>
      <c r="AM68" s="1522" t="s">
        <v>1446</v>
      </c>
      <c r="AN68" s="1559" t="s">
        <v>1447</v>
      </c>
      <c r="AO68" s="1559" t="s">
        <v>1378</v>
      </c>
      <c r="AP68" s="1230"/>
      <c r="AQ68" s="1230"/>
      <c r="AR68" s="1684"/>
      <c r="AS68" s="1685"/>
      <c r="AT68" s="1685"/>
      <c r="AU68" s="1685"/>
      <c r="AV68" s="1685"/>
      <c r="AW68" s="1685"/>
      <c r="AX68" s="1685"/>
      <c r="AY68" s="1685"/>
      <c r="AZ68" s="1685"/>
      <c r="BA68" s="1685"/>
      <c r="BB68" s="1685"/>
    </row>
    <row r="69" spans="1:54" ht="17.100000000000001" customHeight="1" thickBot="1">
      <c r="A69" s="1702">
        <v>3</v>
      </c>
      <c r="B69" s="988" t="s">
        <v>1448</v>
      </c>
      <c r="C69" s="988"/>
      <c r="D69" s="1705" t="str">
        <f>IF(ESt!G130=0,"NA","Yes")</f>
        <v>NA</v>
      </c>
      <c r="E69" s="83"/>
      <c r="F69" s="83"/>
      <c r="G69" s="83"/>
      <c r="H69" s="1227"/>
      <c r="M69" s="1230"/>
      <c r="N69" s="1330" t="s">
        <v>1449</v>
      </c>
      <c r="O69" s="228"/>
      <c r="P69" s="4101" t="str">
        <f>D73</f>
        <v xml:space="preserve">Two Coat of Red Oxide &amp; Two coat of Synthetic Enamel </v>
      </c>
      <c r="Q69" s="4101"/>
      <c r="R69" s="4101"/>
      <c r="S69" s="4101"/>
      <c r="T69" s="1287"/>
      <c r="U69" s="137"/>
      <c r="V69" s="1694"/>
      <c r="W69" s="1694"/>
      <c r="X69" s="1694"/>
      <c r="Y69" s="1694"/>
      <c r="Z69" s="1694"/>
      <c r="AA69" s="1431"/>
      <c r="AB69" s="1439" t="s">
        <v>2182</v>
      </c>
      <c r="AC69" s="1450" t="str">
        <f>H21</f>
        <v>100L</v>
      </c>
      <c r="AD69" s="20"/>
      <c r="AE69" s="137"/>
      <c r="AH69" s="1230"/>
      <c r="AI69" s="1526"/>
      <c r="AJ69" s="1519">
        <v>2</v>
      </c>
      <c r="AK69" s="1520" t="s">
        <v>1450</v>
      </c>
      <c r="AL69" s="1519" t="s">
        <v>1451</v>
      </c>
      <c r="AM69" s="1527"/>
      <c r="AN69" s="1519" t="s">
        <v>1452</v>
      </c>
      <c r="AO69" s="1519" t="s">
        <v>1453</v>
      </c>
      <c r="AP69" s="1230"/>
      <c r="AQ69" s="1230"/>
      <c r="AR69" s="1230"/>
      <c r="AS69" s="1230"/>
    </row>
    <row r="70" spans="1:54" ht="17.100000000000001" customHeight="1" thickBot="1">
      <c r="A70" s="1702">
        <v>4</v>
      </c>
      <c r="B70" s="988" t="s">
        <v>1454</v>
      </c>
      <c r="C70" s="988"/>
      <c r="D70" s="1706" t="s">
        <v>809</v>
      </c>
      <c r="E70" s="83"/>
      <c r="F70" s="83"/>
      <c r="G70" s="83"/>
      <c r="H70" s="1227"/>
      <c r="M70" s="1230"/>
      <c r="N70" s="1330" t="s">
        <v>1455</v>
      </c>
      <c r="O70" s="228"/>
      <c r="P70" s="4101" t="str">
        <f>D74</f>
        <v>Wheels &amp; Pulleys: Local point type; Gearboxes: Splash type</v>
      </c>
      <c r="Q70" s="4101"/>
      <c r="R70" s="4101"/>
      <c r="S70" s="4101"/>
      <c r="T70" s="1287"/>
      <c r="U70" s="137"/>
      <c r="V70" s="1460"/>
      <c r="W70" s="1460"/>
      <c r="X70" s="1460"/>
      <c r="Y70" s="1460"/>
      <c r="Z70" s="1460"/>
      <c r="AA70" s="1431"/>
      <c r="AB70" s="1439" t="s">
        <v>1321</v>
      </c>
      <c r="AC70" s="1451">
        <f>H22</f>
        <v>4</v>
      </c>
      <c r="AD70" s="137"/>
      <c r="AE70" s="137"/>
      <c r="AH70" s="1230"/>
      <c r="AI70" s="4080"/>
      <c r="AJ70" s="4081"/>
      <c r="AK70" s="4081"/>
      <c r="AL70" s="4081"/>
      <c r="AM70" s="4081"/>
      <c r="AN70" s="4081"/>
      <c r="AO70" s="4082"/>
      <c r="AP70" s="1230"/>
      <c r="AQ70" s="1230"/>
      <c r="AR70" s="1230"/>
      <c r="AS70" s="1230"/>
    </row>
    <row r="71" spans="1:54" ht="17.100000000000001" customHeight="1" thickBot="1">
      <c r="A71" s="1702">
        <v>5</v>
      </c>
      <c r="B71" s="988" t="s">
        <v>1456</v>
      </c>
      <c r="C71" s="988"/>
      <c r="D71" s="1706" t="s">
        <v>809</v>
      </c>
      <c r="E71" s="83"/>
      <c r="F71" s="83"/>
      <c r="G71" s="83"/>
      <c r="H71" s="1227"/>
      <c r="M71" s="1230"/>
      <c r="N71" s="1330" t="str">
        <f>IF(MH!I34="Slipring","","VVVF drive")</f>
        <v>VVVF drive</v>
      </c>
      <c r="O71" s="228"/>
      <c r="P71" s="4110" t="str">
        <f>IF(MH!I34="Slipring","","Stand alone type VVVF drive with DBR + Non-AC Panel Enclosures will be provided. Encoder is provided for hoisting motors for fault detection/feedback.")</f>
        <v>Stand alone type VVVF drive with DBR + Non-AC Panel Enclosures will be provided. Encoder is provided for hoisting motors for fault detection/feedback.</v>
      </c>
      <c r="Q71" s="4110"/>
      <c r="R71" s="4110"/>
      <c r="S71" s="4110"/>
      <c r="T71" s="1287"/>
      <c r="U71" s="137"/>
      <c r="V71" s="87"/>
      <c r="W71" s="17"/>
      <c r="X71" s="137"/>
      <c r="Y71" s="137"/>
      <c r="Z71" s="137"/>
      <c r="AA71" s="1431"/>
      <c r="AB71" s="1439" t="s">
        <v>2344</v>
      </c>
      <c r="AC71" s="1434">
        <f>H23</f>
        <v>1440</v>
      </c>
      <c r="AD71" s="137"/>
      <c r="AE71" s="137"/>
      <c r="AH71" s="1230"/>
      <c r="AI71" s="1518">
        <v>19</v>
      </c>
      <c r="AJ71" s="1559">
        <v>1</v>
      </c>
      <c r="AK71" s="1703" t="s">
        <v>1457</v>
      </c>
      <c r="AL71" s="1704">
        <v>22228</v>
      </c>
      <c r="AM71" s="1522" t="s">
        <v>1458</v>
      </c>
      <c r="AN71" s="1559" t="s">
        <v>1459</v>
      </c>
      <c r="AO71" s="1559" t="s">
        <v>1257</v>
      </c>
      <c r="AP71" s="1230"/>
      <c r="AQ71" s="1230"/>
      <c r="AR71" s="1230"/>
      <c r="AS71" s="1230"/>
    </row>
    <row r="72" spans="1:54" ht="17.100000000000001" customHeight="1" thickBot="1">
      <c r="A72" s="1702">
        <v>6</v>
      </c>
      <c r="B72" s="988" t="s">
        <v>1460</v>
      </c>
      <c r="C72" s="988"/>
      <c r="D72" s="1707" t="str">
        <f>IF(ESt!G164=0,"No","Yes")</f>
        <v>No</v>
      </c>
      <c r="E72" s="83"/>
      <c r="F72" s="83"/>
      <c r="G72" s="83"/>
      <c r="H72" s="1227"/>
      <c r="I72" s="1230"/>
      <c r="J72" s="1230"/>
      <c r="K72" s="1230"/>
      <c r="L72" s="1230"/>
      <c r="M72" s="1230"/>
      <c r="N72" s="1330" t="s">
        <v>1461</v>
      </c>
      <c r="O72" s="228"/>
      <c r="P72" s="4101" t="str">
        <f>"Through "&amp;IF(ESt!G165&gt;0,"Drag Chain","Festooning arrangement")</f>
        <v>Through Festooning arrangement</v>
      </c>
      <c r="Q72" s="4101"/>
      <c r="R72" s="4101"/>
      <c r="S72" s="4101"/>
      <c r="T72" s="1287"/>
      <c r="U72" s="137"/>
      <c r="V72" s="87"/>
      <c r="W72" s="17"/>
      <c r="X72" s="137"/>
      <c r="Y72" s="137"/>
      <c r="Z72" s="137"/>
      <c r="AA72" s="1431"/>
      <c r="AB72" s="1439" t="s">
        <v>2345</v>
      </c>
      <c r="AC72" s="1464" t="str">
        <f>LT_HP!I48</f>
        <v>S1-100</v>
      </c>
      <c r="AD72" s="137"/>
      <c r="AE72" s="137"/>
      <c r="AH72" s="1230"/>
      <c r="AI72" s="1526"/>
      <c r="AJ72" s="1519">
        <v>2</v>
      </c>
      <c r="AK72" s="1520" t="s">
        <v>1462</v>
      </c>
      <c r="AL72" s="1527" t="s">
        <v>1463</v>
      </c>
      <c r="AM72" s="1527"/>
      <c r="AN72" s="1519" t="s">
        <v>1464</v>
      </c>
      <c r="AO72" s="1519" t="s">
        <v>1265</v>
      </c>
      <c r="AP72" s="1230"/>
      <c r="AQ72" s="1230"/>
      <c r="AR72" s="1230"/>
      <c r="AS72" s="1230"/>
    </row>
    <row r="73" spans="1:54" ht="17.100000000000001" customHeight="1" thickBot="1">
      <c r="A73" s="1702">
        <v>7</v>
      </c>
      <c r="B73" s="988" t="s">
        <v>1449</v>
      </c>
      <c r="C73" s="988"/>
      <c r="D73" s="4093" t="s">
        <v>1467</v>
      </c>
      <c r="E73" s="4094"/>
      <c r="F73" s="4094"/>
      <c r="G73" s="4094"/>
      <c r="H73" s="4095"/>
      <c r="I73" s="49" t="s">
        <v>1465</v>
      </c>
      <c r="J73" s="1708"/>
      <c r="K73" s="1648"/>
      <c r="L73" s="1648"/>
      <c r="M73" s="31"/>
      <c r="N73" s="1330"/>
      <c r="O73" s="228"/>
      <c r="P73" s="4101"/>
      <c r="Q73" s="4101"/>
      <c r="R73" s="4101"/>
      <c r="S73" s="4101"/>
      <c r="T73" s="1287"/>
      <c r="U73" s="137"/>
      <c r="V73" s="87"/>
      <c r="W73" s="17"/>
      <c r="X73" s="137"/>
      <c r="Y73" s="137"/>
      <c r="Z73" s="137"/>
      <c r="AA73" s="1431"/>
      <c r="AB73" s="1439" t="s">
        <v>1330</v>
      </c>
      <c r="AC73" s="1451">
        <f>LT_HP!I49</f>
        <v>150</v>
      </c>
      <c r="AD73" s="137"/>
      <c r="AE73" s="137"/>
      <c r="AH73" s="1230"/>
      <c r="AI73" s="4080"/>
      <c r="AJ73" s="4081"/>
      <c r="AK73" s="4081"/>
      <c r="AL73" s="4081"/>
      <c r="AM73" s="4081"/>
      <c r="AN73" s="4081"/>
      <c r="AO73" s="4082"/>
      <c r="AP73" s="1230"/>
      <c r="AQ73" s="1230"/>
      <c r="AR73" s="1230"/>
      <c r="AS73" s="1230"/>
    </row>
    <row r="74" spans="1:54" ht="17.100000000000001" customHeight="1" thickBot="1">
      <c r="A74" s="1702">
        <v>8</v>
      </c>
      <c r="B74" s="988" t="s">
        <v>1455</v>
      </c>
      <c r="C74" s="988"/>
      <c r="D74" s="4097" t="s">
        <v>1466</v>
      </c>
      <c r="E74" s="4098"/>
      <c r="F74" s="4098"/>
      <c r="G74" s="4098"/>
      <c r="H74" s="4099"/>
      <c r="I74" s="49" t="s">
        <v>1467</v>
      </c>
      <c r="J74" s="1230"/>
      <c r="K74" s="31"/>
      <c r="L74" s="31"/>
      <c r="M74" s="31"/>
      <c r="N74" s="1539"/>
      <c r="O74" s="1555"/>
      <c r="P74" s="17"/>
      <c r="Q74" s="1534"/>
      <c r="R74" s="17"/>
      <c r="S74" s="17"/>
      <c r="T74" s="1287"/>
      <c r="U74" s="137"/>
      <c r="V74" s="87"/>
      <c r="W74" s="17"/>
      <c r="X74" s="137"/>
      <c r="Y74" s="137"/>
      <c r="Z74" s="137"/>
      <c r="AA74" s="1431"/>
      <c r="AB74" s="1439" t="s">
        <v>1334</v>
      </c>
      <c r="AC74" s="1434" t="str">
        <f>'E Data'!D89</f>
        <v>F</v>
      </c>
      <c r="AD74" s="137"/>
      <c r="AE74" s="137"/>
      <c r="AH74" s="1230"/>
      <c r="AI74" s="1518">
        <v>20</v>
      </c>
      <c r="AJ74" s="1559">
        <v>1</v>
      </c>
      <c r="AK74" s="1703" t="s">
        <v>1468</v>
      </c>
      <c r="AL74" s="1704">
        <v>22228</v>
      </c>
      <c r="AM74" s="1522" t="s">
        <v>1458</v>
      </c>
      <c r="AN74" s="1559" t="s">
        <v>1469</v>
      </c>
      <c r="AO74" s="1559" t="s">
        <v>1378</v>
      </c>
      <c r="AP74" s="1230"/>
      <c r="AQ74" s="1230"/>
      <c r="AR74" s="1230"/>
      <c r="AS74" s="1230"/>
    </row>
    <row r="75" spans="1:54" ht="11.1" customHeight="1" thickBot="1">
      <c r="A75" s="1709"/>
      <c r="B75" s="1710"/>
      <c r="C75" s="1711"/>
      <c r="D75" s="1711" t="s">
        <v>847</v>
      </c>
      <c r="E75" s="1711"/>
      <c r="F75" s="1711"/>
      <c r="G75" s="1711"/>
      <c r="H75" s="1712"/>
      <c r="I75" s="49" t="s">
        <v>1470</v>
      </c>
      <c r="J75" s="49"/>
      <c r="K75" s="31"/>
      <c r="L75" s="31"/>
      <c r="M75" s="20"/>
      <c r="N75" s="1443" t="s">
        <v>1471</v>
      </c>
      <c r="O75" s="1555"/>
      <c r="P75" s="17"/>
      <c r="Q75" s="17"/>
      <c r="R75" s="17"/>
      <c r="S75" s="17"/>
      <c r="T75" s="1287"/>
      <c r="U75" s="137"/>
      <c r="V75" s="87"/>
      <c r="W75" s="17"/>
      <c r="X75" s="137"/>
      <c r="Y75" s="137"/>
      <c r="Z75" s="137"/>
      <c r="AA75" s="1431"/>
      <c r="AB75" s="1439" t="s">
        <v>1339</v>
      </c>
      <c r="AC75" s="1434" t="str">
        <f>H24</f>
        <v>TEFC</v>
      </c>
      <c r="AD75" s="137"/>
      <c r="AE75" s="137"/>
      <c r="AH75" s="1230"/>
      <c r="AI75" s="1691"/>
      <c r="AJ75" s="1649">
        <v>2</v>
      </c>
      <c r="AK75" s="1520" t="s">
        <v>1472</v>
      </c>
      <c r="AL75" s="1519" t="s">
        <v>1463</v>
      </c>
      <c r="AM75" s="1527"/>
      <c r="AN75" s="1519" t="s">
        <v>1473</v>
      </c>
      <c r="AO75" s="1519" t="s">
        <v>1453</v>
      </c>
      <c r="AP75" s="1230"/>
      <c r="AQ75" s="1230"/>
      <c r="AR75" s="1230"/>
      <c r="AS75" s="137"/>
    </row>
    <row r="76" spans="1:54" ht="17.100000000000001" customHeight="1" thickBot="1">
      <c r="A76" s="1669" t="s">
        <v>1474</v>
      </c>
      <c r="B76" s="1230"/>
      <c r="C76" s="83" t="s">
        <v>1475</v>
      </c>
      <c r="D76" s="83">
        <f>input!G31*10</f>
        <v>610</v>
      </c>
      <c r="E76" s="988" t="s">
        <v>466</v>
      </c>
      <c r="F76" s="83" t="s">
        <v>1476</v>
      </c>
      <c r="G76" s="83">
        <f>10*input!G34</f>
        <v>20</v>
      </c>
      <c r="H76" s="1077" t="s">
        <v>466</v>
      </c>
      <c r="I76" s="49" t="s">
        <v>1466</v>
      </c>
      <c r="J76" s="49"/>
      <c r="K76" s="31"/>
      <c r="L76" s="31"/>
      <c r="M76" s="31"/>
      <c r="N76" s="1443" t="s">
        <v>1477</v>
      </c>
      <c r="O76" s="1555"/>
      <c r="P76" s="216"/>
      <c r="Q76" s="17"/>
      <c r="R76" s="17"/>
      <c r="S76" s="17"/>
      <c r="T76" s="1287"/>
      <c r="U76" s="137"/>
      <c r="V76" s="87"/>
      <c r="W76" s="17"/>
      <c r="X76" s="137"/>
      <c r="Y76" s="137"/>
      <c r="Z76" s="137"/>
      <c r="AA76" s="1431"/>
      <c r="AB76" s="1439" t="s">
        <v>1341</v>
      </c>
      <c r="AC76" s="1434" t="str">
        <f>H26</f>
        <v>IP-55</v>
      </c>
      <c r="AD76" s="137"/>
      <c r="AE76" s="137"/>
      <c r="AH76" s="137"/>
      <c r="AI76" s="4083"/>
      <c r="AJ76" s="4084"/>
      <c r="AK76" s="4084"/>
      <c r="AL76" s="4084"/>
      <c r="AM76" s="4084"/>
      <c r="AN76" s="4084"/>
      <c r="AO76" s="4085"/>
      <c r="AP76" s="137"/>
      <c r="AQ76" s="137"/>
      <c r="AR76" s="137"/>
      <c r="AS76" s="1230"/>
    </row>
    <row r="77" spans="1:54" ht="17.100000000000001" customHeight="1">
      <c r="A77" s="1262"/>
      <c r="B77" s="1230"/>
      <c r="C77" s="83" t="s">
        <v>1478</v>
      </c>
      <c r="D77" s="83">
        <f>input!G33*10</f>
        <v>990</v>
      </c>
      <c r="E77" s="988" t="s">
        <v>466</v>
      </c>
      <c r="F77" s="83" t="s">
        <v>1479</v>
      </c>
      <c r="G77" s="83">
        <f>10*input!G35</f>
        <v>10</v>
      </c>
      <c r="H77" s="1077" t="s">
        <v>466</v>
      </c>
      <c r="I77" s="1230"/>
      <c r="J77" s="1230"/>
      <c r="K77" s="1230"/>
      <c r="L77" s="1230"/>
      <c r="M77" s="1230"/>
      <c r="N77" s="1443"/>
      <c r="O77" s="1555"/>
      <c r="P77" s="1534"/>
      <c r="Q77" s="1534"/>
      <c r="R77" s="17"/>
      <c r="S77" s="17"/>
      <c r="T77" s="1287"/>
      <c r="U77" s="137"/>
      <c r="V77" s="87"/>
      <c r="W77" s="17"/>
      <c r="X77" s="137"/>
      <c r="Y77" s="137"/>
      <c r="Z77" s="137"/>
      <c r="AA77" s="1431"/>
      <c r="AB77" s="1439" t="s">
        <v>2346</v>
      </c>
      <c r="AC77" s="1434">
        <f>H25</f>
        <v>2</v>
      </c>
      <c r="AD77" s="137"/>
      <c r="AE77" s="137"/>
      <c r="AH77" s="1230"/>
      <c r="AI77" s="1230"/>
      <c r="AJ77" s="1230"/>
      <c r="AK77" s="1230"/>
      <c r="AL77" s="1230"/>
      <c r="AM77" s="1230"/>
      <c r="AN77" s="1230"/>
      <c r="AO77" s="1230"/>
      <c r="AP77" s="1230"/>
      <c r="AQ77" s="1230"/>
      <c r="AR77" s="1230"/>
      <c r="AS77" s="1230"/>
    </row>
    <row r="78" spans="1:54" ht="11.1" customHeight="1">
      <c r="A78" s="1262"/>
      <c r="B78" s="1230"/>
      <c r="C78" s="83"/>
      <c r="D78" s="83"/>
      <c r="E78" s="83"/>
      <c r="F78" s="83" t="s">
        <v>1480</v>
      </c>
      <c r="G78" s="83">
        <f>10*input!G36</f>
        <v>8</v>
      </c>
      <c r="H78" s="1077"/>
      <c r="I78" s="1230"/>
      <c r="J78" s="1230"/>
      <c r="K78" s="1230"/>
      <c r="L78" s="1230"/>
      <c r="M78" s="1230"/>
      <c r="N78" s="1443" t="s">
        <v>2715</v>
      </c>
      <c r="O78" s="1555"/>
      <c r="P78" s="1555"/>
      <c r="Q78" s="1555"/>
      <c r="R78" s="17"/>
      <c r="S78" s="1555"/>
      <c r="T78" s="1287"/>
      <c r="U78" s="137"/>
      <c r="V78" s="87"/>
      <c r="W78" s="17"/>
      <c r="X78" s="137"/>
      <c r="Y78" s="137"/>
      <c r="Z78" s="137"/>
      <c r="AA78" s="1431">
        <v>22</v>
      </c>
      <c r="AB78" s="1432" t="s">
        <v>2350</v>
      </c>
      <c r="AC78" s="1434"/>
      <c r="AD78" s="137"/>
      <c r="AE78" s="137"/>
      <c r="AH78" s="1230"/>
      <c r="AI78" s="1230"/>
      <c r="AJ78" s="1230"/>
      <c r="AK78" s="1230"/>
      <c r="AL78" s="1230"/>
      <c r="AM78" s="1230"/>
      <c r="AN78" s="1230"/>
      <c r="AO78" s="1230"/>
      <c r="AP78" s="1230"/>
      <c r="AQ78" s="1230"/>
      <c r="AR78" s="1230"/>
      <c r="AS78" s="1230"/>
    </row>
    <row r="79" spans="1:54" ht="17.100000000000001" customHeight="1" thickBot="1">
      <c r="A79" s="1503"/>
      <c r="B79" s="1504"/>
      <c r="C79" s="925" t="s">
        <v>275</v>
      </c>
      <c r="D79" s="1713">
        <f>input!G40</f>
        <v>303.86565000000002</v>
      </c>
      <c r="E79" s="1714" t="s">
        <v>1481</v>
      </c>
      <c r="F79" s="925"/>
      <c r="G79" s="925"/>
      <c r="H79" s="1506"/>
      <c r="I79" s="1230"/>
      <c r="J79" s="1230"/>
      <c r="K79" s="1230"/>
      <c r="L79" s="1230"/>
      <c r="M79" s="1230"/>
      <c r="N79" s="1443"/>
      <c r="O79" s="1555"/>
      <c r="P79" s="1555"/>
      <c r="Q79" s="1555"/>
      <c r="R79" s="1555"/>
      <c r="S79" s="1555"/>
      <c r="T79" s="1287"/>
      <c r="U79" s="137"/>
      <c r="V79" s="87"/>
      <c r="W79" s="17"/>
      <c r="X79" s="137"/>
      <c r="Y79" s="137"/>
      <c r="Z79" s="137"/>
      <c r="AA79" s="1431"/>
      <c r="AB79" s="1439" t="s">
        <v>1274</v>
      </c>
      <c r="AC79" s="1434" t="str">
        <f>C28&amp;" type, "&amp;C32&amp;"mm dia., "&amp;C31&amp;" nos., "&amp;MH!I71&amp;" make"</f>
        <v>EHT type, 200mm dia., 1 nos., SOC make</v>
      </c>
      <c r="AD79" s="1465"/>
      <c r="AE79" s="1465"/>
      <c r="AF79" s="1465"/>
      <c r="AI79" s="1230"/>
      <c r="AJ79" s="1230"/>
      <c r="AK79" s="1230"/>
      <c r="AL79" s="1230"/>
      <c r="AM79" s="1230"/>
      <c r="AN79" s="1230"/>
      <c r="AO79" s="1230"/>
      <c r="AP79" s="1230"/>
      <c r="AQ79" s="1230"/>
      <c r="AR79" s="1230"/>
      <c r="AS79" s="1230"/>
    </row>
    <row r="80" spans="1:54" ht="17.100000000000001" customHeight="1">
      <c r="A80" s="1286" t="s">
        <v>1482</v>
      </c>
      <c r="B80" s="1230" t="s">
        <v>100</v>
      </c>
      <c r="C80" s="1715" t="str">
        <f>'E Data'!D28</f>
        <v>Shrouded Type DSL</v>
      </c>
      <c r="D80" s="83"/>
      <c r="E80" s="333"/>
      <c r="F80" s="393"/>
      <c r="G80" s="864"/>
      <c r="H80" s="1038"/>
      <c r="I80" s="137"/>
      <c r="J80" s="137"/>
      <c r="K80" s="137"/>
      <c r="L80" s="137"/>
      <c r="M80" s="137"/>
      <c r="N80" s="1443"/>
      <c r="O80" s="17"/>
      <c r="P80" s="17"/>
      <c r="Q80" s="17"/>
      <c r="R80" s="17"/>
      <c r="S80" s="17"/>
      <c r="T80" s="1287"/>
      <c r="U80" s="137"/>
      <c r="V80" s="87"/>
      <c r="W80" s="17"/>
      <c r="X80" s="137"/>
      <c r="Y80" s="137"/>
      <c r="Z80" s="137"/>
      <c r="AA80" s="1431"/>
      <c r="AB80" s="1439" t="s">
        <v>2332</v>
      </c>
      <c r="AC80" s="1434" t="str">
        <f>IF('E Data'!D14&gt;0,D28&amp;" type, "&amp;D32&amp;"mm dia., "&amp;D31&amp;" nos., "&amp;AH!I71&amp;" make","N.A")</f>
        <v>EHT type, 200mm dia., 1 nos., SOC make</v>
      </c>
      <c r="AD80" s="137"/>
      <c r="AE80" s="137"/>
      <c r="AH80" s="1230"/>
      <c r="AI80" s="1230"/>
      <c r="AJ80" s="1230"/>
      <c r="AK80" s="1230"/>
      <c r="AL80" s="1230"/>
      <c r="AM80" s="1230"/>
      <c r="AN80" s="1230"/>
      <c r="AO80" s="1230"/>
      <c r="AP80" s="1230"/>
      <c r="AQ80" s="1230"/>
      <c r="AR80" s="1230"/>
      <c r="AS80" s="137"/>
    </row>
    <row r="81" spans="1:45" ht="17.100000000000001" customHeight="1" thickBot="1">
      <c r="A81" s="1286"/>
      <c r="B81" s="1230" t="s">
        <v>670</v>
      </c>
      <c r="C81" s="108"/>
      <c r="D81" s="988"/>
      <c r="E81" s="333"/>
      <c r="F81" s="393"/>
      <c r="G81" s="864"/>
      <c r="H81" s="1038"/>
      <c r="I81" s="137"/>
      <c r="J81" s="137"/>
      <c r="K81" s="137"/>
      <c r="L81" s="137"/>
      <c r="M81" s="137"/>
      <c r="N81" s="1466"/>
      <c r="O81" s="1716"/>
      <c r="P81" s="1716"/>
      <c r="Q81" s="1716"/>
      <c r="R81" s="222"/>
      <c r="S81" s="1716"/>
      <c r="T81" s="1581"/>
      <c r="U81" s="137"/>
      <c r="V81" s="87"/>
      <c r="W81" s="17"/>
      <c r="X81" s="137"/>
      <c r="Y81" s="137"/>
      <c r="Z81" s="137"/>
      <c r="AA81" s="1431"/>
      <c r="AB81" s="1439" t="s">
        <v>1742</v>
      </c>
      <c r="AC81" s="1434" t="str">
        <f>G28&amp;" type, "&amp;G32&amp;"mm dia., "&amp;G31&amp;" nos., "&amp;CT_HP!H77&amp;" make"</f>
        <v>EHT type, 160mm dia., 1 nos., SOC make</v>
      </c>
      <c r="AD81" s="137"/>
      <c r="AE81" s="137"/>
      <c r="AH81" s="137"/>
      <c r="AI81" s="137"/>
      <c r="AJ81" s="137"/>
      <c r="AK81" s="137"/>
      <c r="AL81" s="137"/>
      <c r="AM81" s="137"/>
      <c r="AN81" s="137"/>
      <c r="AO81" s="137"/>
      <c r="AP81" s="137"/>
      <c r="AQ81" s="137"/>
      <c r="AR81" s="137"/>
      <c r="AS81" s="137"/>
    </row>
    <row r="82" spans="1:45" ht="17.100000000000001" customHeight="1" thickBot="1">
      <c r="A82" s="1717"/>
      <c r="B82" s="1504" t="s">
        <v>1483</v>
      </c>
      <c r="C82" s="1718">
        <f>'E Data'!D17</f>
        <v>100</v>
      </c>
      <c r="D82" s="1714" t="s">
        <v>1218</v>
      </c>
      <c r="E82" s="1719"/>
      <c r="F82" s="1719"/>
      <c r="G82" s="1719"/>
      <c r="H82" s="1720"/>
      <c r="I82" s="137"/>
      <c r="J82" s="137"/>
      <c r="K82" s="137"/>
      <c r="L82" s="137"/>
      <c r="M82" s="137"/>
      <c r="U82" s="137"/>
      <c r="V82" s="87"/>
      <c r="W82" s="17"/>
      <c r="X82" s="137"/>
      <c r="Y82" s="137"/>
      <c r="Z82" s="137"/>
      <c r="AA82" s="1431"/>
      <c r="AB82" s="1439" t="s">
        <v>2333</v>
      </c>
      <c r="AC82" s="1434" t="str">
        <f>H28&amp;" type, "&amp;H32&amp;"mm dia., "&amp;H31&amp;" nos., "&amp;LT_HP!H83&amp;" make"</f>
        <v>EHT type, 160mm dia., 2 nos., SOC make</v>
      </c>
      <c r="AD82" s="137"/>
      <c r="AE82" s="1465"/>
      <c r="AF82" s="1465"/>
      <c r="AH82" s="137"/>
      <c r="AI82" s="137"/>
      <c r="AJ82" s="137"/>
      <c r="AK82" s="137"/>
      <c r="AL82" s="137"/>
      <c r="AM82" s="137"/>
      <c r="AN82" s="137"/>
      <c r="AO82" s="137"/>
      <c r="AP82" s="137"/>
      <c r="AQ82" s="137"/>
      <c r="AR82" s="137"/>
      <c r="AS82" s="137"/>
    </row>
    <row r="83" spans="1:45" ht="8.1" customHeight="1">
      <c r="A83" s="1281"/>
      <c r="B83" s="1282"/>
      <c r="C83" s="1721"/>
      <c r="D83" s="1722"/>
      <c r="E83" s="1721"/>
      <c r="F83" s="1721"/>
      <c r="G83" s="1721"/>
      <c r="H83" s="1722"/>
      <c r="I83" s="137"/>
      <c r="J83" s="137"/>
      <c r="K83" s="137"/>
      <c r="L83" s="137"/>
      <c r="M83" s="137"/>
      <c r="N83" s="137"/>
      <c r="O83" s="137"/>
      <c r="AA83" s="1431">
        <v>23</v>
      </c>
      <c r="AB83" s="1432" t="s">
        <v>2351</v>
      </c>
      <c r="AC83" s="1439"/>
      <c r="AH83" s="137"/>
      <c r="AI83" s="137"/>
      <c r="AJ83" s="137"/>
      <c r="AK83" s="137"/>
      <c r="AL83" s="137"/>
      <c r="AM83" s="137"/>
      <c r="AN83" s="137"/>
      <c r="AO83" s="137"/>
      <c r="AP83" s="137"/>
      <c r="AQ83" s="137"/>
      <c r="AR83" s="137"/>
      <c r="AS83" s="137"/>
    </row>
    <row r="84" spans="1:45" ht="17.100000000000001" customHeight="1">
      <c r="A84" s="1286" t="s">
        <v>1070</v>
      </c>
      <c r="B84" s="137" t="s">
        <v>670</v>
      </c>
      <c r="C84" s="333" t="str">
        <f>H47</f>
        <v>70X40mm bar</v>
      </c>
      <c r="D84" s="1287"/>
      <c r="E84" s="137" t="s">
        <v>1484</v>
      </c>
      <c r="F84" s="137" t="s">
        <v>670</v>
      </c>
      <c r="G84" s="333" t="str">
        <f>G47</f>
        <v>50mm Sq. Bar</v>
      </c>
      <c r="H84" s="1287"/>
      <c r="I84" s="137"/>
      <c r="J84" s="137"/>
      <c r="K84" s="137"/>
      <c r="L84" s="137"/>
      <c r="M84" s="137"/>
      <c r="N84" s="137"/>
      <c r="O84" s="137"/>
      <c r="AA84" s="1431"/>
      <c r="AB84" s="1434" t="s">
        <v>2341</v>
      </c>
      <c r="AC84" s="1434" t="str">
        <f>C43&amp;" mm dia., "&amp;C39&amp;" falls, "&amp;MH!F110&amp;" construction, "&amp;C40&amp;", "&amp;C44&amp;" N/mm^2 strength, Safety factor as "&amp;LEFT(C46,1)&amp;"."</f>
        <v>22 mm dia., 4 falls, 6X36 construction, Steel Core, 1960 N/mm^2 strength, Safety factor as 5.</v>
      </c>
      <c r="AH84" s="137"/>
      <c r="AI84" s="137"/>
      <c r="AJ84" s="137"/>
      <c r="AK84" s="137"/>
      <c r="AL84" s="137"/>
      <c r="AM84" s="137"/>
      <c r="AN84" s="137"/>
      <c r="AO84" s="137"/>
      <c r="AP84" s="137"/>
      <c r="AQ84" s="137"/>
      <c r="AR84" s="137"/>
      <c r="AS84" s="137"/>
    </row>
    <row r="85" spans="1:45" ht="17.100000000000001" customHeight="1">
      <c r="A85" s="1286"/>
      <c r="B85" s="137" t="s">
        <v>1483</v>
      </c>
      <c r="C85" s="333">
        <f>C82</f>
        <v>100</v>
      </c>
      <c r="D85" s="1287" t="s">
        <v>1218</v>
      </c>
      <c r="E85" s="137"/>
      <c r="F85" s="137" t="s">
        <v>1235</v>
      </c>
      <c r="G85" s="333">
        <f>B6</f>
        <v>15</v>
      </c>
      <c r="H85" s="1287" t="s">
        <v>1218</v>
      </c>
      <c r="I85" s="137"/>
      <c r="J85" s="137"/>
      <c r="K85" s="137"/>
      <c r="L85" s="137"/>
      <c r="M85" s="137"/>
      <c r="N85" s="137"/>
      <c r="O85" s="137"/>
      <c r="AA85" s="1431"/>
      <c r="AB85" s="1434" t="s">
        <v>2332</v>
      </c>
      <c r="AC85" s="1434" t="str">
        <f>IF('E Data'!D14&gt;0,D43&amp;" mm dia., "&amp;D39&amp;" falls, "&amp;AH!F110&amp;" construction, "&amp;D40&amp;", "&amp;D44&amp;" N/mm^2 strength, Safety factor as "&amp;LEFT(D46,1)&amp;".","N.A")</f>
        <v>18 mm dia., 4 falls, 6X36 construction, Steel Core, 1770 N/mm^2 strength, Safety factor as 5.</v>
      </c>
      <c r="AH85" s="137"/>
      <c r="AI85" s="137"/>
      <c r="AJ85" s="137"/>
      <c r="AK85" s="137"/>
      <c r="AL85" s="137"/>
      <c r="AM85" s="137"/>
      <c r="AN85" s="137"/>
      <c r="AO85" s="137"/>
      <c r="AP85" s="137"/>
      <c r="AQ85" s="137"/>
      <c r="AR85" s="137"/>
      <c r="AS85" s="137"/>
    </row>
    <row r="86" spans="1:45" ht="17.100000000000001" customHeight="1" thickBot="1">
      <c r="A86" s="1286"/>
      <c r="B86" s="137" t="s">
        <v>1485</v>
      </c>
      <c r="C86" s="333">
        <f>LT_wh!G41</f>
        <v>21.980000000000004</v>
      </c>
      <c r="D86" s="1287" t="s">
        <v>1486</v>
      </c>
      <c r="E86" s="137"/>
      <c r="F86" s="137" t="s">
        <v>1485</v>
      </c>
      <c r="G86" s="333">
        <f>CT_wh!G37</f>
        <v>19.62</v>
      </c>
      <c r="H86" s="1287" t="s">
        <v>1486</v>
      </c>
      <c r="I86" s="137"/>
      <c r="J86" s="137"/>
      <c r="K86" s="137"/>
      <c r="L86" s="137"/>
      <c r="M86" s="137"/>
      <c r="N86" s="137"/>
      <c r="O86" s="137"/>
      <c r="AA86" s="1431">
        <v>24</v>
      </c>
      <c r="AB86" s="1432" t="s">
        <v>2352</v>
      </c>
      <c r="AC86" s="1434"/>
      <c r="AH86" s="137"/>
      <c r="AI86" s="137"/>
      <c r="AJ86" s="137"/>
      <c r="AK86" s="137"/>
      <c r="AL86" s="137"/>
      <c r="AM86" s="137"/>
      <c r="AN86" s="137"/>
      <c r="AO86" s="137"/>
      <c r="AP86" s="137"/>
      <c r="AQ86" s="137"/>
      <c r="AR86" s="137"/>
      <c r="AS86" s="137"/>
    </row>
    <row r="87" spans="1:45" ht="17.100000000000001" customHeight="1">
      <c r="A87" s="1281" t="s">
        <v>1487</v>
      </c>
      <c r="B87" s="1723" t="e">
        <f>IF(E115="All Basic Correct",'E Data'!D54,"")</f>
        <v>#N/A</v>
      </c>
      <c r="C87" s="1282"/>
      <c r="D87" s="1282"/>
      <c r="E87" s="1721"/>
      <c r="F87" s="1721"/>
      <c r="G87" s="1721"/>
      <c r="H87" s="1724"/>
      <c r="I87" s="137"/>
      <c r="J87" s="137"/>
      <c r="K87" s="137"/>
      <c r="L87" s="137"/>
      <c r="M87" s="137"/>
      <c r="N87" s="137"/>
      <c r="O87" s="137"/>
      <c r="AA87" s="1431"/>
      <c r="AB87" s="1434" t="s">
        <v>1742</v>
      </c>
      <c r="AC87" s="1434" t="str">
        <f>"Double Flanged type, "&amp;G52&amp;" mm, "&amp;G39&amp;" nos.,300 to 350 BHN hardness, Forged steel, Material C55Mn75"</f>
        <v>Double Flanged type, 320 mm, 4 nos.,300 to 350 BHN hardness, Forged steel, Material C55Mn75</v>
      </c>
      <c r="AD87" s="1434"/>
      <c r="AH87" s="137"/>
      <c r="AI87" s="137"/>
      <c r="AJ87" s="137"/>
      <c r="AK87" s="137"/>
      <c r="AL87" s="137"/>
      <c r="AM87" s="137"/>
      <c r="AN87" s="137"/>
      <c r="AO87" s="137"/>
      <c r="AP87" s="137"/>
      <c r="AQ87" s="137"/>
      <c r="AR87" s="137"/>
      <c r="AS87" s="137"/>
    </row>
    <row r="88" spans="1:45" ht="17.100000000000001" customHeight="1" thickBot="1">
      <c r="A88" s="1725"/>
      <c r="B88" s="1726"/>
      <c r="C88" s="1727"/>
      <c r="D88" s="1728"/>
      <c r="E88" s="1719"/>
      <c r="F88" s="1719"/>
      <c r="G88" s="1719"/>
      <c r="H88" s="1729"/>
      <c r="I88" s="137"/>
      <c r="J88" s="137"/>
      <c r="N88" s="137"/>
      <c r="O88" s="137"/>
      <c r="AA88" s="1431"/>
      <c r="AB88" s="1434" t="s">
        <v>2333</v>
      </c>
      <c r="AC88" s="1438" t="str">
        <f>"Double Flanged type, "&amp;H52&amp;" mm, "&amp;H39&amp;" nos.,300 to 350 BHN hardness, Forged steel, Material C55Mn75"</f>
        <v>Double Flanged type, 250 mm, 4 nos.,300 to 350 BHN hardness, Forged steel, Material C55Mn75</v>
      </c>
      <c r="AH88" s="137"/>
      <c r="AI88" s="137"/>
      <c r="AJ88" s="137"/>
      <c r="AK88" s="137"/>
      <c r="AL88" s="137"/>
      <c r="AM88" s="137"/>
      <c r="AN88" s="137"/>
      <c r="AO88" s="137"/>
      <c r="AP88" s="137"/>
      <c r="AQ88" s="137"/>
      <c r="AR88" s="137"/>
      <c r="AS88" s="137"/>
    </row>
    <row r="89" spans="1:45" ht="17.100000000000001" customHeight="1">
      <c r="I89" s="137"/>
      <c r="J89" s="137"/>
      <c r="O89" s="1508"/>
      <c r="AA89" s="1431">
        <v>25</v>
      </c>
      <c r="AB89" s="1432" t="s">
        <v>2353</v>
      </c>
      <c r="AC89" s="1434" t="s">
        <v>2354</v>
      </c>
      <c r="AH89" s="137"/>
      <c r="AI89" s="137"/>
      <c r="AJ89" s="137"/>
      <c r="AK89" s="137"/>
      <c r="AL89" s="137"/>
      <c r="AM89" s="137"/>
      <c r="AN89" s="137"/>
      <c r="AO89" s="137"/>
      <c r="AP89" s="137"/>
      <c r="AQ89" s="137"/>
      <c r="AR89" s="137"/>
      <c r="AS89" s="137"/>
    </row>
    <row r="90" spans="1:45" s="53" customFormat="1">
      <c r="P90" s="333"/>
      <c r="Q90" s="333"/>
      <c r="R90" s="333"/>
      <c r="S90" s="333"/>
      <c r="T90" s="333"/>
      <c r="U90" s="333"/>
      <c r="V90" s="333"/>
      <c r="W90" s="333"/>
      <c r="X90" s="333"/>
      <c r="Y90" s="333"/>
      <c r="Z90" s="333"/>
      <c r="AA90" s="1431">
        <v>26</v>
      </c>
      <c r="AB90" s="1432" t="s">
        <v>2355</v>
      </c>
      <c r="AC90" s="1434" t="s">
        <v>2356</v>
      </c>
      <c r="AD90" s="333"/>
      <c r="AE90" s="333"/>
      <c r="AF90" s="333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Q90" s="333"/>
      <c r="AR90" s="333"/>
      <c r="AS90" s="333"/>
    </row>
    <row r="91" spans="1:45">
      <c r="A91" s="195"/>
      <c r="D91" s="1467" t="s">
        <v>2650</v>
      </c>
      <c r="E91" s="31"/>
      <c r="F91" s="43"/>
      <c r="G91" s="59"/>
      <c r="H91" s="118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  <c r="AA91" s="1431">
        <v>27</v>
      </c>
      <c r="AB91" s="1432" t="s">
        <v>2357</v>
      </c>
      <c r="AC91" s="1434" t="str">
        <f>H55</f>
        <v>SPRING</v>
      </c>
      <c r="AD91" s="137"/>
      <c r="AE91" s="137"/>
      <c r="AF91" s="137"/>
      <c r="AG91" s="137"/>
      <c r="AH91" s="137"/>
      <c r="AI91" s="137"/>
      <c r="AJ91" s="137"/>
      <c r="AK91" s="137"/>
      <c r="AL91" s="137"/>
      <c r="AM91" s="137"/>
      <c r="AN91" s="137"/>
      <c r="AO91" s="137"/>
      <c r="AP91" s="137"/>
      <c r="AQ91" s="137"/>
      <c r="AR91" s="137"/>
      <c r="AS91" s="137"/>
    </row>
    <row r="92" spans="1:45" ht="15" customHeight="1">
      <c r="A92" s="118"/>
      <c r="C92" s="59"/>
      <c r="D92" s="1730"/>
      <c r="E92" s="118"/>
      <c r="Q92" s="137"/>
      <c r="R92" s="137"/>
      <c r="S92" s="137"/>
      <c r="T92" s="137"/>
      <c r="U92" s="137"/>
      <c r="V92" s="137"/>
      <c r="W92" s="137"/>
      <c r="X92" s="137"/>
      <c r="Y92" s="137"/>
      <c r="Z92" s="137"/>
      <c r="AA92" s="1431">
        <v>28</v>
      </c>
      <c r="AB92" s="1432" t="s">
        <v>2358</v>
      </c>
      <c r="AC92" s="1434" t="str">
        <f>G47</f>
        <v>50mm Sq. Bar</v>
      </c>
      <c r="AD92" s="137"/>
      <c r="AE92" s="137"/>
      <c r="AF92" s="137"/>
      <c r="AG92" s="137"/>
      <c r="AH92" s="137"/>
      <c r="AI92" s="137"/>
      <c r="AJ92" s="137"/>
      <c r="AK92" s="137"/>
      <c r="AL92" s="137"/>
      <c r="AM92" s="137"/>
      <c r="AN92" s="137"/>
      <c r="AO92" s="137"/>
      <c r="AP92" s="137"/>
      <c r="AQ92" s="137"/>
      <c r="AR92" s="137"/>
      <c r="AS92" s="17"/>
    </row>
    <row r="93" spans="1:45" ht="15" customHeight="1">
      <c r="A93" s="195"/>
      <c r="C93" s="132" t="s">
        <v>2648</v>
      </c>
      <c r="D93" s="735">
        <f>input!H11</f>
        <v>25624.999999999996</v>
      </c>
      <c r="E93" s="22" t="s">
        <v>380</v>
      </c>
      <c r="Q93" s="137"/>
      <c r="R93" s="137"/>
      <c r="S93" s="137"/>
      <c r="T93" s="137"/>
      <c r="U93" s="137"/>
      <c r="V93" s="137"/>
      <c r="W93" s="137"/>
      <c r="X93" s="137"/>
      <c r="Y93" s="137"/>
      <c r="Z93" s="137"/>
      <c r="AA93" s="1431">
        <v>29</v>
      </c>
      <c r="AB93" s="1432" t="s">
        <v>2359</v>
      </c>
      <c r="AC93" s="1434"/>
      <c r="AD93" s="137"/>
      <c r="AE93" s="137"/>
      <c r="AF93" s="137"/>
      <c r="AG93" s="137"/>
      <c r="AH93" s="137"/>
      <c r="AI93" s="137"/>
      <c r="AJ93" s="137"/>
      <c r="AK93" s="137"/>
      <c r="AL93" s="137"/>
      <c r="AM93" s="137"/>
      <c r="AN93" s="137"/>
      <c r="AO93" s="137"/>
      <c r="AP93" s="137"/>
      <c r="AQ93" s="137"/>
      <c r="AR93" s="137"/>
      <c r="AS93" s="17"/>
    </row>
    <row r="94" spans="1:45" ht="15" customHeight="1">
      <c r="C94" s="132" t="s">
        <v>2649</v>
      </c>
      <c r="D94" s="735">
        <f>input!H14</f>
        <v>4375</v>
      </c>
      <c r="E94" s="118" t="s">
        <v>380</v>
      </c>
      <c r="Q94" s="137"/>
      <c r="R94" s="137"/>
      <c r="S94" s="137"/>
      <c r="T94" s="137"/>
      <c r="U94" s="137"/>
      <c r="V94" s="137"/>
      <c r="W94" s="137"/>
      <c r="X94" s="17"/>
      <c r="Y94" s="17"/>
      <c r="Z94" s="17"/>
      <c r="AA94" s="1431"/>
      <c r="AB94" s="1439" t="s">
        <v>1274</v>
      </c>
      <c r="AC94" s="1435" t="str">
        <f>C47&amp;" as per IS:3815 / IS:15560"</f>
        <v>C Type as per IS:3815 / IS:15560</v>
      </c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</row>
    <row r="95" spans="1:45" ht="15" customHeight="1">
      <c r="C95" s="43"/>
      <c r="D95" s="1731"/>
      <c r="E95" s="118"/>
      <c r="Q95" s="137"/>
      <c r="R95" s="137"/>
      <c r="S95" s="137"/>
      <c r="T95" s="137"/>
      <c r="U95" s="137"/>
      <c r="V95" s="137"/>
      <c r="W95" s="137"/>
      <c r="X95" s="17"/>
      <c r="Y95" s="17"/>
      <c r="Z95" s="17"/>
      <c r="AA95" s="1431"/>
      <c r="AB95" s="1439" t="s">
        <v>2332</v>
      </c>
      <c r="AC95" s="1435" t="str">
        <f>IF('E Data'!D14&gt;0,D47&amp;" as per IS:3815 / IS:15560","N.A")</f>
        <v>C Type as per IS:3815 / IS:15560</v>
      </c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</row>
    <row r="96" spans="1:45" ht="15" customHeight="1">
      <c r="C96" s="132" t="s">
        <v>2641</v>
      </c>
      <c r="D96" s="735">
        <f>input!G31</f>
        <v>61</v>
      </c>
      <c r="E96" s="118" t="s">
        <v>1569</v>
      </c>
      <c r="Q96" s="137"/>
      <c r="R96" s="137"/>
      <c r="S96" s="137"/>
      <c r="T96" s="137"/>
      <c r="U96" s="137"/>
      <c r="V96" s="137"/>
      <c r="W96" s="137"/>
      <c r="X96" s="17"/>
      <c r="Y96" s="17"/>
      <c r="Z96" s="17"/>
      <c r="AA96" s="1431">
        <v>30</v>
      </c>
      <c r="AB96" s="1468" t="s">
        <v>2360</v>
      </c>
      <c r="AC96" s="1469" t="s">
        <v>2361</v>
      </c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</row>
    <row r="97" spans="3:45" ht="15" customHeight="1">
      <c r="C97" s="132" t="s">
        <v>2642</v>
      </c>
      <c r="D97" s="735">
        <f>input!G32</f>
        <v>61</v>
      </c>
      <c r="E97" s="118" t="s">
        <v>1569</v>
      </c>
      <c r="Q97" s="137"/>
      <c r="R97" s="137"/>
      <c r="S97" s="137"/>
      <c r="T97" s="137"/>
      <c r="U97" s="137"/>
      <c r="V97" s="137"/>
      <c r="W97" s="137"/>
      <c r="X97" s="17"/>
      <c r="Y97" s="17"/>
      <c r="Z97" s="17"/>
      <c r="AA97" s="1431">
        <v>31</v>
      </c>
      <c r="AB97" s="1432" t="s">
        <v>2362</v>
      </c>
      <c r="AC97" s="1434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</row>
    <row r="98" spans="3:45" ht="15" customHeight="1">
      <c r="C98" s="132" t="s">
        <v>1571</v>
      </c>
      <c r="D98" s="735">
        <f>input!G33</f>
        <v>99</v>
      </c>
      <c r="E98" s="118" t="s">
        <v>1569</v>
      </c>
      <c r="Q98" s="137"/>
      <c r="R98" s="137"/>
      <c r="S98" s="137"/>
      <c r="T98" s="137"/>
      <c r="U98" s="137"/>
      <c r="V98" s="137"/>
      <c r="W98" s="137"/>
      <c r="X98" s="17"/>
      <c r="Y98" s="17"/>
      <c r="Z98" s="17"/>
      <c r="AA98" s="1431"/>
      <c r="AB98" s="1434" t="s">
        <v>2363</v>
      </c>
      <c r="AC98" s="1435" t="s">
        <v>2364</v>
      </c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</row>
    <row r="99" spans="3:45" ht="15" customHeight="1">
      <c r="C99" s="132" t="s">
        <v>1573</v>
      </c>
      <c r="D99" s="735">
        <f>input!G34</f>
        <v>2</v>
      </c>
      <c r="E99" s="118" t="s">
        <v>1569</v>
      </c>
      <c r="Q99" s="137"/>
      <c r="R99" s="137"/>
      <c r="S99" s="137"/>
      <c r="T99" s="137"/>
      <c r="U99" s="137"/>
      <c r="V99" s="137"/>
      <c r="W99" s="137"/>
      <c r="X99" s="17"/>
      <c r="Y99" s="17"/>
      <c r="Z99" s="17"/>
      <c r="AA99" s="1431"/>
      <c r="AB99" s="1434" t="s">
        <v>2365</v>
      </c>
      <c r="AC99" s="1435" t="s">
        <v>2364</v>
      </c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</row>
    <row r="100" spans="3:45" ht="15" customHeight="1">
      <c r="C100" s="132" t="s">
        <v>2643</v>
      </c>
      <c r="D100" s="735">
        <f>input!G35</f>
        <v>1</v>
      </c>
      <c r="E100" s="118" t="s">
        <v>1569</v>
      </c>
      <c r="Q100" s="137"/>
      <c r="R100" s="137"/>
      <c r="S100" s="137"/>
      <c r="T100" s="137"/>
      <c r="U100" s="137"/>
      <c r="V100" s="137"/>
      <c r="W100" s="137"/>
      <c r="X100" s="137"/>
      <c r="Y100" s="17"/>
      <c r="Z100" s="17"/>
      <c r="AA100" s="1431">
        <v>32</v>
      </c>
      <c r="AB100" s="1432" t="s">
        <v>2366</v>
      </c>
      <c r="AC100" s="1434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</row>
    <row r="101" spans="3:45" ht="15" customHeight="1">
      <c r="C101" s="132" t="s">
        <v>2644</v>
      </c>
      <c r="D101" s="735">
        <f>input!G36</f>
        <v>0.8</v>
      </c>
      <c r="E101" s="118" t="s">
        <v>1569</v>
      </c>
      <c r="Q101" s="137"/>
      <c r="R101" s="137"/>
      <c r="S101" s="137"/>
      <c r="T101" s="137"/>
      <c r="U101" s="137"/>
      <c r="V101" s="137"/>
      <c r="W101" s="137"/>
      <c r="X101" s="137"/>
      <c r="Y101" s="17"/>
      <c r="Z101" s="17"/>
      <c r="AA101" s="1431"/>
      <c r="AB101" s="1439" t="s">
        <v>2363</v>
      </c>
      <c r="AC101" s="1434" t="s">
        <v>2367</v>
      </c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</row>
    <row r="102" spans="3:45" ht="15" customHeight="1">
      <c r="C102" s="132" t="s">
        <v>2645</v>
      </c>
      <c r="D102" s="735">
        <v>1</v>
      </c>
      <c r="E102" s="118" t="s">
        <v>1569</v>
      </c>
      <c r="Q102" s="137"/>
      <c r="R102" s="137"/>
      <c r="S102" s="137"/>
      <c r="T102" s="137"/>
      <c r="U102" s="137"/>
      <c r="V102" s="137"/>
      <c r="W102" s="137"/>
      <c r="X102" s="137"/>
      <c r="Y102" s="17"/>
      <c r="Z102" s="17"/>
      <c r="AA102" s="1431"/>
      <c r="AB102" s="1439" t="s">
        <v>2365</v>
      </c>
      <c r="AC102" s="1434" t="s">
        <v>2368</v>
      </c>
      <c r="AD102" s="17">
        <f>IF('E Data'!D14&gt;0,D22,"N.A")</f>
        <v>6</v>
      </c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</row>
    <row r="103" spans="3:45" ht="15" customHeight="1">
      <c r="C103" s="132" t="s">
        <v>1581</v>
      </c>
      <c r="D103" s="1732">
        <f>input!G38</f>
        <v>96</v>
      </c>
      <c r="E103" s="118" t="s">
        <v>1569</v>
      </c>
      <c r="Q103" s="137"/>
      <c r="R103" s="137"/>
      <c r="S103" s="137"/>
      <c r="T103" s="137"/>
      <c r="U103" s="137"/>
      <c r="V103" s="137"/>
      <c r="W103" s="137"/>
      <c r="X103" s="137"/>
      <c r="Y103" s="17"/>
      <c r="Z103" s="17"/>
      <c r="AA103" s="1431">
        <v>33</v>
      </c>
      <c r="AB103" s="1432" t="s">
        <v>2369</v>
      </c>
      <c r="AC103" s="1434" t="s">
        <v>2370</v>
      </c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</row>
    <row r="104" spans="3:45" ht="15" customHeight="1">
      <c r="C104" s="132" t="s">
        <v>287</v>
      </c>
      <c r="D104" s="1470">
        <f>input!G39</f>
        <v>264.23100000000005</v>
      </c>
      <c r="E104" s="118" t="s">
        <v>442</v>
      </c>
      <c r="Q104" s="137"/>
      <c r="R104" s="137"/>
      <c r="S104" s="137"/>
      <c r="T104" s="137"/>
      <c r="U104" s="137"/>
      <c r="V104" s="137"/>
      <c r="W104" s="137"/>
      <c r="X104" s="137"/>
      <c r="Y104" s="17"/>
      <c r="Z104" s="17"/>
      <c r="AA104" s="1431">
        <v>34</v>
      </c>
      <c r="AB104" s="1432" t="s">
        <v>2371</v>
      </c>
      <c r="AC104" s="1434" t="s">
        <v>2372</v>
      </c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</row>
    <row r="105" spans="3:45" ht="15" customHeight="1">
      <c r="C105" s="20"/>
      <c r="D105" s="20"/>
      <c r="E105" s="88"/>
      <c r="Q105" s="137"/>
      <c r="R105" s="137"/>
      <c r="S105" s="137"/>
      <c r="T105" s="137"/>
      <c r="U105" s="137"/>
      <c r="V105" s="137"/>
      <c r="W105" s="137"/>
      <c r="X105" s="137"/>
      <c r="Y105" s="17"/>
      <c r="Z105" s="17"/>
      <c r="AA105" s="1431">
        <v>35</v>
      </c>
      <c r="AB105" s="1432" t="s">
        <v>2373</v>
      </c>
      <c r="AC105" s="1434" t="str">
        <f>'E Data'!D43&amp;" Tones"</f>
        <v>17 Tones</v>
      </c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</row>
    <row r="106" spans="3:45" ht="15" customHeight="1">
      <c r="C106" s="20"/>
      <c r="D106" s="1471">
        <f>input!G40</f>
        <v>303.86565000000002</v>
      </c>
      <c r="E106" s="88" t="s">
        <v>1587</v>
      </c>
      <c r="Q106" s="137"/>
      <c r="R106" s="137"/>
      <c r="S106" s="137"/>
      <c r="T106" s="137"/>
      <c r="U106" s="137"/>
      <c r="V106" s="137"/>
      <c r="W106" s="137"/>
      <c r="X106" s="137"/>
      <c r="Y106" s="17"/>
      <c r="Z106" s="17"/>
      <c r="AA106" s="1431">
        <v>36</v>
      </c>
      <c r="AB106" s="1432" t="s">
        <v>2374</v>
      </c>
      <c r="AC106" s="1434" t="str">
        <f>'E Data'!D44&amp;" Tones"</f>
        <v>5 Tones</v>
      </c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</row>
    <row r="107" spans="3:45" ht="15" customHeight="1">
      <c r="Q107" s="137"/>
      <c r="R107" s="137"/>
      <c r="S107" s="137"/>
      <c r="T107" s="137"/>
      <c r="U107" s="137"/>
      <c r="V107" s="137"/>
      <c r="W107" s="137"/>
      <c r="X107" s="137"/>
      <c r="Y107" s="17"/>
      <c r="Z107" s="17"/>
      <c r="AA107" s="1431">
        <v>37</v>
      </c>
      <c r="AB107" s="1472" t="s">
        <v>2375</v>
      </c>
      <c r="AC107" s="1434" t="str">
        <f>LT_wh!I23&amp;" Tones"</f>
        <v>16.6 Tones</v>
      </c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</row>
    <row r="108" spans="3:45" ht="15" customHeight="1">
      <c r="Q108" s="137"/>
      <c r="R108" s="137"/>
      <c r="S108" s="137"/>
      <c r="T108" s="137"/>
      <c r="U108" s="137"/>
      <c r="V108" s="137"/>
      <c r="W108" s="137"/>
      <c r="X108" s="137"/>
      <c r="Y108" s="17"/>
      <c r="Z108" s="17"/>
      <c r="AA108" s="1431">
        <v>38</v>
      </c>
      <c r="AB108" s="1432" t="s">
        <v>1441</v>
      </c>
      <c r="AC108" s="1435" t="str">
        <f>D67</f>
        <v>Full length platform on Drive side and Two short corners on the other side of girder</v>
      </c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</row>
    <row r="109" spans="3:45" ht="15" customHeight="1">
      <c r="Q109" s="137"/>
      <c r="R109" s="137"/>
      <c r="S109" s="137"/>
      <c r="T109" s="137"/>
      <c r="U109" s="137"/>
      <c r="V109" s="137"/>
      <c r="W109" s="137"/>
      <c r="X109" s="137"/>
      <c r="Y109" s="17"/>
      <c r="Z109" s="17"/>
      <c r="AA109" s="1431">
        <v>39</v>
      </c>
      <c r="AB109" s="1432" t="s">
        <v>2404</v>
      </c>
      <c r="AC109" s="1434" t="s">
        <v>2405</v>
      </c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</row>
    <row r="110" spans="3:45" ht="15" customHeight="1">
      <c r="Q110" s="137"/>
      <c r="R110" s="137"/>
      <c r="S110" s="137"/>
      <c r="T110" s="137"/>
      <c r="U110" s="137"/>
      <c r="V110" s="137"/>
      <c r="W110" s="137"/>
      <c r="X110" s="137"/>
      <c r="Y110" s="17"/>
      <c r="Z110" s="17"/>
      <c r="AA110" s="1431">
        <v>40</v>
      </c>
      <c r="AB110" s="1433" t="s">
        <v>2376</v>
      </c>
      <c r="AC110" s="1435" t="s">
        <v>2377</v>
      </c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</row>
    <row r="111" spans="3:45" ht="15" customHeight="1">
      <c r="Q111" s="137"/>
      <c r="R111" s="137"/>
      <c r="S111" s="137"/>
      <c r="T111" s="137"/>
      <c r="U111" s="137"/>
      <c r="V111" s="137"/>
      <c r="W111" s="137"/>
      <c r="X111" s="137"/>
      <c r="Y111" s="17"/>
      <c r="Z111" s="17"/>
      <c r="AA111" s="1473"/>
      <c r="AB111" s="1474"/>
      <c r="AC111" s="1465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</row>
    <row r="112" spans="3:45">
      <c r="Q112" s="137"/>
      <c r="R112" s="137"/>
      <c r="S112" s="137"/>
      <c r="T112" s="137"/>
      <c r="U112" s="137"/>
      <c r="V112" s="137"/>
      <c r="W112" s="137"/>
      <c r="X112" s="137"/>
      <c r="Y112" s="17"/>
      <c r="Z112" s="17"/>
      <c r="AA112" s="4086" t="s">
        <v>2788</v>
      </c>
      <c r="AB112" s="4086"/>
      <c r="AC112" s="4086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</row>
    <row r="113" spans="1:45">
      <c r="Q113" s="137"/>
      <c r="R113" s="137"/>
      <c r="S113" s="137"/>
      <c r="T113" s="137"/>
      <c r="U113" s="137"/>
      <c r="V113" s="137"/>
      <c r="W113" s="137"/>
      <c r="X113" s="137"/>
      <c r="Y113" s="17"/>
      <c r="Z113" s="17"/>
      <c r="AA113" s="1475"/>
      <c r="AB113" s="1474"/>
      <c r="AC113" s="1474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</row>
    <row r="114" spans="1:45">
      <c r="Q114" s="137"/>
      <c r="R114" s="137"/>
      <c r="S114" s="137"/>
      <c r="T114" s="137"/>
      <c r="U114" s="137"/>
      <c r="V114" s="137"/>
      <c r="W114" s="137"/>
      <c r="X114" s="137"/>
      <c r="Y114" s="17"/>
      <c r="Z114" s="17"/>
      <c r="AA114" s="1476">
        <v>1</v>
      </c>
      <c r="AB114" s="1477" t="s">
        <v>2378</v>
      </c>
      <c r="AC114" s="1478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</row>
    <row r="115" spans="1:45">
      <c r="A115" s="1305"/>
      <c r="B115" s="1305"/>
      <c r="C115" s="484" t="str">
        <f>C147</f>
        <v>Right</v>
      </c>
      <c r="D115" s="484" t="e">
        <f>IF(G4&gt;0,D147,"Right")</f>
        <v>#N/A</v>
      </c>
      <c r="E115" s="1733" t="e">
        <f>L135</f>
        <v>#N/A</v>
      </c>
      <c r="F115" s="1305"/>
      <c r="G115" s="1734" t="str">
        <f>IF(G134="Gear Brake Motor",IF(G133="Right","Right",G133),IF(G133="Right",IF(G148="Right","Right",G148)))</f>
        <v>Right</v>
      </c>
      <c r="H115" s="1734" t="str">
        <f>IF(H134="Gear Brake Motor",IF(H133="Right","Right",H133),IF(H133="Right",IF(H148="Right","Right",H148)))</f>
        <v>Right</v>
      </c>
      <c r="I115" s="53"/>
      <c r="J115" s="53"/>
      <c r="K115" s="53"/>
      <c r="L115" s="53"/>
      <c r="M115" s="53"/>
      <c r="N115" s="53"/>
      <c r="Q115" s="137"/>
      <c r="R115" s="137"/>
      <c r="S115" s="137"/>
      <c r="T115" s="137"/>
      <c r="U115" s="137"/>
      <c r="V115" s="137"/>
      <c r="W115" s="137"/>
      <c r="X115" s="137"/>
      <c r="Y115" s="17"/>
      <c r="Z115" s="17"/>
      <c r="AA115" s="1476">
        <v>2</v>
      </c>
      <c r="AB115" s="1479" t="s">
        <v>2379</v>
      </c>
      <c r="AC115" s="1478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</row>
    <row r="116" spans="1:45">
      <c r="A116" s="1735"/>
      <c r="B116" s="1735"/>
      <c r="C116" s="1305"/>
      <c r="D116" s="1305"/>
      <c r="E116" s="1733"/>
      <c r="F116" s="1735"/>
      <c r="G116" s="1305"/>
      <c r="H116" s="1305"/>
      <c r="Q116" s="137"/>
      <c r="R116" s="137"/>
      <c r="S116" s="137"/>
      <c r="T116" s="137"/>
      <c r="U116" s="137"/>
      <c r="V116" s="137"/>
      <c r="W116" s="137"/>
      <c r="X116" s="137"/>
      <c r="Y116" s="17"/>
      <c r="Z116" s="17"/>
      <c r="AA116" s="1476">
        <v>3</v>
      </c>
      <c r="AB116" s="1477" t="s">
        <v>2380</v>
      </c>
      <c r="AC116" s="1478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</row>
    <row r="117" spans="1:45">
      <c r="A117" s="754" t="s">
        <v>107</v>
      </c>
      <c r="B117" s="754" t="s">
        <v>1093</v>
      </c>
      <c r="C117" s="754" t="s">
        <v>1094</v>
      </c>
      <c r="D117" s="754" t="s">
        <v>1095</v>
      </c>
      <c r="E117" s="754" t="s">
        <v>107</v>
      </c>
      <c r="F117" s="754" t="s">
        <v>1093</v>
      </c>
      <c r="G117" s="754" t="s">
        <v>1140</v>
      </c>
      <c r="H117" s="1736" t="s">
        <v>1144</v>
      </c>
      <c r="R117" s="137"/>
      <c r="S117" s="137"/>
      <c r="T117" s="137"/>
      <c r="U117" s="137"/>
      <c r="V117" s="137"/>
      <c r="W117" s="137"/>
      <c r="X117" s="137"/>
      <c r="Y117" s="17"/>
      <c r="Z117" s="17"/>
      <c r="AA117" s="1476">
        <v>4</v>
      </c>
      <c r="AB117" s="1477" t="s">
        <v>2381</v>
      </c>
      <c r="AC117" s="1478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</row>
    <row r="118" spans="1:45">
      <c r="A118" s="53"/>
      <c r="B118" s="757"/>
      <c r="C118" s="757"/>
      <c r="D118" s="757"/>
      <c r="E118" s="53"/>
      <c r="F118" s="757"/>
      <c r="G118" s="757"/>
      <c r="H118" s="757"/>
      <c r="R118" s="137"/>
      <c r="S118" s="137"/>
      <c r="T118" s="137"/>
      <c r="U118" s="137"/>
      <c r="V118" s="137"/>
      <c r="W118" s="137"/>
      <c r="X118" s="137"/>
      <c r="Y118" s="17"/>
      <c r="Z118" s="17"/>
      <c r="AA118" s="1476">
        <v>5</v>
      </c>
      <c r="AB118" s="1477" t="s">
        <v>2382</v>
      </c>
      <c r="AC118" s="1478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</row>
    <row r="119" spans="1:45">
      <c r="A119" s="53" t="s">
        <v>1488</v>
      </c>
      <c r="B119" s="80" t="s">
        <v>991</v>
      </c>
      <c r="C119" s="53" t="str">
        <f>MH!L28</f>
        <v>Right</v>
      </c>
      <c r="D119" s="53" t="str">
        <f>AH!L29</f>
        <v>Right</v>
      </c>
      <c r="E119" s="53" t="s">
        <v>1488</v>
      </c>
      <c r="F119" s="80" t="s">
        <v>991</v>
      </c>
      <c r="G119" s="53" t="str">
        <f>CT_HP!K37</f>
        <v>Right</v>
      </c>
      <c r="H119" s="53" t="str">
        <f>LT_HP!K41</f>
        <v>Right</v>
      </c>
      <c r="I119" s="1733" t="str">
        <f>IF(C119="Right",IF(G119="Right",IF(H119="Right",IF('E Data'!$D$14&gt;0,IF(D119="Right","","AH Wrong"),""),"LT Wrong"),"CT Wrong"),"MH Wrong")</f>
        <v/>
      </c>
      <c r="R119" s="137"/>
      <c r="S119" s="137"/>
      <c r="T119" s="137"/>
      <c r="U119" s="137"/>
      <c r="V119" s="137"/>
      <c r="W119" s="137"/>
      <c r="X119" s="17"/>
      <c r="Y119" s="17"/>
      <c r="Z119" s="17"/>
      <c r="AA119" s="1476">
        <v>6</v>
      </c>
      <c r="AB119" s="1477" t="s">
        <v>2383</v>
      </c>
      <c r="AC119" s="1478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</row>
    <row r="120" spans="1:45">
      <c r="A120" s="53"/>
      <c r="B120" s="80"/>
      <c r="C120" s="53"/>
      <c r="D120" s="53"/>
      <c r="E120" s="53"/>
      <c r="F120" s="80"/>
      <c r="G120" s="53"/>
      <c r="H120" s="53"/>
      <c r="R120" s="137"/>
      <c r="S120" s="137"/>
      <c r="T120" s="137"/>
      <c r="U120" s="137"/>
      <c r="V120" s="137"/>
      <c r="W120" s="137"/>
      <c r="X120" s="17"/>
      <c r="Y120" s="17"/>
      <c r="Z120" s="17"/>
      <c r="AA120" s="1476">
        <v>7</v>
      </c>
      <c r="AB120" s="1477" t="s">
        <v>2384</v>
      </c>
      <c r="AC120" s="1478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</row>
    <row r="121" spans="1:45">
      <c r="A121" s="53" t="s">
        <v>1489</v>
      </c>
      <c r="B121" s="80" t="s">
        <v>1320</v>
      </c>
      <c r="C121" s="53" t="str">
        <f>MH!L69</f>
        <v>Right</v>
      </c>
      <c r="D121" s="53" t="str">
        <f>AH!L69</f>
        <v>Right</v>
      </c>
      <c r="E121" s="53" t="s">
        <v>1489</v>
      </c>
      <c r="F121" s="80" t="s">
        <v>1490</v>
      </c>
      <c r="G121" s="53" t="str">
        <f>CT_HP!K8</f>
        <v>Right</v>
      </c>
      <c r="H121" s="53" t="str">
        <f>LT_HP!K8</f>
        <v>Right</v>
      </c>
      <c r="I121" s="1733" t="str">
        <f>IF(C121="Right",IF(G121="Right",IF(H121="Right",IF('E Data'!$D$14&gt;0,IF(D121="Right","","AH Wrong"),""),"LT Wrong"),"CT Wrong"),"MH Wrong")</f>
        <v/>
      </c>
      <c r="R121" s="137"/>
      <c r="S121" s="137"/>
      <c r="T121" s="137"/>
      <c r="U121" s="137"/>
      <c r="V121" s="137"/>
      <c r="W121" s="137"/>
      <c r="X121" s="17"/>
      <c r="Y121" s="17"/>
      <c r="Z121" s="17"/>
      <c r="AA121" s="1476">
        <v>8</v>
      </c>
      <c r="AB121" s="1477" t="s">
        <v>2385</v>
      </c>
      <c r="AC121" s="1478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</row>
    <row r="122" spans="1:45">
      <c r="A122" s="53"/>
      <c r="B122" s="80"/>
      <c r="C122" s="53"/>
      <c r="D122" s="53"/>
      <c r="E122" s="53"/>
      <c r="F122" s="80"/>
      <c r="G122" s="53"/>
      <c r="H122" s="53"/>
      <c r="R122" s="137"/>
      <c r="S122" s="137"/>
      <c r="T122" s="137"/>
      <c r="U122" s="137"/>
      <c r="V122" s="137"/>
      <c r="W122" s="137"/>
      <c r="X122" s="17"/>
      <c r="Y122" s="17"/>
      <c r="Z122" s="17"/>
      <c r="AA122" s="1476">
        <v>9</v>
      </c>
      <c r="AB122" s="4077" t="s">
        <v>2386</v>
      </c>
      <c r="AC122" s="408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</row>
    <row r="123" spans="1:45">
      <c r="A123" s="53" t="s">
        <v>1491</v>
      </c>
      <c r="B123" s="80" t="s">
        <v>1398</v>
      </c>
      <c r="C123" s="53" t="str">
        <f>MH!L99</f>
        <v>Right</v>
      </c>
      <c r="D123" s="53" t="str">
        <f>AH!L99</f>
        <v>Right</v>
      </c>
      <c r="E123" s="53" t="s">
        <v>1491</v>
      </c>
      <c r="F123" s="80" t="s">
        <v>971</v>
      </c>
      <c r="G123" s="53" t="str">
        <f>CT_wh!A92</f>
        <v>Right</v>
      </c>
      <c r="H123" s="53" t="str">
        <f>IF('E Data'!D17&gt;0,LT_wh!A90,"Right")</f>
        <v>Right</v>
      </c>
      <c r="I123" s="1733" t="str">
        <f>IF(C123="Right",IF(G123="Right",IF(H123="Right",IF('E Data'!$D$14&gt;0,IF(D123="Right","","AH Wrong"),""),"LT Wrong"),"CT Wrong"),"MH Wrong")</f>
        <v/>
      </c>
      <c r="Q123" s="137"/>
      <c r="R123" s="137"/>
      <c r="S123" s="137"/>
      <c r="T123" s="137"/>
      <c r="U123" s="137"/>
      <c r="V123" s="137"/>
      <c r="W123" s="137"/>
      <c r="X123" s="17"/>
      <c r="Y123" s="17"/>
      <c r="Z123" s="17"/>
      <c r="AA123" s="1476">
        <v>10</v>
      </c>
      <c r="AB123" s="1477" t="s">
        <v>2387</v>
      </c>
      <c r="AC123" s="1478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</row>
    <row r="124" spans="1:45">
      <c r="A124" s="53"/>
      <c r="B124" s="80"/>
      <c r="C124" s="53"/>
      <c r="D124" s="53"/>
      <c r="E124" s="53"/>
      <c r="F124" s="80"/>
      <c r="G124" s="53"/>
      <c r="H124" s="53"/>
      <c r="Q124" s="137"/>
      <c r="R124" s="137"/>
      <c r="S124" s="137"/>
      <c r="T124" s="137"/>
      <c r="U124" s="137"/>
      <c r="V124" s="137"/>
      <c r="W124" s="137"/>
      <c r="X124" s="17"/>
      <c r="Y124" s="17"/>
      <c r="Z124" s="17"/>
      <c r="AA124" s="1476">
        <v>11</v>
      </c>
      <c r="AB124" s="1477" t="s">
        <v>2388</v>
      </c>
      <c r="AC124" s="1478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</row>
    <row r="125" spans="1:45">
      <c r="A125" s="53" t="s">
        <v>1492</v>
      </c>
      <c r="B125" s="80" t="s">
        <v>1088</v>
      </c>
      <c r="C125" s="53" t="str">
        <f>MH!P151</f>
        <v>Right</v>
      </c>
      <c r="D125" s="53" t="str">
        <f>AH!P149</f>
        <v>Right</v>
      </c>
      <c r="E125" s="53" t="s">
        <v>1492</v>
      </c>
      <c r="F125" s="80" t="s">
        <v>1493</v>
      </c>
      <c r="G125" s="53" t="str">
        <f>CT_wh!K49</f>
        <v>Right</v>
      </c>
      <c r="H125" s="53" t="str">
        <f>LT_wh!K53</f>
        <v>Right</v>
      </c>
      <c r="I125" s="1733" t="str">
        <f>IF(C125="Right",IF(G125="Right",IF(H125="Right",IF('E Data'!$D$14&gt;0,IF(D125="Right","","AH Wrong"),""),"LT Wrong"),"CT Wrong"),"MH Wrong")</f>
        <v/>
      </c>
      <c r="Q125" s="137"/>
      <c r="R125" s="137"/>
      <c r="S125" s="137"/>
      <c r="T125" s="137"/>
      <c r="U125" s="137"/>
      <c r="V125" s="137"/>
      <c r="W125" s="137"/>
      <c r="X125" s="17"/>
      <c r="Y125" s="17"/>
      <c r="Z125" s="17"/>
      <c r="AA125" s="1476">
        <v>12</v>
      </c>
      <c r="AB125" s="1477" t="s">
        <v>2389</v>
      </c>
      <c r="AC125" s="1478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</row>
    <row r="126" spans="1:45">
      <c r="A126" s="53"/>
      <c r="B126" s="80"/>
      <c r="C126" s="53"/>
      <c r="D126" s="53"/>
      <c r="E126" s="53"/>
      <c r="F126" s="80"/>
      <c r="G126" s="53"/>
      <c r="H126" s="53"/>
      <c r="Q126" s="137"/>
      <c r="R126" s="137"/>
      <c r="S126" s="137"/>
      <c r="T126" s="137"/>
      <c r="U126" s="137"/>
      <c r="V126" s="137"/>
      <c r="W126" s="137"/>
      <c r="X126" s="17"/>
      <c r="Y126" s="17"/>
      <c r="Z126" s="17"/>
      <c r="AA126" s="1476">
        <v>13</v>
      </c>
      <c r="AB126" s="1477" t="s">
        <v>2390</v>
      </c>
      <c r="AC126" s="1478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</row>
    <row r="127" spans="1:45">
      <c r="A127" s="53" t="s">
        <v>1494</v>
      </c>
      <c r="B127" s="80" t="s">
        <v>1495</v>
      </c>
      <c r="C127" s="53" t="str">
        <f>MH!P152</f>
        <v>Right</v>
      </c>
      <c r="D127" s="53" t="str">
        <f>AH!P150</f>
        <v>Right</v>
      </c>
      <c r="E127" s="53" t="s">
        <v>1494</v>
      </c>
      <c r="F127" s="80" t="s">
        <v>1496</v>
      </c>
      <c r="G127" s="53" t="str">
        <f>Selection!G37</f>
        <v>Right</v>
      </c>
      <c r="H127" s="53" t="str">
        <f>Selection!G38</f>
        <v>Right</v>
      </c>
      <c r="I127" s="1733" t="str">
        <f>IF(C127="Right",IF(G127="Right",IF(H127="Right",IF('E Data'!$D$14&gt;0,IF(D127="Right","","AH Wrong"),""),"LT Wrong"),"CT Wrong"),"MH Wrong")</f>
        <v/>
      </c>
      <c r="Q127" s="137"/>
      <c r="R127" s="137"/>
      <c r="S127" s="137"/>
      <c r="T127" s="137"/>
      <c r="U127" s="137"/>
      <c r="V127" s="137"/>
      <c r="W127" s="137"/>
      <c r="X127" s="17"/>
      <c r="Y127" s="17"/>
      <c r="Z127" s="17"/>
      <c r="AA127" s="1476">
        <v>14</v>
      </c>
      <c r="AB127" s="1477" t="s">
        <v>2391</v>
      </c>
      <c r="AC127" s="1478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</row>
    <row r="128" spans="1:45">
      <c r="A128" s="53"/>
      <c r="B128" s="80"/>
      <c r="C128" s="53"/>
      <c r="D128" s="53"/>
      <c r="E128" s="53"/>
      <c r="F128" s="80"/>
      <c r="G128" s="53"/>
      <c r="H128" s="53"/>
      <c r="Q128" s="137"/>
      <c r="R128" s="137"/>
      <c r="S128" s="137"/>
      <c r="T128" s="137"/>
      <c r="U128" s="137"/>
      <c r="V128" s="137"/>
      <c r="W128" s="137"/>
      <c r="X128" s="17"/>
      <c r="Y128" s="17"/>
      <c r="Z128" s="17"/>
      <c r="AA128" s="1476">
        <v>15</v>
      </c>
      <c r="AB128" s="1480" t="s">
        <v>2392</v>
      </c>
      <c r="AC128" s="1481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</row>
    <row r="129" spans="1:45">
      <c r="A129" s="53" t="s">
        <v>1497</v>
      </c>
      <c r="B129" s="80" t="s">
        <v>1498</v>
      </c>
      <c r="C129" s="53" t="str">
        <f>MH!P153</f>
        <v>Right</v>
      </c>
      <c r="D129" s="53" t="str">
        <f>AH!P151</f>
        <v>Right</v>
      </c>
      <c r="E129" s="53" t="s">
        <v>1497</v>
      </c>
      <c r="F129" s="80" t="s">
        <v>1499</v>
      </c>
      <c r="G129" s="53" t="str">
        <f>Selection!G19</f>
        <v>Right</v>
      </c>
      <c r="H129" s="244" t="s">
        <v>2287</v>
      </c>
      <c r="I129" s="1733" t="str">
        <f>IF(C129="Right",IF(G129="Right",IF(H129="Right",IF('E Data'!$D$14&gt;0,IF(D129="Right","","AH Wrong"),""),"LT Wrong"),"CT Wrong"),"MH Wrong")</f>
        <v/>
      </c>
      <c r="Q129" s="137"/>
      <c r="R129" s="137"/>
      <c r="S129" s="137"/>
      <c r="T129" s="137"/>
      <c r="U129" s="137"/>
      <c r="V129" s="137"/>
      <c r="W129" s="137"/>
      <c r="X129" s="17"/>
      <c r="Y129" s="17"/>
      <c r="Z129" s="17"/>
      <c r="AA129" s="1476">
        <v>16</v>
      </c>
      <c r="AB129" s="1477" t="s">
        <v>2393</v>
      </c>
      <c r="AC129" s="1478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</row>
    <row r="130" spans="1:45">
      <c r="A130" s="53"/>
      <c r="B130" s="80"/>
      <c r="C130" s="53"/>
      <c r="D130" s="53"/>
      <c r="L130" s="55" t="e">
        <f>IF(C115="Right",IF(D115="Right",IF(G115="Right",IF(H115="Right","All Basic Correct"))))</f>
        <v>#N/A</v>
      </c>
      <c r="M130" s="22" t="e">
        <f>IF(C115="Right",IF(D115="Right",IF(G115="Right",IF(H115="Right","Correct",H115),G115),D115),C115)</f>
        <v>#N/A</v>
      </c>
      <c r="Q130" s="137"/>
      <c r="R130" s="137"/>
      <c r="S130" s="137"/>
      <c r="T130" s="137"/>
      <c r="U130" s="137"/>
      <c r="V130" s="137"/>
      <c r="W130" s="137"/>
      <c r="X130" s="137"/>
      <c r="Y130" s="17"/>
      <c r="Z130" s="17"/>
      <c r="AA130" s="1476">
        <v>17</v>
      </c>
      <c r="AB130" s="1482" t="s">
        <v>2394</v>
      </c>
      <c r="AC130" s="1478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</row>
    <row r="131" spans="1:45">
      <c r="A131" s="53" t="s">
        <v>1500</v>
      </c>
      <c r="B131" s="80" t="s">
        <v>549</v>
      </c>
      <c r="C131" s="53" t="str">
        <f>MH!L184</f>
        <v>Right</v>
      </c>
      <c r="D131" s="53" t="str">
        <f>AH!L184</f>
        <v>Right</v>
      </c>
      <c r="E131" s="53" t="s">
        <v>1500</v>
      </c>
      <c r="F131" s="80" t="s">
        <v>2461</v>
      </c>
      <c r="G131" s="53" t="str">
        <f>IF('E Data'!I52=2995,"Right",input!D62)</f>
        <v>Right</v>
      </c>
      <c r="H131" s="53" t="str">
        <f>IF(H134="Gear Brake Motor",LT_HP!P38,"Right")</f>
        <v>Right</v>
      </c>
      <c r="I131" s="1733" t="str">
        <f>IF(C131="Right",IF(G131="Right",IF(H131="Right",IF('E Data'!$D$14&gt;0,IF(D131="Right","","AH Wrong"),""),"LT Wrong"),"CT Wrong"),"MH Wrong")</f>
        <v/>
      </c>
      <c r="K131" s="22">
        <f>IF(M131="Right",0,1)</f>
        <v>0</v>
      </c>
      <c r="L131" s="131" t="str">
        <f>IF(K131=1,M131,"")</f>
        <v/>
      </c>
      <c r="M131" s="22" t="str">
        <f>IF(C115="Right","Right","MH "&amp;C115)</f>
        <v>Right</v>
      </c>
      <c r="Q131" s="137"/>
      <c r="R131" s="137"/>
      <c r="S131" s="137"/>
      <c r="T131" s="137"/>
      <c r="U131" s="137"/>
      <c r="V131" s="137"/>
      <c r="W131" s="137"/>
      <c r="X131" s="137"/>
      <c r="Y131" s="17"/>
      <c r="Z131" s="17"/>
      <c r="AA131" s="1476">
        <v>18</v>
      </c>
      <c r="AB131" s="1482" t="s">
        <v>2395</v>
      </c>
      <c r="AC131" s="1478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</row>
    <row r="132" spans="1:45">
      <c r="A132" s="53"/>
      <c r="B132" s="80"/>
      <c r="C132" s="53"/>
      <c r="D132" s="53"/>
      <c r="K132" s="22" t="e">
        <f>IF(M132="Right",0,1)</f>
        <v>#N/A</v>
      </c>
      <c r="L132" s="131" t="e">
        <f>IF(K132=1,M132,"")</f>
        <v>#N/A</v>
      </c>
      <c r="M132" s="22" t="e">
        <f>IF(D115="Right","Right","AH "&amp;D115)</f>
        <v>#N/A</v>
      </c>
      <c r="Q132" s="137"/>
      <c r="R132" s="137"/>
      <c r="S132" s="137"/>
      <c r="T132" s="137"/>
      <c r="U132" s="137"/>
      <c r="V132" s="137"/>
      <c r="W132" s="137"/>
      <c r="X132" s="137"/>
      <c r="Y132" s="17"/>
      <c r="Z132" s="17"/>
      <c r="AA132" s="1476">
        <v>19</v>
      </c>
      <c r="AB132" s="4088" t="s">
        <v>2396</v>
      </c>
      <c r="AC132" s="4078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</row>
    <row r="133" spans="1:45">
      <c r="A133" s="53" t="s">
        <v>1501</v>
      </c>
      <c r="B133" s="80" t="s">
        <v>2283</v>
      </c>
      <c r="C133" s="53" t="str">
        <f>MH!L288</f>
        <v>Right</v>
      </c>
      <c r="D133" s="53" t="str">
        <f>AH!L288</f>
        <v>Right</v>
      </c>
      <c r="G133" s="1737" t="str">
        <f>IF(G119="Right",IF(G121="Right",IF(G123="Right",IF(G125="Right",IF(G127="Right",IF(G129="Right","Right",F129),F127),F125),F123),F121),F119)</f>
        <v>Right</v>
      </c>
      <c r="H133" s="1737" t="str">
        <f>IF(H119="Right",IF(H121="Right",IF(H123="Right",IF(H125="Right",IF(H127="Right",IF(H129="Right",IF(H131="Right","Right",F131),F129),F127),F125),F123),F121),F119)</f>
        <v>Right</v>
      </c>
      <c r="I133" s="1733" t="str">
        <f>IF(C133="Right",IF(D133="Right","","AH Wrong"),"MH Wrong")</f>
        <v/>
      </c>
      <c r="K133" s="22">
        <f>IF(M133="Right",0,1)</f>
        <v>0</v>
      </c>
      <c r="L133" s="131" t="str">
        <f>IF(K133=1,M133,"")</f>
        <v/>
      </c>
      <c r="M133" s="22" t="str">
        <f>IF(G115="Right","Right","CT "&amp;G115)</f>
        <v>Right</v>
      </c>
      <c r="Q133" s="137"/>
      <c r="R133" s="137"/>
      <c r="S133" s="137"/>
      <c r="T133" s="137"/>
      <c r="U133" s="137"/>
      <c r="V133" s="137"/>
      <c r="W133" s="137"/>
      <c r="X133" s="137"/>
      <c r="Y133" s="17"/>
      <c r="Z133" s="17"/>
      <c r="AA133" s="1476">
        <v>20</v>
      </c>
      <c r="AB133" s="1477" t="s">
        <v>2397</v>
      </c>
      <c r="AC133" s="1478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</row>
    <row r="134" spans="1:45">
      <c r="A134" s="53"/>
      <c r="B134" s="80"/>
      <c r="C134" s="53"/>
      <c r="D134" s="53"/>
      <c r="E134" s="1066" t="s">
        <v>1503</v>
      </c>
      <c r="G134" s="187" t="str">
        <f>CT_HP!I39</f>
        <v>Gear Brake Motor</v>
      </c>
      <c r="H134" s="187" t="str">
        <f>LT_HP!I43</f>
        <v>Gear Brake Motor</v>
      </c>
      <c r="K134" s="22">
        <f>IF(M134="Right",0,1)</f>
        <v>0</v>
      </c>
      <c r="L134" s="131" t="str">
        <f>IF(K134=1,M134,"")</f>
        <v/>
      </c>
      <c r="M134" s="22" t="str">
        <f>IF(H115="Right","Right","LT "&amp;H115)</f>
        <v>Right</v>
      </c>
      <c r="Q134" s="137"/>
      <c r="R134" s="137"/>
      <c r="S134" s="137"/>
      <c r="T134" s="137"/>
      <c r="U134" s="137"/>
      <c r="V134" s="137"/>
      <c r="W134" s="137"/>
      <c r="X134" s="137"/>
      <c r="Y134" s="17"/>
      <c r="Z134" s="17"/>
      <c r="AA134" s="1476">
        <v>21</v>
      </c>
      <c r="AB134" s="4075" t="s">
        <v>2398</v>
      </c>
      <c r="AC134" s="4076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</row>
    <row r="135" spans="1:45">
      <c r="A135" s="53" t="s">
        <v>1504</v>
      </c>
      <c r="B135" s="80" t="s">
        <v>2284</v>
      </c>
      <c r="C135" s="53" t="str">
        <f>+C133</f>
        <v>Right</v>
      </c>
      <c r="D135" s="53" t="str">
        <f>AH!L292</f>
        <v>Right</v>
      </c>
      <c r="I135" s="1733"/>
      <c r="K135" s="22" t="e">
        <f>SUM(K131:K134)</f>
        <v>#N/A</v>
      </c>
      <c r="L135" s="22" t="e">
        <f>IF(K135&gt;=1,L131&amp;" "&amp;L132&amp;" "&amp;L133&amp;" "&amp;L134,IF(K135=0,L130))</f>
        <v>#N/A</v>
      </c>
      <c r="Q135" s="137"/>
      <c r="R135" s="137"/>
      <c r="S135" s="137"/>
      <c r="T135" s="137"/>
      <c r="U135" s="137"/>
      <c r="V135" s="137"/>
      <c r="W135" s="137"/>
      <c r="X135" s="137"/>
      <c r="Y135" s="17"/>
      <c r="Z135" s="17"/>
      <c r="AA135" s="1476">
        <v>22</v>
      </c>
      <c r="AB135" s="4075" t="s">
        <v>2399</v>
      </c>
      <c r="AC135" s="4076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</row>
    <row r="136" spans="1:45">
      <c r="A136" s="53"/>
      <c r="B136" s="80"/>
      <c r="C136" s="53"/>
      <c r="D136" s="53"/>
      <c r="E136" s="53" t="s">
        <v>1500</v>
      </c>
      <c r="F136" s="80" t="s">
        <v>1320</v>
      </c>
      <c r="G136" s="53" t="str">
        <f>CT_HP!K75</f>
        <v>Right</v>
      </c>
      <c r="H136" s="53" t="str">
        <f>LT_HP!K79</f>
        <v>Right</v>
      </c>
      <c r="I136" s="1733" t="str">
        <f>IF(C135="Right",IF('E Data'!D14&gt;0,IF(D135="Right",IF(G134="Conventional Motor",IF(G136="Right",IF(H136="Right","","LT Wrong"),"CT Wrong"),""),"AH Wrong"),IF(G134="Conventional Motor",IF(G136="Right",IF(H136="Right","","LT Wrong"),"CT Wrong"),"")),"MH Wrong")</f>
        <v/>
      </c>
      <c r="Q136" s="137"/>
      <c r="R136" s="137"/>
      <c r="S136" s="137"/>
      <c r="T136" s="137"/>
      <c r="U136" s="137"/>
      <c r="V136" s="137"/>
      <c r="W136" s="137"/>
      <c r="X136" s="137"/>
      <c r="Y136" s="17"/>
      <c r="Z136" s="17"/>
      <c r="AA136" s="1476">
        <v>23</v>
      </c>
      <c r="AB136" s="4077" t="s">
        <v>2400</v>
      </c>
      <c r="AC136" s="4078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</row>
    <row r="137" spans="1:45">
      <c r="A137" s="53" t="s">
        <v>1506</v>
      </c>
      <c r="B137" s="80" t="s">
        <v>2285</v>
      </c>
      <c r="C137" s="53" t="str">
        <f>MH!G312</f>
        <v>Right</v>
      </c>
      <c r="D137" s="53" t="str">
        <f>AH!G312</f>
        <v>Right</v>
      </c>
      <c r="E137" s="53"/>
      <c r="F137" s="80"/>
      <c r="G137" s="53"/>
      <c r="H137" s="53"/>
      <c r="K137" s="53">
        <f>COUNTIF(C119:C145,"Right")</f>
        <v>14</v>
      </c>
      <c r="L137" s="53">
        <f>IF(G4&gt;0,COUNTIF(D119:D145,"Right"),14)</f>
        <v>13</v>
      </c>
      <c r="Q137" s="137"/>
      <c r="R137" s="137"/>
      <c r="S137" s="137"/>
      <c r="T137" s="137"/>
      <c r="U137" s="137"/>
      <c r="V137" s="137"/>
      <c r="W137" s="137"/>
      <c r="X137" s="137"/>
      <c r="Y137" s="17"/>
      <c r="Z137" s="17"/>
      <c r="AA137" s="1483"/>
      <c r="AB137" s="1484"/>
      <c r="AC137" s="1484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</row>
    <row r="138" spans="1:45">
      <c r="A138" s="53"/>
      <c r="B138" s="80"/>
      <c r="C138" s="53"/>
      <c r="D138" s="53"/>
      <c r="E138" s="53" t="s">
        <v>1501</v>
      </c>
      <c r="F138" s="80" t="s">
        <v>2283</v>
      </c>
      <c r="G138" s="53" t="str">
        <f>CT_wh!K76</f>
        <v>GBC HP Wrong</v>
      </c>
      <c r="H138" s="53" t="str">
        <f>LT_wh!K74</f>
        <v>GBC HP Wrong</v>
      </c>
      <c r="I138" s="1733" t="str">
        <f>IF(C137="Right",IF('E Data'!D14&gt;0,IF(D137="Right",IF(G134="Conventional Motor",IF(G138="Right",IF(H138="Right","","LT Wrong"),"CT Wrong"),""),"AH Wrong"),IF(G134="Conventional Motor",IF(G138="Right",IF(H138="Right","","LT Wrong"),"CT Wrong"),"")),"MH Wrong")</f>
        <v/>
      </c>
      <c r="K138" s="53">
        <f>COUNTIF(G119:G131,"Right")</f>
        <v>7</v>
      </c>
      <c r="L138" s="53">
        <f>COUNTIF(H119:H131,"Right")</f>
        <v>7</v>
      </c>
      <c r="Q138" s="137"/>
      <c r="R138" s="137"/>
      <c r="S138" s="137"/>
      <c r="T138" s="137"/>
      <c r="U138" s="137"/>
      <c r="V138" s="137"/>
      <c r="W138" s="137"/>
      <c r="X138" s="137"/>
      <c r="Y138" s="17"/>
      <c r="Z138" s="17"/>
      <c r="AA138" s="1485" t="s">
        <v>1471</v>
      </c>
      <c r="AB138" s="1486"/>
      <c r="AC138" s="148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</row>
    <row r="139" spans="1:45">
      <c r="A139" s="53" t="s">
        <v>1507</v>
      </c>
      <c r="B139" s="80" t="s">
        <v>2290</v>
      </c>
      <c r="C139" s="53" t="str">
        <f>+C137</f>
        <v>Right</v>
      </c>
      <c r="D139" s="53" t="e">
        <f>'E Gear B'!EY25</f>
        <v>#N/A</v>
      </c>
      <c r="E139" s="53"/>
      <c r="F139" s="80"/>
      <c r="G139" s="53"/>
      <c r="H139" s="53"/>
      <c r="K139" s="53">
        <f>IF(G134="Gear Brake Motor",6,COUNTIF(G136:G146,"Right"))</f>
        <v>6</v>
      </c>
      <c r="L139" s="53">
        <f>IF(H134="Gear Brake Motor",6,COUNTIF(H136:H146,"Right"))</f>
        <v>6</v>
      </c>
      <c r="Q139" s="137"/>
      <c r="R139" s="137"/>
      <c r="S139" s="137"/>
      <c r="T139" s="137"/>
      <c r="U139" s="137"/>
      <c r="V139" s="137"/>
      <c r="W139" s="137"/>
      <c r="X139" s="137"/>
      <c r="Y139" s="17"/>
      <c r="Z139" s="17"/>
      <c r="AA139" s="1488" t="s">
        <v>1488</v>
      </c>
      <c r="AB139" s="1489" t="s">
        <v>2401</v>
      </c>
      <c r="AC139" s="148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</row>
    <row r="140" spans="1:45">
      <c r="A140" s="53"/>
      <c r="B140" s="80"/>
      <c r="C140" s="53"/>
      <c r="D140" s="53"/>
      <c r="E140" s="53" t="s">
        <v>1504</v>
      </c>
      <c r="F140" s="80" t="s">
        <v>2284</v>
      </c>
      <c r="G140" s="53" t="str">
        <f>CT_wh!K80</f>
        <v>GB Frame Wrong</v>
      </c>
      <c r="H140" s="53" t="e">
        <f>LT_wh!K78</f>
        <v>#N/A</v>
      </c>
      <c r="I140" s="1733" t="e">
        <f>IF(C139="Right",IF('E Data'!D14&gt;0,IF(D139="Right",IF(G134="Conventional Motor",IF(G140="Right",IF(H140="Right","","LT Wrong"),"CT Wrong"),""),"AH Wrong"),IF(G134="Conventional Motor",IF(G140="Right",IF(H140="Right","","LT Wrong"),"CT Wrong"),"")),"MH Wrong")</f>
        <v>#N/A</v>
      </c>
      <c r="K140" s="53">
        <f>+K138+K139</f>
        <v>13</v>
      </c>
      <c r="L140" s="53">
        <f>+L138+L139</f>
        <v>13</v>
      </c>
      <c r="Q140" s="137"/>
      <c r="R140" s="137"/>
      <c r="S140" s="137"/>
      <c r="T140" s="137"/>
      <c r="U140" s="137"/>
      <c r="V140" s="137"/>
      <c r="W140" s="137"/>
      <c r="X140" s="137"/>
      <c r="Y140" s="17"/>
      <c r="Z140" s="17"/>
      <c r="AA140" s="1490" t="s">
        <v>1491</v>
      </c>
      <c r="AB140" s="4079" t="s">
        <v>2402</v>
      </c>
      <c r="AC140" s="4079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</row>
    <row r="141" spans="1:45">
      <c r="A141" s="53" t="s">
        <v>1509</v>
      </c>
      <c r="B141" s="80" t="s">
        <v>2286</v>
      </c>
      <c r="C141" s="53" t="s">
        <v>2287</v>
      </c>
      <c r="D141" s="53" t="s">
        <v>2287</v>
      </c>
      <c r="E141" s="53"/>
      <c r="F141" s="80"/>
      <c r="G141" s="53"/>
      <c r="H141" s="53"/>
      <c r="K141" s="1738">
        <f>+K137+L137+K140+L140</f>
        <v>53</v>
      </c>
      <c r="L141" s="1739" t="s">
        <v>2544</v>
      </c>
      <c r="Q141" s="137"/>
      <c r="R141" s="137"/>
      <c r="S141" s="137"/>
      <c r="T141" s="137"/>
      <c r="U141" s="137"/>
      <c r="V141" s="137"/>
      <c r="W141" s="137"/>
      <c r="X141" s="137"/>
      <c r="Y141" s="17"/>
      <c r="Z141" s="17"/>
      <c r="AA141" s="1491"/>
      <c r="AB141" s="1492"/>
      <c r="AC141" s="148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</row>
    <row r="142" spans="1:45">
      <c r="A142" s="53"/>
      <c r="B142" s="80"/>
      <c r="C142" s="53"/>
      <c r="D142" s="53"/>
      <c r="E142" s="53" t="s">
        <v>1506</v>
      </c>
      <c r="F142" s="80" t="s">
        <v>2285</v>
      </c>
      <c r="G142" s="53" t="str">
        <f>CT_wh!AA64</f>
        <v>Right</v>
      </c>
      <c r="H142" s="53" t="str">
        <f>LT_wh!AA75</f>
        <v>Right</v>
      </c>
      <c r="I142" s="1733" t="str">
        <f>IF(C141="Right",IF('E Data'!D14&gt;0,IF(D141="Right",IF(G134="Conventional Motor",IF(G142="Right",IF(H142="Right","","LT Wrong"),"CT Wrong"),""),"AH Wrong"),IF(G134="Conventional Motor",IF(G142="Right",IF(H142="Right","","LT Wrong"),"CT Wrong"),"")),"MH Wrong")</f>
        <v/>
      </c>
      <c r="K142" s="53"/>
      <c r="L142" s="753">
        <f>54-K141</f>
        <v>1</v>
      </c>
      <c r="Q142" s="137"/>
      <c r="R142" s="137"/>
      <c r="S142" s="137"/>
      <c r="T142" s="137"/>
      <c r="U142" s="137"/>
      <c r="V142" s="137"/>
      <c r="W142" s="137"/>
      <c r="X142" s="137"/>
      <c r="Y142" s="17"/>
      <c r="Z142" s="17"/>
      <c r="AA142" s="1493" t="s">
        <v>2715</v>
      </c>
      <c r="AB142" s="1492"/>
      <c r="AC142" s="1492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</row>
    <row r="143" spans="1:45">
      <c r="A143" s="53" t="s">
        <v>1511</v>
      </c>
      <c r="B143" s="80" t="s">
        <v>2286</v>
      </c>
      <c r="C143" s="53" t="s">
        <v>2287</v>
      </c>
      <c r="D143" s="53" t="s">
        <v>2287</v>
      </c>
      <c r="E143" s="53"/>
      <c r="F143" s="80"/>
      <c r="G143" s="53"/>
      <c r="H143" s="53"/>
      <c r="Q143" s="137"/>
      <c r="R143" s="137"/>
      <c r="S143" s="137"/>
      <c r="T143" s="137"/>
      <c r="U143" s="137"/>
      <c r="V143" s="137"/>
      <c r="W143" s="137"/>
      <c r="X143" s="137"/>
      <c r="Y143" s="17"/>
      <c r="Z143" s="17"/>
      <c r="AA143" s="1493"/>
      <c r="AB143" s="1492"/>
      <c r="AC143" s="1492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</row>
    <row r="144" spans="1:45">
      <c r="A144" s="53"/>
      <c r="B144" s="80"/>
      <c r="C144" s="53"/>
      <c r="D144" s="53"/>
      <c r="E144" s="53" t="s">
        <v>1507</v>
      </c>
      <c r="F144" s="80" t="s">
        <v>2290</v>
      </c>
      <c r="G144" s="53" t="str">
        <f>'E CT_LT'!AB24</f>
        <v>Right</v>
      </c>
      <c r="H144" s="53" t="str">
        <f>'E CT_LT'!EX24</f>
        <v>Right</v>
      </c>
      <c r="I144" s="1733" t="str">
        <f>IF(C143="Right",IF('E Data'!D14&gt;0,IF(D143="Right",IF(G134="Conventional Motor",IF(G144="Right",IF(H144="Right","","LT Wrong"),"CT Wrong"),""),"AH Wrong"),IF(G134="Conventional Motor",IF(G144="Right",IF(H144="Right","","LT Wrong"),"CT Wrong"),"")),"MH Wrong")</f>
        <v/>
      </c>
      <c r="Q144" s="137"/>
      <c r="R144" s="137"/>
      <c r="S144" s="137"/>
      <c r="T144" s="137"/>
      <c r="U144" s="137"/>
      <c r="V144" s="137"/>
      <c r="W144" s="137"/>
      <c r="X144" s="137"/>
      <c r="Y144" s="17"/>
      <c r="Z144" s="17"/>
      <c r="AA144" s="1493"/>
      <c r="AB144" s="1492"/>
      <c r="AC144" s="1492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</row>
    <row r="145" spans="1:45">
      <c r="A145" s="53" t="s">
        <v>1512</v>
      </c>
      <c r="B145" s="80" t="s">
        <v>2286</v>
      </c>
      <c r="C145" s="53" t="s">
        <v>2287</v>
      </c>
      <c r="D145" s="53" t="s">
        <v>2287</v>
      </c>
      <c r="E145" s="53"/>
      <c r="F145" s="80"/>
      <c r="G145" s="53"/>
      <c r="H145" s="53"/>
      <c r="Q145" s="137"/>
      <c r="R145" s="137"/>
      <c r="S145" s="137"/>
      <c r="T145" s="137"/>
      <c r="U145" s="137"/>
      <c r="V145" s="137"/>
      <c r="W145" s="137"/>
      <c r="X145" s="137"/>
      <c r="Y145" s="17"/>
      <c r="Z145" s="17"/>
      <c r="AA145" s="1493"/>
      <c r="AB145" s="1494"/>
      <c r="AC145" s="1494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</row>
    <row r="146" spans="1:45">
      <c r="A146" s="53"/>
      <c r="B146" s="80"/>
      <c r="C146" s="53"/>
      <c r="D146" s="53"/>
      <c r="E146" s="53" t="s">
        <v>1509</v>
      </c>
      <c r="F146" s="80" t="s">
        <v>2286</v>
      </c>
      <c r="G146" s="53" t="s">
        <v>2287</v>
      </c>
      <c r="H146" s="53" t="s">
        <v>2287</v>
      </c>
      <c r="I146" s="1733" t="str">
        <f>IF(C145="Right",IF('E Data'!D14&gt;0,IF(D145="Right",IF(G134="Conventional Motor",IF(G146="Right",IF(H146="Right","","LT Wrong"),"CT Wrong"),""),"AH Wrong"),IF(G134="Conventional Motor",IF(G146="Right",IF(H146="Right","","LT Wrong"),"CT Wrong"),"")),"MH Wrong")</f>
        <v/>
      </c>
      <c r="Q146" s="137"/>
      <c r="R146" s="137"/>
      <c r="S146" s="137"/>
      <c r="T146" s="137"/>
      <c r="U146" s="137"/>
      <c r="V146" s="137"/>
      <c r="W146" s="137"/>
      <c r="X146" s="17"/>
      <c r="Y146" s="17"/>
      <c r="Z146" s="17"/>
      <c r="AA146" s="1493"/>
      <c r="AB146" s="1492"/>
      <c r="AC146" s="1492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</row>
    <row r="147" spans="1:45">
      <c r="A147" s="53"/>
      <c r="B147" s="80"/>
      <c r="C147" s="1737" t="str">
        <f>IF(C121="Right",IF(C123="Right",IF(C125="Right",IF(C127="Right",IF(C129="Right",IF(C131="Right",IF(C133="Right",IF(C135="Right",IF(C137="Right",IF(C139="Right",IF(C141="Right",IF(C143="Right",IF(C119="Right",IF(C145="Right","Right",B145),B119),B143),B141),B139),B137),B135),B133),B131),B129),B127),B125),B123),B121)</f>
        <v>Right</v>
      </c>
      <c r="D147" s="1737" t="e">
        <f>IF(D121="Right",IF(D123="Right",IF(D125="Right",IF(D127="Right",IF(D129="Right",IF(D131="Right",IF(D133="Right",IF(D135="Right",IF(D137="Right",IF(D139="Right",IF(D141="Right",IF(D143="Right",IF(D119="Right",IF(D145="Right","Right",B145),B119),B143),B141),B139),B137),B135),B133),B131),B129),B127),B125),B123),B121)</f>
        <v>#N/A</v>
      </c>
      <c r="F147" s="80"/>
      <c r="G147" s="53"/>
      <c r="H147" s="53"/>
      <c r="Q147" s="137"/>
      <c r="R147" s="137"/>
      <c r="S147" s="137"/>
      <c r="T147" s="137"/>
      <c r="U147" s="137"/>
      <c r="V147" s="137"/>
      <c r="W147" s="13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</row>
    <row r="148" spans="1:45">
      <c r="A148" s="53"/>
      <c r="B148" s="80"/>
      <c r="E148" s="53"/>
      <c r="F148" s="80"/>
      <c r="G148" s="1737" t="str">
        <f>IF(G136="Right",IF(G138="Right",IF(G140="Right",IF(G142="Right",IF(G144="Right",IF(G146="Right","Right",F146),F144),F142),F140),F138),F136)</f>
        <v>GB Calculation</v>
      </c>
      <c r="H148" s="1737" t="str">
        <f>IF(H136="Right",IF(H138="Right",IF(H140="Right",IF(H142="Right",IF(H144="Right",IF(H146="Right","Right",F146),F144),F142),F140),F138),F136)</f>
        <v>GB Calculation</v>
      </c>
      <c r="Q148" s="137"/>
      <c r="R148" s="137"/>
      <c r="S148" s="137"/>
      <c r="T148" s="137"/>
      <c r="U148" s="137"/>
      <c r="V148" s="137"/>
      <c r="W148" s="13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</row>
    <row r="149" spans="1:45">
      <c r="A149" s="53"/>
      <c r="B149" s="80"/>
      <c r="C149" s="53"/>
      <c r="D149" s="53"/>
      <c r="Q149" s="137"/>
      <c r="R149" s="137"/>
      <c r="S149" s="137"/>
      <c r="T149" s="137"/>
      <c r="U149" s="137"/>
      <c r="V149" s="137"/>
      <c r="W149" s="13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</row>
    <row r="150" spans="1:45">
      <c r="A150" s="53"/>
      <c r="B150" s="53"/>
      <c r="E150" s="53"/>
      <c r="F150" s="80"/>
      <c r="Q150" s="137"/>
      <c r="R150" s="137"/>
      <c r="S150" s="137"/>
      <c r="T150" s="137"/>
      <c r="U150" s="137"/>
      <c r="V150" s="137"/>
      <c r="W150" s="13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</row>
    <row r="151" spans="1:45">
      <c r="A151" s="53"/>
      <c r="B151" s="53"/>
      <c r="C151" s="53"/>
      <c r="D151" s="53"/>
      <c r="E151" s="53"/>
      <c r="F151" s="53"/>
      <c r="G151" s="1740"/>
      <c r="H151" s="53"/>
      <c r="Q151" s="137"/>
      <c r="R151" s="137"/>
      <c r="S151" s="137"/>
      <c r="T151" s="137"/>
      <c r="U151" s="137"/>
      <c r="V151" s="137"/>
      <c r="W151" s="13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</row>
    <row r="152" spans="1:45">
      <c r="A152" s="53"/>
      <c r="B152" s="53"/>
      <c r="E152" s="53"/>
      <c r="F152" s="53"/>
      <c r="Q152" s="137"/>
      <c r="R152" s="137"/>
      <c r="S152" s="137"/>
      <c r="T152" s="137"/>
      <c r="U152" s="137"/>
      <c r="V152" s="137"/>
      <c r="W152" s="13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</row>
    <row r="153" spans="1:45">
      <c r="A153" s="53"/>
      <c r="B153" s="53"/>
      <c r="D153" s="53"/>
      <c r="E153" s="53"/>
      <c r="F153" s="53"/>
      <c r="Q153" s="137"/>
      <c r="R153" s="137"/>
      <c r="S153" s="137"/>
      <c r="T153" s="137"/>
      <c r="U153" s="137"/>
      <c r="V153" s="137"/>
      <c r="W153" s="13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</row>
    <row r="154" spans="1:45">
      <c r="A154" s="53"/>
      <c r="B154" s="53"/>
      <c r="F154" s="53"/>
      <c r="Q154" s="137"/>
      <c r="R154" s="137"/>
      <c r="S154" s="137"/>
      <c r="T154" s="137"/>
      <c r="U154" s="137"/>
      <c r="V154" s="137"/>
      <c r="W154" s="13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</row>
    <row r="155" spans="1:45">
      <c r="A155" s="53"/>
      <c r="B155" s="53"/>
      <c r="C155" s="53"/>
      <c r="F155" s="53"/>
      <c r="Q155" s="137"/>
      <c r="R155" s="137"/>
      <c r="S155" s="137"/>
      <c r="T155" s="137"/>
      <c r="U155" s="137"/>
      <c r="V155" s="137"/>
      <c r="W155" s="13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</row>
    <row r="156" spans="1:45">
      <c r="A156" s="53"/>
      <c r="B156" s="53"/>
      <c r="C156" s="53"/>
      <c r="D156" s="53"/>
      <c r="E156" s="53"/>
      <c r="F156" s="53"/>
      <c r="Q156" s="137"/>
      <c r="R156" s="137"/>
      <c r="S156" s="137"/>
      <c r="T156" s="137"/>
      <c r="U156" s="137"/>
      <c r="V156" s="137"/>
      <c r="W156" s="13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</row>
    <row r="157" spans="1:45">
      <c r="A157" s="53"/>
      <c r="B157" s="53"/>
      <c r="C157" s="53"/>
      <c r="D157" s="53"/>
      <c r="E157" s="53"/>
      <c r="F157" s="53"/>
      <c r="Q157" s="137"/>
      <c r="R157" s="137"/>
      <c r="S157" s="137"/>
      <c r="T157" s="137"/>
      <c r="U157" s="137"/>
      <c r="V157" s="137"/>
      <c r="W157" s="137"/>
      <c r="X157" s="13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</row>
    <row r="158" spans="1:45">
      <c r="A158" s="53"/>
      <c r="B158" s="53"/>
      <c r="C158" s="53"/>
      <c r="D158" s="53"/>
      <c r="E158" s="53"/>
      <c r="F158" s="53"/>
      <c r="Q158" s="137"/>
      <c r="R158" s="137"/>
      <c r="S158" s="137"/>
      <c r="T158" s="137"/>
      <c r="U158" s="137"/>
      <c r="V158" s="137"/>
      <c r="W158" s="137"/>
      <c r="X158" s="13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</row>
    <row r="159" spans="1:45">
      <c r="E159" s="53"/>
      <c r="F159" s="53"/>
      <c r="G159" s="53"/>
      <c r="Q159" s="137"/>
      <c r="R159" s="137"/>
      <c r="S159" s="137"/>
      <c r="T159" s="137"/>
      <c r="U159" s="137"/>
      <c r="V159" s="137"/>
      <c r="W159" s="137"/>
      <c r="X159" s="13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</row>
    <row r="160" spans="1:45">
      <c r="B160" s="53"/>
      <c r="C160" s="53"/>
      <c r="D160" s="53"/>
      <c r="E160" s="53"/>
      <c r="F160" s="53"/>
      <c r="G160" s="53"/>
      <c r="H160" s="53"/>
      <c r="Q160" s="137"/>
      <c r="R160" s="137"/>
      <c r="S160" s="137"/>
      <c r="T160" s="137"/>
      <c r="U160" s="137"/>
      <c r="V160" s="137"/>
      <c r="W160" s="137"/>
      <c r="X160" s="13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</row>
    <row r="161" spans="1:45">
      <c r="B161" s="53"/>
      <c r="C161" s="53"/>
      <c r="D161" s="53"/>
      <c r="E161" s="53"/>
      <c r="F161" s="53"/>
      <c r="G161" s="53"/>
      <c r="H161" s="53"/>
      <c r="Q161" s="137"/>
      <c r="R161" s="137"/>
      <c r="S161" s="137"/>
      <c r="T161" s="137"/>
      <c r="U161" s="137"/>
      <c r="V161" s="137"/>
      <c r="W161" s="13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</row>
    <row r="162" spans="1:45">
      <c r="A162" s="53"/>
      <c r="B162" s="53"/>
      <c r="C162" s="53"/>
      <c r="D162" s="53"/>
      <c r="E162" s="53"/>
      <c r="F162" s="53"/>
      <c r="G162" s="53"/>
      <c r="H162" s="53"/>
      <c r="Q162" s="137"/>
      <c r="R162" s="137"/>
      <c r="S162" s="137"/>
      <c r="T162" s="137"/>
      <c r="U162" s="137"/>
      <c r="V162" s="137"/>
      <c r="W162" s="137"/>
      <c r="X162" s="13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</row>
    <row r="163" spans="1:45">
      <c r="A163" s="53"/>
      <c r="B163" s="53"/>
      <c r="C163" s="53"/>
      <c r="D163" s="53"/>
      <c r="E163" s="53"/>
      <c r="F163" s="53"/>
      <c r="G163" s="53"/>
      <c r="H163" s="53"/>
      <c r="Q163" s="137"/>
      <c r="R163" s="137"/>
      <c r="S163" s="137"/>
      <c r="T163" s="137"/>
      <c r="U163" s="137"/>
      <c r="V163" s="137"/>
      <c r="W163" s="137"/>
      <c r="X163" s="13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</row>
    <row r="164" spans="1:45">
      <c r="Q164" s="137"/>
      <c r="R164" s="137"/>
      <c r="S164" s="137"/>
      <c r="T164" s="137"/>
      <c r="U164" s="137"/>
      <c r="V164" s="137"/>
      <c r="W164" s="137"/>
      <c r="X164" s="13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</row>
    <row r="165" spans="1:45">
      <c r="Q165" s="137"/>
      <c r="R165" s="137"/>
      <c r="S165" s="137"/>
      <c r="T165" s="137"/>
      <c r="U165" s="137"/>
      <c r="V165" s="137"/>
      <c r="W165" s="137"/>
      <c r="X165" s="13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</row>
    <row r="166" spans="1:45">
      <c r="Q166" s="137"/>
      <c r="R166" s="137"/>
      <c r="S166" s="137"/>
      <c r="T166" s="137"/>
      <c r="U166" s="137"/>
      <c r="V166" s="137"/>
      <c r="W166" s="137"/>
      <c r="X166" s="13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</row>
    <row r="167" spans="1:45">
      <c r="Q167" s="137"/>
      <c r="R167" s="137"/>
      <c r="S167" s="137"/>
      <c r="T167" s="137"/>
      <c r="U167" s="137"/>
      <c r="V167" s="137"/>
      <c r="W167" s="137"/>
      <c r="X167" s="13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</row>
    <row r="168" spans="1:45">
      <c r="Q168" s="137"/>
      <c r="R168" s="137"/>
      <c r="S168" s="137"/>
      <c r="T168" s="137"/>
      <c r="U168" s="137"/>
      <c r="V168" s="137"/>
      <c r="W168" s="137"/>
      <c r="X168" s="13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</row>
    <row r="169" spans="1:45">
      <c r="Q169" s="137"/>
      <c r="R169" s="137"/>
      <c r="S169" s="137"/>
      <c r="T169" s="137"/>
      <c r="U169" s="137"/>
      <c r="V169" s="137"/>
      <c r="W169" s="137"/>
      <c r="X169" s="13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</row>
    <row r="170" spans="1:45">
      <c r="Q170" s="137"/>
      <c r="R170" s="137"/>
      <c r="S170" s="137"/>
      <c r="T170" s="137"/>
      <c r="U170" s="137"/>
      <c r="V170" s="137"/>
      <c r="W170" s="137"/>
      <c r="X170" s="13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</row>
    <row r="171" spans="1:45">
      <c r="Q171" s="137"/>
      <c r="R171" s="137"/>
      <c r="S171" s="137"/>
      <c r="T171" s="137"/>
      <c r="U171" s="137"/>
      <c r="V171" s="137"/>
      <c r="W171" s="137"/>
      <c r="X171" s="13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</row>
    <row r="172" spans="1:45">
      <c r="Q172" s="137"/>
      <c r="R172" s="137"/>
      <c r="S172" s="137"/>
      <c r="T172" s="137"/>
      <c r="U172" s="137"/>
      <c r="V172" s="137"/>
      <c r="W172" s="137"/>
      <c r="X172" s="13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</row>
    <row r="173" spans="1:45">
      <c r="Q173" s="137"/>
      <c r="R173" s="137"/>
      <c r="S173" s="137"/>
      <c r="T173" s="137"/>
      <c r="U173" s="137"/>
      <c r="V173" s="137"/>
      <c r="W173" s="137"/>
      <c r="X173" s="13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</row>
    <row r="174" spans="1:45">
      <c r="H174" s="137"/>
      <c r="I174" s="1741"/>
      <c r="J174" s="17"/>
      <c r="K174" s="137"/>
      <c r="L174" s="137"/>
      <c r="M174" s="137"/>
      <c r="N174" s="137"/>
      <c r="O174" s="137"/>
      <c r="P174" s="137"/>
      <c r="Q174" s="137"/>
      <c r="R174" s="137"/>
      <c r="S174" s="137"/>
      <c r="T174" s="137"/>
      <c r="U174" s="137"/>
      <c r="V174" s="137"/>
      <c r="W174" s="137"/>
      <c r="X174" s="13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</row>
    <row r="175" spans="1:45">
      <c r="H175" s="137"/>
      <c r="I175" s="87"/>
      <c r="J175" s="17"/>
      <c r="K175" s="137"/>
      <c r="L175" s="137"/>
      <c r="M175" s="137"/>
      <c r="N175" s="137"/>
      <c r="O175" s="137"/>
      <c r="P175" s="137"/>
      <c r="Q175" s="137"/>
      <c r="R175" s="137"/>
      <c r="S175" s="137"/>
      <c r="T175" s="137"/>
      <c r="U175" s="137"/>
      <c r="V175" s="137"/>
      <c r="W175" s="137"/>
      <c r="X175" s="13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</row>
    <row r="176" spans="1:45">
      <c r="H176" s="137"/>
      <c r="I176" s="87"/>
      <c r="J176" s="17"/>
      <c r="K176" s="137"/>
      <c r="L176" s="137"/>
      <c r="M176" s="137"/>
      <c r="N176" s="137"/>
      <c r="O176" s="137"/>
      <c r="P176" s="137"/>
      <c r="Q176" s="137"/>
      <c r="R176" s="137"/>
      <c r="S176" s="137"/>
      <c r="T176" s="137"/>
      <c r="U176" s="137"/>
      <c r="V176" s="137"/>
      <c r="W176" s="137"/>
      <c r="X176" s="13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</row>
    <row r="177" spans="1:45">
      <c r="H177" s="137"/>
      <c r="I177" s="87"/>
      <c r="J177" s="17"/>
      <c r="K177" s="137"/>
      <c r="L177" s="137"/>
      <c r="M177" s="137"/>
      <c r="N177" s="137"/>
      <c r="O177" s="137"/>
      <c r="P177" s="137"/>
      <c r="Q177" s="137"/>
      <c r="R177" s="137"/>
      <c r="S177" s="137"/>
      <c r="T177" s="137"/>
      <c r="U177" s="137"/>
      <c r="V177" s="137"/>
      <c r="W177" s="137"/>
      <c r="X177" s="13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</row>
    <row r="178" spans="1:45">
      <c r="H178" s="137"/>
      <c r="I178" s="87"/>
      <c r="J178" s="83"/>
      <c r="K178" s="137"/>
      <c r="L178" s="137"/>
      <c r="M178" s="137"/>
      <c r="N178" s="137"/>
      <c r="O178" s="137"/>
      <c r="P178" s="137"/>
      <c r="Q178" s="137"/>
      <c r="R178" s="137"/>
      <c r="S178" s="137"/>
      <c r="T178" s="137"/>
      <c r="U178" s="137"/>
      <c r="V178" s="137"/>
      <c r="W178" s="13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</row>
    <row r="179" spans="1:45">
      <c r="H179" s="137"/>
      <c r="I179" s="87"/>
      <c r="J179" s="83"/>
      <c r="K179" s="137"/>
      <c r="L179" s="137"/>
      <c r="M179" s="87"/>
      <c r="N179" s="87"/>
      <c r="O179" s="87"/>
      <c r="P179" s="87"/>
      <c r="Q179" s="87"/>
      <c r="R179" s="87"/>
      <c r="S179" s="87"/>
      <c r="T179" s="137"/>
      <c r="U179" s="137"/>
      <c r="V179" s="137"/>
      <c r="W179" s="137"/>
      <c r="X179" s="13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</row>
    <row r="180" spans="1:45">
      <c r="H180" s="137"/>
      <c r="I180" s="87"/>
      <c r="J180" s="83"/>
      <c r="K180" s="137"/>
      <c r="L180" s="137"/>
      <c r="M180" s="87"/>
      <c r="N180" s="87"/>
      <c r="O180" s="87"/>
      <c r="P180" s="87"/>
      <c r="Q180" s="87"/>
      <c r="R180" s="87"/>
      <c r="S180" s="87"/>
      <c r="T180" s="137"/>
      <c r="U180" s="137"/>
      <c r="V180" s="137"/>
      <c r="W180" s="137"/>
      <c r="X180" s="13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</row>
    <row r="181" spans="1:45">
      <c r="H181" s="137"/>
      <c r="I181" s="87"/>
      <c r="J181" s="83"/>
      <c r="K181" s="137"/>
      <c r="L181" s="137"/>
      <c r="M181" s="87"/>
      <c r="N181" s="87"/>
      <c r="O181" s="87"/>
      <c r="P181" s="87"/>
      <c r="Q181" s="87"/>
      <c r="R181" s="87"/>
      <c r="S181" s="87"/>
      <c r="T181" s="137"/>
      <c r="U181" s="137"/>
      <c r="V181" s="137"/>
      <c r="W181" s="137"/>
      <c r="X181" s="13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</row>
    <row r="182" spans="1:45">
      <c r="H182" s="137"/>
      <c r="I182" s="87"/>
      <c r="J182" s="83"/>
      <c r="K182" s="137"/>
      <c r="L182" s="137"/>
      <c r="M182" s="87"/>
      <c r="N182" s="87"/>
      <c r="O182" s="87"/>
      <c r="P182" s="87"/>
      <c r="Q182" s="87"/>
      <c r="R182" s="87"/>
      <c r="S182" s="87"/>
      <c r="T182" s="137"/>
      <c r="U182" s="137"/>
      <c r="V182" s="137"/>
      <c r="W182" s="137"/>
      <c r="X182" s="13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</row>
    <row r="183" spans="1:45">
      <c r="H183" s="137"/>
      <c r="I183" s="87"/>
      <c r="J183" s="83"/>
      <c r="K183" s="137"/>
      <c r="L183" s="137"/>
      <c r="M183" s="87"/>
      <c r="N183" s="87"/>
      <c r="O183" s="87"/>
      <c r="P183" s="87"/>
      <c r="Q183" s="87"/>
      <c r="R183" s="87"/>
      <c r="S183" s="87"/>
      <c r="T183" s="137"/>
      <c r="U183" s="137"/>
      <c r="V183" s="137"/>
      <c r="W183" s="137"/>
      <c r="X183" s="13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</row>
    <row r="184" spans="1:45">
      <c r="H184" s="137"/>
      <c r="I184" s="87"/>
      <c r="J184" s="83"/>
      <c r="K184" s="137"/>
      <c r="L184" s="137"/>
      <c r="M184" s="87"/>
      <c r="N184" s="87"/>
      <c r="O184" s="87"/>
      <c r="P184" s="87"/>
      <c r="Q184" s="87"/>
      <c r="R184" s="87"/>
      <c r="S184" s="87"/>
      <c r="T184" s="137"/>
      <c r="U184" s="137"/>
      <c r="V184" s="137"/>
      <c r="W184" s="137"/>
      <c r="X184" s="13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</row>
    <row r="185" spans="1:45">
      <c r="H185" s="137"/>
      <c r="I185" s="87"/>
      <c r="J185" s="83"/>
      <c r="K185" s="137"/>
      <c r="L185" s="137"/>
      <c r="M185" s="87"/>
      <c r="N185" s="87"/>
      <c r="O185" s="87"/>
      <c r="P185" s="87"/>
      <c r="Q185" s="87"/>
      <c r="R185" s="87"/>
      <c r="S185" s="87"/>
      <c r="T185" s="137"/>
      <c r="U185" s="137"/>
      <c r="V185" s="137"/>
      <c r="W185" s="137"/>
      <c r="X185" s="13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</row>
    <row r="186" spans="1:45">
      <c r="H186" s="137"/>
      <c r="I186" s="87"/>
      <c r="J186" s="83"/>
      <c r="K186" s="137"/>
      <c r="L186" s="137"/>
      <c r="M186" s="87"/>
      <c r="N186" s="87"/>
      <c r="O186" s="87"/>
      <c r="P186" s="87"/>
      <c r="Q186" s="87"/>
      <c r="R186" s="87"/>
      <c r="S186" s="87"/>
      <c r="T186" s="137"/>
      <c r="U186" s="137"/>
      <c r="V186" s="137"/>
      <c r="W186" s="137"/>
      <c r="X186" s="13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</row>
    <row r="187" spans="1:45">
      <c r="H187" s="137"/>
      <c r="I187" s="87"/>
      <c r="J187" s="83"/>
      <c r="K187" s="137"/>
      <c r="L187" s="137"/>
      <c r="M187" s="87"/>
      <c r="N187" s="87"/>
      <c r="O187" s="87"/>
      <c r="P187" s="87"/>
      <c r="Q187" s="87"/>
      <c r="R187" s="87"/>
      <c r="S187" s="87"/>
      <c r="T187" s="137"/>
      <c r="U187" s="137"/>
      <c r="V187" s="137"/>
      <c r="W187" s="137"/>
      <c r="X187" s="13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</row>
    <row r="188" spans="1:45">
      <c r="H188" s="137"/>
      <c r="I188" s="87"/>
      <c r="J188" s="83"/>
      <c r="K188" s="137"/>
      <c r="L188" s="137"/>
      <c r="M188" s="137"/>
      <c r="N188" s="137"/>
      <c r="O188" s="137"/>
      <c r="P188" s="137"/>
      <c r="Q188" s="137"/>
      <c r="R188" s="137"/>
      <c r="S188" s="137"/>
      <c r="T188" s="137"/>
      <c r="U188" s="137"/>
      <c r="V188" s="137"/>
      <c r="W188" s="13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</row>
    <row r="189" spans="1:45">
      <c r="A189" s="137"/>
      <c r="B189" s="137"/>
      <c r="C189" s="137"/>
      <c r="D189" s="137"/>
      <c r="E189" s="137"/>
      <c r="F189" s="137"/>
      <c r="G189" s="137"/>
      <c r="H189" s="137"/>
      <c r="I189" s="87"/>
      <c r="J189" s="83"/>
      <c r="K189" s="137"/>
      <c r="L189" s="137"/>
      <c r="M189" s="137"/>
      <c r="N189" s="137"/>
      <c r="O189" s="137"/>
      <c r="P189" s="137"/>
      <c r="Q189" s="137"/>
      <c r="R189" s="137"/>
      <c r="S189" s="137"/>
      <c r="T189" s="137"/>
      <c r="U189" s="137"/>
      <c r="V189" s="137"/>
      <c r="W189" s="13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</row>
    <row r="190" spans="1:45">
      <c r="A190" s="137"/>
      <c r="B190" s="137"/>
      <c r="C190" s="137"/>
      <c r="D190" s="137"/>
      <c r="E190" s="137"/>
      <c r="F190" s="137"/>
      <c r="G190" s="137"/>
      <c r="H190" s="137"/>
      <c r="I190" s="87"/>
      <c r="J190" s="83"/>
      <c r="K190" s="137"/>
      <c r="L190" s="137"/>
      <c r="M190" s="137"/>
      <c r="N190" s="137"/>
      <c r="O190" s="137"/>
      <c r="P190" s="137"/>
      <c r="Q190" s="137"/>
      <c r="R190" s="137"/>
      <c r="S190" s="137"/>
      <c r="T190" s="137"/>
      <c r="U190" s="137"/>
      <c r="V190" s="137"/>
      <c r="W190" s="13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</row>
    <row r="191" spans="1:45">
      <c r="A191" s="137"/>
      <c r="B191" s="137"/>
      <c r="C191" s="137"/>
      <c r="D191" s="137"/>
      <c r="E191" s="137"/>
      <c r="F191" s="137"/>
      <c r="G191" s="137"/>
      <c r="H191" s="137"/>
      <c r="I191" s="87"/>
      <c r="J191" s="83"/>
      <c r="K191" s="137"/>
      <c r="L191" s="137"/>
      <c r="M191" s="137"/>
      <c r="N191" s="137"/>
      <c r="O191" s="137"/>
      <c r="P191" s="137"/>
      <c r="Q191" s="137"/>
      <c r="R191" s="137"/>
      <c r="S191" s="137"/>
      <c r="T191" s="137"/>
      <c r="U191" s="137"/>
      <c r="V191" s="137"/>
      <c r="W191" s="13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</row>
  </sheetData>
  <mergeCells count="169">
    <mergeCell ref="BC27:BH27"/>
    <mergeCell ref="BC28:BH28"/>
    <mergeCell ref="BC38:BH38"/>
    <mergeCell ref="AS55:AV55"/>
    <mergeCell ref="AW55:BB55"/>
    <mergeCell ref="AS56:AV56"/>
    <mergeCell ref="AW56:BB56"/>
    <mergeCell ref="AS52:AV52"/>
    <mergeCell ref="AW52:BB52"/>
    <mergeCell ref="AS53:AV53"/>
    <mergeCell ref="AW53:BB53"/>
    <mergeCell ref="AS54:AV54"/>
    <mergeCell ref="AW54:BB54"/>
    <mergeCell ref="AS49:AV49"/>
    <mergeCell ref="AW49:BB49"/>
    <mergeCell ref="AS50:AV50"/>
    <mergeCell ref="AW50:BB50"/>
    <mergeCell ref="AS51:AV51"/>
    <mergeCell ref="AW51:BB51"/>
    <mergeCell ref="AS46:AV46"/>
    <mergeCell ref="AW46:BB46"/>
    <mergeCell ref="AS47:AV47"/>
    <mergeCell ref="AW47:BB47"/>
    <mergeCell ref="AS48:AV48"/>
    <mergeCell ref="AW48:BB48"/>
    <mergeCell ref="AS43:AV43"/>
    <mergeCell ref="AW43:BB43"/>
    <mergeCell ref="AS44:AV44"/>
    <mergeCell ref="AW44:BB44"/>
    <mergeCell ref="AS45:AV45"/>
    <mergeCell ref="AW45:BB45"/>
    <mergeCell ref="AS40:AV40"/>
    <mergeCell ref="AW40:BB40"/>
    <mergeCell ref="AR41:BB41"/>
    <mergeCell ref="AS42:AV42"/>
    <mergeCell ref="AW42:BB42"/>
    <mergeCell ref="AS37:AV37"/>
    <mergeCell ref="AW37:BB37"/>
    <mergeCell ref="AS38:AV38"/>
    <mergeCell ref="AW38:BB38"/>
    <mergeCell ref="AS39:AV39"/>
    <mergeCell ref="AW39:BB39"/>
    <mergeCell ref="AS34:AV34"/>
    <mergeCell ref="AW34:BB34"/>
    <mergeCell ref="AS35:AV35"/>
    <mergeCell ref="AW35:BB35"/>
    <mergeCell ref="AS36:AV36"/>
    <mergeCell ref="AW36:BB36"/>
    <mergeCell ref="AS31:AV31"/>
    <mergeCell ref="AW31:BB31"/>
    <mergeCell ref="AS32:AV32"/>
    <mergeCell ref="AW32:BB32"/>
    <mergeCell ref="AS33:AV33"/>
    <mergeCell ref="AW33:BB33"/>
    <mergeCell ref="AS28:AV28"/>
    <mergeCell ref="AW28:BB28"/>
    <mergeCell ref="AS29:AV29"/>
    <mergeCell ref="AW29:BB29"/>
    <mergeCell ref="AS30:AV30"/>
    <mergeCell ref="AW30:BB30"/>
    <mergeCell ref="AW18:BB18"/>
    <mergeCell ref="AS25:AV25"/>
    <mergeCell ref="AW25:BB25"/>
    <mergeCell ref="AS26:AV26"/>
    <mergeCell ref="AW26:BB26"/>
    <mergeCell ref="AS27:AV27"/>
    <mergeCell ref="AW27:BB27"/>
    <mergeCell ref="AS22:AV22"/>
    <mergeCell ref="AW22:BB22"/>
    <mergeCell ref="AS23:AV23"/>
    <mergeCell ref="AW23:BB23"/>
    <mergeCell ref="AS24:AV24"/>
    <mergeCell ref="AW24:BB24"/>
    <mergeCell ref="BC20:BH21"/>
    <mergeCell ref="AW20:BB20"/>
    <mergeCell ref="AS13:AV13"/>
    <mergeCell ref="AW13:BB13"/>
    <mergeCell ref="AS14:AV14"/>
    <mergeCell ref="AW14:BB14"/>
    <mergeCell ref="AS15:AV15"/>
    <mergeCell ref="AW15:BB15"/>
    <mergeCell ref="AS10:AV10"/>
    <mergeCell ref="AW10:BB10"/>
    <mergeCell ref="AS11:AV11"/>
    <mergeCell ref="AW11:BB11"/>
    <mergeCell ref="AS12:AV12"/>
    <mergeCell ref="AW12:BB12"/>
    <mergeCell ref="AS19:AV19"/>
    <mergeCell ref="AW19:BB19"/>
    <mergeCell ref="AS20:AV20"/>
    <mergeCell ref="AS21:AV21"/>
    <mergeCell ref="AW21:BB21"/>
    <mergeCell ref="AS16:AV16"/>
    <mergeCell ref="AW16:BB16"/>
    <mergeCell ref="AS17:AV17"/>
    <mergeCell ref="AW17:BB17"/>
    <mergeCell ref="AS18:AV18"/>
    <mergeCell ref="AS7:AV7"/>
    <mergeCell ref="AW7:BB7"/>
    <mergeCell ref="AS8:AV8"/>
    <mergeCell ref="AW8:BB8"/>
    <mergeCell ref="AS9:AV9"/>
    <mergeCell ref="AW9:BB9"/>
    <mergeCell ref="AS4:AV4"/>
    <mergeCell ref="AW4:BB4"/>
    <mergeCell ref="AS5:AV5"/>
    <mergeCell ref="AW5:BB5"/>
    <mergeCell ref="AS6:AV6"/>
    <mergeCell ref="AW6:BB6"/>
    <mergeCell ref="AS1:AV1"/>
    <mergeCell ref="AW1:BB1"/>
    <mergeCell ref="AS2:AV2"/>
    <mergeCell ref="AW2:BB2"/>
    <mergeCell ref="AS3:AV3"/>
    <mergeCell ref="AW3:BB3"/>
    <mergeCell ref="D73:H73"/>
    <mergeCell ref="D67:H67"/>
    <mergeCell ref="D74:H74"/>
    <mergeCell ref="E39:F39"/>
    <mergeCell ref="D68:H68"/>
    <mergeCell ref="P68:S68"/>
    <mergeCell ref="P69:S69"/>
    <mergeCell ref="P70:S70"/>
    <mergeCell ref="P24:S24"/>
    <mergeCell ref="Q59:Q64"/>
    <mergeCell ref="P66:S66"/>
    <mergeCell ref="P67:S67"/>
    <mergeCell ref="R52:R57"/>
    <mergeCell ref="S52:S57"/>
    <mergeCell ref="P71:S71"/>
    <mergeCell ref="P72:S72"/>
    <mergeCell ref="P73:S73"/>
    <mergeCell ref="P59:P64"/>
    <mergeCell ref="AB134:AC134"/>
    <mergeCell ref="AB135:AC135"/>
    <mergeCell ref="AB136:AC136"/>
    <mergeCell ref="AB140:AC140"/>
    <mergeCell ref="AI67:AO67"/>
    <mergeCell ref="AI76:AO76"/>
    <mergeCell ref="AA112:AC112"/>
    <mergeCell ref="AB122:AC122"/>
    <mergeCell ref="AB132:AC132"/>
    <mergeCell ref="AI73:AO73"/>
    <mergeCell ref="AI70:AO70"/>
    <mergeCell ref="A14:B15"/>
    <mergeCell ref="E14:F15"/>
    <mergeCell ref="A65:H65"/>
    <mergeCell ref="N65:O65"/>
    <mergeCell ref="A16:B16"/>
    <mergeCell ref="E16:F16"/>
    <mergeCell ref="E40:F40"/>
    <mergeCell ref="A46:B46"/>
    <mergeCell ref="A47:B47"/>
    <mergeCell ref="F57:H57"/>
    <mergeCell ref="F64:H64"/>
    <mergeCell ref="I36:L36"/>
    <mergeCell ref="F6:G6"/>
    <mergeCell ref="F8:H8"/>
    <mergeCell ref="E9:F9"/>
    <mergeCell ref="E10:F10"/>
    <mergeCell ref="E11:F11"/>
    <mergeCell ref="A1:H1"/>
    <mergeCell ref="L1:M1"/>
    <mergeCell ref="AI1:AO1"/>
    <mergeCell ref="B2:C2"/>
    <mergeCell ref="B3:C3"/>
    <mergeCell ref="H3:H5"/>
    <mergeCell ref="AA1:AC1"/>
    <mergeCell ref="AA2:AC2"/>
  </mergeCells>
  <pageMargins left="0.27500000000000002" right="0.196527777777778" top="3.8888888888888903E-2" bottom="0.15625" header="0.51041666666666696" footer="0.118055555555556"/>
  <pageSetup paperSize="9" scale="70" orientation="portrait" r:id="rId1"/>
  <headerFooter alignWithMargins="0"/>
  <rowBreaks count="1" manualBreakCount="1">
    <brk id="64" max="7" man="1"/>
  </rowBreaks>
  <ignoredErrors>
    <ignoredError sqref="AW22 AW43" formula="1"/>
  </ignoredError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9FFCC"/>
  </sheetPr>
  <dimension ref="A1:BI206"/>
  <sheetViews>
    <sheetView view="pageBreakPreview" zoomScaleSheetLayoutView="100" workbookViewId="0">
      <selection activeCell="C9" sqref="C9"/>
    </sheetView>
  </sheetViews>
  <sheetFormatPr defaultColWidth="9.1328125" defaultRowHeight="17.100000000000001" customHeight="1"/>
  <cols>
    <col min="1" max="1" width="13.46484375" style="22" customWidth="1"/>
    <col min="2" max="2" width="12.33203125" style="22" customWidth="1"/>
    <col min="3" max="3" width="12.53125" style="22" customWidth="1"/>
    <col min="4" max="4" width="11" style="22"/>
    <col min="5" max="6" width="9.1328125" style="22"/>
    <col min="7" max="7" width="11.6640625" style="22" customWidth="1"/>
    <col min="8" max="8" width="11.1328125" style="22" customWidth="1"/>
    <col min="9" max="9" width="13.6640625" style="22" customWidth="1"/>
    <col min="10" max="10" width="11.86328125" style="22" customWidth="1"/>
    <col min="11" max="11" width="11.1328125" style="22" customWidth="1"/>
    <col min="12" max="12" width="14.46484375" style="22" customWidth="1"/>
    <col min="13" max="13" width="11.33203125" style="22" customWidth="1"/>
    <col min="14" max="14" width="10.6640625" style="22" customWidth="1"/>
    <col min="15" max="15" width="10.33203125" style="22" customWidth="1"/>
    <col min="16" max="16" width="10.46484375" style="22" customWidth="1"/>
    <col min="17" max="17" width="12.1328125" style="22" customWidth="1"/>
    <col min="18" max="19" width="9.1328125" style="22"/>
    <col min="20" max="20" width="11.6640625" style="22" customWidth="1"/>
    <col min="21" max="22" width="9.1328125" style="22"/>
    <col min="23" max="23" width="10.46484375" style="22" customWidth="1"/>
    <col min="24" max="26" width="9.1328125" style="22"/>
    <col min="27" max="28" width="12.86328125" style="22"/>
    <col min="29" max="29" width="9.1328125" style="22"/>
    <col min="30" max="30" width="9.53125" style="22"/>
    <col min="31" max="31" width="9.1328125" style="22"/>
    <col min="32" max="32" width="9.53125" style="22"/>
    <col min="33" max="33" width="12.86328125" style="22"/>
    <col min="34" max="36" width="9.1328125" style="22"/>
    <col min="37" max="37" width="15.86328125" style="22" customWidth="1"/>
    <col min="38" max="16384" width="9.1328125" style="22"/>
  </cols>
  <sheetData>
    <row r="1" spans="1:41" ht="10.5" customHeight="1">
      <c r="A1" s="4038" t="s">
        <v>1611</v>
      </c>
      <c r="B1" s="4039"/>
      <c r="C1" s="4039"/>
      <c r="D1" s="4039"/>
      <c r="E1" s="4039"/>
      <c r="F1" s="4039"/>
      <c r="G1" s="4039"/>
      <c r="H1" s="4039"/>
      <c r="I1" s="4039"/>
      <c r="J1" s="4040"/>
      <c r="K1" s="1852"/>
      <c r="N1" s="20"/>
      <c r="O1" s="20"/>
      <c r="P1" s="20"/>
      <c r="Q1" s="20"/>
      <c r="R1" s="20"/>
      <c r="S1" s="20" t="s">
        <v>1612</v>
      </c>
      <c r="T1" s="20" t="s">
        <v>1613</v>
      </c>
      <c r="U1" s="20"/>
      <c r="V1" s="19"/>
      <c r="W1" s="59"/>
      <c r="X1" s="20"/>
      <c r="Y1" s="17"/>
      <c r="Z1" s="17"/>
      <c r="AA1" s="155" t="str">
        <f>HYPERLINK("Z:\Marketing Common\Dhrumil\Selection\Galvi_EHT_Brake.pdf","Galvi")</f>
        <v>Galvi</v>
      </c>
      <c r="AB1" s="1853" t="str">
        <f>HYPERLINK("Z:\Marketing Common\Dhrumil\Selection\VD_Series_6Pole.pdf","M Sq 6 Pole")</f>
        <v>M Sq 6 Pole</v>
      </c>
      <c r="AC1" s="59"/>
      <c r="AD1" s="1853" t="str">
        <f>HYPERLINK("Z:\Marketing Common\Dhrumil\Selection\Wheel_Selection.xls","Wheel Load")</f>
        <v>Wheel Load</v>
      </c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</row>
    <row r="2" spans="1:41" ht="17.100000000000001" customHeight="1" thickBot="1">
      <c r="A2" s="4489"/>
      <c r="B2" s="4490"/>
      <c r="C2" s="4490"/>
      <c r="D2" s="4490"/>
      <c r="E2" s="4490"/>
      <c r="F2" s="4490"/>
      <c r="G2" s="4490"/>
      <c r="H2" s="4490"/>
      <c r="I2" s="4490"/>
      <c r="J2" s="4491"/>
      <c r="K2" s="1854"/>
      <c r="N2" s="20"/>
      <c r="O2" s="20"/>
      <c r="P2" s="20"/>
      <c r="Q2" s="20"/>
      <c r="R2" s="20"/>
      <c r="S2" s="20"/>
      <c r="T2" s="20"/>
      <c r="U2" s="20"/>
      <c r="V2" s="19"/>
      <c r="W2" s="59"/>
      <c r="X2" s="20"/>
      <c r="Y2" s="17"/>
      <c r="Z2" s="17"/>
      <c r="AA2" s="155" t="str">
        <f>HYPERLINK("Z:\Marketing Common\Dhrumil\Selection\BCH_DCEM_Brake.pdf","BCH")</f>
        <v>BCH</v>
      </c>
      <c r="AB2" s="1853" t="str">
        <f>HYPERLINK("Z:\Marketing Common\Dhrumil\Selection\M_Sq_Price.pdf","M Sq Price")</f>
        <v>M Sq Price</v>
      </c>
      <c r="AC2" s="53"/>
      <c r="AD2" s="155" t="str">
        <f>HYPERLINK("Z:\Marketing Common\Dhrumil\Selection\Fag_Bearing_Price.pdf","Fag B Price")</f>
        <v>Fag B Price</v>
      </c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</row>
    <row r="3" spans="1:41" ht="17.100000000000001" customHeight="1">
      <c r="A3" s="1208" t="s">
        <v>1614</v>
      </c>
      <c r="B3" s="129"/>
      <c r="C3" s="4124">
        <f>Tech!B2</f>
        <v>0</v>
      </c>
      <c r="D3" s="4125"/>
      <c r="E3" s="4126"/>
      <c r="F3" s="4127" t="s">
        <v>1615</v>
      </c>
      <c r="G3" s="4127"/>
      <c r="H3" s="129"/>
      <c r="I3" s="1755">
        <f>Tech!F3</f>
        <v>0</v>
      </c>
      <c r="J3" s="129"/>
      <c r="K3" s="1854"/>
      <c r="L3" s="1855" t="str">
        <f>B197</f>
        <v xml:space="preserve">Grand TOTAL :-     </v>
      </c>
      <c r="M3" s="1856">
        <f>D197</f>
        <v>2790000</v>
      </c>
      <c r="N3" s="31"/>
      <c r="O3" s="59"/>
      <c r="P3" s="31"/>
      <c r="Q3" s="31"/>
      <c r="R3" s="31"/>
      <c r="S3" s="31"/>
      <c r="T3" s="31"/>
      <c r="U3" s="31"/>
      <c r="V3" s="31"/>
      <c r="W3" s="31"/>
      <c r="X3" s="31"/>
      <c r="Y3" s="4488"/>
      <c r="Z3" s="4488"/>
      <c r="AA3" s="155" t="str">
        <f>HYPERLINK("Z:\Marketing Common\Dhrumil\Selection\SNT_Brake.pdf","SNT Brake")</f>
        <v>SNT Brake</v>
      </c>
      <c r="AB3" s="1853" t="str">
        <f>HYPERLINK("Z:\Marketing Common\Dhrumil\Selection\Slipring_Motor.pdf","Slip Ring Motor")</f>
        <v>Slip Ring Motor</v>
      </c>
      <c r="AC3" s="53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</row>
    <row r="4" spans="1:41" ht="17.100000000000001" customHeight="1">
      <c r="A4" s="1208" t="s">
        <v>1617</v>
      </c>
      <c r="B4" s="129"/>
      <c r="C4" s="1763" t="str">
        <f>Tech!B5</f>
        <v xml:space="preserve">D/G EOT CRANE  </v>
      </c>
      <c r="D4" s="59"/>
      <c r="E4" s="468"/>
      <c r="F4" s="4128" t="s">
        <v>1618</v>
      </c>
      <c r="G4" s="4128"/>
      <c r="H4" s="1857" t="s">
        <v>1619</v>
      </c>
      <c r="I4" s="1207" t="s">
        <v>1620</v>
      </c>
      <c r="J4" s="468"/>
      <c r="K4" s="1854"/>
      <c r="L4" s="1858" t="str">
        <f>G197</f>
        <v>Quoted Value:-</v>
      </c>
      <c r="M4" s="1859">
        <f>I197</f>
        <v>3290000</v>
      </c>
      <c r="N4" s="59"/>
      <c r="O4" s="59"/>
      <c r="P4" s="31"/>
      <c r="Q4" s="31"/>
      <c r="R4" s="31"/>
      <c r="S4" s="31"/>
      <c r="T4" s="31"/>
      <c r="U4" s="31"/>
      <c r="V4" s="31"/>
      <c r="W4" s="31"/>
      <c r="X4" s="31"/>
      <c r="Y4" s="4488"/>
      <c r="Z4" s="4488"/>
      <c r="AA4" s="155" t="str">
        <f>HYPERLINK("Z:\Marketing Common\Dhrumil\Selection\SOC_Brake.pdf","SOC Brake")</f>
        <v>SOC Brake</v>
      </c>
      <c r="AB4" s="1853" t="str">
        <f>HYPERLINK("Z:\Marketing Common\Dhrumil\Selection\Marathon_LP.pdf","SlipRing Price")</f>
        <v>SlipRing Price</v>
      </c>
      <c r="AC4" s="53"/>
      <c r="AD4" s="155" t="str">
        <f>HYPERLINK("Z:\Marketing Common\Dhrumil\Selection\Price_Sheet_2013.pdf","Price Sheet")</f>
        <v>Price Sheet</v>
      </c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</row>
    <row r="5" spans="1:41" ht="17.100000000000001" customHeight="1" thickBot="1">
      <c r="A5" s="1208" t="s">
        <v>1621</v>
      </c>
      <c r="B5" s="129"/>
      <c r="C5" s="1860">
        <f>Tech!F4</f>
        <v>25</v>
      </c>
      <c r="D5" s="1860">
        <f>Tech!G4</f>
        <v>15</v>
      </c>
      <c r="E5" s="468" t="s">
        <v>1622</v>
      </c>
      <c r="F5" s="1208"/>
      <c r="G5" s="31" t="s">
        <v>1623</v>
      </c>
      <c r="H5" s="1861">
        <f>Tech!C16</f>
        <v>3</v>
      </c>
      <c r="I5" s="1860" t="s">
        <v>88</v>
      </c>
      <c r="J5" s="129" t="s">
        <v>1624</v>
      </c>
      <c r="K5" s="1854"/>
      <c r="L5" s="1862" t="s">
        <v>1616</v>
      </c>
      <c r="M5" s="1863">
        <f>D198</f>
        <v>0.85</v>
      </c>
      <c r="N5" s="59"/>
      <c r="O5" s="481"/>
      <c r="P5" s="31"/>
      <c r="Q5" s="31"/>
      <c r="R5" s="31"/>
      <c r="S5" s="31"/>
      <c r="T5" s="31"/>
      <c r="U5" s="31"/>
      <c r="V5" s="31"/>
      <c r="W5" s="31"/>
      <c r="X5" s="31"/>
      <c r="Y5" s="59"/>
      <c r="Z5" s="108"/>
      <c r="AA5" s="155" t="str">
        <f>HYPERLINK("Z:\Marketing Common\Dhrumil\Selection\Price_Sheet_2013.pdf","Price Sheet")</f>
        <v>Price Sheet</v>
      </c>
      <c r="AB5" s="1853" t="str">
        <f>HYPERLINK("Z:\Marketing Common\Dhrumil\Selection\Siemens_Motor.pdf","Siemens Motor")</f>
        <v>Siemens Motor</v>
      </c>
      <c r="AC5" s="53"/>
      <c r="AD5" s="155" t="str">
        <f>HYPERLINK("Z:\Marketing Common\Dhrumil\Selection\Weight.pdf","Weight")</f>
        <v>Weight</v>
      </c>
      <c r="AN5" s="31"/>
      <c r="AO5" s="31"/>
    </row>
    <row r="6" spans="1:41" ht="17.100000000000001" customHeight="1">
      <c r="A6" s="1208" t="s">
        <v>1625</v>
      </c>
      <c r="B6" s="129"/>
      <c r="C6" s="1864">
        <f>Tech!B6</f>
        <v>15</v>
      </c>
      <c r="D6" s="988" t="s">
        <v>1218</v>
      </c>
      <c r="E6" s="468"/>
      <c r="F6" s="1208"/>
      <c r="G6" s="31" t="s">
        <v>1626</v>
      </c>
      <c r="H6" s="1861">
        <f>Tech!D16</f>
        <v>5</v>
      </c>
      <c r="I6" s="1860" t="s">
        <v>88</v>
      </c>
      <c r="J6" s="129" t="s">
        <v>1624</v>
      </c>
      <c r="K6" s="1854"/>
      <c r="L6" s="1817"/>
      <c r="M6" s="59"/>
      <c r="N6" s="59"/>
      <c r="O6" s="59"/>
      <c r="P6" s="31"/>
      <c r="Q6" s="31"/>
      <c r="R6" s="31"/>
      <c r="S6" s="31"/>
      <c r="T6" s="31"/>
      <c r="U6" s="31"/>
      <c r="V6" s="31"/>
      <c r="W6" s="31"/>
      <c r="X6" s="31"/>
      <c r="Y6" s="59"/>
      <c r="Z6" s="108"/>
      <c r="AA6" s="155" t="str">
        <f>HYPERLINK("Z:\Marketing Common\Dhrumil\Selection\BCH_ Price.pdf","BCH Price")</f>
        <v>BCH Price</v>
      </c>
      <c r="AB6" s="53"/>
      <c r="AC6" s="53"/>
      <c r="AD6" s="53"/>
      <c r="AN6" s="31"/>
      <c r="AO6" s="31"/>
    </row>
    <row r="7" spans="1:41" ht="17.100000000000001" customHeight="1">
      <c r="A7" s="1208" t="s">
        <v>1627</v>
      </c>
      <c r="B7" s="129"/>
      <c r="C7" s="1860">
        <f>'E Data'!D19</f>
        <v>15</v>
      </c>
      <c r="D7" s="1860">
        <f>'E Data'!D20</f>
        <v>15</v>
      </c>
      <c r="E7" s="988" t="s">
        <v>1218</v>
      </c>
      <c r="F7" s="1208"/>
      <c r="G7" s="31" t="s">
        <v>1628</v>
      </c>
      <c r="H7" s="1861">
        <f>Tech!G16</f>
        <v>20</v>
      </c>
      <c r="I7" s="1860" t="s">
        <v>88</v>
      </c>
      <c r="J7" s="129" t="s">
        <v>1624</v>
      </c>
      <c r="K7" s="1854"/>
      <c r="L7" s="31"/>
      <c r="M7" s="1758"/>
      <c r="N7" s="59"/>
      <c r="O7" s="59"/>
      <c r="P7" s="31"/>
      <c r="Q7" s="31"/>
      <c r="R7" s="31"/>
      <c r="S7" s="31"/>
      <c r="T7" s="31"/>
      <c r="U7" s="31"/>
      <c r="V7" s="31"/>
      <c r="W7" s="31"/>
      <c r="X7" s="31"/>
      <c r="Y7" s="59"/>
      <c r="Z7" s="108"/>
      <c r="AA7" s="53"/>
      <c r="AB7" s="155" t="str">
        <f>HYPERLINK("Z:\Marketing Common\Dhrumil\Selection\Wire_Rope_Price.pdf","Wire Rope Price")</f>
        <v>Wire Rope Price</v>
      </c>
      <c r="AC7" s="53"/>
      <c r="AD7" s="155" t="str">
        <f>HYPERLINK("Z:\Marketing Common\Dhrumil\Selection\SCHNEIDER_DRIVE_PRICE.pdf","Schneider_Drive")</f>
        <v>Schneider_Drive</v>
      </c>
      <c r="AN7" s="31"/>
      <c r="AO7" s="31"/>
    </row>
    <row r="8" spans="1:41" ht="17.100000000000001" customHeight="1">
      <c r="A8" s="1208" t="s">
        <v>1629</v>
      </c>
      <c r="B8" s="129"/>
      <c r="C8" s="59" t="str">
        <f>""&amp;'E Data'!D25&amp;" ("&amp;'E Data'!E25&amp;")"</f>
        <v>Mech-II (M5)</v>
      </c>
      <c r="D8" s="59" t="str">
        <f>""&amp;'E Data'!F25&amp;" ("&amp;'E Data'!G25&amp;")"</f>
        <v>Ele-II (M5)</v>
      </c>
      <c r="E8" s="31"/>
      <c r="F8" s="1208"/>
      <c r="G8" s="31" t="s">
        <v>1630</v>
      </c>
      <c r="H8" s="1861">
        <f>Tech!H16</f>
        <v>25</v>
      </c>
      <c r="I8" s="1860" t="s">
        <v>88</v>
      </c>
      <c r="J8" s="129" t="s">
        <v>1624</v>
      </c>
      <c r="K8" s="1854"/>
      <c r="M8" s="59"/>
      <c r="N8" s="59"/>
      <c r="O8" s="59"/>
      <c r="P8" s="31"/>
      <c r="Q8" s="31"/>
      <c r="R8" s="31"/>
      <c r="S8" s="31"/>
      <c r="T8" s="31"/>
      <c r="U8" s="31"/>
      <c r="V8" s="31"/>
      <c r="W8" s="31"/>
      <c r="X8" s="31"/>
      <c r="Y8" s="59"/>
      <c r="Z8" s="108"/>
      <c r="AA8" s="155" t="str">
        <f>HYPERLINK("Z:\Marketing Common\Dhrumil\Selection\Elite_Gear_Box.pdf","Elite GB")</f>
        <v>Elite GB</v>
      </c>
      <c r="AB8" s="155" t="str">
        <f>HYPERLINK("Z:\Marketing Common\Dhrumil\Selection\USHA_MARTIN_ROPE.pdf","Usha Martine Catalog")</f>
        <v>Usha Martine Catalog</v>
      </c>
      <c r="AC8" s="53"/>
      <c r="AD8" s="155" t="str">
        <f>HYPERLINK("Z:\Marketing Common\Dhrumil\Selection\Coupling_Price.pdf","Coupling Price")</f>
        <v>Coupling Price</v>
      </c>
      <c r="AN8" s="31"/>
      <c r="AO8" s="31"/>
    </row>
    <row r="9" spans="1:41" ht="17.100000000000001" customHeight="1">
      <c r="A9" s="1208" t="s">
        <v>1631</v>
      </c>
      <c r="B9" s="129"/>
      <c r="C9" s="1042" t="str">
        <f>Tech!G11</f>
        <v>Indoor</v>
      </c>
      <c r="D9" s="83"/>
      <c r="E9" s="468"/>
      <c r="F9" s="1208"/>
      <c r="G9" s="31" t="s">
        <v>1632</v>
      </c>
      <c r="H9" s="129"/>
      <c r="I9" s="59" t="str">
        <f>Tech!G84</f>
        <v>50mm Sq. Bar</v>
      </c>
      <c r="J9" s="1104">
        <f>Tech!G86</f>
        <v>19.62</v>
      </c>
      <c r="K9" s="1854"/>
      <c r="L9" s="31"/>
      <c r="M9" s="108"/>
      <c r="N9" s="31"/>
      <c r="O9" s="481"/>
      <c r="P9" s="31"/>
      <c r="Q9" s="31"/>
      <c r="R9" s="31"/>
      <c r="S9" s="31"/>
      <c r="T9" s="31"/>
      <c r="U9" s="31"/>
      <c r="V9" s="31"/>
      <c r="W9" s="31"/>
      <c r="X9" s="31"/>
      <c r="Y9" s="59"/>
      <c r="Z9" s="108"/>
      <c r="AA9" s="155" t="str">
        <f>HYPERLINK("Z:\Marketing Common\Dhrumil\Selection\ELECON_ET-SERIES.pdf","Elecon GB")</f>
        <v>Elecon GB</v>
      </c>
      <c r="AC9" s="53"/>
      <c r="AN9" s="31"/>
      <c r="AO9" s="31"/>
    </row>
    <row r="10" spans="1:41" ht="17.100000000000001" customHeight="1">
      <c r="A10" s="1208" t="s">
        <v>1633</v>
      </c>
      <c r="B10" s="129"/>
      <c r="C10" s="1042">
        <f>Tech!B10</f>
        <v>17</v>
      </c>
      <c r="D10" s="988" t="s">
        <v>985</v>
      </c>
      <c r="E10" s="468" t="s">
        <v>1634</v>
      </c>
      <c r="F10" s="1208"/>
      <c r="G10" s="31" t="s">
        <v>1635</v>
      </c>
      <c r="H10" s="129"/>
      <c r="I10" s="59" t="str">
        <f>Tech!C84</f>
        <v>70X40mm bar</v>
      </c>
      <c r="J10" s="1104">
        <f>Tech!C86</f>
        <v>21.980000000000004</v>
      </c>
      <c r="K10" s="1854"/>
      <c r="L10" s="31"/>
      <c r="N10" s="1865"/>
      <c r="O10" s="481"/>
      <c r="P10" s="31"/>
      <c r="Q10" s="31"/>
      <c r="R10" s="31"/>
      <c r="S10" s="31"/>
      <c r="T10" s="31"/>
      <c r="U10" s="31"/>
      <c r="V10" s="31"/>
      <c r="W10" s="31"/>
      <c r="X10" s="31"/>
      <c r="Y10" s="59"/>
      <c r="Z10" s="108"/>
      <c r="AA10" s="155" t="str">
        <f>HYPERLINK("Z:\Marketing Common\Dhrumil\Selection\Premium_Gear_Box.pdf","Premium GB")</f>
        <v>Premium GB</v>
      </c>
      <c r="AB10" s="155" t="str">
        <f>HYPERLINK("Z:\Marketing Common\Dhrumil\Selection\J_S_Tube.pdf","J S Tube")</f>
        <v>J S Tube</v>
      </c>
      <c r="AC10" s="53"/>
      <c r="AN10" s="31"/>
      <c r="AO10" s="31"/>
    </row>
    <row r="11" spans="1:41" ht="17.100000000000001" customHeight="1" thickBot="1">
      <c r="A11" s="1826" t="s">
        <v>1636</v>
      </c>
      <c r="B11" s="122"/>
      <c r="C11" s="212">
        <f>Tech!B11</f>
        <v>5</v>
      </c>
      <c r="D11" s="1714" t="s">
        <v>985</v>
      </c>
      <c r="E11" s="1129" t="s">
        <v>1634</v>
      </c>
      <c r="F11" s="1826"/>
      <c r="G11" s="1827" t="s">
        <v>1637</v>
      </c>
      <c r="H11" s="122"/>
      <c r="I11" s="1183">
        <f>'E Data'!D17</f>
        <v>100</v>
      </c>
      <c r="J11" s="1129" t="s">
        <v>1638</v>
      </c>
      <c r="K11" s="1854"/>
      <c r="L11" s="31"/>
      <c r="M11" s="59"/>
      <c r="N11" s="59"/>
      <c r="O11" s="481"/>
      <c r="P11" s="31"/>
      <c r="Q11" s="118"/>
      <c r="R11" s="31"/>
      <c r="S11" s="31"/>
      <c r="T11" s="118"/>
      <c r="U11" s="31"/>
      <c r="V11" s="31"/>
      <c r="W11" s="31"/>
      <c r="X11" s="31"/>
      <c r="Y11" s="59"/>
      <c r="Z11" s="108"/>
      <c r="AA11" s="53"/>
      <c r="AC11" s="53"/>
      <c r="AN11" s="31"/>
      <c r="AO11" s="31"/>
    </row>
    <row r="12" spans="1:41" ht="11.25" customHeight="1" thickBot="1">
      <c r="A12" s="1262"/>
      <c r="B12" s="1230"/>
      <c r="C12" s="1047"/>
      <c r="D12" s="988"/>
      <c r="E12" s="83"/>
      <c r="F12" s="1230"/>
      <c r="G12" s="1230"/>
      <c r="H12" s="1230"/>
      <c r="I12" s="1230"/>
      <c r="J12" s="1683"/>
      <c r="K12" s="1854"/>
      <c r="L12" s="31"/>
      <c r="M12" s="59"/>
      <c r="N12" s="59"/>
      <c r="O12" s="59"/>
      <c r="P12" s="31"/>
      <c r="Q12" s="118"/>
      <c r="R12" s="31"/>
      <c r="S12" s="31"/>
      <c r="T12" s="118"/>
      <c r="U12" s="31"/>
      <c r="V12" s="31"/>
      <c r="W12" s="31"/>
      <c r="X12" s="31"/>
      <c r="Y12" s="59"/>
      <c r="Z12" s="108"/>
      <c r="AA12" s="53"/>
      <c r="AB12" s="158" t="str">
        <f>HYPERLINK("Z:\Marketing Common\Dhrumil\Selection\IS\3177_2006.pdf","IS : 3177-2006")</f>
        <v>IS : 3177-2006</v>
      </c>
      <c r="AD12" s="53"/>
      <c r="AN12" s="31"/>
      <c r="AO12" s="31"/>
    </row>
    <row r="13" spans="1:41" ht="17.100000000000001" customHeight="1" thickBot="1">
      <c r="A13" s="4451" t="s">
        <v>1639</v>
      </c>
      <c r="B13" s="3811"/>
      <c r="C13" s="4129" t="s">
        <v>1640</v>
      </c>
      <c r="D13" s="4130"/>
      <c r="E13" s="4131"/>
      <c r="F13" s="4129" t="s">
        <v>1641</v>
      </c>
      <c r="G13" s="4130"/>
      <c r="H13" s="4131"/>
      <c r="I13" s="1497"/>
      <c r="J13" s="4464" t="s">
        <v>1642</v>
      </c>
      <c r="K13" s="1854"/>
      <c r="L13" s="31"/>
      <c r="M13" s="31"/>
      <c r="N13" s="59"/>
      <c r="O13" s="59"/>
      <c r="P13" s="31"/>
      <c r="Q13" s="118"/>
      <c r="R13" s="31"/>
      <c r="S13" s="31"/>
      <c r="T13" s="118"/>
      <c r="U13" s="31"/>
      <c r="V13" s="31"/>
      <c r="W13" s="31"/>
      <c r="X13" s="31"/>
      <c r="Y13" s="59"/>
      <c r="Z13" s="108"/>
      <c r="AA13" s="53"/>
      <c r="AB13" s="158" t="str">
        <f>HYPERLINK("Z:\Marketing Common\Dhrumil\Selection\IS\IS 3177-1999.pdf","IS : 3177-1999")</f>
        <v>IS : 3177-1999</v>
      </c>
      <c r="AC13" s="53"/>
      <c r="AD13" s="53"/>
      <c r="AN13" s="31"/>
      <c r="AO13" s="31"/>
    </row>
    <row r="14" spans="1:41" ht="17.100000000000001" customHeight="1">
      <c r="A14" s="4452"/>
      <c r="B14" s="4492"/>
      <c r="C14" s="1866" t="s">
        <v>1643</v>
      </c>
      <c r="D14" s="1867">
        <f>+Girder!G28*10</f>
        <v>370</v>
      </c>
      <c r="E14" s="1040" t="s">
        <v>466</v>
      </c>
      <c r="F14" s="1868" t="s">
        <v>1644</v>
      </c>
      <c r="G14" s="1867">
        <f>+Girder!G31*10</f>
        <v>10</v>
      </c>
      <c r="H14" s="1040" t="s">
        <v>466</v>
      </c>
      <c r="I14" s="1262"/>
      <c r="J14" s="4465"/>
      <c r="K14" s="1854"/>
      <c r="L14" s="31"/>
      <c r="M14" s="31"/>
      <c r="N14" s="59"/>
      <c r="O14" s="59"/>
      <c r="P14" s="31"/>
      <c r="Q14" s="118"/>
      <c r="R14" s="31"/>
      <c r="S14" s="31"/>
      <c r="T14" s="118"/>
      <c r="U14" s="31"/>
      <c r="V14" s="31"/>
      <c r="W14" s="31"/>
      <c r="X14" s="31"/>
      <c r="Y14" s="59"/>
      <c r="Z14" s="108"/>
      <c r="AA14" s="53"/>
      <c r="AB14" s="158" t="str">
        <f>HYPERLINK("Z:\Marketing Common\Dhrumil\Selection\IS\4137_2015.pdf","IS : 4137-2015")</f>
        <v>IS : 4137-2015</v>
      </c>
      <c r="AC14" s="53"/>
      <c r="AD14" s="155"/>
      <c r="AN14" s="31"/>
      <c r="AO14" s="31"/>
    </row>
    <row r="15" spans="1:41" ht="17.100000000000001" customHeight="1">
      <c r="A15" s="4452"/>
      <c r="B15" s="4492"/>
      <c r="C15" s="1869" t="s">
        <v>1645</v>
      </c>
      <c r="D15" s="59">
        <f>+Girder!G30*10</f>
        <v>1220</v>
      </c>
      <c r="E15" s="468" t="s">
        <v>466</v>
      </c>
      <c r="F15" s="507" t="s">
        <v>1646</v>
      </c>
      <c r="G15" s="59">
        <f>+Girder!G32*10</f>
        <v>8</v>
      </c>
      <c r="H15" s="468" t="s">
        <v>466</v>
      </c>
      <c r="I15" s="1262"/>
      <c r="J15" s="4465"/>
      <c r="K15" s="1854"/>
      <c r="L15" s="31"/>
      <c r="M15" s="31"/>
      <c r="N15" s="59"/>
      <c r="O15" s="59"/>
      <c r="P15" s="31"/>
      <c r="Q15" s="118"/>
      <c r="R15" s="31"/>
      <c r="S15" s="31"/>
      <c r="T15" s="118"/>
      <c r="U15" s="31"/>
      <c r="V15" s="31"/>
      <c r="W15" s="31"/>
      <c r="X15" s="31"/>
      <c r="Y15" s="59"/>
      <c r="Z15" s="108"/>
      <c r="AB15" s="158" t="str">
        <f>HYPERLINK("Z:\Marketing Common\Dhrumil\Selection\IS\IS_4137-1985.pdf","IS : 4137-1985")</f>
        <v>IS : 4137-1985</v>
      </c>
      <c r="AC15" s="53"/>
      <c r="AD15" s="53"/>
      <c r="AN15" s="31"/>
      <c r="AO15" s="31"/>
    </row>
    <row r="16" spans="1:41" ht="17.100000000000001" customHeight="1">
      <c r="A16" s="4452"/>
      <c r="B16" s="4492"/>
      <c r="C16" s="1869"/>
      <c r="D16" s="59"/>
      <c r="E16" s="468"/>
      <c r="F16" s="507" t="s">
        <v>1647</v>
      </c>
      <c r="G16" s="59">
        <f>+Girder!G33*10</f>
        <v>6</v>
      </c>
      <c r="H16" s="468" t="s">
        <v>466</v>
      </c>
      <c r="I16" s="1262"/>
      <c r="J16" s="4465"/>
      <c r="K16" s="1854"/>
      <c r="L16" s="31"/>
      <c r="M16" s="31"/>
      <c r="N16" s="59"/>
      <c r="O16" s="59"/>
      <c r="P16" s="31"/>
      <c r="Q16" s="118"/>
      <c r="R16" s="31"/>
      <c r="S16" s="31"/>
      <c r="T16" s="118"/>
      <c r="U16" s="31"/>
      <c r="V16" s="31"/>
      <c r="W16" s="31"/>
      <c r="X16" s="31"/>
      <c r="Y16" s="59"/>
      <c r="Z16" s="108"/>
      <c r="AB16" s="158" t="str">
        <f>HYPERLINK("Z:\Marketing Common\Dhrumil\Selection\IS\FEM.pdf","FEM")</f>
        <v>FEM</v>
      </c>
      <c r="AC16" s="53"/>
      <c r="AD16" s="53"/>
      <c r="AN16" s="31"/>
      <c r="AO16" s="31"/>
    </row>
    <row r="17" spans="1:41" ht="17.100000000000001" customHeight="1" thickBot="1">
      <c r="A17" s="3849"/>
      <c r="B17" s="3851"/>
      <c r="C17" s="1870" t="s">
        <v>1648</v>
      </c>
      <c r="D17" s="1871">
        <f>+Girder!G37</f>
        <v>204.02886666666666</v>
      </c>
      <c r="E17" s="1129" t="s">
        <v>1481</v>
      </c>
      <c r="F17" s="1129"/>
      <c r="G17" s="1183"/>
      <c r="H17" s="1129"/>
      <c r="I17" s="1503"/>
      <c r="J17" s="4466"/>
      <c r="K17" s="1854"/>
      <c r="M17" s="31"/>
      <c r="N17" s="59"/>
      <c r="O17" s="59"/>
      <c r="P17" s="31"/>
      <c r="Q17" s="118"/>
      <c r="R17" s="31"/>
      <c r="S17" s="31"/>
      <c r="T17" s="118"/>
      <c r="U17" s="31"/>
      <c r="V17" s="31"/>
      <c r="W17" s="31"/>
      <c r="X17" s="31"/>
      <c r="Y17" s="59"/>
      <c r="Z17" s="108"/>
      <c r="AB17" s="158" t="str">
        <f>HYPERLINK("Z:\Marketing Common\Dhrumil\Selection\IS\IS 2266_Wire-Rope.pdf","IS : 2266_Wire-Rope")</f>
        <v>IS : 2266_Wire-Rope</v>
      </c>
      <c r="AC17" s="53"/>
      <c r="AD17" s="53"/>
      <c r="AN17" s="31"/>
      <c r="AO17" s="31"/>
    </row>
    <row r="18" spans="1:41" ht="17.100000000000001" customHeight="1">
      <c r="A18" s="1872"/>
      <c r="B18" s="192"/>
      <c r="C18" s="1873"/>
      <c r="D18" s="481">
        <f>D17*1.6</f>
        <v>326.44618666666668</v>
      </c>
      <c r="E18" s="83"/>
      <c r="F18" s="83"/>
      <c r="G18" s="83"/>
      <c r="H18" s="83"/>
      <c r="I18" s="31"/>
      <c r="J18" s="1683"/>
      <c r="K18" s="1854"/>
      <c r="M18" s="31"/>
      <c r="N18" s="59"/>
      <c r="O18" s="59"/>
      <c r="P18" s="31"/>
      <c r="Q18" s="118"/>
      <c r="R18" s="31"/>
      <c r="S18" s="59"/>
      <c r="T18" s="118"/>
      <c r="U18" s="59"/>
      <c r="V18" s="31"/>
      <c r="W18" s="31"/>
      <c r="X18" s="31"/>
      <c r="Y18" s="59"/>
      <c r="Z18" s="108"/>
      <c r="AB18" s="158" t="str">
        <f>HYPERLINK("Z:\Marketing Common\Dhrumil\Selection\IS\IS 3443-1980_Rail.pdf","IS : 3443-1980_Rail")</f>
        <v>IS : 3443-1980_Rail</v>
      </c>
      <c r="AC18" s="53"/>
      <c r="AN18" s="31"/>
      <c r="AO18" s="31"/>
    </row>
    <row r="19" spans="1:41" ht="17.100000000000001" customHeight="1" thickBot="1">
      <c r="A19" s="1874"/>
      <c r="B19" s="192"/>
      <c r="C19" s="1232"/>
      <c r="D19" s="1232"/>
      <c r="E19" s="1232"/>
      <c r="F19" s="83"/>
      <c r="G19" s="83"/>
      <c r="H19" s="83"/>
      <c r="I19" s="1230"/>
      <c r="J19" s="1683"/>
      <c r="K19" s="1854"/>
      <c r="L19" s="31"/>
      <c r="M19" s="31"/>
      <c r="N19" s="59"/>
      <c r="O19" s="59"/>
      <c r="P19" s="118"/>
      <c r="Q19" s="118"/>
      <c r="R19" s="31"/>
      <c r="S19" s="59"/>
      <c r="T19" s="118"/>
      <c r="U19" s="59"/>
      <c r="V19" s="31"/>
      <c r="W19" s="31"/>
      <c r="X19" s="31"/>
      <c r="Y19" s="59"/>
      <c r="Z19" s="108"/>
      <c r="AA19" s="53"/>
      <c r="AB19" s="53"/>
      <c r="AC19" s="53"/>
      <c r="AD19" s="53"/>
      <c r="AN19" s="31"/>
      <c r="AO19" s="31"/>
    </row>
    <row r="20" spans="1:41" ht="17.100000000000001" customHeight="1" thickBot="1">
      <c r="A20" s="3943" t="s">
        <v>1649</v>
      </c>
      <c r="B20" s="4132"/>
      <c r="C20" s="4133" t="s">
        <v>1650</v>
      </c>
      <c r="D20" s="4134"/>
      <c r="E20" s="4134" t="s">
        <v>1651</v>
      </c>
      <c r="F20" s="4134"/>
      <c r="G20" s="1875" t="s">
        <v>1652</v>
      </c>
      <c r="H20" s="1875" t="s">
        <v>1653</v>
      </c>
      <c r="I20" s="4134" t="s">
        <v>1654</v>
      </c>
      <c r="J20" s="4132"/>
      <c r="K20" s="1854"/>
      <c r="L20" s="31"/>
      <c r="N20" s="59"/>
      <c r="X20" s="31"/>
      <c r="AN20" s="31"/>
      <c r="AO20" s="31"/>
    </row>
    <row r="21" spans="1:41" ht="21.95" customHeight="1">
      <c r="A21" s="4135" t="s">
        <v>1655</v>
      </c>
      <c r="B21" s="4136"/>
      <c r="C21" s="4137">
        <f>ROUNDUP((D17)*(C6+0.5)*2,-2)</f>
        <v>6400</v>
      </c>
      <c r="D21" s="4137"/>
      <c r="E21" s="1876">
        <v>60</v>
      </c>
      <c r="F21" s="1877">
        <v>18</v>
      </c>
      <c r="G21" s="1878">
        <f>ROUNDUP(E21*C21,0)</f>
        <v>384000</v>
      </c>
      <c r="H21" s="1878">
        <f>ROUNDUP(F21*C21,0)</f>
        <v>115200</v>
      </c>
      <c r="I21" s="4138"/>
      <c r="J21" s="4139"/>
      <c r="K21" s="1854"/>
      <c r="L21" s="31"/>
      <c r="M21" s="31"/>
      <c r="N21" s="31"/>
      <c r="X21" s="31"/>
      <c r="AN21" s="31"/>
      <c r="AO21" s="31"/>
    </row>
    <row r="22" spans="1:41" ht="21.95" customHeight="1">
      <c r="A22" s="4140" t="s">
        <v>1656</v>
      </c>
      <c r="B22" s="4141"/>
      <c r="C22" s="4142">
        <f>ROUNDUP((J9)*(C6)*2,-2)</f>
        <v>600</v>
      </c>
      <c r="D22" s="4142"/>
      <c r="E22" s="1879">
        <f>+E21+10</f>
        <v>70</v>
      </c>
      <c r="F22" s="1879">
        <v>0</v>
      </c>
      <c r="G22" s="1878">
        <f t="shared" ref="G22" si="0">ROUNDUP(E22*C22,0)</f>
        <v>42000</v>
      </c>
      <c r="H22" s="1878">
        <f t="shared" ref="H22" si="1">ROUNDUP(F22*C22,0)</f>
        <v>0</v>
      </c>
      <c r="I22" s="4143" t="str">
        <f>Tech!G47</f>
        <v>50mm Sq. Bar</v>
      </c>
      <c r="J22" s="4144"/>
      <c r="K22" s="1854"/>
      <c r="L22" s="31"/>
      <c r="M22" s="31"/>
      <c r="N22" s="31"/>
      <c r="X22" s="31"/>
      <c r="AN22" s="31"/>
      <c r="AO22" s="31"/>
    </row>
    <row r="23" spans="1:41" ht="21.95" customHeight="1">
      <c r="A23" s="4145" t="str">
        <f>IF(D40=4,"(c) End Carriage","(c) Boggie + Tie")</f>
        <v>(c) End Carriage</v>
      </c>
      <c r="B23" s="4146"/>
      <c r="C23" s="4147">
        <f>700*2</f>
        <v>1400</v>
      </c>
      <c r="D23" s="4147"/>
      <c r="E23" s="1879">
        <f>E21</f>
        <v>60</v>
      </c>
      <c r="F23" s="1879">
        <f>F21</f>
        <v>18</v>
      </c>
      <c r="G23" s="1878">
        <f t="shared" ref="G23:G29" si="2">ROUNDUP(E23*C23,0)</f>
        <v>84000</v>
      </c>
      <c r="H23" s="1878">
        <f t="shared" ref="H23:H29" si="3">ROUNDUP(F23*C23,0)</f>
        <v>25200</v>
      </c>
      <c r="I23" s="4148"/>
      <c r="J23" s="4149"/>
      <c r="K23" s="1880"/>
      <c r="L23" s="1881" t="s">
        <v>1657</v>
      </c>
      <c r="M23" s="1882" t="s">
        <v>61</v>
      </c>
      <c r="N23" s="1883" t="s">
        <v>1531</v>
      </c>
      <c r="Q23" s="55"/>
      <c r="R23" s="145">
        <f>input!AG70</f>
        <v>1500</v>
      </c>
      <c r="S23" s="29">
        <f>'E Data'!F76</f>
        <v>0</v>
      </c>
      <c r="X23" s="31"/>
      <c r="AN23" s="31"/>
      <c r="AO23" s="31"/>
    </row>
    <row r="24" spans="1:41" ht="21.95" customHeight="1">
      <c r="A24" s="4150" t="s">
        <v>1658</v>
      </c>
      <c r="B24" s="4151"/>
      <c r="C24" s="4152">
        <f>ROUNDUP(SUM(K66+K102+K86)*0.5,-1)</f>
        <v>1690</v>
      </c>
      <c r="D24" s="4153"/>
      <c r="E24" s="1879">
        <f t="shared" ref="E24" si="4">E23</f>
        <v>60</v>
      </c>
      <c r="F24" s="1879">
        <f t="shared" ref="F24" si="5">F23</f>
        <v>18</v>
      </c>
      <c r="G24" s="1878">
        <f t="shared" si="2"/>
        <v>101400</v>
      </c>
      <c r="H24" s="1878">
        <f t="shared" si="3"/>
        <v>30420</v>
      </c>
      <c r="I24" s="4154"/>
      <c r="J24" s="4155"/>
      <c r="K24" s="1880"/>
      <c r="L24" s="1884">
        <f>K104-L104</f>
        <v>68.651935483871057</v>
      </c>
      <c r="M24" s="1885">
        <f>+K104</f>
        <v>5068.6519354838711</v>
      </c>
      <c r="N24" s="1885">
        <f>+L104</f>
        <v>5000</v>
      </c>
      <c r="Q24" s="55"/>
      <c r="R24" s="145">
        <f>+input!AE70</f>
        <v>200</v>
      </c>
      <c r="S24" s="145">
        <f>input!AF70</f>
        <v>500</v>
      </c>
      <c r="X24" s="31"/>
      <c r="AN24" s="31"/>
      <c r="AO24" s="31"/>
    </row>
    <row r="25" spans="1:41" ht="21.95" customHeight="1">
      <c r="A25" s="4150" t="s">
        <v>1659</v>
      </c>
      <c r="B25" s="4151"/>
      <c r="C25" s="4156">
        <f>ROUNDUP((90)*(C6+2),1)</f>
        <v>1530</v>
      </c>
      <c r="D25" s="4157"/>
      <c r="E25" s="1879">
        <f>E24+2</f>
        <v>62</v>
      </c>
      <c r="F25" s="1879">
        <f>F24</f>
        <v>18</v>
      </c>
      <c r="G25" s="1878">
        <f t="shared" si="2"/>
        <v>94860</v>
      </c>
      <c r="H25" s="1878">
        <f t="shared" si="3"/>
        <v>27540</v>
      </c>
      <c r="I25" s="4158" t="str">
        <f>+Tech!D67</f>
        <v>Full length platform on Drive side and Two short corners on the other side of girder</v>
      </c>
      <c r="J25" s="4159"/>
      <c r="K25" s="1886"/>
      <c r="L25" s="1884">
        <f>K199-L199</f>
        <v>28.651935483871057</v>
      </c>
      <c r="M25" s="1885">
        <f>+K199</f>
        <v>17028.651935483871</v>
      </c>
      <c r="N25" s="1885">
        <f>+L199</f>
        <v>17000</v>
      </c>
      <c r="X25" s="118"/>
      <c r="AN25" s="118"/>
      <c r="AO25" s="118"/>
    </row>
    <row r="26" spans="1:41" ht="21.95" customHeight="1">
      <c r="A26" s="4150" t="s">
        <v>1660</v>
      </c>
      <c r="B26" s="4151"/>
      <c r="C26" s="4156">
        <f>ROUNDUP((20)*C6,-2)</f>
        <v>300</v>
      </c>
      <c r="D26" s="4157"/>
      <c r="E26" s="1879">
        <f>E24</f>
        <v>60</v>
      </c>
      <c r="F26" s="1879">
        <f>F25</f>
        <v>18</v>
      </c>
      <c r="G26" s="1878">
        <f t="shared" si="2"/>
        <v>18000</v>
      </c>
      <c r="H26" s="1878">
        <f t="shared" si="3"/>
        <v>5400</v>
      </c>
      <c r="I26" s="4160" t="str">
        <f>I160</f>
        <v xml:space="preserve">For Festooning &amp; Pendant </v>
      </c>
      <c r="J26" s="4161"/>
      <c r="K26" s="1854"/>
      <c r="L26" s="59"/>
      <c r="M26" s="31"/>
      <c r="N26" s="31"/>
      <c r="X26" s="31"/>
      <c r="AN26" s="31"/>
      <c r="AO26" s="31"/>
    </row>
    <row r="27" spans="1:41" ht="21.95" customHeight="1">
      <c r="A27" s="4162" t="s">
        <v>1661</v>
      </c>
      <c r="B27" s="4151"/>
      <c r="C27" s="4163">
        <v>0</v>
      </c>
      <c r="D27" s="4164"/>
      <c r="E27" s="1879">
        <f>E26</f>
        <v>60</v>
      </c>
      <c r="F27" s="1879">
        <f>F26</f>
        <v>18</v>
      </c>
      <c r="G27" s="1878">
        <f t="shared" si="2"/>
        <v>0</v>
      </c>
      <c r="H27" s="1878">
        <f t="shared" si="3"/>
        <v>0</v>
      </c>
      <c r="I27" s="4165"/>
      <c r="J27" s="4166"/>
      <c r="K27" s="1854"/>
      <c r="L27" s="481"/>
      <c r="N27" s="59"/>
      <c r="X27" s="31"/>
      <c r="AN27" s="31"/>
      <c r="AO27" s="31"/>
    </row>
    <row r="28" spans="1:41" ht="21.95" customHeight="1">
      <c r="A28" s="4162" t="s">
        <v>1662</v>
      </c>
      <c r="B28" s="4151"/>
      <c r="C28" s="4163">
        <v>0</v>
      </c>
      <c r="D28" s="4164"/>
      <c r="E28" s="1879">
        <f>E27</f>
        <v>60</v>
      </c>
      <c r="F28" s="1879">
        <f>F27</f>
        <v>18</v>
      </c>
      <c r="G28" s="1878">
        <f t="shared" si="2"/>
        <v>0</v>
      </c>
      <c r="H28" s="1878">
        <f t="shared" si="3"/>
        <v>0</v>
      </c>
      <c r="I28" s="4165"/>
      <c r="J28" s="4166"/>
      <c r="K28" s="1854"/>
      <c r="M28" s="1887"/>
      <c r="N28" s="59"/>
      <c r="X28" s="31"/>
      <c r="AN28" s="31"/>
      <c r="AO28" s="31"/>
    </row>
    <row r="29" spans="1:41" ht="21.95" customHeight="1" thickBot="1">
      <c r="A29" s="4167" t="s">
        <v>1663</v>
      </c>
      <c r="B29" s="4168"/>
      <c r="C29" s="4169">
        <v>500</v>
      </c>
      <c r="D29" s="4169"/>
      <c r="E29" s="1888">
        <f>E27</f>
        <v>60</v>
      </c>
      <c r="F29" s="1888">
        <f>F27</f>
        <v>18</v>
      </c>
      <c r="G29" s="1889">
        <f t="shared" si="2"/>
        <v>30000</v>
      </c>
      <c r="H29" s="1889">
        <f t="shared" si="3"/>
        <v>9000</v>
      </c>
      <c r="I29" s="4170" t="s">
        <v>1664</v>
      </c>
      <c r="J29" s="4171"/>
      <c r="K29" s="1890" t="s">
        <v>932</v>
      </c>
      <c r="M29" s="31"/>
      <c r="N29" s="59"/>
      <c r="X29" s="31"/>
      <c r="AN29" s="31"/>
      <c r="AO29" s="31"/>
    </row>
    <row r="30" spans="1:41" ht="17.100000000000001" customHeight="1" thickBot="1">
      <c r="A30" s="4129" t="s">
        <v>1665</v>
      </c>
      <c r="B30" s="4133"/>
      <c r="C30" s="4172">
        <f>ROUNDUP(SUM(C21:D29),-1)</f>
        <v>12420</v>
      </c>
      <c r="D30" s="4172"/>
      <c r="E30" s="4173"/>
      <c r="F30" s="4130"/>
      <c r="G30" s="4174">
        <f>ROUNDUP((SUM(G21:G29)+SUM(H21:H29)),-1)</f>
        <v>967020</v>
      </c>
      <c r="H30" s="4175"/>
      <c r="I30" s="4176"/>
      <c r="J30" s="4177"/>
      <c r="K30" s="1891">
        <f>C30</f>
        <v>12420</v>
      </c>
      <c r="L30" s="1258"/>
      <c r="M30" s="1892"/>
      <c r="N30" s="17"/>
      <c r="X30" s="186"/>
      <c r="AN30" s="186"/>
      <c r="AO30" s="186"/>
    </row>
    <row r="31" spans="1:41" ht="9.75" customHeight="1">
      <c r="A31" s="1262"/>
      <c r="B31" s="1230"/>
      <c r="C31" s="1230"/>
      <c r="D31" s="1230"/>
      <c r="E31" s="1230"/>
      <c r="F31" s="1230"/>
      <c r="G31" s="1230"/>
      <c r="H31" s="1230"/>
      <c r="I31" s="1230"/>
      <c r="J31" s="1683"/>
      <c r="K31" s="1854"/>
      <c r="L31" s="108"/>
      <c r="M31" s="31"/>
      <c r="N31" s="17"/>
      <c r="O31" s="17"/>
      <c r="P31" s="17"/>
      <c r="Q31" s="17"/>
      <c r="R31" s="17"/>
      <c r="S31" s="17"/>
      <c r="T31" s="17"/>
      <c r="U31" s="59"/>
      <c r="V31" s="59"/>
      <c r="W31" s="59"/>
      <c r="X31" s="31"/>
      <c r="AN31" s="31"/>
      <c r="AO31" s="31"/>
    </row>
    <row r="32" spans="1:41" ht="9.75" customHeight="1" thickBot="1">
      <c r="A32" s="1262"/>
      <c r="B32" s="1230"/>
      <c r="C32" s="1230"/>
      <c r="D32" s="1230"/>
      <c r="E32" s="1230"/>
      <c r="F32" s="1230"/>
      <c r="G32" s="1230"/>
      <c r="H32" s="1230"/>
      <c r="I32" s="1230"/>
      <c r="J32" s="1683"/>
      <c r="K32" s="1854"/>
      <c r="L32" s="108"/>
      <c r="M32" s="31"/>
      <c r="N32" s="17"/>
      <c r="O32" s="17"/>
      <c r="P32" s="17"/>
      <c r="Q32" s="17"/>
      <c r="R32" s="17"/>
      <c r="S32" s="17"/>
      <c r="T32" s="17"/>
      <c r="U32" s="59"/>
      <c r="V32" s="59"/>
      <c r="W32" s="59"/>
      <c r="X32" s="31"/>
      <c r="AN32" s="31"/>
      <c r="AO32" s="31"/>
    </row>
    <row r="33" spans="1:41" ht="17.100000000000001" customHeight="1" thickBot="1">
      <c r="A33" s="4178" t="s">
        <v>1666</v>
      </c>
      <c r="B33" s="4178"/>
      <c r="C33" s="4179" t="s">
        <v>1667</v>
      </c>
      <c r="D33" s="4179"/>
      <c r="E33" s="4178" t="s">
        <v>1651</v>
      </c>
      <c r="F33" s="4178"/>
      <c r="G33" s="4178" t="s">
        <v>1668</v>
      </c>
      <c r="H33" s="4178"/>
      <c r="I33" s="4180" t="s">
        <v>1654</v>
      </c>
      <c r="J33" s="4181"/>
      <c r="K33" s="2484">
        <f>LT_HP!K42</f>
        <v>0</v>
      </c>
      <c r="M33" s="31"/>
      <c r="N33" s="17"/>
      <c r="O33" s="17"/>
      <c r="P33" s="17"/>
      <c r="Q33" s="17"/>
      <c r="R33" s="17"/>
      <c r="S33" s="17"/>
      <c r="T33" s="17"/>
      <c r="U33" s="59"/>
      <c r="V33" s="59"/>
      <c r="W33" s="59"/>
      <c r="X33" s="31"/>
      <c r="AN33" s="31"/>
      <c r="AO33" s="31"/>
    </row>
    <row r="34" spans="1:41" ht="17" customHeight="1">
      <c r="A34" s="4182" t="s">
        <v>1669</v>
      </c>
      <c r="B34" s="4183"/>
      <c r="C34" s="2485" t="str">
        <f>Tech!H21</f>
        <v>100L</v>
      </c>
      <c r="D34" s="2486">
        <f>LT_HP!I50</f>
        <v>2</v>
      </c>
      <c r="E34" s="4184">
        <f>LT_HP!I57</f>
        <v>52000</v>
      </c>
      <c r="F34" s="4184"/>
      <c r="G34" s="4185">
        <f>E34*D34</f>
        <v>104000</v>
      </c>
      <c r="H34" s="4186"/>
      <c r="I34" s="4187" t="str">
        <f>LT_HP!I46</f>
        <v>PBL</v>
      </c>
      <c r="J34" s="4188"/>
      <c r="K34" s="2487">
        <f>LT_HP!I55*D34</f>
        <v>172</v>
      </c>
      <c r="L34" s="1894"/>
      <c r="M34" s="17"/>
      <c r="N34" s="17"/>
      <c r="O34" s="17"/>
      <c r="P34" s="17"/>
      <c r="Q34" s="17"/>
      <c r="R34" s="17"/>
      <c r="S34" s="17"/>
      <c r="T34" s="17"/>
      <c r="U34" s="1592"/>
      <c r="V34" s="59"/>
      <c r="W34" s="59"/>
      <c r="X34" s="1648"/>
      <c r="AN34" s="1648"/>
      <c r="AO34" s="1648"/>
    </row>
    <row r="35" spans="1:41" ht="17.100000000000001" customHeight="1">
      <c r="A35" s="4189" t="s">
        <v>1670</v>
      </c>
      <c r="B35" s="4190"/>
      <c r="C35" s="2488" t="str">
        <f>LT_wh!I75</f>
        <v/>
      </c>
      <c r="D35" s="2489">
        <f>LT_wh!I68</f>
        <v>2</v>
      </c>
      <c r="E35" s="4191">
        <f>LT_wh!I77</f>
        <v>0</v>
      </c>
      <c r="F35" s="4192"/>
      <c r="G35" s="4191">
        <f>E35*D35*K33</f>
        <v>0</v>
      </c>
      <c r="H35" s="4192"/>
      <c r="I35" s="4193" t="str">
        <f>IF(G35&gt;0,LT_wh!I71,"")</f>
        <v/>
      </c>
      <c r="J35" s="4194"/>
      <c r="K35" s="2490">
        <f>LT_wh!I78*D35*K33</f>
        <v>0</v>
      </c>
      <c r="M35" s="1895"/>
      <c r="N35" s="17"/>
      <c r="O35" s="17"/>
      <c r="P35" s="17"/>
      <c r="Q35" s="17"/>
      <c r="R35" s="17"/>
      <c r="S35" s="17"/>
      <c r="T35" s="17"/>
      <c r="U35" s="1896"/>
      <c r="V35" s="59"/>
      <c r="W35" s="59"/>
      <c r="X35" s="1895"/>
      <c r="AN35" s="1895"/>
      <c r="AO35" s="1895"/>
    </row>
    <row r="36" spans="1:41" ht="17.100000000000001" customHeight="1">
      <c r="A36" s="4182" t="s">
        <v>1671</v>
      </c>
      <c r="B36" s="4183"/>
      <c r="C36" s="2488"/>
      <c r="D36" s="2489"/>
      <c r="E36" s="4191"/>
      <c r="F36" s="4192"/>
      <c r="G36" s="4191"/>
      <c r="H36" s="4192"/>
      <c r="I36" s="4195"/>
      <c r="J36" s="4196"/>
      <c r="K36" s="2487"/>
      <c r="L36" s="1897"/>
      <c r="M36" s="1895"/>
      <c r="N36" s="17"/>
      <c r="O36" s="17"/>
      <c r="P36" s="17"/>
      <c r="Q36" s="17"/>
      <c r="R36" s="17"/>
      <c r="S36" s="17"/>
      <c r="T36" s="17"/>
      <c r="U36" s="1896"/>
      <c r="V36" s="59"/>
      <c r="W36" s="59"/>
      <c r="X36" s="1895"/>
      <c r="AN36" s="1895"/>
      <c r="AO36" s="1895"/>
    </row>
    <row r="37" spans="1:41" ht="17.100000000000001" customHeight="1">
      <c r="A37" s="4182" t="s">
        <v>1320</v>
      </c>
      <c r="B37" s="4183"/>
      <c r="C37" s="2491">
        <f>Tech!H32</f>
        <v>160</v>
      </c>
      <c r="D37" s="2489">
        <f>LT_HP!H90</f>
        <v>2</v>
      </c>
      <c r="E37" s="4197">
        <f>LT_HP!H94</f>
        <v>7892.4999999999991</v>
      </c>
      <c r="F37" s="4197"/>
      <c r="G37" s="4191">
        <f>E37*D37*K33</f>
        <v>0</v>
      </c>
      <c r="H37" s="4192"/>
      <c r="I37" s="4195" t="str">
        <f>IF(G37&gt;0,LT_HP!H81&amp;"    :    "&amp;LT_HP!H83,"")</f>
        <v/>
      </c>
      <c r="J37" s="4196"/>
      <c r="K37" s="2487">
        <f>LT_HP!H92*D37*K33</f>
        <v>0</v>
      </c>
      <c r="L37" s="195"/>
      <c r="M37" s="1898"/>
      <c r="N37" s="17"/>
      <c r="O37" s="17"/>
      <c r="P37" s="17"/>
      <c r="Q37" s="17"/>
      <c r="R37" s="17"/>
      <c r="S37" s="17"/>
      <c r="T37" s="17"/>
      <c r="U37" s="1896"/>
      <c r="V37" s="59"/>
      <c r="W37" s="59"/>
      <c r="X37" s="1895"/>
      <c r="AN37" s="1895"/>
      <c r="AO37" s="1895"/>
    </row>
    <row r="38" spans="1:41" ht="17.100000000000001" customHeight="1">
      <c r="A38" s="4182" t="s">
        <v>1672</v>
      </c>
      <c r="B38" s="4183"/>
      <c r="C38" s="2491">
        <f>C37</f>
        <v>160</v>
      </c>
      <c r="D38" s="2489">
        <f>D37</f>
        <v>2</v>
      </c>
      <c r="E38" s="4197">
        <f>LT_HP!H95</f>
        <v>2857</v>
      </c>
      <c r="F38" s="4197"/>
      <c r="G38" s="4191">
        <f>E38*D38*K33</f>
        <v>0</v>
      </c>
      <c r="H38" s="4192"/>
      <c r="I38" s="4195"/>
      <c r="J38" s="4196"/>
      <c r="K38" s="2487">
        <f>LT_HP!H93*D38*K33</f>
        <v>0</v>
      </c>
      <c r="L38" s="463"/>
      <c r="M38" s="1899"/>
      <c r="N38" s="17"/>
      <c r="O38" s="17"/>
      <c r="P38" s="17"/>
      <c r="Q38" s="17"/>
      <c r="R38" s="17"/>
      <c r="S38" s="17"/>
      <c r="T38" s="17"/>
      <c r="U38" s="1896"/>
      <c r="V38" s="59"/>
      <c r="W38" s="59"/>
      <c r="X38" s="1895"/>
      <c r="AN38" s="1895"/>
      <c r="AO38" s="1895"/>
    </row>
    <row r="39" spans="1:41" ht="17.100000000000001" customHeight="1">
      <c r="A39" s="4198" t="s">
        <v>1673</v>
      </c>
      <c r="B39" s="4199"/>
      <c r="C39" s="4200" t="s">
        <v>1674</v>
      </c>
      <c r="D39" s="4201"/>
      <c r="E39" s="4201"/>
      <c r="F39" s="4201"/>
      <c r="G39" s="4201"/>
      <c r="H39" s="4201"/>
      <c r="I39" s="4201"/>
      <c r="J39" s="4202"/>
      <c r="K39" s="2487"/>
      <c r="L39" s="108"/>
      <c r="M39" s="1899"/>
      <c r="N39" s="17"/>
      <c r="O39" s="17"/>
      <c r="P39" s="17"/>
      <c r="Q39" s="17"/>
      <c r="R39" s="17"/>
      <c r="S39" s="17"/>
      <c r="T39" s="17"/>
      <c r="U39" s="1592"/>
      <c r="V39" s="59"/>
      <c r="W39" s="59"/>
      <c r="X39" s="1648"/>
      <c r="AN39" s="1648"/>
      <c r="AO39" s="1648"/>
    </row>
    <row r="40" spans="1:41" ht="17.100000000000001" customHeight="1">
      <c r="A40" s="4203" t="s">
        <v>1675</v>
      </c>
      <c r="B40" s="4204"/>
      <c r="C40" s="2486">
        <f>Tech!H52</f>
        <v>250</v>
      </c>
      <c r="D40" s="2486">
        <f>Tech!H39</f>
        <v>4</v>
      </c>
      <c r="E40" s="4205">
        <f>Selection!D37</f>
        <v>17100</v>
      </c>
      <c r="F40" s="4206"/>
      <c r="G40" s="4205">
        <f>E40*D40</f>
        <v>68400</v>
      </c>
      <c r="H40" s="4206"/>
      <c r="I40" s="4207" t="str">
        <f>Tech!C84</f>
        <v>70X40mm bar</v>
      </c>
      <c r="J40" s="4208"/>
      <c r="K40" s="4509">
        <f>Selection!D38</f>
        <v>455</v>
      </c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648"/>
      <c r="AN40" s="1648"/>
      <c r="AO40" s="1648"/>
    </row>
    <row r="41" spans="1:41" ht="17.100000000000001" customHeight="1">
      <c r="A41" s="4189" t="s">
        <v>1699</v>
      </c>
      <c r="B41" s="4190"/>
      <c r="C41" s="2489">
        <f>Tech!H53</f>
        <v>22214</v>
      </c>
      <c r="D41" s="2489">
        <f>D40*2</f>
        <v>8</v>
      </c>
      <c r="E41" s="4205">
        <f>Selection!D42</f>
        <v>3668.64</v>
      </c>
      <c r="F41" s="4206"/>
      <c r="G41" s="4205">
        <f>E41*D41</f>
        <v>29349.119999999999</v>
      </c>
      <c r="H41" s="4206"/>
      <c r="I41" s="4193" t="str">
        <f>Selection!G18</f>
        <v>FAG MAKE</v>
      </c>
      <c r="J41" s="4194"/>
      <c r="K41" s="4510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648"/>
      <c r="AG41" s="1648"/>
      <c r="AH41" s="1648"/>
      <c r="AI41" s="1648"/>
      <c r="AJ41" s="1648"/>
      <c r="AK41" s="1648"/>
      <c r="AL41" s="1648"/>
      <c r="AM41" s="1648"/>
      <c r="AN41" s="1648"/>
      <c r="AO41" s="1648"/>
    </row>
    <row r="42" spans="1:41" ht="17.100000000000001" customHeight="1">
      <c r="A42" s="4203" t="s">
        <v>1676</v>
      </c>
      <c r="B42" s="4204"/>
      <c r="C42" s="2489" t="str">
        <f>Tech!H54</f>
        <v>8*16</v>
      </c>
      <c r="D42" s="2489">
        <f>D40</f>
        <v>4</v>
      </c>
      <c r="E42" s="4205">
        <f>Selection!D44</f>
        <v>5700</v>
      </c>
      <c r="F42" s="4206"/>
      <c r="G42" s="4191">
        <f>E42*D40</f>
        <v>22800</v>
      </c>
      <c r="H42" s="4192"/>
      <c r="I42" s="4193"/>
      <c r="J42" s="4194"/>
      <c r="K42" s="4511"/>
      <c r="L42" s="1648"/>
      <c r="M42" s="1648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648"/>
      <c r="AG42" s="1648"/>
      <c r="AH42" s="1648"/>
      <c r="AI42" s="1648"/>
      <c r="AJ42" s="1648"/>
      <c r="AK42" s="1648"/>
      <c r="AL42" s="1648"/>
      <c r="AM42" s="1648"/>
      <c r="AN42" s="1648"/>
      <c r="AO42" s="1648"/>
    </row>
    <row r="43" spans="1:41" ht="17.100000000000001" customHeight="1">
      <c r="A43" s="4182" t="s">
        <v>1677</v>
      </c>
      <c r="B43" s="4183"/>
      <c r="C43" s="2492">
        <f>(C41-22200)*5+10</f>
        <v>80</v>
      </c>
      <c r="D43" s="2493">
        <f>(3.1416/4)*(C43/1000)*(C43/1000)*7850*1</f>
        <v>39.458496000000004</v>
      </c>
      <c r="E43" s="2494">
        <v>2</v>
      </c>
      <c r="F43" s="2495">
        <v>100</v>
      </c>
      <c r="G43" s="4209">
        <f>F43*K43*K33</f>
        <v>0</v>
      </c>
      <c r="H43" s="4186"/>
      <c r="I43" s="4210"/>
      <c r="J43" s="4211"/>
      <c r="K43" s="2496">
        <f>D43*E43*K33</f>
        <v>0</v>
      </c>
      <c r="L43" s="1901"/>
      <c r="M43" s="1902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648"/>
      <c r="AG43" s="1648"/>
      <c r="AH43" s="1648"/>
      <c r="AI43" s="1648"/>
      <c r="AJ43" s="1648"/>
      <c r="AK43" s="1648"/>
      <c r="AL43" s="1648"/>
      <c r="AM43" s="1648"/>
      <c r="AN43" s="1648"/>
      <c r="AO43" s="1648"/>
    </row>
    <row r="44" spans="1:41" ht="17.100000000000001" customHeight="1">
      <c r="A44" s="4182" t="s">
        <v>1678</v>
      </c>
      <c r="B44" s="4183"/>
      <c r="C44" s="2497"/>
      <c r="D44" s="2486">
        <v>0</v>
      </c>
      <c r="E44" s="4187"/>
      <c r="F44" s="4187"/>
      <c r="G44" s="4212">
        <f>E44*D44</f>
        <v>0</v>
      </c>
      <c r="H44" s="4212"/>
      <c r="I44" s="4210"/>
      <c r="J44" s="4211"/>
      <c r="K44" s="2487"/>
      <c r="L44" s="4213"/>
      <c r="M44" s="4213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648"/>
      <c r="AG44" s="1648"/>
      <c r="AH44" s="1648"/>
      <c r="AI44" s="1648"/>
      <c r="AJ44" s="1648"/>
      <c r="AK44" s="1648"/>
      <c r="AL44" s="1648"/>
      <c r="AM44" s="1648"/>
      <c r="AN44" s="1648"/>
      <c r="AO44" s="1648"/>
    </row>
    <row r="45" spans="1:41" ht="17.100000000000001" customHeight="1" thickBot="1">
      <c r="A45" s="4214" t="s">
        <v>1147</v>
      </c>
      <c r="B45" s="4215"/>
      <c r="C45" s="2498" t="str">
        <f>Selection!D46</f>
        <v>HGC-102</v>
      </c>
      <c r="D45" s="2499">
        <f>IF(D35&lt;=2,4,D35*2)</f>
        <v>4</v>
      </c>
      <c r="E45" s="4216">
        <f>Selection!D47</f>
        <v>3000</v>
      </c>
      <c r="F45" s="4217"/>
      <c r="G45" s="4218">
        <f>E45*D45*K33</f>
        <v>0</v>
      </c>
      <c r="H45" s="4218"/>
      <c r="I45" s="4219" t="str">
        <f>IF(G45&gt;0,Selection!F47,"")</f>
        <v/>
      </c>
      <c r="J45" s="4208"/>
      <c r="K45" s="2487">
        <f>Selection!D48*D45*K33</f>
        <v>0</v>
      </c>
      <c r="L45" s="1903"/>
      <c r="M45" s="1648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648"/>
      <c r="AG45" s="1648"/>
      <c r="AH45" s="1648"/>
      <c r="AI45" s="1648"/>
      <c r="AJ45" s="1648"/>
      <c r="AK45" s="1648"/>
      <c r="AL45" s="1648"/>
      <c r="AM45" s="1648"/>
      <c r="AN45" s="1648"/>
      <c r="AO45" s="1648"/>
    </row>
    <row r="46" spans="1:41" ht="17.100000000000001" customHeight="1" thickBot="1">
      <c r="A46" s="4220" t="s">
        <v>1679</v>
      </c>
      <c r="B46" s="4221"/>
      <c r="C46" s="4222"/>
      <c r="D46" s="4223"/>
      <c r="E46" s="4222"/>
      <c r="F46" s="4223"/>
      <c r="G46" s="4174">
        <f>ROUNDUP(SUM(G34:H45),-2)</f>
        <v>224600</v>
      </c>
      <c r="H46" s="4175"/>
      <c r="I46" s="4224"/>
      <c r="J46" s="4221"/>
      <c r="K46" s="1904">
        <f>ROUNDUP(SUM(K34:K45),-1)</f>
        <v>630</v>
      </c>
      <c r="L46" s="1905"/>
      <c r="M46" s="1648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905"/>
      <c r="AG46" s="1905"/>
      <c r="AH46" s="1905"/>
      <c r="AI46" s="1905"/>
      <c r="AJ46" s="1905"/>
      <c r="AK46" s="1905"/>
      <c r="AL46" s="1905"/>
      <c r="AM46" s="1905"/>
      <c r="AN46" s="1905"/>
      <c r="AO46" s="1905"/>
    </row>
    <row r="47" spans="1:41" ht="9.75" customHeight="1" thickBot="1">
      <c r="A47" s="1208"/>
      <c r="B47" s="31"/>
      <c r="C47" s="31"/>
      <c r="D47" s="31"/>
      <c r="E47" s="31"/>
      <c r="F47" s="31"/>
      <c r="G47" s="31"/>
      <c r="H47" s="31"/>
      <c r="I47" s="31"/>
      <c r="J47" s="31"/>
      <c r="K47" s="468"/>
      <c r="M47" s="1899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31"/>
      <c r="AG47" s="31"/>
      <c r="AH47" s="31"/>
      <c r="AI47" s="31"/>
      <c r="AJ47" s="31"/>
      <c r="AK47" s="31"/>
      <c r="AL47" s="31"/>
      <c r="AM47" s="31"/>
      <c r="AN47" s="31"/>
      <c r="AO47" s="31"/>
    </row>
    <row r="48" spans="1:41" ht="17.100000000000001" customHeight="1" thickBot="1">
      <c r="A48" s="4129" t="s">
        <v>1680</v>
      </c>
      <c r="B48" s="4131"/>
      <c r="C48" s="4130" t="s">
        <v>1667</v>
      </c>
      <c r="D48" s="4130"/>
      <c r="E48" s="3944" t="s">
        <v>1651</v>
      </c>
      <c r="F48" s="3944"/>
      <c r="G48" s="3944" t="s">
        <v>1668</v>
      </c>
      <c r="H48" s="3944"/>
      <c r="I48" s="4130" t="s">
        <v>1654</v>
      </c>
      <c r="J48" s="4131"/>
      <c r="K48" s="1852"/>
      <c r="L48" s="43"/>
      <c r="M48" s="6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31"/>
      <c r="AG48" s="31"/>
      <c r="AH48" s="31"/>
      <c r="AI48" s="31"/>
      <c r="AJ48" s="31"/>
      <c r="AK48" s="31"/>
      <c r="AL48" s="31"/>
      <c r="AM48" s="31"/>
      <c r="AN48" s="31"/>
      <c r="AO48" s="31"/>
    </row>
    <row r="49" spans="1:41" ht="17.100000000000001" customHeight="1">
      <c r="A49" s="4225" t="s">
        <v>1669</v>
      </c>
      <c r="B49" s="4226"/>
      <c r="C49" s="1906" t="str">
        <f>Tech!C21</f>
        <v>180L</v>
      </c>
      <c r="D49" s="1907">
        <f>Tech!C25</f>
        <v>1</v>
      </c>
      <c r="E49" s="4227">
        <f>MH!I43</f>
        <v>107500</v>
      </c>
      <c r="F49" s="4228"/>
      <c r="G49" s="4229">
        <f t="shared" ref="G49" si="6">E49*D49</f>
        <v>107500</v>
      </c>
      <c r="H49" s="4230"/>
      <c r="I49" s="3834" t="str">
        <f>MH!I36</f>
        <v>CGL</v>
      </c>
      <c r="J49" s="3836"/>
      <c r="K49" s="1908">
        <f>MH!I44*D49</f>
        <v>175</v>
      </c>
      <c r="L49" s="43"/>
      <c r="M49" s="31"/>
      <c r="N49" s="17"/>
      <c r="O49" s="17"/>
      <c r="P49" s="17"/>
      <c r="Q49" s="17"/>
      <c r="R49" s="17"/>
      <c r="S49" s="17"/>
      <c r="T49" s="17"/>
      <c r="U49" s="17"/>
      <c r="V49" s="17"/>
      <c r="W49" s="17"/>
      <c r="AG49" s="31"/>
      <c r="AH49" s="31"/>
      <c r="AI49" s="31"/>
      <c r="AJ49" s="31"/>
      <c r="AK49" s="31"/>
      <c r="AL49" s="31"/>
      <c r="AM49" s="31"/>
      <c r="AN49" s="31"/>
      <c r="AO49" s="31"/>
    </row>
    <row r="50" spans="1:41" ht="17.100000000000001" customHeight="1">
      <c r="A50" s="4145" t="s">
        <v>2813</v>
      </c>
      <c r="B50" s="4146"/>
      <c r="C50" s="30" t="str">
        <f>MH!J290</f>
        <v>3AH775</v>
      </c>
      <c r="D50" s="1909">
        <f>Tech!C37</f>
        <v>1</v>
      </c>
      <c r="E50" s="4231">
        <f>MH!J292</f>
        <v>275000</v>
      </c>
      <c r="F50" s="4232"/>
      <c r="G50" s="4233">
        <f>E50*D50</f>
        <v>275000</v>
      </c>
      <c r="H50" s="4234"/>
      <c r="I50" s="4235" t="str">
        <f>MH!J283</f>
        <v>Elite</v>
      </c>
      <c r="J50" s="4236"/>
      <c r="K50" s="1910">
        <f>MH!J294*D50</f>
        <v>1100</v>
      </c>
      <c r="L50" s="1911"/>
      <c r="M50" s="31"/>
      <c r="N50" s="17"/>
      <c r="O50" s="17"/>
      <c r="P50" s="17"/>
      <c r="Q50" s="17"/>
      <c r="R50" s="17"/>
      <c r="S50" s="17"/>
      <c r="T50" s="17"/>
      <c r="U50" s="17"/>
      <c r="V50" s="17"/>
      <c r="W50" s="17"/>
      <c r="AG50" s="31"/>
      <c r="AH50" s="31"/>
      <c r="AI50" s="31"/>
      <c r="AJ50" s="31"/>
      <c r="AK50" s="31"/>
      <c r="AL50" s="31"/>
      <c r="AM50" s="31"/>
      <c r="AN50" s="31"/>
      <c r="AO50" s="31"/>
    </row>
    <row r="51" spans="1:41" ht="17.100000000000001" customHeight="1">
      <c r="A51" s="4225" t="s">
        <v>1671</v>
      </c>
      <c r="B51" s="4226"/>
      <c r="C51" s="1912"/>
      <c r="D51" s="1907"/>
      <c r="E51" s="4237"/>
      <c r="F51" s="4238"/>
      <c r="G51" s="4239"/>
      <c r="H51" s="4240"/>
      <c r="I51" s="3835"/>
      <c r="J51" s="3836"/>
      <c r="K51" s="1913"/>
      <c r="L51" s="43"/>
      <c r="M51" s="31"/>
      <c r="N51" s="17"/>
      <c r="O51" s="17"/>
      <c r="P51" s="17"/>
      <c r="Q51" s="17"/>
      <c r="R51" s="17"/>
      <c r="S51" s="17"/>
      <c r="T51" s="17"/>
      <c r="U51" s="17"/>
      <c r="V51" s="17"/>
      <c r="W51" s="17"/>
      <c r="AF51" s="31"/>
      <c r="AG51" s="31"/>
      <c r="AH51" s="31"/>
      <c r="AI51" s="31"/>
      <c r="AJ51" s="31"/>
      <c r="AK51" s="31"/>
      <c r="AL51" s="31"/>
      <c r="AM51" s="31"/>
      <c r="AN51" s="31"/>
      <c r="AO51" s="31"/>
    </row>
    <row r="52" spans="1:41" ht="17.100000000000001" customHeight="1">
      <c r="A52" s="4162" t="s">
        <v>1681</v>
      </c>
      <c r="B52" s="4241"/>
      <c r="C52" s="30">
        <f>Tech!C32</f>
        <v>200</v>
      </c>
      <c r="D52" s="1909">
        <f>MH!I77</f>
        <v>1</v>
      </c>
      <c r="E52" s="4242">
        <f>MH!I81</f>
        <v>11784.5</v>
      </c>
      <c r="F52" s="4242"/>
      <c r="G52" s="4243">
        <f>E52*D52</f>
        <v>11784.5</v>
      </c>
      <c r="H52" s="4244"/>
      <c r="I52" s="4245" t="str">
        <f>MH!I69&amp;"  :  "&amp;MH!I71</f>
        <v>EHT  :  SOC</v>
      </c>
      <c r="J52" s="4246"/>
      <c r="K52" s="1913">
        <f>MH!I79*D52</f>
        <v>27</v>
      </c>
      <c r="L52" s="43"/>
      <c r="M52" s="31"/>
      <c r="N52" s="17"/>
      <c r="O52" s="17"/>
      <c r="P52" s="17"/>
      <c r="Q52" s="17"/>
      <c r="R52" s="17"/>
      <c r="S52" s="17"/>
      <c r="T52" s="17"/>
      <c r="U52" s="17"/>
      <c r="V52" s="17"/>
      <c r="W52" s="17"/>
      <c r="AF52" s="31"/>
      <c r="AG52" s="31"/>
      <c r="AH52" s="31"/>
      <c r="AI52" s="31"/>
      <c r="AJ52" s="31"/>
      <c r="AK52" s="31"/>
      <c r="AL52" s="31"/>
      <c r="AM52" s="31"/>
      <c r="AN52" s="31"/>
      <c r="AO52" s="31"/>
    </row>
    <row r="53" spans="1:41" ht="17.100000000000001" customHeight="1">
      <c r="A53" s="4247" t="s">
        <v>1672</v>
      </c>
      <c r="B53" s="4248"/>
      <c r="C53" s="1900">
        <f>C52</f>
        <v>200</v>
      </c>
      <c r="D53" s="1914">
        <f t="shared" ref="D53" si="7">D52</f>
        <v>1</v>
      </c>
      <c r="E53" s="4249">
        <f>MH!I82</f>
        <v>5800</v>
      </c>
      <c r="F53" s="4249"/>
      <c r="G53" s="4250">
        <f t="shared" ref="G53" si="8">E53*D53</f>
        <v>5800</v>
      </c>
      <c r="H53" s="4251"/>
      <c r="I53" s="4252"/>
      <c r="J53" s="4253"/>
      <c r="K53" s="1915">
        <f>MH!I80*D53</f>
        <v>23.5</v>
      </c>
      <c r="L53" s="1047"/>
      <c r="M53" s="1230"/>
      <c r="N53" s="1230"/>
      <c r="O53" s="83"/>
      <c r="P53" s="83"/>
      <c r="Q53" s="83"/>
      <c r="R53" s="1230"/>
      <c r="S53" s="17"/>
      <c r="T53" s="17"/>
      <c r="U53" s="17"/>
      <c r="V53" s="17"/>
      <c r="W53" s="17"/>
      <c r="AF53" s="17"/>
      <c r="AG53" s="17"/>
      <c r="AH53" s="17"/>
      <c r="AI53" s="17"/>
      <c r="AJ53" s="1230"/>
      <c r="AK53" s="1230"/>
      <c r="AL53" s="1230"/>
      <c r="AM53" s="1230"/>
      <c r="AN53" s="1230"/>
      <c r="AO53" s="1230"/>
    </row>
    <row r="54" spans="1:41" ht="17.100000000000001" customHeight="1">
      <c r="A54" s="4162" t="s">
        <v>1682</v>
      </c>
      <c r="B54" s="4241"/>
      <c r="C54" s="30"/>
      <c r="D54" s="1839">
        <f>D50</f>
        <v>1</v>
      </c>
      <c r="E54" s="4249">
        <f>MH!J293</f>
        <v>59000</v>
      </c>
      <c r="F54" s="4249"/>
      <c r="G54" s="4254">
        <f>E54*D54</f>
        <v>59000</v>
      </c>
      <c r="H54" s="4255"/>
      <c r="I54" s="4245"/>
      <c r="J54" s="4246"/>
      <c r="K54" s="1916">
        <v>40</v>
      </c>
      <c r="L54" s="43"/>
      <c r="M54" s="31"/>
      <c r="N54" s="31"/>
      <c r="O54" s="59"/>
      <c r="P54" s="59"/>
      <c r="Q54" s="59"/>
      <c r="R54" s="31"/>
      <c r="S54" s="17"/>
      <c r="T54" s="17"/>
      <c r="U54" s="17"/>
      <c r="V54" s="17"/>
      <c r="W54" s="17"/>
      <c r="AF54" s="17"/>
      <c r="AG54" s="17"/>
      <c r="AH54" s="17"/>
      <c r="AI54" s="17"/>
      <c r="AJ54" s="31"/>
      <c r="AK54" s="31"/>
      <c r="AL54" s="31"/>
      <c r="AM54" s="31"/>
      <c r="AN54" s="31"/>
      <c r="AO54" s="31"/>
    </row>
    <row r="55" spans="1:41" ht="17.100000000000001" customHeight="1">
      <c r="A55" s="4162" t="s">
        <v>1683</v>
      </c>
      <c r="B55" s="4241"/>
      <c r="C55" s="30">
        <f>Tech!F4</f>
        <v>25</v>
      </c>
      <c r="D55" s="1839">
        <f>D54</f>
        <v>1</v>
      </c>
      <c r="E55" s="4249">
        <f>Selection!C11</f>
        <v>9800</v>
      </c>
      <c r="F55" s="4249"/>
      <c r="G55" s="4254">
        <f>E55*D55</f>
        <v>9800</v>
      </c>
      <c r="H55" s="4255"/>
      <c r="I55" s="4245"/>
      <c r="J55" s="4246"/>
      <c r="K55" s="1916">
        <v>50</v>
      </c>
      <c r="L55" s="140" t="str">
        <f>HYPERLINK("\\Manish-pc\e\03 General\Manish\Selection\Price_Sheet_2013.pdf","Price Sheet")</f>
        <v>Price Sheet</v>
      </c>
      <c r="M55" s="1917"/>
      <c r="N55" s="31"/>
      <c r="O55" s="59"/>
      <c r="P55" s="59"/>
      <c r="AG55" s="17"/>
      <c r="AH55" s="17"/>
      <c r="AI55" s="17"/>
      <c r="AJ55" s="31"/>
      <c r="AK55" s="31"/>
      <c r="AL55" s="31"/>
      <c r="AM55" s="31"/>
      <c r="AN55" s="31"/>
      <c r="AO55" s="31"/>
    </row>
    <row r="56" spans="1:41" ht="17.100000000000001" customHeight="1">
      <c r="A56" s="4162" t="s">
        <v>1684</v>
      </c>
      <c r="B56" s="4241"/>
      <c r="C56" s="30">
        <f>Tech!C62</f>
        <v>22220</v>
      </c>
      <c r="D56" s="1839">
        <f>D55</f>
        <v>1</v>
      </c>
      <c r="E56" s="4249">
        <f>Selection!C22</f>
        <v>14456</v>
      </c>
      <c r="F56" s="4249"/>
      <c r="G56" s="4254">
        <f>E56*D56</f>
        <v>14456</v>
      </c>
      <c r="H56" s="4255"/>
      <c r="I56" s="4245" t="str">
        <f>Selection!G18</f>
        <v>FAG MAKE</v>
      </c>
      <c r="J56" s="4246"/>
      <c r="K56" s="1916">
        <v>35</v>
      </c>
      <c r="L56" s="1887"/>
      <c r="M56" s="31"/>
      <c r="N56" s="31"/>
      <c r="O56" s="59"/>
      <c r="P56" s="59"/>
      <c r="AG56" s="17"/>
      <c r="AH56" s="17"/>
      <c r="AI56" s="17"/>
      <c r="AJ56" s="31"/>
      <c r="AK56" s="31"/>
      <c r="AL56" s="31"/>
      <c r="AM56" s="31"/>
      <c r="AN56" s="31"/>
      <c r="AO56" s="31"/>
    </row>
    <row r="57" spans="1:41" ht="17.100000000000001" customHeight="1">
      <c r="A57" s="4162" t="s">
        <v>1685</v>
      </c>
      <c r="B57" s="4241"/>
      <c r="C57" s="30">
        <f>Tech!C64</f>
        <v>110</v>
      </c>
      <c r="D57" s="1918">
        <v>1</v>
      </c>
      <c r="E57" s="4256">
        <v>100</v>
      </c>
      <c r="F57" s="4257"/>
      <c r="G57" s="4258">
        <f>E57*K57</f>
        <v>8000</v>
      </c>
      <c r="H57" s="4244"/>
      <c r="I57" s="4143"/>
      <c r="J57" s="4144"/>
      <c r="K57" s="1919">
        <f>ROUNDUP(3.1416/4*C57/1000*C57/1000*D57*7850,-1)</f>
        <v>80</v>
      </c>
      <c r="L57" s="59"/>
      <c r="M57" s="31"/>
      <c r="N57" s="31"/>
      <c r="O57" s="59"/>
      <c r="P57" s="59"/>
      <c r="AG57" s="17"/>
      <c r="AH57" s="17"/>
      <c r="AI57" s="17"/>
      <c r="AJ57" s="31"/>
      <c r="AK57" s="31"/>
      <c r="AL57" s="31"/>
      <c r="AM57" s="31"/>
      <c r="AN57" s="31"/>
      <c r="AO57" s="31"/>
    </row>
    <row r="58" spans="1:41" ht="17.100000000000001" customHeight="1">
      <c r="A58" s="4145" t="s">
        <v>1686</v>
      </c>
      <c r="B58" s="4146"/>
      <c r="C58" s="30">
        <f>Tech!C59</f>
        <v>406.4</v>
      </c>
      <c r="D58" s="1918">
        <f>MH!J171</f>
        <v>1770</v>
      </c>
      <c r="E58" s="1839">
        <f>Tech!C61</f>
        <v>31</v>
      </c>
      <c r="F58" s="1840">
        <v>100</v>
      </c>
      <c r="G58" s="4259">
        <f>K58*F58</f>
        <v>61000</v>
      </c>
      <c r="H58" s="4259"/>
      <c r="I58" s="4245" t="str">
        <f>MH!J126</f>
        <v>Seamless Tube</v>
      </c>
      <c r="J58" s="4246"/>
      <c r="K58" s="1919">
        <f>ROUNDUP((3.1416*C58*D58*E58*7850/10^9)*1.1,-1)</f>
        <v>610</v>
      </c>
      <c r="L58" s="1920"/>
      <c r="M58" s="4213"/>
      <c r="N58" s="4213"/>
      <c r="O58" s="59"/>
      <c r="P58" s="59"/>
      <c r="AG58" s="17"/>
      <c r="AH58" s="17"/>
      <c r="AI58" s="17"/>
      <c r="AJ58" s="31"/>
      <c r="AK58" s="31"/>
      <c r="AL58" s="31"/>
      <c r="AM58" s="31"/>
      <c r="AN58" s="31"/>
      <c r="AO58" s="31"/>
    </row>
    <row r="59" spans="1:41" ht="17.100000000000001" customHeight="1">
      <c r="A59" s="4145" t="s">
        <v>1687</v>
      </c>
      <c r="B59" s="4146"/>
      <c r="C59" s="1918">
        <f>K58</f>
        <v>610</v>
      </c>
      <c r="D59" s="1839">
        <v>1</v>
      </c>
      <c r="E59" s="4260">
        <v>40</v>
      </c>
      <c r="F59" s="4261"/>
      <c r="G59" s="4259">
        <f>E59*D59*C59</f>
        <v>24400</v>
      </c>
      <c r="H59" s="4259"/>
      <c r="I59" s="4245"/>
      <c r="J59" s="4246"/>
      <c r="K59" s="1913"/>
      <c r="L59" s="1920"/>
      <c r="M59" s="31"/>
      <c r="N59" s="31"/>
      <c r="O59" s="59"/>
      <c r="P59" s="59"/>
      <c r="AG59" s="17"/>
      <c r="AH59" s="17"/>
      <c r="AI59" s="17"/>
      <c r="AJ59" s="31"/>
      <c r="AK59" s="31"/>
      <c r="AL59" s="31"/>
      <c r="AM59" s="31"/>
      <c r="AN59" s="31"/>
      <c r="AO59" s="31"/>
    </row>
    <row r="60" spans="1:41" ht="17.100000000000001" customHeight="1">
      <c r="A60" s="1921" t="s">
        <v>1360</v>
      </c>
      <c r="B60" s="1707">
        <f>MH!F112</f>
        <v>1960</v>
      </c>
      <c r="C60" s="30">
        <f>Tech!C43</f>
        <v>22</v>
      </c>
      <c r="D60" s="1922">
        <f>Tech!C45</f>
        <v>75</v>
      </c>
      <c r="E60" s="4242">
        <f>MH!J118</f>
        <v>400.34999999999997</v>
      </c>
      <c r="F60" s="4242"/>
      <c r="G60" s="4259">
        <f t="shared" ref="G60" si="9">E60*D60</f>
        <v>30026.249999999996</v>
      </c>
      <c r="H60" s="4259"/>
      <c r="I60" s="4245" t="str">
        <f>MH!F110&amp;" "&amp;"("&amp;MH!F111&amp;")"</f>
        <v>6X36 (Steel Core)</v>
      </c>
      <c r="J60" s="4246"/>
      <c r="K60" s="1919">
        <f>MH!F116</f>
        <v>151.5</v>
      </c>
      <c r="L60" s="1920"/>
      <c r="M60" s="31"/>
      <c r="N60" s="31"/>
      <c r="O60" s="59"/>
      <c r="P60" s="59"/>
      <c r="AG60" s="17"/>
      <c r="AH60" s="17"/>
      <c r="AI60" s="17"/>
      <c r="AJ60" s="31"/>
      <c r="AK60" s="31"/>
      <c r="AL60" s="31"/>
      <c r="AM60" s="31"/>
      <c r="AN60" s="31"/>
      <c r="AO60" s="31"/>
    </row>
    <row r="61" spans="1:41" ht="17.100000000000001" customHeight="1">
      <c r="A61" s="4162" t="s">
        <v>1688</v>
      </c>
      <c r="B61" s="4241"/>
      <c r="C61" s="1900">
        <f>Tech!F4</f>
        <v>25</v>
      </c>
      <c r="D61" s="1914">
        <v>1</v>
      </c>
      <c r="E61" s="4262">
        <f>Selection!C14</f>
        <v>44000</v>
      </c>
      <c r="F61" s="4262"/>
      <c r="G61" s="4263">
        <f>E61*D61</f>
        <v>44000</v>
      </c>
      <c r="H61" s="4263"/>
      <c r="I61" s="4245" t="str">
        <f>Tech!C47</f>
        <v>C Type</v>
      </c>
      <c r="J61" s="4246"/>
      <c r="K61" s="4442">
        <f>MH!I13</f>
        <v>625</v>
      </c>
      <c r="L61" s="59"/>
      <c r="M61" s="59"/>
      <c r="N61" s="31"/>
      <c r="O61" s="59"/>
      <c r="P61" s="59"/>
      <c r="AG61" s="17"/>
      <c r="AH61" s="17"/>
      <c r="AI61" s="17"/>
      <c r="AJ61" s="31"/>
      <c r="AK61" s="31"/>
      <c r="AL61" s="31"/>
      <c r="AM61" s="31"/>
      <c r="AN61" s="31"/>
      <c r="AO61" s="31"/>
    </row>
    <row r="62" spans="1:41" ht="17.100000000000001" customHeight="1">
      <c r="A62" s="4162" t="s">
        <v>1689</v>
      </c>
      <c r="B62" s="4264"/>
      <c r="C62" s="30">
        <f>Tech!C48</f>
        <v>51320</v>
      </c>
      <c r="D62" s="1839">
        <v>1</v>
      </c>
      <c r="E62" s="4249">
        <f>Selection!C26</f>
        <v>16780.5</v>
      </c>
      <c r="F62" s="4249"/>
      <c r="G62" s="4265">
        <f>E62*D62</f>
        <v>16780.5</v>
      </c>
      <c r="H62" s="4265"/>
      <c r="I62" s="4245" t="str">
        <f>Selection!G18</f>
        <v>FAG MAKE</v>
      </c>
      <c r="J62" s="4246"/>
      <c r="K62" s="4443"/>
      <c r="L62" s="1923"/>
      <c r="M62" s="1924"/>
      <c r="N62" s="1924"/>
      <c r="O62" s="1924"/>
      <c r="P62" s="59"/>
      <c r="AG62" s="17"/>
      <c r="AH62" s="17"/>
      <c r="AI62" s="17"/>
      <c r="AJ62" s="31"/>
      <c r="AK62" s="31"/>
      <c r="AL62" s="31"/>
      <c r="AM62" s="31"/>
      <c r="AN62" s="31"/>
      <c r="AO62" s="31"/>
    </row>
    <row r="63" spans="1:41" ht="17.100000000000001" customHeight="1">
      <c r="A63" s="4162" t="s">
        <v>1690</v>
      </c>
      <c r="B63" s="4241"/>
      <c r="C63" s="30">
        <f>Tech!F4</f>
        <v>25</v>
      </c>
      <c r="D63" s="1839">
        <v>1</v>
      </c>
      <c r="E63" s="4249">
        <f>Selection!C10</f>
        <v>22000</v>
      </c>
      <c r="F63" s="4249"/>
      <c r="G63" s="4265">
        <f>E63*D63</f>
        <v>22000</v>
      </c>
      <c r="H63" s="4265"/>
      <c r="I63" s="4245"/>
      <c r="J63" s="4246"/>
      <c r="K63" s="4444"/>
      <c r="L63" s="31"/>
      <c r="M63" s="1924"/>
      <c r="N63" s="1924"/>
      <c r="O63" s="1924"/>
      <c r="P63" s="108"/>
      <c r="AG63" s="17"/>
      <c r="AH63" s="17"/>
      <c r="AI63" s="17"/>
      <c r="AJ63" s="31"/>
      <c r="AK63" s="31"/>
      <c r="AL63" s="31"/>
      <c r="AM63" s="31"/>
      <c r="AN63" s="31"/>
      <c r="AO63" s="31"/>
    </row>
    <row r="64" spans="1:41" ht="17.100000000000001" customHeight="1">
      <c r="A64" s="4150" t="s">
        <v>2814</v>
      </c>
      <c r="B64" s="4151"/>
      <c r="C64" s="30">
        <f>Tech!C51</f>
        <v>400</v>
      </c>
      <c r="D64" s="1839">
        <f>'E Data'!D41-1</f>
        <v>3</v>
      </c>
      <c r="E64" s="4242">
        <f>Selection!C17</f>
        <v>15000</v>
      </c>
      <c r="F64" s="4242"/>
      <c r="G64" s="4259">
        <f>E64*D64</f>
        <v>45000</v>
      </c>
      <c r="H64" s="4259"/>
      <c r="I64" s="4245"/>
      <c r="J64" s="4246"/>
      <c r="K64" s="1915">
        <f>('E Data'!D41/2-1)*Selection!C18</f>
        <v>75</v>
      </c>
      <c r="L64" s="31"/>
      <c r="M64" s="1924"/>
      <c r="N64" s="1924"/>
      <c r="O64" s="1924"/>
      <c r="P64" s="17"/>
      <c r="AG64" s="17"/>
      <c r="AH64" s="17"/>
      <c r="AI64" s="17"/>
      <c r="AJ64" s="31"/>
      <c r="AK64" s="31"/>
      <c r="AL64" s="31"/>
      <c r="AM64" s="31"/>
      <c r="AN64" s="31"/>
      <c r="AO64" s="31"/>
    </row>
    <row r="65" spans="1:41" ht="17.100000000000001" customHeight="1" thickBot="1">
      <c r="A65" s="4150" t="s">
        <v>2815</v>
      </c>
      <c r="B65" s="4151"/>
      <c r="C65" s="1925">
        <f>Tech!C53</f>
        <v>6220</v>
      </c>
      <c r="D65" s="1926">
        <f>D64*2</f>
        <v>6</v>
      </c>
      <c r="E65" s="4009">
        <f>Selection!C30</f>
        <v>5669.5</v>
      </c>
      <c r="F65" s="4266"/>
      <c r="G65" s="4267">
        <f>E65*D65</f>
        <v>34017</v>
      </c>
      <c r="H65" s="4268"/>
      <c r="I65" s="4269" t="str">
        <f>Selection!G18</f>
        <v>FAG MAKE</v>
      </c>
      <c r="J65" s="4270"/>
      <c r="K65" s="1927">
        <v>10</v>
      </c>
      <c r="L65" s="1928">
        <f>100%-MH!L191</f>
        <v>0.12319354838709684</v>
      </c>
      <c r="M65" s="4271" t="s">
        <v>1691</v>
      </c>
      <c r="N65" s="4271"/>
      <c r="O65" s="1924"/>
      <c r="P65" s="17"/>
      <c r="AG65" s="17"/>
      <c r="AH65" s="17"/>
      <c r="AI65" s="17"/>
      <c r="AJ65" s="31"/>
      <c r="AK65" s="31"/>
      <c r="AL65" s="31"/>
      <c r="AM65" s="31"/>
      <c r="AN65" s="31"/>
      <c r="AO65" s="31"/>
    </row>
    <row r="66" spans="1:41" ht="17.100000000000001" customHeight="1" thickBot="1">
      <c r="A66" s="4272" t="s">
        <v>1665</v>
      </c>
      <c r="B66" s="4273"/>
      <c r="C66" s="4274"/>
      <c r="D66" s="4274"/>
      <c r="E66" s="4274"/>
      <c r="F66" s="4275"/>
      <c r="G66" s="4174">
        <f>ROUNDUP(SUM(G49:H65),-2)</f>
        <v>768600</v>
      </c>
      <c r="H66" s="4175"/>
      <c r="I66" s="4222"/>
      <c r="J66" s="4223"/>
      <c r="K66" s="1929">
        <f>SUM(K49:K65)-(K58*L66)</f>
        <v>2914.6519354838711</v>
      </c>
      <c r="L66" s="1930">
        <f>L65+2%</f>
        <v>0.14319354838709683</v>
      </c>
      <c r="M66" s="4271" t="s">
        <v>2559</v>
      </c>
      <c r="N66" s="4271"/>
      <c r="O66" s="1924"/>
      <c r="P66" s="17"/>
      <c r="AG66" s="17"/>
      <c r="AH66" s="17"/>
      <c r="AI66" s="17"/>
      <c r="AJ66" s="186"/>
      <c r="AK66" s="186"/>
      <c r="AL66" s="186"/>
      <c r="AM66" s="186"/>
      <c r="AN66" s="186"/>
      <c r="AO66" s="186"/>
    </row>
    <row r="67" spans="1:41" ht="9" customHeight="1" thickBot="1">
      <c r="A67" s="4276"/>
      <c r="B67" s="4127"/>
      <c r="C67" s="4127"/>
      <c r="D67" s="4127"/>
      <c r="E67" s="4127"/>
      <c r="F67" s="4127"/>
      <c r="G67" s="4127"/>
      <c r="H67" s="4127"/>
      <c r="I67" s="4127"/>
      <c r="J67" s="4127"/>
      <c r="K67" s="468"/>
      <c r="L67" s="31"/>
      <c r="M67" s="186"/>
      <c r="N67" s="186"/>
      <c r="O67" s="59"/>
      <c r="P67" s="17"/>
      <c r="AG67" s="17"/>
      <c r="AH67" s="17"/>
      <c r="AI67" s="17"/>
      <c r="AJ67" s="31"/>
      <c r="AK67" s="31"/>
      <c r="AL67" s="31"/>
      <c r="AM67" s="31"/>
      <c r="AN67" s="31"/>
      <c r="AO67" s="31"/>
    </row>
    <row r="68" spans="1:41" ht="17.100000000000001" customHeight="1" thickBot="1">
      <c r="A68" s="4129" t="s">
        <v>1692</v>
      </c>
      <c r="B68" s="4131"/>
      <c r="C68" s="4129" t="s">
        <v>1667</v>
      </c>
      <c r="D68" s="4131"/>
      <c r="E68" s="4131" t="s">
        <v>1651</v>
      </c>
      <c r="F68" s="3944"/>
      <c r="G68" s="3944" t="s">
        <v>1668</v>
      </c>
      <c r="H68" s="3944"/>
      <c r="I68" s="4130" t="s">
        <v>1654</v>
      </c>
      <c r="J68" s="4131"/>
      <c r="K68" s="1893" t="str">
        <f>IF(D5&gt;0,"1","0")</f>
        <v>1</v>
      </c>
      <c r="M68" s="31"/>
      <c r="N68" s="17"/>
      <c r="O68" s="17"/>
      <c r="P68" s="17"/>
      <c r="AG68" s="17"/>
      <c r="AH68" s="17"/>
      <c r="AI68" s="17"/>
      <c r="AJ68" s="31"/>
      <c r="AK68" s="31"/>
      <c r="AL68" s="31"/>
      <c r="AM68" s="31"/>
      <c r="AN68" s="31"/>
      <c r="AO68" s="31"/>
    </row>
    <row r="69" spans="1:41" ht="17.100000000000001" customHeight="1">
      <c r="A69" s="4225" t="s">
        <v>1669</v>
      </c>
      <c r="B69" s="4226"/>
      <c r="C69" s="1906" t="str">
        <f>Tech!D21</f>
        <v>180L</v>
      </c>
      <c r="D69" s="1931">
        <f>Tech!$D$25</f>
        <v>1</v>
      </c>
      <c r="E69" s="4277">
        <f>AH!I43</f>
        <v>107500</v>
      </c>
      <c r="F69" s="4278"/>
      <c r="G69" s="4279">
        <f>1*E69*D69</f>
        <v>107500</v>
      </c>
      <c r="H69" s="4280"/>
      <c r="I69" s="4281" t="str">
        <f>MH!I36</f>
        <v>CGL</v>
      </c>
      <c r="J69" s="4281"/>
      <c r="K69" s="1932">
        <f>AH!I44*D69</f>
        <v>175</v>
      </c>
      <c r="L69" s="59"/>
      <c r="M69" s="31"/>
      <c r="N69" s="17"/>
      <c r="O69" s="17"/>
      <c r="P69" s="17"/>
      <c r="AG69" s="17"/>
      <c r="AH69" s="17"/>
      <c r="AI69" s="17"/>
      <c r="AJ69" s="31"/>
      <c r="AK69" s="31"/>
      <c r="AL69" s="31"/>
      <c r="AM69" s="31"/>
      <c r="AN69" s="31"/>
      <c r="AO69" s="31"/>
    </row>
    <row r="70" spans="1:41" ht="17.100000000000001" customHeight="1">
      <c r="A70" s="4145" t="s">
        <v>1670</v>
      </c>
      <c r="B70" s="4146"/>
      <c r="C70" s="30" t="str">
        <f>Tech!D36</f>
        <v>3AH650</v>
      </c>
      <c r="D70" s="30">
        <f>Tech!D37</f>
        <v>1</v>
      </c>
      <c r="E70" s="4231">
        <f>AH!J292</f>
        <v>175000</v>
      </c>
      <c r="F70" s="4232"/>
      <c r="G70" s="4282">
        <f>E70*D70</f>
        <v>175000</v>
      </c>
      <c r="H70" s="4283"/>
      <c r="I70" s="4235" t="str">
        <f>AH!J283</f>
        <v>Elite</v>
      </c>
      <c r="J70" s="4284"/>
      <c r="K70" s="1933">
        <f>AH!J294*D70</f>
        <v>700</v>
      </c>
      <c r="M70" s="31"/>
      <c r="N70" s="17"/>
      <c r="O70" s="17"/>
      <c r="AG70" s="17"/>
      <c r="AH70" s="17"/>
      <c r="AI70" s="17"/>
      <c r="AJ70" s="31"/>
      <c r="AK70" s="31"/>
      <c r="AL70" s="31"/>
      <c r="AM70" s="31"/>
      <c r="AN70" s="31"/>
      <c r="AO70" s="31"/>
    </row>
    <row r="71" spans="1:41" ht="17.100000000000001" customHeight="1">
      <c r="A71" s="4225" t="s">
        <v>1671</v>
      </c>
      <c r="B71" s="4226"/>
      <c r="C71" s="30"/>
      <c r="D71" s="1931"/>
      <c r="E71" s="4285"/>
      <c r="F71" s="4286"/>
      <c r="G71" s="4237"/>
      <c r="H71" s="4238"/>
      <c r="I71" s="4235"/>
      <c r="J71" s="4284"/>
      <c r="K71" s="1934"/>
      <c r="M71" s="31"/>
      <c r="N71" s="17"/>
      <c r="O71" s="17"/>
      <c r="P71" s="17"/>
      <c r="AG71" s="17"/>
      <c r="AH71" s="17"/>
      <c r="AI71" s="17"/>
      <c r="AJ71" s="31"/>
      <c r="AK71" s="31"/>
      <c r="AL71" s="31"/>
      <c r="AM71" s="31"/>
      <c r="AN71" s="31"/>
      <c r="AO71" s="31"/>
    </row>
    <row r="72" spans="1:41" ht="17.100000000000001" customHeight="1">
      <c r="A72" s="4162" t="s">
        <v>1681</v>
      </c>
      <c r="B72" s="4241"/>
      <c r="C72" s="30">
        <f>Tech!$D$32</f>
        <v>200</v>
      </c>
      <c r="D72" s="30">
        <f>AH!I77</f>
        <v>1</v>
      </c>
      <c r="E72" s="4242">
        <f>AH!I81</f>
        <v>11784.5</v>
      </c>
      <c r="F72" s="4242"/>
      <c r="G72" s="4287">
        <f>E72*D72</f>
        <v>11784.5</v>
      </c>
      <c r="H72" s="4288"/>
      <c r="I72" s="4245" t="str">
        <f>AH!I69&amp;"  :  "&amp;AH!I71</f>
        <v>EHT  :  SOC</v>
      </c>
      <c r="J72" s="4235"/>
      <c r="K72" s="1934">
        <f>AH!I79*D72</f>
        <v>27</v>
      </c>
      <c r="L72" s="31"/>
      <c r="M72" s="31"/>
      <c r="N72" s="17"/>
      <c r="O72" s="17"/>
      <c r="P72" s="17"/>
      <c r="AG72" s="17"/>
      <c r="AH72" s="17"/>
      <c r="AI72" s="17"/>
      <c r="AJ72" s="31"/>
      <c r="AK72" s="31"/>
      <c r="AL72" s="31"/>
      <c r="AM72" s="31"/>
      <c r="AN72" s="31"/>
      <c r="AO72" s="31"/>
    </row>
    <row r="73" spans="1:41" ht="17.100000000000001" customHeight="1">
      <c r="A73" s="4162" t="s">
        <v>1672</v>
      </c>
      <c r="B73" s="4241"/>
      <c r="C73" s="30">
        <f>C72</f>
        <v>200</v>
      </c>
      <c r="D73" s="30">
        <f>D72</f>
        <v>1</v>
      </c>
      <c r="E73" s="4289">
        <f>AH!I82</f>
        <v>5800</v>
      </c>
      <c r="F73" s="4289"/>
      <c r="G73" s="4287">
        <f t="shared" ref="G73" si="10">E73*D73</f>
        <v>5800</v>
      </c>
      <c r="H73" s="4288"/>
      <c r="I73" s="4245"/>
      <c r="J73" s="4235"/>
      <c r="K73" s="1934">
        <f>AH!I80*D72</f>
        <v>23.5</v>
      </c>
      <c r="L73" s="31"/>
      <c r="M73" s="31"/>
      <c r="N73" s="17"/>
      <c r="O73" s="17"/>
      <c r="P73" s="17"/>
      <c r="AG73" s="17"/>
      <c r="AH73" s="17"/>
      <c r="AI73" s="17"/>
      <c r="AJ73" s="31"/>
      <c r="AK73" s="31"/>
      <c r="AL73" s="31"/>
      <c r="AM73" s="31"/>
      <c r="AN73" s="31"/>
      <c r="AO73" s="31"/>
    </row>
    <row r="74" spans="1:41" ht="17.100000000000001" customHeight="1">
      <c r="A74" s="4162" t="s">
        <v>1682</v>
      </c>
      <c r="B74" s="4241"/>
      <c r="C74" s="30"/>
      <c r="D74" s="30">
        <f>D70</f>
        <v>1</v>
      </c>
      <c r="E74" s="4249">
        <f>AH!J293</f>
        <v>53000</v>
      </c>
      <c r="F74" s="4249"/>
      <c r="G74" s="4290">
        <f>E74*D74</f>
        <v>53000</v>
      </c>
      <c r="H74" s="4291"/>
      <c r="I74" s="4245"/>
      <c r="J74" s="4235"/>
      <c r="K74" s="1935">
        <v>20</v>
      </c>
      <c r="L74" s="31"/>
      <c r="M74" s="31"/>
      <c r="N74" s="31"/>
      <c r="O74" s="19"/>
      <c r="P74" s="1936"/>
      <c r="AG74" s="17"/>
      <c r="AH74" s="17"/>
      <c r="AI74" s="17"/>
      <c r="AJ74" s="31"/>
      <c r="AK74" s="31"/>
      <c r="AL74" s="31"/>
      <c r="AM74" s="31"/>
      <c r="AN74" s="31"/>
      <c r="AO74" s="31"/>
    </row>
    <row r="75" spans="1:41" ht="17.100000000000001" customHeight="1">
      <c r="A75" s="4162" t="s">
        <v>1683</v>
      </c>
      <c r="B75" s="4241"/>
      <c r="C75" s="30">
        <f>Tech!$G$4</f>
        <v>15</v>
      </c>
      <c r="D75" s="30">
        <v>1</v>
      </c>
      <c r="E75" s="4249">
        <f>Selection!D11</f>
        <v>7500</v>
      </c>
      <c r="F75" s="4249"/>
      <c r="G75" s="4290">
        <f>E75*D75</f>
        <v>7500</v>
      </c>
      <c r="H75" s="4291"/>
      <c r="I75" s="4245"/>
      <c r="J75" s="4235"/>
      <c r="K75" s="1935">
        <v>30</v>
      </c>
      <c r="L75" s="463"/>
      <c r="M75" s="31"/>
      <c r="N75" s="31"/>
      <c r="O75" s="19"/>
      <c r="P75" s="1936"/>
      <c r="AG75" s="17"/>
      <c r="AH75" s="17"/>
      <c r="AI75" s="17"/>
      <c r="AJ75" s="31"/>
      <c r="AK75" s="31"/>
      <c r="AL75" s="31"/>
      <c r="AM75" s="31"/>
      <c r="AN75" s="31"/>
      <c r="AO75" s="31"/>
    </row>
    <row r="76" spans="1:41" ht="17.100000000000001" customHeight="1">
      <c r="A76" s="4162" t="s">
        <v>1684</v>
      </c>
      <c r="B76" s="4241"/>
      <c r="C76" s="30">
        <f>Tech!D62</f>
        <v>22216</v>
      </c>
      <c r="D76" s="30">
        <v>1</v>
      </c>
      <c r="E76" s="4249">
        <f>Selection!D22</f>
        <v>8487</v>
      </c>
      <c r="F76" s="4249"/>
      <c r="G76" s="4290">
        <f>E76*D76</f>
        <v>8487</v>
      </c>
      <c r="H76" s="4291"/>
      <c r="I76" s="4245" t="str">
        <f>Selection!G18</f>
        <v>FAG MAKE</v>
      </c>
      <c r="J76" s="4235"/>
      <c r="K76" s="1935">
        <v>15</v>
      </c>
      <c r="L76" s="140" t="str">
        <f>HYPERLINK("\\Manish-pc\e\03 General\Manish\Selection\Price_Sheet_2013.pdf","Price Sheet")</f>
        <v>Price Sheet</v>
      </c>
      <c r="M76" s="31"/>
      <c r="N76" s="31"/>
      <c r="O76" s="19"/>
      <c r="P76" s="1936"/>
      <c r="AG76" s="17"/>
      <c r="AH76" s="17"/>
      <c r="AI76" s="17"/>
      <c r="AJ76" s="31"/>
      <c r="AK76" s="31"/>
      <c r="AL76" s="31"/>
      <c r="AM76" s="31"/>
      <c r="AN76" s="31"/>
      <c r="AO76" s="31"/>
    </row>
    <row r="77" spans="1:41" ht="17.100000000000001" customHeight="1">
      <c r="A77" s="4162" t="s">
        <v>1685</v>
      </c>
      <c r="B77" s="4241"/>
      <c r="C77" s="30">
        <f>Tech!D64</f>
        <v>90</v>
      </c>
      <c r="D77" s="1918">
        <v>1</v>
      </c>
      <c r="E77" s="4256">
        <v>100</v>
      </c>
      <c r="F77" s="4257"/>
      <c r="G77" s="4292">
        <f>ROUNDUP(K77*E77,1)</f>
        <v>5000</v>
      </c>
      <c r="H77" s="4288"/>
      <c r="I77" s="4245"/>
      <c r="J77" s="4235"/>
      <c r="K77" s="1932">
        <f>ROUNDUP(3.1416/4*C77/1000*C77/1000*D77*7850,-1)</f>
        <v>50</v>
      </c>
      <c r="L77" s="31"/>
      <c r="M77" s="31"/>
      <c r="N77" s="31"/>
      <c r="O77" s="19"/>
      <c r="P77" s="1936"/>
      <c r="AG77" s="17"/>
      <c r="AH77" s="17"/>
      <c r="AI77" s="17"/>
      <c r="AJ77" s="31"/>
      <c r="AK77" s="31"/>
      <c r="AL77" s="31"/>
      <c r="AM77" s="31"/>
      <c r="AN77" s="31"/>
      <c r="AO77" s="31"/>
    </row>
    <row r="78" spans="1:41" ht="17.100000000000001" customHeight="1">
      <c r="A78" s="4145" t="s">
        <v>1686</v>
      </c>
      <c r="B78" s="4146"/>
      <c r="C78" s="30">
        <f>Tech!$D$59</f>
        <v>406.4</v>
      </c>
      <c r="D78" s="1918">
        <f>Tech!$D$60</f>
        <v>1550</v>
      </c>
      <c r="E78" s="1841">
        <f>Tech!$D$61</f>
        <v>26.2</v>
      </c>
      <c r="F78" s="1840">
        <v>100</v>
      </c>
      <c r="G78" s="4293">
        <f>F78*K78</f>
        <v>45000</v>
      </c>
      <c r="H78" s="4293"/>
      <c r="I78" s="4245" t="str">
        <f>AH!J126</f>
        <v>Seamless Tube</v>
      </c>
      <c r="J78" s="4235"/>
      <c r="K78" s="1932">
        <f>ROUNDUP((3.1416*C78*D78*E78*7850/10^9)*1.1,-1)</f>
        <v>450</v>
      </c>
      <c r="L78" s="31"/>
      <c r="M78" s="31"/>
      <c r="N78" s="31"/>
      <c r="O78" s="19"/>
      <c r="P78" s="1936"/>
      <c r="AG78" s="17"/>
      <c r="AH78" s="17"/>
      <c r="AI78" s="17"/>
      <c r="AJ78" s="31"/>
      <c r="AK78" s="31"/>
      <c r="AL78" s="31"/>
      <c r="AM78" s="31"/>
      <c r="AN78" s="31"/>
      <c r="AO78" s="31"/>
    </row>
    <row r="79" spans="1:41" ht="17.100000000000001" customHeight="1">
      <c r="A79" s="4145" t="s">
        <v>1687</v>
      </c>
      <c r="B79" s="4146"/>
      <c r="C79" s="1918">
        <f>K78</f>
        <v>450</v>
      </c>
      <c r="D79" s="30">
        <v>1</v>
      </c>
      <c r="E79" s="4294">
        <v>40</v>
      </c>
      <c r="F79" s="4295"/>
      <c r="G79" s="4293">
        <f>C79*E79</f>
        <v>18000</v>
      </c>
      <c r="H79" s="4293"/>
      <c r="I79" s="4245"/>
      <c r="J79" s="4235"/>
      <c r="K79" s="1934"/>
      <c r="L79" s="31"/>
      <c r="M79" s="31"/>
      <c r="N79" s="31"/>
      <c r="O79" s="19"/>
      <c r="P79" s="1936"/>
      <c r="AG79" s="17"/>
      <c r="AH79" s="17"/>
      <c r="AI79" s="17"/>
      <c r="AJ79" s="31"/>
      <c r="AK79" s="31"/>
      <c r="AL79" s="31"/>
      <c r="AM79" s="31"/>
      <c r="AN79" s="31"/>
      <c r="AO79" s="31"/>
    </row>
    <row r="80" spans="1:41" ht="17.100000000000001" customHeight="1">
      <c r="A80" s="1921" t="s">
        <v>1360</v>
      </c>
      <c r="B80" s="1707">
        <f>AH!F112</f>
        <v>1770</v>
      </c>
      <c r="C80" s="30">
        <f>Tech!$D$43</f>
        <v>18</v>
      </c>
      <c r="D80" s="1918">
        <f>Tech!$D$45</f>
        <v>75</v>
      </c>
      <c r="E80" s="4242">
        <f>AH!J118</f>
        <v>267.75850000000003</v>
      </c>
      <c r="F80" s="4242"/>
      <c r="G80" s="4293">
        <f>ROUNDUP(E80*D80,1)</f>
        <v>20081.899999999998</v>
      </c>
      <c r="H80" s="4293"/>
      <c r="I80" s="4245" t="str">
        <f>AH!F110&amp;" "&amp;"("&amp;AH!F111&amp;")"</f>
        <v>6X36 (Steel Core)</v>
      </c>
      <c r="J80" s="4235"/>
      <c r="K80" s="1932">
        <f>AH!F116</f>
        <v>101.25</v>
      </c>
      <c r="L80" s="31"/>
      <c r="M80" s="31"/>
      <c r="N80" s="31"/>
      <c r="O80" s="582"/>
      <c r="P80" s="1937"/>
      <c r="AG80" s="17"/>
      <c r="AH80" s="17"/>
      <c r="AI80" s="17"/>
      <c r="AJ80" s="31"/>
      <c r="AK80" s="31"/>
      <c r="AL80" s="31"/>
      <c r="AM80" s="31"/>
      <c r="AN80" s="31"/>
      <c r="AO80" s="31"/>
    </row>
    <row r="81" spans="1:61" ht="17.45" customHeight="1">
      <c r="A81" s="4162" t="s">
        <v>2816</v>
      </c>
      <c r="B81" s="4241"/>
      <c r="C81" s="30">
        <f>Tech!$G$4</f>
        <v>15</v>
      </c>
      <c r="D81" s="30">
        <v>1</v>
      </c>
      <c r="E81" s="4262">
        <f>Selection!D14</f>
        <v>27500</v>
      </c>
      <c r="F81" s="4262"/>
      <c r="G81" s="3700">
        <f>E81*D81</f>
        <v>27500</v>
      </c>
      <c r="H81" s="3700"/>
      <c r="I81" s="4245" t="str">
        <f>Tech!D47</f>
        <v>C Type</v>
      </c>
      <c r="J81" s="4235"/>
      <c r="K81" s="4445">
        <f>AH!I13</f>
        <v>375</v>
      </c>
      <c r="L81" s="31"/>
      <c r="M81" s="59"/>
      <c r="N81" s="31"/>
      <c r="O81" s="19"/>
      <c r="P81" s="1936"/>
      <c r="AG81" s="17"/>
      <c r="AH81" s="17"/>
      <c r="AI81" s="17"/>
      <c r="AJ81" s="31"/>
      <c r="AK81" s="31"/>
      <c r="AL81" s="31"/>
      <c r="AM81" s="31"/>
      <c r="AN81" s="31"/>
      <c r="AO81" s="31"/>
    </row>
    <row r="82" spans="1:61" ht="17.45" customHeight="1">
      <c r="A82" s="4162" t="s">
        <v>1693</v>
      </c>
      <c r="B82" s="4241"/>
      <c r="C82" s="30">
        <f>Tech!$D$48</f>
        <v>51222</v>
      </c>
      <c r="D82" s="30">
        <v>1</v>
      </c>
      <c r="E82" s="4249">
        <f>Selection!D26</f>
        <v>10250.9</v>
      </c>
      <c r="F82" s="4249"/>
      <c r="G82" s="3700">
        <f t="shared" ref="G82" si="11">E82*D82</f>
        <v>10250.9</v>
      </c>
      <c r="H82" s="3700"/>
      <c r="I82" s="4245" t="str">
        <f>Selection!G18</f>
        <v>FAG MAKE</v>
      </c>
      <c r="J82" s="4235"/>
      <c r="K82" s="4446"/>
      <c r="L82" s="31"/>
      <c r="M82" s="31"/>
      <c r="N82" s="31"/>
      <c r="O82" s="59"/>
      <c r="P82" s="20"/>
      <c r="AG82" s="17"/>
      <c r="AH82" s="17"/>
      <c r="AI82" s="17"/>
      <c r="AJ82" s="31"/>
      <c r="AK82" s="31"/>
      <c r="AL82" s="31"/>
      <c r="AM82" s="31"/>
      <c r="AN82" s="31"/>
      <c r="AO82" s="31"/>
    </row>
    <row r="83" spans="1:61" ht="16.5" customHeight="1">
      <c r="A83" s="4162" t="s">
        <v>1690</v>
      </c>
      <c r="B83" s="4241"/>
      <c r="C83" s="30">
        <f>C81</f>
        <v>15</v>
      </c>
      <c r="D83" s="30">
        <v>1</v>
      </c>
      <c r="E83" s="4249">
        <f>Selection!D10</f>
        <v>13750</v>
      </c>
      <c r="F83" s="4249"/>
      <c r="G83" s="3700">
        <f>E83*D83</f>
        <v>13750</v>
      </c>
      <c r="H83" s="3700"/>
      <c r="I83" s="4245"/>
      <c r="J83" s="4235"/>
      <c r="K83" s="4447"/>
      <c r="L83" s="31"/>
      <c r="M83" s="1592"/>
      <c r="N83" s="31"/>
      <c r="O83" s="59"/>
      <c r="P83" s="20"/>
      <c r="AG83" s="17"/>
      <c r="AH83" s="17"/>
      <c r="AI83" s="17"/>
      <c r="AJ83" s="31"/>
      <c r="AK83" s="31"/>
      <c r="AL83" s="31"/>
      <c r="AM83" s="31"/>
      <c r="AN83" s="31"/>
      <c r="AO83" s="31"/>
    </row>
    <row r="84" spans="1:61" ht="17.100000000000001" customHeight="1">
      <c r="A84" s="4162" t="s">
        <v>1694</v>
      </c>
      <c r="B84" s="4241"/>
      <c r="C84" s="30">
        <f>Tech!$D$51</f>
        <v>400</v>
      </c>
      <c r="D84" s="30">
        <f>Tech!D39-1</f>
        <v>3</v>
      </c>
      <c r="E84" s="4242">
        <f>Selection!D17</f>
        <v>15000</v>
      </c>
      <c r="F84" s="4242"/>
      <c r="G84" s="4293">
        <f>E84*D84</f>
        <v>45000</v>
      </c>
      <c r="H84" s="4293"/>
      <c r="I84" s="4245"/>
      <c r="J84" s="4235"/>
      <c r="K84" s="1938">
        <f>('E Data'!D42/2-1)*Selection!D18</f>
        <v>75</v>
      </c>
      <c r="L84" s="31"/>
      <c r="M84" s="1592"/>
      <c r="N84" s="1592"/>
      <c r="O84" s="59"/>
      <c r="P84" s="20"/>
      <c r="AG84" s="17"/>
      <c r="AH84" s="17"/>
      <c r="AI84" s="17"/>
      <c r="AJ84" s="31"/>
      <c r="AK84" s="31"/>
      <c r="AL84" s="31"/>
      <c r="AM84" s="31"/>
      <c r="AN84" s="31"/>
      <c r="AO84" s="31"/>
    </row>
    <row r="85" spans="1:61" ht="30.6" customHeight="1" thickBot="1">
      <c r="A85" s="4296" t="s">
        <v>1695</v>
      </c>
      <c r="B85" s="4297"/>
      <c r="C85" s="1925">
        <f>Tech!D53</f>
        <v>6220</v>
      </c>
      <c r="D85" s="1925">
        <f>D84*2</f>
        <v>6</v>
      </c>
      <c r="E85" s="4298">
        <f>Selection!D30</f>
        <v>5669.5</v>
      </c>
      <c r="F85" s="4299"/>
      <c r="G85" s="4300">
        <f>E85*D85</f>
        <v>34017</v>
      </c>
      <c r="H85" s="4301"/>
      <c r="I85" s="4269" t="str">
        <f>Selection!G18</f>
        <v>FAG MAKE</v>
      </c>
      <c r="J85" s="4302"/>
      <c r="K85" s="1935">
        <v>5</v>
      </c>
      <c r="L85" s="1928">
        <f>100%-AH!L191</f>
        <v>0.23132497273718655</v>
      </c>
      <c r="M85" s="4271" t="s">
        <v>1691</v>
      </c>
      <c r="N85" s="4271"/>
      <c r="O85" s="31"/>
      <c r="P85" s="31"/>
      <c r="AG85" s="17"/>
      <c r="AH85" s="17"/>
      <c r="AI85" s="17"/>
      <c r="AJ85" s="31"/>
      <c r="AK85" s="31"/>
      <c r="AL85" s="31"/>
      <c r="AM85" s="31"/>
      <c r="AN85" s="31"/>
      <c r="AO85" s="31"/>
    </row>
    <row r="86" spans="1:61" ht="17.100000000000001" customHeight="1" thickBot="1">
      <c r="A86" s="4272" t="s">
        <v>1665</v>
      </c>
      <c r="B86" s="4273"/>
      <c r="C86" s="4274"/>
      <c r="D86" s="4274"/>
      <c r="E86" s="4274"/>
      <c r="F86" s="4275"/>
      <c r="G86" s="4174">
        <f>ROUNDUP(SUM(G69:H85),-2)*0</f>
        <v>0</v>
      </c>
      <c r="H86" s="4175"/>
      <c r="I86" s="4222"/>
      <c r="J86" s="4275"/>
      <c r="K86" s="1929">
        <f>(SUM(K69:K85)-(K78*L86))*0</f>
        <v>0</v>
      </c>
      <c r="L86" s="1930">
        <f>L85+2%</f>
        <v>0.25132497273718657</v>
      </c>
      <c r="M86" s="4271" t="s">
        <v>2559</v>
      </c>
      <c r="N86" s="4271"/>
      <c r="O86" s="186"/>
      <c r="P86" s="186"/>
      <c r="AG86" s="17"/>
      <c r="AH86" s="1939"/>
      <c r="AI86" s="1939"/>
      <c r="AJ86" s="1939"/>
      <c r="AK86" s="1939"/>
      <c r="AL86" s="1939"/>
      <c r="AM86" s="1939"/>
      <c r="AN86" s="1939"/>
      <c r="AO86" s="1939"/>
      <c r="AP86" s="1939"/>
      <c r="AQ86" s="1939"/>
      <c r="AR86" s="1939"/>
      <c r="AS86" s="1939"/>
      <c r="AT86" s="1939"/>
      <c r="AU86" s="1939"/>
      <c r="AV86" s="1939"/>
      <c r="AW86" s="1939"/>
      <c r="AX86" s="1939"/>
      <c r="AY86" s="1939"/>
      <c r="AZ86" s="1939"/>
      <c r="BA86" s="1939"/>
      <c r="BB86" s="1939"/>
      <c r="BC86" s="1939"/>
      <c r="BD86" s="1939"/>
      <c r="BE86" s="1939"/>
      <c r="BF86" s="1939"/>
      <c r="BG86" s="1939"/>
      <c r="BH86" s="1939"/>
      <c r="BI86" s="1939"/>
    </row>
    <row r="87" spans="1:61" ht="9.75" customHeight="1" thickBot="1">
      <c r="A87" s="4303"/>
      <c r="B87" s="4073"/>
      <c r="C87" s="4073"/>
      <c r="D87" s="4073"/>
      <c r="E87" s="4073"/>
      <c r="F87" s="4073"/>
      <c r="G87" s="4073"/>
      <c r="H87" s="4073"/>
      <c r="I87" s="4127"/>
      <c r="J87" s="4127"/>
      <c r="K87" s="468"/>
      <c r="L87" s="31"/>
      <c r="M87" s="1940"/>
      <c r="N87" s="31"/>
      <c r="O87" s="31"/>
      <c r="P87" s="31"/>
      <c r="AG87" s="17"/>
      <c r="AH87" s="1939"/>
      <c r="AI87" s="1939"/>
      <c r="AJ87" s="1939"/>
      <c r="AK87" s="1939"/>
      <c r="AL87" s="1939"/>
      <c r="AM87" s="1939"/>
      <c r="AN87" s="1939"/>
      <c r="AO87" s="1939"/>
      <c r="AP87" s="1939"/>
      <c r="AQ87" s="1939"/>
      <c r="AR87" s="1939"/>
      <c r="AS87" s="1939"/>
      <c r="AT87" s="1939"/>
      <c r="AU87" s="1939"/>
      <c r="AV87" s="1939"/>
      <c r="AW87" s="1939"/>
      <c r="AX87" s="1939"/>
      <c r="AY87" s="1939"/>
      <c r="AZ87" s="1939"/>
      <c r="BA87" s="1939"/>
      <c r="BB87" s="1939"/>
      <c r="BC87" s="1939"/>
      <c r="BD87" s="1939"/>
      <c r="BE87" s="1939"/>
      <c r="BF87" s="1939"/>
      <c r="BG87" s="1939"/>
      <c r="BH87" s="1939"/>
      <c r="BI87" s="1939"/>
    </row>
    <row r="88" spans="1:61" ht="17.100000000000001" customHeight="1" thickBot="1">
      <c r="A88" s="4129" t="s">
        <v>1696</v>
      </c>
      <c r="B88" s="4130"/>
      <c r="C88" s="4130" t="s">
        <v>1667</v>
      </c>
      <c r="D88" s="4130"/>
      <c r="E88" s="4130" t="s">
        <v>1651</v>
      </c>
      <c r="F88" s="4130"/>
      <c r="G88" s="4130" t="s">
        <v>1668</v>
      </c>
      <c r="H88" s="4130"/>
      <c r="I88" s="4129" t="s">
        <v>1654</v>
      </c>
      <c r="J88" s="4130"/>
      <c r="K88" s="1893">
        <f>CT_HP!K38</f>
        <v>0</v>
      </c>
      <c r="L88" s="31"/>
      <c r="M88" s="31"/>
      <c r="N88" s="31"/>
      <c r="O88" s="31"/>
      <c r="P88" s="31"/>
      <c r="AG88" s="17"/>
      <c r="AX88" s="1939"/>
      <c r="AY88" s="1941"/>
      <c r="AZ88" s="1941"/>
      <c r="BA88" s="1941"/>
      <c r="BB88" s="1941"/>
      <c r="BC88" s="1941"/>
      <c r="BD88" s="1941"/>
      <c r="BE88" s="1941"/>
      <c r="BF88" s="1941"/>
      <c r="BG88" s="1941"/>
      <c r="BH88" s="1941"/>
      <c r="BI88" s="1941"/>
    </row>
    <row r="89" spans="1:61" ht="17.45" customHeight="1">
      <c r="A89" s="4182" t="s">
        <v>1669</v>
      </c>
      <c r="B89" s="4183"/>
      <c r="C89" s="2485" t="str">
        <f>CT_HP!I48</f>
        <v>90S</v>
      </c>
      <c r="D89" s="2486">
        <f>Tech!G25</f>
        <v>2</v>
      </c>
      <c r="E89" s="4184">
        <f>CT_HP!I53</f>
        <v>48000</v>
      </c>
      <c r="F89" s="4184"/>
      <c r="G89" s="4185">
        <f>E89*D89</f>
        <v>96000</v>
      </c>
      <c r="H89" s="4209"/>
      <c r="I89" s="4304" t="str">
        <f>CT_HP!I42</f>
        <v>PBL</v>
      </c>
      <c r="J89" s="4210"/>
      <c r="K89" s="2500">
        <f>CT_HP!I51*D89</f>
        <v>78</v>
      </c>
      <c r="L89" s="1894"/>
      <c r="N89" s="31"/>
      <c r="O89" s="31"/>
      <c r="P89" s="31"/>
      <c r="Q89" s="17"/>
      <c r="R89" s="17"/>
      <c r="S89" s="17"/>
      <c r="T89" s="17"/>
      <c r="U89" s="17"/>
      <c r="V89" s="17"/>
      <c r="W89" s="17"/>
      <c r="X89" s="17"/>
      <c r="AF89" s="17"/>
      <c r="AG89" s="17"/>
      <c r="AX89" s="1939"/>
      <c r="AY89" s="1939"/>
      <c r="AZ89" s="1939"/>
      <c r="BA89" s="1939"/>
      <c r="BB89" s="1939"/>
      <c r="BC89" s="1939"/>
      <c r="BD89" s="1939"/>
      <c r="BE89" s="1939"/>
      <c r="BF89" s="1939"/>
      <c r="BG89" s="1939"/>
      <c r="BH89" s="1939"/>
      <c r="BI89" s="1939"/>
    </row>
    <row r="90" spans="1:61" ht="17.100000000000001" customHeight="1">
      <c r="A90" s="4305" t="s">
        <v>2813</v>
      </c>
      <c r="B90" s="4190"/>
      <c r="C90" s="2488" t="str">
        <f>CT_wh!I77</f>
        <v/>
      </c>
      <c r="D90" s="2489">
        <f>CT_wh!I69</f>
        <v>2</v>
      </c>
      <c r="E90" s="4197">
        <f>CT_wh!I79</f>
        <v>0</v>
      </c>
      <c r="F90" s="4197"/>
      <c r="G90" s="4191">
        <f>E90*D90*K88</f>
        <v>0</v>
      </c>
      <c r="H90" s="4306"/>
      <c r="I90" s="4307" t="str">
        <f>IF(G90&gt;0,CT_wh!I72,"")</f>
        <v/>
      </c>
      <c r="J90" s="4308"/>
      <c r="K90" s="2501">
        <f>CT_wh!I80*D90*K88</f>
        <v>0</v>
      </c>
      <c r="M90" s="17"/>
      <c r="N90" s="31"/>
      <c r="O90" s="31"/>
      <c r="P90" s="31"/>
      <c r="Q90" s="17"/>
      <c r="R90" s="17"/>
      <c r="S90" s="17"/>
      <c r="T90" s="17"/>
      <c r="AF90" s="17"/>
      <c r="AG90" s="17"/>
      <c r="AX90" s="1939"/>
      <c r="AY90" s="1939"/>
      <c r="AZ90" s="1939"/>
      <c r="BA90" s="1939"/>
      <c r="BB90" s="1939"/>
      <c r="BC90" s="1939"/>
      <c r="BD90" s="1939"/>
      <c r="BE90" s="1939"/>
      <c r="BF90" s="1939"/>
      <c r="BG90" s="1939"/>
      <c r="BH90" s="1939"/>
      <c r="BI90" s="1939"/>
    </row>
    <row r="91" spans="1:61" ht="17.100000000000001" customHeight="1">
      <c r="A91" s="4182" t="s">
        <v>1671</v>
      </c>
      <c r="B91" s="4183"/>
      <c r="C91" s="2488"/>
      <c r="D91" s="2489"/>
      <c r="E91" s="4205"/>
      <c r="F91" s="4206"/>
      <c r="G91" s="4191"/>
      <c r="H91" s="4306"/>
      <c r="I91" s="4307"/>
      <c r="J91" s="4308"/>
      <c r="K91" s="2500"/>
      <c r="L91" s="1897"/>
      <c r="M91" s="31"/>
      <c r="N91" s="31"/>
      <c r="O91" s="31"/>
      <c r="P91" s="31"/>
      <c r="Q91" s="17"/>
      <c r="R91" s="17"/>
      <c r="S91" s="17"/>
      <c r="T91" s="17"/>
      <c r="AF91" s="17"/>
      <c r="AG91" s="17"/>
      <c r="AX91" s="1939"/>
      <c r="AY91" s="1939"/>
      <c r="AZ91" s="1939"/>
      <c r="BA91" s="1939"/>
      <c r="BB91" s="1939"/>
      <c r="BC91" s="1939"/>
      <c r="BD91" s="1939"/>
      <c r="BE91" s="1939"/>
      <c r="BF91" s="1939"/>
      <c r="BG91" s="1939"/>
      <c r="BH91" s="1939"/>
      <c r="BI91" s="1939"/>
    </row>
    <row r="92" spans="1:61" ht="17.100000000000001" customHeight="1">
      <c r="A92" s="4203" t="s">
        <v>1320</v>
      </c>
      <c r="B92" s="4204"/>
      <c r="C92" s="2491">
        <f>Tech!G32</f>
        <v>160</v>
      </c>
      <c r="D92" s="2502">
        <f>CT_HP!H84</f>
        <v>1</v>
      </c>
      <c r="E92" s="4197">
        <f>CT_HP!H88</f>
        <v>7892.4999999999991</v>
      </c>
      <c r="F92" s="4197"/>
      <c r="G92" s="4306">
        <f>E92*D92*K88</f>
        <v>0</v>
      </c>
      <c r="H92" s="4306"/>
      <c r="I92" s="4307" t="str">
        <f>IF(G92&gt;0,CT_HP!H75&amp;"   :  "&amp;CT_HP!H77,"")</f>
        <v/>
      </c>
      <c r="J92" s="4308"/>
      <c r="K92" s="2500">
        <f>CT_HP!H86*D92*K88</f>
        <v>0</v>
      </c>
      <c r="L92" s="31"/>
      <c r="M92" s="4213"/>
      <c r="N92" s="4213"/>
      <c r="O92" s="31"/>
      <c r="P92" s="31"/>
      <c r="Q92" s="17"/>
      <c r="R92" s="17"/>
      <c r="S92" s="17"/>
      <c r="T92" s="17"/>
      <c r="AF92" s="17"/>
      <c r="AG92" s="17"/>
      <c r="AX92" s="1939"/>
      <c r="AY92" s="1939"/>
      <c r="AZ92" s="1939"/>
      <c r="BA92" s="1939"/>
      <c r="BB92" s="1939"/>
      <c r="BC92" s="1939"/>
      <c r="BD92" s="1939"/>
      <c r="BE92" s="1939"/>
      <c r="BF92" s="1939"/>
      <c r="BG92" s="1939"/>
      <c r="BH92" s="1939"/>
      <c r="BI92" s="1939"/>
    </row>
    <row r="93" spans="1:61" ht="17.100000000000001" customHeight="1" thickBot="1">
      <c r="A93" s="4309" t="s">
        <v>1672</v>
      </c>
      <c r="B93" s="4310"/>
      <c r="C93" s="2491">
        <f>C92</f>
        <v>160</v>
      </c>
      <c r="D93" s="2502">
        <f>D92</f>
        <v>1</v>
      </c>
      <c r="E93" s="4197">
        <f>CT_HP!H89</f>
        <v>2857</v>
      </c>
      <c r="F93" s="4197"/>
      <c r="G93" s="4306">
        <f>E93*D93*K88</f>
        <v>0</v>
      </c>
      <c r="H93" s="4306"/>
      <c r="I93" s="4311"/>
      <c r="J93" s="4312"/>
      <c r="K93" s="2500">
        <f>CT_HP!H87*D93*K88</f>
        <v>0</v>
      </c>
      <c r="L93" s="31"/>
      <c r="M93" s="4213"/>
      <c r="N93" s="4213"/>
      <c r="O93" s="31"/>
      <c r="P93" s="31"/>
      <c r="Q93" s="17"/>
      <c r="R93" s="17"/>
      <c r="S93" s="17"/>
      <c r="T93" s="17"/>
      <c r="X93" s="31"/>
      <c r="AF93" s="17"/>
      <c r="AG93" s="17"/>
      <c r="AX93" s="1939"/>
      <c r="AY93" s="1939"/>
      <c r="AZ93" s="1939"/>
      <c r="BA93" s="1939"/>
      <c r="BB93" s="1939"/>
      <c r="BC93" s="1939"/>
      <c r="BD93" s="1939"/>
      <c r="BE93" s="1939"/>
      <c r="BF93" s="1939"/>
      <c r="BG93" s="1939"/>
      <c r="BH93" s="1939"/>
      <c r="BI93" s="1939"/>
    </row>
    <row r="94" spans="1:61" ht="17.100000000000001" customHeight="1" thickBot="1">
      <c r="A94" s="4189" t="s">
        <v>1697</v>
      </c>
      <c r="B94" s="4190"/>
      <c r="C94" s="4313" t="s">
        <v>1698</v>
      </c>
      <c r="D94" s="4314"/>
      <c r="E94" s="4314"/>
      <c r="F94" s="4314"/>
      <c r="G94" s="4314"/>
      <c r="H94" s="4314"/>
      <c r="I94" s="4315"/>
      <c r="J94" s="4315"/>
      <c r="K94" s="2500"/>
      <c r="L94" s="463"/>
      <c r="M94" s="17"/>
      <c r="N94" s="17"/>
      <c r="O94" s="17"/>
      <c r="P94" s="17"/>
      <c r="Q94" s="17"/>
      <c r="R94" s="17"/>
      <c r="S94" s="17"/>
      <c r="T94" s="17"/>
      <c r="X94" s="31"/>
      <c r="AF94" s="17"/>
      <c r="AG94" s="17"/>
      <c r="BI94" s="1939"/>
    </row>
    <row r="95" spans="1:61" ht="17.100000000000001" customHeight="1">
      <c r="A95" s="4189" t="s">
        <v>1675</v>
      </c>
      <c r="B95" s="4190"/>
      <c r="C95" s="2489">
        <f>Tech!G52</f>
        <v>320</v>
      </c>
      <c r="D95" s="2489">
        <f>CT_wh!I16</f>
        <v>4</v>
      </c>
      <c r="E95" s="4205">
        <f>Selection!C37</f>
        <v>14475</v>
      </c>
      <c r="F95" s="4206"/>
      <c r="G95" s="4205">
        <f>E95*D95</f>
        <v>57900</v>
      </c>
      <c r="H95" s="4316"/>
      <c r="I95" s="4317" t="str">
        <f>Tech!G47</f>
        <v>50mm Sq. Bar</v>
      </c>
      <c r="J95" s="4318"/>
      <c r="K95" s="4448">
        <f>Selection!C38</f>
        <v>386</v>
      </c>
      <c r="L95" s="17"/>
      <c r="M95" s="17"/>
      <c r="N95" s="17"/>
      <c r="O95" s="17"/>
      <c r="P95" s="17"/>
      <c r="Q95" s="17"/>
      <c r="R95" s="17"/>
      <c r="S95" s="17"/>
      <c r="T95" s="17"/>
      <c r="X95" s="31"/>
      <c r="AF95" s="17"/>
      <c r="AG95" s="17"/>
      <c r="BI95" s="1939"/>
    </row>
    <row r="96" spans="1:61" ht="17.100000000000001" customHeight="1">
      <c r="A96" s="4189" t="s">
        <v>1699</v>
      </c>
      <c r="B96" s="4190"/>
      <c r="C96" s="2489">
        <f>Tech!G53</f>
        <v>22214</v>
      </c>
      <c r="D96" s="2489">
        <f>D95*2</f>
        <v>8</v>
      </c>
      <c r="E96" s="4205">
        <f>Selection!C42</f>
        <v>3668.64</v>
      </c>
      <c r="F96" s="4206"/>
      <c r="G96" s="4205">
        <f>E96*D96</f>
        <v>29349.119999999999</v>
      </c>
      <c r="H96" s="4316"/>
      <c r="I96" s="4319" t="str">
        <f>Selection!G18</f>
        <v>FAG MAKE</v>
      </c>
      <c r="J96" s="4193"/>
      <c r="K96" s="4449"/>
      <c r="L96" s="17"/>
      <c r="X96" s="31"/>
      <c r="AC96" s="17"/>
      <c r="AD96" s="17"/>
      <c r="AE96" s="17"/>
      <c r="AF96" s="17"/>
      <c r="AG96" s="17"/>
      <c r="BI96" s="1939"/>
    </row>
    <row r="97" spans="1:61" ht="17.100000000000001" customHeight="1">
      <c r="A97" s="4189" t="s">
        <v>1700</v>
      </c>
      <c r="B97" s="4190"/>
      <c r="C97" s="2489" t="s">
        <v>1701</v>
      </c>
      <c r="D97" s="2503">
        <f>D95</f>
        <v>4</v>
      </c>
      <c r="E97" s="4205">
        <f>Selection!C44</f>
        <v>4825</v>
      </c>
      <c r="F97" s="4206"/>
      <c r="G97" s="4191">
        <f>E97*D95</f>
        <v>19300</v>
      </c>
      <c r="H97" s="4306"/>
      <c r="I97" s="4307"/>
      <c r="J97" s="4308"/>
      <c r="K97" s="4450"/>
      <c r="L97" s="31"/>
      <c r="X97" s="31"/>
      <c r="AC97" s="17"/>
      <c r="AD97" s="17"/>
      <c r="AE97" s="17"/>
      <c r="AF97" s="17"/>
      <c r="AG97" s="17"/>
      <c r="BI97" s="1939"/>
    </row>
    <row r="98" spans="1:61" ht="17.100000000000001" customHeight="1">
      <c r="A98" s="4320" t="s">
        <v>1702</v>
      </c>
      <c r="B98" s="4321"/>
      <c r="C98" s="2486">
        <f>(C96-22200)*5+10</f>
        <v>80</v>
      </c>
      <c r="D98" s="2493">
        <f>3.14/4*(C98/1000*C98/1000)*7850*1</f>
        <v>39.438400000000009</v>
      </c>
      <c r="E98" s="2494">
        <v>2</v>
      </c>
      <c r="F98" s="2494">
        <v>100</v>
      </c>
      <c r="G98" s="4322">
        <f>ROUNDUP((K98*F98),-1)*K88</f>
        <v>0</v>
      </c>
      <c r="H98" s="4323"/>
      <c r="I98" s="4324"/>
      <c r="J98" s="4325"/>
      <c r="K98" s="2504">
        <f>D98*E98*K88</f>
        <v>0</v>
      </c>
      <c r="L98" s="31"/>
      <c r="X98" s="31"/>
      <c r="AC98" s="17"/>
      <c r="AD98" s="17"/>
      <c r="AE98" s="17"/>
      <c r="AF98" s="17"/>
      <c r="AG98" s="17"/>
      <c r="BI98" s="1939"/>
    </row>
    <row r="99" spans="1:61" ht="17.100000000000001" customHeight="1">
      <c r="A99" s="4182" t="s">
        <v>1703</v>
      </c>
      <c r="B99" s="4183"/>
      <c r="C99" s="2497"/>
      <c r="D99" s="2486">
        <v>0</v>
      </c>
      <c r="E99" s="4187"/>
      <c r="F99" s="4187"/>
      <c r="G99" s="4212">
        <f>E99*D99*K88</f>
        <v>0</v>
      </c>
      <c r="H99" s="4322"/>
      <c r="I99" s="4304"/>
      <c r="J99" s="4210"/>
      <c r="K99" s="2505"/>
      <c r="L99" s="31"/>
      <c r="R99" s="1942" t="s">
        <v>265</v>
      </c>
      <c r="S99" s="1943" t="s">
        <v>2561</v>
      </c>
      <c r="AC99" s="17"/>
      <c r="AD99" s="17"/>
      <c r="AE99" s="17"/>
      <c r="BI99" s="1939"/>
    </row>
    <row r="100" spans="1:61" ht="17.100000000000001" customHeight="1">
      <c r="A100" s="4203" t="s">
        <v>1704</v>
      </c>
      <c r="B100" s="4204"/>
      <c r="C100" s="2489"/>
      <c r="D100" s="2486">
        <v>2</v>
      </c>
      <c r="E100" s="4187">
        <f>2000*0</f>
        <v>0</v>
      </c>
      <c r="F100" s="4187"/>
      <c r="G100" s="4212">
        <f>+E100*D100</f>
        <v>0</v>
      </c>
      <c r="H100" s="4322"/>
      <c r="I100" s="4319"/>
      <c r="J100" s="4193"/>
      <c r="K100" s="2500"/>
      <c r="L100" s="31"/>
      <c r="R100" s="1944">
        <v>0.2</v>
      </c>
      <c r="S100" s="1944">
        <v>0.2</v>
      </c>
      <c r="T100" s="1945"/>
      <c r="V100" s="108"/>
      <c r="W100" s="108"/>
      <c r="X100" s="1946" t="s">
        <v>263</v>
      </c>
      <c r="Y100" s="1944">
        <v>0</v>
      </c>
      <c r="Z100" s="1842"/>
      <c r="AA100" s="1842"/>
      <c r="AC100" s="17"/>
      <c r="BI100" s="1939"/>
    </row>
    <row r="101" spans="1:61" ht="17.100000000000001" customHeight="1" thickBot="1">
      <c r="A101" s="4309" t="s">
        <v>1147</v>
      </c>
      <c r="B101" s="4310"/>
      <c r="C101" s="2506" t="str">
        <f>Selection!C46</f>
        <v>HGC-103</v>
      </c>
      <c r="D101" s="2499">
        <f>IF(D90&lt;=2,4,D90*2)</f>
        <v>4</v>
      </c>
      <c r="E101" s="4216">
        <f>Selection!C47</f>
        <v>5200</v>
      </c>
      <c r="F101" s="4217"/>
      <c r="G101" s="4218">
        <f>(E101*D101)*K88</f>
        <v>0</v>
      </c>
      <c r="H101" s="4326"/>
      <c r="I101" s="4304" t="str">
        <f>IF(G101&gt;0,Selection!F47,"")</f>
        <v/>
      </c>
      <c r="J101" s="4210"/>
      <c r="K101" s="2500">
        <f>Selection!C48*D101*K88</f>
        <v>0</v>
      </c>
      <c r="L101" s="422"/>
      <c r="M101" s="17"/>
      <c r="N101" s="17"/>
      <c r="R101" s="1947" t="s">
        <v>1711</v>
      </c>
      <c r="S101" s="1947" t="s">
        <v>2546</v>
      </c>
      <c r="T101" s="1947" t="s">
        <v>2597</v>
      </c>
      <c r="U101" s="1939"/>
      <c r="V101" s="59"/>
      <c r="W101" s="59"/>
      <c r="X101" s="1361" t="s">
        <v>2478</v>
      </c>
      <c r="Y101" s="1948" t="s">
        <v>1712</v>
      </c>
      <c r="Z101" s="79"/>
      <c r="AA101" s="79"/>
      <c r="AC101" s="17"/>
      <c r="AX101" s="1939"/>
      <c r="AY101" s="1939"/>
      <c r="AZ101" s="1939"/>
      <c r="BA101" s="1939"/>
      <c r="BB101" s="1939"/>
      <c r="BC101" s="1939"/>
      <c r="BD101" s="1939"/>
      <c r="BE101" s="1939"/>
      <c r="BF101" s="1939"/>
      <c r="BG101" s="1939"/>
      <c r="BH101" s="1939"/>
      <c r="BI101" s="1939"/>
    </row>
    <row r="102" spans="1:61" ht="17.100000000000001" customHeight="1" thickBot="1">
      <c r="A102" s="4220" t="s">
        <v>1665</v>
      </c>
      <c r="B102" s="4222"/>
      <c r="C102" s="4273"/>
      <c r="D102" s="4273"/>
      <c r="E102" s="4327"/>
      <c r="F102" s="4328"/>
      <c r="G102" s="4174">
        <f>ROUNDUP(SUM(G89:H101),-2)</f>
        <v>202600</v>
      </c>
      <c r="H102" s="4175"/>
      <c r="I102" s="4222"/>
      <c r="J102" s="4275"/>
      <c r="K102" s="1929">
        <f>ROUNDUP((SUM(K89:K101)),1)</f>
        <v>464</v>
      </c>
      <c r="L102" s="186"/>
      <c r="M102" s="17"/>
      <c r="N102" s="17"/>
      <c r="R102" s="1949">
        <f>'E Motor &amp; Drive'!D14*(1+R100)</f>
        <v>213624</v>
      </c>
      <c r="S102" s="1949">
        <f>'E Motor &amp; Drive'!E14*(1+S100)</f>
        <v>160440</v>
      </c>
      <c r="T102" s="1950">
        <f>'E Motor &amp; Drive'!C14</f>
        <v>18.5</v>
      </c>
      <c r="U102" s="484" t="str">
        <f>'E Motor &amp; Drive'!G14</f>
        <v>Right</v>
      </c>
      <c r="V102" s="59">
        <f>'E Motor &amp; Drive'!F14</f>
        <v>37.5</v>
      </c>
      <c r="W102" s="59"/>
      <c r="X102" s="145" t="str">
        <f>C117</f>
        <v>180L</v>
      </c>
      <c r="Y102" s="29" t="e">
        <f>'E Motor &amp; Drive'!BQ9*(1+Y100)</f>
        <v>#N/A</v>
      </c>
      <c r="Z102" s="79"/>
      <c r="AA102" s="79"/>
      <c r="AC102" s="17"/>
      <c r="AX102" s="1939"/>
      <c r="AY102" s="1939"/>
      <c r="AZ102" s="1939"/>
      <c r="BA102" s="1939"/>
      <c r="BB102" s="1939"/>
      <c r="BC102" s="1939"/>
      <c r="BD102" s="1939"/>
      <c r="BE102" s="1939"/>
      <c r="BF102" s="1939"/>
      <c r="BG102" s="1939"/>
      <c r="BH102" s="1939"/>
      <c r="BI102" s="1939"/>
    </row>
    <row r="103" spans="1:61" ht="12" customHeight="1" thickBot="1">
      <c r="A103" s="1497"/>
      <c r="B103" s="1499"/>
      <c r="C103" s="1499"/>
      <c r="D103" s="1499"/>
      <c r="E103" s="1499"/>
      <c r="F103" s="1499"/>
      <c r="G103" s="1499"/>
      <c r="H103" s="1499"/>
      <c r="I103" s="1499"/>
      <c r="J103" s="1951"/>
      <c r="K103" s="1854" t="s">
        <v>1706</v>
      </c>
      <c r="L103" s="118" t="s">
        <v>1707</v>
      </c>
      <c r="M103" s="31"/>
      <c r="R103" s="1949">
        <f>IF(D5&gt;0,'E Motor &amp; Drive'!D15*(1+R100),0)</f>
        <v>213624</v>
      </c>
      <c r="S103" s="1949">
        <f>IF(D5&gt;0,'E Motor &amp; Drive'!E15*(1+S100),0)</f>
        <v>160440</v>
      </c>
      <c r="T103" s="1950">
        <f>'E Motor &amp; Drive'!C15</f>
        <v>18.5</v>
      </c>
      <c r="U103" s="484" t="str">
        <f>'E Motor &amp; Drive'!G15</f>
        <v>Right</v>
      </c>
      <c r="V103" s="59">
        <f>'E Motor &amp; Drive'!F15</f>
        <v>37.5</v>
      </c>
      <c r="W103" s="59"/>
      <c r="X103" s="179" t="str">
        <f>IF(D5&gt;0,C118,0)</f>
        <v>180L</v>
      </c>
      <c r="Y103" s="29" t="e">
        <f>IF(D5&gt;0,'E Motor &amp; Drive'!BQ10*(1+Y100),0)</f>
        <v>#N/A</v>
      </c>
      <c r="Z103" s="79"/>
      <c r="AA103" s="79"/>
      <c r="AC103" s="17"/>
      <c r="AX103" s="1939"/>
      <c r="AY103" s="1939"/>
      <c r="AZ103" s="1939"/>
      <c r="BA103" s="1939"/>
      <c r="BB103" s="1939"/>
      <c r="BC103" s="1939"/>
      <c r="BD103" s="1939"/>
      <c r="BE103" s="1939"/>
      <c r="BF103" s="1939"/>
      <c r="BG103" s="1939"/>
      <c r="BH103" s="1939"/>
      <c r="BI103" s="1939"/>
    </row>
    <row r="104" spans="1:61" ht="17.25" customHeight="1" thickBot="1">
      <c r="A104" s="1262"/>
      <c r="B104" s="1230"/>
      <c r="C104" s="1230"/>
      <c r="D104" s="1230"/>
      <c r="E104" s="1230"/>
      <c r="F104" s="1230"/>
      <c r="G104" s="1230"/>
      <c r="H104" s="1230"/>
      <c r="I104" s="1230"/>
      <c r="J104" s="1230"/>
      <c r="K104" s="1952">
        <f>K102+K86+K66+C24</f>
        <v>5068.6519354838711</v>
      </c>
      <c r="L104" s="1953">
        <f>'E Data'!D44*1000</f>
        <v>5000</v>
      </c>
      <c r="M104" s="1887"/>
      <c r="N104" s="1954" t="s">
        <v>2465</v>
      </c>
      <c r="O104" s="1943" t="s">
        <v>2561</v>
      </c>
      <c r="R104" s="1949">
        <f>'E Motor &amp; Drive'!D16*(1+R100)</f>
        <v>28842</v>
      </c>
      <c r="S104" s="1949">
        <f>'E Motor &amp; Drive'!E16*(1+S100)</f>
        <v>35583.599999999999</v>
      </c>
      <c r="T104" s="1950">
        <f>'E Motor &amp; Drive'!C16</f>
        <v>2.2000000000000002</v>
      </c>
      <c r="U104" s="484" t="str">
        <f>'E Motor &amp; Drive'!G16</f>
        <v>Right</v>
      </c>
      <c r="V104" s="59">
        <f>'E Motor &amp; Drive'!F16</f>
        <v>5.9</v>
      </c>
      <c r="X104" s="179" t="str">
        <f>C119</f>
        <v>90S</v>
      </c>
      <c r="Y104" s="29" t="e">
        <f>'E Motor &amp; Drive'!BQ11*(1+Y100)</f>
        <v>#N/A</v>
      </c>
      <c r="Z104" s="79"/>
      <c r="AA104" s="79"/>
      <c r="AC104" s="17"/>
      <c r="AX104" s="1939"/>
      <c r="AY104" s="1939"/>
      <c r="AZ104" s="1939"/>
      <c r="BA104" s="1939"/>
      <c r="BB104" s="1939"/>
      <c r="BC104" s="1939"/>
      <c r="BD104" s="1939"/>
      <c r="BE104" s="1939"/>
      <c r="BF104" s="1939"/>
      <c r="BG104" s="1939"/>
      <c r="BH104" s="1939"/>
      <c r="BI104" s="1939"/>
    </row>
    <row r="105" spans="1:61" ht="12" customHeight="1" thickBot="1">
      <c r="A105" s="1230"/>
      <c r="B105" s="1230"/>
      <c r="C105" s="1230"/>
      <c r="D105" s="1230"/>
      <c r="E105" s="1230"/>
      <c r="F105" s="1230"/>
      <c r="G105" s="1230"/>
      <c r="H105" s="1230"/>
      <c r="I105" s="1230"/>
      <c r="J105" s="481"/>
      <c r="K105" s="1955"/>
      <c r="M105" s="891" t="s">
        <v>2563</v>
      </c>
      <c r="N105" s="1944">
        <v>0</v>
      </c>
      <c r="O105" s="1944">
        <v>-0.4</v>
      </c>
      <c r="Q105" s="1945"/>
      <c r="R105" s="1949">
        <f>'E Motor &amp; Drive'!D17*(1+R100)</f>
        <v>44418</v>
      </c>
      <c r="S105" s="1949">
        <f>'E Motor &amp; Drive'!E17*(1+S100)</f>
        <v>41078.400000000001</v>
      </c>
      <c r="T105" s="1950">
        <f>'E Motor &amp; Drive'!C17</f>
        <v>5.5</v>
      </c>
      <c r="U105" s="484" t="str">
        <f>'E Motor &amp; Drive'!G17</f>
        <v>Right</v>
      </c>
      <c r="V105" s="59">
        <f>'E Motor &amp; Drive'!F17</f>
        <v>13.2</v>
      </c>
      <c r="X105" s="179" t="str">
        <f>C120</f>
        <v>100L</v>
      </c>
      <c r="Y105" s="29" t="e">
        <f>'E Motor &amp; Drive'!BQ12*(1+Y100)</f>
        <v>#N/A</v>
      </c>
      <c r="Z105" s="79"/>
      <c r="AA105" s="79"/>
      <c r="AC105" s="17"/>
      <c r="AX105" s="1939"/>
      <c r="AY105" s="1939"/>
      <c r="AZ105" s="1939"/>
      <c r="BA105" s="1939"/>
      <c r="BB105" s="1939"/>
      <c r="BC105" s="1939"/>
      <c r="BD105" s="1939"/>
      <c r="BE105" s="1939"/>
      <c r="BF105" s="1939"/>
      <c r="BG105" s="1939"/>
      <c r="BH105" s="1939"/>
      <c r="BI105" s="1939"/>
    </row>
    <row r="106" spans="1:61" ht="17.100000000000001" customHeight="1" thickBot="1">
      <c r="A106" s="4129" t="s">
        <v>1708</v>
      </c>
      <c r="B106" s="4130"/>
      <c r="C106" s="4130" t="s">
        <v>1667</v>
      </c>
      <c r="D106" s="4130"/>
      <c r="E106" s="3810" t="s">
        <v>1651</v>
      </c>
      <c r="F106" s="3810"/>
      <c r="G106" s="3943" t="s">
        <v>1668</v>
      </c>
      <c r="H106" s="4173"/>
      <c r="I106" s="3943" t="s">
        <v>1654</v>
      </c>
      <c r="J106" s="4173"/>
      <c r="K106" s="1843" t="s">
        <v>1709</v>
      </c>
      <c r="M106" s="1956">
        <v>1</v>
      </c>
      <c r="N106" s="1947" t="s">
        <v>1711</v>
      </c>
      <c r="O106" s="1947" t="s">
        <v>2546</v>
      </c>
      <c r="P106" s="1947" t="s">
        <v>2597</v>
      </c>
      <c r="Q106" s="1939"/>
      <c r="R106" s="1957" t="s">
        <v>1721</v>
      </c>
      <c r="S106" s="1949">
        <f>'E Motor &amp; Drive'!K25*(1+S100)</f>
        <v>47040</v>
      </c>
      <c r="T106" s="1950">
        <f>'E Motor &amp; Drive'!C18</f>
        <v>44.8</v>
      </c>
      <c r="U106" s="1939"/>
      <c r="X106" s="1949" t="s">
        <v>1721</v>
      </c>
      <c r="Y106" s="29">
        <f>'E Motor &amp; Drive'!K25*(1+Y100)</f>
        <v>39200</v>
      </c>
      <c r="Z106" s="79"/>
      <c r="AA106" s="1954"/>
      <c r="AC106" s="17"/>
      <c r="AX106" s="1939"/>
      <c r="AY106" s="1939"/>
      <c r="AZ106" s="1939"/>
      <c r="BA106" s="1939"/>
      <c r="BB106" s="1939"/>
      <c r="BC106" s="1939"/>
      <c r="BD106" s="1939"/>
      <c r="BE106" s="1939"/>
      <c r="BF106" s="1939"/>
      <c r="BG106" s="1939"/>
      <c r="BH106" s="1939"/>
      <c r="BI106" s="1939"/>
    </row>
    <row r="107" spans="1:61" ht="17.100000000000001" customHeight="1">
      <c r="A107" s="4329" t="s">
        <v>1716</v>
      </c>
      <c r="B107" s="4330"/>
      <c r="C107" s="1912" t="str">
        <f>Tech!$C$21</f>
        <v>180L</v>
      </c>
      <c r="D107" s="1958">
        <f>Tech!$C$20</f>
        <v>18</v>
      </c>
      <c r="E107" s="1959">
        <f t="shared" ref="E107:F110" si="12">N107</f>
        <v>72000</v>
      </c>
      <c r="F107" s="1959">
        <f t="shared" si="12"/>
        <v>80040</v>
      </c>
      <c r="G107" s="4331">
        <f>(E107+F107)</f>
        <v>152040</v>
      </c>
      <c r="H107" s="4332"/>
      <c r="I107" s="4333" t="str">
        <f>N104</f>
        <v>SCHNEIDER</v>
      </c>
      <c r="J107" s="4334"/>
      <c r="K107" s="1960"/>
      <c r="L107" s="1961" t="str">
        <f>IF(D107=M107,"Same",IF(M107&gt;D107,(M107/D107*100)-100&amp;" % Extra",IF(D107&gt;M107,"Wrong")))</f>
        <v>Same</v>
      </c>
      <c r="M107" s="1962">
        <f>D107*M106</f>
        <v>18</v>
      </c>
      <c r="N107" s="1949">
        <f>'E Motor &amp; Drive'!D6*(1+N105)</f>
        <v>72000</v>
      </c>
      <c r="O107" s="1949">
        <f>'E Motor &amp; Drive'!E6*(1+O105)</f>
        <v>80040</v>
      </c>
      <c r="P107" s="1950">
        <f>'E Motor &amp; Drive'!C6</f>
        <v>18</v>
      </c>
      <c r="Q107" s="484" t="str">
        <f>'E Motor &amp; Drive'!G6</f>
        <v>Right</v>
      </c>
      <c r="Z107" s="79"/>
      <c r="AA107" s="79"/>
      <c r="AC107" s="17"/>
      <c r="AX107" s="1939"/>
      <c r="AY107" s="1939"/>
      <c r="AZ107" s="1939"/>
      <c r="BA107" s="1939"/>
      <c r="BB107" s="1939"/>
      <c r="BC107" s="1939"/>
      <c r="BD107" s="1939"/>
      <c r="BE107" s="1939"/>
      <c r="BF107" s="1939"/>
      <c r="BG107" s="1939"/>
      <c r="BH107" s="1939"/>
      <c r="BI107" s="1939"/>
    </row>
    <row r="108" spans="1:61" ht="17.100000000000001" customHeight="1">
      <c r="A108" s="4329" t="s">
        <v>1717</v>
      </c>
      <c r="B108" s="4330"/>
      <c r="C108" s="1963" t="str">
        <f>IF(D5&gt;0,Tech!D21," ")</f>
        <v>180L</v>
      </c>
      <c r="D108" s="1964">
        <f>IF(D5&gt;0,Tech!D20,0)</f>
        <v>18</v>
      </c>
      <c r="E108" s="1959">
        <f>N108*0</f>
        <v>0</v>
      </c>
      <c r="F108" s="1959">
        <f>O108*0</f>
        <v>0</v>
      </c>
      <c r="G108" s="4331">
        <f>(E108+F108)</f>
        <v>0</v>
      </c>
      <c r="H108" s="4332"/>
      <c r="I108" s="4335" t="str">
        <f>IF(MH!I34="Slipring","Please Take Component Price, Not Drive &amp; Panel","MAKE VVVF DRIVE STAND ALONE TYPE")</f>
        <v>MAKE VVVF DRIVE STAND ALONE TYPE</v>
      </c>
      <c r="J108" s="4336"/>
      <c r="K108" s="1960"/>
      <c r="L108" s="1961" t="str">
        <f t="shared" ref="L108:L111" si="13">IF(D108=M108,"Same",IF(M108&gt;D108,(M108/D108*100)-100&amp;" % Extra",IF(D108&gt;M108,"Wrong")))</f>
        <v>Same</v>
      </c>
      <c r="M108" s="1962">
        <f>D108*M106</f>
        <v>18</v>
      </c>
      <c r="N108" s="1949">
        <f>IF(D5&gt;0,'E Motor &amp; Drive'!D7*(1+N105),0)</f>
        <v>72000</v>
      </c>
      <c r="O108" s="1949">
        <f>IF(D5&gt;0,'E Motor &amp; Drive'!E7*(1+O105),0)</f>
        <v>80040</v>
      </c>
      <c r="P108" s="1950">
        <f>'E Motor &amp; Drive'!C7</f>
        <v>18</v>
      </c>
      <c r="Q108" s="484" t="str">
        <f>'E Motor &amp; Drive'!G7</f>
        <v>Right</v>
      </c>
      <c r="Z108" s="79"/>
      <c r="AA108" s="79"/>
      <c r="AC108" s="17"/>
      <c r="AX108" s="1939"/>
      <c r="AY108" s="1939"/>
      <c r="AZ108" s="1939"/>
      <c r="BA108" s="1939"/>
      <c r="BB108" s="1939"/>
      <c r="BC108" s="1939"/>
      <c r="BD108" s="1939"/>
      <c r="BE108" s="1939"/>
      <c r="BF108" s="1939"/>
      <c r="BG108" s="1939"/>
      <c r="BH108" s="1939"/>
      <c r="BI108" s="1939"/>
    </row>
    <row r="109" spans="1:61" ht="17.100000000000001" customHeight="1">
      <c r="A109" s="4162" t="s">
        <v>1718</v>
      </c>
      <c r="B109" s="4241"/>
      <c r="C109" s="1963" t="str">
        <f>Tech!$G$21</f>
        <v>90S</v>
      </c>
      <c r="D109" s="1964">
        <f>Tech!G20*D89</f>
        <v>2.2000000000000002</v>
      </c>
      <c r="E109" s="1959">
        <f t="shared" si="12"/>
        <v>17300</v>
      </c>
      <c r="F109" s="1959">
        <f t="shared" si="12"/>
        <v>17791.8</v>
      </c>
      <c r="G109" s="4357">
        <f>E109+F109</f>
        <v>35091.800000000003</v>
      </c>
      <c r="H109" s="4504"/>
      <c r="I109" s="4337"/>
      <c r="J109" s="4338"/>
      <c r="K109" s="1960"/>
      <c r="L109" s="1961" t="str">
        <f t="shared" si="13"/>
        <v>Same</v>
      </c>
      <c r="M109" s="1962">
        <f>D109*M106</f>
        <v>2.2000000000000002</v>
      </c>
      <c r="N109" s="1949">
        <f>'E Motor &amp; Drive'!D8*(1+N105)</f>
        <v>17300</v>
      </c>
      <c r="O109" s="1949">
        <f>'E Motor &amp; Drive'!E8*(1+O105)</f>
        <v>17791.8</v>
      </c>
      <c r="P109" s="1950">
        <f>'E Motor &amp; Drive'!C8</f>
        <v>2.2000000000000002</v>
      </c>
      <c r="Q109" s="484" t="str">
        <f>'E Motor &amp; Drive'!G8</f>
        <v>Right</v>
      </c>
      <c r="R109" s="1965" t="s">
        <v>2470</v>
      </c>
      <c r="S109" s="1943" t="s">
        <v>2561</v>
      </c>
      <c r="Z109" s="79"/>
      <c r="AA109" s="79"/>
      <c r="AC109" s="17"/>
      <c r="AX109" s="1939"/>
      <c r="AY109" s="1939"/>
      <c r="AZ109" s="1939"/>
      <c r="BA109" s="1939"/>
      <c r="BB109" s="1939"/>
      <c r="BC109" s="1939"/>
      <c r="BD109" s="1939"/>
      <c r="BE109" s="1939"/>
      <c r="BF109" s="1939"/>
      <c r="BG109" s="1939"/>
      <c r="BH109" s="1939"/>
      <c r="BI109" s="1939"/>
    </row>
    <row r="110" spans="1:61" ht="17.100000000000001" customHeight="1">
      <c r="A110" s="4162" t="s">
        <v>1719</v>
      </c>
      <c r="B110" s="4241"/>
      <c r="C110" s="1963" t="str">
        <f>Tech!$H$21</f>
        <v>100L</v>
      </c>
      <c r="D110" s="1964">
        <f>Tech!H20*D34</f>
        <v>4.4000000000000004</v>
      </c>
      <c r="E110" s="1959">
        <f t="shared" si="12"/>
        <v>28800</v>
      </c>
      <c r="F110" s="1959">
        <f t="shared" si="12"/>
        <v>20539.2</v>
      </c>
      <c r="G110" s="4505">
        <f>E110+F110</f>
        <v>49339.199999999997</v>
      </c>
      <c r="H110" s="4506"/>
      <c r="I110" s="4507" t="str">
        <f>Tech!G10</f>
        <v>Twin Drive</v>
      </c>
      <c r="J110" s="4508"/>
      <c r="K110" s="1960"/>
      <c r="L110" s="1961" t="str">
        <f t="shared" si="13"/>
        <v>Same</v>
      </c>
      <c r="M110" s="1962">
        <f>D110*M106</f>
        <v>4.4000000000000004</v>
      </c>
      <c r="N110" s="1949">
        <f>'E Motor &amp; Drive'!D9*(1+N105)</f>
        <v>28800</v>
      </c>
      <c r="O110" s="1949">
        <f>'E Motor &amp; Drive'!E9*(1+O105)</f>
        <v>20539.2</v>
      </c>
      <c r="P110" s="1950">
        <f>'E Motor &amp; Drive'!C9</f>
        <v>5.5</v>
      </c>
      <c r="Q110" s="484" t="str">
        <f>'E Motor &amp; Drive'!G9</f>
        <v>Right</v>
      </c>
      <c r="R110" s="1944">
        <v>0.2</v>
      </c>
      <c r="S110" s="1944">
        <v>0.2</v>
      </c>
      <c r="T110" s="1945"/>
      <c r="Z110" s="79"/>
      <c r="AA110" s="79"/>
      <c r="AC110" s="17"/>
      <c r="AX110" s="1939"/>
      <c r="AY110" s="1939"/>
      <c r="AZ110" s="1939"/>
      <c r="BA110" s="1939"/>
      <c r="BB110" s="1939"/>
      <c r="BC110" s="1939"/>
      <c r="BD110" s="1939"/>
      <c r="BE110" s="1939"/>
      <c r="BF110" s="1939"/>
      <c r="BG110" s="1939"/>
      <c r="BH110" s="1939"/>
      <c r="BI110" s="1939"/>
    </row>
    <row r="111" spans="1:61" ht="17.100000000000001" customHeight="1">
      <c r="A111" s="4162" t="s">
        <v>1720</v>
      </c>
      <c r="B111" s="4241"/>
      <c r="C111" s="1707"/>
      <c r="D111" s="1966">
        <f>(D107+D110+D109+D108)</f>
        <v>42.599999999999994</v>
      </c>
      <c r="E111" s="4339">
        <f>O111</f>
        <v>23520</v>
      </c>
      <c r="F111" s="4339"/>
      <c r="G111" s="4340">
        <f>E111</f>
        <v>23520</v>
      </c>
      <c r="H111" s="4341"/>
      <c r="I111" s="4342"/>
      <c r="J111" s="4343"/>
      <c r="K111" s="1960"/>
      <c r="L111" s="1961" t="str">
        <f t="shared" si="13"/>
        <v>Same</v>
      </c>
      <c r="M111" s="1966">
        <f>M107+M108+M109+M110</f>
        <v>42.6</v>
      </c>
      <c r="N111" s="1957" t="s">
        <v>1721</v>
      </c>
      <c r="O111" s="1949">
        <f>'E Motor &amp; Drive'!E10*(1+O105)</f>
        <v>23520</v>
      </c>
      <c r="P111" s="1950">
        <f>'E Motor &amp; Drive'!C10</f>
        <v>44.8</v>
      </c>
      <c r="Q111" s="1939"/>
      <c r="R111" s="1947" t="s">
        <v>1711</v>
      </c>
      <c r="S111" s="1947" t="s">
        <v>2546</v>
      </c>
      <c r="T111" s="1947" t="s">
        <v>2597</v>
      </c>
      <c r="U111" s="1939"/>
      <c r="Z111" s="79"/>
      <c r="AA111" s="79"/>
      <c r="AC111" s="17"/>
      <c r="AX111" s="1939"/>
      <c r="AY111" s="1939"/>
      <c r="AZ111" s="1939"/>
      <c r="BA111" s="1939"/>
      <c r="BB111" s="1939"/>
      <c r="BC111" s="1939"/>
      <c r="BD111" s="1939"/>
      <c r="BE111" s="1939"/>
      <c r="BF111" s="1939"/>
      <c r="BG111" s="1939"/>
      <c r="BH111" s="1939"/>
      <c r="BI111" s="1939"/>
    </row>
    <row r="112" spans="1:61" ht="17.100000000000001" customHeight="1" thickBot="1">
      <c r="A112" s="4296" t="s">
        <v>1722</v>
      </c>
      <c r="B112" s="4297"/>
      <c r="C112" s="1706" t="s">
        <v>1723</v>
      </c>
      <c r="D112" s="1967" t="s">
        <v>1724</v>
      </c>
      <c r="E112" s="4499"/>
      <c r="F112" s="4500"/>
      <c r="G112" s="4501">
        <f>E112</f>
        <v>0</v>
      </c>
      <c r="H112" s="4379"/>
      <c r="I112" s="4353"/>
      <c r="J112" s="4354"/>
      <c r="K112" s="1960"/>
      <c r="M112" s="1968" t="str">
        <f>HYPERLINK("Z:\Marketing Common\Dhrumil\Selection\SCHNEIDER_DRIVE_PRICE.pdf","Schneider_Drive")</f>
        <v>Schneider_Drive</v>
      </c>
      <c r="N112" s="157" t="str">
        <f>HYPERLINK("Z:\Marketing Common\Dhrumil\Selection\Drive_Summery_Cost.pdf","Drive")</f>
        <v>Drive</v>
      </c>
      <c r="R112" s="1949">
        <f>'E Motor &amp; Drive'!D22*(1+R110)</f>
        <v>114960</v>
      </c>
      <c r="S112" s="1949">
        <f>'E Motor &amp; Drive'!E22*(1+S110)</f>
        <v>160440</v>
      </c>
      <c r="T112" s="1950">
        <f>'E Motor &amp; Drive'!C22</f>
        <v>18.5</v>
      </c>
      <c r="U112" s="484" t="str">
        <f>'E Motor &amp; Drive'!G22</f>
        <v>Right</v>
      </c>
      <c r="V112" s="22">
        <f>'E Motor &amp; Drive'!F22</f>
        <v>42</v>
      </c>
      <c r="AA112" s="79"/>
      <c r="AC112" s="17"/>
      <c r="AX112" s="1939"/>
      <c r="AY112" s="1939"/>
      <c r="AZ112" s="1939"/>
      <c r="BA112" s="1939"/>
      <c r="BB112" s="1939"/>
      <c r="BC112" s="1939"/>
      <c r="BD112" s="1939"/>
      <c r="BE112" s="1939"/>
      <c r="BF112" s="1939"/>
      <c r="BG112" s="1939"/>
      <c r="BH112" s="1939"/>
      <c r="BI112" s="1939"/>
    </row>
    <row r="113" spans="1:61" ht="17.100000000000001" customHeight="1" thickBot="1">
      <c r="A113" s="4220" t="s">
        <v>1665</v>
      </c>
      <c r="B113" s="4222"/>
      <c r="C113" s="3866"/>
      <c r="D113" s="3867"/>
      <c r="E113" s="4502"/>
      <c r="F113" s="4503"/>
      <c r="G113" s="4174">
        <f>ROUNDUP(SUM(G107:H112),-1)</f>
        <v>260000</v>
      </c>
      <c r="H113" s="4175"/>
      <c r="I113" s="4348"/>
      <c r="J113" s="4349"/>
      <c r="K113" s="1969"/>
      <c r="M113" s="140" t="str">
        <f>HYPERLINK("\\Manish-pc\e\03 General\Manish\Selection\Price_Sheet_2013.pdf","Price Sheet")</f>
        <v>Price Sheet</v>
      </c>
      <c r="N113" s="1968" t="str">
        <f>HYPERLINK("Z:\Marketing Common\Dhrumil\Selection\","Selection Folder")</f>
        <v>Selection Folder</v>
      </c>
      <c r="R113" s="1949">
        <f>IF(D5&gt;0,'E Motor &amp; Drive'!D23*(1+R110),0)</f>
        <v>114960</v>
      </c>
      <c r="S113" s="1949">
        <f>IF(D5&gt;0,'E Motor &amp; Drive'!E23*(1+S110),0)</f>
        <v>160440</v>
      </c>
      <c r="T113" s="1950">
        <f>'E Motor &amp; Drive'!C23</f>
        <v>18.5</v>
      </c>
      <c r="U113" s="484" t="str">
        <f>'E Motor &amp; Drive'!G23</f>
        <v>Right</v>
      </c>
      <c r="V113" s="22">
        <f>'E Motor &amp; Drive'!F23</f>
        <v>42</v>
      </c>
      <c r="AA113" s="79"/>
      <c r="AC113" s="17"/>
      <c r="AX113" s="1939"/>
      <c r="AY113" s="1939"/>
      <c r="BD113" s="1939"/>
      <c r="BE113" s="1939"/>
      <c r="BF113" s="1939"/>
      <c r="BG113" s="1939"/>
      <c r="BH113" s="1939"/>
      <c r="BI113" s="1939"/>
    </row>
    <row r="114" spans="1:61" ht="9.9499999999999993" customHeight="1">
      <c r="A114" s="4493"/>
      <c r="B114" s="4037"/>
      <c r="C114" s="4037"/>
      <c r="D114" s="4037"/>
      <c r="E114" s="4037"/>
      <c r="F114" s="4037"/>
      <c r="G114" s="4037"/>
      <c r="H114" s="4037"/>
      <c r="I114" s="4037"/>
      <c r="J114" s="4037"/>
      <c r="K114" s="1934"/>
      <c r="Q114" s="1844"/>
      <c r="R114" s="1949">
        <f>'E Motor &amp; Drive'!D24*(1+R110)</f>
        <v>29400</v>
      </c>
      <c r="S114" s="1949">
        <f>'E Motor &amp; Drive'!E24*(1+S110)</f>
        <v>35583.599999999999</v>
      </c>
      <c r="T114" s="1950">
        <f>'E Motor &amp; Drive'!C24</f>
        <v>2.2000000000000002</v>
      </c>
      <c r="U114" s="484" t="str">
        <f>'E Motor &amp; Drive'!G24</f>
        <v>Right</v>
      </c>
      <c r="V114" s="22">
        <f>'E Motor &amp; Drive'!F24</f>
        <v>5.3</v>
      </c>
      <c r="W114" s="59"/>
      <c r="Z114" s="79"/>
      <c r="AA114" s="79"/>
      <c r="AC114" s="17"/>
      <c r="AX114" s="1939"/>
      <c r="AY114" s="1939"/>
      <c r="BD114" s="1939"/>
      <c r="BE114" s="1939"/>
      <c r="BF114" s="1939"/>
      <c r="BG114" s="1939"/>
      <c r="BH114" s="1939"/>
      <c r="BI114" s="1939"/>
    </row>
    <row r="115" spans="1:61" ht="17.100000000000001" customHeight="1" thickBot="1">
      <c r="A115" s="4493"/>
      <c r="B115" s="4037"/>
      <c r="C115" s="4037"/>
      <c r="D115" s="4037"/>
      <c r="E115" s="4037"/>
      <c r="F115" s="4037"/>
      <c r="G115" s="4037"/>
      <c r="H115" s="4037"/>
      <c r="I115" s="4037"/>
      <c r="J115" s="4037"/>
      <c r="K115" s="1934"/>
      <c r="Q115" s="1844"/>
      <c r="R115" s="1949">
        <f>'E Motor &amp; Drive'!D25*(1+R110)</f>
        <v>31680</v>
      </c>
      <c r="S115" s="1949">
        <f>'E Motor &amp; Drive'!E25*(1+S110)</f>
        <v>41078.400000000001</v>
      </c>
      <c r="T115" s="1950">
        <f>'E Motor &amp; Drive'!C25</f>
        <v>5.5</v>
      </c>
      <c r="U115" s="484" t="str">
        <f>'E Motor &amp; Drive'!G25</f>
        <v>Right</v>
      </c>
      <c r="V115" s="22">
        <f>'E Motor &amp; Drive'!F25</f>
        <v>12.5</v>
      </c>
      <c r="W115" s="59"/>
      <c r="X115" s="31"/>
      <c r="Z115" s="79"/>
      <c r="AA115" s="79"/>
      <c r="AC115" s="17"/>
      <c r="AX115" s="1939"/>
      <c r="AY115" s="1939"/>
      <c r="BD115" s="1939"/>
      <c r="BE115" s="1939"/>
      <c r="BF115" s="1939"/>
      <c r="BG115" s="1939"/>
      <c r="BH115" s="1939"/>
      <c r="BI115" s="1939"/>
    </row>
    <row r="116" spans="1:61" ht="17.100000000000001" customHeight="1" thickBot="1">
      <c r="A116" s="4129" t="s">
        <v>1727</v>
      </c>
      <c r="B116" s="4130"/>
      <c r="C116" s="4130" t="s">
        <v>1667</v>
      </c>
      <c r="D116" s="4130"/>
      <c r="E116" s="4130" t="s">
        <v>1651</v>
      </c>
      <c r="F116" s="4130"/>
      <c r="G116" s="4130" t="s">
        <v>1668</v>
      </c>
      <c r="H116" s="4130"/>
      <c r="I116" s="4129" t="s">
        <v>1654</v>
      </c>
      <c r="J116" s="4130"/>
      <c r="K116" s="1934"/>
      <c r="Q116" s="1844"/>
      <c r="R116" s="1957" t="s">
        <v>1721</v>
      </c>
      <c r="S116" s="1949">
        <f>'E Motor &amp; Drive'!K25*(1+S110)</f>
        <v>47040</v>
      </c>
      <c r="T116" s="1950">
        <f>'E Motor &amp; Drive'!C26</f>
        <v>44.8</v>
      </c>
      <c r="U116" s="1939"/>
      <c r="V116" s="216"/>
      <c r="W116" s="59"/>
      <c r="Z116" s="79"/>
      <c r="AA116" s="79"/>
      <c r="AC116" s="17"/>
      <c r="AX116" s="1939"/>
      <c r="AY116" s="1939"/>
      <c r="BD116" s="1939"/>
      <c r="BE116" s="1939"/>
      <c r="BF116" s="1939"/>
      <c r="BG116" s="1939"/>
      <c r="BH116" s="1939"/>
      <c r="BI116" s="1939"/>
    </row>
    <row r="117" spans="1:61" ht="17.100000000000001" customHeight="1">
      <c r="A117" s="4329" t="s">
        <v>1728</v>
      </c>
      <c r="B117" s="4330"/>
      <c r="C117" s="1970" t="str">
        <f t="shared" ref="C117" si="14">C107</f>
        <v>180L</v>
      </c>
      <c r="D117" s="1906">
        <f>Tech!$C$20</f>
        <v>18</v>
      </c>
      <c r="E117" s="4494">
        <f>195000*0.85</f>
        <v>165750</v>
      </c>
      <c r="F117" s="4494"/>
      <c r="G117" s="4495">
        <f>E117</f>
        <v>165750</v>
      </c>
      <c r="H117" s="4496"/>
      <c r="I117" s="4346"/>
      <c r="J117" s="4347"/>
      <c r="K117" s="1934"/>
      <c r="M117" s="173" t="s">
        <v>272</v>
      </c>
      <c r="N117" s="148" t="s">
        <v>1725</v>
      </c>
      <c r="O117" s="366" t="s">
        <v>1726</v>
      </c>
      <c r="P117" s="131" t="s">
        <v>2562</v>
      </c>
      <c r="S117" s="59"/>
      <c r="T117" s="31"/>
      <c r="U117" s="1844"/>
      <c r="V117" s="216"/>
      <c r="W117" s="59"/>
      <c r="X117" s="186"/>
      <c r="Y117" s="1845"/>
      <c r="Z117" s="79"/>
      <c r="AA117" s="79"/>
      <c r="AC117" s="17"/>
      <c r="AX117" s="1939"/>
      <c r="AY117" s="1939"/>
      <c r="BD117" s="1939"/>
      <c r="BE117" s="1939"/>
      <c r="BF117" s="1939"/>
      <c r="BG117" s="1939"/>
      <c r="BH117" s="1939"/>
      <c r="BI117" s="1939"/>
    </row>
    <row r="118" spans="1:61" ht="17.100000000000001" customHeight="1">
      <c r="A118" s="4329" t="s">
        <v>1717</v>
      </c>
      <c r="B118" s="4330"/>
      <c r="C118" s="1971" t="str">
        <f>C108</f>
        <v>180L</v>
      </c>
      <c r="D118" s="1972">
        <f>IF(D5&gt;0,Tech!D20,0)*0</f>
        <v>0</v>
      </c>
      <c r="E118" s="4494"/>
      <c r="F118" s="4494"/>
      <c r="G118" s="4495"/>
      <c r="H118" s="4496"/>
      <c r="I118" s="4342"/>
      <c r="J118" s="4343"/>
      <c r="K118" s="1934"/>
      <c r="M118" s="1525">
        <f>Tech!C20</f>
        <v>18</v>
      </c>
      <c r="N118" s="53">
        <f t="shared" ref="N118" si="15">M118*2.1</f>
        <v>37.800000000000004</v>
      </c>
      <c r="O118" s="1973">
        <f>Tech!C25</f>
        <v>1</v>
      </c>
      <c r="P118" s="1974" t="str">
        <f>IF(D5&gt;0,C5&amp;"/"&amp;D5,C5)</f>
        <v>25/15</v>
      </c>
      <c r="S118" s="59"/>
      <c r="T118" s="31"/>
      <c r="U118" s="1844"/>
      <c r="V118" s="216"/>
      <c r="W118" s="59"/>
      <c r="Y118" s="1845"/>
      <c r="Z118" s="79"/>
      <c r="AA118" s="79"/>
      <c r="AC118" s="17"/>
      <c r="AX118" s="1939"/>
      <c r="AY118" s="1939"/>
      <c r="BD118" s="1939"/>
      <c r="BE118" s="1939"/>
      <c r="BF118" s="1939"/>
      <c r="BG118" s="1939"/>
      <c r="BH118" s="1939"/>
      <c r="BI118" s="1939"/>
    </row>
    <row r="119" spans="1:61" ht="17.100000000000001" customHeight="1">
      <c r="A119" s="4145" t="s">
        <v>1718</v>
      </c>
      <c r="B119" s="4146"/>
      <c r="C119" s="1975" t="str">
        <f>C109</f>
        <v>90S</v>
      </c>
      <c r="D119" s="1972" t="str">
        <f>Tech!$G$20&amp;" x "&amp;D89</f>
        <v>1.1 x 2</v>
      </c>
      <c r="E119" s="4494"/>
      <c r="F119" s="4494"/>
      <c r="G119" s="4495"/>
      <c r="H119" s="4496"/>
      <c r="I119" s="4342"/>
      <c r="J119" s="4343"/>
      <c r="K119" s="1934"/>
      <c r="M119" s="1525">
        <f>IF(D5&gt;0,Tech!D20,0)</f>
        <v>18</v>
      </c>
      <c r="N119" s="53">
        <f>IF(D5&gt;0,M119,0)*2.1</f>
        <v>37.800000000000004</v>
      </c>
      <c r="O119" s="1973">
        <f>IF(D5&gt;0,Tech!D25,0)</f>
        <v>1</v>
      </c>
      <c r="P119" s="1974">
        <f>C6</f>
        <v>15</v>
      </c>
      <c r="S119" s="59"/>
      <c r="T119" s="31"/>
      <c r="U119" s="1844"/>
      <c r="V119" s="216"/>
      <c r="W119" s="59"/>
      <c r="Y119" s="1845"/>
      <c r="Z119" s="79"/>
      <c r="AA119" s="79"/>
      <c r="AC119" s="31"/>
      <c r="AX119" s="1939"/>
      <c r="AY119" s="1939"/>
      <c r="BD119" s="1939"/>
      <c r="BE119" s="1939"/>
      <c r="BF119" s="1939"/>
      <c r="BG119" s="1939"/>
      <c r="BH119" s="1939"/>
      <c r="BI119" s="1939"/>
    </row>
    <row r="120" spans="1:61" ht="17.100000000000001" customHeight="1">
      <c r="A120" s="4145" t="s">
        <v>1719</v>
      </c>
      <c r="B120" s="4146"/>
      <c r="C120" s="1975" t="str">
        <f>C110</f>
        <v>100L</v>
      </c>
      <c r="D120" s="1972" t="str">
        <f>Tech!H20&amp;" x "&amp;D34</f>
        <v>2.2 x 2</v>
      </c>
      <c r="E120" s="4494"/>
      <c r="F120" s="4494"/>
      <c r="G120" s="4497"/>
      <c r="H120" s="4498"/>
      <c r="I120" s="4375"/>
      <c r="J120" s="4284"/>
      <c r="K120" s="1934"/>
      <c r="M120" s="1525">
        <f>Tech!G20</f>
        <v>1.1000000000000001</v>
      </c>
      <c r="N120" s="53">
        <f>M120*2.1</f>
        <v>2.3100000000000005</v>
      </c>
      <c r="O120" s="1973">
        <f>Tech!G25</f>
        <v>2</v>
      </c>
      <c r="P120" s="1974">
        <f>input!G64/1000-0.3</f>
        <v>3</v>
      </c>
      <c r="S120" s="59"/>
      <c r="T120" s="31"/>
      <c r="U120" s="1844"/>
      <c r="V120" s="79"/>
      <c r="W120" s="79"/>
      <c r="Y120" s="1845"/>
      <c r="Z120" s="79"/>
      <c r="AA120" s="79"/>
      <c r="AC120" s="31"/>
      <c r="AX120" s="1939"/>
      <c r="AY120" s="1939"/>
      <c r="BD120" s="1939"/>
      <c r="BE120" s="1939"/>
      <c r="BF120" s="1939"/>
      <c r="BG120" s="1939"/>
      <c r="BH120" s="1939"/>
      <c r="BI120" s="1939"/>
    </row>
    <row r="121" spans="1:61" ht="17.100000000000001" customHeight="1">
      <c r="A121" s="4145" t="s">
        <v>1730</v>
      </c>
      <c r="B121" s="4146"/>
      <c r="C121" s="4241"/>
      <c r="D121" s="4241"/>
      <c r="E121" s="4344">
        <v>0</v>
      </c>
      <c r="F121" s="4345"/>
      <c r="G121" s="4258">
        <f>E121</f>
        <v>0</v>
      </c>
      <c r="H121" s="4243"/>
      <c r="I121" s="4342"/>
      <c r="J121" s="4343"/>
      <c r="K121" s="1934"/>
      <c r="M121" s="1502">
        <f>Tech!H20</f>
        <v>2.2000000000000002</v>
      </c>
      <c r="N121" s="1976">
        <f>M121*2.1</f>
        <v>4.620000000000001</v>
      </c>
      <c r="O121" s="1977">
        <f>Tech!H25</f>
        <v>2</v>
      </c>
      <c r="P121" s="1974">
        <f>I11</f>
        <v>100</v>
      </c>
      <c r="S121" s="59"/>
      <c r="T121" s="31"/>
      <c r="U121" s="491"/>
      <c r="V121" s="108"/>
      <c r="W121" s="473"/>
      <c r="Y121" s="79"/>
      <c r="Z121" s="79"/>
      <c r="AA121" s="79"/>
      <c r="AX121" s="1939"/>
      <c r="AY121" s="1939"/>
      <c r="BD121" s="1939"/>
      <c r="BE121" s="1939"/>
      <c r="BF121" s="1939"/>
      <c r="BG121" s="1939"/>
      <c r="BH121" s="1939"/>
      <c r="BI121" s="1939"/>
    </row>
    <row r="122" spans="1:61" ht="17.100000000000001" customHeight="1" thickBot="1">
      <c r="A122" s="4296" t="s">
        <v>1731</v>
      </c>
      <c r="B122" s="4297"/>
      <c r="C122" s="4297"/>
      <c r="D122" s="4297"/>
      <c r="E122" s="4350"/>
      <c r="F122" s="4350"/>
      <c r="G122" s="4351"/>
      <c r="H122" s="4352"/>
      <c r="I122" s="4353"/>
      <c r="J122" s="4354"/>
      <c r="K122" s="1978" t="s">
        <v>1732</v>
      </c>
      <c r="M122" s="1979">
        <f>D117</f>
        <v>18</v>
      </c>
      <c r="N122" s="53" t="str">
        <f>'E Data'!E25</f>
        <v>M5</v>
      </c>
      <c r="O122" s="53" t="str">
        <f>+Tech!C28</f>
        <v>EHT</v>
      </c>
      <c r="P122" s="1974">
        <f>C7</f>
        <v>15</v>
      </c>
      <c r="S122" s="59"/>
      <c r="T122" s="31"/>
      <c r="U122" s="108"/>
      <c r="V122" s="1980"/>
      <c r="W122" s="102"/>
      <c r="Y122" s="491"/>
      <c r="Z122" s="108"/>
      <c r="AA122" s="473"/>
      <c r="AC122" s="31"/>
      <c r="AX122" s="1939"/>
      <c r="AY122" s="1939"/>
      <c r="BD122" s="1939"/>
      <c r="BE122" s="1939"/>
      <c r="BF122" s="1939"/>
      <c r="BG122" s="1939"/>
      <c r="BH122" s="1939"/>
      <c r="BI122" s="1939"/>
    </row>
    <row r="123" spans="1:61" ht="17.100000000000001" customHeight="1" thickBot="1">
      <c r="A123" s="4220" t="s">
        <v>1665</v>
      </c>
      <c r="B123" s="4222"/>
      <c r="C123" s="4273"/>
      <c r="D123" s="4273"/>
      <c r="E123" s="4355"/>
      <c r="F123" s="4356"/>
      <c r="G123" s="4174">
        <f>ROUNDUP(SUM(G117:H122),-1)</f>
        <v>165750</v>
      </c>
      <c r="H123" s="4175"/>
      <c r="I123" s="4348"/>
      <c r="J123" s="4349"/>
      <c r="K123" s="1981">
        <v>300</v>
      </c>
      <c r="M123" s="1982">
        <f>D118</f>
        <v>0</v>
      </c>
      <c r="N123" s="80" t="str">
        <f>'E Data'!D28</f>
        <v>Shrouded Type DSL</v>
      </c>
      <c r="O123" s="53" t="str">
        <f>+IF(K88=0,"DCEM",Tech!G28)</f>
        <v>DCEM</v>
      </c>
      <c r="P123" s="1974">
        <f>D7</f>
        <v>15</v>
      </c>
      <c r="S123" s="59"/>
      <c r="T123" s="31"/>
      <c r="U123" s="491"/>
      <c r="V123" s="108"/>
      <c r="W123" s="473"/>
      <c r="Y123" s="1983"/>
      <c r="Z123" s="1980"/>
      <c r="AA123" s="102"/>
      <c r="AX123" s="1939"/>
      <c r="AY123" s="1939"/>
      <c r="BD123" s="1939"/>
      <c r="BE123" s="1939"/>
      <c r="BF123" s="1939"/>
      <c r="BG123" s="1939"/>
      <c r="BH123" s="1939"/>
      <c r="BI123" s="1939"/>
    </row>
    <row r="124" spans="1:61" ht="17.100000000000001" customHeight="1" thickBot="1">
      <c r="A124" s="3855"/>
      <c r="B124" s="3855"/>
      <c r="C124" s="3855"/>
      <c r="D124" s="3855"/>
      <c r="E124" s="3855"/>
      <c r="F124" s="3855"/>
      <c r="G124" s="3855"/>
      <c r="H124" s="3855"/>
      <c r="I124" s="3855"/>
      <c r="J124" s="3855"/>
      <c r="K124" s="1984"/>
      <c r="M124" s="1982" t="str">
        <f>D119</f>
        <v>1.1 x 2</v>
      </c>
      <c r="P124" s="167">
        <f>'E Data'!D32</f>
        <v>50</v>
      </c>
      <c r="S124" s="53"/>
      <c r="T124" s="31"/>
      <c r="U124" s="108"/>
      <c r="V124" s="1980"/>
      <c r="W124" s="102"/>
      <c r="AA124" s="31"/>
      <c r="AX124" s="1939"/>
      <c r="AY124" s="1939"/>
      <c r="BD124" s="1939"/>
      <c r="BE124" s="1939"/>
      <c r="BF124" s="1939"/>
      <c r="BG124" s="1939"/>
      <c r="BH124" s="1939"/>
      <c r="BI124" s="1939"/>
    </row>
    <row r="125" spans="1:61" ht="17.100000000000001" customHeight="1" thickBot="1">
      <c r="A125" s="4129" t="s">
        <v>1733</v>
      </c>
      <c r="B125" s="4130"/>
      <c r="C125" s="4130" t="s">
        <v>1667</v>
      </c>
      <c r="D125" s="4130"/>
      <c r="E125" s="4130" t="s">
        <v>1651</v>
      </c>
      <c r="F125" s="4130"/>
      <c r="G125" s="4130" t="s">
        <v>1668</v>
      </c>
      <c r="H125" s="4130"/>
      <c r="I125" s="4129" t="s">
        <v>1654</v>
      </c>
      <c r="J125" s="4130"/>
      <c r="K125" s="1893">
        <f>MH!L29</f>
        <v>0</v>
      </c>
      <c r="M125" s="1985" t="str">
        <f>D120</f>
        <v>2.2 x 2</v>
      </c>
      <c r="P125" s="159" t="str">
        <f>I139</f>
        <v>Pendant Push Button (Movable Type) + RRC (Push Button Type)</v>
      </c>
      <c r="R125" s="59"/>
      <c r="S125" s="59"/>
      <c r="T125" s="31"/>
      <c r="V125" s="31"/>
      <c r="W125" s="31"/>
      <c r="AX125" s="1939"/>
      <c r="AY125" s="1939"/>
      <c r="BD125" s="1939"/>
      <c r="BE125" s="1939"/>
      <c r="BF125" s="1939"/>
      <c r="BG125" s="1939"/>
      <c r="BH125" s="1939"/>
      <c r="BI125" s="1939"/>
    </row>
    <row r="126" spans="1:61" ht="17.100000000000001" customHeight="1">
      <c r="A126" s="4329" t="s">
        <v>1734</v>
      </c>
      <c r="B126" s="4330"/>
      <c r="C126" s="1970" t="str">
        <f>Tech!C21</f>
        <v>180L</v>
      </c>
      <c r="D126" s="1906">
        <f>Tech!C20</f>
        <v>18</v>
      </c>
      <c r="E126" s="4357">
        <v>2000</v>
      </c>
      <c r="F126" s="4357"/>
      <c r="G126" s="4358">
        <f>E126*D126*K125</f>
        <v>0</v>
      </c>
      <c r="H126" s="4359"/>
      <c r="I126" s="4360" t="s">
        <v>1735</v>
      </c>
      <c r="J126" s="3834"/>
      <c r="K126" s="1934"/>
      <c r="Q126" s="658"/>
      <c r="R126" s="59"/>
      <c r="S126" s="59"/>
      <c r="T126" s="31"/>
      <c r="AX126" s="1939"/>
      <c r="AY126" s="1939"/>
      <c r="BD126" s="1939"/>
      <c r="BE126" s="1939"/>
      <c r="BF126" s="1939"/>
      <c r="BG126" s="1939"/>
      <c r="BH126" s="1939"/>
      <c r="BI126" s="1939"/>
    </row>
    <row r="127" spans="1:61" ht="17.100000000000001" customHeight="1">
      <c r="A127" s="4162" t="s">
        <v>1736</v>
      </c>
      <c r="B127" s="4241"/>
      <c r="C127" s="1971" t="str">
        <f>C118</f>
        <v>180L</v>
      </c>
      <c r="D127" s="1906">
        <f>IF(D5&gt;0,Tech!D20,0)</f>
        <v>18</v>
      </c>
      <c r="E127" s="4357">
        <v>2000</v>
      </c>
      <c r="F127" s="4357"/>
      <c r="G127" s="4358">
        <f>E127*D127*K125</f>
        <v>0</v>
      </c>
      <c r="H127" s="4359"/>
      <c r="I127" s="4342"/>
      <c r="J127" s="4343"/>
      <c r="K127" s="1934"/>
      <c r="AX127" s="1939"/>
      <c r="AY127" s="1939"/>
      <c r="BD127" s="1939"/>
      <c r="BE127" s="1939"/>
      <c r="BF127" s="1939"/>
      <c r="BG127" s="1939"/>
      <c r="BH127" s="1939"/>
      <c r="BI127" s="1939"/>
    </row>
    <row r="128" spans="1:61" ht="17.100000000000001" customHeight="1">
      <c r="A128" s="4162" t="s">
        <v>1718</v>
      </c>
      <c r="B128" s="4241"/>
      <c r="C128" s="1975" t="str">
        <f>Tech!G21</f>
        <v>90S</v>
      </c>
      <c r="D128" s="1972">
        <f>Tech!G20*D89</f>
        <v>2.2000000000000002</v>
      </c>
      <c r="E128" s="4357">
        <v>1500</v>
      </c>
      <c r="F128" s="4357"/>
      <c r="G128" s="4358">
        <f>E128*D128*K125</f>
        <v>0</v>
      </c>
      <c r="H128" s="4359"/>
      <c r="I128" s="4342"/>
      <c r="J128" s="4343"/>
      <c r="K128" s="1934"/>
      <c r="AX128" s="1939"/>
      <c r="AY128" s="1939"/>
      <c r="BD128" s="1939"/>
      <c r="BE128" s="1939"/>
      <c r="BF128" s="1939"/>
      <c r="BG128" s="1939"/>
      <c r="BH128" s="1939"/>
      <c r="BI128" s="1939"/>
    </row>
    <row r="129" spans="1:61" ht="17.100000000000001" customHeight="1" thickBot="1">
      <c r="A129" s="4296" t="s">
        <v>1719</v>
      </c>
      <c r="B129" s="4297"/>
      <c r="C129" s="1975" t="str">
        <f>Tech!H21</f>
        <v>100L</v>
      </c>
      <c r="D129" s="1972">
        <f>Tech!H20*D34</f>
        <v>4.4000000000000004</v>
      </c>
      <c r="E129" s="4357">
        <v>1500</v>
      </c>
      <c r="F129" s="4357"/>
      <c r="G129" s="4358">
        <f>E129*D129*K125</f>
        <v>0</v>
      </c>
      <c r="H129" s="4359"/>
      <c r="I129" s="4353"/>
      <c r="J129" s="4354"/>
      <c r="K129" s="1934"/>
      <c r="AX129" s="1939"/>
      <c r="AY129" s="1939"/>
      <c r="BD129" s="1939"/>
      <c r="BE129" s="1939"/>
      <c r="BF129" s="1939"/>
      <c r="BG129" s="1939"/>
      <c r="BH129" s="1939"/>
      <c r="BI129" s="1939"/>
    </row>
    <row r="130" spans="1:61" ht="17.100000000000001" customHeight="1" thickBot="1">
      <c r="A130" s="4220" t="s">
        <v>1665</v>
      </c>
      <c r="B130" s="4222"/>
      <c r="C130" s="4273"/>
      <c r="D130" s="4273"/>
      <c r="E130" s="4361"/>
      <c r="F130" s="4361"/>
      <c r="G130" s="4362">
        <f>SUM(G126:H129)</f>
        <v>0</v>
      </c>
      <c r="H130" s="4363"/>
      <c r="I130" s="4272"/>
      <c r="J130" s="4349"/>
      <c r="K130" s="1986"/>
      <c r="AX130" s="1939"/>
      <c r="AY130" s="1939"/>
      <c r="BD130" s="1939"/>
      <c r="BE130" s="1939"/>
      <c r="BF130" s="1939"/>
      <c r="BG130" s="1939"/>
      <c r="BH130" s="1939"/>
      <c r="BI130" s="1939"/>
    </row>
    <row r="131" spans="1:61" ht="17.100000000000001" customHeight="1" thickBot="1">
      <c r="A131" s="1262"/>
      <c r="B131" s="1230"/>
      <c r="C131" s="1230"/>
      <c r="D131" s="1230"/>
      <c r="E131" s="1230"/>
      <c r="F131" s="1230"/>
      <c r="G131" s="1230"/>
      <c r="H131" s="1230"/>
      <c r="I131" s="1192"/>
      <c r="J131" s="1192"/>
      <c r="K131" s="468"/>
      <c r="L131" s="140" t="str">
        <f>HYPERLINK("\\Manish-pc\e\03 General\Manish\Selection\Price_Sheet_2013.pdf","Price Sheet")</f>
        <v>Price Sheet</v>
      </c>
      <c r="AX131" s="1939"/>
      <c r="AY131" s="1939"/>
      <c r="BD131" s="1939"/>
      <c r="BE131" s="1939"/>
      <c r="BF131" s="1939"/>
      <c r="BG131" s="1939"/>
      <c r="BH131" s="1939"/>
      <c r="BI131" s="1939"/>
    </row>
    <row r="132" spans="1:61" ht="17.100000000000001" customHeight="1" thickBot="1">
      <c r="A132" s="4129" t="s">
        <v>1737</v>
      </c>
      <c r="B132" s="4130"/>
      <c r="C132" s="4130" t="s">
        <v>1667</v>
      </c>
      <c r="D132" s="4130"/>
      <c r="E132" s="4364" t="s">
        <v>1651</v>
      </c>
      <c r="F132" s="4364"/>
      <c r="G132" s="4364" t="s">
        <v>1668</v>
      </c>
      <c r="H132" s="4364"/>
      <c r="I132" s="4129" t="s">
        <v>1654</v>
      </c>
      <c r="J132" s="4131"/>
      <c r="K132" s="1987"/>
      <c r="O132" s="145" t="s">
        <v>2539</v>
      </c>
      <c r="P132" s="145" t="s">
        <v>2540</v>
      </c>
      <c r="Q132" s="131"/>
      <c r="R132" s="131" t="s">
        <v>2541</v>
      </c>
      <c r="AE132" s="31"/>
      <c r="AF132" s="31"/>
      <c r="AG132" s="31"/>
      <c r="AX132" s="1939"/>
      <c r="AY132" s="1939"/>
      <c r="BD132" s="1939"/>
      <c r="BE132" s="1939"/>
      <c r="BF132" s="1939"/>
      <c r="BG132" s="1939"/>
      <c r="BH132" s="1939"/>
      <c r="BI132" s="1939"/>
    </row>
    <row r="133" spans="1:61" ht="17.100000000000001" customHeight="1">
      <c r="A133" s="4329" t="s">
        <v>1738</v>
      </c>
      <c r="B133" s="4330"/>
      <c r="C133" s="4365" t="s">
        <v>1739</v>
      </c>
      <c r="D133" s="4365"/>
      <c r="E133" s="4366">
        <v>6000</v>
      </c>
      <c r="F133" s="4366"/>
      <c r="G133" s="4367">
        <f t="shared" ref="G133" si="16">E133</f>
        <v>6000</v>
      </c>
      <c r="H133" s="4368"/>
      <c r="I133" s="4360" t="s">
        <v>1740</v>
      </c>
      <c r="J133" s="4369"/>
      <c r="K133" s="1987"/>
      <c r="O133" s="145">
        <v>8500</v>
      </c>
      <c r="P133" s="145">
        <v>25000</v>
      </c>
      <c r="Q133" s="131" t="s">
        <v>1738</v>
      </c>
      <c r="R133" s="131" t="s">
        <v>1739</v>
      </c>
      <c r="AE133" s="31"/>
      <c r="AF133" s="31"/>
      <c r="AG133" s="31"/>
      <c r="AX133" s="1939"/>
      <c r="AY133" s="1939"/>
      <c r="BD133" s="1939"/>
      <c r="BE133" s="1939"/>
      <c r="BF133" s="1939"/>
      <c r="BG133" s="1939"/>
      <c r="BH133" s="1939"/>
      <c r="BI133" s="1939"/>
    </row>
    <row r="134" spans="1:61" ht="17.100000000000001" customHeight="1">
      <c r="A134" s="4329" t="s">
        <v>1741</v>
      </c>
      <c r="B134" s="4330"/>
      <c r="C134" s="4365" t="s">
        <v>1739</v>
      </c>
      <c r="D134" s="4365"/>
      <c r="E134" s="4365">
        <f>E133*K68*0</f>
        <v>0</v>
      </c>
      <c r="F134" s="4365"/>
      <c r="G134" s="4370">
        <f>E134</f>
        <v>0</v>
      </c>
      <c r="H134" s="4371"/>
      <c r="I134" s="4372"/>
      <c r="J134" s="4373"/>
      <c r="K134" s="1987"/>
      <c r="O134" s="145">
        <f>+O133</f>
        <v>8500</v>
      </c>
      <c r="P134" s="145">
        <f>+P133</f>
        <v>25000</v>
      </c>
      <c r="Q134" s="1988" t="s">
        <v>1741</v>
      </c>
      <c r="R134" s="131" t="s">
        <v>1739</v>
      </c>
      <c r="AE134" s="31"/>
      <c r="AF134" s="31"/>
      <c r="AG134" s="31"/>
      <c r="AX134" s="1939"/>
      <c r="AY134" s="1939"/>
      <c r="BD134" s="1939"/>
      <c r="BE134" s="1939"/>
      <c r="BF134" s="1939"/>
      <c r="BG134" s="1939"/>
      <c r="BH134" s="1939"/>
      <c r="BI134" s="1939"/>
    </row>
    <row r="135" spans="1:61" ht="17.100000000000001" customHeight="1">
      <c r="A135" s="4162" t="s">
        <v>1742</v>
      </c>
      <c r="B135" s="4241"/>
      <c r="C135" s="3700" t="s">
        <v>1743</v>
      </c>
      <c r="D135" s="3700"/>
      <c r="E135" s="4374">
        <v>3000</v>
      </c>
      <c r="F135" s="4374"/>
      <c r="G135" s="4370">
        <f>E135</f>
        <v>3000</v>
      </c>
      <c r="H135" s="4371"/>
      <c r="I135" s="4375"/>
      <c r="J135" s="4236"/>
      <c r="K135" s="1987"/>
      <c r="O135" s="145">
        <v>3500</v>
      </c>
      <c r="P135" s="145">
        <v>12000</v>
      </c>
      <c r="Q135" s="131" t="s">
        <v>1742</v>
      </c>
      <c r="R135" s="131" t="s">
        <v>1743</v>
      </c>
      <c r="AE135" s="31"/>
      <c r="AF135" s="31"/>
      <c r="AG135" s="31"/>
      <c r="AX135" s="1939"/>
      <c r="AY135" s="1939"/>
      <c r="BD135" s="1939"/>
      <c r="BE135" s="1939"/>
      <c r="BF135" s="1939"/>
      <c r="BG135" s="1939"/>
      <c r="BH135" s="1939"/>
      <c r="BI135" s="1939"/>
    </row>
    <row r="136" spans="1:61" ht="17.100000000000001" customHeight="1">
      <c r="A136" s="4296" t="s">
        <v>1744</v>
      </c>
      <c r="B136" s="4297"/>
      <c r="C136" s="4376" t="s">
        <v>1743</v>
      </c>
      <c r="D136" s="4376"/>
      <c r="E136" s="4377">
        <f>+E135</f>
        <v>3000</v>
      </c>
      <c r="F136" s="4377"/>
      <c r="G136" s="4378">
        <f>E136</f>
        <v>3000</v>
      </c>
      <c r="H136" s="4379"/>
      <c r="I136" s="4380"/>
      <c r="J136" s="4381"/>
      <c r="K136" s="1987"/>
      <c r="O136" s="145">
        <f>+O135</f>
        <v>3500</v>
      </c>
      <c r="P136" s="145">
        <f>+P135</f>
        <v>12000</v>
      </c>
      <c r="Q136" s="131" t="s">
        <v>1744</v>
      </c>
      <c r="R136" s="131" t="s">
        <v>1743</v>
      </c>
      <c r="AE136" s="31"/>
      <c r="AF136" s="31"/>
      <c r="AG136" s="31"/>
      <c r="AX136" s="1939"/>
      <c r="AY136" s="1939"/>
      <c r="BD136" s="1939"/>
      <c r="BE136" s="1939"/>
      <c r="BF136" s="1939"/>
      <c r="BG136" s="1939"/>
      <c r="BH136" s="1939"/>
      <c r="BI136" s="1939"/>
    </row>
    <row r="137" spans="1:61" ht="17.100000000000001" customHeight="1">
      <c r="A137" s="4385" t="s">
        <v>1748</v>
      </c>
      <c r="B137" s="4386"/>
      <c r="C137" s="4387"/>
      <c r="D137" s="4388"/>
      <c r="E137" s="3700">
        <f>12000*0</f>
        <v>0</v>
      </c>
      <c r="F137" s="4154"/>
      <c r="G137" s="4245">
        <f t="shared" ref="G137" si="17">E137</f>
        <v>0</v>
      </c>
      <c r="H137" s="4235"/>
      <c r="I137" s="4380"/>
      <c r="J137" s="4381"/>
      <c r="K137" s="1854"/>
      <c r="O137" s="145">
        <v>12000</v>
      </c>
      <c r="P137" s="145">
        <v>12000</v>
      </c>
      <c r="Q137" s="131" t="s">
        <v>1748</v>
      </c>
      <c r="R137" s="131"/>
      <c r="AE137" s="31"/>
      <c r="AF137" s="31"/>
      <c r="AG137" s="31"/>
      <c r="AX137" s="1939"/>
      <c r="AY137" s="1939"/>
      <c r="BD137" s="1939"/>
      <c r="BE137" s="1939"/>
      <c r="BF137" s="1939"/>
      <c r="BG137" s="1939"/>
      <c r="BH137" s="1939"/>
      <c r="BI137" s="1939"/>
    </row>
    <row r="138" spans="1:61" ht="17.100000000000001" customHeight="1" thickBot="1">
      <c r="A138" s="4382" t="s">
        <v>1746</v>
      </c>
      <c r="B138" s="4383"/>
      <c r="C138" s="4387"/>
      <c r="D138" s="4388"/>
      <c r="E138" s="4376">
        <f>10000*4*0</f>
        <v>0</v>
      </c>
      <c r="F138" s="4384"/>
      <c r="G138" s="4269">
        <f>E138</f>
        <v>0</v>
      </c>
      <c r="H138" s="4302"/>
      <c r="I138" s="4380"/>
      <c r="J138" s="4381"/>
      <c r="K138" s="1854"/>
      <c r="L138" s="463"/>
      <c r="O138" s="1989">
        <f>10000*4</f>
        <v>40000</v>
      </c>
      <c r="P138" s="131"/>
      <c r="Q138" s="4241" t="s">
        <v>1746</v>
      </c>
      <c r="R138" s="4241"/>
      <c r="AC138" s="31"/>
      <c r="AD138" s="31"/>
      <c r="AE138" s="31"/>
      <c r="AF138" s="31"/>
      <c r="AG138" s="31"/>
      <c r="AX138" s="1939"/>
      <c r="AY138" s="1939"/>
      <c r="AZ138" s="1939"/>
      <c r="BA138" s="1939"/>
      <c r="BB138" s="1939"/>
      <c r="BC138" s="1939"/>
      <c r="BD138" s="1939"/>
      <c r="BE138" s="1939"/>
      <c r="BF138" s="1939"/>
      <c r="BG138" s="1939"/>
      <c r="BH138" s="1939"/>
      <c r="BI138" s="1939"/>
    </row>
    <row r="139" spans="1:61" ht="17.100000000000001" customHeight="1">
      <c r="A139" s="4409" t="s">
        <v>1745</v>
      </c>
      <c r="B139" s="4410"/>
      <c r="C139" s="4411"/>
      <c r="D139" s="4411"/>
      <c r="E139" s="4412">
        <v>10000</v>
      </c>
      <c r="F139" s="4412"/>
      <c r="G139" s="4413">
        <f>E139</f>
        <v>10000</v>
      </c>
      <c r="H139" s="4414"/>
      <c r="I139" s="4333" t="str">
        <f>'E Data'!D46</f>
        <v>Pendant Push Button (Movable Type) + RRC (Push Button Type)</v>
      </c>
      <c r="J139" s="4334"/>
      <c r="K139" s="1854"/>
      <c r="O139" s="145">
        <v>90000</v>
      </c>
      <c r="P139" s="145">
        <v>160000</v>
      </c>
      <c r="Q139" s="131" t="s">
        <v>1747</v>
      </c>
      <c r="R139" s="131"/>
      <c r="AC139" s="31"/>
      <c r="AD139" s="31"/>
      <c r="AE139" s="31"/>
      <c r="AF139" s="31"/>
      <c r="AG139" s="31"/>
      <c r="AX139" s="1939"/>
      <c r="AY139" s="1939"/>
      <c r="AZ139" s="1939"/>
      <c r="BA139" s="1939"/>
      <c r="BB139" s="1939"/>
      <c r="BC139" s="1939"/>
      <c r="BD139" s="1939"/>
      <c r="BE139" s="1939"/>
      <c r="BF139" s="1939"/>
      <c r="BG139" s="1939"/>
      <c r="BH139" s="1939"/>
      <c r="BI139" s="1939"/>
    </row>
    <row r="140" spans="1:61" ht="17.100000000000001" customHeight="1">
      <c r="A140" s="4382" t="s">
        <v>1752</v>
      </c>
      <c r="B140" s="4383"/>
      <c r="C140" s="4389" t="s">
        <v>1753</v>
      </c>
      <c r="D140" s="4389"/>
      <c r="E140" s="4390">
        <v>30000</v>
      </c>
      <c r="F140" s="4390"/>
      <c r="G140" s="3986">
        <f>E140</f>
        <v>30000</v>
      </c>
      <c r="H140" s="3986"/>
      <c r="I140" s="4395"/>
      <c r="J140" s="4396"/>
      <c r="K140" s="1854"/>
      <c r="O140" s="145">
        <v>35000</v>
      </c>
      <c r="P140" s="145"/>
      <c r="Q140" s="131" t="s">
        <v>102</v>
      </c>
      <c r="R140" s="131"/>
      <c r="Y140" s="1648"/>
      <c r="AC140" s="1648"/>
      <c r="AD140" s="1648"/>
      <c r="AE140" s="1648"/>
      <c r="AF140" s="1648"/>
      <c r="AG140" s="1648"/>
      <c r="AX140" s="1939"/>
      <c r="AY140" s="1939"/>
      <c r="AZ140" s="1939"/>
      <c r="BA140" s="1939"/>
      <c r="BB140" s="1939"/>
      <c r="BC140" s="1939"/>
      <c r="BD140" s="1939"/>
      <c r="BE140" s="1939"/>
      <c r="BF140" s="1939"/>
      <c r="BG140" s="1939"/>
      <c r="BH140" s="1939"/>
      <c r="BI140" s="1939"/>
    </row>
    <row r="141" spans="1:61" ht="17.100000000000001" customHeight="1">
      <c r="A141" s="4385" t="s">
        <v>1749</v>
      </c>
      <c r="B141" s="4386"/>
      <c r="C141" s="4387"/>
      <c r="D141" s="4387"/>
      <c r="E141" s="4406">
        <f>5000*4*0</f>
        <v>0</v>
      </c>
      <c r="F141" s="4407"/>
      <c r="G141" s="4302">
        <f>E141</f>
        <v>0</v>
      </c>
      <c r="H141" s="4408"/>
      <c r="I141" s="4395"/>
      <c r="J141" s="4396"/>
      <c r="K141" s="1854"/>
      <c r="O141" s="145">
        <v>15000</v>
      </c>
      <c r="P141" s="145">
        <v>25000</v>
      </c>
      <c r="Q141" s="131" t="s">
        <v>1750</v>
      </c>
      <c r="R141" s="131"/>
      <c r="Y141" s="31"/>
      <c r="AC141" s="31"/>
      <c r="AD141" s="31"/>
      <c r="AE141" s="31"/>
      <c r="AF141" s="31"/>
      <c r="AG141" s="31"/>
      <c r="AX141" s="1939"/>
      <c r="AY141" s="1939"/>
      <c r="AZ141" s="1939"/>
      <c r="BA141" s="1939"/>
      <c r="BB141" s="1939"/>
      <c r="BC141" s="1939"/>
      <c r="BD141" s="1939"/>
      <c r="BE141" s="1939"/>
      <c r="BF141" s="1939"/>
      <c r="BG141" s="1939"/>
      <c r="BH141" s="1939"/>
      <c r="BI141" s="1939"/>
    </row>
    <row r="142" spans="1:61" ht="17.100000000000001" customHeight="1" thickBot="1">
      <c r="A142" s="4399" t="s">
        <v>1751</v>
      </c>
      <c r="B142" s="4400"/>
      <c r="C142" s="4401"/>
      <c r="D142" s="4401"/>
      <c r="E142" s="4402">
        <f>180000*0</f>
        <v>0</v>
      </c>
      <c r="F142" s="4403"/>
      <c r="G142" s="4404">
        <f>E142</f>
        <v>0</v>
      </c>
      <c r="H142" s="4405"/>
      <c r="I142" s="4397"/>
      <c r="J142" s="4398"/>
      <c r="K142" s="1854"/>
      <c r="O142" s="145">
        <v>100000</v>
      </c>
      <c r="P142" s="145">
        <v>150000</v>
      </c>
      <c r="Q142" s="131" t="s">
        <v>103</v>
      </c>
      <c r="R142" s="131"/>
      <c r="Y142" s="31"/>
      <c r="AC142" s="31"/>
      <c r="AD142" s="31"/>
      <c r="AE142" s="31"/>
      <c r="AF142" s="31"/>
      <c r="AG142" s="31"/>
      <c r="AX142" s="1939"/>
      <c r="AY142" s="1939"/>
      <c r="AZ142" s="1939"/>
      <c r="BA142" s="1939"/>
      <c r="BB142" s="1939"/>
      <c r="BC142" s="1939"/>
      <c r="BD142" s="1939"/>
      <c r="BE142" s="1939"/>
      <c r="BF142" s="1939"/>
      <c r="BG142" s="1939"/>
      <c r="BH142" s="1939"/>
      <c r="BI142" s="1939"/>
    </row>
    <row r="143" spans="1:61" ht="17.100000000000001" customHeight="1" thickBot="1">
      <c r="A143" s="4220" t="s">
        <v>1665</v>
      </c>
      <c r="B143" s="4224"/>
      <c r="C143" s="4272"/>
      <c r="D143" s="4391"/>
      <c r="E143" s="4392"/>
      <c r="F143" s="4393"/>
      <c r="G143" s="4362">
        <f>ROUNDUP(SUM(G133:H142),-1)</f>
        <v>52000</v>
      </c>
      <c r="H143" s="4394"/>
      <c r="I143" s="4272"/>
      <c r="J143" s="4391"/>
      <c r="K143" s="1990">
        <f>+S23</f>
        <v>0</v>
      </c>
      <c r="O143" s="145">
        <v>200000</v>
      </c>
      <c r="P143" s="145">
        <v>250000</v>
      </c>
      <c r="Q143" s="131" t="s">
        <v>1754</v>
      </c>
      <c r="R143" s="131"/>
      <c r="Y143" s="186"/>
      <c r="AC143" s="186"/>
      <c r="AD143" s="186"/>
      <c r="AE143" s="186"/>
      <c r="AF143" s="186"/>
      <c r="AG143" s="186"/>
      <c r="AX143" s="1939"/>
      <c r="AY143" s="1939"/>
      <c r="AZ143" s="1939"/>
      <c r="BA143" s="1939"/>
      <c r="BB143" s="1939"/>
      <c r="BC143" s="1939"/>
      <c r="BD143" s="1939"/>
      <c r="BE143" s="1939"/>
      <c r="BF143" s="1939"/>
      <c r="BG143" s="1939"/>
      <c r="BH143" s="1939"/>
      <c r="BI143" s="1939"/>
    </row>
    <row r="144" spans="1:61" ht="17.100000000000001" customHeight="1" thickBot="1">
      <c r="A144" s="4276"/>
      <c r="B144" s="4127"/>
      <c r="C144" s="4127"/>
      <c r="D144" s="4127"/>
      <c r="E144" s="4127"/>
      <c r="F144" s="4127"/>
      <c r="G144" s="4127"/>
      <c r="H144" s="4127"/>
      <c r="I144" s="4127"/>
      <c r="J144" s="4127"/>
      <c r="K144" s="468"/>
      <c r="O144" s="145">
        <v>50000</v>
      </c>
      <c r="P144" s="145">
        <v>350000</v>
      </c>
      <c r="Q144" s="131" t="s">
        <v>2542</v>
      </c>
      <c r="R144" s="131"/>
      <c r="AC144" s="31"/>
      <c r="AD144" s="31"/>
      <c r="AE144" s="31"/>
      <c r="AF144" s="31"/>
      <c r="AG144" s="31"/>
      <c r="AX144" s="1939"/>
      <c r="AY144" s="1939"/>
      <c r="AZ144" s="1939"/>
      <c r="BA144" s="1939"/>
      <c r="BB144" s="1939"/>
      <c r="BC144" s="1939"/>
      <c r="BD144" s="1939"/>
      <c r="BE144" s="1939"/>
      <c r="BF144" s="1939"/>
      <c r="BG144" s="1939"/>
      <c r="BH144" s="1939"/>
      <c r="BI144" s="1939"/>
    </row>
    <row r="145" spans="1:61" ht="17.100000000000001" customHeight="1" thickBot="1">
      <c r="A145" s="4129" t="s">
        <v>1755</v>
      </c>
      <c r="B145" s="4130"/>
      <c r="C145" s="4130" t="s">
        <v>1667</v>
      </c>
      <c r="D145" s="4130"/>
      <c r="E145" s="4130" t="s">
        <v>1651</v>
      </c>
      <c r="F145" s="4130"/>
      <c r="G145" s="4130" t="s">
        <v>1668</v>
      </c>
      <c r="H145" s="4130"/>
      <c r="I145" s="4129" t="s">
        <v>1654</v>
      </c>
      <c r="J145" s="4130"/>
      <c r="K145" s="1991"/>
      <c r="L145" s="1992"/>
      <c r="O145" s="145">
        <v>150000</v>
      </c>
      <c r="P145" s="145">
        <v>200000</v>
      </c>
      <c r="Q145" s="131" t="s">
        <v>1722</v>
      </c>
      <c r="R145" s="131"/>
      <c r="AA145" s="59"/>
      <c r="AB145" s="31"/>
      <c r="AC145" s="31"/>
      <c r="AD145" s="31"/>
      <c r="AE145" s="31"/>
      <c r="AF145" s="31"/>
      <c r="AG145" s="31"/>
      <c r="AX145" s="1939"/>
      <c r="AY145" s="1939"/>
      <c r="AZ145" s="1939"/>
      <c r="BA145" s="1939"/>
      <c r="BB145" s="1939"/>
      <c r="BC145" s="1939"/>
      <c r="BD145" s="1939"/>
      <c r="BE145" s="1939"/>
      <c r="BF145" s="1939"/>
      <c r="BG145" s="1939"/>
      <c r="BH145" s="1939"/>
      <c r="BI145" s="1939"/>
    </row>
    <row r="146" spans="1:61" ht="17.100000000000001" customHeight="1">
      <c r="A146" s="4415" t="s">
        <v>1734</v>
      </c>
      <c r="B146" s="4383"/>
      <c r="C146" s="1912"/>
      <c r="D146" s="1912"/>
      <c r="E146" s="4388">
        <v>0</v>
      </c>
      <c r="F146" s="4416"/>
      <c r="G146" s="4388">
        <f>E146</f>
        <v>0</v>
      </c>
      <c r="H146" s="4388"/>
      <c r="I146" s="4417"/>
      <c r="J146" s="4418"/>
      <c r="K146" s="1932"/>
      <c r="L146" s="1992"/>
      <c r="O146" s="1993" t="s">
        <v>1757</v>
      </c>
      <c r="P146" s="1993" t="s">
        <v>2543</v>
      </c>
      <c r="Q146" s="131" t="s">
        <v>1756</v>
      </c>
      <c r="R146" s="131"/>
      <c r="AA146" s="59"/>
      <c r="AB146" s="31"/>
      <c r="AC146" s="31"/>
      <c r="AD146" s="31"/>
      <c r="AE146" s="31"/>
      <c r="AF146" s="31"/>
      <c r="AG146" s="31"/>
      <c r="AX146" s="1939"/>
      <c r="AY146" s="1939"/>
      <c r="AZ146" s="1939"/>
      <c r="BA146" s="1939"/>
      <c r="BB146" s="1939"/>
      <c r="BC146" s="1939"/>
      <c r="BD146" s="1939"/>
      <c r="BE146" s="1939"/>
      <c r="BF146" s="1939"/>
      <c r="BG146" s="1939"/>
      <c r="BH146" s="1939"/>
      <c r="BI146" s="1939"/>
    </row>
    <row r="147" spans="1:61" ht="17.100000000000001" customHeight="1">
      <c r="A147" s="4225" t="s">
        <v>1758</v>
      </c>
      <c r="B147" s="4226"/>
      <c r="C147" s="30"/>
      <c r="D147" s="30"/>
      <c r="E147" s="4419"/>
      <c r="F147" s="4420"/>
      <c r="G147" s="4421"/>
      <c r="H147" s="4421"/>
      <c r="I147" s="4422"/>
      <c r="J147" s="4423"/>
      <c r="K147" s="1934"/>
      <c r="L147" s="1992"/>
      <c r="M147" s="1901"/>
      <c r="N147" s="59"/>
      <c r="O147" s="53">
        <f>'E Data'!G75</f>
        <v>0</v>
      </c>
      <c r="P147" s="31"/>
      <c r="Q147" s="31"/>
      <c r="AA147" s="59"/>
      <c r="AB147" s="31"/>
      <c r="AC147" s="31"/>
      <c r="AD147" s="31"/>
      <c r="AE147" s="31"/>
      <c r="AF147" s="31"/>
      <c r="AG147" s="31"/>
      <c r="AX147" s="1939"/>
      <c r="AY147" s="1939"/>
      <c r="AZ147" s="1939"/>
      <c r="BA147" s="1939"/>
      <c r="BB147" s="1939"/>
      <c r="BC147" s="1939"/>
      <c r="BD147" s="1939"/>
      <c r="BE147" s="1939"/>
      <c r="BF147" s="1939"/>
      <c r="BG147" s="1939"/>
      <c r="BH147" s="1939"/>
      <c r="BI147" s="1939"/>
    </row>
    <row r="148" spans="1:61" ht="16.5" customHeight="1">
      <c r="A148" s="4415" t="s">
        <v>1736</v>
      </c>
      <c r="B148" s="4424"/>
      <c r="C148" s="30"/>
      <c r="D148" s="30"/>
      <c r="E148" s="4425"/>
      <c r="F148" s="4426"/>
      <c r="G148" s="4388"/>
      <c r="H148" s="4388"/>
      <c r="I148" s="4417"/>
      <c r="J148" s="4418"/>
      <c r="K148" s="1934"/>
      <c r="L148" s="1992"/>
      <c r="M148" s="1901"/>
      <c r="N148" s="59"/>
      <c r="O148" s="59"/>
      <c r="P148" s="31"/>
      <c r="Q148" s="31"/>
      <c r="AA148" s="59"/>
      <c r="AB148" s="31"/>
      <c r="AC148" s="31"/>
      <c r="AD148" s="31"/>
      <c r="AE148" s="31"/>
      <c r="AF148" s="31"/>
      <c r="AG148" s="31"/>
      <c r="AX148" s="1939"/>
      <c r="AY148" s="1939"/>
      <c r="AZ148" s="1939"/>
      <c r="BA148" s="1939"/>
      <c r="BB148" s="1939"/>
      <c r="BC148" s="1939"/>
      <c r="BD148" s="1939"/>
      <c r="BE148" s="1939"/>
      <c r="BF148" s="1939"/>
      <c r="BG148" s="1939"/>
      <c r="BH148" s="1939"/>
      <c r="BI148" s="1939"/>
    </row>
    <row r="149" spans="1:61" ht="17.100000000000001" customHeight="1">
      <c r="A149" s="4225" t="s">
        <v>1758</v>
      </c>
      <c r="B149" s="4226"/>
      <c r="C149" s="30"/>
      <c r="D149" s="30"/>
      <c r="E149" s="4421"/>
      <c r="F149" s="4427"/>
      <c r="G149" s="4421"/>
      <c r="H149" s="4421"/>
      <c r="I149" s="4422"/>
      <c r="J149" s="4423"/>
      <c r="K149" s="1934"/>
      <c r="L149" s="1992"/>
      <c r="M149" s="1901"/>
      <c r="N149" s="59"/>
      <c r="O149" s="59"/>
      <c r="P149" s="31"/>
      <c r="Q149" s="31"/>
      <c r="AA149" s="59"/>
      <c r="AB149" s="31"/>
      <c r="AC149" s="31"/>
      <c r="AD149" s="31"/>
      <c r="AE149" s="31"/>
      <c r="AF149" s="31"/>
      <c r="AG149" s="31"/>
      <c r="AX149" s="1939"/>
      <c r="AY149" s="1939"/>
      <c r="AZ149" s="1939"/>
      <c r="BA149" s="1939"/>
      <c r="BB149" s="1939"/>
      <c r="BC149" s="1939"/>
      <c r="BD149" s="1939"/>
      <c r="BE149" s="1939"/>
      <c r="BF149" s="1939"/>
      <c r="BG149" s="1939"/>
      <c r="BH149" s="1939"/>
      <c r="BI149" s="1939"/>
    </row>
    <row r="150" spans="1:61" ht="17.100000000000001" customHeight="1">
      <c r="A150" s="4415" t="s">
        <v>1759</v>
      </c>
      <c r="B150" s="4424"/>
      <c r="C150" s="30"/>
      <c r="D150" s="30"/>
      <c r="E150" s="4388">
        <v>0</v>
      </c>
      <c r="F150" s="4416"/>
      <c r="G150" s="4388">
        <f>E150</f>
        <v>0</v>
      </c>
      <c r="H150" s="4388"/>
      <c r="I150" s="4428"/>
      <c r="J150" s="4429"/>
      <c r="K150" s="1934"/>
      <c r="L150" s="1992"/>
      <c r="M150" s="1901"/>
      <c r="N150" s="59"/>
      <c r="O150" s="59"/>
      <c r="P150" s="31"/>
      <c r="Q150" s="31"/>
      <c r="AA150" s="59"/>
      <c r="AB150" s="31"/>
      <c r="AC150" s="31"/>
      <c r="AD150" s="31"/>
      <c r="AE150" s="31"/>
      <c r="AF150" s="31"/>
      <c r="AG150" s="31"/>
      <c r="AX150" s="1939"/>
      <c r="AY150" s="1939"/>
      <c r="AZ150" s="1939"/>
      <c r="BA150" s="1939"/>
      <c r="BB150" s="1939"/>
      <c r="BC150" s="1939"/>
      <c r="BD150" s="1939"/>
      <c r="BE150" s="1939"/>
      <c r="BF150" s="1939"/>
      <c r="BG150" s="1939"/>
      <c r="BH150" s="1939"/>
      <c r="BI150" s="1939"/>
    </row>
    <row r="151" spans="1:61" ht="17.100000000000001" customHeight="1">
      <c r="A151" s="4225" t="s">
        <v>88</v>
      </c>
      <c r="B151" s="4226"/>
      <c r="C151" s="30"/>
      <c r="D151" s="30"/>
      <c r="E151" s="4421">
        <v>0</v>
      </c>
      <c r="F151" s="4427"/>
      <c r="G151" s="4421"/>
      <c r="H151" s="4421"/>
      <c r="I151" s="4422"/>
      <c r="J151" s="4423"/>
      <c r="K151" s="1934"/>
      <c r="L151" s="1992"/>
      <c r="M151" s="1994"/>
      <c r="N151" s="59"/>
      <c r="O151" s="31"/>
      <c r="P151" s="31"/>
      <c r="Q151" s="31"/>
      <c r="AA151" s="59"/>
      <c r="AB151" s="31"/>
      <c r="AC151" s="31"/>
      <c r="AD151" s="31"/>
      <c r="AE151" s="31"/>
      <c r="AF151" s="31"/>
      <c r="AG151" s="31"/>
      <c r="AX151" s="1939"/>
      <c r="AY151" s="1939"/>
      <c r="AZ151" s="1939"/>
      <c r="BA151" s="1939"/>
      <c r="BB151" s="1939"/>
      <c r="BC151" s="1939"/>
      <c r="BD151" s="1939"/>
      <c r="BE151" s="1939"/>
      <c r="BF151" s="1939"/>
      <c r="BG151" s="1939"/>
      <c r="BH151" s="1939"/>
      <c r="BI151" s="1939"/>
    </row>
    <row r="152" spans="1:61" ht="17.100000000000001" customHeight="1">
      <c r="A152" s="4415" t="s">
        <v>1719</v>
      </c>
      <c r="B152" s="4424"/>
      <c r="C152" s="30"/>
      <c r="D152" s="30"/>
      <c r="E152" s="4388">
        <v>0</v>
      </c>
      <c r="F152" s="4416"/>
      <c r="G152" s="4388">
        <f>E152</f>
        <v>0</v>
      </c>
      <c r="H152" s="4388"/>
      <c r="I152" s="4428"/>
      <c r="J152" s="4429"/>
      <c r="K152" s="1934"/>
      <c r="L152" s="1992"/>
      <c r="M152" s="1901"/>
      <c r="N152" s="59"/>
      <c r="O152" s="31"/>
      <c r="P152" s="31"/>
      <c r="Q152" s="31"/>
      <c r="AA152" s="59"/>
      <c r="AB152" s="31"/>
      <c r="AC152" s="31"/>
      <c r="AD152" s="31"/>
      <c r="AE152" s="31"/>
      <c r="AF152" s="31"/>
      <c r="AG152" s="31"/>
      <c r="AX152" s="1939"/>
      <c r="AY152" s="1939"/>
      <c r="AZ152" s="1939"/>
      <c r="BA152" s="1939"/>
      <c r="BB152" s="1939"/>
      <c r="BC152" s="1939"/>
      <c r="BD152" s="1939"/>
      <c r="BE152" s="1939"/>
      <c r="BF152" s="1939"/>
      <c r="BG152" s="1939"/>
      <c r="BH152" s="1939"/>
      <c r="BI152" s="1939"/>
    </row>
    <row r="153" spans="1:61" ht="17.100000000000001" customHeight="1" thickBot="1">
      <c r="A153" s="4382" t="s">
        <v>1758</v>
      </c>
      <c r="B153" s="4383"/>
      <c r="C153" s="1925"/>
      <c r="D153" s="1925"/>
      <c r="E153" s="4430"/>
      <c r="F153" s="4431"/>
      <c r="G153" s="4388"/>
      <c r="H153" s="4388"/>
      <c r="I153" s="4417"/>
      <c r="J153" s="4418"/>
      <c r="K153" s="1934"/>
      <c r="L153" s="1992"/>
      <c r="M153" s="1894"/>
      <c r="N153" s="59"/>
      <c r="O153" s="31"/>
      <c r="P153" s="31"/>
      <c r="Q153" s="31"/>
      <c r="AA153" s="59"/>
      <c r="AB153" s="31"/>
      <c r="AC153" s="31"/>
      <c r="AD153" s="31"/>
      <c r="AE153" s="31"/>
      <c r="AF153" s="31"/>
      <c r="AG153" s="31"/>
      <c r="AX153" s="1939"/>
      <c r="AY153" s="1939"/>
      <c r="AZ153" s="1939"/>
      <c r="BA153" s="1939"/>
      <c r="BB153" s="1939"/>
      <c r="BC153" s="1939"/>
      <c r="BD153" s="1939"/>
      <c r="BE153" s="1939"/>
      <c r="BF153" s="1939"/>
      <c r="BG153" s="1939"/>
      <c r="BH153" s="1939"/>
      <c r="BI153" s="1939"/>
    </row>
    <row r="154" spans="1:61" ht="17.100000000000001" customHeight="1" thickBot="1">
      <c r="A154" s="4220" t="s">
        <v>1665</v>
      </c>
      <c r="B154" s="4222"/>
      <c r="C154" s="4273"/>
      <c r="D154" s="4273"/>
      <c r="E154" s="4432"/>
      <c r="F154" s="4432"/>
      <c r="G154" s="4362">
        <f>SUM(G146:H153)</f>
        <v>0</v>
      </c>
      <c r="H154" s="4363"/>
      <c r="I154" s="4272"/>
      <c r="J154" s="4349"/>
      <c r="K154" s="1986"/>
      <c r="L154" s="1992"/>
      <c r="M154" s="59"/>
      <c r="N154" s="59"/>
      <c r="O154" s="186"/>
      <c r="P154" s="186"/>
      <c r="Q154" s="186"/>
      <c r="AA154" s="108"/>
      <c r="AB154" s="186"/>
      <c r="AC154" s="186"/>
      <c r="AD154" s="186"/>
      <c r="AE154" s="186"/>
      <c r="AF154" s="186"/>
      <c r="AG154" s="186"/>
      <c r="AX154" s="1939"/>
      <c r="AY154" s="1939"/>
      <c r="AZ154" s="1939"/>
      <c r="BA154" s="1939"/>
      <c r="BB154" s="1939"/>
      <c r="BC154" s="1939"/>
      <c r="BD154" s="1939"/>
      <c r="BE154" s="1939"/>
      <c r="BF154" s="1939"/>
      <c r="BG154" s="1939"/>
      <c r="BH154" s="1939"/>
      <c r="BI154" s="1939"/>
    </row>
    <row r="155" spans="1:61" ht="17.100000000000001" customHeight="1" thickBot="1">
      <c r="A155" s="4276"/>
      <c r="B155" s="4127"/>
      <c r="C155" s="4127"/>
      <c r="D155" s="4127"/>
      <c r="E155" s="4127"/>
      <c r="F155" s="4127"/>
      <c r="G155" s="4127"/>
      <c r="H155" s="4127"/>
      <c r="I155" s="4127"/>
      <c r="J155" s="4127"/>
      <c r="K155" s="1854"/>
      <c r="L155" s="140" t="str">
        <f>HYPERLINK("\\Manish-pc\e\03 General\Manish\Selection\Price_Sheet_2013.pdf","Price Sheet")</f>
        <v>Price Sheet</v>
      </c>
      <c r="M155" s="59"/>
      <c r="N155" s="59"/>
      <c r="P155" s="31"/>
      <c r="Q155" s="31"/>
      <c r="AA155" s="59"/>
      <c r="AB155" s="31"/>
      <c r="AC155" s="31"/>
      <c r="AD155" s="31"/>
      <c r="AE155" s="31"/>
      <c r="AF155" s="31"/>
      <c r="AG155" s="31"/>
      <c r="AX155" s="1939"/>
      <c r="AY155" s="1939"/>
      <c r="AZ155" s="1939"/>
      <c r="BA155" s="1939"/>
      <c r="BB155" s="1939"/>
      <c r="BC155" s="1939"/>
      <c r="BD155" s="1939"/>
      <c r="BE155" s="1939"/>
      <c r="BF155" s="1939"/>
      <c r="BG155" s="1939"/>
      <c r="BH155" s="1939"/>
      <c r="BI155" s="1939"/>
    </row>
    <row r="156" spans="1:61" ht="17.100000000000001" customHeight="1" thickBot="1">
      <c r="A156" s="4433" t="s">
        <v>1760</v>
      </c>
      <c r="B156" s="4434"/>
      <c r="C156" s="4130" t="s">
        <v>1667</v>
      </c>
      <c r="D156" s="4130"/>
      <c r="E156" s="4130" t="s">
        <v>1651</v>
      </c>
      <c r="F156" s="4130"/>
      <c r="G156" s="4130" t="s">
        <v>1668</v>
      </c>
      <c r="H156" s="4130"/>
      <c r="I156" s="4129" t="s">
        <v>1654</v>
      </c>
      <c r="J156" s="4130"/>
      <c r="K156" s="1991"/>
      <c r="L156" s="31"/>
      <c r="M156" s="17"/>
      <c r="N156" s="59"/>
      <c r="O156" s="145" t="s">
        <v>2539</v>
      </c>
      <c r="P156" s="145" t="s">
        <v>2540</v>
      </c>
      <c r="AA156" s="59"/>
      <c r="AB156" s="31"/>
      <c r="AC156" s="31"/>
      <c r="AD156" s="31"/>
      <c r="AE156" s="31"/>
      <c r="AF156" s="31"/>
      <c r="AG156" s="31"/>
      <c r="AX156" s="1939"/>
      <c r="AY156" s="1939"/>
      <c r="AZ156" s="1939"/>
      <c r="BA156" s="1939"/>
      <c r="BB156" s="1939"/>
      <c r="BC156" s="1939"/>
      <c r="BD156" s="1939"/>
      <c r="BE156" s="1939"/>
      <c r="BF156" s="1939"/>
      <c r="BG156" s="1939"/>
      <c r="BH156" s="1939"/>
      <c r="BI156" s="1939"/>
    </row>
    <row r="157" spans="1:61" ht="17.100000000000001" customHeight="1">
      <c r="A157" s="4329" t="s">
        <v>1762</v>
      </c>
      <c r="B157" s="4330"/>
      <c r="C157" s="1995">
        <f>ROUNDUP(C30,-2)</f>
        <v>12500</v>
      </c>
      <c r="D157" s="1996">
        <v>5</v>
      </c>
      <c r="E157" s="4358">
        <f>+C157*D157</f>
        <v>62500</v>
      </c>
      <c r="F157" s="4365"/>
      <c r="G157" s="4331">
        <f t="shared" ref="G157" si="18">E157</f>
        <v>62500</v>
      </c>
      <c r="H157" s="4368"/>
      <c r="I157" s="4435" t="s">
        <v>1763</v>
      </c>
      <c r="J157" s="4436"/>
      <c r="K157" s="1934"/>
      <c r="L157" s="17"/>
      <c r="M157" s="17"/>
      <c r="N157" s="59"/>
      <c r="O157" s="1918" t="s">
        <v>2547</v>
      </c>
      <c r="P157" s="30" t="s">
        <v>2548</v>
      </c>
      <c r="Q157" s="4241" t="s">
        <v>1762</v>
      </c>
      <c r="R157" s="4241"/>
      <c r="AA157" s="59"/>
      <c r="AB157" s="31"/>
      <c r="AC157" s="31"/>
      <c r="AD157" s="31"/>
      <c r="AE157" s="31"/>
      <c r="AF157" s="31"/>
      <c r="AG157" s="31"/>
      <c r="AX157" s="1939"/>
      <c r="AY157" s="1939"/>
      <c r="AZ157" s="1939"/>
      <c r="BA157" s="1939"/>
      <c r="BB157" s="1939"/>
      <c r="BC157" s="1939"/>
      <c r="BD157" s="1939"/>
      <c r="BE157" s="1939"/>
      <c r="BF157" s="1939"/>
      <c r="BG157" s="1939"/>
      <c r="BH157" s="1939"/>
      <c r="BI157" s="1939"/>
    </row>
    <row r="158" spans="1:61" ht="17.100000000000001" customHeight="1">
      <c r="A158" s="1921" t="s">
        <v>1764</v>
      </c>
      <c r="B158" s="4437" t="s">
        <v>1761</v>
      </c>
      <c r="C158" s="4438"/>
      <c r="D158" s="4439"/>
      <c r="E158" s="4440">
        <v>2500</v>
      </c>
      <c r="F158" s="4440"/>
      <c r="G158" s="4441">
        <f>E158*4</f>
        <v>10000</v>
      </c>
      <c r="H158" s="4371"/>
      <c r="I158" s="4162"/>
      <c r="J158" s="4264"/>
      <c r="K158" s="1934"/>
      <c r="L158" s="17"/>
      <c r="M158" s="17"/>
      <c r="N158" s="59"/>
      <c r="O158" s="1997" t="s">
        <v>2549</v>
      </c>
      <c r="P158" s="1997" t="s">
        <v>2550</v>
      </c>
      <c r="Q158" s="1707" t="s">
        <v>1764</v>
      </c>
      <c r="R158" s="1998"/>
      <c r="AA158" s="59"/>
      <c r="AB158" s="31"/>
      <c r="AC158" s="31"/>
      <c r="AD158" s="31"/>
      <c r="AE158" s="31"/>
      <c r="AF158" s="31"/>
      <c r="AG158" s="31"/>
      <c r="AX158" s="1939"/>
      <c r="AY158" s="1939"/>
      <c r="AZ158" s="1939"/>
      <c r="BA158" s="1939"/>
      <c r="BB158" s="1939"/>
      <c r="BC158" s="1939"/>
      <c r="BD158" s="1939"/>
      <c r="BE158" s="1939"/>
      <c r="BF158" s="1939"/>
      <c r="BG158" s="1939"/>
      <c r="BH158" s="1939"/>
      <c r="BI158" s="1939"/>
    </row>
    <row r="159" spans="1:61" ht="17.100000000000001" customHeight="1">
      <c r="A159" s="4162" t="s">
        <v>1765</v>
      </c>
      <c r="B159" s="4241"/>
      <c r="C159" s="1999">
        <f>ROUNDUP((C6*1.5),1)</f>
        <v>22.5</v>
      </c>
      <c r="D159" s="2000">
        <v>1500</v>
      </c>
      <c r="E159" s="4293">
        <f>D159*C159</f>
        <v>33750</v>
      </c>
      <c r="F159" s="4293"/>
      <c r="G159" s="4441">
        <f>E159</f>
        <v>33750</v>
      </c>
      <c r="H159" s="4371"/>
      <c r="I159" s="4162"/>
      <c r="J159" s="4264"/>
      <c r="K159" s="1934"/>
      <c r="O159" s="1918">
        <v>500</v>
      </c>
      <c r="P159" s="1918">
        <v>800</v>
      </c>
      <c r="Q159" s="4241" t="s">
        <v>1765</v>
      </c>
      <c r="R159" s="4241"/>
      <c r="AA159" s="59"/>
      <c r="AB159" s="31"/>
      <c r="AC159" s="31"/>
      <c r="AD159" s="31"/>
      <c r="AE159" s="31"/>
      <c r="AF159" s="31"/>
      <c r="AG159" s="31"/>
      <c r="AX159" s="1939"/>
      <c r="AY159" s="1939"/>
      <c r="AZ159" s="1939"/>
      <c r="BA159" s="1939"/>
      <c r="BB159" s="1939"/>
      <c r="BC159" s="1939"/>
      <c r="BD159" s="1939"/>
      <c r="BE159" s="1939"/>
      <c r="BF159" s="1939"/>
      <c r="BG159" s="1939"/>
      <c r="BH159" s="1939"/>
      <c r="BI159" s="1939"/>
    </row>
    <row r="160" spans="1:61" ht="17.100000000000001" customHeight="1">
      <c r="A160" s="4162" t="s">
        <v>1766</v>
      </c>
      <c r="B160" s="4241"/>
      <c r="C160" s="1999">
        <f>C6/1.5</f>
        <v>10</v>
      </c>
      <c r="D160" s="2000">
        <v>1200</v>
      </c>
      <c r="E160" s="4293">
        <f>D160*C160</f>
        <v>12000</v>
      </c>
      <c r="F160" s="4293"/>
      <c r="G160" s="4441">
        <f>E160</f>
        <v>12000</v>
      </c>
      <c r="H160" s="4371"/>
      <c r="I160" s="4372" t="str">
        <f>"For "&amp;IF(G165&gt;0,"","Festooning")&amp;IF(AND(G165=0,G139&gt;0)=TRUE," &amp;","")&amp;IF(G139&gt;0," Pendant "," ")</f>
        <v xml:space="preserve">For Festooning &amp; Pendant </v>
      </c>
      <c r="J160" s="4154"/>
      <c r="K160" s="2001"/>
      <c r="L160" s="145">
        <f>ROUNDUP((C6/1.5),0)</f>
        <v>10</v>
      </c>
      <c r="M160" s="145">
        <f>ROUNDUP((C6/1.5*2),0)</f>
        <v>20</v>
      </c>
      <c r="O160" s="1918" t="s">
        <v>2554</v>
      </c>
      <c r="P160" s="1918" t="s">
        <v>2551</v>
      </c>
      <c r="Q160" s="4241" t="s">
        <v>1766</v>
      </c>
      <c r="R160" s="4241"/>
      <c r="AA160" s="59"/>
      <c r="AB160" s="31"/>
      <c r="AC160" s="31"/>
      <c r="AD160" s="31"/>
      <c r="AE160" s="31"/>
      <c r="AF160" s="31"/>
      <c r="AG160" s="31"/>
      <c r="AX160" s="1939"/>
      <c r="AY160" s="1939"/>
      <c r="AZ160" s="1939"/>
      <c r="BA160" s="1939"/>
      <c r="BB160" s="1939"/>
      <c r="BC160" s="1939"/>
      <c r="BD160" s="1939"/>
      <c r="BE160" s="1939"/>
      <c r="BF160" s="1939"/>
      <c r="BG160" s="1939"/>
      <c r="BH160" s="1939"/>
      <c r="BI160" s="1939"/>
    </row>
    <row r="161" spans="1:61" ht="17.100000000000001" customHeight="1">
      <c r="A161" s="4162" t="s">
        <v>1767</v>
      </c>
      <c r="B161" s="4241"/>
      <c r="C161" s="3700" t="str">
        <f>Tech!G55</f>
        <v>SPRING</v>
      </c>
      <c r="D161" s="3700"/>
      <c r="E161" s="3700">
        <f>'E Buffer'!J30</f>
        <v>6400</v>
      </c>
      <c r="F161" s="3700"/>
      <c r="G161" s="4441">
        <f t="shared" ref="G161" si="19">E161</f>
        <v>6400</v>
      </c>
      <c r="H161" s="4371"/>
      <c r="I161" s="1921" t="str">
        <f>'E Buffer'!C28</f>
        <v>RSB 2</v>
      </c>
      <c r="J161" s="2002" t="s">
        <v>1768</v>
      </c>
      <c r="K161" s="1934"/>
      <c r="O161" s="30"/>
      <c r="P161" s="30"/>
      <c r="Q161" s="4241" t="s">
        <v>1767</v>
      </c>
      <c r="R161" s="4241"/>
      <c r="AA161" s="59"/>
      <c r="AB161" s="31"/>
      <c r="AC161" s="31"/>
      <c r="AD161" s="31"/>
      <c r="AE161" s="31"/>
      <c r="AF161" s="31"/>
      <c r="AG161" s="31"/>
      <c r="AX161" s="1939"/>
      <c r="AY161" s="1939"/>
      <c r="AZ161" s="1939"/>
      <c r="BA161" s="1939"/>
      <c r="BB161" s="1939"/>
      <c r="BC161" s="1939"/>
      <c r="BD161" s="1939"/>
      <c r="BE161" s="1939"/>
      <c r="BF161" s="1939"/>
      <c r="BG161" s="1939"/>
      <c r="BH161" s="1939"/>
      <c r="BI161" s="1939"/>
    </row>
    <row r="162" spans="1:61" ht="17.100000000000001" customHeight="1">
      <c r="A162" s="1921" t="s">
        <v>1769</v>
      </c>
      <c r="B162" s="1707"/>
      <c r="C162" s="3700" t="str">
        <f>Tech!H55</f>
        <v>SPRING</v>
      </c>
      <c r="D162" s="3700"/>
      <c r="E162" s="3700">
        <f>'E Buffer'!J31</f>
        <v>6400</v>
      </c>
      <c r="F162" s="3700"/>
      <c r="G162" s="4441">
        <f>IFERROR(E162,(1050*72*4))</f>
        <v>6400</v>
      </c>
      <c r="H162" s="4371"/>
      <c r="I162" s="2003" t="str">
        <f>IF('E Buffer'!C61=0,"Cal. .Hydrolic buffer",'E Buffer'!C61)</f>
        <v>RSB 2</v>
      </c>
      <c r="J162" s="2002" t="s">
        <v>1768</v>
      </c>
      <c r="K162" s="1934"/>
      <c r="M162" s="17"/>
      <c r="N162" s="17"/>
      <c r="O162" s="30"/>
      <c r="P162" s="30"/>
      <c r="Q162" s="1707" t="s">
        <v>1769</v>
      </c>
      <c r="R162" s="1707"/>
      <c r="AA162" s="59"/>
      <c r="AB162" s="31"/>
      <c r="AC162" s="31"/>
      <c r="AD162" s="31"/>
      <c r="AE162" s="31"/>
      <c r="AF162" s="31"/>
      <c r="AG162" s="31"/>
      <c r="AX162" s="1939"/>
      <c r="AY162" s="1939"/>
      <c r="AZ162" s="1939"/>
      <c r="BA162" s="1939"/>
      <c r="BB162" s="1939"/>
      <c r="BC162" s="1939"/>
      <c r="BD162" s="1939"/>
      <c r="BE162" s="1939"/>
      <c r="BF162" s="1939"/>
      <c r="BG162" s="1939"/>
      <c r="BH162" s="1939"/>
      <c r="BI162" s="1939"/>
    </row>
    <row r="163" spans="1:61" ht="17.100000000000001" customHeight="1">
      <c r="A163" s="4162" t="s">
        <v>1455</v>
      </c>
      <c r="B163" s="4241"/>
      <c r="C163" s="30"/>
      <c r="D163" s="419"/>
      <c r="E163" s="4374">
        <v>0</v>
      </c>
      <c r="F163" s="4374"/>
      <c r="G163" s="4441">
        <f>E163</f>
        <v>0</v>
      </c>
      <c r="H163" s="4371"/>
      <c r="I163" s="4140" t="str">
        <f>IF(G163&gt;100000,"Centralized Group Lubrication","Local Point Lubrication")</f>
        <v>Local Point Lubrication</v>
      </c>
      <c r="J163" s="4515"/>
      <c r="K163" s="1934"/>
      <c r="M163" s="31"/>
      <c r="N163" s="17"/>
      <c r="O163" s="751">
        <v>5000</v>
      </c>
      <c r="P163" s="751">
        <v>250000</v>
      </c>
      <c r="Q163" s="4241" t="s">
        <v>1455</v>
      </c>
      <c r="R163" s="4241"/>
      <c r="AA163" s="59"/>
      <c r="AB163" s="31"/>
      <c r="AC163" s="31"/>
      <c r="AD163" s="31"/>
      <c r="AE163" s="31"/>
      <c r="AF163" s="31"/>
      <c r="AG163" s="31"/>
      <c r="AX163" s="1939"/>
      <c r="AY163" s="1939"/>
      <c r="AZ163" s="1939"/>
      <c r="BA163" s="1939"/>
      <c r="BB163" s="1939"/>
      <c r="BC163" s="1939"/>
      <c r="BD163" s="1939"/>
      <c r="BE163" s="1939"/>
      <c r="BF163" s="1939"/>
      <c r="BG163" s="1939"/>
      <c r="BH163" s="1939"/>
      <c r="BI163" s="1939"/>
    </row>
    <row r="164" spans="1:61" ht="17.100000000000001" customHeight="1">
      <c r="A164" s="4162" t="s">
        <v>1770</v>
      </c>
      <c r="B164" s="4241"/>
      <c r="C164" s="2004">
        <f>ROUNDUP('E Paint'!D40,-1)</f>
        <v>300</v>
      </c>
      <c r="E164" s="4516">
        <f>C164*100*0</f>
        <v>0</v>
      </c>
      <c r="F164" s="4516"/>
      <c r="G164" s="4441">
        <f>E164</f>
        <v>0</v>
      </c>
      <c r="H164" s="4371"/>
      <c r="I164" s="4372" t="str">
        <f>IF(E164&gt;0,"@ "&amp;G164/C164&amp;" Rs./m^2","")</f>
        <v/>
      </c>
      <c r="J164" s="4154"/>
      <c r="K164" s="2005"/>
      <c r="L164" s="463"/>
      <c r="M164" s="31"/>
      <c r="O164" s="2006"/>
      <c r="P164" s="2006"/>
      <c r="Q164" s="4241" t="s">
        <v>1770</v>
      </c>
      <c r="R164" s="4241"/>
      <c r="Y164" s="59"/>
      <c r="Z164" s="59"/>
      <c r="AA164" s="59"/>
      <c r="AB164" s="31"/>
      <c r="AC164" s="31"/>
      <c r="AD164" s="31"/>
      <c r="AE164" s="31"/>
      <c r="AF164" s="31"/>
      <c r="AG164" s="31"/>
      <c r="AX164" s="1939"/>
      <c r="AY164" s="1939"/>
      <c r="AZ164" s="1939"/>
      <c r="BA164" s="1939"/>
      <c r="BB164" s="1939"/>
      <c r="BC164" s="1939"/>
      <c r="BD164" s="1939"/>
      <c r="BE164" s="1939"/>
      <c r="BF164" s="1939"/>
      <c r="BG164" s="1939"/>
      <c r="BH164" s="1939"/>
      <c r="BI164" s="1939"/>
    </row>
    <row r="165" spans="1:61" ht="17.100000000000001" customHeight="1">
      <c r="A165" s="4469" t="s">
        <v>1772</v>
      </c>
      <c r="B165" s="4470"/>
      <c r="C165" s="30"/>
      <c r="D165" s="417"/>
      <c r="E165" s="4456">
        <v>0</v>
      </c>
      <c r="F165" s="4456"/>
      <c r="G165" s="4441">
        <f>E165</f>
        <v>0</v>
      </c>
      <c r="H165" s="4371"/>
      <c r="I165" s="4372" t="str">
        <f>IF(E165&gt;0,"Igus Make","")</f>
        <v/>
      </c>
      <c r="J165" s="4154"/>
      <c r="K165" s="1934"/>
      <c r="L165" s="216" t="s">
        <v>1777</v>
      </c>
      <c r="M165" s="218" t="s">
        <v>2560</v>
      </c>
      <c r="N165" s="17"/>
      <c r="O165" s="2000"/>
      <c r="P165" s="2000"/>
      <c r="Q165" s="4470" t="s">
        <v>1772</v>
      </c>
      <c r="R165" s="4470"/>
      <c r="Y165" s="59"/>
      <c r="Z165" s="59"/>
      <c r="AA165" s="59"/>
      <c r="AB165" s="31"/>
      <c r="AC165" s="31"/>
      <c r="AD165" s="31"/>
      <c r="AE165" s="31"/>
      <c r="AF165" s="31"/>
      <c r="AG165" s="31"/>
      <c r="AX165" s="1939"/>
      <c r="AY165" s="1939"/>
      <c r="AZ165" s="1939"/>
      <c r="BA165" s="1939"/>
      <c r="BB165" s="1939"/>
      <c r="BC165" s="1939"/>
      <c r="BD165" s="1939"/>
      <c r="BE165" s="1939"/>
      <c r="BF165" s="1939"/>
      <c r="BG165" s="1939"/>
      <c r="BH165" s="1939"/>
      <c r="BI165" s="1939"/>
    </row>
    <row r="166" spans="1:61" ht="17.25" customHeight="1">
      <c r="A166" s="4162" t="str">
        <f>"Load Cell with display for "&amp;C5&amp;"T"</f>
        <v>Load Cell with display for 25T</v>
      </c>
      <c r="B166" s="4241"/>
      <c r="C166" s="30"/>
      <c r="D166" s="417"/>
      <c r="E166" s="4456">
        <f>M166*0</f>
        <v>0</v>
      </c>
      <c r="F166" s="4456"/>
      <c r="G166" s="4441">
        <f>E166</f>
        <v>0</v>
      </c>
      <c r="H166" s="4371"/>
      <c r="I166" s="4372"/>
      <c r="J166" s="4154"/>
      <c r="K166" s="1934"/>
      <c r="L166" s="1909">
        <f>'E Data'!D13+(MH!I13/1000)</f>
        <v>25.625</v>
      </c>
      <c r="M166" s="735">
        <f>+(L166/'E Data'!D41)*12000+30000</f>
        <v>106875</v>
      </c>
      <c r="N166" s="17"/>
      <c r="O166" s="2000" t="s">
        <v>2552</v>
      </c>
      <c r="P166" s="2000" t="s">
        <v>2553</v>
      </c>
      <c r="Q166" s="4241" t="str">
        <f>"Load Cell with display for "&amp;S5&amp;"T"</f>
        <v>Load Cell with display for T</v>
      </c>
      <c r="R166" s="4241"/>
      <c r="Y166" s="59"/>
      <c r="Z166" s="59"/>
      <c r="AA166" s="59"/>
      <c r="AB166" s="31"/>
      <c r="AC166" s="31"/>
      <c r="AD166" s="31"/>
      <c r="AE166" s="31"/>
      <c r="AF166" s="31"/>
      <c r="AG166" s="31"/>
      <c r="AX166" s="1939"/>
      <c r="AY166" s="1939"/>
      <c r="AZ166" s="1939"/>
      <c r="BA166" s="1939"/>
      <c r="BB166" s="1939"/>
      <c r="BC166" s="1939"/>
      <c r="BD166" s="1939"/>
      <c r="BE166" s="1939"/>
      <c r="BF166" s="1939"/>
      <c r="BG166" s="1939"/>
      <c r="BH166" s="1939"/>
      <c r="BI166" s="1939"/>
    </row>
    <row r="167" spans="1:61" ht="17.100000000000001" customHeight="1">
      <c r="A167" s="4162" t="s">
        <v>1771</v>
      </c>
      <c r="B167" s="4241"/>
      <c r="C167" s="30"/>
      <c r="D167" s="417"/>
      <c r="E167" s="3700">
        <v>0</v>
      </c>
      <c r="F167" s="3700"/>
      <c r="G167" s="4441">
        <f>E167</f>
        <v>0</v>
      </c>
      <c r="H167" s="4371"/>
      <c r="I167" s="4162"/>
      <c r="J167" s="4264"/>
      <c r="K167" s="1934"/>
      <c r="O167" s="30">
        <v>5000</v>
      </c>
      <c r="P167" s="30">
        <v>20000</v>
      </c>
      <c r="Q167" s="4241" t="s">
        <v>1771</v>
      </c>
      <c r="R167" s="4241"/>
      <c r="Y167" s="59"/>
      <c r="Z167" s="59"/>
      <c r="AA167" s="59"/>
      <c r="AB167" s="31"/>
      <c r="AC167" s="31"/>
      <c r="AD167" s="31"/>
      <c r="AE167" s="31"/>
      <c r="AF167" s="31"/>
      <c r="AG167" s="31"/>
      <c r="AX167" s="1939"/>
      <c r="AY167" s="1939"/>
      <c r="AZ167" s="1939"/>
      <c r="BA167" s="1939"/>
      <c r="BB167" s="1939"/>
      <c r="BC167" s="1939"/>
      <c r="BD167" s="1939"/>
      <c r="BE167" s="1939"/>
      <c r="BF167" s="1939"/>
      <c r="BG167" s="1939"/>
      <c r="BH167" s="1939"/>
      <c r="BI167" s="1939"/>
    </row>
    <row r="168" spans="1:61" ht="17.100000000000001" customHeight="1">
      <c r="A168" s="4162" t="s">
        <v>1773</v>
      </c>
      <c r="B168" s="4241"/>
      <c r="C168" s="30"/>
      <c r="D168" s="417"/>
      <c r="E168" s="3700">
        <f>5000*0</f>
        <v>0</v>
      </c>
      <c r="F168" s="3700"/>
      <c r="G168" s="4441">
        <f>E168*2</f>
        <v>0</v>
      </c>
      <c r="H168" s="4371"/>
      <c r="I168" s="64" t="s">
        <v>2530</v>
      </c>
      <c r="J168" s="1975"/>
      <c r="K168" s="1934"/>
      <c r="O168" s="30">
        <f>5000*2</f>
        <v>10000</v>
      </c>
      <c r="P168" s="30">
        <f>25000*2</f>
        <v>50000</v>
      </c>
      <c r="Q168" s="4241" t="s">
        <v>1773</v>
      </c>
      <c r="R168" s="4241"/>
      <c r="Y168" s="59"/>
      <c r="Z168" s="59"/>
      <c r="AA168" s="59"/>
      <c r="AB168" s="31"/>
      <c r="AC168" s="31"/>
      <c r="AD168" s="31"/>
      <c r="AE168" s="31"/>
      <c r="AF168" s="31"/>
      <c r="AG168" s="31"/>
      <c r="AX168" s="1939"/>
      <c r="AY168" s="1939"/>
      <c r="AZ168" s="1939"/>
      <c r="BA168" s="1939"/>
      <c r="BB168" s="1939"/>
      <c r="BC168" s="1939"/>
      <c r="BD168" s="1939"/>
      <c r="BE168" s="1939"/>
      <c r="BF168" s="1939"/>
      <c r="BG168" s="1939"/>
      <c r="BH168" s="1939"/>
      <c r="BI168" s="1939"/>
    </row>
    <row r="169" spans="1:61" ht="17.100000000000001" customHeight="1">
      <c r="A169" s="4162" t="s">
        <v>1774</v>
      </c>
      <c r="B169" s="4241"/>
      <c r="C169" s="30"/>
      <c r="D169" s="417"/>
      <c r="E169" s="3700">
        <v>0</v>
      </c>
      <c r="F169" s="3700"/>
      <c r="G169" s="4441">
        <f>E169</f>
        <v>0</v>
      </c>
      <c r="H169" s="4371"/>
      <c r="I169" s="4162"/>
      <c r="J169" s="4264"/>
      <c r="K169" s="1934"/>
      <c r="M169" s="59"/>
      <c r="N169" s="17"/>
      <c r="O169" s="30"/>
      <c r="P169" s="30"/>
      <c r="Q169" s="4241"/>
      <c r="R169" s="4241"/>
      <c r="Y169" s="59"/>
      <c r="Z169" s="59"/>
      <c r="AA169" s="59"/>
      <c r="AB169" s="31"/>
      <c r="AC169" s="31"/>
      <c r="AD169" s="31"/>
      <c r="AE169" s="31"/>
      <c r="AF169" s="31"/>
      <c r="AG169" s="31"/>
      <c r="AX169" s="1939"/>
      <c r="AY169" s="1939"/>
      <c r="AZ169" s="1939"/>
      <c r="BA169" s="1939"/>
      <c r="BB169" s="1939"/>
      <c r="BC169" s="1939"/>
      <c r="BD169" s="1939"/>
      <c r="BE169" s="1939"/>
      <c r="BF169" s="1939"/>
      <c r="BG169" s="1939"/>
      <c r="BH169" s="1939"/>
      <c r="BI169" s="1939"/>
    </row>
    <row r="170" spans="1:61" ht="17.100000000000001" customHeight="1">
      <c r="A170" s="4162" t="s">
        <v>1775</v>
      </c>
      <c r="B170" s="4241"/>
      <c r="C170" s="30"/>
      <c r="D170" s="417"/>
      <c r="E170" s="4440">
        <v>0</v>
      </c>
      <c r="F170" s="4440"/>
      <c r="G170" s="4441">
        <f>E170</f>
        <v>0</v>
      </c>
      <c r="H170" s="4371"/>
      <c r="I170" s="4372"/>
      <c r="J170" s="4154"/>
      <c r="K170" s="2007"/>
      <c r="O170" s="1997">
        <v>15000</v>
      </c>
      <c r="P170" s="1997">
        <v>35000</v>
      </c>
      <c r="Q170" s="4241" t="s">
        <v>1775</v>
      </c>
      <c r="R170" s="4241"/>
      <c r="Y170" s="59"/>
      <c r="Z170" s="59"/>
      <c r="AA170" s="59"/>
      <c r="AB170" s="31"/>
      <c r="AC170" s="31"/>
      <c r="AD170" s="31"/>
      <c r="AE170" s="31"/>
      <c r="AF170" s="31"/>
      <c r="AG170" s="31"/>
      <c r="AX170" s="1939"/>
      <c r="AY170" s="1939"/>
      <c r="AZ170" s="1939"/>
      <c r="BA170" s="1939"/>
      <c r="BB170" s="1939"/>
      <c r="BC170" s="1939"/>
      <c r="BD170" s="1939"/>
      <c r="BE170" s="1939"/>
      <c r="BF170" s="1939"/>
      <c r="BG170" s="1939"/>
      <c r="BH170" s="1939"/>
      <c r="BI170" s="1939"/>
    </row>
    <row r="171" spans="1:61" ht="17.100000000000001" customHeight="1">
      <c r="A171" s="4162" t="s">
        <v>1776</v>
      </c>
      <c r="B171" s="4241"/>
      <c r="C171" s="30"/>
      <c r="D171" s="417"/>
      <c r="E171" s="4440">
        <v>8000</v>
      </c>
      <c r="F171" s="4440"/>
      <c r="G171" s="4441">
        <f>E171</f>
        <v>8000</v>
      </c>
      <c r="H171" s="4371"/>
      <c r="I171" s="4514" t="str">
        <f>IF(G171&gt;0,'E Data'!D28,"")</f>
        <v>Shrouded Type DSL</v>
      </c>
      <c r="J171" s="4155"/>
      <c r="K171" s="2007"/>
      <c r="M171" s="31"/>
      <c r="N171" s="17"/>
      <c r="O171" s="1997">
        <f>8000</f>
        <v>8000</v>
      </c>
      <c r="P171" s="1997">
        <v>15000</v>
      </c>
      <c r="Q171" s="4241" t="s">
        <v>1776</v>
      </c>
      <c r="R171" s="4241"/>
      <c r="Y171" s="59"/>
      <c r="Z171" s="59"/>
      <c r="AA171" s="59"/>
      <c r="AB171" s="31"/>
      <c r="AC171" s="31"/>
      <c r="AD171" s="31"/>
      <c r="AE171" s="31"/>
      <c r="AF171" s="31"/>
      <c r="AG171" s="31"/>
      <c r="AX171" s="1939"/>
      <c r="AY171" s="1939"/>
      <c r="AZ171" s="1939"/>
      <c r="BA171" s="1939"/>
      <c r="BB171" s="1939"/>
      <c r="BC171" s="1939"/>
      <c r="BD171" s="1939"/>
      <c r="BE171" s="1939"/>
      <c r="BF171" s="1939"/>
      <c r="BG171" s="1939"/>
      <c r="BH171" s="1939"/>
      <c r="BI171" s="1939"/>
    </row>
    <row r="172" spans="1:61" ht="17.100000000000001" customHeight="1">
      <c r="A172" s="4457" t="s">
        <v>2525</v>
      </c>
      <c r="B172" s="4458"/>
      <c r="C172" s="2008"/>
      <c r="D172" s="417"/>
      <c r="E172" s="4154">
        <f>5000*0</f>
        <v>0</v>
      </c>
      <c r="F172" s="4291"/>
      <c r="G172" s="4468">
        <f>E172*8</f>
        <v>0</v>
      </c>
      <c r="H172" s="4468"/>
      <c r="I172" s="4372"/>
      <c r="J172" s="4154"/>
      <c r="K172" s="2007"/>
      <c r="O172" s="30">
        <f>5000*8</f>
        <v>40000</v>
      </c>
      <c r="P172" s="30">
        <f>10000*8</f>
        <v>80000</v>
      </c>
      <c r="Q172" s="4517" t="s">
        <v>2525</v>
      </c>
      <c r="R172" s="4517"/>
      <c r="Y172" s="59"/>
      <c r="Z172" s="59"/>
      <c r="AA172" s="59"/>
      <c r="AB172" s="31"/>
      <c r="AC172" s="31"/>
      <c r="AD172" s="31"/>
      <c r="AE172" s="31"/>
      <c r="AF172" s="31"/>
      <c r="AG172" s="31"/>
      <c r="AX172" s="1939"/>
      <c r="AY172" s="1939"/>
      <c r="AZ172" s="1939"/>
      <c r="BA172" s="1939"/>
      <c r="BB172" s="1939"/>
      <c r="BC172" s="1939"/>
      <c r="BD172" s="1939"/>
      <c r="BE172" s="1939"/>
      <c r="BF172" s="1939"/>
      <c r="BG172" s="1939"/>
      <c r="BH172" s="1939"/>
      <c r="BI172" s="1939"/>
    </row>
    <row r="173" spans="1:61" ht="17.100000000000001" customHeight="1">
      <c r="A173" s="4457" t="s">
        <v>2526</v>
      </c>
      <c r="B173" s="4458"/>
      <c r="C173" s="1839"/>
      <c r="D173" s="417"/>
      <c r="E173" s="4154">
        <f>25000*0</f>
        <v>0</v>
      </c>
      <c r="F173" s="4291"/>
      <c r="G173" s="4468">
        <f>+E173*2</f>
        <v>0</v>
      </c>
      <c r="H173" s="4468"/>
      <c r="I173" s="4372"/>
      <c r="J173" s="4154"/>
      <c r="K173" s="2007"/>
      <c r="M173" s="31"/>
      <c r="N173" s="17"/>
      <c r="O173" s="30">
        <f>25000*2</f>
        <v>50000</v>
      </c>
      <c r="P173" s="30">
        <f>40000*2</f>
        <v>80000</v>
      </c>
      <c r="Q173" s="4517" t="s">
        <v>2526</v>
      </c>
      <c r="R173" s="4517"/>
      <c r="Y173" s="59"/>
      <c r="Z173" s="59"/>
      <c r="AA173" s="59"/>
      <c r="AB173" s="31"/>
      <c r="AC173" s="31"/>
      <c r="AD173" s="31"/>
      <c r="AE173" s="31"/>
      <c r="AF173" s="31"/>
      <c r="AG173" s="31"/>
      <c r="AX173" s="1939"/>
      <c r="AY173" s="1939"/>
      <c r="AZ173" s="1939"/>
      <c r="BA173" s="1939"/>
      <c r="BB173" s="1939"/>
      <c r="BC173" s="1939"/>
      <c r="BD173" s="1939"/>
      <c r="BE173" s="1939"/>
      <c r="BF173" s="1939"/>
      <c r="BG173" s="1939"/>
      <c r="BH173" s="1939"/>
      <c r="BI173" s="1939"/>
    </row>
    <row r="174" spans="1:61" ht="17.100000000000001" customHeight="1">
      <c r="A174" s="4473" t="s">
        <v>2528</v>
      </c>
      <c r="B174" s="4474"/>
      <c r="C174" s="1839"/>
      <c r="D174" s="417"/>
      <c r="E174" s="4512">
        <f>15000*0</f>
        <v>0</v>
      </c>
      <c r="F174" s="4513"/>
      <c r="G174" s="4475">
        <f>E174*4</f>
        <v>0</v>
      </c>
      <c r="H174" s="4476"/>
      <c r="I174" s="4372"/>
      <c r="J174" s="4154"/>
      <c r="K174" s="2007"/>
      <c r="M174" s="31"/>
      <c r="N174" s="17"/>
      <c r="O174" s="1918">
        <f>15000*4</f>
        <v>60000</v>
      </c>
      <c r="P174" s="1918">
        <f>20000*4</f>
        <v>80000</v>
      </c>
      <c r="Q174" s="4517" t="s">
        <v>2528</v>
      </c>
      <c r="R174" s="4517"/>
      <c r="Y174" s="59"/>
      <c r="Z174" s="59"/>
      <c r="AA174" s="59"/>
      <c r="AB174" s="31"/>
      <c r="AC174" s="31"/>
      <c r="AD174" s="31"/>
      <c r="AE174" s="31"/>
      <c r="AF174" s="31"/>
      <c r="AG174" s="31"/>
      <c r="AX174" s="1939"/>
      <c r="AY174" s="1939"/>
      <c r="AZ174" s="1939"/>
      <c r="BA174" s="1939"/>
      <c r="BB174" s="1939"/>
      <c r="BC174" s="1939"/>
      <c r="BD174" s="1939"/>
      <c r="BE174" s="1939"/>
      <c r="BF174" s="1939"/>
      <c r="BG174" s="1939"/>
      <c r="BH174" s="1939"/>
      <c r="BI174" s="1939"/>
    </row>
    <row r="175" spans="1:61" ht="17.100000000000001" customHeight="1">
      <c r="A175" s="4477" t="s">
        <v>2529</v>
      </c>
      <c r="B175" s="4478"/>
      <c r="C175" s="1839"/>
      <c r="D175" s="417"/>
      <c r="E175" s="4479">
        <f>10000*0</f>
        <v>0</v>
      </c>
      <c r="F175" s="4480"/>
      <c r="G175" s="4481">
        <f t="shared" ref="G175" si="20">E175</f>
        <v>0</v>
      </c>
      <c r="H175" s="4482"/>
      <c r="I175" s="4372"/>
      <c r="J175" s="4154"/>
      <c r="K175" s="2007"/>
      <c r="O175" s="2004">
        <v>10000</v>
      </c>
      <c r="P175" s="2004">
        <v>15000</v>
      </c>
      <c r="Q175" s="4517" t="s">
        <v>2529</v>
      </c>
      <c r="R175" s="4517"/>
      <c r="Y175" s="59"/>
      <c r="Z175" s="59"/>
      <c r="AA175" s="59"/>
      <c r="AB175" s="31"/>
      <c r="AC175" s="31"/>
      <c r="AD175" s="31"/>
      <c r="AE175" s="31"/>
      <c r="AF175" s="31"/>
      <c r="AG175" s="31"/>
      <c r="AX175" s="1939"/>
      <c r="AY175" s="1939"/>
      <c r="AZ175" s="1939"/>
      <c r="BA175" s="1939"/>
      <c r="BB175" s="1939"/>
      <c r="BC175" s="1939"/>
      <c r="BD175" s="1939"/>
      <c r="BE175" s="1939"/>
      <c r="BF175" s="1939"/>
      <c r="BG175" s="1939"/>
      <c r="BH175" s="1939"/>
      <c r="BI175" s="1939"/>
    </row>
    <row r="176" spans="1:61" ht="17.100000000000001" customHeight="1">
      <c r="A176" s="4457" t="s">
        <v>2531</v>
      </c>
      <c r="B176" s="4458"/>
      <c r="C176" s="1839"/>
      <c r="D176" s="417"/>
      <c r="E176" s="4154">
        <f>15000*0</f>
        <v>0</v>
      </c>
      <c r="F176" s="4291"/>
      <c r="G176" s="4468">
        <f>E176*2</f>
        <v>0</v>
      </c>
      <c r="H176" s="4468"/>
      <c r="I176" s="4372"/>
      <c r="J176" s="4154"/>
      <c r="K176" s="2007"/>
      <c r="O176" s="30">
        <f>15000*2</f>
        <v>30000</v>
      </c>
      <c r="P176" s="30">
        <f>25000*2</f>
        <v>50000</v>
      </c>
      <c r="Q176" s="4517" t="s">
        <v>2531</v>
      </c>
      <c r="R176" s="4517"/>
      <c r="Y176" s="59"/>
      <c r="Z176" s="59"/>
      <c r="AA176" s="59"/>
      <c r="AB176" s="31"/>
      <c r="AC176" s="31"/>
      <c r="AD176" s="31"/>
      <c r="AE176" s="31"/>
      <c r="AF176" s="31"/>
      <c r="AG176" s="31"/>
      <c r="AX176" s="1939"/>
      <c r="AY176" s="1939"/>
      <c r="AZ176" s="1939"/>
      <c r="BA176" s="1939"/>
      <c r="BB176" s="1939"/>
      <c r="BC176" s="1939"/>
      <c r="BD176" s="1939"/>
      <c r="BE176" s="1939"/>
      <c r="BF176" s="1939"/>
      <c r="BG176" s="1939"/>
      <c r="BH176" s="1939"/>
      <c r="BI176" s="1939"/>
    </row>
    <row r="177" spans="1:61" ht="17.100000000000001" customHeight="1">
      <c r="A177" s="4457" t="s">
        <v>2527</v>
      </c>
      <c r="B177" s="4458"/>
      <c r="C177" s="1839"/>
      <c r="D177" s="417"/>
      <c r="E177" s="4292">
        <f>10000*0</f>
        <v>0</v>
      </c>
      <c r="F177" s="4288"/>
      <c r="G177" s="4459">
        <f t="shared" ref="G177:G181" si="21">E177</f>
        <v>0</v>
      </c>
      <c r="H177" s="4460"/>
      <c r="I177" s="4372"/>
      <c r="J177" s="4154"/>
      <c r="K177" s="2009"/>
      <c r="O177" s="1918">
        <v>10000</v>
      </c>
      <c r="P177" s="1918">
        <v>15000</v>
      </c>
      <c r="Q177" s="4517" t="s">
        <v>2527</v>
      </c>
      <c r="R177" s="4517"/>
      <c r="Y177" s="59"/>
      <c r="Z177" s="59"/>
      <c r="AA177" s="59"/>
      <c r="AB177" s="31"/>
      <c r="AC177" s="31"/>
      <c r="AD177" s="31"/>
      <c r="AE177" s="31"/>
      <c r="AF177" s="31"/>
      <c r="AG177" s="31"/>
      <c r="AX177" s="1939"/>
      <c r="AY177" s="1939"/>
      <c r="AZ177" s="1939"/>
      <c r="BA177" s="1939"/>
      <c r="BB177" s="1939"/>
      <c r="BC177" s="1939"/>
      <c r="BD177" s="1939"/>
      <c r="BE177" s="1939"/>
      <c r="BF177" s="1939"/>
      <c r="BG177" s="1939"/>
      <c r="BH177" s="1939"/>
      <c r="BI177" s="1939"/>
    </row>
    <row r="178" spans="1:61" ht="17.100000000000001" customHeight="1">
      <c r="A178" s="4162" t="s">
        <v>1778</v>
      </c>
      <c r="B178" s="4241"/>
      <c r="C178" s="1839"/>
      <c r="D178" s="417"/>
      <c r="E178" s="4456">
        <v>5000</v>
      </c>
      <c r="F178" s="4456"/>
      <c r="G178" s="4467">
        <f>E178</f>
        <v>5000</v>
      </c>
      <c r="H178" s="4371"/>
      <c r="I178" s="4372"/>
      <c r="J178" s="4154"/>
      <c r="K178" s="2009"/>
      <c r="O178" s="2010">
        <v>7000</v>
      </c>
      <c r="P178" s="2010">
        <v>25000</v>
      </c>
      <c r="Q178" s="4241" t="s">
        <v>1778</v>
      </c>
      <c r="R178" s="4241"/>
      <c r="Y178" s="59"/>
      <c r="Z178" s="59"/>
      <c r="AA178" s="59"/>
      <c r="AB178" s="31"/>
      <c r="AC178" s="31"/>
      <c r="AD178" s="31"/>
      <c r="AE178" s="31"/>
      <c r="AF178" s="31"/>
      <c r="AG178" s="31"/>
      <c r="AX178" s="1939"/>
      <c r="AY178" s="1939"/>
      <c r="AZ178" s="1939"/>
      <c r="BA178" s="1939"/>
      <c r="BB178" s="1939"/>
      <c r="BC178" s="1939"/>
      <c r="BD178" s="1939"/>
      <c r="BE178" s="1939"/>
      <c r="BF178" s="1939"/>
      <c r="BG178" s="1939"/>
      <c r="BH178" s="1939"/>
      <c r="BI178" s="1939"/>
    </row>
    <row r="179" spans="1:61" ht="17.100000000000001" customHeight="1">
      <c r="A179" s="4162" t="s">
        <v>1779</v>
      </c>
      <c r="B179" s="4241"/>
      <c r="C179" s="30"/>
      <c r="D179" s="417"/>
      <c r="E179" s="3700">
        <v>0</v>
      </c>
      <c r="F179" s="3700"/>
      <c r="G179" s="4467">
        <f t="shared" si="21"/>
        <v>0</v>
      </c>
      <c r="H179" s="4371"/>
      <c r="I179" s="4372"/>
      <c r="J179" s="4154"/>
      <c r="K179" s="1934"/>
      <c r="O179" s="30"/>
      <c r="P179" s="30"/>
      <c r="Q179" s="4241"/>
      <c r="R179" s="4241"/>
      <c r="Y179" s="59"/>
      <c r="Z179" s="59"/>
      <c r="AA179" s="59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</row>
    <row r="180" spans="1:61" ht="17.100000000000001" customHeight="1">
      <c r="A180" s="4162" t="s">
        <v>1780</v>
      </c>
      <c r="B180" s="4241"/>
      <c r="C180" s="30"/>
      <c r="D180" s="417"/>
      <c r="E180" s="3700">
        <f>20000*2*0</f>
        <v>0</v>
      </c>
      <c r="F180" s="3700"/>
      <c r="G180" s="4441">
        <f t="shared" si="21"/>
        <v>0</v>
      </c>
      <c r="H180" s="4371"/>
      <c r="I180" s="4471" t="str">
        <f>IF(G180&gt;0,"For Trolley","")</f>
        <v/>
      </c>
      <c r="J180" s="4143"/>
      <c r="K180" s="2005"/>
      <c r="O180" s="30">
        <f>20000*2</f>
        <v>40000</v>
      </c>
      <c r="P180" s="30">
        <f>30000*2</f>
        <v>60000</v>
      </c>
      <c r="Q180" s="4241" t="s">
        <v>1780</v>
      </c>
      <c r="R180" s="4241"/>
      <c r="W180" s="31"/>
      <c r="X180" s="31"/>
      <c r="Y180" s="59"/>
      <c r="Z180" s="59"/>
      <c r="AA180" s="59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</row>
    <row r="181" spans="1:61" ht="17.100000000000001" customHeight="1">
      <c r="A181" s="2011" t="s">
        <v>1781</v>
      </c>
      <c r="B181" s="1707"/>
      <c r="C181" s="30" t="s">
        <v>1782</v>
      </c>
      <c r="D181" s="417"/>
      <c r="E181" s="4293">
        <f>+O181*0.05*0</f>
        <v>0</v>
      </c>
      <c r="F181" s="3700"/>
      <c r="G181" s="4441">
        <f t="shared" si="21"/>
        <v>0</v>
      </c>
      <c r="H181" s="4371"/>
      <c r="I181" s="4150" t="str">
        <f>IF(G181&gt;0,"Export","")</f>
        <v/>
      </c>
      <c r="J181" s="4472"/>
      <c r="K181" s="1934" t="s">
        <v>1784</v>
      </c>
      <c r="M181" s="31"/>
      <c r="O181" s="2012">
        <f>(SUM(P187:P195)+SUM(G157:H180)+G182)*0.05</f>
        <v>168866</v>
      </c>
      <c r="P181" s="30"/>
      <c r="Q181" s="161" t="s">
        <v>1781</v>
      </c>
      <c r="R181" s="1707"/>
      <c r="W181" s="31"/>
      <c r="X181" s="31"/>
      <c r="Y181" s="59"/>
      <c r="Z181" s="59"/>
      <c r="AA181" s="59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</row>
    <row r="182" spans="1:61" ht="17.100000000000001" customHeight="1" thickBot="1">
      <c r="A182" s="4162" t="s">
        <v>1783</v>
      </c>
      <c r="B182" s="4241"/>
      <c r="C182" s="30"/>
      <c r="D182" s="417"/>
      <c r="E182" s="4456">
        <v>5000</v>
      </c>
      <c r="F182" s="4456"/>
      <c r="G182" s="4441">
        <f>E182</f>
        <v>5000</v>
      </c>
      <c r="H182" s="4371"/>
      <c r="I182" s="4162"/>
      <c r="J182" s="4264"/>
      <c r="K182" s="1800"/>
      <c r="M182" s="31"/>
      <c r="O182" s="2010">
        <v>15000</v>
      </c>
      <c r="P182" s="2010">
        <v>35000</v>
      </c>
      <c r="Q182" s="4241" t="s">
        <v>1783</v>
      </c>
      <c r="R182" s="4241"/>
      <c r="W182" s="31"/>
      <c r="X182" s="31"/>
      <c r="Y182" s="59"/>
      <c r="Z182" s="59"/>
      <c r="AA182" s="59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</row>
    <row r="183" spans="1:61" ht="17.100000000000001" customHeight="1" thickBot="1">
      <c r="A183" s="4220" t="s">
        <v>1665</v>
      </c>
      <c r="B183" s="4222"/>
      <c r="C183" s="4273"/>
      <c r="D183" s="4273"/>
      <c r="E183" s="4486"/>
      <c r="F183" s="4487"/>
      <c r="G183" s="4362">
        <f>ROUNDUP(SUM(G157:H182),-1)</f>
        <v>149050</v>
      </c>
      <c r="H183" s="4363"/>
      <c r="I183" s="4348"/>
      <c r="J183" s="4349"/>
      <c r="K183" s="1981">
        <v>300</v>
      </c>
      <c r="M183" s="1256"/>
      <c r="V183" s="186"/>
      <c r="W183" s="186"/>
      <c r="X183" s="186"/>
      <c r="Y183" s="108"/>
      <c r="Z183" s="108"/>
      <c r="AA183" s="108"/>
      <c r="AB183" s="186"/>
      <c r="AC183" s="186"/>
      <c r="AD183" s="186"/>
      <c r="AE183" s="186"/>
      <c r="AF183" s="186"/>
      <c r="AG183" s="186"/>
      <c r="AH183" s="186"/>
      <c r="AI183" s="186"/>
      <c r="AJ183" s="186"/>
      <c r="AK183" s="186"/>
      <c r="AL183" s="186"/>
      <c r="AM183" s="186"/>
      <c r="AN183" s="186"/>
      <c r="AO183" s="186"/>
    </row>
    <row r="184" spans="1:61" ht="17.100000000000001" customHeight="1" thickBot="1">
      <c r="A184" s="2013"/>
      <c r="B184" s="2014"/>
      <c r="C184" s="2014"/>
      <c r="D184" s="2014"/>
      <c r="E184" s="2014"/>
      <c r="F184" s="2014"/>
      <c r="G184" s="2014"/>
      <c r="H184" s="2014"/>
      <c r="I184" s="2014"/>
      <c r="J184" s="2014"/>
      <c r="K184" s="1852"/>
      <c r="L184" s="186"/>
      <c r="M184" s="1256"/>
      <c r="V184" s="31"/>
      <c r="W184" s="31"/>
      <c r="X184" s="31"/>
      <c r="Y184" s="59"/>
      <c r="Z184" s="59"/>
      <c r="AA184" s="59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</row>
    <row r="185" spans="1:61" ht="17.100000000000001" customHeight="1" thickBot="1">
      <c r="A185" s="4129" t="s">
        <v>1785</v>
      </c>
      <c r="B185" s="4130"/>
      <c r="C185" s="4130"/>
      <c r="D185" s="4130"/>
      <c r="E185" s="4130"/>
      <c r="F185" s="4130"/>
      <c r="G185" s="4130"/>
      <c r="H185" s="4130"/>
      <c r="I185" s="4130"/>
      <c r="J185" s="4131"/>
      <c r="K185" s="1854"/>
      <c r="L185" s="31"/>
      <c r="M185" s="1256"/>
      <c r="V185" s="31"/>
      <c r="W185" s="31"/>
      <c r="X185" s="31"/>
      <c r="Y185" s="59"/>
      <c r="Z185" s="59"/>
      <c r="AA185" s="59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</row>
    <row r="186" spans="1:61" ht="17.100000000000001" customHeight="1">
      <c r="A186" s="3855"/>
      <c r="B186" s="3799"/>
      <c r="C186" s="2015"/>
      <c r="D186" s="2016" t="s">
        <v>1786</v>
      </c>
      <c r="E186" s="2016" t="s">
        <v>1787</v>
      </c>
      <c r="F186" s="2017" t="s">
        <v>1788</v>
      </c>
      <c r="G186" s="2018" t="s">
        <v>1789</v>
      </c>
      <c r="H186" s="2016" t="s">
        <v>1790</v>
      </c>
      <c r="I186" s="2019" t="s">
        <v>1784</v>
      </c>
      <c r="J186" s="2018" t="s">
        <v>1791</v>
      </c>
      <c r="K186" s="1854"/>
      <c r="L186" s="31"/>
      <c r="M186" s="31"/>
      <c r="N186" s="31"/>
      <c r="V186" s="31"/>
      <c r="W186" s="31"/>
      <c r="X186" s="31"/>
      <c r="Y186" s="59"/>
      <c r="Z186" s="59"/>
      <c r="AA186" s="59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</row>
    <row r="187" spans="1:61" ht="17.100000000000001" customHeight="1">
      <c r="A187" s="4452" t="s">
        <v>1792</v>
      </c>
      <c r="B187" s="4453"/>
      <c r="C187" s="498">
        <f>G30</f>
        <v>967020</v>
      </c>
      <c r="D187" s="1690">
        <v>0</v>
      </c>
      <c r="E187" s="4461">
        <f>G117</f>
        <v>165750</v>
      </c>
      <c r="F187" s="170">
        <v>0</v>
      </c>
      <c r="G187" s="498">
        <v>0</v>
      </c>
      <c r="H187" s="1428">
        <v>0</v>
      </c>
      <c r="I187" s="2020">
        <v>0</v>
      </c>
      <c r="J187" s="2021">
        <f>SUM(C187:I187)</f>
        <v>1132770</v>
      </c>
      <c r="K187" s="1854"/>
      <c r="L187" s="31"/>
      <c r="M187" s="31"/>
      <c r="N187" s="31"/>
      <c r="O187" s="179" t="s">
        <v>2533</v>
      </c>
      <c r="P187" s="179">
        <f>ROUNDUP((SUM(G21:G29)+SUM(H21:H29)),-1)</f>
        <v>967020</v>
      </c>
      <c r="Q187" s="1846">
        <f>ROUNDUP(SUM(C21:D29),-1)</f>
        <v>12420</v>
      </c>
      <c r="R187" s="145" t="str">
        <f>IF(P187=G30,"Right","Wrong")</f>
        <v>Right</v>
      </c>
      <c r="S187" s="145" t="str">
        <f>IF(Q187=K30,"Right","Wrong")</f>
        <v>Right</v>
      </c>
      <c r="V187" s="31"/>
      <c r="W187" s="31"/>
      <c r="X187" s="31"/>
      <c r="Y187" s="59"/>
      <c r="Z187" s="59"/>
      <c r="AA187" s="59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</row>
    <row r="188" spans="1:61" ht="17.100000000000001" customHeight="1">
      <c r="A188" s="4452" t="s">
        <v>1793</v>
      </c>
      <c r="B188" s="4453"/>
      <c r="C188" s="2021">
        <f>G46</f>
        <v>224600</v>
      </c>
      <c r="D188" s="2022">
        <f>G110</f>
        <v>49339.199999999997</v>
      </c>
      <c r="E188" s="4462"/>
      <c r="F188" s="170">
        <f>G129</f>
        <v>0</v>
      </c>
      <c r="G188" s="498">
        <f>G136</f>
        <v>3000</v>
      </c>
      <c r="H188" s="1428">
        <f>G152</f>
        <v>0</v>
      </c>
      <c r="I188" s="2023">
        <v>0</v>
      </c>
      <c r="J188" s="2021">
        <f t="shared" ref="J188" si="22">SUM(C188:I188)</f>
        <v>276939.2</v>
      </c>
      <c r="K188" s="1854"/>
      <c r="L188" s="31"/>
      <c r="M188" s="31"/>
      <c r="N188" s="31"/>
      <c r="O188" s="179" t="s">
        <v>1144</v>
      </c>
      <c r="P188" s="1846">
        <f>ROUNDUP(SUM(G34:H45),-2)</f>
        <v>224600</v>
      </c>
      <c r="Q188" s="179">
        <f>ROUNDUP(SUM(K34:K45),-1)</f>
        <v>630</v>
      </c>
      <c r="R188" s="145" t="str">
        <f>IF(P188=G46,"Right","Wrong")</f>
        <v>Right</v>
      </c>
      <c r="S188" s="145" t="str">
        <f>IF(Q188=K46,"Right","Wrong")</f>
        <v>Right</v>
      </c>
      <c r="V188" s="31"/>
      <c r="W188" s="31"/>
      <c r="X188" s="31"/>
      <c r="Y188" s="59"/>
      <c r="Z188" s="59"/>
      <c r="AA188" s="59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</row>
    <row r="189" spans="1:61" ht="17.100000000000001" customHeight="1">
      <c r="A189" s="4452" t="s">
        <v>1794</v>
      </c>
      <c r="B189" s="4453"/>
      <c r="C189" s="2021">
        <f>G66</f>
        <v>768600</v>
      </c>
      <c r="D189" s="2022">
        <f t="shared" ref="D189" si="23">G107</f>
        <v>152040</v>
      </c>
      <c r="E189" s="4462"/>
      <c r="F189" s="2024">
        <f t="shared" ref="F189" si="24">G126</f>
        <v>0</v>
      </c>
      <c r="G189" s="498">
        <f t="shared" ref="G189" si="25">G133</f>
        <v>6000</v>
      </c>
      <c r="H189" s="1428">
        <f>G146</f>
        <v>0</v>
      </c>
      <c r="I189" s="2023">
        <v>0</v>
      </c>
      <c r="J189" s="2021">
        <f>SUM(C189:I189)</f>
        <v>926640</v>
      </c>
      <c r="K189" s="1854"/>
      <c r="L189" s="31"/>
      <c r="M189" s="31"/>
      <c r="N189" s="31"/>
      <c r="O189" s="179" t="s">
        <v>1094</v>
      </c>
      <c r="P189" s="1846">
        <f>ROUNDUP(SUM(G49:H65),-2)</f>
        <v>768600</v>
      </c>
      <c r="Q189" s="1846">
        <f>SUM(K49:K65)-(K58*L66)</f>
        <v>2914.6519354838711</v>
      </c>
      <c r="R189" s="145" t="str">
        <f>IF(P189=G66,"Right","Wrong")</f>
        <v>Right</v>
      </c>
      <c r="S189" s="145" t="str">
        <f>IF(Q189=K66,"Right","Wrong")</f>
        <v>Right</v>
      </c>
      <c r="V189" s="31"/>
      <c r="W189" s="31"/>
      <c r="X189" s="31"/>
      <c r="Y189" s="59"/>
      <c r="Z189" s="59"/>
      <c r="AA189" s="59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</row>
    <row r="190" spans="1:61" ht="17.100000000000001" customHeight="1">
      <c r="A190" s="4452" t="s">
        <v>1795</v>
      </c>
      <c r="B190" s="4454"/>
      <c r="C190" s="2021">
        <f>G86</f>
        <v>0</v>
      </c>
      <c r="D190" s="2022">
        <f>G108</f>
        <v>0</v>
      </c>
      <c r="E190" s="4462"/>
      <c r="F190" s="170">
        <f>G127</f>
        <v>0</v>
      </c>
      <c r="G190" s="498">
        <f>G134</f>
        <v>0</v>
      </c>
      <c r="H190" s="1428">
        <f>G148</f>
        <v>0</v>
      </c>
      <c r="I190" s="2023">
        <v>0</v>
      </c>
      <c r="J190" s="2021">
        <f>SUM(C190:I190)</f>
        <v>0</v>
      </c>
      <c r="K190" s="1854"/>
      <c r="L190" s="31"/>
      <c r="M190" s="31"/>
      <c r="N190" s="31"/>
      <c r="O190" s="179" t="s">
        <v>1095</v>
      </c>
      <c r="P190" s="1846">
        <f>IF(D5&gt;0,ROUNDUP(SUM(G69:H85),-2),0)</f>
        <v>587700</v>
      </c>
      <c r="Q190" s="2012">
        <f>IF(D5&gt;0,SUM(K69:K85)-(K78*L86),0)</f>
        <v>1933.6537622682661</v>
      </c>
      <c r="R190" s="145" t="str">
        <f>IF(P190=G86,"Right","Wrong")</f>
        <v>Wrong</v>
      </c>
      <c r="S190" s="145" t="str">
        <f>IF(Q190=K86,"Right","Wrong")</f>
        <v>Wrong</v>
      </c>
      <c r="V190" s="31"/>
      <c r="W190" s="31"/>
      <c r="X190" s="31"/>
      <c r="Y190" s="59"/>
      <c r="Z190" s="59"/>
      <c r="AA190" s="59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</row>
    <row r="191" spans="1:61" ht="17.100000000000001" customHeight="1">
      <c r="A191" s="4452" t="s">
        <v>1796</v>
      </c>
      <c r="B191" s="4453"/>
      <c r="C191" s="2021">
        <f>G102</f>
        <v>202600</v>
      </c>
      <c r="D191" s="2022">
        <f>G109</f>
        <v>35091.800000000003</v>
      </c>
      <c r="E191" s="4463"/>
      <c r="F191" s="170">
        <f>G128</f>
        <v>0</v>
      </c>
      <c r="G191" s="498">
        <f>G135</f>
        <v>3000</v>
      </c>
      <c r="H191" s="1428">
        <f>G150</f>
        <v>0</v>
      </c>
      <c r="I191" s="2023">
        <v>0</v>
      </c>
      <c r="J191" s="2021">
        <f>SUM(C191:I191)</f>
        <v>240691.8</v>
      </c>
      <c r="K191" s="1854"/>
      <c r="L191" s="31"/>
      <c r="M191" s="31"/>
      <c r="N191" s="31"/>
      <c r="O191" s="179" t="s">
        <v>1140</v>
      </c>
      <c r="P191" s="2012">
        <f>ROUNDUP(SUM(G89:H101),-2)</f>
        <v>202600</v>
      </c>
      <c r="Q191" s="2012">
        <f>ROUNDUP((SUM(K89:K101)),1)</f>
        <v>464</v>
      </c>
      <c r="R191" s="145" t="str">
        <f>IF(P191=G102,"Right","Wrong")</f>
        <v>Right</v>
      </c>
      <c r="S191" s="145" t="str">
        <f>IF(Q191=K102,"Right","Wrong")</f>
        <v>Right</v>
      </c>
      <c r="V191" s="31"/>
      <c r="W191" s="31"/>
      <c r="X191" s="31"/>
      <c r="Y191" s="59"/>
      <c r="Z191" s="59"/>
      <c r="AA191" s="59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</row>
    <row r="192" spans="1:61" ht="17.100000000000001" customHeight="1">
      <c r="A192" s="4452" t="s">
        <v>1784</v>
      </c>
      <c r="B192" s="4453"/>
      <c r="C192" s="2021">
        <f>G183</f>
        <v>149050</v>
      </c>
      <c r="D192" s="1428">
        <f>G112+G111</f>
        <v>23520</v>
      </c>
      <c r="E192" s="2022">
        <f>G121</f>
        <v>0</v>
      </c>
      <c r="F192" s="2025">
        <v>0</v>
      </c>
      <c r="G192" s="498">
        <f>SUM(G137:H142)</f>
        <v>40000</v>
      </c>
      <c r="H192" s="2026">
        <v>0</v>
      </c>
      <c r="I192" s="2023">
        <v>0</v>
      </c>
      <c r="J192" s="2021">
        <f>SUM(C192:I192)</f>
        <v>212570</v>
      </c>
      <c r="K192" s="1854"/>
      <c r="L192" s="31" t="s">
        <v>93</v>
      </c>
      <c r="M192" s="31"/>
      <c r="N192" s="31"/>
      <c r="O192" s="159" t="s">
        <v>2532</v>
      </c>
      <c r="P192" s="2012">
        <f>ROUNDUP(SUM(G107:H112),-1)</f>
        <v>260000</v>
      </c>
      <c r="Q192" s="145"/>
      <c r="R192" s="145" t="str">
        <f>IF(P192=G113,"Right","Wrong")</f>
        <v>Right</v>
      </c>
      <c r="S192" s="145" t="str">
        <f>IF(Q192=K113,"Right","Wrong")</f>
        <v>Right</v>
      </c>
      <c r="V192" s="31"/>
      <c r="W192" s="31"/>
      <c r="X192" s="31"/>
      <c r="Y192" s="59"/>
      <c r="Z192" s="59"/>
      <c r="AA192" s="59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</row>
    <row r="193" spans="1:41" ht="17.100000000000001" customHeight="1" thickBot="1">
      <c r="A193" s="3849" t="s">
        <v>1791</v>
      </c>
      <c r="B193" s="4455"/>
      <c r="C193" s="2027">
        <f t="shared" ref="C193" si="26">SUM(C187:C192)</f>
        <v>2311870</v>
      </c>
      <c r="D193" s="2028">
        <f t="shared" ref="D193:I193" si="27">SUM(D187:D192)</f>
        <v>259991</v>
      </c>
      <c r="E193" s="2028">
        <f t="shared" si="27"/>
        <v>165750</v>
      </c>
      <c r="F193" s="2029">
        <f t="shared" si="27"/>
        <v>0</v>
      </c>
      <c r="G193" s="2030">
        <f t="shared" si="27"/>
        <v>52000</v>
      </c>
      <c r="H193" s="2028">
        <f t="shared" si="27"/>
        <v>0</v>
      </c>
      <c r="I193" s="2031">
        <f t="shared" si="27"/>
        <v>0</v>
      </c>
      <c r="J193" s="2032">
        <f>ROUNDUP(SUM(J187:J192),-3)</f>
        <v>2790000</v>
      </c>
      <c r="K193" s="1854"/>
      <c r="L193" s="2033"/>
      <c r="M193" s="31"/>
      <c r="N193" s="31"/>
      <c r="O193" s="145" t="s">
        <v>2534</v>
      </c>
      <c r="P193" s="2012">
        <f>SUM(G117:H122)</f>
        <v>165750</v>
      </c>
      <c r="Q193" s="29">
        <f>K123</f>
        <v>300</v>
      </c>
      <c r="R193" s="145" t="str">
        <f>IF(P193=G123,"Right","Wrong")</f>
        <v>Right</v>
      </c>
      <c r="S193" s="145" t="str">
        <f>IF(Q193=K123,"Right","Wrong")</f>
        <v>Right</v>
      </c>
      <c r="T193" s="31"/>
      <c r="U193" s="31"/>
      <c r="V193" s="31"/>
      <c r="W193" s="31"/>
      <c r="X193" s="31"/>
      <c r="Y193" s="59"/>
      <c r="Z193" s="59"/>
      <c r="AA193" s="59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</row>
    <row r="194" spans="1:41" ht="17.100000000000001" customHeight="1" thickBot="1">
      <c r="A194" s="4276"/>
      <c r="B194" s="4483"/>
      <c r="C194" s="186"/>
      <c r="D194" s="4451" t="s">
        <v>1797</v>
      </c>
      <c r="E194" s="3810"/>
      <c r="F194" s="3810"/>
      <c r="G194" s="3810"/>
      <c r="H194" s="3810"/>
      <c r="I194" s="3810"/>
      <c r="J194" s="3811"/>
      <c r="K194" s="1854"/>
      <c r="L194" s="1887"/>
      <c r="M194" s="31"/>
      <c r="N194" s="31"/>
      <c r="O194" s="2034" t="s">
        <v>99</v>
      </c>
      <c r="P194" s="29">
        <f>SUM(G133:H142)</f>
        <v>52000</v>
      </c>
      <c r="Q194" s="29">
        <f>K143</f>
        <v>0</v>
      </c>
      <c r="R194" s="145" t="str">
        <f>IF(P194=G143,"Right","Wrong")</f>
        <v>Right</v>
      </c>
      <c r="S194" s="145" t="str">
        <f>IF(Q194=K143,"Right","Wrong")</f>
        <v>Right</v>
      </c>
      <c r="T194" s="31"/>
      <c r="U194" s="31"/>
      <c r="V194" s="31"/>
      <c r="W194" s="31"/>
      <c r="X194" s="31"/>
      <c r="Y194" s="59"/>
      <c r="Z194" s="59"/>
      <c r="AA194" s="59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</row>
    <row r="195" spans="1:41" ht="17.100000000000001" customHeight="1" thickBot="1">
      <c r="A195" s="4484" t="s">
        <v>1798</v>
      </c>
      <c r="B195" s="4485"/>
      <c r="C195" s="2035">
        <f>ROUNDUP((G30+G46+G66+G86+G102+G113+G123+G130+G143+G154+G183),-3)</f>
        <v>2790000</v>
      </c>
      <c r="D195" s="3849"/>
      <c r="E195" s="3850"/>
      <c r="F195" s="3850"/>
      <c r="G195" s="3850"/>
      <c r="H195" s="3850"/>
      <c r="I195" s="3850"/>
      <c r="J195" s="3851"/>
      <c r="K195" s="1854"/>
      <c r="L195" s="1887"/>
      <c r="M195" s="31"/>
      <c r="N195" s="31"/>
      <c r="O195" s="159" t="s">
        <v>1448</v>
      </c>
      <c r="P195" s="2012">
        <f>SUM(G126:H129)</f>
        <v>0</v>
      </c>
      <c r="Q195" s="245"/>
      <c r="R195" s="145" t="str">
        <f>IF(P195=G130,"Right","Wrong")</f>
        <v>Right</v>
      </c>
      <c r="S195" s="145" t="str">
        <f>IF(Q195=K130,"Right","Wrong")</f>
        <v>Right</v>
      </c>
      <c r="T195" s="31"/>
      <c r="U195" s="31"/>
      <c r="V195" s="31"/>
      <c r="W195" s="31"/>
      <c r="X195" s="31"/>
      <c r="Y195" s="59"/>
      <c r="Z195" s="59"/>
      <c r="AA195" s="59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</row>
    <row r="196" spans="1:41" ht="17.100000000000001" customHeight="1" thickBot="1">
      <c r="A196" s="2013"/>
      <c r="B196" s="2014"/>
      <c r="C196" s="2014"/>
      <c r="E196" s="31"/>
      <c r="F196" s="31"/>
      <c r="G196" s="31"/>
      <c r="H196" s="31"/>
      <c r="I196" s="31"/>
      <c r="J196" s="129"/>
      <c r="K196" s="1854"/>
      <c r="L196" s="1887"/>
      <c r="M196" s="31"/>
      <c r="N196" s="31"/>
      <c r="O196" s="159" t="s">
        <v>1755</v>
      </c>
      <c r="P196" s="2012">
        <f>SUM(G146:H153)</f>
        <v>0</v>
      </c>
      <c r="Q196" s="29">
        <f>K154</f>
        <v>0</v>
      </c>
      <c r="R196" s="145" t="str">
        <f>IF(P196=G154,"Right","Wrong")</f>
        <v>Right</v>
      </c>
      <c r="S196" s="145" t="str">
        <f>IF(Q196=K154,"Right","Wrong")</f>
        <v>Right</v>
      </c>
      <c r="T196" s="31"/>
      <c r="U196" s="31"/>
      <c r="V196" s="31"/>
      <c r="W196" s="31"/>
      <c r="X196" s="31"/>
      <c r="Y196" s="59"/>
      <c r="Z196" s="59"/>
      <c r="AA196" s="59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</row>
    <row r="197" spans="1:41" ht="17.100000000000001" customHeight="1" thickBot="1">
      <c r="A197" s="1208"/>
      <c r="B197" s="4451" t="s">
        <v>1799</v>
      </c>
      <c r="C197" s="3811"/>
      <c r="D197" s="2036">
        <f>C195</f>
        <v>2790000</v>
      </c>
      <c r="E197" s="2037" t="s">
        <v>1800</v>
      </c>
      <c r="F197" s="2038">
        <f>D197/L199</f>
        <v>164.11764705882354</v>
      </c>
      <c r="G197" s="4451" t="s">
        <v>1801</v>
      </c>
      <c r="H197" s="3811"/>
      <c r="I197" s="2039">
        <f>ROUNDUP((C195/D198)*E198,-4)</f>
        <v>3290000</v>
      </c>
      <c r="J197" s="2038">
        <f>I197/K199</f>
        <v>193.20378456643311</v>
      </c>
      <c r="K197" s="1890"/>
      <c r="L197" s="31"/>
      <c r="M197" s="1887"/>
      <c r="N197" s="17"/>
      <c r="O197" s="2040" t="s">
        <v>1760</v>
      </c>
      <c r="P197" s="1846">
        <f>SUM(G157:H182)</f>
        <v>149050</v>
      </c>
      <c r="Q197" s="29">
        <f>K183</f>
        <v>300</v>
      </c>
      <c r="R197" s="145" t="str">
        <f>IF(P197=G183,"Right","Wrong")</f>
        <v>Right</v>
      </c>
      <c r="S197" s="145" t="str">
        <f>IF(Q197=K183,"Right","Wrong")</f>
        <v>Right</v>
      </c>
      <c r="T197" s="31"/>
      <c r="U197" s="31"/>
      <c r="V197" s="31"/>
      <c r="W197" s="31"/>
      <c r="X197" s="31"/>
      <c r="Y197" s="59"/>
      <c r="Z197" s="59"/>
      <c r="AA197" s="59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</row>
    <row r="198" spans="1:41" ht="17.100000000000001" customHeight="1" thickBot="1">
      <c r="A198" s="1208"/>
      <c r="B198" s="4129" t="s">
        <v>1802</v>
      </c>
      <c r="C198" s="4131"/>
      <c r="D198" s="2041">
        <v>0.85</v>
      </c>
      <c r="E198" s="2042">
        <v>1</v>
      </c>
      <c r="F198" s="2043" t="s">
        <v>1803</v>
      </c>
      <c r="G198" s="4129" t="s">
        <v>1804</v>
      </c>
      <c r="H198" s="3811"/>
      <c r="I198" s="2044">
        <f>(I197-C195)/I197</f>
        <v>0.1519756838905775</v>
      </c>
      <c r="J198" s="1236" t="s">
        <v>1803</v>
      </c>
      <c r="K198" s="1890" t="s">
        <v>1805</v>
      </c>
      <c r="L198" s="31" t="s">
        <v>1806</v>
      </c>
      <c r="M198" s="31"/>
      <c r="N198" s="17"/>
      <c r="O198" s="2045" t="str">
        <f>IF(Q198=K104,"Right","Wrong")</f>
        <v>Wrong</v>
      </c>
      <c r="P198" s="145" t="s">
        <v>2535</v>
      </c>
      <c r="Q198" s="2012">
        <f>Q189+Q190+Q191+C24</f>
        <v>7002.3056977521373</v>
      </c>
      <c r="R198" s="2046" t="s">
        <v>274</v>
      </c>
      <c r="S198" s="2046" t="s">
        <v>275</v>
      </c>
      <c r="T198" s="31"/>
      <c r="U198" s="31"/>
      <c r="V198" s="31"/>
      <c r="W198" s="31"/>
      <c r="X198" s="31"/>
      <c r="Y198" s="59"/>
      <c r="Z198" s="59"/>
      <c r="AA198" s="59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</row>
    <row r="199" spans="1:41" ht="17.100000000000001" customHeight="1">
      <c r="A199" s="1208"/>
      <c r="B199" s="186"/>
      <c r="C199" s="2047"/>
      <c r="D199" s="108"/>
      <c r="E199" s="108"/>
      <c r="F199" s="108"/>
      <c r="G199" s="108"/>
      <c r="H199" s="2048"/>
      <c r="I199" s="2049"/>
      <c r="J199" s="697"/>
      <c r="K199" s="2050">
        <f>K183+K143+K123+K102+K86+K66+K46+K30</f>
        <v>17028.651935483871</v>
      </c>
      <c r="L199" s="2051">
        <f>'E Data'!D43*1000</f>
        <v>17000</v>
      </c>
      <c r="M199" s="31"/>
      <c r="N199" s="17"/>
      <c r="O199" s="2052" t="s">
        <v>2536</v>
      </c>
      <c r="P199" s="145">
        <f>ROUNDUP(SUM(P187:P197),-3)</f>
        <v>3378000</v>
      </c>
      <c r="Q199" s="2012">
        <f>SUM(Q187:Q197)</f>
        <v>18962.305697752137</v>
      </c>
      <c r="R199" s="2045" t="str">
        <f>IF(P199=J193,"Right","Wrong")</f>
        <v>Wrong</v>
      </c>
      <c r="S199" s="2045" t="str">
        <f>IF(Q199=K199,"Right","Wrong")</f>
        <v>Wrong</v>
      </c>
      <c r="T199" s="31"/>
      <c r="U199" s="31"/>
      <c r="V199" s="31"/>
      <c r="W199" s="31"/>
      <c r="X199" s="31"/>
      <c r="Y199" s="59"/>
      <c r="Z199" s="59"/>
      <c r="AA199" s="59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</row>
    <row r="200" spans="1:41" ht="17.100000000000001" customHeight="1">
      <c r="A200" s="1591"/>
      <c r="B200" s="58" t="s">
        <v>1807</v>
      </c>
      <c r="C200" s="186" t="s">
        <v>3967</v>
      </c>
      <c r="D200" s="31"/>
      <c r="E200" s="31"/>
      <c r="F200" s="31"/>
      <c r="G200" s="31"/>
      <c r="H200" s="186"/>
      <c r="I200" s="31"/>
      <c r="J200" s="1648"/>
      <c r="K200" s="1854"/>
      <c r="L200" s="31"/>
      <c r="M200" s="31"/>
      <c r="O200" s="17"/>
      <c r="U200" s="31"/>
      <c r="V200" s="31"/>
      <c r="W200" s="31"/>
      <c r="X200" s="31"/>
      <c r="Y200" s="59"/>
      <c r="Z200" s="59"/>
      <c r="AA200" s="59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</row>
    <row r="201" spans="1:41" ht="17.100000000000001" customHeight="1" thickBot="1">
      <c r="A201" s="212"/>
      <c r="B201" s="1249"/>
      <c r="C201" s="2053"/>
      <c r="D201" s="1827"/>
      <c r="E201" s="1827"/>
      <c r="F201" s="1827"/>
      <c r="G201" s="1827"/>
      <c r="H201" s="1824"/>
      <c r="I201" s="1824"/>
      <c r="J201" s="1827"/>
      <c r="K201" s="2054"/>
      <c r="L201" s="1648"/>
      <c r="M201" s="1648"/>
      <c r="O201" s="17"/>
      <c r="P201" s="17"/>
      <c r="Q201" s="17"/>
      <c r="R201" s="31"/>
      <c r="S201" s="59" t="s">
        <v>2537</v>
      </c>
      <c r="T201" s="59" t="s">
        <v>1373</v>
      </c>
      <c r="U201" s="43"/>
      <c r="V201" s="1648"/>
      <c r="W201" s="1648"/>
      <c r="X201" s="1648"/>
      <c r="Y201" s="1592"/>
      <c r="Z201" s="1592"/>
      <c r="AA201" s="1592"/>
      <c r="AB201" s="1648"/>
      <c r="AC201" s="1648"/>
      <c r="AD201" s="1648"/>
      <c r="AE201" s="1648"/>
      <c r="AF201" s="1648"/>
      <c r="AG201" s="1648"/>
      <c r="AH201" s="1648"/>
      <c r="AI201" s="1648"/>
      <c r="AJ201" s="1648"/>
      <c r="AK201" s="1648"/>
      <c r="AL201" s="1648"/>
      <c r="AM201" s="1648"/>
      <c r="AN201" s="1648"/>
      <c r="AO201" s="1648"/>
    </row>
    <row r="202" spans="1:41" ht="17.100000000000001" customHeight="1">
      <c r="A202" s="2055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31"/>
      <c r="M202" s="31"/>
      <c r="O202" s="1847">
        <f>IF(D5&gt;0,SUM(G21:H183)/2,ROUNDUP((SUM(G89:H183)+SUM(G21:H66)),-3)/2)</f>
        <v>3083382.3950000005</v>
      </c>
      <c r="P202" s="1848">
        <f>+O202-S202</f>
        <v>3073382.3950000005</v>
      </c>
      <c r="Q202" s="1848">
        <f>+O202+T202</f>
        <v>3093382.3950000005</v>
      </c>
      <c r="R202" s="2056" t="str">
        <f>+IF(D197&lt;Q202,IF(D197&gt;P202,"Right","Wrong"),"Wrong")</f>
        <v>Wrong</v>
      </c>
      <c r="S202" s="2057">
        <v>10000</v>
      </c>
      <c r="T202" s="2058">
        <v>10000</v>
      </c>
      <c r="V202" s="31"/>
      <c r="W202" s="31"/>
      <c r="X202" s="31"/>
      <c r="Y202" s="59"/>
      <c r="Z202" s="59"/>
      <c r="AA202" s="59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</row>
    <row r="203" spans="1:41" ht="17.100000000000001" customHeight="1">
      <c r="A203" s="1849"/>
      <c r="B203" s="17"/>
      <c r="C203" s="17"/>
      <c r="D203" s="17"/>
      <c r="E203" s="17"/>
      <c r="F203" s="17"/>
      <c r="I203" s="17"/>
      <c r="J203" s="17"/>
      <c r="K203" s="17"/>
      <c r="L203" s="31"/>
      <c r="M203" s="31"/>
      <c r="O203" s="1850">
        <f>IF(D5&gt;0,ROUNDUP(SUM(K21:K199),-2)/2,ROUNDUP((SUM(K89:K199)+SUM(K21:K66)),-2)/2)-ROUNDUP(K104,-1)</f>
        <v>17580</v>
      </c>
      <c r="P203" s="53">
        <f>+O203-S203</f>
        <v>17080</v>
      </c>
      <c r="Q203" s="53">
        <f>+O203+T203</f>
        <v>18080</v>
      </c>
      <c r="R203" s="2059" t="str">
        <f>+IF(O203&lt;Q203,IF(O203&gt;P203,"Right","Wrong"),"Wrong")</f>
        <v>Right</v>
      </c>
      <c r="S203" s="1525">
        <v>500</v>
      </c>
      <c r="T203" s="1973">
        <v>500</v>
      </c>
      <c r="V203" s="31"/>
      <c r="W203" s="31"/>
      <c r="X203" s="31"/>
      <c r="Y203" s="59"/>
      <c r="Z203" s="59"/>
      <c r="AA203" s="59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</row>
    <row r="204" spans="1:41" ht="17.100000000000001" customHeight="1">
      <c r="A204" s="1851"/>
      <c r="B204" s="17"/>
      <c r="C204" s="17"/>
      <c r="D204" s="17"/>
      <c r="E204" s="17"/>
      <c r="F204" s="17"/>
      <c r="I204" s="17"/>
      <c r="J204" s="17"/>
      <c r="K204" s="17"/>
      <c r="L204" s="31"/>
      <c r="M204" s="31"/>
      <c r="O204" s="2060">
        <f>+K199-L199</f>
        <v>28.651935483871057</v>
      </c>
      <c r="P204" s="2061" t="str">
        <f>IF(O204&lt;S204,IF(O204&gt;-T204,"Right","Wrong"),"Wrong")</f>
        <v>Right</v>
      </c>
      <c r="Q204" s="2062">
        <f>K104-L104</f>
        <v>68.651935483871057</v>
      </c>
      <c r="R204" s="2063" t="str">
        <f>IF(Q204&lt;S205,IF(Q204&gt;-T205,"Right","Wrong"),"Wrong")</f>
        <v>Right</v>
      </c>
      <c r="S204" s="1525">
        <v>800</v>
      </c>
      <c r="T204" s="1973">
        <v>500</v>
      </c>
      <c r="U204" s="22" t="s">
        <v>1234</v>
      </c>
      <c r="V204" s="31"/>
      <c r="W204" s="31"/>
      <c r="X204" s="31"/>
      <c r="Y204" s="59"/>
      <c r="Z204" s="59"/>
      <c r="AA204" s="59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</row>
    <row r="205" spans="1:41" ht="17.100000000000001" customHeight="1">
      <c r="A205" s="181"/>
      <c r="B205" s="17"/>
      <c r="C205" s="17"/>
      <c r="D205" s="17"/>
      <c r="E205" s="17"/>
      <c r="F205" s="17"/>
      <c r="G205" s="17"/>
      <c r="H205" s="17"/>
      <c r="O205" s="2064" t="str">
        <f>IF(R202="Right",IF(R203="Right",IF(R204="Right",IF(P204="Right",IF(Q205="Right",IF(R205="Right","Right","Weight Wrong"),"Price Wrong"),"Ass. Crane Wt Wrong"),"Ass. Crab Wt Wrong"),"Weight Wrong"),"Price Wrong")</f>
        <v>Price Wrong</v>
      </c>
      <c r="P205" s="714" t="s">
        <v>2536</v>
      </c>
      <c r="Q205" s="145" t="str">
        <f>R199</f>
        <v>Wrong</v>
      </c>
      <c r="R205" s="145" t="str">
        <f>S199</f>
        <v>Wrong</v>
      </c>
      <c r="S205" s="1502">
        <v>500</v>
      </c>
      <c r="T205" s="1977">
        <v>500</v>
      </c>
      <c r="U205" s="22" t="s">
        <v>2538</v>
      </c>
      <c r="V205" s="31"/>
      <c r="W205" s="31"/>
      <c r="X205" s="31"/>
      <c r="Y205" s="59"/>
      <c r="Z205" s="59"/>
      <c r="AA205" s="59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</row>
    <row r="206" spans="1:41" ht="17.100000000000001" customHeight="1">
      <c r="A206" s="17"/>
      <c r="B206" s="17"/>
      <c r="C206" s="17"/>
      <c r="D206" s="17"/>
      <c r="E206" s="17"/>
      <c r="F206" s="17"/>
      <c r="G206" s="17"/>
      <c r="P206" s="31"/>
      <c r="Q206" s="43"/>
      <c r="R206" s="31"/>
      <c r="S206" s="31"/>
      <c r="T206" s="31"/>
      <c r="U206" s="31"/>
      <c r="V206" s="31"/>
      <c r="W206" s="31"/>
      <c r="X206" s="31"/>
      <c r="Y206" s="59"/>
      <c r="Z206" s="59"/>
      <c r="AA206" s="59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</row>
  </sheetData>
  <mergeCells count="666">
    <mergeCell ref="Q180:R180"/>
    <mergeCell ref="Q182:R182"/>
    <mergeCell ref="Q157:R157"/>
    <mergeCell ref="Q159:R159"/>
    <mergeCell ref="Q160:R160"/>
    <mergeCell ref="Q161:R161"/>
    <mergeCell ref="Q163:R163"/>
    <mergeCell ref="Q164:R164"/>
    <mergeCell ref="Q165:R165"/>
    <mergeCell ref="Q166:R166"/>
    <mergeCell ref="Q167:R167"/>
    <mergeCell ref="Q168:R168"/>
    <mergeCell ref="Q169:R169"/>
    <mergeCell ref="Q170:R170"/>
    <mergeCell ref="Q171:R171"/>
    <mergeCell ref="Q172:R172"/>
    <mergeCell ref="Q173:R173"/>
    <mergeCell ref="Q174:R174"/>
    <mergeCell ref="Q175:R175"/>
    <mergeCell ref="Q176:R176"/>
    <mergeCell ref="Q177:R177"/>
    <mergeCell ref="Q178:R178"/>
    <mergeCell ref="Q179:R179"/>
    <mergeCell ref="Q138:R138"/>
    <mergeCell ref="I174:J174"/>
    <mergeCell ref="I175:J175"/>
    <mergeCell ref="I176:J176"/>
    <mergeCell ref="A172:B172"/>
    <mergeCell ref="E172:F172"/>
    <mergeCell ref="G172:H172"/>
    <mergeCell ref="A173:B173"/>
    <mergeCell ref="E173:F173"/>
    <mergeCell ref="G173:H173"/>
    <mergeCell ref="E174:F174"/>
    <mergeCell ref="A167:B167"/>
    <mergeCell ref="A171:B171"/>
    <mergeCell ref="E171:F171"/>
    <mergeCell ref="G171:H171"/>
    <mergeCell ref="I171:J171"/>
    <mergeCell ref="G166:H166"/>
    <mergeCell ref="I166:J166"/>
    <mergeCell ref="E167:F167"/>
    <mergeCell ref="G167:H167"/>
    <mergeCell ref="I167:J167"/>
    <mergeCell ref="I163:J163"/>
    <mergeCell ref="A164:B164"/>
    <mergeCell ref="E164:F164"/>
    <mergeCell ref="Y3:Y4"/>
    <mergeCell ref="Z3:Z4"/>
    <mergeCell ref="A1:J2"/>
    <mergeCell ref="A13:B17"/>
    <mergeCell ref="A114:J115"/>
    <mergeCell ref="E117:F120"/>
    <mergeCell ref="G117:H120"/>
    <mergeCell ref="A119:B119"/>
    <mergeCell ref="I119:J119"/>
    <mergeCell ref="A120:B120"/>
    <mergeCell ref="I120:J120"/>
    <mergeCell ref="A112:B112"/>
    <mergeCell ref="E112:F112"/>
    <mergeCell ref="G112:H112"/>
    <mergeCell ref="I112:J112"/>
    <mergeCell ref="A113:B113"/>
    <mergeCell ref="C113:D113"/>
    <mergeCell ref="E113:F113"/>
    <mergeCell ref="A109:B109"/>
    <mergeCell ref="G109:H109"/>
    <mergeCell ref="A110:B110"/>
    <mergeCell ref="G110:H110"/>
    <mergeCell ref="I110:J110"/>
    <mergeCell ref="K40:K42"/>
    <mergeCell ref="A194:B194"/>
    <mergeCell ref="A195:B195"/>
    <mergeCell ref="B197:C197"/>
    <mergeCell ref="G197:H197"/>
    <mergeCell ref="G182:H182"/>
    <mergeCell ref="I182:J182"/>
    <mergeCell ref="A183:B183"/>
    <mergeCell ref="C183:D183"/>
    <mergeCell ref="E183:F183"/>
    <mergeCell ref="G183:H183"/>
    <mergeCell ref="I183:J183"/>
    <mergeCell ref="A180:B180"/>
    <mergeCell ref="E180:F180"/>
    <mergeCell ref="G180:H180"/>
    <mergeCell ref="I180:J180"/>
    <mergeCell ref="E181:F181"/>
    <mergeCell ref="G181:H181"/>
    <mergeCell ref="I181:J181"/>
    <mergeCell ref="A174:B174"/>
    <mergeCell ref="I179:J179"/>
    <mergeCell ref="G174:H174"/>
    <mergeCell ref="A175:B175"/>
    <mergeCell ref="E175:F175"/>
    <mergeCell ref="G175:H175"/>
    <mergeCell ref="A178:B178"/>
    <mergeCell ref="E178:F178"/>
    <mergeCell ref="G178:H178"/>
    <mergeCell ref="I177:J177"/>
    <mergeCell ref="B198:C198"/>
    <mergeCell ref="G198:H198"/>
    <mergeCell ref="E187:E191"/>
    <mergeCell ref="J13:J17"/>
    <mergeCell ref="I173:J173"/>
    <mergeCell ref="A179:B179"/>
    <mergeCell ref="E179:F179"/>
    <mergeCell ref="G179:H179"/>
    <mergeCell ref="E176:F176"/>
    <mergeCell ref="G176:H176"/>
    <mergeCell ref="A176:B176"/>
    <mergeCell ref="I178:J178"/>
    <mergeCell ref="A165:B165"/>
    <mergeCell ref="E165:F165"/>
    <mergeCell ref="G165:H165"/>
    <mergeCell ref="I165:J165"/>
    <mergeCell ref="A168:B168"/>
    <mergeCell ref="E168:F168"/>
    <mergeCell ref="G168:H168"/>
    <mergeCell ref="A169:B169"/>
    <mergeCell ref="E169:F169"/>
    <mergeCell ref="G169:H169"/>
    <mergeCell ref="I169:J169"/>
    <mergeCell ref="A166:B166"/>
    <mergeCell ref="K61:K63"/>
    <mergeCell ref="K81:K83"/>
    <mergeCell ref="K95:K97"/>
    <mergeCell ref="D194:J195"/>
    <mergeCell ref="A185:J185"/>
    <mergeCell ref="A186:B186"/>
    <mergeCell ref="A187:B187"/>
    <mergeCell ref="A188:B188"/>
    <mergeCell ref="A189:B189"/>
    <mergeCell ref="A190:B190"/>
    <mergeCell ref="A191:B191"/>
    <mergeCell ref="A192:B192"/>
    <mergeCell ref="A193:B193"/>
    <mergeCell ref="A182:B182"/>
    <mergeCell ref="E182:F182"/>
    <mergeCell ref="A170:B170"/>
    <mergeCell ref="E170:F170"/>
    <mergeCell ref="G170:H170"/>
    <mergeCell ref="I170:J170"/>
    <mergeCell ref="I172:J172"/>
    <mergeCell ref="A177:B177"/>
    <mergeCell ref="E177:F177"/>
    <mergeCell ref="G177:H177"/>
    <mergeCell ref="E166:F166"/>
    <mergeCell ref="G164:H164"/>
    <mergeCell ref="I164:J164"/>
    <mergeCell ref="A161:B161"/>
    <mergeCell ref="C161:D161"/>
    <mergeCell ref="E161:F161"/>
    <mergeCell ref="G161:H161"/>
    <mergeCell ref="C162:D162"/>
    <mergeCell ref="E162:F162"/>
    <mergeCell ref="G162:H162"/>
    <mergeCell ref="A163:B163"/>
    <mergeCell ref="E163:F163"/>
    <mergeCell ref="G163:H163"/>
    <mergeCell ref="B158:D158"/>
    <mergeCell ref="E158:F158"/>
    <mergeCell ref="G158:H158"/>
    <mergeCell ref="I158:J158"/>
    <mergeCell ref="A159:B159"/>
    <mergeCell ref="E159:F159"/>
    <mergeCell ref="G159:H159"/>
    <mergeCell ref="I159:J159"/>
    <mergeCell ref="A160:B160"/>
    <mergeCell ref="E160:F160"/>
    <mergeCell ref="G160:H160"/>
    <mergeCell ref="I160:J160"/>
    <mergeCell ref="A155:J155"/>
    <mergeCell ref="A156:B156"/>
    <mergeCell ref="C156:D156"/>
    <mergeCell ref="E156:F156"/>
    <mergeCell ref="G156:H156"/>
    <mergeCell ref="I156:J156"/>
    <mergeCell ref="A157:B157"/>
    <mergeCell ref="E157:F157"/>
    <mergeCell ref="G157:H157"/>
    <mergeCell ref="I157:J157"/>
    <mergeCell ref="A153:B153"/>
    <mergeCell ref="E153:F153"/>
    <mergeCell ref="G153:H153"/>
    <mergeCell ref="I153:J153"/>
    <mergeCell ref="A154:B154"/>
    <mergeCell ref="C154:D154"/>
    <mergeCell ref="E154:F154"/>
    <mergeCell ref="G154:H154"/>
    <mergeCell ref="I154:J154"/>
    <mergeCell ref="A150:B150"/>
    <mergeCell ref="E150:F150"/>
    <mergeCell ref="G150:H150"/>
    <mergeCell ref="I150:J150"/>
    <mergeCell ref="A151:B151"/>
    <mergeCell ref="E151:F151"/>
    <mergeCell ref="G151:H151"/>
    <mergeCell ref="I151:J151"/>
    <mergeCell ref="A152:B152"/>
    <mergeCell ref="E152:F152"/>
    <mergeCell ref="G152:H152"/>
    <mergeCell ref="I152:J152"/>
    <mergeCell ref="A147:B147"/>
    <mergeCell ref="E147:F147"/>
    <mergeCell ref="G147:H147"/>
    <mergeCell ref="I147:J147"/>
    <mergeCell ref="A148:B148"/>
    <mergeCell ref="E148:F148"/>
    <mergeCell ref="G148:H148"/>
    <mergeCell ref="I148:J148"/>
    <mergeCell ref="A149:B149"/>
    <mergeCell ref="E149:F149"/>
    <mergeCell ref="G149:H149"/>
    <mergeCell ref="I149:J149"/>
    <mergeCell ref="A144:J144"/>
    <mergeCell ref="A145:B145"/>
    <mergeCell ref="C145:D145"/>
    <mergeCell ref="E145:F145"/>
    <mergeCell ref="G145:H145"/>
    <mergeCell ref="I145:J145"/>
    <mergeCell ref="A146:B146"/>
    <mergeCell ref="E146:F146"/>
    <mergeCell ref="G146:H146"/>
    <mergeCell ref="I146:J146"/>
    <mergeCell ref="A140:B140"/>
    <mergeCell ref="C140:D140"/>
    <mergeCell ref="E140:F140"/>
    <mergeCell ref="G140:H140"/>
    <mergeCell ref="A143:B143"/>
    <mergeCell ref="C143:D143"/>
    <mergeCell ref="E143:F143"/>
    <mergeCell ref="G143:H143"/>
    <mergeCell ref="I143:J143"/>
    <mergeCell ref="I139:J142"/>
    <mergeCell ref="A142:B142"/>
    <mergeCell ref="C142:D142"/>
    <mergeCell ref="E142:F142"/>
    <mergeCell ref="G142:H142"/>
    <mergeCell ref="A141:B141"/>
    <mergeCell ref="C141:D141"/>
    <mergeCell ref="E141:F141"/>
    <mergeCell ref="G141:H141"/>
    <mergeCell ref="A139:B139"/>
    <mergeCell ref="C139:D139"/>
    <mergeCell ref="E139:F139"/>
    <mergeCell ref="G139:H139"/>
    <mergeCell ref="I137:J137"/>
    <mergeCell ref="A138:B138"/>
    <mergeCell ref="E138:F138"/>
    <mergeCell ref="G138:H138"/>
    <mergeCell ref="A137:B137"/>
    <mergeCell ref="C137:D137"/>
    <mergeCell ref="E137:F137"/>
    <mergeCell ref="G137:H137"/>
    <mergeCell ref="I138:J138"/>
    <mergeCell ref="C138:D138"/>
    <mergeCell ref="A135:B135"/>
    <mergeCell ref="C135:D135"/>
    <mergeCell ref="E135:F135"/>
    <mergeCell ref="G135:H135"/>
    <mergeCell ref="I135:J135"/>
    <mergeCell ref="A136:B136"/>
    <mergeCell ref="C136:D136"/>
    <mergeCell ref="E136:F136"/>
    <mergeCell ref="G136:H136"/>
    <mergeCell ref="I136:J136"/>
    <mergeCell ref="A133:B133"/>
    <mergeCell ref="C133:D133"/>
    <mergeCell ref="E133:F133"/>
    <mergeCell ref="G133:H133"/>
    <mergeCell ref="I133:J133"/>
    <mergeCell ref="A134:B134"/>
    <mergeCell ref="C134:D134"/>
    <mergeCell ref="E134:F134"/>
    <mergeCell ref="G134:H134"/>
    <mergeCell ref="I134:J134"/>
    <mergeCell ref="A130:B130"/>
    <mergeCell ref="C130:D130"/>
    <mergeCell ref="E130:F130"/>
    <mergeCell ref="G130:H130"/>
    <mergeCell ref="I130:J130"/>
    <mergeCell ref="A132:B132"/>
    <mergeCell ref="C132:D132"/>
    <mergeCell ref="E132:F132"/>
    <mergeCell ref="G132:H132"/>
    <mergeCell ref="I132:J132"/>
    <mergeCell ref="A127:B127"/>
    <mergeCell ref="E127:F127"/>
    <mergeCell ref="G127:H127"/>
    <mergeCell ref="I127:J127"/>
    <mergeCell ref="A128:B128"/>
    <mergeCell ref="E128:F128"/>
    <mergeCell ref="G128:H128"/>
    <mergeCell ref="I128:J128"/>
    <mergeCell ref="A129:B129"/>
    <mergeCell ref="E129:F129"/>
    <mergeCell ref="G129:H129"/>
    <mergeCell ref="I129:J129"/>
    <mergeCell ref="A124:J124"/>
    <mergeCell ref="A125:B125"/>
    <mergeCell ref="C125:D125"/>
    <mergeCell ref="E125:F125"/>
    <mergeCell ref="G125:H125"/>
    <mergeCell ref="I125:J125"/>
    <mergeCell ref="A126:B126"/>
    <mergeCell ref="E126:F126"/>
    <mergeCell ref="G126:H126"/>
    <mergeCell ref="I126:J126"/>
    <mergeCell ref="A122:B122"/>
    <mergeCell ref="C122:D122"/>
    <mergeCell ref="E122:F122"/>
    <mergeCell ref="G122:H122"/>
    <mergeCell ref="I122:J122"/>
    <mergeCell ref="A123:B123"/>
    <mergeCell ref="C123:D123"/>
    <mergeCell ref="E123:F123"/>
    <mergeCell ref="G123:H123"/>
    <mergeCell ref="I123:J123"/>
    <mergeCell ref="A111:B111"/>
    <mergeCell ref="E111:F111"/>
    <mergeCell ref="G111:H111"/>
    <mergeCell ref="I111:J111"/>
    <mergeCell ref="A121:B121"/>
    <mergeCell ref="C121:D121"/>
    <mergeCell ref="E121:F121"/>
    <mergeCell ref="G121:H121"/>
    <mergeCell ref="I121:J121"/>
    <mergeCell ref="A116:B116"/>
    <mergeCell ref="C116:D116"/>
    <mergeCell ref="E116:F116"/>
    <mergeCell ref="G116:H116"/>
    <mergeCell ref="I116:J116"/>
    <mergeCell ref="A117:B117"/>
    <mergeCell ref="I117:J117"/>
    <mergeCell ref="A118:B118"/>
    <mergeCell ref="I118:J118"/>
    <mergeCell ref="G113:H113"/>
    <mergeCell ref="I113:J113"/>
    <mergeCell ref="A106:B106"/>
    <mergeCell ref="C106:D106"/>
    <mergeCell ref="E106:F106"/>
    <mergeCell ref="G106:H106"/>
    <mergeCell ref="I106:J106"/>
    <mergeCell ref="A107:B107"/>
    <mergeCell ref="G107:H107"/>
    <mergeCell ref="A108:B108"/>
    <mergeCell ref="G108:H108"/>
    <mergeCell ref="I107:J107"/>
    <mergeCell ref="I108:J109"/>
    <mergeCell ref="A100:B100"/>
    <mergeCell ref="E100:F100"/>
    <mergeCell ref="G100:H100"/>
    <mergeCell ref="I100:J100"/>
    <mergeCell ref="A101:B101"/>
    <mergeCell ref="E101:F101"/>
    <mergeCell ref="G101:H101"/>
    <mergeCell ref="I101:J101"/>
    <mergeCell ref="A102:B102"/>
    <mergeCell ref="C102:D102"/>
    <mergeCell ref="E102:F102"/>
    <mergeCell ref="G102:H102"/>
    <mergeCell ref="I102:J102"/>
    <mergeCell ref="A97:B97"/>
    <mergeCell ref="E97:F97"/>
    <mergeCell ref="G97:H97"/>
    <mergeCell ref="I97:J97"/>
    <mergeCell ref="A98:B98"/>
    <mergeCell ref="G98:H98"/>
    <mergeCell ref="I98:J98"/>
    <mergeCell ref="A99:B99"/>
    <mergeCell ref="E99:F99"/>
    <mergeCell ref="G99:H99"/>
    <mergeCell ref="I99:J99"/>
    <mergeCell ref="A94:B94"/>
    <mergeCell ref="C94:J94"/>
    <mergeCell ref="A95:B95"/>
    <mergeCell ref="E95:F95"/>
    <mergeCell ref="G95:H95"/>
    <mergeCell ref="I95:J95"/>
    <mergeCell ref="A96:B96"/>
    <mergeCell ref="E96:F96"/>
    <mergeCell ref="G96:H96"/>
    <mergeCell ref="I96:J96"/>
    <mergeCell ref="A92:B92"/>
    <mergeCell ref="E92:F92"/>
    <mergeCell ref="G92:H92"/>
    <mergeCell ref="I92:J92"/>
    <mergeCell ref="M92:N92"/>
    <mergeCell ref="A93:B93"/>
    <mergeCell ref="E93:F93"/>
    <mergeCell ref="G93:H93"/>
    <mergeCell ref="I93:J93"/>
    <mergeCell ref="M93:N93"/>
    <mergeCell ref="A89:B89"/>
    <mergeCell ref="E89:F89"/>
    <mergeCell ref="G89:H89"/>
    <mergeCell ref="I89:J89"/>
    <mergeCell ref="A90:B90"/>
    <mergeCell ref="E90:F90"/>
    <mergeCell ref="G90:H90"/>
    <mergeCell ref="I90:J90"/>
    <mergeCell ref="A91:B91"/>
    <mergeCell ref="E91:F91"/>
    <mergeCell ref="G91:H91"/>
    <mergeCell ref="I91:J91"/>
    <mergeCell ref="A86:B86"/>
    <mergeCell ref="C86:D86"/>
    <mergeCell ref="E86:F86"/>
    <mergeCell ref="G86:H86"/>
    <mergeCell ref="I86:J86"/>
    <mergeCell ref="M86:N86"/>
    <mergeCell ref="A87:J87"/>
    <mergeCell ref="A88:B88"/>
    <mergeCell ref="C88:D88"/>
    <mergeCell ref="E88:F88"/>
    <mergeCell ref="G88:H88"/>
    <mergeCell ref="I88:J88"/>
    <mergeCell ref="A84:B84"/>
    <mergeCell ref="E84:F84"/>
    <mergeCell ref="G84:H84"/>
    <mergeCell ref="I84:J84"/>
    <mergeCell ref="A85:B85"/>
    <mergeCell ref="E85:F85"/>
    <mergeCell ref="G85:H85"/>
    <mergeCell ref="I85:J85"/>
    <mergeCell ref="M85:N85"/>
    <mergeCell ref="A81:B81"/>
    <mergeCell ref="E81:F81"/>
    <mergeCell ref="G81:H81"/>
    <mergeCell ref="I81:J81"/>
    <mergeCell ref="A82:B82"/>
    <mergeCell ref="E82:F82"/>
    <mergeCell ref="G82:H82"/>
    <mergeCell ref="I82:J82"/>
    <mergeCell ref="A83:B83"/>
    <mergeCell ref="E83:F83"/>
    <mergeCell ref="G83:H83"/>
    <mergeCell ref="I83:J83"/>
    <mergeCell ref="A78:B78"/>
    <mergeCell ref="G78:H78"/>
    <mergeCell ref="I78:J78"/>
    <mergeCell ref="A79:B79"/>
    <mergeCell ref="E79:F79"/>
    <mergeCell ref="G79:H79"/>
    <mergeCell ref="E80:F80"/>
    <mergeCell ref="G80:H80"/>
    <mergeCell ref="I80:J80"/>
    <mergeCell ref="I79:J79"/>
    <mergeCell ref="A75:B75"/>
    <mergeCell ref="E75:F75"/>
    <mergeCell ref="G75:H75"/>
    <mergeCell ref="I75:J75"/>
    <mergeCell ref="A76:B76"/>
    <mergeCell ref="E76:F76"/>
    <mergeCell ref="G76:H76"/>
    <mergeCell ref="I76:J76"/>
    <mergeCell ref="A77:B77"/>
    <mergeCell ref="E77:F77"/>
    <mergeCell ref="G77:H77"/>
    <mergeCell ref="I77:J77"/>
    <mergeCell ref="A72:B72"/>
    <mergeCell ref="E72:F72"/>
    <mergeCell ref="G72:H72"/>
    <mergeCell ref="I72:J72"/>
    <mergeCell ref="A73:B73"/>
    <mergeCell ref="E73:F73"/>
    <mergeCell ref="G73:H73"/>
    <mergeCell ref="I73:J73"/>
    <mergeCell ref="A74:B74"/>
    <mergeCell ref="E74:F74"/>
    <mergeCell ref="G74:H74"/>
    <mergeCell ref="I74:J74"/>
    <mergeCell ref="A69:B69"/>
    <mergeCell ref="E69:F69"/>
    <mergeCell ref="G69:H69"/>
    <mergeCell ref="I69:J69"/>
    <mergeCell ref="A70:B70"/>
    <mergeCell ref="E70:F70"/>
    <mergeCell ref="G70:H70"/>
    <mergeCell ref="I70:J70"/>
    <mergeCell ref="A71:B71"/>
    <mergeCell ref="E71:F71"/>
    <mergeCell ref="G71:H71"/>
    <mergeCell ref="I71:J71"/>
    <mergeCell ref="A66:B66"/>
    <mergeCell ref="C66:D66"/>
    <mergeCell ref="E66:F66"/>
    <mergeCell ref="G66:H66"/>
    <mergeCell ref="I66:J66"/>
    <mergeCell ref="M66:N66"/>
    <mergeCell ref="A67:J67"/>
    <mergeCell ref="A68:B68"/>
    <mergeCell ref="C68:D68"/>
    <mergeCell ref="E68:F68"/>
    <mergeCell ref="G68:H68"/>
    <mergeCell ref="I68:J68"/>
    <mergeCell ref="A64:B64"/>
    <mergeCell ref="E64:F64"/>
    <mergeCell ref="G64:H64"/>
    <mergeCell ref="I64:J64"/>
    <mergeCell ref="A65:B65"/>
    <mergeCell ref="E65:F65"/>
    <mergeCell ref="G65:H65"/>
    <mergeCell ref="I65:J65"/>
    <mergeCell ref="M65:N65"/>
    <mergeCell ref="A61:B61"/>
    <mergeCell ref="E61:F61"/>
    <mergeCell ref="G61:H61"/>
    <mergeCell ref="I61:J61"/>
    <mergeCell ref="A62:B62"/>
    <mergeCell ref="E62:F62"/>
    <mergeCell ref="G62:H62"/>
    <mergeCell ref="I62:J62"/>
    <mergeCell ref="A63:B63"/>
    <mergeCell ref="E63:F63"/>
    <mergeCell ref="G63:H63"/>
    <mergeCell ref="I63:J63"/>
    <mergeCell ref="A58:B58"/>
    <mergeCell ref="G58:H58"/>
    <mergeCell ref="I58:J58"/>
    <mergeCell ref="M58:N58"/>
    <mergeCell ref="A59:B59"/>
    <mergeCell ref="E59:F59"/>
    <mergeCell ref="G59:H59"/>
    <mergeCell ref="I59:J59"/>
    <mergeCell ref="E60:F60"/>
    <mergeCell ref="G60:H60"/>
    <mergeCell ref="I60:J60"/>
    <mergeCell ref="A55:B55"/>
    <mergeCell ref="E55:F55"/>
    <mergeCell ref="G55:H55"/>
    <mergeCell ref="I55:J55"/>
    <mergeCell ref="A56:B56"/>
    <mergeCell ref="E56:F56"/>
    <mergeCell ref="G56:H56"/>
    <mergeCell ref="I56:J56"/>
    <mergeCell ref="A57:B57"/>
    <mergeCell ref="E57:F57"/>
    <mergeCell ref="G57:H57"/>
    <mergeCell ref="I57:J57"/>
    <mergeCell ref="A52:B52"/>
    <mergeCell ref="E52:F52"/>
    <mergeCell ref="G52:H52"/>
    <mergeCell ref="I52:J52"/>
    <mergeCell ref="A53:B53"/>
    <mergeCell ref="E53:F53"/>
    <mergeCell ref="G53:H53"/>
    <mergeCell ref="I53:J53"/>
    <mergeCell ref="A54:B54"/>
    <mergeCell ref="E54:F54"/>
    <mergeCell ref="G54:H54"/>
    <mergeCell ref="I54:J54"/>
    <mergeCell ref="A49:B49"/>
    <mergeCell ref="E49:F49"/>
    <mergeCell ref="G49:H49"/>
    <mergeCell ref="I49:J49"/>
    <mergeCell ref="A50:B50"/>
    <mergeCell ref="E50:F50"/>
    <mergeCell ref="G50:H50"/>
    <mergeCell ref="I50:J50"/>
    <mergeCell ref="A51:B51"/>
    <mergeCell ref="E51:F51"/>
    <mergeCell ref="G51:H51"/>
    <mergeCell ref="I51:J51"/>
    <mergeCell ref="A46:B46"/>
    <mergeCell ref="C46:D46"/>
    <mergeCell ref="E46:F46"/>
    <mergeCell ref="G46:H46"/>
    <mergeCell ref="I46:J46"/>
    <mergeCell ref="A48:B48"/>
    <mergeCell ref="C48:D48"/>
    <mergeCell ref="E48:F48"/>
    <mergeCell ref="G48:H48"/>
    <mergeCell ref="I48:J48"/>
    <mergeCell ref="A43:B43"/>
    <mergeCell ref="G43:H43"/>
    <mergeCell ref="I43:J43"/>
    <mergeCell ref="A44:B44"/>
    <mergeCell ref="E44:F44"/>
    <mergeCell ref="G44:H44"/>
    <mergeCell ref="I44:J44"/>
    <mergeCell ref="L44:M44"/>
    <mergeCell ref="A45:B45"/>
    <mergeCell ref="E45:F45"/>
    <mergeCell ref="G45:H45"/>
    <mergeCell ref="I45:J45"/>
    <mergeCell ref="A40:B40"/>
    <mergeCell ref="E40:F40"/>
    <mergeCell ref="G40:H40"/>
    <mergeCell ref="I40:J40"/>
    <mergeCell ref="A41:B41"/>
    <mergeCell ref="E41:F41"/>
    <mergeCell ref="G41:H41"/>
    <mergeCell ref="I41:J41"/>
    <mergeCell ref="A42:B42"/>
    <mergeCell ref="E42:F42"/>
    <mergeCell ref="G42:H42"/>
    <mergeCell ref="I42:J42"/>
    <mergeCell ref="A37:B37"/>
    <mergeCell ref="E37:F37"/>
    <mergeCell ref="G37:H37"/>
    <mergeCell ref="I37:J37"/>
    <mergeCell ref="A38:B38"/>
    <mergeCell ref="E38:F38"/>
    <mergeCell ref="G38:H38"/>
    <mergeCell ref="I38:J38"/>
    <mergeCell ref="A39:B39"/>
    <mergeCell ref="C39:J39"/>
    <mergeCell ref="A34:B34"/>
    <mergeCell ref="E34:F34"/>
    <mergeCell ref="G34:H34"/>
    <mergeCell ref="I34:J34"/>
    <mergeCell ref="A35:B35"/>
    <mergeCell ref="E35:F35"/>
    <mergeCell ref="G35:H35"/>
    <mergeCell ref="I35:J35"/>
    <mergeCell ref="A36:B36"/>
    <mergeCell ref="E36:F36"/>
    <mergeCell ref="G36:H36"/>
    <mergeCell ref="I36:J36"/>
    <mergeCell ref="A30:B30"/>
    <mergeCell ref="C30:D30"/>
    <mergeCell ref="E30:F30"/>
    <mergeCell ref="G30:H30"/>
    <mergeCell ref="I30:J30"/>
    <mergeCell ref="A33:B33"/>
    <mergeCell ref="C33:D33"/>
    <mergeCell ref="E33:F33"/>
    <mergeCell ref="G33:H33"/>
    <mergeCell ref="I33:J33"/>
    <mergeCell ref="A27:B27"/>
    <mergeCell ref="C27:D27"/>
    <mergeCell ref="I27:J27"/>
    <mergeCell ref="A28:B28"/>
    <mergeCell ref="C28:D28"/>
    <mergeCell ref="I28:J28"/>
    <mergeCell ref="A29:B29"/>
    <mergeCell ref="C29:D29"/>
    <mergeCell ref="I29:J29"/>
    <mergeCell ref="A24:B24"/>
    <mergeCell ref="C24:D24"/>
    <mergeCell ref="I24:J24"/>
    <mergeCell ref="A25:B25"/>
    <mergeCell ref="C25:D25"/>
    <mergeCell ref="I25:J25"/>
    <mergeCell ref="A26:B26"/>
    <mergeCell ref="C26:D26"/>
    <mergeCell ref="I26:J26"/>
    <mergeCell ref="A21:B21"/>
    <mergeCell ref="C21:D21"/>
    <mergeCell ref="I21:J21"/>
    <mergeCell ref="A22:B22"/>
    <mergeCell ref="C22:D22"/>
    <mergeCell ref="I22:J22"/>
    <mergeCell ref="A23:B23"/>
    <mergeCell ref="C23:D23"/>
    <mergeCell ref="I23:J23"/>
    <mergeCell ref="C3:E3"/>
    <mergeCell ref="F3:G3"/>
    <mergeCell ref="F4:G4"/>
    <mergeCell ref="C13:E13"/>
    <mergeCell ref="F13:H13"/>
    <mergeCell ref="A20:B20"/>
    <mergeCell ref="C20:D20"/>
    <mergeCell ref="E20:F20"/>
    <mergeCell ref="I20:J20"/>
  </mergeCells>
  <pageMargins left="0.27500000000000002" right="0.118055555555556" top="0.26" bottom="7.7777777777777807E-2" header="0.26" footer="0.196527777777778"/>
  <pageSetup paperSize="9" scale="80" orientation="portrait" r:id="rId1"/>
  <headerFooter alignWithMargins="0">
    <oddFooter>Page &amp;P of &amp;N</oddFooter>
  </headerFooter>
  <rowBreaks count="3" manualBreakCount="3">
    <brk id="46" max="10" man="1"/>
    <brk id="105" max="10" man="1"/>
    <brk id="155" max="10" man="1"/>
  </rowBreaks>
  <ignoredErrors>
    <ignoredError sqref="D54 C62 E158:H162 E164:H168 F163:H163" formula="1"/>
  </ignoredError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78"/>
  <sheetViews>
    <sheetView view="pageBreakPreview" topLeftCell="A52" zoomScale="85" zoomScaleSheetLayoutView="85" workbookViewId="0">
      <selection activeCell="D74" sqref="D74"/>
    </sheetView>
  </sheetViews>
  <sheetFormatPr defaultColWidth="9.1328125" defaultRowHeight="14.25"/>
  <cols>
    <col min="1" max="1" width="5.86328125" style="22" customWidth="1"/>
    <col min="2" max="2" width="25" style="22" customWidth="1"/>
    <col min="3" max="3" width="24.53125" style="22" customWidth="1"/>
    <col min="4" max="4" width="23.86328125" style="22" customWidth="1"/>
    <col min="5" max="5" width="9.6640625" style="22" customWidth="1"/>
    <col min="6" max="6" width="12.33203125" style="22" bestFit="1" customWidth="1"/>
    <col min="7" max="7" width="9.6640625" style="22" bestFit="1" customWidth="1"/>
    <col min="8" max="16384" width="9.1328125" style="22"/>
  </cols>
  <sheetData>
    <row r="1" spans="1:10" ht="18" customHeight="1">
      <c r="A1" s="2067" t="s">
        <v>2759</v>
      </c>
      <c r="B1" s="193"/>
      <c r="C1" s="51"/>
      <c r="D1" s="88"/>
      <c r="E1" s="88"/>
      <c r="F1" s="2068"/>
      <c r="G1" s="2069"/>
      <c r="H1" s="2069"/>
      <c r="I1" s="2069"/>
      <c r="J1" s="17"/>
    </row>
    <row r="2" spans="1:10" ht="18" customHeight="1">
      <c r="A2" s="20"/>
      <c r="B2" s="20"/>
      <c r="C2" s="20"/>
      <c r="D2" s="20"/>
      <c r="E2" s="20"/>
      <c r="F2" s="2069"/>
      <c r="G2" s="2069"/>
      <c r="H2" s="2069"/>
      <c r="I2" s="2069"/>
      <c r="J2" s="17"/>
    </row>
    <row r="3" spans="1:10" ht="23.25" customHeight="1">
      <c r="B3" s="20"/>
      <c r="C3" s="2070" t="s">
        <v>2620</v>
      </c>
      <c r="D3" s="20"/>
      <c r="E3" s="20"/>
      <c r="F3" s="2069"/>
      <c r="G3" s="2069"/>
      <c r="H3" s="2069"/>
      <c r="I3" s="2069"/>
      <c r="J3" s="17"/>
    </row>
    <row r="4" spans="1:10" ht="18" customHeight="1">
      <c r="A4" s="2071" t="s">
        <v>1808</v>
      </c>
      <c r="B4" s="184"/>
      <c r="C4" s="37" t="s">
        <v>1809</v>
      </c>
      <c r="D4" s="2072"/>
      <c r="E4" s="402"/>
      <c r="F4" s="2069"/>
      <c r="G4" s="2069"/>
      <c r="H4" s="2069"/>
      <c r="I4" s="2069"/>
      <c r="J4" s="17"/>
    </row>
    <row r="5" spans="1:10" ht="18" customHeight="1">
      <c r="A5" s="2073"/>
      <c r="B5" s="2069"/>
      <c r="C5" s="2069"/>
      <c r="D5" s="2069"/>
      <c r="E5" s="2074"/>
      <c r="F5" s="2069"/>
      <c r="G5" s="2069">
        <f>D6+D7</f>
        <v>15610</v>
      </c>
      <c r="H5" s="2069"/>
      <c r="I5" s="2069"/>
      <c r="J5" s="17"/>
    </row>
    <row r="6" spans="1:10" ht="18" customHeight="1">
      <c r="A6" s="2073"/>
      <c r="B6" s="2069"/>
      <c r="C6" s="2069" t="s">
        <v>2630</v>
      </c>
      <c r="D6" s="2069">
        <f>input!G31*10</f>
        <v>610</v>
      </c>
      <c r="E6" s="405" t="s">
        <v>466</v>
      </c>
      <c r="F6" s="2069"/>
      <c r="G6" s="2069">
        <v>0.82499999999999996</v>
      </c>
      <c r="H6" s="2069"/>
      <c r="I6" s="2069"/>
      <c r="J6" s="17"/>
    </row>
    <row r="7" spans="1:10" ht="18" customHeight="1">
      <c r="A7" s="2075"/>
      <c r="B7" s="20"/>
      <c r="C7" s="20" t="s">
        <v>1810</v>
      </c>
      <c r="D7" s="2069">
        <f>input!H10*10</f>
        <v>15000</v>
      </c>
      <c r="E7" s="405" t="s">
        <v>466</v>
      </c>
      <c r="F7" s="2069"/>
      <c r="G7" s="2069">
        <v>32.299999999999997</v>
      </c>
      <c r="H7" s="2069"/>
      <c r="I7" s="2069"/>
      <c r="J7" s="17"/>
    </row>
    <row r="8" spans="1:10" ht="18" customHeight="1">
      <c r="A8" s="2075"/>
      <c r="B8" s="20"/>
      <c r="C8" s="20" t="s">
        <v>2631</v>
      </c>
      <c r="D8" s="2069">
        <f>input!G33*10</f>
        <v>990</v>
      </c>
      <c r="E8" s="405" t="s">
        <v>466</v>
      </c>
      <c r="F8" s="2069"/>
      <c r="G8" s="2069">
        <v>2.5299999999999998</v>
      </c>
      <c r="H8" s="2069"/>
      <c r="I8" s="2069"/>
      <c r="J8" s="17"/>
    </row>
    <row r="9" spans="1:10" ht="18" customHeight="1">
      <c r="A9" s="2075"/>
      <c r="B9" s="20"/>
      <c r="C9" s="2076"/>
      <c r="D9" s="2069"/>
      <c r="E9" s="2074"/>
      <c r="F9" s="2069"/>
      <c r="G9" s="2069">
        <f>(G6*G7)+(G6*G8)+(G7*G8)</f>
        <v>110.45374999999999</v>
      </c>
      <c r="H9" s="2069"/>
      <c r="I9" s="2069"/>
      <c r="J9" s="17"/>
    </row>
    <row r="10" spans="1:10" ht="18" customHeight="1">
      <c r="A10" s="1794"/>
      <c r="B10" s="459"/>
      <c r="C10" s="2077" t="s">
        <v>1811</v>
      </c>
      <c r="D10" s="2078">
        <f>((4*D6*D7)+(4*D7*D8)+(4*D6*D8))/10^6</f>
        <v>98.415599999999998</v>
      </c>
      <c r="E10" s="2079" t="s">
        <v>1812</v>
      </c>
      <c r="F10" s="2069"/>
      <c r="G10" s="2069"/>
      <c r="H10" s="2069"/>
      <c r="I10" s="2069"/>
      <c r="J10" s="17"/>
    </row>
    <row r="11" spans="1:10" ht="18" customHeight="1">
      <c r="A11" s="1792"/>
      <c r="B11" s="37"/>
      <c r="C11" s="37"/>
      <c r="D11" s="37"/>
      <c r="E11" s="402"/>
      <c r="F11" s="2069"/>
      <c r="G11" s="2069"/>
      <c r="H11" s="2069"/>
      <c r="I11" s="2069"/>
      <c r="J11" s="17"/>
    </row>
    <row r="12" spans="1:10" ht="18" customHeight="1">
      <c r="A12" s="1206" t="s">
        <v>1813</v>
      </c>
      <c r="B12" s="182"/>
      <c r="C12" s="20" t="s">
        <v>1814</v>
      </c>
      <c r="D12" s="2069"/>
      <c r="E12" s="405"/>
      <c r="F12" s="2069"/>
      <c r="G12" s="2069"/>
      <c r="H12" s="2069"/>
      <c r="I12" s="2069"/>
      <c r="J12" s="17"/>
    </row>
    <row r="13" spans="1:10" ht="18" customHeight="1">
      <c r="A13" s="2075"/>
      <c r="B13" s="20"/>
      <c r="C13" s="20"/>
      <c r="D13" s="2069"/>
      <c r="E13" s="405"/>
      <c r="F13" s="2069"/>
      <c r="G13" s="2069"/>
      <c r="H13" s="2069"/>
      <c r="I13" s="2069"/>
      <c r="J13" s="17"/>
    </row>
    <row r="14" spans="1:10" ht="18" customHeight="1">
      <c r="A14" s="2075"/>
      <c r="B14" s="20"/>
      <c r="C14" s="20" t="s">
        <v>1815</v>
      </c>
      <c r="D14" s="2080">
        <f>Tech!C60</f>
        <v>1770</v>
      </c>
      <c r="E14" s="405" t="s">
        <v>466</v>
      </c>
      <c r="F14" s="2069"/>
      <c r="G14" s="2069"/>
      <c r="H14" s="2069"/>
      <c r="I14" s="2069"/>
      <c r="J14" s="17"/>
    </row>
    <row r="15" spans="1:10" ht="18" customHeight="1">
      <c r="A15" s="2075"/>
      <c r="B15" s="20"/>
      <c r="C15" s="20"/>
      <c r="D15" s="2069"/>
      <c r="E15" s="2074"/>
      <c r="F15" s="2069"/>
      <c r="G15" s="2069"/>
      <c r="H15" s="2069"/>
      <c r="I15" s="2069"/>
      <c r="J15" s="17"/>
    </row>
    <row r="16" spans="1:10" ht="18" customHeight="1">
      <c r="A16" s="1794"/>
      <c r="B16" s="459"/>
      <c r="C16" s="2081" t="s">
        <v>1816</v>
      </c>
      <c r="D16" s="2078">
        <f>(D14+1000)^2*2/10^6</f>
        <v>15.345800000000001</v>
      </c>
      <c r="E16" s="2079" t="s">
        <v>1812</v>
      </c>
      <c r="F16" s="2069"/>
      <c r="G16" s="2069"/>
      <c r="H16" s="2069"/>
      <c r="I16" s="2069"/>
      <c r="J16" s="17"/>
    </row>
    <row r="17" spans="1:13" ht="18" customHeight="1">
      <c r="A17" s="1792"/>
      <c r="B17" s="37"/>
      <c r="C17" s="37"/>
      <c r="D17" s="37"/>
      <c r="E17" s="402"/>
      <c r="F17" s="2069"/>
      <c r="G17" s="2069"/>
      <c r="H17" s="2069"/>
      <c r="I17" s="2069"/>
      <c r="J17" s="17"/>
    </row>
    <row r="18" spans="1:13" ht="18" customHeight="1">
      <c r="A18" s="1206" t="s">
        <v>1817</v>
      </c>
      <c r="B18" s="20"/>
      <c r="C18" s="20" t="s">
        <v>2758</v>
      </c>
      <c r="D18" s="2069"/>
      <c r="E18" s="405"/>
      <c r="F18" s="2069"/>
      <c r="G18" s="2069"/>
      <c r="H18" s="2069"/>
      <c r="I18" s="2069"/>
      <c r="J18" s="17"/>
    </row>
    <row r="19" spans="1:13" ht="18" customHeight="1">
      <c r="A19" s="2075"/>
      <c r="B19" s="20"/>
      <c r="C19" s="20"/>
      <c r="D19" s="2069"/>
      <c r="E19" s="405"/>
      <c r="F19" s="2069"/>
      <c r="G19" s="2069"/>
      <c r="H19" s="2069"/>
      <c r="I19" s="2069"/>
      <c r="J19" s="17"/>
    </row>
    <row r="20" spans="1:13" ht="18" customHeight="1">
      <c r="A20" s="2075"/>
      <c r="B20" s="20"/>
      <c r="C20" s="20" t="s">
        <v>1818</v>
      </c>
      <c r="D20" s="2065">
        <v>1000</v>
      </c>
      <c r="E20" s="405" t="s">
        <v>466</v>
      </c>
      <c r="F20" s="2069"/>
      <c r="G20" s="2069"/>
      <c r="H20" s="2069"/>
      <c r="I20" s="2069"/>
      <c r="J20" s="17"/>
    </row>
    <row r="21" spans="1:13" ht="18" customHeight="1">
      <c r="A21" s="2075"/>
      <c r="B21" s="20"/>
      <c r="C21" s="20" t="s">
        <v>1819</v>
      </c>
      <c r="D21" s="2069">
        <f>D7</f>
        <v>15000</v>
      </c>
      <c r="E21" s="405" t="s">
        <v>466</v>
      </c>
      <c r="F21" s="2069"/>
      <c r="G21" s="2069"/>
      <c r="H21" s="2069"/>
      <c r="I21" s="2069"/>
      <c r="J21" s="17"/>
    </row>
    <row r="22" spans="1:13" ht="18" customHeight="1">
      <c r="A22" s="2075"/>
      <c r="B22" s="20"/>
      <c r="C22" s="20"/>
      <c r="D22" s="2069"/>
      <c r="E22" s="405"/>
      <c r="F22" s="2069"/>
      <c r="G22" s="2069"/>
      <c r="H22" s="2069"/>
      <c r="I22" s="2069"/>
      <c r="J22" s="17"/>
      <c r="L22" s="22">
        <v>160</v>
      </c>
      <c r="M22" s="22">
        <v>95</v>
      </c>
    </row>
    <row r="23" spans="1:13" ht="18" customHeight="1">
      <c r="A23" s="1794"/>
      <c r="B23" s="459"/>
      <c r="C23" s="2081" t="s">
        <v>1820</v>
      </c>
      <c r="D23" s="2082">
        <f>((D20*(D21))/10^6)*3</f>
        <v>45</v>
      </c>
      <c r="E23" s="2083" t="s">
        <v>1812</v>
      </c>
      <c r="F23" s="2069"/>
      <c r="G23" s="2069"/>
      <c r="H23" s="2069"/>
      <c r="I23" s="2069"/>
      <c r="J23" s="17"/>
      <c r="L23" s="22">
        <v>200</v>
      </c>
      <c r="M23" s="22">
        <v>120</v>
      </c>
    </row>
    <row r="24" spans="1:13" ht="18" customHeight="1">
      <c r="A24" s="1792"/>
      <c r="B24" s="37"/>
      <c r="C24" s="37"/>
      <c r="D24" s="37"/>
      <c r="E24" s="402"/>
      <c r="F24" s="2069"/>
      <c r="G24" s="2069"/>
      <c r="H24" s="2069"/>
      <c r="I24" s="2069"/>
      <c r="J24" s="17"/>
      <c r="L24" s="22">
        <v>250</v>
      </c>
      <c r="M24" s="22">
        <v>120</v>
      </c>
    </row>
    <row r="25" spans="1:13" ht="18" customHeight="1">
      <c r="A25" s="1206" t="s">
        <v>1821</v>
      </c>
      <c r="B25" s="2069"/>
      <c r="C25" s="20" t="s">
        <v>1822</v>
      </c>
      <c r="D25" s="2069"/>
      <c r="E25" s="2074" t="s">
        <v>466</v>
      </c>
      <c r="F25" s="2069"/>
      <c r="G25" s="2069"/>
      <c r="H25" s="2069"/>
      <c r="I25" s="2069"/>
      <c r="J25" s="17"/>
      <c r="L25" s="22">
        <v>320</v>
      </c>
      <c r="M25" s="22">
        <v>150</v>
      </c>
    </row>
    <row r="26" spans="1:13" ht="18" customHeight="1">
      <c r="A26" s="2084"/>
      <c r="B26" s="2085"/>
      <c r="C26" s="20"/>
      <c r="D26" s="2069"/>
      <c r="E26" s="2074"/>
      <c r="F26" s="2069"/>
      <c r="G26" s="2069"/>
      <c r="H26" s="2069"/>
      <c r="I26" s="2069"/>
      <c r="J26" s="17"/>
      <c r="L26" s="22">
        <v>400</v>
      </c>
      <c r="M26" s="22">
        <v>170</v>
      </c>
    </row>
    <row r="27" spans="1:13" ht="18" customHeight="1">
      <c r="A27" s="2075"/>
      <c r="B27" s="20"/>
      <c r="C27" s="20" t="s">
        <v>1823</v>
      </c>
      <c r="D27" s="2069">
        <f>D7</f>
        <v>15000</v>
      </c>
      <c r="E27" s="2074" t="s">
        <v>466</v>
      </c>
      <c r="F27" s="2069"/>
      <c r="G27" s="2069"/>
      <c r="H27" s="2069"/>
      <c r="I27" s="2069"/>
      <c r="J27" s="17"/>
      <c r="L27" s="22">
        <v>500</v>
      </c>
      <c r="M27" s="22">
        <v>200</v>
      </c>
    </row>
    <row r="28" spans="1:13" ht="18" customHeight="1">
      <c r="A28" s="2075"/>
      <c r="B28" s="20"/>
      <c r="C28" s="20" t="s">
        <v>1824</v>
      </c>
      <c r="D28" s="2069">
        <f>Tech!H52</f>
        <v>250</v>
      </c>
      <c r="E28" s="2074" t="s">
        <v>466</v>
      </c>
      <c r="F28" s="2069"/>
      <c r="G28" s="2069"/>
      <c r="H28" s="2069"/>
      <c r="I28" s="2069"/>
      <c r="J28" s="17"/>
      <c r="L28" s="22">
        <v>630</v>
      </c>
      <c r="M28" s="22">
        <v>200</v>
      </c>
    </row>
    <row r="29" spans="1:13" ht="18" customHeight="1">
      <c r="A29" s="2075"/>
      <c r="B29" s="20"/>
      <c r="C29" s="20" t="s">
        <v>1825</v>
      </c>
      <c r="D29" s="2086">
        <f>M34</f>
        <v>120</v>
      </c>
      <c r="E29" s="2074" t="s">
        <v>466</v>
      </c>
      <c r="F29" s="2069"/>
      <c r="G29" s="2069"/>
      <c r="H29" s="2069"/>
      <c r="I29" s="2069"/>
      <c r="J29" s="17"/>
      <c r="L29" s="22">
        <v>710</v>
      </c>
      <c r="M29" s="22">
        <v>200</v>
      </c>
    </row>
    <row r="30" spans="1:13" ht="18" customHeight="1">
      <c r="A30" s="2075"/>
      <c r="B30" s="20"/>
      <c r="C30" s="20" t="s">
        <v>1826</v>
      </c>
      <c r="D30" s="2069">
        <f>D29*2.5</f>
        <v>300</v>
      </c>
      <c r="E30" s="2074" t="s">
        <v>466</v>
      </c>
      <c r="F30" s="2069"/>
      <c r="G30" s="2069"/>
      <c r="H30" s="2069"/>
      <c r="I30" s="2069"/>
      <c r="J30" s="17"/>
      <c r="L30" s="22">
        <v>800</v>
      </c>
      <c r="M30" s="22">
        <v>200</v>
      </c>
    </row>
    <row r="31" spans="1:13" ht="18" customHeight="1">
      <c r="A31" s="2075"/>
      <c r="B31" s="20"/>
      <c r="C31" s="20" t="s">
        <v>1827</v>
      </c>
      <c r="D31" s="20">
        <f>D28+300</f>
        <v>550</v>
      </c>
      <c r="E31" s="2074" t="s">
        <v>466</v>
      </c>
      <c r="F31" s="2069"/>
      <c r="G31" s="2069"/>
      <c r="H31" s="2069"/>
      <c r="I31" s="2069"/>
      <c r="J31" s="17"/>
      <c r="L31" s="22">
        <v>900</v>
      </c>
      <c r="M31" s="22">
        <v>200</v>
      </c>
    </row>
    <row r="32" spans="1:13" ht="18" customHeight="1">
      <c r="A32" s="2075"/>
      <c r="B32" s="20"/>
      <c r="C32" s="20"/>
      <c r="D32" s="20"/>
      <c r="E32" s="405"/>
      <c r="F32" s="2069"/>
      <c r="G32" s="2069"/>
      <c r="H32" s="2069"/>
      <c r="I32" s="2069"/>
      <c r="J32" s="17"/>
      <c r="L32" s="22">
        <v>1000</v>
      </c>
      <c r="M32" s="22">
        <v>200</v>
      </c>
    </row>
    <row r="33" spans="1:14" ht="18" customHeight="1">
      <c r="A33" s="1794"/>
      <c r="B33" s="459"/>
      <c r="C33" s="2081" t="s">
        <v>1828</v>
      </c>
      <c r="D33" s="2082">
        <f>((D30*D27/5*2)*2+(D31*D27/5*2)*2)/10^6</f>
        <v>10.199999999999999</v>
      </c>
      <c r="E33" s="2083" t="s">
        <v>1812</v>
      </c>
      <c r="F33" s="2069"/>
      <c r="G33" s="2069"/>
      <c r="H33" s="2069"/>
      <c r="I33" s="2069"/>
      <c r="J33" s="17"/>
      <c r="L33" s="22">
        <v>1250</v>
      </c>
      <c r="M33" s="22">
        <v>200</v>
      </c>
    </row>
    <row r="34" spans="1:14" ht="18" customHeight="1">
      <c r="A34" s="1792"/>
      <c r="B34" s="37"/>
      <c r="C34" s="184"/>
      <c r="D34" s="2087"/>
      <c r="E34" s="2088"/>
      <c r="I34" s="2069"/>
      <c r="J34" s="17"/>
      <c r="L34" s="2089">
        <f>D28</f>
        <v>250</v>
      </c>
      <c r="M34" s="2089">
        <f>VLOOKUP(L34,L22:M33,2,0)</f>
        <v>120</v>
      </c>
    </row>
    <row r="35" spans="1:14" ht="18" customHeight="1">
      <c r="A35" s="1206" t="s">
        <v>1829</v>
      </c>
      <c r="B35" s="2090"/>
      <c r="C35" s="2090"/>
      <c r="E35" s="437"/>
      <c r="F35" s="20" t="str">
        <f>'E Data'!D10</f>
        <v xml:space="preserve">D/G EOT CRANE  </v>
      </c>
      <c r="I35" s="2069"/>
      <c r="J35" s="17"/>
      <c r="K35" s="20"/>
      <c r="N35" s="20"/>
    </row>
    <row r="36" spans="1:14" ht="18" customHeight="1">
      <c r="A36" s="2091"/>
      <c r="B36" s="2090"/>
      <c r="C36" s="2090"/>
      <c r="D36" s="2069"/>
      <c r="E36" s="2074"/>
      <c r="F36" s="20" t="str">
        <f>'E Data'!D29</f>
        <v>Indoor</v>
      </c>
      <c r="G36" s="462" t="s">
        <v>2611</v>
      </c>
      <c r="I36" s="2069"/>
      <c r="J36" s="17"/>
      <c r="K36" s="20"/>
      <c r="N36" s="20"/>
    </row>
    <row r="37" spans="1:14" ht="18" customHeight="1">
      <c r="A37" s="1794"/>
      <c r="B37" s="459"/>
      <c r="C37" s="459"/>
      <c r="D37" s="2092">
        <f>((0.4*4)*4)*'E Data'!E19*F37</f>
        <v>0</v>
      </c>
      <c r="E37" s="2083" t="s">
        <v>1812</v>
      </c>
      <c r="F37" s="2093">
        <f>LT_HP!J10</f>
        <v>0</v>
      </c>
      <c r="G37" s="19" t="str">
        <f>LT_HP!I10</f>
        <v>No</v>
      </c>
      <c r="I37" s="2069"/>
      <c r="J37" s="17"/>
      <c r="K37" s="20"/>
      <c r="N37" s="20"/>
    </row>
    <row r="38" spans="1:14" ht="18" customHeight="1">
      <c r="A38" s="20"/>
      <c r="B38" s="20"/>
      <c r="C38" s="20"/>
      <c r="D38" s="20"/>
      <c r="E38" s="20"/>
      <c r="G38" s="20"/>
      <c r="I38" s="2069"/>
      <c r="J38" s="17"/>
      <c r="K38" s="20"/>
      <c r="N38" s="20"/>
    </row>
    <row r="39" spans="1:14" ht="18" customHeight="1">
      <c r="C39" s="22" t="s">
        <v>2632</v>
      </c>
      <c r="D39" s="2094">
        <f>(D10+D16+D23+D33+D37)</f>
        <v>168.96139999999997</v>
      </c>
      <c r="F39" s="20"/>
      <c r="G39" s="20"/>
      <c r="I39" s="2069"/>
      <c r="J39" s="17"/>
      <c r="K39" s="20"/>
      <c r="N39" s="20"/>
    </row>
    <row r="40" spans="1:14" ht="18" customHeight="1">
      <c r="B40" s="182"/>
      <c r="C40" s="189" t="s">
        <v>2625</v>
      </c>
      <c r="D40" s="2095">
        <f>ROUNDUP(D39*1.5,-2)</f>
        <v>300</v>
      </c>
      <c r="E40" s="182" t="s">
        <v>1812</v>
      </c>
      <c r="F40" s="20"/>
      <c r="G40" s="20"/>
      <c r="I40" s="2069"/>
      <c r="J40" s="17"/>
      <c r="K40" s="20"/>
      <c r="N40" s="20"/>
    </row>
    <row r="41" spans="1:14" ht="18" customHeight="1">
      <c r="F41" s="20"/>
      <c r="G41" s="20"/>
      <c r="I41" s="2069"/>
      <c r="J41" s="17"/>
      <c r="K41" s="20"/>
      <c r="N41" s="20"/>
    </row>
    <row r="42" spans="1:14" ht="19.5" customHeight="1">
      <c r="A42" s="20"/>
      <c r="B42" s="20"/>
      <c r="C42" s="2070" t="s">
        <v>2621</v>
      </c>
      <c r="D42" s="20"/>
      <c r="E42" s="20"/>
      <c r="F42" s="2096">
        <f>D40*10.75</f>
        <v>3225</v>
      </c>
      <c r="I42" s="2069"/>
      <c r="J42" s="17"/>
      <c r="K42" s="20"/>
      <c r="N42" s="20"/>
    </row>
    <row r="43" spans="1:14" ht="18" customHeight="1">
      <c r="A43" s="1792"/>
      <c r="B43" s="37"/>
      <c r="C43" s="37"/>
      <c r="D43" s="37"/>
      <c r="E43" s="402"/>
      <c r="F43" s="2096">
        <f>F42/6</f>
        <v>537.5</v>
      </c>
      <c r="G43" s="59" t="s">
        <v>2590</v>
      </c>
      <c r="I43" s="2069"/>
      <c r="J43" s="17"/>
      <c r="K43" s="20"/>
      <c r="N43" s="20"/>
    </row>
    <row r="44" spans="1:14" ht="18" customHeight="1">
      <c r="A44" s="153"/>
      <c r="B44" s="20" t="s">
        <v>2760</v>
      </c>
      <c r="D44" s="20"/>
      <c r="E44" s="405"/>
      <c r="F44" s="2096">
        <f>F43/2</f>
        <v>268.75</v>
      </c>
      <c r="G44" s="2097">
        <f>D40*10.75/6/2</f>
        <v>268.75</v>
      </c>
      <c r="I44" s="2069"/>
      <c r="J44" s="17"/>
      <c r="K44" s="20"/>
      <c r="N44" s="20"/>
    </row>
    <row r="45" spans="1:14" ht="18" customHeight="1">
      <c r="A45" s="2075"/>
      <c r="B45" s="20"/>
      <c r="C45" s="20"/>
      <c r="D45" s="20"/>
      <c r="E45" s="405"/>
      <c r="F45" s="2096">
        <f>F44*D47*D46</f>
        <v>102125</v>
      </c>
      <c r="G45" s="2452">
        <f>8825*3*12</f>
        <v>317700</v>
      </c>
      <c r="I45" s="2069"/>
      <c r="J45" s="17"/>
      <c r="K45" s="20"/>
      <c r="N45" s="20"/>
    </row>
    <row r="46" spans="1:14" ht="18" customHeight="1">
      <c r="A46" s="153"/>
      <c r="B46" s="20" t="s">
        <v>2608</v>
      </c>
      <c r="D46" s="2098">
        <v>2</v>
      </c>
      <c r="E46" s="405" t="s">
        <v>1539</v>
      </c>
      <c r="F46" s="2096">
        <f>F44*D56*D55</f>
        <v>112875</v>
      </c>
      <c r="G46" s="577"/>
      <c r="I46" s="2069"/>
      <c r="J46" s="17"/>
      <c r="K46" s="20"/>
      <c r="N46" s="20"/>
    </row>
    <row r="47" spans="1:14" ht="18" customHeight="1">
      <c r="A47" s="153"/>
      <c r="B47" s="20" t="s">
        <v>2602</v>
      </c>
      <c r="D47" s="2099">
        <v>190</v>
      </c>
      <c r="E47" s="405" t="s">
        <v>1830</v>
      </c>
      <c r="F47" s="2096">
        <f>F46+F45</f>
        <v>215000</v>
      </c>
      <c r="G47" s="2096">
        <f>G44*D47*D46+G44*D56*D55</f>
        <v>215000</v>
      </c>
      <c r="I47" s="2069"/>
      <c r="J47" s="17"/>
      <c r="K47" s="20"/>
      <c r="N47" s="20"/>
    </row>
    <row r="48" spans="1:14" ht="18" customHeight="1">
      <c r="A48" s="153"/>
      <c r="B48" s="88" t="s">
        <v>2612</v>
      </c>
      <c r="D48" s="2100">
        <f>ROUNDUP((D40/30)*(80/60)*(10),-2)</f>
        <v>200</v>
      </c>
      <c r="E48" s="405" t="s">
        <v>2601</v>
      </c>
      <c r="F48" s="2096">
        <f>F47+D68</f>
        <v>225000</v>
      </c>
      <c r="G48" s="2096">
        <f>G47+D68</f>
        <v>225000</v>
      </c>
      <c r="I48" s="2069"/>
      <c r="J48" s="17"/>
      <c r="K48" s="20"/>
      <c r="N48" s="20"/>
    </row>
    <row r="49" spans="1:14" ht="18" customHeight="1">
      <c r="A49" s="153"/>
      <c r="E49" s="437"/>
      <c r="G49" s="20"/>
      <c r="J49" s="17"/>
      <c r="K49" s="20"/>
      <c r="N49" s="20"/>
    </row>
    <row r="50" spans="1:14" ht="18" customHeight="1">
      <c r="A50" s="153"/>
      <c r="C50" s="189" t="s">
        <v>2603</v>
      </c>
      <c r="D50" s="20" t="s">
        <v>2623</v>
      </c>
      <c r="E50" s="405" t="s">
        <v>2626</v>
      </c>
      <c r="G50" s="20"/>
      <c r="H50" s="2101"/>
      <c r="J50" s="17"/>
      <c r="K50" s="20"/>
      <c r="N50" s="20"/>
    </row>
    <row r="51" spans="1:14" ht="18" customHeight="1">
      <c r="A51" s="461"/>
      <c r="B51" s="456"/>
      <c r="C51" s="2102" t="s">
        <v>2606</v>
      </c>
      <c r="D51" s="2103">
        <f>ROUNDUP(D48*D47*(D46/2),-3)</f>
        <v>38000</v>
      </c>
      <c r="E51" s="460" t="s">
        <v>1830</v>
      </c>
      <c r="F51" s="2104" t="s">
        <v>2628</v>
      </c>
      <c r="G51" s="20"/>
      <c r="H51" s="2101"/>
      <c r="J51" s="17"/>
      <c r="K51" s="20"/>
      <c r="N51" s="20"/>
    </row>
    <row r="52" spans="1:14" ht="18" customHeight="1">
      <c r="A52" s="151"/>
      <c r="B52" s="399"/>
      <c r="C52" s="399"/>
      <c r="D52" s="37"/>
      <c r="E52" s="402"/>
      <c r="I52" s="2069"/>
      <c r="J52" s="17"/>
      <c r="K52" s="20"/>
      <c r="N52" s="20"/>
    </row>
    <row r="53" spans="1:14" ht="18" customHeight="1">
      <c r="A53" s="153"/>
      <c r="B53" s="20" t="s">
        <v>2761</v>
      </c>
      <c r="C53" s="26" t="s">
        <v>2614</v>
      </c>
      <c r="D53" s="2069"/>
      <c r="E53" s="2074"/>
      <c r="I53" s="2069"/>
      <c r="J53" s="17"/>
      <c r="K53" s="20"/>
      <c r="N53" s="20"/>
    </row>
    <row r="54" spans="1:14" ht="18" customHeight="1">
      <c r="A54" s="2075"/>
      <c r="C54" s="20"/>
      <c r="D54" s="2069"/>
      <c r="E54" s="2074"/>
      <c r="I54" s="2069"/>
      <c r="J54" s="17"/>
      <c r="K54" s="20"/>
      <c r="N54" s="20"/>
    </row>
    <row r="55" spans="1:14" ht="18" customHeight="1">
      <c r="A55" s="153"/>
      <c r="B55" s="20" t="s">
        <v>2607</v>
      </c>
      <c r="D55" s="2105">
        <v>2</v>
      </c>
      <c r="E55" s="2074" t="s">
        <v>1539</v>
      </c>
      <c r="F55" s="20"/>
      <c r="G55" s="20"/>
      <c r="I55" s="2069"/>
      <c r="J55" s="17"/>
      <c r="K55" s="20"/>
      <c r="N55" s="20"/>
    </row>
    <row r="56" spans="1:14" ht="18" customHeight="1">
      <c r="A56" s="153"/>
      <c r="B56" s="20" t="s">
        <v>2604</v>
      </c>
      <c r="D56" s="2099">
        <v>210</v>
      </c>
      <c r="E56" s="405" t="s">
        <v>2601</v>
      </c>
      <c r="F56" s="20"/>
      <c r="G56" s="20"/>
      <c r="I56" s="2069"/>
      <c r="J56" s="17"/>
      <c r="K56" s="20"/>
      <c r="N56" s="20"/>
    </row>
    <row r="57" spans="1:14" ht="18" customHeight="1">
      <c r="A57" s="153"/>
      <c r="B57" s="88" t="s">
        <v>2613</v>
      </c>
      <c r="C57" s="20"/>
      <c r="D57" s="2100">
        <f>ROUNDUP((D40/30)*(100/60)*(10),-2)</f>
        <v>200</v>
      </c>
      <c r="E57" s="405" t="s">
        <v>2601</v>
      </c>
      <c r="F57" s="20"/>
      <c r="G57" s="20"/>
      <c r="I57" s="2069"/>
      <c r="J57" s="17"/>
      <c r="K57" s="20"/>
      <c r="N57" s="20"/>
    </row>
    <row r="58" spans="1:14" ht="18" customHeight="1">
      <c r="A58" s="153"/>
      <c r="C58" s="67"/>
      <c r="E58" s="437"/>
      <c r="F58" s="20"/>
      <c r="G58" s="20"/>
      <c r="I58" s="2069"/>
      <c r="J58" s="17"/>
      <c r="K58" s="20"/>
      <c r="N58" s="20"/>
    </row>
    <row r="59" spans="1:14" ht="18" customHeight="1">
      <c r="A59" s="2075"/>
      <c r="C59" s="189" t="s">
        <v>2605</v>
      </c>
      <c r="D59" s="20" t="s">
        <v>2624</v>
      </c>
      <c r="E59" s="405" t="s">
        <v>2627</v>
      </c>
      <c r="G59" s="20"/>
      <c r="I59" s="2069"/>
      <c r="J59" s="17"/>
      <c r="K59" s="20"/>
      <c r="N59" s="20"/>
    </row>
    <row r="60" spans="1:14" ht="18" customHeight="1">
      <c r="A60" s="1794"/>
      <c r="B60" s="456"/>
      <c r="C60" s="2102" t="s">
        <v>2606</v>
      </c>
      <c r="D60" s="2103">
        <f>ROUNDUP(D57*D56*(D55/3),-3)</f>
        <v>28000</v>
      </c>
      <c r="E60" s="460" t="s">
        <v>1830</v>
      </c>
      <c r="F60" s="2104" t="s">
        <v>2628</v>
      </c>
      <c r="G60" s="20"/>
      <c r="I60" s="2069"/>
      <c r="J60" s="17"/>
      <c r="K60" s="20"/>
      <c r="N60" s="20"/>
    </row>
    <row r="61" spans="1:14" ht="18" customHeight="1">
      <c r="A61" s="1792"/>
      <c r="B61" s="399"/>
      <c r="C61" s="600"/>
      <c r="D61" s="37"/>
      <c r="E61" s="402"/>
      <c r="G61" s="20"/>
      <c r="I61" s="2069"/>
      <c r="J61" s="17"/>
      <c r="K61" s="20"/>
      <c r="N61" s="20"/>
    </row>
    <row r="62" spans="1:14" ht="18" customHeight="1">
      <c r="A62" s="153"/>
      <c r="B62" s="186" t="s">
        <v>2609</v>
      </c>
      <c r="C62" s="731" t="s">
        <v>2610</v>
      </c>
      <c r="E62" s="437"/>
      <c r="I62" s="2069"/>
      <c r="J62" s="17"/>
      <c r="K62" s="20"/>
      <c r="N62" s="20"/>
    </row>
    <row r="63" spans="1:14" ht="18" customHeight="1">
      <c r="A63" s="153"/>
      <c r="B63" s="186"/>
      <c r="C63" s="731"/>
      <c r="E63" s="437"/>
      <c r="I63" s="2069"/>
      <c r="J63" s="17"/>
      <c r="K63" s="20"/>
      <c r="N63" s="20"/>
    </row>
    <row r="64" spans="1:14" ht="18" customHeight="1">
      <c r="A64" s="153"/>
      <c r="B64" s="22" t="s">
        <v>2617</v>
      </c>
      <c r="D64" s="2106">
        <f>D55+D46</f>
        <v>4</v>
      </c>
      <c r="E64" s="437"/>
      <c r="I64" s="2069"/>
      <c r="J64" s="17"/>
      <c r="K64" s="20"/>
      <c r="N64" s="20"/>
    </row>
    <row r="65" spans="1:14" ht="18" customHeight="1">
      <c r="A65" s="153"/>
      <c r="B65" s="20" t="s">
        <v>2618</v>
      </c>
      <c r="D65" s="2107">
        <v>8</v>
      </c>
      <c r="E65" s="437"/>
      <c r="I65" s="2069"/>
      <c r="J65" s="17"/>
      <c r="K65" s="20"/>
      <c r="N65" s="20"/>
    </row>
    <row r="66" spans="1:14" ht="18" customHeight="1">
      <c r="A66" s="153"/>
      <c r="B66" s="20"/>
      <c r="D66" s="731"/>
      <c r="E66" s="437"/>
      <c r="I66" s="2069"/>
      <c r="J66" s="17"/>
      <c r="K66" s="20"/>
      <c r="N66" s="20"/>
    </row>
    <row r="67" spans="1:14" ht="18" customHeight="1">
      <c r="A67" s="153"/>
      <c r="B67" s="20"/>
      <c r="C67" s="1066" t="s">
        <v>2619</v>
      </c>
      <c r="D67" s="22" t="s">
        <v>2616</v>
      </c>
      <c r="E67" s="437"/>
      <c r="I67" s="2069"/>
      <c r="J67" s="17"/>
      <c r="K67" s="20"/>
      <c r="N67" s="20"/>
    </row>
    <row r="68" spans="1:14" ht="18" customHeight="1">
      <c r="A68" s="2108"/>
      <c r="B68" s="456"/>
      <c r="C68" s="2109"/>
      <c r="D68" s="2103">
        <f>ROUNDUP(D40*D65*D64,-3)</f>
        <v>10000</v>
      </c>
      <c r="E68" s="460" t="s">
        <v>1830</v>
      </c>
      <c r="I68" s="2069"/>
      <c r="J68" s="17"/>
      <c r="K68" s="20"/>
      <c r="N68" s="20"/>
    </row>
    <row r="69" spans="1:14" ht="18" customHeight="1">
      <c r="A69" s="20"/>
      <c r="E69" s="20"/>
      <c r="F69" s="22" t="b">
        <f>AND(F48=H74,H74=G48)</f>
        <v>1</v>
      </c>
      <c r="I69" s="17"/>
      <c r="J69" s="17"/>
      <c r="K69" s="20"/>
      <c r="N69" s="20"/>
    </row>
    <row r="70" spans="1:14">
      <c r="A70" s="20"/>
      <c r="B70" s="20"/>
      <c r="C70" s="20"/>
      <c r="D70" s="20"/>
      <c r="E70" s="20"/>
      <c r="F70" s="20"/>
      <c r="H70" s="20"/>
      <c r="I70" s="20"/>
      <c r="J70" s="20"/>
      <c r="K70" s="20"/>
      <c r="N70" s="20"/>
    </row>
    <row r="71" spans="1:14" ht="17.25" customHeight="1">
      <c r="A71" s="20"/>
      <c r="B71" s="20" t="s">
        <v>2762</v>
      </c>
      <c r="C71" s="731" t="s">
        <v>2615</v>
      </c>
      <c r="E71" s="20"/>
      <c r="F71" s="25"/>
      <c r="H71" s="20"/>
      <c r="I71" s="20"/>
      <c r="J71" s="20"/>
      <c r="K71" s="20"/>
      <c r="L71" s="20"/>
      <c r="M71" s="20"/>
      <c r="N71" s="20"/>
    </row>
    <row r="72" spans="1:14">
      <c r="B72" s="20"/>
      <c r="C72" s="20"/>
      <c r="D72" s="20"/>
      <c r="F72" s="20" t="s">
        <v>2556</v>
      </c>
      <c r="G72" s="20"/>
      <c r="H72" s="22" t="s">
        <v>2629</v>
      </c>
      <c r="I72" s="731"/>
    </row>
    <row r="73" spans="1:14">
      <c r="C73" s="182" t="s">
        <v>2600</v>
      </c>
      <c r="D73" s="2110">
        <f>ROUNDUP((D51+D60+D68),-2)</f>
        <v>76000</v>
      </c>
      <c r="E73" s="2111" t="s">
        <v>1830</v>
      </c>
      <c r="F73" s="22">
        <f>(D40*D46*180)+(D40*D55*200)+D68</f>
        <v>238000</v>
      </c>
      <c r="H73" s="2101">
        <f>D40*10.75/6/2</f>
        <v>268.75</v>
      </c>
    </row>
    <row r="74" spans="1:14">
      <c r="B74" s="20"/>
      <c r="D74" s="2066"/>
      <c r="F74" s="2112">
        <f>1-F78/F73</f>
        <v>0.68067226890756305</v>
      </c>
      <c r="H74" s="2101">
        <f>((H73*D47*D46)+(H73*D56*D55))+D68</f>
        <v>225000</v>
      </c>
    </row>
    <row r="75" spans="1:14">
      <c r="H75" s="2112">
        <f>1-F78/H74</f>
        <v>0.66222222222222227</v>
      </c>
    </row>
    <row r="77" spans="1:14">
      <c r="F77" s="22" t="s">
        <v>2622</v>
      </c>
    </row>
    <row r="78" spans="1:14">
      <c r="F78" s="2094">
        <f>D51+D60+D68</f>
        <v>76000</v>
      </c>
    </row>
  </sheetData>
  <pageMargins left="0.33" right="0.24" top="0.37" bottom="0.34" header="0.44" footer="0.21"/>
  <pageSetup paperSize="9" scale="102" orientation="portrait" r:id="rId1"/>
  <headerFooter alignWithMargins="0"/>
  <rowBreaks count="1" manualBreakCount="1">
    <brk id="41" max="4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I298"/>
  <sheetViews>
    <sheetView topLeftCell="A83" zoomScale="70" zoomScaleNormal="70" workbookViewId="0">
      <selection activeCell="U110" sqref="U110"/>
    </sheetView>
  </sheetViews>
  <sheetFormatPr defaultColWidth="8.86328125" defaultRowHeight="14.25"/>
  <cols>
    <col min="1" max="1" width="10.6640625" style="22" bestFit="1" customWidth="1"/>
    <col min="2" max="2" width="11.86328125" style="22" bestFit="1" customWidth="1"/>
    <col min="3" max="3" width="18" style="22" bestFit="1" customWidth="1"/>
    <col min="4" max="4" width="15.6640625" style="22" bestFit="1" customWidth="1"/>
    <col min="5" max="5" width="15.33203125" style="22" bestFit="1" customWidth="1"/>
    <col min="6" max="7" width="11.6640625" style="22" bestFit="1" customWidth="1"/>
    <col min="8" max="8" width="10" style="22" bestFit="1" customWidth="1"/>
    <col min="9" max="9" width="16.53125" style="22" bestFit="1" customWidth="1"/>
    <col min="10" max="10" width="10.33203125" style="22" bestFit="1" customWidth="1"/>
    <col min="11" max="11" width="8.1328125" style="22" bestFit="1" customWidth="1"/>
    <col min="12" max="12" width="7" style="22" bestFit="1" customWidth="1"/>
    <col min="13" max="13" width="16.53125" style="22" bestFit="1" customWidth="1"/>
    <col min="14" max="14" width="26.33203125" style="22" bestFit="1" customWidth="1"/>
    <col min="15" max="15" width="10.33203125" style="22" bestFit="1" customWidth="1"/>
    <col min="16" max="16" width="15.6640625" style="22" bestFit="1" customWidth="1"/>
    <col min="17" max="17" width="15.33203125" style="22" bestFit="1" customWidth="1"/>
    <col min="18" max="18" width="13.33203125" style="22" bestFit="1" customWidth="1"/>
    <col min="19" max="20" width="11.6640625" style="22" bestFit="1" customWidth="1"/>
    <col min="21" max="21" width="16.46484375" style="22" bestFit="1" customWidth="1"/>
    <col min="22" max="22" width="15.33203125" style="22" bestFit="1" customWidth="1"/>
    <col min="23" max="23" width="25.33203125" style="22" bestFit="1" customWidth="1"/>
    <col min="24" max="24" width="11.6640625" style="22" bestFit="1" customWidth="1"/>
    <col min="25" max="25" width="10" style="22" bestFit="1" customWidth="1"/>
    <col min="26" max="26" width="16.46484375" style="22" bestFit="1" customWidth="1"/>
    <col min="27" max="27" width="16.53125" style="22" bestFit="1" customWidth="1"/>
    <col min="28" max="28" width="6.6640625" style="22" bestFit="1" customWidth="1"/>
    <col min="29" max="29" width="9.86328125" style="22" bestFit="1" customWidth="1"/>
    <col min="30" max="30" width="15.53125" style="22" bestFit="1" customWidth="1"/>
    <col min="31" max="31" width="14.33203125" style="22" bestFit="1" customWidth="1"/>
    <col min="32" max="32" width="10" style="22" bestFit="1" customWidth="1"/>
    <col min="33" max="33" width="26.33203125" style="22" bestFit="1" customWidth="1"/>
    <col min="34" max="34" width="13.33203125" style="22" bestFit="1" customWidth="1"/>
    <col min="35" max="35" width="8.86328125" style="22" bestFit="1" customWidth="1"/>
    <col min="36" max="36" width="8.33203125" style="22" bestFit="1" customWidth="1"/>
    <col min="37" max="37" width="16.86328125" style="22" bestFit="1" customWidth="1"/>
    <col min="38" max="38" width="15.33203125" style="22" bestFit="1" customWidth="1"/>
    <col min="39" max="39" width="14.33203125" style="22" bestFit="1" customWidth="1"/>
    <col min="40" max="40" width="15.6640625" style="22" bestFit="1" customWidth="1"/>
    <col min="41" max="41" width="15.33203125" style="22" bestFit="1" customWidth="1"/>
    <col min="42" max="42" width="16.46484375" style="22" bestFit="1" customWidth="1"/>
    <col min="43" max="43" width="11.6640625" style="22" bestFit="1" customWidth="1"/>
    <col min="44" max="44" width="10" style="22" bestFit="1" customWidth="1"/>
    <col min="45" max="45" width="16.46484375" style="22" bestFit="1" customWidth="1"/>
    <col min="46" max="46" width="15.53125" style="22" bestFit="1" customWidth="1"/>
    <col min="47" max="47" width="21.33203125" style="22" bestFit="1" customWidth="1"/>
    <col min="48" max="48" width="5.1328125" style="22" bestFit="1" customWidth="1"/>
    <col min="49" max="49" width="9.33203125" style="22" bestFit="1" customWidth="1"/>
    <col min="50" max="50" width="13.33203125" style="22" bestFit="1" customWidth="1"/>
    <col min="51" max="51" width="10.53125" style="22" bestFit="1" customWidth="1"/>
    <col min="52" max="52" width="10.33203125" style="22" bestFit="1" customWidth="1"/>
    <col min="53" max="53" width="7.53125" style="22" bestFit="1" customWidth="1"/>
    <col min="54" max="54" width="8" style="22" bestFit="1" customWidth="1"/>
    <col min="55" max="55" width="21.6640625" style="22" bestFit="1" customWidth="1"/>
    <col min="56" max="56" width="16.53125" style="22" bestFit="1" customWidth="1"/>
    <col min="57" max="57" width="8.1328125" style="22" bestFit="1" customWidth="1"/>
    <col min="58" max="58" width="13.33203125" style="22" bestFit="1" customWidth="1"/>
    <col min="59" max="59" width="15.6640625" style="22" bestFit="1" customWidth="1"/>
    <col min="60" max="60" width="15.33203125" style="22" bestFit="1" customWidth="1"/>
    <col min="61" max="61" width="9.1328125" style="22" bestFit="1" customWidth="1"/>
    <col min="62" max="62" width="11.6640625" style="22" bestFit="1" customWidth="1"/>
    <col min="63" max="63" width="10" style="22" bestFit="1" customWidth="1"/>
    <col min="64" max="64" width="16.46484375" style="22" bestFit="1" customWidth="1"/>
    <col min="65" max="65" width="15.6640625" style="22" bestFit="1" customWidth="1"/>
    <col min="66" max="66" width="15.33203125" style="22" bestFit="1" customWidth="1"/>
    <col min="67" max="67" width="9.1328125" style="22" bestFit="1" customWidth="1"/>
    <col min="68" max="68" width="11.6640625" style="22" bestFit="1" customWidth="1"/>
    <col min="69" max="70" width="16.46484375" style="22" bestFit="1" customWidth="1"/>
    <col min="71" max="71" width="9.86328125" style="22" bestFit="1" customWidth="1"/>
    <col min="72" max="72" width="8.86328125" style="22"/>
    <col min="73" max="73" width="8.6640625" style="22" bestFit="1" customWidth="1"/>
    <col min="74" max="74" width="9.33203125" style="22" bestFit="1" customWidth="1"/>
    <col min="75" max="75" width="8" style="22" bestFit="1" customWidth="1"/>
    <col min="76" max="77" width="9.33203125" style="22" bestFit="1" customWidth="1"/>
    <col min="78" max="78" width="10.33203125" style="22" bestFit="1" customWidth="1"/>
    <col min="79" max="79" width="8.86328125" style="22"/>
    <col min="80" max="80" width="9.86328125" style="22" bestFit="1" customWidth="1"/>
    <col min="81" max="82" width="9.46484375" style="22" bestFit="1" customWidth="1"/>
    <col min="83" max="83" width="15.6640625" style="22" bestFit="1" customWidth="1"/>
    <col min="84" max="84" width="15.33203125" style="22" bestFit="1" customWidth="1"/>
    <col min="85" max="85" width="9.1328125" style="22" bestFit="1" customWidth="1"/>
    <col min="86" max="86" width="11.6640625" style="22" bestFit="1" customWidth="1"/>
    <col min="87" max="87" width="10" style="22" bestFit="1" customWidth="1"/>
    <col min="88" max="88" width="16.46484375" style="22" bestFit="1" customWidth="1"/>
    <col min="89" max="89" width="8.86328125" style="22"/>
    <col min="90" max="92" width="8.33203125" style="22" bestFit="1" customWidth="1"/>
    <col min="93" max="94" width="10.33203125" style="22" bestFit="1" customWidth="1"/>
    <col min="95" max="16384" width="8.86328125" style="22"/>
  </cols>
  <sheetData>
    <row r="1" spans="1:71">
      <c r="A1" s="151"/>
      <c r="B1" s="399"/>
      <c r="C1" s="399"/>
      <c r="D1" s="399"/>
      <c r="E1" s="399"/>
      <c r="F1" s="399"/>
      <c r="G1" s="399"/>
      <c r="H1" s="399"/>
      <c r="I1" s="399"/>
      <c r="J1" s="399"/>
      <c r="K1" s="399"/>
      <c r="L1" s="399"/>
      <c r="M1" s="399"/>
      <c r="N1" s="399"/>
      <c r="O1" s="399"/>
      <c r="P1" s="399"/>
      <c r="Q1" s="399"/>
      <c r="R1" s="399"/>
      <c r="S1" s="399"/>
      <c r="T1" s="399"/>
      <c r="U1" s="399"/>
      <c r="V1" s="399"/>
      <c r="W1" s="399"/>
      <c r="X1" s="399"/>
      <c r="Y1" s="399"/>
      <c r="Z1" s="399"/>
      <c r="AA1" s="399"/>
      <c r="AB1" s="399"/>
      <c r="AC1" s="399"/>
      <c r="AD1" s="399"/>
      <c r="AE1" s="399"/>
      <c r="AF1" s="399"/>
      <c r="AG1" s="399"/>
      <c r="AH1" s="399"/>
      <c r="AI1" s="399"/>
      <c r="AJ1" s="399"/>
      <c r="AK1" s="399"/>
      <c r="AL1" s="399"/>
      <c r="AM1" s="399"/>
      <c r="AN1" s="399"/>
      <c r="AO1" s="399"/>
      <c r="AP1" s="399"/>
      <c r="AQ1" s="399"/>
      <c r="AR1" s="399"/>
      <c r="AS1" s="399"/>
      <c r="AT1" s="399"/>
      <c r="AU1" s="399"/>
      <c r="AV1" s="399"/>
      <c r="AW1" s="399"/>
      <c r="AX1" s="399"/>
      <c r="AY1" s="399"/>
      <c r="AZ1" s="399"/>
      <c r="BA1" s="399"/>
      <c r="BB1" s="399"/>
      <c r="BC1" s="399"/>
      <c r="BD1" s="399"/>
      <c r="BE1" s="399"/>
      <c r="BF1" s="399"/>
      <c r="BG1" s="399"/>
      <c r="BH1" s="399"/>
      <c r="BI1" s="399"/>
      <c r="BJ1" s="399"/>
      <c r="BK1" s="399"/>
      <c r="BL1" s="399"/>
      <c r="BM1" s="399"/>
      <c r="BN1" s="399"/>
      <c r="BO1" s="399"/>
      <c r="BP1" s="399"/>
      <c r="BQ1" s="399"/>
      <c r="BR1" s="399"/>
      <c r="BS1" s="432"/>
    </row>
    <row r="2" spans="1:71">
      <c r="A2" s="153"/>
      <c r="BS2" s="437"/>
    </row>
    <row r="3" spans="1:71">
      <c r="A3" s="153"/>
      <c r="I3" s="2597" t="s">
        <v>118</v>
      </c>
      <c r="J3" s="2597" t="s">
        <v>1729</v>
      </c>
      <c r="K3" s="2597" t="s">
        <v>274</v>
      </c>
      <c r="M3" s="1941"/>
      <c r="N3" s="145" t="s">
        <v>2463</v>
      </c>
      <c r="O3" s="4518" t="s">
        <v>2820</v>
      </c>
      <c r="P3" s="4519"/>
      <c r="Q3" s="4520"/>
      <c r="R3" s="2598" t="s">
        <v>2464</v>
      </c>
      <c r="S3" s="2598" t="s">
        <v>2465</v>
      </c>
      <c r="T3" s="1939"/>
      <c r="U3" s="1939"/>
      <c r="V3" s="2123" t="s">
        <v>2363</v>
      </c>
      <c r="W3" s="159" t="s">
        <v>2821</v>
      </c>
      <c r="X3" s="159"/>
      <c r="Y3" s="159"/>
      <c r="Z3" s="159" t="s">
        <v>2466</v>
      </c>
      <c r="AA3" s="159" t="s">
        <v>2465</v>
      </c>
      <c r="AB3" s="1939"/>
      <c r="AD3" s="145" t="s">
        <v>2463</v>
      </c>
      <c r="AE3" s="2122" t="s">
        <v>2475</v>
      </c>
      <c r="AF3" s="2126"/>
      <c r="AG3" s="2599"/>
      <c r="AH3" s="2598" t="s">
        <v>2464</v>
      </c>
      <c r="AI3" s="2598" t="s">
        <v>265</v>
      </c>
      <c r="AJ3" s="1941"/>
      <c r="AK3" s="80"/>
      <c r="AL3" s="2123" t="s">
        <v>2363</v>
      </c>
      <c r="AM3" s="2122" t="s">
        <v>2475</v>
      </c>
      <c r="AN3" s="2122"/>
      <c r="AO3" s="2124"/>
      <c r="AP3" s="2125" t="s">
        <v>2464</v>
      </c>
      <c r="AQ3" s="2125" t="s">
        <v>265</v>
      </c>
      <c r="AR3" s="1941"/>
      <c r="AT3" s="145" t="s">
        <v>2463</v>
      </c>
      <c r="AU3" s="2126" t="s">
        <v>2476</v>
      </c>
      <c r="AV3" s="2126"/>
      <c r="AW3" s="2599"/>
      <c r="AX3" s="2598" t="s">
        <v>2464</v>
      </c>
      <c r="AY3" s="2598" t="s">
        <v>2470</v>
      </c>
      <c r="AZ3" s="1939"/>
      <c r="BA3" s="1939"/>
      <c r="BB3" s="2127" t="s">
        <v>2363</v>
      </c>
      <c r="BC3" s="159" t="s">
        <v>2477</v>
      </c>
      <c r="BD3" s="159"/>
      <c r="BE3" s="159"/>
      <c r="BF3" s="159" t="s">
        <v>2464</v>
      </c>
      <c r="BG3" s="159" t="s">
        <v>2470</v>
      </c>
      <c r="BH3" s="1939"/>
      <c r="BK3" s="2113" t="s">
        <v>991</v>
      </c>
      <c r="BL3" s="2113" t="s">
        <v>1093</v>
      </c>
      <c r="BM3" s="2113" t="s">
        <v>1705</v>
      </c>
      <c r="BN3" s="29" t="s">
        <v>1094</v>
      </c>
      <c r="BO3" s="3532">
        <f>Tech!C25</f>
        <v>1</v>
      </c>
      <c r="BP3" s="3532" t="str">
        <f>ESt!C107</f>
        <v>180L</v>
      </c>
      <c r="BR3" s="1939"/>
      <c r="BS3" s="437"/>
    </row>
    <row r="4" spans="1:71">
      <c r="A4" s="2128"/>
      <c r="B4" s="1939"/>
      <c r="D4" s="2129" t="s">
        <v>2465</v>
      </c>
      <c r="E4" s="2130"/>
      <c r="F4" s="1939"/>
      <c r="G4" s="1939"/>
      <c r="H4" s="1939"/>
      <c r="I4" s="2600">
        <v>0</v>
      </c>
      <c r="J4" s="2600">
        <v>7.5</v>
      </c>
      <c r="K4" s="2597">
        <v>21000</v>
      </c>
      <c r="M4" s="1939"/>
      <c r="N4" s="2597" t="s">
        <v>118</v>
      </c>
      <c r="O4" s="2598" t="s">
        <v>2467</v>
      </c>
      <c r="P4" s="2598" t="s">
        <v>2468</v>
      </c>
      <c r="Q4" s="2598" t="s">
        <v>2819</v>
      </c>
      <c r="R4" s="2600"/>
      <c r="S4" s="2598" t="s">
        <v>274</v>
      </c>
      <c r="V4" s="2597" t="s">
        <v>118</v>
      </c>
      <c r="W4" s="145" t="s">
        <v>2467</v>
      </c>
      <c r="X4" s="145" t="s">
        <v>2468</v>
      </c>
      <c r="Y4" s="145" t="s">
        <v>2469</v>
      </c>
      <c r="Z4" s="2131"/>
      <c r="AA4" s="145" t="s">
        <v>274</v>
      </c>
      <c r="AB4" s="1939"/>
      <c r="AD4" s="2597" t="s">
        <v>118</v>
      </c>
      <c r="AE4" s="2601" t="s">
        <v>2467</v>
      </c>
      <c r="AF4" s="2598" t="s">
        <v>2468</v>
      </c>
      <c r="AG4" s="2598" t="s">
        <v>2469</v>
      </c>
      <c r="AH4" s="2600"/>
      <c r="AI4" s="2598" t="s">
        <v>274</v>
      </c>
      <c r="AJ4" s="1939"/>
      <c r="AK4" s="53"/>
      <c r="AL4" s="2597" t="s">
        <v>118</v>
      </c>
      <c r="AM4" s="2126" t="s">
        <v>2467</v>
      </c>
      <c r="AN4" s="2598" t="s">
        <v>2468</v>
      </c>
      <c r="AO4" s="2598" t="s">
        <v>2469</v>
      </c>
      <c r="AP4" s="2600"/>
      <c r="AQ4" s="2598" t="s">
        <v>274</v>
      </c>
      <c r="AR4" s="1939"/>
      <c r="AT4" s="2597" t="s">
        <v>118</v>
      </c>
      <c r="AU4" s="2598" t="s">
        <v>2467</v>
      </c>
      <c r="AV4" s="2598" t="s">
        <v>2468</v>
      </c>
      <c r="AW4" s="2598" t="s">
        <v>2469</v>
      </c>
      <c r="AX4" s="2600"/>
      <c r="AY4" s="2598" t="s">
        <v>274</v>
      </c>
      <c r="AZ4" s="1939"/>
      <c r="BA4" s="1939"/>
      <c r="BB4" s="2597" t="s">
        <v>118</v>
      </c>
      <c r="BC4" s="145" t="s">
        <v>2467</v>
      </c>
      <c r="BD4" s="145" t="s">
        <v>2468</v>
      </c>
      <c r="BE4" s="145" t="s">
        <v>2469</v>
      </c>
      <c r="BF4" s="2131"/>
      <c r="BG4" s="145" t="s">
        <v>274</v>
      </c>
      <c r="BH4" s="1939"/>
      <c r="BK4" s="131" t="s">
        <v>125</v>
      </c>
      <c r="BL4" s="145">
        <v>26600</v>
      </c>
      <c r="BM4" s="228">
        <v>29120</v>
      </c>
      <c r="BN4" s="29" t="s">
        <v>1095</v>
      </c>
      <c r="BO4" s="3532">
        <f>Tech!D25</f>
        <v>1</v>
      </c>
      <c r="BP4" s="3532" t="str">
        <f>ESt!C108</f>
        <v>180L</v>
      </c>
      <c r="BR4" s="1939"/>
      <c r="BS4" s="437"/>
    </row>
    <row r="5" spans="1:71">
      <c r="A5" s="2131" t="s">
        <v>1710</v>
      </c>
      <c r="B5" s="2602" t="s">
        <v>2462</v>
      </c>
      <c r="C5" s="2602" t="s">
        <v>714</v>
      </c>
      <c r="D5" s="2602" t="s">
        <v>1711</v>
      </c>
      <c r="E5" s="2602" t="s">
        <v>1550</v>
      </c>
      <c r="F5" s="2131" t="s">
        <v>2468</v>
      </c>
      <c r="G5" s="1939"/>
      <c r="H5" s="1939"/>
      <c r="I5" s="2600">
        <v>7.5</v>
      </c>
      <c r="J5" s="2600">
        <v>9.3000000000000007</v>
      </c>
      <c r="K5" s="2597">
        <v>21000</v>
      </c>
      <c r="M5" s="1939"/>
      <c r="N5" s="2603">
        <v>0</v>
      </c>
      <c r="O5" s="2600">
        <v>0.37</v>
      </c>
      <c r="P5" s="2600"/>
      <c r="Q5" s="2600">
        <v>10500</v>
      </c>
      <c r="R5" s="2597">
        <v>26563</v>
      </c>
      <c r="S5" s="3536">
        <f>+Q5+R5</f>
        <v>37063</v>
      </c>
      <c r="T5" s="2596"/>
      <c r="U5" s="2596"/>
      <c r="V5" s="2595">
        <v>0</v>
      </c>
      <c r="W5" s="1094">
        <v>0.75</v>
      </c>
      <c r="X5" s="29"/>
      <c r="Y5" s="2131">
        <v>27700</v>
      </c>
      <c r="Z5" s="2131">
        <v>94900</v>
      </c>
      <c r="AA5" s="3544">
        <f>+Y5+Z5</f>
        <v>122600</v>
      </c>
      <c r="AB5" s="1939"/>
      <c r="AD5" s="2603">
        <v>0</v>
      </c>
      <c r="AE5" s="2605">
        <v>0.75</v>
      </c>
      <c r="AF5" s="2606">
        <v>2.2000000000000002</v>
      </c>
      <c r="AG5" s="2597">
        <v>17765</v>
      </c>
      <c r="AH5" s="2597">
        <v>26563</v>
      </c>
      <c r="AI5" s="2597">
        <v>44328</v>
      </c>
      <c r="AJ5" s="1939"/>
      <c r="AK5" s="2133"/>
      <c r="AL5" s="2131">
        <v>0</v>
      </c>
      <c r="AM5" s="2607">
        <v>1.5</v>
      </c>
      <c r="AN5" s="2597">
        <v>5</v>
      </c>
      <c r="AO5" s="2597">
        <v>62070</v>
      </c>
      <c r="AP5" s="2597">
        <v>94900</v>
      </c>
      <c r="AQ5" s="2597">
        <v>156970</v>
      </c>
      <c r="AR5" s="1939"/>
      <c r="AT5" s="2603">
        <v>0</v>
      </c>
      <c r="AU5" s="2608">
        <v>0.75</v>
      </c>
      <c r="AV5" s="2606">
        <v>2.1</v>
      </c>
      <c r="AW5" s="2597">
        <v>22900</v>
      </c>
      <c r="AX5" s="2597">
        <v>26563</v>
      </c>
      <c r="AY5" s="2597">
        <v>49463</v>
      </c>
      <c r="AZ5" s="1939"/>
      <c r="BA5" s="2132"/>
      <c r="BB5" s="2131">
        <v>0</v>
      </c>
      <c r="BC5" s="2602">
        <v>1.5</v>
      </c>
      <c r="BD5" s="2602">
        <v>4.8</v>
      </c>
      <c r="BE5" s="2135">
        <v>35300</v>
      </c>
      <c r="BF5" s="2135">
        <v>94900</v>
      </c>
      <c r="BG5" s="2135">
        <v>130200</v>
      </c>
      <c r="BH5" s="1939"/>
      <c r="BK5" s="228" t="s">
        <v>129</v>
      </c>
      <c r="BL5" s="145">
        <v>26600</v>
      </c>
      <c r="BM5" s="228">
        <v>29120</v>
      </c>
      <c r="BN5" s="29" t="s">
        <v>1140</v>
      </c>
      <c r="BO5" s="3532">
        <f>Tech!G25</f>
        <v>2</v>
      </c>
      <c r="BP5" s="3532" t="str">
        <f>ESt!C109</f>
        <v>90S</v>
      </c>
      <c r="BR5" s="1939"/>
      <c r="BS5" s="437"/>
    </row>
    <row r="6" spans="1:71">
      <c r="A6" s="2602" t="s">
        <v>2471</v>
      </c>
      <c r="B6" s="3533">
        <f>ESt!M107</f>
        <v>18</v>
      </c>
      <c r="C6" s="3533">
        <f>W33</f>
        <v>18</v>
      </c>
      <c r="D6" s="3533">
        <f>Y33</f>
        <v>72000</v>
      </c>
      <c r="E6" s="3533">
        <f>Z33</f>
        <v>133400</v>
      </c>
      <c r="F6" s="3532">
        <f>X33</f>
        <v>0</v>
      </c>
      <c r="G6" s="3534" t="str">
        <f>V33</f>
        <v>Right</v>
      </c>
      <c r="H6" s="1939"/>
      <c r="I6" s="2600">
        <v>9.3000000000000007</v>
      </c>
      <c r="J6" s="2600">
        <v>11.2</v>
      </c>
      <c r="K6" s="2597">
        <v>21000</v>
      </c>
      <c r="M6" s="1939"/>
      <c r="N6" s="2603">
        <v>0.37</v>
      </c>
      <c r="O6" s="2600">
        <v>0.55000000000000004</v>
      </c>
      <c r="P6" s="2600"/>
      <c r="Q6" s="2597">
        <v>12500</v>
      </c>
      <c r="R6" s="2597">
        <v>26563</v>
      </c>
      <c r="S6" s="3536">
        <f t="shared" ref="S6:S16" si="0">+Q6+R6</f>
        <v>39063</v>
      </c>
      <c r="T6" s="2596"/>
      <c r="U6" s="2596"/>
      <c r="V6" s="2595">
        <v>0.75</v>
      </c>
      <c r="W6" s="1094">
        <v>1.5</v>
      </c>
      <c r="X6" s="29"/>
      <c r="Y6" s="2131">
        <v>31500</v>
      </c>
      <c r="Z6" s="2131">
        <v>94900</v>
      </c>
      <c r="AA6" s="3544">
        <f t="shared" ref="AA6:AA30" si="1">+Y6+Z6</f>
        <v>126400</v>
      </c>
      <c r="AB6" s="1939"/>
      <c r="AD6" s="2603">
        <v>0.75</v>
      </c>
      <c r="AE6" s="2609">
        <v>1.5</v>
      </c>
      <c r="AF6" s="2606">
        <v>4.0999999999999996</v>
      </c>
      <c r="AG6" s="2597">
        <v>20955</v>
      </c>
      <c r="AH6" s="2597">
        <v>27676</v>
      </c>
      <c r="AI6" s="2597">
        <v>48631</v>
      </c>
      <c r="AJ6" s="1939"/>
      <c r="AK6" s="2133"/>
      <c r="AL6" s="2131">
        <v>1.5</v>
      </c>
      <c r="AM6" s="2610">
        <v>3</v>
      </c>
      <c r="AN6" s="2597">
        <v>8</v>
      </c>
      <c r="AO6" s="2597">
        <v>79765</v>
      </c>
      <c r="AP6" s="2597">
        <v>98500</v>
      </c>
      <c r="AQ6" s="2597">
        <v>178265</v>
      </c>
      <c r="AR6" s="1939"/>
      <c r="AT6" s="2603">
        <v>0.75</v>
      </c>
      <c r="AU6" s="2606">
        <v>1.5</v>
      </c>
      <c r="AV6" s="2606">
        <v>3.7</v>
      </c>
      <c r="AW6" s="2597">
        <v>23300</v>
      </c>
      <c r="AX6" s="2597">
        <v>27676</v>
      </c>
      <c r="AY6" s="2597">
        <v>50976</v>
      </c>
      <c r="AZ6" s="1939"/>
      <c r="BA6" s="2132"/>
      <c r="BB6" s="2602">
        <v>1.5</v>
      </c>
      <c r="BC6" s="2602">
        <v>2.2000000000000002</v>
      </c>
      <c r="BD6" s="2602">
        <v>6.2</v>
      </c>
      <c r="BE6" s="2135">
        <v>36900</v>
      </c>
      <c r="BF6" s="2135">
        <v>98500</v>
      </c>
      <c r="BG6" s="2135">
        <v>135400</v>
      </c>
      <c r="BH6" s="1939"/>
      <c r="BK6" s="228" t="s">
        <v>132</v>
      </c>
      <c r="BL6" s="145">
        <v>26600</v>
      </c>
      <c r="BM6" s="228">
        <v>31500</v>
      </c>
      <c r="BN6" s="29" t="s">
        <v>1144</v>
      </c>
      <c r="BO6" s="3532">
        <f>Tech!H25</f>
        <v>2</v>
      </c>
      <c r="BP6" s="3532" t="str">
        <f>ESt!C110</f>
        <v>100L</v>
      </c>
      <c r="BR6" s="1939"/>
      <c r="BS6" s="437"/>
    </row>
    <row r="7" spans="1:71">
      <c r="A7" s="2602" t="s">
        <v>2472</v>
      </c>
      <c r="B7" s="3533">
        <f>ESt!M108</f>
        <v>18</v>
      </c>
      <c r="C7" s="3533">
        <f>W34</f>
        <v>18</v>
      </c>
      <c r="D7" s="3533">
        <f>Y34</f>
        <v>72000</v>
      </c>
      <c r="E7" s="3533">
        <f>Z34</f>
        <v>133400</v>
      </c>
      <c r="F7" s="3532">
        <f>X34</f>
        <v>0</v>
      </c>
      <c r="G7" s="3534" t="str">
        <f>V34</f>
        <v>Right</v>
      </c>
      <c r="H7" s="1939"/>
      <c r="I7" s="2600">
        <v>11.2</v>
      </c>
      <c r="J7" s="2600">
        <v>14.9</v>
      </c>
      <c r="K7" s="2597">
        <v>22400</v>
      </c>
      <c r="M7" s="1939"/>
      <c r="N7" s="2603">
        <v>0.55000000000000004</v>
      </c>
      <c r="O7" s="2600">
        <v>0.75</v>
      </c>
      <c r="P7" s="2600"/>
      <c r="Q7" s="2597">
        <v>13600</v>
      </c>
      <c r="R7" s="2597">
        <v>26563</v>
      </c>
      <c r="S7" s="3536">
        <f t="shared" si="0"/>
        <v>40163</v>
      </c>
      <c r="T7" s="2596"/>
      <c r="U7" s="2596"/>
      <c r="V7" s="2595">
        <v>1.5</v>
      </c>
      <c r="W7" s="1094">
        <v>2.2000000000000002</v>
      </c>
      <c r="X7" s="29"/>
      <c r="Y7" s="2131">
        <v>34100</v>
      </c>
      <c r="Z7" s="2135">
        <v>97000</v>
      </c>
      <c r="AA7" s="3544">
        <f t="shared" si="1"/>
        <v>131100</v>
      </c>
      <c r="AB7" s="1939"/>
      <c r="AD7" s="2603">
        <v>1.5</v>
      </c>
      <c r="AE7" s="2609">
        <v>2.2000000000000002</v>
      </c>
      <c r="AF7" s="2606">
        <v>5.9</v>
      </c>
      <c r="AG7" s="2597">
        <v>24035</v>
      </c>
      <c r="AH7" s="2597">
        <v>29653</v>
      </c>
      <c r="AI7" s="2597">
        <v>53688</v>
      </c>
      <c r="AJ7" s="1939"/>
      <c r="AK7" s="2133"/>
      <c r="AL7" s="2131">
        <v>3</v>
      </c>
      <c r="AM7" s="2610">
        <v>4</v>
      </c>
      <c r="AN7" s="2597">
        <v>10</v>
      </c>
      <c r="AO7" s="2597">
        <v>75060</v>
      </c>
      <c r="AP7" s="2597">
        <v>100000</v>
      </c>
      <c r="AQ7" s="2597">
        <v>175060</v>
      </c>
      <c r="AR7" s="1939"/>
      <c r="AT7" s="2603">
        <v>1.5</v>
      </c>
      <c r="AU7" s="2606">
        <v>2.2000000000000002</v>
      </c>
      <c r="AV7" s="2606">
        <v>5.3</v>
      </c>
      <c r="AW7" s="2597">
        <v>24500</v>
      </c>
      <c r="AX7" s="2597">
        <v>29653</v>
      </c>
      <c r="AY7" s="2597">
        <v>54153</v>
      </c>
      <c r="AZ7" s="1939"/>
      <c r="BA7" s="2132"/>
      <c r="BB7" s="2602">
        <v>2.2000000000000002</v>
      </c>
      <c r="BC7" s="2602">
        <v>3.7</v>
      </c>
      <c r="BD7" s="2135">
        <v>9</v>
      </c>
      <c r="BE7" s="2135">
        <v>37600</v>
      </c>
      <c r="BF7" s="2135">
        <v>100000</v>
      </c>
      <c r="BG7" s="2135">
        <v>137600</v>
      </c>
      <c r="BH7" s="1939"/>
      <c r="BK7" s="311" t="s">
        <v>135</v>
      </c>
      <c r="BL7" s="145">
        <v>29400</v>
      </c>
      <c r="BM7" s="784">
        <v>36400</v>
      </c>
      <c r="BR7" s="1939"/>
      <c r="BS7" s="437"/>
    </row>
    <row r="8" spans="1:71">
      <c r="A8" s="2602" t="s">
        <v>2473</v>
      </c>
      <c r="B8" s="3533">
        <f>ESt!M109</f>
        <v>2.2000000000000002</v>
      </c>
      <c r="C8" s="3533">
        <f>O21</f>
        <v>2.2000000000000002</v>
      </c>
      <c r="D8" s="3533">
        <f>Q21</f>
        <v>17300</v>
      </c>
      <c r="E8" s="3533">
        <f>R21</f>
        <v>29653</v>
      </c>
      <c r="F8" s="3532">
        <f>P21</f>
        <v>0</v>
      </c>
      <c r="G8" s="3534" t="str">
        <f>N21</f>
        <v>Right</v>
      </c>
      <c r="H8" s="1939"/>
      <c r="I8" s="2600">
        <v>14.9</v>
      </c>
      <c r="J8" s="2600">
        <v>22.4</v>
      </c>
      <c r="K8" s="2597">
        <v>25200</v>
      </c>
      <c r="M8" s="1939"/>
      <c r="N8" s="2603">
        <v>0.75</v>
      </c>
      <c r="O8" s="2600">
        <v>1.1000000000000001</v>
      </c>
      <c r="P8" s="2600"/>
      <c r="Q8" s="2597">
        <v>14900</v>
      </c>
      <c r="R8" s="2597">
        <v>26563</v>
      </c>
      <c r="S8" s="3536">
        <f t="shared" si="0"/>
        <v>41463</v>
      </c>
      <c r="T8" s="2596"/>
      <c r="U8" s="2596"/>
      <c r="V8" s="2595">
        <v>2.2000000000000002</v>
      </c>
      <c r="W8" s="1094">
        <v>3</v>
      </c>
      <c r="X8" s="29"/>
      <c r="Y8" s="2131">
        <v>37400</v>
      </c>
      <c r="Z8" s="2135">
        <v>98500</v>
      </c>
      <c r="AA8" s="3544">
        <f t="shared" si="1"/>
        <v>135900</v>
      </c>
      <c r="AB8" s="1939"/>
      <c r="AD8" s="2603">
        <v>2.2000000000000002</v>
      </c>
      <c r="AE8" s="2604">
        <v>3</v>
      </c>
      <c r="AF8" s="2606">
        <v>7.7</v>
      </c>
      <c r="AG8" s="2597">
        <v>26950</v>
      </c>
      <c r="AH8" s="2597">
        <v>33000</v>
      </c>
      <c r="AI8" s="2597">
        <v>59950</v>
      </c>
      <c r="AJ8" s="1939"/>
      <c r="AK8" s="2133"/>
      <c r="AL8" s="2131">
        <v>4</v>
      </c>
      <c r="AM8" s="2607">
        <v>5.5</v>
      </c>
      <c r="AN8" s="2597">
        <v>14</v>
      </c>
      <c r="AO8" s="2597">
        <v>86610</v>
      </c>
      <c r="AP8" s="2597">
        <v>101200</v>
      </c>
      <c r="AQ8" s="2597">
        <v>187810</v>
      </c>
      <c r="AR8" s="1939"/>
      <c r="AT8" s="2603">
        <v>2.2000000000000002</v>
      </c>
      <c r="AU8" s="2606">
        <v>3.7</v>
      </c>
      <c r="AV8" s="2606">
        <v>7.6</v>
      </c>
      <c r="AW8" s="2597">
        <v>25300</v>
      </c>
      <c r="AX8" s="2597">
        <v>33000</v>
      </c>
      <c r="AY8" s="2597">
        <v>58300</v>
      </c>
      <c r="AZ8" s="1939"/>
      <c r="BA8" s="2132"/>
      <c r="BB8" s="2602">
        <v>3.7</v>
      </c>
      <c r="BC8" s="2602">
        <v>5.5</v>
      </c>
      <c r="BD8" s="2135">
        <v>15</v>
      </c>
      <c r="BE8" s="2135">
        <v>39300</v>
      </c>
      <c r="BF8" s="2135">
        <v>101200</v>
      </c>
      <c r="BG8" s="2135">
        <v>140500</v>
      </c>
      <c r="BH8" s="1939"/>
      <c r="BK8" s="311" t="s">
        <v>139</v>
      </c>
      <c r="BL8" s="145">
        <v>32500</v>
      </c>
      <c r="BM8" s="228">
        <v>38400</v>
      </c>
      <c r="BN8" s="197" t="s">
        <v>1710</v>
      </c>
      <c r="BO8" s="197" t="s">
        <v>1713</v>
      </c>
      <c r="BP8" s="197" t="s">
        <v>1714</v>
      </c>
      <c r="BQ8" s="197" t="s">
        <v>1715</v>
      </c>
      <c r="BR8" s="1939"/>
      <c r="BS8" s="437"/>
    </row>
    <row r="9" spans="1:71">
      <c r="A9" s="2602" t="s">
        <v>2474</v>
      </c>
      <c r="B9" s="3533">
        <f>ESt!M110</f>
        <v>4.4000000000000004</v>
      </c>
      <c r="C9" s="3533">
        <f>O28</f>
        <v>5.5</v>
      </c>
      <c r="D9" s="3533">
        <f>Q28</f>
        <v>28800</v>
      </c>
      <c r="E9" s="3533">
        <f>R28</f>
        <v>34232</v>
      </c>
      <c r="F9" s="3532">
        <f>P28</f>
        <v>0</v>
      </c>
      <c r="G9" s="3534" t="str">
        <f>N28</f>
        <v>Right</v>
      </c>
      <c r="H9" s="1939"/>
      <c r="I9" s="2600">
        <v>22.4</v>
      </c>
      <c r="J9" s="2600">
        <v>29.8</v>
      </c>
      <c r="K9" s="2597">
        <v>29400</v>
      </c>
      <c r="M9" s="1939"/>
      <c r="N9" s="2603">
        <v>1.1000000000000001</v>
      </c>
      <c r="O9" s="2600">
        <v>1.5</v>
      </c>
      <c r="P9" s="2600"/>
      <c r="Q9" s="2597">
        <v>14900</v>
      </c>
      <c r="R9" s="2597">
        <v>27676</v>
      </c>
      <c r="S9" s="3536">
        <f t="shared" si="0"/>
        <v>42576</v>
      </c>
      <c r="T9" s="2596"/>
      <c r="U9" s="2596"/>
      <c r="V9" s="2595">
        <v>3</v>
      </c>
      <c r="W9" s="1094">
        <v>4</v>
      </c>
      <c r="X9" s="29"/>
      <c r="Y9" s="2131">
        <v>40700</v>
      </c>
      <c r="Z9" s="2135">
        <v>100000</v>
      </c>
      <c r="AA9" s="3544">
        <f t="shared" si="1"/>
        <v>140700</v>
      </c>
      <c r="AB9" s="1939"/>
      <c r="AD9" s="2603">
        <v>3</v>
      </c>
      <c r="AE9" s="2609">
        <v>5.5</v>
      </c>
      <c r="AF9" s="2606">
        <v>13.2</v>
      </c>
      <c r="AG9" s="2597">
        <v>37015</v>
      </c>
      <c r="AH9" s="2597">
        <v>34232</v>
      </c>
      <c r="AI9" s="2597">
        <v>71247</v>
      </c>
      <c r="AJ9" s="1939"/>
      <c r="AK9" s="2133"/>
      <c r="AL9" s="2131">
        <v>5.5</v>
      </c>
      <c r="AM9" s="2607">
        <v>7.5</v>
      </c>
      <c r="AN9" s="2606">
        <v>20.5</v>
      </c>
      <c r="AO9" s="2597">
        <v>104888</v>
      </c>
      <c r="AP9" s="2597">
        <v>104200</v>
      </c>
      <c r="AQ9" s="2597">
        <v>209088</v>
      </c>
      <c r="AR9" s="1939"/>
      <c r="AT9" s="2603">
        <v>3.7</v>
      </c>
      <c r="AU9" s="2606">
        <v>5.5</v>
      </c>
      <c r="AV9" s="2606">
        <v>12.5</v>
      </c>
      <c r="AW9" s="2597">
        <v>26400</v>
      </c>
      <c r="AX9" s="2597">
        <v>34232</v>
      </c>
      <c r="AY9" s="2597">
        <v>60632</v>
      </c>
      <c r="AZ9" s="1939"/>
      <c r="BA9" s="2132"/>
      <c r="BB9" s="2602">
        <v>5.5</v>
      </c>
      <c r="BC9" s="2602">
        <v>7.5</v>
      </c>
      <c r="BD9" s="2135">
        <v>21</v>
      </c>
      <c r="BE9" s="2135">
        <v>42400</v>
      </c>
      <c r="BF9" s="2135">
        <v>104200</v>
      </c>
      <c r="BG9" s="2135">
        <v>146600</v>
      </c>
      <c r="BH9" s="1939"/>
      <c r="BK9" s="311" t="s">
        <v>142</v>
      </c>
      <c r="BL9" s="145">
        <v>34300</v>
      </c>
      <c r="BM9" s="131">
        <v>42840</v>
      </c>
      <c r="BN9" s="29" t="s">
        <v>1094</v>
      </c>
      <c r="BO9" s="3532" t="e">
        <f>VLOOKUP(BP3,BK4:BL33,2,0)</f>
        <v>#N/A</v>
      </c>
      <c r="BP9" s="145"/>
      <c r="BQ9" s="3535" t="e">
        <f>BO9</f>
        <v>#N/A</v>
      </c>
      <c r="BR9" s="1939"/>
      <c r="BS9" s="437"/>
    </row>
    <row r="10" spans="1:71">
      <c r="A10" s="2602" t="s">
        <v>1721</v>
      </c>
      <c r="B10" s="3535">
        <f>ESt!M111</f>
        <v>42.6</v>
      </c>
      <c r="C10" s="3535">
        <f>J25</f>
        <v>44.8</v>
      </c>
      <c r="D10" s="131"/>
      <c r="E10" s="3535">
        <f>K25</f>
        <v>39200</v>
      </c>
      <c r="I10" s="2600">
        <v>29.8</v>
      </c>
      <c r="J10" s="2600">
        <v>37.299999999999997</v>
      </c>
      <c r="K10" s="2597">
        <v>35000</v>
      </c>
      <c r="M10" s="1939"/>
      <c r="N10" s="2603">
        <v>1.5</v>
      </c>
      <c r="O10" s="2600">
        <v>2.2000000000000002</v>
      </c>
      <c r="P10" s="2600"/>
      <c r="Q10" s="2597">
        <v>17300</v>
      </c>
      <c r="R10" s="2597">
        <v>29653</v>
      </c>
      <c r="S10" s="3536">
        <f t="shared" si="0"/>
        <v>46953</v>
      </c>
      <c r="T10" s="2596"/>
      <c r="U10" s="2596"/>
      <c r="V10" s="2595">
        <v>4</v>
      </c>
      <c r="W10" s="1094">
        <v>5.5</v>
      </c>
      <c r="X10" s="29"/>
      <c r="Y10" s="2131">
        <v>46500</v>
      </c>
      <c r="Z10" s="2135">
        <v>101200</v>
      </c>
      <c r="AA10" s="3544">
        <f t="shared" si="1"/>
        <v>147700</v>
      </c>
      <c r="AB10" s="1939"/>
      <c r="AD10" s="2603">
        <v>5.5</v>
      </c>
      <c r="AE10" s="2609">
        <v>7.5</v>
      </c>
      <c r="AF10" s="2597">
        <v>19</v>
      </c>
      <c r="AG10" s="2597">
        <v>44880</v>
      </c>
      <c r="AH10" s="2597">
        <v>39089</v>
      </c>
      <c r="AI10" s="2597">
        <v>83969</v>
      </c>
      <c r="AJ10" s="1939"/>
      <c r="AK10" s="2133"/>
      <c r="AL10" s="2131">
        <v>7.5</v>
      </c>
      <c r="AM10" s="2610">
        <v>11</v>
      </c>
      <c r="AN10" s="2597">
        <v>27</v>
      </c>
      <c r="AO10" s="2597">
        <v>125580</v>
      </c>
      <c r="AP10" s="2597">
        <v>112000</v>
      </c>
      <c r="AQ10" s="2597">
        <v>237580</v>
      </c>
      <c r="AR10" s="1939"/>
      <c r="AT10" s="2603">
        <v>5.5</v>
      </c>
      <c r="AU10" s="2606">
        <v>7.5</v>
      </c>
      <c r="AV10" s="2597">
        <v>17</v>
      </c>
      <c r="AW10" s="2597">
        <v>30500</v>
      </c>
      <c r="AX10" s="2597">
        <v>39089</v>
      </c>
      <c r="AY10" s="2597">
        <v>69589</v>
      </c>
      <c r="AZ10" s="1939"/>
      <c r="BA10" s="2132"/>
      <c r="BB10" s="2602">
        <v>7.5</v>
      </c>
      <c r="BC10" s="2135">
        <v>11</v>
      </c>
      <c r="BD10" s="2135">
        <v>27</v>
      </c>
      <c r="BE10" s="2135">
        <v>62100</v>
      </c>
      <c r="BF10" s="2135">
        <v>112000</v>
      </c>
      <c r="BG10" s="2135">
        <v>174100</v>
      </c>
      <c r="BH10" s="1939"/>
      <c r="BK10" s="311" t="s">
        <v>146</v>
      </c>
      <c r="BL10" s="145">
        <v>36500</v>
      </c>
      <c r="BM10" s="131">
        <v>45500</v>
      </c>
      <c r="BN10" s="29" t="s">
        <v>1095</v>
      </c>
      <c r="BO10" s="3532" t="e">
        <f>VLOOKUP(BP4,BK4:BL33,2,0)</f>
        <v>#N/A</v>
      </c>
      <c r="BP10" s="145"/>
      <c r="BQ10" s="3535" t="e">
        <f>BO10</f>
        <v>#N/A</v>
      </c>
      <c r="BR10" s="1939"/>
      <c r="BS10" s="437"/>
    </row>
    <row r="11" spans="1:71">
      <c r="A11" s="153"/>
      <c r="I11" s="2600">
        <v>37.299999999999997</v>
      </c>
      <c r="J11" s="2600">
        <v>44.8</v>
      </c>
      <c r="K11" s="2597">
        <v>39200</v>
      </c>
      <c r="M11" s="1939"/>
      <c r="N11" s="2603">
        <v>2.2000000000000002</v>
      </c>
      <c r="O11" s="2600">
        <v>3</v>
      </c>
      <c r="P11" s="2600"/>
      <c r="Q11" s="2597">
        <v>19900</v>
      </c>
      <c r="R11" s="2597">
        <v>33000</v>
      </c>
      <c r="S11" s="3536">
        <f t="shared" si="0"/>
        <v>52900</v>
      </c>
      <c r="T11" s="2596"/>
      <c r="U11" s="2596"/>
      <c r="V11" s="2595">
        <v>5.5</v>
      </c>
      <c r="W11" s="1094">
        <v>7.5</v>
      </c>
      <c r="X11" s="29"/>
      <c r="Y11" s="2131">
        <v>52700</v>
      </c>
      <c r="Z11" s="2135">
        <v>104200</v>
      </c>
      <c r="AA11" s="3544">
        <f t="shared" si="1"/>
        <v>156900</v>
      </c>
      <c r="AB11" s="1939"/>
      <c r="AD11" s="2603">
        <v>7.5</v>
      </c>
      <c r="AE11" s="2604">
        <v>11</v>
      </c>
      <c r="AF11" s="2597">
        <v>26</v>
      </c>
      <c r="AG11" s="2597">
        <v>57530</v>
      </c>
      <c r="AH11" s="2597">
        <v>45395</v>
      </c>
      <c r="AI11" s="2597">
        <v>102925</v>
      </c>
      <c r="AJ11" s="1939"/>
      <c r="AK11" s="2133"/>
      <c r="AL11" s="2131">
        <v>11</v>
      </c>
      <c r="AM11" s="2610">
        <v>15</v>
      </c>
      <c r="AN11" s="2597">
        <v>34</v>
      </c>
      <c r="AO11" s="2597">
        <v>151080</v>
      </c>
      <c r="AP11" s="2597">
        <v>116800</v>
      </c>
      <c r="AQ11" s="2597">
        <v>267880</v>
      </c>
      <c r="AR11" s="1939"/>
      <c r="AT11" s="2603">
        <v>7.5</v>
      </c>
      <c r="AU11" s="2597">
        <v>11</v>
      </c>
      <c r="AV11" s="2597">
        <v>24</v>
      </c>
      <c r="AW11" s="2597">
        <v>34100</v>
      </c>
      <c r="AX11" s="2597">
        <v>45395</v>
      </c>
      <c r="AY11" s="2597">
        <v>79495</v>
      </c>
      <c r="AZ11" s="1939"/>
      <c r="BA11" s="2132"/>
      <c r="BB11" s="2135">
        <v>11</v>
      </c>
      <c r="BC11" s="2135">
        <v>15</v>
      </c>
      <c r="BD11" s="2135">
        <v>34</v>
      </c>
      <c r="BE11" s="2135">
        <v>64700</v>
      </c>
      <c r="BF11" s="2135">
        <v>116800</v>
      </c>
      <c r="BG11" s="2135">
        <v>181500</v>
      </c>
      <c r="BH11" s="1939"/>
      <c r="BK11" s="311" t="s">
        <v>150</v>
      </c>
      <c r="BL11" s="145">
        <v>38500</v>
      </c>
      <c r="BM11" s="131">
        <v>49980</v>
      </c>
      <c r="BN11" s="29" t="s">
        <v>1140</v>
      </c>
      <c r="BO11" s="3532" t="e">
        <f>VLOOKUP(BP5,BK4:BL33,2,0)</f>
        <v>#N/A</v>
      </c>
      <c r="BP11" s="3532" t="e">
        <f>VLOOKUP(BP5,BK4:BM20,3,0)</f>
        <v>#N/A</v>
      </c>
      <c r="BQ11" s="3535" t="e">
        <f>IF(BO5=2,BP11,BO11)</f>
        <v>#N/A</v>
      </c>
      <c r="BR11" s="1939"/>
      <c r="BS11" s="437"/>
    </row>
    <row r="12" spans="1:71">
      <c r="A12" s="2128"/>
      <c r="B12" s="1939"/>
      <c r="D12" s="2129" t="s">
        <v>265</v>
      </c>
      <c r="E12" s="2130"/>
      <c r="F12" s="1939"/>
      <c r="G12" s="1939"/>
      <c r="H12" s="1939"/>
      <c r="I12" s="2600">
        <v>44.8</v>
      </c>
      <c r="J12" s="2600">
        <v>56</v>
      </c>
      <c r="K12" s="2597">
        <v>43400</v>
      </c>
      <c r="M12" s="1939"/>
      <c r="N12" s="2603">
        <v>3</v>
      </c>
      <c r="O12" s="2600">
        <v>4</v>
      </c>
      <c r="P12" s="2600"/>
      <c r="Q12" s="2600">
        <v>22300</v>
      </c>
      <c r="R12" s="2597">
        <v>34232</v>
      </c>
      <c r="S12" s="3536">
        <f t="shared" si="0"/>
        <v>56532</v>
      </c>
      <c r="T12" s="2596"/>
      <c r="U12" s="2596"/>
      <c r="V12" s="2595">
        <v>7.5</v>
      </c>
      <c r="W12" s="1094">
        <v>11</v>
      </c>
      <c r="X12" s="29"/>
      <c r="Y12" s="2131">
        <v>59500</v>
      </c>
      <c r="Z12" s="2135">
        <v>112000</v>
      </c>
      <c r="AA12" s="3544">
        <f t="shared" si="1"/>
        <v>171500</v>
      </c>
      <c r="AB12" s="1939"/>
      <c r="AD12" s="2603">
        <v>11</v>
      </c>
      <c r="AE12" s="2604">
        <v>15</v>
      </c>
      <c r="AF12" s="2597">
        <v>32</v>
      </c>
      <c r="AG12" s="2597">
        <v>71225</v>
      </c>
      <c r="AH12" s="2597">
        <v>51530</v>
      </c>
      <c r="AI12" s="2597">
        <v>122755</v>
      </c>
      <c r="AJ12" s="1939"/>
      <c r="AK12" s="2133"/>
      <c r="AL12" s="2131">
        <v>15</v>
      </c>
      <c r="AM12" s="2607">
        <v>18.5</v>
      </c>
      <c r="AN12" s="2606">
        <v>37.5</v>
      </c>
      <c r="AO12" s="2597">
        <v>178020</v>
      </c>
      <c r="AP12" s="2597">
        <v>133700</v>
      </c>
      <c r="AQ12" s="2597">
        <v>311720</v>
      </c>
      <c r="AR12" s="1939"/>
      <c r="AT12" s="2603">
        <v>11</v>
      </c>
      <c r="AU12" s="2597">
        <v>15</v>
      </c>
      <c r="AV12" s="2597">
        <v>31</v>
      </c>
      <c r="AW12" s="2597">
        <v>43800</v>
      </c>
      <c r="AX12" s="2597">
        <v>51530</v>
      </c>
      <c r="AY12" s="2597">
        <v>95330</v>
      </c>
      <c r="AZ12" s="1939"/>
      <c r="BA12" s="2132"/>
      <c r="BB12" s="2135">
        <v>15</v>
      </c>
      <c r="BC12" s="2602">
        <v>18.5</v>
      </c>
      <c r="BD12" s="2135">
        <v>42</v>
      </c>
      <c r="BE12" s="2135">
        <v>95800</v>
      </c>
      <c r="BF12" s="2135">
        <v>133700</v>
      </c>
      <c r="BG12" s="2135">
        <v>229500</v>
      </c>
      <c r="BH12" s="1939"/>
      <c r="BK12" s="311" t="s">
        <v>156</v>
      </c>
      <c r="BL12" s="145">
        <v>39800</v>
      </c>
      <c r="BM12" s="131">
        <v>52600</v>
      </c>
      <c r="BN12" s="1909" t="s">
        <v>1144</v>
      </c>
      <c r="BO12" s="3532" t="e">
        <f>VLOOKUP(BP6,BK4:BL33,2,0)</f>
        <v>#N/A</v>
      </c>
      <c r="BP12" s="3532" t="e">
        <f>VLOOKUP(BP6,BK4:BM20,3,0)</f>
        <v>#N/A</v>
      </c>
      <c r="BQ12" s="3535" t="e">
        <f>IF(BO6=2,BP12,BO12)</f>
        <v>#N/A</v>
      </c>
      <c r="BR12" s="1939"/>
      <c r="BS12" s="437"/>
    </row>
    <row r="13" spans="1:71">
      <c r="A13" s="2131" t="s">
        <v>1710</v>
      </c>
      <c r="B13" s="2602" t="s">
        <v>2462</v>
      </c>
      <c r="C13" s="2602" t="s">
        <v>714</v>
      </c>
      <c r="D13" s="2602" t="s">
        <v>1711</v>
      </c>
      <c r="E13" s="2602" t="s">
        <v>1550</v>
      </c>
      <c r="F13" s="2131" t="s">
        <v>2468</v>
      </c>
      <c r="G13" s="1939"/>
      <c r="H13" s="1939"/>
      <c r="I13" s="2600">
        <v>56</v>
      </c>
      <c r="J13" s="2600">
        <v>74.599999999999994</v>
      </c>
      <c r="K13" s="2597">
        <v>53200</v>
      </c>
      <c r="M13" s="1939"/>
      <c r="N13" s="2603">
        <v>4</v>
      </c>
      <c r="O13" s="2600">
        <v>5.5</v>
      </c>
      <c r="P13" s="2600"/>
      <c r="Q13" s="2600">
        <v>28800</v>
      </c>
      <c r="R13" s="2597">
        <v>34232</v>
      </c>
      <c r="S13" s="3536">
        <f t="shared" si="0"/>
        <v>63032</v>
      </c>
      <c r="T13" s="2596"/>
      <c r="U13" s="2596"/>
      <c r="V13" s="2595">
        <v>11</v>
      </c>
      <c r="W13" s="1094">
        <v>15</v>
      </c>
      <c r="X13" s="29"/>
      <c r="Y13" s="2131">
        <v>66600</v>
      </c>
      <c r="Z13" s="2135">
        <v>116800</v>
      </c>
      <c r="AA13" s="3544">
        <f t="shared" si="1"/>
        <v>183400</v>
      </c>
      <c r="AB13" s="1939"/>
      <c r="AD13" s="2603">
        <v>15</v>
      </c>
      <c r="AE13" s="2609">
        <v>18.5</v>
      </c>
      <c r="AF13" s="2597">
        <v>38</v>
      </c>
      <c r="AG13" s="2597">
        <v>81840</v>
      </c>
      <c r="AH13" s="2597">
        <v>70806</v>
      </c>
      <c r="AI13" s="2597">
        <v>152646</v>
      </c>
      <c r="AJ13" s="1939"/>
      <c r="AK13" s="2133"/>
      <c r="AL13" s="2131">
        <v>18.5</v>
      </c>
      <c r="AM13" s="2610">
        <v>22</v>
      </c>
      <c r="AN13" s="2597">
        <v>47</v>
      </c>
      <c r="AO13" s="2597">
        <v>204008</v>
      </c>
      <c r="AP13" s="2597">
        <v>133400</v>
      </c>
      <c r="AQ13" s="2597">
        <v>337408</v>
      </c>
      <c r="AR13" s="1939"/>
      <c r="AT13" s="2603">
        <v>15</v>
      </c>
      <c r="AU13" s="2606">
        <v>18.5</v>
      </c>
      <c r="AV13" s="2597">
        <v>39</v>
      </c>
      <c r="AW13" s="2597">
        <v>49700</v>
      </c>
      <c r="AX13" s="2597">
        <v>70806</v>
      </c>
      <c r="AY13" s="2597">
        <v>120506</v>
      </c>
      <c r="AZ13" s="1939"/>
      <c r="BA13" s="2132"/>
      <c r="BB13" s="2602">
        <v>18.5</v>
      </c>
      <c r="BC13" s="2135">
        <v>22</v>
      </c>
      <c r="BD13" s="2135">
        <v>52</v>
      </c>
      <c r="BE13" s="2135">
        <v>103500</v>
      </c>
      <c r="BF13" s="2135">
        <v>133400</v>
      </c>
      <c r="BG13" s="2135">
        <v>236900</v>
      </c>
      <c r="BH13" s="1939"/>
      <c r="BK13" s="311" t="s">
        <v>162</v>
      </c>
      <c r="BL13" s="145">
        <v>41580</v>
      </c>
      <c r="BM13" s="131">
        <v>56000</v>
      </c>
      <c r="BR13" s="1939"/>
      <c r="BS13" s="437"/>
    </row>
    <row r="14" spans="1:71">
      <c r="A14" s="2602" t="s">
        <v>2471</v>
      </c>
      <c r="B14" s="3533">
        <f>B6</f>
        <v>18</v>
      </c>
      <c r="C14" s="3533">
        <f>AM25</f>
        <v>18.5</v>
      </c>
      <c r="D14" s="3533">
        <f>AO25</f>
        <v>178020</v>
      </c>
      <c r="E14" s="3533">
        <f>AP25</f>
        <v>133700</v>
      </c>
      <c r="F14" s="3532">
        <f>AN25</f>
        <v>37.5</v>
      </c>
      <c r="G14" s="3534" t="str">
        <f>V33</f>
        <v>Right</v>
      </c>
      <c r="H14" s="1939"/>
      <c r="I14" s="2600">
        <v>74.599999999999994</v>
      </c>
      <c r="J14" s="2600">
        <v>93.3</v>
      </c>
      <c r="K14" s="2597">
        <v>57400</v>
      </c>
      <c r="M14" s="1939"/>
      <c r="N14" s="2603">
        <v>5.5</v>
      </c>
      <c r="O14" s="2600">
        <v>7.5</v>
      </c>
      <c r="P14" s="2600"/>
      <c r="Q14" s="2600">
        <v>34600</v>
      </c>
      <c r="R14" s="2597">
        <v>39089</v>
      </c>
      <c r="S14" s="3536">
        <f t="shared" si="0"/>
        <v>73689</v>
      </c>
      <c r="T14" s="2596"/>
      <c r="U14" s="2596"/>
      <c r="V14" s="2595">
        <v>15</v>
      </c>
      <c r="W14" s="1094">
        <v>18</v>
      </c>
      <c r="X14" s="29"/>
      <c r="Y14" s="2131">
        <v>72000</v>
      </c>
      <c r="Z14" s="2135">
        <v>133400</v>
      </c>
      <c r="AA14" s="3544">
        <f t="shared" si="1"/>
        <v>205400</v>
      </c>
      <c r="AB14" s="1939"/>
      <c r="AD14" s="2603">
        <v>18.5</v>
      </c>
      <c r="AE14" s="2604">
        <v>22</v>
      </c>
      <c r="AF14" s="2597">
        <v>45</v>
      </c>
      <c r="AG14" s="2597">
        <v>94655</v>
      </c>
      <c r="AH14" s="2597">
        <v>77413</v>
      </c>
      <c r="AI14" s="2597">
        <v>172068</v>
      </c>
      <c r="AJ14" s="1939"/>
      <c r="AK14" s="2133"/>
      <c r="AL14" s="2131">
        <v>22</v>
      </c>
      <c r="AM14" s="2610">
        <v>30</v>
      </c>
      <c r="AN14" s="2597">
        <v>59</v>
      </c>
      <c r="AO14" s="2597">
        <v>245865</v>
      </c>
      <c r="AP14" s="2597">
        <v>153500</v>
      </c>
      <c r="AQ14" s="2597">
        <v>399365</v>
      </c>
      <c r="AR14" s="1939"/>
      <c r="AT14" s="2603">
        <v>18.5</v>
      </c>
      <c r="AU14" s="2597">
        <v>22</v>
      </c>
      <c r="AV14" s="2597">
        <v>45</v>
      </c>
      <c r="AW14" s="2597">
        <v>73300</v>
      </c>
      <c r="AX14" s="2597">
        <v>77413</v>
      </c>
      <c r="AY14" s="2597">
        <v>150713</v>
      </c>
      <c r="AZ14" s="1939"/>
      <c r="BA14" s="2132"/>
      <c r="BB14" s="2135">
        <v>22</v>
      </c>
      <c r="BC14" s="2135">
        <v>30</v>
      </c>
      <c r="BD14" s="2135">
        <v>65</v>
      </c>
      <c r="BE14" s="2135">
        <v>119100</v>
      </c>
      <c r="BF14" s="2135">
        <v>153500</v>
      </c>
      <c r="BG14" s="2135">
        <v>272600</v>
      </c>
      <c r="BH14" s="1939"/>
      <c r="BK14" s="311" t="s">
        <v>168</v>
      </c>
      <c r="BL14" s="145">
        <v>45500</v>
      </c>
      <c r="BM14" s="131">
        <v>60500</v>
      </c>
      <c r="BR14" s="1939"/>
      <c r="BS14" s="437"/>
    </row>
    <row r="15" spans="1:71">
      <c r="A15" s="2602" t="s">
        <v>2472</v>
      </c>
      <c r="B15" s="3533">
        <f>B7</f>
        <v>18</v>
      </c>
      <c r="C15" s="3533">
        <f>AM26</f>
        <v>18.5</v>
      </c>
      <c r="D15" s="3533">
        <f>AO26</f>
        <v>178020</v>
      </c>
      <c r="E15" s="3533">
        <f>AP26</f>
        <v>133700</v>
      </c>
      <c r="F15" s="3532">
        <f>AN26</f>
        <v>37.5</v>
      </c>
      <c r="G15" s="3534" t="str">
        <f>V34</f>
        <v>Right</v>
      </c>
      <c r="H15" s="1939"/>
      <c r="I15" s="2600">
        <v>93.3</v>
      </c>
      <c r="J15" s="2600">
        <v>111.9</v>
      </c>
      <c r="K15" s="2597">
        <v>63000</v>
      </c>
      <c r="M15" s="1939"/>
      <c r="N15" s="2603">
        <v>7.5</v>
      </c>
      <c r="O15" s="2600">
        <v>11</v>
      </c>
      <c r="P15" s="2600"/>
      <c r="Q15" s="2600">
        <v>45300</v>
      </c>
      <c r="R15" s="2597">
        <v>45395</v>
      </c>
      <c r="S15" s="3536">
        <f t="shared" si="0"/>
        <v>90695</v>
      </c>
      <c r="T15" s="2596"/>
      <c r="U15" s="2596"/>
      <c r="V15" s="2595">
        <v>18</v>
      </c>
      <c r="W15" s="1094">
        <v>22</v>
      </c>
      <c r="X15" s="29"/>
      <c r="Y15" s="2131">
        <v>78500</v>
      </c>
      <c r="Z15" s="2135">
        <v>133700</v>
      </c>
      <c r="AA15" s="3544">
        <f t="shared" si="1"/>
        <v>212200</v>
      </c>
      <c r="AB15" s="1939"/>
      <c r="AD15" s="2603">
        <v>22</v>
      </c>
      <c r="AE15" s="2604">
        <v>30</v>
      </c>
      <c r="AF15" s="2597">
        <v>62</v>
      </c>
      <c r="AG15" s="2597">
        <v>115390</v>
      </c>
      <c r="AH15" s="2597">
        <v>93244</v>
      </c>
      <c r="AI15" s="2597">
        <v>208634</v>
      </c>
      <c r="AJ15" s="1939"/>
      <c r="AK15" s="2133"/>
      <c r="AL15" s="2131">
        <v>30</v>
      </c>
      <c r="AM15" s="2610">
        <v>37</v>
      </c>
      <c r="AN15" s="2597">
        <v>72</v>
      </c>
      <c r="AO15" s="2597">
        <v>281948</v>
      </c>
      <c r="AP15" s="2597">
        <v>169100</v>
      </c>
      <c r="AQ15" s="2597">
        <v>451048</v>
      </c>
      <c r="AR15" s="1939"/>
      <c r="AT15" s="2603">
        <v>22</v>
      </c>
      <c r="AU15" s="2597">
        <v>30</v>
      </c>
      <c r="AV15" s="2597">
        <v>60</v>
      </c>
      <c r="AW15" s="2597">
        <v>81000</v>
      </c>
      <c r="AX15" s="2597">
        <v>93244</v>
      </c>
      <c r="AY15" s="2597">
        <v>174244</v>
      </c>
      <c r="AZ15" s="1939"/>
      <c r="BA15" s="2132"/>
      <c r="BB15" s="2135">
        <v>30</v>
      </c>
      <c r="BC15" s="2135">
        <v>37</v>
      </c>
      <c r="BD15" s="2135">
        <v>80</v>
      </c>
      <c r="BE15" s="2135">
        <v>155300</v>
      </c>
      <c r="BF15" s="2135">
        <v>169100</v>
      </c>
      <c r="BG15" s="2135">
        <v>324400</v>
      </c>
      <c r="BH15" s="1939"/>
      <c r="BK15" s="228" t="s">
        <v>174</v>
      </c>
      <c r="BL15" s="145">
        <v>53900</v>
      </c>
      <c r="BM15" s="131">
        <v>77777</v>
      </c>
      <c r="BR15" s="1939"/>
      <c r="BS15" s="437"/>
    </row>
    <row r="16" spans="1:71">
      <c r="A16" s="2602" t="s">
        <v>2473</v>
      </c>
      <c r="B16" s="3533">
        <f>B8</f>
        <v>2.2000000000000002</v>
      </c>
      <c r="C16" s="3533">
        <f>AE21</f>
        <v>2.2000000000000002</v>
      </c>
      <c r="D16" s="3533">
        <f>AG21</f>
        <v>24035</v>
      </c>
      <c r="E16" s="3533">
        <f>AH21</f>
        <v>29653</v>
      </c>
      <c r="F16" s="3532">
        <f>AF21</f>
        <v>5.9</v>
      </c>
      <c r="G16" s="3534" t="str">
        <f>AD21</f>
        <v>Right</v>
      </c>
      <c r="H16" s="1939"/>
      <c r="I16" s="2600">
        <v>111.9</v>
      </c>
      <c r="J16" s="2600">
        <v>134.30000000000001</v>
      </c>
      <c r="K16" s="2597">
        <v>68600</v>
      </c>
      <c r="M16" s="1939"/>
      <c r="N16" s="2603">
        <v>11</v>
      </c>
      <c r="O16" s="2600">
        <v>15</v>
      </c>
      <c r="P16" s="2600"/>
      <c r="Q16" s="2600">
        <v>52800</v>
      </c>
      <c r="R16" s="2597">
        <v>51530</v>
      </c>
      <c r="S16" s="3536">
        <f t="shared" si="0"/>
        <v>104330</v>
      </c>
      <c r="T16" s="2596"/>
      <c r="U16" s="2596"/>
      <c r="V16" s="2595">
        <v>22</v>
      </c>
      <c r="W16" s="1094">
        <v>30</v>
      </c>
      <c r="X16" s="29"/>
      <c r="Y16" s="2131">
        <v>109400</v>
      </c>
      <c r="Z16" s="2135">
        <v>153500</v>
      </c>
      <c r="AA16" s="3544">
        <f t="shared" si="1"/>
        <v>262900</v>
      </c>
      <c r="AB16" s="1939"/>
      <c r="AD16" s="2603">
        <v>30</v>
      </c>
      <c r="AE16" s="2604">
        <v>37</v>
      </c>
      <c r="AF16" s="2597">
        <v>75</v>
      </c>
      <c r="AG16" s="2597">
        <v>133375</v>
      </c>
      <c r="AH16" s="2597">
        <v>101021</v>
      </c>
      <c r="AI16" s="2597">
        <v>234396</v>
      </c>
      <c r="AJ16" s="1939"/>
      <c r="AK16" s="2133"/>
      <c r="AL16" s="2131">
        <v>37</v>
      </c>
      <c r="AM16" s="2610">
        <v>45</v>
      </c>
      <c r="AN16" s="2597">
        <v>92</v>
      </c>
      <c r="AO16" s="2597">
        <v>330540</v>
      </c>
      <c r="AP16" s="2597">
        <v>181700</v>
      </c>
      <c r="AQ16" s="2597">
        <v>512240</v>
      </c>
      <c r="AR16" s="1939"/>
      <c r="AT16" s="2603">
        <v>30</v>
      </c>
      <c r="AU16" s="2597">
        <v>37</v>
      </c>
      <c r="AV16" s="2597">
        <v>75</v>
      </c>
      <c r="AW16" s="2597">
        <v>90500</v>
      </c>
      <c r="AX16" s="2597">
        <v>101021</v>
      </c>
      <c r="AY16" s="2597">
        <v>191521</v>
      </c>
      <c r="AZ16" s="1939"/>
      <c r="BA16" s="2132"/>
      <c r="BB16" s="2135">
        <v>37</v>
      </c>
      <c r="BC16" s="2135">
        <v>45</v>
      </c>
      <c r="BD16" s="2135">
        <v>97</v>
      </c>
      <c r="BE16" s="2135">
        <v>172400</v>
      </c>
      <c r="BF16" s="2135">
        <v>181700</v>
      </c>
      <c r="BG16" s="2135">
        <v>354100</v>
      </c>
      <c r="BH16" s="1939"/>
      <c r="BK16" s="228" t="s">
        <v>179</v>
      </c>
      <c r="BL16" s="145">
        <v>62440</v>
      </c>
      <c r="BM16" s="131">
        <v>85960</v>
      </c>
      <c r="BR16" s="1939"/>
      <c r="BS16" s="437"/>
    </row>
    <row r="17" spans="1:71">
      <c r="A17" s="2602" t="s">
        <v>2474</v>
      </c>
      <c r="B17" s="3533">
        <f>B9</f>
        <v>4.4000000000000004</v>
      </c>
      <c r="C17" s="3533">
        <f>AE22</f>
        <v>5.5</v>
      </c>
      <c r="D17" s="3533">
        <f>AG22</f>
        <v>37015</v>
      </c>
      <c r="E17" s="3533">
        <f>AH22</f>
        <v>34232</v>
      </c>
      <c r="F17" s="3532">
        <f>AF22</f>
        <v>13.2</v>
      </c>
      <c r="G17" s="3534" t="str">
        <f>AD22</f>
        <v>Right</v>
      </c>
      <c r="H17" s="1939"/>
      <c r="I17" s="2600">
        <v>134.30000000000001</v>
      </c>
      <c r="J17" s="2600">
        <v>149.19999999999999</v>
      </c>
      <c r="K17" s="2597">
        <v>96040</v>
      </c>
      <c r="M17" s="1939"/>
      <c r="N17" s="2603"/>
      <c r="O17" s="2600"/>
      <c r="P17" s="2600"/>
      <c r="Q17" s="2600"/>
      <c r="R17" s="2597"/>
      <c r="S17" s="2611"/>
      <c r="T17" s="2596"/>
      <c r="U17" s="2596"/>
      <c r="V17" s="2595">
        <v>30</v>
      </c>
      <c r="W17" s="1094">
        <v>37</v>
      </c>
      <c r="X17" s="29"/>
      <c r="Y17" s="2131">
        <v>128000</v>
      </c>
      <c r="Z17" s="2135">
        <v>169100</v>
      </c>
      <c r="AA17" s="3544">
        <f t="shared" si="1"/>
        <v>297100</v>
      </c>
      <c r="AB17" s="1939"/>
      <c r="AD17" s="2603">
        <v>37</v>
      </c>
      <c r="AE17" s="2604">
        <v>45</v>
      </c>
      <c r="AF17" s="2597">
        <v>90</v>
      </c>
      <c r="AG17" s="2597">
        <v>153615</v>
      </c>
      <c r="AH17" s="2597">
        <v>115496</v>
      </c>
      <c r="AI17" s="2597">
        <v>269111</v>
      </c>
      <c r="AJ17" s="1939"/>
      <c r="AK17" s="2133"/>
      <c r="AL17" s="2131">
        <v>45</v>
      </c>
      <c r="AM17" s="2610">
        <v>55</v>
      </c>
      <c r="AN17" s="2597">
        <v>124</v>
      </c>
      <c r="AO17" s="2597">
        <v>367590</v>
      </c>
      <c r="AP17" s="2597">
        <v>211100</v>
      </c>
      <c r="AQ17" s="2597">
        <v>578690</v>
      </c>
      <c r="AR17" s="1939"/>
      <c r="AT17" s="2603">
        <v>37</v>
      </c>
      <c r="AU17" s="2597">
        <v>45</v>
      </c>
      <c r="AV17" s="2597">
        <v>91</v>
      </c>
      <c r="AW17" s="2597">
        <v>102300</v>
      </c>
      <c r="AX17" s="2597">
        <v>115496</v>
      </c>
      <c r="AY17" s="2597">
        <v>217796</v>
      </c>
      <c r="AZ17" s="1939"/>
      <c r="BA17" s="2132"/>
      <c r="BB17" s="2135">
        <v>45</v>
      </c>
      <c r="BC17" s="2135">
        <v>55</v>
      </c>
      <c r="BD17" s="2135">
        <v>128</v>
      </c>
      <c r="BE17" s="2135">
        <v>264700</v>
      </c>
      <c r="BF17" s="2135">
        <v>211100</v>
      </c>
      <c r="BG17" s="2135">
        <v>475800</v>
      </c>
      <c r="BH17" s="1939"/>
      <c r="BK17" s="228" t="s">
        <v>183</v>
      </c>
      <c r="BL17" s="145">
        <v>68040</v>
      </c>
      <c r="BM17" s="131">
        <v>95060</v>
      </c>
      <c r="BR17" s="1939"/>
      <c r="BS17" s="437"/>
    </row>
    <row r="18" spans="1:71">
      <c r="A18" s="2602" t="s">
        <v>1721</v>
      </c>
      <c r="B18" s="3535">
        <f>B10</f>
        <v>42.6</v>
      </c>
      <c r="C18" s="3535">
        <f>J25</f>
        <v>44.8</v>
      </c>
      <c r="D18" s="131"/>
      <c r="E18" s="3535">
        <f>K25</f>
        <v>39200</v>
      </c>
      <c r="I18" s="2600">
        <v>149.19999999999999</v>
      </c>
      <c r="J18" s="2600">
        <v>186.5</v>
      </c>
      <c r="K18" s="2597">
        <v>134456</v>
      </c>
      <c r="M18" s="1939"/>
      <c r="N18" s="2603"/>
      <c r="O18" s="2600"/>
      <c r="P18" s="2600"/>
      <c r="Q18" s="2600"/>
      <c r="R18" s="2597"/>
      <c r="S18" s="2611"/>
      <c r="T18" s="2596"/>
      <c r="U18" s="2596"/>
      <c r="V18" s="2595">
        <v>37</v>
      </c>
      <c r="W18" s="1094">
        <v>45</v>
      </c>
      <c r="X18" s="29"/>
      <c r="Y18" s="2131">
        <v>165800</v>
      </c>
      <c r="Z18" s="2135">
        <v>181700</v>
      </c>
      <c r="AA18" s="3544">
        <f t="shared" si="1"/>
        <v>347500</v>
      </c>
      <c r="AB18" s="1939"/>
      <c r="AD18" s="2603">
        <v>45</v>
      </c>
      <c r="AE18" s="2604">
        <v>55</v>
      </c>
      <c r="AF18" s="2597">
        <v>110</v>
      </c>
      <c r="AG18" s="2597">
        <v>173580</v>
      </c>
      <c r="AH18" s="2597">
        <v>137292</v>
      </c>
      <c r="AI18" s="2597">
        <v>310872</v>
      </c>
      <c r="AJ18" s="1939"/>
      <c r="AK18" s="2133"/>
      <c r="AL18" s="2131">
        <v>55</v>
      </c>
      <c r="AM18" s="2610">
        <v>75</v>
      </c>
      <c r="AN18" s="2597">
        <v>146</v>
      </c>
      <c r="AO18" s="2597">
        <v>413783</v>
      </c>
      <c r="AP18" s="2597">
        <v>231000</v>
      </c>
      <c r="AQ18" s="2597">
        <v>644783</v>
      </c>
      <c r="AR18" s="1939"/>
      <c r="AT18" s="2603">
        <v>45</v>
      </c>
      <c r="AU18" s="2597">
        <v>55</v>
      </c>
      <c r="AV18" s="2597">
        <v>112</v>
      </c>
      <c r="AW18" s="2597">
        <v>109500</v>
      </c>
      <c r="AX18" s="2597">
        <v>137292</v>
      </c>
      <c r="AY18" s="2597">
        <v>246792</v>
      </c>
      <c r="AZ18" s="1939"/>
      <c r="BA18" s="2132"/>
      <c r="BB18" s="2135">
        <v>55</v>
      </c>
      <c r="BC18" s="2135">
        <v>75</v>
      </c>
      <c r="BD18" s="2135">
        <v>165</v>
      </c>
      <c r="BE18" s="2135">
        <v>281100</v>
      </c>
      <c r="BF18" s="2135">
        <v>231000</v>
      </c>
      <c r="BG18" s="2135">
        <v>512100</v>
      </c>
      <c r="BH18" s="1939"/>
      <c r="BK18" s="228" t="s">
        <v>188</v>
      </c>
      <c r="BL18" s="145">
        <v>70000</v>
      </c>
      <c r="BM18" s="131">
        <v>97500</v>
      </c>
      <c r="BN18" s="31"/>
      <c r="BR18" s="1939"/>
      <c r="BS18" s="437"/>
    </row>
    <row r="19" spans="1:71">
      <c r="A19" s="153"/>
      <c r="I19" s="2600">
        <v>186.5</v>
      </c>
      <c r="J19" s="2600">
        <v>223.8</v>
      </c>
      <c r="K19" s="2597">
        <v>188238</v>
      </c>
      <c r="M19" s="1939"/>
      <c r="N19" s="3537">
        <f>B8</f>
        <v>2.2000000000000002</v>
      </c>
      <c r="O19" s="3538">
        <f>VLOOKUP(N19,N5:N18,1)</f>
        <v>2.2000000000000002</v>
      </c>
      <c r="P19" s="3538">
        <f>VLOOKUP(O19,N5:O18,2,0)</f>
        <v>3</v>
      </c>
      <c r="Q19" s="3538">
        <f>IFERROR(VLOOKUP(N19,O5:O18,1,0),0)</f>
        <v>2.2000000000000002</v>
      </c>
      <c r="R19" s="3538" t="str">
        <f>IF(N19&lt;=O21,"Right","Wrong")</f>
        <v>Right</v>
      </c>
      <c r="S19" s="3538" t="str">
        <f>IF(Q21+R21=S21,"Right","Wrong")</f>
        <v>Right</v>
      </c>
      <c r="T19" s="2596"/>
      <c r="U19" s="2596"/>
      <c r="V19" s="2595">
        <v>45</v>
      </c>
      <c r="W19" s="1094">
        <v>55</v>
      </c>
      <c r="X19" s="29"/>
      <c r="Y19" s="2131">
        <v>187400</v>
      </c>
      <c r="Z19" s="2135">
        <v>211100</v>
      </c>
      <c r="AA19" s="3544">
        <f t="shared" si="1"/>
        <v>398500</v>
      </c>
      <c r="AB19" s="1939"/>
      <c r="AD19" s="3537">
        <f>B16</f>
        <v>2.2000000000000002</v>
      </c>
      <c r="AE19" s="3538">
        <f>VLOOKUP(AD19,AD5:AD18,1)</f>
        <v>2.2000000000000002</v>
      </c>
      <c r="AF19" s="3538">
        <f>VLOOKUP(AE19,AD5:AE18,2,0)</f>
        <v>3</v>
      </c>
      <c r="AG19" s="3538">
        <f>IFERROR(VLOOKUP(AD19,AE5:AE18,1,0),0)</f>
        <v>2.2000000000000002</v>
      </c>
      <c r="AH19" s="3538" t="str">
        <f>IF(AD19&lt;=AE21,"Right","Wrong")</f>
        <v>Right</v>
      </c>
      <c r="AI19" s="3538" t="str">
        <f>IF(AG21+AH21=AI21,"Right","Wrong")</f>
        <v>Right</v>
      </c>
      <c r="AJ19" s="1939"/>
      <c r="AK19" s="2133"/>
      <c r="AL19" s="2131">
        <v>75</v>
      </c>
      <c r="AM19" s="2610">
        <v>90</v>
      </c>
      <c r="AN19" s="2597">
        <v>186</v>
      </c>
      <c r="AO19" s="2597">
        <v>490763</v>
      </c>
      <c r="AP19" s="2597">
        <v>287900</v>
      </c>
      <c r="AQ19" s="2597">
        <v>778663</v>
      </c>
      <c r="AR19" s="1939"/>
      <c r="AT19" s="3537">
        <f>B24</f>
        <v>2.2000000000000002</v>
      </c>
      <c r="AU19" s="3538">
        <f>VLOOKUP(AT19,AT5:AT18,1)</f>
        <v>2.2000000000000002</v>
      </c>
      <c r="AV19" s="3538">
        <f>VLOOKUP(AU19,AT5:AU18,2,0)</f>
        <v>3.7</v>
      </c>
      <c r="AW19" s="3538">
        <f>IFERROR(VLOOKUP(AT19,AU5:AU18,1,0),0)</f>
        <v>2.2000000000000002</v>
      </c>
      <c r="AX19" s="3538" t="str">
        <f>IF(AT19&lt;=AU21,"Right","Wrong")</f>
        <v>Right</v>
      </c>
      <c r="AY19" s="3538" t="str">
        <f>IF(AW21+AX21=AY21,"Right","Wrong")</f>
        <v>Right</v>
      </c>
      <c r="AZ19" s="1939"/>
      <c r="BA19" s="2132"/>
      <c r="BB19" s="2135">
        <v>75</v>
      </c>
      <c r="BC19" s="2135">
        <v>90</v>
      </c>
      <c r="BD19" s="2135">
        <v>195</v>
      </c>
      <c r="BE19" s="2135">
        <v>307100</v>
      </c>
      <c r="BF19" s="2135">
        <v>287900</v>
      </c>
      <c r="BG19" s="2135">
        <v>595000</v>
      </c>
      <c r="BH19" s="1939"/>
      <c r="BK19" s="311" t="s">
        <v>195</v>
      </c>
      <c r="BL19" s="145">
        <v>70700</v>
      </c>
      <c r="BM19" s="131">
        <v>99540</v>
      </c>
      <c r="BN19" s="31"/>
      <c r="BR19" s="1939"/>
      <c r="BS19" s="437"/>
    </row>
    <row r="20" spans="1:71">
      <c r="A20" s="2128"/>
      <c r="B20" s="1939"/>
      <c r="D20" s="2129" t="s">
        <v>2470</v>
      </c>
      <c r="E20" s="2130"/>
      <c r="F20" s="1939"/>
      <c r="G20" s="1939"/>
      <c r="H20" s="1939"/>
      <c r="I20" s="2600">
        <v>223.8</v>
      </c>
      <c r="J20" s="2600">
        <v>261.10000000000002</v>
      </c>
      <c r="K20" s="2597">
        <v>263534</v>
      </c>
      <c r="M20" s="2136" t="s">
        <v>2599</v>
      </c>
      <c r="N20" s="3537">
        <f>B9</f>
        <v>4.4000000000000004</v>
      </c>
      <c r="O20" s="3538">
        <f>VLOOKUP(N20,N5:N18,1)</f>
        <v>4</v>
      </c>
      <c r="P20" s="3538">
        <f>VLOOKUP(O20,N5:O18,2,0)</f>
        <v>5.5</v>
      </c>
      <c r="Q20" s="3538">
        <f>IFERROR(VLOOKUP(N20,O5:O18,1,0),0)</f>
        <v>0</v>
      </c>
      <c r="R20" s="3538" t="str">
        <f>IF(N20&lt;=O22,"Right","Wrong")</f>
        <v>Right</v>
      </c>
      <c r="S20" s="3538" t="str">
        <f>IF(Q22+R22=S22,"Right","Wrong")</f>
        <v>Right</v>
      </c>
      <c r="T20" s="2596"/>
      <c r="U20" s="2596"/>
      <c r="V20" s="2595">
        <v>55</v>
      </c>
      <c r="W20" s="1094">
        <v>75</v>
      </c>
      <c r="X20" s="29"/>
      <c r="Y20" s="2131">
        <v>206700</v>
      </c>
      <c r="Z20" s="2135">
        <v>231000</v>
      </c>
      <c r="AA20" s="3544">
        <f t="shared" si="1"/>
        <v>437700</v>
      </c>
      <c r="AB20" s="1939"/>
      <c r="AD20" s="3537">
        <f>B17</f>
        <v>4.4000000000000004</v>
      </c>
      <c r="AE20" s="3538">
        <f>VLOOKUP(AD20,AD5:AD18,1)</f>
        <v>3</v>
      </c>
      <c r="AF20" s="3538">
        <f>VLOOKUP(AE20,AD5:AE18,2,0)</f>
        <v>5.5</v>
      </c>
      <c r="AG20" s="3538">
        <f>IFERROR(VLOOKUP(AD20,AE5:AE18,1,0),0)</f>
        <v>0</v>
      </c>
      <c r="AH20" s="3538" t="str">
        <f>IF(AD20&lt;=AE22,"Right","Wrong")</f>
        <v>Right</v>
      </c>
      <c r="AI20" s="3538" t="str">
        <f>IF(AG22+AH22=AI22,"Right","Wrong")</f>
        <v>Right</v>
      </c>
      <c r="AJ20" s="1939"/>
      <c r="AK20" s="2133"/>
      <c r="AL20" s="2131">
        <v>90</v>
      </c>
      <c r="AM20" s="2610">
        <v>110</v>
      </c>
      <c r="AN20" s="2597">
        <v>210</v>
      </c>
      <c r="AO20" s="2597">
        <v>586988</v>
      </c>
      <c r="AP20" s="2597">
        <v>321900</v>
      </c>
      <c r="AQ20" s="2597">
        <v>908888</v>
      </c>
      <c r="AR20" s="1939"/>
      <c r="AT20" s="3537">
        <f>B25</f>
        <v>4.4000000000000004</v>
      </c>
      <c r="AU20" s="3538">
        <f>VLOOKUP(AT20,AT5:AT18,1)</f>
        <v>3.7</v>
      </c>
      <c r="AV20" s="3538">
        <f>VLOOKUP(AU20,AT5:AU18,2,0)</f>
        <v>5.5</v>
      </c>
      <c r="AW20" s="3538">
        <f>IFERROR(VLOOKUP(AT20,AU5:AU18,1,0),0)</f>
        <v>0</v>
      </c>
      <c r="AX20" s="3538" t="str">
        <f>IF(AT20&lt;=AU22,"Right","Wrong")</f>
        <v>Right</v>
      </c>
      <c r="AY20" s="3538" t="str">
        <f>IF(AW22+AX22=AY22,"Right","Wrong")</f>
        <v>Right</v>
      </c>
      <c r="AZ20" s="1939"/>
      <c r="BA20" s="2132"/>
      <c r="BB20" s="2135">
        <v>90</v>
      </c>
      <c r="BC20" s="2135">
        <v>110</v>
      </c>
      <c r="BD20" s="2135">
        <v>240</v>
      </c>
      <c r="BE20" s="2135">
        <v>330400</v>
      </c>
      <c r="BF20" s="2135">
        <v>321900</v>
      </c>
      <c r="BG20" s="2135">
        <v>652300</v>
      </c>
      <c r="BH20" s="1939"/>
      <c r="BK20" s="311" t="s">
        <v>200</v>
      </c>
      <c r="BL20" s="145">
        <v>84000</v>
      </c>
      <c r="BM20" s="131">
        <v>120120</v>
      </c>
      <c r="BN20" s="31"/>
      <c r="BR20" s="1939"/>
      <c r="BS20" s="437"/>
    </row>
    <row r="21" spans="1:71">
      <c r="A21" s="2131" t="s">
        <v>1710</v>
      </c>
      <c r="B21" s="2602" t="s">
        <v>2462</v>
      </c>
      <c r="C21" s="2602" t="s">
        <v>714</v>
      </c>
      <c r="D21" s="2602" t="s">
        <v>1711</v>
      </c>
      <c r="E21" s="2602" t="s">
        <v>1550</v>
      </c>
      <c r="F21" s="2131" t="s">
        <v>2468</v>
      </c>
      <c r="G21" s="1939"/>
      <c r="H21" s="1939"/>
      <c r="I21" s="2600">
        <v>261.10000000000002</v>
      </c>
      <c r="J21" s="2600">
        <v>298.39999999999998</v>
      </c>
      <c r="K21" s="2597">
        <v>368947</v>
      </c>
      <c r="N21" s="3538" t="str">
        <f>IF(S19="Right",IF(R19="Right","Right","Wrong"),"Wrong")</f>
        <v>Right</v>
      </c>
      <c r="O21" s="3539">
        <f>IF(Q19&gt;0,Q19,P19)</f>
        <v>2.2000000000000002</v>
      </c>
      <c r="P21" s="3538">
        <f>VLOOKUP(O21,O5:Q18,2,0)</f>
        <v>0</v>
      </c>
      <c r="Q21" s="3538">
        <f>VLOOKUP(O21,O5:Q18,3,0)</f>
        <v>17300</v>
      </c>
      <c r="R21" s="3538">
        <f>VLOOKUP(O21,O5:S18,4,0)</f>
        <v>29653</v>
      </c>
      <c r="S21" s="3538">
        <f>VLOOKUP(O21,O5:S18,5,0)</f>
        <v>46953</v>
      </c>
      <c r="T21" s="1939"/>
      <c r="U21" s="2132"/>
      <c r="V21" s="1094">
        <v>75</v>
      </c>
      <c r="W21" s="1094">
        <v>90</v>
      </c>
      <c r="X21" s="29"/>
      <c r="Y21" s="2139"/>
      <c r="Z21" s="2135">
        <v>287900</v>
      </c>
      <c r="AA21" s="3544">
        <f t="shared" si="1"/>
        <v>287900</v>
      </c>
      <c r="AB21" s="1939"/>
      <c r="AD21" s="3538" t="str">
        <f>IF(AI19="Right",IF(AH19="Right","Right","Wrong"),"Wrong")</f>
        <v>Right</v>
      </c>
      <c r="AE21" s="3539">
        <f>IF(AG19&gt;0,AG19,AF19)</f>
        <v>2.2000000000000002</v>
      </c>
      <c r="AF21" s="3538">
        <f>VLOOKUP(AE21,AE5:AG18,2,0)</f>
        <v>5.9</v>
      </c>
      <c r="AG21" s="3538">
        <f>VLOOKUP(AE21,AE5:AG18,3,0)</f>
        <v>24035</v>
      </c>
      <c r="AH21" s="3538">
        <f>VLOOKUP(AE21,AE5:AI18,4,0)</f>
        <v>29653</v>
      </c>
      <c r="AI21" s="3538">
        <f>VLOOKUP(AE21,AE5:AI18,5,0)</f>
        <v>53688</v>
      </c>
      <c r="AJ21" s="1939"/>
      <c r="AK21" s="2133"/>
      <c r="AL21" s="2131">
        <v>110</v>
      </c>
      <c r="AM21" s="2610">
        <v>132</v>
      </c>
      <c r="AN21" s="2597">
        <v>260</v>
      </c>
      <c r="AO21" s="2597">
        <v>678405</v>
      </c>
      <c r="AP21" s="2597">
        <v>348000</v>
      </c>
      <c r="AQ21" s="2597">
        <v>1026405</v>
      </c>
      <c r="AR21" s="1939"/>
      <c r="AT21" s="3538" t="str">
        <f>IF(AY19="Right",IF(AX19="Right","Right","Wrong"),"Wrong")</f>
        <v>Right</v>
      </c>
      <c r="AU21" s="3539">
        <f>IF(AW19&gt;0,AW19,AV19)</f>
        <v>2.2000000000000002</v>
      </c>
      <c r="AV21" s="3538">
        <f>VLOOKUP(AU21,AU5:AW18,2,0)</f>
        <v>5.3</v>
      </c>
      <c r="AW21" s="3538">
        <f>VLOOKUP(AU21,AU5:AW18,3,0)</f>
        <v>24500</v>
      </c>
      <c r="AX21" s="3538">
        <f>VLOOKUP(AU21,AU5:AY18,4,0)</f>
        <v>29653</v>
      </c>
      <c r="AY21" s="3538">
        <f>VLOOKUP(AU21,AU5:AY18,5,0)</f>
        <v>54153</v>
      </c>
      <c r="AZ21" s="1939"/>
      <c r="BA21" s="2132"/>
      <c r="BB21" s="2135">
        <v>110</v>
      </c>
      <c r="BC21" s="2135">
        <v>132</v>
      </c>
      <c r="BD21" s="2135">
        <v>270</v>
      </c>
      <c r="BE21" s="2135">
        <v>508500</v>
      </c>
      <c r="BF21" s="2135">
        <v>348000</v>
      </c>
      <c r="BG21" s="2135">
        <v>856500</v>
      </c>
      <c r="BH21" s="1939"/>
      <c r="BK21" s="311" t="s">
        <v>207</v>
      </c>
      <c r="BL21" s="145">
        <v>113400</v>
      </c>
      <c r="BN21" s="31"/>
      <c r="BR21" s="1939"/>
      <c r="BS21" s="437"/>
    </row>
    <row r="22" spans="1:71">
      <c r="A22" s="2602" t="s">
        <v>2471</v>
      </c>
      <c r="B22" s="3533">
        <f>B6</f>
        <v>18</v>
      </c>
      <c r="C22" s="3533">
        <f>BC25</f>
        <v>18.5</v>
      </c>
      <c r="D22" s="3533">
        <f>BE25</f>
        <v>95800</v>
      </c>
      <c r="E22" s="3533">
        <f>BF25</f>
        <v>133700</v>
      </c>
      <c r="F22" s="3532">
        <f>BD25</f>
        <v>42</v>
      </c>
      <c r="G22" s="3534" t="str">
        <f>BB25</f>
        <v>Right</v>
      </c>
      <c r="H22" s="1939"/>
      <c r="I22" s="2600">
        <v>298.39999999999998</v>
      </c>
      <c r="J22" s="2600">
        <v>373</v>
      </c>
      <c r="K22" s="2597">
        <v>516526</v>
      </c>
      <c r="M22" s="1939"/>
      <c r="N22" s="3538" t="str">
        <f>IF(S20="Right",IF(R20="Right","Right","Wrong"),"Wrong")</f>
        <v>Right</v>
      </c>
      <c r="O22" s="3539">
        <f>IF(Q20&gt;0,Q20,P20)</f>
        <v>5.5</v>
      </c>
      <c r="P22" s="3538">
        <f>VLOOKUP(O22,O5:Q18,2,0)</f>
        <v>0</v>
      </c>
      <c r="Q22" s="3538">
        <f>VLOOKUP(O22,O5:Q18,3,0)</f>
        <v>28800</v>
      </c>
      <c r="R22" s="3538">
        <f>VLOOKUP(O22,O5:S18,4,0)</f>
        <v>34232</v>
      </c>
      <c r="S22" s="3538">
        <f>VLOOKUP(O22,O5:S18,5,0)</f>
        <v>63032</v>
      </c>
      <c r="T22" s="1939"/>
      <c r="U22" s="2132"/>
      <c r="V22" s="1094">
        <v>90</v>
      </c>
      <c r="W22" s="1094">
        <v>110</v>
      </c>
      <c r="X22" s="29"/>
      <c r="Y22" s="2139"/>
      <c r="Z22" s="2135">
        <v>321900</v>
      </c>
      <c r="AA22" s="3544">
        <f t="shared" si="1"/>
        <v>321900</v>
      </c>
      <c r="AB22" s="1939"/>
      <c r="AD22" s="3538" t="str">
        <f>IF(AI20="Right",IF(AH20="Right","Right","Wrong"),"Wrong")</f>
        <v>Right</v>
      </c>
      <c r="AE22" s="3539">
        <f>IF(AG20&gt;0,AG20,AF20)</f>
        <v>5.5</v>
      </c>
      <c r="AF22" s="3538">
        <f>VLOOKUP(AE22,AE5:AG18,2,0)</f>
        <v>13.2</v>
      </c>
      <c r="AG22" s="3538">
        <f>VLOOKUP(AE22,AE5:AG18,3,0)</f>
        <v>37015</v>
      </c>
      <c r="AH22" s="3538">
        <f>VLOOKUP(AE22,AE5:AI18,4,0)</f>
        <v>34232</v>
      </c>
      <c r="AI22" s="3538">
        <f>VLOOKUP(AE22,AE5:AI18,5,0)</f>
        <v>71247</v>
      </c>
      <c r="AJ22" s="1939"/>
      <c r="AK22" s="2133"/>
      <c r="AL22" s="2131">
        <v>132</v>
      </c>
      <c r="AM22" s="2610">
        <v>160</v>
      </c>
      <c r="AN22" s="2597">
        <v>315</v>
      </c>
      <c r="AO22" s="2597">
        <v>765008</v>
      </c>
      <c r="AP22" s="2597">
        <v>370000</v>
      </c>
      <c r="AQ22" s="2597">
        <v>1135008</v>
      </c>
      <c r="AR22" s="1939"/>
      <c r="AT22" s="3538" t="str">
        <f>IF(AY20="Right",IF(AX20="Right","Right","Wrong"),"Wrong")</f>
        <v>Right</v>
      </c>
      <c r="AU22" s="3539">
        <f>IF(AW20&gt;0,AW20,AV20)</f>
        <v>5.5</v>
      </c>
      <c r="AV22" s="3538">
        <f>VLOOKUP(AU22,AU5:AW18,2,0)</f>
        <v>12.5</v>
      </c>
      <c r="AW22" s="3538">
        <f>VLOOKUP(AU22,AU5:AW18,3,0)</f>
        <v>26400</v>
      </c>
      <c r="AX22" s="3538">
        <f>VLOOKUP(AU22,AU5:AY18,4,0)</f>
        <v>34232</v>
      </c>
      <c r="AY22" s="3538">
        <f>VLOOKUP(AU22,AU5:AY18,5,0)</f>
        <v>60632</v>
      </c>
      <c r="AZ22" s="1939"/>
      <c r="BA22" s="2132"/>
      <c r="BB22" s="2135">
        <v>132</v>
      </c>
      <c r="BC22" s="2135">
        <v>160</v>
      </c>
      <c r="BD22" s="2135">
        <v>325</v>
      </c>
      <c r="BE22" s="2135">
        <v>609400</v>
      </c>
      <c r="BF22" s="2135">
        <v>370000</v>
      </c>
      <c r="BG22" s="2135">
        <v>979400</v>
      </c>
      <c r="BH22" s="1939"/>
      <c r="BK22" s="228" t="s">
        <v>214</v>
      </c>
      <c r="BL22" s="145">
        <v>149800</v>
      </c>
      <c r="BN22" s="31"/>
      <c r="BR22" s="1939"/>
      <c r="BS22" s="437"/>
    </row>
    <row r="23" spans="1:71">
      <c r="A23" s="2602" t="s">
        <v>2472</v>
      </c>
      <c r="B23" s="3533">
        <f>B7</f>
        <v>18</v>
      </c>
      <c r="C23" s="3533">
        <f>BC26</f>
        <v>18.5</v>
      </c>
      <c r="D23" s="3533">
        <f>BE26</f>
        <v>95800</v>
      </c>
      <c r="E23" s="3533">
        <f>BF26</f>
        <v>133700</v>
      </c>
      <c r="F23" s="3532">
        <f>BD26</f>
        <v>42</v>
      </c>
      <c r="G23" s="3534" t="str">
        <f>BB26</f>
        <v>Right</v>
      </c>
      <c r="H23" s="1939"/>
      <c r="I23" s="2597"/>
      <c r="J23" s="2597"/>
      <c r="K23" s="2597"/>
      <c r="M23" s="1939"/>
      <c r="N23" s="1939"/>
      <c r="O23" s="1939"/>
      <c r="P23" s="1939"/>
      <c r="Q23" s="1939"/>
      <c r="R23" s="1939"/>
      <c r="S23" s="1939"/>
      <c r="T23" s="1939"/>
      <c r="U23" s="2132"/>
      <c r="V23" s="1094">
        <v>110</v>
      </c>
      <c r="W23" s="29">
        <v>132</v>
      </c>
      <c r="X23" s="29"/>
      <c r="Y23" s="2139"/>
      <c r="Z23" s="2135">
        <v>348000</v>
      </c>
      <c r="AA23" s="3544">
        <f t="shared" si="1"/>
        <v>348000</v>
      </c>
      <c r="AB23" s="1939"/>
      <c r="AD23" s="1939"/>
      <c r="AE23" s="1939"/>
      <c r="AF23" s="1939"/>
      <c r="AG23" s="1939"/>
      <c r="AH23" s="1939"/>
      <c r="AI23" s="1939"/>
      <c r="AJ23" s="1939"/>
      <c r="AK23" s="2133"/>
      <c r="AL23" s="3537">
        <f>B14</f>
        <v>18</v>
      </c>
      <c r="AM23" s="3538">
        <f>VLOOKUP(AL23,AL5:AL22,1)</f>
        <v>15</v>
      </c>
      <c r="AN23" s="3538">
        <f>VLOOKUP(AM23,AL5:AM22,2,0)</f>
        <v>18.5</v>
      </c>
      <c r="AO23" s="3538">
        <f>IFERROR(VLOOKUP(AL23,AM5:AM22,1,0),0)</f>
        <v>0</v>
      </c>
      <c r="AP23" s="3538" t="str">
        <f>IF(AL23&lt;=AM25,"Right","Wrong")</f>
        <v>Right</v>
      </c>
      <c r="AQ23" s="3538" t="str">
        <f>IF(AO25+AP25=AQ25,"Right","Wrong")</f>
        <v>Right</v>
      </c>
      <c r="AR23" s="1939"/>
      <c r="AT23" s="1939"/>
      <c r="AU23" s="1939"/>
      <c r="AV23" s="1939"/>
      <c r="AW23" s="1939"/>
      <c r="AX23" s="1939"/>
      <c r="AY23" s="1939"/>
      <c r="AZ23" s="1939"/>
      <c r="BA23" s="2132"/>
      <c r="BB23" s="3537">
        <f>B22</f>
        <v>18</v>
      </c>
      <c r="BC23" s="3538">
        <f>VLOOKUP(BB23,BB5:BB22,1)</f>
        <v>15</v>
      </c>
      <c r="BD23" s="3538">
        <f>VLOOKUP(BC23,BB5:BC22,2,0)</f>
        <v>18.5</v>
      </c>
      <c r="BE23" s="3538">
        <f>IFERROR(VLOOKUP(BB23,BC5:BC22,1,0),0)</f>
        <v>0</v>
      </c>
      <c r="BF23" s="3538" t="str">
        <f>IF(BB23&lt;=BC25,"Right","Wrong")</f>
        <v>Right</v>
      </c>
      <c r="BG23" s="3538" t="str">
        <f>IF(BE25+BF25=BG25,"Right","Wrong")</f>
        <v>Right</v>
      </c>
      <c r="BH23" s="1939"/>
      <c r="BK23" s="131" t="s">
        <v>220</v>
      </c>
      <c r="BL23" s="235">
        <v>182000</v>
      </c>
      <c r="BN23" s="31"/>
      <c r="BR23" s="1939"/>
      <c r="BS23" s="437"/>
    </row>
    <row r="24" spans="1:71">
      <c r="A24" s="2602" t="s">
        <v>2473</v>
      </c>
      <c r="B24" s="3533">
        <f>B8</f>
        <v>2.2000000000000002</v>
      </c>
      <c r="C24" s="3533">
        <f>AU21</f>
        <v>2.2000000000000002</v>
      </c>
      <c r="D24" s="3533">
        <f>AW21</f>
        <v>24500</v>
      </c>
      <c r="E24" s="3533">
        <f>AX21</f>
        <v>29653</v>
      </c>
      <c r="F24" s="3532">
        <f>AV21</f>
        <v>5.3</v>
      </c>
      <c r="G24" s="3534" t="str">
        <f>AT21</f>
        <v>Right</v>
      </c>
      <c r="H24" s="1939"/>
      <c r="I24" s="3537">
        <f>B10</f>
        <v>42.6</v>
      </c>
      <c r="J24" s="3540">
        <f>VLOOKUP(I24,I4:I22,1)</f>
        <v>37.299999999999997</v>
      </c>
      <c r="K24" s="3540">
        <f>VLOOKUP(J24,I4:J22,2,0)</f>
        <v>44.8</v>
      </c>
      <c r="M24" s="2136" t="s">
        <v>2598</v>
      </c>
      <c r="N24" s="3537">
        <f>B9</f>
        <v>4.4000000000000004</v>
      </c>
      <c r="O24" s="3538">
        <f>VLOOKUP(N24,V5:V30,1)</f>
        <v>4</v>
      </c>
      <c r="P24" s="3538">
        <f>VLOOKUP(O24,V5:W30,2,0)</f>
        <v>5.5</v>
      </c>
      <c r="Q24" s="3538">
        <f>IFERROR(VLOOKUP(N24,W5:W30,1,0),0)</f>
        <v>0</v>
      </c>
      <c r="R24" s="3538" t="str">
        <f>IF(N24&lt;=O25,"Right","Wrong")</f>
        <v>Right</v>
      </c>
      <c r="S24" s="3538" t="str">
        <f>IF(Q25+R25=S25,"Right","Wrong")</f>
        <v>Right</v>
      </c>
      <c r="T24" s="1939"/>
      <c r="U24" s="2132"/>
      <c r="V24" s="2137">
        <v>132</v>
      </c>
      <c r="W24" s="2137">
        <v>160</v>
      </c>
      <c r="X24" s="29"/>
      <c r="Y24" s="2594"/>
      <c r="Z24" s="2138">
        <v>370000</v>
      </c>
      <c r="AA24" s="3544">
        <f t="shared" si="1"/>
        <v>370000</v>
      </c>
      <c r="AB24" s="1939"/>
      <c r="AD24" s="2134"/>
      <c r="AE24" s="1939"/>
      <c r="AF24" s="1939"/>
      <c r="AG24" s="2132"/>
      <c r="AH24" s="2132"/>
      <c r="AI24" s="2132"/>
      <c r="AJ24" s="1939"/>
      <c r="AK24" s="1939"/>
      <c r="AL24" s="3537">
        <f>B15</f>
        <v>18</v>
      </c>
      <c r="AM24" s="3538">
        <f>VLOOKUP(AL24,AL5:AL22,1)</f>
        <v>15</v>
      </c>
      <c r="AN24" s="3538">
        <f>VLOOKUP(AM24,AL5:AM22,2,0)</f>
        <v>18.5</v>
      </c>
      <c r="AO24" s="3538">
        <f>IFERROR(VLOOKUP(AL24,AM5:AM22,1,0),0)</f>
        <v>0</v>
      </c>
      <c r="AP24" s="3538" t="str">
        <f>IF(AL24&lt;=AM26,"Right","Wrong")</f>
        <v>Right</v>
      </c>
      <c r="AQ24" s="3538" t="str">
        <f>IF(AO26+AP26=AQ26,"Right","Wrong")</f>
        <v>Right</v>
      </c>
      <c r="AR24" s="1939"/>
      <c r="AT24" s="1939"/>
      <c r="AU24" s="1939"/>
      <c r="AV24" s="1939"/>
      <c r="AW24" s="1939"/>
      <c r="AX24" s="1939"/>
      <c r="AY24" s="1939"/>
      <c r="AZ24" s="1939"/>
      <c r="BA24" s="1939"/>
      <c r="BB24" s="3537">
        <f>B23</f>
        <v>18</v>
      </c>
      <c r="BC24" s="3538">
        <f>VLOOKUP(BB24,BB5:BB22,1)</f>
        <v>15</v>
      </c>
      <c r="BD24" s="3538">
        <f>VLOOKUP(BC24,BB5:BC22,2,0)</f>
        <v>18.5</v>
      </c>
      <c r="BE24" s="3538">
        <f>IFERROR(VLOOKUP(BB24,BC5:BC22,1,0),0)</f>
        <v>0</v>
      </c>
      <c r="BF24" s="3538" t="str">
        <f>IF(BB24&lt;=BC26,"Right","Wrong")</f>
        <v>Right</v>
      </c>
      <c r="BG24" s="3538" t="str">
        <f>IF(BE26+BF26=BG26,"Right","Wrong")</f>
        <v>Right</v>
      </c>
      <c r="BH24" s="1939"/>
      <c r="BK24" s="131" t="s">
        <v>224</v>
      </c>
      <c r="BL24" s="235">
        <v>182000</v>
      </c>
      <c r="BN24" s="31"/>
      <c r="BR24" s="1939"/>
      <c r="BS24" s="437"/>
    </row>
    <row r="25" spans="1:71">
      <c r="A25" s="2602" t="s">
        <v>2474</v>
      </c>
      <c r="B25" s="3533">
        <f>B9</f>
        <v>4.4000000000000004</v>
      </c>
      <c r="C25" s="3533">
        <f>AU22</f>
        <v>5.5</v>
      </c>
      <c r="D25" s="3533">
        <f>AW22</f>
        <v>26400</v>
      </c>
      <c r="E25" s="3533">
        <f>AX22</f>
        <v>34232</v>
      </c>
      <c r="F25" s="3532">
        <f>AV22</f>
        <v>12.5</v>
      </c>
      <c r="G25" s="3534" t="str">
        <f>AT22</f>
        <v>Right</v>
      </c>
      <c r="H25" s="1939"/>
      <c r="I25" s="3540">
        <f>IFERROR(VLOOKUP(I24,J4:J22,1,0),0)</f>
        <v>0</v>
      </c>
      <c r="J25" s="3540">
        <f>IF(I25&gt;0,I25,K24)</f>
        <v>44.8</v>
      </c>
      <c r="K25" s="3541">
        <f>VLOOKUP(J25,J4:K22,2,0)</f>
        <v>39200</v>
      </c>
      <c r="N25" s="3538" t="str">
        <f>IF(S24="Right",IF(R24="Right","Right","Wrong"),"Wrong")</f>
        <v>Right</v>
      </c>
      <c r="O25" s="3539">
        <f>IF(Q24&gt;0,Q24,P24)</f>
        <v>5.5</v>
      </c>
      <c r="P25" s="3538">
        <f>VLOOKUP(O25,W5:Y30,2,0)</f>
        <v>0</v>
      </c>
      <c r="Q25" s="3538">
        <f>VLOOKUP(O25,W5:Y30,3,0)</f>
        <v>46500</v>
      </c>
      <c r="R25" s="3538">
        <f>VLOOKUP(O25,W5:AA30,4,0)</f>
        <v>101200</v>
      </c>
      <c r="S25" s="3538">
        <f>VLOOKUP(O25,W5:AA30,5,0)</f>
        <v>147700</v>
      </c>
      <c r="T25" s="1939"/>
      <c r="U25" s="2132"/>
      <c r="V25" s="29">
        <v>160</v>
      </c>
      <c r="W25" s="29">
        <v>200</v>
      </c>
      <c r="X25" s="29"/>
      <c r="Y25" s="2139"/>
      <c r="Z25" s="2135">
        <v>462500</v>
      </c>
      <c r="AA25" s="3544">
        <f t="shared" si="1"/>
        <v>462500</v>
      </c>
      <c r="AB25" s="1939"/>
      <c r="AD25" s="2612"/>
      <c r="AE25" s="1939"/>
      <c r="AF25" s="1939"/>
      <c r="AG25" s="2132"/>
      <c r="AH25" s="2132"/>
      <c r="AI25" s="2132"/>
      <c r="AJ25" s="1939"/>
      <c r="AK25" s="53"/>
      <c r="AL25" s="3538" t="str">
        <f>IF(AQ23="Right",IF(AP23="Right","Right","Wrong"),"Wrong")</f>
        <v>Right</v>
      </c>
      <c r="AM25" s="3539">
        <f>IF(AO23&gt;0,AO23,AN23)</f>
        <v>18.5</v>
      </c>
      <c r="AN25" s="3538">
        <f>VLOOKUP(AM25,AM5:AO22,2,0)</f>
        <v>37.5</v>
      </c>
      <c r="AO25" s="3538">
        <f>VLOOKUP(AM25,AM5:AO22,3,0)</f>
        <v>178020</v>
      </c>
      <c r="AP25" s="3538">
        <f>VLOOKUP(AM25,AM5:AQ22,4,0)</f>
        <v>133700</v>
      </c>
      <c r="AQ25" s="3538">
        <f>VLOOKUP(AM25,AM5:AQ22,5,0)</f>
        <v>311720</v>
      </c>
      <c r="AR25" s="1939"/>
      <c r="AT25" s="1939"/>
      <c r="AU25" s="1939"/>
      <c r="AV25" s="1939"/>
      <c r="AW25" s="1939"/>
      <c r="AX25" s="1939"/>
      <c r="AY25" s="1939"/>
      <c r="AZ25" s="1939"/>
      <c r="BA25" s="1939"/>
      <c r="BB25" s="3538" t="str">
        <f>IF(BG23="Right",IF(BF23="Right","Right","Wrong"),"Wrong")</f>
        <v>Right</v>
      </c>
      <c r="BC25" s="3539">
        <f>IF(BE23&gt;0,BE23,BD23)</f>
        <v>18.5</v>
      </c>
      <c r="BD25" s="3538">
        <f>VLOOKUP(BC25,BC5:BE22,2,0)</f>
        <v>42</v>
      </c>
      <c r="BE25" s="3538">
        <f>VLOOKUP(BC25,BC5:BE22,3,0)</f>
        <v>95800</v>
      </c>
      <c r="BF25" s="3538">
        <f>VLOOKUP(BC25,BC5:BG22,4,0)</f>
        <v>133700</v>
      </c>
      <c r="BG25" s="3538">
        <f>VLOOKUP(BC25,BC5:BG22,5,0)</f>
        <v>229500</v>
      </c>
      <c r="BH25" s="1939"/>
      <c r="BK25" s="131" t="s">
        <v>228</v>
      </c>
      <c r="BL25" s="311">
        <v>196000</v>
      </c>
      <c r="BN25" s="31"/>
      <c r="BR25" s="1939"/>
      <c r="BS25" s="437"/>
    </row>
    <row r="26" spans="1:71">
      <c r="A26" s="2602" t="s">
        <v>1721</v>
      </c>
      <c r="B26" s="3535">
        <f>B18</f>
        <v>42.6</v>
      </c>
      <c r="C26" s="3535">
        <f>J25</f>
        <v>44.8</v>
      </c>
      <c r="D26" s="131"/>
      <c r="E26" s="3535">
        <f>K25</f>
        <v>39200</v>
      </c>
      <c r="M26" s="1939"/>
      <c r="T26" s="1939"/>
      <c r="U26" s="2132"/>
      <c r="V26" s="29">
        <v>200</v>
      </c>
      <c r="W26" s="29">
        <v>250</v>
      </c>
      <c r="X26" s="29"/>
      <c r="Y26" s="2139"/>
      <c r="Z26" s="2135">
        <v>578125</v>
      </c>
      <c r="AA26" s="3544">
        <f t="shared" si="1"/>
        <v>578125</v>
      </c>
      <c r="AB26" s="1939"/>
      <c r="AD26" s="2612"/>
      <c r="AE26" s="1939"/>
      <c r="AF26" s="1939"/>
      <c r="AG26" s="2132"/>
      <c r="AH26" s="2132"/>
      <c r="AI26" s="2132"/>
      <c r="AJ26" s="1939"/>
      <c r="AK26" s="53"/>
      <c r="AL26" s="3538" t="str">
        <f>IF(AQ24="Right",IF(AP24="Right","Right","Wrong"),"Wrong")</f>
        <v>Right</v>
      </c>
      <c r="AM26" s="3539">
        <f>IF(AO24&gt;0,AO24,AN24)</f>
        <v>18.5</v>
      </c>
      <c r="AN26" s="3538">
        <f>VLOOKUP(AM26,AM5:AO22,2,0)</f>
        <v>37.5</v>
      </c>
      <c r="AO26" s="3538">
        <f>VLOOKUP(AM26,AM5:AO22,3,0)</f>
        <v>178020</v>
      </c>
      <c r="AP26" s="3538">
        <f>VLOOKUP(AM26,AM5:AQ22,4,0)</f>
        <v>133700</v>
      </c>
      <c r="AQ26" s="3538">
        <f>VLOOKUP(AM26,AM5:AQ22,5,0)</f>
        <v>311720</v>
      </c>
      <c r="AR26" s="1939"/>
      <c r="AT26" s="1939"/>
      <c r="AU26" s="1939"/>
      <c r="AV26" s="1939"/>
      <c r="AW26" s="1939"/>
      <c r="AX26" s="1939"/>
      <c r="AY26" s="1939"/>
      <c r="AZ26" s="1939"/>
      <c r="BA26" s="1939"/>
      <c r="BB26" s="3538" t="str">
        <f>IF(BG24="Right",IF(BF24="Right","Right","Wrong"),"Wrong")</f>
        <v>Right</v>
      </c>
      <c r="BC26" s="3539">
        <f>IF(BE24&gt;0,BE24,BD24)</f>
        <v>18.5</v>
      </c>
      <c r="BD26" s="3538">
        <f>VLOOKUP(BC26,BC5:BE22,2,0)</f>
        <v>42</v>
      </c>
      <c r="BE26" s="3538">
        <f>VLOOKUP(BC26,BC5:BE22,3,0)</f>
        <v>95800</v>
      </c>
      <c r="BF26" s="3538">
        <f>VLOOKUP(BC26,BC5:BG22,4,0)</f>
        <v>133700</v>
      </c>
      <c r="BG26" s="3538">
        <f>VLOOKUP(BC26,BC5:BG22,5,0)</f>
        <v>229500</v>
      </c>
      <c r="BH26" s="1939"/>
      <c r="BK26" s="131" t="s">
        <v>233</v>
      </c>
      <c r="BL26" s="311">
        <v>217000</v>
      </c>
      <c r="BR26" s="1939"/>
      <c r="BS26" s="437"/>
    </row>
    <row r="27" spans="1:71">
      <c r="A27" s="153"/>
      <c r="M27" s="1939"/>
      <c r="N27" s="1939"/>
      <c r="O27" s="1939"/>
      <c r="S27" s="1939"/>
      <c r="T27" s="1939"/>
      <c r="U27" s="2132"/>
      <c r="V27" s="29">
        <v>250</v>
      </c>
      <c r="W27" s="29">
        <v>280</v>
      </c>
      <c r="X27" s="29"/>
      <c r="Y27" s="2139"/>
      <c r="Z27" s="2135">
        <v>722656</v>
      </c>
      <c r="AA27" s="3544">
        <f t="shared" si="1"/>
        <v>722656</v>
      </c>
      <c r="AB27" s="1939"/>
      <c r="AT27" s="1939"/>
      <c r="AU27" s="1939"/>
      <c r="AV27" s="1939"/>
      <c r="AW27" s="1939"/>
      <c r="AX27" s="1939"/>
      <c r="AY27" s="1939"/>
      <c r="AZ27" s="1939"/>
      <c r="BA27" s="1939"/>
      <c r="BB27" s="1939"/>
      <c r="BC27" s="1939"/>
      <c r="BD27" s="1939"/>
      <c r="BE27" s="1939"/>
      <c r="BF27" s="1939"/>
      <c r="BG27" s="1939"/>
      <c r="BH27" s="1939"/>
      <c r="BK27" s="131" t="s">
        <v>238</v>
      </c>
      <c r="BL27" s="311">
        <v>256200</v>
      </c>
      <c r="BR27" s="1939"/>
      <c r="BS27" s="437"/>
    </row>
    <row r="28" spans="1:71">
      <c r="A28" s="153"/>
      <c r="M28" s="2136" t="s">
        <v>714</v>
      </c>
      <c r="N28" s="3539" t="str">
        <f t="shared" ref="N28:S28" si="2">IF($B$9&lt;=15,N22,N25)</f>
        <v>Right</v>
      </c>
      <c r="O28" s="3532">
        <f t="shared" si="2"/>
        <v>5.5</v>
      </c>
      <c r="P28" s="3539">
        <f t="shared" si="2"/>
        <v>0</v>
      </c>
      <c r="Q28" s="3539">
        <f t="shared" si="2"/>
        <v>28800</v>
      </c>
      <c r="R28" s="3539">
        <f t="shared" si="2"/>
        <v>34232</v>
      </c>
      <c r="S28" s="3539">
        <f t="shared" si="2"/>
        <v>63032</v>
      </c>
      <c r="T28" s="1939"/>
      <c r="U28" s="2132"/>
      <c r="V28" s="29">
        <v>280</v>
      </c>
      <c r="W28" s="29">
        <v>315</v>
      </c>
      <c r="X28" s="29"/>
      <c r="Y28" s="2139"/>
      <c r="Z28" s="2131">
        <v>903320</v>
      </c>
      <c r="AA28" s="3544">
        <f t="shared" si="1"/>
        <v>903320</v>
      </c>
      <c r="AB28" s="1939"/>
      <c r="BK28" s="131" t="s">
        <v>242</v>
      </c>
      <c r="BL28" s="311">
        <v>256200</v>
      </c>
      <c r="BR28" s="1939"/>
      <c r="BS28" s="437"/>
    </row>
    <row r="29" spans="1:71">
      <c r="A29" s="153"/>
      <c r="M29" s="1939"/>
      <c r="N29" s="1939"/>
      <c r="O29" s="1939"/>
      <c r="S29" s="1939"/>
      <c r="T29" s="1939"/>
      <c r="U29" s="2132"/>
      <c r="V29" s="29">
        <v>315</v>
      </c>
      <c r="W29" s="29">
        <v>400</v>
      </c>
      <c r="X29" s="29"/>
      <c r="Y29" s="2139"/>
      <c r="Z29" s="2131">
        <v>1129150</v>
      </c>
      <c r="AA29" s="3544">
        <f t="shared" si="1"/>
        <v>1129150</v>
      </c>
      <c r="AB29" s="1939"/>
      <c r="BK29" s="131" t="s">
        <v>247</v>
      </c>
      <c r="BL29" s="3544">
        <f>400313*1.1</f>
        <v>440344.30000000005</v>
      </c>
      <c r="BR29" s="1939"/>
      <c r="BS29" s="437"/>
    </row>
    <row r="30" spans="1:71">
      <c r="A30" s="3542" t="str">
        <f>HYPERLINK("Z:\Marketing Common\Dhrumil\Selection\VD_Series_6Pole.pdf","M Sq 6 Pole")</f>
        <v>M Sq 6 Pole</v>
      </c>
      <c r="B30" s="3542" t="str">
        <f>HYPERLINK("Z:\Marketing Common\Dhrumil\Selection\Price_Sheet_2013.pdf","Pr Sheet")</f>
        <v>Pr Sheet</v>
      </c>
      <c r="C30" s="3542" t="str">
        <f>HYPERLINK("Z:\Marketing Common\Dhrumil\Selection\Slipring_Motor.pdf","M Slip Motor")</f>
        <v>M Slip Motor</v>
      </c>
      <c r="D30" s="3543" t="str">
        <f>HYPERLINK("Z:\Marketing Common\Dhrumil\Selection\","Selection Folder")</f>
        <v>Selection Folder</v>
      </c>
      <c r="M30" s="1939"/>
      <c r="N30" s="1939"/>
      <c r="O30" s="1939"/>
      <c r="S30" s="1939"/>
      <c r="T30" s="1939"/>
      <c r="U30" s="2132"/>
      <c r="V30" s="29">
        <v>400</v>
      </c>
      <c r="W30" s="29">
        <v>500</v>
      </c>
      <c r="X30" s="29"/>
      <c r="Y30" s="2139"/>
      <c r="Z30" s="2131">
        <v>1411438</v>
      </c>
      <c r="AA30" s="3544">
        <f t="shared" si="1"/>
        <v>1411438</v>
      </c>
      <c r="AB30" s="1939"/>
      <c r="AW30" s="17"/>
      <c r="BK30" s="131" t="s">
        <v>249</v>
      </c>
      <c r="BL30" s="3544">
        <f>+BL29*1.05</f>
        <v>462361.51500000007</v>
      </c>
      <c r="BR30" s="1939"/>
      <c r="BS30" s="437"/>
    </row>
    <row r="31" spans="1:71">
      <c r="A31" s="3542" t="str">
        <f>HYPERLINK("Z:\Marketing Common\Dhrumil\Selection\M_Sq_Price.pdf","M Sq Pr")</f>
        <v>M Sq Pr</v>
      </c>
      <c r="B31" s="3542" t="str">
        <f>HYPERLINK("Z:\Marketing Common\Dhrumil\Selection\Weight.pdf","Weight")</f>
        <v>Weight</v>
      </c>
      <c r="C31" s="3542" t="str">
        <f>HYPERLINK("Z:\Marketing Common\Dhrumil\Selection\Marathon_LP.pdf","M Slip Price")</f>
        <v>M Slip Price</v>
      </c>
      <c r="D31" s="3543" t="str">
        <f>HYPERLINK("Z:\Marketing Common\Dhrumil\Selection\SCHNEIDER_DRIVE_PRICE.pdf","Schneider_Drive")</f>
        <v>Schneider_Drive</v>
      </c>
      <c r="M31" s="1939"/>
      <c r="N31" s="1939"/>
      <c r="O31" s="1939"/>
      <c r="S31" s="1939"/>
      <c r="T31" s="1939"/>
      <c r="U31" s="2132"/>
      <c r="V31" s="3537">
        <f>B6</f>
        <v>18</v>
      </c>
      <c r="W31" s="3538">
        <f>VLOOKUP(V31,V5:V30,1)</f>
        <v>18</v>
      </c>
      <c r="X31" s="3538">
        <f>VLOOKUP(W31,V5:W30,2,0)</f>
        <v>22</v>
      </c>
      <c r="Y31" s="3538">
        <f>IFERROR(VLOOKUP(V31,W5:W30,1,0),0)</f>
        <v>18</v>
      </c>
      <c r="Z31" s="3538" t="str">
        <f>IF(V31&lt;=W33,"Right","Wrong")</f>
        <v>Right</v>
      </c>
      <c r="AA31" s="3538" t="str">
        <f>IF(Y33+Z33=AA33,"Right","Wrong")</f>
        <v>Right</v>
      </c>
      <c r="AB31" s="1939"/>
      <c r="AW31" s="17"/>
      <c r="BK31" s="131" t="s">
        <v>252</v>
      </c>
      <c r="BL31" s="3544">
        <f>+BL30*1.05</f>
        <v>485479.59075000009</v>
      </c>
      <c r="BR31" s="1939"/>
      <c r="BS31" s="437"/>
    </row>
    <row r="32" spans="1:71">
      <c r="A32" s="3542" t="str">
        <f>HYPERLINK("Z:\Marketing Common\Dhrumil\Selection\M_Sq_Price.xls","M Sq Pr Exl")</f>
        <v>M Sq Pr Exl</v>
      </c>
      <c r="B32" s="3542" t="str">
        <f>HYPERLINK("Z:\Marketing Common\Dhrumil\Selection\Siemens_Motor.pdf","Sie Nor H-F")</f>
        <v>Sie Nor H-F</v>
      </c>
      <c r="C32" s="3542" t="str">
        <f>HYPERLINK("Z:\Marketing Common\Dhrumil\Selection\Siemens_F-B.pdf","Siem F-B")</f>
        <v>Siem F-B</v>
      </c>
      <c r="D32" s="3543" t="str">
        <f>HYPERLINK("Z:\Marketing Common\Dhrumil\Selection\Drive_Summery_Cost.pdf","Drive")</f>
        <v>Drive</v>
      </c>
      <c r="M32" s="1939"/>
      <c r="N32" s="1939"/>
      <c r="O32" s="1939"/>
      <c r="S32" s="1939"/>
      <c r="T32" s="1939"/>
      <c r="U32" s="1939"/>
      <c r="V32" s="3537">
        <f>B7</f>
        <v>18</v>
      </c>
      <c r="W32" s="3538">
        <f>VLOOKUP(V32,V5:V30,1)</f>
        <v>18</v>
      </c>
      <c r="X32" s="3538">
        <f>VLOOKUP(W32,V5:W30,2,0)</f>
        <v>22</v>
      </c>
      <c r="Y32" s="3538">
        <f>IFERROR(VLOOKUP(V32,W5:W30,1,0),0)</f>
        <v>18</v>
      </c>
      <c r="Z32" s="3538" t="str">
        <f>IF(V32&lt;=W34,"Right","Wrong")</f>
        <v>Right</v>
      </c>
      <c r="AA32" s="3538" t="str">
        <f>IF(Y34+Z34=AA34,"Right","Wrong")</f>
        <v>Right</v>
      </c>
      <c r="AB32" s="1939"/>
      <c r="AW32" s="17"/>
      <c r="BK32" s="131" t="s">
        <v>254</v>
      </c>
      <c r="BL32" s="3544">
        <f>+BL31*1.05</f>
        <v>509753.5702875001</v>
      </c>
      <c r="BR32" s="1939"/>
      <c r="BS32" s="437"/>
    </row>
    <row r="33" spans="1:71">
      <c r="A33" s="2140"/>
      <c r="B33" s="3542" t="str">
        <f>HYPERLINK("Z:\Marketing Common\Dhrumil\Selection\Siemens_Price.pdf","Siem Pr 2017")</f>
        <v>Siem Pr 2017</v>
      </c>
      <c r="C33" s="3542" t="str">
        <f>HYPERLINK("Z:\Marketing Common\Dhrumil\Selection\Siemens_H-F.pdf","Siem H-F")</f>
        <v>Siem H-F</v>
      </c>
      <c r="D33" s="80"/>
      <c r="M33" s="1939"/>
      <c r="N33" s="1939"/>
      <c r="O33" s="1939"/>
      <c r="S33" s="1939"/>
      <c r="T33" s="1939"/>
      <c r="U33" s="1939"/>
      <c r="V33" s="3538" t="str">
        <f>IF(AA31="Right",IF(Z31="Right","Right","Wrong"),"Wrong")</f>
        <v>Right</v>
      </c>
      <c r="W33" s="3539">
        <f>IF(Y31&gt;0,Y31,X31)</f>
        <v>18</v>
      </c>
      <c r="X33" s="3538">
        <f>VLOOKUP(W33,W5:Y30,2,0)</f>
        <v>0</v>
      </c>
      <c r="Y33" s="3538">
        <f>VLOOKUP(W33,W5:Y30,3,0)</f>
        <v>72000</v>
      </c>
      <c r="Z33" s="3538">
        <f>VLOOKUP(W33,W5:AA30,4,0)</f>
        <v>133400</v>
      </c>
      <c r="AA33" s="3538">
        <f>VLOOKUP(W33,W5:AA30,5,0)</f>
        <v>205400</v>
      </c>
      <c r="AB33" s="1939"/>
      <c r="AW33" s="17"/>
      <c r="BK33" s="131" t="s">
        <v>257</v>
      </c>
      <c r="BL33" s="3532">
        <f>+BL32*1.05</f>
        <v>535241.24880187516</v>
      </c>
      <c r="BR33" s="1939"/>
      <c r="BS33" s="437"/>
    </row>
    <row r="34" spans="1:71">
      <c r="A34" s="153"/>
      <c r="M34" s="1939"/>
      <c r="N34" s="1939"/>
      <c r="O34" s="1939"/>
      <c r="S34" s="1939"/>
      <c r="T34" s="1939"/>
      <c r="U34" s="1939"/>
      <c r="V34" s="3538" t="str">
        <f>IF(AA32="Right",IF(Z32="Right","Right","Wrong"),"Wrong")</f>
        <v>Right</v>
      </c>
      <c r="W34" s="3539">
        <f>IF(Y32&gt;0,Y32,X32)</f>
        <v>18</v>
      </c>
      <c r="X34" s="3538">
        <f>VLOOKUP(W34,W5:Y30,2,0)</f>
        <v>0</v>
      </c>
      <c r="Y34" s="3538">
        <f>VLOOKUP(W34,W5:Y30,3,0)</f>
        <v>72000</v>
      </c>
      <c r="Z34" s="3538">
        <f>VLOOKUP(W34,W5:AA30,4,0)</f>
        <v>133400</v>
      </c>
      <c r="AA34" s="3538">
        <f>VLOOKUP(W34,W5:AA30,5,0)</f>
        <v>205400</v>
      </c>
      <c r="AB34" s="1939"/>
      <c r="AW34" s="17"/>
      <c r="BS34" s="437"/>
    </row>
    <row r="35" spans="1:71">
      <c r="A35" s="153"/>
      <c r="M35" s="1939"/>
      <c r="N35" s="1939"/>
      <c r="O35" s="1939"/>
      <c r="S35" s="1939"/>
      <c r="T35" s="1939"/>
      <c r="U35" s="1939"/>
      <c r="V35" s="1939"/>
      <c r="W35" s="1939"/>
      <c r="X35" s="1939"/>
      <c r="Y35" s="1939"/>
      <c r="Z35" s="1939"/>
      <c r="AA35" s="1939"/>
      <c r="AB35" s="1939"/>
      <c r="AK35" s="1939"/>
      <c r="AL35" s="17"/>
      <c r="AM35" s="17"/>
      <c r="AN35" s="17"/>
      <c r="AW35" s="17"/>
      <c r="BS35" s="437"/>
    </row>
    <row r="36" spans="1:71">
      <c r="A36" s="153"/>
      <c r="M36" s="1939"/>
      <c r="N36" s="1939"/>
      <c r="O36" s="1939"/>
      <c r="S36" s="1939"/>
      <c r="T36" s="1939"/>
      <c r="U36" s="1939"/>
      <c r="V36" s="1939"/>
      <c r="W36" s="1939"/>
      <c r="X36" s="1939"/>
      <c r="Y36" s="1939"/>
      <c r="Z36" s="1939"/>
      <c r="AA36" s="1939"/>
      <c r="AB36" s="1939"/>
      <c r="AK36" s="1939"/>
      <c r="AL36" s="17"/>
      <c r="AM36" s="17"/>
      <c r="AN36" s="17"/>
      <c r="AW36" s="17"/>
      <c r="BS36" s="437"/>
    </row>
    <row r="37" spans="1:71">
      <c r="A37" s="461"/>
      <c r="B37" s="456"/>
      <c r="C37" s="456"/>
      <c r="D37" s="456"/>
      <c r="E37" s="456"/>
      <c r="F37" s="456"/>
      <c r="G37" s="456"/>
      <c r="H37" s="456"/>
      <c r="I37" s="456"/>
      <c r="J37" s="456"/>
      <c r="K37" s="456"/>
      <c r="L37" s="456"/>
      <c r="M37" s="2141"/>
      <c r="N37" s="2141"/>
      <c r="O37" s="2141"/>
      <c r="P37" s="456"/>
      <c r="Q37" s="456"/>
      <c r="R37" s="456"/>
      <c r="S37" s="2141"/>
      <c r="T37" s="2141"/>
      <c r="U37" s="2141"/>
      <c r="V37" s="2141"/>
      <c r="W37" s="2141"/>
      <c r="X37" s="2141"/>
      <c r="Y37" s="2141"/>
      <c r="Z37" s="2141"/>
      <c r="AA37" s="2141"/>
      <c r="AB37" s="2141"/>
      <c r="AC37" s="456"/>
      <c r="AD37" s="456"/>
      <c r="AE37" s="456"/>
      <c r="AF37" s="456"/>
      <c r="AG37" s="456"/>
      <c r="AH37" s="456"/>
      <c r="AI37" s="456"/>
      <c r="AJ37" s="456"/>
      <c r="AK37" s="2141"/>
      <c r="AL37" s="247"/>
      <c r="AM37" s="247"/>
      <c r="AN37" s="247"/>
      <c r="AO37" s="247"/>
      <c r="AP37" s="247"/>
      <c r="AQ37" s="247"/>
      <c r="AR37" s="247"/>
      <c r="AS37" s="456"/>
      <c r="AT37" s="456"/>
      <c r="AU37" s="456"/>
      <c r="AV37" s="456"/>
      <c r="AW37" s="247"/>
      <c r="AX37" s="456"/>
      <c r="AY37" s="456"/>
      <c r="AZ37" s="456"/>
      <c r="BA37" s="456"/>
      <c r="BB37" s="456"/>
      <c r="BC37" s="456"/>
      <c r="BD37" s="456"/>
      <c r="BE37" s="456"/>
      <c r="BF37" s="456"/>
      <c r="BG37" s="456"/>
      <c r="BH37" s="456"/>
      <c r="BI37" s="456"/>
      <c r="BJ37" s="456"/>
      <c r="BK37" s="456"/>
      <c r="BL37" s="456"/>
      <c r="BM37" s="456"/>
      <c r="BN37" s="456"/>
      <c r="BO37" s="456"/>
      <c r="BP37" s="456"/>
      <c r="BQ37" s="456"/>
      <c r="BR37" s="456"/>
      <c r="BS37" s="455"/>
    </row>
    <row r="38" spans="1:71" s="2142" customFormat="1" ht="13.5" customHeight="1">
      <c r="M38" s="2143"/>
      <c r="N38" s="2143"/>
      <c r="O38" s="2143"/>
      <c r="S38" s="2143"/>
      <c r="T38" s="2143"/>
      <c r="U38" s="2143"/>
      <c r="V38" s="2143"/>
      <c r="W38" s="2143"/>
      <c r="X38" s="2143"/>
      <c r="Y38" s="2143"/>
      <c r="Z38" s="2143"/>
      <c r="AA38" s="2143"/>
      <c r="AB38" s="2143"/>
      <c r="AH38" s="2143"/>
      <c r="AI38" s="2143"/>
      <c r="AJ38" s="2143"/>
      <c r="AK38" s="2143"/>
      <c r="AL38" s="2114"/>
      <c r="AM38" s="2114"/>
      <c r="AN38" s="2114"/>
      <c r="AO38" s="2114"/>
      <c r="AW38" s="2114"/>
    </row>
    <row r="39" spans="1:71">
      <c r="M39" s="53"/>
      <c r="N39" s="53"/>
      <c r="O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H39" s="462"/>
      <c r="AI39" s="462"/>
      <c r="AJ39" s="462"/>
      <c r="AK39" s="462"/>
      <c r="AL39" s="462"/>
      <c r="AM39" s="462"/>
      <c r="AN39" s="462"/>
      <c r="AO39" s="462"/>
      <c r="AW39" s="462"/>
    </row>
    <row r="40" spans="1:71" ht="15" customHeight="1">
      <c r="A40" s="2613"/>
      <c r="B40" s="2613"/>
      <c r="C40" s="2613"/>
      <c r="D40" s="2613"/>
    </row>
    <row r="41" spans="1:71" ht="15" customHeight="1">
      <c r="A41" s="2613"/>
      <c r="B41" s="2613" t="s">
        <v>991</v>
      </c>
      <c r="C41" s="2613"/>
      <c r="D41" s="2613"/>
    </row>
    <row r="42" spans="1:71" ht="16.5" customHeight="1">
      <c r="A42" s="2613"/>
      <c r="B42" s="2613"/>
      <c r="C42" s="2613"/>
      <c r="D42" s="2613"/>
    </row>
    <row r="44" spans="1:71">
      <c r="K44" s="55"/>
    </row>
    <row r="45" spans="1:71">
      <c r="K45" s="55"/>
    </row>
    <row r="46" spans="1:71">
      <c r="B46" s="2131" t="s">
        <v>1710</v>
      </c>
      <c r="C46" s="2602" t="s">
        <v>2494</v>
      </c>
      <c r="E46" s="53" t="s">
        <v>2508</v>
      </c>
      <c r="I46" s="22" t="s">
        <v>451</v>
      </c>
      <c r="J46" s="22" t="s">
        <v>2511</v>
      </c>
      <c r="K46" s="55" t="s">
        <v>714</v>
      </c>
    </row>
    <row r="47" spans="1:71" ht="15" customHeight="1">
      <c r="B47" s="2602" t="s">
        <v>2471</v>
      </c>
      <c r="C47" s="3533">
        <f>MH!I30</f>
        <v>14.931600768800502</v>
      </c>
      <c r="E47" s="3545" t="str">
        <f>MH!I38</f>
        <v>40%</v>
      </c>
      <c r="I47" s="22" t="s">
        <v>2506</v>
      </c>
      <c r="J47" s="2614">
        <v>0.4</v>
      </c>
      <c r="K47" s="3547">
        <f>H83</f>
        <v>0.4</v>
      </c>
    </row>
    <row r="48" spans="1:71">
      <c r="B48" s="2602" t="s">
        <v>2472</v>
      </c>
      <c r="C48" s="3533">
        <f>AH!I30</f>
        <v>14.970777992527008</v>
      </c>
      <c r="E48" s="3546" t="str">
        <f>AH!I38</f>
        <v>40%</v>
      </c>
      <c r="I48" s="22" t="s">
        <v>2507</v>
      </c>
      <c r="J48" s="2614">
        <v>0.4</v>
      </c>
      <c r="K48" s="3547">
        <f>H135</f>
        <v>0.4</v>
      </c>
    </row>
    <row r="49" spans="1:81">
      <c r="B49" s="2602" t="s">
        <v>2473</v>
      </c>
      <c r="C49" s="3533">
        <f>CT_HP!I35</f>
        <v>0.7475763842813713</v>
      </c>
      <c r="E49" s="3546" t="str">
        <f>CT_HP!I44</f>
        <v>S1-100</v>
      </c>
      <c r="I49" s="22" t="s">
        <v>2509</v>
      </c>
      <c r="J49" s="2614">
        <v>0.68</v>
      </c>
      <c r="K49" s="3547">
        <f>H189</f>
        <v>0.68</v>
      </c>
    </row>
    <row r="50" spans="1:81">
      <c r="B50" s="2602" t="s">
        <v>2474</v>
      </c>
      <c r="C50" s="3533">
        <f>LT_HP!I39</f>
        <v>1.2453130745563414</v>
      </c>
      <c r="E50" s="3545" t="str">
        <f>LT_HP!I48</f>
        <v>S1-100</v>
      </c>
      <c r="I50" s="22" t="s">
        <v>2510</v>
      </c>
      <c r="J50" s="2614">
        <v>0.68</v>
      </c>
      <c r="K50" s="3547">
        <f>H245</f>
        <v>0.68</v>
      </c>
    </row>
    <row r="51" spans="1:81">
      <c r="B51" s="2615"/>
      <c r="C51" s="2615"/>
      <c r="Z51" s="151"/>
      <c r="AA51" s="399"/>
      <c r="AB51" s="399"/>
      <c r="AC51" s="399"/>
      <c r="AD51" s="399"/>
      <c r="AE51" s="399"/>
      <c r="AF51" s="399"/>
      <c r="AG51" s="399"/>
      <c r="AH51" s="399"/>
      <c r="AI51" s="399"/>
      <c r="AJ51" s="399"/>
      <c r="AK51" s="399"/>
      <c r="AL51" s="399"/>
      <c r="AM51" s="399"/>
      <c r="AN51" s="399"/>
      <c r="AO51" s="399"/>
      <c r="AP51" s="399"/>
      <c r="AQ51" s="399"/>
      <c r="AR51" s="432"/>
      <c r="AU51" s="2057"/>
      <c r="AV51" s="2145" t="s">
        <v>2508</v>
      </c>
      <c r="AW51" s="2145" t="s">
        <v>2496</v>
      </c>
      <c r="AX51" s="2145" t="s">
        <v>119</v>
      </c>
      <c r="AY51" s="2145" t="s">
        <v>121</v>
      </c>
      <c r="AZ51" s="2145" t="s">
        <v>274</v>
      </c>
      <c r="BA51" s="2145" t="s">
        <v>2497</v>
      </c>
      <c r="BB51" s="399"/>
      <c r="BC51" s="399"/>
      <c r="BD51" s="399"/>
      <c r="BE51" s="3548" t="str">
        <f t="shared" ref="BE51:BL51" si="3">B91</f>
        <v>Motion</v>
      </c>
      <c r="BF51" s="3548" t="str">
        <f t="shared" si="3"/>
        <v>Frame S</v>
      </c>
      <c r="BG51" s="3548" t="str">
        <f t="shared" si="3"/>
        <v>Total Motor Price</v>
      </c>
      <c r="BH51" s="3548" t="str">
        <f t="shared" si="3"/>
        <v>Only Motor Price</v>
      </c>
      <c r="BI51" s="3548" t="str">
        <f t="shared" si="3"/>
        <v>Type Test</v>
      </c>
      <c r="BJ51" s="3548" t="str">
        <f t="shared" si="3"/>
        <v>Routine Test</v>
      </c>
      <c r="BK51" s="3548" t="str">
        <f t="shared" si="3"/>
        <v>Thermistor</v>
      </c>
      <c r="BL51" s="3548" t="str">
        <f t="shared" si="3"/>
        <v>Encoder Mounting</v>
      </c>
      <c r="BM51" s="399"/>
      <c r="BN51" s="432"/>
    </row>
    <row r="52" spans="1:81">
      <c r="B52" s="151"/>
      <c r="C52" s="399"/>
      <c r="D52" s="399"/>
      <c r="E52" s="399"/>
      <c r="F52" s="399"/>
      <c r="G52" s="399"/>
      <c r="H52" s="399"/>
      <c r="I52" s="399"/>
      <c r="J52" s="399"/>
      <c r="K52" s="399"/>
      <c r="L52" s="399"/>
      <c r="M52" s="399"/>
      <c r="N52" s="399"/>
      <c r="O52" s="399"/>
      <c r="P52" s="399"/>
      <c r="Q52" s="399"/>
      <c r="R52" s="399"/>
      <c r="S52" s="399"/>
      <c r="T52" s="399"/>
      <c r="U52" s="399"/>
      <c r="V52" s="399"/>
      <c r="W52" s="432"/>
      <c r="Z52" s="153"/>
      <c r="AR52" s="437"/>
      <c r="AU52" s="1525"/>
      <c r="AV52" s="53"/>
      <c r="AW52" s="53"/>
      <c r="AX52" s="53"/>
      <c r="AY52" s="53"/>
      <c r="AZ52" s="53"/>
      <c r="BA52" s="53"/>
      <c r="BD52" s="53"/>
      <c r="BN52" s="437"/>
    </row>
    <row r="53" spans="1:81">
      <c r="A53" s="53"/>
      <c r="B53" s="1525"/>
      <c r="C53" s="807" t="s">
        <v>347</v>
      </c>
      <c r="D53" s="361" t="s">
        <v>1710</v>
      </c>
      <c r="E53" s="361" t="s">
        <v>2496</v>
      </c>
      <c r="F53" s="361" t="s">
        <v>119</v>
      </c>
      <c r="G53" s="361" t="s">
        <v>121</v>
      </c>
      <c r="H53" s="361" t="s">
        <v>274</v>
      </c>
      <c r="I53" s="361" t="s">
        <v>2497</v>
      </c>
      <c r="J53" s="361" t="s">
        <v>2508</v>
      </c>
      <c r="M53" s="807" t="s">
        <v>347</v>
      </c>
      <c r="N53" s="361" t="s">
        <v>1710</v>
      </c>
      <c r="O53" s="361" t="s">
        <v>119</v>
      </c>
      <c r="P53" s="382" t="s">
        <v>112</v>
      </c>
      <c r="Q53" s="382" t="s">
        <v>113</v>
      </c>
      <c r="R53" s="361" t="s">
        <v>114</v>
      </c>
      <c r="S53" s="382" t="s">
        <v>115</v>
      </c>
      <c r="T53" s="361" t="s">
        <v>116</v>
      </c>
      <c r="U53" s="361" t="s">
        <v>117</v>
      </c>
      <c r="V53" s="361"/>
      <c r="W53" s="1973"/>
      <c r="X53" s="53"/>
      <c r="Y53" s="53"/>
      <c r="Z53" s="153"/>
      <c r="AA53" s="807" t="s">
        <v>347</v>
      </c>
      <c r="AB53" s="361" t="s">
        <v>2508</v>
      </c>
      <c r="AC53" s="361" t="s">
        <v>2496</v>
      </c>
      <c r="AD53" s="361" t="s">
        <v>119</v>
      </c>
      <c r="AE53" s="361" t="s">
        <v>121</v>
      </c>
      <c r="AF53" s="361" t="s">
        <v>274</v>
      </c>
      <c r="AG53" s="361" t="s">
        <v>2497</v>
      </c>
      <c r="AH53" s="145" t="s">
        <v>451</v>
      </c>
      <c r="AJ53" s="145" t="s">
        <v>451</v>
      </c>
      <c r="AK53" s="2146" t="s">
        <v>112</v>
      </c>
      <c r="AL53" s="382" t="s">
        <v>113</v>
      </c>
      <c r="AM53" s="382" t="s">
        <v>114</v>
      </c>
      <c r="AN53" s="382" t="s">
        <v>115</v>
      </c>
      <c r="AO53" s="382" t="s">
        <v>116</v>
      </c>
      <c r="AP53" s="382" t="s">
        <v>117</v>
      </c>
      <c r="AQ53" s="361"/>
      <c r="AR53" s="437"/>
      <c r="AS53" s="53"/>
      <c r="AT53" s="53"/>
      <c r="AU53" s="2147" t="s">
        <v>2506</v>
      </c>
      <c r="AV53" s="3546" t="str">
        <f>A85</f>
        <v>40%</v>
      </c>
      <c r="AW53" s="3546">
        <f t="shared" ref="AW53:BA56" si="4">E85</f>
        <v>18</v>
      </c>
      <c r="AX53" s="3546" t="str">
        <f t="shared" si="4"/>
        <v>180L</v>
      </c>
      <c r="AY53" s="3546">
        <f t="shared" si="4"/>
        <v>960</v>
      </c>
      <c r="AZ53" s="3546">
        <f t="shared" si="4"/>
        <v>107500</v>
      </c>
      <c r="BA53" s="3546">
        <f t="shared" si="4"/>
        <v>175</v>
      </c>
      <c r="BD53" s="55" t="s">
        <v>2506</v>
      </c>
      <c r="BE53" s="3546" t="str">
        <f t="shared" ref="BE53:BM56" si="5">B92</f>
        <v>M.H</v>
      </c>
      <c r="BF53" s="3546" t="str">
        <f t="shared" si="5"/>
        <v>180L</v>
      </c>
      <c r="BG53" s="3546">
        <f t="shared" si="5"/>
        <v>107500</v>
      </c>
      <c r="BH53" s="3546">
        <f t="shared" si="5"/>
        <v>0</v>
      </c>
      <c r="BI53" s="3546">
        <f t="shared" si="5"/>
        <v>0</v>
      </c>
      <c r="BJ53" s="3546">
        <f t="shared" si="5"/>
        <v>0</v>
      </c>
      <c r="BK53" s="3546">
        <f t="shared" si="5"/>
        <v>0</v>
      </c>
      <c r="BL53" s="3546">
        <f t="shared" si="5"/>
        <v>0</v>
      </c>
      <c r="BM53" s="3546" t="b">
        <f t="shared" si="5"/>
        <v>0</v>
      </c>
      <c r="BN53" s="437"/>
      <c r="BU53" s="53"/>
      <c r="BV53" s="53"/>
      <c r="BW53" s="53"/>
      <c r="BX53" s="53"/>
      <c r="BY53" s="53"/>
      <c r="BZ53" s="53"/>
      <c r="CA53" s="53"/>
      <c r="CB53" s="53"/>
      <c r="CC53" s="53"/>
    </row>
    <row r="54" spans="1:81">
      <c r="A54" s="53"/>
      <c r="B54" s="1525"/>
      <c r="C54" s="145"/>
      <c r="D54" s="145"/>
      <c r="E54" s="145"/>
      <c r="F54" s="145"/>
      <c r="G54" s="145"/>
      <c r="H54" s="145"/>
      <c r="I54" s="145"/>
      <c r="J54" s="145"/>
      <c r="M54" s="145"/>
      <c r="N54" s="145"/>
      <c r="O54" s="145"/>
      <c r="P54" s="145"/>
      <c r="Q54" s="145"/>
      <c r="R54" s="145"/>
      <c r="S54" s="145"/>
      <c r="T54" s="145"/>
      <c r="U54" s="145"/>
      <c r="V54" s="145"/>
      <c r="W54" s="1973"/>
      <c r="X54" s="53"/>
      <c r="Y54" s="53"/>
      <c r="Z54" s="153"/>
      <c r="AA54" s="145"/>
      <c r="AB54" s="145"/>
      <c r="AC54" s="145"/>
      <c r="AD54" s="145"/>
      <c r="AE54" s="145"/>
      <c r="AF54" s="145"/>
      <c r="AG54" s="145"/>
      <c r="AH54" s="131"/>
      <c r="AJ54" s="145"/>
      <c r="AK54" s="145"/>
      <c r="AL54" s="145"/>
      <c r="AM54" s="145"/>
      <c r="AN54" s="145"/>
      <c r="AO54" s="145"/>
      <c r="AP54" s="145"/>
      <c r="AQ54" s="145"/>
      <c r="AR54" s="437"/>
      <c r="AS54" s="53"/>
      <c r="AT54" s="53"/>
      <c r="AU54" s="1525"/>
      <c r="AV54" s="3546" t="str">
        <f>A85</f>
        <v>40%</v>
      </c>
      <c r="AW54" s="3546">
        <f t="shared" si="4"/>
        <v>18</v>
      </c>
      <c r="AX54" s="3546" t="str">
        <f t="shared" si="4"/>
        <v>180L</v>
      </c>
      <c r="AY54" s="3546">
        <f t="shared" si="4"/>
        <v>960</v>
      </c>
      <c r="AZ54" s="3546">
        <f t="shared" si="4"/>
        <v>107500</v>
      </c>
      <c r="BA54" s="3546">
        <f t="shared" si="4"/>
        <v>175</v>
      </c>
      <c r="BD54" s="53"/>
      <c r="BE54" s="3546" t="str">
        <f t="shared" si="5"/>
        <v>A.H</v>
      </c>
      <c r="BF54" s="3546" t="str">
        <f t="shared" si="5"/>
        <v>180L</v>
      </c>
      <c r="BG54" s="3546">
        <f t="shared" si="5"/>
        <v>107500</v>
      </c>
      <c r="BH54" s="3546">
        <f t="shared" si="5"/>
        <v>0</v>
      </c>
      <c r="BI54" s="3546">
        <f t="shared" si="5"/>
        <v>0</v>
      </c>
      <c r="BJ54" s="3546">
        <f t="shared" si="5"/>
        <v>0</v>
      </c>
      <c r="BK54" s="3546">
        <f t="shared" si="5"/>
        <v>0</v>
      </c>
      <c r="BL54" s="3546">
        <f t="shared" si="5"/>
        <v>0</v>
      </c>
      <c r="BM54" s="3546" t="b">
        <f t="shared" si="5"/>
        <v>0</v>
      </c>
      <c r="BN54" s="437"/>
      <c r="BU54" s="53"/>
      <c r="BV54" s="53"/>
      <c r="BW54" s="53"/>
      <c r="BX54" s="53"/>
      <c r="BY54" s="53"/>
      <c r="BZ54" s="53"/>
      <c r="CA54" s="53"/>
      <c r="CB54" s="53"/>
      <c r="CC54" s="53"/>
    </row>
    <row r="55" spans="1:81">
      <c r="A55" s="53"/>
      <c r="B55" s="1525"/>
      <c r="C55" s="372" t="s">
        <v>2506</v>
      </c>
      <c r="D55" s="145" t="s">
        <v>2471</v>
      </c>
      <c r="E55" s="3532">
        <f>E85</f>
        <v>18</v>
      </c>
      <c r="F55" s="3532" t="str">
        <f>F85</f>
        <v>180L</v>
      </c>
      <c r="G55" s="3532">
        <f>G85</f>
        <v>960</v>
      </c>
      <c r="H55" s="3549">
        <f>H85</f>
        <v>107500</v>
      </c>
      <c r="I55" s="3532">
        <f>I85</f>
        <v>175</v>
      </c>
      <c r="J55" s="3532" t="str">
        <f>A85</f>
        <v>40%</v>
      </c>
      <c r="K55" s="3550">
        <f>H83</f>
        <v>0.4</v>
      </c>
      <c r="M55" s="2148" t="s">
        <v>2506</v>
      </c>
      <c r="N55" s="2149" t="s">
        <v>2471</v>
      </c>
      <c r="O55" s="3532" t="str">
        <f t="shared" ref="O55:V55" si="6">C92</f>
        <v>180L</v>
      </c>
      <c r="P55" s="3532">
        <f t="shared" si="6"/>
        <v>107500</v>
      </c>
      <c r="Q55" s="3532">
        <f t="shared" si="6"/>
        <v>0</v>
      </c>
      <c r="R55" s="3532">
        <f t="shared" si="6"/>
        <v>0</v>
      </c>
      <c r="S55" s="3532">
        <f t="shared" si="6"/>
        <v>0</v>
      </c>
      <c r="T55" s="3532">
        <f t="shared" si="6"/>
        <v>0</v>
      </c>
      <c r="U55" s="3532">
        <f t="shared" si="6"/>
        <v>0</v>
      </c>
      <c r="V55" s="3532" t="b">
        <f t="shared" si="6"/>
        <v>0</v>
      </c>
      <c r="W55" s="1974"/>
      <c r="X55" s="53"/>
      <c r="Y55" s="53"/>
      <c r="Z55" s="153"/>
      <c r="AA55" s="3552" t="str">
        <f>C55</f>
        <v xml:space="preserve">SQ Marathon </v>
      </c>
      <c r="AB55" s="3552" t="str">
        <f>J55</f>
        <v>40%</v>
      </c>
      <c r="AC55" s="3552">
        <f t="shared" ref="AC55:AG58" si="7">E55</f>
        <v>18</v>
      </c>
      <c r="AD55" s="3552" t="str">
        <f t="shared" si="7"/>
        <v>180L</v>
      </c>
      <c r="AE55" s="3552">
        <f t="shared" si="7"/>
        <v>960</v>
      </c>
      <c r="AF55" s="3553">
        <f>H55</f>
        <v>107500</v>
      </c>
      <c r="AG55" s="3552">
        <f t="shared" si="7"/>
        <v>175</v>
      </c>
      <c r="AH55" s="3554">
        <f>K55</f>
        <v>0.4</v>
      </c>
      <c r="AJ55" s="811">
        <v>0.38500000000000001</v>
      </c>
      <c r="AK55" s="3555">
        <f>(AL55*(1-AJ55)*1.03)+AM55+AN55+AO55+AP55</f>
        <v>0</v>
      </c>
      <c r="AL55" s="3532">
        <f t="shared" ref="AL55:AP58" si="8">Q55</f>
        <v>0</v>
      </c>
      <c r="AM55" s="3532">
        <f t="shared" si="8"/>
        <v>0</v>
      </c>
      <c r="AN55" s="3532">
        <f t="shared" si="8"/>
        <v>0</v>
      </c>
      <c r="AO55" s="3532">
        <f t="shared" si="8"/>
        <v>0</v>
      </c>
      <c r="AP55" s="3532">
        <f t="shared" si="8"/>
        <v>0</v>
      </c>
      <c r="AQ55" s="3532" t="b">
        <f>V55</f>
        <v>0</v>
      </c>
      <c r="AR55" s="2616"/>
      <c r="AS55" s="53"/>
      <c r="AT55" s="53"/>
      <c r="AU55" s="1525"/>
      <c r="AV55" s="3546" t="str">
        <f>A85</f>
        <v>40%</v>
      </c>
      <c r="AW55" s="3546" t="b">
        <f t="shared" si="4"/>
        <v>0</v>
      </c>
      <c r="AX55" s="3546" t="b">
        <f t="shared" si="4"/>
        <v>0</v>
      </c>
      <c r="AY55" s="3546" t="b">
        <f t="shared" si="4"/>
        <v>0</v>
      </c>
      <c r="AZ55" s="3546" t="b">
        <f t="shared" si="4"/>
        <v>0</v>
      </c>
      <c r="BA55" s="3546" t="b">
        <f t="shared" si="4"/>
        <v>0</v>
      </c>
      <c r="BB55" s="53"/>
      <c r="BC55" s="53"/>
      <c r="BD55" s="53"/>
      <c r="BE55" s="3546" t="str">
        <f t="shared" si="5"/>
        <v>C.T</v>
      </c>
      <c r="BF55" s="3546" t="b">
        <f t="shared" si="5"/>
        <v>0</v>
      </c>
      <c r="BG55" s="3546" t="b">
        <f t="shared" si="5"/>
        <v>0</v>
      </c>
      <c r="BH55" s="3546" t="b">
        <f t="shared" si="5"/>
        <v>0</v>
      </c>
      <c r="BI55" s="3546" t="b">
        <f t="shared" si="5"/>
        <v>0</v>
      </c>
      <c r="BJ55" s="3546" t="b">
        <f t="shared" si="5"/>
        <v>0</v>
      </c>
      <c r="BK55" s="3546" t="b">
        <f t="shared" si="5"/>
        <v>0</v>
      </c>
      <c r="BL55" s="3546" t="b">
        <f t="shared" si="5"/>
        <v>0</v>
      </c>
      <c r="BM55" s="3546" t="b">
        <f t="shared" si="5"/>
        <v>0</v>
      </c>
      <c r="BN55" s="437"/>
      <c r="BU55" s="53"/>
      <c r="BV55" s="53"/>
      <c r="BW55" s="53"/>
      <c r="BX55" s="53"/>
      <c r="BY55" s="53"/>
      <c r="BZ55" s="53"/>
      <c r="CA55" s="53"/>
      <c r="CB55" s="53"/>
      <c r="CC55" s="53"/>
    </row>
    <row r="56" spans="1:81">
      <c r="A56" s="53"/>
      <c r="B56" s="1525"/>
      <c r="C56" s="372" t="s">
        <v>2507</v>
      </c>
      <c r="D56" s="2149" t="s">
        <v>2471</v>
      </c>
      <c r="E56" s="3551">
        <f>E137</f>
        <v>17</v>
      </c>
      <c r="F56" s="3551" t="str">
        <f>F137</f>
        <v>KS200L1</v>
      </c>
      <c r="G56" s="3551">
        <f>G137</f>
        <v>972</v>
      </c>
      <c r="H56" s="3551">
        <f>H137</f>
        <v>139800</v>
      </c>
      <c r="I56" s="3551">
        <f>I137</f>
        <v>375</v>
      </c>
      <c r="J56" s="3532" t="str">
        <f>A137</f>
        <v>40%</v>
      </c>
      <c r="K56" s="3550">
        <f>+H135</f>
        <v>0.4</v>
      </c>
      <c r="M56" s="2148" t="s">
        <v>2507</v>
      </c>
      <c r="N56" s="2149" t="s">
        <v>2471</v>
      </c>
      <c r="O56" s="3551" t="str">
        <f t="shared" ref="O56:V56" si="9">C144</f>
        <v>KS200L1</v>
      </c>
      <c r="P56" s="3551">
        <f t="shared" si="9"/>
        <v>139800</v>
      </c>
      <c r="Q56" s="3551">
        <f t="shared" si="9"/>
        <v>233000</v>
      </c>
      <c r="R56" s="3551">
        <f t="shared" si="9"/>
        <v>0</v>
      </c>
      <c r="S56" s="3551">
        <f t="shared" si="9"/>
        <v>0</v>
      </c>
      <c r="T56" s="3551">
        <f t="shared" si="9"/>
        <v>0</v>
      </c>
      <c r="U56" s="3551">
        <f t="shared" si="9"/>
        <v>0</v>
      </c>
      <c r="V56" s="3551" t="str">
        <f t="shared" si="9"/>
        <v>Right</v>
      </c>
      <c r="W56" s="1974"/>
      <c r="X56" s="53"/>
      <c r="Y56" s="53"/>
      <c r="Z56" s="153"/>
      <c r="AA56" s="3552" t="str">
        <f>C56</f>
        <v xml:space="preserve">Slipring Marathon </v>
      </c>
      <c r="AB56" s="3552" t="str">
        <f>J56</f>
        <v>40%</v>
      </c>
      <c r="AC56" s="3552">
        <f t="shared" si="7"/>
        <v>17</v>
      </c>
      <c r="AD56" s="3552" t="str">
        <f t="shared" si="7"/>
        <v>KS200L1</v>
      </c>
      <c r="AE56" s="3552">
        <f t="shared" si="7"/>
        <v>972</v>
      </c>
      <c r="AF56" s="3552">
        <f t="shared" si="7"/>
        <v>139800</v>
      </c>
      <c r="AG56" s="3552">
        <f t="shared" si="7"/>
        <v>375</v>
      </c>
      <c r="AH56" s="3554">
        <f>K56</f>
        <v>0.4</v>
      </c>
      <c r="AJ56" s="811">
        <v>0.38500000000000001</v>
      </c>
      <c r="AK56" s="3555">
        <f>AL56*(1-AJ56)</f>
        <v>143295</v>
      </c>
      <c r="AL56" s="3532">
        <f t="shared" si="8"/>
        <v>233000</v>
      </c>
      <c r="AM56" s="3532">
        <f t="shared" si="8"/>
        <v>0</v>
      </c>
      <c r="AN56" s="3532">
        <f t="shared" si="8"/>
        <v>0</v>
      </c>
      <c r="AO56" s="3532">
        <f t="shared" si="8"/>
        <v>0</v>
      </c>
      <c r="AP56" s="3532">
        <f t="shared" si="8"/>
        <v>0</v>
      </c>
      <c r="AQ56" s="3532" t="str">
        <f t="shared" ref="AQ56:AQ58" si="10">V56</f>
        <v>Right</v>
      </c>
      <c r="AR56" s="2616"/>
      <c r="AS56" s="53"/>
      <c r="AT56" s="53"/>
      <c r="AU56" s="1525"/>
      <c r="AV56" s="3546" t="str">
        <f>A85</f>
        <v>40%</v>
      </c>
      <c r="AW56" s="3546" t="b">
        <f t="shared" si="4"/>
        <v>0</v>
      </c>
      <c r="AX56" s="3546" t="b">
        <f t="shared" si="4"/>
        <v>0</v>
      </c>
      <c r="AY56" s="3546" t="b">
        <f t="shared" si="4"/>
        <v>0</v>
      </c>
      <c r="AZ56" s="3546" t="b">
        <f t="shared" si="4"/>
        <v>0</v>
      </c>
      <c r="BA56" s="3546" t="b">
        <f t="shared" si="4"/>
        <v>0</v>
      </c>
      <c r="BB56" s="53"/>
      <c r="BC56" s="53"/>
      <c r="BD56" s="53"/>
      <c r="BE56" s="3546" t="str">
        <f t="shared" si="5"/>
        <v>L.T</v>
      </c>
      <c r="BF56" s="3546" t="b">
        <f t="shared" si="5"/>
        <v>0</v>
      </c>
      <c r="BG56" s="3546" t="b">
        <f t="shared" si="5"/>
        <v>0</v>
      </c>
      <c r="BH56" s="3546" t="b">
        <f t="shared" si="5"/>
        <v>0</v>
      </c>
      <c r="BI56" s="3546" t="b">
        <f t="shared" si="5"/>
        <v>0</v>
      </c>
      <c r="BJ56" s="3546" t="b">
        <f t="shared" si="5"/>
        <v>0</v>
      </c>
      <c r="BK56" s="3546" t="b">
        <f t="shared" si="5"/>
        <v>0</v>
      </c>
      <c r="BL56" s="3546" t="b">
        <f t="shared" si="5"/>
        <v>0</v>
      </c>
      <c r="BM56" s="3546" t="b">
        <f t="shared" si="5"/>
        <v>0</v>
      </c>
      <c r="BN56" s="437"/>
      <c r="BU56" s="53"/>
      <c r="BV56" s="53"/>
      <c r="BW56" s="53"/>
      <c r="BX56" s="53"/>
      <c r="BY56" s="53"/>
      <c r="BZ56" s="53"/>
      <c r="CA56" s="53"/>
      <c r="CB56" s="53"/>
      <c r="CC56" s="53"/>
    </row>
    <row r="57" spans="1:81">
      <c r="A57" s="53"/>
      <c r="B57" s="1525"/>
      <c r="C57" s="372" t="s">
        <v>2509</v>
      </c>
      <c r="D57" s="2149" t="s">
        <v>2471</v>
      </c>
      <c r="E57" s="3532">
        <f>E191</f>
        <v>17</v>
      </c>
      <c r="F57" s="3532" t="str">
        <f>F191</f>
        <v>180L</v>
      </c>
      <c r="G57" s="3532">
        <f>G191</f>
        <v>970</v>
      </c>
      <c r="H57" s="3532">
        <f>H191</f>
        <v>85554</v>
      </c>
      <c r="I57" s="3532">
        <f>I191</f>
        <v>204</v>
      </c>
      <c r="J57" s="3532" t="str">
        <f>A191</f>
        <v>40%</v>
      </c>
      <c r="K57" s="3550">
        <f>+H189</f>
        <v>0.68</v>
      </c>
      <c r="M57" s="2148" t="s">
        <v>2509</v>
      </c>
      <c r="N57" s="2149" t="s">
        <v>2471</v>
      </c>
      <c r="O57" s="3551" t="str">
        <f t="shared" ref="O57:V57" si="11">C198</f>
        <v>180L</v>
      </c>
      <c r="P57" s="3551">
        <f t="shared" si="11"/>
        <v>85554</v>
      </c>
      <c r="Q57" s="3551">
        <f t="shared" si="11"/>
        <v>154200</v>
      </c>
      <c r="R57" s="3551">
        <f t="shared" si="11"/>
        <v>17500</v>
      </c>
      <c r="S57" s="3551">
        <f t="shared" si="11"/>
        <v>4000</v>
      </c>
      <c r="T57" s="3551">
        <f t="shared" si="11"/>
        <v>7000</v>
      </c>
      <c r="U57" s="3551">
        <f t="shared" si="11"/>
        <v>7710</v>
      </c>
      <c r="V57" s="3551" t="str">
        <f t="shared" si="11"/>
        <v>Right</v>
      </c>
      <c r="W57" s="1974"/>
      <c r="X57" s="53"/>
      <c r="Y57" s="53"/>
      <c r="Z57" s="153"/>
      <c r="AA57" s="3552" t="str">
        <f>C57</f>
        <v>Siemens H/F</v>
      </c>
      <c r="AB57" s="3552" t="str">
        <f>J57</f>
        <v>40%</v>
      </c>
      <c r="AC57" s="3552">
        <f t="shared" si="7"/>
        <v>17</v>
      </c>
      <c r="AD57" s="3552" t="str">
        <f t="shared" si="7"/>
        <v>180L</v>
      </c>
      <c r="AE57" s="3552">
        <f t="shared" si="7"/>
        <v>970</v>
      </c>
      <c r="AF57" s="3552">
        <f t="shared" si="7"/>
        <v>85554</v>
      </c>
      <c r="AG57" s="3552">
        <f t="shared" si="7"/>
        <v>204</v>
      </c>
      <c r="AH57" s="3554">
        <f>K57</f>
        <v>0.68</v>
      </c>
      <c r="AJ57" s="811">
        <v>0.68</v>
      </c>
      <c r="AK57" s="3555">
        <f>(AL57*(1-AJ57))+AM57+AN57+AO57+AP57</f>
        <v>85554</v>
      </c>
      <c r="AL57" s="3532">
        <f t="shared" si="8"/>
        <v>154200</v>
      </c>
      <c r="AM57" s="3532">
        <f t="shared" si="8"/>
        <v>17500</v>
      </c>
      <c r="AN57" s="3532">
        <f t="shared" si="8"/>
        <v>4000</v>
      </c>
      <c r="AO57" s="3532">
        <f t="shared" si="8"/>
        <v>7000</v>
      </c>
      <c r="AP57" s="3532">
        <f t="shared" si="8"/>
        <v>7710</v>
      </c>
      <c r="AQ57" s="3532" t="str">
        <f t="shared" si="10"/>
        <v>Right</v>
      </c>
      <c r="AR57" s="2616"/>
      <c r="AS57" s="53"/>
      <c r="AT57" s="53"/>
      <c r="AU57" s="1525"/>
      <c r="BN57" s="437"/>
      <c r="BU57" s="53"/>
      <c r="BV57" s="53"/>
      <c r="BW57" s="53"/>
      <c r="BX57" s="53"/>
      <c r="BY57" s="53"/>
      <c r="BZ57" s="53"/>
      <c r="CA57" s="53"/>
      <c r="CB57" s="53"/>
      <c r="CC57" s="53"/>
    </row>
    <row r="58" spans="1:81">
      <c r="A58" s="53"/>
      <c r="B58" s="1525"/>
      <c r="C58" s="372" t="s">
        <v>2510</v>
      </c>
      <c r="D58" s="2149" t="s">
        <v>2471</v>
      </c>
      <c r="E58" s="3532">
        <f>E247</f>
        <v>15</v>
      </c>
      <c r="F58" s="3532" t="str">
        <f>F247</f>
        <v>180L</v>
      </c>
      <c r="G58" s="3532">
        <f>G247</f>
        <v>970</v>
      </c>
      <c r="H58" s="3532">
        <f>H247</f>
        <v>85554</v>
      </c>
      <c r="I58" s="3532">
        <f>I247</f>
        <v>204</v>
      </c>
      <c r="J58" s="3532" t="str">
        <f>A247</f>
        <v>40%</v>
      </c>
      <c r="K58" s="3550">
        <f>+H245</f>
        <v>0.68</v>
      </c>
      <c r="M58" s="2148" t="s">
        <v>2510</v>
      </c>
      <c r="N58" s="2149" t="s">
        <v>2471</v>
      </c>
      <c r="O58" s="3551" t="str">
        <f t="shared" ref="O58:V58" si="12">C254</f>
        <v>180L</v>
      </c>
      <c r="P58" s="3551">
        <f t="shared" si="12"/>
        <v>85554</v>
      </c>
      <c r="Q58" s="3551">
        <f t="shared" si="12"/>
        <v>154200</v>
      </c>
      <c r="R58" s="3551">
        <f t="shared" si="12"/>
        <v>17500</v>
      </c>
      <c r="S58" s="3551">
        <f t="shared" si="12"/>
        <v>4000</v>
      </c>
      <c r="T58" s="3551">
        <f t="shared" si="12"/>
        <v>7000</v>
      </c>
      <c r="U58" s="3551">
        <f t="shared" si="12"/>
        <v>7710</v>
      </c>
      <c r="V58" s="3551" t="str">
        <f t="shared" si="12"/>
        <v>Right</v>
      </c>
      <c r="W58" s="1974"/>
      <c r="X58" s="53"/>
      <c r="Y58" s="53"/>
      <c r="Z58" s="153"/>
      <c r="AA58" s="3552" t="str">
        <f>C58</f>
        <v>Siemens F/B</v>
      </c>
      <c r="AB58" s="3552" t="str">
        <f>J58</f>
        <v>40%</v>
      </c>
      <c r="AC58" s="3552">
        <f t="shared" si="7"/>
        <v>15</v>
      </c>
      <c r="AD58" s="3552" t="str">
        <f t="shared" si="7"/>
        <v>180L</v>
      </c>
      <c r="AE58" s="3552">
        <f t="shared" si="7"/>
        <v>970</v>
      </c>
      <c r="AF58" s="3552">
        <f t="shared" si="7"/>
        <v>85554</v>
      </c>
      <c r="AG58" s="3552">
        <f t="shared" si="7"/>
        <v>204</v>
      </c>
      <c r="AH58" s="3554">
        <f>K58</f>
        <v>0.68</v>
      </c>
      <c r="AJ58" s="811">
        <v>0.68</v>
      </c>
      <c r="AK58" s="3555">
        <f>(AL58*(1-AJ58))+AM58+AN58+AO58+AP58</f>
        <v>85554</v>
      </c>
      <c r="AL58" s="3532">
        <f t="shared" si="8"/>
        <v>154200</v>
      </c>
      <c r="AM58" s="3532">
        <f t="shared" si="8"/>
        <v>17500</v>
      </c>
      <c r="AN58" s="3532">
        <f t="shared" si="8"/>
        <v>4000</v>
      </c>
      <c r="AO58" s="3532">
        <f t="shared" si="8"/>
        <v>7000</v>
      </c>
      <c r="AP58" s="3532">
        <f t="shared" si="8"/>
        <v>7710</v>
      </c>
      <c r="AQ58" s="3532" t="str">
        <f t="shared" si="10"/>
        <v>Right</v>
      </c>
      <c r="AR58" s="2616"/>
      <c r="AS58" s="53"/>
      <c r="AT58" s="53"/>
      <c r="AU58" s="1525"/>
      <c r="AV58" s="53"/>
      <c r="AW58" s="53"/>
      <c r="AX58" s="53"/>
      <c r="AY58" s="53"/>
      <c r="AZ58" s="53"/>
      <c r="BA58" s="53"/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437"/>
      <c r="BU58" s="53"/>
      <c r="BV58" s="53"/>
      <c r="BW58" s="53"/>
      <c r="BX58" s="53"/>
      <c r="BY58" s="53"/>
      <c r="BZ58" s="53"/>
      <c r="CA58" s="53"/>
      <c r="CB58" s="53"/>
      <c r="CC58" s="53"/>
    </row>
    <row r="59" spans="1:81">
      <c r="A59" s="53"/>
      <c r="B59" s="1525"/>
      <c r="C59" s="372"/>
      <c r="D59" s="2149"/>
      <c r="E59" s="145"/>
      <c r="F59" s="145"/>
      <c r="G59" s="145"/>
      <c r="H59" s="145"/>
      <c r="I59" s="145"/>
      <c r="J59" s="145"/>
      <c r="K59" s="53"/>
      <c r="M59" s="2148"/>
      <c r="N59" s="2149"/>
      <c r="O59" s="2149"/>
      <c r="P59" s="2149"/>
      <c r="Q59" s="2149"/>
      <c r="R59" s="2149"/>
      <c r="S59" s="2149"/>
      <c r="T59" s="2149"/>
      <c r="U59" s="2149"/>
      <c r="V59" s="2149"/>
      <c r="W59" s="1973"/>
      <c r="X59" s="53"/>
      <c r="Y59" s="53"/>
      <c r="Z59" s="153"/>
      <c r="AR59" s="437"/>
      <c r="AS59" s="53"/>
      <c r="AT59" s="53"/>
      <c r="AU59" s="2147" t="s">
        <v>2507</v>
      </c>
      <c r="AV59" s="3546" t="str">
        <f>A137</f>
        <v>40%</v>
      </c>
      <c r="AW59" s="3556">
        <f t="shared" ref="AW59:BA62" si="13">E137</f>
        <v>17</v>
      </c>
      <c r="AX59" s="3556" t="str">
        <f t="shared" si="13"/>
        <v>KS200L1</v>
      </c>
      <c r="AY59" s="3556">
        <f t="shared" si="13"/>
        <v>972</v>
      </c>
      <c r="AZ59" s="3556">
        <f t="shared" si="13"/>
        <v>139800</v>
      </c>
      <c r="BA59" s="3556">
        <f t="shared" si="13"/>
        <v>375</v>
      </c>
      <c r="BB59" s="53"/>
      <c r="BC59" s="53"/>
      <c r="BD59" s="53"/>
      <c r="BE59" s="3556" t="str">
        <f t="shared" ref="BE59:BM62" si="14">B144</f>
        <v>M.H</v>
      </c>
      <c r="BF59" s="3556" t="str">
        <f t="shared" si="14"/>
        <v>KS200L1</v>
      </c>
      <c r="BG59" s="3556">
        <f t="shared" si="14"/>
        <v>139800</v>
      </c>
      <c r="BH59" s="3556">
        <f t="shared" si="14"/>
        <v>233000</v>
      </c>
      <c r="BI59" s="3556">
        <f t="shared" si="14"/>
        <v>0</v>
      </c>
      <c r="BJ59" s="3556">
        <f t="shared" si="14"/>
        <v>0</v>
      </c>
      <c r="BK59" s="3556">
        <f t="shared" si="14"/>
        <v>0</v>
      </c>
      <c r="BL59" s="3556">
        <f t="shared" si="14"/>
        <v>0</v>
      </c>
      <c r="BM59" s="3556" t="str">
        <f t="shared" si="14"/>
        <v>Right</v>
      </c>
      <c r="BN59" s="437"/>
      <c r="BU59" s="53"/>
      <c r="BV59" s="53"/>
      <c r="BW59" s="53"/>
      <c r="BX59" s="53"/>
      <c r="BY59" s="53"/>
      <c r="BZ59" s="53"/>
      <c r="CA59" s="53"/>
      <c r="CB59" s="53"/>
      <c r="CC59" s="53"/>
    </row>
    <row r="60" spans="1:81">
      <c r="A60" s="53"/>
      <c r="B60" s="1525"/>
      <c r="C60" s="372" t="s">
        <v>2506</v>
      </c>
      <c r="D60" s="145" t="s">
        <v>2472</v>
      </c>
      <c r="E60" s="3532">
        <f>E86</f>
        <v>18</v>
      </c>
      <c r="F60" s="3532" t="str">
        <f>F86</f>
        <v>180L</v>
      </c>
      <c r="G60" s="3532">
        <f>G86</f>
        <v>960</v>
      </c>
      <c r="H60" s="3532">
        <f>H86</f>
        <v>107500</v>
      </c>
      <c r="I60" s="3532">
        <f>I86</f>
        <v>175</v>
      </c>
      <c r="J60" s="3532" t="str">
        <f>A86</f>
        <v>40%</v>
      </c>
      <c r="K60" s="3550">
        <f>H83</f>
        <v>0.4</v>
      </c>
      <c r="L60" s="53"/>
      <c r="M60" s="2148" t="s">
        <v>2506</v>
      </c>
      <c r="N60" s="145" t="s">
        <v>2472</v>
      </c>
      <c r="O60" s="3532" t="str">
        <f t="shared" ref="O60:V60" si="15">C93</f>
        <v>180L</v>
      </c>
      <c r="P60" s="3532">
        <f t="shared" si="15"/>
        <v>107500</v>
      </c>
      <c r="Q60" s="3532">
        <f t="shared" si="15"/>
        <v>0</v>
      </c>
      <c r="R60" s="3532">
        <f t="shared" si="15"/>
        <v>0</v>
      </c>
      <c r="S60" s="3532">
        <f t="shared" si="15"/>
        <v>0</v>
      </c>
      <c r="T60" s="3532">
        <f t="shared" si="15"/>
        <v>0</v>
      </c>
      <c r="U60" s="3532">
        <f t="shared" si="15"/>
        <v>0</v>
      </c>
      <c r="V60" s="3532" t="b">
        <f t="shared" si="15"/>
        <v>0</v>
      </c>
      <c r="W60" s="1974"/>
      <c r="X60" s="53"/>
      <c r="Y60" s="53"/>
      <c r="Z60" s="153"/>
      <c r="AA60" s="3552" t="str">
        <f>C60</f>
        <v xml:space="preserve">SQ Marathon </v>
      </c>
      <c r="AB60" s="3552" t="str">
        <f>J60</f>
        <v>40%</v>
      </c>
      <c r="AC60" s="3552">
        <f t="shared" ref="AC60:AG63" si="16">E60</f>
        <v>18</v>
      </c>
      <c r="AD60" s="3552" t="str">
        <f t="shared" si="16"/>
        <v>180L</v>
      </c>
      <c r="AE60" s="3552">
        <f t="shared" si="16"/>
        <v>960</v>
      </c>
      <c r="AF60" s="3552">
        <f t="shared" si="16"/>
        <v>107500</v>
      </c>
      <c r="AG60" s="3552">
        <f t="shared" si="16"/>
        <v>175</v>
      </c>
      <c r="AH60" s="3554">
        <f>K60</f>
        <v>0.4</v>
      </c>
      <c r="AJ60" s="811">
        <v>0.38500000000000001</v>
      </c>
      <c r="AK60" s="3555">
        <f>(AL60*(1-AJ60)*1.03)+AM60+AN60+AO60+AP60</f>
        <v>0</v>
      </c>
      <c r="AL60" s="3532">
        <f t="shared" ref="AL60:AP63" si="17">Q60</f>
        <v>0</v>
      </c>
      <c r="AM60" s="3532">
        <f t="shared" si="17"/>
        <v>0</v>
      </c>
      <c r="AN60" s="3532">
        <f t="shared" si="17"/>
        <v>0</v>
      </c>
      <c r="AO60" s="3532">
        <f t="shared" si="17"/>
        <v>0</v>
      </c>
      <c r="AP60" s="3532">
        <f t="shared" si="17"/>
        <v>0</v>
      </c>
      <c r="AQ60" s="3532" t="b">
        <f>V60</f>
        <v>0</v>
      </c>
      <c r="AR60" s="437"/>
      <c r="AS60" s="53"/>
      <c r="AT60" s="53"/>
      <c r="AU60" s="2147"/>
      <c r="AV60" s="3546" t="str">
        <f>A137</f>
        <v>40%</v>
      </c>
      <c r="AW60" s="3556">
        <f t="shared" si="13"/>
        <v>17</v>
      </c>
      <c r="AX60" s="3556" t="str">
        <f t="shared" si="13"/>
        <v>KS200L1</v>
      </c>
      <c r="AY60" s="3556">
        <f t="shared" si="13"/>
        <v>972</v>
      </c>
      <c r="AZ60" s="3556">
        <f t="shared" si="13"/>
        <v>139800</v>
      </c>
      <c r="BA60" s="3556">
        <f t="shared" si="13"/>
        <v>375</v>
      </c>
      <c r="BB60" s="53"/>
      <c r="BC60" s="53"/>
      <c r="BD60" s="55" t="s">
        <v>2507</v>
      </c>
      <c r="BE60" s="3556" t="str">
        <f t="shared" si="14"/>
        <v>A.H</v>
      </c>
      <c r="BF60" s="3556" t="str">
        <f t="shared" si="14"/>
        <v>KS200L1</v>
      </c>
      <c r="BG60" s="3556">
        <f t="shared" si="14"/>
        <v>139800</v>
      </c>
      <c r="BH60" s="3556">
        <f t="shared" si="14"/>
        <v>233000</v>
      </c>
      <c r="BI60" s="3556">
        <f t="shared" si="14"/>
        <v>0</v>
      </c>
      <c r="BJ60" s="3556">
        <f t="shared" si="14"/>
        <v>0</v>
      </c>
      <c r="BK60" s="3556">
        <f t="shared" si="14"/>
        <v>0</v>
      </c>
      <c r="BL60" s="3556">
        <f t="shared" si="14"/>
        <v>0</v>
      </c>
      <c r="BM60" s="3556" t="str">
        <f t="shared" si="14"/>
        <v>Right</v>
      </c>
      <c r="BN60" s="437"/>
      <c r="BU60" s="53"/>
      <c r="BV60" s="53"/>
      <c r="BW60" s="53"/>
      <c r="BX60" s="53"/>
      <c r="BY60" s="53"/>
      <c r="BZ60" s="53"/>
      <c r="CA60" s="53"/>
      <c r="CB60" s="53"/>
      <c r="CC60" s="53"/>
    </row>
    <row r="61" spans="1:81">
      <c r="A61" s="53"/>
      <c r="B61" s="1525"/>
      <c r="C61" s="372" t="s">
        <v>2507</v>
      </c>
      <c r="D61" s="2149" t="s">
        <v>2472</v>
      </c>
      <c r="E61" s="3551">
        <f>E138</f>
        <v>17</v>
      </c>
      <c r="F61" s="3551" t="str">
        <f>F138</f>
        <v>KS200L1</v>
      </c>
      <c r="G61" s="3551">
        <f>G138</f>
        <v>972</v>
      </c>
      <c r="H61" s="3551">
        <f>H138</f>
        <v>139800</v>
      </c>
      <c r="I61" s="3551">
        <f>I138</f>
        <v>375</v>
      </c>
      <c r="J61" s="3532" t="str">
        <f>A138</f>
        <v>40%</v>
      </c>
      <c r="K61" s="3550">
        <f>+H135</f>
        <v>0.4</v>
      </c>
      <c r="L61" s="53"/>
      <c r="M61" s="2148" t="s">
        <v>2507</v>
      </c>
      <c r="N61" s="2149" t="s">
        <v>2472</v>
      </c>
      <c r="O61" s="3551" t="str">
        <f t="shared" ref="O61:V61" si="18">C145</f>
        <v>KS200L1</v>
      </c>
      <c r="P61" s="3551">
        <f t="shared" si="18"/>
        <v>139800</v>
      </c>
      <c r="Q61" s="3551">
        <f t="shared" si="18"/>
        <v>233000</v>
      </c>
      <c r="R61" s="3551">
        <f t="shared" si="18"/>
        <v>0</v>
      </c>
      <c r="S61" s="3551">
        <f t="shared" si="18"/>
        <v>0</v>
      </c>
      <c r="T61" s="3551">
        <f t="shared" si="18"/>
        <v>0</v>
      </c>
      <c r="U61" s="3551">
        <f t="shared" si="18"/>
        <v>0</v>
      </c>
      <c r="V61" s="3551" t="str">
        <f t="shared" si="18"/>
        <v>Right</v>
      </c>
      <c r="W61" s="1974"/>
      <c r="X61" s="53"/>
      <c r="Y61" s="53"/>
      <c r="Z61" s="1525"/>
      <c r="AA61" s="3552" t="str">
        <f>C61</f>
        <v xml:space="preserve">Slipring Marathon </v>
      </c>
      <c r="AB61" s="3552" t="str">
        <f>J61</f>
        <v>40%</v>
      </c>
      <c r="AC61" s="3552">
        <f t="shared" si="16"/>
        <v>17</v>
      </c>
      <c r="AD61" s="3552" t="str">
        <f t="shared" si="16"/>
        <v>KS200L1</v>
      </c>
      <c r="AE61" s="3552">
        <f t="shared" si="16"/>
        <v>972</v>
      </c>
      <c r="AF61" s="3552">
        <f t="shared" si="16"/>
        <v>139800</v>
      </c>
      <c r="AG61" s="3552">
        <f t="shared" si="16"/>
        <v>375</v>
      </c>
      <c r="AH61" s="3554">
        <f>K61</f>
        <v>0.4</v>
      </c>
      <c r="AJ61" s="811">
        <v>0.38500000000000001</v>
      </c>
      <c r="AK61" s="3555">
        <f>AL61*(1-AJ61)</f>
        <v>143295</v>
      </c>
      <c r="AL61" s="3532">
        <f t="shared" si="17"/>
        <v>233000</v>
      </c>
      <c r="AM61" s="3532">
        <f t="shared" si="17"/>
        <v>0</v>
      </c>
      <c r="AN61" s="3532">
        <f t="shared" si="17"/>
        <v>0</v>
      </c>
      <c r="AO61" s="3532">
        <f t="shared" si="17"/>
        <v>0</v>
      </c>
      <c r="AP61" s="3532">
        <f t="shared" si="17"/>
        <v>0</v>
      </c>
      <c r="AQ61" s="3532" t="str">
        <f t="shared" ref="AQ61:AQ63" si="19">V61</f>
        <v>Right</v>
      </c>
      <c r="AR61" s="1973"/>
      <c r="AS61" s="53"/>
      <c r="AT61" s="53"/>
      <c r="AU61" s="153"/>
      <c r="AV61" s="3546" t="str">
        <f>A137</f>
        <v>40%</v>
      </c>
      <c r="AW61" s="3556" t="b">
        <f t="shared" si="13"/>
        <v>0</v>
      </c>
      <c r="AX61" s="3556" t="b">
        <f t="shared" si="13"/>
        <v>0</v>
      </c>
      <c r="AY61" s="3556" t="b">
        <f t="shared" si="13"/>
        <v>0</v>
      </c>
      <c r="AZ61" s="3556" t="b">
        <f t="shared" si="13"/>
        <v>0</v>
      </c>
      <c r="BA61" s="3556" t="b">
        <f t="shared" si="13"/>
        <v>0</v>
      </c>
      <c r="BB61" s="53"/>
      <c r="BC61" s="53"/>
      <c r="BD61" s="55"/>
      <c r="BE61" s="3556" t="str">
        <f t="shared" si="14"/>
        <v>C.T</v>
      </c>
      <c r="BF61" s="3556" t="b">
        <f t="shared" si="14"/>
        <v>0</v>
      </c>
      <c r="BG61" s="3556" t="b">
        <f t="shared" si="14"/>
        <v>0</v>
      </c>
      <c r="BH61" s="3556" t="b">
        <f t="shared" si="14"/>
        <v>0</v>
      </c>
      <c r="BI61" s="3556" t="b">
        <f t="shared" si="14"/>
        <v>0</v>
      </c>
      <c r="BJ61" s="3556" t="b">
        <f t="shared" si="14"/>
        <v>0</v>
      </c>
      <c r="BK61" s="3556" t="b">
        <f t="shared" si="14"/>
        <v>0</v>
      </c>
      <c r="BL61" s="3556" t="b">
        <f t="shared" si="14"/>
        <v>0</v>
      </c>
      <c r="BM61" s="3556" t="b">
        <f t="shared" si="14"/>
        <v>0</v>
      </c>
      <c r="BN61" s="437"/>
      <c r="BU61" s="53"/>
      <c r="BV61" s="53"/>
      <c r="BW61" s="53"/>
      <c r="BX61" s="53"/>
      <c r="BY61" s="53"/>
      <c r="BZ61" s="53"/>
      <c r="CA61" s="53"/>
      <c r="CB61" s="53"/>
      <c r="CC61" s="53"/>
    </row>
    <row r="62" spans="1:81">
      <c r="A62" s="53"/>
      <c r="B62" s="153"/>
      <c r="C62" s="372" t="s">
        <v>2509</v>
      </c>
      <c r="D62" s="2149" t="s">
        <v>2472</v>
      </c>
      <c r="E62" s="3532">
        <f>E192</f>
        <v>17</v>
      </c>
      <c r="F62" s="3532" t="str">
        <f>F192</f>
        <v>180L</v>
      </c>
      <c r="G62" s="3532">
        <f>G192</f>
        <v>970</v>
      </c>
      <c r="H62" s="3532">
        <f>H192</f>
        <v>85554</v>
      </c>
      <c r="I62" s="3532">
        <f>I192</f>
        <v>204</v>
      </c>
      <c r="J62" s="3532" t="str">
        <f>A192</f>
        <v>40%</v>
      </c>
      <c r="K62" s="3547">
        <f>+H189</f>
        <v>0.68</v>
      </c>
      <c r="L62" s="53"/>
      <c r="M62" s="2148" t="s">
        <v>2509</v>
      </c>
      <c r="N62" s="2149" t="s">
        <v>2472</v>
      </c>
      <c r="O62" s="3551" t="str">
        <f t="shared" ref="O62:V62" si="20">C199</f>
        <v>180L</v>
      </c>
      <c r="P62" s="3551">
        <f t="shared" si="20"/>
        <v>85554</v>
      </c>
      <c r="Q62" s="3551">
        <f t="shared" si="20"/>
        <v>154200</v>
      </c>
      <c r="R62" s="3551">
        <f t="shared" si="20"/>
        <v>17500</v>
      </c>
      <c r="S62" s="3551">
        <f t="shared" si="20"/>
        <v>4000</v>
      </c>
      <c r="T62" s="3551">
        <f t="shared" si="20"/>
        <v>7000</v>
      </c>
      <c r="U62" s="3551">
        <f t="shared" si="20"/>
        <v>7710</v>
      </c>
      <c r="V62" s="3551" t="str">
        <f t="shared" si="20"/>
        <v>Right</v>
      </c>
      <c r="W62" s="1974"/>
      <c r="Z62" s="1525"/>
      <c r="AA62" s="3552" t="str">
        <f>C62</f>
        <v>Siemens H/F</v>
      </c>
      <c r="AB62" s="3552" t="str">
        <f>J62</f>
        <v>40%</v>
      </c>
      <c r="AC62" s="3552">
        <f t="shared" si="16"/>
        <v>17</v>
      </c>
      <c r="AD62" s="3552" t="str">
        <f t="shared" si="16"/>
        <v>180L</v>
      </c>
      <c r="AE62" s="3552">
        <f t="shared" si="16"/>
        <v>970</v>
      </c>
      <c r="AF62" s="3552">
        <f t="shared" si="16"/>
        <v>85554</v>
      </c>
      <c r="AG62" s="3552">
        <f t="shared" si="16"/>
        <v>204</v>
      </c>
      <c r="AH62" s="3554">
        <f>K62</f>
        <v>0.68</v>
      </c>
      <c r="AJ62" s="811">
        <v>0.68</v>
      </c>
      <c r="AK62" s="3555">
        <f>(AL62*(1-AJ62))+AM62+AN62+AO62+AP62</f>
        <v>85554</v>
      </c>
      <c r="AL62" s="3532">
        <f t="shared" si="17"/>
        <v>154200</v>
      </c>
      <c r="AM62" s="3532">
        <f t="shared" si="17"/>
        <v>17500</v>
      </c>
      <c r="AN62" s="3532">
        <f t="shared" si="17"/>
        <v>4000</v>
      </c>
      <c r="AO62" s="3551">
        <f t="shared" si="17"/>
        <v>7000</v>
      </c>
      <c r="AP62" s="3532">
        <f t="shared" si="17"/>
        <v>7710</v>
      </c>
      <c r="AQ62" s="3532" t="str">
        <f t="shared" si="19"/>
        <v>Right</v>
      </c>
      <c r="AR62" s="1973"/>
      <c r="AU62" s="153"/>
      <c r="AV62" s="3546" t="str">
        <f>A137</f>
        <v>40%</v>
      </c>
      <c r="AW62" s="3556" t="b">
        <f t="shared" si="13"/>
        <v>0</v>
      </c>
      <c r="AX62" s="3556" t="b">
        <f t="shared" si="13"/>
        <v>0</v>
      </c>
      <c r="AY62" s="3556" t="b">
        <f t="shared" si="13"/>
        <v>0</v>
      </c>
      <c r="AZ62" s="3556" t="b">
        <f t="shared" si="13"/>
        <v>0</v>
      </c>
      <c r="BA62" s="3556" t="b">
        <f t="shared" si="13"/>
        <v>0</v>
      </c>
      <c r="BB62" s="53"/>
      <c r="BC62" s="53"/>
      <c r="BE62" s="3556" t="str">
        <f t="shared" si="14"/>
        <v>L.T</v>
      </c>
      <c r="BF62" s="3556" t="b">
        <f t="shared" si="14"/>
        <v>0</v>
      </c>
      <c r="BG62" s="3556" t="b">
        <f t="shared" si="14"/>
        <v>0</v>
      </c>
      <c r="BH62" s="3556" t="b">
        <f t="shared" si="14"/>
        <v>0</v>
      </c>
      <c r="BI62" s="3556" t="b">
        <f t="shared" si="14"/>
        <v>0</v>
      </c>
      <c r="BJ62" s="3556" t="b">
        <f t="shared" si="14"/>
        <v>0</v>
      </c>
      <c r="BK62" s="3556" t="b">
        <f t="shared" si="14"/>
        <v>0</v>
      </c>
      <c r="BL62" s="3556" t="b">
        <f t="shared" si="14"/>
        <v>0</v>
      </c>
      <c r="BM62" s="3556" t="b">
        <f t="shared" si="14"/>
        <v>0</v>
      </c>
      <c r="BN62" s="437"/>
    </row>
    <row r="63" spans="1:81">
      <c r="A63" s="53"/>
      <c r="B63" s="153"/>
      <c r="C63" s="372" t="s">
        <v>2510</v>
      </c>
      <c r="D63" s="2149" t="s">
        <v>2472</v>
      </c>
      <c r="E63" s="3532">
        <f>E248</f>
        <v>15</v>
      </c>
      <c r="F63" s="3532" t="str">
        <f>F248</f>
        <v>180L</v>
      </c>
      <c r="G63" s="3532">
        <f>G248</f>
        <v>970</v>
      </c>
      <c r="H63" s="3532">
        <f>H248</f>
        <v>85554</v>
      </c>
      <c r="I63" s="3532">
        <f>I248</f>
        <v>204</v>
      </c>
      <c r="J63" s="3532" t="str">
        <f>A248</f>
        <v>40%</v>
      </c>
      <c r="K63" s="3547">
        <f>+H245</f>
        <v>0.68</v>
      </c>
      <c r="L63" s="53"/>
      <c r="M63" s="2148" t="s">
        <v>2510</v>
      </c>
      <c r="N63" s="2149" t="s">
        <v>2472</v>
      </c>
      <c r="O63" s="3551" t="str">
        <f t="shared" ref="O63:V63" si="21">C255</f>
        <v>180L</v>
      </c>
      <c r="P63" s="3551">
        <f t="shared" si="21"/>
        <v>85554</v>
      </c>
      <c r="Q63" s="3551">
        <f t="shared" si="21"/>
        <v>154200</v>
      </c>
      <c r="R63" s="3551">
        <f t="shared" si="21"/>
        <v>17500</v>
      </c>
      <c r="S63" s="3551">
        <f t="shared" si="21"/>
        <v>4000</v>
      </c>
      <c r="T63" s="3551">
        <f t="shared" si="21"/>
        <v>7000</v>
      </c>
      <c r="U63" s="3551">
        <f t="shared" si="21"/>
        <v>7710</v>
      </c>
      <c r="V63" s="3551" t="str">
        <f t="shared" si="21"/>
        <v>Right</v>
      </c>
      <c r="W63" s="1974"/>
      <c r="Z63" s="1525"/>
      <c r="AA63" s="3552" t="str">
        <f>C63</f>
        <v>Siemens F/B</v>
      </c>
      <c r="AB63" s="3552" t="str">
        <f>J63</f>
        <v>40%</v>
      </c>
      <c r="AC63" s="3552">
        <f t="shared" si="16"/>
        <v>15</v>
      </c>
      <c r="AD63" s="3552" t="str">
        <f t="shared" si="16"/>
        <v>180L</v>
      </c>
      <c r="AE63" s="3552">
        <f t="shared" si="16"/>
        <v>970</v>
      </c>
      <c r="AF63" s="3552">
        <f t="shared" si="16"/>
        <v>85554</v>
      </c>
      <c r="AG63" s="3552">
        <f t="shared" si="16"/>
        <v>204</v>
      </c>
      <c r="AH63" s="3554">
        <f>K63</f>
        <v>0.68</v>
      </c>
      <c r="AJ63" s="811">
        <v>0.68</v>
      </c>
      <c r="AK63" s="3555">
        <f>(AL63*(1-AJ63))+AM63+AN63+AO63+AP63</f>
        <v>85554</v>
      </c>
      <c r="AL63" s="3532">
        <f t="shared" si="17"/>
        <v>154200</v>
      </c>
      <c r="AM63" s="3532">
        <f t="shared" si="17"/>
        <v>17500</v>
      </c>
      <c r="AN63" s="3532">
        <f t="shared" si="17"/>
        <v>4000</v>
      </c>
      <c r="AO63" s="3532">
        <f t="shared" si="17"/>
        <v>7000</v>
      </c>
      <c r="AP63" s="3532">
        <f t="shared" si="17"/>
        <v>7710</v>
      </c>
      <c r="AQ63" s="3532" t="str">
        <f t="shared" si="19"/>
        <v>Right</v>
      </c>
      <c r="AR63" s="1973"/>
      <c r="AU63" s="153"/>
      <c r="AW63" s="53"/>
      <c r="AX63" s="53"/>
      <c r="AY63" s="53"/>
      <c r="AZ63" s="53"/>
      <c r="BA63" s="53"/>
      <c r="BB63" s="53"/>
      <c r="BC63" s="53"/>
      <c r="BN63" s="437"/>
    </row>
    <row r="64" spans="1:81">
      <c r="A64" s="53"/>
      <c r="B64" s="153"/>
      <c r="C64" s="372"/>
      <c r="D64" s="145"/>
      <c r="E64" s="131"/>
      <c r="F64" s="131"/>
      <c r="G64" s="131"/>
      <c r="H64" s="131"/>
      <c r="I64" s="131"/>
      <c r="J64" s="131"/>
      <c r="L64" s="53"/>
      <c r="M64" s="2148"/>
      <c r="N64" s="145"/>
      <c r="O64" s="145"/>
      <c r="P64" s="145"/>
      <c r="Q64" s="145"/>
      <c r="R64" s="145"/>
      <c r="S64" s="145"/>
      <c r="T64" s="145"/>
      <c r="U64" s="145"/>
      <c r="V64" s="145"/>
      <c r="W64" s="1973"/>
      <c r="Z64" s="1525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1973"/>
      <c r="AU64" s="2147" t="s">
        <v>2509</v>
      </c>
      <c r="AV64" s="3546" t="str">
        <f>A191</f>
        <v>40%</v>
      </c>
      <c r="AW64" s="3546">
        <f t="shared" ref="AW64:BA67" si="22">E191</f>
        <v>17</v>
      </c>
      <c r="AX64" s="3546" t="str">
        <f t="shared" si="22"/>
        <v>180L</v>
      </c>
      <c r="AY64" s="3546">
        <f t="shared" si="22"/>
        <v>970</v>
      </c>
      <c r="AZ64" s="3546">
        <f t="shared" si="22"/>
        <v>85554</v>
      </c>
      <c r="BA64" s="3546">
        <f t="shared" si="22"/>
        <v>204</v>
      </c>
      <c r="BB64" s="53"/>
      <c r="BC64" s="53"/>
      <c r="BE64" s="3557" t="str">
        <f t="shared" ref="BE64:BM67" si="23">B198</f>
        <v>M.H</v>
      </c>
      <c r="BF64" s="3557" t="str">
        <f t="shared" si="23"/>
        <v>180L</v>
      </c>
      <c r="BG64" s="3557">
        <f t="shared" si="23"/>
        <v>85554</v>
      </c>
      <c r="BH64" s="3557">
        <f t="shared" si="23"/>
        <v>154200</v>
      </c>
      <c r="BI64" s="3557">
        <f t="shared" si="23"/>
        <v>17500</v>
      </c>
      <c r="BJ64" s="3557">
        <f t="shared" si="23"/>
        <v>4000</v>
      </c>
      <c r="BK64" s="3557">
        <f t="shared" si="23"/>
        <v>7000</v>
      </c>
      <c r="BL64" s="3557">
        <f t="shared" si="23"/>
        <v>7710</v>
      </c>
      <c r="BM64" s="3557" t="str">
        <f t="shared" si="23"/>
        <v>Right</v>
      </c>
      <c r="BN64" s="437"/>
    </row>
    <row r="65" spans="1:81">
      <c r="B65" s="153"/>
      <c r="C65" s="372" t="s">
        <v>2506</v>
      </c>
      <c r="D65" s="145" t="s">
        <v>2473</v>
      </c>
      <c r="E65" s="3532" t="b">
        <f>E87</f>
        <v>0</v>
      </c>
      <c r="F65" s="3532" t="b">
        <f>F87</f>
        <v>0</v>
      </c>
      <c r="G65" s="3532" t="b">
        <f>G87</f>
        <v>0</v>
      </c>
      <c r="H65" s="3532" t="b">
        <f>H87</f>
        <v>0</v>
      </c>
      <c r="I65" s="3532" t="b">
        <f>I87</f>
        <v>0</v>
      </c>
      <c r="J65" s="3532" t="str">
        <f>A87</f>
        <v>S1-100</v>
      </c>
      <c r="K65" s="3547">
        <f>+H83</f>
        <v>0.4</v>
      </c>
      <c r="L65" s="53"/>
      <c r="M65" s="2148" t="s">
        <v>2506</v>
      </c>
      <c r="N65" s="145" t="s">
        <v>2473</v>
      </c>
      <c r="O65" s="3532" t="b">
        <f t="shared" ref="O65:V65" si="24">C94</f>
        <v>0</v>
      </c>
      <c r="P65" s="3532" t="b">
        <f t="shared" si="24"/>
        <v>0</v>
      </c>
      <c r="Q65" s="3532" t="b">
        <f t="shared" si="24"/>
        <v>0</v>
      </c>
      <c r="R65" s="3532" t="b">
        <f t="shared" si="24"/>
        <v>0</v>
      </c>
      <c r="S65" s="3532" t="b">
        <f t="shared" si="24"/>
        <v>0</v>
      </c>
      <c r="T65" s="3532" t="b">
        <f t="shared" si="24"/>
        <v>0</v>
      </c>
      <c r="U65" s="3532" t="b">
        <f t="shared" si="24"/>
        <v>0</v>
      </c>
      <c r="V65" s="3532" t="b">
        <f t="shared" si="24"/>
        <v>0</v>
      </c>
      <c r="W65" s="1974"/>
      <c r="Z65" s="1525"/>
      <c r="AA65" s="3552" t="str">
        <f>C65</f>
        <v xml:space="preserve">SQ Marathon </v>
      </c>
      <c r="AB65" s="3552" t="str">
        <f>J65</f>
        <v>S1-100</v>
      </c>
      <c r="AC65" s="3552" t="b">
        <f t="shared" ref="AC65:AG68" si="25">E65</f>
        <v>0</v>
      </c>
      <c r="AD65" s="3552" t="b">
        <f t="shared" si="25"/>
        <v>0</v>
      </c>
      <c r="AE65" s="3552" t="b">
        <f t="shared" si="25"/>
        <v>0</v>
      </c>
      <c r="AF65" s="3552" t="b">
        <f t="shared" si="25"/>
        <v>0</v>
      </c>
      <c r="AG65" s="3552" t="b">
        <f t="shared" si="25"/>
        <v>0</v>
      </c>
      <c r="AH65" s="3554">
        <f>K65</f>
        <v>0.4</v>
      </c>
      <c r="AJ65" s="811">
        <v>0.38500000000000001</v>
      </c>
      <c r="AK65" s="3555">
        <f>(AL65*(1-AJ65)*1.03)+AM65+AN65+AO65+AP65</f>
        <v>0</v>
      </c>
      <c r="AL65" s="3532" t="b">
        <f t="shared" ref="AL65:AP68" si="26">Q65</f>
        <v>0</v>
      </c>
      <c r="AM65" s="3532" t="b">
        <f t="shared" si="26"/>
        <v>0</v>
      </c>
      <c r="AN65" s="3532" t="b">
        <f t="shared" si="26"/>
        <v>0</v>
      </c>
      <c r="AO65" s="3532" t="b">
        <f t="shared" si="26"/>
        <v>0</v>
      </c>
      <c r="AP65" s="3532" t="b">
        <f t="shared" si="26"/>
        <v>0</v>
      </c>
      <c r="AQ65" s="3532" t="b">
        <f>V65</f>
        <v>0</v>
      </c>
      <c r="AR65" s="1973"/>
      <c r="AU65" s="2147"/>
      <c r="AV65" s="3546" t="str">
        <f>A191</f>
        <v>40%</v>
      </c>
      <c r="AW65" s="3546">
        <f t="shared" si="22"/>
        <v>17</v>
      </c>
      <c r="AX65" s="3546" t="str">
        <f t="shared" si="22"/>
        <v>180L</v>
      </c>
      <c r="AY65" s="3546">
        <f t="shared" si="22"/>
        <v>970</v>
      </c>
      <c r="AZ65" s="3546">
        <f t="shared" si="22"/>
        <v>85554</v>
      </c>
      <c r="BA65" s="3546">
        <f t="shared" si="22"/>
        <v>204</v>
      </c>
      <c r="BB65" s="53"/>
      <c r="BC65" s="53"/>
      <c r="BD65" s="55" t="s">
        <v>2509</v>
      </c>
      <c r="BE65" s="3557" t="str">
        <f t="shared" si="23"/>
        <v>A.H</v>
      </c>
      <c r="BF65" s="3557" t="str">
        <f t="shared" si="23"/>
        <v>180L</v>
      </c>
      <c r="BG65" s="3557">
        <f t="shared" si="23"/>
        <v>85554</v>
      </c>
      <c r="BH65" s="3557">
        <f t="shared" si="23"/>
        <v>154200</v>
      </c>
      <c r="BI65" s="3557">
        <f t="shared" si="23"/>
        <v>17500</v>
      </c>
      <c r="BJ65" s="3557">
        <f t="shared" si="23"/>
        <v>4000</v>
      </c>
      <c r="BK65" s="3557">
        <f t="shared" si="23"/>
        <v>7000</v>
      </c>
      <c r="BL65" s="3557">
        <f t="shared" si="23"/>
        <v>7710</v>
      </c>
      <c r="BM65" s="3557" t="str">
        <f t="shared" si="23"/>
        <v>Right</v>
      </c>
      <c r="BN65" s="437"/>
    </row>
    <row r="66" spans="1:81">
      <c r="B66" s="153"/>
      <c r="C66" s="372" t="s">
        <v>2507</v>
      </c>
      <c r="D66" s="2149" t="s">
        <v>2473</v>
      </c>
      <c r="E66" s="3551" t="b">
        <f>E139</f>
        <v>0</v>
      </c>
      <c r="F66" s="3551" t="b">
        <f>F139</f>
        <v>0</v>
      </c>
      <c r="G66" s="3551" t="b">
        <f>G139</f>
        <v>0</v>
      </c>
      <c r="H66" s="3551" t="b">
        <f>H139</f>
        <v>0</v>
      </c>
      <c r="I66" s="3551" t="b">
        <f>I139</f>
        <v>0</v>
      </c>
      <c r="J66" s="3532" t="str">
        <f>A139</f>
        <v>S1-100</v>
      </c>
      <c r="K66" s="3547">
        <f>+H135</f>
        <v>0.4</v>
      </c>
      <c r="L66" s="53"/>
      <c r="M66" s="2148" t="s">
        <v>2507</v>
      </c>
      <c r="N66" s="2149" t="s">
        <v>2473</v>
      </c>
      <c r="O66" s="3551" t="b">
        <f t="shared" ref="O66:V66" si="27">C146</f>
        <v>0</v>
      </c>
      <c r="P66" s="3551" t="b">
        <f t="shared" si="27"/>
        <v>0</v>
      </c>
      <c r="Q66" s="3551" t="b">
        <f t="shared" si="27"/>
        <v>0</v>
      </c>
      <c r="R66" s="3551" t="b">
        <f t="shared" si="27"/>
        <v>0</v>
      </c>
      <c r="S66" s="3551" t="b">
        <f t="shared" si="27"/>
        <v>0</v>
      </c>
      <c r="T66" s="3551" t="b">
        <f t="shared" si="27"/>
        <v>0</v>
      </c>
      <c r="U66" s="3551" t="b">
        <f t="shared" si="27"/>
        <v>0</v>
      </c>
      <c r="V66" s="3551" t="b">
        <f t="shared" si="27"/>
        <v>0</v>
      </c>
      <c r="W66" s="1974"/>
      <c r="Z66" s="1525"/>
      <c r="AA66" s="3552" t="str">
        <f>C66</f>
        <v xml:space="preserve">Slipring Marathon </v>
      </c>
      <c r="AB66" s="3552" t="str">
        <f>J66</f>
        <v>S1-100</v>
      </c>
      <c r="AC66" s="3552" t="b">
        <f t="shared" si="25"/>
        <v>0</v>
      </c>
      <c r="AD66" s="3552" t="b">
        <f t="shared" si="25"/>
        <v>0</v>
      </c>
      <c r="AE66" s="3552" t="b">
        <f t="shared" si="25"/>
        <v>0</v>
      </c>
      <c r="AF66" s="3552" t="b">
        <f t="shared" si="25"/>
        <v>0</v>
      </c>
      <c r="AG66" s="3552" t="b">
        <f t="shared" si="25"/>
        <v>0</v>
      </c>
      <c r="AH66" s="3554">
        <f>K66</f>
        <v>0.4</v>
      </c>
      <c r="AJ66" s="811">
        <v>0.38500000000000001</v>
      </c>
      <c r="AK66" s="3555">
        <f>AL66*(1-AJ66)</f>
        <v>0</v>
      </c>
      <c r="AL66" s="3532" t="b">
        <f t="shared" si="26"/>
        <v>0</v>
      </c>
      <c r="AM66" s="3532" t="b">
        <f t="shared" si="26"/>
        <v>0</v>
      </c>
      <c r="AN66" s="3532" t="b">
        <f t="shared" si="26"/>
        <v>0</v>
      </c>
      <c r="AO66" s="3532" t="b">
        <f t="shared" si="26"/>
        <v>0</v>
      </c>
      <c r="AP66" s="3532" t="b">
        <f t="shared" si="26"/>
        <v>0</v>
      </c>
      <c r="AQ66" s="3532" t="b">
        <f t="shared" ref="AQ66:AQ68" si="28">V66</f>
        <v>0</v>
      </c>
      <c r="AR66" s="1973"/>
      <c r="AU66" s="1525"/>
      <c r="AV66" s="3546" t="str">
        <f>A191</f>
        <v>40%</v>
      </c>
      <c r="AW66" s="3546" t="b">
        <f t="shared" si="22"/>
        <v>0</v>
      </c>
      <c r="AX66" s="3546" t="b">
        <f t="shared" si="22"/>
        <v>0</v>
      </c>
      <c r="AY66" s="3546" t="b">
        <f t="shared" si="22"/>
        <v>0</v>
      </c>
      <c r="AZ66" s="3546" t="b">
        <f t="shared" si="22"/>
        <v>0</v>
      </c>
      <c r="BA66" s="3546" t="b">
        <f t="shared" si="22"/>
        <v>0</v>
      </c>
      <c r="BB66" s="53"/>
      <c r="BC66" s="53"/>
      <c r="BD66" s="55"/>
      <c r="BE66" s="3557" t="str">
        <f t="shared" si="23"/>
        <v>C.T</v>
      </c>
      <c r="BF66" s="3557" t="b">
        <f t="shared" si="23"/>
        <v>0</v>
      </c>
      <c r="BG66" s="3557" t="b">
        <f t="shared" si="23"/>
        <v>0</v>
      </c>
      <c r="BH66" s="3557" t="b">
        <f t="shared" si="23"/>
        <v>0</v>
      </c>
      <c r="BI66" s="3557" t="b">
        <f t="shared" si="23"/>
        <v>0</v>
      </c>
      <c r="BJ66" s="3557" t="b">
        <f t="shared" si="23"/>
        <v>0</v>
      </c>
      <c r="BK66" s="3557" t="b">
        <f t="shared" si="23"/>
        <v>0</v>
      </c>
      <c r="BL66" s="3557" t="b">
        <f t="shared" si="23"/>
        <v>0</v>
      </c>
      <c r="BM66" s="3557" t="b">
        <f t="shared" si="23"/>
        <v>0</v>
      </c>
      <c r="BN66" s="437"/>
    </row>
    <row r="67" spans="1:81">
      <c r="B67" s="153"/>
      <c r="C67" s="372" t="s">
        <v>2509</v>
      </c>
      <c r="D67" s="2149" t="s">
        <v>2473</v>
      </c>
      <c r="E67" s="3532" t="b">
        <f>E193</f>
        <v>0</v>
      </c>
      <c r="F67" s="3532" t="b">
        <f>F193</f>
        <v>0</v>
      </c>
      <c r="G67" s="3532" t="b">
        <f>G193</f>
        <v>0</v>
      </c>
      <c r="H67" s="3532" t="b">
        <f>H193</f>
        <v>0</v>
      </c>
      <c r="I67" s="3532" t="b">
        <f>I193</f>
        <v>0</v>
      </c>
      <c r="J67" s="3532" t="str">
        <f>A193</f>
        <v>S1-100</v>
      </c>
      <c r="K67" s="3547">
        <f>+H189</f>
        <v>0.68</v>
      </c>
      <c r="L67" s="53"/>
      <c r="M67" s="2148" t="s">
        <v>2509</v>
      </c>
      <c r="N67" s="2149" t="s">
        <v>2473</v>
      </c>
      <c r="O67" s="3551" t="b">
        <f t="shared" ref="O67:V67" si="29">C200</f>
        <v>0</v>
      </c>
      <c r="P67" s="3551" t="b">
        <f t="shared" si="29"/>
        <v>0</v>
      </c>
      <c r="Q67" s="3551" t="b">
        <f t="shared" si="29"/>
        <v>0</v>
      </c>
      <c r="R67" s="3551" t="b">
        <f t="shared" si="29"/>
        <v>0</v>
      </c>
      <c r="S67" s="3551" t="b">
        <f t="shared" si="29"/>
        <v>0</v>
      </c>
      <c r="T67" s="3551" t="b">
        <f t="shared" si="29"/>
        <v>0</v>
      </c>
      <c r="U67" s="3551" t="b">
        <f t="shared" si="29"/>
        <v>0</v>
      </c>
      <c r="V67" s="3551" t="b">
        <f t="shared" si="29"/>
        <v>0</v>
      </c>
      <c r="W67" s="1974"/>
      <c r="Z67" s="1525"/>
      <c r="AA67" s="3552" t="str">
        <f>C67</f>
        <v>Siemens H/F</v>
      </c>
      <c r="AB67" s="3552" t="str">
        <f>J67</f>
        <v>S1-100</v>
      </c>
      <c r="AC67" s="3552" t="b">
        <f t="shared" si="25"/>
        <v>0</v>
      </c>
      <c r="AD67" s="3552" t="b">
        <f t="shared" si="25"/>
        <v>0</v>
      </c>
      <c r="AE67" s="3552" t="b">
        <f t="shared" si="25"/>
        <v>0</v>
      </c>
      <c r="AF67" s="3552" t="b">
        <f t="shared" si="25"/>
        <v>0</v>
      </c>
      <c r="AG67" s="3552" t="b">
        <f t="shared" si="25"/>
        <v>0</v>
      </c>
      <c r="AH67" s="3554">
        <f>K67</f>
        <v>0.68</v>
      </c>
      <c r="AJ67" s="811">
        <v>0.68</v>
      </c>
      <c r="AK67" s="3555">
        <f>(AL67*(1-AJ67))+AM67+AN67+AO67+AP67</f>
        <v>0</v>
      </c>
      <c r="AL67" s="3532" t="b">
        <f t="shared" si="26"/>
        <v>0</v>
      </c>
      <c r="AM67" s="3532" t="b">
        <f t="shared" si="26"/>
        <v>0</v>
      </c>
      <c r="AN67" s="3532" t="b">
        <f t="shared" si="26"/>
        <v>0</v>
      </c>
      <c r="AO67" s="3532" t="b">
        <f t="shared" si="26"/>
        <v>0</v>
      </c>
      <c r="AP67" s="3532" t="b">
        <f t="shared" si="26"/>
        <v>0</v>
      </c>
      <c r="AQ67" s="3532" t="b">
        <f t="shared" si="28"/>
        <v>0</v>
      </c>
      <c r="AR67" s="1973"/>
      <c r="AU67" s="1525"/>
      <c r="AV67" s="3546" t="str">
        <f>A191</f>
        <v>40%</v>
      </c>
      <c r="AW67" s="3546" t="b">
        <f t="shared" si="22"/>
        <v>0</v>
      </c>
      <c r="AX67" s="3546" t="b">
        <f t="shared" si="22"/>
        <v>0</v>
      </c>
      <c r="AY67" s="3546" t="b">
        <f t="shared" si="22"/>
        <v>0</v>
      </c>
      <c r="AZ67" s="3546" t="b">
        <f t="shared" si="22"/>
        <v>0</v>
      </c>
      <c r="BA67" s="3546" t="b">
        <f t="shared" si="22"/>
        <v>0</v>
      </c>
      <c r="BB67" s="53"/>
      <c r="BC67" s="53"/>
      <c r="BD67" s="53"/>
      <c r="BE67" s="3557" t="str">
        <f t="shared" si="23"/>
        <v>L.T</v>
      </c>
      <c r="BF67" s="3557" t="b">
        <f t="shared" si="23"/>
        <v>0</v>
      </c>
      <c r="BG67" s="3557" t="b">
        <f t="shared" si="23"/>
        <v>0</v>
      </c>
      <c r="BH67" s="3557" t="b">
        <f t="shared" si="23"/>
        <v>0</v>
      </c>
      <c r="BI67" s="3557" t="b">
        <f t="shared" si="23"/>
        <v>0</v>
      </c>
      <c r="BJ67" s="3557" t="b">
        <f t="shared" si="23"/>
        <v>0</v>
      </c>
      <c r="BK67" s="3557" t="b">
        <f t="shared" si="23"/>
        <v>0</v>
      </c>
      <c r="BL67" s="3557" t="b">
        <f t="shared" si="23"/>
        <v>0</v>
      </c>
      <c r="BM67" s="3557" t="b">
        <f t="shared" si="23"/>
        <v>0</v>
      </c>
      <c r="BN67" s="437"/>
    </row>
    <row r="68" spans="1:81">
      <c r="B68" s="153"/>
      <c r="C68" s="372" t="s">
        <v>2510</v>
      </c>
      <c r="D68" s="2149" t="s">
        <v>2473</v>
      </c>
      <c r="E68" s="3532" t="b">
        <f>E249</f>
        <v>0</v>
      </c>
      <c r="F68" s="3532" t="b">
        <f>F249</f>
        <v>0</v>
      </c>
      <c r="G68" s="3532" t="b">
        <f>G249</f>
        <v>0</v>
      </c>
      <c r="H68" s="3532" t="b">
        <f>H249</f>
        <v>0</v>
      </c>
      <c r="I68" s="3532" t="b">
        <f>I249</f>
        <v>0</v>
      </c>
      <c r="J68" s="3532" t="str">
        <f>A249</f>
        <v>S1-100</v>
      </c>
      <c r="K68" s="3547">
        <f>+H245</f>
        <v>0.68</v>
      </c>
      <c r="M68" s="2148" t="s">
        <v>2510</v>
      </c>
      <c r="N68" s="2149" t="s">
        <v>2473</v>
      </c>
      <c r="O68" s="3551" t="b">
        <f t="shared" ref="O68:V68" si="30">C256</f>
        <v>0</v>
      </c>
      <c r="P68" s="3551" t="b">
        <f t="shared" si="30"/>
        <v>0</v>
      </c>
      <c r="Q68" s="3551" t="b">
        <f t="shared" si="30"/>
        <v>0</v>
      </c>
      <c r="R68" s="3551" t="b">
        <f t="shared" si="30"/>
        <v>0</v>
      </c>
      <c r="S68" s="3551" t="b">
        <f t="shared" si="30"/>
        <v>0</v>
      </c>
      <c r="T68" s="3551" t="b">
        <f t="shared" si="30"/>
        <v>0</v>
      </c>
      <c r="U68" s="3551" t="b">
        <f t="shared" si="30"/>
        <v>0</v>
      </c>
      <c r="V68" s="3551" t="b">
        <f t="shared" si="30"/>
        <v>0</v>
      </c>
      <c r="W68" s="1974"/>
      <c r="Z68" s="1525"/>
      <c r="AA68" s="3552" t="str">
        <f>C68</f>
        <v>Siemens F/B</v>
      </c>
      <c r="AB68" s="3552" t="str">
        <f>J68</f>
        <v>S1-100</v>
      </c>
      <c r="AC68" s="3552" t="b">
        <f t="shared" si="25"/>
        <v>0</v>
      </c>
      <c r="AD68" s="3552" t="b">
        <f t="shared" si="25"/>
        <v>0</v>
      </c>
      <c r="AE68" s="3552" t="b">
        <f t="shared" si="25"/>
        <v>0</v>
      </c>
      <c r="AF68" s="3552" t="b">
        <f t="shared" si="25"/>
        <v>0</v>
      </c>
      <c r="AG68" s="3552" t="b">
        <f t="shared" si="25"/>
        <v>0</v>
      </c>
      <c r="AH68" s="3554">
        <f>K68</f>
        <v>0.68</v>
      </c>
      <c r="AJ68" s="811">
        <v>0.68</v>
      </c>
      <c r="AK68" s="3555">
        <f>(AL68*(1-AJ68))+AM68+AN68+AO68+AP68</f>
        <v>0</v>
      </c>
      <c r="AL68" s="3532" t="b">
        <f t="shared" si="26"/>
        <v>0</v>
      </c>
      <c r="AM68" s="3532" t="b">
        <f t="shared" si="26"/>
        <v>0</v>
      </c>
      <c r="AN68" s="3532" t="b">
        <f t="shared" si="26"/>
        <v>0</v>
      </c>
      <c r="AO68" s="3532" t="b">
        <f t="shared" si="26"/>
        <v>0</v>
      </c>
      <c r="AP68" s="3532" t="b">
        <f t="shared" si="26"/>
        <v>0</v>
      </c>
      <c r="AQ68" s="3532" t="b">
        <f t="shared" si="28"/>
        <v>0</v>
      </c>
      <c r="AR68" s="1973"/>
      <c r="AU68" s="153"/>
      <c r="BD68" s="53"/>
      <c r="BN68" s="437"/>
    </row>
    <row r="69" spans="1:81">
      <c r="B69" s="153"/>
      <c r="C69" s="2148"/>
      <c r="D69" s="145"/>
      <c r="E69" s="145"/>
      <c r="F69" s="145"/>
      <c r="G69" s="145"/>
      <c r="H69" s="145"/>
      <c r="I69" s="145"/>
      <c r="J69" s="131"/>
      <c r="M69" s="2148"/>
      <c r="N69" s="145"/>
      <c r="O69" s="145"/>
      <c r="P69" s="145"/>
      <c r="Q69" s="145"/>
      <c r="R69" s="145"/>
      <c r="S69" s="145"/>
      <c r="T69" s="145"/>
      <c r="U69" s="145"/>
      <c r="V69" s="145"/>
      <c r="W69" s="437"/>
      <c r="Z69" s="1525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1973"/>
      <c r="AU69" s="2147" t="s">
        <v>2510</v>
      </c>
      <c r="AV69" s="3546" t="str">
        <f>A247</f>
        <v>40%</v>
      </c>
      <c r="AW69" s="3546">
        <f t="shared" ref="AW69:BA72" si="31">E247</f>
        <v>15</v>
      </c>
      <c r="AX69" s="3546" t="str">
        <f t="shared" si="31"/>
        <v>180L</v>
      </c>
      <c r="AY69" s="3546">
        <f t="shared" si="31"/>
        <v>970</v>
      </c>
      <c r="AZ69" s="3546">
        <f t="shared" si="31"/>
        <v>85554</v>
      </c>
      <c r="BA69" s="3546">
        <f t="shared" si="31"/>
        <v>204</v>
      </c>
      <c r="BE69" s="3557" t="str">
        <f t="shared" ref="BE69:BM72" si="32">B254</f>
        <v>M.H</v>
      </c>
      <c r="BF69" s="3557" t="str">
        <f t="shared" si="32"/>
        <v>180L</v>
      </c>
      <c r="BG69" s="3557">
        <f t="shared" si="32"/>
        <v>85554</v>
      </c>
      <c r="BH69" s="3557">
        <f t="shared" si="32"/>
        <v>154200</v>
      </c>
      <c r="BI69" s="3557">
        <f t="shared" si="32"/>
        <v>17500</v>
      </c>
      <c r="BJ69" s="3557">
        <f t="shared" si="32"/>
        <v>4000</v>
      </c>
      <c r="BK69" s="3557">
        <f t="shared" si="32"/>
        <v>7000</v>
      </c>
      <c r="BL69" s="3557">
        <f t="shared" si="32"/>
        <v>7710</v>
      </c>
      <c r="BM69" s="3557" t="str">
        <f t="shared" si="32"/>
        <v>Right</v>
      </c>
      <c r="BN69" s="437"/>
    </row>
    <row r="70" spans="1:81">
      <c r="B70" s="153"/>
      <c r="C70" s="372" t="s">
        <v>2506</v>
      </c>
      <c r="D70" s="145" t="s">
        <v>2474</v>
      </c>
      <c r="E70" s="3532" t="b">
        <f>E88</f>
        <v>0</v>
      </c>
      <c r="F70" s="3532" t="b">
        <f>F88</f>
        <v>0</v>
      </c>
      <c r="G70" s="3532" t="b">
        <f>G88</f>
        <v>0</v>
      </c>
      <c r="H70" s="3532" t="b">
        <f>H88</f>
        <v>0</v>
      </c>
      <c r="I70" s="3532" t="b">
        <f>I88</f>
        <v>0</v>
      </c>
      <c r="J70" s="3532" t="str">
        <f>A88</f>
        <v>S1-100</v>
      </c>
      <c r="K70" s="3547">
        <f>+H83</f>
        <v>0.4</v>
      </c>
      <c r="M70" s="2148" t="s">
        <v>2506</v>
      </c>
      <c r="N70" s="145" t="s">
        <v>2474</v>
      </c>
      <c r="O70" s="3532" t="b">
        <f t="shared" ref="O70:V70" si="33">C95</f>
        <v>0</v>
      </c>
      <c r="P70" s="3532" t="b">
        <f t="shared" si="33"/>
        <v>0</v>
      </c>
      <c r="Q70" s="3532" t="b">
        <f t="shared" si="33"/>
        <v>0</v>
      </c>
      <c r="R70" s="3532" t="b">
        <f t="shared" si="33"/>
        <v>0</v>
      </c>
      <c r="S70" s="3532" t="b">
        <f t="shared" si="33"/>
        <v>0</v>
      </c>
      <c r="T70" s="3532" t="b">
        <f t="shared" si="33"/>
        <v>0</v>
      </c>
      <c r="U70" s="3532" t="b">
        <f t="shared" si="33"/>
        <v>0</v>
      </c>
      <c r="V70" s="3532" t="b">
        <f t="shared" si="33"/>
        <v>0</v>
      </c>
      <c r="W70" s="1974"/>
      <c r="Z70" s="153"/>
      <c r="AA70" s="3552" t="str">
        <f>C70</f>
        <v xml:space="preserve">SQ Marathon </v>
      </c>
      <c r="AB70" s="3552" t="str">
        <f>J70</f>
        <v>S1-100</v>
      </c>
      <c r="AC70" s="3552" t="b">
        <f t="shared" ref="AC70:AG73" si="34">E70</f>
        <v>0</v>
      </c>
      <c r="AD70" s="3552" t="b">
        <f t="shared" si="34"/>
        <v>0</v>
      </c>
      <c r="AE70" s="3552" t="b">
        <f t="shared" si="34"/>
        <v>0</v>
      </c>
      <c r="AF70" s="3552" t="b">
        <f t="shared" si="34"/>
        <v>0</v>
      </c>
      <c r="AG70" s="3552" t="b">
        <f t="shared" si="34"/>
        <v>0</v>
      </c>
      <c r="AH70" s="3554">
        <f>K70</f>
        <v>0.4</v>
      </c>
      <c r="AJ70" s="811">
        <v>0.38500000000000001</v>
      </c>
      <c r="AK70" s="3555">
        <f>(AL70*(1-AJ70)*1.03)+AM70+AN70+AO70+AP70</f>
        <v>0</v>
      </c>
      <c r="AL70" s="3532" t="b">
        <f t="shared" ref="AL70:AQ73" si="35">Q70</f>
        <v>0</v>
      </c>
      <c r="AM70" s="3532" t="b">
        <f t="shared" si="35"/>
        <v>0</v>
      </c>
      <c r="AN70" s="3532" t="b">
        <f t="shared" si="35"/>
        <v>0</v>
      </c>
      <c r="AO70" s="3532" t="b">
        <f t="shared" si="35"/>
        <v>0</v>
      </c>
      <c r="AP70" s="3532" t="b">
        <f t="shared" si="35"/>
        <v>0</v>
      </c>
      <c r="AQ70" s="3532" t="b">
        <f>V70</f>
        <v>0</v>
      </c>
      <c r="AR70" s="437"/>
      <c r="AU70" s="2147"/>
      <c r="AV70" s="3546" t="str">
        <f>A247</f>
        <v>40%</v>
      </c>
      <c r="AW70" s="3546">
        <f t="shared" si="31"/>
        <v>15</v>
      </c>
      <c r="AX70" s="3546" t="str">
        <f t="shared" si="31"/>
        <v>180L</v>
      </c>
      <c r="AY70" s="3546">
        <f t="shared" si="31"/>
        <v>970</v>
      </c>
      <c r="AZ70" s="3546">
        <f t="shared" si="31"/>
        <v>85554</v>
      </c>
      <c r="BA70" s="3546">
        <f t="shared" si="31"/>
        <v>204</v>
      </c>
      <c r="BD70" s="55" t="s">
        <v>2510</v>
      </c>
      <c r="BE70" s="3557" t="str">
        <f t="shared" si="32"/>
        <v>A.H</v>
      </c>
      <c r="BF70" s="3557" t="str">
        <f t="shared" si="32"/>
        <v>180L</v>
      </c>
      <c r="BG70" s="3557">
        <f t="shared" si="32"/>
        <v>85554</v>
      </c>
      <c r="BH70" s="3557">
        <f t="shared" si="32"/>
        <v>154200</v>
      </c>
      <c r="BI70" s="3557">
        <f t="shared" si="32"/>
        <v>17500</v>
      </c>
      <c r="BJ70" s="3557">
        <f t="shared" si="32"/>
        <v>4000</v>
      </c>
      <c r="BK70" s="3557">
        <f t="shared" si="32"/>
        <v>7000</v>
      </c>
      <c r="BL70" s="3557">
        <f t="shared" si="32"/>
        <v>7710</v>
      </c>
      <c r="BM70" s="3557" t="str">
        <f t="shared" si="32"/>
        <v>Right</v>
      </c>
      <c r="BN70" s="437"/>
    </row>
    <row r="71" spans="1:81">
      <c r="B71" s="153"/>
      <c r="C71" s="372" t="s">
        <v>2507</v>
      </c>
      <c r="D71" s="2149" t="s">
        <v>2474</v>
      </c>
      <c r="E71" s="3551" t="b">
        <f>E140</f>
        <v>0</v>
      </c>
      <c r="F71" s="3551" t="b">
        <f>F140</f>
        <v>0</v>
      </c>
      <c r="G71" s="3551" t="b">
        <f>G140</f>
        <v>0</v>
      </c>
      <c r="H71" s="3551" t="b">
        <f>H140</f>
        <v>0</v>
      </c>
      <c r="I71" s="3551" t="b">
        <f>I140</f>
        <v>0</v>
      </c>
      <c r="J71" s="3532" t="str">
        <f>A140</f>
        <v>S1-100</v>
      </c>
      <c r="K71" s="3547">
        <f>+H135</f>
        <v>0.4</v>
      </c>
      <c r="M71" s="2148" t="s">
        <v>2507</v>
      </c>
      <c r="N71" s="2149" t="s">
        <v>2474</v>
      </c>
      <c r="O71" s="3551" t="b">
        <f t="shared" ref="O71:V71" si="36">C147</f>
        <v>0</v>
      </c>
      <c r="P71" s="3551" t="b">
        <f t="shared" si="36"/>
        <v>0</v>
      </c>
      <c r="Q71" s="3551" t="b">
        <f t="shared" si="36"/>
        <v>0</v>
      </c>
      <c r="R71" s="3551" t="b">
        <f t="shared" si="36"/>
        <v>0</v>
      </c>
      <c r="S71" s="3551" t="b">
        <f t="shared" si="36"/>
        <v>0</v>
      </c>
      <c r="T71" s="3551" t="b">
        <f t="shared" si="36"/>
        <v>0</v>
      </c>
      <c r="U71" s="3551" t="b">
        <f t="shared" si="36"/>
        <v>0</v>
      </c>
      <c r="V71" s="3551" t="b">
        <f t="shared" si="36"/>
        <v>0</v>
      </c>
      <c r="W71" s="1974"/>
      <c r="Z71" s="153"/>
      <c r="AA71" s="3552" t="str">
        <f>C71</f>
        <v xml:space="preserve">Slipring Marathon </v>
      </c>
      <c r="AB71" s="3552" t="str">
        <f>J71</f>
        <v>S1-100</v>
      </c>
      <c r="AC71" s="3552" t="b">
        <f t="shared" si="34"/>
        <v>0</v>
      </c>
      <c r="AD71" s="3552" t="b">
        <f t="shared" si="34"/>
        <v>0</v>
      </c>
      <c r="AE71" s="3552" t="b">
        <f t="shared" si="34"/>
        <v>0</v>
      </c>
      <c r="AF71" s="3552" t="b">
        <f t="shared" si="34"/>
        <v>0</v>
      </c>
      <c r="AG71" s="3552" t="b">
        <f t="shared" si="34"/>
        <v>0</v>
      </c>
      <c r="AH71" s="3554">
        <f>K71</f>
        <v>0.4</v>
      </c>
      <c r="AJ71" s="811">
        <v>0.38500000000000001</v>
      </c>
      <c r="AK71" s="3555">
        <f>AL71*(1-AJ71)</f>
        <v>0</v>
      </c>
      <c r="AL71" s="3532" t="b">
        <f t="shared" si="35"/>
        <v>0</v>
      </c>
      <c r="AM71" s="3551" t="b">
        <f t="shared" si="35"/>
        <v>0</v>
      </c>
      <c r="AN71" s="3532" t="b">
        <f t="shared" si="35"/>
        <v>0</v>
      </c>
      <c r="AO71" s="3551" t="b">
        <f t="shared" si="35"/>
        <v>0</v>
      </c>
      <c r="AP71" s="3532" t="b">
        <f t="shared" si="35"/>
        <v>0</v>
      </c>
      <c r="AQ71" s="3532" t="b">
        <f t="shared" si="35"/>
        <v>0</v>
      </c>
      <c r="AR71" s="437"/>
      <c r="AU71" s="153"/>
      <c r="AV71" s="3546" t="str">
        <f>A247</f>
        <v>40%</v>
      </c>
      <c r="AW71" s="3546" t="b">
        <f t="shared" si="31"/>
        <v>0</v>
      </c>
      <c r="AX71" s="3546" t="b">
        <f t="shared" si="31"/>
        <v>0</v>
      </c>
      <c r="AY71" s="3546" t="b">
        <f t="shared" si="31"/>
        <v>0</v>
      </c>
      <c r="AZ71" s="3546" t="b">
        <f t="shared" si="31"/>
        <v>0</v>
      </c>
      <c r="BA71" s="3546" t="b">
        <f t="shared" si="31"/>
        <v>0</v>
      </c>
      <c r="BE71" s="3557" t="str">
        <f t="shared" si="32"/>
        <v>C.T</v>
      </c>
      <c r="BF71" s="3557" t="b">
        <f t="shared" si="32"/>
        <v>0</v>
      </c>
      <c r="BG71" s="3557" t="b">
        <f t="shared" si="32"/>
        <v>0</v>
      </c>
      <c r="BH71" s="3557" t="b">
        <f t="shared" si="32"/>
        <v>0</v>
      </c>
      <c r="BI71" s="3557" t="b">
        <f t="shared" si="32"/>
        <v>0</v>
      </c>
      <c r="BJ71" s="3557" t="b">
        <f t="shared" si="32"/>
        <v>0</v>
      </c>
      <c r="BK71" s="3557" t="b">
        <f t="shared" si="32"/>
        <v>0</v>
      </c>
      <c r="BL71" s="3557" t="b">
        <f t="shared" si="32"/>
        <v>0</v>
      </c>
      <c r="BM71" s="3557" t="b">
        <f t="shared" si="32"/>
        <v>0</v>
      </c>
      <c r="BN71" s="437"/>
    </row>
    <row r="72" spans="1:81">
      <c r="B72" s="153"/>
      <c r="C72" s="372" t="s">
        <v>2509</v>
      </c>
      <c r="D72" s="2149" t="s">
        <v>2474</v>
      </c>
      <c r="E72" s="3532" t="b">
        <f>E194</f>
        <v>0</v>
      </c>
      <c r="F72" s="3532" t="b">
        <f>F194</f>
        <v>0</v>
      </c>
      <c r="G72" s="3532" t="b">
        <f>G194</f>
        <v>0</v>
      </c>
      <c r="H72" s="3532" t="b">
        <f>H194</f>
        <v>0</v>
      </c>
      <c r="I72" s="3532" t="b">
        <f>I194</f>
        <v>0</v>
      </c>
      <c r="J72" s="3532" t="str">
        <f>A194</f>
        <v>S1-100</v>
      </c>
      <c r="K72" s="3547">
        <f>+H189</f>
        <v>0.68</v>
      </c>
      <c r="M72" s="2148" t="s">
        <v>2509</v>
      </c>
      <c r="N72" s="2149" t="s">
        <v>2474</v>
      </c>
      <c r="O72" s="3551" t="b">
        <f t="shared" ref="O72:V72" si="37">C201</f>
        <v>0</v>
      </c>
      <c r="P72" s="3551" t="b">
        <f t="shared" si="37"/>
        <v>0</v>
      </c>
      <c r="Q72" s="3551" t="b">
        <f t="shared" si="37"/>
        <v>0</v>
      </c>
      <c r="R72" s="3551" t="b">
        <f t="shared" si="37"/>
        <v>0</v>
      </c>
      <c r="S72" s="3551" t="b">
        <f t="shared" si="37"/>
        <v>0</v>
      </c>
      <c r="T72" s="3551" t="b">
        <f t="shared" si="37"/>
        <v>0</v>
      </c>
      <c r="U72" s="3551" t="b">
        <f t="shared" si="37"/>
        <v>0</v>
      </c>
      <c r="V72" s="3551" t="b">
        <f t="shared" si="37"/>
        <v>0</v>
      </c>
      <c r="W72" s="1974"/>
      <c r="Z72" s="153"/>
      <c r="AA72" s="3552" t="str">
        <f>C72</f>
        <v>Siemens H/F</v>
      </c>
      <c r="AB72" s="3552" t="str">
        <f>J72</f>
        <v>S1-100</v>
      </c>
      <c r="AC72" s="3552" t="b">
        <f t="shared" si="34"/>
        <v>0</v>
      </c>
      <c r="AD72" s="3552" t="b">
        <f t="shared" si="34"/>
        <v>0</v>
      </c>
      <c r="AE72" s="3552" t="b">
        <f t="shared" si="34"/>
        <v>0</v>
      </c>
      <c r="AF72" s="3552" t="b">
        <f t="shared" si="34"/>
        <v>0</v>
      </c>
      <c r="AG72" s="3552" t="b">
        <f t="shared" si="34"/>
        <v>0</v>
      </c>
      <c r="AH72" s="3554">
        <f>K72</f>
        <v>0.68</v>
      </c>
      <c r="AJ72" s="811">
        <v>0.68</v>
      </c>
      <c r="AK72" s="3555">
        <f>(AL72*(1-AJ72))+AM72+AN72+AO72+AP72</f>
        <v>0</v>
      </c>
      <c r="AL72" s="3532" t="b">
        <f t="shared" si="35"/>
        <v>0</v>
      </c>
      <c r="AM72" s="3551" t="b">
        <f t="shared" si="35"/>
        <v>0</v>
      </c>
      <c r="AN72" s="3532" t="b">
        <f t="shared" si="35"/>
        <v>0</v>
      </c>
      <c r="AO72" s="3532" t="b">
        <f t="shared" si="35"/>
        <v>0</v>
      </c>
      <c r="AP72" s="3532" t="b">
        <f t="shared" si="35"/>
        <v>0</v>
      </c>
      <c r="AQ72" s="3551" t="b">
        <f>V72</f>
        <v>0</v>
      </c>
      <c r="AR72" s="437"/>
      <c r="AU72" s="153"/>
      <c r="AV72" s="3546" t="str">
        <f>A247</f>
        <v>40%</v>
      </c>
      <c r="AW72" s="3546" t="b">
        <f t="shared" si="31"/>
        <v>0</v>
      </c>
      <c r="AX72" s="3546" t="b">
        <f t="shared" si="31"/>
        <v>0</v>
      </c>
      <c r="AY72" s="3546" t="b">
        <f t="shared" si="31"/>
        <v>0</v>
      </c>
      <c r="AZ72" s="3546" t="b">
        <f t="shared" si="31"/>
        <v>0</v>
      </c>
      <c r="BA72" s="3546" t="b">
        <f t="shared" si="31"/>
        <v>0</v>
      </c>
      <c r="BE72" s="3557" t="str">
        <f t="shared" si="32"/>
        <v>L.T</v>
      </c>
      <c r="BF72" s="3557" t="b">
        <f t="shared" si="32"/>
        <v>0</v>
      </c>
      <c r="BG72" s="3557" t="b">
        <f t="shared" si="32"/>
        <v>0</v>
      </c>
      <c r="BH72" s="3557" t="b">
        <f t="shared" si="32"/>
        <v>0</v>
      </c>
      <c r="BI72" s="3557" t="b">
        <f t="shared" si="32"/>
        <v>0</v>
      </c>
      <c r="BJ72" s="3557" t="b">
        <f t="shared" si="32"/>
        <v>0</v>
      </c>
      <c r="BK72" s="3557" t="b">
        <f t="shared" si="32"/>
        <v>0</v>
      </c>
      <c r="BL72" s="3557" t="b">
        <f t="shared" si="32"/>
        <v>0</v>
      </c>
      <c r="BM72" s="3557" t="b">
        <f t="shared" si="32"/>
        <v>0</v>
      </c>
      <c r="BN72" s="437"/>
    </row>
    <row r="73" spans="1:81">
      <c r="B73" s="153"/>
      <c r="C73" s="372" t="s">
        <v>2510</v>
      </c>
      <c r="D73" s="2149" t="s">
        <v>2474</v>
      </c>
      <c r="E73" s="3532" t="b">
        <f>E250</f>
        <v>0</v>
      </c>
      <c r="F73" s="3532" t="b">
        <f>F250</f>
        <v>0</v>
      </c>
      <c r="G73" s="3532" t="b">
        <f>G250</f>
        <v>0</v>
      </c>
      <c r="H73" s="3532" t="b">
        <f>H250</f>
        <v>0</v>
      </c>
      <c r="I73" s="3532" t="b">
        <f>I250</f>
        <v>0</v>
      </c>
      <c r="J73" s="3532" t="str">
        <f>A250</f>
        <v>S1-100</v>
      </c>
      <c r="K73" s="3547">
        <f>+H245</f>
        <v>0.68</v>
      </c>
      <c r="M73" s="2148" t="s">
        <v>2510</v>
      </c>
      <c r="N73" s="2149" t="s">
        <v>2474</v>
      </c>
      <c r="O73" s="3551" t="b">
        <f t="shared" ref="O73:V73" si="38">C257</f>
        <v>0</v>
      </c>
      <c r="P73" s="3551" t="b">
        <f t="shared" si="38"/>
        <v>0</v>
      </c>
      <c r="Q73" s="3551" t="b">
        <f t="shared" si="38"/>
        <v>0</v>
      </c>
      <c r="R73" s="3551" t="b">
        <f t="shared" si="38"/>
        <v>0</v>
      </c>
      <c r="S73" s="3551" t="b">
        <f t="shared" si="38"/>
        <v>0</v>
      </c>
      <c r="T73" s="3551" t="b">
        <f t="shared" si="38"/>
        <v>0</v>
      </c>
      <c r="U73" s="3551" t="b">
        <f t="shared" si="38"/>
        <v>0</v>
      </c>
      <c r="V73" s="3551" t="b">
        <f t="shared" si="38"/>
        <v>0</v>
      </c>
      <c r="W73" s="1974"/>
      <c r="Z73" s="153"/>
      <c r="AA73" s="3552" t="str">
        <f>C73</f>
        <v>Siemens F/B</v>
      </c>
      <c r="AB73" s="3552" t="str">
        <f>J73</f>
        <v>S1-100</v>
      </c>
      <c r="AC73" s="3552" t="b">
        <f t="shared" si="34"/>
        <v>0</v>
      </c>
      <c r="AD73" s="3552" t="b">
        <f t="shared" si="34"/>
        <v>0</v>
      </c>
      <c r="AE73" s="3552" t="b">
        <f t="shared" si="34"/>
        <v>0</v>
      </c>
      <c r="AF73" s="3552" t="b">
        <f t="shared" si="34"/>
        <v>0</v>
      </c>
      <c r="AG73" s="3552" t="b">
        <f t="shared" si="34"/>
        <v>0</v>
      </c>
      <c r="AH73" s="3554">
        <f>K73</f>
        <v>0.68</v>
      </c>
      <c r="AJ73" s="811">
        <v>0.68</v>
      </c>
      <c r="AK73" s="3555">
        <f>(AL73*(1-AJ73))+AM73+AN73+AO73+AP73</f>
        <v>0</v>
      </c>
      <c r="AL73" s="3532" t="b">
        <f t="shared" si="35"/>
        <v>0</v>
      </c>
      <c r="AM73" s="3532" t="b">
        <f t="shared" si="35"/>
        <v>0</v>
      </c>
      <c r="AN73" s="3532" t="b">
        <f t="shared" si="35"/>
        <v>0</v>
      </c>
      <c r="AO73" s="3532" t="b">
        <f t="shared" si="35"/>
        <v>0</v>
      </c>
      <c r="AP73" s="3551" t="b">
        <f t="shared" si="35"/>
        <v>0</v>
      </c>
      <c r="AQ73" s="3532" t="b">
        <f t="shared" si="35"/>
        <v>0</v>
      </c>
      <c r="AR73" s="437"/>
      <c r="AU73" s="461"/>
      <c r="AV73" s="456"/>
      <c r="AW73" s="456"/>
      <c r="AX73" s="456"/>
      <c r="AY73" s="456"/>
      <c r="AZ73" s="456"/>
      <c r="BA73" s="456"/>
      <c r="BB73" s="456"/>
      <c r="BC73" s="456"/>
      <c r="BD73" s="456"/>
      <c r="BE73" s="456"/>
      <c r="BF73" s="456"/>
      <c r="BG73" s="456"/>
      <c r="BH73" s="456"/>
      <c r="BI73" s="456"/>
      <c r="BJ73" s="456"/>
      <c r="BK73" s="456"/>
      <c r="BL73" s="456"/>
      <c r="BM73" s="456"/>
      <c r="BN73" s="455"/>
    </row>
    <row r="74" spans="1:81">
      <c r="B74" s="461"/>
      <c r="C74" s="456"/>
      <c r="D74" s="456"/>
      <c r="E74" s="456"/>
      <c r="F74" s="456"/>
      <c r="G74" s="456"/>
      <c r="H74" s="456"/>
      <c r="I74" s="456"/>
      <c r="J74" s="456"/>
      <c r="K74" s="456"/>
      <c r="L74" s="456"/>
      <c r="M74" s="456"/>
      <c r="N74" s="456"/>
      <c r="O74" s="456"/>
      <c r="P74" s="456"/>
      <c r="Q74" s="456"/>
      <c r="R74" s="456"/>
      <c r="S74" s="456"/>
      <c r="T74" s="456"/>
      <c r="U74" s="456"/>
      <c r="V74" s="456"/>
      <c r="W74" s="455"/>
      <c r="Z74" s="461"/>
      <c r="AA74" s="456"/>
      <c r="AB74" s="456"/>
      <c r="AC74" s="456"/>
      <c r="AD74" s="456"/>
      <c r="AE74" s="456"/>
      <c r="AF74" s="456"/>
      <c r="AG74" s="456"/>
      <c r="AH74" s="456"/>
      <c r="AI74" s="456"/>
      <c r="AJ74" s="456"/>
      <c r="AK74" s="456"/>
      <c r="AL74" s="456"/>
      <c r="AM74" s="456"/>
      <c r="AN74" s="456"/>
      <c r="AO74" s="456"/>
      <c r="AP74" s="456"/>
      <c r="AQ74" s="456"/>
      <c r="AR74" s="455"/>
    </row>
    <row r="77" spans="1:81">
      <c r="A77" s="2617"/>
      <c r="B77" s="2617"/>
      <c r="C77" s="2617"/>
      <c r="D77" s="2617"/>
      <c r="E77" s="2617"/>
      <c r="F77" s="2617"/>
      <c r="G77" s="2617"/>
      <c r="H77" s="2617"/>
      <c r="I77" s="2617"/>
      <c r="J77" s="2617"/>
      <c r="K77" s="2617"/>
      <c r="L77" s="2617"/>
      <c r="M77" s="2617"/>
      <c r="N77" s="2617"/>
      <c r="O77" s="2617"/>
      <c r="P77" s="2617"/>
      <c r="Q77" s="2617"/>
      <c r="R77" s="2617"/>
      <c r="S77" s="2617"/>
      <c r="T77" s="2617"/>
      <c r="U77" s="2617"/>
      <c r="V77" s="2617"/>
      <c r="W77" s="2617"/>
      <c r="X77" s="2617"/>
      <c r="Y77" s="2617"/>
      <c r="Z77" s="2617"/>
      <c r="AA77" s="2617"/>
      <c r="AB77" s="2617"/>
      <c r="AC77" s="2617"/>
      <c r="AD77" s="2617"/>
      <c r="AE77" s="2617"/>
      <c r="AF77" s="2617"/>
      <c r="AG77" s="2617"/>
      <c r="AH77" s="2617"/>
      <c r="AI77" s="2617"/>
      <c r="AJ77" s="2617"/>
      <c r="AK77" s="2617"/>
      <c r="AL77" s="2617"/>
      <c r="AM77" s="2617"/>
      <c r="AN77" s="2617"/>
      <c r="AO77" s="2617"/>
      <c r="AP77" s="2617"/>
      <c r="AQ77" s="2617"/>
      <c r="AR77" s="2617"/>
      <c r="AS77" s="2617"/>
      <c r="AT77" s="2617"/>
      <c r="AU77" s="2617"/>
      <c r="AV77" s="2617"/>
      <c r="AW77" s="2617"/>
      <c r="AX77" s="2617"/>
      <c r="AY77" s="2617"/>
      <c r="AZ77" s="2617"/>
      <c r="BA77" s="2617"/>
      <c r="BB77" s="2617"/>
      <c r="BC77" s="2617"/>
      <c r="BD77" s="2617"/>
      <c r="BE77" s="2617"/>
      <c r="BF77" s="2617"/>
      <c r="BG77" s="2617"/>
      <c r="BH77" s="2617"/>
      <c r="BI77" s="2617"/>
      <c r="BJ77" s="2617"/>
      <c r="BK77" s="2617"/>
      <c r="BL77" s="2617"/>
      <c r="BM77" s="2617"/>
      <c r="BN77" s="2617"/>
      <c r="BO77" s="2617"/>
      <c r="BP77" s="2617"/>
      <c r="BQ77" s="2617"/>
      <c r="BR77" s="2617"/>
      <c r="BS77" s="2617"/>
      <c r="BT77" s="2617"/>
      <c r="BU77" s="2617"/>
      <c r="BV77" s="2617"/>
      <c r="BW77" s="2617"/>
      <c r="BX77" s="2617"/>
      <c r="BY77" s="2617"/>
      <c r="BZ77" s="2617"/>
      <c r="CA77" s="2617"/>
      <c r="CB77" s="2617"/>
      <c r="CC77" s="2617"/>
    </row>
    <row r="78" spans="1:81">
      <c r="D78" s="53"/>
      <c r="E78" s="53"/>
      <c r="F78" s="53"/>
      <c r="G78" s="53"/>
      <c r="H78" s="53"/>
      <c r="AZ78" s="2618"/>
    </row>
    <row r="79" spans="1:81">
      <c r="D79" s="53"/>
      <c r="E79" s="53"/>
      <c r="F79" s="53"/>
      <c r="G79" s="53"/>
      <c r="H79" s="53"/>
      <c r="AZ79" s="2618"/>
    </row>
    <row r="80" spans="1:81">
      <c r="N80" s="53"/>
      <c r="T80" s="340"/>
      <c r="AZ80" s="2618"/>
    </row>
    <row r="81" spans="1:86">
      <c r="D81" s="2150" t="s">
        <v>2506</v>
      </c>
      <c r="E81" s="2619"/>
      <c r="N81" s="2620" t="s">
        <v>110</v>
      </c>
      <c r="O81" s="2620"/>
      <c r="P81" s="2620"/>
      <c r="S81" s="31"/>
      <c r="AG81" s="31"/>
      <c r="AH81" s="59"/>
      <c r="AI81" s="59"/>
      <c r="AK81" s="80"/>
      <c r="AL81" s="53"/>
      <c r="AT81" s="31"/>
      <c r="AU81" s="59"/>
      <c r="AV81" s="59"/>
      <c r="AW81" s="59"/>
      <c r="AX81" s="59"/>
      <c r="AY81" s="59"/>
      <c r="AZ81" s="2621"/>
      <c r="BA81" s="59"/>
      <c r="BV81" s="2615"/>
    </row>
    <row r="82" spans="1:86" ht="29.45" customHeight="1">
      <c r="H82" s="22" t="s">
        <v>2502</v>
      </c>
      <c r="M82" s="29" t="s">
        <v>2500</v>
      </c>
      <c r="N82" s="29" t="s">
        <v>2501</v>
      </c>
      <c r="O82" s="29" t="s">
        <v>119</v>
      </c>
      <c r="P82" s="427" t="s">
        <v>120</v>
      </c>
      <c r="Q82" s="427" t="s">
        <v>2498</v>
      </c>
      <c r="R82" s="3559" t="str">
        <f t="shared" ref="R82:R112" si="39">+O82</f>
        <v>Frame S</v>
      </c>
      <c r="S82" s="29" t="s">
        <v>121</v>
      </c>
      <c r="T82" s="29" t="s">
        <v>111</v>
      </c>
      <c r="U82" s="29" t="s">
        <v>112</v>
      </c>
      <c r="V82" s="29" t="s">
        <v>113</v>
      </c>
      <c r="W82" s="29" t="s">
        <v>114</v>
      </c>
      <c r="X82" s="29" t="s">
        <v>115</v>
      </c>
      <c r="Y82" s="29" t="s">
        <v>116</v>
      </c>
      <c r="Z82" s="29" t="s">
        <v>117</v>
      </c>
      <c r="AC82" s="2478" t="s">
        <v>2513</v>
      </c>
      <c r="AD82" s="2478"/>
      <c r="AE82" s="2478" t="s">
        <v>661</v>
      </c>
      <c r="AF82" s="815"/>
      <c r="AG82" s="59"/>
      <c r="AH82" s="341"/>
      <c r="AJ82" s="59"/>
      <c r="AQ82" s="59"/>
      <c r="AR82" s="59"/>
      <c r="AS82" s="815"/>
      <c r="AT82" s="59"/>
      <c r="AU82" s="59"/>
      <c r="AV82" s="59"/>
      <c r="AW82" s="59"/>
      <c r="AX82" s="59"/>
      <c r="AY82" s="59"/>
      <c r="AZ82" s="2621"/>
      <c r="BA82" s="59"/>
      <c r="BD82" s="29" t="s">
        <v>2500</v>
      </c>
      <c r="BE82" s="29">
        <v>0</v>
      </c>
      <c r="BF82" s="311">
        <v>0.5</v>
      </c>
      <c r="BG82" s="311">
        <v>0.7</v>
      </c>
      <c r="BH82" s="311">
        <v>1</v>
      </c>
      <c r="BI82" s="311">
        <v>1.4</v>
      </c>
      <c r="BJ82" s="311">
        <v>2.1</v>
      </c>
      <c r="BK82" s="311">
        <v>3.5</v>
      </c>
      <c r="BL82" s="311">
        <v>5.2</v>
      </c>
      <c r="BM82" s="311">
        <v>7.1</v>
      </c>
      <c r="BN82" s="311">
        <v>10.4</v>
      </c>
      <c r="BO82" s="311">
        <v>12</v>
      </c>
      <c r="BP82" s="311">
        <v>14.2</v>
      </c>
      <c r="BQ82" s="311">
        <v>17.5</v>
      </c>
      <c r="BR82" s="311">
        <v>20.9</v>
      </c>
      <c r="BS82" s="311">
        <v>28.4</v>
      </c>
      <c r="BT82" s="311">
        <v>35.1</v>
      </c>
      <c r="BU82" s="311">
        <v>42.7</v>
      </c>
      <c r="BV82" s="311">
        <v>52.1</v>
      </c>
      <c r="BW82" s="311">
        <v>58.8</v>
      </c>
      <c r="BX82" s="311">
        <v>71.099999999999994</v>
      </c>
      <c r="BY82" s="311">
        <v>85.3</v>
      </c>
      <c r="BZ82" s="311">
        <v>104.3</v>
      </c>
      <c r="CA82" s="311">
        <v>125.2</v>
      </c>
      <c r="CB82" s="311">
        <v>151.69999999999999</v>
      </c>
      <c r="CC82" s="311">
        <v>170.7</v>
      </c>
      <c r="CD82" s="311">
        <v>189.6</v>
      </c>
      <c r="CE82" s="311">
        <v>208.6</v>
      </c>
      <c r="CF82" s="311">
        <v>237</v>
      </c>
      <c r="CG82" s="311">
        <v>265.5</v>
      </c>
      <c r="CH82" s="311">
        <v>284.39999999999998</v>
      </c>
    </row>
    <row r="83" spans="1:86">
      <c r="B83" s="2128"/>
      <c r="E83" s="80"/>
      <c r="F83" s="1939"/>
      <c r="H83" s="3558">
        <f>+J47</f>
        <v>0.4</v>
      </c>
      <c r="I83" s="17"/>
      <c r="M83" s="29">
        <v>0</v>
      </c>
      <c r="N83" s="29">
        <v>0</v>
      </c>
      <c r="O83" s="3571" t="s">
        <v>3961</v>
      </c>
      <c r="P83" s="3572">
        <v>0.55000000000000004</v>
      </c>
      <c r="Q83" s="3572">
        <v>0.55000000000000004</v>
      </c>
      <c r="R83" s="3559" t="str">
        <f t="shared" si="39"/>
        <v>80</v>
      </c>
      <c r="S83" s="311">
        <v>960</v>
      </c>
      <c r="T83" s="3574">
        <v>10</v>
      </c>
      <c r="U83" s="3575">
        <v>10500</v>
      </c>
      <c r="V83" s="416"/>
      <c r="W83" s="416"/>
      <c r="X83" s="2151"/>
      <c r="Y83" s="416"/>
      <c r="Z83" s="416"/>
      <c r="AB83" s="345"/>
      <c r="AC83" s="22">
        <v>9150</v>
      </c>
      <c r="AD83" s="59"/>
      <c r="AE83" s="3561">
        <f>AC83-V83</f>
        <v>9150</v>
      </c>
      <c r="AF83" s="53"/>
      <c r="AG83" s="80"/>
      <c r="AH83" s="53"/>
      <c r="AJ83" s="19"/>
      <c r="AQ83" s="59"/>
      <c r="AR83" s="53"/>
      <c r="AS83" s="53"/>
      <c r="AT83" s="80"/>
      <c r="AU83" s="19"/>
      <c r="AV83" s="19"/>
      <c r="AW83" s="20"/>
      <c r="AX83" s="20"/>
      <c r="AY83" s="20"/>
      <c r="AZ83" s="2152"/>
      <c r="BA83" s="20"/>
      <c r="BD83" s="29" t="s">
        <v>2501</v>
      </c>
      <c r="BE83" s="29">
        <v>0</v>
      </c>
      <c r="BF83" s="311">
        <v>0.5</v>
      </c>
      <c r="BG83" s="311">
        <v>0.7</v>
      </c>
      <c r="BH83" s="311">
        <v>1</v>
      </c>
      <c r="BI83" s="311">
        <v>1.3</v>
      </c>
      <c r="BJ83" s="311">
        <v>2</v>
      </c>
      <c r="BK83" s="311">
        <v>3.3</v>
      </c>
      <c r="BL83" s="311">
        <v>4.9000000000000004</v>
      </c>
      <c r="BM83" s="311">
        <v>6.7</v>
      </c>
      <c r="BN83" s="311">
        <v>9.8000000000000007</v>
      </c>
      <c r="BO83" s="311">
        <v>11.3</v>
      </c>
      <c r="BP83" s="311">
        <v>13.4</v>
      </c>
      <c r="BQ83" s="311">
        <v>16.5</v>
      </c>
      <c r="BR83" s="311">
        <v>19.7</v>
      </c>
      <c r="BS83" s="311">
        <v>26.8</v>
      </c>
      <c r="BT83" s="311">
        <v>33.1</v>
      </c>
      <c r="BU83" s="311">
        <v>40.200000000000003</v>
      </c>
      <c r="BV83" s="311">
        <v>49.1</v>
      </c>
      <c r="BW83" s="311">
        <v>55.4</v>
      </c>
      <c r="BX83" s="311">
        <v>67</v>
      </c>
      <c r="BY83" s="311">
        <v>80.400000000000006</v>
      </c>
      <c r="BZ83" s="311">
        <v>98.3</v>
      </c>
      <c r="CA83" s="311">
        <v>117.9</v>
      </c>
      <c r="CB83" s="311">
        <v>143</v>
      </c>
      <c r="CC83" s="311">
        <v>160.80000000000001</v>
      </c>
      <c r="CD83" s="311">
        <v>178.7</v>
      </c>
      <c r="CE83" s="311">
        <v>196.6</v>
      </c>
      <c r="CF83" s="311">
        <v>223.4</v>
      </c>
      <c r="CG83" s="311">
        <v>250.2</v>
      </c>
      <c r="CH83" s="311">
        <v>268.10000000000002</v>
      </c>
    </row>
    <row r="84" spans="1:86">
      <c r="A84" s="53" t="s">
        <v>2503</v>
      </c>
      <c r="B84" s="2131" t="s">
        <v>1710</v>
      </c>
      <c r="C84" s="2602" t="s">
        <v>2494</v>
      </c>
      <c r="D84" s="2602" t="s">
        <v>2495</v>
      </c>
      <c r="E84" s="2602" t="s">
        <v>2496</v>
      </c>
      <c r="F84" s="29" t="s">
        <v>119</v>
      </c>
      <c r="G84" s="179" t="s">
        <v>121</v>
      </c>
      <c r="H84" s="179" t="s">
        <v>274</v>
      </c>
      <c r="I84" s="145" t="s">
        <v>2497</v>
      </c>
      <c r="M84" s="3572">
        <v>0.55000000000000004</v>
      </c>
      <c r="N84" s="3572">
        <v>0.55000000000000004</v>
      </c>
      <c r="O84" s="3571" t="s">
        <v>3961</v>
      </c>
      <c r="P84" s="3572">
        <v>0.75</v>
      </c>
      <c r="Q84" s="3572">
        <v>0.75</v>
      </c>
      <c r="R84" s="3559" t="str">
        <f t="shared" si="39"/>
        <v>80</v>
      </c>
      <c r="S84" s="311">
        <v>960</v>
      </c>
      <c r="T84" s="3574">
        <v>11</v>
      </c>
      <c r="U84" s="3575">
        <v>10900</v>
      </c>
      <c r="V84" s="416"/>
      <c r="W84" s="416"/>
      <c r="X84" s="2151"/>
      <c r="Y84" s="416"/>
      <c r="Z84" s="416"/>
      <c r="AB84" s="345"/>
      <c r="AC84" s="22">
        <v>10350</v>
      </c>
      <c r="AD84" s="53"/>
      <c r="AE84" s="3561">
        <f t="shared" ref="AE84:AE112" si="40">AC84-V84</f>
        <v>10350</v>
      </c>
      <c r="AF84" s="53"/>
      <c r="AG84" s="80"/>
      <c r="AH84" s="53"/>
      <c r="AJ84" s="19"/>
      <c r="AQ84" s="53"/>
      <c r="AR84" s="123"/>
      <c r="AS84" s="53"/>
      <c r="AT84" s="80"/>
      <c r="AU84" s="19"/>
      <c r="AV84" s="19"/>
      <c r="AW84" s="20"/>
      <c r="AX84" s="20"/>
      <c r="AY84" s="20"/>
      <c r="AZ84" s="2152"/>
      <c r="BA84" s="20"/>
      <c r="BD84" s="29" t="s">
        <v>119</v>
      </c>
      <c r="BE84" s="311" t="s">
        <v>124</v>
      </c>
      <c r="BF84" s="311" t="s">
        <v>128</v>
      </c>
      <c r="BG84" s="311" t="s">
        <v>131</v>
      </c>
      <c r="BH84" s="311" t="s">
        <v>134</v>
      </c>
      <c r="BI84" s="311" t="s">
        <v>138</v>
      </c>
      <c r="BJ84" s="311" t="s">
        <v>141</v>
      </c>
      <c r="BK84" s="311" t="s">
        <v>145</v>
      </c>
      <c r="BL84" s="311" t="s">
        <v>149</v>
      </c>
      <c r="BM84" s="311" t="s">
        <v>155</v>
      </c>
      <c r="BN84" s="311" t="s">
        <v>161</v>
      </c>
      <c r="BO84" s="311" t="s">
        <v>167</v>
      </c>
      <c r="BP84" s="311" t="s">
        <v>173</v>
      </c>
      <c r="BQ84" s="311" t="s">
        <v>178</v>
      </c>
      <c r="BR84" s="311" t="s">
        <v>182</v>
      </c>
      <c r="BS84" s="311" t="s">
        <v>187</v>
      </c>
      <c r="BT84" s="311" t="s">
        <v>194</v>
      </c>
      <c r="BU84" s="311" t="s">
        <v>199</v>
      </c>
      <c r="BV84" s="311" t="s">
        <v>206</v>
      </c>
      <c r="BW84" s="311" t="s">
        <v>213</v>
      </c>
      <c r="BX84" s="311" t="s">
        <v>219</v>
      </c>
      <c r="BY84" s="311" t="s">
        <v>223</v>
      </c>
      <c r="BZ84" s="311" t="s">
        <v>2499</v>
      </c>
      <c r="CA84" s="311" t="s">
        <v>232</v>
      </c>
      <c r="CB84" s="311" t="s">
        <v>237</v>
      </c>
      <c r="CC84" s="311" t="s">
        <v>241</v>
      </c>
      <c r="CD84" s="311" t="s">
        <v>246</v>
      </c>
      <c r="CE84" s="311" t="s">
        <v>248</v>
      </c>
      <c r="CF84" s="311" t="s">
        <v>251</v>
      </c>
      <c r="CG84" s="311" t="s">
        <v>253</v>
      </c>
      <c r="CH84" s="311" t="s">
        <v>256</v>
      </c>
    </row>
    <row r="85" spans="1:86">
      <c r="A85" s="3560" t="str">
        <f>E47</f>
        <v>40%</v>
      </c>
      <c r="B85" s="2602" t="s">
        <v>2471</v>
      </c>
      <c r="C85" s="3533">
        <f>C47</f>
        <v>14.931600768800502</v>
      </c>
      <c r="D85" s="3532">
        <f>IF(A85="40%",N117,IF(A85="60%",N124))</f>
        <v>13</v>
      </c>
      <c r="E85" s="3532">
        <f>IF(A85="40%",O117,IF(A85="60%",O124))</f>
        <v>18</v>
      </c>
      <c r="F85" s="3532" t="str">
        <f>IF(A85="40%",P117,IF(A85="60%",P124))</f>
        <v>180L</v>
      </c>
      <c r="G85" s="3532">
        <f>IF(A85="40%",Q117,IF(A85="60%",Q124))</f>
        <v>960</v>
      </c>
      <c r="H85" s="3549">
        <f>IF(A85="40%",R117,IF(A85="60%",R124))</f>
        <v>107500</v>
      </c>
      <c r="I85" s="3532">
        <f>IF(A85="40%",S117,IF(A85="60%",S124))</f>
        <v>175</v>
      </c>
      <c r="M85" s="3572">
        <v>0.75</v>
      </c>
      <c r="N85" s="3572">
        <v>0.75</v>
      </c>
      <c r="O85" s="3571" t="s">
        <v>136</v>
      </c>
      <c r="P85" s="3573">
        <v>1.1000000000000001</v>
      </c>
      <c r="Q85" s="3573">
        <v>1.1000000000000001</v>
      </c>
      <c r="R85" s="3559" t="str">
        <f t="shared" si="39"/>
        <v>90L</v>
      </c>
      <c r="S85" s="311">
        <v>960</v>
      </c>
      <c r="T85" s="3574">
        <v>17</v>
      </c>
      <c r="U85" s="3575">
        <v>11300</v>
      </c>
      <c r="V85" s="416"/>
      <c r="W85" s="416"/>
      <c r="X85" s="2151"/>
      <c r="Y85" s="416"/>
      <c r="Z85" s="416"/>
      <c r="AB85" s="345"/>
      <c r="AC85" s="22">
        <v>11350</v>
      </c>
      <c r="AD85" s="53"/>
      <c r="AE85" s="3561">
        <f t="shared" si="40"/>
        <v>11350</v>
      </c>
      <c r="AF85" s="53"/>
      <c r="AG85" s="80"/>
      <c r="AH85" s="53"/>
      <c r="AJ85" s="19"/>
      <c r="AQ85" s="53"/>
      <c r="AR85" s="123"/>
      <c r="AS85" s="53"/>
      <c r="AT85" s="80"/>
      <c r="AU85" s="19"/>
      <c r="AV85" s="19"/>
      <c r="AW85" s="20"/>
      <c r="AX85" s="20"/>
      <c r="AY85" s="20"/>
      <c r="AZ85" s="2152"/>
      <c r="BA85" s="20"/>
      <c r="BD85" s="427" t="s">
        <v>120</v>
      </c>
      <c r="BE85" s="311">
        <v>0.5</v>
      </c>
      <c r="BF85" s="311">
        <v>0.7</v>
      </c>
      <c r="BG85" s="311">
        <v>1</v>
      </c>
      <c r="BH85" s="311">
        <v>1.4</v>
      </c>
      <c r="BI85" s="311">
        <v>2.1</v>
      </c>
      <c r="BJ85" s="311">
        <v>3.5</v>
      </c>
      <c r="BK85" s="311">
        <v>5.2</v>
      </c>
      <c r="BL85" s="311">
        <v>7.1</v>
      </c>
      <c r="BM85" s="311">
        <v>10.4</v>
      </c>
      <c r="BN85" s="311">
        <v>12</v>
      </c>
      <c r="BO85" s="311">
        <v>14.2</v>
      </c>
      <c r="BP85" s="311">
        <v>17.5</v>
      </c>
      <c r="BQ85" s="311">
        <v>20.9</v>
      </c>
      <c r="BR85" s="311">
        <v>28.4</v>
      </c>
      <c r="BS85" s="311">
        <v>35.1</v>
      </c>
      <c r="BT85" s="311">
        <v>42.7</v>
      </c>
      <c r="BU85" s="311">
        <v>52.1</v>
      </c>
      <c r="BV85" s="311">
        <v>58.8</v>
      </c>
      <c r="BW85" s="311">
        <v>71.099999999999994</v>
      </c>
      <c r="BX85" s="311">
        <v>85.3</v>
      </c>
      <c r="BY85" s="311">
        <v>104.3</v>
      </c>
      <c r="BZ85" s="311">
        <v>125.2</v>
      </c>
      <c r="CA85" s="311">
        <v>151.69999999999999</v>
      </c>
      <c r="CB85" s="311">
        <v>170.7</v>
      </c>
      <c r="CC85" s="311">
        <v>189.6</v>
      </c>
      <c r="CD85" s="311">
        <v>208.6</v>
      </c>
      <c r="CE85" s="311">
        <v>237</v>
      </c>
      <c r="CF85" s="311">
        <v>265.5</v>
      </c>
      <c r="CG85" s="311">
        <v>284.39999999999998</v>
      </c>
      <c r="CH85" s="311">
        <v>298.7</v>
      </c>
    </row>
    <row r="86" spans="1:86">
      <c r="A86" s="3560" t="str">
        <f>E48</f>
        <v>40%</v>
      </c>
      <c r="B86" s="2602" t="s">
        <v>2472</v>
      </c>
      <c r="C86" s="3533">
        <f>C48</f>
        <v>14.970777992527008</v>
      </c>
      <c r="D86" s="3532">
        <f>IF(A86="40%",N118,IF(A86="60%",N125))</f>
        <v>13</v>
      </c>
      <c r="E86" s="3532">
        <f>IF(A86="40%",O118,IF(A86="60%",O125))</f>
        <v>18</v>
      </c>
      <c r="F86" s="3532" t="str">
        <f>IF(A86="40%",P118,IF(A86="60%",P125))</f>
        <v>180L</v>
      </c>
      <c r="G86" s="3532">
        <f>IF(A86="40%",Q118,IF(A86="60%",Q125))</f>
        <v>960</v>
      </c>
      <c r="H86" s="3549">
        <f>IF(A86="40%",R118,IF(A86="60%",R125))</f>
        <v>107500</v>
      </c>
      <c r="I86" s="3532">
        <f>IF(A86="40%",S118,IF(A86="60%",S125))</f>
        <v>175</v>
      </c>
      <c r="M86" s="3573">
        <v>1.1000000000000001</v>
      </c>
      <c r="N86" s="3573">
        <v>1.1000000000000001</v>
      </c>
      <c r="O86" s="3571" t="s">
        <v>136</v>
      </c>
      <c r="P86" s="3573">
        <v>1.5</v>
      </c>
      <c r="Q86" s="3573">
        <v>1.5</v>
      </c>
      <c r="R86" s="3559" t="str">
        <f t="shared" si="39"/>
        <v>90L</v>
      </c>
      <c r="S86" s="311">
        <v>960</v>
      </c>
      <c r="T86" s="3574">
        <v>17</v>
      </c>
      <c r="U86" s="3575">
        <v>12900</v>
      </c>
      <c r="V86" s="416"/>
      <c r="W86" s="416"/>
      <c r="X86" s="2151"/>
      <c r="Y86" s="416"/>
      <c r="Z86" s="416"/>
      <c r="AB86" s="345"/>
      <c r="AC86" s="22">
        <v>16000</v>
      </c>
      <c r="AD86" s="53"/>
      <c r="AE86" s="3561">
        <f t="shared" si="40"/>
        <v>16000</v>
      </c>
      <c r="AF86" s="53"/>
      <c r="AG86" s="80"/>
      <c r="AH86" s="53"/>
      <c r="AJ86" s="19"/>
      <c r="AQ86" s="53"/>
      <c r="AR86" s="19"/>
      <c r="AS86" s="53"/>
      <c r="AT86" s="80"/>
      <c r="AU86" s="19"/>
      <c r="AV86" s="19"/>
      <c r="AW86" s="20"/>
      <c r="AX86" s="20"/>
      <c r="AY86" s="20"/>
      <c r="AZ86" s="2152"/>
      <c r="BA86" s="20"/>
      <c r="BD86" s="427" t="s">
        <v>2498</v>
      </c>
      <c r="BE86" s="311">
        <v>0.5</v>
      </c>
      <c r="BF86" s="311">
        <v>0.7</v>
      </c>
      <c r="BG86" s="311">
        <v>1</v>
      </c>
      <c r="BH86" s="311">
        <v>1.3</v>
      </c>
      <c r="BI86" s="311">
        <v>2</v>
      </c>
      <c r="BJ86" s="311">
        <v>3.3</v>
      </c>
      <c r="BK86" s="311">
        <v>4.9000000000000004</v>
      </c>
      <c r="BL86" s="311">
        <v>6.7</v>
      </c>
      <c r="BM86" s="311">
        <v>9.8000000000000007</v>
      </c>
      <c r="BN86" s="311">
        <v>11.3</v>
      </c>
      <c r="BO86" s="311">
        <v>13.4</v>
      </c>
      <c r="BP86" s="311">
        <v>16.5</v>
      </c>
      <c r="BQ86" s="311">
        <v>19.7</v>
      </c>
      <c r="BR86" s="311">
        <v>26.8</v>
      </c>
      <c r="BS86" s="311">
        <v>33.1</v>
      </c>
      <c r="BT86" s="311">
        <v>40.200000000000003</v>
      </c>
      <c r="BU86" s="311">
        <v>49.1</v>
      </c>
      <c r="BV86" s="311">
        <v>55.4</v>
      </c>
      <c r="BW86" s="311">
        <v>67</v>
      </c>
      <c r="BX86" s="311">
        <v>80.400000000000006</v>
      </c>
      <c r="BY86" s="311">
        <v>98.3</v>
      </c>
      <c r="BZ86" s="311">
        <v>117.9</v>
      </c>
      <c r="CA86" s="311">
        <v>143</v>
      </c>
      <c r="CB86" s="311">
        <v>160.80000000000001</v>
      </c>
      <c r="CC86" s="311">
        <v>178.7</v>
      </c>
      <c r="CD86" s="311">
        <v>196.6</v>
      </c>
      <c r="CE86" s="311">
        <v>223.4</v>
      </c>
      <c r="CF86" s="311">
        <v>250.2</v>
      </c>
      <c r="CG86" s="311">
        <v>268.10000000000002</v>
      </c>
      <c r="CH86" s="311">
        <v>281.5</v>
      </c>
    </row>
    <row r="87" spans="1:86">
      <c r="A87" s="3560" t="str">
        <f>E49</f>
        <v>S1-100</v>
      </c>
      <c r="B87" s="2602" t="s">
        <v>2473</v>
      </c>
      <c r="C87" s="3533">
        <f>C49</f>
        <v>0.7475763842813713</v>
      </c>
      <c r="D87" s="3532" t="b">
        <f>IF(A87="40%",N119,IF(A87="60%",N126))</f>
        <v>0</v>
      </c>
      <c r="E87" s="3532" t="b">
        <f>IF(A87="40%",O119,IF(A87="60%",O126))</f>
        <v>0</v>
      </c>
      <c r="F87" s="3532" t="b">
        <f>IF(A87="40%",P119,IF(A87="60%",P126))</f>
        <v>0</v>
      </c>
      <c r="G87" s="3532" t="b">
        <f>IF(A87="40%",Q119,IF(A87="60%",Q126))</f>
        <v>0</v>
      </c>
      <c r="H87" s="3549" t="b">
        <f>IF(A87="40%",R119,IF(A87="60%",R126))</f>
        <v>0</v>
      </c>
      <c r="I87" s="3532" t="b">
        <f>IF(A87="40%",S119,IF(A87="60%",S126))</f>
        <v>0</v>
      </c>
      <c r="M87" s="3573">
        <v>1.5</v>
      </c>
      <c r="N87" s="3573">
        <v>1.5</v>
      </c>
      <c r="O87" s="3571" t="s">
        <v>140</v>
      </c>
      <c r="P87" s="3573">
        <v>2.2000000000000002</v>
      </c>
      <c r="Q87" s="3573">
        <v>2.2000000000000002</v>
      </c>
      <c r="R87" s="3559" t="str">
        <f t="shared" si="39"/>
        <v>100L</v>
      </c>
      <c r="S87" s="311">
        <v>960</v>
      </c>
      <c r="T87" s="3574">
        <v>27</v>
      </c>
      <c r="U87" s="3575">
        <v>16900</v>
      </c>
      <c r="V87" s="416"/>
      <c r="W87" s="416"/>
      <c r="X87" s="2151"/>
      <c r="Y87" s="416"/>
      <c r="Z87" s="416"/>
      <c r="AB87" s="345"/>
      <c r="AC87" s="22">
        <v>17400</v>
      </c>
      <c r="AD87" s="53"/>
      <c r="AE87" s="3561">
        <f t="shared" si="40"/>
        <v>17400</v>
      </c>
      <c r="AF87" s="53"/>
      <c r="AG87" s="80"/>
      <c r="AH87" s="53"/>
      <c r="AJ87" s="19"/>
      <c r="AQ87" s="53"/>
      <c r="AR87" s="19"/>
      <c r="AS87" s="53"/>
      <c r="AT87" s="80"/>
      <c r="AU87" s="19"/>
      <c r="AV87" s="19"/>
      <c r="AW87" s="20"/>
      <c r="AX87" s="20"/>
      <c r="AY87" s="20"/>
      <c r="AZ87" s="2152"/>
      <c r="BA87" s="20"/>
      <c r="BD87" s="3559" t="str">
        <f t="shared" ref="BD87:CH87" si="41">+BD84</f>
        <v>Frame S</v>
      </c>
      <c r="BE87" s="3559" t="str">
        <f t="shared" si="41"/>
        <v>VD80</v>
      </c>
      <c r="BF87" s="3559" t="str">
        <f t="shared" si="41"/>
        <v>VD90S</v>
      </c>
      <c r="BG87" s="3559" t="str">
        <f t="shared" si="41"/>
        <v>VD90L</v>
      </c>
      <c r="BH87" s="3559" t="str">
        <f t="shared" si="41"/>
        <v>VD100L</v>
      </c>
      <c r="BI87" s="3559" t="str">
        <f t="shared" si="41"/>
        <v>VD112M</v>
      </c>
      <c r="BJ87" s="3559" t="str">
        <f t="shared" si="41"/>
        <v>VD132S</v>
      </c>
      <c r="BK87" s="3559" t="str">
        <f t="shared" si="41"/>
        <v>VD132M</v>
      </c>
      <c r="BL87" s="3559" t="str">
        <f t="shared" si="41"/>
        <v>VD160M</v>
      </c>
      <c r="BM87" s="3559" t="str">
        <f t="shared" si="41"/>
        <v>VD160L</v>
      </c>
      <c r="BN87" s="3559" t="str">
        <f t="shared" si="41"/>
        <v>VD160LX</v>
      </c>
      <c r="BO87" s="3559" t="str">
        <f t="shared" si="41"/>
        <v>VD180L</v>
      </c>
      <c r="BP87" s="3559" t="str">
        <f t="shared" si="41"/>
        <v>VD200LA</v>
      </c>
      <c r="BQ87" s="3559" t="str">
        <f t="shared" si="41"/>
        <v>VD200LB</v>
      </c>
      <c r="BR87" s="3559" t="str">
        <f t="shared" si="41"/>
        <v>VD225M</v>
      </c>
      <c r="BS87" s="3559" t="str">
        <f t="shared" si="41"/>
        <v>VD250M</v>
      </c>
      <c r="BT87" s="3559" t="str">
        <f t="shared" si="41"/>
        <v>VD280S</v>
      </c>
      <c r="BU87" s="3559" t="str">
        <f t="shared" si="41"/>
        <v>VD280M</v>
      </c>
      <c r="BV87" s="3559" t="str">
        <f t="shared" si="41"/>
        <v>VD280MX</v>
      </c>
      <c r="BW87" s="3559" t="str">
        <f t="shared" si="41"/>
        <v>VD315S</v>
      </c>
      <c r="BX87" s="3559" t="str">
        <f t="shared" si="41"/>
        <v>VD315M</v>
      </c>
      <c r="BY87" s="3559" t="str">
        <f t="shared" si="41"/>
        <v>VD315L</v>
      </c>
      <c r="BZ87" s="3559" t="str">
        <f t="shared" si="41"/>
        <v>VD315L (2)</v>
      </c>
      <c r="CA87" s="3559" t="str">
        <f t="shared" si="41"/>
        <v>VD355S</v>
      </c>
      <c r="CB87" s="3559" t="str">
        <f t="shared" si="41"/>
        <v>VD355MA</v>
      </c>
      <c r="CC87" s="3559" t="str">
        <f t="shared" si="41"/>
        <v>VD355MB</v>
      </c>
      <c r="CD87" s="3559" t="str">
        <f t="shared" si="41"/>
        <v>VD355MC</v>
      </c>
      <c r="CE87" s="3559" t="str">
        <f t="shared" si="41"/>
        <v>VD355LA</v>
      </c>
      <c r="CF87" s="3559" t="str">
        <f t="shared" si="41"/>
        <v>VD355LB</v>
      </c>
      <c r="CG87" s="3559" t="str">
        <f t="shared" si="41"/>
        <v>VD355LC</v>
      </c>
      <c r="CH87" s="3559" t="str">
        <f t="shared" si="41"/>
        <v>VD355LE</v>
      </c>
    </row>
    <row r="88" spans="1:86">
      <c r="A88" s="3560" t="str">
        <f>E50</f>
        <v>S1-100</v>
      </c>
      <c r="B88" s="2602" t="s">
        <v>2474</v>
      </c>
      <c r="C88" s="3533">
        <f>C50</f>
        <v>1.2453130745563414</v>
      </c>
      <c r="D88" s="3532" t="b">
        <f>IF(A88="40%",N120,IF(A88="60%",N127))</f>
        <v>0</v>
      </c>
      <c r="E88" s="3532" t="b">
        <f>IF(A88="40%",O120,IF(A88="60%",O127))</f>
        <v>0</v>
      </c>
      <c r="F88" s="3532" t="b">
        <f>IF(A88="40%",P120,IF(A88="60%",P127))</f>
        <v>0</v>
      </c>
      <c r="G88" s="3532" t="b">
        <f>IF(A88="40%",Q120,IF(A88="60%",Q127))</f>
        <v>0</v>
      </c>
      <c r="H88" s="3549" t="b">
        <f>IF(A88="40%",R120,IF(A88="60%",R127))</f>
        <v>0</v>
      </c>
      <c r="I88" s="3532" t="b">
        <f>IF(A88="40%",S120,IF(A88="60%",S127))</f>
        <v>0</v>
      </c>
      <c r="M88" s="3573">
        <v>2.2000000000000002</v>
      </c>
      <c r="N88" s="3573">
        <v>2.2000000000000002</v>
      </c>
      <c r="O88" s="3571" t="s">
        <v>143</v>
      </c>
      <c r="P88" s="3573">
        <v>3.7</v>
      </c>
      <c r="Q88" s="3573">
        <v>3.7</v>
      </c>
      <c r="R88" s="3559" t="str">
        <f t="shared" si="39"/>
        <v>112M</v>
      </c>
      <c r="S88" s="311">
        <v>960</v>
      </c>
      <c r="T88" s="3574">
        <v>33</v>
      </c>
      <c r="U88" s="3575">
        <v>20100</v>
      </c>
      <c r="V88" s="2151"/>
      <c r="W88" s="2151"/>
      <c r="X88" s="2151"/>
      <c r="Y88" s="416"/>
      <c r="Z88" s="416"/>
      <c r="AB88" s="345"/>
      <c r="AC88" s="22">
        <v>27500</v>
      </c>
      <c r="AD88" s="53"/>
      <c r="AE88" s="3561">
        <f t="shared" si="40"/>
        <v>27500</v>
      </c>
      <c r="AF88" s="53"/>
      <c r="AG88" s="80"/>
      <c r="AH88" s="53"/>
      <c r="AJ88" s="19"/>
      <c r="AQ88" s="53"/>
      <c r="AR88" s="19"/>
      <c r="AS88" s="53"/>
      <c r="AT88" s="80"/>
      <c r="AU88" s="19"/>
      <c r="AV88" s="19"/>
      <c r="AW88" s="20"/>
      <c r="AX88" s="20"/>
      <c r="AY88" s="20"/>
      <c r="AZ88" s="2152"/>
      <c r="BA88" s="20"/>
      <c r="BD88" s="29" t="s">
        <v>121</v>
      </c>
      <c r="BE88" s="311">
        <v>914</v>
      </c>
      <c r="BF88" s="311">
        <v>916</v>
      </c>
      <c r="BG88" s="311">
        <v>918</v>
      </c>
      <c r="BH88" s="311">
        <v>925</v>
      </c>
      <c r="BI88" s="311">
        <v>928</v>
      </c>
      <c r="BJ88" s="311">
        <v>953</v>
      </c>
      <c r="BK88" s="311">
        <v>953</v>
      </c>
      <c r="BL88" s="311">
        <v>962</v>
      </c>
      <c r="BM88" s="311">
        <v>962</v>
      </c>
      <c r="BN88" s="311">
        <v>970</v>
      </c>
      <c r="BO88" s="311">
        <v>967</v>
      </c>
      <c r="BP88" s="311">
        <v>976</v>
      </c>
      <c r="BQ88" s="311">
        <v>976</v>
      </c>
      <c r="BR88" s="311">
        <v>981</v>
      </c>
      <c r="BS88" s="311">
        <v>981</v>
      </c>
      <c r="BT88" s="311">
        <v>981</v>
      </c>
      <c r="BU88" s="311">
        <v>981</v>
      </c>
      <c r="BV88" s="311">
        <v>982</v>
      </c>
      <c r="BW88" s="311">
        <v>986</v>
      </c>
      <c r="BX88" s="311">
        <v>986</v>
      </c>
      <c r="BY88" s="311">
        <v>986</v>
      </c>
      <c r="BZ88" s="311">
        <v>988</v>
      </c>
      <c r="CA88" s="311">
        <v>991</v>
      </c>
      <c r="CB88" s="311">
        <v>991</v>
      </c>
      <c r="CC88" s="311">
        <v>991</v>
      </c>
      <c r="CD88" s="311">
        <v>989</v>
      </c>
      <c r="CE88" s="311">
        <v>991</v>
      </c>
      <c r="CF88" s="311">
        <v>991</v>
      </c>
      <c r="CG88" s="311">
        <v>991</v>
      </c>
      <c r="CH88" s="311">
        <v>991</v>
      </c>
    </row>
    <row r="89" spans="1:86">
      <c r="M89" s="3573">
        <v>3.7</v>
      </c>
      <c r="N89" s="3573">
        <v>3.7</v>
      </c>
      <c r="O89" s="3571" t="s">
        <v>147</v>
      </c>
      <c r="P89" s="3573">
        <v>5.5</v>
      </c>
      <c r="Q89" s="3573">
        <v>5.5</v>
      </c>
      <c r="R89" s="3559" t="str">
        <f t="shared" si="39"/>
        <v>132S</v>
      </c>
      <c r="S89" s="311">
        <v>960</v>
      </c>
      <c r="T89" s="3574">
        <v>73</v>
      </c>
      <c r="U89" s="3575">
        <v>29100</v>
      </c>
      <c r="V89" s="2151"/>
      <c r="W89" s="2151"/>
      <c r="X89" s="2151"/>
      <c r="Y89" s="416"/>
      <c r="Z89" s="416"/>
      <c r="AB89" s="345"/>
      <c r="AC89" s="22">
        <v>33500</v>
      </c>
      <c r="AD89" s="53"/>
      <c r="AE89" s="3561">
        <f t="shared" si="40"/>
        <v>33500</v>
      </c>
      <c r="AF89" s="53"/>
      <c r="AG89" s="80"/>
      <c r="AH89" s="53"/>
      <c r="AJ89" s="19"/>
      <c r="AQ89" s="53"/>
      <c r="AR89" s="19"/>
      <c r="AS89" s="53"/>
      <c r="AT89" s="80"/>
      <c r="AU89" s="19"/>
      <c r="AV89" s="19"/>
      <c r="AW89" s="20"/>
      <c r="AX89" s="20"/>
      <c r="AY89" s="20"/>
      <c r="AZ89" s="2152"/>
      <c r="BA89" s="20"/>
      <c r="BD89" s="29" t="s">
        <v>111</v>
      </c>
      <c r="BE89" s="311">
        <v>17</v>
      </c>
      <c r="BF89" s="311">
        <v>22</v>
      </c>
      <c r="BG89" s="311">
        <v>25</v>
      </c>
      <c r="BH89" s="311">
        <v>32</v>
      </c>
      <c r="BI89" s="311">
        <v>42</v>
      </c>
      <c r="BJ89" s="311">
        <v>68</v>
      </c>
      <c r="BK89" s="311">
        <v>79</v>
      </c>
      <c r="BL89" s="311">
        <v>121</v>
      </c>
      <c r="BM89" s="311">
        <v>146</v>
      </c>
      <c r="BN89" s="311">
        <v>146</v>
      </c>
      <c r="BO89" s="311">
        <v>204</v>
      </c>
      <c r="BP89" s="311">
        <v>254</v>
      </c>
      <c r="BQ89" s="311">
        <v>254</v>
      </c>
      <c r="BR89" s="311">
        <v>380</v>
      </c>
      <c r="BS89" s="311">
        <v>500</v>
      </c>
      <c r="BT89" s="311">
        <v>620</v>
      </c>
      <c r="BU89" s="311">
        <v>700</v>
      </c>
      <c r="BV89" s="311">
        <v>720</v>
      </c>
      <c r="BW89" s="311">
        <v>1056</v>
      </c>
      <c r="BX89" s="311">
        <v>1130</v>
      </c>
      <c r="BY89" s="311">
        <v>1200</v>
      </c>
      <c r="BZ89" s="311">
        <v>1200</v>
      </c>
      <c r="CA89" s="311">
        <v>2150</v>
      </c>
      <c r="CB89" s="311">
        <v>2200</v>
      </c>
      <c r="CC89" s="3559">
        <f>CB89+50</f>
        <v>2250</v>
      </c>
      <c r="CD89" s="311">
        <v>2150</v>
      </c>
      <c r="CE89" s="3559">
        <f>CD89+50</f>
        <v>2200</v>
      </c>
      <c r="CF89" s="3559">
        <f>CE89+50</f>
        <v>2250</v>
      </c>
      <c r="CG89" s="3559">
        <f>CF89+50</f>
        <v>2300</v>
      </c>
      <c r="CH89" s="3559">
        <f>CG89+50</f>
        <v>2350</v>
      </c>
    </row>
    <row r="90" spans="1:86">
      <c r="M90" s="3573">
        <v>5.5</v>
      </c>
      <c r="N90" s="3573">
        <v>5.5</v>
      </c>
      <c r="O90" s="3571" t="s">
        <v>151</v>
      </c>
      <c r="P90" s="3573">
        <v>7.5</v>
      </c>
      <c r="Q90" s="3573">
        <v>6.8</v>
      </c>
      <c r="R90" s="3559" t="str">
        <f t="shared" si="39"/>
        <v>132M</v>
      </c>
      <c r="S90" s="311">
        <v>960</v>
      </c>
      <c r="T90" s="3574">
        <v>81</v>
      </c>
      <c r="U90" s="3575">
        <v>33800</v>
      </c>
      <c r="V90" s="2151"/>
      <c r="W90" s="2151"/>
      <c r="X90" s="2151"/>
      <c r="Y90" s="416"/>
      <c r="Z90" s="416"/>
      <c r="AB90" s="345"/>
      <c r="AC90" s="22">
        <v>50000</v>
      </c>
      <c r="AD90" s="53"/>
      <c r="AE90" s="3561">
        <f t="shared" si="40"/>
        <v>50000</v>
      </c>
      <c r="AF90" s="53"/>
      <c r="AG90" s="80"/>
      <c r="AH90" s="53"/>
      <c r="AJ90" s="19"/>
      <c r="AQ90" s="53"/>
      <c r="AR90" s="19"/>
      <c r="AS90" s="53"/>
      <c r="AT90" s="80"/>
      <c r="AU90" s="19"/>
      <c r="AV90" s="19"/>
      <c r="AW90" s="20"/>
      <c r="AX90" s="20"/>
      <c r="AY90" s="20"/>
      <c r="AZ90" s="2152"/>
      <c r="BA90" s="20"/>
      <c r="BD90" s="2153" t="s">
        <v>2514</v>
      </c>
      <c r="BE90" s="3555">
        <f>(BE91*(1-H83)*1.03)+BE92+BE93+BE94+BE95</f>
        <v>19305.5</v>
      </c>
      <c r="BF90" s="3555">
        <f>(BF91*(1-H83)*1.03)+BF92+BF93+BF94+BF95</f>
        <v>20016.2</v>
      </c>
      <c r="BG90" s="3555">
        <f>(BG91*(1-H83)*1.03)+BG92+BG93+BG94+BG95</f>
        <v>20696</v>
      </c>
      <c r="BH90" s="3555">
        <f>(BH91*(1-H83)*1.03)+BH92+BH93+BH94+BH95</f>
        <v>23909.599999999999</v>
      </c>
      <c r="BI90" s="3555">
        <f>(BI91*(1-H83)*1.03)+BI92+BI93+BI94+BI95</f>
        <v>24654.29</v>
      </c>
      <c r="BJ90" s="3555">
        <f>(BJ91*(1-H83)*1.03)+BJ92+BJ93+BJ94+BJ95</f>
        <v>32113.55</v>
      </c>
      <c r="BK90" s="3555">
        <f>(BK91*(1-H83)*1.03)+BK92+BK93+BK94+BK95</f>
        <v>35165.233999999997</v>
      </c>
      <c r="BL90" s="3555">
        <f>(BL91*(1-H83)*1.05)+BL92+BL93+BL94+BL95</f>
        <v>47142.5</v>
      </c>
      <c r="BM90" s="3555">
        <f>(BM91*(1-H83)*1.05)+BM92+BM93+BM94+BM95</f>
        <v>55032.62</v>
      </c>
      <c r="BN90" s="3555">
        <f>(BN91*(1-H83)*1.05)+BN92+BN93+BN94+BN95</f>
        <v>57552.62</v>
      </c>
      <c r="BO90" s="3555">
        <f>(BO91*(1-H83)*1.05)+BO92+BO93+BO94+BO95</f>
        <v>72851.8</v>
      </c>
      <c r="BP90" s="3555">
        <f>(BP91*(1-H83)*1.05)+BP92+BP93+BP94+BP95</f>
        <v>95336.5</v>
      </c>
      <c r="BQ90" s="3555">
        <f>(BQ91*(1-H83)*1.05)+BQ92+BQ93+BQ94+BQ95</f>
        <v>101431.75</v>
      </c>
      <c r="BR90" s="3555">
        <f>(BR91*(1-H83)*1.05)+BR92+BR93+BR94+BR95</f>
        <v>140503.25</v>
      </c>
      <c r="BS90" s="3555">
        <f>(BS91*(1-H83)*1.05)+BS92+BS93+BS94+BS95</f>
        <v>184154.44</v>
      </c>
      <c r="BT90" s="3555">
        <f>(BT91*(1-H83)*1.03)+BT92+BT93+BT94+BT95</f>
        <v>219466.584</v>
      </c>
      <c r="BU90" s="3555">
        <f>(BU91*(1-H83)*1.03)+BU92+BU93+BU94+BU95</f>
        <v>247900.764</v>
      </c>
      <c r="BV90" s="3555">
        <f>(BV91*(1-H83)*1.03)+BV92+BV93+BV94+BV95</f>
        <v>260260.764</v>
      </c>
      <c r="BW90" s="3555">
        <f>(BW91*(1-H83)*1.03)+BW92+BW93+BW94+BW95</f>
        <v>296106</v>
      </c>
      <c r="BX90" s="3555">
        <f>(BX91*(1-H83)*1.03)+BX92+BX93+BX94+BX95</f>
        <v>398694</v>
      </c>
      <c r="BY90" s="3555">
        <f>(BY91*(1-H83)*1.03)+BY92+BY93+BY94+BY95</f>
        <v>435774</v>
      </c>
      <c r="BZ90" s="3555">
        <f>(BZ91*(1-H83)*1.03)+BZ92+BZ93+BZ94+BZ95</f>
        <v>462966</v>
      </c>
      <c r="CA90" s="3555">
        <f>(CA91*(1-H83)*1.03)+CA92+CA93+CA94+CA95</f>
        <v>483978</v>
      </c>
      <c r="CB90" s="3555">
        <f>(CB91*(1-H83)*1.03)+CB92+CB93+CB94+CB95</f>
        <v>528474</v>
      </c>
      <c r="CC90" s="3555">
        <f>(CC91*(1-H83)*1.03)+CC92+CC93+CC94+CC95</f>
        <v>566172</v>
      </c>
      <c r="CD90" s="3555">
        <f>(CD91*(1-H83)*1.03)+CD92+CD93+CD94+CD95</f>
        <v>578532</v>
      </c>
      <c r="CE90" s="3555">
        <f>(CE91*(1-H83)*1.03)+CE92+CE93+CE94+CE95</f>
        <v>620865</v>
      </c>
      <c r="CF90" s="3555">
        <f>(CF91*(1-H83)*1.03)+CF92+CF93+CF94+CF95</f>
        <v>620556</v>
      </c>
      <c r="CG90" s="3555">
        <f>(CG91*(1-H83)*1.03)+CG92+CG93+CG94+CG95</f>
        <v>748482</v>
      </c>
      <c r="CH90" s="3555">
        <f>(CH91*(1-H83)*1.03)+CH92+CH93+CH94+CH95</f>
        <v>917814</v>
      </c>
    </row>
    <row r="91" spans="1:86">
      <c r="B91" s="2131" t="s">
        <v>1710</v>
      </c>
      <c r="C91" s="29" t="s">
        <v>119</v>
      </c>
      <c r="D91" s="29" t="s">
        <v>112</v>
      </c>
      <c r="E91" s="29" t="s">
        <v>113</v>
      </c>
      <c r="F91" s="29" t="s">
        <v>114</v>
      </c>
      <c r="G91" s="29" t="s">
        <v>115</v>
      </c>
      <c r="H91" s="29" t="s">
        <v>116</v>
      </c>
      <c r="I91" s="29" t="s">
        <v>117</v>
      </c>
      <c r="J91" s="3561" t="b">
        <f>J116</f>
        <v>0</v>
      </c>
      <c r="M91" s="3573">
        <v>7.5</v>
      </c>
      <c r="N91" s="3573">
        <v>6.8</v>
      </c>
      <c r="O91" s="3571" t="s">
        <v>157</v>
      </c>
      <c r="P91" s="3573">
        <v>9.3000000000000007</v>
      </c>
      <c r="Q91" s="3574">
        <v>8</v>
      </c>
      <c r="R91" s="3559" t="str">
        <f t="shared" si="39"/>
        <v>160M</v>
      </c>
      <c r="S91" s="311">
        <v>960</v>
      </c>
      <c r="T91" s="3574">
        <v>103</v>
      </c>
      <c r="U91" s="3575">
        <v>52900</v>
      </c>
      <c r="V91" s="2151"/>
      <c r="W91" s="2151"/>
      <c r="X91" s="2151"/>
      <c r="Y91" s="416"/>
      <c r="Z91" s="416"/>
      <c r="AB91" s="345"/>
      <c r="AC91" s="22">
        <v>61650</v>
      </c>
      <c r="AD91" s="53"/>
      <c r="AE91" s="3561">
        <f>AC91-V91</f>
        <v>61650</v>
      </c>
      <c r="AF91" s="53"/>
      <c r="AG91" s="80"/>
      <c r="AH91" s="53"/>
      <c r="AJ91" s="19"/>
      <c r="AQ91" s="53"/>
      <c r="AR91" s="19"/>
      <c r="AS91" s="53"/>
      <c r="AT91" s="80"/>
      <c r="AU91" s="19"/>
      <c r="AV91" s="19"/>
      <c r="AW91" s="20"/>
      <c r="AX91" s="20"/>
      <c r="AY91" s="20"/>
      <c r="AZ91" s="2152"/>
      <c r="BA91" s="20"/>
      <c r="BD91" s="29" t="s">
        <v>113</v>
      </c>
      <c r="BE91" s="416">
        <v>9750</v>
      </c>
      <c r="BF91" s="416">
        <v>10900</v>
      </c>
      <c r="BG91" s="416">
        <v>12000</v>
      </c>
      <c r="BH91" s="416">
        <v>17200</v>
      </c>
      <c r="BI91" s="416">
        <v>18405</v>
      </c>
      <c r="BJ91" s="416">
        <v>30475</v>
      </c>
      <c r="BK91" s="416">
        <v>35413</v>
      </c>
      <c r="BL91" s="416">
        <v>53750</v>
      </c>
      <c r="BM91" s="416">
        <v>66274</v>
      </c>
      <c r="BN91" s="416">
        <v>70274</v>
      </c>
      <c r="BO91" s="416">
        <v>86860</v>
      </c>
      <c r="BP91" s="416">
        <v>122550</v>
      </c>
      <c r="BQ91" s="416">
        <v>132225</v>
      </c>
      <c r="BR91" s="416">
        <v>190275</v>
      </c>
      <c r="BS91" s="416">
        <v>256388</v>
      </c>
      <c r="BT91" s="416">
        <v>307988</v>
      </c>
      <c r="BU91" s="416">
        <v>353998</v>
      </c>
      <c r="BV91" s="416">
        <v>373998</v>
      </c>
      <c r="BW91" s="416">
        <v>432000</v>
      </c>
      <c r="BX91" s="416">
        <v>598000</v>
      </c>
      <c r="BY91" s="416">
        <v>658000</v>
      </c>
      <c r="BZ91" s="2154">
        <v>702000</v>
      </c>
      <c r="CA91" s="416">
        <v>736000</v>
      </c>
      <c r="CB91" s="416">
        <v>808000</v>
      </c>
      <c r="CC91" s="416">
        <v>869000</v>
      </c>
      <c r="CD91" s="421">
        <v>889000</v>
      </c>
      <c r="CE91" s="416">
        <v>957500</v>
      </c>
      <c r="CF91" s="416">
        <v>957000</v>
      </c>
      <c r="CG91" s="416">
        <v>1164000</v>
      </c>
      <c r="CH91" s="421">
        <v>1438000</v>
      </c>
    </row>
    <row r="92" spans="1:86">
      <c r="B92" s="2602" t="s">
        <v>2471</v>
      </c>
      <c r="C92" s="3532" t="str">
        <f>F85</f>
        <v>180L</v>
      </c>
      <c r="D92" s="3549">
        <f>IF(A85="40%",U117,IF(A85="60%",U124))</f>
        <v>107500</v>
      </c>
      <c r="E92" s="3532">
        <f>IF(A85="40%",V117,IF(A85="60%",V124))</f>
        <v>0</v>
      </c>
      <c r="F92" s="3532">
        <f>IF(A85="40%",W117,IF(A85="60%",W124))</f>
        <v>0</v>
      </c>
      <c r="G92" s="3532">
        <f>IF(A85="40%",X117,IF(A85="60%",X124))</f>
        <v>0</v>
      </c>
      <c r="H92" s="3532">
        <f>IF(A85="40%",Y117,IF(A85="60%",Y124))</f>
        <v>0</v>
      </c>
      <c r="I92" s="3532">
        <f>IF(A85="40%",Z117,IF(A85="60%",Z124))</f>
        <v>0</v>
      </c>
      <c r="J92" s="3561" t="b">
        <f t="shared" ref="J92:J95" si="42">J117</f>
        <v>0</v>
      </c>
      <c r="M92" s="3573">
        <v>9.3000000000000007</v>
      </c>
      <c r="N92" s="3574">
        <v>8</v>
      </c>
      <c r="O92" s="3571" t="s">
        <v>163</v>
      </c>
      <c r="P92" s="3574">
        <v>11</v>
      </c>
      <c r="Q92" s="3573">
        <v>10.199999999999999</v>
      </c>
      <c r="R92" s="3559" t="str">
        <f t="shared" si="39"/>
        <v>160L</v>
      </c>
      <c r="S92" s="311">
        <v>960</v>
      </c>
      <c r="T92" s="3574">
        <v>113</v>
      </c>
      <c r="U92" s="3575">
        <v>65500</v>
      </c>
      <c r="V92" s="2151"/>
      <c r="W92" s="2151"/>
      <c r="X92" s="2151"/>
      <c r="Y92" s="416"/>
      <c r="Z92" s="416"/>
      <c r="AB92" s="345"/>
      <c r="AC92" s="22">
        <v>61650</v>
      </c>
      <c r="AD92" s="53"/>
      <c r="AE92" s="3561">
        <f>AC92-V92</f>
        <v>61650</v>
      </c>
      <c r="AF92" s="53"/>
      <c r="AG92" s="80"/>
      <c r="AH92" s="53"/>
      <c r="AJ92" s="19"/>
      <c r="AQ92" s="53"/>
      <c r="AR92" s="19"/>
      <c r="AS92" s="53"/>
      <c r="AT92" s="80"/>
      <c r="AU92" s="19"/>
      <c r="AV92" s="19"/>
      <c r="AW92" s="20"/>
      <c r="AX92" s="20"/>
      <c r="AY92" s="20"/>
      <c r="AZ92" s="2152"/>
      <c r="BA92" s="20"/>
      <c r="BD92" s="29" t="s">
        <v>114</v>
      </c>
      <c r="BE92" s="416">
        <v>6050</v>
      </c>
      <c r="BF92" s="416">
        <v>6050</v>
      </c>
      <c r="BG92" s="416">
        <v>6050</v>
      </c>
      <c r="BH92" s="416">
        <v>6050</v>
      </c>
      <c r="BI92" s="416">
        <v>6050</v>
      </c>
      <c r="BJ92" s="416">
        <v>6050</v>
      </c>
      <c r="BK92" s="416">
        <v>6050</v>
      </c>
      <c r="BL92" s="416">
        <v>6050</v>
      </c>
      <c r="BM92" s="416">
        <v>6050</v>
      </c>
      <c r="BN92" s="416">
        <v>6050</v>
      </c>
      <c r="BO92" s="416">
        <v>9900</v>
      </c>
      <c r="BP92" s="416">
        <v>9900</v>
      </c>
      <c r="BQ92" s="416">
        <v>9900</v>
      </c>
      <c r="BR92" s="416">
        <v>9900</v>
      </c>
      <c r="BS92" s="416">
        <v>9900</v>
      </c>
      <c r="BT92" s="416">
        <v>15400</v>
      </c>
      <c r="BU92" s="416">
        <v>15400</v>
      </c>
      <c r="BV92" s="416">
        <v>15400</v>
      </c>
      <c r="BW92" s="416">
        <v>15400</v>
      </c>
      <c r="BX92" s="416">
        <v>15400</v>
      </c>
      <c r="BY92" s="416">
        <v>15400</v>
      </c>
      <c r="BZ92" s="416">
        <v>15400</v>
      </c>
      <c r="CA92" s="416">
        <v>15400</v>
      </c>
      <c r="CB92" s="416">
        <v>15400</v>
      </c>
      <c r="CC92" s="416">
        <v>15400</v>
      </c>
      <c r="CD92" s="416">
        <v>15400</v>
      </c>
      <c r="CE92" s="416">
        <v>15400</v>
      </c>
      <c r="CF92" s="416">
        <v>15400</v>
      </c>
      <c r="CG92" s="416">
        <v>15400</v>
      </c>
      <c r="CH92" s="416">
        <v>15400</v>
      </c>
    </row>
    <row r="93" spans="1:86">
      <c r="B93" s="2602" t="s">
        <v>2472</v>
      </c>
      <c r="C93" s="3532" t="str">
        <f>F86</f>
        <v>180L</v>
      </c>
      <c r="D93" s="3549">
        <f>IF(A86="40%",U118,IF(A86="60%",U125))</f>
        <v>107500</v>
      </c>
      <c r="E93" s="3532">
        <f>IF(A86="40%",V118,IF(A86="60%",V125))</f>
        <v>0</v>
      </c>
      <c r="F93" s="3532">
        <f>IF(A86="40%",W118,IF(A86="60%",W125))</f>
        <v>0</v>
      </c>
      <c r="G93" s="3532">
        <f>IF(A86="40%",X118,IF(A86="60%",X125))</f>
        <v>0</v>
      </c>
      <c r="H93" s="3532">
        <f>IF(A86="40%",Y118,IF(A86="60%",Y125))</f>
        <v>0</v>
      </c>
      <c r="I93" s="3532">
        <f>IF(A86="40%",Z118,IF(A86="60%",Z125))</f>
        <v>0</v>
      </c>
      <c r="J93" s="3561" t="b">
        <f>J118</f>
        <v>0</v>
      </c>
      <c r="M93" s="3574">
        <v>11</v>
      </c>
      <c r="N93" s="3573">
        <v>10.199999999999999</v>
      </c>
      <c r="O93" s="3571" t="s">
        <v>163</v>
      </c>
      <c r="P93" s="3574">
        <v>13</v>
      </c>
      <c r="Q93" s="3574">
        <v>12</v>
      </c>
      <c r="R93" s="3559" t="str">
        <f t="shared" si="39"/>
        <v>160L</v>
      </c>
      <c r="S93" s="311">
        <v>960</v>
      </c>
      <c r="T93" s="3574">
        <v>123</v>
      </c>
      <c r="U93" s="3575">
        <v>74300</v>
      </c>
      <c r="V93" s="2151"/>
      <c r="W93" s="2151"/>
      <c r="X93" s="2151"/>
      <c r="Y93" s="416"/>
      <c r="Z93" s="416"/>
      <c r="AB93" s="345"/>
      <c r="AC93" s="22">
        <v>80800</v>
      </c>
      <c r="AD93" s="53"/>
      <c r="AE93" s="3561">
        <f t="shared" si="40"/>
        <v>80800</v>
      </c>
      <c r="AF93" s="53"/>
      <c r="AG93" s="80"/>
      <c r="AH93" s="53"/>
      <c r="AJ93" s="19"/>
      <c r="AQ93" s="53"/>
      <c r="AR93" s="19"/>
      <c r="AS93" s="53"/>
      <c r="AT93" s="80"/>
      <c r="AU93" s="19"/>
      <c r="AV93" s="19"/>
      <c r="AW93" s="20"/>
      <c r="AX93" s="20"/>
      <c r="AY93" s="20"/>
      <c r="AZ93" s="2152"/>
      <c r="BA93" s="20"/>
      <c r="BD93" s="29" t="s">
        <v>115</v>
      </c>
      <c r="BE93" s="2151">
        <v>2500</v>
      </c>
      <c r="BF93" s="2151">
        <v>2500</v>
      </c>
      <c r="BG93" s="2151">
        <v>2500</v>
      </c>
      <c r="BH93" s="2151">
        <v>2500</v>
      </c>
      <c r="BI93" s="2151">
        <v>2500</v>
      </c>
      <c r="BJ93" s="2151">
        <v>2500</v>
      </c>
      <c r="BK93" s="2151">
        <v>2500</v>
      </c>
      <c r="BL93" s="2151">
        <v>2500</v>
      </c>
      <c r="BM93" s="2151">
        <v>2500</v>
      </c>
      <c r="BN93" s="2151">
        <v>2500</v>
      </c>
      <c r="BO93" s="2151">
        <v>3500</v>
      </c>
      <c r="BP93" s="2151">
        <v>3500</v>
      </c>
      <c r="BQ93" s="2151">
        <v>3500</v>
      </c>
      <c r="BR93" s="2151">
        <v>3500</v>
      </c>
      <c r="BS93" s="2151">
        <v>3500</v>
      </c>
      <c r="BT93" s="2151">
        <v>4500</v>
      </c>
      <c r="BU93" s="2151">
        <v>4500</v>
      </c>
      <c r="BV93" s="2151">
        <v>4500</v>
      </c>
      <c r="BW93" s="2151">
        <v>4500</v>
      </c>
      <c r="BX93" s="2151">
        <v>4500</v>
      </c>
      <c r="BY93" s="2151">
        <v>4500</v>
      </c>
      <c r="BZ93" s="2151">
        <v>4500</v>
      </c>
      <c r="CA93" s="2151">
        <v>4500</v>
      </c>
      <c r="CB93" s="2151">
        <v>4500</v>
      </c>
      <c r="CC93" s="2151">
        <v>4500</v>
      </c>
      <c r="CD93" s="2151">
        <v>4500</v>
      </c>
      <c r="CE93" s="2151">
        <v>4500</v>
      </c>
      <c r="CF93" s="2151">
        <v>4500</v>
      </c>
      <c r="CG93" s="2151">
        <v>4500</v>
      </c>
      <c r="CH93" s="2155">
        <v>4500</v>
      </c>
    </row>
    <row r="94" spans="1:86">
      <c r="B94" s="2602" t="s">
        <v>2473</v>
      </c>
      <c r="C94" s="3532" t="b">
        <f>F87</f>
        <v>0</v>
      </c>
      <c r="D94" s="3549" t="b">
        <f>IF(A87="40%",U119,IF(A87="60%",U126))</f>
        <v>0</v>
      </c>
      <c r="E94" s="3532" t="b">
        <f>IF(A87="40%",V119,IF(A87="60%",V126))</f>
        <v>0</v>
      </c>
      <c r="F94" s="3532" t="b">
        <f>IF(A87="40%",W119,IF(A87="60%",W126))</f>
        <v>0</v>
      </c>
      <c r="G94" s="3532" t="b">
        <f>IF(A87="40%",X119,IF(A87="60%",X126))</f>
        <v>0</v>
      </c>
      <c r="H94" s="3532" t="b">
        <f>IF(A87="40%",Y119,IF(A87="60%",Y126))</f>
        <v>0</v>
      </c>
      <c r="I94" s="3532" t="b">
        <f>IF(A87="40%",Z119,IF(A87="60%",Z126))</f>
        <v>0</v>
      </c>
      <c r="J94" s="3561" t="b">
        <f t="shared" si="42"/>
        <v>0</v>
      </c>
      <c r="M94" s="3574">
        <v>13</v>
      </c>
      <c r="N94" s="3574">
        <v>12</v>
      </c>
      <c r="O94" s="3571" t="s">
        <v>169</v>
      </c>
      <c r="P94" s="3574">
        <v>18</v>
      </c>
      <c r="Q94" s="3573">
        <v>16.7</v>
      </c>
      <c r="R94" s="3559" t="str">
        <f t="shared" si="39"/>
        <v>180L</v>
      </c>
      <c r="S94" s="311">
        <v>960</v>
      </c>
      <c r="T94" s="3574">
        <v>175</v>
      </c>
      <c r="U94" s="3575">
        <v>107500</v>
      </c>
      <c r="V94" s="2151"/>
      <c r="W94" s="2151"/>
      <c r="X94" s="2151"/>
      <c r="Y94" s="416"/>
      <c r="Z94" s="416"/>
      <c r="AB94" s="345"/>
      <c r="AC94" s="22">
        <v>114000</v>
      </c>
      <c r="AD94" s="53"/>
      <c r="AE94" s="3561">
        <f>AC94-V94</f>
        <v>114000</v>
      </c>
      <c r="AF94" s="53"/>
      <c r="AG94" s="80"/>
      <c r="AH94" s="53"/>
      <c r="AJ94" s="19"/>
      <c r="AQ94" s="53"/>
      <c r="AR94" s="123"/>
      <c r="AS94" s="53"/>
      <c r="AT94" s="80"/>
      <c r="AU94" s="19"/>
      <c r="AV94" s="19"/>
      <c r="AW94" s="20"/>
      <c r="AX94" s="20"/>
      <c r="AY94" s="20"/>
      <c r="AZ94" s="2152"/>
      <c r="BA94" s="20"/>
      <c r="BD94" s="29" t="s">
        <v>116</v>
      </c>
      <c r="BE94" s="416">
        <v>1730</v>
      </c>
      <c r="BF94" s="416">
        <v>1730</v>
      </c>
      <c r="BG94" s="416">
        <v>1730</v>
      </c>
      <c r="BH94" s="416">
        <v>1730</v>
      </c>
      <c r="BI94" s="416">
        <v>1730</v>
      </c>
      <c r="BJ94" s="416">
        <v>1730</v>
      </c>
      <c r="BK94" s="416">
        <v>1730</v>
      </c>
      <c r="BL94" s="416">
        <v>1730</v>
      </c>
      <c r="BM94" s="416">
        <v>1730</v>
      </c>
      <c r="BN94" s="416">
        <v>1730</v>
      </c>
      <c r="BO94" s="416">
        <v>1730</v>
      </c>
      <c r="BP94" s="416">
        <v>1730</v>
      </c>
      <c r="BQ94" s="416">
        <v>1730</v>
      </c>
      <c r="BR94" s="416">
        <v>1730</v>
      </c>
      <c r="BS94" s="416">
        <v>1730</v>
      </c>
      <c r="BT94" s="416">
        <v>1730</v>
      </c>
      <c r="BU94" s="416">
        <v>1730</v>
      </c>
      <c r="BV94" s="416">
        <v>1730</v>
      </c>
      <c r="BW94" s="416">
        <v>1730</v>
      </c>
      <c r="BX94" s="416">
        <v>1730</v>
      </c>
      <c r="BY94" s="416">
        <v>1730</v>
      </c>
      <c r="BZ94" s="416">
        <v>1730</v>
      </c>
      <c r="CA94" s="416">
        <v>1730</v>
      </c>
      <c r="CB94" s="416">
        <v>1730</v>
      </c>
      <c r="CC94" s="416">
        <v>1730</v>
      </c>
      <c r="CD94" s="416">
        <v>1730</v>
      </c>
      <c r="CE94" s="416">
        <v>1730</v>
      </c>
      <c r="CF94" s="416">
        <v>1730</v>
      </c>
      <c r="CG94" s="416">
        <v>1730</v>
      </c>
      <c r="CH94" s="416">
        <v>1730</v>
      </c>
    </row>
    <row r="95" spans="1:86">
      <c r="B95" s="2602" t="s">
        <v>2474</v>
      </c>
      <c r="C95" s="3532" t="b">
        <f>F88</f>
        <v>0</v>
      </c>
      <c r="D95" s="3549" t="b">
        <f>IF(A88="40%",U120,IF(A88="60%",U127))</f>
        <v>0</v>
      </c>
      <c r="E95" s="3532" t="b">
        <f>IF(A88="40%",V120,IF(A88="60%",V127))</f>
        <v>0</v>
      </c>
      <c r="F95" s="3532" t="b">
        <f>IF(A88="40%",W120,IF(A88="60%",W127))</f>
        <v>0</v>
      </c>
      <c r="G95" s="3532" t="b">
        <f>IF(A88="40%",X120,IF(A88="60%",X127))</f>
        <v>0</v>
      </c>
      <c r="H95" s="3532" t="b">
        <f>IF(A88="40%",Y120,IF(A88="60%",Y127))</f>
        <v>0</v>
      </c>
      <c r="I95" s="3532" t="b">
        <f>IF(A88="40%",Z120,IF(A88="60%",Z127))</f>
        <v>0</v>
      </c>
      <c r="J95" s="3561" t="b">
        <f t="shared" si="42"/>
        <v>0</v>
      </c>
      <c r="M95" s="3574">
        <v>18</v>
      </c>
      <c r="N95" s="3573">
        <v>16.7</v>
      </c>
      <c r="O95" s="3571" t="s">
        <v>169</v>
      </c>
      <c r="P95" s="3574">
        <v>21</v>
      </c>
      <c r="Q95" s="3574">
        <v>19</v>
      </c>
      <c r="R95" s="3559" t="str">
        <f t="shared" si="39"/>
        <v>180L</v>
      </c>
      <c r="S95" s="311">
        <v>960</v>
      </c>
      <c r="T95" s="3574">
        <v>190</v>
      </c>
      <c r="U95" s="3575">
        <v>124900</v>
      </c>
      <c r="V95" s="2151"/>
      <c r="W95" s="2151"/>
      <c r="X95" s="2151"/>
      <c r="Y95" s="416"/>
      <c r="Z95" s="416"/>
      <c r="AB95" s="345"/>
      <c r="AC95" s="22">
        <v>123000</v>
      </c>
      <c r="AD95" s="53"/>
      <c r="AE95" s="3561">
        <f>AC95-V95</f>
        <v>123000</v>
      </c>
      <c r="AF95" s="53"/>
      <c r="AG95" s="80"/>
      <c r="AH95" s="53"/>
      <c r="AJ95" s="19"/>
      <c r="AQ95" s="53"/>
      <c r="AR95" s="123"/>
      <c r="AS95" s="53"/>
      <c r="AT95" s="80"/>
      <c r="AU95" s="19"/>
      <c r="AV95" s="19"/>
      <c r="AW95" s="20"/>
      <c r="AX95" s="20"/>
      <c r="AY95" s="20"/>
      <c r="AZ95" s="2152"/>
      <c r="BA95" s="20"/>
      <c r="BD95" s="29" t="s">
        <v>117</v>
      </c>
      <c r="BE95" s="416">
        <v>3000</v>
      </c>
      <c r="BF95" s="416">
        <v>3000</v>
      </c>
      <c r="BG95" s="416">
        <v>3000</v>
      </c>
      <c r="BH95" s="416">
        <v>3000</v>
      </c>
      <c r="BI95" s="416">
        <v>3000</v>
      </c>
      <c r="BJ95" s="416">
        <v>3000</v>
      </c>
      <c r="BK95" s="416">
        <v>3000</v>
      </c>
      <c r="BL95" s="416">
        <v>3000</v>
      </c>
      <c r="BM95" s="416">
        <v>3000</v>
      </c>
      <c r="BN95" s="416">
        <v>3000</v>
      </c>
      <c r="BO95" s="416">
        <v>3000</v>
      </c>
      <c r="BP95" s="416">
        <v>3000</v>
      </c>
      <c r="BQ95" s="416">
        <v>3000</v>
      </c>
      <c r="BR95" s="416">
        <v>5500</v>
      </c>
      <c r="BS95" s="416">
        <v>7500</v>
      </c>
      <c r="BT95" s="416">
        <v>7500</v>
      </c>
      <c r="BU95" s="416">
        <v>7500</v>
      </c>
      <c r="BV95" s="416">
        <v>7500</v>
      </c>
      <c r="BW95" s="416">
        <v>7500</v>
      </c>
      <c r="BX95" s="416">
        <v>7500</v>
      </c>
      <c r="BY95" s="416">
        <v>7500</v>
      </c>
      <c r="BZ95" s="416">
        <v>7500</v>
      </c>
      <c r="CA95" s="416">
        <v>7500</v>
      </c>
      <c r="CB95" s="416">
        <v>7500</v>
      </c>
      <c r="CC95" s="416">
        <v>7500</v>
      </c>
      <c r="CD95" s="416">
        <v>7500</v>
      </c>
      <c r="CE95" s="416">
        <v>7500</v>
      </c>
      <c r="CF95" s="416">
        <v>7500</v>
      </c>
      <c r="CG95" s="416">
        <v>7500</v>
      </c>
      <c r="CH95" s="416">
        <v>7500</v>
      </c>
    </row>
    <row r="96" spans="1:86">
      <c r="B96" s="20"/>
      <c r="C96" s="19"/>
      <c r="H96" s="17"/>
      <c r="I96" s="17"/>
      <c r="M96" s="3574">
        <v>21</v>
      </c>
      <c r="N96" s="3574">
        <v>19</v>
      </c>
      <c r="O96" s="3571" t="s">
        <v>3962</v>
      </c>
      <c r="P96" s="3574">
        <v>26</v>
      </c>
      <c r="Q96" s="3574">
        <v>24</v>
      </c>
      <c r="R96" s="3559" t="str">
        <f t="shared" si="39"/>
        <v>200L</v>
      </c>
      <c r="S96" s="311">
        <v>960</v>
      </c>
      <c r="T96" s="3574">
        <v>254</v>
      </c>
      <c r="U96" s="3575">
        <v>124900</v>
      </c>
      <c r="V96" s="2151"/>
      <c r="W96" s="2151"/>
      <c r="X96" s="2151"/>
      <c r="Y96" s="416"/>
      <c r="Z96" s="416"/>
      <c r="AB96" s="345"/>
      <c r="AC96" s="22">
        <v>177000</v>
      </c>
      <c r="AD96" s="53"/>
      <c r="AE96" s="3561">
        <f t="shared" si="40"/>
        <v>177000</v>
      </c>
      <c r="AF96" s="53"/>
      <c r="AG96" s="80"/>
      <c r="AH96" s="53"/>
      <c r="AJ96" s="19"/>
      <c r="AQ96" s="53"/>
      <c r="AR96" s="123"/>
      <c r="AS96" s="53"/>
      <c r="AT96" s="80"/>
      <c r="AU96" s="19"/>
      <c r="AV96" s="19"/>
      <c r="AW96" s="20"/>
      <c r="AX96" s="20"/>
      <c r="AY96" s="20"/>
      <c r="AZ96" s="2152"/>
      <c r="BA96" s="20"/>
      <c r="BT96" s="53"/>
    </row>
    <row r="97" spans="1:75">
      <c r="B97" s="20"/>
      <c r="C97" s="19"/>
      <c r="H97" s="17"/>
      <c r="I97" s="17"/>
      <c r="M97" s="3574">
        <v>26</v>
      </c>
      <c r="N97" s="3574">
        <v>24</v>
      </c>
      <c r="O97" s="3571" t="s">
        <v>184</v>
      </c>
      <c r="P97" s="3573">
        <v>34.5</v>
      </c>
      <c r="Q97" s="3574">
        <v>32</v>
      </c>
      <c r="R97" s="3559" t="str">
        <f t="shared" si="39"/>
        <v>225M</v>
      </c>
      <c r="S97" s="311">
        <v>960</v>
      </c>
      <c r="T97" s="3574">
        <v>336</v>
      </c>
      <c r="U97" s="3575">
        <v>175500</v>
      </c>
      <c r="V97" s="2151"/>
      <c r="W97" s="2151"/>
      <c r="X97" s="2151"/>
      <c r="Y97" s="416"/>
      <c r="Z97" s="416"/>
      <c r="AB97" s="345"/>
      <c r="AC97" s="22">
        <v>238500</v>
      </c>
      <c r="AD97" s="53"/>
      <c r="AE97" s="3561">
        <f t="shared" si="40"/>
        <v>238500</v>
      </c>
      <c r="AF97" s="53"/>
      <c r="AG97" s="80"/>
      <c r="AH97" s="53"/>
      <c r="AJ97" s="19"/>
      <c r="AQ97" s="53"/>
      <c r="AR97" s="123"/>
      <c r="AS97" s="53"/>
      <c r="AT97" s="80"/>
      <c r="AU97" s="19"/>
      <c r="AV97" s="19"/>
      <c r="AW97" s="20"/>
      <c r="AX97" s="20"/>
      <c r="AY97" s="20"/>
      <c r="AZ97" s="2152"/>
      <c r="BA97" s="20"/>
      <c r="BT97" s="53"/>
    </row>
    <row r="98" spans="1:75">
      <c r="B98" s="59"/>
      <c r="C98" s="19"/>
      <c r="H98" s="19"/>
      <c r="M98" s="3573">
        <v>34.5</v>
      </c>
      <c r="N98" s="3574">
        <v>32</v>
      </c>
      <c r="O98" s="3571" t="s">
        <v>184</v>
      </c>
      <c r="P98" s="3574">
        <v>39</v>
      </c>
      <c r="Q98" s="3574">
        <v>35</v>
      </c>
      <c r="R98" s="3559" t="str">
        <f t="shared" si="39"/>
        <v>225M</v>
      </c>
      <c r="S98" s="311">
        <v>960</v>
      </c>
      <c r="T98" s="3574">
        <v>360</v>
      </c>
      <c r="U98" s="3575">
        <v>194700</v>
      </c>
      <c r="V98" s="2151"/>
      <c r="W98" s="2151"/>
      <c r="X98" s="2151"/>
      <c r="Y98" s="416"/>
      <c r="Z98" s="416"/>
      <c r="AB98" s="345"/>
      <c r="AC98" s="22">
        <v>286500</v>
      </c>
      <c r="AD98" s="53"/>
      <c r="AE98" s="3561">
        <f t="shared" si="40"/>
        <v>286500</v>
      </c>
      <c r="AF98" s="53"/>
      <c r="AG98" s="80"/>
      <c r="AH98" s="53"/>
      <c r="AJ98" s="19"/>
      <c r="AQ98" s="53"/>
      <c r="AR98" s="19"/>
      <c r="AS98" s="53"/>
      <c r="AT98" s="80"/>
      <c r="AU98" s="19"/>
      <c r="AV98" s="19"/>
      <c r="AW98" s="20"/>
      <c r="AX98" s="20"/>
      <c r="AY98" s="20"/>
      <c r="AZ98" s="2152"/>
      <c r="BA98" s="20"/>
      <c r="BT98" s="53"/>
    </row>
    <row r="99" spans="1:75">
      <c r="B99" s="59"/>
      <c r="C99" s="19"/>
      <c r="H99" s="118"/>
      <c r="M99" s="3574">
        <v>39</v>
      </c>
      <c r="N99" s="3574">
        <v>35</v>
      </c>
      <c r="O99" s="3571" t="s">
        <v>189</v>
      </c>
      <c r="P99" s="3574">
        <v>46</v>
      </c>
      <c r="Q99" s="3574">
        <v>42</v>
      </c>
      <c r="R99" s="3559" t="str">
        <f t="shared" si="39"/>
        <v>250M</v>
      </c>
      <c r="S99" s="311">
        <v>960</v>
      </c>
      <c r="T99" s="3574">
        <v>528</v>
      </c>
      <c r="U99" s="3575">
        <v>253400</v>
      </c>
      <c r="V99" s="2151"/>
      <c r="W99" s="2151"/>
      <c r="X99" s="2151"/>
      <c r="Y99" s="416"/>
      <c r="Z99" s="416"/>
      <c r="AB99" s="345"/>
      <c r="AC99" s="22">
        <v>329300</v>
      </c>
      <c r="AD99" s="53"/>
      <c r="AE99" s="3561">
        <f t="shared" si="40"/>
        <v>329300</v>
      </c>
      <c r="AF99" s="53"/>
      <c r="AG99" s="80"/>
      <c r="AH99" s="53"/>
      <c r="AJ99" s="19"/>
      <c r="AQ99" s="53"/>
      <c r="AR99" s="19"/>
      <c r="AS99" s="53"/>
      <c r="AT99" s="80"/>
      <c r="AU99" s="19"/>
      <c r="AV99" s="19"/>
      <c r="AW99" s="20"/>
      <c r="AX99" s="20"/>
      <c r="AY99" s="20"/>
      <c r="AZ99" s="2152"/>
      <c r="BA99" s="20"/>
      <c r="BT99" s="53"/>
    </row>
    <row r="100" spans="1:75">
      <c r="B100" s="59"/>
      <c r="C100" s="19"/>
      <c r="H100" s="118"/>
      <c r="M100" s="3574">
        <v>46</v>
      </c>
      <c r="N100" s="3574">
        <v>42</v>
      </c>
      <c r="O100" s="3571" t="s">
        <v>196</v>
      </c>
      <c r="P100" s="3574">
        <v>52</v>
      </c>
      <c r="Q100" s="3574">
        <v>49</v>
      </c>
      <c r="R100" s="3559" t="str">
        <f t="shared" si="39"/>
        <v>280S</v>
      </c>
      <c r="S100" s="311">
        <v>960</v>
      </c>
      <c r="T100" s="3574">
        <v>573</v>
      </c>
      <c r="U100" s="3575">
        <v>322800</v>
      </c>
      <c r="V100" s="2151"/>
      <c r="W100" s="2151"/>
      <c r="X100" s="2151"/>
      <c r="Y100" s="416"/>
      <c r="Z100" s="416"/>
      <c r="AB100" s="345"/>
      <c r="AC100" s="22">
        <v>329300</v>
      </c>
      <c r="AD100" s="53"/>
      <c r="AE100" s="3561">
        <f>AC100-V100</f>
        <v>329300</v>
      </c>
      <c r="AF100" s="53"/>
      <c r="AG100" s="80"/>
      <c r="AH100" s="53"/>
      <c r="AJ100" s="19"/>
      <c r="AQ100" s="53"/>
      <c r="AR100" s="19"/>
      <c r="AS100" s="53"/>
      <c r="AT100" s="80"/>
      <c r="AU100" s="19"/>
      <c r="AV100" s="19"/>
      <c r="AW100" s="20"/>
      <c r="AX100" s="20"/>
      <c r="AY100" s="20"/>
      <c r="AZ100" s="2152"/>
      <c r="BA100" s="20"/>
      <c r="BD100" s="53"/>
      <c r="BE100" s="2156"/>
      <c r="BF100" s="19"/>
      <c r="BG100" s="19"/>
      <c r="BH100" s="19"/>
      <c r="BI100" s="19"/>
      <c r="BJ100" s="19"/>
    </row>
    <row r="101" spans="1:75">
      <c r="B101" s="462"/>
      <c r="C101" s="19"/>
      <c r="H101" s="118"/>
      <c r="M101" s="3574">
        <v>52</v>
      </c>
      <c r="N101" s="3574">
        <v>49</v>
      </c>
      <c r="O101" s="3571" t="s">
        <v>201</v>
      </c>
      <c r="P101" s="3574">
        <v>65</v>
      </c>
      <c r="Q101" s="3574">
        <v>61</v>
      </c>
      <c r="R101" s="3559" t="str">
        <f t="shared" si="39"/>
        <v>280M</v>
      </c>
      <c r="S101" s="311">
        <v>960</v>
      </c>
      <c r="T101" s="3574">
        <v>620</v>
      </c>
      <c r="U101" s="3575">
        <v>366200</v>
      </c>
      <c r="V101" s="2151"/>
      <c r="W101" s="2151"/>
      <c r="X101" s="2151"/>
      <c r="Y101" s="416"/>
      <c r="Z101" s="416"/>
      <c r="AB101" s="345"/>
      <c r="AC101" s="22">
        <v>392500</v>
      </c>
      <c r="AD101" s="53"/>
      <c r="AE101" s="3561">
        <f>AC101-V101</f>
        <v>392500</v>
      </c>
      <c r="AF101" s="53"/>
      <c r="AG101" s="80"/>
      <c r="AH101" s="53"/>
      <c r="AJ101" s="19"/>
      <c r="AQ101" s="53"/>
      <c r="AR101" s="19"/>
      <c r="AS101" s="53"/>
      <c r="AT101" s="80"/>
      <c r="AU101" s="19"/>
      <c r="AV101" s="19"/>
      <c r="AW101" s="20"/>
      <c r="AX101" s="20"/>
      <c r="AY101" s="20"/>
      <c r="AZ101" s="2152"/>
      <c r="BA101" s="20"/>
      <c r="BD101" s="53"/>
      <c r="BE101" s="2156"/>
      <c r="BF101" s="19"/>
      <c r="BG101" s="19"/>
      <c r="BH101" s="19"/>
      <c r="BI101" s="19"/>
      <c r="BJ101" s="19"/>
    </row>
    <row r="102" spans="1:75">
      <c r="B102" s="108"/>
      <c r="C102" s="19"/>
      <c r="D102" s="3542" t="str">
        <f>HYPERLINK("Z:\Marketing Common\Dhrumil\Selection\VD_Series_6Pole.pdf","M Sq 6 Pole")</f>
        <v>M Sq 6 Pole</v>
      </c>
      <c r="E102" s="3542" t="str">
        <f>HYPERLINK("Z:\Marketing Common\Dhrumil\Selection\Price_Sheet_2013.pdf","Pr Sheet")</f>
        <v>Pr Sheet</v>
      </c>
      <c r="F102" s="3542" t="str">
        <f>HYPERLINK("Z:\Marketing Common\Dhrumil\Selection\Slipring_Motor.pdf","M Slip Motor")</f>
        <v>M Slip Motor</v>
      </c>
      <c r="G102" s="19"/>
      <c r="M102" s="3574">
        <v>65</v>
      </c>
      <c r="N102" s="3574">
        <v>61</v>
      </c>
      <c r="O102" s="3571" t="s">
        <v>208</v>
      </c>
      <c r="P102" s="3574">
        <v>90</v>
      </c>
      <c r="Q102" s="3574">
        <v>85</v>
      </c>
      <c r="R102" s="3559" t="str">
        <f t="shared" si="39"/>
        <v>315S</v>
      </c>
      <c r="S102" s="311">
        <v>960</v>
      </c>
      <c r="T102" s="3574">
        <v>830</v>
      </c>
      <c r="U102" s="3575">
        <v>458600</v>
      </c>
      <c r="V102" s="2151"/>
      <c r="W102" s="2151"/>
      <c r="X102" s="2151"/>
      <c r="Y102" s="416"/>
      <c r="Z102" s="416"/>
      <c r="AB102" s="345"/>
      <c r="AC102" s="22">
        <v>491500</v>
      </c>
      <c r="AD102" s="53"/>
      <c r="AE102" s="3561">
        <f>AC102-V102</f>
        <v>491500</v>
      </c>
      <c r="AF102" s="123"/>
      <c r="AG102" s="88"/>
      <c r="AH102" s="53"/>
      <c r="AJ102" s="19"/>
      <c r="AQ102" s="53"/>
      <c r="AR102" s="123"/>
      <c r="AS102" s="123"/>
      <c r="AT102" s="88"/>
      <c r="AU102" s="19"/>
      <c r="AV102" s="19"/>
      <c r="AW102" s="20"/>
      <c r="AX102" s="20"/>
      <c r="AY102" s="20"/>
      <c r="AZ102" s="2152"/>
      <c r="BA102" s="20"/>
      <c r="BD102" s="53"/>
      <c r="BE102" s="19"/>
      <c r="BF102" s="19"/>
      <c r="BG102" s="19"/>
      <c r="BH102" s="19"/>
      <c r="BI102" s="19"/>
      <c r="BJ102" s="19"/>
    </row>
    <row r="103" spans="1:75">
      <c r="B103" s="19"/>
      <c r="C103" s="19"/>
      <c r="D103" s="3542" t="str">
        <f>HYPERLINK("Z:\Marketing Common\Dhrumil\Selection\M_Sq_Price.pdf","M Sq Pr")</f>
        <v>M Sq Pr</v>
      </c>
      <c r="E103" s="3542" t="str">
        <f>HYPERLINK("Z:\Marketing Common\Dhrumil\Selection\Weight.pdf","Weight")</f>
        <v>Weight</v>
      </c>
      <c r="F103" s="3542" t="str">
        <f>HYPERLINK("Z:\Marketing Common\Dhrumil\Selection\Marathon_LP.pdf","M Slip Price")</f>
        <v>M Slip Price</v>
      </c>
      <c r="G103" s="1067"/>
      <c r="H103" s="80"/>
      <c r="M103" s="3574">
        <v>90</v>
      </c>
      <c r="N103" s="3574">
        <v>85</v>
      </c>
      <c r="O103" s="3571" t="s">
        <v>215</v>
      </c>
      <c r="P103" s="3574">
        <v>105</v>
      </c>
      <c r="Q103" s="3574">
        <v>100</v>
      </c>
      <c r="R103" s="3559" t="str">
        <f t="shared" si="39"/>
        <v>315M</v>
      </c>
      <c r="S103" s="311">
        <v>960</v>
      </c>
      <c r="T103" s="3574">
        <v>912</v>
      </c>
      <c r="U103" s="3575">
        <v>565900</v>
      </c>
      <c r="V103" s="2151"/>
      <c r="W103" s="2151"/>
      <c r="X103" s="2151"/>
      <c r="Y103" s="416"/>
      <c r="Z103" s="416"/>
      <c r="AB103" s="345"/>
      <c r="AC103" s="22">
        <v>597500</v>
      </c>
      <c r="AD103" s="123"/>
      <c r="AE103" s="3561">
        <f>AC103-V103</f>
        <v>597500</v>
      </c>
      <c r="AF103" s="123"/>
      <c r="AG103" s="915"/>
      <c r="AH103" s="53"/>
      <c r="AJ103" s="19"/>
      <c r="AQ103" s="123"/>
      <c r="AR103" s="53"/>
      <c r="AS103" s="123"/>
      <c r="AT103" s="915"/>
      <c r="AU103" s="19"/>
      <c r="AV103" s="19"/>
      <c r="AW103" s="20"/>
      <c r="AX103" s="20"/>
      <c r="AY103" s="20"/>
      <c r="AZ103" s="2152"/>
      <c r="BA103" s="20"/>
      <c r="BD103" s="53"/>
      <c r="BE103" s="19"/>
      <c r="BF103" s="19"/>
      <c r="BG103" s="19"/>
      <c r="BH103" s="19"/>
      <c r="BI103" s="19"/>
      <c r="BJ103" s="19"/>
    </row>
    <row r="104" spans="1:75" ht="17.25" customHeight="1">
      <c r="B104" s="20"/>
      <c r="C104" s="17"/>
      <c r="D104" s="3542" t="str">
        <f>HYPERLINK("Z:\Marketing Common\Dhrumil\Selection\M_Sq_Price.xls","M Sq Pr Exl")</f>
        <v>M Sq Pr Exl</v>
      </c>
      <c r="E104" s="3542" t="str">
        <f>HYPERLINK("Z:\Marketing Common\Dhrumil\Selection\Siemens_Motor.pdf","Sie Nor H-F")</f>
        <v>Sie Nor H-F</v>
      </c>
      <c r="F104" s="3542" t="str">
        <f>HYPERLINK("Z:\Marketing Common\Dhrumil\Selection\Siemens_F-B.pdf","Siem F-B")</f>
        <v>Siem F-B</v>
      </c>
      <c r="G104" s="1067"/>
      <c r="I104" s="17"/>
      <c r="M104" s="3574">
        <v>105</v>
      </c>
      <c r="N104" s="3574">
        <v>100</v>
      </c>
      <c r="O104" s="3571" t="s">
        <v>215</v>
      </c>
      <c r="P104" s="3574">
        <v>125</v>
      </c>
      <c r="Q104" s="3574">
        <v>120</v>
      </c>
      <c r="R104" s="3559" t="str">
        <f>+O104</f>
        <v>315M</v>
      </c>
      <c r="S104" s="311">
        <v>960</v>
      </c>
      <c r="T104" s="3574">
        <v>1010</v>
      </c>
      <c r="U104" s="3575">
        <v>630400</v>
      </c>
      <c r="V104" s="2151"/>
      <c r="W104" s="2151"/>
      <c r="X104" s="2151"/>
      <c r="Y104" s="416"/>
      <c r="Z104" s="416"/>
      <c r="AB104" s="345"/>
      <c r="AC104" s="22">
        <v>597500</v>
      </c>
      <c r="AD104" s="123"/>
      <c r="AE104" s="3561">
        <f>AC104-V104</f>
        <v>597500</v>
      </c>
      <c r="AF104" s="19"/>
      <c r="AG104" s="80"/>
      <c r="AH104" s="53"/>
      <c r="AJ104" s="19"/>
      <c r="AQ104" s="123"/>
      <c r="AR104" s="53"/>
      <c r="AS104" s="19"/>
      <c r="AT104" s="80"/>
      <c r="AU104" s="19"/>
      <c r="AV104" s="19"/>
      <c r="AW104" s="20"/>
      <c r="AX104" s="20"/>
      <c r="AY104" s="20"/>
      <c r="AZ104" s="2152"/>
      <c r="BA104" s="20"/>
      <c r="BV104" s="53"/>
      <c r="BW104" s="53"/>
    </row>
    <row r="105" spans="1:75">
      <c r="B105" s="302"/>
      <c r="C105" s="302"/>
      <c r="D105" s="2140"/>
      <c r="E105" s="3542" t="str">
        <f>HYPERLINK("Z:\Marketing Common\Dhrumil\Selection\Siemens_Price.pdf","Siem Pr 2017")</f>
        <v>Siem Pr 2017</v>
      </c>
      <c r="F105" s="3542" t="str">
        <f>HYPERLINK("Z:\Marketing Common\Dhrumil\Selection\Siemens_H-F.pdf","Siem H-F")</f>
        <v>Siem H-F</v>
      </c>
      <c r="G105" s="1067"/>
      <c r="H105" s="88"/>
      <c r="I105" s="19"/>
      <c r="M105" s="3574">
        <v>125</v>
      </c>
      <c r="N105" s="3574">
        <v>120</v>
      </c>
      <c r="O105" s="3571" t="s">
        <v>3963</v>
      </c>
      <c r="P105" s="3574">
        <v>150</v>
      </c>
      <c r="Q105" s="3574">
        <v>142</v>
      </c>
      <c r="R105" s="3559" t="str">
        <f t="shared" si="39"/>
        <v>315L</v>
      </c>
      <c r="S105" s="311">
        <v>960</v>
      </c>
      <c r="T105" s="3574">
        <v>1175</v>
      </c>
      <c r="U105" s="3575">
        <v>732400</v>
      </c>
      <c r="V105" s="2151"/>
      <c r="W105" s="2151"/>
      <c r="X105" s="2151"/>
      <c r="Y105" s="416"/>
      <c r="Z105" s="416"/>
      <c r="AB105" s="345"/>
      <c r="AC105" s="22">
        <v>683567</v>
      </c>
      <c r="AD105" s="19"/>
      <c r="AE105" s="3561">
        <f t="shared" si="40"/>
        <v>683567</v>
      </c>
      <c r="AF105" s="19"/>
      <c r="AG105" s="80"/>
      <c r="AH105" s="53"/>
      <c r="AJ105" s="19"/>
      <c r="AQ105" s="19"/>
      <c r="AR105" s="53"/>
      <c r="AS105" s="19"/>
      <c r="AT105" s="80"/>
      <c r="AU105" s="19"/>
      <c r="AV105" s="19"/>
      <c r="AW105" s="20"/>
      <c r="AX105" s="20"/>
      <c r="AY105" s="20"/>
      <c r="AZ105" s="2152"/>
      <c r="BA105" s="20"/>
    </row>
    <row r="106" spans="1:75">
      <c r="B106" s="51"/>
      <c r="C106" s="302"/>
      <c r="D106" s="67"/>
      <c r="M106" s="3574">
        <v>150</v>
      </c>
      <c r="N106" s="3574">
        <v>142</v>
      </c>
      <c r="O106" s="3571" t="s">
        <v>3963</v>
      </c>
      <c r="P106" s="3574">
        <v>180</v>
      </c>
      <c r="Q106" s="3574">
        <v>170</v>
      </c>
      <c r="R106" s="3559" t="str">
        <f t="shared" si="39"/>
        <v>315L</v>
      </c>
      <c r="S106" s="311">
        <v>960</v>
      </c>
      <c r="T106" s="3574">
        <v>1231</v>
      </c>
      <c r="U106" s="3575">
        <v>777200</v>
      </c>
      <c r="V106" s="2151"/>
      <c r="W106" s="2151"/>
      <c r="X106" s="2151"/>
      <c r="Y106" s="416"/>
      <c r="Z106" s="416"/>
      <c r="AB106" s="345"/>
      <c r="AC106" s="22">
        <v>734500</v>
      </c>
      <c r="AD106" s="19"/>
      <c r="AE106" s="3561">
        <f t="shared" si="40"/>
        <v>734500</v>
      </c>
      <c r="AF106" s="19"/>
      <c r="AG106" s="80"/>
      <c r="AH106" s="53"/>
      <c r="AJ106" s="19"/>
      <c r="AQ106" s="19"/>
      <c r="AR106" s="53"/>
      <c r="AS106" s="19"/>
      <c r="AT106" s="80"/>
      <c r="AU106" s="19"/>
      <c r="AV106" s="19"/>
      <c r="AW106" s="20"/>
      <c r="AX106" s="20"/>
      <c r="AY106" s="20"/>
      <c r="AZ106" s="2152"/>
      <c r="BA106" s="20"/>
    </row>
    <row r="107" spans="1:75">
      <c r="A107" s="962"/>
      <c r="B107" s="962"/>
      <c r="C107" s="962"/>
      <c r="D107" s="67"/>
      <c r="G107" s="53"/>
      <c r="H107" s="53"/>
      <c r="M107" s="3574">
        <v>180</v>
      </c>
      <c r="N107" s="3574">
        <v>170</v>
      </c>
      <c r="O107" s="3571" t="s">
        <v>3964</v>
      </c>
      <c r="P107" s="3574">
        <v>220</v>
      </c>
      <c r="Q107" s="3574">
        <v>210</v>
      </c>
      <c r="R107" s="3559" t="str">
        <f t="shared" si="39"/>
        <v>355L</v>
      </c>
      <c r="S107" s="311">
        <v>960</v>
      </c>
      <c r="T107" s="3574">
        <v>1670</v>
      </c>
      <c r="U107" s="3555">
        <v>0</v>
      </c>
      <c r="V107" s="2151"/>
      <c r="W107" s="2151"/>
      <c r="X107" s="2151"/>
      <c r="Y107" s="416"/>
      <c r="Z107" s="416"/>
      <c r="AB107" s="345"/>
      <c r="AC107" s="22">
        <v>790000</v>
      </c>
      <c r="AD107" s="19"/>
      <c r="AE107" s="3561">
        <f t="shared" si="40"/>
        <v>790000</v>
      </c>
      <c r="AF107" s="19"/>
      <c r="AG107" s="915"/>
      <c r="AH107" s="53"/>
      <c r="AJ107" s="19"/>
      <c r="AZ107" s="2618"/>
    </row>
    <row r="108" spans="1:75">
      <c r="A108" s="962"/>
      <c r="B108" s="962"/>
      <c r="C108" s="962"/>
      <c r="D108" s="54"/>
      <c r="G108" s="53"/>
      <c r="H108" s="53"/>
      <c r="M108" s="3574">
        <v>220</v>
      </c>
      <c r="N108" s="3574">
        <v>210</v>
      </c>
      <c r="O108" s="3571" t="s">
        <v>3964</v>
      </c>
      <c r="P108" s="3574">
        <v>275</v>
      </c>
      <c r="Q108" s="3574">
        <v>262</v>
      </c>
      <c r="R108" s="3559" t="str">
        <f t="shared" si="39"/>
        <v>355L</v>
      </c>
      <c r="S108" s="311">
        <v>960</v>
      </c>
      <c r="T108" s="3574">
        <v>1780</v>
      </c>
      <c r="U108" s="3555">
        <f>(V108*(1-H83)*1.03)+W108+X108+Y108+Z108</f>
        <v>0</v>
      </c>
      <c r="V108" s="3578"/>
      <c r="W108" s="2151"/>
      <c r="X108" s="2151"/>
      <c r="Y108" s="416"/>
      <c r="Z108" s="416"/>
      <c r="AB108" s="345"/>
      <c r="AC108" s="22">
        <v>790000</v>
      </c>
      <c r="AD108" s="19"/>
      <c r="AE108" s="3561">
        <f>AC108-V108</f>
        <v>790000</v>
      </c>
      <c r="AF108" s="59"/>
      <c r="AG108" s="915"/>
      <c r="AH108" s="53"/>
      <c r="AJ108" s="19"/>
      <c r="AZ108" s="2618"/>
    </row>
    <row r="109" spans="1:75">
      <c r="A109" s="962"/>
      <c r="B109" s="962"/>
      <c r="C109" s="962"/>
      <c r="D109" s="54"/>
      <c r="E109" s="2622"/>
      <c r="G109" s="53"/>
      <c r="H109" s="53"/>
      <c r="M109" s="3574">
        <v>275</v>
      </c>
      <c r="N109" s="3574">
        <v>262</v>
      </c>
      <c r="O109" s="3571" t="s">
        <v>3964</v>
      </c>
      <c r="P109" s="3574">
        <v>325</v>
      </c>
      <c r="Q109" s="3574">
        <v>310</v>
      </c>
      <c r="R109" s="3559" t="str">
        <f t="shared" si="39"/>
        <v>355L</v>
      </c>
      <c r="S109" s="311">
        <v>960</v>
      </c>
      <c r="T109" s="3574">
        <v>2000</v>
      </c>
      <c r="U109" s="3555">
        <f>(V109*(1-H83)*1.03)+W109+X109+Y109+Z109</f>
        <v>0</v>
      </c>
      <c r="V109" s="2151"/>
      <c r="W109" s="2151"/>
      <c r="X109" s="2151"/>
      <c r="Y109" s="416"/>
      <c r="Z109" s="416"/>
      <c r="AB109" s="345"/>
      <c r="AC109" s="22">
        <v>815000</v>
      </c>
      <c r="AD109" s="59"/>
      <c r="AE109" s="3561">
        <f t="shared" si="40"/>
        <v>815000</v>
      </c>
      <c r="AF109" s="19"/>
      <c r="AG109" s="88"/>
      <c r="AH109" s="53"/>
      <c r="AJ109" s="345"/>
      <c r="AZ109" s="2618"/>
    </row>
    <row r="110" spans="1:75">
      <c r="A110" s="2140"/>
      <c r="B110" s="962"/>
      <c r="C110" s="962"/>
      <c r="D110" s="67"/>
      <c r="E110" s="2622"/>
      <c r="G110" s="53"/>
      <c r="H110" s="53"/>
      <c r="M110" s="3574">
        <v>325</v>
      </c>
      <c r="N110" s="3574">
        <v>310</v>
      </c>
      <c r="O110" s="311" t="s">
        <v>251</v>
      </c>
      <c r="P110" s="311">
        <v>265.5</v>
      </c>
      <c r="Q110" s="311">
        <v>250.2</v>
      </c>
      <c r="R110" s="3559" t="str">
        <f t="shared" si="39"/>
        <v>VD355LB</v>
      </c>
      <c r="S110" s="311">
        <v>960</v>
      </c>
      <c r="T110" s="3559">
        <f>T109+50</f>
        <v>2050</v>
      </c>
      <c r="U110" s="3555">
        <f>(V110*(1-H83)*1.03)+W110+X110+Y110+Z110</f>
        <v>0</v>
      </c>
      <c r="V110" s="2151"/>
      <c r="W110" s="2151"/>
      <c r="X110" s="2151"/>
      <c r="Y110" s="416"/>
      <c r="Z110" s="416"/>
      <c r="AB110" s="345"/>
      <c r="AC110" s="22">
        <v>1058000</v>
      </c>
      <c r="AD110" s="19"/>
      <c r="AE110" s="3561">
        <f t="shared" si="40"/>
        <v>1058000</v>
      </c>
      <c r="AF110" s="19"/>
      <c r="AG110" s="88"/>
      <c r="AH110" s="53"/>
      <c r="AJ110" s="345"/>
      <c r="AZ110" s="2618"/>
      <c r="BD110" s="53"/>
      <c r="BE110" s="2156"/>
      <c r="BF110" s="19"/>
      <c r="BG110" s="19"/>
      <c r="BH110" s="19"/>
      <c r="BI110" s="19"/>
      <c r="BJ110" s="19"/>
    </row>
    <row r="111" spans="1:75">
      <c r="B111" s="353"/>
      <c r="C111" s="354"/>
      <c r="D111" s="2157"/>
      <c r="E111" s="2622"/>
      <c r="F111" s="19"/>
      <c r="G111" s="19"/>
      <c r="H111" s="19"/>
      <c r="I111" s="19"/>
      <c r="M111" s="311">
        <v>265.5</v>
      </c>
      <c r="N111" s="311">
        <v>250.2</v>
      </c>
      <c r="O111" s="311" t="s">
        <v>253</v>
      </c>
      <c r="P111" s="311">
        <v>284.39999999999998</v>
      </c>
      <c r="Q111" s="311">
        <v>268.10000000000002</v>
      </c>
      <c r="R111" s="3559" t="str">
        <f t="shared" si="39"/>
        <v>VD355LC</v>
      </c>
      <c r="S111" s="311">
        <v>960</v>
      </c>
      <c r="T111" s="3559">
        <f>T110+50</f>
        <v>2100</v>
      </c>
      <c r="U111" s="3555">
        <f>(V111*(1-H83)*1.03)+W111+X111+Y111+Z111</f>
        <v>0</v>
      </c>
      <c r="V111" s="2151"/>
      <c r="W111" s="2151"/>
      <c r="X111" s="2151"/>
      <c r="Y111" s="416"/>
      <c r="Z111" s="416"/>
      <c r="AB111" s="345"/>
      <c r="AC111" s="22">
        <v>1312500</v>
      </c>
      <c r="AD111" s="19"/>
      <c r="AE111" s="3561">
        <f t="shared" si="40"/>
        <v>1312500</v>
      </c>
      <c r="AF111" s="53"/>
      <c r="AG111" s="80"/>
      <c r="AH111" s="53"/>
      <c r="AJ111" s="345"/>
      <c r="AZ111" s="2618"/>
      <c r="BE111" s="19"/>
      <c r="BF111" s="19"/>
      <c r="BG111" s="19"/>
      <c r="BH111" s="19"/>
      <c r="BI111" s="19"/>
      <c r="BJ111" s="19"/>
    </row>
    <row r="112" spans="1:75">
      <c r="B112" s="182"/>
      <c r="C112" s="186"/>
      <c r="D112" s="186"/>
      <c r="F112" s="19"/>
      <c r="G112" s="53"/>
      <c r="H112" s="53"/>
      <c r="M112" s="311">
        <v>284.39999999999998</v>
      </c>
      <c r="N112" s="311">
        <v>268.10000000000002</v>
      </c>
      <c r="O112" s="311" t="s">
        <v>256</v>
      </c>
      <c r="P112" s="311">
        <v>298.7</v>
      </c>
      <c r="Q112" s="311">
        <v>281.5</v>
      </c>
      <c r="R112" s="3559" t="str">
        <f t="shared" si="39"/>
        <v>VD355LE</v>
      </c>
      <c r="S112" s="311">
        <v>960</v>
      </c>
      <c r="T112" s="3559">
        <f>T111+50</f>
        <v>2150</v>
      </c>
      <c r="U112" s="3555">
        <f>(V112*(1-H83)*1.03)+W112+X112+Y112+Z112</f>
        <v>0</v>
      </c>
      <c r="V112" s="421"/>
      <c r="W112" s="416"/>
      <c r="X112" s="2151"/>
      <c r="Y112" s="416"/>
      <c r="Z112" s="416"/>
      <c r="AB112" s="345"/>
      <c r="AC112" s="22">
        <v>1312500</v>
      </c>
      <c r="AD112" s="53"/>
      <c r="AE112" s="3561">
        <f t="shared" si="40"/>
        <v>1312500</v>
      </c>
      <c r="AF112" s="53"/>
      <c r="AG112" s="80"/>
      <c r="AH112" s="53"/>
      <c r="AJ112" s="345"/>
      <c r="AZ112" s="2618"/>
      <c r="BE112" s="19"/>
      <c r="BF112" s="19"/>
      <c r="BG112" s="19"/>
      <c r="BH112" s="19"/>
      <c r="BI112" s="19"/>
      <c r="BJ112" s="19"/>
    </row>
    <row r="113" spans="2:70">
      <c r="B113" s="182"/>
      <c r="D113" s="51"/>
      <c r="E113" s="51"/>
      <c r="F113" s="19"/>
      <c r="G113" s="53"/>
      <c r="H113" s="53"/>
      <c r="M113" s="19"/>
      <c r="N113" s="19"/>
      <c r="O113" s="19"/>
      <c r="P113" s="19"/>
      <c r="Q113" s="19"/>
      <c r="R113" s="19"/>
      <c r="S113" s="19"/>
      <c r="T113" s="19"/>
      <c r="U113" s="345"/>
      <c r="V113" s="182"/>
      <c r="W113" s="20"/>
      <c r="X113" s="20"/>
      <c r="Y113" s="20"/>
      <c r="Z113" s="20"/>
      <c r="AD113" s="53"/>
      <c r="AF113" s="53"/>
      <c r="AG113" s="80"/>
      <c r="AH113" s="19"/>
      <c r="AI113" s="345"/>
      <c r="AK113" s="53"/>
      <c r="AZ113" s="2618"/>
    </row>
    <row r="114" spans="2:70">
      <c r="B114" s="59"/>
      <c r="C114" s="108"/>
      <c r="D114" s="108"/>
      <c r="E114" s="108"/>
      <c r="F114" s="19"/>
      <c r="G114" s="19"/>
      <c r="H114" s="19"/>
      <c r="I114" s="19"/>
      <c r="L114" s="2615"/>
      <c r="M114" s="2615"/>
      <c r="N114" s="2615"/>
      <c r="O114" s="216"/>
      <c r="P114" s="2615"/>
      <c r="Q114" s="2615"/>
      <c r="R114" s="53"/>
      <c r="S114" s="53"/>
      <c r="T114" s="216"/>
      <c r="U114" s="17"/>
      <c r="AZ114" s="2618"/>
    </row>
    <row r="115" spans="2:70">
      <c r="B115" s="17"/>
      <c r="C115" s="19"/>
      <c r="D115" s="19"/>
      <c r="E115" s="19"/>
      <c r="F115" s="19"/>
      <c r="G115" s="19"/>
      <c r="H115" s="19"/>
      <c r="I115" s="19"/>
      <c r="J115" s="19"/>
      <c r="L115" s="2158">
        <v>0.4</v>
      </c>
      <c r="M115" s="53"/>
      <c r="N115" s="53"/>
      <c r="O115" s="53"/>
      <c r="P115" s="53"/>
      <c r="S115" s="53"/>
      <c r="T115" s="53"/>
      <c r="AZ115" s="2618"/>
      <c r="BD115" s="2158">
        <v>0.4</v>
      </c>
      <c r="BE115" s="53"/>
      <c r="BF115" s="53"/>
      <c r="BG115" s="53"/>
      <c r="BH115" s="53"/>
      <c r="BK115" s="53"/>
    </row>
    <row r="116" spans="2:70">
      <c r="B116" s="209"/>
      <c r="C116" s="53"/>
      <c r="D116" s="1067"/>
      <c r="E116" s="19"/>
      <c r="F116" s="19"/>
      <c r="G116" s="53"/>
      <c r="H116" s="53"/>
      <c r="J116" s="3532" t="b">
        <f>IF(A85="40%",K116,IF(A85="60%",K123))</f>
        <v>0</v>
      </c>
      <c r="K116" s="3563" t="b">
        <f>IF(K117="Right",IF(K118="Right",IF(K119="Right",IF(K120="Right","Right","Wrong"))))</f>
        <v>0</v>
      </c>
      <c r="L116" s="2159" t="s">
        <v>1710</v>
      </c>
      <c r="M116" s="2602" t="s">
        <v>2494</v>
      </c>
      <c r="N116" s="2602" t="s">
        <v>2495</v>
      </c>
      <c r="O116" s="2602" t="s">
        <v>2496</v>
      </c>
      <c r="P116" s="29" t="s">
        <v>119</v>
      </c>
      <c r="Q116" s="179" t="s">
        <v>121</v>
      </c>
      <c r="R116" s="179" t="s">
        <v>274</v>
      </c>
      <c r="S116" s="145" t="s">
        <v>2497</v>
      </c>
      <c r="T116" s="53"/>
      <c r="U116" s="29" t="s">
        <v>112</v>
      </c>
      <c r="V116" s="29" t="s">
        <v>113</v>
      </c>
      <c r="W116" s="29" t="s">
        <v>114</v>
      </c>
      <c r="X116" s="29" t="s">
        <v>115</v>
      </c>
      <c r="Y116" s="29" t="s">
        <v>116</v>
      </c>
      <c r="Z116" s="29" t="s">
        <v>117</v>
      </c>
      <c r="AZ116" s="2618"/>
      <c r="BD116" s="2159" t="s">
        <v>1710</v>
      </c>
      <c r="BE116" s="2602" t="s">
        <v>2494</v>
      </c>
      <c r="BF116" s="2602" t="s">
        <v>2495</v>
      </c>
      <c r="BG116" s="2602" t="s">
        <v>2496</v>
      </c>
      <c r="BH116" s="29" t="s">
        <v>119</v>
      </c>
      <c r="BI116" s="179" t="s">
        <v>121</v>
      </c>
      <c r="BJ116" s="179" t="s">
        <v>274</v>
      </c>
      <c r="BK116" s="145" t="s">
        <v>2497</v>
      </c>
      <c r="BM116" s="29" t="s">
        <v>112</v>
      </c>
      <c r="BN116" s="29" t="s">
        <v>113</v>
      </c>
      <c r="BO116" s="29" t="s">
        <v>114</v>
      </c>
      <c r="BP116" s="29" t="s">
        <v>115</v>
      </c>
      <c r="BQ116" s="29" t="s">
        <v>116</v>
      </c>
      <c r="BR116" s="29" t="s">
        <v>117</v>
      </c>
    </row>
    <row r="117" spans="2:70">
      <c r="B117" s="454"/>
      <c r="C117" s="19"/>
      <c r="D117" s="19"/>
      <c r="E117" s="19"/>
      <c r="F117" s="19"/>
      <c r="J117" s="3532" t="b">
        <f>IF(A85="40%",K117,IF(A85="60%",K124))</f>
        <v>0</v>
      </c>
      <c r="K117" s="3561" t="b">
        <f>IF(T117="Right",IF(AA117="Right","Right","Wrong"))</f>
        <v>0</v>
      </c>
      <c r="L117" s="2602" t="s">
        <v>2471</v>
      </c>
      <c r="M117" s="3533">
        <f>C85</f>
        <v>14.931600768800502</v>
      </c>
      <c r="N117" s="3533">
        <f>VLOOKUP(M117,M83:M112,1)</f>
        <v>13</v>
      </c>
      <c r="O117" s="3533">
        <f>VLOOKUP(N117,M83:P112,4,0)</f>
        <v>18</v>
      </c>
      <c r="P117" s="3564" t="str">
        <f>VLOOKUP(O117,P83:R112,3,0)</f>
        <v>180L</v>
      </c>
      <c r="Q117" s="3564">
        <f>VLOOKUP(P117,R83:U112,2,0)</f>
        <v>960</v>
      </c>
      <c r="R117" s="3549">
        <f>VLOOKUP(P117,R82:U112,4,0)</f>
        <v>107500</v>
      </c>
      <c r="S117" s="3564">
        <f>VLOOKUP(P117,R83:T112,3,0)</f>
        <v>175</v>
      </c>
      <c r="T117" s="3561" t="b">
        <f>IF(BE117=M117,IF(N117=BF117,IF(O117=BG117,IF(P117=BH117,IF(Q117=BI117,IF(R117=BJ117,IF(S117=BK117,"Right","Wrong")))))))</f>
        <v>0</v>
      </c>
      <c r="U117" s="3535">
        <f>VLOOKUP(P117,R83:Z112,4,0)</f>
        <v>107500</v>
      </c>
      <c r="V117" s="3535">
        <f>VLOOKUP(P117,R83:Z112,5,0)</f>
        <v>0</v>
      </c>
      <c r="W117" s="3535">
        <f>VLOOKUP(P117,R83:Z112,6,0)</f>
        <v>0</v>
      </c>
      <c r="X117" s="3535">
        <f>VLOOKUP(P117,R83:Z112,7,0)</f>
        <v>0</v>
      </c>
      <c r="Y117" s="3535">
        <f>VLOOKUP(P117,R83:Z112,8,0)</f>
        <v>0</v>
      </c>
      <c r="Z117" s="3535">
        <f>VLOOKUP(P117,R83:Z112,9,0)</f>
        <v>0</v>
      </c>
      <c r="AA117" s="3561" t="b">
        <f>IF(BM117=U117,IF(V117=BN117,IF(W117=BO117,IF(X117=BP117,IF(Y117=BQ117,IF(Z117=BR117,"Right","Wrong"))))))</f>
        <v>0</v>
      </c>
      <c r="AB117" s="20"/>
      <c r="AU117" s="462"/>
      <c r="AV117" s="462"/>
      <c r="AW117" s="462"/>
      <c r="AX117" s="462"/>
      <c r="AY117" s="462"/>
      <c r="AZ117" s="2115"/>
      <c r="BA117" s="462"/>
      <c r="BD117" s="2602" t="s">
        <v>2471</v>
      </c>
      <c r="BE117" s="3565">
        <f>M117</f>
        <v>14.931600768800502</v>
      </c>
      <c r="BF117" s="3566">
        <f>HLOOKUP(BE117,BE82:CH82,1)</f>
        <v>14.2</v>
      </c>
      <c r="BG117" s="3566">
        <f>HLOOKUP(BF117,BE82:CH85,4,0)</f>
        <v>17.5</v>
      </c>
      <c r="BH117" s="3566" t="str">
        <f>HLOOKUP(BG117,BE85:CH87,3,0)</f>
        <v>VD200LA</v>
      </c>
      <c r="BI117" s="3566">
        <f>HLOOKUP(BH117,BE87:CH89,2,0)</f>
        <v>976</v>
      </c>
      <c r="BJ117" s="3566">
        <f>HLOOKUP(BH117,BE87:CH90,4,0)</f>
        <v>95336.5</v>
      </c>
      <c r="BK117" s="3566">
        <f>HLOOKUP(BH117,BE87:CH89,3,0)</f>
        <v>254</v>
      </c>
      <c r="BM117" s="3566">
        <f>HLOOKUP(BH117,BE87:CH95,4,0)</f>
        <v>95336.5</v>
      </c>
      <c r="BN117" s="3566">
        <f>HLOOKUP(BH117,BE87:CH95,5,0)</f>
        <v>122550</v>
      </c>
      <c r="BO117" s="3566">
        <f>HLOOKUP(BH117,BE87:CH95,6,0)</f>
        <v>9900</v>
      </c>
      <c r="BP117" s="3566">
        <f>HLOOKUP(BH117,BE87:CH95,7,0)</f>
        <v>3500</v>
      </c>
      <c r="BQ117" s="3566">
        <f>HLOOKUP(BH117,BE87:CH95,8,0)</f>
        <v>1730</v>
      </c>
      <c r="BR117" s="3566">
        <f>HLOOKUP(BH117,BE87:CH95,9,0)</f>
        <v>3000</v>
      </c>
    </row>
    <row r="118" spans="2:70">
      <c r="B118" s="2160"/>
      <c r="C118" s="19"/>
      <c r="D118" s="19"/>
      <c r="E118" s="19"/>
      <c r="F118" s="19"/>
      <c r="J118" s="3532" t="b">
        <f t="shared" ref="J118:J120" si="43">IF(A86="40%",K118,IF(A86="60%",K125))</f>
        <v>0</v>
      </c>
      <c r="K118" s="3561" t="b">
        <f t="shared" ref="K118:K127" si="44">IF(T118="Right",IF(AA118="Right","Right","Wrong"))</f>
        <v>0</v>
      </c>
      <c r="L118" s="2602" t="s">
        <v>2472</v>
      </c>
      <c r="M118" s="3533">
        <f>C86</f>
        <v>14.970777992527008</v>
      </c>
      <c r="N118" s="3533">
        <f>VLOOKUP(M118,M83:M112,1)</f>
        <v>13</v>
      </c>
      <c r="O118" s="3533">
        <f>VLOOKUP(N118,M83:P112,4,0)</f>
        <v>18</v>
      </c>
      <c r="P118" s="3564" t="str">
        <f>VLOOKUP(O118,P83:R112,3,0)</f>
        <v>180L</v>
      </c>
      <c r="Q118" s="3564">
        <f>VLOOKUP(P118,R83:U112,2,0)</f>
        <v>960</v>
      </c>
      <c r="R118" s="3549">
        <f>VLOOKUP(P118,R82:U112,4,0)</f>
        <v>107500</v>
      </c>
      <c r="S118" s="3564">
        <f>VLOOKUP(P118,R83:T112,3,0)</f>
        <v>175</v>
      </c>
      <c r="T118" s="3561" t="b">
        <f>IF(BE118=M118,IF(N118=BF118,IF(O118=BG118,IF(P118=BH118,IF(Q118=BI118,IF(R118=BJ118,IF(S118=BK118,"Right","Wrong")))))))</f>
        <v>0</v>
      </c>
      <c r="U118" s="3535">
        <f>VLOOKUP(P118,R83:Z112,4,0)</f>
        <v>107500</v>
      </c>
      <c r="V118" s="3535">
        <f>VLOOKUP(P118,R83:Z112,5,0)</f>
        <v>0</v>
      </c>
      <c r="W118" s="3535">
        <f>VLOOKUP(P118,R83:Z112,6,0)</f>
        <v>0</v>
      </c>
      <c r="X118" s="3535">
        <f>VLOOKUP(P118,R83:Z112,7,0)</f>
        <v>0</v>
      </c>
      <c r="Y118" s="3535">
        <f>VLOOKUP(P118,R83:Z112,8,0)</f>
        <v>0</v>
      </c>
      <c r="Z118" s="3535">
        <f>VLOOKUP(P118,R83:Z112,9,0)</f>
        <v>0</v>
      </c>
      <c r="AA118" s="3561" t="b">
        <f>IF(BM118=U118,IF(V118=BN118,IF(W118=BO118,IF(X118=BP118,IF(Y118=BQ118,IF(Z118=BR118,"Right","Wrong"))))))</f>
        <v>0</v>
      </c>
      <c r="AB118" s="20"/>
      <c r="AU118" s="462"/>
      <c r="AV118" s="462"/>
      <c r="AW118" s="462"/>
      <c r="AX118" s="462"/>
      <c r="AY118" s="462"/>
      <c r="AZ118" s="2115"/>
      <c r="BA118" s="462"/>
      <c r="BD118" s="2602" t="s">
        <v>2472</v>
      </c>
      <c r="BE118" s="3565">
        <f>M118</f>
        <v>14.970777992527008</v>
      </c>
      <c r="BF118" s="3566">
        <f>HLOOKUP(BE118,BE82:CH82,1)</f>
        <v>14.2</v>
      </c>
      <c r="BG118" s="3566">
        <f>HLOOKUP(BF118,BE82:CH85,4,0)</f>
        <v>17.5</v>
      </c>
      <c r="BH118" s="3566" t="str">
        <f>HLOOKUP(BG118,BE85:CH87,3,0)</f>
        <v>VD200LA</v>
      </c>
      <c r="BI118" s="3566">
        <f>HLOOKUP(BH118,BE87:CH89,2,0)</f>
        <v>976</v>
      </c>
      <c r="BJ118" s="3566">
        <f>HLOOKUP(BH118,BE87:CH90,4,0)</f>
        <v>95336.5</v>
      </c>
      <c r="BK118" s="3566">
        <f>HLOOKUP(BH118,BE87:CH89,3,0)</f>
        <v>254</v>
      </c>
      <c r="BM118" s="3566">
        <f>HLOOKUP(BH118,BE87:CH95,4,0)</f>
        <v>95336.5</v>
      </c>
      <c r="BN118" s="3566">
        <f>HLOOKUP(BH118,BE87:CH95,5,0)</f>
        <v>122550</v>
      </c>
      <c r="BO118" s="3566">
        <f>HLOOKUP(BH118,BE87:CH95,6,0)</f>
        <v>9900</v>
      </c>
      <c r="BP118" s="3566">
        <f>HLOOKUP(BH118,BE87:CH95,7,0)</f>
        <v>3500</v>
      </c>
      <c r="BQ118" s="3566">
        <f>HLOOKUP(BH118,BE87:CH95,8,0)</f>
        <v>1730</v>
      </c>
      <c r="BR118" s="3566">
        <f>HLOOKUP(BH118,BE87:CH95,9,0)</f>
        <v>3000</v>
      </c>
    </row>
    <row r="119" spans="2:70">
      <c r="B119" s="481"/>
      <c r="C119" s="19"/>
      <c r="D119" s="19"/>
      <c r="E119" s="19"/>
      <c r="F119" s="19"/>
      <c r="J119" s="3532" t="b">
        <f>IF(A87="40%",K119,IF(A87="60%",K126))</f>
        <v>0</v>
      </c>
      <c r="K119" s="3561" t="b">
        <f t="shared" si="44"/>
        <v>0</v>
      </c>
      <c r="L119" s="2602" t="s">
        <v>2473</v>
      </c>
      <c r="M119" s="3533">
        <f>C87</f>
        <v>0.7475763842813713</v>
      </c>
      <c r="N119" s="3533">
        <f>VLOOKUP(M119,M83:M112,1)</f>
        <v>0.55000000000000004</v>
      </c>
      <c r="O119" s="3533">
        <f>VLOOKUP(N119,M83:P112,4,0)</f>
        <v>0.75</v>
      </c>
      <c r="P119" s="3564" t="str">
        <f>VLOOKUP(O119,P83:R112,3,0)</f>
        <v>80</v>
      </c>
      <c r="Q119" s="3564">
        <f>VLOOKUP(P119,R83:U112,2,0)</f>
        <v>960</v>
      </c>
      <c r="R119" s="3549">
        <f>VLOOKUP(P119,R82:U112,4,0)</f>
        <v>10500</v>
      </c>
      <c r="S119" s="3564">
        <f>VLOOKUP(P119,R83:T112,3,0)</f>
        <v>10</v>
      </c>
      <c r="T119" s="3561" t="b">
        <f>IF(BE119=M119,IF(N119=BF119,IF(O119=BG119,IF(P119=BH119,IF(Q119=BI119,IF(R119=BJ119,IF(S119=BK119,"Right","Wrong")))))))</f>
        <v>0</v>
      </c>
      <c r="U119" s="3535">
        <f>VLOOKUP(P119,R83:Z112,4,0)</f>
        <v>10500</v>
      </c>
      <c r="V119" s="3535">
        <f>VLOOKUP(P119,R83:Z112,5,0)</f>
        <v>0</v>
      </c>
      <c r="W119" s="3535">
        <f>VLOOKUP(P119,R83:Z112,6,0)</f>
        <v>0</v>
      </c>
      <c r="X119" s="3535">
        <f>VLOOKUP(P119,R83:Z112,7,0)</f>
        <v>0</v>
      </c>
      <c r="Y119" s="3535">
        <f>VLOOKUP(P119,R83:Z112,8,0)</f>
        <v>0</v>
      </c>
      <c r="Z119" s="3535">
        <f>VLOOKUP(P119,R83:Z112,9,0)</f>
        <v>0</v>
      </c>
      <c r="AA119" s="3561" t="b">
        <f>IF(BM119=U119,IF(V119=BN119,IF(W119=BO119,IF(X119=BP119,IF(Y119=BQ119,IF(Z119=BR119,"Right","Wrong"))))))</f>
        <v>0</v>
      </c>
      <c r="AB119" s="20"/>
      <c r="AU119" s="462"/>
      <c r="AV119" s="462"/>
      <c r="AW119" s="462"/>
      <c r="AX119" s="462"/>
      <c r="AY119" s="462"/>
      <c r="AZ119" s="2115"/>
      <c r="BA119" s="462"/>
      <c r="BD119" s="2602" t="s">
        <v>2473</v>
      </c>
      <c r="BE119" s="3565">
        <f>M119</f>
        <v>0.7475763842813713</v>
      </c>
      <c r="BF119" s="3566">
        <f>HLOOKUP(BE119,BE82:CH82,1)</f>
        <v>0.7</v>
      </c>
      <c r="BG119" s="3566">
        <f>HLOOKUP(BF119,BE82:CH85,4,0)</f>
        <v>1</v>
      </c>
      <c r="BH119" s="3566" t="str">
        <f>HLOOKUP(BG119,BE85:CH87,3,0)</f>
        <v>VD90L</v>
      </c>
      <c r="BI119" s="3566">
        <f>HLOOKUP(BH119,BE87:CH89,2,0)</f>
        <v>918</v>
      </c>
      <c r="BJ119" s="3566">
        <f>HLOOKUP(BH119,BE87:CH90,4,0)</f>
        <v>20696</v>
      </c>
      <c r="BK119" s="3566">
        <f>HLOOKUP(BH119,BE87:CH89,3,0)</f>
        <v>25</v>
      </c>
      <c r="BM119" s="3566">
        <f>HLOOKUP(BH119,BE87:CH95,4,0)</f>
        <v>20696</v>
      </c>
      <c r="BN119" s="3566">
        <f>HLOOKUP(BH119,BE87:CH95,5,0)</f>
        <v>12000</v>
      </c>
      <c r="BO119" s="3566">
        <f>HLOOKUP(BH119,BE87:CH95,6,0)</f>
        <v>6050</v>
      </c>
      <c r="BP119" s="3566">
        <f>HLOOKUP(BH119,BE87:CH95,7,0)</f>
        <v>2500</v>
      </c>
      <c r="BQ119" s="3566">
        <f>HLOOKUP(BH119,BE87:CH95,8,0)</f>
        <v>1730</v>
      </c>
      <c r="BR119" s="3566">
        <f>HLOOKUP(BH119,BE87:CH95,9,0)</f>
        <v>3000</v>
      </c>
    </row>
    <row r="120" spans="2:70">
      <c r="B120" s="2116"/>
      <c r="C120" s="20"/>
      <c r="D120" s="19"/>
      <c r="E120" s="20"/>
      <c r="F120" s="20"/>
      <c r="J120" s="3532" t="b">
        <f t="shared" si="43"/>
        <v>0</v>
      </c>
      <c r="K120" s="3561" t="b">
        <f t="shared" si="44"/>
        <v>0</v>
      </c>
      <c r="L120" s="2602" t="s">
        <v>2474</v>
      </c>
      <c r="M120" s="3533">
        <f>C88</f>
        <v>1.2453130745563414</v>
      </c>
      <c r="N120" s="3533">
        <f>VLOOKUP(M120,M83:M112,1)</f>
        <v>1.1000000000000001</v>
      </c>
      <c r="O120" s="3533">
        <f>VLOOKUP(N120,M83:P112,4,0)</f>
        <v>1.5</v>
      </c>
      <c r="P120" s="3564" t="str">
        <f>VLOOKUP(O120,P83:R112,3,0)</f>
        <v>90L</v>
      </c>
      <c r="Q120" s="3564">
        <f>VLOOKUP(P120,R83:U112,2,0)</f>
        <v>960</v>
      </c>
      <c r="R120" s="3549">
        <f>VLOOKUP(P120,R82:U112,4,0)</f>
        <v>11300</v>
      </c>
      <c r="S120" s="3564">
        <f>VLOOKUP(P120,R83:T112,3,0)</f>
        <v>17</v>
      </c>
      <c r="T120" s="3561" t="b">
        <f>IF(BE120=M120,IF(N120=BF120,IF(O120=BG120,IF(P120=BH120,IF(Q120=BI120,IF(R120=BJ120,IF(S120=BK120,"Right","Wrong")))))))</f>
        <v>0</v>
      </c>
      <c r="U120" s="3535">
        <f>VLOOKUP(P120,R83:Z112,4,0)</f>
        <v>11300</v>
      </c>
      <c r="V120" s="3535">
        <f>VLOOKUP(P120,R83:Z112,5,0)</f>
        <v>0</v>
      </c>
      <c r="W120" s="3535">
        <f>VLOOKUP(P120,R83:Z112,6,0)</f>
        <v>0</v>
      </c>
      <c r="X120" s="3535">
        <f>VLOOKUP(P120,R83:Z112,7,0)</f>
        <v>0</v>
      </c>
      <c r="Y120" s="3535">
        <f>VLOOKUP(P120,R83:Z112,8,0)</f>
        <v>0</v>
      </c>
      <c r="Z120" s="3535">
        <f>VLOOKUP(P120,R83:Z112,9,0)</f>
        <v>0</v>
      </c>
      <c r="AA120" s="3561" t="b">
        <f>IF(BM120=U120,IF(V120=BN120,IF(W120=BO120,IF(X120=BP120,IF(Y120=BQ120,IF(Z120=BR120,"Right","Wrong"))))))</f>
        <v>0</v>
      </c>
      <c r="AB120" s="20"/>
      <c r="AU120" s="17"/>
      <c r="AV120" s="17"/>
      <c r="AW120" s="17"/>
      <c r="AX120" s="17"/>
      <c r="AY120" s="17"/>
      <c r="AZ120" s="2117"/>
      <c r="BA120" s="17"/>
      <c r="BD120" s="2602" t="s">
        <v>2474</v>
      </c>
      <c r="BE120" s="3565">
        <f>M120</f>
        <v>1.2453130745563414</v>
      </c>
      <c r="BF120" s="3566">
        <f>HLOOKUP(BE120,BE82:CH82,1)</f>
        <v>1</v>
      </c>
      <c r="BG120" s="3566">
        <f>HLOOKUP(BF120,BE82:CH85,4,0)</f>
        <v>1.4</v>
      </c>
      <c r="BH120" s="3566" t="str">
        <f>HLOOKUP(BG120,BE85:CH87,3,0)</f>
        <v>VD100L</v>
      </c>
      <c r="BI120" s="3566">
        <f>HLOOKUP(BH120,BE87:CH89,2,0)</f>
        <v>925</v>
      </c>
      <c r="BJ120" s="3566">
        <f>HLOOKUP(BH120,BE87:CH90,4,0)</f>
        <v>23909.599999999999</v>
      </c>
      <c r="BK120" s="3566">
        <f>HLOOKUP(BH120,BE87:CH89,3,0)</f>
        <v>32</v>
      </c>
      <c r="BM120" s="3566">
        <f>HLOOKUP(BH120,BE87:CH95,4,0)</f>
        <v>23909.599999999999</v>
      </c>
      <c r="BN120" s="3566">
        <f>HLOOKUP(BH120,BE87:CH95,5,0)</f>
        <v>17200</v>
      </c>
      <c r="BO120" s="3566">
        <f>HLOOKUP(BH120,BE87:CH95,6,0)</f>
        <v>6050</v>
      </c>
      <c r="BP120" s="3566">
        <f>HLOOKUP(BH120,BE87:CH95,7,0)</f>
        <v>2500</v>
      </c>
      <c r="BQ120" s="3566">
        <f>HLOOKUP(BH120,BE87:CH95,8,0)</f>
        <v>1730</v>
      </c>
      <c r="BR120" s="3566">
        <f>HLOOKUP(BH120,BE87:CH95,9,0)</f>
        <v>3000</v>
      </c>
    </row>
    <row r="121" spans="2:70">
      <c r="B121" s="2118"/>
      <c r="C121" s="383"/>
      <c r="L121" s="53"/>
      <c r="M121" s="53"/>
      <c r="N121" s="53"/>
      <c r="O121" s="53"/>
      <c r="P121" s="53"/>
      <c r="Q121" s="53"/>
      <c r="R121" s="1731"/>
      <c r="S121" s="53"/>
      <c r="U121" s="20"/>
      <c r="V121" s="20"/>
      <c r="W121" s="20"/>
      <c r="X121" s="20"/>
      <c r="Y121" s="20"/>
      <c r="Z121" s="20"/>
      <c r="AB121" s="20"/>
      <c r="AR121" s="17"/>
      <c r="AS121" s="17"/>
      <c r="AT121" s="17"/>
      <c r="AU121" s="17"/>
      <c r="AV121" s="17"/>
      <c r="AW121" s="17"/>
      <c r="AX121" s="17"/>
      <c r="AY121" s="17"/>
      <c r="AZ121" s="2117"/>
      <c r="BA121" s="17"/>
    </row>
    <row r="122" spans="2:70">
      <c r="B122" s="2118"/>
      <c r="C122" s="383"/>
      <c r="L122" s="2158">
        <v>0.6</v>
      </c>
      <c r="M122" s="53"/>
      <c r="N122" s="53"/>
      <c r="O122" s="53"/>
      <c r="P122" s="53"/>
      <c r="Q122" s="53"/>
      <c r="R122" s="1731"/>
      <c r="S122" s="53"/>
      <c r="U122" s="20"/>
      <c r="V122" s="20"/>
      <c r="W122" s="20"/>
      <c r="X122" s="20"/>
      <c r="Y122" s="20"/>
      <c r="Z122" s="20"/>
      <c r="AB122" s="20"/>
      <c r="AC122" s="20"/>
      <c r="AD122" s="19"/>
      <c r="AE122" s="20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2117"/>
      <c r="BA122" s="17"/>
      <c r="BD122" s="2158">
        <v>0.6</v>
      </c>
      <c r="BE122" s="53"/>
      <c r="BF122" s="53"/>
      <c r="BG122" s="53"/>
      <c r="BH122" s="53"/>
      <c r="BK122" s="53"/>
    </row>
    <row r="123" spans="2:70">
      <c r="B123" s="2119"/>
      <c r="C123" s="383"/>
      <c r="K123" s="3563" t="b">
        <f>IF(K124="Right",IF(K125="Right",IF(K126="Right",IF(K127="Right","Right","Wrong"))))</f>
        <v>0</v>
      </c>
      <c r="L123" s="2159" t="s">
        <v>1710</v>
      </c>
      <c r="M123" s="2602" t="s">
        <v>2494</v>
      </c>
      <c r="N123" s="2602" t="s">
        <v>2495</v>
      </c>
      <c r="O123" s="2602" t="s">
        <v>2496</v>
      </c>
      <c r="P123" s="29" t="s">
        <v>119</v>
      </c>
      <c r="Q123" s="179" t="s">
        <v>121</v>
      </c>
      <c r="R123" s="1846" t="s">
        <v>274</v>
      </c>
      <c r="S123" s="145" t="s">
        <v>2497</v>
      </c>
      <c r="U123" s="29" t="s">
        <v>112</v>
      </c>
      <c r="V123" s="29" t="s">
        <v>113</v>
      </c>
      <c r="W123" s="29" t="s">
        <v>114</v>
      </c>
      <c r="X123" s="29" t="s">
        <v>115</v>
      </c>
      <c r="Y123" s="29" t="s">
        <v>116</v>
      </c>
      <c r="Z123" s="29" t="s">
        <v>117</v>
      </c>
      <c r="AB123" s="20"/>
      <c r="AC123" s="20"/>
      <c r="AD123" s="19"/>
      <c r="AE123" s="20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2117"/>
      <c r="BA123" s="17"/>
      <c r="BD123" s="2159" t="s">
        <v>1710</v>
      </c>
      <c r="BE123" s="2602" t="s">
        <v>2494</v>
      </c>
      <c r="BF123" s="2602" t="s">
        <v>2495</v>
      </c>
      <c r="BG123" s="2602" t="s">
        <v>2496</v>
      </c>
      <c r="BH123" s="29" t="s">
        <v>119</v>
      </c>
      <c r="BI123" s="179" t="s">
        <v>121</v>
      </c>
      <c r="BJ123" s="179" t="s">
        <v>274</v>
      </c>
      <c r="BK123" s="145" t="s">
        <v>2497</v>
      </c>
      <c r="BM123" s="29" t="s">
        <v>112</v>
      </c>
      <c r="BN123" s="29" t="s">
        <v>113</v>
      </c>
      <c r="BO123" s="29" t="s">
        <v>114</v>
      </c>
      <c r="BP123" s="29" t="s">
        <v>115</v>
      </c>
      <c r="BQ123" s="29" t="s">
        <v>116</v>
      </c>
      <c r="BR123" s="29" t="s">
        <v>117</v>
      </c>
    </row>
    <row r="124" spans="2:70">
      <c r="B124" s="2119"/>
      <c r="C124" s="383"/>
      <c r="K124" s="3561" t="b">
        <f t="shared" si="44"/>
        <v>0</v>
      </c>
      <c r="L124" s="2602" t="s">
        <v>2471</v>
      </c>
      <c r="M124" s="3567">
        <f>M117</f>
        <v>14.931600768800502</v>
      </c>
      <c r="N124" s="3533">
        <f>VLOOKUP(M124,N83:N112,1)</f>
        <v>12</v>
      </c>
      <c r="O124" s="3533">
        <f>VLOOKUP(N124,N83:Q112,4,0)</f>
        <v>16.7</v>
      </c>
      <c r="P124" s="3564" t="str">
        <f>VLOOKUP(O124,Q83:R112,2,0)</f>
        <v>180L</v>
      </c>
      <c r="Q124" s="3564">
        <f>VLOOKUP(P124,R83:U112,2,0)</f>
        <v>960</v>
      </c>
      <c r="R124" s="3549">
        <f>VLOOKUP(P124,R82:U112,4,0)</f>
        <v>107500</v>
      </c>
      <c r="S124" s="3564">
        <f>VLOOKUP(P124,R83:T112,3,0)</f>
        <v>175</v>
      </c>
      <c r="T124" s="3561" t="b">
        <f>IF(BE124=M124,IF(N124=BF124,IF(O124=BG124,IF(P124=BH124,IF(Q124=BI124,IF(R124=BJ124,IF(S124=BK124,"Right","Wrong")))))))</f>
        <v>0</v>
      </c>
      <c r="U124" s="3535">
        <f>VLOOKUP(P124,R83:Z112,4,0)</f>
        <v>107500</v>
      </c>
      <c r="V124" s="3535">
        <f>VLOOKUP(P124,R83:Z112,5,0)</f>
        <v>0</v>
      </c>
      <c r="W124" s="3535">
        <f>VLOOKUP(P124,R83:Z112,6,0)</f>
        <v>0</v>
      </c>
      <c r="X124" s="3535">
        <f>VLOOKUP(P124,R83:Z112,7,0)</f>
        <v>0</v>
      </c>
      <c r="Y124" s="3535">
        <f>VLOOKUP(P124,R83:Z112,8,0)</f>
        <v>0</v>
      </c>
      <c r="Z124" s="3535">
        <f>VLOOKUP(P124,R83:Z112,9,0)</f>
        <v>0</v>
      </c>
      <c r="AA124" s="3561" t="b">
        <f>IF(BM124=U124,IF(V124=BN124,IF(W124=BO124,IF(X124=BP124,IF(Y124=BQ124,IF(Z124=BR124,"Right","Wrong"))))))</f>
        <v>0</v>
      </c>
      <c r="AB124" s="20"/>
      <c r="AC124" s="20"/>
      <c r="AD124" s="19"/>
      <c r="AE124" s="20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2117"/>
      <c r="BA124" s="17"/>
      <c r="BD124" s="2602" t="s">
        <v>2471</v>
      </c>
      <c r="BE124" s="3565">
        <f>M124</f>
        <v>14.931600768800502</v>
      </c>
      <c r="BF124" s="3566">
        <f>HLOOKUP(BE124,BE83:CH83,1)</f>
        <v>13.4</v>
      </c>
      <c r="BG124" s="3566">
        <f>HLOOKUP(BF124,BE83:CH86,4,0)</f>
        <v>16.5</v>
      </c>
      <c r="BH124" s="3566" t="str">
        <f>HLOOKUP(BG124,BE86:CH87,2,0)</f>
        <v>VD200LA</v>
      </c>
      <c r="BI124" s="3566">
        <f>HLOOKUP(BH124,BE87:CH89,2,0)</f>
        <v>976</v>
      </c>
      <c r="BJ124" s="3566">
        <f>HLOOKUP(BH124,BE87:CH90,4,0)</f>
        <v>95336.5</v>
      </c>
      <c r="BK124" s="3566">
        <f>HLOOKUP(BH124,BE87:CH89,3,0)</f>
        <v>254</v>
      </c>
      <c r="BM124" s="3566">
        <f>HLOOKUP(BH124,BE87:CH95,4,0)</f>
        <v>95336.5</v>
      </c>
      <c r="BN124" s="3566">
        <f>HLOOKUP(BH124,BE87:CH95,5,0)</f>
        <v>122550</v>
      </c>
      <c r="BO124" s="3566">
        <f>HLOOKUP(BH124,BE87:CH95,6,0)</f>
        <v>9900</v>
      </c>
      <c r="BP124" s="3566">
        <f>HLOOKUP(BH124,BE87:CH95,7,0)</f>
        <v>3500</v>
      </c>
      <c r="BQ124" s="3566">
        <f>HLOOKUP(BH124,BE87:CH95,8,0)</f>
        <v>1730</v>
      </c>
      <c r="BR124" s="3566">
        <f>HLOOKUP(BH124,BE87:CH95,9,0)</f>
        <v>3000</v>
      </c>
    </row>
    <row r="125" spans="2:70">
      <c r="B125" s="2119"/>
      <c r="C125" s="383"/>
      <c r="J125" s="19"/>
      <c r="K125" s="3561" t="b">
        <f t="shared" si="44"/>
        <v>0</v>
      </c>
      <c r="L125" s="2602" t="s">
        <v>2472</v>
      </c>
      <c r="M125" s="3533">
        <f>M118</f>
        <v>14.970777992527008</v>
      </c>
      <c r="N125" s="3533">
        <f>VLOOKUP(M125,N83:N112,1)</f>
        <v>12</v>
      </c>
      <c r="O125" s="3533">
        <f>VLOOKUP(N125,N83:Q112,4,0)</f>
        <v>16.7</v>
      </c>
      <c r="P125" s="3564" t="str">
        <f>VLOOKUP(O125,Q83:R112,2,0)</f>
        <v>180L</v>
      </c>
      <c r="Q125" s="3564">
        <f>VLOOKUP(P125,R83:U112,2,0)</f>
        <v>960</v>
      </c>
      <c r="R125" s="3549">
        <f>VLOOKUP(P125,R82:U112,4,0)</f>
        <v>107500</v>
      </c>
      <c r="S125" s="3564">
        <f>VLOOKUP(P125,R83:T112,3,0)</f>
        <v>175</v>
      </c>
      <c r="T125" s="3561" t="b">
        <f>IF(BE125=M125,IF(N125=BF125,IF(O125=BG125,IF(P125=BH125,IF(Q125=BI125,IF(R125=BJ125,IF(S125=BK125,"Right","Wrong")))))))</f>
        <v>0</v>
      </c>
      <c r="U125" s="3535">
        <f>VLOOKUP(P125,R83:Z112,4,0)</f>
        <v>107500</v>
      </c>
      <c r="V125" s="3535">
        <f>VLOOKUP(P125,R83:Z112,5,0)</f>
        <v>0</v>
      </c>
      <c r="W125" s="3535">
        <f>VLOOKUP(P125,R83:Z112,6,0)</f>
        <v>0</v>
      </c>
      <c r="X125" s="3535">
        <f>VLOOKUP(P125,R83:Z112,7,0)</f>
        <v>0</v>
      </c>
      <c r="Y125" s="3535">
        <f>VLOOKUP(P125,R83:Z112,8,0)</f>
        <v>0</v>
      </c>
      <c r="Z125" s="3535">
        <f>VLOOKUP(P125,R83:Z112,9,0)</f>
        <v>0</v>
      </c>
      <c r="AA125" s="3561" t="b">
        <f>IF(BM125=U125,IF(V125=BN125,IF(W125=BO125,IF(X125=BP125,IF(Y125=BQ125,IF(Z125=BR125,"Right","Wrong"))))))</f>
        <v>0</v>
      </c>
      <c r="AB125" s="20"/>
      <c r="AC125" s="20"/>
      <c r="AD125" s="19"/>
      <c r="AE125" s="20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2117"/>
      <c r="BA125" s="17"/>
      <c r="BD125" s="2602" t="s">
        <v>2472</v>
      </c>
      <c r="BE125" s="3565">
        <f>M125</f>
        <v>14.970777992527008</v>
      </c>
      <c r="BF125" s="3566">
        <f>HLOOKUP(BE125,BE83:CH83,1)</f>
        <v>13.4</v>
      </c>
      <c r="BG125" s="3566">
        <f>HLOOKUP(BF125,BE83:CH86,4,0)</f>
        <v>16.5</v>
      </c>
      <c r="BH125" s="3566" t="str">
        <f>HLOOKUP(BG125,BE86:CH87,2,0)</f>
        <v>VD200LA</v>
      </c>
      <c r="BI125" s="3566">
        <f>HLOOKUP(BH125,BE87:CH89,2,0)</f>
        <v>976</v>
      </c>
      <c r="BJ125" s="3566">
        <f>HLOOKUP(BH125,BE87:CH90,4,0)</f>
        <v>95336.5</v>
      </c>
      <c r="BK125" s="3566">
        <f>HLOOKUP(BH125,BE87:CH89,3,0)</f>
        <v>254</v>
      </c>
      <c r="BM125" s="3566">
        <f>HLOOKUP(BH125,BE87:CH95,4,0)</f>
        <v>95336.5</v>
      </c>
      <c r="BN125" s="3566">
        <f>HLOOKUP(BH125,BE87:CH95,5,0)</f>
        <v>122550</v>
      </c>
      <c r="BO125" s="3566">
        <f>HLOOKUP(BH125,BE87:CH95,6,0)</f>
        <v>9900</v>
      </c>
      <c r="BP125" s="3566">
        <f>HLOOKUP(BH125,BE87:CH95,7,0)</f>
        <v>3500</v>
      </c>
      <c r="BQ125" s="3566">
        <f>HLOOKUP(BH125,BE87:CH95,8,0)</f>
        <v>1730</v>
      </c>
      <c r="BR125" s="3566">
        <f>HLOOKUP(BH125,BE87:CH95,9,0)</f>
        <v>3000</v>
      </c>
    </row>
    <row r="126" spans="2:70">
      <c r="K126" s="3561" t="b">
        <f t="shared" si="44"/>
        <v>0</v>
      </c>
      <c r="L126" s="2602" t="s">
        <v>2473</v>
      </c>
      <c r="M126" s="3533">
        <f>M119</f>
        <v>0.7475763842813713</v>
      </c>
      <c r="N126" s="3533">
        <f>VLOOKUP(M126,N83:N112,1)</f>
        <v>0.55000000000000004</v>
      </c>
      <c r="O126" s="3533">
        <f>VLOOKUP(N126,N83:Q112,4,0)</f>
        <v>0.75</v>
      </c>
      <c r="P126" s="3564" t="str">
        <f>VLOOKUP(O126,Q83:R112,2,0)</f>
        <v>80</v>
      </c>
      <c r="Q126" s="3564">
        <f>VLOOKUP(P126,R83:U112,2,0)</f>
        <v>960</v>
      </c>
      <c r="R126" s="3549">
        <f>VLOOKUP(P126,R82:U112,4,0)</f>
        <v>10500</v>
      </c>
      <c r="S126" s="3564">
        <f>VLOOKUP(P126,R83:T112,3,0)</f>
        <v>10</v>
      </c>
      <c r="T126" s="3561" t="b">
        <f>IF(BE126=M126,IF(N126=BF126,IF(O126=BG126,IF(P126=BH126,IF(Q126=BI126,IF(R126=BJ126,IF(S126=BK126,"Right","Wrong")))))))</f>
        <v>0</v>
      </c>
      <c r="U126" s="3535">
        <f>VLOOKUP(P126,R83:Z112,4,0)</f>
        <v>10500</v>
      </c>
      <c r="V126" s="3535">
        <f>VLOOKUP(P126,R83:Z112,5,0)</f>
        <v>0</v>
      </c>
      <c r="W126" s="3535">
        <f>VLOOKUP(P126,R83:Z112,6,0)</f>
        <v>0</v>
      </c>
      <c r="X126" s="3535">
        <f>VLOOKUP(P126,R83:Z112,7,0)</f>
        <v>0</v>
      </c>
      <c r="Y126" s="3535">
        <f>VLOOKUP(P126,R83:Z112,8,0)</f>
        <v>0</v>
      </c>
      <c r="Z126" s="3535">
        <f>VLOOKUP(P126,R83:Z112,9,0)</f>
        <v>0</v>
      </c>
      <c r="AA126" s="3561" t="b">
        <f>IF(BM126=U126,IF(V126=BN126,IF(W126=BO126,IF(X126=BP126,IF(Y126=BQ126,IF(Z126=BR126,"Right","Wrong"))))))</f>
        <v>0</v>
      </c>
      <c r="AZ126" s="2618"/>
      <c r="BD126" s="2602" t="s">
        <v>2473</v>
      </c>
      <c r="BE126" s="3565">
        <f>M126</f>
        <v>0.7475763842813713</v>
      </c>
      <c r="BF126" s="3566">
        <f>HLOOKUP(BE126,BE83:CH83,1)</f>
        <v>0.7</v>
      </c>
      <c r="BG126" s="3566">
        <f>HLOOKUP(BF126,BE83:CH86,4,0)</f>
        <v>1</v>
      </c>
      <c r="BH126" s="3566" t="str">
        <f>HLOOKUP(BG126,BE86:CH87,2,0)</f>
        <v>VD90L</v>
      </c>
      <c r="BI126" s="3566">
        <f>HLOOKUP(BH126,BE87:CH89,2,0)</f>
        <v>918</v>
      </c>
      <c r="BJ126" s="3566">
        <f>HLOOKUP(BH126,BE87:CH90,4,0)</f>
        <v>20696</v>
      </c>
      <c r="BK126" s="3566">
        <f>HLOOKUP(BH126,BE87:CH89,3,0)</f>
        <v>25</v>
      </c>
      <c r="BM126" s="3566">
        <f>HLOOKUP(BH126,BE87:CH95,4,0)</f>
        <v>20696</v>
      </c>
      <c r="BN126" s="3566">
        <f>HLOOKUP(BH126,BE87:CH95,5,0)</f>
        <v>12000</v>
      </c>
      <c r="BO126" s="3566">
        <f>HLOOKUP(BH126,BE87:CH95,6,0)</f>
        <v>6050</v>
      </c>
      <c r="BP126" s="3566">
        <f>HLOOKUP(BH126,BE87:CH95,7,0)</f>
        <v>2500</v>
      </c>
      <c r="BQ126" s="3566">
        <f>HLOOKUP(BH126,BE87:CH95,8,0)</f>
        <v>1730</v>
      </c>
      <c r="BR126" s="3566">
        <f>HLOOKUP(BH126,BE87:CH95,9,0)</f>
        <v>3000</v>
      </c>
    </row>
    <row r="127" spans="2:70">
      <c r="K127" s="3561" t="b">
        <f t="shared" si="44"/>
        <v>0</v>
      </c>
      <c r="L127" s="2602" t="s">
        <v>2474</v>
      </c>
      <c r="M127" s="3533">
        <f>M120</f>
        <v>1.2453130745563414</v>
      </c>
      <c r="N127" s="3533">
        <f>VLOOKUP(M127,N83:N112,1)</f>
        <v>1.1000000000000001</v>
      </c>
      <c r="O127" s="3533">
        <f>VLOOKUP(N127,N83:Q112,4,0)</f>
        <v>1.5</v>
      </c>
      <c r="P127" s="3564" t="str">
        <f>VLOOKUP(O127,Q83:R112,2,0)</f>
        <v>90L</v>
      </c>
      <c r="Q127" s="3564">
        <f>VLOOKUP(P127,R83:U112,2,0)</f>
        <v>960</v>
      </c>
      <c r="R127" s="3549">
        <f>VLOOKUP(P127,R82:U112,4,0)</f>
        <v>11300</v>
      </c>
      <c r="S127" s="3564">
        <f>VLOOKUP(P127,R83:T112,3,0)</f>
        <v>17</v>
      </c>
      <c r="T127" s="3561" t="b">
        <f>IF(BE127=M127,IF(N127=BF127,IF(O127=BG127,IF(P127=BH127,IF(Q127=BI127,IF(R127=BJ127,IF(S127=BK127,"Right","Wrong")))))))</f>
        <v>0</v>
      </c>
      <c r="U127" s="3535">
        <f>VLOOKUP(P127,R83:Z112,4,0)</f>
        <v>11300</v>
      </c>
      <c r="V127" s="3535">
        <f>VLOOKUP(P127,R83:Z112,5,0)</f>
        <v>0</v>
      </c>
      <c r="W127" s="3535">
        <f>VLOOKUP(P127,R83:Z112,6,0)</f>
        <v>0</v>
      </c>
      <c r="X127" s="3535">
        <f>VLOOKUP(P127,R83:Z112,7,0)</f>
        <v>0</v>
      </c>
      <c r="Y127" s="3535">
        <f>VLOOKUP(P127,R83:Z112,8,0)</f>
        <v>0</v>
      </c>
      <c r="Z127" s="3535">
        <f>VLOOKUP(P127,R83:Z112,9,0)</f>
        <v>0</v>
      </c>
      <c r="AA127" s="3561" t="b">
        <f>IF(BM127=U127,IF(V127=BN127,IF(W127=BO127,IF(X127=BP127,IF(Y127=BQ127,IF(Z127=BR127,"Right","Wrong"))))))</f>
        <v>0</v>
      </c>
      <c r="AZ127" s="2618"/>
      <c r="BD127" s="2602" t="s">
        <v>2474</v>
      </c>
      <c r="BE127" s="3565">
        <f>M127</f>
        <v>1.2453130745563414</v>
      </c>
      <c r="BF127" s="3566">
        <f>HLOOKUP(BE127,BE83:CH83,1)</f>
        <v>1</v>
      </c>
      <c r="BG127" s="3566">
        <f>HLOOKUP(BF127,BE83:CH86,4,0)</f>
        <v>1.3</v>
      </c>
      <c r="BH127" s="3566" t="str">
        <f>HLOOKUP(BG127,BE86:CH87,2,0)</f>
        <v>VD100L</v>
      </c>
      <c r="BI127" s="3566">
        <f>HLOOKUP(BH127,BE87:CH89,2,0)</f>
        <v>925</v>
      </c>
      <c r="BJ127" s="3566">
        <f>HLOOKUP(BH127,BE87:CH90,4,0)</f>
        <v>23909.599999999999</v>
      </c>
      <c r="BK127" s="3566">
        <f>HLOOKUP(BH127,BE87:CH89,3,0)</f>
        <v>32</v>
      </c>
      <c r="BM127" s="3566">
        <f>HLOOKUP(BH127,BE87:CH95,4,0)</f>
        <v>23909.599999999999</v>
      </c>
      <c r="BN127" s="3566">
        <f>HLOOKUP(BH127,BE87:CH95,5,0)</f>
        <v>17200</v>
      </c>
      <c r="BO127" s="3566">
        <f>HLOOKUP(BH127,BE87:CH95,6,0)</f>
        <v>6050</v>
      </c>
      <c r="BP127" s="3566">
        <f>HLOOKUP(BH127,BE87:CH95,7,0)</f>
        <v>2500</v>
      </c>
      <c r="BQ127" s="3566">
        <f>HLOOKUP(BH127,BE87:CH95,8,0)</f>
        <v>1730</v>
      </c>
      <c r="BR127" s="3566">
        <f>HLOOKUP(BH127,BE87:CH95,9,0)</f>
        <v>3000</v>
      </c>
    </row>
    <row r="128" spans="2:70">
      <c r="L128" s="53"/>
      <c r="M128" s="53"/>
      <c r="N128" s="53"/>
      <c r="O128" s="53"/>
      <c r="P128" s="53"/>
      <c r="Q128" s="53"/>
      <c r="R128" s="53"/>
      <c r="S128" s="53"/>
      <c r="T128" s="53"/>
      <c r="AZ128" s="2618"/>
    </row>
    <row r="129" spans="1:85">
      <c r="AZ129" s="2618"/>
    </row>
    <row r="130" spans="1:85">
      <c r="AZ130" s="2618"/>
    </row>
    <row r="131" spans="1:85">
      <c r="A131" s="2142"/>
      <c r="B131" s="2142"/>
      <c r="C131" s="2142"/>
      <c r="D131" s="2142"/>
      <c r="E131" s="2142"/>
      <c r="F131" s="2142"/>
      <c r="G131" s="2142"/>
      <c r="H131" s="2142"/>
      <c r="I131" s="2142"/>
      <c r="J131" s="2142"/>
      <c r="K131" s="2142"/>
      <c r="L131" s="2142"/>
      <c r="M131" s="2142"/>
      <c r="N131" s="2142"/>
      <c r="O131" s="2142"/>
      <c r="P131" s="2142"/>
      <c r="Q131" s="2142"/>
      <c r="R131" s="2142"/>
      <c r="S131" s="2142"/>
      <c r="T131" s="2142"/>
      <c r="U131" s="2142"/>
      <c r="V131" s="2142"/>
      <c r="W131" s="2142"/>
      <c r="X131" s="2142"/>
      <c r="Y131" s="2142"/>
      <c r="Z131" s="2142"/>
      <c r="AA131" s="2142"/>
      <c r="AB131" s="2142"/>
      <c r="AC131" s="2142"/>
      <c r="AD131" s="2142"/>
      <c r="AE131" s="2142"/>
      <c r="AF131" s="2142"/>
      <c r="AG131" s="2142"/>
      <c r="AH131" s="2142"/>
      <c r="AI131" s="2142"/>
      <c r="AJ131" s="2142"/>
      <c r="AK131" s="2142"/>
      <c r="AL131" s="2142"/>
      <c r="AM131" s="2142"/>
      <c r="AN131" s="2142"/>
      <c r="AO131" s="2142"/>
      <c r="AP131" s="2142"/>
      <c r="AQ131" s="2142"/>
      <c r="AR131" s="2142"/>
      <c r="AS131" s="2142"/>
      <c r="AT131" s="2142"/>
      <c r="AU131" s="2142"/>
      <c r="AV131" s="2142"/>
      <c r="AW131" s="2142"/>
      <c r="AX131" s="2142"/>
      <c r="AY131" s="2142"/>
      <c r="AZ131" s="2618"/>
      <c r="BA131" s="2142"/>
      <c r="BB131" s="2142"/>
      <c r="BC131" s="2142"/>
      <c r="BD131" s="2142"/>
      <c r="BE131" s="2142"/>
      <c r="BF131" s="2142"/>
      <c r="BG131" s="2142"/>
      <c r="BH131" s="2142"/>
      <c r="BI131" s="2142"/>
      <c r="BJ131" s="2142"/>
      <c r="BK131" s="2142"/>
      <c r="BL131" s="2142"/>
      <c r="BM131" s="2142"/>
      <c r="BN131" s="2142"/>
      <c r="BO131" s="2142"/>
      <c r="BP131" s="2142"/>
      <c r="BQ131" s="2142"/>
      <c r="BR131" s="2142"/>
      <c r="BS131" s="2142"/>
      <c r="BT131" s="2142"/>
      <c r="BU131" s="2142"/>
      <c r="BV131" s="2142"/>
      <c r="BW131" s="2142"/>
      <c r="BX131" s="2142"/>
      <c r="BY131" s="2142"/>
      <c r="BZ131" s="2142"/>
      <c r="CA131" s="2142"/>
      <c r="CB131" s="2142"/>
      <c r="CC131" s="2142"/>
    </row>
    <row r="132" spans="1:85">
      <c r="AZ132" s="2618"/>
    </row>
    <row r="133" spans="1:85">
      <c r="C133" s="2150" t="s">
        <v>2507</v>
      </c>
      <c r="D133" s="2619"/>
      <c r="N133" s="2620" t="s">
        <v>110</v>
      </c>
      <c r="O133" s="2620"/>
      <c r="P133" s="2620"/>
      <c r="S133" s="31"/>
      <c r="AG133" s="2620" t="s">
        <v>110</v>
      </c>
      <c r="AH133" s="2620"/>
      <c r="AI133" s="2620"/>
      <c r="AL133" s="31"/>
      <c r="AZ133" s="2618"/>
    </row>
    <row r="134" spans="1:85">
      <c r="M134" s="29" t="s">
        <v>2500</v>
      </c>
      <c r="N134" s="29" t="s">
        <v>2501</v>
      </c>
      <c r="O134" s="29" t="s">
        <v>119</v>
      </c>
      <c r="P134" s="427" t="s">
        <v>120</v>
      </c>
      <c r="Q134" s="427" t="s">
        <v>2498</v>
      </c>
      <c r="R134" s="3559" t="str">
        <f>+O134</f>
        <v>Frame S</v>
      </c>
      <c r="S134" s="29" t="s">
        <v>121</v>
      </c>
      <c r="T134" s="29" t="s">
        <v>111</v>
      </c>
      <c r="U134" s="29" t="s">
        <v>112</v>
      </c>
      <c r="V134" s="29" t="s">
        <v>113</v>
      </c>
      <c r="W134" s="29"/>
      <c r="X134" s="29"/>
      <c r="Y134" s="29"/>
      <c r="Z134" s="29"/>
      <c r="AF134" s="29"/>
      <c r="AG134" s="29" t="s">
        <v>2501</v>
      </c>
      <c r="AH134" s="29" t="s">
        <v>119</v>
      </c>
      <c r="AI134" s="427"/>
      <c r="AJ134" s="427" t="s">
        <v>2498</v>
      </c>
      <c r="AK134" s="3559" t="str">
        <f>+AH134</f>
        <v>Frame S</v>
      </c>
      <c r="AL134" s="29" t="s">
        <v>121</v>
      </c>
      <c r="AM134" s="29" t="s">
        <v>111</v>
      </c>
      <c r="AN134" s="29" t="s">
        <v>112</v>
      </c>
      <c r="AO134" s="29" t="s">
        <v>113</v>
      </c>
      <c r="AP134" s="29"/>
      <c r="AQ134" s="29">
        <v>0</v>
      </c>
      <c r="AR134" s="29"/>
      <c r="AS134" s="29"/>
      <c r="AZ134" s="2618"/>
      <c r="BD134" s="29" t="s">
        <v>2500</v>
      </c>
      <c r="BE134" s="29">
        <v>0</v>
      </c>
      <c r="BF134" s="311">
        <v>1.8</v>
      </c>
      <c r="BG134" s="311">
        <v>2.6</v>
      </c>
      <c r="BH134" s="311">
        <v>4.5</v>
      </c>
      <c r="BI134" s="311">
        <v>6</v>
      </c>
      <c r="BJ134" s="311">
        <v>6.7</v>
      </c>
      <c r="BK134" s="311">
        <v>8.5</v>
      </c>
      <c r="BL134" s="311">
        <v>9</v>
      </c>
      <c r="BM134" s="311">
        <v>12.5</v>
      </c>
      <c r="BN134" s="311">
        <v>13.5</v>
      </c>
      <c r="BO134" s="311">
        <v>17</v>
      </c>
      <c r="BP134" s="311">
        <v>17.5</v>
      </c>
      <c r="BQ134" s="311">
        <v>22</v>
      </c>
      <c r="BR134" s="311">
        <v>24.5</v>
      </c>
      <c r="BS134" s="311">
        <v>25</v>
      </c>
      <c r="BT134" s="311">
        <v>26</v>
      </c>
      <c r="BU134" s="311">
        <v>31</v>
      </c>
      <c r="BV134" s="311">
        <v>36</v>
      </c>
      <c r="BW134" s="311">
        <v>42</v>
      </c>
      <c r="BX134" s="311">
        <v>53.5</v>
      </c>
      <c r="BY134" s="311">
        <v>66.5</v>
      </c>
      <c r="BZ134" s="311">
        <v>90</v>
      </c>
      <c r="CA134" s="311">
        <v>93</v>
      </c>
      <c r="CB134" s="311">
        <v>107</v>
      </c>
      <c r="CC134" s="311">
        <v>116</v>
      </c>
      <c r="CD134" s="311">
        <v>125</v>
      </c>
      <c r="CE134" s="311">
        <v>155</v>
      </c>
      <c r="CF134" s="311">
        <v>185</v>
      </c>
      <c r="CG134" s="311">
        <v>205</v>
      </c>
    </row>
    <row r="135" spans="1:85">
      <c r="B135" s="2128"/>
      <c r="E135" s="80"/>
      <c r="F135" s="1939"/>
      <c r="G135" s="22" t="s">
        <v>2502</v>
      </c>
      <c r="H135" s="3558">
        <f>+J48</f>
        <v>0.4</v>
      </c>
      <c r="I135" s="17"/>
      <c r="M135" s="29">
        <v>0</v>
      </c>
      <c r="N135" s="2161">
        <v>0</v>
      </c>
      <c r="O135" s="311" t="s">
        <v>125</v>
      </c>
      <c r="P135" s="311">
        <v>1.8</v>
      </c>
      <c r="Q135" s="2162"/>
      <c r="R135" s="3559" t="str">
        <f t="shared" ref="R135:R154" si="45">O135</f>
        <v>KS112M</v>
      </c>
      <c r="S135" s="311">
        <v>915</v>
      </c>
      <c r="T135" s="311">
        <v>109</v>
      </c>
      <c r="U135" s="3555">
        <f>V135*(1-H135)</f>
        <v>31410</v>
      </c>
      <c r="V135" s="311">
        <v>52350</v>
      </c>
      <c r="W135" s="416"/>
      <c r="X135" s="416"/>
      <c r="Y135" s="416"/>
      <c r="Z135" s="416"/>
      <c r="AA135" s="3561">
        <f>+V135</f>
        <v>52350</v>
      </c>
      <c r="AE135" s="22">
        <v>52350</v>
      </c>
      <c r="AF135" s="29"/>
      <c r="AG135" s="2161">
        <v>0</v>
      </c>
      <c r="AH135" s="311" t="s">
        <v>125</v>
      </c>
      <c r="AI135" s="311"/>
      <c r="AJ135" s="2162">
        <v>1.5</v>
      </c>
      <c r="AK135" s="3559" t="str">
        <f t="shared" ref="AK135:AK149" si="46">AH135</f>
        <v>KS112M</v>
      </c>
      <c r="AL135" s="311">
        <v>930</v>
      </c>
      <c r="AM135" s="311">
        <v>109</v>
      </c>
      <c r="AN135" s="3555">
        <f>AO135*(1-H135)</f>
        <v>31410</v>
      </c>
      <c r="AO135" s="311">
        <v>52350</v>
      </c>
      <c r="AP135" s="416"/>
      <c r="AQ135" s="416"/>
      <c r="AR135" s="416"/>
      <c r="AS135" s="416"/>
      <c r="AZ135" s="2618"/>
      <c r="BD135" s="29" t="s">
        <v>2501</v>
      </c>
      <c r="BE135" s="2161">
        <v>0</v>
      </c>
      <c r="BF135" s="2162"/>
      <c r="BG135" s="2162"/>
      <c r="BH135" s="2162"/>
      <c r="BI135" s="2162"/>
      <c r="BJ135" s="2162"/>
      <c r="BK135" s="2162"/>
      <c r="BL135" s="2162"/>
      <c r="BM135" s="2162"/>
      <c r="BN135" s="2162"/>
      <c r="BO135" s="2162"/>
      <c r="BP135" s="2162"/>
      <c r="BQ135" s="2162"/>
      <c r="BR135" s="2162"/>
      <c r="BS135" s="2162"/>
      <c r="BT135" s="2162"/>
      <c r="BU135" s="2162"/>
      <c r="BV135" s="2162"/>
      <c r="BW135" s="2162"/>
      <c r="BX135" s="2162"/>
      <c r="BY135" s="2162"/>
      <c r="BZ135" s="2162"/>
      <c r="CA135" s="2162"/>
      <c r="CB135" s="2162"/>
      <c r="CC135" s="2162"/>
      <c r="CD135" s="2162"/>
      <c r="CE135" s="2162"/>
      <c r="CF135" s="2162"/>
      <c r="CG135" s="2162"/>
    </row>
    <row r="136" spans="1:85">
      <c r="A136" s="53" t="s">
        <v>2503</v>
      </c>
      <c r="B136" s="2131" t="s">
        <v>1710</v>
      </c>
      <c r="C136" s="2602" t="s">
        <v>2494</v>
      </c>
      <c r="D136" s="2602" t="s">
        <v>2495</v>
      </c>
      <c r="E136" s="2602" t="s">
        <v>2496</v>
      </c>
      <c r="F136" s="29" t="s">
        <v>119</v>
      </c>
      <c r="G136" s="179" t="s">
        <v>121</v>
      </c>
      <c r="H136" s="179" t="s">
        <v>274</v>
      </c>
      <c r="I136" s="145" t="s">
        <v>2497</v>
      </c>
      <c r="M136" s="311">
        <v>1.8</v>
      </c>
      <c r="N136" s="2162"/>
      <c r="O136" s="311" t="s">
        <v>129</v>
      </c>
      <c r="P136" s="311">
        <v>2.6</v>
      </c>
      <c r="Q136" s="2162"/>
      <c r="R136" s="3559" t="str">
        <f t="shared" si="45"/>
        <v>KS132MA</v>
      </c>
      <c r="S136" s="311">
        <v>943</v>
      </c>
      <c r="T136" s="311">
        <v>115</v>
      </c>
      <c r="U136" s="3555">
        <f>V136*(1-H135)</f>
        <v>42000</v>
      </c>
      <c r="V136" s="311">
        <v>70000</v>
      </c>
      <c r="W136" s="416"/>
      <c r="X136" s="416"/>
      <c r="Y136" s="416"/>
      <c r="Z136" s="416"/>
      <c r="AA136" s="3561">
        <f>+V136</f>
        <v>70000</v>
      </c>
      <c r="AE136" s="22">
        <v>70000</v>
      </c>
      <c r="AF136" s="311"/>
      <c r="AG136" s="2162">
        <v>1.5</v>
      </c>
      <c r="AH136" s="311" t="s">
        <v>129</v>
      </c>
      <c r="AI136" s="311"/>
      <c r="AJ136" s="2162">
        <v>2.2000000000000002</v>
      </c>
      <c r="AK136" s="3559" t="str">
        <f t="shared" si="46"/>
        <v>KS132MA</v>
      </c>
      <c r="AL136" s="311">
        <v>950</v>
      </c>
      <c r="AM136" s="311">
        <v>115</v>
      </c>
      <c r="AN136" s="3555">
        <f>AO136*(1-H135)</f>
        <v>42000</v>
      </c>
      <c r="AO136" s="311">
        <v>70000</v>
      </c>
      <c r="AP136" s="416"/>
      <c r="AQ136" s="416"/>
      <c r="AR136" s="416"/>
      <c r="AS136" s="416"/>
      <c r="AZ136" s="2618"/>
      <c r="BD136" s="29" t="s">
        <v>119</v>
      </c>
      <c r="BE136" s="311" t="s">
        <v>125</v>
      </c>
      <c r="BF136" s="311" t="s">
        <v>129</v>
      </c>
      <c r="BG136" s="311" t="s">
        <v>132</v>
      </c>
      <c r="BH136" s="311" t="s">
        <v>135</v>
      </c>
      <c r="BI136" s="311" t="s">
        <v>139</v>
      </c>
      <c r="BJ136" s="311" t="s">
        <v>142</v>
      </c>
      <c r="BK136" s="311" t="s">
        <v>146</v>
      </c>
      <c r="BL136" s="311" t="s">
        <v>150</v>
      </c>
      <c r="BM136" s="311" t="s">
        <v>156</v>
      </c>
      <c r="BN136" s="311" t="s">
        <v>162</v>
      </c>
      <c r="BO136" s="311" t="s">
        <v>168</v>
      </c>
      <c r="BP136" s="311" t="s">
        <v>174</v>
      </c>
      <c r="BQ136" s="311" t="s">
        <v>179</v>
      </c>
      <c r="BR136" s="311" t="s">
        <v>183</v>
      </c>
      <c r="BS136" s="311" t="s">
        <v>188</v>
      </c>
      <c r="BT136" s="311" t="s">
        <v>195</v>
      </c>
      <c r="BU136" s="311" t="s">
        <v>200</v>
      </c>
      <c r="BV136" s="311" t="s">
        <v>207</v>
      </c>
      <c r="BW136" s="311" t="s">
        <v>214</v>
      </c>
      <c r="BX136" s="311" t="s">
        <v>220</v>
      </c>
      <c r="BY136" s="311" t="s">
        <v>228</v>
      </c>
      <c r="BZ136" s="311" t="s">
        <v>233</v>
      </c>
      <c r="CA136" s="311" t="s">
        <v>238</v>
      </c>
      <c r="CB136" s="311" t="s">
        <v>242</v>
      </c>
      <c r="CC136" s="311" t="s">
        <v>247</v>
      </c>
      <c r="CD136" s="311" t="s">
        <v>249</v>
      </c>
      <c r="CE136" s="311" t="s">
        <v>252</v>
      </c>
      <c r="CF136" s="311" t="s">
        <v>254</v>
      </c>
      <c r="CG136" s="311" t="s">
        <v>257</v>
      </c>
    </row>
    <row r="137" spans="1:85">
      <c r="A137" s="3560" t="str">
        <f>E47</f>
        <v>40%</v>
      </c>
      <c r="B137" s="2602" t="s">
        <v>2471</v>
      </c>
      <c r="C137" s="3533">
        <f>C47</f>
        <v>14.931600768800502</v>
      </c>
      <c r="D137" s="3532">
        <f>IF(A137="40%",N169,IF(A137="60%",N176))</f>
        <v>13.5</v>
      </c>
      <c r="E137" s="3532">
        <f>IF(A137="40%",O169,IF(A137="60%",O176))</f>
        <v>17</v>
      </c>
      <c r="F137" s="3532" t="str">
        <f>IF(A137="40%",P169,IF(A137="60%",P176))</f>
        <v>KS200L1</v>
      </c>
      <c r="G137" s="3532">
        <f>IF(A137="40%",Q169,IF(A137="60%",Q176))</f>
        <v>972</v>
      </c>
      <c r="H137" s="3549">
        <f>IF(A137="40%",R169,IF(A137="60%",R176))</f>
        <v>139800</v>
      </c>
      <c r="I137" s="3532">
        <f>IF(A137="40%",S169,IF(A137="60%",S176))</f>
        <v>375</v>
      </c>
      <c r="M137" s="311">
        <v>2.6</v>
      </c>
      <c r="N137" s="2162"/>
      <c r="O137" s="311" t="s">
        <v>132</v>
      </c>
      <c r="P137" s="311">
        <v>4.5</v>
      </c>
      <c r="Q137" s="2162"/>
      <c r="R137" s="3559" t="str">
        <f t="shared" si="45"/>
        <v>KS132MC</v>
      </c>
      <c r="S137" s="311">
        <v>950</v>
      </c>
      <c r="T137" s="311">
        <v>139</v>
      </c>
      <c r="U137" s="3555">
        <f>V137*(1-H135)</f>
        <v>50346</v>
      </c>
      <c r="V137" s="311">
        <v>83910</v>
      </c>
      <c r="W137" s="416"/>
      <c r="X137" s="416"/>
      <c r="Y137" s="416"/>
      <c r="Z137" s="416"/>
      <c r="AA137" s="3561">
        <f t="shared" ref="AA137" si="47">+V137</f>
        <v>83910</v>
      </c>
      <c r="AE137" s="22">
        <v>83910</v>
      </c>
      <c r="AF137" s="311"/>
      <c r="AG137" s="2162">
        <v>2.2000000000000002</v>
      </c>
      <c r="AH137" s="311" t="s">
        <v>132</v>
      </c>
      <c r="AI137" s="311"/>
      <c r="AJ137" s="2162">
        <v>3.7</v>
      </c>
      <c r="AK137" s="3559" t="str">
        <f t="shared" si="46"/>
        <v>KS132MC</v>
      </c>
      <c r="AL137" s="311">
        <v>957</v>
      </c>
      <c r="AM137" s="311">
        <v>139</v>
      </c>
      <c r="AN137" s="3555">
        <f>AO137*(1-H135)</f>
        <v>50346</v>
      </c>
      <c r="AO137" s="311">
        <v>83910</v>
      </c>
      <c r="AP137" s="416"/>
      <c r="AQ137" s="416"/>
      <c r="AR137" s="416"/>
      <c r="AS137" s="416"/>
      <c r="AZ137" s="2618"/>
      <c r="BD137" s="427" t="s">
        <v>120</v>
      </c>
      <c r="BE137" s="311">
        <v>1.8</v>
      </c>
      <c r="BF137" s="311">
        <v>2.6</v>
      </c>
      <c r="BG137" s="311">
        <v>4.5</v>
      </c>
      <c r="BH137" s="311">
        <v>6</v>
      </c>
      <c r="BI137" s="311">
        <v>6.7</v>
      </c>
      <c r="BJ137" s="311">
        <v>8.5</v>
      </c>
      <c r="BK137" s="311">
        <v>9</v>
      </c>
      <c r="BL137" s="311">
        <v>12.5</v>
      </c>
      <c r="BM137" s="311">
        <v>13.5</v>
      </c>
      <c r="BN137" s="311">
        <v>17</v>
      </c>
      <c r="BO137" s="311">
        <v>17.5</v>
      </c>
      <c r="BP137" s="311">
        <v>22</v>
      </c>
      <c r="BQ137" s="311">
        <v>24.5</v>
      </c>
      <c r="BR137" s="311">
        <v>25</v>
      </c>
      <c r="BS137" s="311">
        <v>26</v>
      </c>
      <c r="BT137" s="311">
        <v>31</v>
      </c>
      <c r="BU137" s="311">
        <v>36</v>
      </c>
      <c r="BV137" s="311">
        <v>42</v>
      </c>
      <c r="BW137" s="311">
        <v>53.5</v>
      </c>
      <c r="BX137" s="311">
        <v>66.5</v>
      </c>
      <c r="BY137" s="311">
        <v>90</v>
      </c>
      <c r="BZ137" s="311">
        <v>93</v>
      </c>
      <c r="CA137" s="311">
        <v>107</v>
      </c>
      <c r="CB137" s="311">
        <v>116</v>
      </c>
      <c r="CC137" s="311">
        <v>125</v>
      </c>
      <c r="CD137" s="311">
        <v>155</v>
      </c>
      <c r="CE137" s="311">
        <v>185</v>
      </c>
      <c r="CF137" s="311">
        <v>205</v>
      </c>
      <c r="CG137" s="311">
        <v>275</v>
      </c>
    </row>
    <row r="138" spans="1:85">
      <c r="A138" s="3560" t="str">
        <f>E48</f>
        <v>40%</v>
      </c>
      <c r="B138" s="2602" t="s">
        <v>2472</v>
      </c>
      <c r="C138" s="3533">
        <f>C48</f>
        <v>14.970777992527008</v>
      </c>
      <c r="D138" s="3532">
        <f>IF(A138="40%",N170,IF(A138="60%",N177))</f>
        <v>13.5</v>
      </c>
      <c r="E138" s="3532">
        <f>IF(A138="40%",O170,IF(A138="60%",O177))</f>
        <v>17</v>
      </c>
      <c r="F138" s="3532" t="str">
        <f>IF(A138="40%",P170,IF(A138="60%",P177))</f>
        <v>KS200L1</v>
      </c>
      <c r="G138" s="3532">
        <f>IF(A138="40%",Q170,IF(A138="60%",Q177))</f>
        <v>972</v>
      </c>
      <c r="H138" s="3549">
        <f>IF(A138="40%",R170,IF(A138="60%",R177))</f>
        <v>139800</v>
      </c>
      <c r="I138" s="3532">
        <f>IF(A138="40%",S170,IF(A138="60%",S177))</f>
        <v>375</v>
      </c>
      <c r="M138" s="311">
        <v>4.5</v>
      </c>
      <c r="N138" s="2162"/>
      <c r="O138" s="311" t="s">
        <v>135</v>
      </c>
      <c r="P138" s="311">
        <v>6</v>
      </c>
      <c r="Q138" s="2162"/>
      <c r="R138" s="3559" t="str">
        <f t="shared" si="45"/>
        <v>KS160M1</v>
      </c>
      <c r="S138" s="311">
        <v>968</v>
      </c>
      <c r="T138" s="311">
        <v>200</v>
      </c>
      <c r="U138" s="3555">
        <f>V138*(1-H135)</f>
        <v>57000</v>
      </c>
      <c r="V138" s="311">
        <v>95000</v>
      </c>
      <c r="W138" s="416"/>
      <c r="X138" s="416"/>
      <c r="Y138" s="416"/>
      <c r="Z138" s="416"/>
      <c r="AA138" s="3561">
        <f>+V139</f>
        <v>105000</v>
      </c>
      <c r="AE138" s="22">
        <v>105000</v>
      </c>
      <c r="AF138" s="311"/>
      <c r="AG138" s="2162">
        <v>3.7</v>
      </c>
      <c r="AH138" s="311" t="s">
        <v>139</v>
      </c>
      <c r="AI138" s="311"/>
      <c r="AJ138" s="2162">
        <v>5.5</v>
      </c>
      <c r="AK138" s="3559" t="str">
        <f t="shared" si="46"/>
        <v>KS160M2</v>
      </c>
      <c r="AL138" s="311">
        <v>970</v>
      </c>
      <c r="AM138" s="311">
        <v>208</v>
      </c>
      <c r="AN138" s="3555">
        <f>AO138*(1-H135)</f>
        <v>63000</v>
      </c>
      <c r="AO138" s="311">
        <v>105000</v>
      </c>
      <c r="AP138" s="416"/>
      <c r="AQ138" s="416"/>
      <c r="AR138" s="416"/>
      <c r="AS138" s="416"/>
      <c r="AZ138" s="2618"/>
      <c r="BD138" s="427" t="s">
        <v>2498</v>
      </c>
      <c r="BE138" s="2162"/>
      <c r="BF138" s="2162"/>
      <c r="BG138" s="2162"/>
      <c r="BH138" s="2162"/>
      <c r="BI138" s="2162"/>
      <c r="BJ138" s="2162"/>
      <c r="BK138" s="2162"/>
      <c r="BL138" s="2162"/>
      <c r="BM138" s="2162"/>
      <c r="BN138" s="2162"/>
      <c r="BO138" s="2162"/>
      <c r="BP138" s="2162"/>
      <c r="BQ138" s="2162"/>
      <c r="BR138" s="2162"/>
      <c r="BS138" s="2162"/>
      <c r="BT138" s="2162"/>
      <c r="BU138" s="2162"/>
      <c r="BV138" s="2162"/>
      <c r="BW138" s="2162"/>
      <c r="BX138" s="2162"/>
      <c r="BY138" s="2162"/>
      <c r="BZ138" s="2162"/>
      <c r="CA138" s="2162"/>
      <c r="CB138" s="2162"/>
      <c r="CC138" s="2162"/>
      <c r="CD138" s="2162"/>
      <c r="CE138" s="2162"/>
      <c r="CF138" s="2162"/>
      <c r="CG138" s="2162"/>
    </row>
    <row r="139" spans="1:85">
      <c r="A139" s="3560" t="str">
        <f>E49</f>
        <v>S1-100</v>
      </c>
      <c r="B139" s="2602" t="s">
        <v>2473</v>
      </c>
      <c r="C139" s="3533">
        <f>C49</f>
        <v>0.7475763842813713</v>
      </c>
      <c r="D139" s="3532" t="b">
        <f>IF(A139="40%",N171,IF(A139="60%",N178))</f>
        <v>0</v>
      </c>
      <c r="E139" s="3532" t="b">
        <f>IF(A139="40%",O171,IF(A139="60%",O178))</f>
        <v>0</v>
      </c>
      <c r="F139" s="3532" t="b">
        <f>IF(A139="40%",P171,IF(A139="60%",P178))</f>
        <v>0</v>
      </c>
      <c r="G139" s="3532" t="b">
        <f>IF(A139="40%",Q171,IF(A139="60%",Q178))</f>
        <v>0</v>
      </c>
      <c r="H139" s="3549" t="b">
        <f>IF(A139="40%",R171,IF(A139="60%",R178))</f>
        <v>0</v>
      </c>
      <c r="I139" s="3532" t="b">
        <f>IF(A139="40%",S171,IF(A139="60%",S178))</f>
        <v>0</v>
      </c>
      <c r="M139" s="311">
        <v>6</v>
      </c>
      <c r="N139" s="2162"/>
      <c r="O139" s="311" t="s">
        <v>139</v>
      </c>
      <c r="P139" s="311">
        <v>6.7</v>
      </c>
      <c r="Q139" s="2162"/>
      <c r="R139" s="3559" t="str">
        <f t="shared" si="45"/>
        <v>KS160M2</v>
      </c>
      <c r="S139" s="311">
        <v>967</v>
      </c>
      <c r="T139" s="311">
        <v>208</v>
      </c>
      <c r="U139" s="3555">
        <f>V139*(1-H135)</f>
        <v>63000</v>
      </c>
      <c r="V139" s="3559">
        <f>+V138+10000</f>
        <v>105000</v>
      </c>
      <c r="W139" s="416"/>
      <c r="X139" s="416"/>
      <c r="Y139" s="416"/>
      <c r="Z139" s="416"/>
      <c r="AA139" s="3561">
        <f>+V141</f>
        <v>130600</v>
      </c>
      <c r="AE139" s="22">
        <v>130600</v>
      </c>
      <c r="AF139" s="311"/>
      <c r="AG139" s="2162">
        <v>5.5</v>
      </c>
      <c r="AH139" s="311" t="s">
        <v>146</v>
      </c>
      <c r="AI139" s="311"/>
      <c r="AJ139" s="2162">
        <v>7.5</v>
      </c>
      <c r="AK139" s="3559" t="str">
        <f t="shared" si="46"/>
        <v>KS160L2</v>
      </c>
      <c r="AL139" s="311">
        <v>972</v>
      </c>
      <c r="AM139" s="311">
        <v>230</v>
      </c>
      <c r="AN139" s="3555">
        <f>AO139*(1-H135)</f>
        <v>78360</v>
      </c>
      <c r="AO139" s="311">
        <v>130600</v>
      </c>
      <c r="AP139" s="416"/>
      <c r="AQ139" s="416"/>
      <c r="AR139" s="416"/>
      <c r="AS139" s="416"/>
      <c r="AZ139" s="2618"/>
      <c r="BD139" s="3559" t="str">
        <f t="shared" ref="BD139:BX139" si="48">+BD136</f>
        <v>Frame S</v>
      </c>
      <c r="BE139" s="3559" t="str">
        <f t="shared" si="48"/>
        <v>KS112M</v>
      </c>
      <c r="BF139" s="3559" t="str">
        <f t="shared" si="48"/>
        <v>KS132MA</v>
      </c>
      <c r="BG139" s="3559" t="str">
        <f t="shared" si="48"/>
        <v>KS132MC</v>
      </c>
      <c r="BH139" s="3559" t="str">
        <f t="shared" si="48"/>
        <v>KS160M1</v>
      </c>
      <c r="BI139" s="3559" t="str">
        <f t="shared" si="48"/>
        <v>KS160M2</v>
      </c>
      <c r="BJ139" s="3559" t="str">
        <f t="shared" si="48"/>
        <v>KS160L1</v>
      </c>
      <c r="BK139" s="3559" t="str">
        <f t="shared" si="48"/>
        <v>KS160L2</v>
      </c>
      <c r="BL139" s="3559" t="str">
        <f t="shared" si="48"/>
        <v>KS180L1</v>
      </c>
      <c r="BM139" s="3559" t="str">
        <f t="shared" si="48"/>
        <v>KS180L2</v>
      </c>
      <c r="BN139" s="3559" t="str">
        <f t="shared" si="48"/>
        <v>KS200L1</v>
      </c>
      <c r="BO139" s="3559" t="str">
        <f t="shared" si="48"/>
        <v>KS200L2</v>
      </c>
      <c r="BP139" s="3559" t="str">
        <f t="shared" si="48"/>
        <v>KS225SA</v>
      </c>
      <c r="BQ139" s="3559" t="str">
        <f t="shared" si="48"/>
        <v>KS225SB</v>
      </c>
      <c r="BR139" s="3559" t="str">
        <f t="shared" si="48"/>
        <v>KS225MA1</v>
      </c>
      <c r="BS139" s="3559" t="str">
        <f t="shared" si="48"/>
        <v>KS225MA2</v>
      </c>
      <c r="BT139" s="3559" t="str">
        <f t="shared" si="48"/>
        <v>KS225MB</v>
      </c>
      <c r="BU139" s="3559" t="str">
        <f t="shared" si="48"/>
        <v>KS250S</v>
      </c>
      <c r="BV139" s="3559" t="str">
        <f t="shared" si="48"/>
        <v>KS250M</v>
      </c>
      <c r="BW139" s="3559" t="str">
        <f t="shared" si="48"/>
        <v>KS280S</v>
      </c>
      <c r="BX139" s="3559" t="str">
        <f t="shared" si="48"/>
        <v>KS280M1</v>
      </c>
      <c r="BY139" s="3559" t="str">
        <f t="shared" ref="BY139:CG139" si="49">+BY136</f>
        <v>KS315SA</v>
      </c>
      <c r="BZ139" s="3559" t="str">
        <f t="shared" si="49"/>
        <v>KS315SB</v>
      </c>
      <c r="CA139" s="3559" t="str">
        <f t="shared" si="49"/>
        <v>KS315MA</v>
      </c>
      <c r="CB139" s="3559" t="str">
        <f t="shared" si="49"/>
        <v>KS315MB</v>
      </c>
      <c r="CC139" s="3559" t="str">
        <f t="shared" si="49"/>
        <v>KS355S</v>
      </c>
      <c r="CD139" s="3559" t="str">
        <f t="shared" si="49"/>
        <v>KS355M</v>
      </c>
      <c r="CE139" s="3559" t="str">
        <f t="shared" si="49"/>
        <v>KS355LA</v>
      </c>
      <c r="CF139" s="3559" t="str">
        <f t="shared" si="49"/>
        <v>KS355LB</v>
      </c>
      <c r="CG139" s="3559" t="str">
        <f t="shared" si="49"/>
        <v>KS400L</v>
      </c>
    </row>
    <row r="140" spans="1:85">
      <c r="A140" s="3560" t="str">
        <f>E50</f>
        <v>S1-100</v>
      </c>
      <c r="B140" s="2602" t="s">
        <v>2474</v>
      </c>
      <c r="C140" s="3533">
        <f>C50</f>
        <v>1.2453130745563414</v>
      </c>
      <c r="D140" s="3532" t="b">
        <f>IF(A140="40%",N172,IF(A140="60%",N179))</f>
        <v>0</v>
      </c>
      <c r="E140" s="3532" t="b">
        <f>IF(A140="40%",O172,IF(A140="60%",O179))</f>
        <v>0</v>
      </c>
      <c r="F140" s="3532" t="b">
        <f>IF(A140="40%",P172,IF(A140="60%",P179))</f>
        <v>0</v>
      </c>
      <c r="G140" s="3532" t="b">
        <f>IF(A140="40%",Q172,IF(A140="60%",Q179))</f>
        <v>0</v>
      </c>
      <c r="H140" s="3549" t="b">
        <f>IF(A140="40%",R172,IF(A140="60%",R179))</f>
        <v>0</v>
      </c>
      <c r="I140" s="3532" t="b">
        <f>IF(A140="40%",S172,IF(A140="60%",S179))</f>
        <v>0</v>
      </c>
      <c r="M140" s="311">
        <v>6.7</v>
      </c>
      <c r="N140" s="2162"/>
      <c r="O140" s="311" t="s">
        <v>142</v>
      </c>
      <c r="P140" s="311">
        <v>8.5</v>
      </c>
      <c r="Q140" s="2162"/>
      <c r="R140" s="3559" t="str">
        <f t="shared" si="45"/>
        <v>KS160L1</v>
      </c>
      <c r="S140" s="311">
        <v>968</v>
      </c>
      <c r="T140" s="311">
        <v>230</v>
      </c>
      <c r="U140" s="3555">
        <f>V140*(1-H135)</f>
        <v>69360</v>
      </c>
      <c r="V140" s="311">
        <v>115600</v>
      </c>
      <c r="W140" s="416"/>
      <c r="X140" s="416"/>
      <c r="Y140" s="416"/>
      <c r="Z140" s="416"/>
      <c r="AA140" s="3561">
        <f>+V143</f>
        <v>192000</v>
      </c>
      <c r="AE140" s="22">
        <v>192000</v>
      </c>
      <c r="AF140" s="311"/>
      <c r="AG140" s="2162">
        <v>7.5</v>
      </c>
      <c r="AH140" s="311" t="s">
        <v>156</v>
      </c>
      <c r="AI140" s="311"/>
      <c r="AJ140" s="2162">
        <v>11</v>
      </c>
      <c r="AK140" s="3559" t="str">
        <f t="shared" si="46"/>
        <v>KS180L2</v>
      </c>
      <c r="AL140" s="311">
        <v>972</v>
      </c>
      <c r="AM140" s="311">
        <v>265</v>
      </c>
      <c r="AN140" s="3555">
        <f>AO140*(1-H135)</f>
        <v>115200</v>
      </c>
      <c r="AO140" s="311">
        <v>192000</v>
      </c>
      <c r="AP140" s="416"/>
      <c r="AQ140" s="416"/>
      <c r="AR140" s="416"/>
      <c r="AS140" s="416"/>
      <c r="AZ140" s="2618"/>
      <c r="BD140" s="29" t="s">
        <v>121</v>
      </c>
      <c r="BE140" s="311">
        <v>915</v>
      </c>
      <c r="BF140" s="311">
        <v>943</v>
      </c>
      <c r="BG140" s="311">
        <v>950</v>
      </c>
      <c r="BH140" s="311">
        <v>968</v>
      </c>
      <c r="BI140" s="311">
        <v>967</v>
      </c>
      <c r="BJ140" s="311">
        <v>968</v>
      </c>
      <c r="BK140" s="311">
        <v>968</v>
      </c>
      <c r="BL140" s="311">
        <v>970</v>
      </c>
      <c r="BM140" s="311">
        <v>970</v>
      </c>
      <c r="BN140" s="311">
        <v>972</v>
      </c>
      <c r="BO140" s="311">
        <v>972</v>
      </c>
      <c r="BP140" s="311">
        <v>975</v>
      </c>
      <c r="BQ140" s="311">
        <v>975</v>
      </c>
      <c r="BR140" s="311">
        <v>978</v>
      </c>
      <c r="BS140" s="311">
        <v>978</v>
      </c>
      <c r="BT140" s="311">
        <v>978</v>
      </c>
      <c r="BU140" s="311">
        <v>982</v>
      </c>
      <c r="BV140" s="311">
        <v>982</v>
      </c>
      <c r="BW140" s="311">
        <v>982</v>
      </c>
      <c r="BX140" s="311">
        <v>981</v>
      </c>
      <c r="BY140" s="311">
        <v>982</v>
      </c>
      <c r="BZ140" s="311">
        <v>982</v>
      </c>
      <c r="CA140" s="311">
        <v>984</v>
      </c>
      <c r="CB140" s="311">
        <v>984</v>
      </c>
      <c r="CC140" s="311">
        <v>986</v>
      </c>
      <c r="CD140" s="311">
        <v>987</v>
      </c>
      <c r="CE140" s="311">
        <v>989</v>
      </c>
      <c r="CF140" s="311">
        <v>990</v>
      </c>
      <c r="CG140" s="311">
        <v>989</v>
      </c>
    </row>
    <row r="141" spans="1:85">
      <c r="M141" s="311">
        <v>8.5</v>
      </c>
      <c r="N141" s="2162"/>
      <c r="O141" s="311" t="s">
        <v>146</v>
      </c>
      <c r="P141" s="311">
        <v>9</v>
      </c>
      <c r="Q141" s="2162"/>
      <c r="R141" s="3559" t="str">
        <f t="shared" si="45"/>
        <v>KS160L2</v>
      </c>
      <c r="S141" s="311">
        <v>968</v>
      </c>
      <c r="T141" s="311">
        <v>230</v>
      </c>
      <c r="U141" s="3555">
        <f>V141*(1-H135)</f>
        <v>78360</v>
      </c>
      <c r="V141" s="3559">
        <f>+V140+15000</f>
        <v>130600</v>
      </c>
      <c r="W141" s="416"/>
      <c r="X141" s="416"/>
      <c r="Y141" s="416"/>
      <c r="Z141" s="416"/>
      <c r="AA141" s="3561">
        <f>+V144</f>
        <v>233000</v>
      </c>
      <c r="AE141" s="22">
        <v>233000</v>
      </c>
      <c r="AF141" s="311"/>
      <c r="AG141" s="2162">
        <v>11</v>
      </c>
      <c r="AH141" s="311" t="s">
        <v>162</v>
      </c>
      <c r="AI141" s="311"/>
      <c r="AJ141" s="2162">
        <v>15</v>
      </c>
      <c r="AK141" s="3559" t="str">
        <f t="shared" si="46"/>
        <v>KS200L1</v>
      </c>
      <c r="AL141" s="311">
        <v>975</v>
      </c>
      <c r="AM141" s="311">
        <v>375</v>
      </c>
      <c r="AN141" s="3555">
        <f>AO141*(1-H135)</f>
        <v>139800</v>
      </c>
      <c r="AO141" s="311">
        <v>233000</v>
      </c>
      <c r="AP141" s="416"/>
      <c r="AQ141" s="416"/>
      <c r="AR141" s="416"/>
      <c r="AS141" s="416"/>
      <c r="AZ141" s="2618"/>
      <c r="BD141" s="29" t="s">
        <v>111</v>
      </c>
      <c r="BE141" s="311">
        <v>109</v>
      </c>
      <c r="BF141" s="311">
        <v>115</v>
      </c>
      <c r="BG141" s="311">
        <v>139</v>
      </c>
      <c r="BH141" s="311">
        <v>200</v>
      </c>
      <c r="BI141" s="311">
        <v>208</v>
      </c>
      <c r="BJ141" s="311">
        <v>230</v>
      </c>
      <c r="BK141" s="311">
        <v>230</v>
      </c>
      <c r="BL141" s="311">
        <v>258</v>
      </c>
      <c r="BM141" s="311">
        <v>265</v>
      </c>
      <c r="BN141" s="311">
        <v>375</v>
      </c>
      <c r="BO141" s="311">
        <v>394</v>
      </c>
      <c r="BP141" s="311">
        <v>455</v>
      </c>
      <c r="BQ141" s="311">
        <v>475</v>
      </c>
      <c r="BR141" s="311">
        <v>500</v>
      </c>
      <c r="BS141" s="311">
        <v>510</v>
      </c>
      <c r="BT141" s="311">
        <v>615</v>
      </c>
      <c r="BU141" s="311">
        <v>640</v>
      </c>
      <c r="BV141" s="311">
        <v>675</v>
      </c>
      <c r="BW141" s="311">
        <v>980</v>
      </c>
      <c r="BX141" s="311">
        <v>1040</v>
      </c>
      <c r="BY141" s="311">
        <v>1300</v>
      </c>
      <c r="BZ141" s="311">
        <v>1330</v>
      </c>
      <c r="CA141" s="311">
        <v>1380</v>
      </c>
      <c r="CB141" s="311">
        <v>1480</v>
      </c>
      <c r="CC141" s="311">
        <v>1900</v>
      </c>
      <c r="CD141" s="311">
        <v>2100</v>
      </c>
      <c r="CE141" s="311">
        <v>2380</v>
      </c>
      <c r="CF141" s="311">
        <v>2500</v>
      </c>
      <c r="CG141" s="311">
        <v>3100</v>
      </c>
    </row>
    <row r="142" spans="1:85">
      <c r="M142" s="311">
        <v>9</v>
      </c>
      <c r="N142" s="2162"/>
      <c r="O142" s="311" t="s">
        <v>150</v>
      </c>
      <c r="P142" s="311">
        <v>12.5</v>
      </c>
      <c r="Q142" s="2162"/>
      <c r="R142" s="3559" t="str">
        <f t="shared" si="45"/>
        <v>KS180L1</v>
      </c>
      <c r="S142" s="311">
        <v>970</v>
      </c>
      <c r="T142" s="311">
        <v>258</v>
      </c>
      <c r="U142" s="3555">
        <f>V142*(1-H135)</f>
        <v>106200</v>
      </c>
      <c r="V142" s="311">
        <v>177000</v>
      </c>
      <c r="W142" s="416"/>
      <c r="X142" s="416"/>
      <c r="Y142" s="416"/>
      <c r="Z142" s="416"/>
      <c r="AA142" s="3561">
        <f>+V145</f>
        <v>248000</v>
      </c>
      <c r="AE142" s="22">
        <v>248000</v>
      </c>
      <c r="AF142" s="311"/>
      <c r="AG142" s="2162">
        <v>15</v>
      </c>
      <c r="AH142" s="311" t="s">
        <v>168</v>
      </c>
      <c r="AI142" s="311"/>
      <c r="AJ142" s="2162">
        <v>15.5</v>
      </c>
      <c r="AK142" s="3559" t="str">
        <f t="shared" si="46"/>
        <v>KS200L2</v>
      </c>
      <c r="AL142" s="311">
        <v>975</v>
      </c>
      <c r="AM142" s="311">
        <v>394</v>
      </c>
      <c r="AN142" s="3555">
        <f>AO142*(1-H135)</f>
        <v>148800</v>
      </c>
      <c r="AO142" s="311">
        <v>248000</v>
      </c>
      <c r="AP142" s="416"/>
      <c r="AQ142" s="416"/>
      <c r="AR142" s="416"/>
      <c r="AS142" s="416"/>
      <c r="AZ142" s="2618"/>
      <c r="BD142" s="2153" t="s">
        <v>2514</v>
      </c>
      <c r="BE142" s="3555">
        <f>BE143*(1-$H$135)</f>
        <v>31410</v>
      </c>
      <c r="BF142" s="3555">
        <f t="shared" ref="BF142:BX142" si="50">BF143*(1-$H$135)</f>
        <v>42000</v>
      </c>
      <c r="BG142" s="3555">
        <f t="shared" si="50"/>
        <v>50346</v>
      </c>
      <c r="BH142" s="3555">
        <f t="shared" si="50"/>
        <v>57000</v>
      </c>
      <c r="BI142" s="3555">
        <f t="shared" si="50"/>
        <v>63000</v>
      </c>
      <c r="BJ142" s="3555">
        <f t="shared" si="50"/>
        <v>69360</v>
      </c>
      <c r="BK142" s="3555">
        <f t="shared" si="50"/>
        <v>78360</v>
      </c>
      <c r="BL142" s="3555">
        <f t="shared" si="50"/>
        <v>106200</v>
      </c>
      <c r="BM142" s="3555">
        <f t="shared" si="50"/>
        <v>115200</v>
      </c>
      <c r="BN142" s="3555">
        <f t="shared" si="50"/>
        <v>139800</v>
      </c>
      <c r="BO142" s="3555">
        <f t="shared" si="50"/>
        <v>148800</v>
      </c>
      <c r="BP142" s="3555">
        <f t="shared" si="50"/>
        <v>169773</v>
      </c>
      <c r="BQ142" s="3555">
        <f t="shared" si="50"/>
        <v>169800</v>
      </c>
      <c r="BR142" s="3555">
        <f t="shared" si="50"/>
        <v>209517</v>
      </c>
      <c r="BS142" s="3555">
        <f t="shared" si="50"/>
        <v>210717</v>
      </c>
      <c r="BT142" s="3555">
        <f t="shared" si="50"/>
        <v>209412</v>
      </c>
      <c r="BU142" s="3555">
        <f t="shared" si="50"/>
        <v>263400</v>
      </c>
      <c r="BV142" s="3555">
        <f t="shared" si="50"/>
        <v>318000</v>
      </c>
      <c r="BW142" s="3555">
        <f t="shared" si="50"/>
        <v>348000</v>
      </c>
      <c r="BX142" s="3555">
        <f t="shared" si="50"/>
        <v>408000</v>
      </c>
      <c r="BY142" s="3555">
        <f t="shared" ref="BY142:CG142" si="51">BY143*(1-$H$135)</f>
        <v>485571</v>
      </c>
      <c r="BZ142" s="3555">
        <f t="shared" si="51"/>
        <v>486000</v>
      </c>
      <c r="CA142" s="3555">
        <f t="shared" si="51"/>
        <v>550560</v>
      </c>
      <c r="CB142" s="3555">
        <f t="shared" si="51"/>
        <v>594000</v>
      </c>
      <c r="CC142" s="3555">
        <f t="shared" si="51"/>
        <v>712800</v>
      </c>
      <c r="CD142" s="3555">
        <f t="shared" si="51"/>
        <v>748440</v>
      </c>
      <c r="CE142" s="3555">
        <f t="shared" si="51"/>
        <v>785862</v>
      </c>
      <c r="CF142" s="3555">
        <f t="shared" si="51"/>
        <v>825155.1</v>
      </c>
      <c r="CG142" s="3555">
        <f t="shared" si="51"/>
        <v>990186.11999999988</v>
      </c>
    </row>
    <row r="143" spans="1:85">
      <c r="B143" s="2131" t="s">
        <v>1710</v>
      </c>
      <c r="C143" s="29" t="s">
        <v>119</v>
      </c>
      <c r="D143" s="29" t="s">
        <v>112</v>
      </c>
      <c r="E143" s="29" t="s">
        <v>113</v>
      </c>
      <c r="F143" s="29" t="s">
        <v>114</v>
      </c>
      <c r="G143" s="29" t="s">
        <v>115</v>
      </c>
      <c r="H143" s="29" t="s">
        <v>116</v>
      </c>
      <c r="I143" s="29" t="s">
        <v>117</v>
      </c>
      <c r="J143" s="3561" t="str">
        <f>J168</f>
        <v>Right</v>
      </c>
      <c r="M143" s="311">
        <v>12.5</v>
      </c>
      <c r="N143" s="2162"/>
      <c r="O143" s="311" t="s">
        <v>156</v>
      </c>
      <c r="P143" s="311">
        <v>13.5</v>
      </c>
      <c r="Q143" s="2162"/>
      <c r="R143" s="3559" t="str">
        <f t="shared" si="45"/>
        <v>KS180L2</v>
      </c>
      <c r="S143" s="311">
        <v>970</v>
      </c>
      <c r="T143" s="311">
        <v>265</v>
      </c>
      <c r="U143" s="3555">
        <f>V143*(1-H135)</f>
        <v>115200</v>
      </c>
      <c r="V143" s="3559">
        <f>+V142+15000</f>
        <v>192000</v>
      </c>
      <c r="W143" s="416"/>
      <c r="X143" s="416"/>
      <c r="Y143" s="416"/>
      <c r="Z143" s="416"/>
      <c r="AA143" s="3561">
        <f>+V146</f>
        <v>282955</v>
      </c>
      <c r="AE143" s="22">
        <v>282955</v>
      </c>
      <c r="AF143" s="311"/>
      <c r="AG143" s="2162">
        <v>15.5</v>
      </c>
      <c r="AH143" s="311" t="s">
        <v>174</v>
      </c>
      <c r="AI143" s="311"/>
      <c r="AJ143" s="2162">
        <v>18.5</v>
      </c>
      <c r="AK143" s="3559" t="str">
        <f t="shared" si="46"/>
        <v>KS225SA</v>
      </c>
      <c r="AL143" s="311">
        <v>977</v>
      </c>
      <c r="AM143" s="311">
        <v>455</v>
      </c>
      <c r="AN143" s="3555">
        <f>AO143*(1-H135)</f>
        <v>169773</v>
      </c>
      <c r="AO143" s="311">
        <v>282955</v>
      </c>
      <c r="AP143" s="416"/>
      <c r="AQ143" s="416"/>
      <c r="AR143" s="416"/>
      <c r="AS143" s="416"/>
      <c r="AZ143" s="2618"/>
      <c r="BD143" s="29" t="s">
        <v>113</v>
      </c>
      <c r="BE143" s="311">
        <v>52350</v>
      </c>
      <c r="BF143" s="311">
        <v>70000</v>
      </c>
      <c r="BG143" s="311">
        <v>83910</v>
      </c>
      <c r="BH143" s="311">
        <v>95000</v>
      </c>
      <c r="BI143" s="311">
        <v>105000</v>
      </c>
      <c r="BJ143" s="311">
        <v>115600</v>
      </c>
      <c r="BK143" s="311">
        <v>130600</v>
      </c>
      <c r="BL143" s="311">
        <v>177000</v>
      </c>
      <c r="BM143" s="311">
        <v>192000</v>
      </c>
      <c r="BN143" s="311">
        <v>233000</v>
      </c>
      <c r="BO143" s="311">
        <v>248000</v>
      </c>
      <c r="BP143" s="311">
        <v>282955</v>
      </c>
      <c r="BQ143" s="311">
        <v>283000</v>
      </c>
      <c r="BR143" s="311">
        <v>349195</v>
      </c>
      <c r="BS143" s="311">
        <v>351195</v>
      </c>
      <c r="BT143" s="311">
        <v>349020</v>
      </c>
      <c r="BU143" s="311">
        <v>439000</v>
      </c>
      <c r="BV143" s="311">
        <v>530000</v>
      </c>
      <c r="BW143" s="311">
        <v>580000</v>
      </c>
      <c r="BX143" s="311">
        <v>680000</v>
      </c>
      <c r="BY143" s="311">
        <v>809285</v>
      </c>
      <c r="BZ143" s="311">
        <v>810000</v>
      </c>
      <c r="CA143" s="311">
        <v>917600</v>
      </c>
      <c r="CB143" s="311">
        <v>990000</v>
      </c>
      <c r="CC143" s="311">
        <v>1188000</v>
      </c>
      <c r="CD143" s="385">
        <v>1247400</v>
      </c>
      <c r="CE143" s="385">
        <v>1309770</v>
      </c>
      <c r="CF143" s="385">
        <v>1375258.5</v>
      </c>
      <c r="CG143" s="385">
        <v>1650310.2</v>
      </c>
    </row>
    <row r="144" spans="1:85">
      <c r="B144" s="2602" t="s">
        <v>2471</v>
      </c>
      <c r="C144" s="3532" t="str">
        <f>F137</f>
        <v>KS200L1</v>
      </c>
      <c r="D144" s="3549">
        <f>IF(A137="40%",U169,IF(A137="60%",U176))</f>
        <v>139800</v>
      </c>
      <c r="E144" s="3532">
        <f>IF(A137="40%",V169,IF(A137="60%",V176))</f>
        <v>233000</v>
      </c>
      <c r="F144" s="3532">
        <f>IF(A137="40%",W169,IF(A137="60%",W176))</f>
        <v>0</v>
      </c>
      <c r="G144" s="3532">
        <f>IF(A137="40%",X169,IF(A137="60%",X176))</f>
        <v>0</v>
      </c>
      <c r="H144" s="3532">
        <f>IF(A137="40%",Y169,IF(A137="60%",Y176))</f>
        <v>0</v>
      </c>
      <c r="I144" s="3532">
        <f>IF(A137="40%",Z169,IF(A137="60%",Z176))</f>
        <v>0</v>
      </c>
      <c r="J144" s="3561" t="str">
        <f t="shared" ref="J144:J145" si="52">J169</f>
        <v>Right</v>
      </c>
      <c r="M144" s="311">
        <v>13.5</v>
      </c>
      <c r="N144" s="2162"/>
      <c r="O144" s="311" t="s">
        <v>162</v>
      </c>
      <c r="P144" s="311">
        <v>17</v>
      </c>
      <c r="Q144" s="2162"/>
      <c r="R144" s="3559" t="str">
        <f t="shared" si="45"/>
        <v>KS200L1</v>
      </c>
      <c r="S144" s="311">
        <v>972</v>
      </c>
      <c r="T144" s="311">
        <v>375</v>
      </c>
      <c r="U144" s="3555">
        <f>V144*(1-H135)</f>
        <v>139800</v>
      </c>
      <c r="V144" s="311">
        <v>233000</v>
      </c>
      <c r="W144" s="416"/>
      <c r="X144" s="416"/>
      <c r="Y144" s="416"/>
      <c r="Z144" s="416"/>
      <c r="AA144" s="3561">
        <f>+V147</f>
        <v>283000</v>
      </c>
      <c r="AE144" s="22">
        <v>283000</v>
      </c>
      <c r="AF144" s="311"/>
      <c r="AG144" s="2162">
        <v>18.5</v>
      </c>
      <c r="AH144" s="311" t="s">
        <v>179</v>
      </c>
      <c r="AI144" s="311"/>
      <c r="AJ144" s="2162">
        <v>20</v>
      </c>
      <c r="AK144" s="3559" t="str">
        <f t="shared" si="46"/>
        <v>KS225SB</v>
      </c>
      <c r="AL144" s="311">
        <v>977</v>
      </c>
      <c r="AM144" s="311">
        <v>475</v>
      </c>
      <c r="AN144" s="3555">
        <f>AO144*(1-H135)</f>
        <v>169800</v>
      </c>
      <c r="AO144" s="311">
        <v>283000</v>
      </c>
      <c r="AP144" s="416"/>
      <c r="AQ144" s="416"/>
      <c r="AR144" s="416"/>
      <c r="AS144" s="416"/>
      <c r="AZ144" s="2618"/>
      <c r="BD144" s="29" t="s">
        <v>114</v>
      </c>
      <c r="BE144" s="416"/>
      <c r="BF144" s="416"/>
      <c r="BG144" s="416"/>
      <c r="BH144" s="416"/>
      <c r="BI144" s="416"/>
      <c r="BJ144" s="416"/>
      <c r="BK144" s="416"/>
      <c r="BL144" s="416"/>
      <c r="BM144" s="416"/>
      <c r="BN144" s="416"/>
      <c r="BO144" s="416"/>
      <c r="BP144" s="416"/>
      <c r="BQ144" s="416"/>
      <c r="BR144" s="416"/>
      <c r="BS144" s="416"/>
      <c r="BT144" s="416"/>
      <c r="BU144" s="416"/>
      <c r="BV144" s="416"/>
      <c r="BW144" s="416"/>
      <c r="BX144" s="416"/>
      <c r="BY144" s="416"/>
      <c r="BZ144" s="416"/>
      <c r="CA144" s="416"/>
      <c r="CB144" s="416"/>
      <c r="CC144" s="416"/>
      <c r="CD144" s="416"/>
      <c r="CE144" s="416"/>
      <c r="CF144" s="416"/>
      <c r="CG144" s="416"/>
    </row>
    <row r="145" spans="2:113">
      <c r="B145" s="2602" t="s">
        <v>2472</v>
      </c>
      <c r="C145" s="3532" t="str">
        <f>F138</f>
        <v>KS200L1</v>
      </c>
      <c r="D145" s="3549">
        <f>IF(A138="40%",U170,IF(A138="60%",U177))</f>
        <v>139800</v>
      </c>
      <c r="E145" s="3532">
        <f>IF(A138="40%",V170,IF(A138="60%",V177))</f>
        <v>233000</v>
      </c>
      <c r="F145" s="3532">
        <f>IF(A138="40%",W170,IF(A138="60%",W177))</f>
        <v>0</v>
      </c>
      <c r="G145" s="3532">
        <f>IF(A138="40%",X170,IF(A138="60%",X177))</f>
        <v>0</v>
      </c>
      <c r="H145" s="3532">
        <f>IF(A138="40%",Y170,IF(A138="60%",Y177))</f>
        <v>0</v>
      </c>
      <c r="I145" s="3532">
        <f>IF(A138="40%",Z170,IF(A138="60%",Z177))</f>
        <v>0</v>
      </c>
      <c r="J145" s="3561" t="str">
        <f t="shared" si="52"/>
        <v>Right</v>
      </c>
      <c r="M145" s="311">
        <v>17</v>
      </c>
      <c r="N145" s="2162"/>
      <c r="O145" s="311" t="s">
        <v>168</v>
      </c>
      <c r="P145" s="311">
        <v>17.5</v>
      </c>
      <c r="Q145" s="2162"/>
      <c r="R145" s="3559" t="str">
        <f t="shared" si="45"/>
        <v>KS200L2</v>
      </c>
      <c r="S145" s="311">
        <v>972</v>
      </c>
      <c r="T145" s="311">
        <v>394</v>
      </c>
      <c r="U145" s="3555">
        <f>V145*(1-H135)</f>
        <v>148800</v>
      </c>
      <c r="V145" s="3559">
        <f>+V144+15000</f>
        <v>248000</v>
      </c>
      <c r="W145" s="416"/>
      <c r="X145" s="416"/>
      <c r="Y145" s="416"/>
      <c r="Z145" s="416"/>
      <c r="AA145" s="3561">
        <f>V149</f>
        <v>351195</v>
      </c>
      <c r="AE145" s="22">
        <v>351195</v>
      </c>
      <c r="AF145" s="311"/>
      <c r="AG145" s="2162">
        <v>20</v>
      </c>
      <c r="AH145" s="311" t="s">
        <v>188</v>
      </c>
      <c r="AI145" s="311"/>
      <c r="AJ145" s="2162">
        <v>22</v>
      </c>
      <c r="AK145" s="3559" t="str">
        <f t="shared" si="46"/>
        <v>KS225MA2</v>
      </c>
      <c r="AL145" s="311">
        <v>980</v>
      </c>
      <c r="AM145" s="311">
        <v>510</v>
      </c>
      <c r="AN145" s="3555">
        <f>AO145*(1-H135)</f>
        <v>210717</v>
      </c>
      <c r="AO145" s="311">
        <v>351195</v>
      </c>
      <c r="AP145" s="416"/>
      <c r="AQ145" s="416"/>
      <c r="AR145" s="416"/>
      <c r="AS145" s="416"/>
      <c r="AZ145" s="2618"/>
      <c r="BD145" s="29" t="s">
        <v>115</v>
      </c>
      <c r="BE145" s="2155"/>
      <c r="BF145" s="2155"/>
      <c r="BG145" s="2155"/>
      <c r="BH145" s="2155"/>
      <c r="BI145" s="2155"/>
      <c r="BJ145" s="2155"/>
      <c r="BK145" s="2155"/>
      <c r="BL145" s="2155"/>
      <c r="BM145" s="2155"/>
      <c r="BN145" s="2155"/>
      <c r="BO145" s="2155"/>
      <c r="BP145" s="2155"/>
      <c r="BQ145" s="2155"/>
      <c r="BR145" s="2155"/>
      <c r="BS145" s="2155"/>
      <c r="BT145" s="2155"/>
      <c r="BU145" s="2155"/>
      <c r="BV145" s="2155"/>
      <c r="BW145" s="2155"/>
      <c r="BX145" s="2155"/>
      <c r="BY145" s="2155"/>
      <c r="BZ145" s="2155"/>
      <c r="CA145" s="2155"/>
      <c r="CB145" s="2155"/>
      <c r="CC145" s="2155"/>
      <c r="CD145" s="2155"/>
      <c r="CE145" s="2155"/>
      <c r="CF145" s="2155"/>
      <c r="CG145" s="2155"/>
    </row>
    <row r="146" spans="2:113">
      <c r="B146" s="2602" t="s">
        <v>2473</v>
      </c>
      <c r="C146" s="3532" t="b">
        <f>F139</f>
        <v>0</v>
      </c>
      <c r="D146" s="3549" t="b">
        <f>IF(A139="40%",U171,IF(A139="60%",U178))</f>
        <v>0</v>
      </c>
      <c r="E146" s="3532" t="b">
        <f>IF(A139="40%",V171,IF(A139="60%",V178))</f>
        <v>0</v>
      </c>
      <c r="F146" s="3532" t="b">
        <f>IF(A139="40%",W171,IF(A139="60%",W178))</f>
        <v>0</v>
      </c>
      <c r="G146" s="3532" t="b">
        <f>IF(A139="40%",X171,IF(A139="60%",X178))</f>
        <v>0</v>
      </c>
      <c r="H146" s="3532" t="b">
        <f>IF(A139="40%",Y171,IF(A139="60%",Y178))</f>
        <v>0</v>
      </c>
      <c r="I146" s="3532" t="b">
        <f>IF(A139="40%",Z171,IF(A139="60%",Z178))</f>
        <v>0</v>
      </c>
      <c r="J146" s="3561" t="b">
        <f>J171</f>
        <v>0</v>
      </c>
      <c r="M146" s="311">
        <v>17.5</v>
      </c>
      <c r="N146" s="2162"/>
      <c r="O146" s="311" t="s">
        <v>174</v>
      </c>
      <c r="P146" s="311">
        <v>22</v>
      </c>
      <c r="Q146" s="2162"/>
      <c r="R146" s="3559" t="str">
        <f t="shared" si="45"/>
        <v>KS225SA</v>
      </c>
      <c r="S146" s="311">
        <v>975</v>
      </c>
      <c r="T146" s="311">
        <v>455</v>
      </c>
      <c r="U146" s="3555">
        <f>V146*(1-H135)</f>
        <v>169773</v>
      </c>
      <c r="V146" s="311">
        <v>282955</v>
      </c>
      <c r="W146" s="416"/>
      <c r="X146" s="416"/>
      <c r="Y146" s="416"/>
      <c r="Z146" s="416"/>
      <c r="AA146" s="3561">
        <f>V150</f>
        <v>349020</v>
      </c>
      <c r="AE146" s="22">
        <v>349020</v>
      </c>
      <c r="AF146" s="311"/>
      <c r="AG146" s="2162">
        <v>22</v>
      </c>
      <c r="AH146" s="311" t="s">
        <v>195</v>
      </c>
      <c r="AI146" s="311"/>
      <c r="AJ146" s="2162">
        <v>26</v>
      </c>
      <c r="AK146" s="3559" t="str">
        <f t="shared" si="46"/>
        <v>KS225MB</v>
      </c>
      <c r="AL146" s="311">
        <v>982</v>
      </c>
      <c r="AM146" s="311">
        <v>615</v>
      </c>
      <c r="AN146" s="3555">
        <f>AO146*(1-H135)</f>
        <v>209412</v>
      </c>
      <c r="AO146" s="311">
        <v>349020</v>
      </c>
      <c r="AP146" s="416"/>
      <c r="AQ146" s="416"/>
      <c r="AR146" s="416"/>
      <c r="AS146" s="416"/>
      <c r="AZ146" s="2618"/>
      <c r="BD146" s="29" t="s">
        <v>116</v>
      </c>
      <c r="BE146" s="416"/>
      <c r="BF146" s="416"/>
      <c r="BG146" s="416"/>
      <c r="BH146" s="416"/>
      <c r="BI146" s="416"/>
      <c r="BJ146" s="416"/>
      <c r="BK146" s="416"/>
      <c r="BL146" s="416"/>
      <c r="BM146" s="416"/>
      <c r="BN146" s="416"/>
      <c r="BO146" s="416"/>
      <c r="BP146" s="416"/>
      <c r="BQ146" s="416"/>
      <c r="BR146" s="416"/>
      <c r="BS146" s="416"/>
      <c r="BT146" s="416"/>
      <c r="BU146" s="416"/>
      <c r="BV146" s="416"/>
      <c r="BW146" s="416"/>
      <c r="BX146" s="416"/>
      <c r="BY146" s="416"/>
      <c r="BZ146" s="416"/>
      <c r="CA146" s="416"/>
      <c r="CB146" s="416"/>
      <c r="CC146" s="416"/>
      <c r="CD146" s="416"/>
      <c r="CE146" s="416"/>
      <c r="CF146" s="416"/>
      <c r="CG146" s="416"/>
    </row>
    <row r="147" spans="2:113">
      <c r="B147" s="2602" t="s">
        <v>2474</v>
      </c>
      <c r="C147" s="3532" t="b">
        <f>F140</f>
        <v>0</v>
      </c>
      <c r="D147" s="3549" t="b">
        <f>IF(A140="40%",U172,IF(A140="60%",U179))</f>
        <v>0</v>
      </c>
      <c r="E147" s="3532" t="b">
        <f>IF(A140="40%",V172,IF(A140="60%",V179))</f>
        <v>0</v>
      </c>
      <c r="F147" s="3532" t="b">
        <f>IF(A140="40%",W172,IF(A140="60%",W179))</f>
        <v>0</v>
      </c>
      <c r="G147" s="3532" t="b">
        <f>IF(A140="40%",X172,IF(A140="60%",X179))</f>
        <v>0</v>
      </c>
      <c r="H147" s="3532" t="b">
        <f>IF(A140="40%",Y172,IF(A140="60%",Y179))</f>
        <v>0</v>
      </c>
      <c r="I147" s="3532" t="b">
        <f>IF(A140="40%",Z172,IF(A140="60%",Z179))</f>
        <v>0</v>
      </c>
      <c r="J147" s="3561" t="b">
        <f>J172</f>
        <v>0</v>
      </c>
      <c r="M147" s="311">
        <v>22</v>
      </c>
      <c r="N147" s="2162"/>
      <c r="O147" s="311" t="s">
        <v>179</v>
      </c>
      <c r="P147" s="311">
        <v>24.5</v>
      </c>
      <c r="Q147" s="2162"/>
      <c r="R147" s="3559" t="str">
        <f t="shared" si="45"/>
        <v>KS225SB</v>
      </c>
      <c r="S147" s="311">
        <v>975</v>
      </c>
      <c r="T147" s="311">
        <v>475</v>
      </c>
      <c r="U147" s="3555">
        <f>V147*(1-H135)</f>
        <v>169800</v>
      </c>
      <c r="V147" s="311">
        <v>283000</v>
      </c>
      <c r="W147" s="416"/>
      <c r="X147" s="416"/>
      <c r="Y147" s="416"/>
      <c r="Z147" s="416"/>
      <c r="AA147" s="3561">
        <f>V151</f>
        <v>439000</v>
      </c>
      <c r="AE147" s="22">
        <v>439000</v>
      </c>
      <c r="AF147" s="311"/>
      <c r="AG147" s="2162">
        <v>26</v>
      </c>
      <c r="AH147" s="311" t="s">
        <v>200</v>
      </c>
      <c r="AI147" s="311"/>
      <c r="AJ147" s="2162">
        <v>30</v>
      </c>
      <c r="AK147" s="3559" t="str">
        <f t="shared" si="46"/>
        <v>KS250S</v>
      </c>
      <c r="AL147" s="311">
        <v>985</v>
      </c>
      <c r="AM147" s="311">
        <v>640</v>
      </c>
      <c r="AN147" s="3555">
        <f>AO147*(1-H135)</f>
        <v>263400</v>
      </c>
      <c r="AO147" s="311">
        <v>439000</v>
      </c>
      <c r="AP147" s="416"/>
      <c r="AQ147" s="416"/>
      <c r="AR147" s="416"/>
      <c r="AS147" s="416"/>
      <c r="AZ147" s="2618"/>
      <c r="BD147" s="29" t="s">
        <v>117</v>
      </c>
      <c r="BE147" s="416"/>
      <c r="BF147" s="416"/>
      <c r="BG147" s="416"/>
      <c r="BH147" s="416"/>
      <c r="BI147" s="416"/>
      <c r="BJ147" s="416"/>
      <c r="BK147" s="416"/>
      <c r="BL147" s="416"/>
      <c r="BM147" s="416"/>
      <c r="BN147" s="416"/>
      <c r="BO147" s="416"/>
      <c r="BP147" s="416"/>
      <c r="BQ147" s="416"/>
      <c r="BR147" s="416"/>
      <c r="BS147" s="416"/>
      <c r="BT147" s="416"/>
      <c r="BU147" s="416"/>
      <c r="BV147" s="416"/>
      <c r="BW147" s="416"/>
      <c r="BX147" s="416"/>
      <c r="BY147" s="416"/>
      <c r="BZ147" s="416"/>
      <c r="CA147" s="416"/>
      <c r="CB147" s="416"/>
      <c r="CC147" s="416"/>
      <c r="CD147" s="416"/>
      <c r="CE147" s="416"/>
      <c r="CF147" s="416"/>
      <c r="CG147" s="416"/>
    </row>
    <row r="148" spans="2:113">
      <c r="B148" s="20"/>
      <c r="C148" s="19"/>
      <c r="H148" s="17"/>
      <c r="I148" s="17"/>
      <c r="M148" s="311">
        <v>24.5</v>
      </c>
      <c r="N148" s="2162"/>
      <c r="O148" s="311" t="s">
        <v>183</v>
      </c>
      <c r="P148" s="311">
        <v>25</v>
      </c>
      <c r="Q148" s="2162"/>
      <c r="R148" s="3559" t="str">
        <f t="shared" si="45"/>
        <v>KS225MA1</v>
      </c>
      <c r="S148" s="311">
        <v>978</v>
      </c>
      <c r="T148" s="311">
        <v>500</v>
      </c>
      <c r="U148" s="3555">
        <f>V148*(1-H135)</f>
        <v>209517</v>
      </c>
      <c r="V148" s="311">
        <v>349195</v>
      </c>
      <c r="W148" s="416"/>
      <c r="X148" s="416"/>
      <c r="Y148" s="416"/>
      <c r="Z148" s="416"/>
      <c r="AA148" s="3561">
        <f>V152</f>
        <v>530000</v>
      </c>
      <c r="AE148" s="22">
        <v>530000</v>
      </c>
      <c r="AF148" s="311"/>
      <c r="AG148" s="2162">
        <v>30</v>
      </c>
      <c r="AH148" s="311" t="s">
        <v>207</v>
      </c>
      <c r="AI148" s="311"/>
      <c r="AJ148" s="2162">
        <v>35</v>
      </c>
      <c r="AK148" s="3559" t="str">
        <f t="shared" si="46"/>
        <v>KS250M</v>
      </c>
      <c r="AL148" s="311">
        <v>985</v>
      </c>
      <c r="AM148" s="311">
        <v>675</v>
      </c>
      <c r="AN148" s="3555">
        <f>AO148*(1-H135)</f>
        <v>318000</v>
      </c>
      <c r="AO148" s="311">
        <v>530000</v>
      </c>
      <c r="AP148" s="416"/>
      <c r="AQ148" s="416"/>
      <c r="AR148" s="416"/>
      <c r="AS148" s="416"/>
      <c r="AZ148" s="2618"/>
      <c r="BT148" s="53"/>
      <c r="DF148" s="53"/>
    </row>
    <row r="149" spans="2:113">
      <c r="B149" s="20"/>
      <c r="C149" s="19"/>
      <c r="H149" s="17"/>
      <c r="I149" s="17"/>
      <c r="M149" s="311">
        <v>25</v>
      </c>
      <c r="N149" s="2162"/>
      <c r="O149" s="311" t="s">
        <v>188</v>
      </c>
      <c r="P149" s="311">
        <v>26</v>
      </c>
      <c r="Q149" s="2162"/>
      <c r="R149" s="3559" t="str">
        <f t="shared" si="45"/>
        <v>KS225MA2</v>
      </c>
      <c r="S149" s="311">
        <v>978</v>
      </c>
      <c r="T149" s="311">
        <v>510</v>
      </c>
      <c r="U149" s="3555">
        <f>V149*(1-H135)</f>
        <v>210717</v>
      </c>
      <c r="V149" s="3559">
        <f>+V148+2000</f>
        <v>351195</v>
      </c>
      <c r="W149" s="416"/>
      <c r="X149" s="416"/>
      <c r="Y149" s="416"/>
      <c r="Z149" s="416"/>
      <c r="AA149" s="3561">
        <f>V153</f>
        <v>580000</v>
      </c>
      <c r="AE149" s="22">
        <v>580000</v>
      </c>
      <c r="AF149" s="311"/>
      <c r="AG149" s="2162">
        <v>35</v>
      </c>
      <c r="AH149" s="311" t="s">
        <v>214</v>
      </c>
      <c r="AI149" s="311"/>
      <c r="AJ149" s="2162">
        <v>45</v>
      </c>
      <c r="AK149" s="3559" t="str">
        <f t="shared" si="46"/>
        <v>KS280S</v>
      </c>
      <c r="AL149" s="311">
        <v>984</v>
      </c>
      <c r="AM149" s="311">
        <v>980</v>
      </c>
      <c r="AN149" s="3555">
        <f>AO149*(1-H135)</f>
        <v>348000</v>
      </c>
      <c r="AO149" s="311">
        <v>580000</v>
      </c>
      <c r="AP149" s="416"/>
      <c r="AQ149" s="416"/>
      <c r="AR149" s="416"/>
      <c r="AS149" s="416"/>
      <c r="AZ149" s="2618"/>
      <c r="BT149" s="53"/>
      <c r="DF149" s="53"/>
    </row>
    <row r="150" spans="2:113">
      <c r="B150" s="59"/>
      <c r="C150" s="19"/>
      <c r="H150" s="19"/>
      <c r="M150" s="311">
        <v>26</v>
      </c>
      <c r="N150" s="2162"/>
      <c r="O150" s="311" t="s">
        <v>195</v>
      </c>
      <c r="P150" s="311">
        <v>31</v>
      </c>
      <c r="Q150" s="2162"/>
      <c r="R150" s="3559" t="str">
        <f t="shared" si="45"/>
        <v>KS225MB</v>
      </c>
      <c r="S150" s="311">
        <v>978</v>
      </c>
      <c r="T150" s="311">
        <v>615</v>
      </c>
      <c r="U150" s="3555">
        <f>V150*(1-H135)</f>
        <v>209412</v>
      </c>
      <c r="V150" s="311">
        <v>349020</v>
      </c>
      <c r="W150" s="416"/>
      <c r="X150" s="416"/>
      <c r="Y150" s="416"/>
      <c r="Z150" s="416"/>
      <c r="AE150" s="22">
        <v>730800</v>
      </c>
      <c r="AF150" s="311"/>
      <c r="AG150" s="2162">
        <v>45</v>
      </c>
      <c r="AH150" s="311" t="s">
        <v>224</v>
      </c>
      <c r="AI150" s="311"/>
      <c r="AJ150" s="2162">
        <v>55</v>
      </c>
      <c r="AK150" s="3559" t="str">
        <f t="shared" ref="AK150:AK159" si="53">AH150</f>
        <v>KS280M2</v>
      </c>
      <c r="AL150" s="311">
        <v>985</v>
      </c>
      <c r="AM150" s="311">
        <v>1040</v>
      </c>
      <c r="AN150" s="3555">
        <f>AO150*(1-H135)</f>
        <v>438480</v>
      </c>
      <c r="AO150" s="311">
        <v>730800</v>
      </c>
      <c r="AP150" s="416"/>
      <c r="AQ150" s="416"/>
      <c r="AR150" s="416"/>
      <c r="AS150" s="416"/>
      <c r="AZ150" s="2618"/>
      <c r="BQ150" s="29" t="s">
        <v>2500</v>
      </c>
      <c r="BR150" s="29"/>
      <c r="BS150" s="311"/>
      <c r="BT150" s="311"/>
      <c r="BU150" s="311"/>
      <c r="BV150" s="311"/>
      <c r="BW150" s="311"/>
      <c r="BX150" s="311"/>
      <c r="BY150" s="311"/>
      <c r="BZ150" s="311"/>
      <c r="CA150" s="311"/>
      <c r="CB150" s="311"/>
      <c r="CC150" s="311"/>
      <c r="CD150" s="311"/>
      <c r="CE150" s="311"/>
      <c r="CF150" s="311"/>
      <c r="CG150" s="311"/>
      <c r="CH150" s="311"/>
      <c r="CI150" s="311"/>
      <c r="CJ150" s="311"/>
      <c r="CK150" s="311"/>
      <c r="CL150" s="311"/>
      <c r="CM150" s="311"/>
      <c r="CN150" s="311"/>
      <c r="CO150" s="311"/>
      <c r="CP150" s="311"/>
      <c r="CQ150" s="311"/>
      <c r="CR150" s="311"/>
      <c r="CS150" s="311"/>
      <c r="CT150" s="311"/>
      <c r="CU150" s="311"/>
      <c r="DF150" s="53"/>
    </row>
    <row r="151" spans="2:113">
      <c r="B151" s="59"/>
      <c r="C151" s="19"/>
      <c r="H151" s="118"/>
      <c r="M151" s="311">
        <v>31</v>
      </c>
      <c r="N151" s="2162"/>
      <c r="O151" s="311" t="s">
        <v>200</v>
      </c>
      <c r="P151" s="311">
        <v>36</v>
      </c>
      <c r="Q151" s="2162"/>
      <c r="R151" s="3559" t="str">
        <f t="shared" si="45"/>
        <v>KS250S</v>
      </c>
      <c r="S151" s="311">
        <v>982</v>
      </c>
      <c r="T151" s="311">
        <v>640</v>
      </c>
      <c r="U151" s="3555">
        <f>V151*(1-H135)</f>
        <v>263400</v>
      </c>
      <c r="V151" s="311">
        <v>439000</v>
      </c>
      <c r="W151" s="416"/>
      <c r="X151" s="416"/>
      <c r="Y151" s="416"/>
      <c r="Z151" s="416"/>
      <c r="AA151" s="22">
        <v>730800</v>
      </c>
      <c r="AE151" s="22">
        <v>809285</v>
      </c>
      <c r="AF151" s="311"/>
      <c r="AG151" s="2162">
        <v>55</v>
      </c>
      <c r="AH151" s="311" t="s">
        <v>228</v>
      </c>
      <c r="AI151" s="311"/>
      <c r="AJ151" s="2162">
        <v>75</v>
      </c>
      <c r="AK151" s="3559" t="str">
        <f t="shared" si="53"/>
        <v>KS315SA</v>
      </c>
      <c r="AL151" s="311">
        <v>986</v>
      </c>
      <c r="AM151" s="311">
        <v>1300</v>
      </c>
      <c r="AN151" s="3555">
        <f>AO151*(1-H135)</f>
        <v>485571</v>
      </c>
      <c r="AO151" s="311">
        <v>809285</v>
      </c>
      <c r="AP151" s="416"/>
      <c r="AQ151" s="416"/>
      <c r="AR151" s="416"/>
      <c r="AS151" s="416"/>
      <c r="AZ151" s="2618"/>
      <c r="BQ151" s="29" t="s">
        <v>2501</v>
      </c>
      <c r="BR151" s="2161">
        <v>0</v>
      </c>
      <c r="BS151" s="2162">
        <v>1.5</v>
      </c>
      <c r="BT151" s="2162">
        <v>2.2000000000000002</v>
      </c>
      <c r="BU151" s="2162">
        <v>3.7</v>
      </c>
      <c r="BV151" s="2162">
        <v>5.5</v>
      </c>
      <c r="BW151" s="2162">
        <v>7.5</v>
      </c>
      <c r="BX151" s="2162">
        <v>11</v>
      </c>
      <c r="BY151" s="2162">
        <v>15</v>
      </c>
      <c r="BZ151" s="2162">
        <v>15.5</v>
      </c>
      <c r="CA151" s="2162">
        <v>18.5</v>
      </c>
      <c r="CB151" s="2162">
        <v>20</v>
      </c>
      <c r="CC151" s="2162">
        <v>22</v>
      </c>
      <c r="CD151" s="2162">
        <v>26</v>
      </c>
      <c r="CE151" s="2162">
        <v>30</v>
      </c>
      <c r="CF151" s="2162">
        <v>35</v>
      </c>
      <c r="CG151" s="2162">
        <v>45</v>
      </c>
      <c r="CH151" s="2162">
        <v>55</v>
      </c>
      <c r="CI151" s="2162">
        <v>75</v>
      </c>
      <c r="CJ151" s="2162">
        <v>80</v>
      </c>
      <c r="CK151" s="2162">
        <v>90</v>
      </c>
      <c r="CL151" s="2162">
        <v>100</v>
      </c>
      <c r="CM151" s="2162">
        <v>110</v>
      </c>
      <c r="CN151" s="2162">
        <v>132</v>
      </c>
      <c r="CO151" s="2162">
        <v>160</v>
      </c>
      <c r="CP151" s="2162">
        <v>180</v>
      </c>
      <c r="CQ151" s="2162"/>
      <c r="CR151" s="2162"/>
      <c r="CS151" s="2162"/>
      <c r="CT151" s="2162"/>
      <c r="DF151" s="53"/>
    </row>
    <row r="152" spans="2:113">
      <c r="B152" s="59"/>
      <c r="C152" s="19"/>
      <c r="H152" s="118"/>
      <c r="M152" s="311">
        <v>36</v>
      </c>
      <c r="N152" s="2162"/>
      <c r="O152" s="311" t="s">
        <v>207</v>
      </c>
      <c r="P152" s="311">
        <v>42</v>
      </c>
      <c r="Q152" s="2162"/>
      <c r="R152" s="3559" t="str">
        <f t="shared" si="45"/>
        <v>KS250M</v>
      </c>
      <c r="S152" s="311">
        <v>982</v>
      </c>
      <c r="T152" s="311">
        <v>675</v>
      </c>
      <c r="U152" s="3555">
        <f>V152*(1-H135)</f>
        <v>318000</v>
      </c>
      <c r="V152" s="311">
        <v>530000</v>
      </c>
      <c r="W152" s="416"/>
      <c r="X152" s="416"/>
      <c r="Y152" s="416"/>
      <c r="Z152" s="416"/>
      <c r="AA152" s="3561">
        <f t="shared" ref="AA152:AA160" si="54">V155</f>
        <v>809285</v>
      </c>
      <c r="AE152" s="22">
        <v>810000</v>
      </c>
      <c r="AF152" s="311"/>
      <c r="AG152" s="2162">
        <v>75</v>
      </c>
      <c r="AH152" s="311" t="s">
        <v>233</v>
      </c>
      <c r="AI152" s="311"/>
      <c r="AJ152" s="2162">
        <v>80</v>
      </c>
      <c r="AK152" s="3559" t="str">
        <f t="shared" si="53"/>
        <v>KS315SB</v>
      </c>
      <c r="AL152" s="311">
        <v>986</v>
      </c>
      <c r="AM152" s="311">
        <v>1330</v>
      </c>
      <c r="AN152" s="3555">
        <f>AO152*(1-H135)</f>
        <v>486000</v>
      </c>
      <c r="AO152" s="311">
        <v>810000</v>
      </c>
      <c r="AP152" s="416"/>
      <c r="AQ152" s="416"/>
      <c r="AR152" s="416"/>
      <c r="AS152" s="416"/>
      <c r="AZ152" s="2618"/>
      <c r="BD152" s="53"/>
      <c r="BE152" s="2156"/>
      <c r="BF152" s="19"/>
      <c r="BG152" s="19"/>
      <c r="BH152" s="19"/>
      <c r="BI152" s="19"/>
      <c r="BJ152" s="19"/>
      <c r="BQ152" s="29" t="s">
        <v>119</v>
      </c>
      <c r="BR152" s="311" t="s">
        <v>125</v>
      </c>
      <c r="BS152" s="311" t="s">
        <v>129</v>
      </c>
      <c r="BT152" s="311" t="s">
        <v>132</v>
      </c>
      <c r="BU152" s="311" t="s">
        <v>139</v>
      </c>
      <c r="BV152" s="311" t="s">
        <v>146</v>
      </c>
      <c r="BW152" s="311" t="s">
        <v>156</v>
      </c>
      <c r="BX152" s="311" t="s">
        <v>162</v>
      </c>
      <c r="BY152" s="311" t="s">
        <v>168</v>
      </c>
      <c r="BZ152" s="311" t="s">
        <v>174</v>
      </c>
      <c r="CA152" s="311" t="s">
        <v>179</v>
      </c>
      <c r="CB152" s="311" t="s">
        <v>188</v>
      </c>
      <c r="CC152" s="311" t="s">
        <v>195</v>
      </c>
      <c r="CD152" s="311" t="s">
        <v>200</v>
      </c>
      <c r="CE152" s="311" t="s">
        <v>207</v>
      </c>
      <c r="CF152" s="311" t="s">
        <v>214</v>
      </c>
      <c r="CG152" s="311" t="s">
        <v>224</v>
      </c>
      <c r="CH152" s="311" t="s">
        <v>228</v>
      </c>
      <c r="CI152" s="311" t="s">
        <v>233</v>
      </c>
      <c r="CJ152" s="311" t="s">
        <v>238</v>
      </c>
      <c r="CK152" s="311" t="s">
        <v>242</v>
      </c>
      <c r="CL152" s="311" t="s">
        <v>247</v>
      </c>
      <c r="CM152" s="311" t="s">
        <v>249</v>
      </c>
      <c r="CN152" s="311" t="s">
        <v>252</v>
      </c>
      <c r="CO152" s="311" t="s">
        <v>254</v>
      </c>
      <c r="CP152" s="311" t="s">
        <v>257</v>
      </c>
      <c r="CQ152" s="311"/>
      <c r="CR152" s="311"/>
      <c r="CS152" s="311"/>
      <c r="CT152" s="311"/>
      <c r="CV152" s="19"/>
    </row>
    <row r="153" spans="2:113">
      <c r="B153" s="462"/>
      <c r="C153" s="19"/>
      <c r="H153" s="118"/>
      <c r="M153" s="311">
        <v>42</v>
      </c>
      <c r="N153" s="2162"/>
      <c r="O153" s="311" t="s">
        <v>214</v>
      </c>
      <c r="P153" s="311">
        <v>53.5</v>
      </c>
      <c r="Q153" s="2162"/>
      <c r="R153" s="3559" t="str">
        <f t="shared" si="45"/>
        <v>KS280S</v>
      </c>
      <c r="S153" s="311">
        <v>982</v>
      </c>
      <c r="T153" s="311">
        <v>980</v>
      </c>
      <c r="U153" s="3555">
        <f>V153*(1-H135)</f>
        <v>348000</v>
      </c>
      <c r="V153" s="311">
        <v>580000</v>
      </c>
      <c r="W153" s="416"/>
      <c r="X153" s="416"/>
      <c r="Y153" s="416"/>
      <c r="Z153" s="416"/>
      <c r="AA153" s="3561">
        <f t="shared" si="54"/>
        <v>810000</v>
      </c>
      <c r="AE153" s="22">
        <v>917600</v>
      </c>
      <c r="AF153" s="311"/>
      <c r="AG153" s="2162">
        <v>80</v>
      </c>
      <c r="AH153" s="311" t="s">
        <v>238</v>
      </c>
      <c r="AI153" s="311"/>
      <c r="AJ153" s="2162">
        <v>90</v>
      </c>
      <c r="AK153" s="3559" t="str">
        <f t="shared" si="53"/>
        <v>KS315MA</v>
      </c>
      <c r="AL153" s="311">
        <v>988</v>
      </c>
      <c r="AM153" s="311">
        <v>1380</v>
      </c>
      <c r="AN153" s="3555">
        <f>AO153*(1-H135)</f>
        <v>550560</v>
      </c>
      <c r="AO153" s="311">
        <v>917600</v>
      </c>
      <c r="AP153" s="416"/>
      <c r="AQ153" s="416"/>
      <c r="AR153" s="416"/>
      <c r="AS153" s="416"/>
      <c r="AZ153" s="2618"/>
      <c r="BD153" s="53"/>
      <c r="BE153" s="2156"/>
      <c r="BF153" s="19"/>
      <c r="BG153" s="19"/>
      <c r="BH153" s="19"/>
      <c r="BI153" s="19"/>
      <c r="BJ153" s="19"/>
      <c r="BQ153" s="427" t="s">
        <v>120</v>
      </c>
      <c r="BR153" s="311"/>
      <c r="BS153" s="311"/>
      <c r="BT153" s="311"/>
      <c r="BU153" s="311"/>
      <c r="BV153" s="311"/>
      <c r="BW153" s="311"/>
      <c r="BX153" s="311"/>
      <c r="BY153" s="311"/>
      <c r="BZ153" s="311"/>
      <c r="CA153" s="311"/>
      <c r="CB153" s="311"/>
      <c r="CC153" s="311"/>
      <c r="CD153" s="311"/>
      <c r="CE153" s="311"/>
      <c r="CF153" s="311"/>
      <c r="CG153" s="311"/>
      <c r="CH153" s="311"/>
      <c r="CI153" s="311"/>
      <c r="CJ153" s="311"/>
      <c r="CK153" s="311"/>
      <c r="CL153" s="311"/>
      <c r="CM153" s="311"/>
      <c r="CN153" s="311"/>
      <c r="CO153" s="311"/>
      <c r="CP153" s="311"/>
      <c r="CQ153" s="311"/>
      <c r="CR153" s="311"/>
      <c r="CS153" s="311"/>
      <c r="CT153" s="311"/>
      <c r="CV153" s="19"/>
    </row>
    <row r="154" spans="2:113">
      <c r="B154" s="108"/>
      <c r="C154" s="3542" t="str">
        <f>HYPERLINK("Z:\Marketing Common\Dhrumil\Selection\VD_Series_6Pole.pdf","M Sq 6 Pole")</f>
        <v>M Sq 6 Pole</v>
      </c>
      <c r="D154" s="3542" t="str">
        <f>HYPERLINK("Z:\Marketing Common\Dhrumil\Selection\Price_Sheet_2013.pdf","Pr Sheet")</f>
        <v>Pr Sheet</v>
      </c>
      <c r="E154" s="3542" t="str">
        <f>HYPERLINK("Z:\Marketing Common\Dhrumil\Selection\Slipring_Motor.pdf","M Slip Motor")</f>
        <v>M Slip Motor</v>
      </c>
      <c r="F154" s="19"/>
      <c r="G154" s="19"/>
      <c r="M154" s="311">
        <v>53.5</v>
      </c>
      <c r="N154" s="2162"/>
      <c r="O154" s="311" t="s">
        <v>220</v>
      </c>
      <c r="P154" s="311">
        <v>66.5</v>
      </c>
      <c r="Q154" s="2162"/>
      <c r="R154" s="3559" t="str">
        <f t="shared" si="45"/>
        <v>KS280M1</v>
      </c>
      <c r="S154" s="311">
        <v>981</v>
      </c>
      <c r="T154" s="311">
        <v>1040</v>
      </c>
      <c r="U154" s="3555">
        <f>V154*(1-H135)</f>
        <v>408000</v>
      </c>
      <c r="V154" s="311">
        <v>680000</v>
      </c>
      <c r="W154" s="416"/>
      <c r="X154" s="416"/>
      <c r="Y154" s="416"/>
      <c r="Z154" s="416"/>
      <c r="AA154" s="3561">
        <f t="shared" si="54"/>
        <v>917600</v>
      </c>
      <c r="AE154" s="22">
        <v>990000</v>
      </c>
      <c r="AF154" s="311"/>
      <c r="AG154" s="2162">
        <v>90</v>
      </c>
      <c r="AH154" s="311" t="s">
        <v>242</v>
      </c>
      <c r="AI154" s="311"/>
      <c r="AJ154" s="2162">
        <v>100</v>
      </c>
      <c r="AK154" s="3559" t="str">
        <f t="shared" si="53"/>
        <v>KS315MB</v>
      </c>
      <c r="AL154" s="311">
        <v>987</v>
      </c>
      <c r="AM154" s="311">
        <v>1480</v>
      </c>
      <c r="AN154" s="3555">
        <f>AO154*(1-H135)</f>
        <v>594000</v>
      </c>
      <c r="AO154" s="311">
        <v>990000</v>
      </c>
      <c r="AP154" s="416"/>
      <c r="AQ154" s="416"/>
      <c r="AR154" s="416"/>
      <c r="AS154" s="416"/>
      <c r="AZ154" s="2618"/>
      <c r="BD154" s="53"/>
      <c r="BE154" s="19"/>
      <c r="BF154" s="19"/>
      <c r="BG154" s="19"/>
      <c r="BH154" s="19"/>
      <c r="BI154" s="19"/>
      <c r="BJ154" s="19"/>
      <c r="BQ154" s="427" t="s">
        <v>2498</v>
      </c>
      <c r="BR154" s="2162">
        <v>1.5</v>
      </c>
      <c r="BS154" s="2162">
        <v>2.2000000000000002</v>
      </c>
      <c r="BT154" s="2162">
        <v>3.7</v>
      </c>
      <c r="BU154" s="2162">
        <v>5.5</v>
      </c>
      <c r="BV154" s="2162">
        <v>7.5</v>
      </c>
      <c r="BW154" s="2162">
        <v>11</v>
      </c>
      <c r="BX154" s="2162">
        <v>15</v>
      </c>
      <c r="BY154" s="2162">
        <v>15.5</v>
      </c>
      <c r="BZ154" s="2162">
        <v>18.5</v>
      </c>
      <c r="CA154" s="2162">
        <v>20</v>
      </c>
      <c r="CB154" s="2162">
        <v>22</v>
      </c>
      <c r="CC154" s="2162">
        <v>26</v>
      </c>
      <c r="CD154" s="2162">
        <v>30</v>
      </c>
      <c r="CE154" s="2162">
        <v>35</v>
      </c>
      <c r="CF154" s="2162">
        <v>45</v>
      </c>
      <c r="CG154" s="2162">
        <v>55</v>
      </c>
      <c r="CH154" s="2162">
        <v>75</v>
      </c>
      <c r="CI154" s="2162">
        <v>80</v>
      </c>
      <c r="CJ154" s="2162">
        <v>90</v>
      </c>
      <c r="CK154" s="2162">
        <v>100</v>
      </c>
      <c r="CL154" s="2162">
        <v>110</v>
      </c>
      <c r="CM154" s="2162">
        <v>132</v>
      </c>
      <c r="CN154" s="2162">
        <v>160</v>
      </c>
      <c r="CO154" s="2162">
        <v>180</v>
      </c>
      <c r="CP154" s="2162">
        <v>240</v>
      </c>
      <c r="CQ154" s="2162"/>
      <c r="CR154" s="2162"/>
      <c r="CS154" s="2162"/>
      <c r="CT154" s="2162"/>
      <c r="CV154" s="19"/>
    </row>
    <row r="155" spans="2:113">
      <c r="B155" s="19"/>
      <c r="C155" s="3542" t="str">
        <f>HYPERLINK("Z:\Marketing Common\Dhrumil\Selection\M_Sq_Price.pdf","M Sq Pr")</f>
        <v>M Sq Pr</v>
      </c>
      <c r="D155" s="3542" t="str">
        <f>HYPERLINK("Z:\Marketing Common\Dhrumil\Selection\Weight.pdf","Weight")</f>
        <v>Weight</v>
      </c>
      <c r="E155" s="3542" t="str">
        <f>HYPERLINK("Z:\Marketing Common\Dhrumil\Selection\Marathon_LP.pdf","M Slip Price")</f>
        <v>M Slip Price</v>
      </c>
      <c r="F155" s="1067"/>
      <c r="G155" s="1067"/>
      <c r="H155" s="80"/>
      <c r="M155" s="311">
        <v>66.5</v>
      </c>
      <c r="N155" s="2162"/>
      <c r="O155" s="311" t="s">
        <v>228</v>
      </c>
      <c r="P155" s="311">
        <v>90</v>
      </c>
      <c r="Q155" s="2162"/>
      <c r="R155" s="3559" t="str">
        <f t="shared" ref="R155:R163" si="55">O155</f>
        <v>KS315SA</v>
      </c>
      <c r="S155" s="311">
        <v>982</v>
      </c>
      <c r="T155" s="311">
        <v>1300</v>
      </c>
      <c r="U155" s="3555">
        <f>V155*(1-H135)</f>
        <v>485571</v>
      </c>
      <c r="V155" s="311">
        <v>809285</v>
      </c>
      <c r="W155" s="416"/>
      <c r="X155" s="416"/>
      <c r="Y155" s="416"/>
      <c r="Z155" s="416"/>
      <c r="AA155" s="3561">
        <f t="shared" si="54"/>
        <v>990000</v>
      </c>
      <c r="AE155" s="22">
        <v>1188000</v>
      </c>
      <c r="AF155" s="311"/>
      <c r="AG155" s="2162">
        <v>100</v>
      </c>
      <c r="AH155" s="311" t="s">
        <v>247</v>
      </c>
      <c r="AI155" s="311"/>
      <c r="AJ155" s="2162">
        <v>110</v>
      </c>
      <c r="AK155" s="3559" t="str">
        <f t="shared" si="53"/>
        <v>KS355S</v>
      </c>
      <c r="AL155" s="311">
        <v>989</v>
      </c>
      <c r="AM155" s="311">
        <v>1900</v>
      </c>
      <c r="AN155" s="3555">
        <f>AO155*(1-H135)</f>
        <v>712800</v>
      </c>
      <c r="AO155" s="311">
        <v>1188000</v>
      </c>
      <c r="AP155" s="416"/>
      <c r="AQ155" s="416"/>
      <c r="AR155" s="416"/>
      <c r="AS155" s="416"/>
      <c r="AZ155" s="2618"/>
      <c r="BD155" s="53"/>
      <c r="BE155" s="19"/>
      <c r="BF155" s="19"/>
      <c r="BG155" s="19"/>
      <c r="BH155" s="19"/>
      <c r="BI155" s="19"/>
      <c r="BJ155" s="19"/>
      <c r="BQ155" s="3559" t="str">
        <f>+BQ152</f>
        <v>Frame S</v>
      </c>
      <c r="BR155" s="311" t="s">
        <v>125</v>
      </c>
      <c r="BS155" s="311" t="s">
        <v>129</v>
      </c>
      <c r="BT155" s="311" t="s">
        <v>132</v>
      </c>
      <c r="BU155" s="311" t="s">
        <v>139</v>
      </c>
      <c r="BV155" s="311" t="s">
        <v>146</v>
      </c>
      <c r="BW155" s="311" t="s">
        <v>156</v>
      </c>
      <c r="BX155" s="311" t="s">
        <v>162</v>
      </c>
      <c r="BY155" s="311" t="s">
        <v>168</v>
      </c>
      <c r="BZ155" s="311" t="s">
        <v>174</v>
      </c>
      <c r="CA155" s="311" t="s">
        <v>179</v>
      </c>
      <c r="CB155" s="311" t="s">
        <v>188</v>
      </c>
      <c r="CC155" s="311" t="s">
        <v>195</v>
      </c>
      <c r="CD155" s="311" t="s">
        <v>200</v>
      </c>
      <c r="CE155" s="311" t="s">
        <v>207</v>
      </c>
      <c r="CF155" s="311" t="s">
        <v>214</v>
      </c>
      <c r="CG155" s="311" t="s">
        <v>224</v>
      </c>
      <c r="CH155" s="311" t="s">
        <v>228</v>
      </c>
      <c r="CI155" s="311" t="s">
        <v>233</v>
      </c>
      <c r="CJ155" s="311" t="s">
        <v>238</v>
      </c>
      <c r="CK155" s="311" t="s">
        <v>242</v>
      </c>
      <c r="CL155" s="311" t="s">
        <v>247</v>
      </c>
      <c r="CM155" s="311" t="s">
        <v>249</v>
      </c>
      <c r="CN155" s="311" t="s">
        <v>252</v>
      </c>
      <c r="CO155" s="311" t="s">
        <v>254</v>
      </c>
      <c r="CP155" s="311" t="s">
        <v>257</v>
      </c>
      <c r="CQ155" s="311"/>
      <c r="CR155" s="311"/>
      <c r="CS155" s="311"/>
      <c r="CT155" s="311"/>
      <c r="CV155" s="19"/>
    </row>
    <row r="156" spans="2:113">
      <c r="B156" s="20"/>
      <c r="C156" s="3542" t="str">
        <f>HYPERLINK("Z:\Marketing Common\Dhrumil\Selection\M_Sq_Price.xls","M Sq Pr Exl")</f>
        <v>M Sq Pr Exl</v>
      </c>
      <c r="D156" s="3542" t="str">
        <f>HYPERLINK("Z:\Marketing Common\Dhrumil\Selection\Siemens_Motor.pdf","Sie Nor H-F")</f>
        <v>Sie Nor H-F</v>
      </c>
      <c r="E156" s="3542" t="str">
        <f>HYPERLINK("Z:\Marketing Common\Dhrumil\Selection\Siemens_F-B.pdf","Siem F-B")</f>
        <v>Siem F-B</v>
      </c>
      <c r="F156" s="1067"/>
      <c r="G156" s="1067"/>
      <c r="I156" s="17"/>
      <c r="M156" s="311">
        <v>90</v>
      </c>
      <c r="N156" s="2162"/>
      <c r="O156" s="311" t="s">
        <v>233</v>
      </c>
      <c r="P156" s="311">
        <v>93</v>
      </c>
      <c r="Q156" s="2162"/>
      <c r="R156" s="3559" t="str">
        <f t="shared" si="55"/>
        <v>KS315SB</v>
      </c>
      <c r="S156" s="311">
        <v>982</v>
      </c>
      <c r="T156" s="311">
        <v>1330</v>
      </c>
      <c r="U156" s="3555">
        <f>V156*(1-H135)</f>
        <v>486000</v>
      </c>
      <c r="V156" s="311">
        <v>810000</v>
      </c>
      <c r="W156" s="416"/>
      <c r="X156" s="416"/>
      <c r="Y156" s="416"/>
      <c r="Z156" s="416"/>
      <c r="AA156" s="3561">
        <f t="shared" si="54"/>
        <v>1188000</v>
      </c>
      <c r="AE156" s="22">
        <v>1247400</v>
      </c>
      <c r="AF156" s="311"/>
      <c r="AG156" s="2162">
        <v>110</v>
      </c>
      <c r="AH156" s="311" t="s">
        <v>249</v>
      </c>
      <c r="AI156" s="311"/>
      <c r="AJ156" s="2162">
        <v>132</v>
      </c>
      <c r="AK156" s="3559" t="str">
        <f t="shared" si="53"/>
        <v>KS355M</v>
      </c>
      <c r="AL156" s="311">
        <v>990</v>
      </c>
      <c r="AM156" s="311">
        <v>2100</v>
      </c>
      <c r="AN156" s="3555">
        <f>AO156*(1-H135)</f>
        <v>748440</v>
      </c>
      <c r="AO156" s="385">
        <v>1247400</v>
      </c>
      <c r="AP156" s="416"/>
      <c r="AQ156" s="416"/>
      <c r="AR156" s="416"/>
      <c r="AS156" s="416"/>
      <c r="AZ156" s="2618"/>
      <c r="BQ156" s="29" t="s">
        <v>121</v>
      </c>
      <c r="BR156" s="311">
        <v>930</v>
      </c>
      <c r="BS156" s="311">
        <v>950</v>
      </c>
      <c r="BT156" s="311">
        <v>957</v>
      </c>
      <c r="BU156" s="311">
        <v>970</v>
      </c>
      <c r="BV156" s="311">
        <v>972</v>
      </c>
      <c r="BW156" s="311">
        <v>972</v>
      </c>
      <c r="BX156" s="311">
        <v>975</v>
      </c>
      <c r="BY156" s="311">
        <v>975</v>
      </c>
      <c r="BZ156" s="311">
        <v>977</v>
      </c>
      <c r="CA156" s="311">
        <v>977</v>
      </c>
      <c r="CB156" s="311">
        <v>980</v>
      </c>
      <c r="CC156" s="311">
        <v>982</v>
      </c>
      <c r="CD156" s="311">
        <v>985</v>
      </c>
      <c r="CE156" s="311">
        <v>985</v>
      </c>
      <c r="CF156" s="311">
        <v>984</v>
      </c>
      <c r="CG156" s="311">
        <v>985</v>
      </c>
      <c r="CH156" s="311">
        <v>986</v>
      </c>
      <c r="CI156" s="311">
        <v>986</v>
      </c>
      <c r="CJ156" s="311">
        <v>988</v>
      </c>
      <c r="CK156" s="311">
        <v>987</v>
      </c>
      <c r="CL156" s="311">
        <v>989</v>
      </c>
      <c r="CM156" s="311">
        <v>990</v>
      </c>
      <c r="CN156" s="311">
        <v>991</v>
      </c>
      <c r="CO156" s="311">
        <v>991</v>
      </c>
      <c r="CP156" s="311">
        <v>990</v>
      </c>
      <c r="CQ156" s="311"/>
      <c r="CR156" s="311"/>
      <c r="CS156" s="311"/>
      <c r="CT156" s="311"/>
      <c r="DH156" s="53"/>
      <c r="DI156" s="53"/>
    </row>
    <row r="157" spans="2:113">
      <c r="B157" s="302"/>
      <c r="C157" s="2140"/>
      <c r="D157" s="3542" t="str">
        <f>HYPERLINK("Z:\Marketing Common\Dhrumil\Selection\Siemens_Price.pdf","Siem Pr 2017")</f>
        <v>Siem Pr 2017</v>
      </c>
      <c r="E157" s="3542" t="str">
        <f>HYPERLINK("Z:\Marketing Common\Dhrumil\Selection\Siemens_H-F.pdf","Siem H-F")</f>
        <v>Siem H-F</v>
      </c>
      <c r="F157" s="2163"/>
      <c r="G157" s="1067"/>
      <c r="H157" s="88"/>
      <c r="I157" s="19"/>
      <c r="M157" s="311">
        <v>93</v>
      </c>
      <c r="N157" s="2162"/>
      <c r="O157" s="311" t="s">
        <v>238</v>
      </c>
      <c r="P157" s="311">
        <v>107</v>
      </c>
      <c r="Q157" s="2162"/>
      <c r="R157" s="3559" t="str">
        <f t="shared" si="55"/>
        <v>KS315MA</v>
      </c>
      <c r="S157" s="311">
        <v>984</v>
      </c>
      <c r="T157" s="311">
        <v>1380</v>
      </c>
      <c r="U157" s="3555">
        <f>V157*(1-H135)</f>
        <v>550560</v>
      </c>
      <c r="V157" s="311">
        <v>917600</v>
      </c>
      <c r="W157" s="416"/>
      <c r="X157" s="416"/>
      <c r="Y157" s="416"/>
      <c r="Z157" s="416"/>
      <c r="AA157" s="3568">
        <f t="shared" si="54"/>
        <v>1247400</v>
      </c>
      <c r="AE157" s="22">
        <v>1309770</v>
      </c>
      <c r="AF157" s="311"/>
      <c r="AG157" s="2162">
        <v>132</v>
      </c>
      <c r="AH157" s="311" t="s">
        <v>252</v>
      </c>
      <c r="AI157" s="311"/>
      <c r="AJ157" s="2162">
        <v>160</v>
      </c>
      <c r="AK157" s="3559" t="str">
        <f t="shared" si="53"/>
        <v>KS355LA</v>
      </c>
      <c r="AL157" s="311">
        <v>991</v>
      </c>
      <c r="AM157" s="311">
        <v>2380</v>
      </c>
      <c r="AN157" s="3555">
        <f>AO157*(1-H135)</f>
        <v>785862</v>
      </c>
      <c r="AO157" s="385">
        <v>1309770</v>
      </c>
      <c r="AP157" s="416"/>
      <c r="AQ157" s="416"/>
      <c r="AR157" s="416"/>
      <c r="AS157" s="416"/>
      <c r="AZ157" s="2618"/>
      <c r="BQ157" s="29" t="s">
        <v>111</v>
      </c>
      <c r="BR157" s="311">
        <v>109</v>
      </c>
      <c r="BS157" s="311">
        <v>115</v>
      </c>
      <c r="BT157" s="311">
        <v>139</v>
      </c>
      <c r="BU157" s="311">
        <v>208</v>
      </c>
      <c r="BV157" s="311">
        <v>230</v>
      </c>
      <c r="BW157" s="311">
        <v>265</v>
      </c>
      <c r="BX157" s="311">
        <v>375</v>
      </c>
      <c r="BY157" s="311">
        <v>394</v>
      </c>
      <c r="BZ157" s="311">
        <v>455</v>
      </c>
      <c r="CA157" s="311">
        <v>475</v>
      </c>
      <c r="CB157" s="311">
        <v>510</v>
      </c>
      <c r="CC157" s="311">
        <v>615</v>
      </c>
      <c r="CD157" s="311">
        <v>640</v>
      </c>
      <c r="CE157" s="311">
        <v>675</v>
      </c>
      <c r="CF157" s="311">
        <v>980</v>
      </c>
      <c r="CG157" s="311">
        <v>1040</v>
      </c>
      <c r="CH157" s="311">
        <v>1300</v>
      </c>
      <c r="CI157" s="311">
        <v>1330</v>
      </c>
      <c r="CJ157" s="311">
        <v>1380</v>
      </c>
      <c r="CK157" s="311">
        <v>1480</v>
      </c>
      <c r="CL157" s="311">
        <v>1900</v>
      </c>
      <c r="CM157" s="311">
        <v>2100</v>
      </c>
      <c r="CN157" s="311">
        <v>2380</v>
      </c>
      <c r="CO157" s="311">
        <v>2500</v>
      </c>
      <c r="CP157" s="311">
        <v>3100</v>
      </c>
      <c r="CQ157" s="311"/>
      <c r="CR157" s="311"/>
      <c r="CS157" s="311"/>
      <c r="CT157" s="311"/>
    </row>
    <row r="158" spans="2:113">
      <c r="B158" s="51"/>
      <c r="C158" s="302"/>
      <c r="D158" s="67"/>
      <c r="M158" s="311">
        <v>107</v>
      </c>
      <c r="N158" s="2162"/>
      <c r="O158" s="311" t="s">
        <v>242</v>
      </c>
      <c r="P158" s="311">
        <v>116</v>
      </c>
      <c r="Q158" s="2162"/>
      <c r="R158" s="3559" t="str">
        <f t="shared" si="55"/>
        <v>KS315MB</v>
      </c>
      <c r="S158" s="311">
        <v>984</v>
      </c>
      <c r="T158" s="311">
        <v>1480</v>
      </c>
      <c r="U158" s="3555">
        <f>V158*(1-H135)</f>
        <v>594000</v>
      </c>
      <c r="V158" s="311">
        <v>990000</v>
      </c>
      <c r="W158" s="416"/>
      <c r="X158" s="416"/>
      <c r="Y158" s="416"/>
      <c r="Z158" s="416"/>
      <c r="AA158" s="3568">
        <f t="shared" si="54"/>
        <v>1309770</v>
      </c>
      <c r="AE158" s="22">
        <v>1375258.5</v>
      </c>
      <c r="AF158" s="311"/>
      <c r="AG158" s="2162">
        <v>160</v>
      </c>
      <c r="AH158" s="311" t="s">
        <v>254</v>
      </c>
      <c r="AI158" s="311"/>
      <c r="AJ158" s="2162">
        <v>180</v>
      </c>
      <c r="AK158" s="3559" t="str">
        <f t="shared" si="53"/>
        <v>KS355LB</v>
      </c>
      <c r="AL158" s="311">
        <v>991</v>
      </c>
      <c r="AM158" s="311">
        <v>2500</v>
      </c>
      <c r="AN158" s="3555">
        <f>AO158*(1-H135)</f>
        <v>825155.1</v>
      </c>
      <c r="AO158" s="385">
        <v>1375258.5</v>
      </c>
      <c r="AP158" s="416"/>
      <c r="AQ158" s="416"/>
      <c r="AR158" s="416"/>
      <c r="AS158" s="416"/>
      <c r="AZ158" s="2618"/>
      <c r="BQ158" s="2153" t="s">
        <v>2514</v>
      </c>
      <c r="BR158" s="3555">
        <f>BR159*(1-$H$135)</f>
        <v>31410</v>
      </c>
      <c r="BS158" s="3555">
        <f>BS159*(1-$H$135)</f>
        <v>42000</v>
      </c>
      <c r="BT158" s="3555">
        <f t="shared" ref="BT158:CF158" si="56">BT159*(1-$H$135)</f>
        <v>50346</v>
      </c>
      <c r="BU158" s="3555">
        <f t="shared" si="56"/>
        <v>63000</v>
      </c>
      <c r="BV158" s="3555">
        <f t="shared" si="56"/>
        <v>78360</v>
      </c>
      <c r="BW158" s="3555">
        <f t="shared" si="56"/>
        <v>115200</v>
      </c>
      <c r="BX158" s="3555">
        <f t="shared" si="56"/>
        <v>139800</v>
      </c>
      <c r="BY158" s="3555">
        <f t="shared" si="56"/>
        <v>148800</v>
      </c>
      <c r="BZ158" s="3555">
        <f t="shared" si="56"/>
        <v>169773</v>
      </c>
      <c r="CA158" s="3555">
        <f t="shared" si="56"/>
        <v>169800</v>
      </c>
      <c r="CB158" s="3555">
        <f t="shared" si="56"/>
        <v>210717</v>
      </c>
      <c r="CC158" s="3555">
        <f t="shared" si="56"/>
        <v>209412</v>
      </c>
      <c r="CD158" s="3555">
        <f t="shared" si="56"/>
        <v>263400</v>
      </c>
      <c r="CE158" s="3555">
        <f t="shared" si="56"/>
        <v>318000</v>
      </c>
      <c r="CF158" s="3555">
        <f t="shared" si="56"/>
        <v>348000</v>
      </c>
      <c r="CG158" s="3555">
        <f t="shared" ref="CG158:CP158" si="57">CG159*(1-$H$135)</f>
        <v>438480</v>
      </c>
      <c r="CH158" s="3555">
        <f t="shared" si="57"/>
        <v>485571</v>
      </c>
      <c r="CI158" s="3555">
        <f t="shared" si="57"/>
        <v>486000</v>
      </c>
      <c r="CJ158" s="3555">
        <f t="shared" si="57"/>
        <v>550560</v>
      </c>
      <c r="CK158" s="3555">
        <f t="shared" si="57"/>
        <v>594000</v>
      </c>
      <c r="CL158" s="3555">
        <f t="shared" si="57"/>
        <v>712800</v>
      </c>
      <c r="CM158" s="3555">
        <f t="shared" si="57"/>
        <v>748440</v>
      </c>
      <c r="CN158" s="3555">
        <f t="shared" si="57"/>
        <v>785862</v>
      </c>
      <c r="CO158" s="3555">
        <f t="shared" si="57"/>
        <v>825155.1</v>
      </c>
      <c r="CP158" s="3555">
        <f t="shared" si="57"/>
        <v>990186.11999999988</v>
      </c>
      <c r="CQ158" s="385"/>
      <c r="CR158" s="385"/>
      <c r="CS158" s="385"/>
      <c r="CT158" s="385"/>
    </row>
    <row r="159" spans="2:113">
      <c r="B159" s="59"/>
      <c r="D159" s="67"/>
      <c r="M159" s="311">
        <v>116</v>
      </c>
      <c r="N159" s="2162"/>
      <c r="O159" s="311" t="s">
        <v>247</v>
      </c>
      <c r="P159" s="311">
        <v>125</v>
      </c>
      <c r="Q159" s="2162"/>
      <c r="R159" s="3559" t="str">
        <f t="shared" si="55"/>
        <v>KS355S</v>
      </c>
      <c r="S159" s="311">
        <v>986</v>
      </c>
      <c r="T159" s="311">
        <v>1900</v>
      </c>
      <c r="U159" s="3555">
        <f>V159*(1-H135)</f>
        <v>712800</v>
      </c>
      <c r="V159" s="3559">
        <f>+V158*1.2</f>
        <v>1188000</v>
      </c>
      <c r="W159" s="416"/>
      <c r="X159" s="416"/>
      <c r="Y159" s="416"/>
      <c r="Z159" s="416"/>
      <c r="AA159" s="3568">
        <f t="shared" si="54"/>
        <v>1375258.5</v>
      </c>
      <c r="AE159" s="22">
        <v>1650310.2</v>
      </c>
      <c r="AF159" s="311"/>
      <c r="AG159" s="2162">
        <v>180</v>
      </c>
      <c r="AH159" s="311" t="s">
        <v>257</v>
      </c>
      <c r="AI159" s="311"/>
      <c r="AJ159" s="2162">
        <v>240</v>
      </c>
      <c r="AK159" s="3559" t="str">
        <f t="shared" si="53"/>
        <v>KS400L</v>
      </c>
      <c r="AL159" s="311">
        <v>990</v>
      </c>
      <c r="AM159" s="311">
        <v>3100</v>
      </c>
      <c r="AN159" s="3555">
        <f>AO159*(1-H135)</f>
        <v>990186.11999999988</v>
      </c>
      <c r="AO159" s="385">
        <v>1650310.2</v>
      </c>
      <c r="AP159" s="416"/>
      <c r="AQ159" s="416"/>
      <c r="AR159" s="416"/>
      <c r="AS159" s="416"/>
      <c r="AZ159" s="2618"/>
      <c r="BQ159" s="29" t="s">
        <v>113</v>
      </c>
      <c r="BR159" s="311">
        <v>52350</v>
      </c>
      <c r="BS159" s="311">
        <v>70000</v>
      </c>
      <c r="BT159" s="311">
        <v>83910</v>
      </c>
      <c r="BU159" s="311">
        <v>105000</v>
      </c>
      <c r="BV159" s="311">
        <v>130600</v>
      </c>
      <c r="BW159" s="311">
        <v>192000</v>
      </c>
      <c r="BX159" s="311">
        <v>233000</v>
      </c>
      <c r="BY159" s="311">
        <v>248000</v>
      </c>
      <c r="BZ159" s="311">
        <v>282955</v>
      </c>
      <c r="CA159" s="311">
        <v>283000</v>
      </c>
      <c r="CB159" s="311">
        <v>351195</v>
      </c>
      <c r="CC159" s="311">
        <v>349020</v>
      </c>
      <c r="CD159" s="311">
        <v>439000</v>
      </c>
      <c r="CE159" s="311">
        <v>530000</v>
      </c>
      <c r="CF159" s="311">
        <v>580000</v>
      </c>
      <c r="CG159" s="311">
        <v>730800</v>
      </c>
      <c r="CH159" s="311">
        <v>809285</v>
      </c>
      <c r="CI159" s="311">
        <v>810000</v>
      </c>
      <c r="CJ159" s="311">
        <v>917600</v>
      </c>
      <c r="CK159" s="311">
        <v>990000</v>
      </c>
      <c r="CL159" s="311">
        <v>1188000</v>
      </c>
      <c r="CM159" s="311">
        <v>1247400</v>
      </c>
      <c r="CN159" s="311">
        <v>1309770</v>
      </c>
      <c r="CO159" s="311">
        <v>1375258.5</v>
      </c>
      <c r="CP159" s="311">
        <v>1650310.2</v>
      </c>
      <c r="CQ159" s="385"/>
      <c r="CR159" s="385"/>
      <c r="CS159" s="385"/>
      <c r="CT159" s="385"/>
    </row>
    <row r="160" spans="2:113">
      <c r="B160" s="302"/>
      <c r="C160" s="19"/>
      <c r="D160" s="54"/>
      <c r="M160" s="311">
        <v>125</v>
      </c>
      <c r="N160" s="2162"/>
      <c r="O160" s="311" t="s">
        <v>249</v>
      </c>
      <c r="P160" s="311">
        <v>155</v>
      </c>
      <c r="Q160" s="2162"/>
      <c r="R160" s="3559" t="str">
        <f t="shared" si="55"/>
        <v>KS355M</v>
      </c>
      <c r="S160" s="311">
        <v>987</v>
      </c>
      <c r="T160" s="311">
        <v>2100</v>
      </c>
      <c r="U160" s="3555">
        <f>V160*(1-H135)</f>
        <v>748440</v>
      </c>
      <c r="V160" s="3555">
        <f>+V159*1.05</f>
        <v>1247400</v>
      </c>
      <c r="W160" s="416"/>
      <c r="X160" s="416"/>
      <c r="Y160" s="416"/>
      <c r="Z160" s="416"/>
      <c r="AA160" s="3568">
        <f t="shared" si="54"/>
        <v>1650310.2</v>
      </c>
      <c r="AZ160" s="2618"/>
      <c r="BQ160" s="29" t="s">
        <v>114</v>
      </c>
      <c r="BR160" s="416"/>
      <c r="BS160" s="416"/>
      <c r="BT160" s="416"/>
      <c r="BU160" s="416"/>
      <c r="BV160" s="416"/>
      <c r="BW160" s="416"/>
      <c r="BX160" s="416"/>
      <c r="BY160" s="416"/>
      <c r="BZ160" s="416"/>
      <c r="CA160" s="416"/>
      <c r="CB160" s="416"/>
      <c r="CC160" s="416"/>
      <c r="CD160" s="416"/>
      <c r="CE160" s="416"/>
      <c r="CF160" s="416"/>
      <c r="CG160" s="416"/>
      <c r="CH160" s="416"/>
      <c r="CI160" s="416"/>
      <c r="CJ160" s="416"/>
      <c r="CK160" s="416"/>
      <c r="CL160" s="416"/>
      <c r="CM160" s="416"/>
      <c r="CN160" s="416"/>
      <c r="CO160" s="416"/>
      <c r="CP160" s="416"/>
      <c r="CQ160" s="416"/>
      <c r="CR160" s="416"/>
      <c r="CS160" s="416"/>
      <c r="CT160" s="416"/>
    </row>
    <row r="161" spans="2:108">
      <c r="B161" s="342"/>
      <c r="C161" s="2120"/>
      <c r="D161" s="54"/>
      <c r="E161" s="2622"/>
      <c r="M161" s="311">
        <v>155</v>
      </c>
      <c r="N161" s="2162"/>
      <c r="O161" s="311" t="s">
        <v>252</v>
      </c>
      <c r="P161" s="311">
        <v>185</v>
      </c>
      <c r="Q161" s="2162"/>
      <c r="R161" s="3559" t="str">
        <f t="shared" si="55"/>
        <v>KS355LA</v>
      </c>
      <c r="S161" s="311">
        <v>989</v>
      </c>
      <c r="T161" s="311">
        <v>2380</v>
      </c>
      <c r="U161" s="3555">
        <f>V161*(1-H135)</f>
        <v>785862</v>
      </c>
      <c r="V161" s="3555">
        <f>+V160*1.05</f>
        <v>1309770</v>
      </c>
      <c r="W161" s="416"/>
      <c r="X161" s="416"/>
      <c r="Y161" s="416"/>
      <c r="Z161" s="416"/>
      <c r="AZ161" s="2618"/>
      <c r="BQ161" s="29" t="s">
        <v>115</v>
      </c>
      <c r="BR161" s="2155"/>
      <c r="BS161" s="2155"/>
      <c r="BT161" s="2155"/>
      <c r="BU161" s="2155"/>
      <c r="BV161" s="2155"/>
      <c r="BW161" s="2155"/>
      <c r="BX161" s="2155"/>
      <c r="BY161" s="2155"/>
      <c r="BZ161" s="2155"/>
      <c r="CA161" s="2155"/>
      <c r="CB161" s="2155"/>
      <c r="CC161" s="2155"/>
      <c r="CD161" s="2155"/>
      <c r="CE161" s="2155"/>
      <c r="CF161" s="2155"/>
      <c r="CG161" s="2155"/>
      <c r="CH161" s="2155"/>
      <c r="CI161" s="2155"/>
      <c r="CJ161" s="2155"/>
      <c r="CK161" s="2155"/>
      <c r="CL161" s="2155"/>
      <c r="CM161" s="2155"/>
      <c r="CN161" s="2155"/>
      <c r="CO161" s="2155"/>
      <c r="CP161" s="2155"/>
      <c r="CQ161" s="2155"/>
      <c r="CR161" s="2155"/>
      <c r="CS161" s="2155"/>
      <c r="CT161" s="2155"/>
    </row>
    <row r="162" spans="2:108">
      <c r="B162" s="2164"/>
      <c r="C162" s="350"/>
      <c r="D162" s="67"/>
      <c r="E162" s="2622"/>
      <c r="M162" s="311">
        <v>185</v>
      </c>
      <c r="N162" s="2162"/>
      <c r="O162" s="311" t="s">
        <v>254</v>
      </c>
      <c r="P162" s="311">
        <v>205</v>
      </c>
      <c r="Q162" s="2162"/>
      <c r="R162" s="3559" t="str">
        <f t="shared" si="55"/>
        <v>KS355LB</v>
      </c>
      <c r="S162" s="311">
        <v>990</v>
      </c>
      <c r="T162" s="311">
        <v>2500</v>
      </c>
      <c r="U162" s="3555">
        <f>V162*(1-H135)</f>
        <v>825155.1</v>
      </c>
      <c r="V162" s="3555">
        <f>+V161*1.05</f>
        <v>1375258.5</v>
      </c>
      <c r="W162" s="416"/>
      <c r="X162" s="416"/>
      <c r="Y162" s="416"/>
      <c r="Z162" s="416"/>
      <c r="AZ162" s="2618"/>
      <c r="BD162" s="53"/>
      <c r="BE162" s="2156"/>
      <c r="BF162" s="19"/>
      <c r="BG162" s="19"/>
      <c r="BH162" s="19"/>
      <c r="BI162" s="19"/>
      <c r="BJ162" s="19"/>
      <c r="BQ162" s="29" t="s">
        <v>116</v>
      </c>
      <c r="BR162" s="416"/>
      <c r="BS162" s="416"/>
      <c r="BT162" s="416"/>
      <c r="BU162" s="416"/>
      <c r="BV162" s="416"/>
      <c r="BW162" s="416"/>
      <c r="BX162" s="416"/>
      <c r="BY162" s="416"/>
      <c r="BZ162" s="416"/>
      <c r="CA162" s="416"/>
      <c r="CB162" s="416"/>
      <c r="CC162" s="416"/>
      <c r="CD162" s="416"/>
      <c r="CE162" s="416"/>
      <c r="CF162" s="416"/>
      <c r="CG162" s="416"/>
      <c r="CH162" s="416"/>
      <c r="CI162" s="416"/>
      <c r="CJ162" s="416"/>
      <c r="CK162" s="416"/>
      <c r="CL162" s="416"/>
      <c r="CM162" s="416"/>
      <c r="CN162" s="416"/>
      <c r="CO162" s="416"/>
      <c r="CP162" s="416"/>
      <c r="CQ162" s="416"/>
      <c r="CR162" s="416"/>
      <c r="CS162" s="416"/>
      <c r="CT162" s="416"/>
      <c r="CU162" s="416"/>
      <c r="CV162" s="19"/>
    </row>
    <row r="163" spans="2:108">
      <c r="B163" s="353"/>
      <c r="C163" s="354"/>
      <c r="D163" s="2157"/>
      <c r="E163" s="2622"/>
      <c r="F163" s="19"/>
      <c r="G163" s="19"/>
      <c r="H163" s="19"/>
      <c r="I163" s="19"/>
      <c r="M163" s="311">
        <v>205</v>
      </c>
      <c r="N163" s="2162"/>
      <c r="O163" s="311" t="s">
        <v>257</v>
      </c>
      <c r="P163" s="311">
        <v>275</v>
      </c>
      <c r="Q163" s="2162"/>
      <c r="R163" s="3559" t="str">
        <f t="shared" si="55"/>
        <v>KS400L</v>
      </c>
      <c r="S163" s="311">
        <v>989</v>
      </c>
      <c r="T163" s="311">
        <v>3100</v>
      </c>
      <c r="U163" s="3555">
        <f>V163*(1-H135)</f>
        <v>990186.11999999988</v>
      </c>
      <c r="V163" s="3555">
        <f>+V162*1.2</f>
        <v>1650310.2</v>
      </c>
      <c r="W163" s="416"/>
      <c r="X163" s="416"/>
      <c r="Y163" s="416"/>
      <c r="Z163" s="416"/>
      <c r="AZ163" s="2618"/>
      <c r="BE163" s="19"/>
      <c r="BF163" s="19"/>
      <c r="BG163" s="19"/>
      <c r="BH163" s="19"/>
      <c r="BI163" s="19"/>
      <c r="BJ163" s="19"/>
      <c r="BQ163" s="29" t="s">
        <v>117</v>
      </c>
      <c r="BR163" s="416"/>
      <c r="BS163" s="416"/>
      <c r="BT163" s="416"/>
      <c r="BU163" s="416"/>
      <c r="BV163" s="416"/>
      <c r="BW163" s="416"/>
      <c r="BX163" s="416"/>
      <c r="BY163" s="416"/>
      <c r="BZ163" s="416"/>
      <c r="CA163" s="416"/>
      <c r="CB163" s="416"/>
      <c r="CC163" s="416"/>
      <c r="CD163" s="416"/>
      <c r="CE163" s="416"/>
      <c r="CF163" s="416"/>
      <c r="CG163" s="416"/>
      <c r="CH163" s="416"/>
      <c r="CI163" s="416"/>
      <c r="CJ163" s="416"/>
      <c r="CK163" s="416"/>
      <c r="CL163" s="416"/>
      <c r="CM163" s="416"/>
      <c r="CN163" s="416"/>
      <c r="CO163" s="416"/>
      <c r="CP163" s="416"/>
      <c r="CQ163" s="416"/>
      <c r="CR163" s="416"/>
      <c r="CS163" s="416"/>
      <c r="CT163" s="416"/>
      <c r="CU163" s="416"/>
      <c r="CV163" s="19"/>
    </row>
    <row r="164" spans="2:108">
      <c r="B164" s="182"/>
      <c r="C164" s="186"/>
      <c r="D164" s="186"/>
      <c r="F164" s="19"/>
      <c r="AZ164" s="2618"/>
      <c r="BE164" s="19"/>
      <c r="BF164" s="19"/>
      <c r="BG164" s="19"/>
      <c r="BH164" s="19"/>
      <c r="BI164" s="19"/>
      <c r="BJ164" s="19"/>
      <c r="CQ164" s="19"/>
      <c r="CR164" s="19"/>
      <c r="CS164" s="19"/>
      <c r="CT164" s="19"/>
      <c r="CU164" s="19"/>
      <c r="CV164" s="19"/>
    </row>
    <row r="165" spans="2:108">
      <c r="B165" s="182"/>
      <c r="D165" s="51"/>
      <c r="E165" s="51"/>
      <c r="F165" s="19"/>
      <c r="M165" s="19"/>
      <c r="N165" s="19"/>
      <c r="O165" s="19"/>
      <c r="P165" s="19"/>
      <c r="Q165" s="19"/>
      <c r="R165" s="19"/>
      <c r="S165" s="19"/>
      <c r="T165" s="19"/>
      <c r="U165" s="345"/>
      <c r="V165" s="182"/>
      <c r="W165" s="20"/>
      <c r="X165" s="20"/>
      <c r="Y165" s="20"/>
      <c r="Z165" s="20"/>
      <c r="AF165" s="19"/>
      <c r="AG165" s="19"/>
      <c r="AH165" s="19"/>
      <c r="AI165" s="19"/>
      <c r="AJ165" s="19"/>
      <c r="AK165" s="19"/>
      <c r="AL165" s="19"/>
      <c r="AM165" s="19"/>
      <c r="AN165" s="345"/>
      <c r="AO165" s="182"/>
      <c r="AP165" s="20"/>
      <c r="AQ165" s="20"/>
      <c r="AR165" s="20"/>
      <c r="AS165" s="20"/>
      <c r="AZ165" s="2618"/>
    </row>
    <row r="166" spans="2:108">
      <c r="B166" s="59"/>
      <c r="C166" s="108"/>
      <c r="D166" s="108"/>
      <c r="E166" s="108"/>
      <c r="F166" s="19"/>
      <c r="G166" s="19"/>
      <c r="H166" s="19"/>
      <c r="I166" s="19"/>
      <c r="L166" s="2615"/>
      <c r="M166" s="2623"/>
      <c r="N166" s="2615"/>
      <c r="O166" s="216"/>
      <c r="P166" s="2615"/>
      <c r="Q166" s="2615"/>
      <c r="R166" s="53"/>
      <c r="S166" s="53"/>
      <c r="T166" s="216"/>
      <c r="U166" s="17"/>
      <c r="AE166" s="2615"/>
      <c r="AF166" s="2615"/>
      <c r="AG166" s="2615"/>
      <c r="AH166" s="216"/>
      <c r="AI166" s="2615"/>
      <c r="AJ166" s="2615"/>
      <c r="AK166" s="53"/>
      <c r="AL166" s="53"/>
      <c r="AM166" s="216"/>
      <c r="AN166" s="17"/>
      <c r="AZ166" s="2618"/>
    </row>
    <row r="167" spans="2:108">
      <c r="B167" s="17"/>
      <c r="C167" s="19"/>
      <c r="D167" s="19"/>
      <c r="E167" s="19"/>
      <c r="F167" s="19"/>
      <c r="G167" s="19"/>
      <c r="H167" s="19"/>
      <c r="I167" s="19"/>
      <c r="J167" s="19"/>
      <c r="L167" s="2158">
        <v>0.4</v>
      </c>
      <c r="M167" s="53"/>
      <c r="N167" s="53"/>
      <c r="O167" s="53"/>
      <c r="P167" s="53"/>
      <c r="Q167" s="53"/>
      <c r="R167" s="53"/>
      <c r="S167" s="53"/>
      <c r="T167" s="53"/>
      <c r="AE167" s="2165"/>
      <c r="AF167" s="53"/>
      <c r="AG167" s="53"/>
      <c r="AH167" s="53"/>
      <c r="AI167" s="53"/>
      <c r="AJ167" s="53"/>
      <c r="AK167" s="53"/>
      <c r="AL167" s="53"/>
      <c r="AM167" s="53"/>
      <c r="AZ167" s="2618"/>
      <c r="BD167" s="2158">
        <v>0.4</v>
      </c>
      <c r="BE167" s="53"/>
      <c r="BF167" s="53"/>
      <c r="BG167" s="53"/>
      <c r="BH167" s="53"/>
      <c r="BK167" s="53"/>
      <c r="CP167" s="2165"/>
      <c r="CQ167" s="53"/>
      <c r="CR167" s="53"/>
      <c r="CS167" s="53"/>
      <c r="CT167" s="53"/>
      <c r="CW167" s="53"/>
    </row>
    <row r="168" spans="2:108">
      <c r="B168" s="209"/>
      <c r="C168" s="53"/>
      <c r="D168" s="1067"/>
      <c r="E168" s="19"/>
      <c r="F168" s="19"/>
      <c r="J168" s="3532" t="str">
        <f>IF(A137="40%",K168,IF(A137="60%",K175))</f>
        <v>Right</v>
      </c>
      <c r="K168" s="3563" t="str">
        <f>IF(K169="Right",IF(K170="Right",IF(K171="Right",IF(K172="Right","Right","Wrong"))))</f>
        <v>Right</v>
      </c>
      <c r="L168" s="2159" t="s">
        <v>1710</v>
      </c>
      <c r="M168" s="2602" t="s">
        <v>2494</v>
      </c>
      <c r="N168" s="2602" t="s">
        <v>2495</v>
      </c>
      <c r="O168" s="2602" t="s">
        <v>2496</v>
      </c>
      <c r="P168" s="29" t="s">
        <v>119</v>
      </c>
      <c r="Q168" s="179" t="s">
        <v>121</v>
      </c>
      <c r="R168" s="179" t="s">
        <v>274</v>
      </c>
      <c r="S168" s="145" t="s">
        <v>2497</v>
      </c>
      <c r="T168" s="53"/>
      <c r="U168" s="29" t="s">
        <v>112</v>
      </c>
      <c r="V168" s="29" t="s">
        <v>113</v>
      </c>
      <c r="W168" s="29" t="s">
        <v>114</v>
      </c>
      <c r="X168" s="29" t="s">
        <v>115</v>
      </c>
      <c r="Y168" s="29" t="s">
        <v>116</v>
      </c>
      <c r="Z168" s="29" t="s">
        <v>117</v>
      </c>
      <c r="AE168" s="2158">
        <v>0.6</v>
      </c>
      <c r="AF168" s="53"/>
      <c r="AG168" s="53"/>
      <c r="AH168" s="53"/>
      <c r="AI168" s="53"/>
      <c r="AJ168" s="53"/>
      <c r="AK168" s="1731"/>
      <c r="AL168" s="53"/>
      <c r="AM168" s="19"/>
      <c r="AN168" s="20"/>
      <c r="AO168" s="20"/>
      <c r="AP168" s="20"/>
      <c r="AQ168" s="20"/>
      <c r="AR168" s="20"/>
      <c r="AS168" s="20"/>
      <c r="AZ168" s="2618"/>
      <c r="BD168" s="2159" t="s">
        <v>1710</v>
      </c>
      <c r="BE168" s="2602" t="s">
        <v>2494</v>
      </c>
      <c r="BF168" s="2602" t="s">
        <v>2495</v>
      </c>
      <c r="BG168" s="2602" t="s">
        <v>2496</v>
      </c>
      <c r="BH168" s="29" t="s">
        <v>119</v>
      </c>
      <c r="BI168" s="179" t="s">
        <v>121</v>
      </c>
      <c r="BJ168" s="179" t="s">
        <v>274</v>
      </c>
      <c r="BK168" s="145" t="s">
        <v>2497</v>
      </c>
      <c r="BM168" s="29" t="s">
        <v>112</v>
      </c>
      <c r="BN168" s="29" t="s">
        <v>113</v>
      </c>
      <c r="BO168" s="29" t="s">
        <v>114</v>
      </c>
      <c r="BP168" s="29" t="s">
        <v>115</v>
      </c>
      <c r="BQ168" s="29" t="s">
        <v>116</v>
      </c>
      <c r="BR168" s="29" t="s">
        <v>117</v>
      </c>
      <c r="BV168" s="2166">
        <v>0.6</v>
      </c>
      <c r="BW168" s="53"/>
      <c r="BX168" s="53"/>
      <c r="BY168" s="53"/>
      <c r="BZ168" s="53"/>
      <c r="CC168" s="53"/>
      <c r="CP168" s="1939"/>
      <c r="CQ168" s="2615"/>
      <c r="CR168" s="2615"/>
      <c r="CS168" s="2615"/>
      <c r="CT168" s="59"/>
      <c r="CU168" s="79"/>
      <c r="CV168" s="79"/>
      <c r="CW168" s="53"/>
      <c r="CY168" s="59"/>
      <c r="CZ168" s="59"/>
      <c r="DA168" s="59"/>
      <c r="DB168" s="59"/>
      <c r="DC168" s="59"/>
      <c r="DD168" s="59"/>
    </row>
    <row r="169" spans="2:108">
      <c r="B169" s="454"/>
      <c r="C169" s="19"/>
      <c r="D169" s="55"/>
      <c r="E169" s="19"/>
      <c r="F169" s="19"/>
      <c r="J169" s="3532" t="str">
        <f>IF(A137="40%",K169,IF(A137="60%",K176))</f>
        <v>Right</v>
      </c>
      <c r="K169" s="3561" t="str">
        <f>IF(T169="Right",IF(AA169="Right","Right","Wrong"))</f>
        <v>Right</v>
      </c>
      <c r="L169" s="2602" t="s">
        <v>2471</v>
      </c>
      <c r="M169" s="3533">
        <f>C137</f>
        <v>14.931600768800502</v>
      </c>
      <c r="N169" s="3533">
        <f>VLOOKUP(M169,M135:M163,1)</f>
        <v>13.5</v>
      </c>
      <c r="O169" s="3533">
        <f>VLOOKUP(N169,M135:P163,4,0)</f>
        <v>17</v>
      </c>
      <c r="P169" s="3564" t="str">
        <f>VLOOKUP(O169,P135:R163,3,0)</f>
        <v>KS200L1</v>
      </c>
      <c r="Q169" s="3564">
        <f>VLOOKUP(P169,R135:U163,2,0)</f>
        <v>972</v>
      </c>
      <c r="R169" s="3549">
        <f>VLOOKUP(P169,R134:U163,4,0)</f>
        <v>139800</v>
      </c>
      <c r="S169" s="3564">
        <f>VLOOKUP(P169,R135:T163,3,0)</f>
        <v>375</v>
      </c>
      <c r="T169" s="3561" t="str">
        <f>IF(BE169=M169,IF(N169=BF169,IF(O169=BG169,IF(P169=BH169,IF(Q169=BI169,IF(R169=BJ169,IF(S169=BK169,"Right","Wrong")))))))</f>
        <v>Right</v>
      </c>
      <c r="U169" s="3535">
        <f>VLOOKUP(P169,R135:Z163,4,0)</f>
        <v>139800</v>
      </c>
      <c r="V169" s="3535">
        <f>VLOOKUP(P169,R135:Z163,5,0)</f>
        <v>233000</v>
      </c>
      <c r="W169" s="3535">
        <f>VLOOKUP(P169,R135:Z163,6,0)</f>
        <v>0</v>
      </c>
      <c r="X169" s="3535">
        <f>VLOOKUP(P169,R135:Z163,7,0)</f>
        <v>0</v>
      </c>
      <c r="Y169" s="3535">
        <f>VLOOKUP(P169,R135:Z163,8,0)</f>
        <v>0</v>
      </c>
      <c r="Z169" s="3535">
        <f>VLOOKUP(P169,R135:Z163,9,0)</f>
        <v>0</v>
      </c>
      <c r="AA169" s="3561" t="str">
        <f>IF(BM169=U169,IF(V169=BN169,IF(W169=BO169,IF(X169=BP169,IF(Y169=BQ169,IF(Z169=BR169,"Right","Wrong"))))))</f>
        <v>Right</v>
      </c>
      <c r="AE169" s="2159" t="s">
        <v>1710</v>
      </c>
      <c r="AF169" s="2602" t="s">
        <v>2494</v>
      </c>
      <c r="AG169" s="2602" t="s">
        <v>2495</v>
      </c>
      <c r="AH169" s="2602" t="s">
        <v>2496</v>
      </c>
      <c r="AI169" s="29" t="s">
        <v>119</v>
      </c>
      <c r="AJ169" s="179" t="s">
        <v>121</v>
      </c>
      <c r="AK169" s="1846" t="s">
        <v>274</v>
      </c>
      <c r="AL169" s="145" t="s">
        <v>2497</v>
      </c>
      <c r="AM169" s="53"/>
      <c r="AN169" s="29" t="s">
        <v>112</v>
      </c>
      <c r="AO169" s="29" t="s">
        <v>113</v>
      </c>
      <c r="AP169" s="29" t="s">
        <v>114</v>
      </c>
      <c r="AQ169" s="29" t="s">
        <v>115</v>
      </c>
      <c r="AR169" s="29" t="s">
        <v>116</v>
      </c>
      <c r="AS169" s="29" t="s">
        <v>117</v>
      </c>
      <c r="AZ169" s="2618"/>
      <c r="BD169" s="2602" t="s">
        <v>2471</v>
      </c>
      <c r="BE169" s="3569">
        <f>M169</f>
        <v>14.931600768800502</v>
      </c>
      <c r="BF169" s="3559">
        <f>HLOOKUP(BE169,BE134:CG134,1)</f>
        <v>13.5</v>
      </c>
      <c r="BG169" s="3559">
        <f>HLOOKUP(BF169,BE134:CG137,4,0)</f>
        <v>17</v>
      </c>
      <c r="BH169" s="3559" t="str">
        <f>HLOOKUP(BG169,BE137:CG139,3,0)</f>
        <v>KS200L1</v>
      </c>
      <c r="BI169" s="3559">
        <f>HLOOKUP(BH169,BE139:CG141,2,0)</f>
        <v>972</v>
      </c>
      <c r="BJ169" s="3559">
        <f>HLOOKUP(BH169,BE139:CG142,4,0)</f>
        <v>139800</v>
      </c>
      <c r="BK169" s="3559">
        <f>HLOOKUP(BH169,BE139:CG141,3,0)</f>
        <v>375</v>
      </c>
      <c r="BM169" s="3559">
        <f>HLOOKUP(BH169,BE139:CG147,4,0)</f>
        <v>139800</v>
      </c>
      <c r="BN169" s="3559">
        <f>HLOOKUP(BH169,BE139:CG147,5,0)</f>
        <v>233000</v>
      </c>
      <c r="BO169" s="3559">
        <f>HLOOKUP(BH169,BE139:CG147,6,0)</f>
        <v>0</v>
      </c>
      <c r="BP169" s="3559">
        <f>HLOOKUP(BH169,BE139:CG147,7,0)</f>
        <v>0</v>
      </c>
      <c r="BQ169" s="3559">
        <f>HLOOKUP(BH169,BE139:CG147,8,0)</f>
        <v>0</v>
      </c>
      <c r="BR169" s="3559">
        <f>HLOOKUP(BH169,BE139:CG147,9,0)</f>
        <v>0</v>
      </c>
      <c r="BV169" s="2159" t="s">
        <v>1710</v>
      </c>
      <c r="BW169" s="2602" t="s">
        <v>2494</v>
      </c>
      <c r="BX169" s="2602" t="s">
        <v>2495</v>
      </c>
      <c r="BY169" s="2602" t="s">
        <v>2496</v>
      </c>
      <c r="BZ169" s="29" t="s">
        <v>119</v>
      </c>
      <c r="CA169" s="179" t="s">
        <v>121</v>
      </c>
      <c r="CB169" s="179" t="s">
        <v>274</v>
      </c>
      <c r="CC169" s="145" t="s">
        <v>2497</v>
      </c>
      <c r="CE169" s="29" t="s">
        <v>112</v>
      </c>
      <c r="CF169" s="29" t="s">
        <v>113</v>
      </c>
      <c r="CG169" s="29" t="s">
        <v>114</v>
      </c>
      <c r="CH169" s="29" t="s">
        <v>115</v>
      </c>
      <c r="CI169" s="29" t="s">
        <v>116</v>
      </c>
      <c r="CJ169" s="29" t="s">
        <v>117</v>
      </c>
      <c r="CP169" s="2615"/>
      <c r="CQ169" s="2156"/>
      <c r="CR169" s="19"/>
      <c r="CS169" s="19"/>
      <c r="CT169" s="19"/>
      <c r="CU169" s="19"/>
      <c r="CV169" s="19"/>
      <c r="CW169" s="19"/>
      <c r="CY169" s="19"/>
      <c r="CZ169" s="19"/>
      <c r="DA169" s="19"/>
      <c r="DB169" s="19"/>
      <c r="DC169" s="19"/>
      <c r="DD169" s="19"/>
    </row>
    <row r="170" spans="2:108">
      <c r="B170" s="2160"/>
      <c r="C170" s="19"/>
      <c r="D170" s="55"/>
      <c r="E170" s="19"/>
      <c r="F170" s="19"/>
      <c r="J170" s="3532" t="str">
        <f t="shared" ref="J170:J172" si="58">IF(A138="40%",K170,IF(A138="60%",K177))</f>
        <v>Right</v>
      </c>
      <c r="K170" s="3561" t="str">
        <f t="shared" ref="K170:K179" si="59">IF(T170="Right",IF(AA170="Right","Right","Wrong"))</f>
        <v>Right</v>
      </c>
      <c r="L170" s="2602" t="s">
        <v>2472</v>
      </c>
      <c r="M170" s="3533">
        <f>C138</f>
        <v>14.970777992527008</v>
      </c>
      <c r="N170" s="3533">
        <f>VLOOKUP(M170,M135:M163,1)</f>
        <v>13.5</v>
      </c>
      <c r="O170" s="3533">
        <f>VLOOKUP(N170,M135:P163,4,0)</f>
        <v>17</v>
      </c>
      <c r="P170" s="3564" t="str">
        <f>VLOOKUP(O170,P135:R163,3,0)</f>
        <v>KS200L1</v>
      </c>
      <c r="Q170" s="3564">
        <f>VLOOKUP(P170,R135:U163,2,0)</f>
        <v>972</v>
      </c>
      <c r="R170" s="3549">
        <f>VLOOKUP(P170,R134:U163,4,0)</f>
        <v>139800</v>
      </c>
      <c r="S170" s="3564">
        <f>VLOOKUP(P170,R135:T163,3,0)</f>
        <v>375</v>
      </c>
      <c r="T170" s="3561" t="str">
        <f>IF(BE170=M170,IF(N170=BF170,IF(O170=BG170,IF(P170=BH170,IF(Q170=BI170,IF(R170=BJ170,IF(S170=BK170,"Right","Wrong")))))))</f>
        <v>Right</v>
      </c>
      <c r="U170" s="3535">
        <f>VLOOKUP(P170,R135:Z163,4,0)</f>
        <v>139800</v>
      </c>
      <c r="V170" s="3535">
        <f>VLOOKUP(P170,R135:Z163,5,0)</f>
        <v>233000</v>
      </c>
      <c r="W170" s="3535">
        <f>VLOOKUP(P170,R135:Z163,6,0)</f>
        <v>0</v>
      </c>
      <c r="X170" s="3535">
        <f>VLOOKUP(P170,R135:Z163,7,0)</f>
        <v>0</v>
      </c>
      <c r="Y170" s="3535">
        <f>VLOOKUP(P170,R135:Z163,8,0)</f>
        <v>0</v>
      </c>
      <c r="Z170" s="3535">
        <f>VLOOKUP(P170,R135:Z163,9,0)</f>
        <v>0</v>
      </c>
      <c r="AA170" s="3561" t="str">
        <f>IF(BM170=U170,IF(V170=BN170,IF(W170=BO170,IF(X170=BP170,IF(Y170=BQ170,IF(Z170=BR170,"Right","Wrong"))))))</f>
        <v>Right</v>
      </c>
      <c r="AE170" s="2602" t="s">
        <v>2471</v>
      </c>
      <c r="AF170" s="3567">
        <f>M169</f>
        <v>14.931600768800502</v>
      </c>
      <c r="AG170" s="3533">
        <f>VLOOKUP(AF170,AG135:AG159,1)</f>
        <v>11</v>
      </c>
      <c r="AH170" s="3533">
        <f>VLOOKUP(AG170,AG135:AJ159,4,0)</f>
        <v>15</v>
      </c>
      <c r="AI170" s="3564" t="str">
        <f>VLOOKUP(AH170,AJ135:AK159,2,0)</f>
        <v>KS200L1</v>
      </c>
      <c r="AJ170" s="3564">
        <f>VLOOKUP(AI170,AK135:AN159,2,0)</f>
        <v>975</v>
      </c>
      <c r="AK170" s="3549">
        <f>VLOOKUP(AI170,AK134:AN159,4,0)</f>
        <v>139800</v>
      </c>
      <c r="AL170" s="3564">
        <f>VLOOKUP(AI170,AK135:AM159,3,0)</f>
        <v>375</v>
      </c>
      <c r="AM170" s="53"/>
      <c r="AN170" s="3535">
        <f>VLOOKUP(AI170,AK135:AS159,4,0)</f>
        <v>139800</v>
      </c>
      <c r="AO170" s="3535">
        <f>VLOOKUP(AI170,AK135:AS159,5,0)</f>
        <v>233000</v>
      </c>
      <c r="AP170" s="3535">
        <f>VLOOKUP(AI170,AK135:AS159,6,0)</f>
        <v>0</v>
      </c>
      <c r="AQ170" s="3535">
        <f>VLOOKUP(AI170,AK135:AS159,7,0)</f>
        <v>0</v>
      </c>
      <c r="AR170" s="3535">
        <f>VLOOKUP(AI170,AK135:AS159,8,0)</f>
        <v>0</v>
      </c>
      <c r="AS170" s="3535">
        <f>VLOOKUP(AI170,AK135:AS159,9,0)</f>
        <v>0</v>
      </c>
      <c r="AZ170" s="2618"/>
      <c r="BD170" s="2602" t="s">
        <v>2472</v>
      </c>
      <c r="BE170" s="3569">
        <f>M170</f>
        <v>14.970777992527008</v>
      </c>
      <c r="BF170" s="3559">
        <f>HLOOKUP(BE170,BE134:CG134,1)</f>
        <v>13.5</v>
      </c>
      <c r="BG170" s="3559">
        <f>HLOOKUP(BF170,BE134:CG137,4,0)</f>
        <v>17</v>
      </c>
      <c r="BH170" s="3559" t="str">
        <f>HLOOKUP(BG170,BE137:CG139,3,0)</f>
        <v>KS200L1</v>
      </c>
      <c r="BI170" s="3559">
        <f>HLOOKUP(BH170,BE139:CG141,2,0)</f>
        <v>972</v>
      </c>
      <c r="BJ170" s="3559">
        <f>HLOOKUP(BH170,BE139:CG142,4,0)</f>
        <v>139800</v>
      </c>
      <c r="BK170" s="3559">
        <f>HLOOKUP(BH170,BE139:CG141,3,0)</f>
        <v>375</v>
      </c>
      <c r="BM170" s="3559">
        <f>HLOOKUP(BH170,BE139:CG147,4,0)</f>
        <v>139800</v>
      </c>
      <c r="BN170" s="3559">
        <f>HLOOKUP(BH170,BE139:CG147,5,0)</f>
        <v>233000</v>
      </c>
      <c r="BO170" s="3559">
        <f>HLOOKUP(BH170,BE139:CG147,6,0)</f>
        <v>0</v>
      </c>
      <c r="BP170" s="3559">
        <f>HLOOKUP(BH170,BE139:CG147,7,0)</f>
        <v>0</v>
      </c>
      <c r="BQ170" s="3559">
        <f>HLOOKUP(BH170,BE139:CG147,8,0)</f>
        <v>0</v>
      </c>
      <c r="BR170" s="3559">
        <f>HLOOKUP(BH170,BE139:CG147,9,0)</f>
        <v>0</v>
      </c>
      <c r="BV170" s="2602" t="s">
        <v>2471</v>
      </c>
      <c r="BW170" s="3569">
        <f>BE169</f>
        <v>14.931600768800502</v>
      </c>
      <c r="BX170" s="3559">
        <f>HLOOKUP(BW170,BR151:CT151,1)</f>
        <v>11</v>
      </c>
      <c r="BY170" s="3559">
        <f>HLOOKUP(BX170,BR151:CT154,4,0)</f>
        <v>15</v>
      </c>
      <c r="BZ170" s="3559" t="str">
        <f>HLOOKUP(BY170,BR154:CT155,2,0)</f>
        <v>KS200L1</v>
      </c>
      <c r="CA170" s="3559">
        <f>HLOOKUP(BZ170,BR155:CT157,2,0)</f>
        <v>975</v>
      </c>
      <c r="CB170" s="3559">
        <f>HLOOKUP(BZ170,BR155:CT158,4,0)</f>
        <v>139800</v>
      </c>
      <c r="CC170" s="3559">
        <f>HLOOKUP(BZ170,BR155:CT157,3,0)</f>
        <v>375</v>
      </c>
      <c r="CE170" s="3559">
        <f>HLOOKUP(BZ170,BR155:CU163,4,0)</f>
        <v>139800</v>
      </c>
      <c r="CF170" s="3559">
        <f>HLOOKUP(BZ170,BR155:CU163,5,0)</f>
        <v>233000</v>
      </c>
      <c r="CG170" s="3559">
        <f>HLOOKUP(BZ170,BR155:CU163,6,0)</f>
        <v>0</v>
      </c>
      <c r="CH170" s="3559">
        <f>HLOOKUP(BZ170,BR155:CU163,7,0)</f>
        <v>0</v>
      </c>
      <c r="CI170" s="3559">
        <f>HLOOKUP(BZ170,BR155:CU163,8,0)</f>
        <v>0</v>
      </c>
      <c r="CJ170" s="3559">
        <f>HLOOKUP(BZ170,BR155:CU163,9,0)</f>
        <v>0</v>
      </c>
      <c r="CP170" s="2615"/>
      <c r="CQ170" s="2156"/>
      <c r="CR170" s="19"/>
      <c r="CS170" s="19"/>
      <c r="CT170" s="19"/>
      <c r="CU170" s="19"/>
      <c r="CV170" s="19"/>
      <c r="CW170" s="19"/>
      <c r="CY170" s="19"/>
      <c r="CZ170" s="19"/>
      <c r="DA170" s="19"/>
      <c r="DB170" s="19"/>
      <c r="DC170" s="19"/>
      <c r="DD170" s="19"/>
    </row>
    <row r="171" spans="2:108">
      <c r="B171" s="481"/>
      <c r="C171" s="19"/>
      <c r="E171" s="19"/>
      <c r="F171" s="19"/>
      <c r="J171" s="3532" t="b">
        <f t="shared" si="58"/>
        <v>0</v>
      </c>
      <c r="K171" s="3561" t="str">
        <f t="shared" si="59"/>
        <v>Right</v>
      </c>
      <c r="L171" s="2602" t="s">
        <v>2473</v>
      </c>
      <c r="M171" s="3533">
        <f>C139</f>
        <v>0.7475763842813713</v>
      </c>
      <c r="N171" s="3533">
        <f>VLOOKUP(M171,M135:M163,1)</f>
        <v>0</v>
      </c>
      <c r="O171" s="3533">
        <f>VLOOKUP(N171,M135:P163,4,0)</f>
        <v>1.8</v>
      </c>
      <c r="P171" s="3564" t="str">
        <f>VLOOKUP(O171,P135:R163,3,0)</f>
        <v>KS112M</v>
      </c>
      <c r="Q171" s="3564">
        <f>VLOOKUP(P171,R135:U163,2,0)</f>
        <v>915</v>
      </c>
      <c r="R171" s="3549">
        <f>VLOOKUP(P171,R134:U163,4,0)</f>
        <v>31410</v>
      </c>
      <c r="S171" s="3564">
        <f>VLOOKUP(P171,R135:T163,3,0)</f>
        <v>109</v>
      </c>
      <c r="T171" s="3561" t="str">
        <f>IF(BE171=M171,IF(N171=BF171,IF(O171=BG171,IF(P171=BH171,IF(Q171=BI171,IF(R171=BJ171,IF(S171=BK171,"Right","Wrong")))))))</f>
        <v>Right</v>
      </c>
      <c r="U171" s="3535">
        <f>VLOOKUP(P171,R135:Z163,4,0)</f>
        <v>31410</v>
      </c>
      <c r="V171" s="3535">
        <f>VLOOKUP(P171,R135:Z163,5,0)</f>
        <v>52350</v>
      </c>
      <c r="W171" s="3535">
        <f>VLOOKUP(P171,R135:Z163,6,0)</f>
        <v>0</v>
      </c>
      <c r="X171" s="3535">
        <f>VLOOKUP(P171,R135:Z163,7,0)</f>
        <v>0</v>
      </c>
      <c r="Y171" s="3535">
        <f>VLOOKUP(P171,R135:Z163,8,0)</f>
        <v>0</v>
      </c>
      <c r="Z171" s="3535">
        <f>VLOOKUP(P171,R135:Z163,9,0)</f>
        <v>0</v>
      </c>
      <c r="AA171" s="3561" t="str">
        <f>IF(BM171=U171,IF(V171=BN171,IF(W171=BO171,IF(X171=BP171,IF(Y171=BQ171,IF(Z171=BR171,"Right","Wrong"))))))</f>
        <v>Right</v>
      </c>
      <c r="AE171" s="2602" t="s">
        <v>2472</v>
      </c>
      <c r="AF171" s="3533">
        <f>M170</f>
        <v>14.970777992527008</v>
      </c>
      <c r="AG171" s="3533">
        <f>VLOOKUP(AF171,AG135:AG159,1)</f>
        <v>11</v>
      </c>
      <c r="AH171" s="3533">
        <f>VLOOKUP(AG171,AG135:AJ159,4,0)</f>
        <v>15</v>
      </c>
      <c r="AI171" s="3564" t="str">
        <f>VLOOKUP(AH171,AJ135:AK159,2,0)</f>
        <v>KS200L1</v>
      </c>
      <c r="AJ171" s="3564">
        <f>VLOOKUP(AI171,AK135:AN159,2,0)</f>
        <v>975</v>
      </c>
      <c r="AK171" s="3549">
        <f>VLOOKUP(AI171,AK134:AN159,4,0)</f>
        <v>139800</v>
      </c>
      <c r="AL171" s="3564">
        <f>VLOOKUP(AI171,AK135:AM159,3,0)</f>
        <v>375</v>
      </c>
      <c r="AM171" s="53"/>
      <c r="AN171" s="3535">
        <f>VLOOKUP(AI171,AK135:AS159,4,0)</f>
        <v>139800</v>
      </c>
      <c r="AO171" s="3535">
        <f>VLOOKUP(AI171,AK135:AS159,5,0)</f>
        <v>233000</v>
      </c>
      <c r="AP171" s="3535">
        <f>VLOOKUP(AI171,AK135:AS159,6,0)</f>
        <v>0</v>
      </c>
      <c r="AQ171" s="3535">
        <f>VLOOKUP(AI171,AK135:AS159,7,0)</f>
        <v>0</v>
      </c>
      <c r="AR171" s="3535">
        <f>VLOOKUP(AI171,AK135:AS159,8,0)</f>
        <v>0</v>
      </c>
      <c r="AS171" s="3535">
        <f>VLOOKUP(AI171,AK135:AS159,9,0)</f>
        <v>0</v>
      </c>
      <c r="AZ171" s="2618"/>
      <c r="BD171" s="2602" t="s">
        <v>2473</v>
      </c>
      <c r="BE171" s="3569">
        <f>M171</f>
        <v>0.7475763842813713</v>
      </c>
      <c r="BF171" s="3559">
        <f>HLOOKUP(BE171,BE134:CG134,1)</f>
        <v>0</v>
      </c>
      <c r="BG171" s="3559">
        <f>HLOOKUP(BF171,BE134:CG137,4,0)</f>
        <v>1.8</v>
      </c>
      <c r="BH171" s="3559" t="str">
        <f>HLOOKUP(BG171,BE137:CG139,3,0)</f>
        <v>KS112M</v>
      </c>
      <c r="BI171" s="3559">
        <f>HLOOKUP(BH171,BE139:CG141,2,0)</f>
        <v>915</v>
      </c>
      <c r="BJ171" s="3559">
        <f>HLOOKUP(BH171,BE139:CG142,4,0)</f>
        <v>31410</v>
      </c>
      <c r="BK171" s="3559">
        <f>HLOOKUP(BH171,BE139:CG141,3,0)</f>
        <v>109</v>
      </c>
      <c r="BM171" s="3559">
        <f>HLOOKUP(BH171,BE139:CG147,4,0)</f>
        <v>31410</v>
      </c>
      <c r="BN171" s="3559">
        <f>HLOOKUP(BH171,BE139:CG147,5,0)</f>
        <v>52350</v>
      </c>
      <c r="BO171" s="3559">
        <f>HLOOKUP(BH171,BE139:CG147,6,0)</f>
        <v>0</v>
      </c>
      <c r="BP171" s="3559">
        <f>HLOOKUP(BH171,BE139:CG147,7,0)</f>
        <v>0</v>
      </c>
      <c r="BQ171" s="3559">
        <f>HLOOKUP(BH171,BE139:CG147,8,0)</f>
        <v>0</v>
      </c>
      <c r="BR171" s="3559">
        <f>HLOOKUP(BH171,BE139:CG147,9,0)</f>
        <v>0</v>
      </c>
      <c r="BV171" s="2602" t="s">
        <v>2472</v>
      </c>
      <c r="BW171" s="3569">
        <f t="shared" ref="BW171:BW173" si="60">BE170</f>
        <v>14.970777992527008</v>
      </c>
      <c r="BX171" s="3559">
        <f>HLOOKUP(BW171,BR151:CT151,1)</f>
        <v>11</v>
      </c>
      <c r="BY171" s="3559">
        <f>HLOOKUP(BX171,BR151:CT154,4,0)</f>
        <v>15</v>
      </c>
      <c r="BZ171" s="3559" t="str">
        <f>HLOOKUP(BY171,BR154:CT155,2,0)</f>
        <v>KS200L1</v>
      </c>
      <c r="CA171" s="3559">
        <f>HLOOKUP(BZ171,BR155:CT157,2,0)</f>
        <v>975</v>
      </c>
      <c r="CB171" s="3559">
        <f>HLOOKUP(BZ171,BR155:CT158,4,0)</f>
        <v>139800</v>
      </c>
      <c r="CC171" s="3559">
        <f>HLOOKUP(BZ171,BR155:CT157,3,0)</f>
        <v>375</v>
      </c>
      <c r="CE171" s="3559">
        <f>HLOOKUP(BZ171,BR155:CU163,4,0)</f>
        <v>139800</v>
      </c>
      <c r="CF171" s="3559">
        <f>HLOOKUP(BZ171,BR155:CU163,5,0)</f>
        <v>233000</v>
      </c>
      <c r="CG171" s="3559">
        <f>HLOOKUP(BZ171,BR155:CU163,6,0)</f>
        <v>0</v>
      </c>
      <c r="CH171" s="3559">
        <f>HLOOKUP(BZ171,BR155:CU163,7,0)</f>
        <v>0</v>
      </c>
      <c r="CI171" s="3559">
        <f>HLOOKUP(BZ171,BR155:CU163,8,0)</f>
        <v>0</v>
      </c>
      <c r="CJ171" s="3559">
        <f>HLOOKUP(BZ171,BR155:CU163,9,0)</f>
        <v>0</v>
      </c>
      <c r="CP171" s="2615"/>
      <c r="CQ171" s="2156"/>
      <c r="CR171" s="19"/>
      <c r="CS171" s="19"/>
      <c r="CT171" s="19"/>
      <c r="CU171" s="19"/>
      <c r="CV171" s="19"/>
      <c r="CW171" s="19"/>
      <c r="CY171" s="19"/>
      <c r="CZ171" s="19"/>
      <c r="DA171" s="19"/>
      <c r="DB171" s="19"/>
      <c r="DC171" s="19"/>
      <c r="DD171" s="19"/>
    </row>
    <row r="172" spans="2:108">
      <c r="B172" s="2116"/>
      <c r="C172" s="20"/>
      <c r="D172" s="55"/>
      <c r="E172" s="20"/>
      <c r="F172" s="20"/>
      <c r="J172" s="3532" t="b">
        <f t="shared" si="58"/>
        <v>0</v>
      </c>
      <c r="K172" s="3561" t="str">
        <f t="shared" si="59"/>
        <v>Right</v>
      </c>
      <c r="L172" s="2602" t="s">
        <v>2474</v>
      </c>
      <c r="M172" s="3533">
        <f>C140</f>
        <v>1.2453130745563414</v>
      </c>
      <c r="N172" s="3533">
        <f>VLOOKUP(M172,M135:M163,1)</f>
        <v>0</v>
      </c>
      <c r="O172" s="3533">
        <f>VLOOKUP(N172,M135:P163,4,0)</f>
        <v>1.8</v>
      </c>
      <c r="P172" s="3564" t="str">
        <f>VLOOKUP(O172,P135:R163,3,0)</f>
        <v>KS112M</v>
      </c>
      <c r="Q172" s="3564">
        <f>VLOOKUP(P172,R135:U163,2,0)</f>
        <v>915</v>
      </c>
      <c r="R172" s="3549">
        <f>VLOOKUP(P172,R134:U163,4,0)</f>
        <v>31410</v>
      </c>
      <c r="S172" s="3564">
        <f>VLOOKUP(P172,R135:T163,3,0)</f>
        <v>109</v>
      </c>
      <c r="T172" s="3561" t="str">
        <f>IF(BE172=M172,IF(N172=BF172,IF(O172=BG172,IF(P172=BH172,IF(Q172=BI172,IF(R172=BJ172,IF(S172=BK172,"Right","Wrong")))))))</f>
        <v>Right</v>
      </c>
      <c r="U172" s="3535">
        <f>VLOOKUP(P172,R135:Z163,4,0)</f>
        <v>31410</v>
      </c>
      <c r="V172" s="3535">
        <f>VLOOKUP(P172,R135:Z163,5,0)</f>
        <v>52350</v>
      </c>
      <c r="W172" s="3535">
        <f>VLOOKUP(P172,R135:Z163,6,0)</f>
        <v>0</v>
      </c>
      <c r="X172" s="3535">
        <f>VLOOKUP(P172,R135:Z163,7,0)</f>
        <v>0</v>
      </c>
      <c r="Y172" s="3535">
        <f>VLOOKUP(P172,R135:Z163,8,0)</f>
        <v>0</v>
      </c>
      <c r="Z172" s="3535">
        <f>VLOOKUP(P172,R135:Z163,9,0)</f>
        <v>0</v>
      </c>
      <c r="AA172" s="3561" t="str">
        <f>IF(BM172=U172,IF(V172=BN172,IF(W172=BO172,IF(X172=BP172,IF(Y172=BQ172,IF(Z172=BR172,"Right","Wrong"))))))</f>
        <v>Right</v>
      </c>
      <c r="AE172" s="2602" t="s">
        <v>2473</v>
      </c>
      <c r="AF172" s="3533">
        <f>M171</f>
        <v>0.7475763842813713</v>
      </c>
      <c r="AG172" s="3533">
        <f>VLOOKUP(AF172,AG135:AG159,1)</f>
        <v>0</v>
      </c>
      <c r="AH172" s="3533">
        <f>VLOOKUP(AG172,AG135:AJ159,4,0)</f>
        <v>1.5</v>
      </c>
      <c r="AI172" s="3564" t="str">
        <f>VLOOKUP(AH172,AJ135:AK159,2,0)</f>
        <v>KS112M</v>
      </c>
      <c r="AJ172" s="3564">
        <f>VLOOKUP(AI172,AK135:AN159,2,0)</f>
        <v>930</v>
      </c>
      <c r="AK172" s="3549">
        <f>VLOOKUP(AI172,AK134:AN159,4,0)</f>
        <v>31410</v>
      </c>
      <c r="AL172" s="3564">
        <f>VLOOKUP(AI172,AK135:AM159,3,0)</f>
        <v>109</v>
      </c>
      <c r="AM172" s="53"/>
      <c r="AN172" s="3535">
        <f>VLOOKUP(AI172,AK135:AS159,4,0)</f>
        <v>31410</v>
      </c>
      <c r="AO172" s="3535">
        <f>VLOOKUP(AI172,AK135:AS159,5,0)</f>
        <v>52350</v>
      </c>
      <c r="AP172" s="3535">
        <f>VLOOKUP(AI172,AK135:AS159,6,0)</f>
        <v>0</v>
      </c>
      <c r="AQ172" s="3535">
        <f>VLOOKUP(AI172,AK135:AS159,7,0)</f>
        <v>0</v>
      </c>
      <c r="AR172" s="3535">
        <f>VLOOKUP(AI172,AK135:AS159,8,0)</f>
        <v>0</v>
      </c>
      <c r="AS172" s="3535">
        <f>VLOOKUP(AI172,AK135:AS159,9,0)</f>
        <v>0</v>
      </c>
      <c r="AZ172" s="2618"/>
      <c r="BD172" s="2602" t="s">
        <v>2474</v>
      </c>
      <c r="BE172" s="3569">
        <f>M172</f>
        <v>1.2453130745563414</v>
      </c>
      <c r="BF172" s="3559">
        <f>HLOOKUP(BE172,BE134:CG134,1)</f>
        <v>0</v>
      </c>
      <c r="BG172" s="3559">
        <f>HLOOKUP(BF172,BE134:CG137,4,0)</f>
        <v>1.8</v>
      </c>
      <c r="BH172" s="3559" t="str">
        <f>HLOOKUP(BG172,BE137:CG139,3,0)</f>
        <v>KS112M</v>
      </c>
      <c r="BI172" s="3559">
        <f>HLOOKUP(BH172,BE139:CG141,2,0)</f>
        <v>915</v>
      </c>
      <c r="BJ172" s="3559">
        <f>HLOOKUP(BH172,BE139:CG142,4,0)</f>
        <v>31410</v>
      </c>
      <c r="BK172" s="3559">
        <f>HLOOKUP(BH172,BE139:CG141,3,0)</f>
        <v>109</v>
      </c>
      <c r="BM172" s="3559">
        <f>HLOOKUP(BH172,BE139:CG147,4,0)</f>
        <v>31410</v>
      </c>
      <c r="BN172" s="3559">
        <f>HLOOKUP(BH172,BE139:CG147,5,0)</f>
        <v>52350</v>
      </c>
      <c r="BO172" s="3559">
        <f>HLOOKUP(BH172,BE139:CG147,6,0)</f>
        <v>0</v>
      </c>
      <c r="BP172" s="3559">
        <f>HLOOKUP(BH172,BE139:CG147,7,0)</f>
        <v>0</v>
      </c>
      <c r="BQ172" s="3559">
        <f>HLOOKUP(BH172,BE139:CG147,8,0)</f>
        <v>0</v>
      </c>
      <c r="BR172" s="3559">
        <f>HLOOKUP(BH172,BE139:CG147,9,0)</f>
        <v>0</v>
      </c>
      <c r="BV172" s="2602" t="s">
        <v>2473</v>
      </c>
      <c r="BW172" s="3569">
        <f t="shared" si="60"/>
        <v>0.7475763842813713</v>
      </c>
      <c r="BX172" s="3559">
        <f>HLOOKUP(BW172,BR151:CT151,1)</f>
        <v>0</v>
      </c>
      <c r="BY172" s="3559">
        <f>HLOOKUP(BX172,BR151:CT154,4,0)</f>
        <v>1.5</v>
      </c>
      <c r="BZ172" s="3559" t="str">
        <f>HLOOKUP(BY172,BR154:CT155,2,0)</f>
        <v>KS112M</v>
      </c>
      <c r="CA172" s="3559">
        <f>HLOOKUP(BZ172,BR155:CT157,2,0)</f>
        <v>930</v>
      </c>
      <c r="CB172" s="3559">
        <f>HLOOKUP(BZ172,BR155:CT158,4,0)</f>
        <v>31410</v>
      </c>
      <c r="CC172" s="3559">
        <f>HLOOKUP(BZ172,BR155:CT157,3,0)</f>
        <v>109</v>
      </c>
      <c r="CE172" s="3559">
        <f>HLOOKUP(BZ172,BR155:CU163,4,0)</f>
        <v>31410</v>
      </c>
      <c r="CF172" s="3559">
        <f>HLOOKUP(BZ172,BR155:CU163,5,0)</f>
        <v>52350</v>
      </c>
      <c r="CG172" s="3559">
        <f>HLOOKUP(BZ172,BR155:CU163,6,0)</f>
        <v>0</v>
      </c>
      <c r="CH172" s="3559">
        <f>HLOOKUP(BZ172,BR155:CU163,7,0)</f>
        <v>0</v>
      </c>
      <c r="CI172" s="3559">
        <f>HLOOKUP(BZ172,BR155:CU163,8,0)</f>
        <v>0</v>
      </c>
      <c r="CJ172" s="3559">
        <f>HLOOKUP(BZ172,BR155:CU163,9,0)</f>
        <v>0</v>
      </c>
    </row>
    <row r="173" spans="2:108">
      <c r="B173" s="2118"/>
      <c r="C173" s="383"/>
      <c r="L173" s="53"/>
      <c r="M173" s="53"/>
      <c r="N173" s="53"/>
      <c r="O173" s="53"/>
      <c r="P173" s="53"/>
      <c r="Q173" s="53"/>
      <c r="R173" s="1731"/>
      <c r="S173" s="53"/>
      <c r="U173" s="20"/>
      <c r="V173" s="20"/>
      <c r="W173" s="20"/>
      <c r="X173" s="20"/>
      <c r="Y173" s="20"/>
      <c r="Z173" s="20"/>
      <c r="AE173" s="2602" t="s">
        <v>2474</v>
      </c>
      <c r="AF173" s="3533">
        <f>M172</f>
        <v>1.2453130745563414</v>
      </c>
      <c r="AG173" s="3533">
        <f>VLOOKUP(AF173,AG135:AG159,1)</f>
        <v>0</v>
      </c>
      <c r="AH173" s="3533">
        <f>VLOOKUP(AG173,AG135:AJ159,4,0)</f>
        <v>1.5</v>
      </c>
      <c r="AI173" s="3564" t="str">
        <f>VLOOKUP(AH173,AJ135:AK159,2,0)</f>
        <v>KS112M</v>
      </c>
      <c r="AJ173" s="3564">
        <f>VLOOKUP(AI173,AK135:AN159,2,0)</f>
        <v>930</v>
      </c>
      <c r="AK173" s="3549">
        <f>VLOOKUP(AI173,AK134:AN159,4,0)</f>
        <v>31410</v>
      </c>
      <c r="AL173" s="3564">
        <f>VLOOKUP(AI173,AK135:AM159,3,0)</f>
        <v>109</v>
      </c>
      <c r="AM173" s="53"/>
      <c r="AN173" s="3535">
        <f>VLOOKUP(AI173,AK135:AS159,4,0)</f>
        <v>31410</v>
      </c>
      <c r="AO173" s="3535">
        <f>VLOOKUP(AI173,AK135:AS159,5,0)</f>
        <v>52350</v>
      </c>
      <c r="AP173" s="3535">
        <f>VLOOKUP(AI173,AK135:AS159,6,0)</f>
        <v>0</v>
      </c>
      <c r="AQ173" s="3535">
        <f>VLOOKUP(AI173,AK135:AS159,7,0)</f>
        <v>0</v>
      </c>
      <c r="AR173" s="3535">
        <f>VLOOKUP(AI173,AK135:AS159,8,0)</f>
        <v>0</v>
      </c>
      <c r="AS173" s="3535">
        <f>VLOOKUP(AI173,AK135:AS159,9,0)</f>
        <v>0</v>
      </c>
      <c r="AZ173" s="2618"/>
      <c r="BV173" s="2602" t="s">
        <v>2474</v>
      </c>
      <c r="BW173" s="3569">
        <f t="shared" si="60"/>
        <v>1.2453130745563414</v>
      </c>
      <c r="BX173" s="3559">
        <f>HLOOKUP(BW173,BR151:CT151,1)</f>
        <v>0</v>
      </c>
      <c r="BY173" s="3559">
        <f>HLOOKUP(BX173,BR151:CT154,4,0)</f>
        <v>1.5</v>
      </c>
      <c r="BZ173" s="3559" t="str">
        <f>HLOOKUP(BY173,BR154:CT155,2,0)</f>
        <v>KS112M</v>
      </c>
      <c r="CA173" s="3559">
        <f>HLOOKUP(BZ173,BR155:CT157,2,0)</f>
        <v>930</v>
      </c>
      <c r="CB173" s="3559">
        <f>HLOOKUP(BZ173,BR155:CT158,4,0)</f>
        <v>31410</v>
      </c>
      <c r="CC173" s="3559">
        <f>HLOOKUP(BZ173,BR155:CT157,3,0)</f>
        <v>109</v>
      </c>
      <c r="CE173" s="3559">
        <f>HLOOKUP(BZ173,BR155:CU163,4,0)</f>
        <v>31410</v>
      </c>
      <c r="CF173" s="3559">
        <f>HLOOKUP(BZ173,BR155:CU163,5,0)</f>
        <v>52350</v>
      </c>
      <c r="CG173" s="3559">
        <f>HLOOKUP(BZ173,BR155:CU163,6,0)</f>
        <v>0</v>
      </c>
      <c r="CH173" s="3559">
        <f>HLOOKUP(BZ173,BR155:CU163,7,0)</f>
        <v>0</v>
      </c>
      <c r="CI173" s="3559">
        <f>HLOOKUP(BZ173,BR155:CU163,8,0)</f>
        <v>0</v>
      </c>
      <c r="CJ173" s="3559">
        <f>HLOOKUP(BZ173,BR155:CU163,9,0)</f>
        <v>0</v>
      </c>
    </row>
    <row r="174" spans="2:108">
      <c r="B174" s="2118"/>
      <c r="C174" s="383"/>
      <c r="L174" s="2158">
        <v>0.6</v>
      </c>
      <c r="M174" s="53"/>
      <c r="N174" s="53"/>
      <c r="O174" s="53"/>
      <c r="P174" s="53"/>
      <c r="Q174" s="53"/>
      <c r="R174" s="1731"/>
      <c r="S174" s="53"/>
      <c r="U174" s="20"/>
      <c r="V174" s="20"/>
      <c r="W174" s="20"/>
      <c r="X174" s="20"/>
      <c r="Y174" s="20"/>
      <c r="Z174" s="20"/>
      <c r="AZ174" s="2618"/>
      <c r="BD174" s="2158">
        <v>0.6</v>
      </c>
      <c r="BE174" s="53"/>
      <c r="BF174" s="53"/>
      <c r="BG174" s="53"/>
      <c r="BH174" s="53"/>
      <c r="BK174" s="53"/>
    </row>
    <row r="175" spans="2:108">
      <c r="B175" s="2119"/>
      <c r="C175" s="383"/>
      <c r="K175" s="3563" t="str">
        <f>IF(K176="Right",IF(K177="Right",IF(K178="Right",IF(K179="Right","Right","Wrong"))))</f>
        <v>Right</v>
      </c>
      <c r="L175" s="2159" t="s">
        <v>1710</v>
      </c>
      <c r="M175" s="2602" t="s">
        <v>2494</v>
      </c>
      <c r="N175" s="2602" t="s">
        <v>2495</v>
      </c>
      <c r="O175" s="2602" t="s">
        <v>2496</v>
      </c>
      <c r="P175" s="29" t="s">
        <v>119</v>
      </c>
      <c r="Q175" s="179" t="s">
        <v>121</v>
      </c>
      <c r="R175" s="1846" t="s">
        <v>274</v>
      </c>
      <c r="S175" s="145" t="s">
        <v>2497</v>
      </c>
      <c r="U175" s="29" t="s">
        <v>112</v>
      </c>
      <c r="V175" s="29" t="s">
        <v>113</v>
      </c>
      <c r="W175" s="29" t="s">
        <v>114</v>
      </c>
      <c r="X175" s="29" t="s">
        <v>115</v>
      </c>
      <c r="Y175" s="29" t="s">
        <v>116</v>
      </c>
      <c r="Z175" s="29" t="s">
        <v>117</v>
      </c>
      <c r="AZ175" s="2618"/>
      <c r="BD175" s="2159" t="s">
        <v>1710</v>
      </c>
      <c r="BE175" s="2602" t="s">
        <v>2494</v>
      </c>
      <c r="BF175" s="2602" t="s">
        <v>2495</v>
      </c>
      <c r="BG175" s="2602" t="s">
        <v>2496</v>
      </c>
      <c r="BH175" s="29" t="s">
        <v>119</v>
      </c>
      <c r="BI175" s="179" t="s">
        <v>121</v>
      </c>
      <c r="BJ175" s="179" t="s">
        <v>274</v>
      </c>
      <c r="BK175" s="145" t="s">
        <v>2497</v>
      </c>
      <c r="BM175" s="29" t="s">
        <v>112</v>
      </c>
      <c r="BN175" s="29" t="s">
        <v>113</v>
      </c>
      <c r="BO175" s="29" t="s">
        <v>114</v>
      </c>
      <c r="BP175" s="29" t="s">
        <v>115</v>
      </c>
      <c r="BQ175" s="29" t="s">
        <v>116</v>
      </c>
      <c r="BR175" s="29" t="s">
        <v>117</v>
      </c>
    </row>
    <row r="176" spans="2:108">
      <c r="B176" s="2119"/>
      <c r="C176" s="383"/>
      <c r="K176" s="3561" t="str">
        <f t="shared" si="59"/>
        <v>Right</v>
      </c>
      <c r="L176" s="2602" t="s">
        <v>2471</v>
      </c>
      <c r="M176" s="3533">
        <f t="shared" ref="M176:S179" si="61">AF170</f>
        <v>14.931600768800502</v>
      </c>
      <c r="N176" s="3533">
        <f t="shared" si="61"/>
        <v>11</v>
      </c>
      <c r="O176" s="3533">
        <f t="shared" si="61"/>
        <v>15</v>
      </c>
      <c r="P176" s="3533" t="str">
        <f t="shared" si="61"/>
        <v>KS200L1</v>
      </c>
      <c r="Q176" s="3533">
        <f t="shared" si="61"/>
        <v>975</v>
      </c>
      <c r="R176" s="3549">
        <f t="shared" si="61"/>
        <v>139800</v>
      </c>
      <c r="S176" s="3549">
        <f t="shared" si="61"/>
        <v>375</v>
      </c>
      <c r="T176" s="3561" t="str">
        <f>IF(BE176=M176,IF(N176=BF176,IF(O176=BG176,IF(P176=BH176,IF(Q176=BI176,IF(R176=BJ176,IF(S176=BK176,"Right","Wrong")))))))</f>
        <v>Right</v>
      </c>
      <c r="U176" s="3535">
        <f t="shared" ref="U176:Z179" si="62">AN170</f>
        <v>139800</v>
      </c>
      <c r="V176" s="3535">
        <f t="shared" si="62"/>
        <v>233000</v>
      </c>
      <c r="W176" s="3535">
        <f t="shared" si="62"/>
        <v>0</v>
      </c>
      <c r="X176" s="3535">
        <f t="shared" si="62"/>
        <v>0</v>
      </c>
      <c r="Y176" s="3535">
        <f t="shared" si="62"/>
        <v>0</v>
      </c>
      <c r="Z176" s="3535">
        <f t="shared" si="62"/>
        <v>0</v>
      </c>
      <c r="AA176" s="3561" t="str">
        <f>IF(BM176=U176,IF(V176=BN176,IF(W176=BO176,IF(X176=BP176,IF(Y176=BQ176,IF(Z176=BR176,"Right","Wrong"))))))</f>
        <v>Right</v>
      </c>
      <c r="AZ176" s="2618"/>
      <c r="BD176" s="2602" t="s">
        <v>2471</v>
      </c>
      <c r="BE176" s="3569">
        <f>BW170</f>
        <v>14.931600768800502</v>
      </c>
      <c r="BF176" s="3569">
        <f t="shared" ref="BF176:BK179" si="63">BX170</f>
        <v>11</v>
      </c>
      <c r="BG176" s="3569">
        <f t="shared" si="63"/>
        <v>15</v>
      </c>
      <c r="BH176" s="3569" t="str">
        <f t="shared" si="63"/>
        <v>KS200L1</v>
      </c>
      <c r="BI176" s="3569">
        <f t="shared" si="63"/>
        <v>975</v>
      </c>
      <c r="BJ176" s="3569">
        <f t="shared" si="63"/>
        <v>139800</v>
      </c>
      <c r="BK176" s="3569">
        <f t="shared" si="63"/>
        <v>375</v>
      </c>
      <c r="BM176" s="3559">
        <f>CE170</f>
        <v>139800</v>
      </c>
      <c r="BN176" s="3559">
        <f t="shared" ref="BN176:BR176" si="64">CF170</f>
        <v>233000</v>
      </c>
      <c r="BO176" s="3559">
        <f t="shared" si="64"/>
        <v>0</v>
      </c>
      <c r="BP176" s="3559">
        <f t="shared" si="64"/>
        <v>0</v>
      </c>
      <c r="BQ176" s="3559">
        <f t="shared" si="64"/>
        <v>0</v>
      </c>
      <c r="BR176" s="3559">
        <f t="shared" si="64"/>
        <v>0</v>
      </c>
    </row>
    <row r="177" spans="1:86">
      <c r="B177" s="2119"/>
      <c r="C177" s="383"/>
      <c r="J177" s="19"/>
      <c r="K177" s="3561" t="str">
        <f t="shared" si="59"/>
        <v>Right</v>
      </c>
      <c r="L177" s="2602" t="s">
        <v>2472</v>
      </c>
      <c r="M177" s="3533">
        <f t="shared" si="61"/>
        <v>14.970777992527008</v>
      </c>
      <c r="N177" s="3533">
        <f t="shared" si="61"/>
        <v>11</v>
      </c>
      <c r="O177" s="3533">
        <f t="shared" si="61"/>
        <v>15</v>
      </c>
      <c r="P177" s="3533" t="str">
        <f t="shared" si="61"/>
        <v>KS200L1</v>
      </c>
      <c r="Q177" s="3533">
        <f t="shared" si="61"/>
        <v>975</v>
      </c>
      <c r="R177" s="3549">
        <f t="shared" si="61"/>
        <v>139800</v>
      </c>
      <c r="S177" s="3549">
        <f t="shared" si="61"/>
        <v>375</v>
      </c>
      <c r="T177" s="3561" t="str">
        <f>IF(BE177=M177,IF(N177=BF177,IF(O177=BG177,IF(P177=BH177,IF(Q177=BI177,IF(R177=BJ177,IF(S177=BK177,"Right","Wrong")))))))</f>
        <v>Right</v>
      </c>
      <c r="U177" s="3535">
        <f t="shared" si="62"/>
        <v>139800</v>
      </c>
      <c r="V177" s="3535">
        <f t="shared" si="62"/>
        <v>233000</v>
      </c>
      <c r="W177" s="3535">
        <f t="shared" si="62"/>
        <v>0</v>
      </c>
      <c r="X177" s="3535">
        <f t="shared" si="62"/>
        <v>0</v>
      </c>
      <c r="Y177" s="3535">
        <f t="shared" si="62"/>
        <v>0</v>
      </c>
      <c r="Z177" s="3535">
        <f t="shared" si="62"/>
        <v>0</v>
      </c>
      <c r="AA177" s="3561" t="str">
        <f>IF(BM177=U177,IF(V177=BN177,IF(W177=BO177,IF(X177=BP177,IF(Y177=BQ177,IF(Z177=BR177,"Right","Wrong"))))))</f>
        <v>Right</v>
      </c>
      <c r="AZ177" s="2618"/>
      <c r="BD177" s="2602" t="s">
        <v>2472</v>
      </c>
      <c r="BE177" s="3569">
        <f t="shared" ref="BE177:BE179" si="65">BW171</f>
        <v>14.970777992527008</v>
      </c>
      <c r="BF177" s="3569">
        <f t="shared" si="63"/>
        <v>11</v>
      </c>
      <c r="BG177" s="3569">
        <f t="shared" si="63"/>
        <v>15</v>
      </c>
      <c r="BH177" s="3569" t="str">
        <f t="shared" si="63"/>
        <v>KS200L1</v>
      </c>
      <c r="BI177" s="3569">
        <f t="shared" si="63"/>
        <v>975</v>
      </c>
      <c r="BJ177" s="3569">
        <f t="shared" si="63"/>
        <v>139800</v>
      </c>
      <c r="BK177" s="3569">
        <f t="shared" si="63"/>
        <v>375</v>
      </c>
      <c r="BM177" s="3559">
        <f t="shared" ref="BM177:BM179" si="66">CE171</f>
        <v>139800</v>
      </c>
      <c r="BN177" s="3559">
        <f t="shared" ref="BN177:BN179" si="67">CF171</f>
        <v>233000</v>
      </c>
      <c r="BO177" s="3559">
        <f t="shared" ref="BO177:BO179" si="68">CG171</f>
        <v>0</v>
      </c>
      <c r="BP177" s="3559">
        <f t="shared" ref="BP177:BP179" si="69">CH171</f>
        <v>0</v>
      </c>
      <c r="BQ177" s="3559">
        <f t="shared" ref="BQ177:BQ179" si="70">CI171</f>
        <v>0</v>
      </c>
      <c r="BR177" s="3559">
        <f t="shared" ref="BR177:BR179" si="71">CJ171</f>
        <v>0</v>
      </c>
    </row>
    <row r="178" spans="1:86">
      <c r="K178" s="3561" t="str">
        <f t="shared" si="59"/>
        <v>Right</v>
      </c>
      <c r="L178" s="2602" t="s">
        <v>2473</v>
      </c>
      <c r="M178" s="3533">
        <f t="shared" si="61"/>
        <v>0.7475763842813713</v>
      </c>
      <c r="N178" s="3533">
        <f t="shared" si="61"/>
        <v>0</v>
      </c>
      <c r="O178" s="3533">
        <f t="shared" si="61"/>
        <v>1.5</v>
      </c>
      <c r="P178" s="3533" t="str">
        <f t="shared" si="61"/>
        <v>KS112M</v>
      </c>
      <c r="Q178" s="3533">
        <f t="shared" si="61"/>
        <v>930</v>
      </c>
      <c r="R178" s="3549">
        <f t="shared" si="61"/>
        <v>31410</v>
      </c>
      <c r="S178" s="3549">
        <f t="shared" si="61"/>
        <v>109</v>
      </c>
      <c r="T178" s="3561" t="str">
        <f>IF(BE178=M178,IF(N178=BF178,IF(O178=BG178,IF(P178=BH178,IF(Q178=BI178,IF(R178=BJ178,IF(S178=BK178,"Right","Wrong")))))))</f>
        <v>Right</v>
      </c>
      <c r="U178" s="3535">
        <f t="shared" si="62"/>
        <v>31410</v>
      </c>
      <c r="V178" s="3535">
        <f t="shared" si="62"/>
        <v>52350</v>
      </c>
      <c r="W178" s="3535">
        <f t="shared" si="62"/>
        <v>0</v>
      </c>
      <c r="X178" s="3535">
        <f t="shared" si="62"/>
        <v>0</v>
      </c>
      <c r="Y178" s="3535">
        <f t="shared" si="62"/>
        <v>0</v>
      </c>
      <c r="Z178" s="3535">
        <f t="shared" si="62"/>
        <v>0</v>
      </c>
      <c r="AA178" s="3561" t="str">
        <f>IF(BM178=U178,IF(V178=BN178,IF(W178=BO178,IF(X178=BP178,IF(Y178=BQ178,IF(Z178=BR178,"Right","Wrong"))))))</f>
        <v>Right</v>
      </c>
      <c r="AZ178" s="2618"/>
      <c r="BD178" s="2602" t="s">
        <v>2473</v>
      </c>
      <c r="BE178" s="3569">
        <f t="shared" si="65"/>
        <v>0.7475763842813713</v>
      </c>
      <c r="BF178" s="3569">
        <f t="shared" si="63"/>
        <v>0</v>
      </c>
      <c r="BG178" s="3569">
        <f t="shared" si="63"/>
        <v>1.5</v>
      </c>
      <c r="BH178" s="3569" t="str">
        <f t="shared" si="63"/>
        <v>KS112M</v>
      </c>
      <c r="BI178" s="3569">
        <f t="shared" si="63"/>
        <v>930</v>
      </c>
      <c r="BJ178" s="3569">
        <f t="shared" si="63"/>
        <v>31410</v>
      </c>
      <c r="BK178" s="3569">
        <f t="shared" si="63"/>
        <v>109</v>
      </c>
      <c r="BM178" s="3559">
        <f t="shared" si="66"/>
        <v>31410</v>
      </c>
      <c r="BN178" s="3559">
        <f t="shared" si="67"/>
        <v>52350</v>
      </c>
      <c r="BO178" s="3559">
        <f t="shared" si="68"/>
        <v>0</v>
      </c>
      <c r="BP178" s="3559">
        <f t="shared" si="69"/>
        <v>0</v>
      </c>
      <c r="BQ178" s="3559">
        <f t="shared" si="70"/>
        <v>0</v>
      </c>
      <c r="BR178" s="3559">
        <f t="shared" si="71"/>
        <v>0</v>
      </c>
    </row>
    <row r="179" spans="1:86">
      <c r="K179" s="3561" t="str">
        <f t="shared" si="59"/>
        <v>Right</v>
      </c>
      <c r="L179" s="2602" t="s">
        <v>2474</v>
      </c>
      <c r="M179" s="3533">
        <f t="shared" si="61"/>
        <v>1.2453130745563414</v>
      </c>
      <c r="N179" s="3533">
        <f t="shared" si="61"/>
        <v>0</v>
      </c>
      <c r="O179" s="3533">
        <f t="shared" si="61"/>
        <v>1.5</v>
      </c>
      <c r="P179" s="3533" t="str">
        <f t="shared" si="61"/>
        <v>KS112M</v>
      </c>
      <c r="Q179" s="3533">
        <f t="shared" si="61"/>
        <v>930</v>
      </c>
      <c r="R179" s="3549">
        <f t="shared" si="61"/>
        <v>31410</v>
      </c>
      <c r="S179" s="3549">
        <f t="shared" si="61"/>
        <v>109</v>
      </c>
      <c r="T179" s="3561" t="str">
        <f>IF(BE179=M179,IF(N179=BF179,IF(O179=BG179,IF(P179=BH179,IF(Q179=BI179,IF(R179=BJ179,IF(S179=BK179,"Right","Wrong")))))))</f>
        <v>Right</v>
      </c>
      <c r="U179" s="3535">
        <f t="shared" si="62"/>
        <v>31410</v>
      </c>
      <c r="V179" s="3535">
        <f t="shared" si="62"/>
        <v>52350</v>
      </c>
      <c r="W179" s="3535">
        <f t="shared" si="62"/>
        <v>0</v>
      </c>
      <c r="X179" s="3535">
        <f t="shared" si="62"/>
        <v>0</v>
      </c>
      <c r="Y179" s="3535">
        <f t="shared" si="62"/>
        <v>0</v>
      </c>
      <c r="Z179" s="3535">
        <f t="shared" si="62"/>
        <v>0</v>
      </c>
      <c r="AA179" s="3561" t="str">
        <f>IF(BM179=U179,IF(V179=BN179,IF(W179=BO179,IF(X179=BP179,IF(Y179=BQ179,IF(Z179=BR179,"Right","Wrong"))))))</f>
        <v>Right</v>
      </c>
      <c r="AZ179" s="2618"/>
      <c r="BD179" s="2602" t="s">
        <v>2474</v>
      </c>
      <c r="BE179" s="3569">
        <f t="shared" si="65"/>
        <v>1.2453130745563414</v>
      </c>
      <c r="BF179" s="3569">
        <f t="shared" si="63"/>
        <v>0</v>
      </c>
      <c r="BG179" s="3569">
        <f t="shared" si="63"/>
        <v>1.5</v>
      </c>
      <c r="BH179" s="3569" t="str">
        <f t="shared" si="63"/>
        <v>KS112M</v>
      </c>
      <c r="BI179" s="3569">
        <f t="shared" si="63"/>
        <v>930</v>
      </c>
      <c r="BJ179" s="3569">
        <f t="shared" si="63"/>
        <v>31410</v>
      </c>
      <c r="BK179" s="3569">
        <f t="shared" si="63"/>
        <v>109</v>
      </c>
      <c r="BM179" s="3559">
        <f t="shared" si="66"/>
        <v>31410</v>
      </c>
      <c r="BN179" s="3559">
        <f t="shared" si="67"/>
        <v>52350</v>
      </c>
      <c r="BO179" s="3559">
        <f t="shared" si="68"/>
        <v>0</v>
      </c>
      <c r="BP179" s="3559">
        <f t="shared" si="69"/>
        <v>0</v>
      </c>
      <c r="BQ179" s="3559">
        <f t="shared" si="70"/>
        <v>0</v>
      </c>
      <c r="BR179" s="3559">
        <f t="shared" si="71"/>
        <v>0</v>
      </c>
    </row>
    <row r="180" spans="1:86">
      <c r="T180" s="53"/>
      <c r="AZ180" s="2618"/>
    </row>
    <row r="181" spans="1:86">
      <c r="AZ181" s="2618"/>
    </row>
    <row r="182" spans="1:86">
      <c r="AZ182" s="2618"/>
    </row>
    <row r="183" spans="1:86">
      <c r="AZ183" s="2618"/>
    </row>
    <row r="184" spans="1:86">
      <c r="A184" s="2142"/>
      <c r="B184" s="2142"/>
      <c r="C184" s="2142"/>
      <c r="D184" s="2142"/>
      <c r="E184" s="2142"/>
      <c r="F184" s="2142"/>
      <c r="G184" s="2142"/>
      <c r="H184" s="2142"/>
      <c r="I184" s="2142"/>
      <c r="J184" s="2142"/>
      <c r="K184" s="2142"/>
      <c r="L184" s="2142"/>
      <c r="M184" s="2142"/>
      <c r="N184" s="2142"/>
      <c r="O184" s="2142"/>
      <c r="P184" s="2142"/>
      <c r="Q184" s="2142"/>
      <c r="R184" s="2142"/>
      <c r="S184" s="2142"/>
      <c r="T184" s="2142"/>
      <c r="U184" s="2142"/>
      <c r="V184" s="2142"/>
      <c r="W184" s="2142"/>
      <c r="X184" s="2142"/>
      <c r="Y184" s="2142"/>
      <c r="Z184" s="2142"/>
      <c r="AA184" s="2142"/>
      <c r="AB184" s="2142"/>
      <c r="AC184" s="2142"/>
      <c r="AD184" s="2142"/>
      <c r="AE184" s="2142"/>
      <c r="AF184" s="2142"/>
      <c r="AG184" s="2142"/>
      <c r="AH184" s="2142"/>
      <c r="AI184" s="2142"/>
      <c r="AJ184" s="2142"/>
      <c r="AK184" s="2142"/>
      <c r="AL184" s="2142"/>
      <c r="AM184" s="2142"/>
      <c r="AN184" s="2142"/>
      <c r="AO184" s="2142"/>
      <c r="AP184" s="2142"/>
      <c r="AQ184" s="2142"/>
      <c r="AR184" s="2142"/>
      <c r="AS184" s="2142"/>
      <c r="AT184" s="2142"/>
      <c r="AU184" s="2142"/>
      <c r="AV184" s="2142"/>
      <c r="AW184" s="2142"/>
      <c r="AX184" s="2142"/>
      <c r="AY184" s="2142"/>
      <c r="AZ184" s="2618"/>
      <c r="BA184" s="2142"/>
      <c r="BB184" s="2142"/>
      <c r="BC184" s="2142"/>
      <c r="BD184" s="2142"/>
      <c r="BE184" s="2142"/>
      <c r="BF184" s="2142"/>
      <c r="BG184" s="2142"/>
      <c r="BH184" s="2142"/>
      <c r="BI184" s="2142"/>
      <c r="BJ184" s="2142"/>
      <c r="BK184" s="2142"/>
      <c r="BL184" s="2142"/>
      <c r="BM184" s="2142"/>
      <c r="BN184" s="2142"/>
      <c r="BO184" s="2142"/>
      <c r="BP184" s="2142"/>
      <c r="BQ184" s="2142"/>
      <c r="BR184" s="2142"/>
      <c r="BS184" s="2142"/>
      <c r="BT184" s="2142"/>
      <c r="BU184" s="2142"/>
      <c r="BV184" s="2142"/>
      <c r="BW184" s="2142"/>
      <c r="BX184" s="2142"/>
      <c r="BY184" s="2142"/>
      <c r="BZ184" s="2142"/>
      <c r="CA184" s="2142"/>
      <c r="CB184" s="2142"/>
      <c r="CC184" s="2142"/>
    </row>
    <row r="185" spans="1:86">
      <c r="AZ185" s="2618"/>
    </row>
    <row r="186" spans="1:86">
      <c r="G186" s="2624"/>
      <c r="N186" s="53"/>
      <c r="T186" s="340"/>
      <c r="AZ186" s="2618"/>
    </row>
    <row r="187" spans="1:86">
      <c r="N187" s="2620" t="s">
        <v>2505</v>
      </c>
      <c r="O187" s="2620"/>
      <c r="P187" s="2620"/>
      <c r="S187" s="31"/>
      <c r="AZ187" s="2618"/>
    </row>
    <row r="188" spans="1:86">
      <c r="D188" s="2150" t="s">
        <v>2509</v>
      </c>
      <c r="E188" s="2619"/>
      <c r="M188" s="29" t="s">
        <v>2500</v>
      </c>
      <c r="N188" s="29" t="s">
        <v>2501</v>
      </c>
      <c r="O188" s="29" t="s">
        <v>119</v>
      </c>
      <c r="P188" s="427" t="s">
        <v>120</v>
      </c>
      <c r="Q188" s="427" t="s">
        <v>2498</v>
      </c>
      <c r="R188" s="3559" t="str">
        <f t="shared" ref="R188:R212" si="72">+O188</f>
        <v>Frame S</v>
      </c>
      <c r="S188" s="29" t="s">
        <v>121</v>
      </c>
      <c r="T188" s="29" t="s">
        <v>111</v>
      </c>
      <c r="U188" s="29" t="s">
        <v>112</v>
      </c>
      <c r="V188" s="29" t="s">
        <v>113</v>
      </c>
      <c r="W188" s="29" t="s">
        <v>114</v>
      </c>
      <c r="X188" s="29" t="s">
        <v>115</v>
      </c>
      <c r="Y188" s="29" t="s">
        <v>116</v>
      </c>
      <c r="Z188" s="29" t="s">
        <v>117</v>
      </c>
      <c r="AB188" s="2165"/>
      <c r="AC188" s="2165"/>
      <c r="AD188" s="59"/>
      <c r="AG188" s="2620" t="s">
        <v>2505</v>
      </c>
      <c r="AH188" s="2620"/>
      <c r="AI188" s="2620"/>
      <c r="AL188" s="31"/>
      <c r="AZ188" s="2618"/>
      <c r="BD188" s="29" t="s">
        <v>2500</v>
      </c>
      <c r="BE188" s="29">
        <v>0</v>
      </c>
      <c r="BF188" s="311">
        <v>0.49</v>
      </c>
      <c r="BG188" s="311">
        <v>0.79</v>
      </c>
      <c r="BH188" s="311">
        <v>1.2</v>
      </c>
      <c r="BI188" s="311">
        <v>1.6</v>
      </c>
      <c r="BJ188" s="311">
        <v>1.9</v>
      </c>
      <c r="BK188" s="311">
        <v>2.8</v>
      </c>
      <c r="BL188" s="311">
        <v>4.9000000000000004</v>
      </c>
      <c r="BM188" s="311">
        <v>7</v>
      </c>
      <c r="BN188" s="311">
        <v>9.5</v>
      </c>
      <c r="BO188" s="311">
        <v>14</v>
      </c>
      <c r="BP188" s="311">
        <v>17</v>
      </c>
      <c r="BQ188" s="311">
        <v>25</v>
      </c>
      <c r="BR188" s="311">
        <v>28</v>
      </c>
      <c r="BS188" s="311">
        <v>38</v>
      </c>
      <c r="BT188" s="311">
        <v>45</v>
      </c>
      <c r="BU188" s="311">
        <v>60</v>
      </c>
      <c r="BV188" s="311">
        <v>70</v>
      </c>
      <c r="BW188" s="311">
        <v>95</v>
      </c>
      <c r="BX188" s="311">
        <v>114</v>
      </c>
      <c r="BY188" s="311">
        <v>134</v>
      </c>
      <c r="BZ188" s="311">
        <v>154</v>
      </c>
      <c r="CA188" s="311">
        <v>213</v>
      </c>
      <c r="CB188" s="311">
        <v>222</v>
      </c>
      <c r="CC188" s="311"/>
      <c r="CD188" s="311"/>
      <c r="CE188" s="311"/>
      <c r="CF188" s="311"/>
      <c r="CG188" s="311"/>
      <c r="CH188" s="311"/>
    </row>
    <row r="189" spans="1:86">
      <c r="B189" s="2128"/>
      <c r="E189" s="80"/>
      <c r="F189" s="1939"/>
      <c r="G189" s="22" t="s">
        <v>2502</v>
      </c>
      <c r="H189" s="3558">
        <f>+J49</f>
        <v>0.68</v>
      </c>
      <c r="I189" s="17"/>
      <c r="M189" s="29">
        <v>0</v>
      </c>
      <c r="N189" s="29"/>
      <c r="O189" s="145" t="s">
        <v>126</v>
      </c>
      <c r="P189" s="145">
        <v>0.49</v>
      </c>
      <c r="Q189" s="311"/>
      <c r="R189" s="3559" t="str">
        <f t="shared" si="72"/>
        <v>80 (1)</v>
      </c>
      <c r="S189" s="159">
        <v>911</v>
      </c>
      <c r="T189" s="311">
        <v>17</v>
      </c>
      <c r="U189" s="3555">
        <f>(V189*(1-H189))+W189+X189+Y189+Z189</f>
        <v>24827</v>
      </c>
      <c r="V189" s="416">
        <v>17100</v>
      </c>
      <c r="W189" s="416">
        <v>8500</v>
      </c>
      <c r="X189" s="416">
        <v>3000</v>
      </c>
      <c r="Y189" s="416">
        <v>7000</v>
      </c>
      <c r="Z189" s="3562">
        <f t="shared" ref="Z189:Z212" si="73">V189*5%</f>
        <v>855</v>
      </c>
      <c r="AB189" s="53"/>
      <c r="AC189" s="53"/>
      <c r="AD189" s="59"/>
      <c r="AF189" s="29" t="s">
        <v>2500</v>
      </c>
      <c r="AG189" s="29" t="s">
        <v>2501</v>
      </c>
      <c r="AH189" s="29" t="s">
        <v>119</v>
      </c>
      <c r="AI189" s="427" t="s">
        <v>120</v>
      </c>
      <c r="AJ189" s="427" t="s">
        <v>2498</v>
      </c>
      <c r="AK189" s="3559" t="str">
        <f t="shared" ref="AK189:AK213" si="74">+AH189</f>
        <v>Frame S</v>
      </c>
      <c r="AL189" s="29" t="s">
        <v>121</v>
      </c>
      <c r="AM189" s="29" t="s">
        <v>111</v>
      </c>
      <c r="AN189" s="29" t="s">
        <v>112</v>
      </c>
      <c r="AO189" s="29" t="s">
        <v>113</v>
      </c>
      <c r="AP189" s="29" t="s">
        <v>114</v>
      </c>
      <c r="AQ189" s="29" t="s">
        <v>115</v>
      </c>
      <c r="AR189" s="29" t="s">
        <v>116</v>
      </c>
      <c r="AS189" s="29" t="s">
        <v>117</v>
      </c>
      <c r="AZ189" s="2618"/>
      <c r="BD189" s="29" t="s">
        <v>2501</v>
      </c>
      <c r="BE189" s="29"/>
      <c r="BF189" s="311"/>
      <c r="BG189" s="311"/>
      <c r="BH189" s="311"/>
      <c r="BI189" s="311"/>
      <c r="BJ189" s="311"/>
      <c r="BK189" s="311"/>
      <c r="BL189" s="311"/>
      <c r="BM189" s="311"/>
      <c r="BN189" s="311"/>
      <c r="BO189" s="311"/>
      <c r="BP189" s="311"/>
      <c r="BQ189" s="311"/>
      <c r="BR189" s="311"/>
      <c r="BS189" s="311"/>
      <c r="BT189" s="311"/>
      <c r="BU189" s="311"/>
      <c r="BV189" s="311"/>
      <c r="BW189" s="311"/>
      <c r="BX189" s="311"/>
      <c r="BY189" s="311"/>
      <c r="BZ189" s="311"/>
      <c r="CA189" s="311"/>
      <c r="CB189" s="311"/>
      <c r="CC189" s="311"/>
      <c r="CD189" s="311"/>
      <c r="CE189" s="311"/>
      <c r="CF189" s="311"/>
      <c r="CG189" s="311"/>
      <c r="CH189" s="311"/>
    </row>
    <row r="190" spans="1:86">
      <c r="A190" s="53" t="s">
        <v>2503</v>
      </c>
      <c r="B190" s="2131" t="s">
        <v>1710</v>
      </c>
      <c r="C190" s="2602" t="s">
        <v>2494</v>
      </c>
      <c r="D190" s="2602" t="s">
        <v>2495</v>
      </c>
      <c r="E190" s="2602" t="s">
        <v>2496</v>
      </c>
      <c r="F190" s="29" t="s">
        <v>119</v>
      </c>
      <c r="G190" s="179" t="s">
        <v>121</v>
      </c>
      <c r="H190" s="179" t="s">
        <v>274</v>
      </c>
      <c r="I190" s="145" t="s">
        <v>2497</v>
      </c>
      <c r="M190" s="311">
        <v>0.49</v>
      </c>
      <c r="N190" s="311"/>
      <c r="O190" s="1094" t="s">
        <v>130</v>
      </c>
      <c r="P190" s="145">
        <v>0.79</v>
      </c>
      <c r="Q190" s="311"/>
      <c r="R190" s="3559" t="str">
        <f t="shared" si="72"/>
        <v>80 (2)</v>
      </c>
      <c r="S190" s="159">
        <v>910</v>
      </c>
      <c r="T190" s="311">
        <v>17</v>
      </c>
      <c r="U190" s="3555">
        <f>(V190*(1-H189))+W190+X190+Y190+Z190</f>
        <v>24938</v>
      </c>
      <c r="V190" s="416">
        <v>17400</v>
      </c>
      <c r="W190" s="3562">
        <f t="shared" ref="W190:Y194" si="75">+W189</f>
        <v>8500</v>
      </c>
      <c r="X190" s="3562">
        <f t="shared" si="75"/>
        <v>3000</v>
      </c>
      <c r="Y190" s="3562">
        <f t="shared" si="75"/>
        <v>7000</v>
      </c>
      <c r="Z190" s="3562">
        <f t="shared" si="73"/>
        <v>870</v>
      </c>
      <c r="AB190" s="53"/>
      <c r="AC190" s="216"/>
      <c r="AD190" s="20"/>
      <c r="AF190" s="29"/>
      <c r="AG190" s="29">
        <v>0</v>
      </c>
      <c r="AH190" s="145" t="s">
        <v>126</v>
      </c>
      <c r="AI190" s="145"/>
      <c r="AJ190" s="311">
        <v>0.49</v>
      </c>
      <c r="AK190" s="3559" t="str">
        <f t="shared" si="74"/>
        <v>80 (1)</v>
      </c>
      <c r="AL190" s="2167">
        <v>911</v>
      </c>
      <c r="AM190" s="311">
        <v>17</v>
      </c>
      <c r="AN190" s="3555">
        <f>(AO190*(1-H189))+AP190+AQ190+AR190+AS190</f>
        <v>24827</v>
      </c>
      <c r="AO190" s="416">
        <v>17100</v>
      </c>
      <c r="AP190" s="416">
        <v>8500</v>
      </c>
      <c r="AQ190" s="416">
        <v>3000</v>
      </c>
      <c r="AR190" s="416">
        <v>7000</v>
      </c>
      <c r="AS190" s="3562">
        <f t="shared" ref="AS190:AS213" si="76">AO190*5%</f>
        <v>855</v>
      </c>
      <c r="AZ190" s="2618"/>
      <c r="BD190" s="29" t="s">
        <v>119</v>
      </c>
      <c r="BE190" s="145" t="s">
        <v>126</v>
      </c>
      <c r="BF190" s="1094" t="s">
        <v>130</v>
      </c>
      <c r="BG190" s="1094" t="s">
        <v>133</v>
      </c>
      <c r="BH190" s="311" t="s">
        <v>136</v>
      </c>
      <c r="BI190" s="311" t="s">
        <v>140</v>
      </c>
      <c r="BJ190" s="311" t="s">
        <v>143</v>
      </c>
      <c r="BK190" s="311" t="s">
        <v>147</v>
      </c>
      <c r="BL190" s="311" t="s">
        <v>151</v>
      </c>
      <c r="BM190" s="311" t="s">
        <v>157</v>
      </c>
      <c r="BN190" s="311" t="s">
        <v>163</v>
      </c>
      <c r="BO190" s="311" t="s">
        <v>169</v>
      </c>
      <c r="BP190" s="1094" t="s">
        <v>175</v>
      </c>
      <c r="BQ190" s="1094" t="s">
        <v>180</v>
      </c>
      <c r="BR190" s="1094" t="s">
        <v>184</v>
      </c>
      <c r="BS190" s="1094" t="s">
        <v>189</v>
      </c>
      <c r="BT190" s="311" t="s">
        <v>196</v>
      </c>
      <c r="BU190" s="311" t="s">
        <v>201</v>
      </c>
      <c r="BV190" s="311" t="s">
        <v>208</v>
      </c>
      <c r="BW190" s="311" t="s">
        <v>215</v>
      </c>
      <c r="BX190" s="1094" t="s">
        <v>221</v>
      </c>
      <c r="BY190" s="145" t="s">
        <v>225</v>
      </c>
      <c r="BZ190" s="145" t="s">
        <v>229</v>
      </c>
      <c r="CA190" s="145" t="s">
        <v>234</v>
      </c>
      <c r="CB190" s="145" t="s">
        <v>239</v>
      </c>
      <c r="CC190" s="311"/>
      <c r="CD190" s="311"/>
      <c r="CE190" s="311"/>
      <c r="CF190" s="311"/>
      <c r="CG190" s="311"/>
      <c r="CH190" s="311"/>
    </row>
    <row r="191" spans="1:86">
      <c r="A191" s="3560" t="str">
        <f>E47</f>
        <v>40%</v>
      </c>
      <c r="B191" s="2602" t="s">
        <v>2471</v>
      </c>
      <c r="C191" s="3533">
        <f>C47</f>
        <v>14.931600768800502</v>
      </c>
      <c r="D191" s="3532">
        <f>IF(A191="40%",N223,IF(A191="60%",N230))</f>
        <v>14</v>
      </c>
      <c r="E191" s="3532">
        <f>IF(A191="40%",O223,IF(A191="60%",O230))</f>
        <v>17</v>
      </c>
      <c r="F191" s="3532" t="str">
        <f>IF(A191="40%",P223,IF(A191="60%",P230))</f>
        <v>180L</v>
      </c>
      <c r="G191" s="3532">
        <f>IF(A191="40%",Q223,IF(A191="60%",Q230))</f>
        <v>970</v>
      </c>
      <c r="H191" s="3549">
        <f>IF(A191="40%",R223,IF(A191="60%",R230))</f>
        <v>85554</v>
      </c>
      <c r="I191" s="3532">
        <f>IF(A191="40%",S223,IF(A191="60%",S230))</f>
        <v>204</v>
      </c>
      <c r="M191" s="311">
        <v>0.79</v>
      </c>
      <c r="N191" s="311"/>
      <c r="O191" s="1094" t="s">
        <v>133</v>
      </c>
      <c r="P191" s="145">
        <v>1.2</v>
      </c>
      <c r="Q191" s="311"/>
      <c r="R191" s="3559" t="str">
        <f t="shared" si="72"/>
        <v>90S</v>
      </c>
      <c r="S191" s="159">
        <v>900</v>
      </c>
      <c r="T191" s="311">
        <v>22</v>
      </c>
      <c r="U191" s="3555">
        <f>(V191*(1-H189))+W191+X191+Y191+Z191</f>
        <v>26344</v>
      </c>
      <c r="V191" s="416">
        <v>21200</v>
      </c>
      <c r="W191" s="3562">
        <f t="shared" si="75"/>
        <v>8500</v>
      </c>
      <c r="X191" s="3562">
        <f t="shared" si="75"/>
        <v>3000</v>
      </c>
      <c r="Y191" s="3562">
        <f t="shared" si="75"/>
        <v>7000</v>
      </c>
      <c r="Z191" s="3562">
        <f t="shared" si="73"/>
        <v>1060</v>
      </c>
      <c r="AB191" s="53"/>
      <c r="AC191" s="19"/>
      <c r="AD191" s="20"/>
      <c r="AF191" s="311"/>
      <c r="AG191" s="311">
        <v>0.49</v>
      </c>
      <c r="AH191" s="1094" t="s">
        <v>130</v>
      </c>
      <c r="AI191" s="145"/>
      <c r="AJ191" s="311">
        <v>0.68</v>
      </c>
      <c r="AK191" s="3559" t="str">
        <f t="shared" si="74"/>
        <v>80 (2)</v>
      </c>
      <c r="AL191" s="2167">
        <v>913</v>
      </c>
      <c r="AM191" s="311">
        <v>17</v>
      </c>
      <c r="AN191" s="3555">
        <f>(AO191*(1-H189))+AP191+AQ191+AR191+AS191</f>
        <v>24938</v>
      </c>
      <c r="AO191" s="416">
        <v>17400</v>
      </c>
      <c r="AP191" s="3562">
        <f t="shared" ref="AP191:AR195" si="77">+AP190</f>
        <v>8500</v>
      </c>
      <c r="AQ191" s="3562">
        <f t="shared" si="77"/>
        <v>3000</v>
      </c>
      <c r="AR191" s="3562">
        <f t="shared" si="77"/>
        <v>7000</v>
      </c>
      <c r="AS191" s="3562">
        <f t="shared" si="76"/>
        <v>870</v>
      </c>
      <c r="AZ191" s="2618"/>
      <c r="BD191" s="427" t="s">
        <v>120</v>
      </c>
      <c r="BE191" s="145">
        <v>0.49</v>
      </c>
      <c r="BF191" s="145">
        <v>0.79</v>
      </c>
      <c r="BG191" s="145">
        <v>1.2</v>
      </c>
      <c r="BH191" s="145">
        <v>1.6</v>
      </c>
      <c r="BI191" s="145">
        <v>1.9</v>
      </c>
      <c r="BJ191" s="145">
        <v>2.8</v>
      </c>
      <c r="BK191" s="145">
        <v>4.9000000000000004</v>
      </c>
      <c r="BL191" s="145">
        <v>7</v>
      </c>
      <c r="BM191" s="145">
        <v>9.5</v>
      </c>
      <c r="BN191" s="145">
        <v>14</v>
      </c>
      <c r="BO191" s="145">
        <v>17</v>
      </c>
      <c r="BP191" s="145">
        <v>25</v>
      </c>
      <c r="BQ191" s="145">
        <v>28</v>
      </c>
      <c r="BR191" s="145">
        <v>38</v>
      </c>
      <c r="BS191" s="145">
        <v>45</v>
      </c>
      <c r="BT191" s="145">
        <v>60</v>
      </c>
      <c r="BU191" s="145">
        <v>70</v>
      </c>
      <c r="BV191" s="145">
        <v>95</v>
      </c>
      <c r="BW191" s="145">
        <v>114</v>
      </c>
      <c r="BX191" s="1094">
        <v>134</v>
      </c>
      <c r="BY191" s="1094">
        <v>154</v>
      </c>
      <c r="BZ191" s="311">
        <v>213</v>
      </c>
      <c r="CA191" s="311">
        <v>222</v>
      </c>
      <c r="CB191" s="311">
        <v>316</v>
      </c>
      <c r="CC191" s="311"/>
      <c r="CD191" s="311"/>
      <c r="CE191" s="311"/>
      <c r="CF191" s="311"/>
      <c r="CG191" s="311"/>
      <c r="CH191" s="311"/>
    </row>
    <row r="192" spans="1:86">
      <c r="A192" s="3560" t="str">
        <f>E48</f>
        <v>40%</v>
      </c>
      <c r="B192" s="2602" t="s">
        <v>2472</v>
      </c>
      <c r="C192" s="3533">
        <f>C48</f>
        <v>14.970777992527008</v>
      </c>
      <c r="D192" s="3532">
        <f>IF(A192="40%",N224,IF(A192="60%",N231))</f>
        <v>14</v>
      </c>
      <c r="E192" s="3532">
        <f>IF(A192="40%",O224,IF(A192="60%",O231))</f>
        <v>17</v>
      </c>
      <c r="F192" s="3532" t="str">
        <f>IF(A192="40%",P224,IF(A192="60%",P231))</f>
        <v>180L</v>
      </c>
      <c r="G192" s="3532">
        <f>IF(A192="40%",Q224,IF(A192="60%",Q231))</f>
        <v>970</v>
      </c>
      <c r="H192" s="3549">
        <f>IF(A192="40%",R224,IF(A192="60%",R231))</f>
        <v>85554</v>
      </c>
      <c r="I192" s="3532">
        <f>IF(A192="40%",S224,IF(A192="60%",S231))</f>
        <v>204</v>
      </c>
      <c r="M192" s="311">
        <v>1.2</v>
      </c>
      <c r="N192" s="311"/>
      <c r="O192" s="311" t="s">
        <v>136</v>
      </c>
      <c r="P192" s="145">
        <v>1.6</v>
      </c>
      <c r="Q192" s="311"/>
      <c r="R192" s="3559" t="str">
        <f t="shared" si="72"/>
        <v>90L</v>
      </c>
      <c r="S192" s="159">
        <v>904</v>
      </c>
      <c r="T192" s="311">
        <v>25</v>
      </c>
      <c r="U192" s="3555">
        <f>(V192*(1-H189))+W192+X192+Y192+Z192</f>
        <v>27232</v>
      </c>
      <c r="V192" s="416">
        <v>23600</v>
      </c>
      <c r="W192" s="3562">
        <f t="shared" si="75"/>
        <v>8500</v>
      </c>
      <c r="X192" s="3562">
        <f t="shared" si="75"/>
        <v>3000</v>
      </c>
      <c r="Y192" s="3562">
        <f t="shared" si="75"/>
        <v>7000</v>
      </c>
      <c r="Z192" s="3562">
        <f t="shared" si="73"/>
        <v>1180</v>
      </c>
      <c r="AB192" s="53"/>
      <c r="AC192" s="53"/>
      <c r="AD192" s="20"/>
      <c r="AF192" s="311"/>
      <c r="AG192" s="311">
        <v>0.68</v>
      </c>
      <c r="AH192" s="1094" t="s">
        <v>133</v>
      </c>
      <c r="AI192" s="145"/>
      <c r="AJ192" s="311">
        <v>1</v>
      </c>
      <c r="AK192" s="3559" t="str">
        <f t="shared" si="74"/>
        <v>90S</v>
      </c>
      <c r="AL192" s="2167">
        <v>913</v>
      </c>
      <c r="AM192" s="311">
        <v>22</v>
      </c>
      <c r="AN192" s="3555">
        <f>(AO192*(1-H189))+AP192+AQ192+AR192+AS192</f>
        <v>26344</v>
      </c>
      <c r="AO192" s="416">
        <v>21200</v>
      </c>
      <c r="AP192" s="3562">
        <f t="shared" si="77"/>
        <v>8500</v>
      </c>
      <c r="AQ192" s="3562">
        <f t="shared" si="77"/>
        <v>3000</v>
      </c>
      <c r="AR192" s="3562">
        <f t="shared" si="77"/>
        <v>7000</v>
      </c>
      <c r="AS192" s="3562">
        <f t="shared" si="76"/>
        <v>1060</v>
      </c>
      <c r="AZ192" s="2618"/>
      <c r="BD192" s="427" t="s">
        <v>2498</v>
      </c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311"/>
      <c r="BV192" s="311"/>
      <c r="BW192" s="311"/>
      <c r="BX192" s="311"/>
      <c r="BY192" s="311"/>
      <c r="BZ192" s="311"/>
      <c r="CA192" s="311"/>
      <c r="CB192" s="311"/>
      <c r="CC192" s="311"/>
      <c r="CD192" s="311"/>
      <c r="CE192" s="311"/>
      <c r="CF192" s="311"/>
      <c r="CG192" s="311"/>
      <c r="CH192" s="311"/>
    </row>
    <row r="193" spans="1:100">
      <c r="A193" s="3560" t="str">
        <f>E49</f>
        <v>S1-100</v>
      </c>
      <c r="B193" s="2602" t="s">
        <v>2473</v>
      </c>
      <c r="C193" s="3533">
        <f>C49</f>
        <v>0.7475763842813713</v>
      </c>
      <c r="D193" s="3532" t="b">
        <f>IF(A193="40%",N225,IF(A193="60%",N232))</f>
        <v>0</v>
      </c>
      <c r="E193" s="3532" t="b">
        <f>IF(A193="40%",O225,IF(A193="60%",O232))</f>
        <v>0</v>
      </c>
      <c r="F193" s="3532" t="b">
        <f>IF(A193="40%",P225,IF(A193="60%",P232))</f>
        <v>0</v>
      </c>
      <c r="G193" s="3532" t="b">
        <f>IF(A193="40%",Q225,IF(A193="60%",Q232))</f>
        <v>0</v>
      </c>
      <c r="H193" s="3549" t="b">
        <f>IF(A193="40%",R225,IF(A193="60%",R232))</f>
        <v>0</v>
      </c>
      <c r="I193" s="3532" t="b">
        <f>IF(A193="40%",S225,IF(A193="60%",S232))</f>
        <v>0</v>
      </c>
      <c r="M193" s="311">
        <v>1.6</v>
      </c>
      <c r="N193" s="311"/>
      <c r="O193" s="311" t="s">
        <v>140</v>
      </c>
      <c r="P193" s="145">
        <v>1.9</v>
      </c>
      <c r="Q193" s="311"/>
      <c r="R193" s="3559" t="str">
        <f t="shared" si="72"/>
        <v>100L</v>
      </c>
      <c r="S193" s="159">
        <v>934</v>
      </c>
      <c r="T193" s="311">
        <v>32</v>
      </c>
      <c r="U193" s="3555">
        <f>(V193*(1-H189))+W193+X193+Y193+Z193</f>
        <v>29489</v>
      </c>
      <c r="V193" s="416">
        <v>29700</v>
      </c>
      <c r="W193" s="3562">
        <f t="shared" si="75"/>
        <v>8500</v>
      </c>
      <c r="X193" s="3562">
        <f t="shared" si="75"/>
        <v>3000</v>
      </c>
      <c r="Y193" s="3562">
        <f t="shared" si="75"/>
        <v>7000</v>
      </c>
      <c r="Z193" s="3562">
        <f t="shared" si="73"/>
        <v>1485</v>
      </c>
      <c r="AB193" s="53"/>
      <c r="AC193" s="53"/>
      <c r="AD193" s="20"/>
      <c r="AF193" s="311"/>
      <c r="AG193" s="311">
        <v>1</v>
      </c>
      <c r="AH193" s="311" t="s">
        <v>136</v>
      </c>
      <c r="AI193" s="145"/>
      <c r="AJ193" s="311">
        <v>1.4</v>
      </c>
      <c r="AK193" s="3559" t="str">
        <f t="shared" si="74"/>
        <v>90L</v>
      </c>
      <c r="AL193" s="2167">
        <v>901</v>
      </c>
      <c r="AM193" s="311">
        <v>25</v>
      </c>
      <c r="AN193" s="3555">
        <f>(AO193*(1-H189))+AP193+AQ193+AR193+AS193</f>
        <v>27232</v>
      </c>
      <c r="AO193" s="416">
        <v>23600</v>
      </c>
      <c r="AP193" s="3562">
        <f t="shared" si="77"/>
        <v>8500</v>
      </c>
      <c r="AQ193" s="3562">
        <f t="shared" si="77"/>
        <v>3000</v>
      </c>
      <c r="AR193" s="3562">
        <f t="shared" si="77"/>
        <v>7000</v>
      </c>
      <c r="AS193" s="3562">
        <f t="shared" si="76"/>
        <v>1180</v>
      </c>
      <c r="AZ193" s="2618"/>
      <c r="BD193" s="3559" t="str">
        <f t="shared" ref="BD193:CB193" si="78">+BD190</f>
        <v>Frame S</v>
      </c>
      <c r="BE193" s="3559" t="str">
        <f t="shared" si="78"/>
        <v>80 (1)</v>
      </c>
      <c r="BF193" s="3559" t="str">
        <f t="shared" si="78"/>
        <v>80 (2)</v>
      </c>
      <c r="BG193" s="3559" t="str">
        <f t="shared" si="78"/>
        <v>90S</v>
      </c>
      <c r="BH193" s="3559" t="str">
        <f t="shared" si="78"/>
        <v>90L</v>
      </c>
      <c r="BI193" s="3559" t="str">
        <f t="shared" si="78"/>
        <v>100L</v>
      </c>
      <c r="BJ193" s="3559" t="str">
        <f t="shared" si="78"/>
        <v>112M</v>
      </c>
      <c r="BK193" s="3559" t="str">
        <f t="shared" si="78"/>
        <v>132S</v>
      </c>
      <c r="BL193" s="3559" t="str">
        <f t="shared" si="78"/>
        <v>132M</v>
      </c>
      <c r="BM193" s="3559" t="str">
        <f t="shared" si="78"/>
        <v>160M</v>
      </c>
      <c r="BN193" s="3559" t="str">
        <f t="shared" si="78"/>
        <v>160L</v>
      </c>
      <c r="BO193" s="3559" t="str">
        <f t="shared" si="78"/>
        <v>180L</v>
      </c>
      <c r="BP193" s="3559" t="str">
        <f t="shared" si="78"/>
        <v>200L (1)</v>
      </c>
      <c r="BQ193" s="3559" t="str">
        <f t="shared" si="78"/>
        <v>200L (2)</v>
      </c>
      <c r="BR193" s="3559" t="str">
        <f t="shared" si="78"/>
        <v>225M</v>
      </c>
      <c r="BS193" s="3559" t="str">
        <f t="shared" si="78"/>
        <v>250M</v>
      </c>
      <c r="BT193" s="3559" t="str">
        <f t="shared" si="78"/>
        <v>280S</v>
      </c>
      <c r="BU193" s="3559" t="str">
        <f t="shared" si="78"/>
        <v>280M</v>
      </c>
      <c r="BV193" s="3559" t="str">
        <f t="shared" si="78"/>
        <v>315S</v>
      </c>
      <c r="BW193" s="3559" t="str">
        <f t="shared" si="78"/>
        <v>315M</v>
      </c>
      <c r="BX193" s="3559" t="str">
        <f t="shared" si="78"/>
        <v>315L  (1)</v>
      </c>
      <c r="BY193" s="3559" t="str">
        <f t="shared" si="78"/>
        <v>315L (2)</v>
      </c>
      <c r="BZ193" s="3559" t="str">
        <f t="shared" si="78"/>
        <v>355L (1)</v>
      </c>
      <c r="CA193" s="3559" t="str">
        <f t="shared" si="78"/>
        <v>355L (2)</v>
      </c>
      <c r="CB193" s="3559" t="str">
        <f t="shared" si="78"/>
        <v>335L (3)</v>
      </c>
      <c r="CC193" s="311"/>
      <c r="CD193" s="311"/>
      <c r="CE193" s="311"/>
      <c r="CF193" s="311"/>
      <c r="CG193" s="311"/>
      <c r="CH193" s="311"/>
    </row>
    <row r="194" spans="1:100">
      <c r="A194" s="3560" t="str">
        <f>E50</f>
        <v>S1-100</v>
      </c>
      <c r="B194" s="2602" t="s">
        <v>2474</v>
      </c>
      <c r="C194" s="3533">
        <f>C50</f>
        <v>1.2453130745563414</v>
      </c>
      <c r="D194" s="3532" t="b">
        <f>IF(A194="40%",N226,IF(A194="60%",N233))</f>
        <v>0</v>
      </c>
      <c r="E194" s="3532" t="b">
        <f>IF(A194="40%",O226,IF(A194="60%",O233))</f>
        <v>0</v>
      </c>
      <c r="F194" s="3532" t="b">
        <f>IF(A194="40%",P226,IF(A194="60%",P233))</f>
        <v>0</v>
      </c>
      <c r="G194" s="3532" t="b">
        <f>IF(A194="40%",Q226,IF(A194="60%",Q233))</f>
        <v>0</v>
      </c>
      <c r="H194" s="3549" t="b">
        <f>IF(A194="40%",R226,IF(A194="60%",R233))</f>
        <v>0</v>
      </c>
      <c r="I194" s="3532" t="b">
        <f>IF(A194="40%",S226,IF(A194="60%",S233))</f>
        <v>0</v>
      </c>
      <c r="M194" s="311">
        <v>1.9</v>
      </c>
      <c r="N194" s="311"/>
      <c r="O194" s="311" t="s">
        <v>143</v>
      </c>
      <c r="P194" s="145">
        <v>2.8</v>
      </c>
      <c r="Q194" s="311"/>
      <c r="R194" s="3559" t="str">
        <f t="shared" si="72"/>
        <v>112M</v>
      </c>
      <c r="S194" s="159">
        <v>940</v>
      </c>
      <c r="T194" s="311">
        <v>42</v>
      </c>
      <c r="U194" s="3555">
        <f>(V194*(1-H189))+W194+X194+Y194+Z194</f>
        <v>31635</v>
      </c>
      <c r="V194" s="416">
        <v>35500</v>
      </c>
      <c r="W194" s="3562">
        <f t="shared" si="75"/>
        <v>8500</v>
      </c>
      <c r="X194" s="3562">
        <f t="shared" si="75"/>
        <v>3000</v>
      </c>
      <c r="Y194" s="3562">
        <f t="shared" si="75"/>
        <v>7000</v>
      </c>
      <c r="Z194" s="3562">
        <f t="shared" si="73"/>
        <v>1775</v>
      </c>
      <c r="AB194" s="53"/>
      <c r="AC194" s="53"/>
      <c r="AD194" s="20"/>
      <c r="AF194" s="311"/>
      <c r="AG194" s="311">
        <v>1.4</v>
      </c>
      <c r="AH194" s="311" t="s">
        <v>140</v>
      </c>
      <c r="AI194" s="145"/>
      <c r="AJ194" s="311">
        <v>1.8</v>
      </c>
      <c r="AK194" s="3559" t="str">
        <f t="shared" si="74"/>
        <v>100L</v>
      </c>
      <c r="AL194" s="2167">
        <v>935</v>
      </c>
      <c r="AM194" s="311">
        <v>32</v>
      </c>
      <c r="AN194" s="3555">
        <f>(AO194*(1-H189))+AP194+AQ194+AR194+AS194</f>
        <v>29489</v>
      </c>
      <c r="AO194" s="416">
        <v>29700</v>
      </c>
      <c r="AP194" s="3562">
        <f t="shared" si="77"/>
        <v>8500</v>
      </c>
      <c r="AQ194" s="3562">
        <f t="shared" si="77"/>
        <v>3000</v>
      </c>
      <c r="AR194" s="3562">
        <f t="shared" si="77"/>
        <v>7000</v>
      </c>
      <c r="AS194" s="3562">
        <f t="shared" si="76"/>
        <v>1485</v>
      </c>
      <c r="AZ194" s="2618"/>
      <c r="BD194" s="29" t="s">
        <v>121</v>
      </c>
      <c r="BE194" s="159">
        <v>911</v>
      </c>
      <c r="BF194" s="159">
        <v>910</v>
      </c>
      <c r="BG194" s="159">
        <v>900</v>
      </c>
      <c r="BH194" s="159">
        <v>904</v>
      </c>
      <c r="BI194" s="159">
        <v>934</v>
      </c>
      <c r="BJ194" s="159">
        <v>940</v>
      </c>
      <c r="BK194" s="159">
        <v>947</v>
      </c>
      <c r="BL194" s="159">
        <v>949</v>
      </c>
      <c r="BM194" s="159">
        <v>952</v>
      </c>
      <c r="BN194" s="159">
        <v>959</v>
      </c>
      <c r="BO194" s="159">
        <v>970</v>
      </c>
      <c r="BP194" s="159">
        <v>975</v>
      </c>
      <c r="BQ194" s="159">
        <v>975</v>
      </c>
      <c r="BR194" s="159">
        <v>972</v>
      </c>
      <c r="BS194" s="159">
        <v>977</v>
      </c>
      <c r="BT194" s="159">
        <v>980</v>
      </c>
      <c r="BU194" s="159">
        <v>981</v>
      </c>
      <c r="BV194" s="159">
        <v>983</v>
      </c>
      <c r="BW194" s="159">
        <v>982</v>
      </c>
      <c r="BX194" s="159">
        <v>984</v>
      </c>
      <c r="BY194" s="159">
        <v>985</v>
      </c>
      <c r="BZ194" s="159">
        <v>987</v>
      </c>
      <c r="CA194" s="159">
        <v>988</v>
      </c>
      <c r="CB194" s="159">
        <v>988</v>
      </c>
      <c r="CC194" s="311"/>
      <c r="CD194" s="311"/>
      <c r="CE194" s="311"/>
      <c r="CF194" s="311"/>
      <c r="CG194" s="311"/>
      <c r="CH194" s="311"/>
    </row>
    <row r="195" spans="1:100">
      <c r="M195" s="311">
        <v>2.8</v>
      </c>
      <c r="N195" s="311"/>
      <c r="O195" s="311" t="s">
        <v>147</v>
      </c>
      <c r="P195" s="145">
        <v>4.9000000000000004</v>
      </c>
      <c r="Q195" s="311"/>
      <c r="R195" s="3559" t="str">
        <f t="shared" si="72"/>
        <v>132S</v>
      </c>
      <c r="S195" s="159">
        <v>947</v>
      </c>
      <c r="T195" s="311">
        <v>68</v>
      </c>
      <c r="U195" s="3555">
        <f>(V195*(1-H189))+W195+X195+Y195+Z195</f>
        <v>39184</v>
      </c>
      <c r="V195" s="416">
        <v>53200</v>
      </c>
      <c r="W195" s="3562">
        <f>+W194</f>
        <v>8500</v>
      </c>
      <c r="X195" s="416">
        <v>4000</v>
      </c>
      <c r="Y195" s="3562">
        <f t="shared" ref="Y195:Y212" si="79">+Y194</f>
        <v>7000</v>
      </c>
      <c r="Z195" s="3562">
        <f t="shared" si="73"/>
        <v>2660</v>
      </c>
      <c r="AB195" s="53"/>
      <c r="AC195" s="53"/>
      <c r="AD195" s="20"/>
      <c r="AF195" s="311"/>
      <c r="AG195" s="311">
        <v>1.8</v>
      </c>
      <c r="AH195" s="311" t="s">
        <v>143</v>
      </c>
      <c r="AI195" s="145"/>
      <c r="AJ195" s="311">
        <v>2.5</v>
      </c>
      <c r="AK195" s="3559" t="str">
        <f t="shared" si="74"/>
        <v>112M</v>
      </c>
      <c r="AL195" s="2167">
        <v>943</v>
      </c>
      <c r="AM195" s="311">
        <v>42</v>
      </c>
      <c r="AN195" s="3555">
        <f>(AO195*(1-H189))+AP195+AQ195+AR195+AS195</f>
        <v>31635</v>
      </c>
      <c r="AO195" s="416">
        <v>35500</v>
      </c>
      <c r="AP195" s="3562">
        <f t="shared" si="77"/>
        <v>8500</v>
      </c>
      <c r="AQ195" s="3562">
        <f t="shared" si="77"/>
        <v>3000</v>
      </c>
      <c r="AR195" s="3562">
        <f t="shared" si="77"/>
        <v>7000</v>
      </c>
      <c r="AS195" s="3562">
        <f t="shared" si="76"/>
        <v>1775</v>
      </c>
      <c r="AZ195" s="2618"/>
      <c r="BD195" s="29" t="s">
        <v>111</v>
      </c>
      <c r="BE195" s="311">
        <v>17</v>
      </c>
      <c r="BF195" s="311">
        <v>17</v>
      </c>
      <c r="BG195" s="311">
        <v>22</v>
      </c>
      <c r="BH195" s="311">
        <v>25</v>
      </c>
      <c r="BI195" s="311">
        <v>32</v>
      </c>
      <c r="BJ195" s="311">
        <v>42</v>
      </c>
      <c r="BK195" s="311">
        <v>68</v>
      </c>
      <c r="BL195" s="311">
        <v>79</v>
      </c>
      <c r="BM195" s="311">
        <v>121</v>
      </c>
      <c r="BN195" s="311">
        <v>146</v>
      </c>
      <c r="BO195" s="311">
        <v>204</v>
      </c>
      <c r="BP195" s="311">
        <v>254</v>
      </c>
      <c r="BQ195" s="311">
        <v>270</v>
      </c>
      <c r="BR195" s="311">
        <v>380</v>
      </c>
      <c r="BS195" s="311">
        <v>500</v>
      </c>
      <c r="BT195" s="311">
        <v>620</v>
      </c>
      <c r="BU195" s="311">
        <v>700</v>
      </c>
      <c r="BV195" s="311">
        <v>1056</v>
      </c>
      <c r="BW195" s="311">
        <v>1130</v>
      </c>
      <c r="BX195" s="311">
        <v>1200</v>
      </c>
      <c r="BY195" s="311">
        <v>1230</v>
      </c>
      <c r="BZ195" s="311">
        <v>2150</v>
      </c>
      <c r="CA195" s="311">
        <v>2200</v>
      </c>
      <c r="CB195" s="311">
        <v>2230</v>
      </c>
      <c r="CC195" s="311"/>
      <c r="CD195" s="311"/>
      <c r="CE195" s="311"/>
      <c r="CF195" s="311"/>
      <c r="CG195" s="311"/>
      <c r="CH195" s="311"/>
    </row>
    <row r="196" spans="1:100">
      <c r="M196" s="311">
        <v>4.9000000000000004</v>
      </c>
      <c r="N196" s="311"/>
      <c r="O196" s="311" t="s">
        <v>151</v>
      </c>
      <c r="P196" s="145">
        <v>7</v>
      </c>
      <c r="Q196" s="311"/>
      <c r="R196" s="3559" t="str">
        <f t="shared" si="72"/>
        <v>132M</v>
      </c>
      <c r="S196" s="159">
        <v>949</v>
      </c>
      <c r="T196" s="311">
        <v>79</v>
      </c>
      <c r="U196" s="3555">
        <f>(V196*(1-H189))+W196+X196+Y196+Z196</f>
        <v>41811</v>
      </c>
      <c r="V196" s="416">
        <v>60300</v>
      </c>
      <c r="W196" s="3562">
        <f>+W195</f>
        <v>8500</v>
      </c>
      <c r="X196" s="3562">
        <f t="shared" ref="X196:X202" si="80">+X195</f>
        <v>4000</v>
      </c>
      <c r="Y196" s="3562">
        <f t="shared" si="79"/>
        <v>7000</v>
      </c>
      <c r="Z196" s="3562">
        <f t="shared" si="73"/>
        <v>3015</v>
      </c>
      <c r="AB196" s="53"/>
      <c r="AC196" s="53"/>
      <c r="AD196" s="20"/>
      <c r="AF196" s="311"/>
      <c r="AG196" s="311">
        <v>2.5</v>
      </c>
      <c r="AH196" s="311" t="s">
        <v>147</v>
      </c>
      <c r="AI196" s="145"/>
      <c r="AJ196" s="311">
        <v>4.8</v>
      </c>
      <c r="AK196" s="3559" t="str">
        <f t="shared" si="74"/>
        <v>132S</v>
      </c>
      <c r="AL196" s="2167">
        <v>948</v>
      </c>
      <c r="AM196" s="311">
        <v>68</v>
      </c>
      <c r="AN196" s="3555">
        <f>(AO196*(1-H189))+AP196+AQ196+AR196+AS196</f>
        <v>39184</v>
      </c>
      <c r="AO196" s="416">
        <v>53200</v>
      </c>
      <c r="AP196" s="3562">
        <f>+AP195</f>
        <v>8500</v>
      </c>
      <c r="AQ196" s="416">
        <v>4000</v>
      </c>
      <c r="AR196" s="3562">
        <f t="shared" ref="AR196:AR213" si="81">+AR195</f>
        <v>7000</v>
      </c>
      <c r="AS196" s="3562">
        <f t="shared" si="76"/>
        <v>2660</v>
      </c>
      <c r="AZ196" s="2618"/>
      <c r="BD196" s="2153" t="s">
        <v>2514</v>
      </c>
      <c r="BE196" s="3555">
        <f>(BE197*(1-$H$189))+BE198+BE199+BE200+BE201</f>
        <v>24827</v>
      </c>
      <c r="BF196" s="3555">
        <f t="shared" ref="BF196:CB196" si="82">(BF197*(1-$H$189))+BF198+BF199+BF200+BF201</f>
        <v>24938</v>
      </c>
      <c r="BG196" s="3555">
        <f t="shared" si="82"/>
        <v>26344</v>
      </c>
      <c r="BH196" s="3555">
        <f t="shared" si="82"/>
        <v>27232</v>
      </c>
      <c r="BI196" s="3555">
        <f t="shared" si="82"/>
        <v>29489</v>
      </c>
      <c r="BJ196" s="3555">
        <f t="shared" si="82"/>
        <v>31635</v>
      </c>
      <c r="BK196" s="3555">
        <f t="shared" si="82"/>
        <v>39184</v>
      </c>
      <c r="BL196" s="3555">
        <f t="shared" si="82"/>
        <v>41811</v>
      </c>
      <c r="BM196" s="3555">
        <f t="shared" si="82"/>
        <v>63650</v>
      </c>
      <c r="BN196" s="3555">
        <f t="shared" si="82"/>
        <v>72197</v>
      </c>
      <c r="BO196" s="3555">
        <f t="shared" si="82"/>
        <v>85554</v>
      </c>
      <c r="BP196" s="3555">
        <f t="shared" si="82"/>
        <v>106310.99999999999</v>
      </c>
      <c r="BQ196" s="3555">
        <f t="shared" si="82"/>
        <v>113007.99999999999</v>
      </c>
      <c r="BR196" s="3555">
        <f t="shared" si="82"/>
        <v>154004</v>
      </c>
      <c r="BS196" s="3555">
        <f t="shared" si="82"/>
        <v>211700.99999999997</v>
      </c>
      <c r="BT196" s="3555">
        <f t="shared" si="82"/>
        <v>254694.99999999997</v>
      </c>
      <c r="BU196" s="3555">
        <f t="shared" si="82"/>
        <v>283740</v>
      </c>
      <c r="BV196" s="3555">
        <f t="shared" si="82"/>
        <v>318927</v>
      </c>
      <c r="BW196" s="3555">
        <f t="shared" si="82"/>
        <v>389448.99999999994</v>
      </c>
      <c r="BX196" s="3555">
        <f t="shared" si="82"/>
        <v>429445.99999999994</v>
      </c>
      <c r="BY196" s="3555">
        <f t="shared" si="82"/>
        <v>495157.99999999994</v>
      </c>
      <c r="BZ196" s="3555">
        <f t="shared" si="82"/>
        <v>557688</v>
      </c>
      <c r="CA196" s="3555">
        <f t="shared" si="82"/>
        <v>631503</v>
      </c>
      <c r="CB196" s="3555">
        <f t="shared" si="82"/>
        <v>648449</v>
      </c>
      <c r="CC196" s="385"/>
      <c r="CD196" s="385"/>
      <c r="CE196" s="385"/>
      <c r="CF196" s="385"/>
      <c r="CG196" s="385"/>
      <c r="CH196" s="385"/>
    </row>
    <row r="197" spans="1:100">
      <c r="B197" s="2131" t="s">
        <v>1710</v>
      </c>
      <c r="C197" s="29" t="s">
        <v>119</v>
      </c>
      <c r="D197" s="29" t="s">
        <v>112</v>
      </c>
      <c r="E197" s="29" t="s">
        <v>113</v>
      </c>
      <c r="F197" s="29" t="s">
        <v>114</v>
      </c>
      <c r="G197" s="29" t="s">
        <v>115</v>
      </c>
      <c r="H197" s="29" t="s">
        <v>116</v>
      </c>
      <c r="I197" s="29" t="s">
        <v>117</v>
      </c>
      <c r="J197" s="3561" t="str">
        <f>J222</f>
        <v>Right</v>
      </c>
      <c r="M197" s="311">
        <v>7</v>
      </c>
      <c r="N197" s="311"/>
      <c r="O197" s="311" t="s">
        <v>157</v>
      </c>
      <c r="P197" s="145">
        <v>9.5</v>
      </c>
      <c r="Q197" s="311"/>
      <c r="R197" s="3559" t="str">
        <f t="shared" si="72"/>
        <v>160M</v>
      </c>
      <c r="S197" s="159">
        <v>952</v>
      </c>
      <c r="T197" s="311">
        <v>121</v>
      </c>
      <c r="U197" s="3555">
        <f>(V197*(1-H189))+W197+X197+Y197+Z197</f>
        <v>63650</v>
      </c>
      <c r="V197" s="416">
        <v>95000</v>
      </c>
      <c r="W197" s="416">
        <v>17500</v>
      </c>
      <c r="X197" s="3562">
        <f t="shared" si="80"/>
        <v>4000</v>
      </c>
      <c r="Y197" s="3562">
        <f t="shared" si="79"/>
        <v>7000</v>
      </c>
      <c r="Z197" s="3562">
        <f t="shared" si="73"/>
        <v>4750</v>
      </c>
      <c r="AB197" s="53"/>
      <c r="AC197" s="19"/>
      <c r="AD197" s="20"/>
      <c r="AF197" s="311"/>
      <c r="AG197" s="311">
        <v>4.8</v>
      </c>
      <c r="AH197" s="311" t="s">
        <v>151</v>
      </c>
      <c r="AI197" s="145"/>
      <c r="AJ197" s="311">
        <v>6.2</v>
      </c>
      <c r="AK197" s="3559" t="str">
        <f t="shared" si="74"/>
        <v>132M</v>
      </c>
      <c r="AL197" s="2167">
        <v>955</v>
      </c>
      <c r="AM197" s="311">
        <v>79</v>
      </c>
      <c r="AN197" s="3555">
        <f>(AO197*(1-H189))+AP197+AQ197+AR197+AS197</f>
        <v>41811</v>
      </c>
      <c r="AO197" s="416">
        <v>60300</v>
      </c>
      <c r="AP197" s="3562">
        <f>+AP196</f>
        <v>8500</v>
      </c>
      <c r="AQ197" s="3562">
        <f t="shared" ref="AQ197:AQ203" si="83">+AQ196</f>
        <v>4000</v>
      </c>
      <c r="AR197" s="3562">
        <f t="shared" si="81"/>
        <v>7000</v>
      </c>
      <c r="AS197" s="3562">
        <f t="shared" si="76"/>
        <v>3015</v>
      </c>
      <c r="AZ197" s="2618"/>
      <c r="BD197" s="29" t="s">
        <v>113</v>
      </c>
      <c r="BE197" s="416">
        <v>17100</v>
      </c>
      <c r="BF197" s="416">
        <v>17400</v>
      </c>
      <c r="BG197" s="416">
        <v>21200</v>
      </c>
      <c r="BH197" s="416">
        <v>23600</v>
      </c>
      <c r="BI197" s="416">
        <v>29700</v>
      </c>
      <c r="BJ197" s="416">
        <v>35500</v>
      </c>
      <c r="BK197" s="416">
        <v>53200</v>
      </c>
      <c r="BL197" s="416">
        <v>60300</v>
      </c>
      <c r="BM197" s="416">
        <v>95000</v>
      </c>
      <c r="BN197" s="416">
        <v>118100</v>
      </c>
      <c r="BO197" s="416">
        <v>154200</v>
      </c>
      <c r="BP197" s="416">
        <v>210300</v>
      </c>
      <c r="BQ197" s="416">
        <v>228400</v>
      </c>
      <c r="BR197" s="416">
        <v>339200</v>
      </c>
      <c r="BS197" s="416">
        <v>457300</v>
      </c>
      <c r="BT197" s="416">
        <v>573500</v>
      </c>
      <c r="BU197" s="416">
        <v>652000</v>
      </c>
      <c r="BV197" s="416">
        <v>747100</v>
      </c>
      <c r="BW197" s="416">
        <v>937700</v>
      </c>
      <c r="BX197" s="416">
        <v>1045800</v>
      </c>
      <c r="BY197" s="416">
        <v>1223400</v>
      </c>
      <c r="BZ197" s="416">
        <v>1392400</v>
      </c>
      <c r="CA197" s="416">
        <v>1591900</v>
      </c>
      <c r="CB197" s="416">
        <v>1637700</v>
      </c>
      <c r="CC197" s="311"/>
      <c r="CD197" s="311"/>
      <c r="CE197" s="385"/>
      <c r="CF197" s="385"/>
      <c r="CG197" s="385"/>
      <c r="CH197" s="385"/>
    </row>
    <row r="198" spans="1:100">
      <c r="B198" s="2602" t="s">
        <v>2471</v>
      </c>
      <c r="C198" s="3532" t="str">
        <f>F191</f>
        <v>180L</v>
      </c>
      <c r="D198" s="3549">
        <f>IF(A191="40%",U223,IF(A191="60%",U230))</f>
        <v>85554</v>
      </c>
      <c r="E198" s="3532">
        <f>IF(A191="40%",V223,IF(A191="60%",V230))</f>
        <v>154200</v>
      </c>
      <c r="F198" s="3532">
        <f>IF(A191="40%",W223,IF(A191="60%",W230))</f>
        <v>17500</v>
      </c>
      <c r="G198" s="3532">
        <f>IF(A191="40%",X223,IF(A191="60%",X230))</f>
        <v>4000</v>
      </c>
      <c r="H198" s="3532">
        <f>IF(A191="40%",Y223,IF(A191="60%",Y230))</f>
        <v>7000</v>
      </c>
      <c r="I198" s="3532">
        <f>IF(A191="40%",Z223,IF(A191="60%",Z230))</f>
        <v>7710</v>
      </c>
      <c r="J198" s="3561" t="str">
        <f t="shared" ref="J198:J201" si="84">J223</f>
        <v>Right</v>
      </c>
      <c r="M198" s="311">
        <v>9.5</v>
      </c>
      <c r="N198" s="311"/>
      <c r="O198" s="311" t="s">
        <v>163</v>
      </c>
      <c r="P198" s="145">
        <v>14</v>
      </c>
      <c r="Q198" s="311"/>
      <c r="R198" s="3559" t="str">
        <f t="shared" si="72"/>
        <v>160L</v>
      </c>
      <c r="S198" s="159">
        <v>959</v>
      </c>
      <c r="T198" s="311">
        <v>146</v>
      </c>
      <c r="U198" s="3555">
        <f>(V198*(1-H189))+W198+X198+Y198+Z198</f>
        <v>72197</v>
      </c>
      <c r="V198" s="416">
        <v>118100</v>
      </c>
      <c r="W198" s="3562">
        <f>+W197</f>
        <v>17500</v>
      </c>
      <c r="X198" s="3562">
        <f t="shared" si="80"/>
        <v>4000</v>
      </c>
      <c r="Y198" s="3562">
        <f t="shared" si="79"/>
        <v>7000</v>
      </c>
      <c r="Z198" s="3562">
        <f t="shared" si="73"/>
        <v>5905</v>
      </c>
      <c r="AB198" s="53"/>
      <c r="AC198" s="53"/>
      <c r="AD198" s="20"/>
      <c r="AF198" s="311"/>
      <c r="AG198" s="311">
        <v>6.2</v>
      </c>
      <c r="AH198" s="311" t="s">
        <v>157</v>
      </c>
      <c r="AI198" s="145"/>
      <c r="AJ198" s="311">
        <v>8.4</v>
      </c>
      <c r="AK198" s="3559" t="str">
        <f t="shared" si="74"/>
        <v>160M</v>
      </c>
      <c r="AL198" s="2167">
        <v>950</v>
      </c>
      <c r="AM198" s="311">
        <v>121</v>
      </c>
      <c r="AN198" s="3555">
        <f>(AO198*(1-H189))+AP198+AQ198+AR198+AS198</f>
        <v>63650</v>
      </c>
      <c r="AO198" s="416">
        <v>95000</v>
      </c>
      <c r="AP198" s="416">
        <v>17500</v>
      </c>
      <c r="AQ198" s="3562">
        <f t="shared" si="83"/>
        <v>4000</v>
      </c>
      <c r="AR198" s="3562">
        <f t="shared" si="81"/>
        <v>7000</v>
      </c>
      <c r="AS198" s="3562">
        <f t="shared" si="76"/>
        <v>4750</v>
      </c>
      <c r="AZ198" s="2618"/>
      <c r="BD198" s="29" t="s">
        <v>114</v>
      </c>
      <c r="BE198" s="416">
        <v>8500</v>
      </c>
      <c r="BF198" s="3562">
        <f t="shared" ref="BF198:BL198" si="85">+BE198</f>
        <v>8500</v>
      </c>
      <c r="BG198" s="3562">
        <f t="shared" si="85"/>
        <v>8500</v>
      </c>
      <c r="BH198" s="3562">
        <f t="shared" si="85"/>
        <v>8500</v>
      </c>
      <c r="BI198" s="3562">
        <f t="shared" si="85"/>
        <v>8500</v>
      </c>
      <c r="BJ198" s="3562">
        <f t="shared" si="85"/>
        <v>8500</v>
      </c>
      <c r="BK198" s="3562">
        <f t="shared" si="85"/>
        <v>8500</v>
      </c>
      <c r="BL198" s="3562">
        <f t="shared" si="85"/>
        <v>8500</v>
      </c>
      <c r="BM198" s="416">
        <v>17500</v>
      </c>
      <c r="BN198" s="3562">
        <f t="shared" ref="BN198:BR200" si="86">+BM198</f>
        <v>17500</v>
      </c>
      <c r="BO198" s="3562">
        <f t="shared" si="86"/>
        <v>17500</v>
      </c>
      <c r="BP198" s="3562">
        <f t="shared" si="86"/>
        <v>17500</v>
      </c>
      <c r="BQ198" s="3562">
        <f t="shared" si="86"/>
        <v>17500</v>
      </c>
      <c r="BR198" s="3562">
        <f t="shared" si="86"/>
        <v>17500</v>
      </c>
      <c r="BS198" s="416">
        <v>27500</v>
      </c>
      <c r="BT198" s="3562">
        <f t="shared" ref="BT198:CB198" si="87">+BS198</f>
        <v>27500</v>
      </c>
      <c r="BU198" s="3562">
        <f t="shared" si="87"/>
        <v>27500</v>
      </c>
      <c r="BV198" s="3562">
        <f t="shared" si="87"/>
        <v>27500</v>
      </c>
      <c r="BW198" s="3562">
        <f t="shared" si="87"/>
        <v>27500</v>
      </c>
      <c r="BX198" s="3562">
        <f t="shared" si="87"/>
        <v>27500</v>
      </c>
      <c r="BY198" s="3562">
        <f t="shared" si="87"/>
        <v>27500</v>
      </c>
      <c r="BZ198" s="3562">
        <f t="shared" si="87"/>
        <v>27500</v>
      </c>
      <c r="CA198" s="3562">
        <f t="shared" si="87"/>
        <v>27500</v>
      </c>
      <c r="CB198" s="3562">
        <f t="shared" si="87"/>
        <v>27500</v>
      </c>
      <c r="CC198" s="416"/>
      <c r="CD198" s="416"/>
      <c r="CE198" s="416"/>
      <c r="CF198" s="416"/>
      <c r="CG198" s="416"/>
      <c r="CH198" s="416"/>
    </row>
    <row r="199" spans="1:100">
      <c r="B199" s="2602" t="s">
        <v>2472</v>
      </c>
      <c r="C199" s="3532" t="str">
        <f>F192</f>
        <v>180L</v>
      </c>
      <c r="D199" s="3549">
        <f>IF(A192="40%",U224,IF(A192="60%",U231))</f>
        <v>85554</v>
      </c>
      <c r="E199" s="3532">
        <f>IF(A192="40%",V224,IF(A192="60%",V231))</f>
        <v>154200</v>
      </c>
      <c r="F199" s="3532">
        <f>IF(A192="40%",W224,IF(A192="60%",W231))</f>
        <v>17500</v>
      </c>
      <c r="G199" s="3532">
        <f>IF(A192="40%",X224,IF(A192="60%",X231))</f>
        <v>4000</v>
      </c>
      <c r="H199" s="3532">
        <f>IF(A192="40%",Y224,IF(A192="60%",Y231))</f>
        <v>7000</v>
      </c>
      <c r="I199" s="3532">
        <f>IF(A192="40%",Z224,IF(A192="60%",Z231))</f>
        <v>7710</v>
      </c>
      <c r="J199" s="3561" t="str">
        <f>J224</f>
        <v>Right</v>
      </c>
      <c r="M199" s="311">
        <v>14</v>
      </c>
      <c r="N199" s="311"/>
      <c r="O199" s="311" t="s">
        <v>169</v>
      </c>
      <c r="P199" s="145">
        <v>17</v>
      </c>
      <c r="Q199" s="311"/>
      <c r="R199" s="3559" t="str">
        <f t="shared" si="72"/>
        <v>180L</v>
      </c>
      <c r="S199" s="159">
        <v>970</v>
      </c>
      <c r="T199" s="311">
        <v>204</v>
      </c>
      <c r="U199" s="3555">
        <f>(V199*(1-H189))+W199+X199+Y199+Z199</f>
        <v>85554</v>
      </c>
      <c r="V199" s="416">
        <v>154200</v>
      </c>
      <c r="W199" s="3562">
        <f>+W198</f>
        <v>17500</v>
      </c>
      <c r="X199" s="3562">
        <f t="shared" si="80"/>
        <v>4000</v>
      </c>
      <c r="Y199" s="3562">
        <f t="shared" si="79"/>
        <v>7000</v>
      </c>
      <c r="Z199" s="3562">
        <f t="shared" si="73"/>
        <v>7710</v>
      </c>
      <c r="AB199" s="53"/>
      <c r="AC199" s="53"/>
      <c r="AD199" s="20"/>
      <c r="AF199" s="311"/>
      <c r="AG199" s="311">
        <v>8.4</v>
      </c>
      <c r="AH199" s="311" t="s">
        <v>163</v>
      </c>
      <c r="AI199" s="145"/>
      <c r="AJ199" s="311">
        <v>12</v>
      </c>
      <c r="AK199" s="3559" t="str">
        <f t="shared" si="74"/>
        <v>160L</v>
      </c>
      <c r="AL199" s="2167">
        <v>960</v>
      </c>
      <c r="AM199" s="311">
        <v>146</v>
      </c>
      <c r="AN199" s="3555">
        <f>(AO199*(1-H189))+AP199+AQ199+AR199+AS199</f>
        <v>72197</v>
      </c>
      <c r="AO199" s="416">
        <v>118100</v>
      </c>
      <c r="AP199" s="3562">
        <f>+AP198</f>
        <v>17500</v>
      </c>
      <c r="AQ199" s="3562">
        <f t="shared" si="83"/>
        <v>4000</v>
      </c>
      <c r="AR199" s="3562">
        <f t="shared" si="81"/>
        <v>7000</v>
      </c>
      <c r="AS199" s="3562">
        <f t="shared" si="76"/>
        <v>5905</v>
      </c>
      <c r="AZ199" s="2618"/>
      <c r="BD199" s="29" t="s">
        <v>115</v>
      </c>
      <c r="BE199" s="416">
        <v>3000</v>
      </c>
      <c r="BF199" s="3562">
        <f t="shared" ref="BF199:BJ200" si="88">+BE199</f>
        <v>3000</v>
      </c>
      <c r="BG199" s="3562">
        <f t="shared" si="88"/>
        <v>3000</v>
      </c>
      <c r="BH199" s="3562">
        <f t="shared" si="88"/>
        <v>3000</v>
      </c>
      <c r="BI199" s="3562">
        <f t="shared" si="88"/>
        <v>3000</v>
      </c>
      <c r="BJ199" s="3562">
        <f t="shared" si="88"/>
        <v>3000</v>
      </c>
      <c r="BK199" s="416">
        <v>4000</v>
      </c>
      <c r="BL199" s="3562">
        <f>+BK199</f>
        <v>4000</v>
      </c>
      <c r="BM199" s="3562">
        <f>+BL199</f>
        <v>4000</v>
      </c>
      <c r="BN199" s="3562">
        <f t="shared" si="86"/>
        <v>4000</v>
      </c>
      <c r="BO199" s="3562">
        <f t="shared" si="86"/>
        <v>4000</v>
      </c>
      <c r="BP199" s="3562">
        <f t="shared" si="86"/>
        <v>4000</v>
      </c>
      <c r="BQ199" s="3562">
        <f t="shared" si="86"/>
        <v>4000</v>
      </c>
      <c r="BR199" s="3562">
        <f t="shared" si="86"/>
        <v>4000</v>
      </c>
      <c r="BS199" s="416">
        <v>8000</v>
      </c>
      <c r="BT199" s="3562">
        <f t="shared" ref="BT199:CB199" si="89">+BS199</f>
        <v>8000</v>
      </c>
      <c r="BU199" s="3562">
        <f t="shared" si="89"/>
        <v>8000</v>
      </c>
      <c r="BV199" s="3562">
        <f t="shared" si="89"/>
        <v>8000</v>
      </c>
      <c r="BW199" s="3562">
        <f t="shared" si="89"/>
        <v>8000</v>
      </c>
      <c r="BX199" s="3562">
        <f t="shared" si="89"/>
        <v>8000</v>
      </c>
      <c r="BY199" s="3562">
        <f t="shared" si="89"/>
        <v>8000</v>
      </c>
      <c r="BZ199" s="3562">
        <f t="shared" si="89"/>
        <v>8000</v>
      </c>
      <c r="CA199" s="3562">
        <f t="shared" si="89"/>
        <v>8000</v>
      </c>
      <c r="CB199" s="3562">
        <f t="shared" si="89"/>
        <v>8000</v>
      </c>
      <c r="CC199" s="416"/>
      <c r="CD199" s="416"/>
      <c r="CE199" s="416"/>
      <c r="CF199" s="416"/>
      <c r="CG199" s="416"/>
      <c r="CH199" s="416"/>
    </row>
    <row r="200" spans="1:100">
      <c r="B200" s="2602" t="s">
        <v>2473</v>
      </c>
      <c r="C200" s="3532" t="b">
        <f>F193</f>
        <v>0</v>
      </c>
      <c r="D200" s="3549" t="b">
        <f>IF(A193="40%",U225,IF(A193="60%",U232))</f>
        <v>0</v>
      </c>
      <c r="E200" s="3532" t="b">
        <f>IF(A193="40%",V225,IF(A193="60%",V232))</f>
        <v>0</v>
      </c>
      <c r="F200" s="3532" t="b">
        <f>IF(A193="40%",W225,IF(A193="60%",W232))</f>
        <v>0</v>
      </c>
      <c r="G200" s="3532" t="b">
        <f>IF(A193="40%",X225,IF(A193="60%",X232))</f>
        <v>0</v>
      </c>
      <c r="H200" s="3532" t="b">
        <f>IF(A193="40%",Y225,IF(A193="60%",Y232))</f>
        <v>0</v>
      </c>
      <c r="I200" s="3532" t="b">
        <f>IF(A193="40%",Z225,IF(A193="60%",Z232))</f>
        <v>0</v>
      </c>
      <c r="J200" s="3561" t="b">
        <f t="shared" si="84"/>
        <v>0</v>
      </c>
      <c r="M200" s="311">
        <v>17</v>
      </c>
      <c r="N200" s="311"/>
      <c r="O200" s="1094" t="s">
        <v>175</v>
      </c>
      <c r="P200" s="145">
        <v>25</v>
      </c>
      <c r="Q200" s="311"/>
      <c r="R200" s="3559" t="str">
        <f t="shared" si="72"/>
        <v>200L (1)</v>
      </c>
      <c r="S200" s="159">
        <v>975</v>
      </c>
      <c r="T200" s="311">
        <v>254</v>
      </c>
      <c r="U200" s="3555">
        <f>(V200*(1-H189))+W200+X200+Y200+Z200</f>
        <v>106310.99999999999</v>
      </c>
      <c r="V200" s="416">
        <v>210300</v>
      </c>
      <c r="W200" s="3562">
        <f>+W199</f>
        <v>17500</v>
      </c>
      <c r="X200" s="3562">
        <f t="shared" si="80"/>
        <v>4000</v>
      </c>
      <c r="Y200" s="3562">
        <f t="shared" si="79"/>
        <v>7000</v>
      </c>
      <c r="Z200" s="3562">
        <f t="shared" si="73"/>
        <v>10515</v>
      </c>
      <c r="AB200" s="53"/>
      <c r="AC200" s="19"/>
      <c r="AD200" s="20"/>
      <c r="AF200" s="311"/>
      <c r="AG200" s="311">
        <v>12</v>
      </c>
      <c r="AH200" s="311" t="s">
        <v>169</v>
      </c>
      <c r="AI200" s="145"/>
      <c r="AJ200" s="311">
        <v>15</v>
      </c>
      <c r="AK200" s="3559" t="str">
        <f t="shared" si="74"/>
        <v>180L</v>
      </c>
      <c r="AL200" s="2167">
        <v>970</v>
      </c>
      <c r="AM200" s="311">
        <v>204</v>
      </c>
      <c r="AN200" s="3555">
        <f>(AO200*(1-H189))+AP200+AQ200+AR200+AS200</f>
        <v>85554</v>
      </c>
      <c r="AO200" s="416">
        <v>154200</v>
      </c>
      <c r="AP200" s="3562">
        <f>+AP199</f>
        <v>17500</v>
      </c>
      <c r="AQ200" s="3562">
        <f t="shared" si="83"/>
        <v>4000</v>
      </c>
      <c r="AR200" s="3562">
        <f t="shared" si="81"/>
        <v>7000</v>
      </c>
      <c r="AS200" s="3562">
        <f t="shared" si="76"/>
        <v>7710</v>
      </c>
      <c r="AZ200" s="2618"/>
      <c r="BD200" s="29" t="s">
        <v>116</v>
      </c>
      <c r="BE200" s="416">
        <v>7000</v>
      </c>
      <c r="BF200" s="3562">
        <f t="shared" si="88"/>
        <v>7000</v>
      </c>
      <c r="BG200" s="3562">
        <f t="shared" si="88"/>
        <v>7000</v>
      </c>
      <c r="BH200" s="3562">
        <f t="shared" si="88"/>
        <v>7000</v>
      </c>
      <c r="BI200" s="3562">
        <f t="shared" si="88"/>
        <v>7000</v>
      </c>
      <c r="BJ200" s="3562">
        <f t="shared" si="88"/>
        <v>7000</v>
      </c>
      <c r="BK200" s="3562">
        <f>+BJ200</f>
        <v>7000</v>
      </c>
      <c r="BL200" s="3562">
        <f>+BK200</f>
        <v>7000</v>
      </c>
      <c r="BM200" s="3562">
        <f>+BL200</f>
        <v>7000</v>
      </c>
      <c r="BN200" s="3562">
        <f t="shared" si="86"/>
        <v>7000</v>
      </c>
      <c r="BO200" s="3562">
        <f t="shared" si="86"/>
        <v>7000</v>
      </c>
      <c r="BP200" s="3562">
        <f t="shared" si="86"/>
        <v>7000</v>
      </c>
      <c r="BQ200" s="3562">
        <f t="shared" si="86"/>
        <v>7000</v>
      </c>
      <c r="BR200" s="3562">
        <f t="shared" si="86"/>
        <v>7000</v>
      </c>
      <c r="BS200" s="3562">
        <f>+BR200</f>
        <v>7000</v>
      </c>
      <c r="BT200" s="3562">
        <f t="shared" ref="BT200:CB200" si="90">+BS200</f>
        <v>7000</v>
      </c>
      <c r="BU200" s="3562">
        <f t="shared" si="90"/>
        <v>7000</v>
      </c>
      <c r="BV200" s="3562">
        <f t="shared" si="90"/>
        <v>7000</v>
      </c>
      <c r="BW200" s="3562">
        <f t="shared" si="90"/>
        <v>7000</v>
      </c>
      <c r="BX200" s="3562">
        <f t="shared" si="90"/>
        <v>7000</v>
      </c>
      <c r="BY200" s="3562">
        <f t="shared" si="90"/>
        <v>7000</v>
      </c>
      <c r="BZ200" s="3562">
        <f t="shared" si="90"/>
        <v>7000</v>
      </c>
      <c r="CA200" s="3562">
        <f t="shared" si="90"/>
        <v>7000</v>
      </c>
      <c r="CB200" s="3562">
        <f t="shared" si="90"/>
        <v>7000</v>
      </c>
      <c r="CC200" s="416"/>
      <c r="CD200" s="416"/>
      <c r="CE200" s="416"/>
      <c r="CF200" s="416"/>
      <c r="CG200" s="416"/>
      <c r="CH200" s="416"/>
    </row>
    <row r="201" spans="1:100">
      <c r="B201" s="2602" t="s">
        <v>2474</v>
      </c>
      <c r="C201" s="3532" t="b">
        <f>F194</f>
        <v>0</v>
      </c>
      <c r="D201" s="3549" t="b">
        <f>IF(A194="40%",U226,IF(A194="60%",U233))</f>
        <v>0</v>
      </c>
      <c r="E201" s="3532" t="b">
        <f>IF(A194="40%",V226,IF(A194="60%",V233))</f>
        <v>0</v>
      </c>
      <c r="F201" s="3532" t="b">
        <f>IF(A194="40%",W226,IF(A194="60%",W233))</f>
        <v>0</v>
      </c>
      <c r="G201" s="3532" t="b">
        <f>IF(A194="40%",X226,IF(A194="60%",X233))</f>
        <v>0</v>
      </c>
      <c r="H201" s="3532" t="b">
        <f>IF(A194="40%",Y226,IF(A194="60%",Y233))</f>
        <v>0</v>
      </c>
      <c r="I201" s="3532" t="b">
        <f>IF(A194="40%",Z226,IF(A194="60%",Z233))</f>
        <v>0</v>
      </c>
      <c r="J201" s="3561" t="b">
        <f t="shared" si="84"/>
        <v>0</v>
      </c>
      <c r="M201" s="311">
        <v>25</v>
      </c>
      <c r="N201" s="311"/>
      <c r="O201" s="1094" t="s">
        <v>180</v>
      </c>
      <c r="P201" s="145">
        <v>28</v>
      </c>
      <c r="Q201" s="311"/>
      <c r="R201" s="3559" t="str">
        <f t="shared" si="72"/>
        <v>200L (2)</v>
      </c>
      <c r="S201" s="159">
        <v>975</v>
      </c>
      <c r="T201" s="311">
        <v>270</v>
      </c>
      <c r="U201" s="3555">
        <f>(V201*(1-H189))+W201+X201+Y201+Z201</f>
        <v>113007.99999999999</v>
      </c>
      <c r="V201" s="416">
        <v>228400</v>
      </c>
      <c r="W201" s="3562">
        <f>+W200</f>
        <v>17500</v>
      </c>
      <c r="X201" s="3562">
        <f t="shared" si="80"/>
        <v>4000</v>
      </c>
      <c r="Y201" s="3562">
        <f t="shared" si="79"/>
        <v>7000</v>
      </c>
      <c r="Z201" s="3562">
        <f t="shared" si="73"/>
        <v>11420</v>
      </c>
      <c r="AB201" s="53"/>
      <c r="AC201" s="19"/>
      <c r="AD201" s="20"/>
      <c r="AF201" s="311"/>
      <c r="AG201" s="311">
        <v>15</v>
      </c>
      <c r="AH201" s="1094" t="s">
        <v>175</v>
      </c>
      <c r="AI201" s="145"/>
      <c r="AJ201" s="311">
        <v>22</v>
      </c>
      <c r="AK201" s="3559" t="str">
        <f t="shared" si="74"/>
        <v>200L (1)</v>
      </c>
      <c r="AL201" s="2167">
        <v>977</v>
      </c>
      <c r="AM201" s="311">
        <v>254</v>
      </c>
      <c r="AN201" s="3555">
        <f>(AO201*(1-H189))+AP201+AQ201+AR201+AS201</f>
        <v>106310.99999999999</v>
      </c>
      <c r="AO201" s="416">
        <v>210300</v>
      </c>
      <c r="AP201" s="3562">
        <f>+AP200</f>
        <v>17500</v>
      </c>
      <c r="AQ201" s="3562">
        <f t="shared" si="83"/>
        <v>4000</v>
      </c>
      <c r="AR201" s="3562">
        <f t="shared" si="81"/>
        <v>7000</v>
      </c>
      <c r="AS201" s="3562">
        <f t="shared" si="76"/>
        <v>10515</v>
      </c>
      <c r="AZ201" s="2618"/>
      <c r="BD201" s="29" t="s">
        <v>117</v>
      </c>
      <c r="BE201" s="3562">
        <f t="shared" ref="BE201:CB201" si="91">BE197*5%</f>
        <v>855</v>
      </c>
      <c r="BF201" s="3562">
        <f t="shared" si="91"/>
        <v>870</v>
      </c>
      <c r="BG201" s="3562">
        <f t="shared" si="91"/>
        <v>1060</v>
      </c>
      <c r="BH201" s="3562">
        <f t="shared" si="91"/>
        <v>1180</v>
      </c>
      <c r="BI201" s="3562">
        <f t="shared" si="91"/>
        <v>1485</v>
      </c>
      <c r="BJ201" s="3562">
        <f t="shared" si="91"/>
        <v>1775</v>
      </c>
      <c r="BK201" s="3562">
        <f t="shared" si="91"/>
        <v>2660</v>
      </c>
      <c r="BL201" s="3562">
        <f t="shared" si="91"/>
        <v>3015</v>
      </c>
      <c r="BM201" s="3562">
        <f t="shared" si="91"/>
        <v>4750</v>
      </c>
      <c r="BN201" s="3562">
        <f t="shared" si="91"/>
        <v>5905</v>
      </c>
      <c r="BO201" s="3562">
        <f t="shared" si="91"/>
        <v>7710</v>
      </c>
      <c r="BP201" s="3562">
        <f t="shared" si="91"/>
        <v>10515</v>
      </c>
      <c r="BQ201" s="3562">
        <f t="shared" si="91"/>
        <v>11420</v>
      </c>
      <c r="BR201" s="3562">
        <f t="shared" si="91"/>
        <v>16960</v>
      </c>
      <c r="BS201" s="3562">
        <f t="shared" si="91"/>
        <v>22865</v>
      </c>
      <c r="BT201" s="3562">
        <f t="shared" si="91"/>
        <v>28675</v>
      </c>
      <c r="BU201" s="3562">
        <f t="shared" si="91"/>
        <v>32600</v>
      </c>
      <c r="BV201" s="3562">
        <f t="shared" si="91"/>
        <v>37355</v>
      </c>
      <c r="BW201" s="3562">
        <f t="shared" si="91"/>
        <v>46885</v>
      </c>
      <c r="BX201" s="3562">
        <f t="shared" si="91"/>
        <v>52290</v>
      </c>
      <c r="BY201" s="3562">
        <f t="shared" si="91"/>
        <v>61170</v>
      </c>
      <c r="BZ201" s="3562">
        <f t="shared" si="91"/>
        <v>69620</v>
      </c>
      <c r="CA201" s="3562">
        <f t="shared" si="91"/>
        <v>79595</v>
      </c>
      <c r="CB201" s="3562">
        <f t="shared" si="91"/>
        <v>81885</v>
      </c>
      <c r="CC201" s="416"/>
      <c r="CD201" s="416"/>
      <c r="CE201" s="416"/>
      <c r="CF201" s="416"/>
      <c r="CG201" s="416"/>
      <c r="CH201" s="416"/>
    </row>
    <row r="202" spans="1:100">
      <c r="B202" s="20"/>
      <c r="C202" s="19"/>
      <c r="H202" s="17"/>
      <c r="I202" s="17"/>
      <c r="M202" s="311">
        <v>28</v>
      </c>
      <c r="N202" s="311"/>
      <c r="O202" s="1094" t="s">
        <v>184</v>
      </c>
      <c r="P202" s="145">
        <v>38</v>
      </c>
      <c r="Q202" s="311"/>
      <c r="R202" s="3559" t="str">
        <f t="shared" si="72"/>
        <v>225M</v>
      </c>
      <c r="S202" s="159">
        <v>972</v>
      </c>
      <c r="T202" s="311">
        <v>380</v>
      </c>
      <c r="U202" s="3555">
        <f>(V202*(1-H189))+W202+X202+Y202+Z202</f>
        <v>154004</v>
      </c>
      <c r="V202" s="416">
        <v>339200</v>
      </c>
      <c r="W202" s="3562">
        <f>+W201</f>
        <v>17500</v>
      </c>
      <c r="X202" s="3562">
        <f t="shared" si="80"/>
        <v>4000</v>
      </c>
      <c r="Y202" s="3562">
        <f t="shared" si="79"/>
        <v>7000</v>
      </c>
      <c r="Z202" s="3562">
        <f t="shared" si="73"/>
        <v>16960</v>
      </c>
      <c r="AB202" s="53"/>
      <c r="AC202" s="53"/>
      <c r="AD202" s="20"/>
      <c r="AF202" s="311"/>
      <c r="AG202" s="311">
        <v>22</v>
      </c>
      <c r="AH202" s="1094" t="s">
        <v>180</v>
      </c>
      <c r="AI202" s="145"/>
      <c r="AJ202" s="311">
        <v>25</v>
      </c>
      <c r="AK202" s="3559" t="str">
        <f t="shared" si="74"/>
        <v>200L (2)</v>
      </c>
      <c r="AL202" s="2167">
        <v>975</v>
      </c>
      <c r="AM202" s="311">
        <v>270</v>
      </c>
      <c r="AN202" s="3555">
        <f>(AO202*(1-H189))+AP202+AQ202+AR202+AS202</f>
        <v>113007.99999999999</v>
      </c>
      <c r="AO202" s="416">
        <v>228400</v>
      </c>
      <c r="AP202" s="3562">
        <f>+AP201</f>
        <v>17500</v>
      </c>
      <c r="AQ202" s="3562">
        <f t="shared" si="83"/>
        <v>4000</v>
      </c>
      <c r="AR202" s="3562">
        <f t="shared" si="81"/>
        <v>7000</v>
      </c>
      <c r="AS202" s="3562">
        <f t="shared" si="76"/>
        <v>11420</v>
      </c>
      <c r="AZ202" s="2618"/>
      <c r="BT202" s="53"/>
    </row>
    <row r="203" spans="1:100">
      <c r="B203" s="20"/>
      <c r="C203" s="19"/>
      <c r="H203" s="17"/>
      <c r="I203" s="17"/>
      <c r="M203" s="311">
        <v>38</v>
      </c>
      <c r="N203" s="311"/>
      <c r="O203" s="1094" t="s">
        <v>189</v>
      </c>
      <c r="P203" s="145">
        <v>45</v>
      </c>
      <c r="Q203" s="311"/>
      <c r="R203" s="3559" t="str">
        <f t="shared" si="72"/>
        <v>250M</v>
      </c>
      <c r="S203" s="159">
        <v>977</v>
      </c>
      <c r="T203" s="311">
        <v>500</v>
      </c>
      <c r="U203" s="3555">
        <f>(V203*(1-H189))+W203+X203+Y203+Z203</f>
        <v>211700.99999999997</v>
      </c>
      <c r="V203" s="416">
        <v>457300</v>
      </c>
      <c r="W203" s="416">
        <v>27500</v>
      </c>
      <c r="X203" s="416">
        <v>8000</v>
      </c>
      <c r="Y203" s="3562">
        <f t="shared" si="79"/>
        <v>7000</v>
      </c>
      <c r="Z203" s="3562">
        <f t="shared" si="73"/>
        <v>22865</v>
      </c>
      <c r="AB203" s="53"/>
      <c r="AC203" s="53"/>
      <c r="AD203" s="20"/>
      <c r="AF203" s="311"/>
      <c r="AG203" s="311">
        <v>25</v>
      </c>
      <c r="AH203" s="1094" t="s">
        <v>184</v>
      </c>
      <c r="AI203" s="145"/>
      <c r="AJ203" s="311">
        <v>34</v>
      </c>
      <c r="AK203" s="3559" t="str">
        <f t="shared" si="74"/>
        <v>225M</v>
      </c>
      <c r="AL203" s="2167">
        <v>974</v>
      </c>
      <c r="AM203" s="311">
        <v>380</v>
      </c>
      <c r="AN203" s="3555">
        <f>(AO203*(1-H189))+AP203+AQ203+AR203+AS203</f>
        <v>154004</v>
      </c>
      <c r="AO203" s="416">
        <v>339200</v>
      </c>
      <c r="AP203" s="3562">
        <f>+AP202</f>
        <v>17500</v>
      </c>
      <c r="AQ203" s="3562">
        <f t="shared" si="83"/>
        <v>4000</v>
      </c>
      <c r="AR203" s="3562">
        <f t="shared" si="81"/>
        <v>7000</v>
      </c>
      <c r="AS203" s="3562">
        <f t="shared" si="76"/>
        <v>16960</v>
      </c>
      <c r="AZ203" s="2618"/>
      <c r="BT203" s="53"/>
    </row>
    <row r="204" spans="1:100">
      <c r="B204" s="59"/>
      <c r="C204" s="19"/>
      <c r="H204" s="19"/>
      <c r="M204" s="311">
        <v>45</v>
      </c>
      <c r="N204" s="311"/>
      <c r="O204" s="311" t="s">
        <v>196</v>
      </c>
      <c r="P204" s="145">
        <v>60</v>
      </c>
      <c r="Q204" s="311"/>
      <c r="R204" s="3559" t="str">
        <f t="shared" si="72"/>
        <v>280S</v>
      </c>
      <c r="S204" s="159">
        <v>980</v>
      </c>
      <c r="T204" s="311">
        <v>620</v>
      </c>
      <c r="U204" s="3555">
        <f>(V204*(1-H189))+W204+X204+Y204+Z204</f>
        <v>254694.99999999997</v>
      </c>
      <c r="V204" s="416">
        <v>573500</v>
      </c>
      <c r="W204" s="3562">
        <f t="shared" ref="W204:W212" si="92">+W203</f>
        <v>27500</v>
      </c>
      <c r="X204" s="3562">
        <f t="shared" ref="X204:X212" si="93">+X203</f>
        <v>8000</v>
      </c>
      <c r="Y204" s="3562">
        <f t="shared" si="79"/>
        <v>7000</v>
      </c>
      <c r="Z204" s="3562">
        <f t="shared" si="73"/>
        <v>28675</v>
      </c>
      <c r="AB204" s="53"/>
      <c r="AC204" s="53"/>
      <c r="AD204" s="20"/>
      <c r="AF204" s="311"/>
      <c r="AG204" s="311">
        <v>34</v>
      </c>
      <c r="AH204" s="1094" t="s">
        <v>189</v>
      </c>
      <c r="AI204" s="145"/>
      <c r="AJ204" s="311">
        <v>42</v>
      </c>
      <c r="AK204" s="3559" t="str">
        <f t="shared" si="74"/>
        <v>250M</v>
      </c>
      <c r="AL204" s="2167">
        <v>979</v>
      </c>
      <c r="AM204" s="311">
        <v>500</v>
      </c>
      <c r="AN204" s="3555">
        <f>(AO204*(1-H189))+AP204+AQ204+AR204+AS204</f>
        <v>211700.99999999997</v>
      </c>
      <c r="AO204" s="416">
        <v>457300</v>
      </c>
      <c r="AP204" s="416">
        <v>27500</v>
      </c>
      <c r="AQ204" s="416">
        <v>8000</v>
      </c>
      <c r="AR204" s="3562">
        <f t="shared" si="81"/>
        <v>7000</v>
      </c>
      <c r="AS204" s="3562">
        <f t="shared" si="76"/>
        <v>22865</v>
      </c>
      <c r="AZ204" s="2618"/>
      <c r="BQ204" s="29" t="s">
        <v>2500</v>
      </c>
      <c r="BR204" s="29"/>
      <c r="BS204" s="311"/>
      <c r="BT204" s="311"/>
      <c r="BU204" s="311"/>
      <c r="BV204" s="311"/>
      <c r="BW204" s="311"/>
      <c r="BX204" s="311"/>
      <c r="BY204" s="311"/>
      <c r="BZ204" s="311"/>
      <c r="CA204" s="311"/>
      <c r="CB204" s="311"/>
      <c r="CC204" s="311"/>
      <c r="CD204" s="311"/>
      <c r="CE204" s="311"/>
      <c r="CF204" s="311"/>
      <c r="CG204" s="311"/>
      <c r="CH204" s="311"/>
      <c r="CI204" s="311"/>
      <c r="CJ204" s="311"/>
      <c r="CK204" s="311"/>
      <c r="CL204" s="311"/>
      <c r="CM204" s="311"/>
      <c r="CN204" s="311"/>
      <c r="CO204" s="311"/>
      <c r="CP204" s="311"/>
      <c r="CQ204" s="311"/>
      <c r="CR204" s="311"/>
      <c r="CS204" s="311"/>
      <c r="CT204" s="311"/>
      <c r="CU204" s="311"/>
    </row>
    <row r="205" spans="1:100">
      <c r="B205" s="59"/>
      <c r="C205" s="19"/>
      <c r="H205" s="118"/>
      <c r="M205" s="311">
        <v>60</v>
      </c>
      <c r="N205" s="311"/>
      <c r="O205" s="311" t="s">
        <v>201</v>
      </c>
      <c r="P205" s="145">
        <v>70</v>
      </c>
      <c r="Q205" s="311"/>
      <c r="R205" s="3559" t="str">
        <f t="shared" si="72"/>
        <v>280M</v>
      </c>
      <c r="S205" s="159">
        <v>981</v>
      </c>
      <c r="T205" s="311">
        <v>700</v>
      </c>
      <c r="U205" s="3555">
        <f>(V205*(1-H189))+W205+X205+Y205+Z205</f>
        <v>283740</v>
      </c>
      <c r="V205" s="416">
        <v>652000</v>
      </c>
      <c r="W205" s="3562">
        <f t="shared" si="92"/>
        <v>27500</v>
      </c>
      <c r="X205" s="3562">
        <f t="shared" si="93"/>
        <v>8000</v>
      </c>
      <c r="Y205" s="3562">
        <f t="shared" si="79"/>
        <v>7000</v>
      </c>
      <c r="Z205" s="3562">
        <f t="shared" si="73"/>
        <v>32600</v>
      </c>
      <c r="AB205" s="53"/>
      <c r="AC205" s="53"/>
      <c r="AD205" s="20"/>
      <c r="AF205" s="311"/>
      <c r="AG205" s="311">
        <v>42</v>
      </c>
      <c r="AH205" s="311" t="s">
        <v>196</v>
      </c>
      <c r="AI205" s="145"/>
      <c r="AJ205" s="311">
        <v>54</v>
      </c>
      <c r="AK205" s="3559" t="str">
        <f t="shared" si="74"/>
        <v>280S</v>
      </c>
      <c r="AL205" s="2167">
        <v>980</v>
      </c>
      <c r="AM205" s="311">
        <v>620</v>
      </c>
      <c r="AN205" s="3555">
        <f>(AO205*(1-H189))+AP205+AQ205+AR205+AS205</f>
        <v>254694.99999999997</v>
      </c>
      <c r="AO205" s="416">
        <v>573500</v>
      </c>
      <c r="AP205" s="3562">
        <f t="shared" ref="AP205:AP213" si="94">+AP204</f>
        <v>27500</v>
      </c>
      <c r="AQ205" s="3562">
        <f t="shared" ref="AQ205:AQ213" si="95">+AQ204</f>
        <v>8000</v>
      </c>
      <c r="AR205" s="3562">
        <f t="shared" si="81"/>
        <v>7000</v>
      </c>
      <c r="AS205" s="3562">
        <f t="shared" si="76"/>
        <v>28675</v>
      </c>
      <c r="AZ205" s="2618"/>
      <c r="BQ205" s="29" t="s">
        <v>2501</v>
      </c>
      <c r="BR205" s="29">
        <v>0</v>
      </c>
      <c r="BS205" s="311">
        <v>0.49</v>
      </c>
      <c r="BT205" s="311">
        <v>0.68</v>
      </c>
      <c r="BU205" s="311">
        <v>1</v>
      </c>
      <c r="BV205" s="311">
        <v>1.4</v>
      </c>
      <c r="BW205" s="311">
        <v>1.8</v>
      </c>
      <c r="BX205" s="311">
        <v>2.5</v>
      </c>
      <c r="BY205" s="311">
        <v>4.8</v>
      </c>
      <c r="BZ205" s="311">
        <v>6.2</v>
      </c>
      <c r="CA205" s="311">
        <v>8.4</v>
      </c>
      <c r="CB205" s="311">
        <v>12</v>
      </c>
      <c r="CC205" s="311">
        <v>15</v>
      </c>
      <c r="CD205" s="311">
        <v>22</v>
      </c>
      <c r="CE205" s="311">
        <v>25</v>
      </c>
      <c r="CF205" s="311">
        <v>34</v>
      </c>
      <c r="CG205" s="311">
        <v>42</v>
      </c>
      <c r="CH205" s="311">
        <v>54</v>
      </c>
      <c r="CI205" s="311">
        <v>62</v>
      </c>
      <c r="CJ205" s="311">
        <v>84</v>
      </c>
      <c r="CK205" s="311">
        <v>101</v>
      </c>
      <c r="CL205" s="311">
        <v>124</v>
      </c>
      <c r="CM205" s="311">
        <v>149</v>
      </c>
      <c r="CN205" s="311">
        <v>193</v>
      </c>
      <c r="CO205" s="311">
        <v>222</v>
      </c>
      <c r="CP205" s="311"/>
      <c r="CQ205" s="311"/>
      <c r="CR205" s="311"/>
      <c r="CS205" s="311"/>
      <c r="CT205" s="311"/>
      <c r="CU205" s="311"/>
    </row>
    <row r="206" spans="1:100">
      <c r="B206" s="59"/>
      <c r="C206" s="19"/>
      <c r="H206" s="118"/>
      <c r="M206" s="311">
        <v>70</v>
      </c>
      <c r="N206" s="311"/>
      <c r="O206" s="311" t="s">
        <v>208</v>
      </c>
      <c r="P206" s="145">
        <v>95</v>
      </c>
      <c r="Q206" s="311"/>
      <c r="R206" s="3559" t="str">
        <f t="shared" si="72"/>
        <v>315S</v>
      </c>
      <c r="S206" s="159">
        <v>983</v>
      </c>
      <c r="T206" s="311">
        <v>1056</v>
      </c>
      <c r="U206" s="3555">
        <f>(V206*(1-H189))+W206+X206+Y206+Z206</f>
        <v>318927</v>
      </c>
      <c r="V206" s="416">
        <v>747100</v>
      </c>
      <c r="W206" s="3562">
        <f t="shared" si="92"/>
        <v>27500</v>
      </c>
      <c r="X206" s="3562">
        <f t="shared" si="93"/>
        <v>8000</v>
      </c>
      <c r="Y206" s="3562">
        <f t="shared" si="79"/>
        <v>7000</v>
      </c>
      <c r="Z206" s="3562">
        <f t="shared" si="73"/>
        <v>37355</v>
      </c>
      <c r="AB206" s="53"/>
      <c r="AC206" s="53"/>
      <c r="AD206" s="20"/>
      <c r="AF206" s="311"/>
      <c r="AG206" s="311">
        <v>54</v>
      </c>
      <c r="AH206" s="311" t="s">
        <v>201</v>
      </c>
      <c r="AI206" s="145"/>
      <c r="AJ206" s="311">
        <v>62</v>
      </c>
      <c r="AK206" s="3559" t="str">
        <f t="shared" si="74"/>
        <v>280M</v>
      </c>
      <c r="AL206" s="2167">
        <v>982</v>
      </c>
      <c r="AM206" s="311">
        <v>700</v>
      </c>
      <c r="AN206" s="3555">
        <f>(AO206*(1-H189))+AP206+AQ206+AR206+AS206</f>
        <v>283740</v>
      </c>
      <c r="AO206" s="416">
        <v>652000</v>
      </c>
      <c r="AP206" s="3562">
        <f t="shared" si="94"/>
        <v>27500</v>
      </c>
      <c r="AQ206" s="3562">
        <f t="shared" si="95"/>
        <v>8000</v>
      </c>
      <c r="AR206" s="3562">
        <f t="shared" si="81"/>
        <v>7000</v>
      </c>
      <c r="AS206" s="3562">
        <f t="shared" si="76"/>
        <v>32600</v>
      </c>
      <c r="AZ206" s="2618"/>
      <c r="BD206" s="53"/>
      <c r="BE206" s="2156"/>
      <c r="BF206" s="19"/>
      <c r="BG206" s="19"/>
      <c r="BH206" s="19"/>
      <c r="BI206" s="19"/>
      <c r="BJ206" s="19"/>
      <c r="BQ206" s="29" t="s">
        <v>119</v>
      </c>
      <c r="BR206" s="145" t="s">
        <v>126</v>
      </c>
      <c r="BS206" s="1094" t="s">
        <v>130</v>
      </c>
      <c r="BT206" s="1094" t="s">
        <v>133</v>
      </c>
      <c r="BU206" s="311" t="s">
        <v>136</v>
      </c>
      <c r="BV206" s="311" t="s">
        <v>140</v>
      </c>
      <c r="BW206" s="311" t="s">
        <v>143</v>
      </c>
      <c r="BX206" s="311" t="s">
        <v>147</v>
      </c>
      <c r="BY206" s="311" t="s">
        <v>151</v>
      </c>
      <c r="BZ206" s="311" t="s">
        <v>157</v>
      </c>
      <c r="CA206" s="311" t="s">
        <v>163</v>
      </c>
      <c r="CB206" s="311" t="s">
        <v>169</v>
      </c>
      <c r="CC206" s="1094" t="s">
        <v>175</v>
      </c>
      <c r="CD206" s="1094" t="s">
        <v>180</v>
      </c>
      <c r="CE206" s="1094" t="s">
        <v>184</v>
      </c>
      <c r="CF206" s="1094" t="s">
        <v>189</v>
      </c>
      <c r="CG206" s="311" t="s">
        <v>196</v>
      </c>
      <c r="CH206" s="311" t="s">
        <v>201</v>
      </c>
      <c r="CI206" s="311" t="s">
        <v>208</v>
      </c>
      <c r="CJ206" s="311" t="s">
        <v>215</v>
      </c>
      <c r="CK206" s="1094" t="s">
        <v>221</v>
      </c>
      <c r="CL206" s="145" t="s">
        <v>225</v>
      </c>
      <c r="CM206" s="145" t="s">
        <v>229</v>
      </c>
      <c r="CN206" s="145" t="s">
        <v>234</v>
      </c>
      <c r="CO206" s="145" t="s">
        <v>239</v>
      </c>
      <c r="CP206" s="311"/>
      <c r="CQ206" s="311"/>
      <c r="CR206" s="311"/>
      <c r="CS206" s="311"/>
      <c r="CT206" s="311"/>
      <c r="CU206" s="311"/>
      <c r="CV206" s="19"/>
    </row>
    <row r="207" spans="1:100">
      <c r="B207" s="3570" t="str">
        <f>HYPERLINK("Z:\Marketing Common\Dhrumil\Selection\VD_Series_6Pole.pdf","M Sq 6 Pole")</f>
        <v>M Sq 6 Pole</v>
      </c>
      <c r="C207" s="3570" t="str">
        <f>HYPERLINK("Z:\Marketing Common\Dhrumil\Selection\Price_Sheet_2013.pdf","Pr Sheet")</f>
        <v>Pr Sheet</v>
      </c>
      <c r="D207" s="3570" t="str">
        <f>HYPERLINK("Z:\Marketing Common\Dhrumil\Selection\Slipring_Motor.pdf","M Slip Motor")</f>
        <v>M Slip Motor</v>
      </c>
      <c r="H207" s="118"/>
      <c r="M207" s="311">
        <v>95</v>
      </c>
      <c r="N207" s="311"/>
      <c r="O207" s="311" t="s">
        <v>215</v>
      </c>
      <c r="P207" s="145">
        <v>114</v>
      </c>
      <c r="Q207" s="311"/>
      <c r="R207" s="3559" t="str">
        <f t="shared" si="72"/>
        <v>315M</v>
      </c>
      <c r="S207" s="159">
        <v>982</v>
      </c>
      <c r="T207" s="311">
        <v>1130</v>
      </c>
      <c r="U207" s="3555">
        <f>(V207*(1-H189))+W207+X207+Y207+Z207</f>
        <v>389448.99999999994</v>
      </c>
      <c r="V207" s="416">
        <v>937700</v>
      </c>
      <c r="W207" s="3562">
        <f t="shared" si="92"/>
        <v>27500</v>
      </c>
      <c r="X207" s="3562">
        <f t="shared" si="93"/>
        <v>8000</v>
      </c>
      <c r="Y207" s="3562">
        <f t="shared" si="79"/>
        <v>7000</v>
      </c>
      <c r="Z207" s="3562">
        <f t="shared" si="73"/>
        <v>46885</v>
      </c>
      <c r="AB207" s="53"/>
      <c r="AC207" s="53"/>
      <c r="AD207" s="20"/>
      <c r="AF207" s="311"/>
      <c r="AG207" s="311">
        <v>62</v>
      </c>
      <c r="AH207" s="311" t="s">
        <v>208</v>
      </c>
      <c r="AI207" s="145"/>
      <c r="AJ207" s="311">
        <v>84</v>
      </c>
      <c r="AK207" s="3559" t="str">
        <f t="shared" si="74"/>
        <v>315S</v>
      </c>
      <c r="AL207" s="2167">
        <v>984</v>
      </c>
      <c r="AM207" s="311">
        <v>1056</v>
      </c>
      <c r="AN207" s="3555">
        <f>(AO207*(1-H189))+AP207+AQ207+AR207+AS207</f>
        <v>318927</v>
      </c>
      <c r="AO207" s="416">
        <v>747100</v>
      </c>
      <c r="AP207" s="3562">
        <f t="shared" si="94"/>
        <v>27500</v>
      </c>
      <c r="AQ207" s="3562">
        <f t="shared" si="95"/>
        <v>8000</v>
      </c>
      <c r="AR207" s="3562">
        <f t="shared" si="81"/>
        <v>7000</v>
      </c>
      <c r="AS207" s="3562">
        <f t="shared" si="76"/>
        <v>37355</v>
      </c>
      <c r="AZ207" s="2618"/>
      <c r="BD207" s="53"/>
      <c r="BE207" s="2156"/>
      <c r="BF207" s="19"/>
      <c r="BG207" s="19"/>
      <c r="BH207" s="19"/>
      <c r="BI207" s="19"/>
      <c r="BJ207" s="19"/>
      <c r="BQ207" s="427" t="s">
        <v>120</v>
      </c>
      <c r="BR207" s="145"/>
      <c r="BS207" s="145"/>
      <c r="BT207" s="145"/>
      <c r="BU207" s="145"/>
      <c r="BV207" s="145"/>
      <c r="BW207" s="145"/>
      <c r="BX207" s="145"/>
      <c r="BY207" s="145"/>
      <c r="BZ207" s="145"/>
      <c r="CA207" s="145"/>
      <c r="CB207" s="145"/>
      <c r="CC207" s="145"/>
      <c r="CD207" s="145"/>
      <c r="CE207" s="145"/>
      <c r="CF207" s="145"/>
      <c r="CG207" s="145"/>
      <c r="CH207" s="145"/>
      <c r="CI207" s="145"/>
      <c r="CJ207" s="145"/>
      <c r="CK207" s="1094"/>
      <c r="CL207" s="1094"/>
      <c r="CM207" s="311"/>
      <c r="CN207" s="311"/>
      <c r="CO207" s="311"/>
      <c r="CP207" s="311"/>
      <c r="CQ207" s="311"/>
      <c r="CR207" s="311"/>
      <c r="CS207" s="311"/>
      <c r="CT207" s="311"/>
      <c r="CU207" s="311"/>
      <c r="CV207" s="19"/>
    </row>
    <row r="208" spans="1:100">
      <c r="B208" s="3570" t="str">
        <f>HYPERLINK("Z:\Marketing Common\Dhrumil\Selection\M_Sq_Price.pdf","M Sq Pr")</f>
        <v>M Sq Pr</v>
      </c>
      <c r="C208" s="3570" t="str">
        <f>HYPERLINK("Z:\Marketing Common\Dhrumil\Selection\Weight.pdf","Weight")</f>
        <v>Weight</v>
      </c>
      <c r="D208" s="3570" t="str">
        <f>HYPERLINK("Z:\Marketing Common\Dhrumil\Selection\Marathon_LP.pdf","M Slip Price")</f>
        <v>M Slip Price</v>
      </c>
      <c r="E208" s="59"/>
      <c r="F208" s="19"/>
      <c r="G208" s="19"/>
      <c r="M208" s="311">
        <v>114</v>
      </c>
      <c r="N208" s="311"/>
      <c r="O208" s="1094" t="s">
        <v>221</v>
      </c>
      <c r="P208" s="1094">
        <v>134</v>
      </c>
      <c r="Q208" s="311"/>
      <c r="R208" s="3559" t="str">
        <f t="shared" si="72"/>
        <v>315L  (1)</v>
      </c>
      <c r="S208" s="159">
        <v>984</v>
      </c>
      <c r="T208" s="311">
        <v>1200</v>
      </c>
      <c r="U208" s="3555">
        <f>(V208*(1-H189))+W208+X208+Y208+Z208</f>
        <v>429445.99999999994</v>
      </c>
      <c r="V208" s="416">
        <v>1045800</v>
      </c>
      <c r="W208" s="3562">
        <f t="shared" si="92"/>
        <v>27500</v>
      </c>
      <c r="X208" s="3562">
        <f t="shared" si="93"/>
        <v>8000</v>
      </c>
      <c r="Y208" s="3562">
        <f t="shared" si="79"/>
        <v>7000</v>
      </c>
      <c r="Z208" s="3562">
        <f t="shared" si="73"/>
        <v>52290</v>
      </c>
      <c r="AB208" s="53"/>
      <c r="AC208" s="53"/>
      <c r="AD208" s="20"/>
      <c r="AF208" s="311"/>
      <c r="AG208" s="311">
        <v>84</v>
      </c>
      <c r="AH208" s="311" t="s">
        <v>215</v>
      </c>
      <c r="AI208" s="145"/>
      <c r="AJ208" s="311">
        <v>101</v>
      </c>
      <c r="AK208" s="3559" t="str">
        <f t="shared" si="74"/>
        <v>315M</v>
      </c>
      <c r="AL208" s="2167">
        <v>983</v>
      </c>
      <c r="AM208" s="311">
        <v>1130</v>
      </c>
      <c r="AN208" s="3555">
        <f>(AO208*(1-H189))+AP208+AQ208+AR208+AS208</f>
        <v>389448.99999999994</v>
      </c>
      <c r="AO208" s="416">
        <v>937700</v>
      </c>
      <c r="AP208" s="3562">
        <f t="shared" si="94"/>
        <v>27500</v>
      </c>
      <c r="AQ208" s="3562">
        <f t="shared" si="95"/>
        <v>8000</v>
      </c>
      <c r="AR208" s="3562">
        <f t="shared" si="81"/>
        <v>7000</v>
      </c>
      <c r="AS208" s="3562">
        <f t="shared" si="76"/>
        <v>46885</v>
      </c>
      <c r="AZ208" s="2618"/>
      <c r="BD208" s="53"/>
      <c r="BE208" s="19"/>
      <c r="BF208" s="19"/>
      <c r="BG208" s="19"/>
      <c r="BH208" s="19"/>
      <c r="BI208" s="19"/>
      <c r="BJ208" s="19"/>
      <c r="BQ208" s="427" t="s">
        <v>2498</v>
      </c>
      <c r="BR208" s="311">
        <v>0.49</v>
      </c>
      <c r="BS208" s="311">
        <v>0.68</v>
      </c>
      <c r="BT208" s="311">
        <v>1</v>
      </c>
      <c r="BU208" s="311">
        <v>1.4</v>
      </c>
      <c r="BV208" s="311">
        <v>1.8</v>
      </c>
      <c r="BW208" s="311">
        <v>2.5</v>
      </c>
      <c r="BX208" s="311">
        <v>4.8</v>
      </c>
      <c r="BY208" s="311">
        <v>6.2</v>
      </c>
      <c r="BZ208" s="311">
        <v>8.4</v>
      </c>
      <c r="CA208" s="311">
        <v>12</v>
      </c>
      <c r="CB208" s="311">
        <v>15</v>
      </c>
      <c r="CC208" s="311">
        <v>22</v>
      </c>
      <c r="CD208" s="311">
        <v>25</v>
      </c>
      <c r="CE208" s="311">
        <v>34</v>
      </c>
      <c r="CF208" s="311">
        <v>42</v>
      </c>
      <c r="CG208" s="311">
        <v>54</v>
      </c>
      <c r="CH208" s="311">
        <v>62</v>
      </c>
      <c r="CI208" s="311">
        <v>84</v>
      </c>
      <c r="CJ208" s="311">
        <v>101</v>
      </c>
      <c r="CK208" s="311">
        <v>124</v>
      </c>
      <c r="CL208" s="311">
        <v>149</v>
      </c>
      <c r="CM208" s="311">
        <v>193</v>
      </c>
      <c r="CN208" s="311">
        <v>222</v>
      </c>
      <c r="CO208" s="311">
        <v>281</v>
      </c>
      <c r="CP208" s="311"/>
      <c r="CQ208" s="311"/>
      <c r="CR208" s="311"/>
      <c r="CS208" s="311"/>
      <c r="CT208" s="311"/>
      <c r="CU208" s="311"/>
      <c r="CV208" s="19"/>
    </row>
    <row r="209" spans="2:101">
      <c r="B209" s="3570" t="str">
        <f>HYPERLINK("Z:\Marketing Common\Dhrumil\Selection\M_Sq_Price.xls","M Sq Pr Exl")</f>
        <v>M Sq Pr Exl</v>
      </c>
      <c r="C209" s="3570" t="str">
        <f>HYPERLINK("Z:\Marketing Common\Dhrumil\Selection\Siemens_Motor.pdf","Sie Nor H-F")</f>
        <v>Sie Nor H-F</v>
      </c>
      <c r="D209" s="3570" t="str">
        <f>HYPERLINK("Z:\Marketing Common\Dhrumil\Selection\Siemens_F-B.pdf","Siem F-B")</f>
        <v>Siem F-B</v>
      </c>
      <c r="E209" s="19"/>
      <c r="F209" s="1067"/>
      <c r="G209" s="1067"/>
      <c r="H209" s="80"/>
      <c r="M209" s="311">
        <v>134</v>
      </c>
      <c r="N209" s="311"/>
      <c r="O209" s="145" t="s">
        <v>225</v>
      </c>
      <c r="P209" s="1094">
        <v>154</v>
      </c>
      <c r="Q209" s="311"/>
      <c r="R209" s="3559" t="str">
        <f t="shared" si="72"/>
        <v>315L (2)</v>
      </c>
      <c r="S209" s="159">
        <v>985</v>
      </c>
      <c r="T209" s="311">
        <v>1230</v>
      </c>
      <c r="U209" s="3555">
        <f>(V209*(1-H189))+W209+X209+Y209+Z209</f>
        <v>495157.99999999994</v>
      </c>
      <c r="V209" s="416">
        <v>1223400</v>
      </c>
      <c r="W209" s="3562">
        <f t="shared" si="92"/>
        <v>27500</v>
      </c>
      <c r="X209" s="3562">
        <f t="shared" si="93"/>
        <v>8000</v>
      </c>
      <c r="Y209" s="3562">
        <f t="shared" si="79"/>
        <v>7000</v>
      </c>
      <c r="Z209" s="3562">
        <f t="shared" si="73"/>
        <v>61170</v>
      </c>
      <c r="AB209" s="53"/>
      <c r="AC209" s="53"/>
      <c r="AD209" s="20"/>
      <c r="AF209" s="311"/>
      <c r="AG209" s="311">
        <v>101</v>
      </c>
      <c r="AH209" s="1094" t="s">
        <v>221</v>
      </c>
      <c r="AI209" s="1094"/>
      <c r="AJ209" s="311">
        <v>124</v>
      </c>
      <c r="AK209" s="3559" t="str">
        <f t="shared" si="74"/>
        <v>315L  (1)</v>
      </c>
      <c r="AL209" s="2167">
        <v>984</v>
      </c>
      <c r="AM209" s="311">
        <v>1200</v>
      </c>
      <c r="AN209" s="3555">
        <f>(AO209*(1-H189))+AP209+AQ209+AR209+AS209</f>
        <v>429445.99999999994</v>
      </c>
      <c r="AO209" s="416">
        <v>1045800</v>
      </c>
      <c r="AP209" s="3562">
        <f t="shared" si="94"/>
        <v>27500</v>
      </c>
      <c r="AQ209" s="3562">
        <f t="shared" si="95"/>
        <v>8000</v>
      </c>
      <c r="AR209" s="3562">
        <f t="shared" si="81"/>
        <v>7000</v>
      </c>
      <c r="AS209" s="3562">
        <f t="shared" si="76"/>
        <v>52290</v>
      </c>
      <c r="AZ209" s="2618"/>
      <c r="BD209" s="53"/>
      <c r="BE209" s="19"/>
      <c r="BF209" s="19"/>
      <c r="BG209" s="19"/>
      <c r="BH209" s="19"/>
      <c r="BI209" s="19"/>
      <c r="BJ209" s="19"/>
      <c r="BQ209" s="3559" t="str">
        <f t="shared" ref="BQ209:CO209" si="96">+BQ206</f>
        <v>Frame S</v>
      </c>
      <c r="BR209" s="3559" t="str">
        <f t="shared" si="96"/>
        <v>80 (1)</v>
      </c>
      <c r="BS209" s="3559" t="str">
        <f t="shared" si="96"/>
        <v>80 (2)</v>
      </c>
      <c r="BT209" s="3559" t="str">
        <f t="shared" si="96"/>
        <v>90S</v>
      </c>
      <c r="BU209" s="3559" t="str">
        <f t="shared" si="96"/>
        <v>90L</v>
      </c>
      <c r="BV209" s="3559" t="str">
        <f t="shared" si="96"/>
        <v>100L</v>
      </c>
      <c r="BW209" s="3559" t="str">
        <f t="shared" si="96"/>
        <v>112M</v>
      </c>
      <c r="BX209" s="3559" t="str">
        <f t="shared" si="96"/>
        <v>132S</v>
      </c>
      <c r="BY209" s="3559" t="str">
        <f t="shared" si="96"/>
        <v>132M</v>
      </c>
      <c r="BZ209" s="3559" t="str">
        <f t="shared" si="96"/>
        <v>160M</v>
      </c>
      <c r="CA209" s="3559" t="str">
        <f t="shared" si="96"/>
        <v>160L</v>
      </c>
      <c r="CB209" s="3559" t="str">
        <f t="shared" si="96"/>
        <v>180L</v>
      </c>
      <c r="CC209" s="3559" t="str">
        <f t="shared" si="96"/>
        <v>200L (1)</v>
      </c>
      <c r="CD209" s="3559" t="str">
        <f t="shared" si="96"/>
        <v>200L (2)</v>
      </c>
      <c r="CE209" s="3559" t="str">
        <f t="shared" si="96"/>
        <v>225M</v>
      </c>
      <c r="CF209" s="3559" t="str">
        <f t="shared" si="96"/>
        <v>250M</v>
      </c>
      <c r="CG209" s="3559" t="str">
        <f t="shared" si="96"/>
        <v>280S</v>
      </c>
      <c r="CH209" s="3559" t="str">
        <f t="shared" si="96"/>
        <v>280M</v>
      </c>
      <c r="CI209" s="3559" t="str">
        <f t="shared" si="96"/>
        <v>315S</v>
      </c>
      <c r="CJ209" s="3559" t="str">
        <f t="shared" si="96"/>
        <v>315M</v>
      </c>
      <c r="CK209" s="3559" t="str">
        <f t="shared" si="96"/>
        <v>315L  (1)</v>
      </c>
      <c r="CL209" s="3559" t="str">
        <f t="shared" si="96"/>
        <v>315L (2)</v>
      </c>
      <c r="CM209" s="3559" t="str">
        <f t="shared" si="96"/>
        <v>355L (1)</v>
      </c>
      <c r="CN209" s="3559" t="str">
        <f t="shared" si="96"/>
        <v>355L (2)</v>
      </c>
      <c r="CO209" s="3559" t="str">
        <f t="shared" si="96"/>
        <v>335L (3)</v>
      </c>
      <c r="CP209" s="311"/>
      <c r="CQ209" s="311"/>
      <c r="CR209" s="311"/>
      <c r="CS209" s="311"/>
      <c r="CT209" s="311"/>
      <c r="CU209" s="311"/>
      <c r="CV209" s="19"/>
    </row>
    <row r="210" spans="2:101">
      <c r="B210" s="396"/>
      <c r="C210" s="3542" t="str">
        <f>HYPERLINK("Z:\Marketing Common\Dhrumil\Selection\Siemens_Price.pdf","Siem Pr 2017")</f>
        <v>Siem Pr 2017</v>
      </c>
      <c r="D210" s="3570" t="str">
        <f>HYPERLINK("Z:\Marketing Common\Dhrumil\Selection\Siemens_H-F.pdf","Siem H-F")</f>
        <v>Siem H-F</v>
      </c>
      <c r="E210" s="19"/>
      <c r="F210" s="1067"/>
      <c r="G210" s="1067"/>
      <c r="I210" s="17"/>
      <c r="M210" s="311">
        <v>154</v>
      </c>
      <c r="N210" s="311"/>
      <c r="O210" s="145" t="s">
        <v>229</v>
      </c>
      <c r="P210" s="311">
        <v>213</v>
      </c>
      <c r="Q210" s="311"/>
      <c r="R210" s="3559" t="str">
        <f t="shared" si="72"/>
        <v>355L (1)</v>
      </c>
      <c r="S210" s="159">
        <v>987</v>
      </c>
      <c r="T210" s="311">
        <v>2150</v>
      </c>
      <c r="U210" s="3555">
        <f>(V210*(1-H189))+W210+X210+Y210+Z210</f>
        <v>557688</v>
      </c>
      <c r="V210" s="416">
        <v>1392400</v>
      </c>
      <c r="W210" s="3562">
        <f t="shared" si="92"/>
        <v>27500</v>
      </c>
      <c r="X210" s="3562">
        <f t="shared" si="93"/>
        <v>8000</v>
      </c>
      <c r="Y210" s="3562">
        <f t="shared" si="79"/>
        <v>7000</v>
      </c>
      <c r="Z210" s="3562">
        <f t="shared" si="73"/>
        <v>69620</v>
      </c>
      <c r="AB210" s="53"/>
      <c r="AC210" s="53"/>
      <c r="AD210" s="20"/>
      <c r="AF210" s="311"/>
      <c r="AG210" s="311">
        <v>124</v>
      </c>
      <c r="AH210" s="145" t="s">
        <v>225</v>
      </c>
      <c r="AI210" s="1094"/>
      <c r="AJ210" s="311">
        <v>149</v>
      </c>
      <c r="AK210" s="3559" t="str">
        <f t="shared" si="74"/>
        <v>315L (2)</v>
      </c>
      <c r="AL210" s="2167">
        <v>984</v>
      </c>
      <c r="AM210" s="311">
        <v>1230</v>
      </c>
      <c r="AN210" s="3555">
        <f>(AO210*(1-H189))+AP210+AQ210+AR210+AS210</f>
        <v>495157.99999999994</v>
      </c>
      <c r="AO210" s="416">
        <v>1223400</v>
      </c>
      <c r="AP210" s="3562">
        <f t="shared" si="94"/>
        <v>27500</v>
      </c>
      <c r="AQ210" s="3562">
        <f t="shared" si="95"/>
        <v>8000</v>
      </c>
      <c r="AR210" s="3562">
        <f t="shared" si="81"/>
        <v>7000</v>
      </c>
      <c r="AS210" s="3562">
        <f t="shared" si="76"/>
        <v>61170</v>
      </c>
      <c r="AZ210" s="2618"/>
      <c r="BQ210" s="29" t="s">
        <v>121</v>
      </c>
      <c r="BR210" s="2167">
        <v>911</v>
      </c>
      <c r="BS210" s="2167">
        <v>913</v>
      </c>
      <c r="BT210" s="2167">
        <v>913</v>
      </c>
      <c r="BU210" s="2167">
        <v>901</v>
      </c>
      <c r="BV210" s="2167">
        <v>935</v>
      </c>
      <c r="BW210" s="2167">
        <v>943</v>
      </c>
      <c r="BX210" s="2167">
        <v>948</v>
      </c>
      <c r="BY210" s="2167">
        <v>955</v>
      </c>
      <c r="BZ210" s="2167">
        <v>950</v>
      </c>
      <c r="CA210" s="2167">
        <v>960</v>
      </c>
      <c r="CB210" s="2167">
        <v>970</v>
      </c>
      <c r="CC210" s="2167">
        <v>977</v>
      </c>
      <c r="CD210" s="2167">
        <v>975</v>
      </c>
      <c r="CE210" s="2167">
        <v>974</v>
      </c>
      <c r="CF210" s="2167">
        <v>979</v>
      </c>
      <c r="CG210" s="2167">
        <v>980</v>
      </c>
      <c r="CH210" s="2167">
        <v>982</v>
      </c>
      <c r="CI210" s="2167">
        <v>984</v>
      </c>
      <c r="CJ210" s="2167">
        <v>983</v>
      </c>
      <c r="CK210" s="2167">
        <v>984</v>
      </c>
      <c r="CL210" s="2167">
        <v>984</v>
      </c>
      <c r="CM210" s="2167">
        <v>988</v>
      </c>
      <c r="CN210" s="2167">
        <v>988</v>
      </c>
      <c r="CO210" s="2167">
        <v>988</v>
      </c>
      <c r="CP210" s="311"/>
      <c r="CQ210" s="311"/>
      <c r="CR210" s="311"/>
      <c r="CS210" s="311"/>
      <c r="CT210" s="311"/>
      <c r="CU210" s="311"/>
    </row>
    <row r="211" spans="2:101">
      <c r="C211" s="19"/>
      <c r="E211" s="19"/>
      <c r="F211" s="2163"/>
      <c r="G211" s="1067"/>
      <c r="H211" s="88"/>
      <c r="I211" s="19"/>
      <c r="M211" s="311">
        <v>213</v>
      </c>
      <c r="N211" s="311"/>
      <c r="O211" s="145" t="s">
        <v>234</v>
      </c>
      <c r="P211" s="311">
        <v>222</v>
      </c>
      <c r="Q211" s="311"/>
      <c r="R211" s="3559" t="str">
        <f t="shared" si="72"/>
        <v>355L (2)</v>
      </c>
      <c r="S211" s="159">
        <v>988</v>
      </c>
      <c r="T211" s="311">
        <v>2200</v>
      </c>
      <c r="U211" s="3555">
        <f>(V211*(1-H189))+W211+X211+Y211+Z211</f>
        <v>631503</v>
      </c>
      <c r="V211" s="416">
        <v>1591900</v>
      </c>
      <c r="W211" s="3562">
        <f t="shared" si="92"/>
        <v>27500</v>
      </c>
      <c r="X211" s="3562">
        <f t="shared" si="93"/>
        <v>8000</v>
      </c>
      <c r="Y211" s="3562">
        <f t="shared" si="79"/>
        <v>7000</v>
      </c>
      <c r="Z211" s="3562">
        <f t="shared" si="73"/>
        <v>79595</v>
      </c>
      <c r="AB211" s="53"/>
      <c r="AC211" s="53"/>
      <c r="AD211" s="20"/>
      <c r="AF211" s="311"/>
      <c r="AG211" s="311">
        <v>149</v>
      </c>
      <c r="AH211" s="145" t="s">
        <v>229</v>
      </c>
      <c r="AI211" s="311"/>
      <c r="AJ211" s="311">
        <v>193</v>
      </c>
      <c r="AK211" s="3559" t="str">
        <f t="shared" si="74"/>
        <v>355L (1)</v>
      </c>
      <c r="AL211" s="2167">
        <v>988</v>
      </c>
      <c r="AM211" s="311">
        <v>2150</v>
      </c>
      <c r="AN211" s="3555">
        <f>(AO211*(1-H189))+AP211+AQ211+AR211+AS211</f>
        <v>557688</v>
      </c>
      <c r="AO211" s="416">
        <v>1392400</v>
      </c>
      <c r="AP211" s="3562">
        <f t="shared" si="94"/>
        <v>27500</v>
      </c>
      <c r="AQ211" s="3562">
        <f t="shared" si="95"/>
        <v>8000</v>
      </c>
      <c r="AR211" s="3562">
        <f t="shared" si="81"/>
        <v>7000</v>
      </c>
      <c r="AS211" s="3562">
        <f t="shared" si="76"/>
        <v>69620</v>
      </c>
      <c r="AZ211" s="2618"/>
      <c r="BQ211" s="29" t="s">
        <v>111</v>
      </c>
      <c r="BR211" s="311">
        <v>17</v>
      </c>
      <c r="BS211" s="311">
        <v>17</v>
      </c>
      <c r="BT211" s="311">
        <v>22</v>
      </c>
      <c r="BU211" s="311">
        <v>25</v>
      </c>
      <c r="BV211" s="311">
        <v>32</v>
      </c>
      <c r="BW211" s="311">
        <v>42</v>
      </c>
      <c r="BX211" s="311">
        <v>68</v>
      </c>
      <c r="BY211" s="311">
        <v>79</v>
      </c>
      <c r="BZ211" s="311">
        <v>121</v>
      </c>
      <c r="CA211" s="311">
        <v>146</v>
      </c>
      <c r="CB211" s="311">
        <v>204</v>
      </c>
      <c r="CC211" s="311">
        <v>254</v>
      </c>
      <c r="CD211" s="311">
        <v>270</v>
      </c>
      <c r="CE211" s="311">
        <v>380</v>
      </c>
      <c r="CF211" s="311">
        <v>500</v>
      </c>
      <c r="CG211" s="311">
        <v>620</v>
      </c>
      <c r="CH211" s="311">
        <v>700</v>
      </c>
      <c r="CI211" s="311">
        <v>1056</v>
      </c>
      <c r="CJ211" s="311">
        <v>1130</v>
      </c>
      <c r="CK211" s="311">
        <v>1200</v>
      </c>
      <c r="CL211" s="311">
        <v>1230</v>
      </c>
      <c r="CM211" s="311">
        <v>2150</v>
      </c>
      <c r="CN211" s="311">
        <v>2200</v>
      </c>
      <c r="CO211" s="311">
        <v>2230</v>
      </c>
      <c r="CP211" s="311"/>
      <c r="CQ211" s="311"/>
      <c r="CR211" s="311"/>
      <c r="CS211" s="311"/>
      <c r="CT211" s="311"/>
      <c r="CU211" s="311"/>
    </row>
    <row r="212" spans="2:101">
      <c r="B212" s="51"/>
      <c r="C212" s="302"/>
      <c r="D212" s="67"/>
      <c r="M212" s="311">
        <v>222</v>
      </c>
      <c r="N212" s="311"/>
      <c r="O212" s="145" t="s">
        <v>239</v>
      </c>
      <c r="P212" s="311">
        <v>316</v>
      </c>
      <c r="Q212" s="311"/>
      <c r="R212" s="3559" t="str">
        <f t="shared" si="72"/>
        <v>335L (3)</v>
      </c>
      <c r="S212" s="159">
        <v>988</v>
      </c>
      <c r="T212" s="311">
        <v>2230</v>
      </c>
      <c r="U212" s="3555">
        <f>(V212*(1-H189))+W212+X212+Y212+Z212</f>
        <v>648449</v>
      </c>
      <c r="V212" s="416">
        <v>1637700</v>
      </c>
      <c r="W212" s="3562">
        <f t="shared" si="92"/>
        <v>27500</v>
      </c>
      <c r="X212" s="3562">
        <f t="shared" si="93"/>
        <v>8000</v>
      </c>
      <c r="Y212" s="3562">
        <f t="shared" si="79"/>
        <v>7000</v>
      </c>
      <c r="Z212" s="3562">
        <f t="shared" si="73"/>
        <v>81885</v>
      </c>
      <c r="AB212" s="53"/>
      <c r="AC212" s="53"/>
      <c r="AD212" s="20"/>
      <c r="AF212" s="311"/>
      <c r="AG212" s="311">
        <v>193</v>
      </c>
      <c r="AH212" s="145" t="s">
        <v>234</v>
      </c>
      <c r="AI212" s="311"/>
      <c r="AJ212" s="311">
        <v>222</v>
      </c>
      <c r="AK212" s="3559" t="str">
        <f t="shared" si="74"/>
        <v>355L (2)</v>
      </c>
      <c r="AL212" s="2167">
        <v>988</v>
      </c>
      <c r="AM212" s="311">
        <v>2200</v>
      </c>
      <c r="AN212" s="3555">
        <f>(AO212*(1-H189))+AP212+AQ212+AR212+AS212</f>
        <v>631503</v>
      </c>
      <c r="AO212" s="416">
        <v>1591900</v>
      </c>
      <c r="AP212" s="3562">
        <f t="shared" si="94"/>
        <v>27500</v>
      </c>
      <c r="AQ212" s="3562">
        <f t="shared" si="95"/>
        <v>8000</v>
      </c>
      <c r="AR212" s="3562">
        <f t="shared" si="81"/>
        <v>7000</v>
      </c>
      <c r="AS212" s="3562">
        <f t="shared" si="76"/>
        <v>79595</v>
      </c>
      <c r="AZ212" s="2618"/>
      <c r="BQ212" s="2153" t="s">
        <v>2514</v>
      </c>
      <c r="BR212" s="3555">
        <f>(BR213*(1-$H$189))+BR214+BR215+BR216+BR217</f>
        <v>24827</v>
      </c>
      <c r="BS212" s="3555">
        <f t="shared" ref="BS212" si="97">(BS213*(1-$H$189))+BS214+BS215+BS216+BS217</f>
        <v>24938</v>
      </c>
      <c r="BT212" s="3555">
        <f t="shared" ref="BT212" si="98">(BT213*(1-$H$189))+BT214+BT215+BT216+BT217</f>
        <v>26344</v>
      </c>
      <c r="BU212" s="3555">
        <f t="shared" ref="BU212" si="99">(BU213*(1-$H$189))+BU214+BU215+BU216+BU217</f>
        <v>27232</v>
      </c>
      <c r="BV212" s="3555">
        <f t="shared" ref="BV212" si="100">(BV213*(1-$H$189))+BV214+BV215+BV216+BV217</f>
        <v>29489</v>
      </c>
      <c r="BW212" s="3555">
        <f t="shared" ref="BW212" si="101">(BW213*(1-$H$189))+BW214+BW215+BW216+BW217</f>
        <v>31635</v>
      </c>
      <c r="BX212" s="3555">
        <f t="shared" ref="BX212" si="102">(BX213*(1-$H$189))+BX214+BX215+BX216+BX217</f>
        <v>39184</v>
      </c>
      <c r="BY212" s="3555">
        <f t="shared" ref="BY212" si="103">(BY213*(1-$H$189))+BY214+BY215+BY216+BY217</f>
        <v>41811</v>
      </c>
      <c r="BZ212" s="3555">
        <f t="shared" ref="BZ212" si="104">(BZ213*(1-$H$189))+BZ214+BZ215+BZ216+BZ217</f>
        <v>63650</v>
      </c>
      <c r="CA212" s="3555">
        <f t="shared" ref="CA212" si="105">(CA213*(1-$H$189))+CA214+CA215+CA216+CA217</f>
        <v>72197</v>
      </c>
      <c r="CB212" s="3555">
        <f t="shared" ref="CB212" si="106">(CB213*(1-$H$189))+CB214+CB215+CB216+CB217</f>
        <v>85554</v>
      </c>
      <c r="CC212" s="3555">
        <f t="shared" ref="CC212" si="107">(CC213*(1-$H$189))+CC214+CC215+CC216+CC217</f>
        <v>106310.99999999999</v>
      </c>
      <c r="CD212" s="3555">
        <f t="shared" ref="CD212" si="108">(CD213*(1-$H$189))+CD214+CD215+CD216+CD217</f>
        <v>113007.99999999999</v>
      </c>
      <c r="CE212" s="3555">
        <f t="shared" ref="CE212" si="109">(CE213*(1-$H$189))+CE214+CE215+CE216+CE217</f>
        <v>154004</v>
      </c>
      <c r="CF212" s="3555">
        <f t="shared" ref="CF212" si="110">(CF213*(1-$H$189))+CF214+CF215+CF216+CF217</f>
        <v>211700.99999999997</v>
      </c>
      <c r="CG212" s="3555">
        <f t="shared" ref="CG212" si="111">(CG213*(1-$H$189))+CG214+CG215+CG216+CG217</f>
        <v>254694.99999999997</v>
      </c>
      <c r="CH212" s="3555">
        <f t="shared" ref="CH212" si="112">(CH213*(1-$H$189))+CH214+CH215+CH216+CH217</f>
        <v>283740</v>
      </c>
      <c r="CI212" s="3555">
        <f t="shared" ref="CI212" si="113">(CI213*(1-$H$189))+CI214+CI215+CI216+CI217</f>
        <v>318927</v>
      </c>
      <c r="CJ212" s="3555">
        <f t="shared" ref="CJ212" si="114">(CJ213*(1-$H$189))+CJ214+CJ215+CJ216+CJ217</f>
        <v>389448.99999999994</v>
      </c>
      <c r="CK212" s="3555">
        <f t="shared" ref="CK212" si="115">(CK213*(1-$H$189))+CK214+CK215+CK216+CK217</f>
        <v>429445.99999999994</v>
      </c>
      <c r="CL212" s="3555">
        <f t="shared" ref="CL212" si="116">(CL213*(1-$H$189))+CL214+CL215+CL216+CL217</f>
        <v>495157.99999999994</v>
      </c>
      <c r="CM212" s="3555">
        <f t="shared" ref="CM212" si="117">(CM213*(1-$H$189))+CM214+CM215+CM216+CM217</f>
        <v>557688</v>
      </c>
      <c r="CN212" s="3555">
        <f t="shared" ref="CN212" si="118">(CN213*(1-$H$189))+CN214+CN215+CN216+CN217</f>
        <v>631503</v>
      </c>
      <c r="CO212" s="3555">
        <f t="shared" ref="CO212" si="119">(CO213*(1-$H$189))+CO214+CO215+CO216+CO217</f>
        <v>648449</v>
      </c>
      <c r="CP212" s="385"/>
      <c r="CQ212" s="385"/>
      <c r="CR212" s="385"/>
      <c r="CS212" s="385"/>
      <c r="CT212" s="385"/>
      <c r="CU212" s="385"/>
    </row>
    <row r="213" spans="2:101">
      <c r="B213" s="59"/>
      <c r="D213" s="67"/>
      <c r="M213" s="311"/>
      <c r="N213" s="311"/>
      <c r="O213" s="311"/>
      <c r="P213" s="311"/>
      <c r="Q213" s="311"/>
      <c r="R213" s="311"/>
      <c r="S213" s="311"/>
      <c r="T213" s="311"/>
      <c r="U213" s="385"/>
      <c r="V213" s="416"/>
      <c r="W213" s="416"/>
      <c r="X213" s="416"/>
      <c r="Y213" s="416"/>
      <c r="Z213" s="416"/>
      <c r="AB213" s="19"/>
      <c r="AC213" s="20"/>
      <c r="AD213" s="20"/>
      <c r="AF213" s="311"/>
      <c r="AG213" s="311">
        <v>222</v>
      </c>
      <c r="AH213" s="145" t="s">
        <v>239</v>
      </c>
      <c r="AI213" s="311"/>
      <c r="AJ213" s="311">
        <v>281</v>
      </c>
      <c r="AK213" s="3559" t="str">
        <f t="shared" si="74"/>
        <v>335L (3)</v>
      </c>
      <c r="AL213" s="2167">
        <v>988</v>
      </c>
      <c r="AM213" s="311">
        <v>2230</v>
      </c>
      <c r="AN213" s="3555">
        <f>(AO213*(1-H189))+AP213+AQ213+AR213+AS213</f>
        <v>648449</v>
      </c>
      <c r="AO213" s="416">
        <v>1637700</v>
      </c>
      <c r="AP213" s="3562">
        <f t="shared" si="94"/>
        <v>27500</v>
      </c>
      <c r="AQ213" s="3562">
        <f t="shared" si="95"/>
        <v>8000</v>
      </c>
      <c r="AR213" s="3562">
        <f t="shared" si="81"/>
        <v>7000</v>
      </c>
      <c r="AS213" s="3562">
        <f t="shared" si="76"/>
        <v>81885</v>
      </c>
      <c r="AZ213" s="2618"/>
      <c r="BQ213" s="29" t="s">
        <v>113</v>
      </c>
      <c r="BR213" s="416">
        <v>17100</v>
      </c>
      <c r="BS213" s="416">
        <v>17400</v>
      </c>
      <c r="BT213" s="416">
        <v>21200</v>
      </c>
      <c r="BU213" s="416">
        <v>23600</v>
      </c>
      <c r="BV213" s="416">
        <v>29700</v>
      </c>
      <c r="BW213" s="416">
        <v>35500</v>
      </c>
      <c r="BX213" s="416">
        <v>53200</v>
      </c>
      <c r="BY213" s="416">
        <v>60300</v>
      </c>
      <c r="BZ213" s="416">
        <v>95000</v>
      </c>
      <c r="CA213" s="416">
        <v>118100</v>
      </c>
      <c r="CB213" s="416">
        <v>154200</v>
      </c>
      <c r="CC213" s="416">
        <v>210300</v>
      </c>
      <c r="CD213" s="416">
        <v>228400</v>
      </c>
      <c r="CE213" s="416">
        <v>339200</v>
      </c>
      <c r="CF213" s="416">
        <v>457300</v>
      </c>
      <c r="CG213" s="416">
        <v>573500</v>
      </c>
      <c r="CH213" s="416">
        <v>652000</v>
      </c>
      <c r="CI213" s="416">
        <v>747100</v>
      </c>
      <c r="CJ213" s="416">
        <v>937700</v>
      </c>
      <c r="CK213" s="416">
        <v>1045800</v>
      </c>
      <c r="CL213" s="416">
        <v>1223400</v>
      </c>
      <c r="CM213" s="416">
        <v>1392400</v>
      </c>
      <c r="CN213" s="416">
        <v>1591900</v>
      </c>
      <c r="CO213" s="416">
        <v>1637700</v>
      </c>
      <c r="CP213" s="416"/>
      <c r="CQ213" s="421"/>
      <c r="CR213" s="421"/>
      <c r="CS213" s="421"/>
      <c r="CT213" s="421"/>
      <c r="CU213" s="421"/>
    </row>
    <row r="214" spans="2:101">
      <c r="B214" s="302"/>
      <c r="C214" s="19"/>
      <c r="D214" s="54"/>
      <c r="M214" s="311"/>
      <c r="N214" s="311"/>
      <c r="O214" s="311"/>
      <c r="P214" s="311"/>
      <c r="Q214" s="311"/>
      <c r="R214" s="311"/>
      <c r="S214" s="311"/>
      <c r="T214" s="311"/>
      <c r="U214" s="385"/>
      <c r="V214" s="421"/>
      <c r="W214" s="416"/>
      <c r="X214" s="416"/>
      <c r="Y214" s="416"/>
      <c r="Z214" s="416"/>
      <c r="AF214" s="311"/>
      <c r="AG214" s="311"/>
      <c r="AH214" s="311"/>
      <c r="AI214" s="311"/>
      <c r="AJ214" s="311"/>
      <c r="AK214" s="311"/>
      <c r="AL214" s="311"/>
      <c r="AM214" s="311"/>
      <c r="AN214" s="385"/>
      <c r="AO214" s="416"/>
      <c r="AP214" s="416"/>
      <c r="AQ214" s="416"/>
      <c r="AR214" s="416"/>
      <c r="AS214" s="416"/>
      <c r="AZ214" s="2618"/>
      <c r="BQ214" s="29" t="s">
        <v>114</v>
      </c>
      <c r="BR214" s="416">
        <v>8500</v>
      </c>
      <c r="BS214" s="3562">
        <f t="shared" ref="BS214:BY214" si="120">+BR214</f>
        <v>8500</v>
      </c>
      <c r="BT214" s="3562">
        <f t="shared" si="120"/>
        <v>8500</v>
      </c>
      <c r="BU214" s="3562">
        <f t="shared" si="120"/>
        <v>8500</v>
      </c>
      <c r="BV214" s="3562">
        <f t="shared" si="120"/>
        <v>8500</v>
      </c>
      <c r="BW214" s="3562">
        <f t="shared" si="120"/>
        <v>8500</v>
      </c>
      <c r="BX214" s="3562">
        <f t="shared" si="120"/>
        <v>8500</v>
      </c>
      <c r="BY214" s="3562">
        <f t="shared" si="120"/>
        <v>8500</v>
      </c>
      <c r="BZ214" s="416">
        <v>17500</v>
      </c>
      <c r="CA214" s="3562">
        <f t="shared" ref="CA214:CE216" si="121">+BZ214</f>
        <v>17500</v>
      </c>
      <c r="CB214" s="3562">
        <f t="shared" si="121"/>
        <v>17500</v>
      </c>
      <c r="CC214" s="3562">
        <f t="shared" si="121"/>
        <v>17500</v>
      </c>
      <c r="CD214" s="3562">
        <f t="shared" si="121"/>
        <v>17500</v>
      </c>
      <c r="CE214" s="3562">
        <f t="shared" si="121"/>
        <v>17500</v>
      </c>
      <c r="CF214" s="416">
        <v>27500</v>
      </c>
      <c r="CG214" s="3562">
        <f t="shared" ref="CG214:CO214" si="122">+CF214</f>
        <v>27500</v>
      </c>
      <c r="CH214" s="3562">
        <f t="shared" si="122"/>
        <v>27500</v>
      </c>
      <c r="CI214" s="3562">
        <f t="shared" si="122"/>
        <v>27500</v>
      </c>
      <c r="CJ214" s="3562">
        <f t="shared" si="122"/>
        <v>27500</v>
      </c>
      <c r="CK214" s="3562">
        <f t="shared" si="122"/>
        <v>27500</v>
      </c>
      <c r="CL214" s="3562">
        <f t="shared" si="122"/>
        <v>27500</v>
      </c>
      <c r="CM214" s="3562">
        <f t="shared" si="122"/>
        <v>27500</v>
      </c>
      <c r="CN214" s="3562">
        <f t="shared" si="122"/>
        <v>27500</v>
      </c>
      <c r="CO214" s="3562">
        <f t="shared" si="122"/>
        <v>27500</v>
      </c>
      <c r="CP214" s="416"/>
      <c r="CQ214" s="416"/>
      <c r="CR214" s="416"/>
      <c r="CS214" s="416"/>
      <c r="CT214" s="416"/>
      <c r="CU214" s="416"/>
    </row>
    <row r="215" spans="2:101">
      <c r="B215" s="342"/>
      <c r="C215" s="2120"/>
      <c r="D215" s="54"/>
      <c r="E215" s="2622"/>
      <c r="M215" s="311"/>
      <c r="N215" s="311"/>
      <c r="O215" s="311"/>
      <c r="P215" s="311"/>
      <c r="Q215" s="311"/>
      <c r="R215" s="311"/>
      <c r="S215" s="311"/>
      <c r="T215" s="311"/>
      <c r="U215" s="385"/>
      <c r="V215" s="421"/>
      <c r="W215" s="416"/>
      <c r="X215" s="416"/>
      <c r="Y215" s="416"/>
      <c r="Z215" s="416"/>
      <c r="AF215" s="311"/>
      <c r="AG215" s="311"/>
      <c r="AH215" s="311"/>
      <c r="AI215" s="311"/>
      <c r="AJ215" s="311"/>
      <c r="AK215" s="311"/>
      <c r="AL215" s="311"/>
      <c r="AM215" s="311"/>
      <c r="AN215" s="385"/>
      <c r="AO215" s="421"/>
      <c r="AP215" s="416"/>
      <c r="AQ215" s="416"/>
      <c r="AR215" s="416"/>
      <c r="AS215" s="416"/>
      <c r="AZ215" s="2618"/>
      <c r="BQ215" s="29" t="s">
        <v>115</v>
      </c>
      <c r="BR215" s="416">
        <v>3000</v>
      </c>
      <c r="BS215" s="3562">
        <f t="shared" ref="BS215:BW216" si="123">+BR215</f>
        <v>3000</v>
      </c>
      <c r="BT215" s="3562">
        <f t="shared" si="123"/>
        <v>3000</v>
      </c>
      <c r="BU215" s="3562">
        <f t="shared" si="123"/>
        <v>3000</v>
      </c>
      <c r="BV215" s="3562">
        <f t="shared" si="123"/>
        <v>3000</v>
      </c>
      <c r="BW215" s="3562">
        <f t="shared" si="123"/>
        <v>3000</v>
      </c>
      <c r="BX215" s="416">
        <v>4000</v>
      </c>
      <c r="BY215" s="3562">
        <f>+BX215</f>
        <v>4000</v>
      </c>
      <c r="BZ215" s="3562">
        <f>+BY215</f>
        <v>4000</v>
      </c>
      <c r="CA215" s="3562">
        <f t="shared" si="121"/>
        <v>4000</v>
      </c>
      <c r="CB215" s="3562">
        <f t="shared" si="121"/>
        <v>4000</v>
      </c>
      <c r="CC215" s="3562">
        <f t="shared" si="121"/>
        <v>4000</v>
      </c>
      <c r="CD215" s="3562">
        <f t="shared" si="121"/>
        <v>4000</v>
      </c>
      <c r="CE215" s="3562">
        <f t="shared" si="121"/>
        <v>4000</v>
      </c>
      <c r="CF215" s="416">
        <v>8000</v>
      </c>
      <c r="CG215" s="3562">
        <f t="shared" ref="CG215:CO215" si="124">+CF215</f>
        <v>8000</v>
      </c>
      <c r="CH215" s="3562">
        <f t="shared" si="124"/>
        <v>8000</v>
      </c>
      <c r="CI215" s="3562">
        <f t="shared" si="124"/>
        <v>8000</v>
      </c>
      <c r="CJ215" s="3562">
        <f t="shared" si="124"/>
        <v>8000</v>
      </c>
      <c r="CK215" s="3562">
        <f t="shared" si="124"/>
        <v>8000</v>
      </c>
      <c r="CL215" s="3562">
        <f t="shared" si="124"/>
        <v>8000</v>
      </c>
      <c r="CM215" s="3562">
        <f t="shared" si="124"/>
        <v>8000</v>
      </c>
      <c r="CN215" s="3562">
        <f t="shared" si="124"/>
        <v>8000</v>
      </c>
      <c r="CO215" s="3562">
        <f t="shared" si="124"/>
        <v>8000</v>
      </c>
      <c r="CP215" s="416"/>
      <c r="CQ215" s="416"/>
      <c r="CR215" s="416"/>
      <c r="CS215" s="416"/>
      <c r="CT215" s="416"/>
      <c r="CU215" s="416"/>
    </row>
    <row r="216" spans="2:101">
      <c r="B216" s="2164"/>
      <c r="C216" s="350"/>
      <c r="D216" s="67"/>
      <c r="E216" s="2622"/>
      <c r="M216" s="311"/>
      <c r="N216" s="311"/>
      <c r="O216" s="311"/>
      <c r="P216" s="311"/>
      <c r="Q216" s="311"/>
      <c r="R216" s="311"/>
      <c r="S216" s="311"/>
      <c r="T216" s="311"/>
      <c r="U216" s="385"/>
      <c r="V216" s="421"/>
      <c r="W216" s="416"/>
      <c r="X216" s="416"/>
      <c r="Y216" s="416"/>
      <c r="Z216" s="416"/>
      <c r="AF216" s="311"/>
      <c r="AG216" s="311"/>
      <c r="AH216" s="311"/>
      <c r="AI216" s="311"/>
      <c r="AJ216" s="311"/>
      <c r="AK216" s="311"/>
      <c r="AL216" s="311"/>
      <c r="AM216" s="311"/>
      <c r="AN216" s="385"/>
      <c r="AO216" s="421"/>
      <c r="AP216" s="416"/>
      <c r="AQ216" s="416"/>
      <c r="AR216" s="416"/>
      <c r="AS216" s="416"/>
      <c r="AZ216" s="2618"/>
      <c r="BD216" s="53"/>
      <c r="BE216" s="2156"/>
      <c r="BF216" s="19"/>
      <c r="BG216" s="19"/>
      <c r="BH216" s="19"/>
      <c r="BI216" s="19"/>
      <c r="BJ216" s="19"/>
      <c r="BQ216" s="29" t="s">
        <v>116</v>
      </c>
      <c r="BR216" s="416">
        <v>7000</v>
      </c>
      <c r="BS216" s="3562">
        <f t="shared" si="123"/>
        <v>7000</v>
      </c>
      <c r="BT216" s="3562">
        <f t="shared" si="123"/>
        <v>7000</v>
      </c>
      <c r="BU216" s="3562">
        <f t="shared" si="123"/>
        <v>7000</v>
      </c>
      <c r="BV216" s="3562">
        <f t="shared" si="123"/>
        <v>7000</v>
      </c>
      <c r="BW216" s="3562">
        <f t="shared" si="123"/>
        <v>7000</v>
      </c>
      <c r="BX216" s="3562">
        <f>+BW216</f>
        <v>7000</v>
      </c>
      <c r="BY216" s="3562">
        <f>+BX216</f>
        <v>7000</v>
      </c>
      <c r="BZ216" s="3562">
        <f>+BY216</f>
        <v>7000</v>
      </c>
      <c r="CA216" s="3562">
        <f t="shared" si="121"/>
        <v>7000</v>
      </c>
      <c r="CB216" s="3562">
        <f t="shared" si="121"/>
        <v>7000</v>
      </c>
      <c r="CC216" s="3562">
        <f t="shared" si="121"/>
        <v>7000</v>
      </c>
      <c r="CD216" s="3562">
        <f t="shared" si="121"/>
        <v>7000</v>
      </c>
      <c r="CE216" s="3562">
        <f t="shared" si="121"/>
        <v>7000</v>
      </c>
      <c r="CF216" s="3562">
        <f>+CE216</f>
        <v>7000</v>
      </c>
      <c r="CG216" s="3562">
        <f t="shared" ref="CG216:CO216" si="125">+CF216</f>
        <v>7000</v>
      </c>
      <c r="CH216" s="3562">
        <f t="shared" si="125"/>
        <v>7000</v>
      </c>
      <c r="CI216" s="3562">
        <f t="shared" si="125"/>
        <v>7000</v>
      </c>
      <c r="CJ216" s="3562">
        <f t="shared" si="125"/>
        <v>7000</v>
      </c>
      <c r="CK216" s="3562">
        <f t="shared" si="125"/>
        <v>7000</v>
      </c>
      <c r="CL216" s="3562">
        <f t="shared" si="125"/>
        <v>7000</v>
      </c>
      <c r="CM216" s="3562">
        <f t="shared" si="125"/>
        <v>7000</v>
      </c>
      <c r="CN216" s="3562">
        <f t="shared" si="125"/>
        <v>7000</v>
      </c>
      <c r="CO216" s="3562">
        <f t="shared" si="125"/>
        <v>7000</v>
      </c>
      <c r="CP216" s="416"/>
      <c r="CQ216" s="416"/>
      <c r="CR216" s="416"/>
      <c r="CS216" s="416"/>
      <c r="CT216" s="416"/>
      <c r="CU216" s="416"/>
      <c r="CV216" s="19"/>
    </row>
    <row r="217" spans="2:101">
      <c r="B217" s="353"/>
      <c r="C217" s="354"/>
      <c r="D217" s="2157"/>
      <c r="E217" s="2622"/>
      <c r="F217" s="19"/>
      <c r="G217" s="19"/>
      <c r="H217" s="19"/>
      <c r="I217" s="19"/>
      <c r="M217" s="311"/>
      <c r="N217" s="311"/>
      <c r="O217" s="311"/>
      <c r="P217" s="311"/>
      <c r="Q217" s="311"/>
      <c r="R217" s="311"/>
      <c r="S217" s="311"/>
      <c r="T217" s="311"/>
      <c r="U217" s="385"/>
      <c r="V217" s="421"/>
      <c r="W217" s="416"/>
      <c r="X217" s="416"/>
      <c r="Y217" s="416"/>
      <c r="Z217" s="416"/>
      <c r="AF217" s="311"/>
      <c r="AG217" s="311"/>
      <c r="AH217" s="311"/>
      <c r="AI217" s="311"/>
      <c r="AJ217" s="311"/>
      <c r="AK217" s="311"/>
      <c r="AL217" s="311"/>
      <c r="AM217" s="311"/>
      <c r="AN217" s="385"/>
      <c r="AO217" s="421"/>
      <c r="AP217" s="416"/>
      <c r="AQ217" s="416"/>
      <c r="AR217" s="416"/>
      <c r="AS217" s="416"/>
      <c r="AZ217" s="2618"/>
      <c r="BE217" s="19"/>
      <c r="BF217" s="19"/>
      <c r="BG217" s="19"/>
      <c r="BH217" s="19"/>
      <c r="BI217" s="19"/>
      <c r="BJ217" s="19"/>
      <c r="BQ217" s="29" t="s">
        <v>117</v>
      </c>
      <c r="BR217" s="3562">
        <f t="shared" ref="BR217:CO217" si="126">BR213*5%</f>
        <v>855</v>
      </c>
      <c r="BS217" s="3562">
        <f t="shared" si="126"/>
        <v>870</v>
      </c>
      <c r="BT217" s="3562">
        <f t="shared" si="126"/>
        <v>1060</v>
      </c>
      <c r="BU217" s="3562">
        <f t="shared" si="126"/>
        <v>1180</v>
      </c>
      <c r="BV217" s="3562">
        <f t="shared" si="126"/>
        <v>1485</v>
      </c>
      <c r="BW217" s="3562">
        <f t="shared" si="126"/>
        <v>1775</v>
      </c>
      <c r="BX217" s="3562">
        <f t="shared" si="126"/>
        <v>2660</v>
      </c>
      <c r="BY217" s="3562">
        <f t="shared" si="126"/>
        <v>3015</v>
      </c>
      <c r="BZ217" s="3562">
        <f t="shared" si="126"/>
        <v>4750</v>
      </c>
      <c r="CA217" s="3562">
        <f t="shared" si="126"/>
        <v>5905</v>
      </c>
      <c r="CB217" s="3562">
        <f t="shared" si="126"/>
        <v>7710</v>
      </c>
      <c r="CC217" s="3562">
        <f t="shared" si="126"/>
        <v>10515</v>
      </c>
      <c r="CD217" s="3562">
        <f t="shared" si="126"/>
        <v>11420</v>
      </c>
      <c r="CE217" s="3562">
        <f t="shared" si="126"/>
        <v>16960</v>
      </c>
      <c r="CF217" s="3562">
        <f t="shared" si="126"/>
        <v>22865</v>
      </c>
      <c r="CG217" s="3562">
        <f t="shared" si="126"/>
        <v>28675</v>
      </c>
      <c r="CH217" s="3562">
        <f t="shared" si="126"/>
        <v>32600</v>
      </c>
      <c r="CI217" s="3562">
        <f t="shared" si="126"/>
        <v>37355</v>
      </c>
      <c r="CJ217" s="3562">
        <f t="shared" si="126"/>
        <v>46885</v>
      </c>
      <c r="CK217" s="3562">
        <f t="shared" si="126"/>
        <v>52290</v>
      </c>
      <c r="CL217" s="3562">
        <f t="shared" si="126"/>
        <v>61170</v>
      </c>
      <c r="CM217" s="3562">
        <f t="shared" si="126"/>
        <v>69620</v>
      </c>
      <c r="CN217" s="3562">
        <f t="shared" si="126"/>
        <v>79595</v>
      </c>
      <c r="CO217" s="3562">
        <f t="shared" si="126"/>
        <v>81885</v>
      </c>
      <c r="CP217" s="416"/>
      <c r="CQ217" s="416"/>
      <c r="CR217" s="416"/>
      <c r="CS217" s="416"/>
      <c r="CT217" s="416"/>
      <c r="CU217" s="416"/>
      <c r="CV217" s="19"/>
    </row>
    <row r="218" spans="2:101">
      <c r="B218" s="182"/>
      <c r="C218" s="186"/>
      <c r="D218" s="186"/>
      <c r="F218" s="19"/>
      <c r="M218" s="311"/>
      <c r="N218" s="311"/>
      <c r="O218" s="311"/>
      <c r="P218" s="311"/>
      <c r="Q218" s="311"/>
      <c r="R218" s="311"/>
      <c r="S218" s="311"/>
      <c r="T218" s="311"/>
      <c r="U218" s="385"/>
      <c r="V218" s="421"/>
      <c r="W218" s="416"/>
      <c r="X218" s="416"/>
      <c r="Y218" s="416"/>
      <c r="Z218" s="416"/>
      <c r="AF218" s="311"/>
      <c r="AG218" s="311"/>
      <c r="AH218" s="311"/>
      <c r="AI218" s="311"/>
      <c r="AJ218" s="311"/>
      <c r="AK218" s="311"/>
      <c r="AL218" s="311"/>
      <c r="AM218" s="311"/>
      <c r="AN218" s="385"/>
      <c r="AO218" s="421"/>
      <c r="AP218" s="416"/>
      <c r="AQ218" s="416"/>
      <c r="AR218" s="416"/>
      <c r="AS218" s="416"/>
      <c r="AZ218" s="2618"/>
      <c r="BE218" s="19"/>
      <c r="BF218" s="19"/>
      <c r="BG218" s="19"/>
      <c r="BH218" s="19"/>
      <c r="BI218" s="19"/>
      <c r="BJ218" s="19"/>
      <c r="CQ218" s="19"/>
      <c r="CR218" s="19"/>
      <c r="CS218" s="19"/>
      <c r="CT218" s="19"/>
      <c r="CU218" s="19"/>
      <c r="CV218" s="19"/>
    </row>
    <row r="219" spans="2:101">
      <c r="B219" s="182"/>
      <c r="D219" s="51"/>
      <c r="E219" s="51"/>
      <c r="F219" s="19"/>
      <c r="M219" s="19"/>
      <c r="N219" s="19"/>
      <c r="O219" s="19"/>
      <c r="P219" s="19"/>
      <c r="Q219" s="19"/>
      <c r="R219" s="19"/>
      <c r="S219" s="19"/>
      <c r="T219" s="19"/>
      <c r="U219" s="345"/>
      <c r="V219" s="182"/>
      <c r="W219" s="20"/>
      <c r="X219" s="20"/>
      <c r="Y219" s="20"/>
      <c r="Z219" s="20"/>
      <c r="AF219" s="311"/>
      <c r="AG219" s="311"/>
      <c r="AH219" s="311"/>
      <c r="AI219" s="311"/>
      <c r="AJ219" s="311"/>
      <c r="AK219" s="311"/>
      <c r="AL219" s="311"/>
      <c r="AM219" s="311"/>
      <c r="AN219" s="385"/>
      <c r="AO219" s="421"/>
      <c r="AP219" s="416"/>
      <c r="AQ219" s="416"/>
      <c r="AR219" s="416"/>
      <c r="AS219" s="416"/>
      <c r="AZ219" s="2618"/>
    </row>
    <row r="220" spans="2:101">
      <c r="B220" s="59"/>
      <c r="C220" s="108"/>
      <c r="D220" s="108"/>
      <c r="E220" s="108"/>
      <c r="F220" s="19"/>
      <c r="G220" s="19"/>
      <c r="H220" s="19"/>
      <c r="I220" s="19"/>
      <c r="L220" s="2615"/>
      <c r="M220" s="2615"/>
      <c r="N220" s="2615"/>
      <c r="O220" s="216"/>
      <c r="P220" s="2615"/>
      <c r="Q220" s="2615"/>
      <c r="R220" s="53"/>
      <c r="S220" s="53"/>
      <c r="T220" s="216"/>
      <c r="U220" s="17"/>
      <c r="AF220" s="19"/>
      <c r="AG220" s="19"/>
      <c r="AH220" s="19"/>
      <c r="AI220" s="19"/>
      <c r="AJ220" s="19"/>
      <c r="AK220" s="19"/>
      <c r="AL220" s="19"/>
      <c r="AM220" s="19"/>
      <c r="AN220" s="345"/>
      <c r="AO220" s="182"/>
      <c r="AP220" s="20"/>
      <c r="AQ220" s="20"/>
      <c r="AR220" s="20"/>
      <c r="AS220" s="20"/>
      <c r="AZ220" s="2618"/>
    </row>
    <row r="221" spans="2:101">
      <c r="B221" s="17"/>
      <c r="C221" s="19"/>
      <c r="D221" s="19"/>
      <c r="E221" s="19"/>
      <c r="F221" s="19"/>
      <c r="G221" s="19"/>
      <c r="H221" s="19"/>
      <c r="I221" s="19"/>
      <c r="J221" s="19"/>
      <c r="L221" s="2158">
        <v>0.4</v>
      </c>
      <c r="M221" s="53"/>
      <c r="N221" s="53"/>
      <c r="O221" s="53"/>
      <c r="P221" s="53"/>
      <c r="Q221" s="53"/>
      <c r="R221" s="53"/>
      <c r="S221" s="53"/>
      <c r="T221" s="53"/>
      <c r="AE221" s="2615"/>
      <c r="AF221" s="2615"/>
      <c r="AG221" s="2615"/>
      <c r="AH221" s="216"/>
      <c r="AI221" s="2615"/>
      <c r="AJ221" s="2615"/>
      <c r="AK221" s="53"/>
      <c r="AL221" s="53"/>
      <c r="AM221" s="216"/>
      <c r="AN221" s="17"/>
      <c r="AZ221" s="2618"/>
      <c r="BD221" s="2158">
        <v>0.4</v>
      </c>
      <c r="BE221" s="53"/>
      <c r="BF221" s="53"/>
      <c r="BG221" s="53"/>
      <c r="BH221" s="53"/>
      <c r="BK221" s="53"/>
      <c r="CP221" s="2165"/>
      <c r="CQ221" s="53"/>
      <c r="CR221" s="53"/>
      <c r="CS221" s="53"/>
      <c r="CT221" s="53"/>
      <c r="CW221" s="53"/>
    </row>
    <row r="222" spans="2:101">
      <c r="B222" s="209"/>
      <c r="C222" s="53"/>
      <c r="D222" s="1067"/>
      <c r="E222" s="19"/>
      <c r="F222" s="19"/>
      <c r="J222" s="3532" t="str">
        <f>IF(A191="40%",K222,IF(A191="60%",K229))</f>
        <v>Right</v>
      </c>
      <c r="K222" s="3563" t="str">
        <f>IF(K223="Right",IF(K224="Right",IF(K225="Right",IF(K226="Right","Right","Wrong"))))</f>
        <v>Right</v>
      </c>
      <c r="L222" s="2159" t="s">
        <v>1710</v>
      </c>
      <c r="M222" s="2602" t="s">
        <v>2494</v>
      </c>
      <c r="N222" s="2602" t="s">
        <v>2495</v>
      </c>
      <c r="O222" s="2602" t="s">
        <v>2496</v>
      </c>
      <c r="P222" s="29" t="s">
        <v>119</v>
      </c>
      <c r="Q222" s="179" t="s">
        <v>121</v>
      </c>
      <c r="R222" s="179" t="s">
        <v>274</v>
      </c>
      <c r="S222" s="145" t="s">
        <v>2497</v>
      </c>
      <c r="T222" s="53"/>
      <c r="U222" s="29" t="s">
        <v>112</v>
      </c>
      <c r="V222" s="29" t="s">
        <v>113</v>
      </c>
      <c r="W222" s="29" t="s">
        <v>114</v>
      </c>
      <c r="X222" s="29" t="s">
        <v>115</v>
      </c>
      <c r="Y222" s="29" t="s">
        <v>116</v>
      </c>
      <c r="Z222" s="29" t="s">
        <v>117</v>
      </c>
      <c r="AE222" s="2158">
        <v>0.6</v>
      </c>
      <c r="AF222" s="53"/>
      <c r="AG222" s="53"/>
      <c r="AH222" s="53"/>
      <c r="AI222" s="53"/>
      <c r="AJ222" s="53"/>
      <c r="AK222" s="1731"/>
      <c r="AL222" s="53"/>
      <c r="AM222" s="19"/>
      <c r="AN222" s="20"/>
      <c r="AO222" s="20"/>
      <c r="AP222" s="20"/>
      <c r="AQ222" s="20"/>
      <c r="AR222" s="20"/>
      <c r="AS222" s="20"/>
      <c r="AZ222" s="2618"/>
      <c r="BD222" s="2159" t="s">
        <v>1710</v>
      </c>
      <c r="BE222" s="2602" t="s">
        <v>2494</v>
      </c>
      <c r="BF222" s="2602" t="s">
        <v>2495</v>
      </c>
      <c r="BG222" s="2602" t="s">
        <v>2496</v>
      </c>
      <c r="BH222" s="29" t="s">
        <v>119</v>
      </c>
      <c r="BI222" s="179" t="s">
        <v>121</v>
      </c>
      <c r="BJ222" s="179" t="s">
        <v>274</v>
      </c>
      <c r="BK222" s="145" t="s">
        <v>2497</v>
      </c>
      <c r="BM222" s="29" t="s">
        <v>112</v>
      </c>
      <c r="BN222" s="29" t="s">
        <v>113</v>
      </c>
      <c r="BO222" s="29" t="s">
        <v>114</v>
      </c>
      <c r="BP222" s="29" t="s">
        <v>115</v>
      </c>
      <c r="BQ222" s="29" t="s">
        <v>116</v>
      </c>
      <c r="BR222" s="29" t="s">
        <v>117</v>
      </c>
      <c r="BV222" s="2166">
        <v>0.6</v>
      </c>
      <c r="BW222" s="53"/>
      <c r="BX222" s="53"/>
      <c r="BY222" s="53"/>
      <c r="BZ222" s="53"/>
      <c r="CC222" s="53"/>
      <c r="CP222" s="1939"/>
      <c r="CQ222" s="2615"/>
      <c r="CR222" s="2615"/>
      <c r="CS222" s="2615"/>
      <c r="CT222" s="59"/>
      <c r="CU222" s="79"/>
      <c r="CV222" s="79"/>
      <c r="CW222" s="53"/>
    </row>
    <row r="223" spans="2:101">
      <c r="B223" s="454"/>
      <c r="C223" s="19"/>
      <c r="D223" s="19"/>
      <c r="E223" s="19"/>
      <c r="F223" s="19"/>
      <c r="J223" s="3532" t="str">
        <f>IF(A191="40%",K223,IF(A191="60%",K230))</f>
        <v>Right</v>
      </c>
      <c r="K223" s="3561" t="str">
        <f>IF(T223="Right",IF(AA223="Right","Right","Wrong"))</f>
        <v>Right</v>
      </c>
      <c r="L223" s="2602" t="s">
        <v>2471</v>
      </c>
      <c r="M223" s="3533">
        <f>C191</f>
        <v>14.931600768800502</v>
      </c>
      <c r="N223" s="3533">
        <f>VLOOKUP(M223,M189:M218,1)</f>
        <v>14</v>
      </c>
      <c r="O223" s="3533">
        <f>VLOOKUP(N223,M189:P218,4,0)</f>
        <v>17</v>
      </c>
      <c r="P223" s="3564" t="str">
        <f>VLOOKUP(O223,P189:R218,3,0)</f>
        <v>180L</v>
      </c>
      <c r="Q223" s="3564">
        <f>VLOOKUP(P223,R189:U218,2,0)</f>
        <v>970</v>
      </c>
      <c r="R223" s="3549">
        <f>VLOOKUP(P223,R188:U218,4,0)</f>
        <v>85554</v>
      </c>
      <c r="S223" s="3564">
        <f>VLOOKUP(P223,R189:T218,3,0)</f>
        <v>204</v>
      </c>
      <c r="T223" s="3561" t="str">
        <f>IF(BE223=M223,IF(N223=BF223,IF(O223=BG223,IF(P223=BH223,IF(Q223=BI223,IF(R223=BJ223,IF(S223=BK223,"Right","Wrong")))))))</f>
        <v>Right</v>
      </c>
      <c r="U223" s="3535">
        <f>VLOOKUP(P223,R189:Z218,4,0)</f>
        <v>85554</v>
      </c>
      <c r="V223" s="3535">
        <f>VLOOKUP(P223,R189:Z218,5,0)</f>
        <v>154200</v>
      </c>
      <c r="W223" s="3535">
        <f>VLOOKUP(P223,R189:Z218,6,0)</f>
        <v>17500</v>
      </c>
      <c r="X223" s="3535">
        <f>VLOOKUP(P223,R189:Z218,7,0)</f>
        <v>4000</v>
      </c>
      <c r="Y223" s="3535">
        <f>VLOOKUP(P223,R189:Z218,8,0)</f>
        <v>7000</v>
      </c>
      <c r="Z223" s="3535">
        <f>VLOOKUP(P223,R189:Z218,9,0)</f>
        <v>7710</v>
      </c>
      <c r="AA223" s="3561" t="str">
        <f>IF(BM223=U223,IF(V223=BN223,IF(W223=BO223,IF(X223=BP223,IF(Y223=BQ223,IF(Z223=BR223,"Right","Wrong"))))))</f>
        <v>Right</v>
      </c>
      <c r="AE223" s="2159" t="s">
        <v>1710</v>
      </c>
      <c r="AF223" s="2602" t="s">
        <v>2494</v>
      </c>
      <c r="AG223" s="2602" t="s">
        <v>2495</v>
      </c>
      <c r="AH223" s="2602" t="s">
        <v>2496</v>
      </c>
      <c r="AI223" s="29" t="s">
        <v>119</v>
      </c>
      <c r="AJ223" s="179" t="s">
        <v>121</v>
      </c>
      <c r="AK223" s="1846" t="s">
        <v>274</v>
      </c>
      <c r="AL223" s="145" t="s">
        <v>2497</v>
      </c>
      <c r="AM223" s="53"/>
      <c r="AN223" s="29" t="s">
        <v>112</v>
      </c>
      <c r="AO223" s="29" t="s">
        <v>113</v>
      </c>
      <c r="AP223" s="29" t="s">
        <v>114</v>
      </c>
      <c r="AQ223" s="29" t="s">
        <v>115</v>
      </c>
      <c r="AR223" s="29" t="s">
        <v>116</v>
      </c>
      <c r="AS223" s="29" t="s">
        <v>117</v>
      </c>
      <c r="AZ223" s="2618"/>
      <c r="BD223" s="2602" t="s">
        <v>2471</v>
      </c>
      <c r="BE223" s="3569">
        <f>M223</f>
        <v>14.931600768800502</v>
      </c>
      <c r="BF223" s="3559">
        <f>HLOOKUP(BE223,BE188:CH188,1)</f>
        <v>14</v>
      </c>
      <c r="BG223" s="3559">
        <f>HLOOKUP(BF223,BE188:CH191,4,0)</f>
        <v>17</v>
      </c>
      <c r="BH223" s="3559" t="str">
        <f>HLOOKUP(BG223,BE191:CH193,3,0)</f>
        <v>180L</v>
      </c>
      <c r="BI223" s="3559">
        <f>HLOOKUP(BH223,BE193:CH195,2,0)</f>
        <v>970</v>
      </c>
      <c r="BJ223" s="3559">
        <f>HLOOKUP(BH223,BE193:CH196,4,0)</f>
        <v>85554</v>
      </c>
      <c r="BK223" s="3559">
        <f>HLOOKUP(BH223,BE193:CH195,3,0)</f>
        <v>204</v>
      </c>
      <c r="BM223" s="3559">
        <f>HLOOKUP(BH223,BE193:CH201,4,0)</f>
        <v>85554</v>
      </c>
      <c r="BN223" s="3559">
        <f>HLOOKUP(BH223,BE193:CH201,5,0)</f>
        <v>154200</v>
      </c>
      <c r="BO223" s="3559">
        <f>HLOOKUP(BH223,BE193:CH201,6,0)</f>
        <v>17500</v>
      </c>
      <c r="BP223" s="3559">
        <f>HLOOKUP(BH223,BE193:CH201,7,0)</f>
        <v>4000</v>
      </c>
      <c r="BQ223" s="3559">
        <f>HLOOKUP(BH223,BE193:CH201,8,0)</f>
        <v>7000</v>
      </c>
      <c r="BR223" s="3559">
        <f>HLOOKUP(BH223,BE193:CH201,9,0)</f>
        <v>7710</v>
      </c>
      <c r="BV223" s="2159" t="s">
        <v>1710</v>
      </c>
      <c r="BW223" s="2602" t="s">
        <v>2494</v>
      </c>
      <c r="BX223" s="2602" t="s">
        <v>2495</v>
      </c>
      <c r="BY223" s="2602" t="s">
        <v>2496</v>
      </c>
      <c r="BZ223" s="29" t="s">
        <v>119</v>
      </c>
      <c r="CA223" s="179" t="s">
        <v>121</v>
      </c>
      <c r="CB223" s="179" t="s">
        <v>274</v>
      </c>
      <c r="CC223" s="145" t="s">
        <v>2497</v>
      </c>
      <c r="CE223" s="29" t="s">
        <v>112</v>
      </c>
      <c r="CF223" s="29" t="s">
        <v>113</v>
      </c>
      <c r="CG223" s="29" t="s">
        <v>114</v>
      </c>
      <c r="CH223" s="29" t="s">
        <v>115</v>
      </c>
      <c r="CI223" s="29" t="s">
        <v>116</v>
      </c>
      <c r="CJ223" s="29" t="s">
        <v>117</v>
      </c>
      <c r="CP223" s="2615"/>
      <c r="CQ223" s="2156"/>
      <c r="CR223" s="19"/>
      <c r="CS223" s="19"/>
      <c r="CT223" s="19"/>
      <c r="CU223" s="19"/>
      <c r="CV223" s="19"/>
      <c r="CW223" s="19"/>
    </row>
    <row r="224" spans="2:101">
      <c r="B224" s="2160"/>
      <c r="C224" s="19"/>
      <c r="D224" s="19"/>
      <c r="E224" s="19"/>
      <c r="F224" s="19"/>
      <c r="J224" s="3532" t="str">
        <f t="shared" ref="J224:J226" si="127">IF(A192="40%",K224,IF(A192="60%",K231))</f>
        <v>Right</v>
      </c>
      <c r="K224" s="3561" t="str">
        <f t="shared" ref="K224:K233" si="128">IF(T224="Right",IF(AA224="Right","Right","Wrong"))</f>
        <v>Right</v>
      </c>
      <c r="L224" s="2602" t="s">
        <v>2472</v>
      </c>
      <c r="M224" s="3533">
        <f>C192</f>
        <v>14.970777992527008</v>
      </c>
      <c r="N224" s="3533">
        <f>VLOOKUP(M224,M189:M218,1)</f>
        <v>14</v>
      </c>
      <c r="O224" s="3533">
        <f>VLOOKUP(N224,M189:P218,4,0)</f>
        <v>17</v>
      </c>
      <c r="P224" s="3564" t="str">
        <f>VLOOKUP(O224,P189:R218,3,0)</f>
        <v>180L</v>
      </c>
      <c r="Q224" s="3564">
        <f>VLOOKUP(P224,R189:U218,2,0)</f>
        <v>970</v>
      </c>
      <c r="R224" s="3549">
        <f>VLOOKUP(P224,R188:U218,4,0)</f>
        <v>85554</v>
      </c>
      <c r="S224" s="3564">
        <f>VLOOKUP(P224,R189:T218,3,0)</f>
        <v>204</v>
      </c>
      <c r="T224" s="3561" t="str">
        <f>IF(BE224=M224,IF(N224=BF224,IF(O224=BG224,IF(P224=BH224,IF(Q224=BI224,IF(R224=BJ224,IF(S224=BK224,"Right","Wrong")))))))</f>
        <v>Right</v>
      </c>
      <c r="U224" s="3535">
        <f>VLOOKUP(P224,R189:Z218,4,0)</f>
        <v>85554</v>
      </c>
      <c r="V224" s="3535">
        <f>VLOOKUP(P224,R189:Z218,5,0)</f>
        <v>154200</v>
      </c>
      <c r="W224" s="3535">
        <f>VLOOKUP(P224,R189:Z218,6,0)</f>
        <v>17500</v>
      </c>
      <c r="X224" s="3535">
        <f>VLOOKUP(P224,R189:Z218,7,0)</f>
        <v>4000</v>
      </c>
      <c r="Y224" s="3535">
        <f>VLOOKUP(P224,R189:Z218,8,0)</f>
        <v>7000</v>
      </c>
      <c r="Z224" s="3535">
        <f>VLOOKUP(P224,R189:Z218,9,0)</f>
        <v>7710</v>
      </c>
      <c r="AA224" s="3561" t="str">
        <f>IF(BM224=U224,IF(V224=BN224,IF(W224=BO224,IF(X224=BP224,IF(Y224=BQ224,IF(Z224=BR224,"Right","Wrong"))))))</f>
        <v>Right</v>
      </c>
      <c r="AE224" s="2602" t="s">
        <v>2471</v>
      </c>
      <c r="AF224" s="3567">
        <f>M223</f>
        <v>14.931600768800502</v>
      </c>
      <c r="AG224" s="3533">
        <f>VLOOKUP(AF224,AG190:AG219,1)</f>
        <v>12</v>
      </c>
      <c r="AH224" s="3533">
        <f>VLOOKUP(AG224,AG190:AJ219,4,0)</f>
        <v>15</v>
      </c>
      <c r="AI224" s="3564" t="str">
        <f>VLOOKUP(AH224,AJ190:AK219,2,0)</f>
        <v>180L</v>
      </c>
      <c r="AJ224" s="3564">
        <f>VLOOKUP(AI224,AK190:AN219,2,0)</f>
        <v>970</v>
      </c>
      <c r="AK224" s="3549">
        <f>VLOOKUP(AI224,AK189:AN219,4,0)</f>
        <v>85554</v>
      </c>
      <c r="AL224" s="3564">
        <f>VLOOKUP(AI224,AK190:AM219,3,0)</f>
        <v>204</v>
      </c>
      <c r="AM224" s="53"/>
      <c r="AN224" s="3535">
        <f>VLOOKUP(AI224,AK190:AS219,4,0)</f>
        <v>85554</v>
      </c>
      <c r="AO224" s="3535">
        <f>VLOOKUP(AI224,AK190:AS219,5,0)</f>
        <v>154200</v>
      </c>
      <c r="AP224" s="3535">
        <f>VLOOKUP(AI224,AK190:AS219,6,0)</f>
        <v>17500</v>
      </c>
      <c r="AQ224" s="3535">
        <f>VLOOKUP(AI224,AK190:AS219,7,0)</f>
        <v>4000</v>
      </c>
      <c r="AR224" s="3535">
        <f>VLOOKUP(AI224,AK190:AS219,8,0)</f>
        <v>7000</v>
      </c>
      <c r="AS224" s="3535">
        <f>VLOOKUP(AI224,AK190:AS219,9,0)</f>
        <v>7710</v>
      </c>
      <c r="AZ224" s="2618"/>
      <c r="BD224" s="2602" t="s">
        <v>2472</v>
      </c>
      <c r="BE224" s="3569">
        <f>M224</f>
        <v>14.970777992527008</v>
      </c>
      <c r="BF224" s="3559">
        <f>HLOOKUP(BE224,BE188:CH188,1)</f>
        <v>14</v>
      </c>
      <c r="BG224" s="3559">
        <f>HLOOKUP(BF224,BE188:CH191,4,0)</f>
        <v>17</v>
      </c>
      <c r="BH224" s="3559" t="str">
        <f>HLOOKUP(BG224,BE191:CH193,3,0)</f>
        <v>180L</v>
      </c>
      <c r="BI224" s="3559">
        <f>HLOOKUP(BH224,BE193:CH195,2,0)</f>
        <v>970</v>
      </c>
      <c r="BJ224" s="3559">
        <f>HLOOKUP(BH224,BE193:CH196,4,0)</f>
        <v>85554</v>
      </c>
      <c r="BK224" s="3559">
        <f>HLOOKUP(BH224,BE193:CH195,3,0)</f>
        <v>204</v>
      </c>
      <c r="BM224" s="3559">
        <f>HLOOKUP(BH224,BE193:CH201,4,0)</f>
        <v>85554</v>
      </c>
      <c r="BN224" s="3559">
        <f>HLOOKUP(BH224,BE193:CH201,5,0)</f>
        <v>154200</v>
      </c>
      <c r="BO224" s="3559">
        <f>HLOOKUP(BH224,BE193:CH201,6,0)</f>
        <v>17500</v>
      </c>
      <c r="BP224" s="3559">
        <f>HLOOKUP(BH224,BE193:CH201,7,0)</f>
        <v>4000</v>
      </c>
      <c r="BQ224" s="3559">
        <f>HLOOKUP(BH224,BE193:CH201,8,0)</f>
        <v>7000</v>
      </c>
      <c r="BR224" s="3559">
        <f>HLOOKUP(BH224,BE193:CH201,9,0)</f>
        <v>7710</v>
      </c>
      <c r="BV224" s="2602" t="s">
        <v>2471</v>
      </c>
      <c r="BW224" s="3569">
        <f>BE223</f>
        <v>14.931600768800502</v>
      </c>
      <c r="BX224" s="3559">
        <f>HLOOKUP(BW224,BR205:CU205,1)</f>
        <v>12</v>
      </c>
      <c r="BY224" s="3559">
        <f>HLOOKUP(BX224,BR205:CU208,4,0)</f>
        <v>15</v>
      </c>
      <c r="BZ224" s="3559" t="str">
        <f>HLOOKUP(BY224,BR208:CU209,2,0)</f>
        <v>180L</v>
      </c>
      <c r="CA224" s="3559">
        <f>HLOOKUP(BZ224,BR209:CU211,2,0)</f>
        <v>970</v>
      </c>
      <c r="CB224" s="3559">
        <f>HLOOKUP(BZ224,BR209:CU212,4,0)</f>
        <v>85554</v>
      </c>
      <c r="CC224" s="3559">
        <f>HLOOKUP(BZ224,BR209:CU211,3,0)</f>
        <v>204</v>
      </c>
      <c r="CE224" s="3559">
        <f>HLOOKUP(BZ224,BR209:CU217,4,0)</f>
        <v>85554</v>
      </c>
      <c r="CF224" s="3559">
        <f>HLOOKUP(BZ224,BR209:CU217,5,0)</f>
        <v>154200</v>
      </c>
      <c r="CG224" s="3559">
        <f>HLOOKUP(BZ224,BR209:CU217,6,0)</f>
        <v>17500</v>
      </c>
      <c r="CH224" s="3559">
        <f>HLOOKUP(BZ224,BR209:CU217,7,0)</f>
        <v>4000</v>
      </c>
      <c r="CI224" s="3559">
        <f>HLOOKUP(BZ224,BR209:CU217,8,0)</f>
        <v>7000</v>
      </c>
      <c r="CJ224" s="3559">
        <f>HLOOKUP(BZ224,BR209:CU217,9,0)</f>
        <v>7710</v>
      </c>
      <c r="CP224" s="2615"/>
      <c r="CQ224" s="2156"/>
      <c r="CR224" s="19"/>
      <c r="CS224" s="19"/>
      <c r="CT224" s="19"/>
      <c r="CU224" s="19"/>
      <c r="CV224" s="19"/>
      <c r="CW224" s="19"/>
    </row>
    <row r="225" spans="1:101">
      <c r="B225" s="481"/>
      <c r="C225" s="19"/>
      <c r="D225" s="19"/>
      <c r="E225" s="19"/>
      <c r="F225" s="19"/>
      <c r="J225" s="3532" t="b">
        <f t="shared" si="127"/>
        <v>0</v>
      </c>
      <c r="K225" s="3561" t="str">
        <f t="shared" si="128"/>
        <v>Right</v>
      </c>
      <c r="L225" s="2602" t="s">
        <v>2473</v>
      </c>
      <c r="M225" s="3533">
        <f>C193</f>
        <v>0.7475763842813713</v>
      </c>
      <c r="N225" s="3533">
        <f>VLOOKUP(M225,M189:M218,1)</f>
        <v>0.49</v>
      </c>
      <c r="O225" s="3533">
        <f>VLOOKUP(N225,M189:P218,4,0)</f>
        <v>0.79</v>
      </c>
      <c r="P225" s="3564" t="str">
        <f>VLOOKUP(O225,P189:R218,3,0)</f>
        <v>80 (2)</v>
      </c>
      <c r="Q225" s="3564">
        <f>VLOOKUP(P225,R189:U218,2,0)</f>
        <v>910</v>
      </c>
      <c r="R225" s="3549">
        <f>VLOOKUP(P225,R188:U218,4,0)</f>
        <v>24938</v>
      </c>
      <c r="S225" s="3564">
        <f>VLOOKUP(P225,R189:T218,3,0)</f>
        <v>17</v>
      </c>
      <c r="T225" s="3561" t="str">
        <f>IF(BE225=M225,IF(N225=BF225,IF(O225=BG225,IF(P225=BH225,IF(Q225=BI225,IF(R225=BJ225,IF(S225=BK225,"Right","Wrong")))))))</f>
        <v>Right</v>
      </c>
      <c r="U225" s="3535">
        <f>VLOOKUP(P225,R189:Z218,4,0)</f>
        <v>24938</v>
      </c>
      <c r="V225" s="3535">
        <f>VLOOKUP(P225,R189:Z218,5,0)</f>
        <v>17400</v>
      </c>
      <c r="W225" s="3535">
        <f>VLOOKUP(P225,R189:Z218,6,0)</f>
        <v>8500</v>
      </c>
      <c r="X225" s="3535">
        <f>VLOOKUP(P225,R189:Z218,7,0)</f>
        <v>3000</v>
      </c>
      <c r="Y225" s="3535">
        <f>VLOOKUP(P225,R189:Z218,8,0)</f>
        <v>7000</v>
      </c>
      <c r="Z225" s="3535">
        <f>VLOOKUP(P225,R189:Z218,9,0)</f>
        <v>870</v>
      </c>
      <c r="AA225" s="3561" t="str">
        <f>IF(BM225=U225,IF(V225=BN225,IF(W225=BO225,IF(X225=BP225,IF(Y225=BQ225,IF(Z225=BR225,"Right","Wrong"))))))</f>
        <v>Right</v>
      </c>
      <c r="AE225" s="2602" t="s">
        <v>2472</v>
      </c>
      <c r="AF225" s="3567">
        <f>M224</f>
        <v>14.970777992527008</v>
      </c>
      <c r="AG225" s="3533">
        <f>VLOOKUP(AF225,AG190:AG219,1)</f>
        <v>12</v>
      </c>
      <c r="AH225" s="3533">
        <f>VLOOKUP(AG225,AG190:AJ219,4,0)</f>
        <v>15</v>
      </c>
      <c r="AI225" s="3564" t="str">
        <f>VLOOKUP(AH225,AJ190:AK219,2,0)</f>
        <v>180L</v>
      </c>
      <c r="AJ225" s="3564">
        <f>VLOOKUP(AI225,AK190:AN219,2,0)</f>
        <v>970</v>
      </c>
      <c r="AK225" s="3549">
        <f>VLOOKUP(AI225,AK189:AN219,4,0)</f>
        <v>85554</v>
      </c>
      <c r="AL225" s="3564">
        <f>VLOOKUP(AI225,AK190:AM219,3,0)</f>
        <v>204</v>
      </c>
      <c r="AM225" s="53"/>
      <c r="AN225" s="3535">
        <f>VLOOKUP(AI225,AK190:AS219,4,0)</f>
        <v>85554</v>
      </c>
      <c r="AO225" s="3535">
        <f>VLOOKUP(AI225,AK190:AS219,5,0)</f>
        <v>154200</v>
      </c>
      <c r="AP225" s="3535">
        <f>VLOOKUP(AI225,AK190:AS219,6,0)</f>
        <v>17500</v>
      </c>
      <c r="AQ225" s="3535">
        <f>VLOOKUP(AI225,AK190:AS219,7,0)</f>
        <v>4000</v>
      </c>
      <c r="AR225" s="3535">
        <f>VLOOKUP(AI225,AK190:AS219,8,0)</f>
        <v>7000</v>
      </c>
      <c r="AS225" s="3535">
        <f>VLOOKUP(AI225,AK190:AS219,9,0)</f>
        <v>7710</v>
      </c>
      <c r="AZ225" s="2618"/>
      <c r="BD225" s="2602" t="s">
        <v>2473</v>
      </c>
      <c r="BE225" s="3569">
        <f>M225</f>
        <v>0.7475763842813713</v>
      </c>
      <c r="BF225" s="3559">
        <f>HLOOKUP(BE225,BE188:CH188,1)</f>
        <v>0.49</v>
      </c>
      <c r="BG225" s="3559">
        <f>HLOOKUP(BF225,BE188:CH191,4,0)</f>
        <v>0.79</v>
      </c>
      <c r="BH225" s="3559" t="str">
        <f>HLOOKUP(BG225,BE191:CH193,3,0)</f>
        <v>80 (2)</v>
      </c>
      <c r="BI225" s="3559">
        <f>HLOOKUP(BH225,BE193:CH195,2,0)</f>
        <v>910</v>
      </c>
      <c r="BJ225" s="3559">
        <f>HLOOKUP(BH225,BE193:CH196,4,0)</f>
        <v>24938</v>
      </c>
      <c r="BK225" s="3559">
        <f>HLOOKUP(BH225,BE193:CH195,3,0)</f>
        <v>17</v>
      </c>
      <c r="BM225" s="3559">
        <f>HLOOKUP(BH225,BE193:CH201,4,0)</f>
        <v>24938</v>
      </c>
      <c r="BN225" s="3559">
        <f>HLOOKUP(BH225,BE193:CH201,5,0)</f>
        <v>17400</v>
      </c>
      <c r="BO225" s="3559">
        <f>HLOOKUP(BH225,BE193:CH201,6,0)</f>
        <v>8500</v>
      </c>
      <c r="BP225" s="3559">
        <f>HLOOKUP(BH225,BE193:CH201,7,0)</f>
        <v>3000</v>
      </c>
      <c r="BQ225" s="3559">
        <f>HLOOKUP(BH225,BE193:CH201,8,0)</f>
        <v>7000</v>
      </c>
      <c r="BR225" s="3559">
        <f>HLOOKUP(BH225,BE193:CH201,9,0)</f>
        <v>870</v>
      </c>
      <c r="BV225" s="2602" t="s">
        <v>2472</v>
      </c>
      <c r="BW225" s="3569">
        <f t="shared" ref="BW225:BW227" si="129">BE224</f>
        <v>14.970777992527008</v>
      </c>
      <c r="BX225" s="3559">
        <f>HLOOKUP(BW225,BR205:CU205,1)</f>
        <v>12</v>
      </c>
      <c r="BY225" s="3559">
        <f>HLOOKUP(BX225,BR205:CU208,4,0)</f>
        <v>15</v>
      </c>
      <c r="BZ225" s="3559" t="str">
        <f>HLOOKUP(BY225,BR208:CU209,2,0)</f>
        <v>180L</v>
      </c>
      <c r="CA225" s="3559">
        <f>HLOOKUP(BZ225,BR209:CU211,2,0)</f>
        <v>970</v>
      </c>
      <c r="CB225" s="3559">
        <f>HLOOKUP(BZ225,BR209:CU212,4,0)</f>
        <v>85554</v>
      </c>
      <c r="CC225" s="3559">
        <f>HLOOKUP(BZ225,BR209:CU211,3,0)</f>
        <v>204</v>
      </c>
      <c r="CE225" s="3559">
        <f>HLOOKUP(BZ225,BR209:CU217,4,0)</f>
        <v>85554</v>
      </c>
      <c r="CF225" s="3559">
        <f>HLOOKUP(BZ225,BR209:CU217,5,0)</f>
        <v>154200</v>
      </c>
      <c r="CG225" s="3559">
        <f>HLOOKUP(BZ225,BR209:CU217,6,0)</f>
        <v>17500</v>
      </c>
      <c r="CH225" s="3559">
        <f>HLOOKUP(BZ225,BR209:CU217,7,0)</f>
        <v>4000</v>
      </c>
      <c r="CI225" s="3559">
        <f>HLOOKUP(BZ225,BR209:CU217,8,0)</f>
        <v>7000</v>
      </c>
      <c r="CJ225" s="3559">
        <f>HLOOKUP(BZ225,BR209:CU217,9,0)</f>
        <v>7710</v>
      </c>
      <c r="CP225" s="2615"/>
      <c r="CQ225" s="2156"/>
      <c r="CR225" s="19"/>
      <c r="CS225" s="19"/>
      <c r="CT225" s="19"/>
      <c r="CU225" s="19"/>
      <c r="CV225" s="19"/>
      <c r="CW225" s="19"/>
    </row>
    <row r="226" spans="1:101">
      <c r="B226" s="2116"/>
      <c r="C226" s="20"/>
      <c r="D226" s="19"/>
      <c r="E226" s="20"/>
      <c r="F226" s="20"/>
      <c r="J226" s="3532" t="b">
        <f t="shared" si="127"/>
        <v>0</v>
      </c>
      <c r="K226" s="3561" t="str">
        <f t="shared" si="128"/>
        <v>Right</v>
      </c>
      <c r="L226" s="2602" t="s">
        <v>2474</v>
      </c>
      <c r="M226" s="3533">
        <f>C194</f>
        <v>1.2453130745563414</v>
      </c>
      <c r="N226" s="3533">
        <f>VLOOKUP(M226,M189:M218,1)</f>
        <v>1.2</v>
      </c>
      <c r="O226" s="3533">
        <f>VLOOKUP(N226,M189:P218,4,0)</f>
        <v>1.6</v>
      </c>
      <c r="P226" s="3564" t="str">
        <f>VLOOKUP(O226,P189:R218,3,0)</f>
        <v>90L</v>
      </c>
      <c r="Q226" s="3564">
        <f>VLOOKUP(P226,R189:U218,2,0)</f>
        <v>904</v>
      </c>
      <c r="R226" s="3549">
        <f>VLOOKUP(P226,R188:U218,4,0)</f>
        <v>27232</v>
      </c>
      <c r="S226" s="3564">
        <f>VLOOKUP(P226,R189:T218,3,0)</f>
        <v>25</v>
      </c>
      <c r="T226" s="3561" t="str">
        <f>IF(BE226=M226,IF(N226=BF226,IF(O226=BG226,IF(P226=BH226,IF(Q226=BI226,IF(R226=BJ226,IF(S226=BK226,"Right","Wrong")))))))</f>
        <v>Right</v>
      </c>
      <c r="U226" s="3535">
        <f>VLOOKUP(P226,R189:Z218,4,0)</f>
        <v>27232</v>
      </c>
      <c r="V226" s="3535">
        <f>VLOOKUP(P226,R189:Z218,5,0)</f>
        <v>23600</v>
      </c>
      <c r="W226" s="3535">
        <f>VLOOKUP(P226,R189:Z218,6,0)</f>
        <v>8500</v>
      </c>
      <c r="X226" s="3535">
        <f>VLOOKUP(P226,R189:Z218,7,0)</f>
        <v>3000</v>
      </c>
      <c r="Y226" s="3535">
        <f>VLOOKUP(P226,R189:Z218,8,0)</f>
        <v>7000</v>
      </c>
      <c r="Z226" s="3535">
        <f>VLOOKUP(P226,R189:Z218,9,0)</f>
        <v>1180</v>
      </c>
      <c r="AA226" s="3561" t="str">
        <f>IF(BM226=U226,IF(V226=BN226,IF(W226=BO226,IF(X226=BP226,IF(Y226=BQ226,IF(Z226=BR226,"Right","Wrong"))))))</f>
        <v>Right</v>
      </c>
      <c r="AE226" s="2602" t="s">
        <v>2473</v>
      </c>
      <c r="AF226" s="3567">
        <f>M225</f>
        <v>0.7475763842813713</v>
      </c>
      <c r="AG226" s="3533">
        <f>VLOOKUP(AF226,AG190:AG219,1)</f>
        <v>0.68</v>
      </c>
      <c r="AH226" s="3533">
        <f>VLOOKUP(AG226,AG190:AJ219,4,0)</f>
        <v>1</v>
      </c>
      <c r="AI226" s="3564" t="str">
        <f>VLOOKUP(AH226,AJ190:AK219,2,0)</f>
        <v>90S</v>
      </c>
      <c r="AJ226" s="3564">
        <f>VLOOKUP(AI226,AK190:AN219,2,0)</f>
        <v>913</v>
      </c>
      <c r="AK226" s="3549">
        <f>VLOOKUP(AI226,AK189:AN219,4,0)</f>
        <v>26344</v>
      </c>
      <c r="AL226" s="3564">
        <f>VLOOKUP(AI226,AK190:AM219,3,0)</f>
        <v>22</v>
      </c>
      <c r="AM226" s="53"/>
      <c r="AN226" s="3535">
        <f>VLOOKUP(AI226,AK190:AS219,4,0)</f>
        <v>26344</v>
      </c>
      <c r="AO226" s="3535">
        <f>VLOOKUP(AI226,AK190:AS219,5,0)</f>
        <v>21200</v>
      </c>
      <c r="AP226" s="3535">
        <f>VLOOKUP(AI226,AK190:AS219,6,0)</f>
        <v>8500</v>
      </c>
      <c r="AQ226" s="3535">
        <f>VLOOKUP(AI226,AK190:AS219,7,0)</f>
        <v>3000</v>
      </c>
      <c r="AR226" s="3535">
        <f>VLOOKUP(AI226,AK190:AS219,8,0)</f>
        <v>7000</v>
      </c>
      <c r="AS226" s="3535">
        <f>VLOOKUP(AI226,AK190:AS219,9,0)</f>
        <v>1060</v>
      </c>
      <c r="AZ226" s="2618"/>
      <c r="BD226" s="2602" t="s">
        <v>2474</v>
      </c>
      <c r="BE226" s="3569">
        <f>M226</f>
        <v>1.2453130745563414</v>
      </c>
      <c r="BF226" s="3559">
        <f>HLOOKUP(BE226,BE188:CH188,1)</f>
        <v>1.2</v>
      </c>
      <c r="BG226" s="3559">
        <f>HLOOKUP(BF226,BE188:CH191,4,0)</f>
        <v>1.6</v>
      </c>
      <c r="BH226" s="3559" t="str">
        <f>HLOOKUP(BG226,BE191:CH193,3,0)</f>
        <v>90L</v>
      </c>
      <c r="BI226" s="3559">
        <f>HLOOKUP(BH226,BE193:CH195,2,0)</f>
        <v>904</v>
      </c>
      <c r="BJ226" s="3559">
        <f>HLOOKUP(BH226,BE193:CH196,4,0)</f>
        <v>27232</v>
      </c>
      <c r="BK226" s="3559">
        <f>HLOOKUP(BH226,BE193:CH195,3,0)</f>
        <v>25</v>
      </c>
      <c r="BM226" s="3559">
        <f>HLOOKUP(BH226,BE193:CH201,4,0)</f>
        <v>27232</v>
      </c>
      <c r="BN226" s="3559">
        <f>HLOOKUP(BH226,BE193:CH201,5,0)</f>
        <v>23600</v>
      </c>
      <c r="BO226" s="3559">
        <f>HLOOKUP(BH226,BE193:CH201,6,0)</f>
        <v>8500</v>
      </c>
      <c r="BP226" s="3559">
        <f>HLOOKUP(BH226,BE193:CH201,7,0)</f>
        <v>3000</v>
      </c>
      <c r="BQ226" s="3559">
        <f>HLOOKUP(BH226,BE193:CH201,8,0)</f>
        <v>7000</v>
      </c>
      <c r="BR226" s="3559">
        <f>HLOOKUP(BH226,BE193:CH201,9,0)</f>
        <v>1180</v>
      </c>
      <c r="BV226" s="2602" t="s">
        <v>2473</v>
      </c>
      <c r="BW226" s="3569">
        <f t="shared" si="129"/>
        <v>0.7475763842813713</v>
      </c>
      <c r="BX226" s="3559">
        <f>HLOOKUP(BW226,BR205:CU205,1)</f>
        <v>0.68</v>
      </c>
      <c r="BY226" s="3559">
        <f>HLOOKUP(BX226,BR205:CU208,4,0)</f>
        <v>1</v>
      </c>
      <c r="BZ226" s="3559" t="str">
        <f>HLOOKUP(BY226,BR208:CU209,2,0)</f>
        <v>90S</v>
      </c>
      <c r="CA226" s="3559">
        <f>HLOOKUP(BZ226,BR209:CU211,2,0)</f>
        <v>913</v>
      </c>
      <c r="CB226" s="3559">
        <f>HLOOKUP(BZ226,BR209:CU212,4,0)</f>
        <v>26344</v>
      </c>
      <c r="CC226" s="3559">
        <f>HLOOKUP(BZ226,BR209:CU211,3,0)</f>
        <v>22</v>
      </c>
      <c r="CE226" s="3559">
        <f>HLOOKUP(BZ226,BR209:CU217,4,0)</f>
        <v>26344</v>
      </c>
      <c r="CF226" s="3559">
        <f>HLOOKUP(BZ226,BR209:CU217,5,0)</f>
        <v>21200</v>
      </c>
      <c r="CG226" s="3559">
        <f>HLOOKUP(BZ226,BR209:CU217,6,0)</f>
        <v>8500</v>
      </c>
      <c r="CH226" s="3559">
        <f>HLOOKUP(BZ226,BR209:CU217,7,0)</f>
        <v>3000</v>
      </c>
      <c r="CI226" s="3559">
        <f>HLOOKUP(BZ226,BR209:CU217,8,0)</f>
        <v>7000</v>
      </c>
      <c r="CJ226" s="3559">
        <f>HLOOKUP(BZ226,BR209:CU217,9,0)</f>
        <v>1060</v>
      </c>
    </row>
    <row r="227" spans="1:101">
      <c r="B227" s="2118"/>
      <c r="C227" s="383"/>
      <c r="L227" s="53"/>
      <c r="M227" s="53"/>
      <c r="N227" s="53"/>
      <c r="O227" s="53"/>
      <c r="P227" s="53"/>
      <c r="Q227" s="53"/>
      <c r="R227" s="1731"/>
      <c r="S227" s="53"/>
      <c r="U227" s="20"/>
      <c r="V227" s="20"/>
      <c r="W227" s="20"/>
      <c r="X227" s="20"/>
      <c r="Y227" s="20"/>
      <c r="Z227" s="20"/>
      <c r="AE227" s="2602" t="s">
        <v>2474</v>
      </c>
      <c r="AF227" s="3567">
        <f>M226</f>
        <v>1.2453130745563414</v>
      </c>
      <c r="AG227" s="3533">
        <f>VLOOKUP(AF227,AG190:AG219,1)</f>
        <v>1</v>
      </c>
      <c r="AH227" s="3533">
        <f>VLOOKUP(AG227,AG190:AJ219,4,0)</f>
        <v>1.4</v>
      </c>
      <c r="AI227" s="3564" t="str">
        <f>VLOOKUP(AH227,AJ190:AK219,2,0)</f>
        <v>90L</v>
      </c>
      <c r="AJ227" s="3564">
        <f>VLOOKUP(AI227,AK190:AN219,2,0)</f>
        <v>901</v>
      </c>
      <c r="AK227" s="3549">
        <f>VLOOKUP(AI227,AK189:AN219,4,0)</f>
        <v>27232</v>
      </c>
      <c r="AL227" s="3564">
        <f>VLOOKUP(AI227,AK190:AM219,3,0)</f>
        <v>25</v>
      </c>
      <c r="AM227" s="53"/>
      <c r="AN227" s="3535">
        <f>VLOOKUP(AI227,AK190:AS219,4,0)</f>
        <v>27232</v>
      </c>
      <c r="AO227" s="3535">
        <f>VLOOKUP(AI227,AK190:AS219,5,0)</f>
        <v>23600</v>
      </c>
      <c r="AP227" s="3535">
        <f>VLOOKUP(AI227,AK190:AS219,6,0)</f>
        <v>8500</v>
      </c>
      <c r="AQ227" s="3535">
        <f>VLOOKUP(AI227,AK190:AS219,7,0)</f>
        <v>3000</v>
      </c>
      <c r="AR227" s="3535">
        <f>VLOOKUP(AI227,AK190:AS219,8,0)</f>
        <v>7000</v>
      </c>
      <c r="AS227" s="3535">
        <f>VLOOKUP(AI227,AK190:AS219,9,0)</f>
        <v>1180</v>
      </c>
      <c r="AZ227" s="2618"/>
      <c r="BV227" s="2602" t="s">
        <v>2474</v>
      </c>
      <c r="BW227" s="3569">
        <f t="shared" si="129"/>
        <v>1.2453130745563414</v>
      </c>
      <c r="BX227" s="3559">
        <f>HLOOKUP(BW227,BR205:CU205,1)</f>
        <v>1</v>
      </c>
      <c r="BY227" s="3559">
        <f>HLOOKUP(BX227,BR205:CU208,4,0)</f>
        <v>1.4</v>
      </c>
      <c r="BZ227" s="3559" t="str">
        <f>HLOOKUP(BY227,BR208:CU209,2,0)</f>
        <v>90L</v>
      </c>
      <c r="CA227" s="3559">
        <f>HLOOKUP(BZ227,BR209:CU211,2,0)</f>
        <v>901</v>
      </c>
      <c r="CB227" s="3559">
        <f>HLOOKUP(BZ227,BR209:CU212,4,0)</f>
        <v>27232</v>
      </c>
      <c r="CC227" s="3559">
        <f>HLOOKUP(BZ227,BR209:CU211,3,0)</f>
        <v>25</v>
      </c>
      <c r="CE227" s="3559">
        <f>HLOOKUP(BZ227,BR209:CU217,4,0)</f>
        <v>27232</v>
      </c>
      <c r="CF227" s="3559">
        <f>HLOOKUP(BZ227,BR209:CU217,5,0)</f>
        <v>23600</v>
      </c>
      <c r="CG227" s="3559">
        <f>HLOOKUP(BZ227,BR209:CU217,6,0)</f>
        <v>8500</v>
      </c>
      <c r="CH227" s="3559">
        <f>HLOOKUP(BZ227,BR209:CU217,7,0)</f>
        <v>3000</v>
      </c>
      <c r="CI227" s="3559">
        <f>HLOOKUP(BZ227,BR209:CU217,8,0)</f>
        <v>7000</v>
      </c>
      <c r="CJ227" s="3559">
        <f>HLOOKUP(BZ227,BR209:CU217,9,0)</f>
        <v>1180</v>
      </c>
    </row>
    <row r="228" spans="1:101">
      <c r="B228" s="2118"/>
      <c r="C228" s="383"/>
      <c r="L228" s="2158">
        <v>0.6</v>
      </c>
      <c r="M228" s="53"/>
      <c r="N228" s="53"/>
      <c r="O228" s="53"/>
      <c r="P228" s="53"/>
      <c r="Q228" s="53"/>
      <c r="R228" s="1731"/>
      <c r="S228" s="53"/>
      <c r="U228" s="20"/>
      <c r="V228" s="20"/>
      <c r="W228" s="20"/>
      <c r="X228" s="20"/>
      <c r="Y228" s="20"/>
      <c r="Z228" s="20"/>
      <c r="AZ228" s="2618"/>
      <c r="BD228" s="2158">
        <v>0.6</v>
      </c>
      <c r="BE228" s="53"/>
      <c r="BF228" s="53"/>
      <c r="BG228" s="53"/>
      <c r="BH228" s="53"/>
      <c r="BK228" s="53"/>
    </row>
    <row r="229" spans="1:101">
      <c r="B229" s="2119"/>
      <c r="C229" s="383"/>
      <c r="K229" s="3563" t="str">
        <f>IF(K230="Right",IF(K231="Right",IF(K232="Right",IF(K233="Right","Right","Wrong"))))</f>
        <v>Right</v>
      </c>
      <c r="L229" s="2159" t="s">
        <v>1710</v>
      </c>
      <c r="M229" s="2602" t="s">
        <v>2494</v>
      </c>
      <c r="N229" s="2602" t="s">
        <v>2495</v>
      </c>
      <c r="O229" s="2602" t="s">
        <v>2496</v>
      </c>
      <c r="P229" s="29" t="s">
        <v>119</v>
      </c>
      <c r="Q229" s="179" t="s">
        <v>121</v>
      </c>
      <c r="R229" s="1846" t="s">
        <v>274</v>
      </c>
      <c r="S229" s="145" t="s">
        <v>2497</v>
      </c>
      <c r="U229" s="29" t="s">
        <v>112</v>
      </c>
      <c r="V229" s="29" t="s">
        <v>113</v>
      </c>
      <c r="W229" s="29" t="s">
        <v>114</v>
      </c>
      <c r="X229" s="29" t="s">
        <v>115</v>
      </c>
      <c r="Y229" s="29" t="s">
        <v>116</v>
      </c>
      <c r="Z229" s="29" t="s">
        <v>117</v>
      </c>
      <c r="AZ229" s="2618"/>
      <c r="BD229" s="2159" t="s">
        <v>1710</v>
      </c>
      <c r="BE229" s="2602" t="s">
        <v>2494</v>
      </c>
      <c r="BF229" s="2602" t="s">
        <v>2495</v>
      </c>
      <c r="BG229" s="2602" t="s">
        <v>2496</v>
      </c>
      <c r="BH229" s="29" t="s">
        <v>119</v>
      </c>
      <c r="BI229" s="179" t="s">
        <v>121</v>
      </c>
      <c r="BJ229" s="179" t="s">
        <v>274</v>
      </c>
      <c r="BK229" s="145" t="s">
        <v>2497</v>
      </c>
      <c r="BM229" s="29" t="s">
        <v>112</v>
      </c>
      <c r="BN229" s="29" t="s">
        <v>113</v>
      </c>
      <c r="BO229" s="29" t="s">
        <v>114</v>
      </c>
      <c r="BP229" s="29" t="s">
        <v>115</v>
      </c>
      <c r="BQ229" s="29" t="s">
        <v>116</v>
      </c>
      <c r="BR229" s="29" t="s">
        <v>117</v>
      </c>
    </row>
    <row r="230" spans="1:101">
      <c r="B230" s="2119"/>
      <c r="C230" s="383"/>
      <c r="K230" s="3561" t="str">
        <f t="shared" si="128"/>
        <v>Right</v>
      </c>
      <c r="L230" s="2602" t="s">
        <v>2471</v>
      </c>
      <c r="M230" s="3567">
        <f t="shared" ref="M230:S233" si="130">AF224</f>
        <v>14.931600768800502</v>
      </c>
      <c r="N230" s="3567">
        <f t="shared" si="130"/>
        <v>12</v>
      </c>
      <c r="O230" s="3567">
        <f t="shared" si="130"/>
        <v>15</v>
      </c>
      <c r="P230" s="3567" t="str">
        <f t="shared" si="130"/>
        <v>180L</v>
      </c>
      <c r="Q230" s="3567">
        <f t="shared" si="130"/>
        <v>970</v>
      </c>
      <c r="R230" s="3549">
        <f t="shared" si="130"/>
        <v>85554</v>
      </c>
      <c r="S230" s="3549">
        <f t="shared" si="130"/>
        <v>204</v>
      </c>
      <c r="T230" s="3561" t="str">
        <f>IF(BE230=M230,IF(N230=BF230,IF(O230=BG230,IF(P230=BH230,IF(Q230=BI230,IF(R230=BJ230,IF(S230=BK230,"Right","Wrong")))))))</f>
        <v>Right</v>
      </c>
      <c r="U230" s="3535">
        <f t="shared" ref="U230:Z233" si="131">AN224</f>
        <v>85554</v>
      </c>
      <c r="V230" s="3535">
        <f t="shared" si="131"/>
        <v>154200</v>
      </c>
      <c r="W230" s="3535">
        <f t="shared" si="131"/>
        <v>17500</v>
      </c>
      <c r="X230" s="3535">
        <f t="shared" si="131"/>
        <v>4000</v>
      </c>
      <c r="Y230" s="3535">
        <f t="shared" si="131"/>
        <v>7000</v>
      </c>
      <c r="Z230" s="3535">
        <f t="shared" si="131"/>
        <v>7710</v>
      </c>
      <c r="AA230" s="3561" t="str">
        <f>IF(BM230=U230,IF(V230=BN230,IF(W230=BO230,IF(X230=BP230,IF(Y230=BQ230,IF(Z230=BR230,"Right","Wrong"))))))</f>
        <v>Right</v>
      </c>
      <c r="AZ230" s="2618"/>
      <c r="BD230" s="2602" t="s">
        <v>2471</v>
      </c>
      <c r="BE230" s="3569">
        <f>BW224</f>
        <v>14.931600768800502</v>
      </c>
      <c r="BF230" s="3569">
        <f t="shared" ref="BF230:BF233" si="132">BX224</f>
        <v>12</v>
      </c>
      <c r="BG230" s="3569">
        <f t="shared" ref="BG230:BG233" si="133">BY224</f>
        <v>15</v>
      </c>
      <c r="BH230" s="3569" t="str">
        <f t="shared" ref="BH230:BH233" si="134">BZ224</f>
        <v>180L</v>
      </c>
      <c r="BI230" s="3569">
        <f t="shared" ref="BI230:BI233" si="135">CA224</f>
        <v>970</v>
      </c>
      <c r="BJ230" s="3569">
        <f t="shared" ref="BJ230:BJ233" si="136">CB224</f>
        <v>85554</v>
      </c>
      <c r="BK230" s="3569">
        <f t="shared" ref="BK230:BK233" si="137">CC224</f>
        <v>204</v>
      </c>
      <c r="BM230" s="3559">
        <f>CE224</f>
        <v>85554</v>
      </c>
      <c r="BN230" s="3559">
        <f t="shared" ref="BN230:BN233" si="138">CF224</f>
        <v>154200</v>
      </c>
      <c r="BO230" s="3559">
        <f t="shared" ref="BO230:BO233" si="139">CG224</f>
        <v>17500</v>
      </c>
      <c r="BP230" s="3559">
        <f t="shared" ref="BP230:BP233" si="140">CH224</f>
        <v>4000</v>
      </c>
      <c r="BQ230" s="3559">
        <f t="shared" ref="BQ230:BQ233" si="141">CI224</f>
        <v>7000</v>
      </c>
      <c r="BR230" s="3559">
        <f t="shared" ref="BR230:BR233" si="142">CJ224</f>
        <v>7710</v>
      </c>
    </row>
    <row r="231" spans="1:101">
      <c r="B231" s="2119"/>
      <c r="C231" s="383"/>
      <c r="J231" s="19"/>
      <c r="K231" s="3561" t="str">
        <f t="shared" si="128"/>
        <v>Right</v>
      </c>
      <c r="L231" s="2602" t="s">
        <v>2472</v>
      </c>
      <c r="M231" s="3567">
        <f t="shared" si="130"/>
        <v>14.970777992527008</v>
      </c>
      <c r="N231" s="3567">
        <f t="shared" si="130"/>
        <v>12</v>
      </c>
      <c r="O231" s="3567">
        <f t="shared" si="130"/>
        <v>15</v>
      </c>
      <c r="P231" s="3567" t="str">
        <f t="shared" si="130"/>
        <v>180L</v>
      </c>
      <c r="Q231" s="3567">
        <f t="shared" si="130"/>
        <v>970</v>
      </c>
      <c r="R231" s="3549">
        <f t="shared" si="130"/>
        <v>85554</v>
      </c>
      <c r="S231" s="3549">
        <f t="shared" si="130"/>
        <v>204</v>
      </c>
      <c r="T231" s="3561" t="str">
        <f>IF(BE231=M231,IF(N231=BF231,IF(O231=BG231,IF(P231=BH231,IF(Q231=BI231,IF(R231=BJ231,IF(S231=BK231,"Right","Wrong")))))))</f>
        <v>Right</v>
      </c>
      <c r="U231" s="3535">
        <f t="shared" si="131"/>
        <v>85554</v>
      </c>
      <c r="V231" s="3535">
        <f t="shared" si="131"/>
        <v>154200</v>
      </c>
      <c r="W231" s="3535">
        <f t="shared" si="131"/>
        <v>17500</v>
      </c>
      <c r="X231" s="3535">
        <f t="shared" si="131"/>
        <v>4000</v>
      </c>
      <c r="Y231" s="3535">
        <f t="shared" si="131"/>
        <v>7000</v>
      </c>
      <c r="Z231" s="3535">
        <f t="shared" si="131"/>
        <v>7710</v>
      </c>
      <c r="AA231" s="3561" t="str">
        <f>IF(BM231=U231,IF(V231=BN231,IF(W231=BO231,IF(X231=BP231,IF(Y231=BQ231,IF(Z231=BR231,"Right","Wrong"))))))</f>
        <v>Right</v>
      </c>
      <c r="AZ231" s="2618"/>
      <c r="BD231" s="2602" t="s">
        <v>2472</v>
      </c>
      <c r="BE231" s="3569">
        <f t="shared" ref="BE231:BE233" si="143">BW225</f>
        <v>14.970777992527008</v>
      </c>
      <c r="BF231" s="3569">
        <f t="shared" si="132"/>
        <v>12</v>
      </c>
      <c r="BG231" s="3569">
        <f t="shared" si="133"/>
        <v>15</v>
      </c>
      <c r="BH231" s="3569" t="str">
        <f t="shared" si="134"/>
        <v>180L</v>
      </c>
      <c r="BI231" s="3569">
        <f t="shared" si="135"/>
        <v>970</v>
      </c>
      <c r="BJ231" s="3569">
        <f t="shared" si="136"/>
        <v>85554</v>
      </c>
      <c r="BK231" s="3569">
        <f t="shared" si="137"/>
        <v>204</v>
      </c>
      <c r="BM231" s="3559">
        <f t="shared" ref="BM231:BM233" si="144">CE225</f>
        <v>85554</v>
      </c>
      <c r="BN231" s="3559">
        <f t="shared" si="138"/>
        <v>154200</v>
      </c>
      <c r="BO231" s="3559">
        <f t="shared" si="139"/>
        <v>17500</v>
      </c>
      <c r="BP231" s="3559">
        <f t="shared" si="140"/>
        <v>4000</v>
      </c>
      <c r="BQ231" s="3559">
        <f t="shared" si="141"/>
        <v>7000</v>
      </c>
      <c r="BR231" s="3559">
        <f t="shared" si="142"/>
        <v>7710</v>
      </c>
    </row>
    <row r="232" spans="1:101">
      <c r="K232" s="3561" t="str">
        <f t="shared" si="128"/>
        <v>Right</v>
      </c>
      <c r="L232" s="2602" t="s">
        <v>2473</v>
      </c>
      <c r="M232" s="3567">
        <f t="shared" si="130"/>
        <v>0.7475763842813713</v>
      </c>
      <c r="N232" s="3567">
        <f t="shared" si="130"/>
        <v>0.68</v>
      </c>
      <c r="O232" s="3567">
        <f t="shared" si="130"/>
        <v>1</v>
      </c>
      <c r="P232" s="3567" t="str">
        <f t="shared" si="130"/>
        <v>90S</v>
      </c>
      <c r="Q232" s="3567">
        <f t="shared" si="130"/>
        <v>913</v>
      </c>
      <c r="R232" s="3549">
        <f t="shared" si="130"/>
        <v>26344</v>
      </c>
      <c r="S232" s="3549">
        <f t="shared" si="130"/>
        <v>22</v>
      </c>
      <c r="T232" s="3561" t="str">
        <f>IF(BE232=M232,IF(N232=BF232,IF(O232=BG232,IF(P232=BH232,IF(Q232=BI232,IF(R232=BJ232,IF(S232=BK232,"Right","Wrong")))))))</f>
        <v>Right</v>
      </c>
      <c r="U232" s="3535">
        <f t="shared" si="131"/>
        <v>26344</v>
      </c>
      <c r="V232" s="3535">
        <f t="shared" si="131"/>
        <v>21200</v>
      </c>
      <c r="W232" s="3535">
        <f t="shared" si="131"/>
        <v>8500</v>
      </c>
      <c r="X232" s="3535">
        <f t="shared" si="131"/>
        <v>3000</v>
      </c>
      <c r="Y232" s="3535">
        <f t="shared" si="131"/>
        <v>7000</v>
      </c>
      <c r="Z232" s="3535">
        <f t="shared" si="131"/>
        <v>1060</v>
      </c>
      <c r="AA232" s="3561" t="str">
        <f>IF(BM232=U232,IF(V232=BN232,IF(W232=BO232,IF(X232=BP232,IF(Y232=BQ232,IF(Z232=BR232,"Right","Wrong"))))))</f>
        <v>Right</v>
      </c>
      <c r="AZ232" s="2618"/>
      <c r="BD232" s="2602" t="s">
        <v>2473</v>
      </c>
      <c r="BE232" s="3569">
        <f t="shared" si="143"/>
        <v>0.7475763842813713</v>
      </c>
      <c r="BF232" s="3569">
        <f t="shared" si="132"/>
        <v>0.68</v>
      </c>
      <c r="BG232" s="3569">
        <f t="shared" si="133"/>
        <v>1</v>
      </c>
      <c r="BH232" s="3569" t="str">
        <f t="shared" si="134"/>
        <v>90S</v>
      </c>
      <c r="BI232" s="3569">
        <f t="shared" si="135"/>
        <v>913</v>
      </c>
      <c r="BJ232" s="3569">
        <f t="shared" si="136"/>
        <v>26344</v>
      </c>
      <c r="BK232" s="3569">
        <f t="shared" si="137"/>
        <v>22</v>
      </c>
      <c r="BM232" s="3559">
        <f t="shared" si="144"/>
        <v>26344</v>
      </c>
      <c r="BN232" s="3559">
        <f t="shared" si="138"/>
        <v>21200</v>
      </c>
      <c r="BO232" s="3559">
        <f t="shared" si="139"/>
        <v>8500</v>
      </c>
      <c r="BP232" s="3559">
        <f t="shared" si="140"/>
        <v>3000</v>
      </c>
      <c r="BQ232" s="3559">
        <f t="shared" si="141"/>
        <v>7000</v>
      </c>
      <c r="BR232" s="3559">
        <f t="shared" si="142"/>
        <v>1060</v>
      </c>
    </row>
    <row r="233" spans="1:101">
      <c r="K233" s="3561" t="str">
        <f t="shared" si="128"/>
        <v>Right</v>
      </c>
      <c r="L233" s="2602" t="s">
        <v>2474</v>
      </c>
      <c r="M233" s="3567">
        <f t="shared" si="130"/>
        <v>1.2453130745563414</v>
      </c>
      <c r="N233" s="3567">
        <f t="shared" si="130"/>
        <v>1</v>
      </c>
      <c r="O233" s="3567">
        <f t="shared" si="130"/>
        <v>1.4</v>
      </c>
      <c r="P233" s="3567" t="str">
        <f t="shared" si="130"/>
        <v>90L</v>
      </c>
      <c r="Q233" s="3567">
        <f t="shared" si="130"/>
        <v>901</v>
      </c>
      <c r="R233" s="3549">
        <f t="shared" si="130"/>
        <v>27232</v>
      </c>
      <c r="S233" s="3549">
        <f t="shared" si="130"/>
        <v>25</v>
      </c>
      <c r="T233" s="3561" t="str">
        <f>IF(BE233=M233,IF(N233=BF233,IF(O233=BG233,IF(P233=BH233,IF(Q233=BI233,IF(R233=BJ233,IF(S233=BK233,"Right","Wrong")))))))</f>
        <v>Right</v>
      </c>
      <c r="U233" s="3535">
        <f t="shared" si="131"/>
        <v>27232</v>
      </c>
      <c r="V233" s="3535">
        <f t="shared" si="131"/>
        <v>23600</v>
      </c>
      <c r="W233" s="3535">
        <f t="shared" si="131"/>
        <v>8500</v>
      </c>
      <c r="X233" s="3535">
        <f t="shared" si="131"/>
        <v>3000</v>
      </c>
      <c r="Y233" s="3535">
        <f t="shared" si="131"/>
        <v>7000</v>
      </c>
      <c r="Z233" s="3535">
        <f t="shared" si="131"/>
        <v>1180</v>
      </c>
      <c r="AA233" s="3561" t="str">
        <f>IF(BM233=U233,IF(V233=BN233,IF(W233=BO233,IF(X233=BP233,IF(Y233=BQ233,IF(Z233=BR233,"Right","Wrong"))))))</f>
        <v>Right</v>
      </c>
      <c r="AZ233" s="2618"/>
      <c r="BD233" s="2602" t="s">
        <v>2474</v>
      </c>
      <c r="BE233" s="3569">
        <f t="shared" si="143"/>
        <v>1.2453130745563414</v>
      </c>
      <c r="BF233" s="3569">
        <f t="shared" si="132"/>
        <v>1</v>
      </c>
      <c r="BG233" s="3569">
        <f t="shared" si="133"/>
        <v>1.4</v>
      </c>
      <c r="BH233" s="3569" t="str">
        <f t="shared" si="134"/>
        <v>90L</v>
      </c>
      <c r="BI233" s="3569">
        <f t="shared" si="135"/>
        <v>901</v>
      </c>
      <c r="BJ233" s="3569">
        <f t="shared" si="136"/>
        <v>27232</v>
      </c>
      <c r="BK233" s="3569">
        <f t="shared" si="137"/>
        <v>25</v>
      </c>
      <c r="BM233" s="3559">
        <f t="shared" si="144"/>
        <v>27232</v>
      </c>
      <c r="BN233" s="3559">
        <f t="shared" si="138"/>
        <v>23600</v>
      </c>
      <c r="BO233" s="3559">
        <f t="shared" si="139"/>
        <v>8500</v>
      </c>
      <c r="BP233" s="3559">
        <f t="shared" si="140"/>
        <v>3000</v>
      </c>
      <c r="BQ233" s="3559">
        <f t="shared" si="141"/>
        <v>7000</v>
      </c>
      <c r="BR233" s="3559">
        <f t="shared" si="142"/>
        <v>1180</v>
      </c>
    </row>
    <row r="234" spans="1:101">
      <c r="L234" s="53"/>
      <c r="M234" s="53"/>
      <c r="N234" s="53"/>
      <c r="O234" s="53"/>
      <c r="P234" s="53"/>
      <c r="Q234" s="53"/>
      <c r="R234" s="53"/>
      <c r="S234" s="53"/>
      <c r="T234" s="53"/>
      <c r="AZ234" s="2618"/>
    </row>
    <row r="235" spans="1:101">
      <c r="AZ235" s="2618"/>
    </row>
    <row r="236" spans="1:101">
      <c r="AZ236" s="2618"/>
    </row>
    <row r="237" spans="1:101">
      <c r="AZ237" s="2618"/>
    </row>
    <row r="238" spans="1:101">
      <c r="AZ238" s="2618"/>
    </row>
    <row r="239" spans="1:101">
      <c r="A239" s="2142"/>
      <c r="B239" s="2142"/>
      <c r="C239" s="2142"/>
      <c r="D239" s="2142"/>
      <c r="E239" s="2142"/>
      <c r="F239" s="2142"/>
      <c r="G239" s="2142"/>
      <c r="H239" s="2142"/>
      <c r="I239" s="2142"/>
      <c r="J239" s="2142"/>
      <c r="K239" s="2142"/>
      <c r="L239" s="2142"/>
      <c r="M239" s="2142"/>
      <c r="N239" s="2142"/>
      <c r="O239" s="2142"/>
      <c r="P239" s="2142"/>
      <c r="Q239" s="2142"/>
      <c r="R239" s="2142"/>
      <c r="S239" s="2142"/>
      <c r="T239" s="2142"/>
      <c r="U239" s="2142"/>
      <c r="V239" s="2142"/>
      <c r="W239" s="2142"/>
      <c r="X239" s="2142"/>
      <c r="Y239" s="2142"/>
      <c r="Z239" s="2142"/>
      <c r="AA239" s="2142"/>
      <c r="AB239" s="2142"/>
      <c r="AC239" s="2142"/>
      <c r="AD239" s="2142"/>
      <c r="AE239" s="2142"/>
      <c r="AF239" s="2142"/>
      <c r="AG239" s="2142"/>
      <c r="AH239" s="2142"/>
      <c r="AI239" s="2142"/>
      <c r="AJ239" s="2142"/>
      <c r="AK239" s="2142"/>
      <c r="AL239" s="2142"/>
      <c r="AM239" s="2142"/>
      <c r="AN239" s="2142"/>
      <c r="AO239" s="2142"/>
      <c r="AP239" s="2142"/>
      <c r="AQ239" s="2142"/>
      <c r="AR239" s="2142"/>
      <c r="AS239" s="2142"/>
      <c r="AT239" s="2142"/>
      <c r="AU239" s="2142"/>
      <c r="AV239" s="2142"/>
      <c r="AW239" s="2142"/>
      <c r="AX239" s="2142"/>
      <c r="AY239" s="2142"/>
      <c r="AZ239" s="2618"/>
      <c r="BA239" s="2142"/>
      <c r="BB239" s="2142"/>
      <c r="BC239" s="2142"/>
      <c r="BD239" s="2142"/>
      <c r="BE239" s="2142"/>
      <c r="BF239" s="2142"/>
      <c r="BG239" s="2142"/>
      <c r="BH239" s="2142"/>
      <c r="BI239" s="2142"/>
      <c r="BJ239" s="2142"/>
      <c r="BK239" s="2142"/>
      <c r="BL239" s="2142"/>
      <c r="BM239" s="2142"/>
      <c r="BN239" s="2142"/>
      <c r="BO239" s="2142"/>
      <c r="BP239" s="2142"/>
      <c r="BQ239" s="2142"/>
      <c r="BR239" s="2142"/>
      <c r="BS239" s="2142"/>
      <c r="BT239" s="2142"/>
      <c r="BU239" s="2142"/>
      <c r="BV239" s="2142"/>
      <c r="BW239" s="2142"/>
      <c r="BX239" s="2142"/>
      <c r="BY239" s="2142"/>
      <c r="BZ239" s="2142"/>
      <c r="CA239" s="2142"/>
      <c r="CB239" s="2142"/>
      <c r="CC239" s="2142"/>
    </row>
    <row r="240" spans="1:101">
      <c r="AZ240" s="2618"/>
    </row>
    <row r="241" spans="1:86">
      <c r="AZ241" s="2618"/>
    </row>
    <row r="242" spans="1:86">
      <c r="F242" s="2624"/>
      <c r="AZ242" s="2618"/>
    </row>
    <row r="243" spans="1:86">
      <c r="N243" s="2620" t="s">
        <v>2505</v>
      </c>
      <c r="O243" s="2620"/>
      <c r="P243" s="2620"/>
      <c r="S243" s="31"/>
      <c r="AZ243" s="2618"/>
    </row>
    <row r="244" spans="1:86">
      <c r="D244" s="2150" t="s">
        <v>2510</v>
      </c>
      <c r="E244" s="2619"/>
      <c r="M244" s="29" t="s">
        <v>2500</v>
      </c>
      <c r="N244" s="29" t="s">
        <v>2501</v>
      </c>
      <c r="O244" s="29" t="s">
        <v>119</v>
      </c>
      <c r="P244" s="427" t="s">
        <v>120</v>
      </c>
      <c r="Q244" s="427" t="s">
        <v>2498</v>
      </c>
      <c r="R244" s="3559" t="str">
        <f t="shared" ref="R244:R268" si="145">+O244</f>
        <v>Frame S</v>
      </c>
      <c r="S244" s="29" t="s">
        <v>121</v>
      </c>
      <c r="T244" s="29" t="s">
        <v>111</v>
      </c>
      <c r="U244" s="29" t="s">
        <v>112</v>
      </c>
      <c r="V244" s="29" t="s">
        <v>113</v>
      </c>
      <c r="W244" s="29" t="s">
        <v>114</v>
      </c>
      <c r="X244" s="29" t="s">
        <v>115</v>
      </c>
      <c r="Y244" s="29" t="s">
        <v>116</v>
      </c>
      <c r="Z244" s="29" t="s">
        <v>117</v>
      </c>
      <c r="AB244" s="2165"/>
      <c r="AC244" s="2165"/>
      <c r="AG244" s="2620" t="s">
        <v>2505</v>
      </c>
      <c r="AH244" s="2620"/>
      <c r="AI244" s="2620"/>
      <c r="AL244" s="31"/>
      <c r="AZ244" s="2618"/>
      <c r="BD244" s="29" t="s">
        <v>2500</v>
      </c>
      <c r="BE244" s="29">
        <v>0</v>
      </c>
      <c r="BF244" s="311">
        <v>0.44</v>
      </c>
      <c r="BG244" s="311">
        <v>0.71</v>
      </c>
      <c r="BH244" s="311">
        <v>1.1000000000000001</v>
      </c>
      <c r="BI244" s="311">
        <v>1.4</v>
      </c>
      <c r="BJ244" s="311">
        <v>1.7</v>
      </c>
      <c r="BK244" s="311">
        <v>2.5</v>
      </c>
      <c r="BL244" s="311">
        <v>4.4000000000000004</v>
      </c>
      <c r="BM244" s="311">
        <v>6.3</v>
      </c>
      <c r="BN244" s="311">
        <v>8.6</v>
      </c>
      <c r="BO244" s="311">
        <v>13</v>
      </c>
      <c r="BP244" s="311">
        <v>15</v>
      </c>
      <c r="BQ244" s="311">
        <v>23</v>
      </c>
      <c r="BR244" s="311">
        <v>25</v>
      </c>
      <c r="BS244" s="311">
        <v>34</v>
      </c>
      <c r="BT244" s="311">
        <v>41</v>
      </c>
      <c r="BU244" s="311">
        <v>54</v>
      </c>
      <c r="BV244" s="311">
        <v>63</v>
      </c>
      <c r="BW244" s="311">
        <v>86</v>
      </c>
      <c r="BX244" s="311">
        <v>103</v>
      </c>
      <c r="BY244" s="311">
        <v>121</v>
      </c>
      <c r="BZ244" s="311">
        <v>139</v>
      </c>
      <c r="CA244" s="311">
        <v>192</v>
      </c>
      <c r="CB244" s="311">
        <v>200</v>
      </c>
      <c r="CC244" s="311"/>
      <c r="CD244" s="311"/>
      <c r="CE244" s="311"/>
      <c r="CF244" s="311"/>
      <c r="CG244" s="311"/>
      <c r="CH244" s="311"/>
    </row>
    <row r="245" spans="1:86">
      <c r="B245" s="2128"/>
      <c r="E245" s="80"/>
      <c r="F245" s="1939"/>
      <c r="G245" s="22" t="s">
        <v>2502</v>
      </c>
      <c r="H245" s="3558">
        <f>+J50</f>
        <v>0.68</v>
      </c>
      <c r="I245" s="17"/>
      <c r="M245" s="29">
        <v>0</v>
      </c>
      <c r="N245" s="29"/>
      <c r="O245" s="145" t="s">
        <v>126</v>
      </c>
      <c r="P245" s="145">
        <v>0.44</v>
      </c>
      <c r="Q245" s="311"/>
      <c r="R245" s="3559" t="str">
        <f t="shared" si="145"/>
        <v>80 (1)</v>
      </c>
      <c r="S245" s="145">
        <v>914</v>
      </c>
      <c r="T245" s="311">
        <v>17</v>
      </c>
      <c r="U245" s="3555">
        <f>(V245*(1-H245))+W245+X245+Y245+Z245</f>
        <v>24827</v>
      </c>
      <c r="V245" s="416">
        <v>17100</v>
      </c>
      <c r="W245" s="416">
        <v>8500</v>
      </c>
      <c r="X245" s="416">
        <v>3000</v>
      </c>
      <c r="Y245" s="416">
        <v>7000</v>
      </c>
      <c r="Z245" s="3562">
        <f t="shared" ref="Z245:Z268" si="146">V245*5%</f>
        <v>855</v>
      </c>
      <c r="AB245" s="53"/>
      <c r="AC245" s="53"/>
      <c r="AF245" s="29" t="s">
        <v>2500</v>
      </c>
      <c r="AG245" s="29" t="s">
        <v>2501</v>
      </c>
      <c r="AH245" s="29" t="s">
        <v>119</v>
      </c>
      <c r="AI245" s="427" t="s">
        <v>120</v>
      </c>
      <c r="AJ245" s="427" t="s">
        <v>2498</v>
      </c>
      <c r="AK245" s="3559" t="str">
        <f t="shared" ref="AK245:AK269" si="147">+AH245</f>
        <v>Frame S</v>
      </c>
      <c r="AL245" s="29" t="s">
        <v>121</v>
      </c>
      <c r="AM245" s="29" t="s">
        <v>111</v>
      </c>
      <c r="AN245" s="29" t="s">
        <v>112</v>
      </c>
      <c r="AO245" s="29" t="s">
        <v>113</v>
      </c>
      <c r="AP245" s="29" t="s">
        <v>114</v>
      </c>
      <c r="AQ245" s="29" t="s">
        <v>115</v>
      </c>
      <c r="AR245" s="29" t="s">
        <v>116</v>
      </c>
      <c r="AS245" s="29" t="s">
        <v>117</v>
      </c>
      <c r="AZ245" s="2618"/>
      <c r="BD245" s="29" t="s">
        <v>2501</v>
      </c>
      <c r="BE245" s="29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311"/>
      <c r="BQ245" s="311"/>
      <c r="BR245" s="311"/>
      <c r="BS245" s="311"/>
      <c r="BT245" s="311"/>
      <c r="BU245" s="311"/>
      <c r="BV245" s="311"/>
      <c r="BW245" s="311"/>
      <c r="BX245" s="311"/>
      <c r="BY245" s="311"/>
      <c r="BZ245" s="311"/>
      <c r="CA245" s="311"/>
      <c r="CB245" s="311"/>
      <c r="CC245" s="311"/>
      <c r="CD245" s="311"/>
      <c r="CE245" s="311"/>
      <c r="CF245" s="311"/>
      <c r="CG245" s="311"/>
      <c r="CH245" s="311"/>
    </row>
    <row r="246" spans="1:86">
      <c r="A246" s="53" t="s">
        <v>2503</v>
      </c>
      <c r="B246" s="2131" t="s">
        <v>1710</v>
      </c>
      <c r="C246" s="2602" t="s">
        <v>2494</v>
      </c>
      <c r="D246" s="2602" t="s">
        <v>2495</v>
      </c>
      <c r="E246" s="2602" t="s">
        <v>2496</v>
      </c>
      <c r="F246" s="29" t="s">
        <v>119</v>
      </c>
      <c r="G246" s="179" t="s">
        <v>121</v>
      </c>
      <c r="H246" s="179" t="s">
        <v>274</v>
      </c>
      <c r="I246" s="145" t="s">
        <v>2497</v>
      </c>
      <c r="M246" s="311">
        <v>0.44</v>
      </c>
      <c r="N246" s="311"/>
      <c r="O246" s="1094" t="s">
        <v>130</v>
      </c>
      <c r="P246" s="145">
        <v>0.71</v>
      </c>
      <c r="Q246" s="311"/>
      <c r="R246" s="3559" t="str">
        <f t="shared" si="145"/>
        <v>80 (2)</v>
      </c>
      <c r="S246" s="145">
        <v>910</v>
      </c>
      <c r="T246" s="311">
        <v>17</v>
      </c>
      <c r="U246" s="3555">
        <f>(V246*(1-H245))+W246+X246+Y246+Z246</f>
        <v>24938</v>
      </c>
      <c r="V246" s="416">
        <v>17400</v>
      </c>
      <c r="W246" s="3562">
        <f t="shared" ref="W246:Y250" si="148">+W245</f>
        <v>8500</v>
      </c>
      <c r="X246" s="3562">
        <f t="shared" si="148"/>
        <v>3000</v>
      </c>
      <c r="Y246" s="3562">
        <f t="shared" si="148"/>
        <v>7000</v>
      </c>
      <c r="Z246" s="3562">
        <f t="shared" si="146"/>
        <v>870</v>
      </c>
      <c r="AB246" s="53"/>
      <c r="AC246" s="216"/>
      <c r="AF246" s="29"/>
      <c r="AG246" s="29">
        <v>0</v>
      </c>
      <c r="AH246" s="145" t="s">
        <v>126</v>
      </c>
      <c r="AI246" s="145"/>
      <c r="AJ246" s="311">
        <v>0.44</v>
      </c>
      <c r="AK246" s="3559" t="str">
        <f t="shared" si="147"/>
        <v>80 (1)</v>
      </c>
      <c r="AL246" s="159">
        <v>914</v>
      </c>
      <c r="AM246" s="311">
        <v>17</v>
      </c>
      <c r="AN246" s="3555">
        <f>(AO246*(1-H245))+AP246+AQ246+AR246+AS246</f>
        <v>24827</v>
      </c>
      <c r="AO246" s="416">
        <v>17100</v>
      </c>
      <c r="AP246" s="416">
        <v>8500</v>
      </c>
      <c r="AQ246" s="416">
        <v>3000</v>
      </c>
      <c r="AR246" s="416">
        <v>7000</v>
      </c>
      <c r="AS246" s="3562">
        <f t="shared" ref="AS246:AS269" si="149">AO246*5%</f>
        <v>855</v>
      </c>
      <c r="AZ246" s="2618"/>
      <c r="BD246" s="29" t="s">
        <v>119</v>
      </c>
      <c r="BE246" s="145" t="s">
        <v>126</v>
      </c>
      <c r="BF246" s="1094" t="s">
        <v>130</v>
      </c>
      <c r="BG246" s="1094" t="s">
        <v>133</v>
      </c>
      <c r="BH246" s="311" t="s">
        <v>136</v>
      </c>
      <c r="BI246" s="311" t="s">
        <v>140</v>
      </c>
      <c r="BJ246" s="311" t="s">
        <v>143</v>
      </c>
      <c r="BK246" s="311" t="s">
        <v>147</v>
      </c>
      <c r="BL246" s="311" t="s">
        <v>151</v>
      </c>
      <c r="BM246" s="311" t="s">
        <v>157</v>
      </c>
      <c r="BN246" s="311" t="s">
        <v>163</v>
      </c>
      <c r="BO246" s="311" t="s">
        <v>169</v>
      </c>
      <c r="BP246" s="1094" t="s">
        <v>175</v>
      </c>
      <c r="BQ246" s="1094" t="s">
        <v>180</v>
      </c>
      <c r="BR246" s="1094" t="s">
        <v>184</v>
      </c>
      <c r="BS246" s="1094" t="s">
        <v>189</v>
      </c>
      <c r="BT246" s="311" t="s">
        <v>196</v>
      </c>
      <c r="BU246" s="311" t="s">
        <v>201</v>
      </c>
      <c r="BV246" s="311" t="s">
        <v>208</v>
      </c>
      <c r="BW246" s="311" t="s">
        <v>215</v>
      </c>
      <c r="BX246" s="1094" t="s">
        <v>221</v>
      </c>
      <c r="BY246" s="145" t="s">
        <v>225</v>
      </c>
      <c r="BZ246" s="145" t="s">
        <v>229</v>
      </c>
      <c r="CA246" s="145" t="s">
        <v>234</v>
      </c>
      <c r="CB246" s="145" t="s">
        <v>239</v>
      </c>
      <c r="CC246" s="311"/>
      <c r="CD246" s="311"/>
      <c r="CE246" s="311"/>
      <c r="CF246" s="311"/>
      <c r="CG246" s="311"/>
      <c r="CH246" s="311"/>
    </row>
    <row r="247" spans="1:86">
      <c r="A247" s="3560" t="str">
        <f>E47</f>
        <v>40%</v>
      </c>
      <c r="B247" s="2602" t="s">
        <v>2471</v>
      </c>
      <c r="C247" s="3533">
        <f>C47</f>
        <v>14.931600768800502</v>
      </c>
      <c r="D247" s="3532">
        <f>IF(A247="40%",N279,IF(A247="60%",N286))</f>
        <v>13</v>
      </c>
      <c r="E247" s="3532">
        <f>IF(A247="40%",O279,IF(A247="60%",O286))</f>
        <v>15</v>
      </c>
      <c r="F247" s="3532" t="str">
        <f>IF(A247="40%",P279,IF(A247="60%",P286))</f>
        <v>180L</v>
      </c>
      <c r="G247" s="3532">
        <f>IF(A247="40%",Q279,IF(A247="60%",Q286))</f>
        <v>970</v>
      </c>
      <c r="H247" s="3549">
        <f>IF(A247="40%",R279,IF(A247="60%",R286))</f>
        <v>85554</v>
      </c>
      <c r="I247" s="3532">
        <f>IF(A247="40%",S279,IF(A247="60%",S286))</f>
        <v>204</v>
      </c>
      <c r="M247" s="311">
        <v>0.71</v>
      </c>
      <c r="N247" s="311"/>
      <c r="O247" s="1094" t="s">
        <v>133</v>
      </c>
      <c r="P247" s="145">
        <v>1.1000000000000001</v>
      </c>
      <c r="Q247" s="311"/>
      <c r="R247" s="3559" t="str">
        <f t="shared" si="145"/>
        <v>90S</v>
      </c>
      <c r="S247" s="145">
        <v>913</v>
      </c>
      <c r="T247" s="311">
        <v>22</v>
      </c>
      <c r="U247" s="3555">
        <f>(V247*(1-H245))+W247+X247+Y247+Z247</f>
        <v>26344</v>
      </c>
      <c r="V247" s="416">
        <v>21200</v>
      </c>
      <c r="W247" s="3562">
        <f t="shared" si="148"/>
        <v>8500</v>
      </c>
      <c r="X247" s="3562">
        <f t="shared" si="148"/>
        <v>3000</v>
      </c>
      <c r="Y247" s="3562">
        <f t="shared" si="148"/>
        <v>7000</v>
      </c>
      <c r="Z247" s="3562">
        <f t="shared" si="146"/>
        <v>1060</v>
      </c>
      <c r="AB247" s="53"/>
      <c r="AC247" s="19"/>
      <c r="AF247" s="311"/>
      <c r="AG247" s="311">
        <v>0.44</v>
      </c>
      <c r="AH247" s="1094" t="s">
        <v>130</v>
      </c>
      <c r="AI247" s="145"/>
      <c r="AJ247" s="311">
        <v>0.61</v>
      </c>
      <c r="AK247" s="3559" t="str">
        <f t="shared" si="147"/>
        <v>80 (2)</v>
      </c>
      <c r="AL247" s="159">
        <v>922</v>
      </c>
      <c r="AM247" s="311">
        <v>17</v>
      </c>
      <c r="AN247" s="3555">
        <f>(AO247*(1-H245))+AP247+AQ247+AR247+AS247</f>
        <v>24938</v>
      </c>
      <c r="AO247" s="416">
        <v>17400</v>
      </c>
      <c r="AP247" s="3562">
        <f t="shared" ref="AP247:AR251" si="150">+AP246</f>
        <v>8500</v>
      </c>
      <c r="AQ247" s="3562">
        <f t="shared" si="150"/>
        <v>3000</v>
      </c>
      <c r="AR247" s="3562">
        <f t="shared" si="150"/>
        <v>7000</v>
      </c>
      <c r="AS247" s="3562">
        <f t="shared" si="149"/>
        <v>870</v>
      </c>
      <c r="AZ247" s="2618"/>
      <c r="BD247" s="427" t="s">
        <v>120</v>
      </c>
      <c r="BE247" s="145">
        <v>0.44</v>
      </c>
      <c r="BF247" s="145">
        <v>0.71</v>
      </c>
      <c r="BG247" s="145">
        <v>1.1000000000000001</v>
      </c>
      <c r="BH247" s="145">
        <v>1.4</v>
      </c>
      <c r="BI247" s="145">
        <v>1.7</v>
      </c>
      <c r="BJ247" s="145">
        <v>2.5</v>
      </c>
      <c r="BK247" s="145">
        <v>4.4000000000000004</v>
      </c>
      <c r="BL247" s="145">
        <v>6.3</v>
      </c>
      <c r="BM247" s="145">
        <v>8.6</v>
      </c>
      <c r="BN247" s="145">
        <v>13</v>
      </c>
      <c r="BO247" s="145">
        <v>15</v>
      </c>
      <c r="BP247" s="145">
        <v>23</v>
      </c>
      <c r="BQ247" s="145">
        <v>25</v>
      </c>
      <c r="BR247" s="145">
        <v>34</v>
      </c>
      <c r="BS247" s="145">
        <v>41</v>
      </c>
      <c r="BT247" s="145">
        <v>54</v>
      </c>
      <c r="BU247" s="145">
        <v>63</v>
      </c>
      <c r="BV247" s="145">
        <v>86</v>
      </c>
      <c r="BW247" s="145">
        <v>103</v>
      </c>
      <c r="BX247" s="1094">
        <v>121</v>
      </c>
      <c r="BY247" s="1094">
        <v>139</v>
      </c>
      <c r="BZ247" s="311">
        <v>192</v>
      </c>
      <c r="CA247" s="311">
        <v>200</v>
      </c>
      <c r="CB247" s="311">
        <v>284</v>
      </c>
      <c r="CC247" s="311"/>
      <c r="CD247" s="311"/>
      <c r="CE247" s="311"/>
      <c r="CF247" s="311"/>
      <c r="CG247" s="311"/>
      <c r="CH247" s="311"/>
    </row>
    <row r="248" spans="1:86">
      <c r="A248" s="3560" t="str">
        <f>E48</f>
        <v>40%</v>
      </c>
      <c r="B248" s="2602" t="s">
        <v>2472</v>
      </c>
      <c r="C248" s="3533">
        <f>C48</f>
        <v>14.970777992527008</v>
      </c>
      <c r="D248" s="3532">
        <f>IF(A248="40%",N280,IF(A248="60%",N287))</f>
        <v>13</v>
      </c>
      <c r="E248" s="3532">
        <f>IF(A248="40%",O280,IF(A248="60%",O287))</f>
        <v>15</v>
      </c>
      <c r="F248" s="3532" t="str">
        <f>IF(A248="40%",P280,IF(A248="60%",P287))</f>
        <v>180L</v>
      </c>
      <c r="G248" s="3532">
        <f>IF(A248="40%",Q280,IF(A248="60%",Q287))</f>
        <v>970</v>
      </c>
      <c r="H248" s="3549">
        <f>IF(A248="40%",R280,IF(A248="60%",R287))</f>
        <v>85554</v>
      </c>
      <c r="I248" s="3532">
        <f>IF(A248="40%",S280,IF(A248="60%",S287))</f>
        <v>204</v>
      </c>
      <c r="M248" s="311">
        <v>1.1000000000000001</v>
      </c>
      <c r="N248" s="311"/>
      <c r="O248" s="311" t="s">
        <v>136</v>
      </c>
      <c r="P248" s="145">
        <v>1.4</v>
      </c>
      <c r="Q248" s="311"/>
      <c r="R248" s="3559" t="str">
        <f t="shared" si="145"/>
        <v>90L</v>
      </c>
      <c r="S248" s="145">
        <v>901</v>
      </c>
      <c r="T248" s="311">
        <v>25</v>
      </c>
      <c r="U248" s="3555">
        <f>(V248*(1-H245))+W248+X248+Y248+Z248</f>
        <v>27232</v>
      </c>
      <c r="V248" s="416">
        <v>23600</v>
      </c>
      <c r="W248" s="3562">
        <f t="shared" si="148"/>
        <v>8500</v>
      </c>
      <c r="X248" s="3562">
        <f t="shared" si="148"/>
        <v>3000</v>
      </c>
      <c r="Y248" s="3562">
        <f t="shared" si="148"/>
        <v>7000</v>
      </c>
      <c r="Z248" s="3562">
        <f t="shared" si="146"/>
        <v>1180</v>
      </c>
      <c r="AB248" s="53"/>
      <c r="AC248" s="53"/>
      <c r="AF248" s="311"/>
      <c r="AG248" s="311">
        <v>0.61</v>
      </c>
      <c r="AH248" s="1094" t="s">
        <v>133</v>
      </c>
      <c r="AI248" s="145"/>
      <c r="AJ248" s="311">
        <v>0.9</v>
      </c>
      <c r="AK248" s="3559" t="str">
        <f t="shared" si="147"/>
        <v>90S</v>
      </c>
      <c r="AL248" s="159">
        <v>922</v>
      </c>
      <c r="AM248" s="311">
        <v>22</v>
      </c>
      <c r="AN248" s="3555">
        <f>(AO248*(1-H245))+AP248+AQ248+AR248+AS248</f>
        <v>26344</v>
      </c>
      <c r="AO248" s="416">
        <v>21200</v>
      </c>
      <c r="AP248" s="3562">
        <f t="shared" si="150"/>
        <v>8500</v>
      </c>
      <c r="AQ248" s="3562">
        <f t="shared" si="150"/>
        <v>3000</v>
      </c>
      <c r="AR248" s="3562">
        <f t="shared" si="150"/>
        <v>7000</v>
      </c>
      <c r="AS248" s="3562">
        <f t="shared" si="149"/>
        <v>1060</v>
      </c>
      <c r="AZ248" s="2618"/>
      <c r="BD248" s="427" t="s">
        <v>2498</v>
      </c>
      <c r="BE248" s="311"/>
      <c r="BF248" s="311"/>
      <c r="BG248" s="311"/>
      <c r="BH248" s="311"/>
      <c r="BI248" s="311"/>
      <c r="BJ248" s="311"/>
      <c r="BK248" s="311"/>
      <c r="BL248" s="311"/>
      <c r="BM248" s="311"/>
      <c r="BN248" s="311"/>
      <c r="BO248" s="311"/>
      <c r="BP248" s="311"/>
      <c r="BQ248" s="311"/>
      <c r="BR248" s="311"/>
      <c r="BS248" s="311"/>
      <c r="BT248" s="311"/>
      <c r="BU248" s="311"/>
      <c r="BV248" s="311"/>
      <c r="BW248" s="311"/>
      <c r="BX248" s="311"/>
      <c r="BY248" s="311"/>
      <c r="BZ248" s="311"/>
      <c r="CA248" s="311"/>
      <c r="CB248" s="311"/>
      <c r="CC248" s="311"/>
      <c r="CD248" s="311"/>
      <c r="CE248" s="311"/>
      <c r="CF248" s="311"/>
      <c r="CG248" s="311"/>
      <c r="CH248" s="311"/>
    </row>
    <row r="249" spans="1:86">
      <c r="A249" s="3560" t="str">
        <f>E49</f>
        <v>S1-100</v>
      </c>
      <c r="B249" s="2602" t="s">
        <v>2473</v>
      </c>
      <c r="C249" s="3533">
        <f>C49</f>
        <v>0.7475763842813713</v>
      </c>
      <c r="D249" s="3532" t="b">
        <f>IF(A249="40%",N281,IF(A249="60%",N288))</f>
        <v>0</v>
      </c>
      <c r="E249" s="3532" t="b">
        <f>IF(A249="40%",O281,IF(A249="60%",O288))</f>
        <v>0</v>
      </c>
      <c r="F249" s="3532" t="b">
        <f>IF(A249="40%",P281,IF(A249="60%",P288))</f>
        <v>0</v>
      </c>
      <c r="G249" s="3532" t="b">
        <f>IF(A249="40%",Q281,IF(A249="60%",Q288))</f>
        <v>0</v>
      </c>
      <c r="H249" s="3549" t="b">
        <f>IF(A249="40%",R281,IF(A249="60%",R288))</f>
        <v>0</v>
      </c>
      <c r="I249" s="3532" t="b">
        <f>IF(A249="40%",S281,IF(A249="60%",S288))</f>
        <v>0</v>
      </c>
      <c r="M249" s="311">
        <v>1.4</v>
      </c>
      <c r="N249" s="311"/>
      <c r="O249" s="311" t="s">
        <v>140</v>
      </c>
      <c r="P249" s="145">
        <v>1.7</v>
      </c>
      <c r="Q249" s="311"/>
      <c r="R249" s="3559" t="str">
        <f t="shared" si="145"/>
        <v>100L</v>
      </c>
      <c r="S249" s="145">
        <v>939</v>
      </c>
      <c r="T249" s="311">
        <v>32</v>
      </c>
      <c r="U249" s="3555">
        <f>(V249*(1-H245))+W249+X249+Y249+Z249</f>
        <v>29489</v>
      </c>
      <c r="V249" s="416">
        <v>29700</v>
      </c>
      <c r="W249" s="3562">
        <f t="shared" si="148"/>
        <v>8500</v>
      </c>
      <c r="X249" s="3562">
        <f t="shared" si="148"/>
        <v>3000</v>
      </c>
      <c r="Y249" s="3562">
        <f t="shared" si="148"/>
        <v>7000</v>
      </c>
      <c r="Z249" s="3562">
        <f t="shared" si="146"/>
        <v>1485</v>
      </c>
      <c r="AB249" s="53"/>
      <c r="AC249" s="53"/>
      <c r="AF249" s="311"/>
      <c r="AG249" s="311">
        <v>0.9</v>
      </c>
      <c r="AH249" s="311" t="s">
        <v>136</v>
      </c>
      <c r="AI249" s="145"/>
      <c r="AJ249" s="311">
        <v>1.3</v>
      </c>
      <c r="AK249" s="3559" t="str">
        <f t="shared" si="147"/>
        <v>90L</v>
      </c>
      <c r="AL249" s="159">
        <v>908</v>
      </c>
      <c r="AM249" s="311">
        <v>25</v>
      </c>
      <c r="AN249" s="3555">
        <f>(AO249*(1-H245))+AP249+AQ249+AR249+AS249</f>
        <v>27232</v>
      </c>
      <c r="AO249" s="416">
        <v>23600</v>
      </c>
      <c r="AP249" s="3562">
        <f t="shared" si="150"/>
        <v>8500</v>
      </c>
      <c r="AQ249" s="3562">
        <f t="shared" si="150"/>
        <v>3000</v>
      </c>
      <c r="AR249" s="3562">
        <f t="shared" si="150"/>
        <v>7000</v>
      </c>
      <c r="AS249" s="3562">
        <f t="shared" si="149"/>
        <v>1180</v>
      </c>
      <c r="AZ249" s="2618"/>
      <c r="BD249" s="3559" t="str">
        <f t="shared" ref="BD249:CB249" si="151">+BD246</f>
        <v>Frame S</v>
      </c>
      <c r="BE249" s="3559" t="str">
        <f t="shared" si="151"/>
        <v>80 (1)</v>
      </c>
      <c r="BF249" s="3559" t="str">
        <f t="shared" si="151"/>
        <v>80 (2)</v>
      </c>
      <c r="BG249" s="3559" t="str">
        <f t="shared" si="151"/>
        <v>90S</v>
      </c>
      <c r="BH249" s="3559" t="str">
        <f t="shared" si="151"/>
        <v>90L</v>
      </c>
      <c r="BI249" s="3559" t="str">
        <f t="shared" si="151"/>
        <v>100L</v>
      </c>
      <c r="BJ249" s="3559" t="str">
        <f t="shared" si="151"/>
        <v>112M</v>
      </c>
      <c r="BK249" s="3559" t="str">
        <f t="shared" si="151"/>
        <v>132S</v>
      </c>
      <c r="BL249" s="3559" t="str">
        <f t="shared" si="151"/>
        <v>132M</v>
      </c>
      <c r="BM249" s="3559" t="str">
        <f t="shared" si="151"/>
        <v>160M</v>
      </c>
      <c r="BN249" s="3559" t="str">
        <f t="shared" si="151"/>
        <v>160L</v>
      </c>
      <c r="BO249" s="3559" t="str">
        <f t="shared" si="151"/>
        <v>180L</v>
      </c>
      <c r="BP249" s="3559" t="str">
        <f t="shared" si="151"/>
        <v>200L (1)</v>
      </c>
      <c r="BQ249" s="3559" t="str">
        <f t="shared" si="151"/>
        <v>200L (2)</v>
      </c>
      <c r="BR249" s="3559" t="str">
        <f t="shared" si="151"/>
        <v>225M</v>
      </c>
      <c r="BS249" s="3559" t="str">
        <f t="shared" si="151"/>
        <v>250M</v>
      </c>
      <c r="BT249" s="3559" t="str">
        <f t="shared" si="151"/>
        <v>280S</v>
      </c>
      <c r="BU249" s="3559" t="str">
        <f t="shared" si="151"/>
        <v>280M</v>
      </c>
      <c r="BV249" s="3559" t="str">
        <f t="shared" si="151"/>
        <v>315S</v>
      </c>
      <c r="BW249" s="3559" t="str">
        <f t="shared" si="151"/>
        <v>315M</v>
      </c>
      <c r="BX249" s="3559" t="str">
        <f t="shared" si="151"/>
        <v>315L  (1)</v>
      </c>
      <c r="BY249" s="3559" t="str">
        <f t="shared" si="151"/>
        <v>315L (2)</v>
      </c>
      <c r="BZ249" s="3559" t="str">
        <f t="shared" si="151"/>
        <v>355L (1)</v>
      </c>
      <c r="CA249" s="3559" t="str">
        <f t="shared" si="151"/>
        <v>355L (2)</v>
      </c>
      <c r="CB249" s="3559" t="str">
        <f t="shared" si="151"/>
        <v>335L (3)</v>
      </c>
      <c r="CC249" s="311"/>
      <c r="CD249" s="311"/>
      <c r="CE249" s="311"/>
      <c r="CF249" s="311"/>
      <c r="CG249" s="311"/>
      <c r="CH249" s="311"/>
    </row>
    <row r="250" spans="1:86">
      <c r="A250" s="3560" t="str">
        <f>E50</f>
        <v>S1-100</v>
      </c>
      <c r="B250" s="2602" t="s">
        <v>2474</v>
      </c>
      <c r="C250" s="3533">
        <f>C50</f>
        <v>1.2453130745563414</v>
      </c>
      <c r="D250" s="3532" t="b">
        <f>IF(A250="40%",N282,IF(A250="60%",N289))</f>
        <v>0</v>
      </c>
      <c r="E250" s="3532" t="b">
        <f>IF(A250="40%",O282,IF(A250="60%",O289))</f>
        <v>0</v>
      </c>
      <c r="F250" s="3532" t="b">
        <f>IF(A250="40%",P282,IF(A250="60%",P289))</f>
        <v>0</v>
      </c>
      <c r="G250" s="3532" t="b">
        <f>IF(A250="40%",Q282,IF(A250="60%",Q289))</f>
        <v>0</v>
      </c>
      <c r="H250" s="3549" t="b">
        <f>IF(A250="40%",R282,IF(A250="60%",R289))</f>
        <v>0</v>
      </c>
      <c r="I250" s="3532" t="b">
        <f>IF(A250="40%",S282,IF(A250="60%",S289))</f>
        <v>0</v>
      </c>
      <c r="M250" s="311">
        <v>1.7</v>
      </c>
      <c r="N250" s="311"/>
      <c r="O250" s="311" t="s">
        <v>143</v>
      </c>
      <c r="P250" s="145">
        <v>2.5</v>
      </c>
      <c r="Q250" s="311"/>
      <c r="R250" s="3559" t="str">
        <f t="shared" si="145"/>
        <v>112M</v>
      </c>
      <c r="S250" s="145">
        <v>943</v>
      </c>
      <c r="T250" s="311">
        <v>42</v>
      </c>
      <c r="U250" s="3555">
        <f>(V250*(1-H245))+W250+X250+Y250+Z250</f>
        <v>31635</v>
      </c>
      <c r="V250" s="416">
        <v>35500</v>
      </c>
      <c r="W250" s="3562">
        <f t="shared" si="148"/>
        <v>8500</v>
      </c>
      <c r="X250" s="3562">
        <f t="shared" si="148"/>
        <v>3000</v>
      </c>
      <c r="Y250" s="3562">
        <f t="shared" si="148"/>
        <v>7000</v>
      </c>
      <c r="Z250" s="3562">
        <f t="shared" si="146"/>
        <v>1775</v>
      </c>
      <c r="AB250" s="53"/>
      <c r="AC250" s="53"/>
      <c r="AF250" s="311"/>
      <c r="AG250" s="311">
        <v>1.3</v>
      </c>
      <c r="AH250" s="311" t="s">
        <v>140</v>
      </c>
      <c r="AI250" s="145"/>
      <c r="AJ250" s="311">
        <v>1.6</v>
      </c>
      <c r="AK250" s="3559" t="str">
        <f t="shared" si="147"/>
        <v>100L</v>
      </c>
      <c r="AL250" s="159">
        <v>942</v>
      </c>
      <c r="AM250" s="311">
        <v>32</v>
      </c>
      <c r="AN250" s="3555">
        <f>(AO250*(1-H245))+AP250+AQ250+AR250+AS250</f>
        <v>29489</v>
      </c>
      <c r="AO250" s="416">
        <v>29700</v>
      </c>
      <c r="AP250" s="3562">
        <f t="shared" si="150"/>
        <v>8500</v>
      </c>
      <c r="AQ250" s="3562">
        <f t="shared" si="150"/>
        <v>3000</v>
      </c>
      <c r="AR250" s="3562">
        <f t="shared" si="150"/>
        <v>7000</v>
      </c>
      <c r="AS250" s="3562">
        <f t="shared" si="149"/>
        <v>1485</v>
      </c>
      <c r="AZ250" s="2618"/>
      <c r="BD250" s="29" t="s">
        <v>121</v>
      </c>
      <c r="BE250" s="145">
        <v>914</v>
      </c>
      <c r="BF250" s="145">
        <v>910</v>
      </c>
      <c r="BG250" s="145">
        <v>913</v>
      </c>
      <c r="BH250" s="145">
        <v>901</v>
      </c>
      <c r="BI250" s="145">
        <v>939</v>
      </c>
      <c r="BJ250" s="145">
        <v>943</v>
      </c>
      <c r="BK250" s="145">
        <v>952</v>
      </c>
      <c r="BL250" s="145">
        <v>954</v>
      </c>
      <c r="BM250" s="145">
        <v>957</v>
      </c>
      <c r="BN250" s="145">
        <v>960</v>
      </c>
      <c r="BO250" s="145">
        <v>970</v>
      </c>
      <c r="BP250" s="145">
        <v>976</v>
      </c>
      <c r="BQ250" s="145">
        <v>975</v>
      </c>
      <c r="BR250" s="145">
        <v>974</v>
      </c>
      <c r="BS250" s="145">
        <v>977</v>
      </c>
      <c r="BT250" s="145">
        <v>980</v>
      </c>
      <c r="BU250" s="145">
        <v>982</v>
      </c>
      <c r="BV250" s="145">
        <v>983</v>
      </c>
      <c r="BW250" s="145">
        <v>982</v>
      </c>
      <c r="BX250" s="145">
        <v>984</v>
      </c>
      <c r="BY250" s="145">
        <v>984</v>
      </c>
      <c r="BZ250" s="145">
        <v>988</v>
      </c>
      <c r="CA250" s="145">
        <v>989</v>
      </c>
      <c r="CB250" s="145">
        <v>988</v>
      </c>
      <c r="CC250" s="311"/>
      <c r="CD250" s="311"/>
      <c r="CE250" s="311"/>
      <c r="CF250" s="311"/>
      <c r="CG250" s="311"/>
      <c r="CH250" s="311"/>
    </row>
    <row r="251" spans="1:86">
      <c r="M251" s="311">
        <v>2.5</v>
      </c>
      <c r="N251" s="311"/>
      <c r="O251" s="311" t="s">
        <v>147</v>
      </c>
      <c r="P251" s="145">
        <v>4.4000000000000004</v>
      </c>
      <c r="Q251" s="311"/>
      <c r="R251" s="3559" t="str">
        <f t="shared" si="145"/>
        <v>132S</v>
      </c>
      <c r="S251" s="145">
        <v>952</v>
      </c>
      <c r="T251" s="311">
        <v>68</v>
      </c>
      <c r="U251" s="3555">
        <f>(V251*(1-H245))+W251+X251+Y251+Z251</f>
        <v>39184</v>
      </c>
      <c r="V251" s="416">
        <v>53200</v>
      </c>
      <c r="W251" s="3562">
        <f>+W250</f>
        <v>8500</v>
      </c>
      <c r="X251" s="416">
        <v>4000</v>
      </c>
      <c r="Y251" s="3562">
        <f t="shared" ref="Y251:Y268" si="152">+Y250</f>
        <v>7000</v>
      </c>
      <c r="Z251" s="3562">
        <f t="shared" si="146"/>
        <v>2660</v>
      </c>
      <c r="AB251" s="53"/>
      <c r="AC251" s="53"/>
      <c r="AF251" s="311"/>
      <c r="AG251" s="311">
        <v>1.6</v>
      </c>
      <c r="AH251" s="311" t="s">
        <v>143</v>
      </c>
      <c r="AI251" s="145"/>
      <c r="AJ251" s="311">
        <v>2.2000000000000002</v>
      </c>
      <c r="AK251" s="3559" t="str">
        <f t="shared" si="147"/>
        <v>112M</v>
      </c>
      <c r="AL251" s="159">
        <v>950</v>
      </c>
      <c r="AM251" s="311">
        <v>42</v>
      </c>
      <c r="AN251" s="3555">
        <f>(AO251*(1-H245))+AP251+AQ251+AR251+AS251</f>
        <v>31635</v>
      </c>
      <c r="AO251" s="416">
        <v>35500</v>
      </c>
      <c r="AP251" s="3562">
        <f t="shared" si="150"/>
        <v>8500</v>
      </c>
      <c r="AQ251" s="3562">
        <f t="shared" si="150"/>
        <v>3000</v>
      </c>
      <c r="AR251" s="3562">
        <f t="shared" si="150"/>
        <v>7000</v>
      </c>
      <c r="AS251" s="3562">
        <f t="shared" si="149"/>
        <v>1775</v>
      </c>
      <c r="AZ251" s="2618"/>
      <c r="BD251" s="29" t="s">
        <v>111</v>
      </c>
      <c r="BE251" s="311">
        <v>17</v>
      </c>
      <c r="BF251" s="311">
        <v>17</v>
      </c>
      <c r="BG251" s="311">
        <v>22</v>
      </c>
      <c r="BH251" s="311">
        <v>25</v>
      </c>
      <c r="BI251" s="311">
        <v>32</v>
      </c>
      <c r="BJ251" s="311">
        <v>42</v>
      </c>
      <c r="BK251" s="311">
        <v>68</v>
      </c>
      <c r="BL251" s="311">
        <v>79</v>
      </c>
      <c r="BM251" s="311">
        <v>121</v>
      </c>
      <c r="BN251" s="311">
        <v>146</v>
      </c>
      <c r="BO251" s="311">
        <v>204</v>
      </c>
      <c r="BP251" s="311">
        <v>254</v>
      </c>
      <c r="BQ251" s="311">
        <v>270</v>
      </c>
      <c r="BR251" s="311">
        <v>380</v>
      </c>
      <c r="BS251" s="311">
        <v>500</v>
      </c>
      <c r="BT251" s="311">
        <v>620</v>
      </c>
      <c r="BU251" s="311">
        <v>700</v>
      </c>
      <c r="BV251" s="311">
        <v>1056</v>
      </c>
      <c r="BW251" s="311">
        <v>1130</v>
      </c>
      <c r="BX251" s="311">
        <v>1200</v>
      </c>
      <c r="BY251" s="311">
        <v>1230</v>
      </c>
      <c r="BZ251" s="311">
        <v>2150</v>
      </c>
      <c r="CA251" s="311">
        <v>2200</v>
      </c>
      <c r="CB251" s="311">
        <v>2230</v>
      </c>
      <c r="CC251" s="311"/>
      <c r="CD251" s="311"/>
      <c r="CE251" s="311"/>
      <c r="CF251" s="311"/>
      <c r="CG251" s="311"/>
      <c r="CH251" s="311"/>
    </row>
    <row r="252" spans="1:86">
      <c r="M252" s="311">
        <v>4.4000000000000004</v>
      </c>
      <c r="N252" s="311"/>
      <c r="O252" s="311" t="s">
        <v>151</v>
      </c>
      <c r="P252" s="145">
        <v>6.3</v>
      </c>
      <c r="Q252" s="311"/>
      <c r="R252" s="3559" t="str">
        <f t="shared" si="145"/>
        <v>132M</v>
      </c>
      <c r="S252" s="145">
        <v>954</v>
      </c>
      <c r="T252" s="311">
        <v>79</v>
      </c>
      <c r="U252" s="3555">
        <f>(V252*(1-H245))+W252+X252+Y252+Z252</f>
        <v>41811</v>
      </c>
      <c r="V252" s="416">
        <v>60300</v>
      </c>
      <c r="W252" s="3562">
        <f>+W251</f>
        <v>8500</v>
      </c>
      <c r="X252" s="3562">
        <f t="shared" ref="X252:X258" si="153">+X251</f>
        <v>4000</v>
      </c>
      <c r="Y252" s="3562">
        <f t="shared" si="152"/>
        <v>7000</v>
      </c>
      <c r="Z252" s="3562">
        <f t="shared" si="146"/>
        <v>3015</v>
      </c>
      <c r="AB252" s="53"/>
      <c r="AC252" s="53"/>
      <c r="AF252" s="311"/>
      <c r="AG252" s="311">
        <v>2.2000000000000002</v>
      </c>
      <c r="AH252" s="311" t="s">
        <v>147</v>
      </c>
      <c r="AI252" s="145"/>
      <c r="AJ252" s="311">
        <v>4.3</v>
      </c>
      <c r="AK252" s="3559" t="str">
        <f t="shared" si="147"/>
        <v>132S</v>
      </c>
      <c r="AL252" s="159">
        <v>954</v>
      </c>
      <c r="AM252" s="311">
        <v>68</v>
      </c>
      <c r="AN252" s="3555">
        <f>(AO252*(1-H245))+AP252+AQ252+AR252+AS252</f>
        <v>39184</v>
      </c>
      <c r="AO252" s="416">
        <v>53200</v>
      </c>
      <c r="AP252" s="3562">
        <f>+AP251</f>
        <v>8500</v>
      </c>
      <c r="AQ252" s="416">
        <v>4000</v>
      </c>
      <c r="AR252" s="3562">
        <f t="shared" ref="AR252:AR269" si="154">+AR251</f>
        <v>7000</v>
      </c>
      <c r="AS252" s="3562">
        <f t="shared" si="149"/>
        <v>2660</v>
      </c>
      <c r="AZ252" s="2618"/>
      <c r="BD252" s="2153" t="s">
        <v>2514</v>
      </c>
      <c r="BE252" s="3555">
        <f t="shared" ref="BE252:CB252" si="155">(BE253*(1-$H$245))+BE254+BE255+BE256+BE257</f>
        <v>24827</v>
      </c>
      <c r="BF252" s="3555">
        <f t="shared" si="155"/>
        <v>24938</v>
      </c>
      <c r="BG252" s="3555">
        <f t="shared" si="155"/>
        <v>26344</v>
      </c>
      <c r="BH252" s="3555">
        <f t="shared" si="155"/>
        <v>27232</v>
      </c>
      <c r="BI252" s="3555">
        <f t="shared" si="155"/>
        <v>29489</v>
      </c>
      <c r="BJ252" s="3555">
        <f t="shared" si="155"/>
        <v>31635</v>
      </c>
      <c r="BK252" s="3555">
        <f t="shared" si="155"/>
        <v>39184</v>
      </c>
      <c r="BL252" s="3555">
        <f t="shared" si="155"/>
        <v>41811</v>
      </c>
      <c r="BM252" s="3555">
        <f t="shared" si="155"/>
        <v>63650</v>
      </c>
      <c r="BN252" s="3555">
        <f t="shared" si="155"/>
        <v>72197</v>
      </c>
      <c r="BO252" s="3555">
        <f t="shared" si="155"/>
        <v>85554</v>
      </c>
      <c r="BP252" s="3555">
        <f t="shared" si="155"/>
        <v>106310.99999999999</v>
      </c>
      <c r="BQ252" s="3555">
        <f t="shared" si="155"/>
        <v>113007.99999999999</v>
      </c>
      <c r="BR252" s="3555">
        <f t="shared" si="155"/>
        <v>154004</v>
      </c>
      <c r="BS252" s="3555">
        <f t="shared" si="155"/>
        <v>211700.99999999997</v>
      </c>
      <c r="BT252" s="3555">
        <f t="shared" si="155"/>
        <v>254694.99999999997</v>
      </c>
      <c r="BU252" s="3555">
        <f t="shared" si="155"/>
        <v>283740</v>
      </c>
      <c r="BV252" s="3555">
        <f t="shared" si="155"/>
        <v>318927</v>
      </c>
      <c r="BW252" s="3555">
        <f t="shared" si="155"/>
        <v>389448.99999999994</v>
      </c>
      <c r="BX252" s="3555">
        <f t="shared" si="155"/>
        <v>429445.99999999994</v>
      </c>
      <c r="BY252" s="3555">
        <f t="shared" si="155"/>
        <v>495157.99999999994</v>
      </c>
      <c r="BZ252" s="3555">
        <f t="shared" si="155"/>
        <v>557688</v>
      </c>
      <c r="CA252" s="3555">
        <f t="shared" si="155"/>
        <v>631503</v>
      </c>
      <c r="CB252" s="3555">
        <f t="shared" si="155"/>
        <v>648449</v>
      </c>
      <c r="CC252" s="385"/>
      <c r="CD252" s="385"/>
      <c r="CE252" s="385"/>
      <c r="CF252" s="385"/>
      <c r="CG252" s="385"/>
      <c r="CH252" s="385"/>
    </row>
    <row r="253" spans="1:86">
      <c r="B253" s="2131" t="s">
        <v>1710</v>
      </c>
      <c r="C253" s="29" t="s">
        <v>119</v>
      </c>
      <c r="D253" s="29" t="s">
        <v>112</v>
      </c>
      <c r="E253" s="29" t="s">
        <v>113</v>
      </c>
      <c r="F253" s="29" t="s">
        <v>114</v>
      </c>
      <c r="G253" s="29" t="s">
        <v>115</v>
      </c>
      <c r="H253" s="29" t="s">
        <v>116</v>
      </c>
      <c r="I253" s="29" t="s">
        <v>117</v>
      </c>
      <c r="J253" s="3561" t="str">
        <f>J278</f>
        <v>Right</v>
      </c>
      <c r="M253" s="311">
        <v>6.3</v>
      </c>
      <c r="N253" s="311"/>
      <c r="O253" s="311" t="s">
        <v>157</v>
      </c>
      <c r="P253" s="145">
        <v>8.6</v>
      </c>
      <c r="Q253" s="311"/>
      <c r="R253" s="3559" t="str">
        <f t="shared" si="145"/>
        <v>160M</v>
      </c>
      <c r="S253" s="145">
        <v>957</v>
      </c>
      <c r="T253" s="311">
        <v>121</v>
      </c>
      <c r="U253" s="3555">
        <f>(V253*(1-H245))+W253+X253+Y253+Z253</f>
        <v>63650</v>
      </c>
      <c r="V253" s="416">
        <v>95000</v>
      </c>
      <c r="W253" s="416">
        <v>17500</v>
      </c>
      <c r="X253" s="3562">
        <f t="shared" si="153"/>
        <v>4000</v>
      </c>
      <c r="Y253" s="3562">
        <f t="shared" si="152"/>
        <v>7000</v>
      </c>
      <c r="Z253" s="3562">
        <f t="shared" si="146"/>
        <v>4750</v>
      </c>
      <c r="AB253" s="53"/>
      <c r="AC253" s="19"/>
      <c r="AF253" s="311"/>
      <c r="AG253" s="311">
        <v>4.3</v>
      </c>
      <c r="AH253" s="311" t="s">
        <v>151</v>
      </c>
      <c r="AI253" s="145"/>
      <c r="AJ253" s="311">
        <v>5.6</v>
      </c>
      <c r="AK253" s="3559" t="str">
        <f t="shared" si="147"/>
        <v>132M</v>
      </c>
      <c r="AL253" s="159">
        <v>959</v>
      </c>
      <c r="AM253" s="311">
        <v>79</v>
      </c>
      <c r="AN253" s="3555">
        <f>(AO253*(1-H245))+AP253+AQ253+AR253+AS253</f>
        <v>41811</v>
      </c>
      <c r="AO253" s="416">
        <v>60300</v>
      </c>
      <c r="AP253" s="3562">
        <f>+AP252</f>
        <v>8500</v>
      </c>
      <c r="AQ253" s="3562">
        <f t="shared" ref="AQ253:AQ259" si="156">+AQ252</f>
        <v>4000</v>
      </c>
      <c r="AR253" s="3562">
        <f t="shared" si="154"/>
        <v>7000</v>
      </c>
      <c r="AS253" s="3562">
        <f t="shared" si="149"/>
        <v>3015</v>
      </c>
      <c r="AZ253" s="2618"/>
      <c r="BD253" s="29" t="s">
        <v>113</v>
      </c>
      <c r="BE253" s="416">
        <v>17100</v>
      </c>
      <c r="BF253" s="416">
        <v>17400</v>
      </c>
      <c r="BG253" s="416">
        <v>21200</v>
      </c>
      <c r="BH253" s="416">
        <v>23600</v>
      </c>
      <c r="BI253" s="416">
        <v>29700</v>
      </c>
      <c r="BJ253" s="416">
        <v>35500</v>
      </c>
      <c r="BK253" s="416">
        <v>53200</v>
      </c>
      <c r="BL253" s="416">
        <v>60300</v>
      </c>
      <c r="BM253" s="416">
        <v>95000</v>
      </c>
      <c r="BN253" s="416">
        <v>118100</v>
      </c>
      <c r="BO253" s="416">
        <v>154200</v>
      </c>
      <c r="BP253" s="416">
        <v>210300</v>
      </c>
      <c r="BQ253" s="416">
        <v>228400</v>
      </c>
      <c r="BR253" s="416">
        <v>339200</v>
      </c>
      <c r="BS253" s="416">
        <v>457300</v>
      </c>
      <c r="BT253" s="416">
        <v>573500</v>
      </c>
      <c r="BU253" s="416">
        <v>652000</v>
      </c>
      <c r="BV253" s="416">
        <v>747100</v>
      </c>
      <c r="BW253" s="416">
        <v>937700</v>
      </c>
      <c r="BX253" s="416">
        <v>1045800</v>
      </c>
      <c r="BY253" s="416">
        <v>1223400</v>
      </c>
      <c r="BZ253" s="416">
        <v>1392400</v>
      </c>
      <c r="CA253" s="416">
        <v>1591900</v>
      </c>
      <c r="CB253" s="416">
        <v>1637700</v>
      </c>
      <c r="CC253" s="416"/>
      <c r="CD253" s="421"/>
      <c r="CE253" s="421"/>
      <c r="CF253" s="421"/>
      <c r="CG253" s="421"/>
      <c r="CH253" s="421"/>
    </row>
    <row r="254" spans="1:86">
      <c r="B254" s="2602" t="s">
        <v>2471</v>
      </c>
      <c r="C254" s="3532" t="str">
        <f>F247</f>
        <v>180L</v>
      </c>
      <c r="D254" s="3549">
        <f>IF(A247="40%",U279,IF(A247="60%",U286))</f>
        <v>85554</v>
      </c>
      <c r="E254" s="3532">
        <f>IF(A247="40%",V279,IF(A247="60%",V286))</f>
        <v>154200</v>
      </c>
      <c r="F254" s="3532">
        <f>IF(A247="40%",W279,IF(A247="60%",W286))</f>
        <v>17500</v>
      </c>
      <c r="G254" s="3532">
        <f>IF(A247="40%",X279,IF(A247="60%",X286))</f>
        <v>4000</v>
      </c>
      <c r="H254" s="3532">
        <f>IF(A247="40%",Y279,IF(A247="60%",Y286))</f>
        <v>7000</v>
      </c>
      <c r="I254" s="3532">
        <f>IF(A247="40%",Z279,IF(A247="60%",Z286))</f>
        <v>7710</v>
      </c>
      <c r="J254" s="3561" t="str">
        <f t="shared" ref="J254:J256" si="157">J279</f>
        <v>Right</v>
      </c>
      <c r="M254" s="311">
        <v>8.6</v>
      </c>
      <c r="N254" s="311"/>
      <c r="O254" s="311" t="s">
        <v>163</v>
      </c>
      <c r="P254" s="145">
        <v>13</v>
      </c>
      <c r="Q254" s="311"/>
      <c r="R254" s="3559" t="str">
        <f t="shared" si="145"/>
        <v>160L</v>
      </c>
      <c r="S254" s="145">
        <v>960</v>
      </c>
      <c r="T254" s="311">
        <v>146</v>
      </c>
      <c r="U254" s="3555">
        <f>(V254*(1-H245))+W254+X254+Y254+Z254</f>
        <v>72197</v>
      </c>
      <c r="V254" s="416">
        <v>118100</v>
      </c>
      <c r="W254" s="3562">
        <f>+W253</f>
        <v>17500</v>
      </c>
      <c r="X254" s="3562">
        <f t="shared" si="153"/>
        <v>4000</v>
      </c>
      <c r="Y254" s="3562">
        <f t="shared" si="152"/>
        <v>7000</v>
      </c>
      <c r="Z254" s="3562">
        <f t="shared" si="146"/>
        <v>5905</v>
      </c>
      <c r="AB254" s="53"/>
      <c r="AC254" s="53"/>
      <c r="AF254" s="311"/>
      <c r="AG254" s="311">
        <v>5.6</v>
      </c>
      <c r="AH254" s="311" t="s">
        <v>157</v>
      </c>
      <c r="AI254" s="145"/>
      <c r="AJ254" s="311">
        <v>7.6</v>
      </c>
      <c r="AK254" s="3559" t="str">
        <f t="shared" si="147"/>
        <v>160M</v>
      </c>
      <c r="AL254" s="159">
        <v>955</v>
      </c>
      <c r="AM254" s="311">
        <v>121</v>
      </c>
      <c r="AN254" s="3555">
        <f>(AO254*(1-H245))+AP254+AQ254+AR254+AS254</f>
        <v>63650</v>
      </c>
      <c r="AO254" s="416">
        <v>95000</v>
      </c>
      <c r="AP254" s="416">
        <v>17500</v>
      </c>
      <c r="AQ254" s="3562">
        <f t="shared" si="156"/>
        <v>4000</v>
      </c>
      <c r="AR254" s="3562">
        <f t="shared" si="154"/>
        <v>7000</v>
      </c>
      <c r="AS254" s="3562">
        <f t="shared" si="149"/>
        <v>4750</v>
      </c>
      <c r="AZ254" s="2618"/>
      <c r="BD254" s="29" t="s">
        <v>114</v>
      </c>
      <c r="BE254" s="416">
        <v>8500</v>
      </c>
      <c r="BF254" s="3562">
        <f t="shared" ref="BF254:BL254" si="158">+BE254</f>
        <v>8500</v>
      </c>
      <c r="BG254" s="3562">
        <f t="shared" si="158"/>
        <v>8500</v>
      </c>
      <c r="BH254" s="3562">
        <f t="shared" si="158"/>
        <v>8500</v>
      </c>
      <c r="BI254" s="3562">
        <f t="shared" si="158"/>
        <v>8500</v>
      </c>
      <c r="BJ254" s="3562">
        <f t="shared" si="158"/>
        <v>8500</v>
      </c>
      <c r="BK254" s="3562">
        <f t="shared" si="158"/>
        <v>8500</v>
      </c>
      <c r="BL254" s="3562">
        <f t="shared" si="158"/>
        <v>8500</v>
      </c>
      <c r="BM254" s="416">
        <v>17500</v>
      </c>
      <c r="BN254" s="3562">
        <f t="shared" ref="BN254:BR256" si="159">+BM254</f>
        <v>17500</v>
      </c>
      <c r="BO254" s="3562">
        <f t="shared" si="159"/>
        <v>17500</v>
      </c>
      <c r="BP254" s="3562">
        <f t="shared" si="159"/>
        <v>17500</v>
      </c>
      <c r="BQ254" s="3562">
        <f t="shared" si="159"/>
        <v>17500</v>
      </c>
      <c r="BR254" s="3562">
        <f t="shared" si="159"/>
        <v>17500</v>
      </c>
      <c r="BS254" s="416">
        <v>27500</v>
      </c>
      <c r="BT254" s="3562">
        <f t="shared" ref="BT254:CB254" si="160">+BS254</f>
        <v>27500</v>
      </c>
      <c r="BU254" s="3562">
        <f t="shared" si="160"/>
        <v>27500</v>
      </c>
      <c r="BV254" s="3562">
        <f t="shared" si="160"/>
        <v>27500</v>
      </c>
      <c r="BW254" s="3562">
        <f t="shared" si="160"/>
        <v>27500</v>
      </c>
      <c r="BX254" s="3562">
        <f t="shared" si="160"/>
        <v>27500</v>
      </c>
      <c r="BY254" s="3562">
        <f t="shared" si="160"/>
        <v>27500</v>
      </c>
      <c r="BZ254" s="3562">
        <f t="shared" si="160"/>
        <v>27500</v>
      </c>
      <c r="CA254" s="3562">
        <f t="shared" si="160"/>
        <v>27500</v>
      </c>
      <c r="CB254" s="3562">
        <f t="shared" si="160"/>
        <v>27500</v>
      </c>
      <c r="CC254" s="416"/>
      <c r="CD254" s="416"/>
      <c r="CE254" s="416"/>
      <c r="CF254" s="416"/>
      <c r="CG254" s="416"/>
      <c r="CH254" s="416"/>
    </row>
    <row r="255" spans="1:86">
      <c r="B255" s="2602" t="s">
        <v>2472</v>
      </c>
      <c r="C255" s="3532" t="str">
        <f>F248</f>
        <v>180L</v>
      </c>
      <c r="D255" s="3549">
        <f>IF(A248="40%",U280,IF(A248="60%",U287))</f>
        <v>85554</v>
      </c>
      <c r="E255" s="3532">
        <f>IF(A248="40%",V280,IF(A248="60%",V287))</f>
        <v>154200</v>
      </c>
      <c r="F255" s="3532">
        <f>IF(A248="40%",W280,IF(A248="60%",W287))</f>
        <v>17500</v>
      </c>
      <c r="G255" s="3532">
        <f>IF(A248="40%",X280,IF(A248="60%",X287))</f>
        <v>4000</v>
      </c>
      <c r="H255" s="3532">
        <f>IF(A248="40%",Y280,IF(A248="60%",Y287))</f>
        <v>7000</v>
      </c>
      <c r="I255" s="3532">
        <f>IF(A248="40%",Z280,IF(A248="60%",Z287))</f>
        <v>7710</v>
      </c>
      <c r="J255" s="3561" t="str">
        <f t="shared" si="157"/>
        <v>Right</v>
      </c>
      <c r="M255" s="311">
        <v>13</v>
      </c>
      <c r="N255" s="311"/>
      <c r="O255" s="311" t="s">
        <v>169</v>
      </c>
      <c r="P255" s="145">
        <v>15</v>
      </c>
      <c r="Q255" s="311"/>
      <c r="R255" s="3559" t="str">
        <f t="shared" si="145"/>
        <v>180L</v>
      </c>
      <c r="S255" s="145">
        <v>970</v>
      </c>
      <c r="T255" s="311">
        <v>204</v>
      </c>
      <c r="U255" s="3555">
        <f>(V255*(1-H245))+W255+X255+Y255+Z255</f>
        <v>85554</v>
      </c>
      <c r="V255" s="416">
        <v>154200</v>
      </c>
      <c r="W255" s="3562">
        <f>+W254</f>
        <v>17500</v>
      </c>
      <c r="X255" s="3562">
        <f t="shared" si="153"/>
        <v>4000</v>
      </c>
      <c r="Y255" s="3562">
        <f t="shared" si="152"/>
        <v>7000</v>
      </c>
      <c r="Z255" s="3562">
        <f t="shared" si="146"/>
        <v>7710</v>
      </c>
      <c r="AB255" s="53"/>
      <c r="AC255" s="53"/>
      <c r="AF255" s="311"/>
      <c r="AG255" s="311">
        <v>7.6</v>
      </c>
      <c r="AH255" s="311" t="s">
        <v>163</v>
      </c>
      <c r="AI255" s="145"/>
      <c r="AJ255" s="311">
        <v>11</v>
      </c>
      <c r="AK255" s="3559" t="str">
        <f t="shared" si="147"/>
        <v>160L</v>
      </c>
      <c r="AL255" s="159">
        <v>967</v>
      </c>
      <c r="AM255" s="311">
        <v>146</v>
      </c>
      <c r="AN255" s="3555">
        <f>(AO255*(1-H245))+AP255+AQ255+AR255+AS255</f>
        <v>72197</v>
      </c>
      <c r="AO255" s="416">
        <v>118100</v>
      </c>
      <c r="AP255" s="3562">
        <f>+AP254</f>
        <v>17500</v>
      </c>
      <c r="AQ255" s="3562">
        <f t="shared" si="156"/>
        <v>4000</v>
      </c>
      <c r="AR255" s="3562">
        <f t="shared" si="154"/>
        <v>7000</v>
      </c>
      <c r="AS255" s="3562">
        <f t="shared" si="149"/>
        <v>5905</v>
      </c>
      <c r="AZ255" s="2618"/>
      <c r="BD255" s="29" t="s">
        <v>115</v>
      </c>
      <c r="BE255" s="416">
        <v>3000</v>
      </c>
      <c r="BF255" s="3562">
        <f t="shared" ref="BF255:BJ256" si="161">+BE255</f>
        <v>3000</v>
      </c>
      <c r="BG255" s="3562">
        <f t="shared" si="161"/>
        <v>3000</v>
      </c>
      <c r="BH255" s="3562">
        <f t="shared" si="161"/>
        <v>3000</v>
      </c>
      <c r="BI255" s="3562">
        <f t="shared" si="161"/>
        <v>3000</v>
      </c>
      <c r="BJ255" s="3562">
        <f t="shared" si="161"/>
        <v>3000</v>
      </c>
      <c r="BK255" s="416">
        <v>4000</v>
      </c>
      <c r="BL255" s="3562">
        <f>+BK255</f>
        <v>4000</v>
      </c>
      <c r="BM255" s="3562">
        <f>+BL255</f>
        <v>4000</v>
      </c>
      <c r="BN255" s="3562">
        <f t="shared" si="159"/>
        <v>4000</v>
      </c>
      <c r="BO255" s="3562">
        <f t="shared" si="159"/>
        <v>4000</v>
      </c>
      <c r="BP255" s="3562">
        <f t="shared" si="159"/>
        <v>4000</v>
      </c>
      <c r="BQ255" s="3562">
        <f t="shared" si="159"/>
        <v>4000</v>
      </c>
      <c r="BR255" s="3562">
        <f t="shared" si="159"/>
        <v>4000</v>
      </c>
      <c r="BS255" s="416">
        <v>8000</v>
      </c>
      <c r="BT255" s="3562">
        <f t="shared" ref="BT255:CB255" si="162">+BS255</f>
        <v>8000</v>
      </c>
      <c r="BU255" s="3562">
        <f t="shared" si="162"/>
        <v>8000</v>
      </c>
      <c r="BV255" s="3562">
        <f t="shared" si="162"/>
        <v>8000</v>
      </c>
      <c r="BW255" s="3562">
        <f t="shared" si="162"/>
        <v>8000</v>
      </c>
      <c r="BX255" s="3562">
        <f t="shared" si="162"/>
        <v>8000</v>
      </c>
      <c r="BY255" s="3562">
        <f t="shared" si="162"/>
        <v>8000</v>
      </c>
      <c r="BZ255" s="3562">
        <f t="shared" si="162"/>
        <v>8000</v>
      </c>
      <c r="CA255" s="3562">
        <f t="shared" si="162"/>
        <v>8000</v>
      </c>
      <c r="CB255" s="3562">
        <f t="shared" si="162"/>
        <v>8000</v>
      </c>
      <c r="CC255" s="416"/>
      <c r="CD255" s="416"/>
      <c r="CE255" s="416"/>
      <c r="CF255" s="416"/>
      <c r="CG255" s="416"/>
      <c r="CH255" s="416"/>
    </row>
    <row r="256" spans="1:86">
      <c r="B256" s="2602" t="s">
        <v>2473</v>
      </c>
      <c r="C256" s="3532" t="b">
        <f>F249</f>
        <v>0</v>
      </c>
      <c r="D256" s="3549" t="b">
        <f>IF(A249="40%",U281,IF(A249="60%",U288))</f>
        <v>0</v>
      </c>
      <c r="E256" s="3532" t="b">
        <f>IF(A249="40%",V281,IF(A249="60%",V288))</f>
        <v>0</v>
      </c>
      <c r="F256" s="3532" t="b">
        <f>IF(A249="40%",W281,IF(A249="60%",W288))</f>
        <v>0</v>
      </c>
      <c r="G256" s="3532" t="b">
        <f>IF(A249="40%",X281,IF(A249="60%",X288))</f>
        <v>0</v>
      </c>
      <c r="H256" s="3532" t="b">
        <f>IF(A249="40%",Y281,IF(A249="60%",Y288))</f>
        <v>0</v>
      </c>
      <c r="I256" s="3532" t="b">
        <f>IF(A249="40%",Z281,IF(A249="60%",Z288))</f>
        <v>0</v>
      </c>
      <c r="J256" s="3561" t="b">
        <f t="shared" si="157"/>
        <v>0</v>
      </c>
      <c r="M256" s="311">
        <v>15</v>
      </c>
      <c r="N256" s="311"/>
      <c r="O256" s="1094" t="s">
        <v>175</v>
      </c>
      <c r="P256" s="145">
        <v>23</v>
      </c>
      <c r="Q256" s="311"/>
      <c r="R256" s="3559" t="str">
        <f t="shared" si="145"/>
        <v>200L (1)</v>
      </c>
      <c r="S256" s="145">
        <v>976</v>
      </c>
      <c r="T256" s="311">
        <v>254</v>
      </c>
      <c r="U256" s="3555">
        <f>(V256*(1-H245))+W256+X256+Y256+Z256</f>
        <v>106310.99999999999</v>
      </c>
      <c r="V256" s="416">
        <v>210300</v>
      </c>
      <c r="W256" s="3562">
        <f>+W255</f>
        <v>17500</v>
      </c>
      <c r="X256" s="3562">
        <f t="shared" si="153"/>
        <v>4000</v>
      </c>
      <c r="Y256" s="3562">
        <f t="shared" si="152"/>
        <v>7000</v>
      </c>
      <c r="Z256" s="3562">
        <f t="shared" si="146"/>
        <v>10515</v>
      </c>
      <c r="AB256" s="53"/>
      <c r="AC256" s="19"/>
      <c r="AF256" s="311"/>
      <c r="AG256" s="311">
        <v>11</v>
      </c>
      <c r="AH256" s="311" t="s">
        <v>169</v>
      </c>
      <c r="AI256" s="145"/>
      <c r="AJ256" s="311">
        <v>14</v>
      </c>
      <c r="AK256" s="3559" t="str">
        <f t="shared" si="147"/>
        <v>180L</v>
      </c>
      <c r="AL256" s="159">
        <v>972</v>
      </c>
      <c r="AM256" s="311">
        <v>204</v>
      </c>
      <c r="AN256" s="3555">
        <f>(AO256*(1-H245))+AP256+AQ256+AR256+AS256</f>
        <v>85554</v>
      </c>
      <c r="AO256" s="416">
        <v>154200</v>
      </c>
      <c r="AP256" s="3562">
        <f>+AP255</f>
        <v>17500</v>
      </c>
      <c r="AQ256" s="3562">
        <f t="shared" si="156"/>
        <v>4000</v>
      </c>
      <c r="AR256" s="3562">
        <f t="shared" si="154"/>
        <v>7000</v>
      </c>
      <c r="AS256" s="3562">
        <f t="shared" si="149"/>
        <v>7710</v>
      </c>
      <c r="AZ256" s="2618"/>
      <c r="BD256" s="29" t="s">
        <v>116</v>
      </c>
      <c r="BE256" s="416">
        <v>7000</v>
      </c>
      <c r="BF256" s="3562">
        <f t="shared" si="161"/>
        <v>7000</v>
      </c>
      <c r="BG256" s="3562">
        <f t="shared" si="161"/>
        <v>7000</v>
      </c>
      <c r="BH256" s="3562">
        <f t="shared" si="161"/>
        <v>7000</v>
      </c>
      <c r="BI256" s="3562">
        <f t="shared" si="161"/>
        <v>7000</v>
      </c>
      <c r="BJ256" s="3562">
        <f t="shared" si="161"/>
        <v>7000</v>
      </c>
      <c r="BK256" s="3562">
        <f>+BJ256</f>
        <v>7000</v>
      </c>
      <c r="BL256" s="3562">
        <f>+BK256</f>
        <v>7000</v>
      </c>
      <c r="BM256" s="3562">
        <f>+BL256</f>
        <v>7000</v>
      </c>
      <c r="BN256" s="3562">
        <f t="shared" si="159"/>
        <v>7000</v>
      </c>
      <c r="BO256" s="3562">
        <f t="shared" si="159"/>
        <v>7000</v>
      </c>
      <c r="BP256" s="3562">
        <f t="shared" si="159"/>
        <v>7000</v>
      </c>
      <c r="BQ256" s="3562">
        <f t="shared" si="159"/>
        <v>7000</v>
      </c>
      <c r="BR256" s="3562">
        <f t="shared" si="159"/>
        <v>7000</v>
      </c>
      <c r="BS256" s="3562">
        <f>+BR256</f>
        <v>7000</v>
      </c>
      <c r="BT256" s="3562">
        <f t="shared" ref="BT256:CB256" si="163">+BS256</f>
        <v>7000</v>
      </c>
      <c r="BU256" s="3562">
        <f t="shared" si="163"/>
        <v>7000</v>
      </c>
      <c r="BV256" s="3562">
        <f t="shared" si="163"/>
        <v>7000</v>
      </c>
      <c r="BW256" s="3562">
        <f t="shared" si="163"/>
        <v>7000</v>
      </c>
      <c r="BX256" s="3562">
        <f t="shared" si="163"/>
        <v>7000</v>
      </c>
      <c r="BY256" s="3562">
        <f t="shared" si="163"/>
        <v>7000</v>
      </c>
      <c r="BZ256" s="3562">
        <f t="shared" si="163"/>
        <v>7000</v>
      </c>
      <c r="CA256" s="3562">
        <f t="shared" si="163"/>
        <v>7000</v>
      </c>
      <c r="CB256" s="3562">
        <f t="shared" si="163"/>
        <v>7000</v>
      </c>
      <c r="CC256" s="416"/>
      <c r="CD256" s="416"/>
      <c r="CE256" s="416"/>
      <c r="CF256" s="416"/>
      <c r="CG256" s="416"/>
      <c r="CH256" s="416"/>
    </row>
    <row r="257" spans="2:100">
      <c r="B257" s="2602" t="s">
        <v>2474</v>
      </c>
      <c r="C257" s="3532" t="b">
        <f>F250</f>
        <v>0</v>
      </c>
      <c r="D257" s="3549" t="b">
        <f>IF(A250="40%",U282,IF(A250="60%",U289))</f>
        <v>0</v>
      </c>
      <c r="E257" s="3532" t="b">
        <f>IF(A250="40%",V282,IF(A250="60%",V289))</f>
        <v>0</v>
      </c>
      <c r="F257" s="3532" t="b">
        <f>IF(A250="40%",W282,IF(A250="60%",W289))</f>
        <v>0</v>
      </c>
      <c r="G257" s="3532" t="b">
        <f>IF(A250="40%",X282,IF(A250="60%",X289))</f>
        <v>0</v>
      </c>
      <c r="H257" s="3532" t="b">
        <f>IF(A250="40%",Y282,IF(A250="60%",Y289))</f>
        <v>0</v>
      </c>
      <c r="I257" s="3532" t="b">
        <f>IF(A250="40%",Z282,IF(A250="60%",Z289))</f>
        <v>0</v>
      </c>
      <c r="J257" s="3561" t="b">
        <f>J282</f>
        <v>0</v>
      </c>
      <c r="M257" s="311">
        <v>23</v>
      </c>
      <c r="N257" s="311"/>
      <c r="O257" s="1094" t="s">
        <v>180</v>
      </c>
      <c r="P257" s="145">
        <v>25</v>
      </c>
      <c r="Q257" s="311"/>
      <c r="R257" s="3559" t="str">
        <f t="shared" si="145"/>
        <v>200L (2)</v>
      </c>
      <c r="S257" s="145">
        <v>975</v>
      </c>
      <c r="T257" s="311">
        <v>270</v>
      </c>
      <c r="U257" s="3555">
        <f>(V257*(1-H245))+W257+X257+Y257+Z257</f>
        <v>113007.99999999999</v>
      </c>
      <c r="V257" s="416">
        <v>228400</v>
      </c>
      <c r="W257" s="3562">
        <f>+W256</f>
        <v>17500</v>
      </c>
      <c r="X257" s="3562">
        <f t="shared" si="153"/>
        <v>4000</v>
      </c>
      <c r="Y257" s="3562">
        <f t="shared" si="152"/>
        <v>7000</v>
      </c>
      <c r="Z257" s="3562">
        <f t="shared" si="146"/>
        <v>11420</v>
      </c>
      <c r="AB257" s="53"/>
      <c r="AC257" s="19"/>
      <c r="AF257" s="311"/>
      <c r="AG257" s="311">
        <v>14</v>
      </c>
      <c r="AH257" s="1094" t="s">
        <v>175</v>
      </c>
      <c r="AI257" s="145"/>
      <c r="AJ257" s="311">
        <v>20</v>
      </c>
      <c r="AK257" s="3559" t="str">
        <f t="shared" si="147"/>
        <v>200L (1)</v>
      </c>
      <c r="AL257" s="159">
        <v>977</v>
      </c>
      <c r="AM257" s="311">
        <v>254</v>
      </c>
      <c r="AN257" s="3555">
        <f>(AO257*(1-H245))+AP257+AQ257+AR257+AS257</f>
        <v>106310.99999999999</v>
      </c>
      <c r="AO257" s="416">
        <v>210300</v>
      </c>
      <c r="AP257" s="3562">
        <f>+AP256</f>
        <v>17500</v>
      </c>
      <c r="AQ257" s="3562">
        <f t="shared" si="156"/>
        <v>4000</v>
      </c>
      <c r="AR257" s="3562">
        <f t="shared" si="154"/>
        <v>7000</v>
      </c>
      <c r="AS257" s="3562">
        <f t="shared" si="149"/>
        <v>10515</v>
      </c>
      <c r="AZ257" s="2618"/>
      <c r="BD257" s="29" t="s">
        <v>117</v>
      </c>
      <c r="BE257" s="3562">
        <f t="shared" ref="BE257:CB257" si="164">BE253*5%</f>
        <v>855</v>
      </c>
      <c r="BF257" s="3562">
        <f t="shared" si="164"/>
        <v>870</v>
      </c>
      <c r="BG257" s="3562">
        <f t="shared" si="164"/>
        <v>1060</v>
      </c>
      <c r="BH257" s="3562">
        <f t="shared" si="164"/>
        <v>1180</v>
      </c>
      <c r="BI257" s="3562">
        <f t="shared" si="164"/>
        <v>1485</v>
      </c>
      <c r="BJ257" s="3562">
        <f t="shared" si="164"/>
        <v>1775</v>
      </c>
      <c r="BK257" s="3562">
        <f t="shared" si="164"/>
        <v>2660</v>
      </c>
      <c r="BL257" s="3562">
        <f t="shared" si="164"/>
        <v>3015</v>
      </c>
      <c r="BM257" s="3562">
        <f t="shared" si="164"/>
        <v>4750</v>
      </c>
      <c r="BN257" s="3562">
        <f t="shared" si="164"/>
        <v>5905</v>
      </c>
      <c r="BO257" s="3562">
        <f t="shared" si="164"/>
        <v>7710</v>
      </c>
      <c r="BP257" s="3562">
        <f t="shared" si="164"/>
        <v>10515</v>
      </c>
      <c r="BQ257" s="3562">
        <f t="shared" si="164"/>
        <v>11420</v>
      </c>
      <c r="BR257" s="3562">
        <f t="shared" si="164"/>
        <v>16960</v>
      </c>
      <c r="BS257" s="3562">
        <f t="shared" si="164"/>
        <v>22865</v>
      </c>
      <c r="BT257" s="3562">
        <f t="shared" si="164"/>
        <v>28675</v>
      </c>
      <c r="BU257" s="3562">
        <f t="shared" si="164"/>
        <v>32600</v>
      </c>
      <c r="BV257" s="3562">
        <f t="shared" si="164"/>
        <v>37355</v>
      </c>
      <c r="BW257" s="3562">
        <f t="shared" si="164"/>
        <v>46885</v>
      </c>
      <c r="BX257" s="3562">
        <f t="shared" si="164"/>
        <v>52290</v>
      </c>
      <c r="BY257" s="3562">
        <f t="shared" si="164"/>
        <v>61170</v>
      </c>
      <c r="BZ257" s="3562">
        <f t="shared" si="164"/>
        <v>69620</v>
      </c>
      <c r="CA257" s="3562">
        <f t="shared" si="164"/>
        <v>79595</v>
      </c>
      <c r="CB257" s="3562">
        <f t="shared" si="164"/>
        <v>81885</v>
      </c>
      <c r="CC257" s="416"/>
      <c r="CD257" s="416"/>
      <c r="CE257" s="416"/>
      <c r="CF257" s="416"/>
      <c r="CG257" s="416"/>
      <c r="CH257" s="416"/>
    </row>
    <row r="258" spans="2:100">
      <c r="B258" s="20"/>
      <c r="C258" s="19"/>
      <c r="H258" s="17"/>
      <c r="I258" s="17"/>
      <c r="M258" s="311">
        <v>25</v>
      </c>
      <c r="N258" s="311"/>
      <c r="O258" s="1094" t="s">
        <v>184</v>
      </c>
      <c r="P258" s="145">
        <v>34</v>
      </c>
      <c r="Q258" s="311"/>
      <c r="R258" s="3559" t="str">
        <f t="shared" si="145"/>
        <v>225M</v>
      </c>
      <c r="S258" s="145">
        <v>974</v>
      </c>
      <c r="T258" s="311">
        <v>380</v>
      </c>
      <c r="U258" s="3555">
        <f>(V258*(1-H245))+W258+X258+Y258+Z258</f>
        <v>154004</v>
      </c>
      <c r="V258" s="416">
        <v>339200</v>
      </c>
      <c r="W258" s="3562">
        <f>+W257</f>
        <v>17500</v>
      </c>
      <c r="X258" s="3562">
        <f t="shared" si="153"/>
        <v>4000</v>
      </c>
      <c r="Y258" s="3562">
        <f t="shared" si="152"/>
        <v>7000</v>
      </c>
      <c r="Z258" s="3562">
        <f t="shared" si="146"/>
        <v>16960</v>
      </c>
      <c r="AB258" s="53"/>
      <c r="AC258" s="53"/>
      <c r="AF258" s="311"/>
      <c r="AG258" s="311">
        <v>20</v>
      </c>
      <c r="AH258" s="1094" t="s">
        <v>180</v>
      </c>
      <c r="AI258" s="145"/>
      <c r="AJ258" s="311">
        <v>23</v>
      </c>
      <c r="AK258" s="3559" t="str">
        <f t="shared" si="147"/>
        <v>200L (2)</v>
      </c>
      <c r="AL258" s="159">
        <v>977</v>
      </c>
      <c r="AM258" s="311">
        <v>270</v>
      </c>
      <c r="AN258" s="3555">
        <f>(AO258*(1-H245))+AP258+AQ258+AR258+AS258</f>
        <v>113007.99999999999</v>
      </c>
      <c r="AO258" s="416">
        <v>228400</v>
      </c>
      <c r="AP258" s="3562">
        <f>+AP257</f>
        <v>17500</v>
      </c>
      <c r="AQ258" s="3562">
        <f t="shared" si="156"/>
        <v>4000</v>
      </c>
      <c r="AR258" s="3562">
        <f t="shared" si="154"/>
        <v>7000</v>
      </c>
      <c r="AS258" s="3562">
        <f t="shared" si="149"/>
        <v>11420</v>
      </c>
      <c r="AZ258" s="2618"/>
      <c r="BT258" s="53"/>
    </row>
    <row r="259" spans="2:100">
      <c r="B259" s="20"/>
      <c r="C259" s="19"/>
      <c r="H259" s="17"/>
      <c r="I259" s="17"/>
      <c r="M259" s="311">
        <v>34</v>
      </c>
      <c r="N259" s="311"/>
      <c r="O259" s="1094" t="s">
        <v>189</v>
      </c>
      <c r="P259" s="145">
        <v>41</v>
      </c>
      <c r="Q259" s="311"/>
      <c r="R259" s="3559" t="str">
        <f t="shared" si="145"/>
        <v>250M</v>
      </c>
      <c r="S259" s="145">
        <v>977</v>
      </c>
      <c r="T259" s="311">
        <v>500</v>
      </c>
      <c r="U259" s="3555">
        <f>(V259*(1-H245))+W259+X259+Y259+Z259</f>
        <v>211700.99999999997</v>
      </c>
      <c r="V259" s="416">
        <v>457300</v>
      </c>
      <c r="W259" s="416">
        <v>27500</v>
      </c>
      <c r="X259" s="416">
        <v>8000</v>
      </c>
      <c r="Y259" s="3562">
        <f t="shared" si="152"/>
        <v>7000</v>
      </c>
      <c r="Z259" s="3562">
        <f t="shared" si="146"/>
        <v>22865</v>
      </c>
      <c r="AB259" s="53"/>
      <c r="AC259" s="53"/>
      <c r="AF259" s="311"/>
      <c r="AG259" s="311">
        <v>23</v>
      </c>
      <c r="AH259" s="1094" t="s">
        <v>184</v>
      </c>
      <c r="AI259" s="145"/>
      <c r="AJ259" s="311">
        <v>31</v>
      </c>
      <c r="AK259" s="3559" t="str">
        <f t="shared" si="147"/>
        <v>225M</v>
      </c>
      <c r="AL259" s="159">
        <v>974</v>
      </c>
      <c r="AM259" s="311">
        <v>380</v>
      </c>
      <c r="AN259" s="3555">
        <f>(AO259*(1-H245))+AP259+AQ259+AR259+AS259</f>
        <v>154004</v>
      </c>
      <c r="AO259" s="416">
        <v>339200</v>
      </c>
      <c r="AP259" s="3562">
        <f>+AP258</f>
        <v>17500</v>
      </c>
      <c r="AQ259" s="3562">
        <f t="shared" si="156"/>
        <v>4000</v>
      </c>
      <c r="AR259" s="3562">
        <f t="shared" si="154"/>
        <v>7000</v>
      </c>
      <c r="AS259" s="3562">
        <f t="shared" si="149"/>
        <v>16960</v>
      </c>
      <c r="AZ259" s="2618"/>
      <c r="BT259" s="53"/>
    </row>
    <row r="260" spans="2:100">
      <c r="B260" s="59"/>
      <c r="C260" s="19"/>
      <c r="H260" s="19"/>
      <c r="M260" s="311">
        <v>41</v>
      </c>
      <c r="N260" s="311"/>
      <c r="O260" s="311" t="s">
        <v>196</v>
      </c>
      <c r="P260" s="145">
        <v>54</v>
      </c>
      <c r="Q260" s="311"/>
      <c r="R260" s="3559" t="str">
        <f t="shared" si="145"/>
        <v>280S</v>
      </c>
      <c r="S260" s="145">
        <v>980</v>
      </c>
      <c r="T260" s="311">
        <v>620</v>
      </c>
      <c r="U260" s="3555">
        <f>(V260*(1-H245))+W260+X260+Y260+Z260</f>
        <v>254694.99999999997</v>
      </c>
      <c r="V260" s="416">
        <v>573500</v>
      </c>
      <c r="W260" s="3562">
        <f t="shared" ref="W260:W268" si="165">+W259</f>
        <v>27500</v>
      </c>
      <c r="X260" s="3562">
        <f t="shared" ref="X260:X268" si="166">+X259</f>
        <v>8000</v>
      </c>
      <c r="Y260" s="3562">
        <f t="shared" si="152"/>
        <v>7000</v>
      </c>
      <c r="Z260" s="3562">
        <f t="shared" si="146"/>
        <v>28675</v>
      </c>
      <c r="AB260" s="53"/>
      <c r="AC260" s="53"/>
      <c r="AF260" s="311"/>
      <c r="AG260" s="311">
        <v>31</v>
      </c>
      <c r="AH260" s="1094" t="s">
        <v>189</v>
      </c>
      <c r="AI260" s="145"/>
      <c r="AJ260" s="311">
        <v>38</v>
      </c>
      <c r="AK260" s="3559" t="str">
        <f t="shared" si="147"/>
        <v>250M</v>
      </c>
      <c r="AL260" s="159">
        <v>981</v>
      </c>
      <c r="AM260" s="311">
        <v>500</v>
      </c>
      <c r="AN260" s="3555">
        <f>(AO260*(1-H245))+AP260+AQ260+AR260+AS260</f>
        <v>211700.99999999997</v>
      </c>
      <c r="AO260" s="416">
        <v>457300</v>
      </c>
      <c r="AP260" s="416">
        <v>27500</v>
      </c>
      <c r="AQ260" s="416">
        <v>8000</v>
      </c>
      <c r="AR260" s="3562">
        <f t="shared" si="154"/>
        <v>7000</v>
      </c>
      <c r="AS260" s="3562">
        <f t="shared" si="149"/>
        <v>22865</v>
      </c>
      <c r="AZ260" s="2618"/>
      <c r="BQ260" s="29" t="s">
        <v>2500</v>
      </c>
      <c r="BR260" s="29"/>
      <c r="BS260" s="29"/>
      <c r="BT260" s="311"/>
      <c r="BU260" s="311"/>
      <c r="BV260" s="311"/>
      <c r="BW260" s="311"/>
      <c r="BX260" s="311"/>
      <c r="BY260" s="311"/>
      <c r="BZ260" s="311"/>
      <c r="CA260" s="311"/>
      <c r="CB260" s="311"/>
      <c r="CC260" s="311"/>
      <c r="CD260" s="311"/>
      <c r="CE260" s="311"/>
      <c r="CF260" s="311"/>
      <c r="CG260" s="311"/>
      <c r="CH260" s="311"/>
      <c r="CI260" s="311"/>
      <c r="CJ260" s="311"/>
      <c r="CK260" s="311"/>
      <c r="CL260" s="311"/>
      <c r="CM260" s="311"/>
      <c r="CN260" s="311"/>
      <c r="CO260" s="311"/>
      <c r="CP260" s="311"/>
      <c r="CQ260" s="311"/>
      <c r="CR260" s="311"/>
      <c r="CS260" s="311"/>
      <c r="CT260" s="311"/>
      <c r="CU260" s="311"/>
    </row>
    <row r="261" spans="2:100">
      <c r="B261" s="59"/>
      <c r="C261" s="19"/>
      <c r="H261" s="118"/>
      <c r="M261" s="311">
        <v>54</v>
      </c>
      <c r="N261" s="311"/>
      <c r="O261" s="311" t="s">
        <v>201</v>
      </c>
      <c r="P261" s="145">
        <v>63</v>
      </c>
      <c r="Q261" s="311"/>
      <c r="R261" s="3559" t="str">
        <f t="shared" si="145"/>
        <v>280M</v>
      </c>
      <c r="S261" s="145">
        <v>982</v>
      </c>
      <c r="T261" s="311">
        <v>700</v>
      </c>
      <c r="U261" s="3555">
        <f>(V261*(1-H245))+W261+X261+Y261+Z261</f>
        <v>283740</v>
      </c>
      <c r="V261" s="416">
        <v>652000</v>
      </c>
      <c r="W261" s="3562">
        <f t="shared" si="165"/>
        <v>27500</v>
      </c>
      <c r="X261" s="3562">
        <f t="shared" si="166"/>
        <v>8000</v>
      </c>
      <c r="Y261" s="3562">
        <f t="shared" si="152"/>
        <v>7000</v>
      </c>
      <c r="Z261" s="3562">
        <f t="shared" si="146"/>
        <v>32600</v>
      </c>
      <c r="AB261" s="53"/>
      <c r="AC261" s="53"/>
      <c r="AF261" s="311"/>
      <c r="AG261" s="311">
        <v>38</v>
      </c>
      <c r="AH261" s="311" t="s">
        <v>196</v>
      </c>
      <c r="AI261" s="145"/>
      <c r="AJ261" s="311">
        <v>49</v>
      </c>
      <c r="AK261" s="3559" t="str">
        <f t="shared" si="147"/>
        <v>280S</v>
      </c>
      <c r="AL261" s="159">
        <v>980</v>
      </c>
      <c r="AM261" s="311">
        <v>620</v>
      </c>
      <c r="AN261" s="3555">
        <f>(AO261*(1-H245))+AP261+AQ261+AR261+AS261</f>
        <v>254694.99999999997</v>
      </c>
      <c r="AO261" s="416">
        <v>573500</v>
      </c>
      <c r="AP261" s="3562">
        <f t="shared" ref="AP261:AP269" si="167">+AP260</f>
        <v>27500</v>
      </c>
      <c r="AQ261" s="3562">
        <f t="shared" ref="AQ261:AQ269" si="168">+AQ260</f>
        <v>8000</v>
      </c>
      <c r="AR261" s="3562">
        <f t="shared" si="154"/>
        <v>7000</v>
      </c>
      <c r="AS261" s="3562">
        <f t="shared" si="149"/>
        <v>28675</v>
      </c>
      <c r="AZ261" s="2618"/>
      <c r="BQ261" s="29" t="s">
        <v>2501</v>
      </c>
      <c r="BR261" s="29">
        <v>0</v>
      </c>
      <c r="BS261" s="29">
        <v>0.44</v>
      </c>
      <c r="BT261" s="311">
        <v>0.61</v>
      </c>
      <c r="BU261" s="311">
        <v>0.9</v>
      </c>
      <c r="BV261" s="311">
        <v>1.3</v>
      </c>
      <c r="BW261" s="311">
        <v>1.6</v>
      </c>
      <c r="BX261" s="311">
        <v>2.2000000000000002</v>
      </c>
      <c r="BY261" s="311">
        <v>4.3</v>
      </c>
      <c r="BZ261" s="311">
        <v>5.6</v>
      </c>
      <c r="CA261" s="311">
        <v>7.6</v>
      </c>
      <c r="CB261" s="311">
        <v>11</v>
      </c>
      <c r="CC261" s="311">
        <v>14</v>
      </c>
      <c r="CD261" s="311">
        <v>20</v>
      </c>
      <c r="CE261" s="311">
        <v>23</v>
      </c>
      <c r="CF261" s="311">
        <v>31</v>
      </c>
      <c r="CG261" s="311">
        <v>38</v>
      </c>
      <c r="CH261" s="311">
        <v>49</v>
      </c>
      <c r="CI261" s="311">
        <v>56</v>
      </c>
      <c r="CJ261" s="311">
        <v>76</v>
      </c>
      <c r="CK261" s="311">
        <v>91</v>
      </c>
      <c r="CL261" s="311">
        <v>112</v>
      </c>
      <c r="CM261" s="311">
        <v>134</v>
      </c>
      <c r="CN261" s="311">
        <v>174</v>
      </c>
      <c r="CO261" s="311">
        <v>200</v>
      </c>
      <c r="CP261" s="311"/>
      <c r="CQ261" s="311"/>
      <c r="CR261" s="311"/>
      <c r="CS261" s="311"/>
      <c r="CT261" s="311"/>
      <c r="CU261" s="311"/>
    </row>
    <row r="262" spans="2:100">
      <c r="B262" s="59"/>
      <c r="C262" s="19"/>
      <c r="F262" s="53"/>
      <c r="G262" s="53"/>
      <c r="H262" s="59"/>
      <c r="I262" s="53"/>
      <c r="J262" s="53"/>
      <c r="M262" s="311">
        <v>63</v>
      </c>
      <c r="N262" s="311"/>
      <c r="O262" s="311" t="s">
        <v>208</v>
      </c>
      <c r="P262" s="145">
        <v>86</v>
      </c>
      <c r="Q262" s="311"/>
      <c r="R262" s="3559" t="str">
        <f t="shared" si="145"/>
        <v>315S</v>
      </c>
      <c r="S262" s="145">
        <v>983</v>
      </c>
      <c r="T262" s="311">
        <v>1056</v>
      </c>
      <c r="U262" s="3555">
        <f>(V262*(1-H245))+W262+X262+Y262+Z262</f>
        <v>318927</v>
      </c>
      <c r="V262" s="416">
        <v>747100</v>
      </c>
      <c r="W262" s="3562">
        <f t="shared" si="165"/>
        <v>27500</v>
      </c>
      <c r="X262" s="3562">
        <f t="shared" si="166"/>
        <v>8000</v>
      </c>
      <c r="Y262" s="3562">
        <f t="shared" si="152"/>
        <v>7000</v>
      </c>
      <c r="Z262" s="3562">
        <f t="shared" si="146"/>
        <v>37355</v>
      </c>
      <c r="AB262" s="53"/>
      <c r="AC262" s="53"/>
      <c r="AF262" s="311"/>
      <c r="AG262" s="311">
        <v>49</v>
      </c>
      <c r="AH262" s="311" t="s">
        <v>201</v>
      </c>
      <c r="AI262" s="145"/>
      <c r="AJ262" s="311">
        <v>56</v>
      </c>
      <c r="AK262" s="3559" t="str">
        <f t="shared" si="147"/>
        <v>280M</v>
      </c>
      <c r="AL262" s="159">
        <v>983</v>
      </c>
      <c r="AM262" s="311">
        <v>700</v>
      </c>
      <c r="AN262" s="3555">
        <f>(AO262*(1-H245))+AP262+AQ262+AR262+AS262</f>
        <v>283740</v>
      </c>
      <c r="AO262" s="416">
        <v>652000</v>
      </c>
      <c r="AP262" s="3562">
        <f t="shared" si="167"/>
        <v>27500</v>
      </c>
      <c r="AQ262" s="3562">
        <f t="shared" si="168"/>
        <v>8000</v>
      </c>
      <c r="AR262" s="3562">
        <f t="shared" si="154"/>
        <v>7000</v>
      </c>
      <c r="AS262" s="3562">
        <f t="shared" si="149"/>
        <v>32600</v>
      </c>
      <c r="AZ262" s="2618"/>
      <c r="BD262" s="53"/>
      <c r="BE262" s="2156"/>
      <c r="BF262" s="19"/>
      <c r="BG262" s="19"/>
      <c r="BH262" s="19"/>
      <c r="BI262" s="19"/>
      <c r="BJ262" s="19"/>
      <c r="BQ262" s="29" t="s">
        <v>119</v>
      </c>
      <c r="BR262" s="29" t="s">
        <v>126</v>
      </c>
      <c r="BS262" s="145" t="s">
        <v>130</v>
      </c>
      <c r="BT262" s="1094" t="s">
        <v>133</v>
      </c>
      <c r="BU262" s="1094" t="s">
        <v>136</v>
      </c>
      <c r="BV262" s="311" t="s">
        <v>140</v>
      </c>
      <c r="BW262" s="311" t="s">
        <v>143</v>
      </c>
      <c r="BX262" s="311" t="s">
        <v>147</v>
      </c>
      <c r="BY262" s="311" t="s">
        <v>151</v>
      </c>
      <c r="BZ262" s="311" t="s">
        <v>157</v>
      </c>
      <c r="CA262" s="311" t="s">
        <v>163</v>
      </c>
      <c r="CB262" s="311" t="s">
        <v>169</v>
      </c>
      <c r="CC262" s="311" t="s">
        <v>175</v>
      </c>
      <c r="CD262" s="1094" t="s">
        <v>180</v>
      </c>
      <c r="CE262" s="1094" t="s">
        <v>184</v>
      </c>
      <c r="CF262" s="1094" t="s">
        <v>189</v>
      </c>
      <c r="CG262" s="1094" t="s">
        <v>196</v>
      </c>
      <c r="CH262" s="311" t="s">
        <v>201</v>
      </c>
      <c r="CI262" s="311" t="s">
        <v>208</v>
      </c>
      <c r="CJ262" s="311" t="s">
        <v>215</v>
      </c>
      <c r="CK262" s="311" t="s">
        <v>221</v>
      </c>
      <c r="CL262" s="1094" t="s">
        <v>225</v>
      </c>
      <c r="CM262" s="145" t="s">
        <v>229</v>
      </c>
      <c r="CN262" s="145" t="s">
        <v>234</v>
      </c>
      <c r="CO262" s="145" t="s">
        <v>239</v>
      </c>
      <c r="CP262" s="145"/>
      <c r="CQ262" s="311"/>
      <c r="CR262" s="311"/>
      <c r="CS262" s="311"/>
      <c r="CT262" s="311"/>
      <c r="CU262" s="311"/>
      <c r="CV262" s="19"/>
    </row>
    <row r="263" spans="2:100">
      <c r="B263" s="462"/>
      <c r="C263" s="3542" t="str">
        <f>HYPERLINK("Z:\Marketing Common\Dhrumil\Selection\VD_Series_6Pole.pdf","M Sq 6 Pole")</f>
        <v>M Sq 6 Pole</v>
      </c>
      <c r="D263" s="3542" t="str">
        <f>HYPERLINK("Z:\Marketing Common\Dhrumil\Selection\Price_Sheet_2013.pdf","Pr Sheet")</f>
        <v>Pr Sheet</v>
      </c>
      <c r="E263" s="3542" t="str">
        <f>HYPERLINK("Z:\Marketing Common\Dhrumil\Selection\Slipring_Motor.pdf","M Slip Motor")</f>
        <v>M Slip Motor</v>
      </c>
      <c r="F263" s="53"/>
      <c r="G263" s="53"/>
      <c r="H263" s="59"/>
      <c r="I263" s="53"/>
      <c r="J263" s="53"/>
      <c r="M263" s="311">
        <v>86</v>
      </c>
      <c r="N263" s="311"/>
      <c r="O263" s="311" t="s">
        <v>215</v>
      </c>
      <c r="P263" s="145">
        <v>103</v>
      </c>
      <c r="Q263" s="311"/>
      <c r="R263" s="3559" t="str">
        <f t="shared" si="145"/>
        <v>315M</v>
      </c>
      <c r="S263" s="145">
        <v>982</v>
      </c>
      <c r="T263" s="311">
        <v>1130</v>
      </c>
      <c r="U263" s="3555">
        <f>(V263*(1-H245))+W263+X263+Y263+Z263</f>
        <v>389448.99999999994</v>
      </c>
      <c r="V263" s="416">
        <v>937700</v>
      </c>
      <c r="W263" s="3562">
        <f t="shared" si="165"/>
        <v>27500</v>
      </c>
      <c r="X263" s="3562">
        <f t="shared" si="166"/>
        <v>8000</v>
      </c>
      <c r="Y263" s="3562">
        <f t="shared" si="152"/>
        <v>7000</v>
      </c>
      <c r="Z263" s="3562">
        <f t="shared" si="146"/>
        <v>46885</v>
      </c>
      <c r="AB263" s="53"/>
      <c r="AC263" s="53"/>
      <c r="AF263" s="311"/>
      <c r="AG263" s="311">
        <v>56</v>
      </c>
      <c r="AH263" s="311" t="s">
        <v>208</v>
      </c>
      <c r="AI263" s="145"/>
      <c r="AJ263" s="311">
        <v>76</v>
      </c>
      <c r="AK263" s="3559" t="str">
        <f t="shared" si="147"/>
        <v>315S</v>
      </c>
      <c r="AL263" s="159">
        <v>984</v>
      </c>
      <c r="AM263" s="311">
        <v>1056</v>
      </c>
      <c r="AN263" s="3555">
        <f>(AO263*(1-H245))+AP263+AQ263+AR263+AS263</f>
        <v>318927</v>
      </c>
      <c r="AO263" s="416">
        <v>747100</v>
      </c>
      <c r="AP263" s="3562">
        <f t="shared" si="167"/>
        <v>27500</v>
      </c>
      <c r="AQ263" s="3562">
        <f t="shared" si="168"/>
        <v>8000</v>
      </c>
      <c r="AR263" s="3562">
        <f t="shared" si="154"/>
        <v>7000</v>
      </c>
      <c r="AS263" s="3562">
        <f t="shared" si="149"/>
        <v>37355</v>
      </c>
      <c r="AZ263" s="2618"/>
      <c r="BD263" s="53"/>
      <c r="BE263" s="2156"/>
      <c r="BF263" s="19"/>
      <c r="BG263" s="19"/>
      <c r="BH263" s="19"/>
      <c r="BI263" s="19"/>
      <c r="BJ263" s="19"/>
      <c r="BQ263" s="427" t="s">
        <v>120</v>
      </c>
      <c r="BR263" s="427"/>
      <c r="BS263" s="145"/>
      <c r="BT263" s="145"/>
      <c r="BU263" s="145"/>
      <c r="BV263" s="145"/>
      <c r="BW263" s="145"/>
      <c r="BX263" s="145"/>
      <c r="BY263" s="145"/>
      <c r="BZ263" s="145"/>
      <c r="CA263" s="145"/>
      <c r="CB263" s="145"/>
      <c r="CC263" s="145"/>
      <c r="CD263" s="145"/>
      <c r="CE263" s="145"/>
      <c r="CF263" s="145"/>
      <c r="CG263" s="145"/>
      <c r="CH263" s="145"/>
      <c r="CI263" s="145"/>
      <c r="CJ263" s="145"/>
      <c r="CK263" s="145"/>
      <c r="CL263" s="1094"/>
      <c r="CM263" s="1094"/>
      <c r="CN263" s="311"/>
      <c r="CO263" s="311"/>
      <c r="CP263" s="311"/>
      <c r="CQ263" s="311"/>
      <c r="CR263" s="311"/>
      <c r="CS263" s="311"/>
      <c r="CT263" s="311"/>
      <c r="CU263" s="311"/>
      <c r="CV263" s="19"/>
    </row>
    <row r="264" spans="2:100">
      <c r="B264" s="108"/>
      <c r="C264" s="3542" t="str">
        <f>HYPERLINK("Z:\Marketing Common\Dhrumil\Selection\M_Sq_Price.pdf","M Sq Pr")</f>
        <v>M Sq Pr</v>
      </c>
      <c r="D264" s="3542" t="str">
        <f>HYPERLINK("Z:\Marketing Common\Dhrumil\Selection\Weight.pdf","Weight")</f>
        <v>Weight</v>
      </c>
      <c r="E264" s="3542" t="str">
        <f>HYPERLINK("Z:\Marketing Common\Dhrumil\Selection\Marathon_LP.pdf","M Slip Price")</f>
        <v>M Slip Price</v>
      </c>
      <c r="F264" s="53"/>
      <c r="G264" s="53"/>
      <c r="H264" s="53"/>
      <c r="I264" s="53"/>
      <c r="J264" s="53"/>
      <c r="M264" s="311">
        <v>103</v>
      </c>
      <c r="N264" s="311"/>
      <c r="O264" s="1094" t="s">
        <v>221</v>
      </c>
      <c r="P264" s="1094">
        <v>121</v>
      </c>
      <c r="Q264" s="311"/>
      <c r="R264" s="3559" t="str">
        <f t="shared" si="145"/>
        <v>315L  (1)</v>
      </c>
      <c r="S264" s="145">
        <v>984</v>
      </c>
      <c r="T264" s="311">
        <v>1200</v>
      </c>
      <c r="U264" s="3555">
        <f>(V264*(1-H245))+W264+X264+Y264+Z264</f>
        <v>429445.99999999994</v>
      </c>
      <c r="V264" s="416">
        <v>1045800</v>
      </c>
      <c r="W264" s="3562">
        <f t="shared" si="165"/>
        <v>27500</v>
      </c>
      <c r="X264" s="3562">
        <f t="shared" si="166"/>
        <v>8000</v>
      </c>
      <c r="Y264" s="3562">
        <f t="shared" si="152"/>
        <v>7000</v>
      </c>
      <c r="Z264" s="3562">
        <f t="shared" si="146"/>
        <v>52290</v>
      </c>
      <c r="AB264" s="53"/>
      <c r="AC264" s="53"/>
      <c r="AF264" s="311"/>
      <c r="AG264" s="311">
        <v>76</v>
      </c>
      <c r="AH264" s="311" t="s">
        <v>215</v>
      </c>
      <c r="AI264" s="145"/>
      <c r="AJ264" s="311">
        <v>91</v>
      </c>
      <c r="AK264" s="3559" t="str">
        <f t="shared" si="147"/>
        <v>315M</v>
      </c>
      <c r="AL264" s="159">
        <v>983</v>
      </c>
      <c r="AM264" s="311">
        <v>1130</v>
      </c>
      <c r="AN264" s="3555">
        <f>(AO264*(1-H245))+AP264+AQ264+AR264+AS264</f>
        <v>389448.99999999994</v>
      </c>
      <c r="AO264" s="416">
        <v>937700</v>
      </c>
      <c r="AP264" s="3562">
        <f t="shared" si="167"/>
        <v>27500</v>
      </c>
      <c r="AQ264" s="3562">
        <f t="shared" si="168"/>
        <v>8000</v>
      </c>
      <c r="AR264" s="3562">
        <f t="shared" si="154"/>
        <v>7000</v>
      </c>
      <c r="AS264" s="3562">
        <f t="shared" si="149"/>
        <v>46885</v>
      </c>
      <c r="AZ264" s="2618"/>
      <c r="BD264" s="53"/>
      <c r="BE264" s="19"/>
      <c r="BF264" s="19"/>
      <c r="BG264" s="19"/>
      <c r="BH264" s="19"/>
      <c r="BI264" s="19"/>
      <c r="BJ264" s="19"/>
      <c r="BQ264" s="427" t="s">
        <v>2498</v>
      </c>
      <c r="BR264" s="427">
        <v>0.44</v>
      </c>
      <c r="BS264" s="311">
        <v>0.61</v>
      </c>
      <c r="BT264" s="311">
        <v>0.9</v>
      </c>
      <c r="BU264" s="311">
        <v>1.3</v>
      </c>
      <c r="BV264" s="311">
        <v>1.6</v>
      </c>
      <c r="BW264" s="311">
        <v>2.2000000000000002</v>
      </c>
      <c r="BX264" s="311">
        <v>4.3</v>
      </c>
      <c r="BY264" s="311">
        <v>5.6</v>
      </c>
      <c r="BZ264" s="311">
        <v>7.6</v>
      </c>
      <c r="CA264" s="311">
        <v>11</v>
      </c>
      <c r="CB264" s="311">
        <v>14</v>
      </c>
      <c r="CC264" s="311">
        <v>20</v>
      </c>
      <c r="CD264" s="311">
        <v>23</v>
      </c>
      <c r="CE264" s="311">
        <v>31</v>
      </c>
      <c r="CF264" s="311">
        <v>38</v>
      </c>
      <c r="CG264" s="311">
        <v>49</v>
      </c>
      <c r="CH264" s="311">
        <v>56</v>
      </c>
      <c r="CI264" s="311">
        <v>76</v>
      </c>
      <c r="CJ264" s="311">
        <v>91</v>
      </c>
      <c r="CK264" s="311">
        <v>112</v>
      </c>
      <c r="CL264" s="311">
        <v>134</v>
      </c>
      <c r="CM264" s="311">
        <v>174</v>
      </c>
      <c r="CN264" s="311">
        <v>200</v>
      </c>
      <c r="CO264" s="311">
        <v>253</v>
      </c>
      <c r="CP264" s="311"/>
      <c r="CQ264" s="311"/>
      <c r="CR264" s="311"/>
      <c r="CS264" s="311"/>
      <c r="CT264" s="311"/>
      <c r="CU264" s="311"/>
      <c r="CV264" s="19"/>
    </row>
    <row r="265" spans="2:100">
      <c r="B265" s="19"/>
      <c r="C265" s="3542" t="str">
        <f>HYPERLINK("Z:\Marketing Common\Dhrumil\Selection\M_Sq_Price.xls","M Sq Pr Exl")</f>
        <v>M Sq Pr Exl</v>
      </c>
      <c r="D265" s="3542" t="str">
        <f>HYPERLINK("Z:\Marketing Common\Dhrumil\Selection\Siemens_Motor.pdf","Sie Nor H-F")</f>
        <v>Sie Nor H-F</v>
      </c>
      <c r="E265" s="3542" t="str">
        <f>HYPERLINK("Z:\Marketing Common\Dhrumil\Selection\Siemens_F-B.pdf","Siem F-B")</f>
        <v>Siem F-B</v>
      </c>
      <c r="F265" s="53"/>
      <c r="G265" s="53"/>
      <c r="H265" s="53"/>
      <c r="J265" s="53"/>
      <c r="M265" s="311">
        <v>121</v>
      </c>
      <c r="N265" s="311"/>
      <c r="O265" s="145" t="s">
        <v>225</v>
      </c>
      <c r="P265" s="1094">
        <v>139</v>
      </c>
      <c r="Q265" s="311"/>
      <c r="R265" s="3559" t="str">
        <f t="shared" si="145"/>
        <v>315L (2)</v>
      </c>
      <c r="S265" s="145">
        <v>984</v>
      </c>
      <c r="T265" s="311">
        <v>1230</v>
      </c>
      <c r="U265" s="3555">
        <f>(V265*(1-H245))+W265+X265+Y265+Z265</f>
        <v>495157.99999999994</v>
      </c>
      <c r="V265" s="416">
        <v>1223400</v>
      </c>
      <c r="W265" s="3562">
        <f t="shared" si="165"/>
        <v>27500</v>
      </c>
      <c r="X265" s="3562">
        <f t="shared" si="166"/>
        <v>8000</v>
      </c>
      <c r="Y265" s="3562">
        <f t="shared" si="152"/>
        <v>7000</v>
      </c>
      <c r="Z265" s="3562">
        <f t="shared" si="146"/>
        <v>61170</v>
      </c>
      <c r="AB265" s="53"/>
      <c r="AC265" s="53"/>
      <c r="AF265" s="311"/>
      <c r="AG265" s="311">
        <v>91</v>
      </c>
      <c r="AH265" s="1094" t="s">
        <v>221</v>
      </c>
      <c r="AI265" s="1094"/>
      <c r="AJ265" s="311">
        <v>112</v>
      </c>
      <c r="AK265" s="3559" t="str">
        <f t="shared" si="147"/>
        <v>315L  (1)</v>
      </c>
      <c r="AL265" s="159">
        <v>984</v>
      </c>
      <c r="AM265" s="311">
        <v>1200</v>
      </c>
      <c r="AN265" s="3555">
        <f>(AO265*(1-H245))+AP265+AQ265+AR265+AS265</f>
        <v>429445.99999999994</v>
      </c>
      <c r="AO265" s="416">
        <v>1045800</v>
      </c>
      <c r="AP265" s="3562">
        <f t="shared" si="167"/>
        <v>27500</v>
      </c>
      <c r="AQ265" s="3562">
        <f t="shared" si="168"/>
        <v>8000</v>
      </c>
      <c r="AR265" s="3562">
        <f t="shared" si="154"/>
        <v>7000</v>
      </c>
      <c r="AS265" s="3562">
        <f t="shared" si="149"/>
        <v>52290</v>
      </c>
      <c r="AZ265" s="2618"/>
      <c r="BD265" s="53"/>
      <c r="BE265" s="19"/>
      <c r="BF265" s="19"/>
      <c r="BG265" s="19"/>
      <c r="BH265" s="19"/>
      <c r="BI265" s="19"/>
      <c r="BJ265" s="19"/>
      <c r="BQ265" s="311" t="s">
        <v>119</v>
      </c>
      <c r="BR265" s="311" t="s">
        <v>126</v>
      </c>
      <c r="BS265" s="311" t="s">
        <v>130</v>
      </c>
      <c r="BT265" s="311" t="s">
        <v>133</v>
      </c>
      <c r="BU265" s="311" t="s">
        <v>136</v>
      </c>
      <c r="BV265" s="311" t="s">
        <v>140</v>
      </c>
      <c r="BW265" s="311" t="s">
        <v>143</v>
      </c>
      <c r="BX265" s="311" t="s">
        <v>147</v>
      </c>
      <c r="BY265" s="311" t="s">
        <v>151</v>
      </c>
      <c r="BZ265" s="311" t="s">
        <v>157</v>
      </c>
      <c r="CA265" s="311" t="s">
        <v>163</v>
      </c>
      <c r="CB265" s="311" t="s">
        <v>169</v>
      </c>
      <c r="CC265" s="311" t="s">
        <v>175</v>
      </c>
      <c r="CD265" s="311" t="s">
        <v>180</v>
      </c>
      <c r="CE265" s="311" t="s">
        <v>184</v>
      </c>
      <c r="CF265" s="311" t="s">
        <v>189</v>
      </c>
      <c r="CG265" s="311" t="s">
        <v>196</v>
      </c>
      <c r="CH265" s="311" t="s">
        <v>201</v>
      </c>
      <c r="CI265" s="311" t="s">
        <v>208</v>
      </c>
      <c r="CJ265" s="311" t="s">
        <v>215</v>
      </c>
      <c r="CK265" s="311" t="s">
        <v>221</v>
      </c>
      <c r="CL265" s="311" t="s">
        <v>225</v>
      </c>
      <c r="CM265" s="311" t="s">
        <v>229</v>
      </c>
      <c r="CN265" s="311" t="s">
        <v>234</v>
      </c>
      <c r="CO265" s="311" t="s">
        <v>239</v>
      </c>
      <c r="CP265" s="311"/>
      <c r="CQ265" s="311"/>
      <c r="CR265" s="311"/>
      <c r="CS265" s="311"/>
      <c r="CT265" s="311"/>
      <c r="CU265" s="311"/>
      <c r="CV265" s="19"/>
    </row>
    <row r="266" spans="2:100">
      <c r="B266" s="20"/>
      <c r="C266" s="2140"/>
      <c r="D266" s="3542" t="str">
        <f>HYPERLINK("Z:\Marketing Common\Dhrumil\Selection\Siemens_Price.pdf","Siem Pr 2017")</f>
        <v>Siem Pr 2017</v>
      </c>
      <c r="E266" s="3542" t="str">
        <f>HYPERLINK("Z:\Marketing Common\Dhrumil\Selection\Siemens_H-F.pdf","Siem H-F")</f>
        <v>Siem H-F</v>
      </c>
      <c r="F266" s="53"/>
      <c r="G266" s="53"/>
      <c r="H266" s="53"/>
      <c r="J266" s="53"/>
      <c r="M266" s="311">
        <v>139</v>
      </c>
      <c r="N266" s="311"/>
      <c r="O266" s="145" t="s">
        <v>229</v>
      </c>
      <c r="P266" s="311">
        <v>192</v>
      </c>
      <c r="Q266" s="311"/>
      <c r="R266" s="3559" t="str">
        <f t="shared" si="145"/>
        <v>355L (1)</v>
      </c>
      <c r="S266" s="145">
        <v>988</v>
      </c>
      <c r="T266" s="311">
        <v>2150</v>
      </c>
      <c r="U266" s="3555">
        <f>(V266*(1-H245))+W266+X266+Y266+Z266</f>
        <v>557688</v>
      </c>
      <c r="V266" s="416">
        <v>1392400</v>
      </c>
      <c r="W266" s="3562">
        <f t="shared" si="165"/>
        <v>27500</v>
      </c>
      <c r="X266" s="3562">
        <f t="shared" si="166"/>
        <v>8000</v>
      </c>
      <c r="Y266" s="3562">
        <f t="shared" si="152"/>
        <v>7000</v>
      </c>
      <c r="Z266" s="3562">
        <f t="shared" si="146"/>
        <v>69620</v>
      </c>
      <c r="AB266" s="53"/>
      <c r="AC266" s="53"/>
      <c r="AF266" s="311"/>
      <c r="AG266" s="311">
        <v>112</v>
      </c>
      <c r="AH266" s="145" t="s">
        <v>225</v>
      </c>
      <c r="AI266" s="1094"/>
      <c r="AJ266" s="311">
        <v>134</v>
      </c>
      <c r="AK266" s="3559" t="str">
        <f t="shared" si="147"/>
        <v>315L (2)</v>
      </c>
      <c r="AL266" s="159">
        <v>984</v>
      </c>
      <c r="AM266" s="311">
        <v>1230</v>
      </c>
      <c r="AN266" s="3555">
        <f>(AO266*(1-H245))+AP266+AQ266+AR266+AS266</f>
        <v>495157.99999999994</v>
      </c>
      <c r="AO266" s="416">
        <v>1223400</v>
      </c>
      <c r="AP266" s="3562">
        <f t="shared" si="167"/>
        <v>27500</v>
      </c>
      <c r="AQ266" s="3562">
        <f t="shared" si="168"/>
        <v>8000</v>
      </c>
      <c r="AR266" s="3562">
        <f t="shared" si="154"/>
        <v>7000</v>
      </c>
      <c r="AS266" s="3562">
        <f t="shared" si="149"/>
        <v>61170</v>
      </c>
      <c r="AZ266" s="2618"/>
      <c r="BQ266" s="29" t="s">
        <v>121</v>
      </c>
      <c r="BR266" s="29">
        <v>914</v>
      </c>
      <c r="BS266" s="159">
        <v>922</v>
      </c>
      <c r="BT266" s="159">
        <v>922</v>
      </c>
      <c r="BU266" s="159">
        <v>908</v>
      </c>
      <c r="BV266" s="159">
        <v>942</v>
      </c>
      <c r="BW266" s="159">
        <v>950</v>
      </c>
      <c r="BX266" s="159">
        <v>954</v>
      </c>
      <c r="BY266" s="159">
        <v>959</v>
      </c>
      <c r="BZ266" s="159">
        <v>955</v>
      </c>
      <c r="CA266" s="159">
        <v>967</v>
      </c>
      <c r="CB266" s="159">
        <v>972</v>
      </c>
      <c r="CC266" s="159">
        <v>977</v>
      </c>
      <c r="CD266" s="159">
        <v>977</v>
      </c>
      <c r="CE266" s="159">
        <v>974</v>
      </c>
      <c r="CF266" s="159">
        <v>981</v>
      </c>
      <c r="CG266" s="159">
        <v>980</v>
      </c>
      <c r="CH266" s="159">
        <v>983</v>
      </c>
      <c r="CI266" s="159">
        <v>984</v>
      </c>
      <c r="CJ266" s="159">
        <v>983</v>
      </c>
      <c r="CK266" s="159">
        <v>984</v>
      </c>
      <c r="CL266" s="159">
        <v>984</v>
      </c>
      <c r="CM266" s="159">
        <v>988</v>
      </c>
      <c r="CN266" s="159">
        <v>989</v>
      </c>
      <c r="CO266" s="159">
        <v>989</v>
      </c>
      <c r="CP266" s="159"/>
      <c r="CQ266" s="311"/>
      <c r="CR266" s="311"/>
      <c r="CS266" s="311"/>
      <c r="CT266" s="311"/>
      <c r="CU266" s="311"/>
    </row>
    <row r="267" spans="2:100">
      <c r="B267" s="302"/>
      <c r="C267" s="67"/>
      <c r="F267" s="53"/>
      <c r="G267" s="53"/>
      <c r="H267" s="19"/>
      <c r="J267" s="53"/>
      <c r="M267" s="311">
        <v>192</v>
      </c>
      <c r="N267" s="311"/>
      <c r="O267" s="145" t="s">
        <v>234</v>
      </c>
      <c r="P267" s="311">
        <v>200</v>
      </c>
      <c r="Q267" s="311"/>
      <c r="R267" s="3559" t="str">
        <f t="shared" si="145"/>
        <v>355L (2)</v>
      </c>
      <c r="S267" s="145">
        <v>989</v>
      </c>
      <c r="T267" s="311">
        <v>2200</v>
      </c>
      <c r="U267" s="3555">
        <f>(V267*(1-H245))+W267+X267+Y267+Z267</f>
        <v>631503</v>
      </c>
      <c r="V267" s="416">
        <v>1591900</v>
      </c>
      <c r="W267" s="3562">
        <f t="shared" si="165"/>
        <v>27500</v>
      </c>
      <c r="X267" s="3562">
        <f t="shared" si="166"/>
        <v>8000</v>
      </c>
      <c r="Y267" s="3562">
        <f t="shared" si="152"/>
        <v>7000</v>
      </c>
      <c r="Z267" s="3562">
        <f t="shared" si="146"/>
        <v>79595</v>
      </c>
      <c r="AB267" s="53"/>
      <c r="AC267" s="53"/>
      <c r="AF267" s="311"/>
      <c r="AG267" s="311">
        <v>134</v>
      </c>
      <c r="AH267" s="145" t="s">
        <v>229</v>
      </c>
      <c r="AI267" s="311"/>
      <c r="AJ267" s="311">
        <v>174</v>
      </c>
      <c r="AK267" s="3559" t="str">
        <f t="shared" si="147"/>
        <v>355L (1)</v>
      </c>
      <c r="AL267" s="159">
        <v>988</v>
      </c>
      <c r="AM267" s="311">
        <v>2150</v>
      </c>
      <c r="AN267" s="3555">
        <f>(AO267*(1-H245))+AP267+AQ267+AR267+AS267</f>
        <v>557688</v>
      </c>
      <c r="AO267" s="416">
        <v>1392400</v>
      </c>
      <c r="AP267" s="3562">
        <f t="shared" si="167"/>
        <v>27500</v>
      </c>
      <c r="AQ267" s="3562">
        <f t="shared" si="168"/>
        <v>8000</v>
      </c>
      <c r="AR267" s="3562">
        <f t="shared" si="154"/>
        <v>7000</v>
      </c>
      <c r="AS267" s="3562">
        <f t="shared" si="149"/>
        <v>69620</v>
      </c>
      <c r="AZ267" s="2618"/>
      <c r="BQ267" s="29" t="s">
        <v>111</v>
      </c>
      <c r="BR267" s="29">
        <v>17</v>
      </c>
      <c r="BS267" s="311">
        <v>17</v>
      </c>
      <c r="BT267" s="311">
        <v>22</v>
      </c>
      <c r="BU267" s="311">
        <v>25</v>
      </c>
      <c r="BV267" s="311">
        <v>32</v>
      </c>
      <c r="BW267" s="311">
        <v>42</v>
      </c>
      <c r="BX267" s="311">
        <v>68</v>
      </c>
      <c r="BY267" s="311">
        <v>79</v>
      </c>
      <c r="BZ267" s="311">
        <v>121</v>
      </c>
      <c r="CA267" s="311">
        <v>146</v>
      </c>
      <c r="CB267" s="311">
        <v>204</v>
      </c>
      <c r="CC267" s="311">
        <v>254</v>
      </c>
      <c r="CD267" s="311">
        <v>270</v>
      </c>
      <c r="CE267" s="311">
        <v>380</v>
      </c>
      <c r="CF267" s="311">
        <v>500</v>
      </c>
      <c r="CG267" s="311">
        <v>620</v>
      </c>
      <c r="CH267" s="311">
        <v>700</v>
      </c>
      <c r="CI267" s="311">
        <v>1056</v>
      </c>
      <c r="CJ267" s="311">
        <v>1130</v>
      </c>
      <c r="CK267" s="311">
        <v>1200</v>
      </c>
      <c r="CL267" s="311">
        <v>1230</v>
      </c>
      <c r="CM267" s="311">
        <v>2150</v>
      </c>
      <c r="CN267" s="311">
        <v>2200</v>
      </c>
      <c r="CO267" s="311">
        <v>2230</v>
      </c>
      <c r="CP267" s="311"/>
      <c r="CQ267" s="311"/>
      <c r="CR267" s="311"/>
      <c r="CS267" s="311"/>
      <c r="CT267" s="311"/>
      <c r="CU267" s="311"/>
    </row>
    <row r="268" spans="2:100">
      <c r="B268" s="51"/>
      <c r="C268" s="302"/>
      <c r="D268" s="53"/>
      <c r="E268" s="53"/>
      <c r="F268" s="53"/>
      <c r="G268" s="53"/>
      <c r="H268" s="53"/>
      <c r="J268" s="53"/>
      <c r="M268" s="311">
        <v>200</v>
      </c>
      <c r="N268" s="311"/>
      <c r="O268" s="145" t="s">
        <v>239</v>
      </c>
      <c r="P268" s="311">
        <v>284</v>
      </c>
      <c r="Q268" s="311"/>
      <c r="R268" s="3559" t="str">
        <f t="shared" si="145"/>
        <v>335L (3)</v>
      </c>
      <c r="S268" s="145">
        <v>988</v>
      </c>
      <c r="T268" s="311">
        <v>2230</v>
      </c>
      <c r="U268" s="3555">
        <f>(V268*(1-H245))+W268+X268+Y268+Z268</f>
        <v>648449</v>
      </c>
      <c r="V268" s="416">
        <v>1637700</v>
      </c>
      <c r="W268" s="3562">
        <f t="shared" si="165"/>
        <v>27500</v>
      </c>
      <c r="X268" s="3562">
        <f t="shared" si="166"/>
        <v>8000</v>
      </c>
      <c r="Y268" s="3562">
        <f t="shared" si="152"/>
        <v>7000</v>
      </c>
      <c r="Z268" s="3562">
        <f t="shared" si="146"/>
        <v>81885</v>
      </c>
      <c r="AB268" s="53"/>
      <c r="AC268" s="53"/>
      <c r="AF268" s="311"/>
      <c r="AG268" s="311">
        <v>174</v>
      </c>
      <c r="AH268" s="145" t="s">
        <v>234</v>
      </c>
      <c r="AI268" s="311"/>
      <c r="AJ268" s="311">
        <v>200</v>
      </c>
      <c r="AK268" s="3559" t="str">
        <f t="shared" si="147"/>
        <v>355L (2)</v>
      </c>
      <c r="AL268" s="159">
        <v>989</v>
      </c>
      <c r="AM268" s="311">
        <v>2200</v>
      </c>
      <c r="AN268" s="3555">
        <f>(AO268*(1-H245))+AP268+AQ268+AR268+AS268</f>
        <v>631503</v>
      </c>
      <c r="AO268" s="416">
        <v>1591900</v>
      </c>
      <c r="AP268" s="3562">
        <f t="shared" si="167"/>
        <v>27500</v>
      </c>
      <c r="AQ268" s="3562">
        <f t="shared" si="168"/>
        <v>8000</v>
      </c>
      <c r="AR268" s="3562">
        <f t="shared" si="154"/>
        <v>7000</v>
      </c>
      <c r="AS268" s="3562">
        <f t="shared" si="149"/>
        <v>79595</v>
      </c>
      <c r="AZ268" s="2618"/>
      <c r="BQ268" s="2153" t="s">
        <v>112</v>
      </c>
      <c r="BR268" s="3555">
        <f>(BR269*(1-$H$245))+BR270+BR271+BR272+BR273</f>
        <v>24827</v>
      </c>
      <c r="BS268" s="3555">
        <f t="shared" ref="BS268" si="169">(BS269*(1-$H$245))+BS270+BS271+BS272+BS273</f>
        <v>24938</v>
      </c>
      <c r="BT268" s="3555">
        <f t="shared" ref="BT268" si="170">(BT269*(1-$H$245))+BT270+BT271+BT272+BT273</f>
        <v>26344</v>
      </c>
      <c r="BU268" s="3555">
        <f t="shared" ref="BU268" si="171">(BU269*(1-$H$245))+BU270+BU271+BU272+BU273</f>
        <v>27232</v>
      </c>
      <c r="BV268" s="3555">
        <f t="shared" ref="BV268" si="172">(BV269*(1-$H$245))+BV270+BV271+BV272+BV273</f>
        <v>29489</v>
      </c>
      <c r="BW268" s="3555">
        <f t="shared" ref="BW268" si="173">(BW269*(1-$H$245))+BW270+BW271+BW272+BW273</f>
        <v>31635</v>
      </c>
      <c r="BX268" s="3555">
        <f t="shared" ref="BX268" si="174">(BX269*(1-$H$245))+BX270+BX271+BX272+BX273</f>
        <v>39184</v>
      </c>
      <c r="BY268" s="3555">
        <f t="shared" ref="BY268" si="175">(BY269*(1-$H$245))+BY270+BY271+BY272+BY273</f>
        <v>41811</v>
      </c>
      <c r="BZ268" s="3555">
        <f t="shared" ref="BZ268" si="176">(BZ269*(1-$H$245))+BZ270+BZ271+BZ272+BZ273</f>
        <v>63650</v>
      </c>
      <c r="CA268" s="3555">
        <f t="shared" ref="CA268" si="177">(CA269*(1-$H$245))+CA270+CA271+CA272+CA273</f>
        <v>72197</v>
      </c>
      <c r="CB268" s="3555">
        <f t="shared" ref="CB268" si="178">(CB269*(1-$H$245))+CB270+CB271+CB272+CB273</f>
        <v>85554</v>
      </c>
      <c r="CC268" s="3555">
        <f t="shared" ref="CC268" si="179">(CC269*(1-$H$245))+CC270+CC271+CC272+CC273</f>
        <v>106310.99999999999</v>
      </c>
      <c r="CD268" s="3555">
        <f t="shared" ref="CD268" si="180">(CD269*(1-$H$245))+CD270+CD271+CD272+CD273</f>
        <v>113007.99999999999</v>
      </c>
      <c r="CE268" s="3555">
        <f t="shared" ref="CE268" si="181">(CE269*(1-$H$245))+CE270+CE271+CE272+CE273</f>
        <v>154004</v>
      </c>
      <c r="CF268" s="3555">
        <f t="shared" ref="CF268" si="182">(CF269*(1-$H$245))+CF270+CF271+CF272+CF273</f>
        <v>211700.99999999997</v>
      </c>
      <c r="CG268" s="3555">
        <f t="shared" ref="CG268" si="183">(CG269*(1-$H$245))+CG270+CG271+CG272+CG273</f>
        <v>254694.99999999997</v>
      </c>
      <c r="CH268" s="3555">
        <f t="shared" ref="CH268" si="184">(CH269*(1-$H$245))+CH270+CH271+CH272+CH273</f>
        <v>283740</v>
      </c>
      <c r="CI268" s="3555">
        <f t="shared" ref="CI268" si="185">(CI269*(1-$H$245))+CI270+CI271+CI272+CI273</f>
        <v>318927</v>
      </c>
      <c r="CJ268" s="3555">
        <f t="shared" ref="CJ268" si="186">(CJ269*(1-$H$245))+CJ270+CJ271+CJ272+CJ273</f>
        <v>389448.99999999994</v>
      </c>
      <c r="CK268" s="3555">
        <f t="shared" ref="CK268" si="187">(CK269*(1-$H$245))+CK270+CK271+CK272+CK273</f>
        <v>429445.99999999994</v>
      </c>
      <c r="CL268" s="3555">
        <f t="shared" ref="CL268" si="188">(CL269*(1-$H$245))+CL270+CL271+CL272+CL273</f>
        <v>495157.99999999994</v>
      </c>
      <c r="CM268" s="3555">
        <f t="shared" ref="CM268" si="189">(CM269*(1-$H$245))+CM270+CM271+CM272+CM273</f>
        <v>557688</v>
      </c>
      <c r="CN268" s="3555">
        <f t="shared" ref="CN268" si="190">(CN269*(1-$H$245))+CN270+CN271+CN272+CN273</f>
        <v>631503</v>
      </c>
      <c r="CO268" s="3555">
        <f t="shared" ref="CO268" si="191">(CO269*(1-$H$245))+CO270+CO271+CO272+CO273</f>
        <v>648449</v>
      </c>
      <c r="CP268" s="385"/>
      <c r="CQ268" s="385"/>
      <c r="CR268" s="385"/>
      <c r="CS268" s="385"/>
      <c r="CT268" s="385"/>
      <c r="CU268" s="385"/>
    </row>
    <row r="269" spans="2:100">
      <c r="B269" s="59"/>
      <c r="D269" s="53"/>
      <c r="E269" s="53"/>
      <c r="F269" s="53"/>
      <c r="G269" s="53"/>
      <c r="H269" s="53"/>
      <c r="J269" s="53"/>
      <c r="M269" s="311"/>
      <c r="N269" s="311"/>
      <c r="O269" s="311"/>
      <c r="P269" s="311"/>
      <c r="Q269" s="311"/>
      <c r="R269" s="311"/>
      <c r="S269" s="311"/>
      <c r="T269" s="311"/>
      <c r="U269" s="385"/>
      <c r="V269" s="416"/>
      <c r="W269" s="416"/>
      <c r="X269" s="416"/>
      <c r="Y269" s="416"/>
      <c r="Z269" s="416"/>
      <c r="AF269" s="311"/>
      <c r="AG269" s="311">
        <v>200</v>
      </c>
      <c r="AH269" s="145" t="s">
        <v>239</v>
      </c>
      <c r="AI269" s="311"/>
      <c r="AJ269" s="311">
        <v>253</v>
      </c>
      <c r="AK269" s="3559" t="str">
        <f t="shared" si="147"/>
        <v>335L (3)</v>
      </c>
      <c r="AL269" s="159">
        <v>989</v>
      </c>
      <c r="AM269" s="311">
        <v>2230</v>
      </c>
      <c r="AN269" s="3555">
        <f>(AO269*(1-H245))+AP269+AQ269+AR269+AS269</f>
        <v>648449</v>
      </c>
      <c r="AO269" s="416">
        <v>1637700</v>
      </c>
      <c r="AP269" s="3562">
        <f t="shared" si="167"/>
        <v>27500</v>
      </c>
      <c r="AQ269" s="3562">
        <f t="shared" si="168"/>
        <v>8000</v>
      </c>
      <c r="AR269" s="3562">
        <f t="shared" si="154"/>
        <v>7000</v>
      </c>
      <c r="AS269" s="3562">
        <f t="shared" si="149"/>
        <v>81885</v>
      </c>
      <c r="AZ269" s="2618"/>
      <c r="BQ269" s="29" t="s">
        <v>113</v>
      </c>
      <c r="BR269" s="29">
        <v>17100</v>
      </c>
      <c r="BS269" s="416">
        <v>17400</v>
      </c>
      <c r="BT269" s="416">
        <v>21200</v>
      </c>
      <c r="BU269" s="416">
        <v>23600</v>
      </c>
      <c r="BV269" s="416">
        <v>29700</v>
      </c>
      <c r="BW269" s="416">
        <v>35500</v>
      </c>
      <c r="BX269" s="416">
        <v>53200</v>
      </c>
      <c r="BY269" s="416">
        <v>60300</v>
      </c>
      <c r="BZ269" s="416">
        <v>95000</v>
      </c>
      <c r="CA269" s="416">
        <v>118100</v>
      </c>
      <c r="CB269" s="416">
        <v>154200</v>
      </c>
      <c r="CC269" s="416">
        <v>210300</v>
      </c>
      <c r="CD269" s="416">
        <v>228400</v>
      </c>
      <c r="CE269" s="416">
        <v>339200</v>
      </c>
      <c r="CF269" s="416">
        <v>457300</v>
      </c>
      <c r="CG269" s="416">
        <v>573500</v>
      </c>
      <c r="CH269" s="416">
        <v>652000</v>
      </c>
      <c r="CI269" s="416">
        <v>747100</v>
      </c>
      <c r="CJ269" s="416">
        <v>937700</v>
      </c>
      <c r="CK269" s="416">
        <v>1045800</v>
      </c>
      <c r="CL269" s="416">
        <v>1223400</v>
      </c>
      <c r="CM269" s="416">
        <v>1392400</v>
      </c>
      <c r="CN269" s="416">
        <v>1591900</v>
      </c>
      <c r="CO269" s="416">
        <v>1637700</v>
      </c>
      <c r="CP269" s="416"/>
      <c r="CQ269" s="416"/>
      <c r="CR269" s="421"/>
      <c r="CS269" s="421"/>
      <c r="CT269" s="421"/>
      <c r="CU269" s="421"/>
    </row>
    <row r="270" spans="2:100">
      <c r="B270" s="302"/>
      <c r="C270" s="19"/>
      <c r="D270" s="53"/>
      <c r="E270" s="53"/>
      <c r="F270" s="53"/>
      <c r="G270" s="53"/>
      <c r="H270" s="53"/>
      <c r="J270" s="53"/>
      <c r="M270" s="311"/>
      <c r="N270" s="311"/>
      <c r="O270" s="311"/>
      <c r="P270" s="311"/>
      <c r="Q270" s="311"/>
      <c r="R270" s="311"/>
      <c r="S270" s="311"/>
      <c r="T270" s="311"/>
      <c r="U270" s="385"/>
      <c r="V270" s="421"/>
      <c r="W270" s="416"/>
      <c r="X270" s="416"/>
      <c r="Y270" s="416"/>
      <c r="Z270" s="416"/>
      <c r="AF270" s="311"/>
      <c r="AG270" s="311"/>
      <c r="AH270" s="311"/>
      <c r="AI270" s="311"/>
      <c r="AJ270" s="311"/>
      <c r="AK270" s="311"/>
      <c r="AL270" s="311"/>
      <c r="AM270" s="311"/>
      <c r="AN270" s="385"/>
      <c r="AO270" s="416"/>
      <c r="AP270" s="416"/>
      <c r="AQ270" s="416"/>
      <c r="AR270" s="416"/>
      <c r="AS270" s="416"/>
      <c r="AZ270" s="2618"/>
      <c r="BQ270" s="29" t="s">
        <v>114</v>
      </c>
      <c r="BR270" s="29">
        <v>8500</v>
      </c>
      <c r="BS270" s="416">
        <v>8500</v>
      </c>
      <c r="BT270" s="416">
        <v>8500</v>
      </c>
      <c r="BU270" s="416">
        <v>8500</v>
      </c>
      <c r="BV270" s="416">
        <v>8500</v>
      </c>
      <c r="BW270" s="416">
        <v>8500</v>
      </c>
      <c r="BX270" s="416">
        <v>8500</v>
      </c>
      <c r="BY270" s="416">
        <v>8500</v>
      </c>
      <c r="BZ270" s="416">
        <v>17500</v>
      </c>
      <c r="CA270" s="416">
        <v>17500</v>
      </c>
      <c r="CB270" s="416">
        <v>17500</v>
      </c>
      <c r="CC270" s="416">
        <v>17500</v>
      </c>
      <c r="CD270" s="416">
        <v>17500</v>
      </c>
      <c r="CE270" s="416">
        <v>17500</v>
      </c>
      <c r="CF270" s="416">
        <v>27500</v>
      </c>
      <c r="CG270" s="416">
        <v>27500</v>
      </c>
      <c r="CH270" s="416">
        <v>27500</v>
      </c>
      <c r="CI270" s="416">
        <v>27500</v>
      </c>
      <c r="CJ270" s="416">
        <v>27500</v>
      </c>
      <c r="CK270" s="416">
        <v>27500</v>
      </c>
      <c r="CL270" s="416">
        <v>27500</v>
      </c>
      <c r="CM270" s="416">
        <v>27500</v>
      </c>
      <c r="CN270" s="416">
        <v>27500</v>
      </c>
      <c r="CO270" s="416">
        <v>27500</v>
      </c>
      <c r="CP270" s="416"/>
      <c r="CQ270" s="416"/>
      <c r="CR270" s="416"/>
      <c r="CS270" s="416"/>
      <c r="CT270" s="416"/>
      <c r="CU270" s="416"/>
    </row>
    <row r="271" spans="2:100">
      <c r="B271" s="342"/>
      <c r="C271" s="2120"/>
      <c r="D271" s="19"/>
      <c r="E271" s="53"/>
      <c r="F271" s="53"/>
      <c r="G271" s="53"/>
      <c r="H271" s="53"/>
      <c r="J271" s="53"/>
      <c r="M271" s="311"/>
      <c r="N271" s="311"/>
      <c r="O271" s="311"/>
      <c r="P271" s="311"/>
      <c r="Q271" s="311"/>
      <c r="R271" s="311"/>
      <c r="S271" s="311"/>
      <c r="T271" s="311"/>
      <c r="U271" s="385"/>
      <c r="V271" s="421"/>
      <c r="W271" s="416"/>
      <c r="X271" s="416"/>
      <c r="Y271" s="416"/>
      <c r="Z271" s="416"/>
      <c r="AF271" s="311"/>
      <c r="AG271" s="311"/>
      <c r="AH271" s="311"/>
      <c r="AI271" s="311"/>
      <c r="AJ271" s="311"/>
      <c r="AK271" s="311"/>
      <c r="AL271" s="311"/>
      <c r="AM271" s="311"/>
      <c r="AN271" s="385"/>
      <c r="AO271" s="421"/>
      <c r="AP271" s="416"/>
      <c r="AQ271" s="416"/>
      <c r="AR271" s="416"/>
      <c r="AS271" s="416"/>
      <c r="AZ271" s="2618"/>
      <c r="BQ271" s="29" t="s">
        <v>115</v>
      </c>
      <c r="BR271" s="29">
        <v>3000</v>
      </c>
      <c r="BS271" s="416">
        <v>3000</v>
      </c>
      <c r="BT271" s="416">
        <v>3000</v>
      </c>
      <c r="BU271" s="416">
        <v>3000</v>
      </c>
      <c r="BV271" s="416">
        <v>3000</v>
      </c>
      <c r="BW271" s="416">
        <v>3000</v>
      </c>
      <c r="BX271" s="416">
        <v>4000</v>
      </c>
      <c r="BY271" s="416">
        <v>4000</v>
      </c>
      <c r="BZ271" s="416">
        <v>4000</v>
      </c>
      <c r="CA271" s="416">
        <v>4000</v>
      </c>
      <c r="CB271" s="416">
        <v>4000</v>
      </c>
      <c r="CC271" s="416">
        <v>4000</v>
      </c>
      <c r="CD271" s="416">
        <v>4000</v>
      </c>
      <c r="CE271" s="416">
        <v>4000</v>
      </c>
      <c r="CF271" s="416">
        <v>8000</v>
      </c>
      <c r="CG271" s="416">
        <v>8000</v>
      </c>
      <c r="CH271" s="416">
        <v>8000</v>
      </c>
      <c r="CI271" s="416">
        <v>8000</v>
      </c>
      <c r="CJ271" s="416">
        <v>8000</v>
      </c>
      <c r="CK271" s="416">
        <v>8000</v>
      </c>
      <c r="CL271" s="416">
        <v>8000</v>
      </c>
      <c r="CM271" s="416">
        <v>8000</v>
      </c>
      <c r="CN271" s="416">
        <v>8000</v>
      </c>
      <c r="CO271" s="416">
        <v>8000</v>
      </c>
      <c r="CP271" s="416"/>
      <c r="CQ271" s="416"/>
      <c r="CR271" s="416"/>
      <c r="CS271" s="416"/>
      <c r="CT271" s="416"/>
      <c r="CU271" s="416"/>
    </row>
    <row r="272" spans="2:100">
      <c r="B272" s="2164"/>
      <c r="C272" s="350"/>
      <c r="D272" s="53"/>
      <c r="E272" s="53"/>
      <c r="F272" s="53"/>
      <c r="G272" s="53"/>
      <c r="H272" s="53"/>
      <c r="J272" s="53"/>
      <c r="M272" s="311"/>
      <c r="N272" s="311"/>
      <c r="O272" s="311"/>
      <c r="P272" s="311"/>
      <c r="Q272" s="311"/>
      <c r="R272" s="311"/>
      <c r="S272" s="311"/>
      <c r="T272" s="311"/>
      <c r="U272" s="385"/>
      <c r="V272" s="421"/>
      <c r="W272" s="416"/>
      <c r="X272" s="416"/>
      <c r="Y272" s="416"/>
      <c r="Z272" s="416"/>
      <c r="AF272" s="311"/>
      <c r="AG272" s="311"/>
      <c r="AH272" s="311"/>
      <c r="AI272" s="311"/>
      <c r="AJ272" s="311"/>
      <c r="AK272" s="311"/>
      <c r="AL272" s="311"/>
      <c r="AM272" s="311"/>
      <c r="AN272" s="385"/>
      <c r="AO272" s="421"/>
      <c r="AP272" s="416"/>
      <c r="AQ272" s="416"/>
      <c r="AR272" s="416"/>
      <c r="AS272" s="416"/>
      <c r="AZ272" s="2618"/>
      <c r="BD272" s="53"/>
      <c r="BE272" s="2156"/>
      <c r="BF272" s="19"/>
      <c r="BG272" s="19"/>
      <c r="BH272" s="19"/>
      <c r="BI272" s="19"/>
      <c r="BJ272" s="19"/>
      <c r="BQ272" s="29" t="s">
        <v>116</v>
      </c>
      <c r="BR272" s="29">
        <v>7000</v>
      </c>
      <c r="BS272" s="416">
        <v>7000</v>
      </c>
      <c r="BT272" s="416">
        <v>7000</v>
      </c>
      <c r="BU272" s="416">
        <v>7000</v>
      </c>
      <c r="BV272" s="416">
        <v>7000</v>
      </c>
      <c r="BW272" s="416">
        <v>7000</v>
      </c>
      <c r="BX272" s="416">
        <v>7000</v>
      </c>
      <c r="BY272" s="416">
        <v>7000</v>
      </c>
      <c r="BZ272" s="416">
        <v>7000</v>
      </c>
      <c r="CA272" s="416">
        <v>7000</v>
      </c>
      <c r="CB272" s="416">
        <v>7000</v>
      </c>
      <c r="CC272" s="416">
        <v>7000</v>
      </c>
      <c r="CD272" s="416">
        <v>7000</v>
      </c>
      <c r="CE272" s="416">
        <v>7000</v>
      </c>
      <c r="CF272" s="416">
        <v>7000</v>
      </c>
      <c r="CG272" s="416">
        <v>7000</v>
      </c>
      <c r="CH272" s="416">
        <v>7000</v>
      </c>
      <c r="CI272" s="416">
        <v>7000</v>
      </c>
      <c r="CJ272" s="416">
        <v>7000</v>
      </c>
      <c r="CK272" s="416">
        <v>7000</v>
      </c>
      <c r="CL272" s="416">
        <v>7000</v>
      </c>
      <c r="CM272" s="416">
        <v>7000</v>
      </c>
      <c r="CN272" s="416">
        <v>7000</v>
      </c>
      <c r="CO272" s="416">
        <v>7000</v>
      </c>
      <c r="CP272" s="416"/>
      <c r="CQ272" s="416"/>
      <c r="CR272" s="416"/>
      <c r="CS272" s="416"/>
      <c r="CT272" s="416"/>
      <c r="CU272" s="416"/>
      <c r="CV272" s="19"/>
    </row>
    <row r="273" spans="2:100">
      <c r="B273" s="353"/>
      <c r="C273" s="354"/>
      <c r="D273" s="53"/>
      <c r="E273" s="53"/>
      <c r="F273" s="53"/>
      <c r="G273" s="53"/>
      <c r="H273" s="19"/>
      <c r="J273" s="53"/>
      <c r="M273" s="311"/>
      <c r="N273" s="311"/>
      <c r="O273" s="311"/>
      <c r="P273" s="311"/>
      <c r="Q273" s="311"/>
      <c r="R273" s="311"/>
      <c r="S273" s="311"/>
      <c r="T273" s="311"/>
      <c r="U273" s="385"/>
      <c r="V273" s="421"/>
      <c r="W273" s="416"/>
      <c r="X273" s="416"/>
      <c r="Y273" s="416"/>
      <c r="Z273" s="416"/>
      <c r="AF273" s="311"/>
      <c r="AG273" s="311"/>
      <c r="AH273" s="311"/>
      <c r="AI273" s="311"/>
      <c r="AJ273" s="311"/>
      <c r="AK273" s="311"/>
      <c r="AL273" s="311"/>
      <c r="AM273" s="311"/>
      <c r="AN273" s="385"/>
      <c r="AO273" s="421"/>
      <c r="AP273" s="416"/>
      <c r="AQ273" s="416"/>
      <c r="AR273" s="416"/>
      <c r="AS273" s="416"/>
      <c r="AZ273" s="2618"/>
      <c r="BE273" s="19"/>
      <c r="BF273" s="19"/>
      <c r="BG273" s="19"/>
      <c r="BH273" s="19"/>
      <c r="BI273" s="19"/>
      <c r="BJ273" s="19"/>
      <c r="BQ273" s="29" t="s">
        <v>117</v>
      </c>
      <c r="BR273" s="29">
        <v>855</v>
      </c>
      <c r="BS273" s="416">
        <v>870</v>
      </c>
      <c r="BT273" s="416">
        <v>1060</v>
      </c>
      <c r="BU273" s="416">
        <v>1180</v>
      </c>
      <c r="BV273" s="416">
        <v>1485</v>
      </c>
      <c r="BW273" s="416">
        <v>1775</v>
      </c>
      <c r="BX273" s="416">
        <v>2660</v>
      </c>
      <c r="BY273" s="416">
        <v>3015</v>
      </c>
      <c r="BZ273" s="416">
        <v>4750</v>
      </c>
      <c r="CA273" s="416">
        <v>5905</v>
      </c>
      <c r="CB273" s="416">
        <v>7710</v>
      </c>
      <c r="CC273" s="416">
        <v>10515</v>
      </c>
      <c r="CD273" s="416">
        <v>11420</v>
      </c>
      <c r="CE273" s="416">
        <v>16960</v>
      </c>
      <c r="CF273" s="416">
        <v>22865</v>
      </c>
      <c r="CG273" s="416">
        <v>28675</v>
      </c>
      <c r="CH273" s="416">
        <v>32600</v>
      </c>
      <c r="CI273" s="416">
        <v>37355</v>
      </c>
      <c r="CJ273" s="416">
        <v>46885</v>
      </c>
      <c r="CK273" s="416">
        <v>52290</v>
      </c>
      <c r="CL273" s="416">
        <v>61170</v>
      </c>
      <c r="CM273" s="416">
        <v>69620</v>
      </c>
      <c r="CN273" s="416">
        <v>79595</v>
      </c>
      <c r="CO273" s="416">
        <v>81885</v>
      </c>
      <c r="CP273" s="416"/>
      <c r="CQ273" s="416"/>
      <c r="CR273" s="416"/>
      <c r="CS273" s="416"/>
      <c r="CT273" s="416"/>
      <c r="CU273" s="416"/>
      <c r="CV273" s="19"/>
    </row>
    <row r="274" spans="2:100">
      <c r="B274" s="182"/>
      <c r="C274" s="186"/>
      <c r="D274" s="19"/>
      <c r="E274" s="53"/>
      <c r="F274" s="53"/>
      <c r="G274" s="53"/>
      <c r="H274" s="53"/>
      <c r="J274" s="53"/>
      <c r="M274" s="311"/>
      <c r="N274" s="311"/>
      <c r="O274" s="311"/>
      <c r="P274" s="311"/>
      <c r="Q274" s="311"/>
      <c r="R274" s="311"/>
      <c r="S274" s="311"/>
      <c r="T274" s="311"/>
      <c r="U274" s="385"/>
      <c r="V274" s="421"/>
      <c r="W274" s="416"/>
      <c r="X274" s="416"/>
      <c r="Y274" s="416"/>
      <c r="Z274" s="416"/>
      <c r="AF274" s="311"/>
      <c r="AG274" s="311"/>
      <c r="AH274" s="311"/>
      <c r="AI274" s="311"/>
      <c r="AJ274" s="311"/>
      <c r="AK274" s="311"/>
      <c r="AL274" s="311"/>
      <c r="AM274" s="311"/>
      <c r="AN274" s="385"/>
      <c r="AO274" s="421"/>
      <c r="AP274" s="416"/>
      <c r="AQ274" s="416"/>
      <c r="AR274" s="416"/>
      <c r="AS274" s="416"/>
      <c r="AZ274" s="2618"/>
      <c r="BE274" s="19"/>
      <c r="BF274" s="19"/>
      <c r="BG274" s="19"/>
      <c r="BH274" s="19"/>
      <c r="BI274" s="19"/>
      <c r="BJ274" s="19"/>
      <c r="CQ274" s="19"/>
      <c r="CR274" s="19"/>
      <c r="CS274" s="19"/>
      <c r="CT274" s="19"/>
      <c r="CU274" s="19"/>
      <c r="CV274" s="19"/>
    </row>
    <row r="275" spans="2:100">
      <c r="B275" s="182"/>
      <c r="D275" s="19"/>
      <c r="E275" s="53"/>
      <c r="F275" s="53"/>
      <c r="G275" s="53"/>
      <c r="H275" s="53"/>
      <c r="J275" s="53"/>
      <c r="M275" s="19"/>
      <c r="N275" s="19"/>
      <c r="O275" s="19"/>
      <c r="P275" s="19"/>
      <c r="Q275" s="19"/>
      <c r="R275" s="19"/>
      <c r="S275" s="19"/>
      <c r="T275" s="19"/>
      <c r="U275" s="345"/>
      <c r="V275" s="182"/>
      <c r="W275" s="20"/>
      <c r="X275" s="20"/>
      <c r="Y275" s="20"/>
      <c r="Z275" s="20"/>
      <c r="AF275" s="311"/>
      <c r="AG275" s="311"/>
      <c r="AH275" s="311"/>
      <c r="AI275" s="311"/>
      <c r="AJ275" s="311"/>
      <c r="AK275" s="311"/>
      <c r="AL275" s="311"/>
      <c r="AM275" s="311"/>
      <c r="AN275" s="385"/>
      <c r="AO275" s="421"/>
      <c r="AP275" s="416"/>
      <c r="AQ275" s="416"/>
      <c r="AR275" s="416"/>
      <c r="AS275" s="416"/>
      <c r="AZ275" s="2618"/>
    </row>
    <row r="276" spans="2:100">
      <c r="B276" s="59"/>
      <c r="C276" s="108"/>
      <c r="D276" s="53"/>
      <c r="E276" s="53"/>
      <c r="F276" s="53"/>
      <c r="G276" s="53"/>
      <c r="H276" s="19"/>
      <c r="J276" s="53"/>
      <c r="L276" s="2615"/>
      <c r="M276" s="2615"/>
      <c r="N276" s="2615"/>
      <c r="O276" s="216"/>
      <c r="P276" s="2615"/>
      <c r="Q276" s="2615"/>
      <c r="R276" s="53"/>
      <c r="S276" s="53"/>
      <c r="T276" s="216"/>
      <c r="U276" s="17"/>
      <c r="AF276" s="19"/>
      <c r="AG276" s="19"/>
      <c r="AH276" s="19"/>
      <c r="AI276" s="19"/>
      <c r="AJ276" s="19"/>
      <c r="AK276" s="19"/>
      <c r="AL276" s="19"/>
      <c r="AM276" s="19"/>
      <c r="AN276" s="345"/>
      <c r="AO276" s="182"/>
      <c r="AP276" s="20"/>
      <c r="AQ276" s="20"/>
      <c r="AR276" s="20"/>
      <c r="AS276" s="20"/>
      <c r="AZ276" s="2618"/>
    </row>
    <row r="277" spans="2:100">
      <c r="B277" s="17"/>
      <c r="C277" s="19"/>
      <c r="D277" s="53"/>
      <c r="E277" s="53"/>
      <c r="F277" s="53"/>
      <c r="G277" s="53"/>
      <c r="H277" s="19"/>
      <c r="J277" s="19"/>
      <c r="L277" s="2158">
        <v>0.4</v>
      </c>
      <c r="M277" s="53"/>
      <c r="N277" s="53"/>
      <c r="O277" s="53"/>
      <c r="P277" s="53"/>
      <c r="Q277" s="53"/>
      <c r="R277" s="53"/>
      <c r="S277" s="53"/>
      <c r="T277" s="53"/>
      <c r="AE277" s="2615"/>
      <c r="AF277" s="2615"/>
      <c r="AG277" s="2615"/>
      <c r="AH277" s="216"/>
      <c r="AI277" s="2615"/>
      <c r="AJ277" s="2615"/>
      <c r="AK277" s="53"/>
      <c r="AL277" s="53"/>
      <c r="AM277" s="216"/>
      <c r="AN277" s="17"/>
      <c r="AZ277" s="2618"/>
      <c r="BD277" s="2158">
        <v>0.4</v>
      </c>
      <c r="BE277" s="53"/>
      <c r="BF277" s="53"/>
      <c r="BG277" s="53"/>
      <c r="BH277" s="53"/>
      <c r="BK277" s="53"/>
      <c r="CP277" s="2165"/>
      <c r="CQ277" s="53"/>
      <c r="CR277" s="53"/>
      <c r="CS277" s="53"/>
      <c r="CT277" s="53"/>
    </row>
    <row r="278" spans="2:100">
      <c r="B278" s="209"/>
      <c r="C278" s="53"/>
      <c r="D278" s="53"/>
      <c r="E278" s="53"/>
      <c r="F278" s="53"/>
      <c r="G278" s="53"/>
      <c r="H278" s="53"/>
      <c r="J278" s="3532" t="str">
        <f>IF(A247="40%",K278,IF(A247="60%",K285))</f>
        <v>Right</v>
      </c>
      <c r="K278" s="3563" t="str">
        <f>IF(K279="Right",IF(K280="Right",IF(K281="Right",IF(K282="Right","Right","Wrong"))))</f>
        <v>Right</v>
      </c>
      <c r="L278" s="2159" t="s">
        <v>1710</v>
      </c>
      <c r="M278" s="2602" t="s">
        <v>2494</v>
      </c>
      <c r="N278" s="2602" t="s">
        <v>2495</v>
      </c>
      <c r="O278" s="2602" t="s">
        <v>2496</v>
      </c>
      <c r="P278" s="29" t="s">
        <v>119</v>
      </c>
      <c r="Q278" s="179" t="s">
        <v>121</v>
      </c>
      <c r="R278" s="179" t="s">
        <v>274</v>
      </c>
      <c r="S278" s="145" t="s">
        <v>2497</v>
      </c>
      <c r="T278" s="53"/>
      <c r="U278" s="29" t="s">
        <v>112</v>
      </c>
      <c r="V278" s="29" t="s">
        <v>113</v>
      </c>
      <c r="W278" s="29" t="s">
        <v>114</v>
      </c>
      <c r="X278" s="29" t="s">
        <v>115</v>
      </c>
      <c r="Y278" s="29" t="s">
        <v>116</v>
      </c>
      <c r="Z278" s="29" t="s">
        <v>117</v>
      </c>
      <c r="AE278" s="2158">
        <v>0.6</v>
      </c>
      <c r="AF278" s="53"/>
      <c r="AG278" s="53"/>
      <c r="AH278" s="53"/>
      <c r="AI278" s="53"/>
      <c r="AJ278" s="53"/>
      <c r="AK278" s="1731"/>
      <c r="AL278" s="53"/>
      <c r="AM278" s="19"/>
      <c r="AN278" s="20"/>
      <c r="AO278" s="20"/>
      <c r="AP278" s="20"/>
      <c r="AQ278" s="20"/>
      <c r="AR278" s="20"/>
      <c r="AS278" s="20"/>
      <c r="AZ278" s="2618"/>
      <c r="BD278" s="2159" t="s">
        <v>1710</v>
      </c>
      <c r="BE278" s="2602" t="s">
        <v>2494</v>
      </c>
      <c r="BF278" s="2602" t="s">
        <v>2495</v>
      </c>
      <c r="BG278" s="2602" t="s">
        <v>2496</v>
      </c>
      <c r="BH278" s="29" t="s">
        <v>119</v>
      </c>
      <c r="BI278" s="179" t="s">
        <v>121</v>
      </c>
      <c r="BJ278" s="179" t="s">
        <v>274</v>
      </c>
      <c r="BK278" s="145" t="s">
        <v>2497</v>
      </c>
      <c r="BM278" s="29" t="s">
        <v>112</v>
      </c>
      <c r="BN278" s="29" t="s">
        <v>113</v>
      </c>
      <c r="BO278" s="29" t="s">
        <v>114</v>
      </c>
      <c r="BP278" s="29" t="s">
        <v>115</v>
      </c>
      <c r="BQ278" s="29" t="s">
        <v>116</v>
      </c>
      <c r="BR278" s="29" t="s">
        <v>117</v>
      </c>
      <c r="BV278" s="2166">
        <v>0.6</v>
      </c>
      <c r="BW278" s="53"/>
      <c r="BX278" s="53"/>
      <c r="BY278" s="53"/>
      <c r="BZ278" s="53"/>
      <c r="CC278" s="53"/>
      <c r="CP278" s="1939"/>
      <c r="CQ278" s="2615"/>
      <c r="CR278" s="2615"/>
      <c r="CS278" s="2615"/>
      <c r="CT278" s="59"/>
      <c r="CU278" s="79"/>
      <c r="CV278" s="79"/>
    </row>
    <row r="279" spans="2:100">
      <c r="B279" s="454"/>
      <c r="C279" s="19"/>
      <c r="D279" s="53"/>
      <c r="E279" s="53"/>
      <c r="F279" s="53"/>
      <c r="G279" s="53"/>
      <c r="H279" s="53"/>
      <c r="J279" s="3532" t="str">
        <f>IF(A247="40%",K279,IF(A247="60%",K286))</f>
        <v>Right</v>
      </c>
      <c r="K279" s="3561" t="str">
        <f>IF(T279="Right",IF(AA279="Right","Right","Wrong"))</f>
        <v>Right</v>
      </c>
      <c r="L279" s="2602" t="s">
        <v>2471</v>
      </c>
      <c r="M279" s="3533">
        <f>C247</f>
        <v>14.931600768800502</v>
      </c>
      <c r="N279" s="3533">
        <f>VLOOKUP(M279,M245:M274,1)</f>
        <v>13</v>
      </c>
      <c r="O279" s="3533">
        <f>VLOOKUP(N279,M245:P274,4,0)</f>
        <v>15</v>
      </c>
      <c r="P279" s="3564" t="str">
        <f>VLOOKUP(O279,P245:R274,3,0)</f>
        <v>180L</v>
      </c>
      <c r="Q279" s="3564">
        <f>VLOOKUP(P279,R245:U274,2,0)</f>
        <v>970</v>
      </c>
      <c r="R279" s="3549">
        <f>VLOOKUP(P279,R244:U274,4,0)</f>
        <v>85554</v>
      </c>
      <c r="S279" s="3564">
        <f>VLOOKUP(P279,R245:T274,3,0)</f>
        <v>204</v>
      </c>
      <c r="T279" s="3561" t="str">
        <f>IF(BE279=M279,IF(N279=BF279,IF(O279=BG279,IF(P279=BH279,IF(Q279=BI279,IF(R279=BJ279,IF(S279=BK279,"Right","Wrong")))))))</f>
        <v>Right</v>
      </c>
      <c r="U279" s="3535">
        <f>VLOOKUP(P279,R245:Z274,4,0)</f>
        <v>85554</v>
      </c>
      <c r="V279" s="3535">
        <f>VLOOKUP(P279,R245:Z274,5,0)</f>
        <v>154200</v>
      </c>
      <c r="W279" s="3535">
        <f>VLOOKUP(P279,R245:Z274,6,0)</f>
        <v>17500</v>
      </c>
      <c r="X279" s="3535">
        <f>VLOOKUP(P279,R245:Z274,7,0)</f>
        <v>4000</v>
      </c>
      <c r="Y279" s="3535">
        <f>VLOOKUP(P279,R245:Z274,8,0)</f>
        <v>7000</v>
      </c>
      <c r="Z279" s="3535">
        <f>VLOOKUP(P279,R245:Z274,9,0)</f>
        <v>7710</v>
      </c>
      <c r="AA279" s="3561" t="str">
        <f>IF(BM279=U279,IF(V279=BN279,IF(W279=BO279,IF(X279=BP279,IF(Y279=BQ279,IF(Z279=BR279,"Right","Wrong"))))))</f>
        <v>Right</v>
      </c>
      <c r="AE279" s="2159" t="s">
        <v>1710</v>
      </c>
      <c r="AF279" s="2602" t="s">
        <v>2494</v>
      </c>
      <c r="AG279" s="2602" t="s">
        <v>2495</v>
      </c>
      <c r="AH279" s="2602" t="s">
        <v>2496</v>
      </c>
      <c r="AI279" s="29" t="s">
        <v>119</v>
      </c>
      <c r="AJ279" s="179" t="s">
        <v>121</v>
      </c>
      <c r="AK279" s="1846" t="s">
        <v>274</v>
      </c>
      <c r="AL279" s="145" t="s">
        <v>2497</v>
      </c>
      <c r="AM279" s="53"/>
      <c r="AN279" s="29" t="s">
        <v>112</v>
      </c>
      <c r="AO279" s="29" t="s">
        <v>113</v>
      </c>
      <c r="AP279" s="29" t="s">
        <v>114</v>
      </c>
      <c r="AQ279" s="29" t="s">
        <v>115</v>
      </c>
      <c r="AR279" s="29" t="s">
        <v>116</v>
      </c>
      <c r="AS279" s="29" t="s">
        <v>117</v>
      </c>
      <c r="AZ279" s="2618"/>
      <c r="BD279" s="2602" t="s">
        <v>2471</v>
      </c>
      <c r="BE279" s="3569">
        <f>M279</f>
        <v>14.931600768800502</v>
      </c>
      <c r="BF279" s="3559">
        <f>HLOOKUP(BE279,BE244:CH244,1)</f>
        <v>13</v>
      </c>
      <c r="BG279" s="3559">
        <f>HLOOKUP(BF279,BE244:CH247,4,0)</f>
        <v>15</v>
      </c>
      <c r="BH279" s="3559" t="str">
        <f>HLOOKUP(BG279,BE247:CH249,3,0)</f>
        <v>180L</v>
      </c>
      <c r="BI279" s="3559">
        <f>HLOOKUP(BH279,BE249:CH251,2,0)</f>
        <v>970</v>
      </c>
      <c r="BJ279" s="3559">
        <f>HLOOKUP(BH279,BE249:CH252,4,0)</f>
        <v>85554</v>
      </c>
      <c r="BK279" s="3559">
        <f>HLOOKUP(BH279,BE249:CH251,3,0)</f>
        <v>204</v>
      </c>
      <c r="BM279" s="3559">
        <f>HLOOKUP(BH279,BE249:CH257,4,0)</f>
        <v>85554</v>
      </c>
      <c r="BN279" s="3559">
        <f>HLOOKUP(BH279,BE249:CH257,5,0)</f>
        <v>154200</v>
      </c>
      <c r="BO279" s="3559">
        <f>HLOOKUP(BH279,BE249:CH257,6,0)</f>
        <v>17500</v>
      </c>
      <c r="BP279" s="3559">
        <f>HLOOKUP(BH279,BE249:CH257,7,0)</f>
        <v>4000</v>
      </c>
      <c r="BQ279" s="3559">
        <f>HLOOKUP(BH279,BE249:CH257,8,0)</f>
        <v>7000</v>
      </c>
      <c r="BR279" s="3559">
        <f>HLOOKUP(BH279,BE249:CH257,9,0)</f>
        <v>7710</v>
      </c>
      <c r="BV279" s="2159" t="s">
        <v>1710</v>
      </c>
      <c r="BW279" s="2602" t="s">
        <v>2494</v>
      </c>
      <c r="BX279" s="2602" t="s">
        <v>2495</v>
      </c>
      <c r="BY279" s="2602" t="s">
        <v>2496</v>
      </c>
      <c r="BZ279" s="29" t="s">
        <v>119</v>
      </c>
      <c r="CA279" s="179" t="s">
        <v>121</v>
      </c>
      <c r="CB279" s="179" t="s">
        <v>274</v>
      </c>
      <c r="CC279" s="145" t="s">
        <v>2497</v>
      </c>
      <c r="CE279" s="29" t="s">
        <v>112</v>
      </c>
      <c r="CF279" s="29" t="s">
        <v>113</v>
      </c>
      <c r="CG279" s="29" t="s">
        <v>114</v>
      </c>
      <c r="CH279" s="29" t="s">
        <v>115</v>
      </c>
      <c r="CI279" s="29" t="s">
        <v>116</v>
      </c>
      <c r="CJ279" s="29" t="s">
        <v>117</v>
      </c>
      <c r="CP279" s="2615"/>
      <c r="CQ279" s="2156"/>
      <c r="CR279" s="19"/>
      <c r="CS279" s="19"/>
      <c r="CT279" s="19"/>
      <c r="CU279" s="19"/>
      <c r="CV279" s="19"/>
    </row>
    <row r="280" spans="2:100">
      <c r="B280" s="2160"/>
      <c r="C280" s="19"/>
      <c r="D280" s="53"/>
      <c r="E280" s="53"/>
      <c r="F280" s="53"/>
      <c r="G280" s="53"/>
      <c r="H280" s="53"/>
      <c r="J280" s="3532" t="str">
        <f t="shared" ref="J280:J282" si="192">IF(A248="40%",K280,IF(A248="60%",K287))</f>
        <v>Right</v>
      </c>
      <c r="K280" s="3561" t="str">
        <f t="shared" ref="K280:K289" si="193">IF(T280="Right",IF(AA280="Right","Right","Wrong"))</f>
        <v>Right</v>
      </c>
      <c r="L280" s="2602" t="s">
        <v>2472</v>
      </c>
      <c r="M280" s="3533">
        <f>C248</f>
        <v>14.970777992527008</v>
      </c>
      <c r="N280" s="3533">
        <f>VLOOKUP(M280,M245:M274,1)</f>
        <v>13</v>
      </c>
      <c r="O280" s="3533">
        <f>VLOOKUP(N280,M245:P274,4,0)</f>
        <v>15</v>
      </c>
      <c r="P280" s="3564" t="str">
        <f>VLOOKUP(O280,P245:R274,3,0)</f>
        <v>180L</v>
      </c>
      <c r="Q280" s="3564">
        <f>VLOOKUP(P280,R245:U274,2,0)</f>
        <v>970</v>
      </c>
      <c r="R280" s="3549">
        <f>VLOOKUP(P280,R244:U274,4,0)</f>
        <v>85554</v>
      </c>
      <c r="S280" s="3564">
        <f>VLOOKUP(P280,R245:T274,3,0)</f>
        <v>204</v>
      </c>
      <c r="T280" s="3561" t="str">
        <f>IF(BE280=M280,IF(N280=BF280,IF(O280=BG280,IF(P280=BH280,IF(Q280=BI280,IF(R280=BJ280,IF(S280=BK280,"Right","Wrong")))))))</f>
        <v>Right</v>
      </c>
      <c r="U280" s="3535">
        <f>VLOOKUP(P280,R245:Z274,4,0)</f>
        <v>85554</v>
      </c>
      <c r="V280" s="3535">
        <f>VLOOKUP(P280,R245:Z274,5,0)</f>
        <v>154200</v>
      </c>
      <c r="W280" s="3535">
        <f>VLOOKUP(P280,R245:Z274,6,0)</f>
        <v>17500</v>
      </c>
      <c r="X280" s="3535">
        <f>VLOOKUP(P280,R245:Z274,7,0)</f>
        <v>4000</v>
      </c>
      <c r="Y280" s="3535">
        <f>VLOOKUP(P280,R245:Z274,8,0)</f>
        <v>7000</v>
      </c>
      <c r="Z280" s="3535">
        <f>VLOOKUP(P280,R245:Z274,9,0)</f>
        <v>7710</v>
      </c>
      <c r="AA280" s="3561" t="str">
        <f>IF(BM280=U280,IF(V280=BN280,IF(W280=BO280,IF(X280=BP280,IF(Y280=BQ280,IF(Z280=BR280,"Right","Wrong"))))))</f>
        <v>Right</v>
      </c>
      <c r="AE280" s="2602" t="s">
        <v>2471</v>
      </c>
      <c r="AF280" s="3567">
        <f>M279</f>
        <v>14.931600768800502</v>
      </c>
      <c r="AG280" s="3533">
        <f>VLOOKUP(AF280,AG246:AG275,1)</f>
        <v>14</v>
      </c>
      <c r="AH280" s="3533">
        <f>VLOOKUP(AG280,AG246:AJ275,4,0)</f>
        <v>20</v>
      </c>
      <c r="AI280" s="3564" t="str">
        <f>VLOOKUP(AH280,AJ246:AK275,2,0)</f>
        <v>200L (1)</v>
      </c>
      <c r="AJ280" s="3564">
        <f>VLOOKUP(AI280,AK246:AN275,2,0)</f>
        <v>977</v>
      </c>
      <c r="AK280" s="3549">
        <f>VLOOKUP(AI280,AK245:AN275,4,0)</f>
        <v>106310.99999999999</v>
      </c>
      <c r="AL280" s="3564">
        <f>VLOOKUP(AI280,AK246:AM275,3,0)</f>
        <v>254</v>
      </c>
      <c r="AM280" s="53"/>
      <c r="AN280" s="3535">
        <f>VLOOKUP(AI280,AK246:AS275,4,0)</f>
        <v>106310.99999999999</v>
      </c>
      <c r="AO280" s="3535">
        <f>VLOOKUP(AI280,AK246:AS275,5,0)</f>
        <v>210300</v>
      </c>
      <c r="AP280" s="3535">
        <f>VLOOKUP(AI280,AK246:AS275,6,0)</f>
        <v>17500</v>
      </c>
      <c r="AQ280" s="3535">
        <f>VLOOKUP(AI280,AK246:AS275,7,0)</f>
        <v>4000</v>
      </c>
      <c r="AR280" s="3535">
        <f>VLOOKUP(AI280,AK246:AS275,8,0)</f>
        <v>7000</v>
      </c>
      <c r="AS280" s="3535">
        <f>VLOOKUP(AI280,AK246:AS275,9,0)</f>
        <v>10515</v>
      </c>
      <c r="AZ280" s="2618"/>
      <c r="BD280" s="2602" t="s">
        <v>2472</v>
      </c>
      <c r="BE280" s="3569">
        <f>M280</f>
        <v>14.970777992527008</v>
      </c>
      <c r="BF280" s="3559">
        <f>HLOOKUP(BE280,BE244:CH244,1)</f>
        <v>13</v>
      </c>
      <c r="BG280" s="3559">
        <f>HLOOKUP(BF280,BE244:CH247,4,0)</f>
        <v>15</v>
      </c>
      <c r="BH280" s="3559" t="str">
        <f>HLOOKUP(BG280,BE247:CH249,3,0)</f>
        <v>180L</v>
      </c>
      <c r="BI280" s="3559">
        <f>HLOOKUP(BH280,BE249:CH251,2,0)</f>
        <v>970</v>
      </c>
      <c r="BJ280" s="3559">
        <f>HLOOKUP(BH280,BE249:CH252,4,0)</f>
        <v>85554</v>
      </c>
      <c r="BK280" s="3559">
        <f>HLOOKUP(BH280,BE249:CH251,3,0)</f>
        <v>204</v>
      </c>
      <c r="BM280" s="3559">
        <f>HLOOKUP(BH280,BE249:CH257,4,0)</f>
        <v>85554</v>
      </c>
      <c r="BN280" s="3559">
        <f>HLOOKUP(BH280,BE249:CH257,5,0)</f>
        <v>154200</v>
      </c>
      <c r="BO280" s="3559">
        <f>HLOOKUP(BH280,BE249:CH257,6,0)</f>
        <v>17500</v>
      </c>
      <c r="BP280" s="3559">
        <f>HLOOKUP(BH280,BE249:CH257,7,0)</f>
        <v>4000</v>
      </c>
      <c r="BQ280" s="3559">
        <f>HLOOKUP(BH280,BE249:CH257,8,0)</f>
        <v>7000</v>
      </c>
      <c r="BR280" s="3559">
        <f>HLOOKUP(BH280,BE249:CH257,9,0)</f>
        <v>7710</v>
      </c>
      <c r="BV280" s="2602" t="s">
        <v>2471</v>
      </c>
      <c r="BW280" s="3569">
        <f>BE279</f>
        <v>14.931600768800502</v>
      </c>
      <c r="BX280" s="3559">
        <f>HLOOKUP(BW280,BR261:CU261,1)</f>
        <v>14</v>
      </c>
      <c r="BY280" s="3559">
        <f>HLOOKUP(BX280,BR261:CU264,4,0)</f>
        <v>20</v>
      </c>
      <c r="BZ280" s="3559" t="str">
        <f>HLOOKUP(BY280,BR264:CU265,2,0)</f>
        <v>200L (1)</v>
      </c>
      <c r="CA280" s="3559">
        <f>HLOOKUP(BZ280,BR265:CU267,2,0)</f>
        <v>977</v>
      </c>
      <c r="CB280" s="3559">
        <f>HLOOKUP(BZ280,BR265:CU268,4,0)</f>
        <v>106310.99999999999</v>
      </c>
      <c r="CC280" s="3559">
        <f>HLOOKUP(BZ280,BR265:CU267,3,0)</f>
        <v>254</v>
      </c>
      <c r="CE280" s="3559">
        <f>HLOOKUP(BZ280,BR265:CU273,4,0)</f>
        <v>106310.99999999999</v>
      </c>
      <c r="CF280" s="3559">
        <f>HLOOKUP(BZ280,BR265:CU273,5,0)</f>
        <v>210300</v>
      </c>
      <c r="CG280" s="3559">
        <f>HLOOKUP(BZ280,BR265:CU273,6,0)</f>
        <v>17500</v>
      </c>
      <c r="CH280" s="3559">
        <f>HLOOKUP(BZ280,BR265:CU273,7,0)</f>
        <v>4000</v>
      </c>
      <c r="CI280" s="3559">
        <f>HLOOKUP(BZ280,BR265:CU273,8,0)</f>
        <v>7000</v>
      </c>
      <c r="CJ280" s="3559">
        <f>HLOOKUP(BZ280,BR265:CU273,9,0)</f>
        <v>10515</v>
      </c>
      <c r="CP280" s="2615"/>
      <c r="CQ280" s="2156"/>
      <c r="CR280" s="19"/>
      <c r="CS280" s="19"/>
      <c r="CT280" s="19"/>
      <c r="CU280" s="19"/>
      <c r="CV280" s="19"/>
    </row>
    <row r="281" spans="2:100">
      <c r="B281" s="481"/>
      <c r="C281" s="19"/>
      <c r="D281" s="53"/>
      <c r="E281" s="53"/>
      <c r="F281" s="53"/>
      <c r="G281" s="53"/>
      <c r="H281" s="53"/>
      <c r="J281" s="3532" t="b">
        <f t="shared" si="192"/>
        <v>0</v>
      </c>
      <c r="K281" s="3561" t="str">
        <f t="shared" si="193"/>
        <v>Right</v>
      </c>
      <c r="L281" s="2602" t="s">
        <v>2473</v>
      </c>
      <c r="M281" s="3533">
        <f>C249</f>
        <v>0.7475763842813713</v>
      </c>
      <c r="N281" s="3533">
        <f>VLOOKUP(M281,M245:M274,1)</f>
        <v>0.71</v>
      </c>
      <c r="O281" s="3533">
        <f>VLOOKUP(N281,M245:P274,4,0)</f>
        <v>1.1000000000000001</v>
      </c>
      <c r="P281" s="3564" t="str">
        <f>VLOOKUP(O281,P245:R274,3,0)</f>
        <v>90S</v>
      </c>
      <c r="Q281" s="3564">
        <f>VLOOKUP(P281,R245:U274,2,0)</f>
        <v>913</v>
      </c>
      <c r="R281" s="3549">
        <f>VLOOKUP(P281,R244:U274,4,0)</f>
        <v>26344</v>
      </c>
      <c r="S281" s="3564">
        <f>VLOOKUP(P281,R245:T274,3,0)</f>
        <v>22</v>
      </c>
      <c r="T281" s="3561" t="str">
        <f>IF(BE281=M281,IF(N281=BF281,IF(O281=BG281,IF(P281=BH281,IF(Q281=BI281,IF(R281=BJ281,IF(S281=BK281,"Right","Wrong")))))))</f>
        <v>Right</v>
      </c>
      <c r="U281" s="3535">
        <f>VLOOKUP(P281,R245:Z274,4,0)</f>
        <v>26344</v>
      </c>
      <c r="V281" s="3535">
        <f>VLOOKUP(P281,R245:Z274,5,0)</f>
        <v>21200</v>
      </c>
      <c r="W281" s="3535">
        <f>VLOOKUP(P281,R245:Z274,6,0)</f>
        <v>8500</v>
      </c>
      <c r="X281" s="3535">
        <f>VLOOKUP(P281,R245:Z274,7,0)</f>
        <v>3000</v>
      </c>
      <c r="Y281" s="3535">
        <f>VLOOKUP(P281,R245:Z274,8,0)</f>
        <v>7000</v>
      </c>
      <c r="Z281" s="3535">
        <f>VLOOKUP(P281,R245:Z274,9,0)</f>
        <v>1060</v>
      </c>
      <c r="AA281" s="3561" t="str">
        <f>IF(BM281=U281,IF(V281=BN281,IF(W281=BO281,IF(X281=BP281,IF(Y281=BQ281,IF(Z281=BR281,"Right","Wrong"))))))</f>
        <v>Right</v>
      </c>
      <c r="AE281" s="2602" t="s">
        <v>2472</v>
      </c>
      <c r="AF281" s="3567">
        <f>M280</f>
        <v>14.970777992527008</v>
      </c>
      <c r="AG281" s="3533">
        <f>VLOOKUP(AF281,AG246:AG275,1)</f>
        <v>14</v>
      </c>
      <c r="AH281" s="3533">
        <f>VLOOKUP(AG281,AG246:AJ275,4,0)</f>
        <v>20</v>
      </c>
      <c r="AI281" s="3564" t="str">
        <f>VLOOKUP(AH281,AJ246:AK275,2,0)</f>
        <v>200L (1)</v>
      </c>
      <c r="AJ281" s="3564">
        <f>VLOOKUP(AI281,AK246:AN275,2,0)</f>
        <v>977</v>
      </c>
      <c r="AK281" s="3549">
        <f>VLOOKUP(AI281,AK245:AN275,4,0)</f>
        <v>106310.99999999999</v>
      </c>
      <c r="AL281" s="3564">
        <f>VLOOKUP(AI281,AK246:AM275,3,0)</f>
        <v>254</v>
      </c>
      <c r="AM281" s="53"/>
      <c r="AN281" s="3535">
        <f>VLOOKUP(AI281,AK246:AS275,4,0)</f>
        <v>106310.99999999999</v>
      </c>
      <c r="AO281" s="3535">
        <f>VLOOKUP(AI281,AK246:AS275,5,0)</f>
        <v>210300</v>
      </c>
      <c r="AP281" s="3535">
        <f>VLOOKUP(AI281,AK246:AS275,6,0)</f>
        <v>17500</v>
      </c>
      <c r="AQ281" s="3535">
        <f>VLOOKUP(AI281,AK246:AS275,7,0)</f>
        <v>4000</v>
      </c>
      <c r="AR281" s="3535">
        <f>VLOOKUP(AI281,AK246:AS275,8,0)</f>
        <v>7000</v>
      </c>
      <c r="AS281" s="3535">
        <f>VLOOKUP(AI281,AK246:AS275,9,0)</f>
        <v>10515</v>
      </c>
      <c r="AZ281" s="2618"/>
      <c r="BD281" s="2602" t="s">
        <v>2473</v>
      </c>
      <c r="BE281" s="3569">
        <f>M281</f>
        <v>0.7475763842813713</v>
      </c>
      <c r="BF281" s="3559">
        <f>HLOOKUP(BE281,BE244:CH244,1)</f>
        <v>0.71</v>
      </c>
      <c r="BG281" s="3559">
        <f>HLOOKUP(BF281,BE244:CH247,4,0)</f>
        <v>1.1000000000000001</v>
      </c>
      <c r="BH281" s="3559" t="str">
        <f>HLOOKUP(BG281,BE247:CH249,3,0)</f>
        <v>90S</v>
      </c>
      <c r="BI281" s="3559">
        <f>HLOOKUP(BH281,BE249:CH251,2,0)</f>
        <v>913</v>
      </c>
      <c r="BJ281" s="3559">
        <f>HLOOKUP(BH281,BE249:CH252,4,0)</f>
        <v>26344</v>
      </c>
      <c r="BK281" s="3559">
        <f>HLOOKUP(BH281,BE249:CH251,3,0)</f>
        <v>22</v>
      </c>
      <c r="BM281" s="3559">
        <f>HLOOKUP(BH281,BE249:CH257,4,0)</f>
        <v>26344</v>
      </c>
      <c r="BN281" s="3559">
        <f>HLOOKUP(BH281,BE249:CH257,5,0)</f>
        <v>21200</v>
      </c>
      <c r="BO281" s="3559">
        <f>HLOOKUP(BH281,BE249:CH257,6,0)</f>
        <v>8500</v>
      </c>
      <c r="BP281" s="3559">
        <f>HLOOKUP(BH281,BE249:CH257,7,0)</f>
        <v>3000</v>
      </c>
      <c r="BQ281" s="3559">
        <f>HLOOKUP(BH281,BE249:CH257,8,0)</f>
        <v>7000</v>
      </c>
      <c r="BR281" s="3559">
        <f>HLOOKUP(BH281,BE249:CH257,9,0)</f>
        <v>1060</v>
      </c>
      <c r="BV281" s="2602" t="s">
        <v>2472</v>
      </c>
      <c r="BW281" s="3569">
        <f t="shared" ref="BW281:BW283" si="194">BE280</f>
        <v>14.970777992527008</v>
      </c>
      <c r="BX281" s="3559">
        <f>HLOOKUP(BW281,BR261:CU261,1)</f>
        <v>14</v>
      </c>
      <c r="BY281" s="3559">
        <f>HLOOKUP(BX281,BR261:CU264,4,0)</f>
        <v>20</v>
      </c>
      <c r="BZ281" s="3559" t="str">
        <f>HLOOKUP(BY281,BR264:CU265,2,0)</f>
        <v>200L (1)</v>
      </c>
      <c r="CA281" s="3559">
        <f>HLOOKUP(BZ281,BR265:CU267,2,0)</f>
        <v>977</v>
      </c>
      <c r="CB281" s="3559">
        <f>HLOOKUP(BZ281,BR265:CU268,4,0)</f>
        <v>106310.99999999999</v>
      </c>
      <c r="CC281" s="3559">
        <f>HLOOKUP(BZ281,BR265:CU267,3,0)</f>
        <v>254</v>
      </c>
      <c r="CE281" s="3559">
        <f>HLOOKUP(BZ281,BR265:CU273,4,0)</f>
        <v>106310.99999999999</v>
      </c>
      <c r="CF281" s="3559">
        <f>HLOOKUP(BZ281,BR265:CU273,5,0)</f>
        <v>210300</v>
      </c>
      <c r="CG281" s="3559">
        <f>HLOOKUP(BZ281,BR265:CU273,6,0)</f>
        <v>17500</v>
      </c>
      <c r="CH281" s="3559">
        <f>HLOOKUP(BZ281,BR265:CU273,7,0)</f>
        <v>4000</v>
      </c>
      <c r="CI281" s="3559">
        <f>HLOOKUP(BZ281,BR265:CU273,8,0)</f>
        <v>7000</v>
      </c>
      <c r="CJ281" s="3559">
        <f>HLOOKUP(BZ281,BR265:CU273,9,0)</f>
        <v>10515</v>
      </c>
      <c r="CP281" s="2615"/>
      <c r="CQ281" s="2156"/>
      <c r="CR281" s="19"/>
      <c r="CS281" s="19"/>
      <c r="CT281" s="19"/>
      <c r="CU281" s="19"/>
      <c r="CV281" s="19"/>
    </row>
    <row r="282" spans="2:100">
      <c r="B282" s="2116"/>
      <c r="C282" s="20"/>
      <c r="D282" s="53"/>
      <c r="E282" s="53"/>
      <c r="F282" s="53"/>
      <c r="G282" s="53"/>
      <c r="H282" s="53"/>
      <c r="J282" s="3532" t="b">
        <f t="shared" si="192"/>
        <v>0</v>
      </c>
      <c r="K282" s="3561" t="str">
        <f t="shared" si="193"/>
        <v>Right</v>
      </c>
      <c r="L282" s="2602" t="s">
        <v>2474</v>
      </c>
      <c r="M282" s="3533">
        <f>C250</f>
        <v>1.2453130745563414</v>
      </c>
      <c r="N282" s="3533">
        <f>VLOOKUP(M282,M245:M274,1)</f>
        <v>1.1000000000000001</v>
      </c>
      <c r="O282" s="3533">
        <f>VLOOKUP(N282,M245:P274,4,0)</f>
        <v>1.4</v>
      </c>
      <c r="P282" s="3564" t="str">
        <f>VLOOKUP(O282,P245:R274,3,0)</f>
        <v>90L</v>
      </c>
      <c r="Q282" s="3564">
        <f>VLOOKUP(P282,R245:U274,2,0)</f>
        <v>901</v>
      </c>
      <c r="R282" s="3549">
        <f>VLOOKUP(P282,R244:U274,4,0)</f>
        <v>27232</v>
      </c>
      <c r="S282" s="3564">
        <f>VLOOKUP(P282,R245:T274,3,0)</f>
        <v>25</v>
      </c>
      <c r="T282" s="3561" t="str">
        <f>IF(BE282=M282,IF(N282=BF282,IF(O282=BG282,IF(P282=BH282,IF(Q282=BI282,IF(R282=BJ282,IF(S282=BK282,"Right","Wrong")))))))</f>
        <v>Right</v>
      </c>
      <c r="U282" s="3535">
        <f>VLOOKUP(P282,R245:Z274,4,0)</f>
        <v>27232</v>
      </c>
      <c r="V282" s="3535">
        <f>VLOOKUP(P282,R245:Z274,5,0)</f>
        <v>23600</v>
      </c>
      <c r="W282" s="3535">
        <f>VLOOKUP(P282,R245:Z274,6,0)</f>
        <v>8500</v>
      </c>
      <c r="X282" s="3535">
        <f>VLOOKUP(P282,R245:Z274,7,0)</f>
        <v>3000</v>
      </c>
      <c r="Y282" s="3535">
        <f>VLOOKUP(P282,R245:Z274,8,0)</f>
        <v>7000</v>
      </c>
      <c r="Z282" s="3535">
        <f>VLOOKUP(P282,R245:Z274,9,0)</f>
        <v>1180</v>
      </c>
      <c r="AA282" s="3561" t="str">
        <f>IF(BM282=U282,IF(V282=BN282,IF(W282=BO282,IF(X282=BP282,IF(Y282=BQ282,IF(Z282=BR282,"Right","Wrong"))))))</f>
        <v>Right</v>
      </c>
      <c r="AE282" s="2602" t="s">
        <v>2473</v>
      </c>
      <c r="AF282" s="3567">
        <f>M281</f>
        <v>0.7475763842813713</v>
      </c>
      <c r="AG282" s="3533">
        <f>VLOOKUP(AF282,AG246:AG275,1)</f>
        <v>0.61</v>
      </c>
      <c r="AH282" s="3533">
        <f>VLOOKUP(AG282,AG246:AJ275,4,0)</f>
        <v>0.9</v>
      </c>
      <c r="AI282" s="3564" t="str">
        <f>VLOOKUP(AH282,AJ246:AK275,2,0)</f>
        <v>90S</v>
      </c>
      <c r="AJ282" s="3564">
        <f>VLOOKUP(AI282,AK246:AN275,2,0)</f>
        <v>922</v>
      </c>
      <c r="AK282" s="3549">
        <f>VLOOKUP(AI282,AK245:AN275,4,0)</f>
        <v>26344</v>
      </c>
      <c r="AL282" s="3564">
        <f>VLOOKUP(AI282,AK246:AM275,3,0)</f>
        <v>22</v>
      </c>
      <c r="AM282" s="53"/>
      <c r="AN282" s="3535">
        <f>VLOOKUP(AI282,AK246:AS275,4,0)</f>
        <v>26344</v>
      </c>
      <c r="AO282" s="3535">
        <f>VLOOKUP(AI282,AK246:AS275,5,0)</f>
        <v>21200</v>
      </c>
      <c r="AP282" s="3535">
        <f>VLOOKUP(AI282,AK246:AS275,6,0)</f>
        <v>8500</v>
      </c>
      <c r="AQ282" s="3535">
        <f>VLOOKUP(AI282,AK246:AS275,7,0)</f>
        <v>3000</v>
      </c>
      <c r="AR282" s="3535">
        <f>VLOOKUP(AI282,AK246:AS275,8,0)</f>
        <v>7000</v>
      </c>
      <c r="AS282" s="3535">
        <f>VLOOKUP(AI282,AK246:AS275,9,0)</f>
        <v>1060</v>
      </c>
      <c r="AZ282" s="2618"/>
      <c r="BD282" s="2602" t="s">
        <v>2474</v>
      </c>
      <c r="BE282" s="3569">
        <f>M282</f>
        <v>1.2453130745563414</v>
      </c>
      <c r="BF282" s="3559">
        <f>HLOOKUP(BE282,BE244:CH244,1)</f>
        <v>1.1000000000000001</v>
      </c>
      <c r="BG282" s="3559">
        <f>HLOOKUP(BF282,BE244:CH247,4,0)</f>
        <v>1.4</v>
      </c>
      <c r="BH282" s="3559" t="str">
        <f>HLOOKUP(BG282,BE247:CH249,3,0)</f>
        <v>90L</v>
      </c>
      <c r="BI282" s="3559">
        <f>HLOOKUP(BH282,BE249:CH251,2,0)</f>
        <v>901</v>
      </c>
      <c r="BJ282" s="3559">
        <f>HLOOKUP(BH282,BE249:CH252,4,0)</f>
        <v>27232</v>
      </c>
      <c r="BK282" s="3559">
        <f>HLOOKUP(BH282,BE249:CH251,3,0)</f>
        <v>25</v>
      </c>
      <c r="BM282" s="3559">
        <f>HLOOKUP(BH282,BE249:CH257,4,0)</f>
        <v>27232</v>
      </c>
      <c r="BN282" s="3559">
        <f>HLOOKUP(BH282,BE249:CH257,5,0)</f>
        <v>23600</v>
      </c>
      <c r="BO282" s="3559">
        <f>HLOOKUP(BH282,BE249:CH257,6,0)</f>
        <v>8500</v>
      </c>
      <c r="BP282" s="3559">
        <f>HLOOKUP(BH282,BE249:CH257,7,0)</f>
        <v>3000</v>
      </c>
      <c r="BQ282" s="3559">
        <f>HLOOKUP(BH282,BE249:CH257,8,0)</f>
        <v>7000</v>
      </c>
      <c r="BR282" s="3559">
        <f>HLOOKUP(BH282,BE249:CH257,9,0)</f>
        <v>1180</v>
      </c>
      <c r="BV282" s="2602" t="s">
        <v>2473</v>
      </c>
      <c r="BW282" s="3569">
        <f t="shared" si="194"/>
        <v>0.7475763842813713</v>
      </c>
      <c r="BX282" s="3559">
        <f>HLOOKUP(BW282,BR261:CU261,1)</f>
        <v>0.61</v>
      </c>
      <c r="BY282" s="3559">
        <f>HLOOKUP(BX282,BR261:CU264,4,0)</f>
        <v>0.9</v>
      </c>
      <c r="BZ282" s="3559" t="str">
        <f>HLOOKUP(BY282,BR264:CU265,2,0)</f>
        <v>90S</v>
      </c>
      <c r="CA282" s="3559">
        <f>HLOOKUP(BZ282,BR265:CU267,2,0)</f>
        <v>922</v>
      </c>
      <c r="CB282" s="3559">
        <f>HLOOKUP(BZ282,BR265:CU268,4,0)</f>
        <v>26344</v>
      </c>
      <c r="CC282" s="3559">
        <f>HLOOKUP(BZ282,BR265:CU267,3,0)</f>
        <v>22</v>
      </c>
      <c r="CE282" s="3559">
        <f>HLOOKUP(BZ282,BR265:CU273,4,0)</f>
        <v>26344</v>
      </c>
      <c r="CF282" s="3559">
        <f>HLOOKUP(BZ282,BR265:CU273,5,0)</f>
        <v>21200</v>
      </c>
      <c r="CG282" s="3559">
        <f>HLOOKUP(BZ282,BR265:CU273,6,0)</f>
        <v>8500</v>
      </c>
      <c r="CH282" s="3559">
        <f>HLOOKUP(BZ282,BR265:CU273,7,0)</f>
        <v>3000</v>
      </c>
      <c r="CI282" s="3559">
        <f>HLOOKUP(BZ282,BR265:CU273,8,0)</f>
        <v>7000</v>
      </c>
      <c r="CJ282" s="3559">
        <f>HLOOKUP(BZ282,BR265:CU273,9,0)</f>
        <v>1060</v>
      </c>
    </row>
    <row r="283" spans="2:100">
      <c r="B283" s="2118"/>
      <c r="C283" s="383"/>
      <c r="D283" s="53"/>
      <c r="E283" s="53"/>
      <c r="F283" s="53"/>
      <c r="G283" s="53"/>
      <c r="H283" s="53"/>
      <c r="J283" s="53"/>
      <c r="L283" s="53"/>
      <c r="M283" s="53"/>
      <c r="N283" s="53"/>
      <c r="O283" s="53"/>
      <c r="P283" s="53"/>
      <c r="Q283" s="53"/>
      <c r="R283" s="1731"/>
      <c r="S283" s="53"/>
      <c r="U283" s="20"/>
      <c r="V283" s="20"/>
      <c r="W283" s="20"/>
      <c r="X283" s="20"/>
      <c r="Y283" s="20"/>
      <c r="Z283" s="20"/>
      <c r="AE283" s="2602" t="s">
        <v>2474</v>
      </c>
      <c r="AF283" s="3567">
        <f>M282</f>
        <v>1.2453130745563414</v>
      </c>
      <c r="AG283" s="3533">
        <f>VLOOKUP(AF283,AG246:AG275,1)</f>
        <v>0.9</v>
      </c>
      <c r="AH283" s="3533">
        <f>VLOOKUP(AG283,AG246:AJ275,4,0)</f>
        <v>1.3</v>
      </c>
      <c r="AI283" s="3564" t="str">
        <f>VLOOKUP(AH283,AJ246:AK275,2,0)</f>
        <v>90L</v>
      </c>
      <c r="AJ283" s="3564">
        <f>VLOOKUP(AI283,AK246:AN275,2,0)</f>
        <v>908</v>
      </c>
      <c r="AK283" s="3549">
        <f>VLOOKUP(AI283,AK245:AN275,4,0)</f>
        <v>27232</v>
      </c>
      <c r="AL283" s="3564">
        <f>VLOOKUP(AI283,AK246:AM275,3,0)</f>
        <v>25</v>
      </c>
      <c r="AM283" s="53"/>
      <c r="AN283" s="3535">
        <f>VLOOKUP(AI283,AK246:AS275,4,0)</f>
        <v>27232</v>
      </c>
      <c r="AO283" s="3535">
        <f>VLOOKUP(AI283,AK246:AS275,5,0)</f>
        <v>23600</v>
      </c>
      <c r="AP283" s="3535">
        <f>VLOOKUP(AI283,AK246:AS275,6,0)</f>
        <v>8500</v>
      </c>
      <c r="AQ283" s="3535">
        <f>VLOOKUP(AI283,AK246:AS275,7,0)</f>
        <v>3000</v>
      </c>
      <c r="AR283" s="3535">
        <f>VLOOKUP(AI283,AK246:AS275,8,0)</f>
        <v>7000</v>
      </c>
      <c r="AS283" s="3535">
        <f>VLOOKUP(AI283,AK246:AS275,9,0)</f>
        <v>1180</v>
      </c>
      <c r="AZ283" s="2618"/>
      <c r="BV283" s="2602" t="s">
        <v>2474</v>
      </c>
      <c r="BW283" s="3569">
        <f t="shared" si="194"/>
        <v>1.2453130745563414</v>
      </c>
      <c r="BX283" s="3559">
        <f>HLOOKUP(BW283,BR261:CU261,1)</f>
        <v>0.9</v>
      </c>
      <c r="BY283" s="3559">
        <f>HLOOKUP(BX283,BR261:CU264,4,0)</f>
        <v>1.3</v>
      </c>
      <c r="BZ283" s="3559" t="str">
        <f>HLOOKUP(BY283,BR264:CU265,2,0)</f>
        <v>90L</v>
      </c>
      <c r="CA283" s="3559">
        <f>HLOOKUP(BZ283,BR265:CU267,2,0)</f>
        <v>908</v>
      </c>
      <c r="CB283" s="3559">
        <f>HLOOKUP(BZ283,BR265:CU268,4,0)</f>
        <v>27232</v>
      </c>
      <c r="CC283" s="3559">
        <f>HLOOKUP(BZ283,BR265:CU267,3,0)</f>
        <v>25</v>
      </c>
      <c r="CE283" s="3559">
        <f>HLOOKUP(BZ283,BR265:CU273,4,0)</f>
        <v>27232</v>
      </c>
      <c r="CF283" s="3559">
        <f>HLOOKUP(BZ283,BR265:CU273,5,0)</f>
        <v>23600</v>
      </c>
      <c r="CG283" s="3559">
        <f>HLOOKUP(BZ283,BR265:CU273,6,0)</f>
        <v>8500</v>
      </c>
      <c r="CH283" s="3559">
        <f>HLOOKUP(BZ283,BR265:CU273,7,0)</f>
        <v>3000</v>
      </c>
      <c r="CI283" s="3559">
        <f>HLOOKUP(BZ283,BR265:CU273,8,0)</f>
        <v>7000</v>
      </c>
      <c r="CJ283" s="3559">
        <f>HLOOKUP(BZ283,BR265:CU273,9,0)</f>
        <v>1180</v>
      </c>
    </row>
    <row r="284" spans="2:100">
      <c r="B284" s="2118"/>
      <c r="C284" s="383"/>
      <c r="D284" s="53"/>
      <c r="E284" s="53"/>
      <c r="F284" s="53"/>
      <c r="G284" s="53"/>
      <c r="H284" s="53"/>
      <c r="J284" s="53"/>
      <c r="L284" s="2158">
        <v>0.6</v>
      </c>
      <c r="M284" s="53"/>
      <c r="N284" s="53"/>
      <c r="O284" s="53"/>
      <c r="P284" s="53"/>
      <c r="Q284" s="53"/>
      <c r="R284" s="1731"/>
      <c r="S284" s="53"/>
      <c r="U284" s="20"/>
      <c r="V284" s="20"/>
      <c r="W284" s="20"/>
      <c r="X284" s="20"/>
      <c r="Y284" s="20"/>
      <c r="Z284" s="20"/>
      <c r="AE284" s="53"/>
      <c r="AF284" s="53"/>
      <c r="AG284" s="53"/>
      <c r="AH284" s="53"/>
      <c r="AI284" s="53"/>
      <c r="AJ284" s="53"/>
      <c r="AK284" s="1731"/>
      <c r="AL284" s="53"/>
      <c r="AM284" s="19"/>
      <c r="AN284" s="20"/>
      <c r="AO284" s="20"/>
      <c r="AP284" s="20"/>
      <c r="AQ284" s="20"/>
      <c r="AR284" s="20"/>
      <c r="AS284" s="20"/>
      <c r="AZ284" s="2618"/>
      <c r="BD284" s="2158">
        <v>0.6</v>
      </c>
      <c r="BE284" s="53"/>
      <c r="BF284" s="53"/>
      <c r="BG284" s="53"/>
      <c r="BH284" s="53"/>
      <c r="BK284" s="53"/>
    </row>
    <row r="285" spans="2:100">
      <c r="B285" s="2119"/>
      <c r="C285" s="383"/>
      <c r="D285" s="53"/>
      <c r="E285" s="53"/>
      <c r="F285" s="53"/>
      <c r="G285" s="53"/>
      <c r="H285" s="53"/>
      <c r="J285" s="53"/>
      <c r="K285" s="3563" t="str">
        <f>IF(K286="Right",IF(K287="Right",IF(K288="Right",IF(K289="Right","Right","Wrong"))))</f>
        <v>Right</v>
      </c>
      <c r="L285" s="2159" t="s">
        <v>1710</v>
      </c>
      <c r="M285" s="2602" t="s">
        <v>2494</v>
      </c>
      <c r="N285" s="2602" t="s">
        <v>2495</v>
      </c>
      <c r="O285" s="2602" t="s">
        <v>2496</v>
      </c>
      <c r="P285" s="29" t="s">
        <v>119</v>
      </c>
      <c r="Q285" s="179" t="s">
        <v>121</v>
      </c>
      <c r="R285" s="1846" t="s">
        <v>274</v>
      </c>
      <c r="S285" s="145" t="s">
        <v>2497</v>
      </c>
      <c r="U285" s="29" t="s">
        <v>112</v>
      </c>
      <c r="V285" s="29" t="s">
        <v>113</v>
      </c>
      <c r="W285" s="29" t="s">
        <v>114</v>
      </c>
      <c r="X285" s="29" t="s">
        <v>115</v>
      </c>
      <c r="Y285" s="29" t="s">
        <v>116</v>
      </c>
      <c r="Z285" s="29" t="s">
        <v>117</v>
      </c>
      <c r="AZ285" s="2618"/>
      <c r="BD285" s="2159" t="s">
        <v>1710</v>
      </c>
      <c r="BE285" s="2602" t="s">
        <v>2494</v>
      </c>
      <c r="BF285" s="2602" t="s">
        <v>2495</v>
      </c>
      <c r="BG285" s="2602" t="s">
        <v>2496</v>
      </c>
      <c r="BH285" s="29" t="s">
        <v>119</v>
      </c>
      <c r="BI285" s="179" t="s">
        <v>121</v>
      </c>
      <c r="BJ285" s="179" t="s">
        <v>274</v>
      </c>
      <c r="BK285" s="145" t="s">
        <v>2497</v>
      </c>
      <c r="BM285" s="29" t="s">
        <v>112</v>
      </c>
      <c r="BN285" s="29" t="s">
        <v>113</v>
      </c>
      <c r="BO285" s="29" t="s">
        <v>114</v>
      </c>
      <c r="BP285" s="29" t="s">
        <v>115</v>
      </c>
      <c r="BQ285" s="29" t="s">
        <v>116</v>
      </c>
      <c r="BR285" s="29" t="s">
        <v>117</v>
      </c>
    </row>
    <row r="286" spans="2:100">
      <c r="B286" s="2119"/>
      <c r="C286" s="383"/>
      <c r="D286" s="53"/>
      <c r="E286" s="53"/>
      <c r="F286" s="53"/>
      <c r="G286" s="53"/>
      <c r="H286" s="53"/>
      <c r="J286" s="53"/>
      <c r="K286" s="3561" t="str">
        <f t="shared" si="193"/>
        <v>Right</v>
      </c>
      <c r="L286" s="2602" t="s">
        <v>2471</v>
      </c>
      <c r="M286" s="3567">
        <f t="shared" ref="M286:S289" si="195">AF280</f>
        <v>14.931600768800502</v>
      </c>
      <c r="N286" s="3567">
        <f t="shared" si="195"/>
        <v>14</v>
      </c>
      <c r="O286" s="3567">
        <f t="shared" si="195"/>
        <v>20</v>
      </c>
      <c r="P286" s="3567" t="str">
        <f t="shared" si="195"/>
        <v>200L (1)</v>
      </c>
      <c r="Q286" s="3567">
        <f t="shared" si="195"/>
        <v>977</v>
      </c>
      <c r="R286" s="3549">
        <f t="shared" si="195"/>
        <v>106310.99999999999</v>
      </c>
      <c r="S286" s="3549">
        <f t="shared" si="195"/>
        <v>254</v>
      </c>
      <c r="T286" s="3561" t="str">
        <f>IF(BE286=M286,IF(N286=BF286,IF(O286=BG286,IF(P286=BH286,IF(Q286=BI286,IF(R286=BJ286,IF(S286=BK286,"Right","Wrong")))))))</f>
        <v>Right</v>
      </c>
      <c r="U286" s="3535">
        <f t="shared" ref="U286:Z289" si="196">AN280</f>
        <v>106310.99999999999</v>
      </c>
      <c r="V286" s="3535">
        <f t="shared" si="196"/>
        <v>210300</v>
      </c>
      <c r="W286" s="3535">
        <f t="shared" si="196"/>
        <v>17500</v>
      </c>
      <c r="X286" s="3535">
        <f t="shared" si="196"/>
        <v>4000</v>
      </c>
      <c r="Y286" s="3535">
        <f t="shared" si="196"/>
        <v>7000</v>
      </c>
      <c r="Z286" s="3535">
        <f t="shared" si="196"/>
        <v>10515</v>
      </c>
      <c r="AA286" s="3561" t="str">
        <f>IF(BM286=U286,IF(V286=BN286,IF(W286=BO286,IF(X286=BP286,IF(Y286=BQ286,IF(Z286=BR286,"Right","Wrong"))))))</f>
        <v>Right</v>
      </c>
      <c r="AZ286" s="2618"/>
      <c r="BD286" s="2602" t="s">
        <v>2471</v>
      </c>
      <c r="BE286" s="3569">
        <f>BW280</f>
        <v>14.931600768800502</v>
      </c>
      <c r="BF286" s="3569">
        <f t="shared" ref="BF286:BF289" si="197">BX280</f>
        <v>14</v>
      </c>
      <c r="BG286" s="3569">
        <f t="shared" ref="BG286:BG289" si="198">BY280</f>
        <v>20</v>
      </c>
      <c r="BH286" s="3569" t="str">
        <f t="shared" ref="BH286:BH289" si="199">BZ280</f>
        <v>200L (1)</v>
      </c>
      <c r="BI286" s="3569">
        <f t="shared" ref="BI286:BI289" si="200">CA280</f>
        <v>977</v>
      </c>
      <c r="BJ286" s="3569">
        <f t="shared" ref="BJ286:BJ289" si="201">CB280</f>
        <v>106310.99999999999</v>
      </c>
      <c r="BK286" s="3569">
        <f t="shared" ref="BK286:BK289" si="202">CC280</f>
        <v>254</v>
      </c>
      <c r="BM286" s="3559">
        <f>CE280</f>
        <v>106310.99999999999</v>
      </c>
      <c r="BN286" s="3559">
        <f t="shared" ref="BN286:BN289" si="203">CF280</f>
        <v>210300</v>
      </c>
      <c r="BO286" s="3559">
        <f t="shared" ref="BO286:BO289" si="204">CG280</f>
        <v>17500</v>
      </c>
      <c r="BP286" s="3559">
        <f t="shared" ref="BP286:BP289" si="205">CH280</f>
        <v>4000</v>
      </c>
      <c r="BQ286" s="3559">
        <f t="shared" ref="BQ286:BQ289" si="206">CI280</f>
        <v>7000</v>
      </c>
      <c r="BR286" s="3559">
        <f t="shared" ref="BR286:BR289" si="207">CJ280</f>
        <v>10515</v>
      </c>
    </row>
    <row r="287" spans="2:100">
      <c r="B287" s="2119"/>
      <c r="C287" s="383"/>
      <c r="E287" s="53"/>
      <c r="F287" s="53"/>
      <c r="J287" s="19"/>
      <c r="K287" s="3561" t="str">
        <f t="shared" si="193"/>
        <v>Right</v>
      </c>
      <c r="L287" s="2602" t="s">
        <v>2472</v>
      </c>
      <c r="M287" s="3567">
        <f t="shared" si="195"/>
        <v>14.970777992527008</v>
      </c>
      <c r="N287" s="3567">
        <f t="shared" si="195"/>
        <v>14</v>
      </c>
      <c r="O287" s="3567">
        <f t="shared" si="195"/>
        <v>20</v>
      </c>
      <c r="P287" s="3567" t="str">
        <f t="shared" si="195"/>
        <v>200L (1)</v>
      </c>
      <c r="Q287" s="3567">
        <f t="shared" si="195"/>
        <v>977</v>
      </c>
      <c r="R287" s="3549">
        <f t="shared" si="195"/>
        <v>106310.99999999999</v>
      </c>
      <c r="S287" s="3549">
        <f t="shared" si="195"/>
        <v>254</v>
      </c>
      <c r="T287" s="3561" t="str">
        <f>IF(BE287=M287,IF(N287=BF287,IF(O287=BG287,IF(P287=BH287,IF(Q287=BI287,IF(R287=BJ287,IF(S287=BK287,"Right","Wrong")))))))</f>
        <v>Right</v>
      </c>
      <c r="U287" s="3535">
        <f t="shared" si="196"/>
        <v>106310.99999999999</v>
      </c>
      <c r="V287" s="3535">
        <f t="shared" si="196"/>
        <v>210300</v>
      </c>
      <c r="W287" s="3535">
        <f t="shared" si="196"/>
        <v>17500</v>
      </c>
      <c r="X287" s="3535">
        <f t="shared" si="196"/>
        <v>4000</v>
      </c>
      <c r="Y287" s="3535">
        <f t="shared" si="196"/>
        <v>7000</v>
      </c>
      <c r="Z287" s="3535">
        <f t="shared" si="196"/>
        <v>10515</v>
      </c>
      <c r="AA287" s="3561" t="str">
        <f>IF(BM287=U287,IF(V287=BN287,IF(W287=BO287,IF(X287=BP287,IF(Y287=BQ287,IF(Z287=BR287,"Right","Wrong"))))))</f>
        <v>Right</v>
      </c>
      <c r="AZ287" s="2618"/>
      <c r="BD287" s="2602" t="s">
        <v>2472</v>
      </c>
      <c r="BE287" s="3569">
        <f t="shared" ref="BE287:BE289" si="208">BW281</f>
        <v>14.970777992527008</v>
      </c>
      <c r="BF287" s="3569">
        <f t="shared" si="197"/>
        <v>14</v>
      </c>
      <c r="BG287" s="3569">
        <f t="shared" si="198"/>
        <v>20</v>
      </c>
      <c r="BH287" s="3569" t="str">
        <f t="shared" si="199"/>
        <v>200L (1)</v>
      </c>
      <c r="BI287" s="3569">
        <f t="shared" si="200"/>
        <v>977</v>
      </c>
      <c r="BJ287" s="3569">
        <f t="shared" si="201"/>
        <v>106310.99999999999</v>
      </c>
      <c r="BK287" s="3569">
        <f t="shared" si="202"/>
        <v>254</v>
      </c>
      <c r="BM287" s="3559">
        <f t="shared" ref="BM287:BM289" si="209">CE281</f>
        <v>106310.99999999999</v>
      </c>
      <c r="BN287" s="3559">
        <f t="shared" si="203"/>
        <v>210300</v>
      </c>
      <c r="BO287" s="3559">
        <f t="shared" si="204"/>
        <v>17500</v>
      </c>
      <c r="BP287" s="3559">
        <f t="shared" si="205"/>
        <v>4000</v>
      </c>
      <c r="BQ287" s="3559">
        <f t="shared" si="206"/>
        <v>7000</v>
      </c>
      <c r="BR287" s="3559">
        <f t="shared" si="207"/>
        <v>10515</v>
      </c>
    </row>
    <row r="288" spans="2:100">
      <c r="K288" s="3561" t="str">
        <f t="shared" si="193"/>
        <v>Right</v>
      </c>
      <c r="L288" s="2602" t="s">
        <v>2473</v>
      </c>
      <c r="M288" s="3567">
        <f t="shared" si="195"/>
        <v>0.7475763842813713</v>
      </c>
      <c r="N288" s="3567">
        <f t="shared" si="195"/>
        <v>0.61</v>
      </c>
      <c r="O288" s="3567">
        <f t="shared" si="195"/>
        <v>0.9</v>
      </c>
      <c r="P288" s="3567" t="str">
        <f t="shared" si="195"/>
        <v>90S</v>
      </c>
      <c r="Q288" s="3567">
        <f t="shared" si="195"/>
        <v>922</v>
      </c>
      <c r="R288" s="3549">
        <f t="shared" si="195"/>
        <v>26344</v>
      </c>
      <c r="S288" s="3549">
        <f t="shared" si="195"/>
        <v>22</v>
      </c>
      <c r="T288" s="3561" t="str">
        <f>IF(BE288=M288,IF(N288=BF288,IF(O288=BG288,IF(P288=BH288,IF(Q288=BI288,IF(R288=BJ288,IF(S288=BK288,"Right","Wrong")))))))</f>
        <v>Right</v>
      </c>
      <c r="U288" s="3535">
        <f t="shared" si="196"/>
        <v>26344</v>
      </c>
      <c r="V288" s="3535">
        <f t="shared" si="196"/>
        <v>21200</v>
      </c>
      <c r="W288" s="3535">
        <f t="shared" si="196"/>
        <v>8500</v>
      </c>
      <c r="X288" s="3535">
        <f t="shared" si="196"/>
        <v>3000</v>
      </c>
      <c r="Y288" s="3535">
        <f t="shared" si="196"/>
        <v>7000</v>
      </c>
      <c r="Z288" s="3535">
        <f t="shared" si="196"/>
        <v>1060</v>
      </c>
      <c r="AA288" s="3561" t="str">
        <f>IF(BM288=U288,IF(V288=BN288,IF(W288=BO288,IF(X288=BP288,IF(Y288=BQ288,IF(Z288=BR288,"Right","Wrong"))))))</f>
        <v>Right</v>
      </c>
      <c r="AZ288" s="2618"/>
      <c r="BD288" s="2602" t="s">
        <v>2473</v>
      </c>
      <c r="BE288" s="3569">
        <f t="shared" si="208"/>
        <v>0.7475763842813713</v>
      </c>
      <c r="BF288" s="3569">
        <f t="shared" si="197"/>
        <v>0.61</v>
      </c>
      <c r="BG288" s="3569">
        <f t="shared" si="198"/>
        <v>0.9</v>
      </c>
      <c r="BH288" s="3569" t="str">
        <f t="shared" si="199"/>
        <v>90S</v>
      </c>
      <c r="BI288" s="3569">
        <f t="shared" si="200"/>
        <v>922</v>
      </c>
      <c r="BJ288" s="3569">
        <f t="shared" si="201"/>
        <v>26344</v>
      </c>
      <c r="BK288" s="3569">
        <f t="shared" si="202"/>
        <v>22</v>
      </c>
      <c r="BM288" s="3559">
        <f t="shared" si="209"/>
        <v>26344</v>
      </c>
      <c r="BN288" s="3559">
        <f t="shared" si="203"/>
        <v>21200</v>
      </c>
      <c r="BO288" s="3559">
        <f t="shared" si="204"/>
        <v>8500</v>
      </c>
      <c r="BP288" s="3559">
        <f t="shared" si="205"/>
        <v>3000</v>
      </c>
      <c r="BQ288" s="3559">
        <f t="shared" si="206"/>
        <v>7000</v>
      </c>
      <c r="BR288" s="3559">
        <f t="shared" si="207"/>
        <v>1060</v>
      </c>
    </row>
    <row r="289" spans="11:70">
      <c r="K289" s="3561" t="str">
        <f t="shared" si="193"/>
        <v>Right</v>
      </c>
      <c r="L289" s="2602" t="s">
        <v>2474</v>
      </c>
      <c r="M289" s="3567">
        <f t="shared" si="195"/>
        <v>1.2453130745563414</v>
      </c>
      <c r="N289" s="3567">
        <f t="shared" si="195"/>
        <v>0.9</v>
      </c>
      <c r="O289" s="3567">
        <f t="shared" si="195"/>
        <v>1.3</v>
      </c>
      <c r="P289" s="3567" t="str">
        <f t="shared" si="195"/>
        <v>90L</v>
      </c>
      <c r="Q289" s="3567">
        <f t="shared" si="195"/>
        <v>908</v>
      </c>
      <c r="R289" s="3549">
        <f t="shared" si="195"/>
        <v>27232</v>
      </c>
      <c r="S289" s="3549">
        <f t="shared" si="195"/>
        <v>25</v>
      </c>
      <c r="T289" s="3561" t="str">
        <f>IF(BE289=M289,IF(N289=BF289,IF(O289=BG289,IF(P289=BH289,IF(Q289=BI289,IF(R289=BJ289,IF(S289=BK289,"Right","Wrong")))))))</f>
        <v>Right</v>
      </c>
      <c r="U289" s="3535">
        <f t="shared" si="196"/>
        <v>27232</v>
      </c>
      <c r="V289" s="3535">
        <f t="shared" si="196"/>
        <v>23600</v>
      </c>
      <c r="W289" s="3535">
        <f t="shared" si="196"/>
        <v>8500</v>
      </c>
      <c r="X289" s="3535">
        <f t="shared" si="196"/>
        <v>3000</v>
      </c>
      <c r="Y289" s="3535">
        <f t="shared" si="196"/>
        <v>7000</v>
      </c>
      <c r="Z289" s="3535">
        <f t="shared" si="196"/>
        <v>1180</v>
      </c>
      <c r="AA289" s="3561" t="str">
        <f>IF(BM289=U289,IF(V289=BN289,IF(W289=BO289,IF(X289=BP289,IF(Y289=BQ289,IF(Z289=BR289,"Right","Wrong"))))))</f>
        <v>Right</v>
      </c>
      <c r="AZ289" s="2618"/>
      <c r="BD289" s="2602" t="s">
        <v>2474</v>
      </c>
      <c r="BE289" s="3569">
        <f t="shared" si="208"/>
        <v>1.2453130745563414</v>
      </c>
      <c r="BF289" s="3569">
        <f t="shared" si="197"/>
        <v>0.9</v>
      </c>
      <c r="BG289" s="3569">
        <f t="shared" si="198"/>
        <v>1.3</v>
      </c>
      <c r="BH289" s="3569" t="str">
        <f t="shared" si="199"/>
        <v>90L</v>
      </c>
      <c r="BI289" s="3569">
        <f t="shared" si="200"/>
        <v>908</v>
      </c>
      <c r="BJ289" s="3569">
        <f t="shared" si="201"/>
        <v>27232</v>
      </c>
      <c r="BK289" s="3569">
        <f t="shared" si="202"/>
        <v>25</v>
      </c>
      <c r="BM289" s="3559">
        <f t="shared" si="209"/>
        <v>27232</v>
      </c>
      <c r="BN289" s="3559">
        <f t="shared" si="203"/>
        <v>23600</v>
      </c>
      <c r="BO289" s="3559">
        <f t="shared" si="204"/>
        <v>8500</v>
      </c>
      <c r="BP289" s="3559">
        <f t="shared" si="205"/>
        <v>3000</v>
      </c>
      <c r="BQ289" s="3559">
        <f t="shared" si="206"/>
        <v>7000</v>
      </c>
      <c r="BR289" s="3559">
        <f t="shared" si="207"/>
        <v>1180</v>
      </c>
    </row>
    <row r="290" spans="11:70">
      <c r="L290" s="53"/>
      <c r="M290" s="53"/>
      <c r="N290" s="53"/>
      <c r="O290" s="53"/>
      <c r="P290" s="53"/>
      <c r="Q290" s="53"/>
      <c r="R290" s="53"/>
      <c r="S290" s="53"/>
      <c r="T290" s="53"/>
      <c r="AZ290" s="2618"/>
    </row>
    <row r="291" spans="11:70">
      <c r="AE291" s="53"/>
      <c r="AF291" s="53"/>
      <c r="AG291" s="53"/>
      <c r="AH291" s="53"/>
      <c r="AI291" s="53"/>
      <c r="AJ291" s="53"/>
      <c r="AK291" s="53"/>
      <c r="AL291" s="53"/>
      <c r="AM291" s="53"/>
      <c r="AZ291" s="2618"/>
    </row>
    <row r="292" spans="11:70">
      <c r="AZ292" s="2618"/>
    </row>
    <row r="293" spans="11:70">
      <c r="AZ293" s="2618"/>
    </row>
    <row r="294" spans="11:70">
      <c r="AZ294" s="2618"/>
    </row>
    <row r="295" spans="11:70">
      <c r="AZ295" s="2618"/>
    </row>
    <row r="296" spans="11:70">
      <c r="AZ296" s="2618"/>
    </row>
    <row r="297" spans="11:70">
      <c r="AZ297" s="2618"/>
    </row>
    <row r="298" spans="11:70">
      <c r="AZ298" s="2618"/>
    </row>
  </sheetData>
  <sheetProtection selectLockedCells="1" selectUnlockedCells="1"/>
  <mergeCells count="1">
    <mergeCell ref="O3:Q3"/>
  </mergeCells>
  <dataValidations disablePrompts="1" count="3">
    <dataValidation type="list" allowBlank="1" showInputMessage="1" showErrorMessage="1" sqref="B114 B166 B220 B276" xr:uid="{00000000-0002-0000-0E00-000000000000}">
      <formula1>$M$76:$O$76</formula1>
    </dataValidation>
    <dataValidation type="list" allowBlank="1" showInputMessage="1" showErrorMessage="1" sqref="B116 B168 B222 B278" xr:uid="{00000000-0002-0000-0E00-000001000000}">
      <formula1>$X$75:$AA$75</formula1>
    </dataValidation>
    <dataValidation allowBlank="1" showInputMessage="1" showErrorMessage="1" sqref="B117:B119 B279:B281 B223:B225 B169:B171" xr:uid="{00000000-0002-0000-0E00-000002000000}"/>
  </dataValidations>
  <pageMargins left="0.7" right="0.7" top="0.75" bottom="0.75" header="0.3" footer="0.3"/>
  <pageSetup paperSize="9" orientation="portrait" verticalDpi="0" r:id="rId1"/>
  <ignoredErrors>
    <ignoredError sqref="O83:O91" numberStoredAsText="1"/>
  </ignoredError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1FB35-7C0B-4543-A0BF-3B94E5A39462}">
  <dimension ref="A2:AA403"/>
  <sheetViews>
    <sheetView view="pageBreakPreview" topLeftCell="A277" zoomScale="85" zoomScaleNormal="85" zoomScaleSheetLayoutView="85" workbookViewId="0">
      <selection activeCell="H50" sqref="H50"/>
    </sheetView>
  </sheetViews>
  <sheetFormatPr defaultColWidth="9" defaultRowHeight="12.75"/>
  <cols>
    <col min="1" max="1" width="3.46484375" style="2834" customWidth="1"/>
    <col min="2" max="2" width="9" style="2834"/>
    <col min="3" max="3" width="12.46484375" style="2834" customWidth="1"/>
    <col min="4" max="4" width="21.33203125" style="2834" customWidth="1"/>
    <col min="5" max="5" width="12.86328125" style="2834" customWidth="1"/>
    <col min="6" max="6" width="12" style="2834" customWidth="1"/>
    <col min="7" max="7" width="13.6640625" style="2834" customWidth="1"/>
    <col min="8" max="8" width="13" style="2834" customWidth="1"/>
    <col min="9" max="9" width="12.33203125" style="2834" customWidth="1"/>
    <col min="10" max="10" width="10.33203125" style="2834" customWidth="1"/>
    <col min="11" max="11" width="6.86328125" style="2834" customWidth="1"/>
    <col min="12" max="12" width="9.6640625" style="2834" customWidth="1"/>
    <col min="13" max="13" width="9.53125" style="2834" customWidth="1"/>
    <col min="14" max="14" width="9" style="2834"/>
    <col min="15" max="15" width="12.53125" style="2834" customWidth="1"/>
    <col min="16" max="16384" width="9" style="2834"/>
  </cols>
  <sheetData>
    <row r="2" spans="1:16">
      <c r="C2" s="2834" t="s">
        <v>2037</v>
      </c>
      <c r="D2" s="2835"/>
      <c r="L2" s="2836" t="s">
        <v>2957</v>
      </c>
      <c r="M2" s="2837">
        <f>Girder!E41/10</f>
        <v>3</v>
      </c>
    </row>
    <row r="3" spans="1:16">
      <c r="C3" s="2834" t="s">
        <v>2038</v>
      </c>
      <c r="D3" s="2838"/>
    </row>
    <row r="4" spans="1:16">
      <c r="A4" s="2834" t="s">
        <v>1832</v>
      </c>
      <c r="O4" s="2839" t="s">
        <v>2958</v>
      </c>
      <c r="P4" s="2839" t="s">
        <v>2959</v>
      </c>
    </row>
    <row r="5" spans="1:16">
      <c r="N5" s="2839" t="s">
        <v>2960</v>
      </c>
      <c r="O5" s="2840">
        <f>((F8/2*F8*F11)+((M2+F12/2)*F12*F14)+((M2+F12+C10/10+F13/2)*F14*F13)+(F8/2*F7*F10))/I10</f>
        <v>18.5</v>
      </c>
      <c r="P5" s="2841">
        <f>I21</f>
        <v>63.040999999999997</v>
      </c>
    </row>
    <row r="6" spans="1:16">
      <c r="I6" s="2842"/>
    </row>
    <row r="7" spans="1:16">
      <c r="B7" s="2843">
        <f>F10*10</f>
        <v>10</v>
      </c>
      <c r="C7" s="2844">
        <f>F7*10</f>
        <v>370</v>
      </c>
      <c r="E7" s="2844" t="s">
        <v>2961</v>
      </c>
      <c r="F7" s="2845">
        <f>Girder!G28</f>
        <v>37</v>
      </c>
      <c r="G7" s="2846" t="s">
        <v>1569</v>
      </c>
    </row>
    <row r="8" spans="1:16" ht="13.15">
      <c r="E8" s="2847" t="s">
        <v>2962</v>
      </c>
      <c r="F8" s="2845">
        <f>Girder!G29</f>
        <v>37</v>
      </c>
      <c r="G8" s="2846" t="s">
        <v>1569</v>
      </c>
      <c r="H8" s="2848" t="s">
        <v>2039</v>
      </c>
      <c r="I8" s="2848"/>
      <c r="P8" s="2849"/>
    </row>
    <row r="9" spans="1:16">
      <c r="E9" s="2844" t="s">
        <v>1571</v>
      </c>
      <c r="F9" s="2845">
        <f>Girder!G30</f>
        <v>122</v>
      </c>
      <c r="G9" s="2846" t="s">
        <v>1569</v>
      </c>
    </row>
    <row r="10" spans="1:16" ht="15.75" customHeight="1">
      <c r="B10" s="2850">
        <f>F12*10</f>
        <v>6</v>
      </c>
      <c r="C10" s="2851">
        <f>(F8-F12-F13-2*M2)*10</f>
        <v>298</v>
      </c>
      <c r="D10" s="2852" t="s">
        <v>1572</v>
      </c>
      <c r="E10" s="2844" t="s">
        <v>1573</v>
      </c>
      <c r="F10" s="2845">
        <f>Girder!G31</f>
        <v>1</v>
      </c>
      <c r="G10" s="2846" t="s">
        <v>1569</v>
      </c>
      <c r="H10" s="2834" t="s">
        <v>1968</v>
      </c>
      <c r="I10" s="2853">
        <f>(F7*F10)+(F14*F12)+(F14*F13)+(F8*F11)</f>
        <v>210.84</v>
      </c>
      <c r="J10" s="2844" t="s">
        <v>2963</v>
      </c>
    </row>
    <row r="11" spans="1:16" s="2843" customFormat="1" ht="34.5" customHeight="1">
      <c r="B11" s="2854">
        <f>(F9-F10-F11)*10</f>
        <v>1202</v>
      </c>
      <c r="D11" s="2854">
        <f>F9*10</f>
        <v>1220</v>
      </c>
      <c r="E11" s="2855" t="s">
        <v>1575</v>
      </c>
      <c r="F11" s="2856">
        <f>Girder!G32</f>
        <v>0.8</v>
      </c>
      <c r="G11" s="2857" t="s">
        <v>1569</v>
      </c>
      <c r="H11" s="2858" t="s">
        <v>1969</v>
      </c>
      <c r="I11" s="2853">
        <f>I21</f>
        <v>63.040999999999997</v>
      </c>
      <c r="J11" s="2844" t="s">
        <v>1569</v>
      </c>
      <c r="M11" s="2834"/>
    </row>
    <row r="12" spans="1:16" ht="14.25">
      <c r="E12" s="2847" t="s">
        <v>2964</v>
      </c>
      <c r="F12" s="2845">
        <f>Girder!G33</f>
        <v>0.6</v>
      </c>
      <c r="G12" s="2846" t="s">
        <v>1569</v>
      </c>
      <c r="H12" s="2859" t="s">
        <v>1970</v>
      </c>
      <c r="I12" s="2853">
        <f>'Sheet1 (2)'!I35</f>
        <v>416924.39</v>
      </c>
      <c r="J12" s="2844" t="s">
        <v>2965</v>
      </c>
      <c r="M12" s="2852"/>
    </row>
    <row r="13" spans="1:16" ht="14.25">
      <c r="C13" s="2860">
        <f>Girder!G34*10</f>
        <v>6</v>
      </c>
      <c r="D13" s="2852" t="s">
        <v>1580</v>
      </c>
      <c r="E13" s="2847" t="s">
        <v>2966</v>
      </c>
      <c r="F13" s="2845">
        <f>Girder!G34</f>
        <v>0.6</v>
      </c>
      <c r="G13" s="2846" t="s">
        <v>1569</v>
      </c>
      <c r="H13" s="2859" t="s">
        <v>1971</v>
      </c>
      <c r="I13" s="2853">
        <f>'Sheet1 (2)'!I39</f>
        <v>40927.49</v>
      </c>
      <c r="J13" s="2844" t="s">
        <v>2965</v>
      </c>
      <c r="O13" s="2861"/>
    </row>
    <row r="14" spans="1:16" ht="14.25">
      <c r="E14" s="2844" t="s">
        <v>1581</v>
      </c>
      <c r="F14" s="2845">
        <f>Girder!G35</f>
        <v>120.2</v>
      </c>
      <c r="G14" s="2846" t="s">
        <v>1569</v>
      </c>
      <c r="H14" s="2859" t="s">
        <v>1972</v>
      </c>
      <c r="I14" s="2853">
        <f>I12/I21</f>
        <v>6613.5434082581187</v>
      </c>
      <c r="J14" s="2844" t="s">
        <v>2967</v>
      </c>
      <c r="M14" s="2842"/>
      <c r="N14" s="2862"/>
    </row>
    <row r="15" spans="1:16" ht="14.25">
      <c r="E15" s="2847" t="s">
        <v>2968</v>
      </c>
      <c r="F15" s="2845">
        <f>(C10+B10/2+C13/2)/10</f>
        <v>30.4</v>
      </c>
      <c r="G15" s="2846" t="s">
        <v>1569</v>
      </c>
      <c r="H15" s="2859" t="s">
        <v>1973</v>
      </c>
      <c r="I15" s="2853">
        <f>I12/I20</f>
        <v>7071.4291287165652</v>
      </c>
      <c r="J15" s="2844" t="s">
        <v>2967</v>
      </c>
      <c r="N15" s="2862"/>
    </row>
    <row r="16" spans="1:16" ht="16.5" customHeight="1">
      <c r="B16" s="2843">
        <f>F11*10</f>
        <v>8</v>
      </c>
      <c r="C16" s="2863">
        <f>F8*10</f>
        <v>370</v>
      </c>
      <c r="E16" s="2847" t="s">
        <v>2969</v>
      </c>
      <c r="F16" s="2845">
        <f>F14+F10/2+F11/2</f>
        <v>121.10000000000001</v>
      </c>
      <c r="G16" s="2846" t="s">
        <v>1569</v>
      </c>
      <c r="H16" s="2859" t="s">
        <v>1974</v>
      </c>
      <c r="I16" s="2853">
        <f>I13/((F7/2))</f>
        <v>2212.2967567567566</v>
      </c>
      <c r="J16" s="2844" t="s">
        <v>2967</v>
      </c>
      <c r="O16" s="2864"/>
    </row>
    <row r="17" spans="1:16" ht="15">
      <c r="A17" s="2862"/>
      <c r="B17" s="2852"/>
      <c r="E17" s="2847" t="s">
        <v>2970</v>
      </c>
      <c r="F17" s="2845">
        <f>(C10/2)/10</f>
        <v>14.9</v>
      </c>
      <c r="G17" s="2846" t="s">
        <v>1569</v>
      </c>
      <c r="H17" s="2859" t="s">
        <v>2971</v>
      </c>
      <c r="I17" s="2853">
        <f>SQRT(I13/I10)</f>
        <v>13.932564162680917</v>
      </c>
      <c r="J17" s="2844" t="s">
        <v>1569</v>
      </c>
      <c r="O17" s="2861"/>
    </row>
    <row r="18" spans="1:16">
      <c r="B18" s="2852"/>
      <c r="C18" s="2834" t="s">
        <v>1588</v>
      </c>
      <c r="H18" s="2859" t="s">
        <v>287</v>
      </c>
      <c r="I18" s="2853">
        <f>(I10)*0.785</f>
        <v>165.5094</v>
      </c>
      <c r="J18" s="2844" t="s">
        <v>1975</v>
      </c>
      <c r="P18" s="2843"/>
    </row>
    <row r="19" spans="1:16">
      <c r="C19" s="2850" t="s">
        <v>1589</v>
      </c>
      <c r="D19" s="2865">
        <f>Girder!D40</f>
        <v>68.5</v>
      </c>
      <c r="E19" s="2834" t="s">
        <v>1569</v>
      </c>
      <c r="I19" s="2853"/>
      <c r="J19" s="2844"/>
      <c r="M19" s="2834">
        <f>(C10/10)+F12/2+F13/2</f>
        <v>30.400000000000002</v>
      </c>
    </row>
    <row r="20" spans="1:16">
      <c r="D20" s="2866">
        <f>Girder!D41</f>
        <v>27</v>
      </c>
      <c r="E20" s="2834" t="s">
        <v>1592</v>
      </c>
      <c r="H20" s="2859" t="s">
        <v>1976</v>
      </c>
      <c r="I20" s="2853">
        <f>'Sheet1 (2)'!J26</f>
        <v>58.959000000000003</v>
      </c>
      <c r="J20" s="2844" t="s">
        <v>1569</v>
      </c>
    </row>
    <row r="21" spans="1:16">
      <c r="H21" s="2859" t="s">
        <v>1977</v>
      </c>
      <c r="I21" s="2853">
        <f>'Sheet1 (2)'!J27</f>
        <v>63.040999999999997</v>
      </c>
      <c r="J21" s="2844" t="s">
        <v>1569</v>
      </c>
      <c r="M21" s="2834">
        <f>F16*M19</f>
        <v>3681.4400000000005</v>
      </c>
    </row>
    <row r="22" spans="1:16" ht="14.25">
      <c r="H22" s="2867" t="s">
        <v>2972</v>
      </c>
      <c r="I22" s="2853">
        <f>F12*F14+F13*F14</f>
        <v>144.24</v>
      </c>
      <c r="J22" s="2844" t="s">
        <v>2973</v>
      </c>
    </row>
    <row r="23" spans="1:16" ht="14.25">
      <c r="H23" s="2868" t="s">
        <v>2974</v>
      </c>
      <c r="I23" s="2853">
        <f>I237</f>
        <v>148518.59758479084</v>
      </c>
      <c r="J23" s="2844" t="s">
        <v>2965</v>
      </c>
    </row>
    <row r="24" spans="1:16" ht="14.25">
      <c r="H24" s="2859" t="s">
        <v>1980</v>
      </c>
      <c r="I24" s="2853">
        <f>H256</f>
        <v>5192.3136756320837</v>
      </c>
      <c r="J24" s="2844" t="s">
        <v>2967</v>
      </c>
    </row>
    <row r="25" spans="1:16" ht="14.25">
      <c r="H25" s="2867" t="s">
        <v>2975</v>
      </c>
      <c r="I25" s="2853">
        <f>Girder!S37*2*Girder!S35</f>
        <v>98.399999999999991</v>
      </c>
      <c r="J25" s="2844" t="s">
        <v>2973</v>
      </c>
      <c r="M25" s="2869"/>
    </row>
    <row r="26" spans="1:16" ht="15">
      <c r="A26" s="2834" t="s">
        <v>1873</v>
      </c>
      <c r="C26" s="2870" t="s">
        <v>2041</v>
      </c>
    </row>
    <row r="29" spans="1:16">
      <c r="C29" s="2871">
        <f>E42</f>
        <v>11241.249999999998</v>
      </c>
      <c r="D29" s="2852">
        <f>E43</f>
        <v>7858.7499999999991</v>
      </c>
      <c r="E29" s="2834" t="s">
        <v>1957</v>
      </c>
    </row>
    <row r="30" spans="1:16">
      <c r="C30" s="2852">
        <f>D42</f>
        <v>8781.2499999999982</v>
      </c>
      <c r="D30" s="2852">
        <f>D43</f>
        <v>6218.75</v>
      </c>
      <c r="E30" s="2834" t="s">
        <v>2042</v>
      </c>
    </row>
    <row r="32" spans="1:16">
      <c r="C32" s="2844">
        <f>D40</f>
        <v>80</v>
      </c>
      <c r="D32" s="2843">
        <f>D41</f>
        <v>150</v>
      </c>
      <c r="F32" s="2834">
        <f>D39-D40-D41</f>
        <v>1270</v>
      </c>
    </row>
    <row r="33" spans="1:13" ht="15">
      <c r="B33" s="2852" t="s">
        <v>2976</v>
      </c>
      <c r="H33" s="2852" t="s">
        <v>2977</v>
      </c>
    </row>
    <row r="34" spans="1:13">
      <c r="C34" s="2852">
        <f>D44</f>
        <v>140</v>
      </c>
      <c r="D34" s="2843"/>
      <c r="F34" s="2852">
        <f>D39-D44</f>
        <v>1360</v>
      </c>
    </row>
    <row r="35" spans="1:13">
      <c r="E35" s="2834">
        <f>D39</f>
        <v>1500</v>
      </c>
    </row>
    <row r="38" spans="1:13">
      <c r="G38" s="2834" t="s">
        <v>2042</v>
      </c>
      <c r="M38" s="2852">
        <f>IF((D32/2)&lt;C34,(C34-(D32/2)),((D32/2)-C34))</f>
        <v>65</v>
      </c>
    </row>
    <row r="39" spans="1:13" ht="15">
      <c r="B39" s="2834" t="s">
        <v>2043</v>
      </c>
      <c r="D39" s="2835">
        <f>'G OUTPUT'!H75</f>
        <v>1500</v>
      </c>
      <c r="F39" s="2850" t="s">
        <v>2978</v>
      </c>
      <c r="G39" s="2872">
        <f>(((D42*(D39-D40))+(D43*(D39-D40-D41)))/D39)</f>
        <v>13578.125</v>
      </c>
      <c r="H39" s="2834" t="s">
        <v>2044</v>
      </c>
      <c r="M39" s="2852">
        <v>550</v>
      </c>
    </row>
    <row r="40" spans="1:13">
      <c r="B40" s="2834" t="s">
        <v>1591</v>
      </c>
      <c r="D40" s="2835">
        <f>M43</f>
        <v>80</v>
      </c>
    </row>
    <row r="41" spans="1:13" ht="15">
      <c r="B41" s="2834" t="s">
        <v>2045</v>
      </c>
      <c r="D41" s="2835">
        <f>'G OUTPUT'!H79</f>
        <v>150</v>
      </c>
      <c r="F41" s="2850" t="s">
        <v>2979</v>
      </c>
      <c r="G41" s="2872">
        <f>D42+D43-G39</f>
        <v>1421.8749999999982</v>
      </c>
      <c r="H41" s="2834" t="s">
        <v>2044</v>
      </c>
      <c r="M41" s="2834">
        <f>D44</f>
        <v>140</v>
      </c>
    </row>
    <row r="42" spans="1:13">
      <c r="B42" s="2834" t="s">
        <v>2046</v>
      </c>
      <c r="D42" s="2835">
        <f>'G OUTPUT'!H114</f>
        <v>8781.2499999999982</v>
      </c>
      <c r="E42" s="2873">
        <f>'G OUTPUT'!H122</f>
        <v>11241.249999999998</v>
      </c>
      <c r="M42" s="2834">
        <f>Girder!H15*(1-Girder!P30)</f>
        <v>60</v>
      </c>
    </row>
    <row r="43" spans="1:13">
      <c r="B43" s="2834" t="s">
        <v>2047</v>
      </c>
      <c r="D43" s="2835">
        <f>'G OUTPUT'!H116</f>
        <v>6218.75</v>
      </c>
      <c r="E43" s="2835">
        <f>'G OUTPUT'!H124</f>
        <v>7858.7499999999991</v>
      </c>
      <c r="M43" s="2834">
        <f>M41-M42</f>
        <v>80</v>
      </c>
    </row>
    <row r="44" spans="1:13">
      <c r="B44" s="2834" t="s">
        <v>2048</v>
      </c>
      <c r="D44" s="2835">
        <f>'G OUTPUT'!H81</f>
        <v>140</v>
      </c>
    </row>
    <row r="47" spans="1:13">
      <c r="A47" s="2834" t="s">
        <v>2049</v>
      </c>
      <c r="C47" s="2834" t="s">
        <v>2050</v>
      </c>
    </row>
    <row r="50" spans="1:10" ht="15">
      <c r="F50" s="2850" t="s">
        <v>2978</v>
      </c>
      <c r="G50" s="2872">
        <f>(((E42*(D39-D40))+(E43*(D39-D40-D41)))/D39)</f>
        <v>17295.458333333332</v>
      </c>
      <c r="H50" s="2834" t="s">
        <v>2044</v>
      </c>
    </row>
    <row r="52" spans="1:10" ht="15">
      <c r="F52" s="2850" t="s">
        <v>2979</v>
      </c>
      <c r="G52" s="2872">
        <f>E42+E43-G50</f>
        <v>1804.5416666666642</v>
      </c>
      <c r="H52" s="2834" t="s">
        <v>2044</v>
      </c>
      <c r="J52" s="2871"/>
    </row>
    <row r="54" spans="1:10">
      <c r="J54" s="2871"/>
    </row>
    <row r="57" spans="1:10">
      <c r="A57" s="2834" t="s">
        <v>2051</v>
      </c>
      <c r="C57" s="2834" t="s">
        <v>2052</v>
      </c>
    </row>
    <row r="58" spans="1:10">
      <c r="D58" s="2852" t="s">
        <v>2053</v>
      </c>
      <c r="E58" s="2852" t="s">
        <v>1865</v>
      </c>
      <c r="F58" s="2852" t="s">
        <v>2054</v>
      </c>
    </row>
    <row r="59" spans="1:10">
      <c r="C59" s="2834" t="s">
        <v>2055</v>
      </c>
      <c r="D59" s="2871">
        <f>E42</f>
        <v>11241.249999999998</v>
      </c>
      <c r="E59" s="2871">
        <f>E42+F59</f>
        <v>19099.999999999996</v>
      </c>
      <c r="F59" s="2852">
        <f>E43</f>
        <v>7858.7499999999991</v>
      </c>
    </row>
    <row r="60" spans="1:10">
      <c r="C60" s="2834" t="s">
        <v>2056</v>
      </c>
      <c r="D60" s="2852">
        <f>D42</f>
        <v>8781.2499999999982</v>
      </c>
      <c r="E60" s="2852">
        <f>D42+D43</f>
        <v>14999.999999999998</v>
      </c>
      <c r="F60" s="2852">
        <f>D43</f>
        <v>6218.75</v>
      </c>
    </row>
    <row r="63" spans="1:10">
      <c r="B63" s="2852" t="s">
        <v>1960</v>
      </c>
      <c r="D63" s="2850"/>
      <c r="H63" s="2852" t="s">
        <v>1962</v>
      </c>
    </row>
    <row r="64" spans="1:10">
      <c r="C64" s="2874">
        <f>E73</f>
        <v>718.90625</v>
      </c>
      <c r="E64" s="2852">
        <f>ROUNDUP(D41,0)</f>
        <v>150</v>
      </c>
      <c r="G64" s="2875">
        <f>E68-E73-E64</f>
        <v>631.09375</v>
      </c>
    </row>
    <row r="66" spans="3:9">
      <c r="D66" s="4524" t="s">
        <v>2057</v>
      </c>
      <c r="E66" s="4524"/>
    </row>
    <row r="67" spans="3:9">
      <c r="D67" s="2869">
        <f>D71</f>
        <v>62.187500000000007</v>
      </c>
    </row>
    <row r="68" spans="3:9">
      <c r="E68" s="2852">
        <f>D39</f>
        <v>1500</v>
      </c>
    </row>
    <row r="69" spans="3:9">
      <c r="I69" s="2862" t="s">
        <v>2655</v>
      </c>
    </row>
    <row r="70" spans="3:9">
      <c r="C70" s="2862" t="s">
        <v>2058</v>
      </c>
    </row>
    <row r="71" spans="3:9">
      <c r="C71" s="2850" t="s">
        <v>2059</v>
      </c>
      <c r="D71" s="2851">
        <f>F60*E64/(D60+F60)</f>
        <v>62.187500000000007</v>
      </c>
      <c r="E71" s="2834" t="s">
        <v>1987</v>
      </c>
      <c r="F71" s="2869"/>
    </row>
    <row r="72" spans="3:9">
      <c r="C72" s="2862" t="s">
        <v>2060</v>
      </c>
    </row>
    <row r="73" spans="3:9">
      <c r="C73" s="2850" t="s">
        <v>1993</v>
      </c>
      <c r="D73" s="2862" t="s">
        <v>2061</v>
      </c>
      <c r="E73" s="2876">
        <f>(E68-D67)/2</f>
        <v>718.90625</v>
      </c>
      <c r="F73" s="2834" t="s">
        <v>1569</v>
      </c>
    </row>
    <row r="74" spans="3:9">
      <c r="D74" s="2843">
        <v>2</v>
      </c>
      <c r="E74" s="2843"/>
    </row>
    <row r="75" spans="3:9">
      <c r="D75" s="2843"/>
    </row>
    <row r="76" spans="3:9">
      <c r="C76" s="2834" t="s">
        <v>2062</v>
      </c>
    </row>
    <row r="78" spans="3:9">
      <c r="C78" s="2834" t="s">
        <v>2063</v>
      </c>
      <c r="D78" s="2834" t="s">
        <v>2064</v>
      </c>
    </row>
    <row r="79" spans="3:9">
      <c r="D79" s="2834" t="s">
        <v>2065</v>
      </c>
      <c r="H79" s="2834" t="s">
        <v>2066</v>
      </c>
    </row>
    <row r="80" spans="3:9">
      <c r="C80" s="2834" t="s">
        <v>2067</v>
      </c>
      <c r="D80" s="2877">
        <f>(D59*(E68-C64)+(F59*G64))/E68</f>
        <v>9160.0520833333303</v>
      </c>
      <c r="E80" s="2834" t="s">
        <v>2044</v>
      </c>
      <c r="G80" s="2834" t="s">
        <v>2067</v>
      </c>
      <c r="H80" s="2877">
        <f>(D60*(E68-C64)+(F60*G64))/E68</f>
        <v>7189.0624999999991</v>
      </c>
    </row>
    <row r="81" spans="1:9">
      <c r="D81" s="2878"/>
    </row>
    <row r="82" spans="1:9">
      <c r="C82" s="2834" t="s">
        <v>2068</v>
      </c>
      <c r="D82" s="2877">
        <f>E59-D80</f>
        <v>9939.9479166666661</v>
      </c>
      <c r="E82" s="2834" t="s">
        <v>2044</v>
      </c>
      <c r="G82" s="2834" t="s">
        <v>2069</v>
      </c>
      <c r="H82" s="2877">
        <f>E60-H80</f>
        <v>7810.9374999999991</v>
      </c>
    </row>
    <row r="83" spans="1:9">
      <c r="D83" s="2878"/>
    </row>
    <row r="85" spans="1:9">
      <c r="C85" s="2834" t="s">
        <v>2070</v>
      </c>
      <c r="D85" s="2834" t="s">
        <v>2071</v>
      </c>
    </row>
    <row r="86" spans="1:9">
      <c r="D86" s="2834" t="s">
        <v>2065</v>
      </c>
    </row>
    <row r="88" spans="1:9" ht="13.15" thickBot="1">
      <c r="C88" s="2850" t="s">
        <v>2072</v>
      </c>
      <c r="D88" s="2879">
        <f>ROUND(D80,0)*C64</f>
        <v>6585181.25</v>
      </c>
      <c r="E88" s="2834" t="s">
        <v>2073</v>
      </c>
      <c r="G88" s="2834" t="s">
        <v>2074</v>
      </c>
      <c r="H88" s="2880">
        <f>H80*E73</f>
        <v>5168261.9628906241</v>
      </c>
      <c r="I88" s="2834" t="s">
        <v>2073</v>
      </c>
    </row>
    <row r="90" spans="1:9">
      <c r="D90" s="2878"/>
      <c r="G90" s="2834" t="s">
        <v>2075</v>
      </c>
      <c r="H90" s="2873">
        <f>H88*Girder!O3</f>
        <v>258413.09814453122</v>
      </c>
      <c r="I90" s="2834" t="s">
        <v>2073</v>
      </c>
    </row>
    <row r="96" spans="1:9">
      <c r="A96" s="2834" t="s">
        <v>2076</v>
      </c>
      <c r="C96" s="2834" t="s">
        <v>2077</v>
      </c>
    </row>
    <row r="98" spans="2:13">
      <c r="D98" s="2852"/>
      <c r="E98" s="2852"/>
      <c r="F98" s="2852"/>
    </row>
    <row r="99" spans="2:13">
      <c r="D99" s="2852"/>
      <c r="E99" s="2852">
        <f>E115</f>
        <v>700</v>
      </c>
      <c r="F99" s="2852"/>
      <c r="G99" s="2871">
        <f>E108+E109+E116</f>
        <v>381.34933333333333</v>
      </c>
      <c r="H99" s="2834" t="s">
        <v>1975</v>
      </c>
    </row>
    <row r="100" spans="2:13">
      <c r="G100" s="2834">
        <v>0</v>
      </c>
    </row>
    <row r="102" spans="2:13">
      <c r="B102" s="2852" t="s">
        <v>1960</v>
      </c>
      <c r="D102" s="2850"/>
      <c r="H102" s="2852" t="s">
        <v>1962</v>
      </c>
    </row>
    <row r="103" spans="2:13">
      <c r="C103" s="2850"/>
    </row>
    <row r="104" spans="2:13">
      <c r="E104" s="2852">
        <f>Girder!H10</f>
        <v>1500</v>
      </c>
    </row>
    <row r="107" spans="2:13">
      <c r="C107" s="2834" t="s">
        <v>1235</v>
      </c>
      <c r="E107" s="2835">
        <f>E104</f>
        <v>1500</v>
      </c>
      <c r="F107" s="2834" t="s">
        <v>1569</v>
      </c>
    </row>
    <row r="108" spans="2:13">
      <c r="C108" s="2834" t="s">
        <v>2078</v>
      </c>
      <c r="E108" s="2873">
        <f>Girder!I42/(Girder!H10/100)</f>
        <v>234.68266666666665</v>
      </c>
      <c r="F108" s="2834" t="s">
        <v>1975</v>
      </c>
    </row>
    <row r="109" spans="2:13">
      <c r="C109" s="2834" t="s">
        <v>2079</v>
      </c>
      <c r="E109" s="2835">
        <f>'G OUTPUT'!H100</f>
        <v>100</v>
      </c>
      <c r="F109" s="2834" t="s">
        <v>1975</v>
      </c>
    </row>
    <row r="110" spans="2:13" ht="13.15">
      <c r="E110" s="2881">
        <f>E109/100</f>
        <v>1</v>
      </c>
      <c r="F110" s="2834" t="s">
        <v>2080</v>
      </c>
      <c r="M110" s="2882">
        <f>Girder!I42/(Girder!H10/100)</f>
        <v>234.68266666666665</v>
      </c>
    </row>
    <row r="112" spans="2:13">
      <c r="E112" s="2835">
        <f>ROUND(G99*0.01,2)</f>
        <v>3.81</v>
      </c>
      <c r="F112" s="2834" t="s">
        <v>2080</v>
      </c>
    </row>
    <row r="114" spans="1:10">
      <c r="C114" s="2843" t="s">
        <v>2081</v>
      </c>
    </row>
    <row r="115" spans="1:10">
      <c r="C115" s="2834" t="s">
        <v>2082</v>
      </c>
      <c r="E115" s="2835">
        <f>'G OUTPUT'!H104</f>
        <v>700</v>
      </c>
      <c r="F115" s="2834" t="s">
        <v>2044</v>
      </c>
    </row>
    <row r="116" spans="1:10">
      <c r="E116" s="2881">
        <f>E115/(E107/100)</f>
        <v>46.666666666666664</v>
      </c>
      <c r="F116" s="2834" t="s">
        <v>2980</v>
      </c>
    </row>
    <row r="117" spans="1:10">
      <c r="C117" s="2834" t="s">
        <v>2077</v>
      </c>
      <c r="H117" s="2834" t="s">
        <v>2083</v>
      </c>
    </row>
    <row r="118" spans="1:10">
      <c r="C118" s="2850" t="s">
        <v>2084</v>
      </c>
      <c r="D118" s="2877">
        <f>(G99*((E104*0.01)+0.5))/2</f>
        <v>2955.4573333333333</v>
      </c>
      <c r="E118" s="2834" t="s">
        <v>2044</v>
      </c>
      <c r="H118" s="2850" t="s">
        <v>2084</v>
      </c>
      <c r="I118" s="2877">
        <f>E115/2</f>
        <v>350</v>
      </c>
      <c r="J118" s="2834" t="s">
        <v>2044</v>
      </c>
    </row>
    <row r="119" spans="1:10">
      <c r="C119" s="2850" t="s">
        <v>2085</v>
      </c>
      <c r="D119" s="2877">
        <f>D118</f>
        <v>2955.4573333333333</v>
      </c>
      <c r="E119" s="2834" t="s">
        <v>2044</v>
      </c>
      <c r="H119" s="2850" t="s">
        <v>2085</v>
      </c>
      <c r="I119" s="2877">
        <f>I118</f>
        <v>350</v>
      </c>
      <c r="J119" s="2834" t="s">
        <v>2044</v>
      </c>
    </row>
    <row r="121" spans="1:10">
      <c r="A121" s="2834" t="s">
        <v>2086</v>
      </c>
      <c r="C121" s="2834" t="s">
        <v>2087</v>
      </c>
    </row>
    <row r="123" spans="1:10">
      <c r="C123" s="2850" t="s">
        <v>160</v>
      </c>
      <c r="D123" s="2883" t="s">
        <v>2088</v>
      </c>
    </row>
    <row r="124" spans="1:10">
      <c r="C124" s="2850"/>
      <c r="D124" s="2852">
        <v>8</v>
      </c>
    </row>
    <row r="125" spans="1:10" ht="13.15" thickBot="1">
      <c r="C125" s="2850"/>
    </row>
    <row r="126" spans="1:10" ht="13.15" thickBot="1">
      <c r="C126" s="2850" t="s">
        <v>2089</v>
      </c>
      <c r="D126" s="2884">
        <f>E112*E107*E107/8</f>
        <v>1071562.5</v>
      </c>
      <c r="E126" s="2834" t="s">
        <v>2073</v>
      </c>
      <c r="G126" s="2834" t="s">
        <v>2090</v>
      </c>
      <c r="H126" s="2873">
        <f>D126*Girder!O3</f>
        <v>53578.125</v>
      </c>
    </row>
    <row r="129" spans="1:22">
      <c r="A129" s="2834" t="s">
        <v>2091</v>
      </c>
      <c r="C129" s="2834" t="s">
        <v>2092</v>
      </c>
    </row>
    <row r="132" spans="1:22">
      <c r="C132" s="2850" t="s">
        <v>2093</v>
      </c>
      <c r="D132" s="2885" t="s">
        <v>2094</v>
      </c>
    </row>
    <row r="133" spans="1:22">
      <c r="C133" s="2850"/>
      <c r="D133" s="2852">
        <v>3</v>
      </c>
    </row>
    <row r="134" spans="1:22" ht="14.25">
      <c r="C134" s="2850"/>
      <c r="M134" s="2886" t="s">
        <v>2981</v>
      </c>
      <c r="N134" s="2887"/>
      <c r="O134" s="2887"/>
      <c r="P134" s="2887"/>
      <c r="Q134" s="2887"/>
      <c r="R134" s="2887" t="s">
        <v>2982</v>
      </c>
      <c r="S134" s="2887"/>
      <c r="T134" s="2887"/>
      <c r="U134" s="2887"/>
      <c r="V134" s="2704"/>
    </row>
    <row r="135" spans="1:22" ht="14.25">
      <c r="C135" s="2850" t="s">
        <v>160</v>
      </c>
      <c r="D135" s="2877">
        <f>D19*E115*2/3</f>
        <v>31966.666666666668</v>
      </c>
      <c r="E135" s="2834" t="s">
        <v>2073</v>
      </c>
      <c r="M135" s="2888" t="s">
        <v>2983</v>
      </c>
      <c r="R135" s="2889" t="s">
        <v>2984</v>
      </c>
      <c r="V135" s="2890"/>
    </row>
    <row r="136" spans="1:22">
      <c r="C136" s="2850"/>
      <c r="D136" s="2878"/>
      <c r="M136" s="2888" t="s">
        <v>2985</v>
      </c>
      <c r="V136" s="2890"/>
    </row>
    <row r="137" spans="1:22">
      <c r="A137" s="2834" t="s">
        <v>2095</v>
      </c>
      <c r="C137" s="2834" t="s">
        <v>2096</v>
      </c>
      <c r="M137" s="2891" t="s">
        <v>160</v>
      </c>
      <c r="N137" s="2709">
        <v>0</v>
      </c>
      <c r="O137" s="2892"/>
      <c r="V137" s="2890"/>
    </row>
    <row r="138" spans="1:22">
      <c r="M138" s="2888"/>
      <c r="V138" s="2890"/>
    </row>
    <row r="139" spans="1:22">
      <c r="M139" s="2888" t="s">
        <v>2986</v>
      </c>
      <c r="V139" s="2890"/>
    </row>
    <row r="140" spans="1:22">
      <c r="C140" s="2850" t="s">
        <v>2097</v>
      </c>
      <c r="D140" s="2885" t="s">
        <v>2098</v>
      </c>
      <c r="M140" s="2893" t="s">
        <v>2987</v>
      </c>
      <c r="N140" s="2894">
        <f>N137*(((S144+S145)*(1-(S146/S147)))+(0.5*S148))</f>
        <v>0</v>
      </c>
      <c r="O140" s="2895" t="s">
        <v>582</v>
      </c>
      <c r="V140" s="2890"/>
    </row>
    <row r="141" spans="1:22">
      <c r="C141" s="2850"/>
      <c r="D141" s="2852">
        <v>3</v>
      </c>
      <c r="M141" s="2888" t="s">
        <v>2988</v>
      </c>
      <c r="V141" s="2890"/>
    </row>
    <row r="142" spans="1:22">
      <c r="C142" s="2850"/>
      <c r="M142" s="2893" t="s">
        <v>2989</v>
      </c>
      <c r="N142" s="2894">
        <f>N137*(((S144+S145)*(S146/S147))+(0.5*S148))</f>
        <v>0</v>
      </c>
      <c r="O142" s="2895" t="s">
        <v>582</v>
      </c>
      <c r="V142" s="2890"/>
    </row>
    <row r="143" spans="1:22">
      <c r="C143" s="2850" t="s">
        <v>160</v>
      </c>
      <c r="D143" s="2877">
        <f>D19*E115/3</f>
        <v>15983.333333333334</v>
      </c>
      <c r="E143" s="2834" t="s">
        <v>2073</v>
      </c>
      <c r="M143" s="2888"/>
      <c r="V143" s="2890"/>
    </row>
    <row r="144" spans="1:22">
      <c r="M144" s="2891" t="s">
        <v>2990</v>
      </c>
      <c r="N144" s="2852" t="s">
        <v>2991</v>
      </c>
      <c r="R144" s="2896" t="s">
        <v>2992</v>
      </c>
      <c r="S144" s="2709">
        <f>Girder!H14/1000</f>
        <v>4.375</v>
      </c>
      <c r="T144" s="2834" t="s">
        <v>2993</v>
      </c>
      <c r="V144" s="2890"/>
    </row>
    <row r="145" spans="1:22">
      <c r="A145" s="2834" t="s">
        <v>35</v>
      </c>
      <c r="C145" s="2834" t="s">
        <v>2099</v>
      </c>
      <c r="M145" s="2893" t="s">
        <v>2990</v>
      </c>
      <c r="N145" s="2894">
        <f>(N140-N142)/2</f>
        <v>0</v>
      </c>
      <c r="O145" s="2834" t="s">
        <v>2994</v>
      </c>
      <c r="R145" s="2896" t="s">
        <v>2995</v>
      </c>
      <c r="S145" s="2709">
        <f>Girder!H11/1000</f>
        <v>25.624999999999996</v>
      </c>
      <c r="T145" s="2834" t="s">
        <v>2993</v>
      </c>
      <c r="V145" s="2890"/>
    </row>
    <row r="146" spans="1:22">
      <c r="M146" s="2893" t="s">
        <v>2990</v>
      </c>
      <c r="N146" s="2897">
        <v>0</v>
      </c>
      <c r="O146" s="2834" t="s">
        <v>2996</v>
      </c>
      <c r="R146" s="2896" t="s">
        <v>2997</v>
      </c>
      <c r="S146" s="2709">
        <f>Girder!H17/100</f>
        <v>1.4</v>
      </c>
      <c r="T146" s="2834" t="s">
        <v>2998</v>
      </c>
      <c r="V146" s="2890"/>
    </row>
    <row r="147" spans="1:22">
      <c r="M147" s="2888" t="s">
        <v>2999</v>
      </c>
      <c r="R147" s="2896" t="s">
        <v>3000</v>
      </c>
      <c r="S147" s="2709">
        <f>Girder!H10/100</f>
        <v>15</v>
      </c>
      <c r="T147" s="2834" t="s">
        <v>2998</v>
      </c>
      <c r="V147" s="2890"/>
    </row>
    <row r="148" spans="1:22" ht="13.15">
      <c r="C148" s="2850" t="s">
        <v>2093</v>
      </c>
      <c r="D148" s="2885" t="s">
        <v>2094</v>
      </c>
      <c r="M148" s="2893" t="s">
        <v>3001</v>
      </c>
      <c r="N148" s="2894" t="e">
        <f>N146*S147/S149</f>
        <v>#DIV/0!</v>
      </c>
      <c r="O148" s="2895" t="s">
        <v>582</v>
      </c>
      <c r="R148" s="2896" t="s">
        <v>3002</v>
      </c>
      <c r="S148" s="2898">
        <v>0</v>
      </c>
      <c r="T148" s="2834" t="s">
        <v>2993</v>
      </c>
      <c r="V148" s="2890"/>
    </row>
    <row r="149" spans="1:22" ht="13.15">
      <c r="C149" s="2850"/>
      <c r="D149" s="2852">
        <v>3</v>
      </c>
      <c r="M149" s="2888"/>
      <c r="R149" s="2896" t="s">
        <v>3003</v>
      </c>
      <c r="S149" s="2899">
        <v>0</v>
      </c>
      <c r="T149" s="2834" t="s">
        <v>2998</v>
      </c>
      <c r="V149" s="2890"/>
    </row>
    <row r="150" spans="1:22">
      <c r="C150" s="2850"/>
      <c r="M150" s="2888" t="s">
        <v>3004</v>
      </c>
      <c r="V150" s="2890"/>
    </row>
    <row r="151" spans="1:22">
      <c r="C151" s="2850" t="s">
        <v>160</v>
      </c>
      <c r="D151" s="2877">
        <f>E110*E107*D19*2/3</f>
        <v>68500</v>
      </c>
      <c r="E151" s="2834" t="s">
        <v>2073</v>
      </c>
      <c r="M151" s="2893" t="s">
        <v>152</v>
      </c>
      <c r="N151" s="2894">
        <f>ROUND(N145*S147/4,2)</f>
        <v>0</v>
      </c>
      <c r="O151" s="2895" t="s">
        <v>3005</v>
      </c>
      <c r="P151" s="2834" t="s">
        <v>2994</v>
      </c>
      <c r="V151" s="2890"/>
    </row>
    <row r="152" spans="1:22">
      <c r="K152" s="2900"/>
      <c r="L152" s="2900"/>
      <c r="M152" s="2893" t="s">
        <v>152</v>
      </c>
      <c r="N152" s="2894">
        <f>N146*S147/4</f>
        <v>0</v>
      </c>
      <c r="O152" s="2895" t="s">
        <v>3005</v>
      </c>
      <c r="P152" s="2834" t="s">
        <v>2996</v>
      </c>
      <c r="V152" s="2890"/>
    </row>
    <row r="153" spans="1:22">
      <c r="K153" s="2900"/>
      <c r="L153" s="2900"/>
      <c r="M153" s="2888" t="s">
        <v>3006</v>
      </c>
      <c r="V153" s="2890"/>
    </row>
    <row r="154" spans="1:22">
      <c r="A154" s="2834" t="s">
        <v>2100</v>
      </c>
      <c r="C154" s="2834" t="s">
        <v>2101</v>
      </c>
      <c r="M154" s="2888" t="s">
        <v>3007</v>
      </c>
      <c r="N154" s="2901" t="str">
        <f>CONCATENATE(N152,"x",ROUND(D71,2)/100)</f>
        <v>0x0.6219</v>
      </c>
      <c r="V154" s="2890"/>
    </row>
    <row r="155" spans="1:22">
      <c r="M155" s="2888"/>
      <c r="N155" s="2852">
        <f>S147/2</f>
        <v>7.5</v>
      </c>
      <c r="V155" s="2890"/>
    </row>
    <row r="156" spans="1:22">
      <c r="M156" s="2888" t="s">
        <v>3007</v>
      </c>
      <c r="N156" s="2902">
        <f>ROUND((N152*D71/100)/(S147/2),2)</f>
        <v>0</v>
      </c>
      <c r="O156" s="2834" t="s">
        <v>3005</v>
      </c>
      <c r="V156" s="2890"/>
    </row>
    <row r="157" spans="1:22">
      <c r="C157" s="2850" t="s">
        <v>2097</v>
      </c>
      <c r="D157" s="2885" t="s">
        <v>2098</v>
      </c>
      <c r="M157" s="2903" t="s">
        <v>3007</v>
      </c>
      <c r="N157" s="2904">
        <f>N156*100</f>
        <v>0</v>
      </c>
      <c r="O157" s="2834" t="s">
        <v>3008</v>
      </c>
      <c r="V157" s="2890"/>
    </row>
    <row r="158" spans="1:22">
      <c r="C158" s="2850"/>
      <c r="D158" s="2852">
        <v>3</v>
      </c>
      <c r="M158" s="2903" t="s">
        <v>3007</v>
      </c>
      <c r="N158" s="2904">
        <f>N157*1000</f>
        <v>0</v>
      </c>
      <c r="O158" s="2905" t="s">
        <v>3009</v>
      </c>
      <c r="P158" s="2906"/>
      <c r="Q158" s="2906"/>
      <c r="R158" s="2906"/>
      <c r="S158" s="2906"/>
      <c r="T158" s="2906"/>
      <c r="U158" s="2906"/>
      <c r="V158" s="2907"/>
    </row>
    <row r="159" spans="1:22">
      <c r="C159" s="2850"/>
    </row>
    <row r="160" spans="1:22">
      <c r="C160" s="2850" t="s">
        <v>160</v>
      </c>
      <c r="D160" s="2877">
        <f>E110*E107*D19/3</f>
        <v>34250</v>
      </c>
      <c r="E160" s="2834" t="s">
        <v>2073</v>
      </c>
    </row>
    <row r="161" spans="1:27">
      <c r="R161" s="2908"/>
      <c r="S161" s="2887"/>
      <c r="T161" s="2887"/>
      <c r="U161" s="2887"/>
      <c r="V161" s="2887"/>
      <c r="W161" s="2887"/>
      <c r="X161" s="2887"/>
      <c r="Y161" s="2887"/>
      <c r="Z161" s="2887"/>
      <c r="AA161" s="2704"/>
    </row>
    <row r="162" spans="1:27" ht="14.25">
      <c r="R162" s="2888"/>
      <c r="S162" s="2889" t="s">
        <v>3010</v>
      </c>
      <c r="AA162" s="2890"/>
    </row>
    <row r="163" spans="1:27">
      <c r="A163" s="2834" t="s">
        <v>35</v>
      </c>
      <c r="C163" s="2834" t="s">
        <v>2102</v>
      </c>
      <c r="R163" s="2888"/>
      <c r="S163" s="2834" t="s">
        <v>3011</v>
      </c>
      <c r="AA163" s="2890"/>
    </row>
    <row r="164" spans="1:27">
      <c r="R164" s="2888"/>
      <c r="S164" s="2834" t="s">
        <v>3012</v>
      </c>
      <c r="AA164" s="2890"/>
    </row>
    <row r="165" spans="1:27" ht="14.25">
      <c r="C165" s="2834" t="s">
        <v>2103</v>
      </c>
      <c r="D165" s="2877">
        <f>'G OUTPUT'!H135</f>
        <v>47969.25</v>
      </c>
      <c r="E165" s="2834" t="s">
        <v>2073</v>
      </c>
      <c r="R165" s="2888"/>
      <c r="S165" s="2909" t="s">
        <v>3013</v>
      </c>
      <c r="AA165" s="2890"/>
    </row>
    <row r="166" spans="1:27">
      <c r="R166" s="2888"/>
      <c r="S166" s="2834" t="s">
        <v>3014</v>
      </c>
      <c r="AA166" s="2890"/>
    </row>
    <row r="167" spans="1:27" ht="14.25">
      <c r="R167" s="2888"/>
      <c r="S167" s="2909" t="s">
        <v>3015</v>
      </c>
      <c r="AA167" s="2890"/>
    </row>
    <row r="168" spans="1:27">
      <c r="A168" s="2834" t="s">
        <v>2100</v>
      </c>
      <c r="C168" s="2834" t="s">
        <v>2104</v>
      </c>
      <c r="F168" s="2834" t="s">
        <v>3016</v>
      </c>
      <c r="R168" s="2888"/>
      <c r="S168" s="2834" t="s">
        <v>303</v>
      </c>
      <c r="AA168" s="2890"/>
    </row>
    <row r="169" spans="1:27">
      <c r="R169" s="2888"/>
      <c r="S169" s="2834" t="s">
        <v>3017</v>
      </c>
      <c r="AA169" s="2890"/>
    </row>
    <row r="170" spans="1:27">
      <c r="C170" s="2834" t="s">
        <v>2103</v>
      </c>
      <c r="D170" s="2877">
        <f>D151+D135+D165</f>
        <v>148435.91666666669</v>
      </c>
      <c r="E170" s="2834" t="s">
        <v>2073</v>
      </c>
      <c r="F170" s="2834" t="s">
        <v>3018</v>
      </c>
      <c r="G170" s="2877">
        <f>D143+D160+D165</f>
        <v>98202.583333333343</v>
      </c>
      <c r="H170" s="2834" t="s">
        <v>2073</v>
      </c>
      <c r="R170" s="2888"/>
      <c r="S170" s="2834" t="s">
        <v>3019</v>
      </c>
      <c r="AA170" s="2890"/>
    </row>
    <row r="171" spans="1:27" ht="13.15">
      <c r="R171" s="2888"/>
      <c r="S171" s="2834" t="s">
        <v>3020</v>
      </c>
      <c r="X171" s="2898">
        <v>0</v>
      </c>
      <c r="Y171" s="2834" t="s">
        <v>3021</v>
      </c>
      <c r="AA171" s="2890"/>
    </row>
    <row r="172" spans="1:27">
      <c r="R172" s="2888"/>
      <c r="S172" s="2834" t="s">
        <v>3022</v>
      </c>
      <c r="X172" s="2910">
        <v>1.6</v>
      </c>
      <c r="AA172" s="2890"/>
    </row>
    <row r="173" spans="1:27">
      <c r="A173" s="2834" t="s">
        <v>2105</v>
      </c>
      <c r="C173" s="2834" t="s">
        <v>2106</v>
      </c>
      <c r="E173" s="2834" t="s">
        <v>3023</v>
      </c>
      <c r="G173" s="2834" t="s">
        <v>3024</v>
      </c>
      <c r="R173" s="2888"/>
      <c r="S173" s="2834" t="s">
        <v>3025</v>
      </c>
      <c r="AA173" s="2890"/>
    </row>
    <row r="174" spans="1:27">
      <c r="R174" s="2888"/>
      <c r="S174" s="2834" t="s">
        <v>3026</v>
      </c>
      <c r="AA174" s="2890"/>
    </row>
    <row r="175" spans="1:27">
      <c r="C175" s="2834" t="s">
        <v>2107</v>
      </c>
      <c r="D175" s="2850"/>
      <c r="E175" s="2834" t="s">
        <v>2108</v>
      </c>
      <c r="F175" s="2890"/>
      <c r="G175" s="2834" t="s">
        <v>3027</v>
      </c>
      <c r="I175" s="4525" t="s">
        <v>2066</v>
      </c>
      <c r="J175" s="4524"/>
      <c r="R175" s="2888"/>
      <c r="S175" s="2834" t="s">
        <v>3028</v>
      </c>
      <c r="AA175" s="2890"/>
    </row>
    <row r="176" spans="1:27">
      <c r="F176" s="2890"/>
      <c r="I176" s="2862" t="s">
        <v>3029</v>
      </c>
      <c r="J176" s="2862" t="s">
        <v>3030</v>
      </c>
      <c r="R176" s="2888"/>
      <c r="AA176" s="2890"/>
    </row>
    <row r="177" spans="1:27">
      <c r="D177" s="2850" t="s">
        <v>160</v>
      </c>
      <c r="E177" s="2912">
        <f>D88+D126</f>
        <v>7656743.75</v>
      </c>
      <c r="F177" s="2890"/>
      <c r="G177" s="2913">
        <f>E177</f>
        <v>7656743.75</v>
      </c>
      <c r="I177" s="2914">
        <f>H88+D126</f>
        <v>6239824.4628906241</v>
      </c>
      <c r="J177" s="2914">
        <f>I177</f>
        <v>6239824.4628906241</v>
      </c>
      <c r="R177" s="2888"/>
      <c r="S177" s="2834" t="s">
        <v>3031</v>
      </c>
      <c r="AA177" s="2890"/>
    </row>
    <row r="178" spans="1:27">
      <c r="E178" s="2915">
        <f>I14</f>
        <v>6613.5434082581187</v>
      </c>
      <c r="F178" s="2890"/>
      <c r="G178" s="2851">
        <f>I15</f>
        <v>7071.4291287165652</v>
      </c>
      <c r="I178" s="2914">
        <f>E178</f>
        <v>6613.5434082581187</v>
      </c>
      <c r="J178" s="2916">
        <f>G178</f>
        <v>7071.4291287165652</v>
      </c>
      <c r="R178" s="2888"/>
      <c r="S178" s="2834" t="s">
        <v>3032</v>
      </c>
      <c r="X178" s="2910">
        <f>(F9/100)*(E35/100)</f>
        <v>18.3</v>
      </c>
      <c r="Y178" s="2834" t="s">
        <v>3033</v>
      </c>
      <c r="AA178" s="2890"/>
    </row>
    <row r="179" spans="1:27" ht="14.65" thickBot="1">
      <c r="D179" s="2843"/>
      <c r="F179" s="2890"/>
      <c r="I179" s="2903"/>
      <c r="J179" s="2903"/>
      <c r="R179" s="2888"/>
      <c r="S179" s="2834" t="s">
        <v>3034</v>
      </c>
      <c r="X179" s="2917">
        <f>(0.05*X178)</f>
        <v>0.91500000000000004</v>
      </c>
      <c r="Y179" s="2834" t="s">
        <v>3033</v>
      </c>
      <c r="AA179" s="2890"/>
    </row>
    <row r="180" spans="1:27" ht="14.65" thickBot="1">
      <c r="D180" s="2850" t="s">
        <v>160</v>
      </c>
      <c r="E180" s="2918">
        <f t="shared" ref="E180" si="0">E177/E178</f>
        <v>1157.7369765864501</v>
      </c>
      <c r="F180" s="2834" t="s">
        <v>3035</v>
      </c>
      <c r="G180" s="2918">
        <f t="shared" ref="G180" si="1">G177/G178</f>
        <v>1082.7717581028303</v>
      </c>
      <c r="H180" s="2834" t="s">
        <v>3035</v>
      </c>
      <c r="I180" s="2903">
        <f>I177/I178</f>
        <v>943.49187382654145</v>
      </c>
      <c r="J180" s="2903">
        <f>J177/J178</f>
        <v>882.39934945415007</v>
      </c>
      <c r="R180" s="2888"/>
      <c r="S180" s="2834" t="s">
        <v>3036</v>
      </c>
      <c r="X180" s="2910">
        <f>(Girder!H15/100)^2</f>
        <v>2.25</v>
      </c>
      <c r="Y180" s="2834" t="s">
        <v>3033</v>
      </c>
      <c r="AA180" s="2890"/>
    </row>
    <row r="181" spans="1:27">
      <c r="E181" s="2878"/>
      <c r="F181" s="2890"/>
      <c r="R181" s="2888"/>
      <c r="S181" s="2834" t="s">
        <v>3037</v>
      </c>
      <c r="X181" s="2910">
        <f>0.5*(Girder!H11/1000)</f>
        <v>12.812499999999998</v>
      </c>
      <c r="Y181" s="2834" t="s">
        <v>3033</v>
      </c>
      <c r="Z181" s="2834" t="s">
        <v>3038</v>
      </c>
      <c r="AA181" s="2890"/>
    </row>
    <row r="182" spans="1:27" ht="14.25">
      <c r="A182" s="2834" t="s">
        <v>2109</v>
      </c>
      <c r="C182" s="2834" t="s">
        <v>2110</v>
      </c>
      <c r="E182" s="2834" t="s">
        <v>3023</v>
      </c>
      <c r="G182" s="2888" t="s">
        <v>3024</v>
      </c>
      <c r="R182" s="2919"/>
      <c r="S182" s="2920"/>
      <c r="T182" s="2921"/>
      <c r="U182" s="2922"/>
      <c r="V182" s="2923"/>
      <c r="W182" s="2906"/>
      <c r="X182" s="2906"/>
      <c r="Y182" s="2906"/>
      <c r="Z182" s="2906" t="s">
        <v>3039</v>
      </c>
      <c r="AA182" s="2907"/>
    </row>
    <row r="183" spans="1:27">
      <c r="C183" s="2834" t="s">
        <v>2051</v>
      </c>
      <c r="G183" s="2888"/>
      <c r="R183" s="2908"/>
      <c r="S183" s="4526" t="s">
        <v>3040</v>
      </c>
      <c r="T183" s="4526"/>
      <c r="U183" s="2887"/>
      <c r="V183" s="2887"/>
      <c r="W183" s="2887"/>
      <c r="X183" s="2887"/>
      <c r="Y183" s="2887"/>
      <c r="Z183" s="2887"/>
      <c r="AA183" s="2704"/>
    </row>
    <row r="184" spans="1:27">
      <c r="D184" s="2834" t="s">
        <v>160</v>
      </c>
      <c r="E184" s="2834" t="s">
        <v>2111</v>
      </c>
      <c r="G184" s="2888"/>
      <c r="R184" s="2888"/>
      <c r="S184" s="4526"/>
      <c r="T184" s="4526"/>
      <c r="AA184" s="2890"/>
    </row>
    <row r="185" spans="1:27">
      <c r="G185" s="2888"/>
      <c r="R185" s="2888"/>
      <c r="S185" s="2834" t="s">
        <v>3041</v>
      </c>
      <c r="T185" s="2709">
        <f>X178*X171*X172</f>
        <v>0</v>
      </c>
      <c r="U185" s="2834" t="s">
        <v>3042</v>
      </c>
      <c r="AA185" s="2890"/>
    </row>
    <row r="186" spans="1:27">
      <c r="D186" s="2834" t="s">
        <v>160</v>
      </c>
      <c r="E186" s="2912">
        <f>(H90+H126)</f>
        <v>311991.22314453125</v>
      </c>
      <c r="G186" s="2888"/>
      <c r="R186" s="2888"/>
      <c r="S186" s="2834" t="s">
        <v>3043</v>
      </c>
      <c r="T186" s="2709">
        <f>X179*X171*X172</f>
        <v>0</v>
      </c>
      <c r="U186" s="2834" t="s">
        <v>3042</v>
      </c>
      <c r="AA186" s="2890"/>
    </row>
    <row r="187" spans="1:27">
      <c r="E187" s="2872">
        <f>I16</f>
        <v>2212.2967567567566</v>
      </c>
      <c r="G187" s="2888"/>
      <c r="R187" s="2888"/>
      <c r="S187" s="2834" t="s">
        <v>3044</v>
      </c>
      <c r="T187" s="2709">
        <f>X180*X171*X172</f>
        <v>0</v>
      </c>
      <c r="U187" s="2834" t="s">
        <v>3042</v>
      </c>
      <c r="AA187" s="2890"/>
    </row>
    <row r="188" spans="1:27" ht="13.15" thickBot="1">
      <c r="G188" s="2888"/>
      <c r="R188" s="2888"/>
      <c r="S188" s="2834" t="s">
        <v>3045</v>
      </c>
      <c r="T188" s="2709">
        <f>X181*X171*X172</f>
        <v>0</v>
      </c>
      <c r="U188" s="2834" t="s">
        <v>3042</v>
      </c>
      <c r="AA188" s="2890"/>
    </row>
    <row r="189" spans="1:27" ht="15.4" thickBot="1">
      <c r="D189" s="2834" t="s">
        <v>160</v>
      </c>
      <c r="E189" s="2924">
        <f>(E186+T194+N158+S215+S219)/I16</f>
        <v>177.13043020684458</v>
      </c>
      <c r="F189" s="2834" t="s">
        <v>3035</v>
      </c>
      <c r="G189" s="2925">
        <f>E189</f>
        <v>177.13043020684458</v>
      </c>
      <c r="H189" s="2834" t="s">
        <v>3035</v>
      </c>
      <c r="R189" s="2888"/>
      <c r="S189" s="2926" t="s">
        <v>3046</v>
      </c>
      <c r="T189" s="2927">
        <f>T185+T186+T187+T188</f>
        <v>0</v>
      </c>
      <c r="U189" s="2928" t="s">
        <v>3042</v>
      </c>
      <c r="V189" s="2929"/>
      <c r="AA189" s="2890"/>
    </row>
    <row r="190" spans="1:27" ht="14.25">
      <c r="G190" s="2888"/>
      <c r="R190" s="2888"/>
      <c r="S190" s="2926" t="s">
        <v>473</v>
      </c>
      <c r="T190" s="2930"/>
      <c r="U190" s="2928"/>
      <c r="V190" s="2929"/>
      <c r="AA190" s="2890"/>
    </row>
    <row r="191" spans="1:27" ht="14.25">
      <c r="R191" s="2888"/>
      <c r="S191" s="2928" t="s">
        <v>3047</v>
      </c>
      <c r="T191" s="2930"/>
      <c r="U191" s="2928"/>
      <c r="V191" s="2929"/>
      <c r="AA191" s="2890"/>
    </row>
    <row r="192" spans="1:27" ht="14.25">
      <c r="A192" s="2834" t="s">
        <v>2112</v>
      </c>
      <c r="C192" s="2834" t="s">
        <v>2113</v>
      </c>
      <c r="R192" s="2888"/>
      <c r="S192" s="2926" t="s">
        <v>3048</v>
      </c>
      <c r="T192" s="2930">
        <v>0</v>
      </c>
      <c r="U192" s="2928" t="s">
        <v>3049</v>
      </c>
      <c r="V192" s="2929"/>
      <c r="AA192" s="2890"/>
    </row>
    <row r="193" spans="1:27" ht="14.25">
      <c r="E193" s="2834" t="s">
        <v>3050</v>
      </c>
      <c r="G193" s="2852" t="s">
        <v>3051</v>
      </c>
      <c r="R193" s="2888"/>
      <c r="S193" s="2931" t="s">
        <v>3048</v>
      </c>
      <c r="T193" s="2932">
        <f>(T192/1000)*100</f>
        <v>0</v>
      </c>
      <c r="U193" s="2928" t="s">
        <v>3052</v>
      </c>
      <c r="V193" s="2929"/>
      <c r="AA193" s="2890"/>
    </row>
    <row r="194" spans="1:27" ht="13.15">
      <c r="D194" s="2850" t="s">
        <v>160</v>
      </c>
      <c r="E194" s="2834" t="s">
        <v>2114</v>
      </c>
      <c r="G194" s="2852" t="s">
        <v>3053</v>
      </c>
      <c r="I194" s="2842"/>
      <c r="R194" s="2919"/>
      <c r="S194" s="2931" t="s">
        <v>3048</v>
      </c>
      <c r="T194" s="2932">
        <f>T193*1000</f>
        <v>0</v>
      </c>
      <c r="U194" s="2906"/>
      <c r="V194" s="2906"/>
      <c r="W194" s="2906"/>
      <c r="X194" s="2906"/>
      <c r="Y194" s="2906"/>
      <c r="Z194" s="2906"/>
      <c r="AA194" s="2907"/>
    </row>
    <row r="196" spans="1:27">
      <c r="D196" s="2834" t="s">
        <v>160</v>
      </c>
      <c r="E196" s="2933">
        <f>D170</f>
        <v>148435.91666666669</v>
      </c>
      <c r="G196" s="2913">
        <f>G170</f>
        <v>98202.583333333343</v>
      </c>
    </row>
    <row r="197" spans="1:27" ht="14.25">
      <c r="E197" s="2872">
        <f>H256</f>
        <v>5192.3136756320837</v>
      </c>
      <c r="G197" s="2871">
        <f>E197</f>
        <v>5192.3136756320837</v>
      </c>
      <c r="R197" s="2934" t="s">
        <v>3054</v>
      </c>
      <c r="S197" s="2934"/>
      <c r="T197" s="2934"/>
      <c r="U197" s="2929"/>
      <c r="W197" s="2935"/>
      <c r="X197" s="2935"/>
    </row>
    <row r="198" spans="1:27">
      <c r="E198" s="2842"/>
      <c r="R198" s="2928" t="s">
        <v>3055</v>
      </c>
      <c r="S198" s="2935"/>
      <c r="T198" s="2935"/>
      <c r="U198" s="2935"/>
      <c r="V198" s="2935"/>
      <c r="W198" s="2935"/>
      <c r="X198" s="2928"/>
    </row>
    <row r="199" spans="1:27" ht="14.65">
      <c r="C199" s="2834" t="s">
        <v>2115</v>
      </c>
      <c r="D199" s="2850" t="s">
        <v>160</v>
      </c>
      <c r="E199" s="2936">
        <f>D170/H256</f>
        <v>28.587625081914357</v>
      </c>
      <c r="F199" s="2834" t="s">
        <v>3035</v>
      </c>
      <c r="G199" s="2937">
        <f>ROUND(G196/G197,2)</f>
        <v>18.91</v>
      </c>
      <c r="H199" s="2834" t="s">
        <v>3056</v>
      </c>
      <c r="R199" s="2938" t="s">
        <v>3057</v>
      </c>
      <c r="S199" s="2935"/>
      <c r="T199" s="2935"/>
      <c r="U199" s="2939" t="s">
        <v>3058</v>
      </c>
      <c r="V199" s="2935"/>
      <c r="W199" s="2935"/>
      <c r="X199" s="2928"/>
    </row>
    <row r="200" spans="1:27">
      <c r="R200" s="2928"/>
      <c r="S200" s="2935"/>
      <c r="T200" s="2935"/>
      <c r="U200" s="2935"/>
      <c r="V200" s="2935"/>
      <c r="W200" s="2935"/>
      <c r="X200" s="2928"/>
    </row>
    <row r="201" spans="1:27">
      <c r="R201" s="2928" t="s">
        <v>3059</v>
      </c>
      <c r="S201" s="2935"/>
      <c r="T201" s="2935"/>
      <c r="U201" s="2935"/>
      <c r="V201" s="2935"/>
      <c r="W201" s="2935"/>
      <c r="X201" s="2928"/>
    </row>
    <row r="202" spans="1:27" ht="13.15">
      <c r="R202" s="2938" t="s">
        <v>3060</v>
      </c>
      <c r="S202" s="2935"/>
      <c r="T202" s="2935"/>
      <c r="U202" s="2938" t="s">
        <v>3061</v>
      </c>
      <c r="V202" s="2935"/>
      <c r="W202" s="2935"/>
      <c r="X202" s="2928"/>
    </row>
    <row r="203" spans="1:27">
      <c r="A203" s="2834" t="s">
        <v>2116</v>
      </c>
      <c r="C203" s="2834" t="s">
        <v>3062</v>
      </c>
      <c r="G203" s="2834" t="s">
        <v>3063</v>
      </c>
      <c r="R203" s="2928" t="s">
        <v>303</v>
      </c>
      <c r="S203" s="2928" t="s">
        <v>3064</v>
      </c>
      <c r="T203" s="2935"/>
      <c r="U203" s="2935"/>
      <c r="V203" s="2935"/>
      <c r="W203" s="2935"/>
      <c r="X203" s="2928"/>
    </row>
    <row r="204" spans="1:27">
      <c r="D204" s="2850" t="s">
        <v>2118</v>
      </c>
      <c r="E204" s="2912">
        <f>G50+D118+I118</f>
        <v>20600.915666666664</v>
      </c>
      <c r="H204" s="2850" t="s">
        <v>2118</v>
      </c>
      <c r="I204" s="2912">
        <f>E204</f>
        <v>20600.915666666664</v>
      </c>
      <c r="R204" s="2911" t="s">
        <v>3065</v>
      </c>
      <c r="S204" s="2928" t="s">
        <v>3066</v>
      </c>
      <c r="T204" s="2928" t="s">
        <v>3067</v>
      </c>
      <c r="U204" s="2935"/>
      <c r="V204" s="2935"/>
      <c r="W204" s="2935"/>
      <c r="X204" s="2928"/>
    </row>
    <row r="205" spans="1:27">
      <c r="E205" s="2940">
        <f>I22</f>
        <v>144.24</v>
      </c>
      <c r="I205" s="2940">
        <f>I25</f>
        <v>98.399999999999991</v>
      </c>
      <c r="R205" s="2911" t="s">
        <v>3068</v>
      </c>
      <c r="S205" s="2928" t="s">
        <v>3069</v>
      </c>
      <c r="T205" s="2928"/>
      <c r="U205" s="2935"/>
      <c r="V205" s="2935"/>
      <c r="W205" s="2935"/>
      <c r="X205" s="2928"/>
    </row>
    <row r="206" spans="1:27" ht="13.15">
      <c r="R206" s="2899" t="s">
        <v>3065</v>
      </c>
      <c r="S206" s="2932">
        <f>ROUND(0.01*Girder!J3^0.5,2)</f>
        <v>0.05</v>
      </c>
      <c r="T206" s="2928" t="s">
        <v>3070</v>
      </c>
      <c r="U206" s="2935"/>
      <c r="V206" s="2935"/>
      <c r="W206" s="2935"/>
      <c r="X206" s="2928"/>
    </row>
    <row r="207" spans="1:27" ht="14.25">
      <c r="D207" s="2850" t="s">
        <v>160</v>
      </c>
      <c r="E207" s="2941">
        <f>E204/E205</f>
        <v>142.82387456091698</v>
      </c>
      <c r="F207" s="2834" t="s">
        <v>3035</v>
      </c>
      <c r="H207" s="2850" t="s">
        <v>160</v>
      </c>
      <c r="I207" s="2941">
        <f>I204/I205</f>
        <v>209.35889905149051</v>
      </c>
      <c r="J207" s="2834" t="s">
        <v>3035</v>
      </c>
      <c r="L207" s="2842">
        <f>G50</f>
        <v>17295.458333333332</v>
      </c>
      <c r="R207" s="2930" t="s">
        <v>3071</v>
      </c>
      <c r="S207" s="2928" t="s">
        <v>3072</v>
      </c>
      <c r="T207" s="2935"/>
      <c r="U207" s="2935"/>
      <c r="V207" s="2935"/>
      <c r="W207" s="2942">
        <f>Girder!F60/1000</f>
        <v>3.0604330000000002</v>
      </c>
      <c r="X207" s="2935" t="s">
        <v>2993</v>
      </c>
    </row>
    <row r="208" spans="1:27">
      <c r="C208" s="2834" t="s">
        <v>2119</v>
      </c>
      <c r="L208" s="2834">
        <f>L207/E205</f>
        <v>119.90750369754112</v>
      </c>
      <c r="M208" s="2842">
        <f>L208+E199</f>
        <v>148.49512877945548</v>
      </c>
      <c r="R208" s="2911" t="s">
        <v>3073</v>
      </c>
      <c r="S208" s="2928" t="s">
        <v>3074</v>
      </c>
      <c r="T208" s="2928"/>
      <c r="U208" s="2928"/>
      <c r="V208" s="2928"/>
      <c r="W208" s="2943">
        <f>Girder!H14/1000</f>
        <v>4.375</v>
      </c>
      <c r="X208" s="2928" t="s">
        <v>2993</v>
      </c>
    </row>
    <row r="209" spans="1:24">
      <c r="R209" s="2911" t="s">
        <v>3075</v>
      </c>
      <c r="S209" s="2928" t="s">
        <v>3076</v>
      </c>
      <c r="T209" s="2928"/>
      <c r="U209" s="2928"/>
      <c r="V209" s="2928"/>
      <c r="W209" s="2943">
        <f>Girder!H11/1000</f>
        <v>25.624999999999996</v>
      </c>
      <c r="X209" s="2928" t="s">
        <v>2993</v>
      </c>
    </row>
    <row r="210" spans="1:24">
      <c r="A210" s="2834" t="s">
        <v>1865</v>
      </c>
      <c r="B210" s="2834" t="s">
        <v>2120</v>
      </c>
      <c r="D210" s="2835">
        <f>'G OUTPUT'!C251</f>
        <v>0</v>
      </c>
      <c r="E210" s="2834" t="s">
        <v>449</v>
      </c>
      <c r="R210" s="2911" t="s">
        <v>3077</v>
      </c>
      <c r="S210" s="2928" t="s">
        <v>3078</v>
      </c>
      <c r="T210" s="2928"/>
      <c r="U210" s="2928"/>
      <c r="V210" s="2928"/>
      <c r="W210" s="2943">
        <f>Girder!H10</f>
        <v>1500</v>
      </c>
      <c r="X210" s="2928" t="s">
        <v>571</v>
      </c>
    </row>
    <row r="211" spans="1:24" ht="14.25">
      <c r="B211" s="2834" t="s">
        <v>2121</v>
      </c>
      <c r="D211" s="2873">
        <f>D210/I10</f>
        <v>0</v>
      </c>
      <c r="E211" s="2834" t="s">
        <v>3035</v>
      </c>
      <c r="R211" s="2928" t="s">
        <v>3079</v>
      </c>
      <c r="S211" s="2928"/>
      <c r="T211" s="2928"/>
      <c r="U211" s="2928"/>
      <c r="V211" s="2928"/>
      <c r="W211" s="2928"/>
      <c r="X211" s="2928"/>
    </row>
    <row r="212" spans="1:24" ht="13.15">
      <c r="R212" s="2938" t="s">
        <v>3080</v>
      </c>
      <c r="S212" s="2935"/>
      <c r="T212" s="2935"/>
      <c r="U212" s="2911"/>
      <c r="V212" s="2935"/>
      <c r="W212" s="2928"/>
      <c r="X212" s="2928"/>
    </row>
    <row r="213" spans="1:24">
      <c r="R213" s="2911" t="s">
        <v>3081</v>
      </c>
      <c r="S213" s="2834" t="str">
        <f>CONCATENATE(S206,"x",W207,"/",3,"x",W210,"/",8)</f>
        <v>0.05x3.060433/3x1500/8</v>
      </c>
      <c r="T213" s="2928"/>
      <c r="U213" s="2928"/>
      <c r="V213" s="2928"/>
      <c r="W213" s="2928"/>
      <c r="X213" s="2928"/>
    </row>
    <row r="214" spans="1:24" ht="13.15">
      <c r="R214" s="2899" t="s">
        <v>3081</v>
      </c>
      <c r="S214" s="2944">
        <f>(S206*W207/3*W210/8)</f>
        <v>9.5638531249999996</v>
      </c>
      <c r="T214" s="2928" t="s">
        <v>3052</v>
      </c>
      <c r="U214" s="2928"/>
      <c r="V214" s="2928"/>
      <c r="W214" s="2928"/>
      <c r="X214" s="2928"/>
    </row>
    <row r="215" spans="1:24" ht="14.25">
      <c r="A215" s="2834" t="s">
        <v>1865</v>
      </c>
      <c r="C215" s="2834" t="s">
        <v>3082</v>
      </c>
      <c r="E215" s="2834" t="s">
        <v>3023</v>
      </c>
      <c r="G215" s="2888" t="s">
        <v>3024</v>
      </c>
      <c r="R215" s="2928"/>
      <c r="S215" s="2945">
        <f>S214*1000</f>
        <v>9563.8531249999996</v>
      </c>
      <c r="T215" s="2928" t="s">
        <v>3083</v>
      </c>
      <c r="U215" s="2928"/>
      <c r="V215" s="2928"/>
      <c r="W215" s="2928"/>
      <c r="X215" s="2928"/>
    </row>
    <row r="216" spans="1:24" ht="13.5" thickBot="1">
      <c r="G216" s="2888"/>
      <c r="M216" s="2842"/>
      <c r="R216" s="2938" t="s">
        <v>3084</v>
      </c>
      <c r="S216" s="2935"/>
      <c r="T216" s="2935"/>
      <c r="U216" s="2911"/>
      <c r="V216" s="2928"/>
      <c r="W216" s="2928"/>
      <c r="X216" s="2928"/>
    </row>
    <row r="217" spans="1:24" ht="13.15" thickBot="1">
      <c r="D217" s="2834" t="s">
        <v>2122</v>
      </c>
      <c r="E217" s="2918">
        <f>(E180+E189)*Girder!H12</f>
        <v>1414.9594512008923</v>
      </c>
      <c r="F217" s="2842"/>
      <c r="G217" s="2946">
        <f>(G180+G189)*Girder!H12</f>
        <v>1335.4963196082554</v>
      </c>
      <c r="R217" s="2911" t="s">
        <v>3085</v>
      </c>
      <c r="S217" s="2834" t="str">
        <f>CONCATENATE(S206,"x","(",W208,"+",W209,")","/",4,"x",W210,"/",8)</f>
        <v>0.05x(4.375+25.625)/4x1500/8</v>
      </c>
      <c r="T217" s="2928"/>
      <c r="U217" s="2928"/>
      <c r="V217" s="2928"/>
      <c r="W217" s="2928"/>
      <c r="X217" s="2928"/>
    </row>
    <row r="218" spans="1:24" ht="13.15">
      <c r="E218" s="2947">
        <f>E217/Girder!H12</f>
        <v>1334.8674067932945</v>
      </c>
      <c r="F218" s="2911" t="s">
        <v>3086</v>
      </c>
      <c r="G218" s="2947">
        <f>G217/Girder!H12</f>
        <v>1259.9021883096748</v>
      </c>
      <c r="R218" s="2899" t="s">
        <v>3085</v>
      </c>
      <c r="S218" s="2944">
        <f>ROUND((S206*((W208+W209)/4)*W210/8),2)</f>
        <v>70.31</v>
      </c>
      <c r="T218" s="2928" t="s">
        <v>3052</v>
      </c>
      <c r="U218" s="2928"/>
      <c r="V218" s="2928"/>
      <c r="W218" s="2928"/>
      <c r="X218" s="2928"/>
    </row>
    <row r="219" spans="1:24" ht="14.25">
      <c r="D219" s="2834" t="s">
        <v>3087</v>
      </c>
      <c r="E219" s="2936">
        <f>G217</f>
        <v>1335.4963196082554</v>
      </c>
      <c r="F219" s="2850"/>
      <c r="G219" s="2871">
        <f>'G OUTPUT'!I255</f>
        <v>1477.34</v>
      </c>
      <c r="H219" s="2834" t="s">
        <v>3035</v>
      </c>
      <c r="S219" s="2709">
        <f>S218*1000</f>
        <v>70310</v>
      </c>
      <c r="T219" s="2834" t="s">
        <v>3083</v>
      </c>
    </row>
    <row r="220" spans="1:24">
      <c r="E220" s="2852"/>
    </row>
    <row r="221" spans="1:24" ht="14.25">
      <c r="D221" s="2834" t="s">
        <v>2124</v>
      </c>
      <c r="E221" s="2936">
        <f>(E207+E199)*Girder!H12</f>
        <v>181.69618962140123</v>
      </c>
      <c r="G221" s="2834" t="s">
        <v>1602</v>
      </c>
      <c r="H221" s="2834" t="s">
        <v>3035</v>
      </c>
    </row>
    <row r="222" spans="1:24" ht="14.25">
      <c r="D222" s="2834" t="s">
        <v>3088</v>
      </c>
      <c r="E222" s="2936">
        <f>I207+G199</f>
        <v>228.26889905149051</v>
      </c>
      <c r="G222" s="2834" t="s">
        <v>1602</v>
      </c>
      <c r="H222" s="2834" t="s">
        <v>3035</v>
      </c>
    </row>
    <row r="223" spans="1:24" ht="14.25">
      <c r="D223" s="2834" t="s">
        <v>2125</v>
      </c>
      <c r="E223" s="2936">
        <f>SQRT(POWER(E219,2)+(3*POWER(E221,2)))</f>
        <v>1372.0754117963065</v>
      </c>
      <c r="G223" s="2834" t="s">
        <v>1606</v>
      </c>
      <c r="H223" s="2834" t="s">
        <v>3035</v>
      </c>
    </row>
    <row r="230" spans="1:11">
      <c r="A230" s="2834" t="s">
        <v>2126</v>
      </c>
    </row>
    <row r="231" spans="1:11">
      <c r="C231" s="2834" t="s">
        <v>2127</v>
      </c>
    </row>
    <row r="232" spans="1:11">
      <c r="C232" s="2834" t="s">
        <v>2128</v>
      </c>
    </row>
    <row r="234" spans="1:11">
      <c r="C234" s="2834" t="s">
        <v>2129</v>
      </c>
    </row>
    <row r="237" spans="1:11" ht="14.25">
      <c r="C237" s="2834" t="s">
        <v>2130</v>
      </c>
      <c r="F237" s="2948" t="s">
        <v>3089</v>
      </c>
      <c r="G237" s="2834" t="s">
        <v>2131</v>
      </c>
      <c r="I237" s="2949">
        <f>((POWER(J241,3)*J242)/3)+(2*J244*J243)</f>
        <v>148518.59758479084</v>
      </c>
      <c r="J237" s="2834" t="s">
        <v>2132</v>
      </c>
    </row>
    <row r="238" spans="1:11">
      <c r="F238" s="2852">
        <v>3</v>
      </c>
    </row>
    <row r="240" spans="1:11">
      <c r="C240" s="2834" t="s">
        <v>2133</v>
      </c>
      <c r="D240" s="2834" t="s">
        <v>2134</v>
      </c>
      <c r="J240" s="2949">
        <f>I12</f>
        <v>416924.39</v>
      </c>
      <c r="K240" s="2834" t="s">
        <v>2132</v>
      </c>
    </row>
    <row r="241" spans="3:11">
      <c r="D241" s="2834" t="s">
        <v>2135</v>
      </c>
      <c r="J241" s="2950">
        <f>F12</f>
        <v>0.6</v>
      </c>
      <c r="K241" s="2834" t="s">
        <v>571</v>
      </c>
    </row>
    <row r="242" spans="3:11">
      <c r="D242" s="2834" t="s">
        <v>2136</v>
      </c>
      <c r="J242" s="2950">
        <f>2*((F7-F12)+(F9-F12))</f>
        <v>315.60000000000002</v>
      </c>
      <c r="K242" s="2834" t="s">
        <v>571</v>
      </c>
    </row>
    <row r="243" spans="3:11">
      <c r="D243" s="2834" t="s">
        <v>2137</v>
      </c>
      <c r="J243" s="2950">
        <f>((F7-F12)*(F9-F12))</f>
        <v>4418.96</v>
      </c>
      <c r="K243" s="2834" t="s">
        <v>2138</v>
      </c>
    </row>
    <row r="244" spans="3:11">
      <c r="D244" s="2834" t="s">
        <v>2139</v>
      </c>
      <c r="J244" s="2951">
        <f>2*J243*J241/J242</f>
        <v>16.802129277566536</v>
      </c>
    </row>
    <row r="245" spans="3:11">
      <c r="D245" s="2834" t="s">
        <v>2140</v>
      </c>
    </row>
    <row r="246" spans="3:11">
      <c r="D246" s="2834" t="s">
        <v>2141</v>
      </c>
    </row>
    <row r="247" spans="3:11">
      <c r="D247" s="2834" t="s">
        <v>2142</v>
      </c>
    </row>
    <row r="248" spans="3:11">
      <c r="C248" s="2834" t="s">
        <v>2143</v>
      </c>
    </row>
    <row r="250" spans="3:11">
      <c r="C250" s="2834" t="s">
        <v>2127</v>
      </c>
    </row>
    <row r="251" spans="3:11">
      <c r="D251" s="2834" t="s">
        <v>2144</v>
      </c>
    </row>
    <row r="254" spans="3:11">
      <c r="C254" s="2834" t="s">
        <v>2129</v>
      </c>
    </row>
    <row r="256" spans="3:11">
      <c r="D256" s="2834" t="s">
        <v>3090</v>
      </c>
      <c r="H256" s="2949">
        <f>(I237/(J241+(J244/J241)))</f>
        <v>5192.3136756320837</v>
      </c>
      <c r="I256" s="2834" t="s">
        <v>2146</v>
      </c>
    </row>
    <row r="258" spans="2:9">
      <c r="C258" s="2834" t="s">
        <v>2133</v>
      </c>
    </row>
    <row r="259" spans="2:9">
      <c r="D259" s="2834" t="s">
        <v>2147</v>
      </c>
    </row>
    <row r="263" spans="2:9" ht="15">
      <c r="B263" s="2952" t="s">
        <v>2148</v>
      </c>
    </row>
    <row r="265" spans="2:9">
      <c r="B265" s="2834" t="s">
        <v>2149</v>
      </c>
    </row>
    <row r="268" spans="2:9" ht="17.25">
      <c r="B268" s="2834" t="s">
        <v>2150</v>
      </c>
      <c r="C268" s="2953" t="s">
        <v>3091</v>
      </c>
      <c r="D268" s="2952"/>
    </row>
    <row r="269" spans="2:9" ht="15">
      <c r="C269" s="2952" t="s">
        <v>2152</v>
      </c>
      <c r="D269" s="2952"/>
      <c r="I269" s="2869"/>
    </row>
    <row r="270" spans="2:9">
      <c r="E270" s="2850" t="s">
        <v>2153</v>
      </c>
      <c r="F270" s="2851">
        <f>E73</f>
        <v>718.90625</v>
      </c>
    </row>
    <row r="271" spans="2:9">
      <c r="E271" s="2850" t="s">
        <v>2154</v>
      </c>
      <c r="F271" s="2871">
        <f>I12</f>
        <v>416924.39</v>
      </c>
      <c r="I271" s="2842"/>
    </row>
    <row r="272" spans="2:9">
      <c r="E272" s="2850" t="s">
        <v>2155</v>
      </c>
      <c r="F272" s="2852">
        <f>D39</f>
        <v>1500</v>
      </c>
    </row>
    <row r="273" spans="2:7">
      <c r="B273" s="2850" t="s">
        <v>2156</v>
      </c>
      <c r="C273" s="2954">
        <f>(((F273)*(POWER(F272,3)))*(((3*F270)/(F272))-(4*(POWER((F270/F272),3)))))/(48*21000000/9.81*F271)</f>
        <v>0.69004222309358199</v>
      </c>
      <c r="D273" s="2834" t="s">
        <v>571</v>
      </c>
      <c r="E273" s="2850" t="s">
        <v>2157</v>
      </c>
      <c r="F273" s="2852">
        <f>D42</f>
        <v>8781.2499999999982</v>
      </c>
      <c r="G273" s="2834" t="s">
        <v>380</v>
      </c>
    </row>
    <row r="274" spans="2:7">
      <c r="B274" s="2850"/>
      <c r="E274" s="2850"/>
      <c r="F274" s="2852"/>
    </row>
    <row r="275" spans="2:7">
      <c r="B275" s="2850" t="s">
        <v>2158</v>
      </c>
      <c r="C275" s="2954">
        <f>(((F275)*(POWER(F272,3)))*(((3*F270)/(F272))-(4*(POWER((F270/F272),3)))))/(48*21000000/9.81*F271)</f>
        <v>0.48867758859652266</v>
      </c>
      <c r="D275" s="2834" t="s">
        <v>571</v>
      </c>
      <c r="E275" s="2850" t="s">
        <v>244</v>
      </c>
      <c r="F275" s="2852">
        <f>D43</f>
        <v>6218.75</v>
      </c>
      <c r="G275" s="2834" t="s">
        <v>380</v>
      </c>
    </row>
    <row r="277" spans="2:7">
      <c r="B277" s="2834" t="s">
        <v>2150</v>
      </c>
      <c r="C277" s="2955">
        <f>C273+C275</f>
        <v>1.1787198116901045</v>
      </c>
      <c r="D277" s="2834" t="s">
        <v>571</v>
      </c>
      <c r="E277" s="2834" t="s">
        <v>2159</v>
      </c>
    </row>
    <row r="278" spans="2:7">
      <c r="C278" s="2956">
        <f>C277*10</f>
        <v>11.787198116901045</v>
      </c>
      <c r="D278" s="2834" t="s">
        <v>466</v>
      </c>
    </row>
    <row r="281" spans="2:7">
      <c r="B281" s="2834" t="s">
        <v>3092</v>
      </c>
    </row>
    <row r="282" spans="2:7">
      <c r="B282" s="2834" t="s">
        <v>2161</v>
      </c>
    </row>
    <row r="284" spans="2:7">
      <c r="D284" s="2849">
        <f>((E108)*0.01*5*(POWER(D39,4)))/((I12*2100000*384))</f>
        <v>0.17668847967168064</v>
      </c>
      <c r="E284" s="2834" t="s">
        <v>1987</v>
      </c>
    </row>
    <row r="285" spans="2:7">
      <c r="D285" s="2956">
        <f>D284*10</f>
        <v>1.7668847967168064</v>
      </c>
      <c r="E285" s="2834" t="s">
        <v>466</v>
      </c>
    </row>
    <row r="289" spans="1:14">
      <c r="B289" s="2834" t="s">
        <v>3093</v>
      </c>
    </row>
    <row r="290" spans="1:14">
      <c r="E290" s="2957" t="s">
        <v>2162</v>
      </c>
      <c r="L290" s="2862"/>
    </row>
    <row r="291" spans="1:14">
      <c r="L291" s="2862"/>
      <c r="M291" s="2911"/>
      <c r="N291" s="2911"/>
    </row>
    <row r="292" spans="1:14">
      <c r="D292" s="2956">
        <f>D285+(C278/2)</f>
        <v>7.6604838551673291</v>
      </c>
      <c r="E292" s="2834" t="s">
        <v>466</v>
      </c>
      <c r="L292" s="2852"/>
    </row>
    <row r="293" spans="1:14">
      <c r="D293" s="2849"/>
      <c r="L293" s="2852"/>
    </row>
    <row r="294" spans="1:14" ht="13.15">
      <c r="A294" s="2908"/>
      <c r="B294" s="2958" t="s">
        <v>3094</v>
      </c>
      <c r="C294" s="2887"/>
      <c r="D294" s="2959"/>
      <c r="E294" s="2887"/>
      <c r="F294" s="2887"/>
      <c r="G294" s="2887"/>
      <c r="H294" s="2887"/>
      <c r="I294" s="2887"/>
      <c r="J294" s="2887"/>
      <c r="K294" s="2704"/>
      <c r="L294" s="2852"/>
    </row>
    <row r="295" spans="1:14">
      <c r="A295" s="2888"/>
      <c r="B295" s="2862" t="s">
        <v>3095</v>
      </c>
      <c r="D295" s="2849"/>
      <c r="E295" s="2904">
        <f>Girder!H14</f>
        <v>4375</v>
      </c>
      <c r="F295" s="2862" t="s">
        <v>276</v>
      </c>
      <c r="K295" s="2890"/>
      <c r="L295" s="2852"/>
    </row>
    <row r="296" spans="1:14">
      <c r="A296" s="2888"/>
      <c r="B296" s="2862" t="s">
        <v>1810</v>
      </c>
      <c r="D296" s="2849"/>
      <c r="E296" s="2904">
        <f>Girder!H10</f>
        <v>1500</v>
      </c>
      <c r="F296" s="2862" t="s">
        <v>1524</v>
      </c>
      <c r="K296" s="2890"/>
      <c r="L296" s="2852"/>
    </row>
    <row r="297" spans="1:14">
      <c r="A297" s="2888"/>
      <c r="B297" s="2862" t="s">
        <v>3096</v>
      </c>
      <c r="D297" s="2849"/>
      <c r="E297" s="2904">
        <f>Girder!H17</f>
        <v>140</v>
      </c>
      <c r="F297" s="2862" t="s">
        <v>1524</v>
      </c>
      <c r="K297" s="2890"/>
      <c r="L297" s="2852"/>
    </row>
    <row r="298" spans="1:14">
      <c r="A298" s="2888"/>
      <c r="D298" s="2849"/>
      <c r="K298" s="2890"/>
      <c r="L298" s="2852"/>
    </row>
    <row r="299" spans="1:14">
      <c r="A299" s="2888"/>
      <c r="B299" s="2862" t="s">
        <v>3097</v>
      </c>
      <c r="D299" s="2849"/>
      <c r="E299" s="2904">
        <f>(E295*((E296-E297)/E296)*(E296/2))-(E295*(E296/2-E297))</f>
        <v>306250</v>
      </c>
      <c r="F299" s="2862" t="s">
        <v>1861</v>
      </c>
      <c r="K299" s="2890"/>
      <c r="L299" s="2852"/>
    </row>
    <row r="300" spans="1:14">
      <c r="A300" s="2888"/>
      <c r="B300" s="2862" t="s">
        <v>3098</v>
      </c>
      <c r="D300" s="2849"/>
      <c r="E300" s="2960">
        <f>D126</f>
        <v>1071562.5</v>
      </c>
      <c r="F300" s="2862" t="s">
        <v>1861</v>
      </c>
      <c r="K300" s="2890"/>
      <c r="L300" s="2852" t="s">
        <v>3099</v>
      </c>
    </row>
    <row r="301" spans="1:14" ht="13.15">
      <c r="A301" s="2888"/>
      <c r="B301" s="2911" t="s">
        <v>3100</v>
      </c>
      <c r="D301" s="2849"/>
      <c r="E301" s="2961">
        <f>E299+E300</f>
        <v>1377812.5</v>
      </c>
      <c r="F301" s="2862" t="s">
        <v>1861</v>
      </c>
      <c r="K301" s="2890"/>
      <c r="L301" s="2852" t="s">
        <v>3101</v>
      </c>
    </row>
    <row r="302" spans="1:14">
      <c r="A302" s="2888"/>
      <c r="D302" s="2849"/>
      <c r="K302" s="2890"/>
      <c r="L302" s="2852"/>
    </row>
    <row r="303" spans="1:14">
      <c r="A303" s="2888"/>
      <c r="B303" s="2862" t="s">
        <v>3102</v>
      </c>
      <c r="D303" s="2849"/>
      <c r="E303" s="2904">
        <f>ROUND(E301/I15,2)</f>
        <v>194.84</v>
      </c>
      <c r="F303" s="2862" t="s">
        <v>3103</v>
      </c>
      <c r="G303" s="2862" t="s">
        <v>3104</v>
      </c>
      <c r="I303" s="2960">
        <f>G218</f>
        <v>1259.9021883096748</v>
      </c>
      <c r="J303" s="2862" t="s">
        <v>3103</v>
      </c>
      <c r="K303" s="2890"/>
    </row>
    <row r="304" spans="1:14">
      <c r="A304" s="2888"/>
      <c r="B304" s="2862" t="s">
        <v>3105</v>
      </c>
      <c r="D304" s="2849"/>
      <c r="E304" s="2962">
        <f>ROUND(E301/I14,2)</f>
        <v>208.33</v>
      </c>
      <c r="F304" s="2862" t="s">
        <v>3103</v>
      </c>
      <c r="G304" s="2862" t="s">
        <v>3106</v>
      </c>
      <c r="I304" s="2960">
        <f>E218</f>
        <v>1334.8674067932945</v>
      </c>
      <c r="J304" s="2862" t="s">
        <v>3103</v>
      </c>
      <c r="K304" s="2890"/>
    </row>
    <row r="305" spans="1:15" ht="12.75" customHeight="1">
      <c r="A305" s="2888"/>
      <c r="D305" s="2849"/>
      <c r="F305" s="2862" t="s">
        <v>3107</v>
      </c>
      <c r="K305" s="2890"/>
    </row>
    <row r="306" spans="1:15" ht="12.75" customHeight="1">
      <c r="A306" s="2888"/>
      <c r="D306" s="2849"/>
      <c r="F306" s="2862"/>
      <c r="I306" s="2911"/>
      <c r="K306" s="2890"/>
    </row>
    <row r="307" spans="1:15" ht="12.75" customHeight="1">
      <c r="A307" s="2888"/>
      <c r="B307" s="2862" t="s">
        <v>3108</v>
      </c>
      <c r="D307" s="2961">
        <f>I303-E303</f>
        <v>1065.0621883096749</v>
      </c>
      <c r="E307" s="2911" t="s">
        <v>476</v>
      </c>
      <c r="F307" s="2904">
        <f>IF(D308&gt;H399,L399,H399)</f>
        <v>1560</v>
      </c>
      <c r="G307" s="2710" t="str">
        <f>IF(D307&lt;F307,"SAFE","UNSAFE")</f>
        <v>SAFE</v>
      </c>
      <c r="H307" s="2862" t="s">
        <v>3109</v>
      </c>
      <c r="I307" s="2911"/>
      <c r="K307" s="2890"/>
    </row>
    <row r="308" spans="1:15" ht="13.15">
      <c r="A308" s="2888"/>
      <c r="B308" s="2862" t="s">
        <v>3110</v>
      </c>
      <c r="D308" s="2961">
        <f>I304-E304</f>
        <v>1126.5374067932946</v>
      </c>
      <c r="E308" s="2911" t="s">
        <v>476</v>
      </c>
      <c r="F308" s="2904">
        <f>IF(D308&gt;H399,L399,H399)</f>
        <v>1560</v>
      </c>
      <c r="G308" s="2710" t="str">
        <f>IF(D308&lt;=H399,G401,IF(AND((D308&gt;H399),(D308&lt;=L399)),G402,IF(D308&gt;L399,G403,"---")))</f>
        <v>SAFE in Cat."b"</v>
      </c>
      <c r="H308" s="2862" t="s">
        <v>3109</v>
      </c>
      <c r="K308" s="2890"/>
    </row>
    <row r="309" spans="1:15">
      <c r="A309" s="2919"/>
      <c r="B309" s="2906"/>
      <c r="C309" s="2906"/>
      <c r="D309" s="2963"/>
      <c r="E309" s="2906"/>
      <c r="F309" s="2906"/>
      <c r="G309" s="2906"/>
      <c r="H309" s="2906"/>
      <c r="I309" s="2906"/>
      <c r="J309" s="2906"/>
      <c r="K309" s="2907"/>
    </row>
    <row r="310" spans="1:15" ht="15" hidden="1">
      <c r="A310" s="2862" t="s">
        <v>3111</v>
      </c>
      <c r="B310" s="2964" t="s">
        <v>3112</v>
      </c>
    </row>
    <row r="311" spans="1:15" hidden="1"/>
    <row r="312" spans="1:15" ht="13.15" hidden="1">
      <c r="B312" s="2848" t="s">
        <v>3113</v>
      </c>
    </row>
    <row r="313" spans="1:15" hidden="1"/>
    <row r="314" spans="1:15" hidden="1">
      <c r="B314" s="4527" t="s">
        <v>3114</v>
      </c>
      <c r="C314" s="4527"/>
      <c r="D314" s="4527"/>
      <c r="F314" s="2862"/>
    </row>
    <row r="315" spans="1:15" ht="13.15" hidden="1">
      <c r="B315" s="4528" t="s">
        <v>3115</v>
      </c>
      <c r="C315" s="4529"/>
      <c r="E315" s="2926" t="s">
        <v>160</v>
      </c>
      <c r="F315" s="2965">
        <f>(J320*J319^3)/3</f>
        <v>0</v>
      </c>
      <c r="G315" s="2966" t="str">
        <f>IF(AND(F315&gt;=F321,F315&lt;=F323),"SAFE","UNSAFE")</f>
        <v>UNSAFE</v>
      </c>
    </row>
    <row r="316" spans="1:15" hidden="1">
      <c r="B316" s="2862" t="s">
        <v>303</v>
      </c>
    </row>
    <row r="317" spans="1:15" hidden="1">
      <c r="B317" s="2862" t="s">
        <v>3116</v>
      </c>
      <c r="C317" s="2862" t="s">
        <v>3117</v>
      </c>
    </row>
    <row r="318" spans="1:15" hidden="1">
      <c r="B318" s="2862" t="s">
        <v>2901</v>
      </c>
      <c r="C318" s="2928" t="s">
        <v>3118</v>
      </c>
    </row>
    <row r="319" spans="1:15" hidden="1">
      <c r="G319" s="2967" t="s">
        <v>2901</v>
      </c>
      <c r="H319" s="2968">
        <f>Girder!N42</f>
        <v>0</v>
      </c>
      <c r="I319" s="2633" t="s">
        <v>571</v>
      </c>
      <c r="J319" s="2709">
        <f>H319*0.394</f>
        <v>0</v>
      </c>
      <c r="K319" s="2862" t="s">
        <v>3119</v>
      </c>
      <c r="L319" s="4521" t="s">
        <v>3120</v>
      </c>
      <c r="M319" s="4522"/>
      <c r="N319" s="4522"/>
      <c r="O319" s="4523"/>
    </row>
    <row r="320" spans="1:15" hidden="1">
      <c r="B320" s="4531" t="s">
        <v>3121</v>
      </c>
      <c r="C320" s="4531"/>
      <c r="G320" s="2967" t="s">
        <v>3116</v>
      </c>
      <c r="H320" s="2968">
        <f>Girder!N43</f>
        <v>0</v>
      </c>
      <c r="I320" s="2633" t="s">
        <v>571</v>
      </c>
      <c r="J320" s="2970">
        <f>H320*0.394</f>
        <v>0</v>
      </c>
      <c r="K320" s="2862" t="s">
        <v>3119</v>
      </c>
      <c r="L320" s="2970">
        <f>0.6*(E326/E329)</f>
        <v>1.006711409395973</v>
      </c>
      <c r="M320" s="2970">
        <f>0.2*(E326/E329)^2</f>
        <v>0.56303770100445916</v>
      </c>
      <c r="N320" s="2970">
        <f>(3*(E327*E326)/(E329^2*E328))</f>
        <v>0</v>
      </c>
      <c r="O320" s="2970">
        <f>(E329*E328^3)</f>
        <v>0.71812682774080017</v>
      </c>
    </row>
    <row r="321" spans="1:15" hidden="1">
      <c r="B321" s="4532" t="s">
        <v>3122</v>
      </c>
      <c r="C321" s="4533"/>
      <c r="D321" s="4534"/>
      <c r="E321" s="2926" t="s">
        <v>160</v>
      </c>
      <c r="F321" s="2971">
        <f>M322</f>
        <v>1.1272789490008055</v>
      </c>
      <c r="L321" s="2888"/>
      <c r="O321" s="2890"/>
    </row>
    <row r="322" spans="1:15" hidden="1">
      <c r="B322" s="4535" t="s">
        <v>3123</v>
      </c>
      <c r="C322" s="4535"/>
      <c r="L322" s="2888"/>
      <c r="M322" s="2972">
        <f>(L320+M320+N320)*O320</f>
        <v>1.1272789490008055</v>
      </c>
      <c r="O322" s="2890"/>
    </row>
    <row r="323" spans="1:15" hidden="1">
      <c r="B323" s="4532" t="s">
        <v>3124</v>
      </c>
      <c r="C323" s="4533"/>
      <c r="D323" s="4534"/>
      <c r="E323" s="2926" t="s">
        <v>160</v>
      </c>
      <c r="F323" s="2971">
        <f>M326</f>
        <v>1.5798790210297604</v>
      </c>
      <c r="L323" s="2888"/>
      <c r="O323" s="2890"/>
    </row>
    <row r="324" spans="1:15" hidden="1">
      <c r="L324" s="2709">
        <f>2.2</f>
        <v>2.2000000000000002</v>
      </c>
      <c r="M324" s="2840">
        <f>(10.3*(E327/(E329*E328)))</f>
        <v>0</v>
      </c>
      <c r="N324" s="2840">
        <f>(1+(E327/(E329*E328)))</f>
        <v>1</v>
      </c>
      <c r="O324" s="2970">
        <f>(E329*E328^3)</f>
        <v>0.71812682774080017</v>
      </c>
    </row>
    <row r="325" spans="1:15" hidden="1">
      <c r="B325" s="2862" t="s">
        <v>303</v>
      </c>
      <c r="L325" s="2888"/>
      <c r="O325" s="2890"/>
    </row>
    <row r="326" spans="1:15" hidden="1">
      <c r="B326" s="2911" t="s">
        <v>3125</v>
      </c>
      <c r="C326" s="2862" t="s">
        <v>3126</v>
      </c>
      <c r="E326" s="2904">
        <f>50*0.394</f>
        <v>19.7</v>
      </c>
      <c r="F326" s="2862" t="s">
        <v>3127</v>
      </c>
      <c r="L326" s="2919"/>
      <c r="M326" s="2840">
        <f>(L324+M324*N324)*O324</f>
        <v>1.5798790210297604</v>
      </c>
      <c r="N326" s="2906"/>
      <c r="O326" s="2907"/>
    </row>
    <row r="327" spans="1:15" hidden="1">
      <c r="B327" s="2911" t="s">
        <v>3128</v>
      </c>
      <c r="C327" s="2862" t="s">
        <v>3129</v>
      </c>
      <c r="E327" s="2973">
        <f>J319*J320</f>
        <v>0</v>
      </c>
      <c r="F327" s="2862" t="s">
        <v>3130</v>
      </c>
    </row>
    <row r="328" spans="1:15" hidden="1">
      <c r="B328" s="2911" t="s">
        <v>3131</v>
      </c>
      <c r="C328" s="2862" t="s">
        <v>3132</v>
      </c>
      <c r="E328" s="2962">
        <f>Girder!G31*0.394</f>
        <v>0.39400000000000002</v>
      </c>
      <c r="F328" s="2862" t="s">
        <v>3119</v>
      </c>
    </row>
    <row r="329" spans="1:15" hidden="1">
      <c r="B329" s="2911" t="s">
        <v>3133</v>
      </c>
      <c r="C329" s="2862" t="s">
        <v>3134</v>
      </c>
      <c r="E329" s="2973">
        <f>(Girder!C31/10)*0.394</f>
        <v>11.741200000000001</v>
      </c>
      <c r="F329" s="2862" t="s">
        <v>3119</v>
      </c>
    </row>
    <row r="330" spans="1:15" hidden="1"/>
    <row r="331" spans="1:15" hidden="1"/>
    <row r="332" spans="1:15" ht="13.15" hidden="1">
      <c r="A332" s="2834" t="s">
        <v>3135</v>
      </c>
      <c r="B332" s="4536" t="s">
        <v>3136</v>
      </c>
      <c r="C332" s="4536"/>
      <c r="D332" s="4536"/>
      <c r="E332" s="2862"/>
    </row>
    <row r="333" spans="1:15" hidden="1">
      <c r="A333" s="2974" t="s">
        <v>3137</v>
      </c>
      <c r="B333" s="2975" t="s">
        <v>3138</v>
      </c>
      <c r="C333" s="2887"/>
      <c r="D333" s="2704"/>
      <c r="E333" s="2862"/>
      <c r="F333" s="2976"/>
    </row>
    <row r="334" spans="1:15" ht="13.15" hidden="1">
      <c r="A334" s="2977" t="s">
        <v>3139</v>
      </c>
      <c r="B334" s="2862" t="s">
        <v>3140</v>
      </c>
      <c r="D334" s="2890"/>
      <c r="E334" s="2862"/>
    </row>
    <row r="335" spans="1:15" ht="13.15" hidden="1">
      <c r="A335" s="2978" t="s">
        <v>3141</v>
      </c>
      <c r="B335" s="2905" t="s">
        <v>3142</v>
      </c>
      <c r="C335" s="2906"/>
      <c r="D335" s="2907"/>
    </row>
    <row r="336" spans="1:15" hidden="1">
      <c r="B336" s="2862" t="s">
        <v>303</v>
      </c>
    </row>
    <row r="337" spans="1:15" hidden="1">
      <c r="C337" s="2928" t="s">
        <v>3143</v>
      </c>
      <c r="D337" s="2926"/>
      <c r="E337" s="2979">
        <f>Girder!G35</f>
        <v>120.2</v>
      </c>
      <c r="F337" s="2862" t="s">
        <v>571</v>
      </c>
      <c r="L337" s="4521" t="s">
        <v>3120</v>
      </c>
      <c r="M337" s="4522"/>
      <c r="N337" s="4522"/>
      <c r="O337" s="4523"/>
    </row>
    <row r="338" spans="1:15" hidden="1">
      <c r="C338" s="2928" t="s">
        <v>3144</v>
      </c>
      <c r="D338" s="2926"/>
      <c r="E338" s="2979">
        <f>Girder!G33</f>
        <v>0.6</v>
      </c>
      <c r="F338" s="2862" t="s">
        <v>571</v>
      </c>
      <c r="L338" s="2903"/>
      <c r="M338" s="2980">
        <f>E344</f>
        <v>0.41597337770382692</v>
      </c>
      <c r="N338" s="2903" t="str">
        <f>IF(M338&gt;=2^0.5,"Case I","Case ii")</f>
        <v>Case ii</v>
      </c>
      <c r="O338" s="2903"/>
    </row>
    <row r="339" spans="1:15" hidden="1">
      <c r="C339" s="2928" t="s">
        <v>3145</v>
      </c>
      <c r="D339" s="2926"/>
      <c r="E339" s="2981">
        <v>50</v>
      </c>
      <c r="F339" s="2862" t="s">
        <v>571</v>
      </c>
      <c r="L339" s="2903"/>
      <c r="M339" s="2903"/>
      <c r="N339" s="2903"/>
      <c r="O339" s="2903"/>
    </row>
    <row r="340" spans="1:15" ht="13.15" hidden="1">
      <c r="C340" s="2928" t="s">
        <v>3146</v>
      </c>
      <c r="E340" s="2981">
        <v>0.6</v>
      </c>
      <c r="F340" s="2862" t="s">
        <v>571</v>
      </c>
      <c r="L340" s="2896" t="s">
        <v>3147</v>
      </c>
      <c r="M340" s="2896" t="s">
        <v>3148</v>
      </c>
      <c r="N340" s="2903"/>
      <c r="O340" s="2982">
        <f>0.75*E337*E338^3</f>
        <v>19.4724</v>
      </c>
    </row>
    <row r="341" spans="1:15" ht="13.15" hidden="1">
      <c r="C341" s="2928" t="s">
        <v>3149</v>
      </c>
      <c r="E341" s="2981">
        <v>192</v>
      </c>
      <c r="F341" s="2862" t="s">
        <v>571</v>
      </c>
      <c r="L341" s="2896" t="s">
        <v>3150</v>
      </c>
      <c r="M341" s="2896" t="s">
        <v>3151</v>
      </c>
      <c r="N341" s="2903"/>
      <c r="O341" s="2982">
        <f>(1.5*E337^3*E338^3)/E339^2</f>
        <v>225.0704112768</v>
      </c>
    </row>
    <row r="342" spans="1:15" hidden="1">
      <c r="C342" s="2928" t="s">
        <v>3152</v>
      </c>
      <c r="E342" s="2983">
        <f>(E340*E341^3)/12</f>
        <v>353894.39999999997</v>
      </c>
      <c r="F342" s="2862" t="s">
        <v>3153</v>
      </c>
    </row>
    <row r="343" spans="1:15" hidden="1"/>
    <row r="344" spans="1:15" hidden="1">
      <c r="C344" s="2928"/>
      <c r="D344" s="2926" t="s">
        <v>3154</v>
      </c>
      <c r="E344" s="2984">
        <f>E339/E337</f>
        <v>0.41597337770382692</v>
      </c>
      <c r="F344" s="2892" t="str">
        <f>N338</f>
        <v>Case ii</v>
      </c>
    </row>
    <row r="345" spans="1:15" ht="13.9" hidden="1">
      <c r="E345" s="4537" t="str">
        <f>LOOKUP(F344,L340:L341,M340:M341)</f>
        <v>Is≥1.5*d^3*tw^3/c^2</v>
      </c>
      <c r="F345" s="4537"/>
    </row>
    <row r="346" spans="1:15" ht="13.15" hidden="1">
      <c r="E346" s="2965" t="str">
        <f>E342&amp;"  &gt;  "</f>
        <v xml:space="preserve">353894.4  &gt;  </v>
      </c>
      <c r="F346" s="2965">
        <f>LOOKUP(F344,L340:L341,O340:O341)</f>
        <v>225.0704112768</v>
      </c>
      <c r="G346" s="2985" t="str">
        <f>IF(E342&gt;F346,"SAFE","UNSAFE")</f>
        <v>SAFE</v>
      </c>
    </row>
    <row r="347" spans="1:15" hidden="1"/>
    <row r="348" spans="1:15" ht="13.15" hidden="1">
      <c r="A348" s="2834" t="s">
        <v>3155</v>
      </c>
      <c r="B348" s="4536" t="s">
        <v>3156</v>
      </c>
      <c r="C348" s="4536"/>
      <c r="D348" s="4536"/>
    </row>
    <row r="349" spans="1:15" hidden="1">
      <c r="B349" s="2862" t="s">
        <v>3157</v>
      </c>
    </row>
    <row r="350" spans="1:15" hidden="1">
      <c r="B350" s="2834" t="s">
        <v>303</v>
      </c>
    </row>
    <row r="351" spans="1:15" hidden="1">
      <c r="B351" s="2834" t="s">
        <v>3158</v>
      </c>
      <c r="D351" s="2979">
        <f>'G OUTPUT'!J122</f>
        <v>11241.249999999998</v>
      </c>
      <c r="E351" s="2834" t="s">
        <v>276</v>
      </c>
    </row>
    <row r="352" spans="1:15" hidden="1">
      <c r="B352" s="2834" t="s">
        <v>3159</v>
      </c>
    </row>
    <row r="353" spans="1:6" hidden="1">
      <c r="B353" s="4538" t="s">
        <v>3160</v>
      </c>
      <c r="C353" s="4538"/>
      <c r="D353" s="2981">
        <v>15</v>
      </c>
      <c r="E353" s="2834" t="s">
        <v>571</v>
      </c>
    </row>
    <row r="354" spans="1:6" hidden="1">
      <c r="B354" s="4538" t="s">
        <v>3161</v>
      </c>
      <c r="C354" s="4538"/>
      <c r="D354" s="2979">
        <f>Girder!G31</f>
        <v>1</v>
      </c>
      <c r="E354" s="2834" t="s">
        <v>571</v>
      </c>
    </row>
    <row r="355" spans="1:6" hidden="1">
      <c r="B355" s="2834" t="s">
        <v>473</v>
      </c>
    </row>
    <row r="356" spans="1:6" hidden="1">
      <c r="B356" s="4538" t="s">
        <v>3162</v>
      </c>
      <c r="C356" s="4538"/>
      <c r="D356" s="2979">
        <f>D353+2*D354</f>
        <v>17</v>
      </c>
      <c r="E356" s="2834" t="s">
        <v>571</v>
      </c>
    </row>
    <row r="357" spans="1:6" hidden="1"/>
    <row r="358" spans="1:6" ht="13.15" hidden="1">
      <c r="B358" s="2834" t="s">
        <v>3163</v>
      </c>
      <c r="D358" s="2986">
        <f>D351/(D356*E340)</f>
        <v>1102.0833333333333</v>
      </c>
      <c r="E358" s="2834" t="s">
        <v>3103</v>
      </c>
      <c r="F358" s="2966" t="str">
        <f>IF(D358&lt;D359,"SAFE","UNSAFE")</f>
        <v>SAFE</v>
      </c>
    </row>
    <row r="359" spans="1:6" hidden="1">
      <c r="B359" s="2862" t="s">
        <v>3164</v>
      </c>
      <c r="D359" s="2987">
        <v>1850</v>
      </c>
      <c r="E359" s="2834" t="s">
        <v>3103</v>
      </c>
    </row>
    <row r="360" spans="1:6" hidden="1"/>
    <row r="361" spans="1:6" ht="14.25" hidden="1">
      <c r="A361" s="2862" t="s">
        <v>3165</v>
      </c>
      <c r="B361" s="4530" t="s">
        <v>3166</v>
      </c>
      <c r="C361" s="4530"/>
      <c r="D361" s="4530"/>
    </row>
    <row r="362" spans="1:6" hidden="1">
      <c r="A362" s="2834" t="s">
        <v>3167</v>
      </c>
      <c r="B362" s="4540" t="s">
        <v>3168</v>
      </c>
      <c r="C362" s="4540"/>
      <c r="D362" s="4540"/>
    </row>
    <row r="363" spans="1:6" hidden="1">
      <c r="B363" s="2834" t="s">
        <v>3169</v>
      </c>
      <c r="C363" s="4541" t="s">
        <v>3170</v>
      </c>
      <c r="D363" s="4541"/>
      <c r="E363" s="4541"/>
    </row>
    <row r="364" spans="1:6" hidden="1">
      <c r="C364" s="4541"/>
      <c r="D364" s="4541"/>
      <c r="E364" s="4541"/>
    </row>
    <row r="365" spans="1:6" hidden="1">
      <c r="A365" s="2834" t="s">
        <v>3167</v>
      </c>
      <c r="B365" s="4540" t="s">
        <v>3171</v>
      </c>
      <c r="C365" s="4540"/>
      <c r="D365" s="4540"/>
    </row>
    <row r="366" spans="1:6" hidden="1">
      <c r="B366" s="2834" t="s">
        <v>3172</v>
      </c>
      <c r="C366" s="4541" t="s">
        <v>3173</v>
      </c>
      <c r="D366" s="4541"/>
      <c r="E366" s="4541"/>
    </row>
    <row r="367" spans="1:6" hidden="1">
      <c r="C367" s="4541"/>
      <c r="D367" s="4541"/>
      <c r="E367" s="4541"/>
    </row>
    <row r="368" spans="1:6" hidden="1">
      <c r="B368" s="2834" t="s">
        <v>303</v>
      </c>
    </row>
    <row r="369" spans="2:6" hidden="1">
      <c r="B369" s="2834" t="s">
        <v>3174</v>
      </c>
      <c r="E369" s="2988">
        <f>Girder!H11</f>
        <v>25624.999999999996</v>
      </c>
      <c r="F369" s="2834" t="s">
        <v>276</v>
      </c>
    </row>
    <row r="370" spans="2:6" hidden="1">
      <c r="B370" s="2834" t="s">
        <v>3175</v>
      </c>
      <c r="E370" s="2709">
        <f>Girder!H14</f>
        <v>4375</v>
      </c>
      <c r="F370" s="2834" t="s">
        <v>276</v>
      </c>
    </row>
    <row r="371" spans="2:6" hidden="1">
      <c r="B371" s="2834" t="s">
        <v>3176</v>
      </c>
      <c r="E371" s="2989">
        <f>'G OUTPUT'!J98</f>
        <v>3060.433</v>
      </c>
      <c r="F371" s="2834" t="s">
        <v>276</v>
      </c>
    </row>
    <row r="372" spans="2:6" ht="14.25" hidden="1">
      <c r="B372" s="2834" t="s">
        <v>3177</v>
      </c>
      <c r="E372" s="2990" t="s">
        <v>3178</v>
      </c>
      <c r="F372" s="2834" t="s">
        <v>3179</v>
      </c>
    </row>
    <row r="373" spans="2:6" hidden="1">
      <c r="B373" s="2834" t="s">
        <v>3180</v>
      </c>
      <c r="E373" s="2709">
        <f>Girder!H10/100</f>
        <v>15</v>
      </c>
      <c r="F373" s="2834" t="s">
        <v>2998</v>
      </c>
    </row>
    <row r="374" spans="2:6" hidden="1">
      <c r="B374" s="2834" t="s">
        <v>3181</v>
      </c>
      <c r="E374" s="2709">
        <v>0.48570000000000002</v>
      </c>
    </row>
    <row r="375" spans="2:6" hidden="1">
      <c r="B375" s="2834" t="s">
        <v>3182</v>
      </c>
      <c r="E375" s="2709">
        <v>48</v>
      </c>
    </row>
    <row r="376" spans="2:6" hidden="1">
      <c r="B376" s="2834" t="s">
        <v>3183</v>
      </c>
      <c r="E376" s="2991">
        <f>I12/100000000</f>
        <v>4.1692439000000003E-3</v>
      </c>
      <c r="F376" s="2834" t="s">
        <v>3184</v>
      </c>
    </row>
    <row r="377" spans="2:6" hidden="1">
      <c r="B377" s="2834" t="s">
        <v>3185</v>
      </c>
      <c r="E377" s="2991">
        <f>I13/100000000</f>
        <v>4.0927489999999998E-4</v>
      </c>
      <c r="F377" s="2834" t="s">
        <v>3184</v>
      </c>
    </row>
    <row r="378" spans="2:6" hidden="1"/>
    <row r="379" spans="2:6" hidden="1">
      <c r="B379" s="2834" t="s">
        <v>473</v>
      </c>
    </row>
    <row r="380" spans="2:6" ht="14.25" hidden="1">
      <c r="B380" s="4542" t="s">
        <v>3186</v>
      </c>
      <c r="C380" s="4542"/>
      <c r="E380" s="2840">
        <f>(1/(2*3.14))*((E375*2.11*10^11*E376)/(E373^3*(E369+E370+E374*E371)))^0.5</f>
        <v>3.1741840139454114</v>
      </c>
      <c r="F380" s="2834" t="s">
        <v>3187</v>
      </c>
    </row>
    <row r="381" spans="2:6" ht="14.25" hidden="1">
      <c r="B381" s="4542" t="s">
        <v>3188</v>
      </c>
      <c r="C381" s="4542"/>
      <c r="E381" s="2840">
        <f>(1/(2*3.14))*((E375*2.11*10^11*E377)/(E373^3*(E369+E374*E371)))^0.5</f>
        <v>1.0717573691202935</v>
      </c>
      <c r="F381" s="2834" t="s">
        <v>3187</v>
      </c>
    </row>
    <row r="382" spans="2:6" hidden="1"/>
    <row r="383" spans="2:6" hidden="1"/>
    <row r="384" spans="2:6" hidden="1"/>
    <row r="385" spans="7:14" hidden="1"/>
    <row r="386" spans="7:14" hidden="1"/>
    <row r="389" spans="7:14" ht="12.75" customHeight="1">
      <c r="G389" s="3884" t="s">
        <v>1519</v>
      </c>
      <c r="H389" s="3884"/>
      <c r="I389" s="3884"/>
      <c r="K389" s="2992" t="s">
        <v>1519</v>
      </c>
      <c r="L389" s="2993"/>
      <c r="M389" s="2994"/>
    </row>
    <row r="390" spans="7:14" ht="12.75" customHeight="1">
      <c r="G390" s="2995" t="s">
        <v>3189</v>
      </c>
      <c r="H390" s="2995" t="s">
        <v>3190</v>
      </c>
      <c r="I390" s="2996" t="s">
        <v>3191</v>
      </c>
      <c r="J390" s="2709" t="s">
        <v>3192</v>
      </c>
      <c r="K390" s="2995" t="s">
        <v>3193</v>
      </c>
      <c r="L390" s="2995" t="s">
        <v>3190</v>
      </c>
      <c r="M390" s="2996" t="s">
        <v>3191</v>
      </c>
      <c r="N390" s="2709" t="s">
        <v>3192</v>
      </c>
    </row>
    <row r="391" spans="7:14" ht="12.75" customHeight="1">
      <c r="G391" s="2997" t="s">
        <v>79</v>
      </c>
      <c r="H391" s="2998">
        <v>1</v>
      </c>
      <c r="I391" s="2998">
        <v>1.3</v>
      </c>
      <c r="J391" s="2709">
        <f>H391*I391*1000</f>
        <v>1300</v>
      </c>
      <c r="K391" s="2997" t="s">
        <v>79</v>
      </c>
      <c r="L391" s="2998">
        <v>1.3</v>
      </c>
      <c r="M391" s="2998">
        <v>1.7</v>
      </c>
      <c r="N391" s="2709">
        <f>L391*M391*1000</f>
        <v>2210</v>
      </c>
    </row>
    <row r="392" spans="7:14">
      <c r="G392" s="2997" t="s">
        <v>81</v>
      </c>
      <c r="H392" s="2998">
        <v>1</v>
      </c>
      <c r="I392" s="2998">
        <v>1.2</v>
      </c>
      <c r="J392" s="2709">
        <f t="shared" ref="J392:J393" si="2">H392*I392*1000</f>
        <v>1200</v>
      </c>
      <c r="K392" s="2997" t="s">
        <v>81</v>
      </c>
      <c r="L392" s="2998">
        <v>1.3</v>
      </c>
      <c r="M392" s="2998">
        <v>1.4</v>
      </c>
      <c r="N392" s="2709">
        <f t="shared" ref="N392:N393" si="3">L392*M392*1000</f>
        <v>1819.9999999999998</v>
      </c>
    </row>
    <row r="393" spans="7:14">
      <c r="G393" s="2997" t="s">
        <v>36</v>
      </c>
      <c r="H393" s="2998">
        <v>1</v>
      </c>
      <c r="I393" s="2999">
        <v>1.2</v>
      </c>
      <c r="J393" s="2709">
        <f t="shared" si="2"/>
        <v>1200</v>
      </c>
      <c r="K393" s="2997" t="s">
        <v>36</v>
      </c>
      <c r="L393" s="2998">
        <v>1.3</v>
      </c>
      <c r="M393" s="2999">
        <v>1.4</v>
      </c>
      <c r="N393" s="2709">
        <f t="shared" si="3"/>
        <v>1819.9999999999998</v>
      </c>
    </row>
    <row r="394" spans="7:14">
      <c r="G394" s="3000" t="s">
        <v>82</v>
      </c>
      <c r="H394" s="2998">
        <v>1</v>
      </c>
      <c r="I394" s="3001">
        <v>1.1000000000000001</v>
      </c>
      <c r="J394" s="2709">
        <f>H394*I394*1000</f>
        <v>1100</v>
      </c>
      <c r="K394" s="3000" t="s">
        <v>82</v>
      </c>
      <c r="L394" s="2998">
        <v>1.3</v>
      </c>
      <c r="M394" s="3001">
        <v>1.2</v>
      </c>
      <c r="N394" s="2709">
        <f>L394*M394*1000</f>
        <v>1560</v>
      </c>
    </row>
    <row r="395" spans="7:14">
      <c r="G395" s="3000" t="s">
        <v>40</v>
      </c>
      <c r="H395" s="2998">
        <v>1</v>
      </c>
      <c r="I395" s="3001">
        <v>1.1000000000000001</v>
      </c>
      <c r="J395" s="2709">
        <f>H395*I395*1000</f>
        <v>1100</v>
      </c>
      <c r="K395" s="3000" t="s">
        <v>40</v>
      </c>
      <c r="L395" s="2998">
        <v>1.3</v>
      </c>
      <c r="M395" s="3001">
        <v>1.2</v>
      </c>
      <c r="N395" s="2709">
        <f>L395*M395*1000</f>
        <v>1560</v>
      </c>
    </row>
    <row r="396" spans="7:14">
      <c r="G396" s="3002" t="s">
        <v>85</v>
      </c>
      <c r="H396" s="2998">
        <v>1</v>
      </c>
      <c r="I396" s="2999">
        <v>1</v>
      </c>
      <c r="J396" s="2709">
        <f>H396*I396*1000</f>
        <v>1000</v>
      </c>
      <c r="K396" s="3002" t="s">
        <v>85</v>
      </c>
      <c r="L396" s="2998">
        <v>1.3</v>
      </c>
      <c r="M396" s="2999">
        <v>1</v>
      </c>
      <c r="N396" s="2709">
        <f>L396*M396*1000</f>
        <v>1300</v>
      </c>
    </row>
    <row r="397" spans="7:14">
      <c r="G397" s="3002" t="s">
        <v>44</v>
      </c>
      <c r="H397" s="2998">
        <v>1</v>
      </c>
      <c r="I397" s="2999">
        <v>1</v>
      </c>
      <c r="J397" s="2709">
        <f>H397*I397*1000</f>
        <v>1000</v>
      </c>
      <c r="K397" s="3002" t="s">
        <v>44</v>
      </c>
      <c r="L397" s="2998">
        <v>1.3</v>
      </c>
      <c r="M397" s="2999">
        <v>1</v>
      </c>
      <c r="N397" s="2709">
        <f>L397*M397*1000</f>
        <v>1300</v>
      </c>
    </row>
    <row r="398" spans="7:14">
      <c r="G398" s="2698" t="s">
        <v>48</v>
      </c>
      <c r="H398" s="2998">
        <v>1</v>
      </c>
      <c r="I398" s="3003">
        <v>1</v>
      </c>
      <c r="J398" s="2709">
        <f>H398*I398*1000</f>
        <v>1000</v>
      </c>
      <c r="K398" s="2698" t="s">
        <v>48</v>
      </c>
      <c r="L398" s="2998">
        <v>1.3</v>
      </c>
      <c r="M398" s="3003">
        <v>1</v>
      </c>
      <c r="N398" s="2709">
        <f>L398*M398*1000</f>
        <v>1300</v>
      </c>
    </row>
    <row r="399" spans="7:14">
      <c r="G399" s="2709" t="s">
        <v>3192</v>
      </c>
      <c r="H399" s="2709">
        <f>VLOOKUP(J402,G391:J398,4)</f>
        <v>1100</v>
      </c>
      <c r="K399" s="2709" t="s">
        <v>3192</v>
      </c>
      <c r="L399" s="2709">
        <f>VLOOKUP(J402,K391:N398,4)</f>
        <v>1560</v>
      </c>
    </row>
    <row r="401" spans="7:10">
      <c r="G401" s="4539" t="s">
        <v>3194</v>
      </c>
      <c r="H401" s="4539"/>
    </row>
    <row r="402" spans="7:10">
      <c r="G402" s="4539" t="s">
        <v>3195</v>
      </c>
      <c r="H402" s="4539"/>
      <c r="J402" s="2834" t="str">
        <f>Girder!F13</f>
        <v>M5</v>
      </c>
    </row>
    <row r="403" spans="7:10">
      <c r="G403" s="4539" t="s">
        <v>3196</v>
      </c>
      <c r="H403" s="4539"/>
    </row>
  </sheetData>
  <mergeCells count="28">
    <mergeCell ref="G389:I389"/>
    <mergeCell ref="G401:H401"/>
    <mergeCell ref="G402:H402"/>
    <mergeCell ref="G403:H403"/>
    <mergeCell ref="B362:D362"/>
    <mergeCell ref="C363:E364"/>
    <mergeCell ref="B365:D365"/>
    <mergeCell ref="C366:E367"/>
    <mergeCell ref="B380:C380"/>
    <mergeCell ref="B381:C381"/>
    <mergeCell ref="E345:F345"/>
    <mergeCell ref="B348:D348"/>
    <mergeCell ref="B353:C353"/>
    <mergeCell ref="B354:C354"/>
    <mergeCell ref="B356:C356"/>
    <mergeCell ref="B361:D361"/>
    <mergeCell ref="B320:C320"/>
    <mergeCell ref="B321:D321"/>
    <mergeCell ref="B322:C322"/>
    <mergeCell ref="B323:D323"/>
    <mergeCell ref="B332:D332"/>
    <mergeCell ref="L337:O337"/>
    <mergeCell ref="D66:E66"/>
    <mergeCell ref="I175:J175"/>
    <mergeCell ref="S183:T184"/>
    <mergeCell ref="B314:D314"/>
    <mergeCell ref="B315:C315"/>
    <mergeCell ref="L319:O319"/>
  </mergeCells>
  <pageMargins left="0.75" right="0.75" top="1" bottom="1" header="0.5" footer="0.5"/>
  <pageSetup scale="70" orientation="portrait" r:id="rId1"/>
  <headerFooter alignWithMargins="0">
    <oddFooter>&amp;L&amp;P</oddFooter>
  </headerFooter>
  <rowBreaks count="7" manualBreakCount="7">
    <brk id="55" max="16383" man="1"/>
    <brk id="120" max="16383" man="1"/>
    <brk id="181" max="16383" man="1"/>
    <brk id="247" max="16383" man="1"/>
    <brk id="309" max="10" man="1"/>
    <brk id="347" max="10" man="1"/>
    <brk id="398" max="16383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025D9-EF44-41DD-ABE4-C51DC18770A3}">
  <dimension ref="A7:O330"/>
  <sheetViews>
    <sheetView view="pageBreakPreview" topLeftCell="A243" zoomScaleSheetLayoutView="100" workbookViewId="0">
      <selection activeCell="H50" sqref="H50"/>
    </sheetView>
  </sheetViews>
  <sheetFormatPr defaultColWidth="9" defaultRowHeight="12.75"/>
  <cols>
    <col min="1" max="1" width="9" style="2843" customWidth="1"/>
    <col min="2" max="2" width="10.6640625" style="2843" customWidth="1"/>
    <col min="3" max="3" width="13.33203125" style="2834" customWidth="1"/>
    <col min="4" max="4" width="13.6640625" style="2834" customWidth="1"/>
    <col min="5" max="5" width="12.53125" style="2834" customWidth="1"/>
    <col min="6" max="6" width="8.86328125" style="2834" customWidth="1"/>
    <col min="7" max="7" width="15.1328125" style="2850" customWidth="1"/>
    <col min="8" max="8" width="12" style="2834" customWidth="1"/>
    <col min="9" max="9" width="7.53125" style="2852" customWidth="1"/>
    <col min="10" max="10" width="9.33203125" style="2834" customWidth="1"/>
    <col min="11" max="16384" width="9" style="2834"/>
  </cols>
  <sheetData>
    <row r="7" spans="1:10">
      <c r="A7" s="3004"/>
      <c r="B7" s="3005"/>
      <c r="C7" s="2887"/>
      <c r="D7" s="2887"/>
      <c r="E7" s="2887"/>
      <c r="F7" s="2887"/>
      <c r="G7" s="3006"/>
      <c r="H7" s="2887"/>
      <c r="I7" s="3007"/>
      <c r="J7" s="2704"/>
    </row>
    <row r="8" spans="1:10">
      <c r="A8" s="3008"/>
      <c r="J8" s="2890"/>
    </row>
    <row r="9" spans="1:10">
      <c r="A9" s="3008"/>
      <c r="E9" s="2852"/>
      <c r="F9" s="2852"/>
      <c r="G9" s="2852"/>
      <c r="H9" s="2852"/>
      <c r="J9" s="3009"/>
    </row>
    <row r="10" spans="1:10" ht="25.15">
      <c r="A10" s="4544" t="s">
        <v>3197</v>
      </c>
      <c r="B10" s="4545"/>
      <c r="C10" s="4545"/>
      <c r="D10" s="4545"/>
      <c r="E10" s="4545"/>
      <c r="F10" s="4545"/>
      <c r="G10" s="4545"/>
      <c r="H10" s="4545"/>
      <c r="I10" s="4545"/>
      <c r="J10" s="4546"/>
    </row>
    <row r="11" spans="1:10" ht="20.25">
      <c r="A11" s="3008"/>
      <c r="D11" s="3010"/>
      <c r="F11" s="2850"/>
      <c r="G11" s="3010"/>
      <c r="I11" s="3010"/>
      <c r="J11" s="3009"/>
    </row>
    <row r="12" spans="1:10" ht="20.25">
      <c r="A12" s="3008"/>
      <c r="D12" s="3010"/>
      <c r="F12" s="2850"/>
      <c r="G12" s="3010"/>
      <c r="I12" s="3010"/>
      <c r="J12" s="3009"/>
    </row>
    <row r="13" spans="1:10" ht="20.25">
      <c r="A13" s="3008"/>
      <c r="D13" s="3010"/>
      <c r="F13" s="2850"/>
      <c r="G13" s="3010"/>
      <c r="I13" s="3010"/>
      <c r="J13" s="3009"/>
    </row>
    <row r="14" spans="1:10" ht="20.25">
      <c r="A14" s="3008"/>
      <c r="D14" s="3010"/>
      <c r="F14" s="2850"/>
      <c r="G14" s="3010"/>
      <c r="I14" s="3010"/>
      <c r="J14" s="3009"/>
    </row>
    <row r="15" spans="1:10" ht="20.65">
      <c r="A15" s="4547" t="s">
        <v>1878</v>
      </c>
      <c r="B15" s="4548"/>
      <c r="C15" s="4548"/>
      <c r="D15" s="4548"/>
      <c r="E15" s="4548"/>
      <c r="F15" s="4548"/>
      <c r="G15" s="4548"/>
      <c r="H15" s="4548"/>
      <c r="I15" s="4548"/>
      <c r="J15" s="4549"/>
    </row>
    <row r="16" spans="1:10" ht="20.65">
      <c r="A16" s="4547" t="s">
        <v>1879</v>
      </c>
      <c r="B16" s="4548"/>
      <c r="C16" s="4548"/>
      <c r="D16" s="4548"/>
      <c r="E16" s="4548"/>
      <c r="F16" s="4548"/>
      <c r="G16" s="4548"/>
      <c r="H16" s="4548"/>
      <c r="I16" s="4548"/>
      <c r="J16" s="4549"/>
    </row>
    <row r="17" spans="1:10" ht="20.25">
      <c r="A17" s="3008"/>
      <c r="D17" s="3010"/>
      <c r="G17" s="3010"/>
      <c r="J17" s="3009"/>
    </row>
    <row r="18" spans="1:10" ht="20.25">
      <c r="A18" s="4550" t="s">
        <v>0</v>
      </c>
      <c r="B18" s="4551"/>
      <c r="C18" s="4551"/>
      <c r="D18" s="4551"/>
      <c r="E18" s="4551"/>
      <c r="F18" s="4551"/>
      <c r="G18" s="4551"/>
      <c r="H18" s="4551"/>
      <c r="I18" s="4551"/>
      <c r="J18" s="4552"/>
    </row>
    <row r="19" spans="1:10" ht="20.25" customHeight="1">
      <c r="A19" s="4553" t="str">
        <f>Girder!D5</f>
        <v xml:space="preserve">D/G EOT CRANE  </v>
      </c>
      <c r="B19" s="4554"/>
      <c r="C19" s="4554"/>
      <c r="D19" s="4554"/>
      <c r="E19" s="4554"/>
      <c r="F19" s="4554"/>
      <c r="G19" s="4554"/>
      <c r="H19" s="4554"/>
      <c r="I19" s="4554"/>
      <c r="J19" s="4555"/>
    </row>
    <row r="20" spans="1:10" ht="20.65">
      <c r="A20" s="4547">
        <f>Girder!D6</f>
        <v>0</v>
      </c>
      <c r="B20" s="4548"/>
      <c r="C20" s="4548"/>
      <c r="D20" s="4548"/>
      <c r="E20" s="4548"/>
      <c r="F20" s="4548"/>
      <c r="G20" s="4548"/>
      <c r="H20" s="4548"/>
      <c r="I20" s="4548"/>
      <c r="J20" s="4549"/>
    </row>
    <row r="21" spans="1:10" ht="20.25">
      <c r="A21" s="3008"/>
      <c r="G21" s="3010"/>
      <c r="J21" s="3009"/>
    </row>
    <row r="22" spans="1:10" ht="20.25">
      <c r="A22" s="3008"/>
      <c r="B22" s="3010"/>
      <c r="C22" s="3012"/>
      <c r="G22" s="2834"/>
      <c r="J22" s="2890"/>
    </row>
    <row r="23" spans="1:10" ht="20.25">
      <c r="A23" s="3008"/>
      <c r="C23" s="3010"/>
      <c r="D23" s="3010"/>
      <c r="G23" s="2834"/>
      <c r="J23" s="2890"/>
    </row>
    <row r="24" spans="1:10" ht="20.25">
      <c r="A24" s="3008"/>
      <c r="C24" s="3010"/>
      <c r="D24" s="3010"/>
      <c r="E24" s="3010"/>
      <c r="G24" s="2834"/>
      <c r="J24" s="2890"/>
    </row>
    <row r="25" spans="1:10" ht="20.65">
      <c r="A25" s="3008"/>
      <c r="C25" s="3013" t="s">
        <v>1515</v>
      </c>
      <c r="D25" s="3011" t="s">
        <v>1880</v>
      </c>
      <c r="E25" s="3013" t="str">
        <f>Girder!D4</f>
        <v>25/15T X 15M Span</v>
      </c>
      <c r="G25" s="2834"/>
      <c r="J25" s="2890"/>
    </row>
    <row r="26" spans="1:10" ht="20.65">
      <c r="A26" s="3008"/>
      <c r="C26" s="3011"/>
      <c r="D26" s="3011"/>
      <c r="E26" s="3011"/>
      <c r="F26" s="2850"/>
      <c r="G26" s="2834"/>
      <c r="J26" s="2890"/>
    </row>
    <row r="27" spans="1:10" ht="20.65">
      <c r="A27" s="3008"/>
      <c r="C27" s="3014" t="s">
        <v>1881</v>
      </c>
      <c r="D27" s="3011" t="s">
        <v>1880</v>
      </c>
      <c r="E27" s="3013"/>
      <c r="F27" s="2850"/>
      <c r="G27" s="2834"/>
      <c r="J27" s="2890"/>
    </row>
    <row r="28" spans="1:10" ht="20.65">
      <c r="A28" s="3008"/>
      <c r="C28" s="2848"/>
      <c r="D28" s="3011"/>
      <c r="E28" s="3011"/>
      <c r="F28" s="3010"/>
      <c r="J28" s="2890"/>
    </row>
    <row r="29" spans="1:10" ht="20.25">
      <c r="A29" s="3008"/>
      <c r="C29" s="3015" t="s">
        <v>1882</v>
      </c>
      <c r="D29" s="3016" t="s">
        <v>1880</v>
      </c>
      <c r="E29" s="3017"/>
      <c r="F29" s="3010"/>
      <c r="J29" s="2890"/>
    </row>
    <row r="30" spans="1:10" ht="20.65">
      <c r="A30" s="3008"/>
      <c r="C30" s="2848"/>
      <c r="D30" s="3011"/>
      <c r="E30" s="3011"/>
      <c r="J30" s="2890"/>
    </row>
    <row r="31" spans="1:10" ht="17.649999999999999">
      <c r="A31" s="3008"/>
      <c r="C31" s="3015" t="str">
        <f>Girder!B8</f>
        <v>Rev No:-</v>
      </c>
      <c r="D31" s="3016" t="s">
        <v>1880</v>
      </c>
      <c r="E31" s="3018" t="str">
        <f>Girder!D8</f>
        <v>00</v>
      </c>
      <c r="J31" s="2890"/>
    </row>
    <row r="32" spans="1:10" ht="17.649999999999999">
      <c r="A32" s="3008"/>
      <c r="C32" s="3015"/>
      <c r="D32" s="3016"/>
      <c r="E32" s="3017"/>
      <c r="J32" s="2890"/>
    </row>
    <row r="33" spans="1:10" ht="17.649999999999999">
      <c r="A33" s="3008"/>
      <c r="C33" s="3015" t="s">
        <v>1883</v>
      </c>
      <c r="D33" s="3016" t="s">
        <v>1880</v>
      </c>
      <c r="E33" s="3019">
        <f>Girder!D7</f>
        <v>0</v>
      </c>
      <c r="J33" s="2890"/>
    </row>
    <row r="34" spans="1:10" ht="20.25">
      <c r="A34" s="3008"/>
      <c r="D34" s="3010"/>
      <c r="E34" s="3010"/>
      <c r="F34" s="3010"/>
      <c r="J34" s="2890"/>
    </row>
    <row r="35" spans="1:10">
      <c r="A35" s="3008"/>
      <c r="J35" s="2890"/>
    </row>
    <row r="36" spans="1:10">
      <c r="A36" s="3020"/>
      <c r="B36" s="2901"/>
      <c r="C36" s="2906"/>
      <c r="D36" s="2906"/>
      <c r="E36" s="2906"/>
      <c r="F36" s="2906"/>
      <c r="G36" s="3021"/>
      <c r="H36" s="2906"/>
      <c r="I36" s="3022"/>
      <c r="J36" s="2907"/>
    </row>
    <row r="41" spans="1:10" ht="20.65">
      <c r="E41" s="3013" t="s">
        <v>4</v>
      </c>
    </row>
    <row r="44" spans="1:10" ht="17.25">
      <c r="C44" s="3023" t="s">
        <v>1884</v>
      </c>
      <c r="D44" s="3023"/>
      <c r="E44" s="3024"/>
      <c r="F44" s="3024"/>
    </row>
    <row r="45" spans="1:10" ht="17.25">
      <c r="C45" s="3023"/>
      <c r="D45" s="3023"/>
      <c r="E45" s="3024"/>
      <c r="F45" s="3024"/>
    </row>
    <row r="46" spans="1:10" ht="17.25">
      <c r="C46" s="3023" t="s">
        <v>1885</v>
      </c>
      <c r="D46" s="3023"/>
      <c r="E46" s="3024"/>
      <c r="F46" s="3024"/>
    </row>
    <row r="47" spans="1:10" ht="17.25">
      <c r="C47" s="3023"/>
      <c r="D47" s="3023"/>
      <c r="E47" s="3024"/>
      <c r="F47" s="3024"/>
    </row>
    <row r="48" spans="1:10" ht="17.25">
      <c r="C48" s="3023" t="s">
        <v>1886</v>
      </c>
      <c r="D48" s="3023"/>
      <c r="E48" s="3024"/>
      <c r="F48" s="3024"/>
    </row>
    <row r="49" spans="1:6" ht="17.25">
      <c r="C49" s="3023"/>
      <c r="D49" s="3023"/>
      <c r="E49" s="3024"/>
      <c r="F49" s="3024"/>
    </row>
    <row r="50" spans="1:6" ht="17.25">
      <c r="C50" s="3023" t="s">
        <v>1887</v>
      </c>
      <c r="D50" s="3023"/>
      <c r="E50" s="3024"/>
      <c r="F50" s="3024"/>
    </row>
    <row r="51" spans="1:6" ht="17.25">
      <c r="C51" s="3023"/>
      <c r="D51" s="3023"/>
      <c r="E51" s="3024"/>
      <c r="F51" s="3024"/>
    </row>
    <row r="52" spans="1:6" ht="17.25">
      <c r="C52" s="3023" t="s">
        <v>1888</v>
      </c>
      <c r="D52" s="3023"/>
      <c r="E52" s="3024"/>
      <c r="F52" s="3024"/>
    </row>
    <row r="53" spans="1:6" ht="17.25">
      <c r="C53" s="3023"/>
      <c r="D53" s="3023"/>
      <c r="E53" s="3024"/>
      <c r="F53" s="3024"/>
    </row>
    <row r="54" spans="1:6" ht="17.25">
      <c r="C54" s="3023" t="s">
        <v>1889</v>
      </c>
      <c r="D54" s="3023"/>
      <c r="E54" s="3024"/>
      <c r="F54" s="3024"/>
    </row>
    <row r="55" spans="1:6" ht="17.25">
      <c r="C55" s="3023"/>
      <c r="D55" s="3023"/>
      <c r="E55" s="3024"/>
      <c r="F55" s="3024"/>
    </row>
    <row r="56" spans="1:6" ht="17.25">
      <c r="C56" s="3023" t="s">
        <v>1890</v>
      </c>
      <c r="D56" s="3023"/>
      <c r="E56" s="3024"/>
      <c r="F56" s="3024"/>
    </row>
    <row r="57" spans="1:6" ht="17.25">
      <c r="C57" s="3023"/>
      <c r="D57" s="3023"/>
      <c r="E57" s="3024"/>
      <c r="F57" s="3024"/>
    </row>
    <row r="58" spans="1:6" ht="17.25">
      <c r="C58" s="3023" t="s">
        <v>1891</v>
      </c>
      <c r="D58" s="3023"/>
      <c r="E58" s="3024"/>
      <c r="F58" s="3024"/>
    </row>
    <row r="59" spans="1:6" ht="17.25">
      <c r="C59" s="3023"/>
      <c r="D59" s="3023"/>
      <c r="E59" s="3024"/>
      <c r="F59" s="3024"/>
    </row>
    <row r="60" spans="1:6" ht="17.25">
      <c r="C60" s="3023"/>
      <c r="D60" s="3023"/>
    </row>
    <row r="62" spans="1:6" ht="18" customHeight="1">
      <c r="A62" s="3025" t="s">
        <v>1892</v>
      </c>
      <c r="B62" s="3026"/>
    </row>
    <row r="63" spans="1:6" ht="18" customHeight="1"/>
    <row r="64" spans="1:6" ht="18" customHeight="1"/>
    <row r="65" spans="1:11" ht="18" customHeight="1">
      <c r="A65" s="3027" t="s">
        <v>1893</v>
      </c>
      <c r="B65" s="3027"/>
      <c r="C65" s="2870"/>
      <c r="D65" s="2870"/>
      <c r="E65" s="2870"/>
      <c r="F65" s="2870"/>
      <c r="G65" s="3028"/>
      <c r="H65" s="2870"/>
      <c r="I65" s="3029"/>
      <c r="J65" s="2952"/>
    </row>
    <row r="66" spans="1:11" ht="18" customHeight="1">
      <c r="A66" s="3027"/>
      <c r="B66" s="3027"/>
      <c r="C66" s="2870"/>
      <c r="D66" s="2870"/>
      <c r="E66" s="2870"/>
      <c r="F66" s="2870"/>
      <c r="G66" s="3028"/>
      <c r="H66" s="2870"/>
      <c r="I66" s="3029"/>
      <c r="J66" s="2952"/>
    </row>
    <row r="67" spans="1:11" ht="18" customHeight="1">
      <c r="A67" s="3027" t="s">
        <v>1894</v>
      </c>
      <c r="B67" s="3027"/>
      <c r="C67" s="2870"/>
      <c r="D67" s="2870"/>
      <c r="E67" s="2870"/>
      <c r="F67" s="2870"/>
      <c r="G67" s="3028"/>
      <c r="H67" s="2870"/>
      <c r="I67" s="3029"/>
      <c r="J67" s="2952"/>
    </row>
    <row r="68" spans="1:11" ht="18" customHeight="1">
      <c r="A68" s="3027" t="s">
        <v>1895</v>
      </c>
      <c r="B68" s="3027"/>
      <c r="C68" s="2870"/>
      <c r="D68" s="2870"/>
      <c r="E68" s="2870"/>
      <c r="F68" s="2870"/>
      <c r="G68" s="3028"/>
      <c r="H68" s="2870"/>
      <c r="I68" s="3029"/>
      <c r="J68" s="2952"/>
    </row>
    <row r="69" spans="1:11" ht="18" customHeight="1">
      <c r="A69" s="3027"/>
      <c r="B69" s="3027"/>
      <c r="C69" s="2870"/>
      <c r="D69" s="2870"/>
      <c r="E69" s="2870"/>
      <c r="F69" s="2870"/>
      <c r="G69" s="3028"/>
      <c r="H69" s="2870"/>
      <c r="I69" s="3029"/>
      <c r="J69" s="2952"/>
    </row>
    <row r="70" spans="1:11" ht="18" customHeight="1">
      <c r="A70" s="3027" t="s">
        <v>1896</v>
      </c>
      <c r="B70" s="3027"/>
      <c r="C70" s="2870"/>
      <c r="D70" s="2870"/>
      <c r="E70" s="2870"/>
      <c r="F70" s="2870"/>
      <c r="G70" s="3028"/>
      <c r="H70" s="2870"/>
      <c r="I70" s="3029"/>
      <c r="J70" s="2952"/>
    </row>
    <row r="71" spans="1:11" ht="18" customHeight="1">
      <c r="A71" s="3027"/>
      <c r="B71" s="3027"/>
      <c r="C71" s="2870"/>
      <c r="D71" s="2870"/>
      <c r="E71" s="2870"/>
      <c r="F71" s="2870"/>
      <c r="G71" s="3028"/>
      <c r="H71" s="2870"/>
      <c r="I71" s="3029"/>
      <c r="J71" s="2952"/>
    </row>
    <row r="72" spans="1:11" ht="18" customHeight="1">
      <c r="A72" s="3027" t="s">
        <v>1885</v>
      </c>
      <c r="B72" s="3027"/>
      <c r="C72" s="2870"/>
      <c r="D72" s="2870"/>
      <c r="E72" s="2870"/>
      <c r="F72" s="2870"/>
      <c r="G72" s="3028"/>
      <c r="H72" s="2870"/>
      <c r="I72" s="3029"/>
      <c r="J72" s="2952"/>
    </row>
    <row r="73" spans="1:11" ht="18" customHeight="1">
      <c r="A73" s="3027"/>
      <c r="B73" s="3027"/>
      <c r="C73" s="2870"/>
      <c r="D73" s="2870"/>
      <c r="E73" s="2870"/>
      <c r="F73" s="2870"/>
      <c r="G73" s="3028"/>
      <c r="H73" s="2870"/>
      <c r="I73" s="3029"/>
      <c r="J73" s="2952"/>
    </row>
    <row r="74" spans="1:11" ht="24.95" customHeight="1">
      <c r="A74" s="3027">
        <v>2</v>
      </c>
      <c r="B74" s="3027" t="s">
        <v>1897</v>
      </c>
      <c r="C74" s="2870"/>
      <c r="D74" s="2870"/>
      <c r="E74" s="2870"/>
      <c r="F74" s="2870"/>
      <c r="G74" s="3028"/>
      <c r="H74" s="3027">
        <f>Girder!H9</f>
        <v>0</v>
      </c>
      <c r="I74" s="3029"/>
      <c r="J74" s="2952"/>
    </row>
    <row r="75" spans="1:11" ht="24.95" customHeight="1">
      <c r="A75" s="3027">
        <v>2.1</v>
      </c>
      <c r="B75" s="3027" t="s">
        <v>1898</v>
      </c>
      <c r="C75" s="2870"/>
      <c r="D75" s="2870"/>
      <c r="E75" s="2870"/>
      <c r="F75" s="2870"/>
      <c r="G75" s="3028"/>
      <c r="H75" s="3028">
        <f>Girder!H10</f>
        <v>1500</v>
      </c>
      <c r="I75" s="3029" t="s">
        <v>1524</v>
      </c>
      <c r="J75" s="2952">
        <f>H75/100</f>
        <v>15</v>
      </c>
      <c r="K75" s="2834" t="s">
        <v>2109</v>
      </c>
    </row>
    <row r="76" spans="1:11" ht="24.95" customHeight="1">
      <c r="A76" s="3027">
        <v>2.2000000000000002</v>
      </c>
      <c r="B76" s="3027" t="s">
        <v>1899</v>
      </c>
      <c r="C76" s="2870"/>
      <c r="D76" s="2870"/>
      <c r="E76" s="2870"/>
      <c r="F76" s="2870"/>
      <c r="G76" s="3028"/>
      <c r="H76" s="3030">
        <f>Girder!H11</f>
        <v>25624.999999999996</v>
      </c>
      <c r="I76" s="3029" t="s">
        <v>276</v>
      </c>
      <c r="J76" s="2952"/>
    </row>
    <row r="77" spans="1:11" ht="24.95" customHeight="1">
      <c r="A77" s="3027">
        <v>2.2999999999999998</v>
      </c>
      <c r="B77" s="3027" t="s">
        <v>1900</v>
      </c>
      <c r="C77" s="2870"/>
      <c r="D77" s="3027" t="str">
        <f>Girder!F13</f>
        <v>M5</v>
      </c>
      <c r="E77" s="2870"/>
      <c r="F77" s="2870"/>
      <c r="G77" s="3028"/>
      <c r="H77" s="3028">
        <f>Girder!H13</f>
        <v>1.32</v>
      </c>
      <c r="I77" s="3029"/>
      <c r="J77" s="2952"/>
    </row>
    <row r="78" spans="1:11" ht="24.95" customHeight="1">
      <c r="A78" s="3027">
        <v>2.4</v>
      </c>
      <c r="B78" s="3027" t="s">
        <v>1901</v>
      </c>
      <c r="C78" s="2870"/>
      <c r="D78" s="2870"/>
      <c r="E78" s="2870"/>
      <c r="F78" s="2870"/>
      <c r="G78" s="3028"/>
      <c r="H78" s="3028">
        <f>Girder!H14</f>
        <v>4375</v>
      </c>
      <c r="I78" s="3029" t="s">
        <v>276</v>
      </c>
      <c r="J78" s="2952"/>
    </row>
    <row r="79" spans="1:11" ht="24.95" customHeight="1">
      <c r="A79" s="3027" t="s">
        <v>1902</v>
      </c>
      <c r="B79" s="3027" t="s">
        <v>1536</v>
      </c>
      <c r="C79" s="2870"/>
      <c r="D79" s="2870"/>
      <c r="E79" s="2870"/>
      <c r="F79" s="2870"/>
      <c r="G79" s="3028"/>
      <c r="H79" s="3028">
        <f>Girder!H15</f>
        <v>150</v>
      </c>
      <c r="I79" s="3029" t="s">
        <v>1524</v>
      </c>
      <c r="J79" s="2952"/>
    </row>
    <row r="80" spans="1:11" ht="24.95" customHeight="1">
      <c r="A80" s="3027">
        <v>2.5</v>
      </c>
      <c r="B80" s="3027" t="s">
        <v>1903</v>
      </c>
      <c r="C80" s="2870"/>
      <c r="D80" s="2870"/>
      <c r="E80" s="2870"/>
      <c r="F80" s="2870"/>
      <c r="G80" s="3028"/>
      <c r="H80" s="3028">
        <f>Girder!H16</f>
        <v>4</v>
      </c>
      <c r="I80" s="3029" t="s">
        <v>1539</v>
      </c>
      <c r="J80" s="2952"/>
    </row>
    <row r="81" spans="1:10" ht="24.95" customHeight="1">
      <c r="A81" s="3027">
        <v>2.6</v>
      </c>
      <c r="B81" s="3027" t="s">
        <v>1904</v>
      </c>
      <c r="C81" s="2870"/>
      <c r="D81" s="2870"/>
      <c r="E81" s="2870"/>
      <c r="F81" s="2870"/>
      <c r="G81" s="3028"/>
      <c r="H81" s="3028">
        <f>Girder!H17</f>
        <v>140</v>
      </c>
      <c r="I81" s="3029" t="s">
        <v>1524</v>
      </c>
      <c r="J81" s="2952"/>
    </row>
    <row r="82" spans="1:10" ht="24.95" customHeight="1">
      <c r="A82" s="3027">
        <v>2.8</v>
      </c>
      <c r="B82" s="3027" t="s">
        <v>1542</v>
      </c>
      <c r="C82" s="2870"/>
      <c r="D82" s="2870"/>
      <c r="E82" s="2870"/>
      <c r="F82" s="2870"/>
      <c r="G82" s="3028"/>
      <c r="H82" s="3028">
        <f>Girder!H18</f>
        <v>5</v>
      </c>
      <c r="I82" s="3029" t="s">
        <v>571</v>
      </c>
      <c r="J82" s="2952"/>
    </row>
    <row r="83" spans="1:10" ht="24.95" customHeight="1">
      <c r="A83" s="3027">
        <v>2.9</v>
      </c>
      <c r="B83" s="3027" t="s">
        <v>1905</v>
      </c>
      <c r="C83" s="2870"/>
      <c r="D83" s="2870"/>
      <c r="E83" s="2870"/>
      <c r="F83" s="2870"/>
      <c r="G83" s="3028"/>
      <c r="H83" s="3028">
        <f>Girder!H19</f>
        <v>4</v>
      </c>
      <c r="I83" s="3029" t="s">
        <v>1539</v>
      </c>
      <c r="J83" s="2952"/>
    </row>
    <row r="84" spans="1:10" ht="24.95" customHeight="1">
      <c r="A84" s="3027" t="s">
        <v>1906</v>
      </c>
      <c r="B84" s="3027" t="s">
        <v>1907</v>
      </c>
      <c r="C84" s="2870"/>
      <c r="D84" s="2870"/>
      <c r="E84" s="2870"/>
      <c r="F84" s="2870"/>
      <c r="G84" s="3028"/>
      <c r="H84" s="3028">
        <v>2500</v>
      </c>
      <c r="I84" s="3029" t="s">
        <v>3198</v>
      </c>
      <c r="J84" s="2952"/>
    </row>
    <row r="85" spans="1:10" ht="24.95" customHeight="1">
      <c r="A85" s="3027">
        <v>2.11</v>
      </c>
      <c r="B85" s="3027" t="s">
        <v>1908</v>
      </c>
      <c r="C85" s="2870"/>
      <c r="D85" s="2870"/>
      <c r="E85" s="2870"/>
      <c r="F85" s="2870"/>
      <c r="G85" s="3028"/>
      <c r="H85" s="3028"/>
      <c r="I85" s="3029"/>
      <c r="J85" s="2952"/>
    </row>
    <row r="86" spans="1:10" ht="24.95" customHeight="1">
      <c r="A86" s="3027"/>
      <c r="B86" s="3027"/>
      <c r="C86" s="2870"/>
      <c r="D86" s="2870"/>
      <c r="E86" s="2870"/>
      <c r="F86" s="2870"/>
      <c r="G86" s="3028"/>
      <c r="H86" s="3028"/>
      <c r="I86" s="3029"/>
      <c r="J86" s="2952"/>
    </row>
    <row r="87" spans="1:10" ht="24.95" customHeight="1">
      <c r="A87" s="3027"/>
      <c r="B87" s="3027" t="s">
        <v>1909</v>
      </c>
      <c r="C87" s="2870"/>
      <c r="D87" s="2870"/>
      <c r="E87" s="2870"/>
      <c r="F87" s="2870"/>
      <c r="G87" s="3028"/>
      <c r="H87" s="3029">
        <v>1650</v>
      </c>
      <c r="I87" s="3029" t="s">
        <v>3198</v>
      </c>
      <c r="J87" s="2952"/>
    </row>
    <row r="88" spans="1:10" ht="24.95" customHeight="1">
      <c r="A88" s="3027"/>
      <c r="B88" s="2870" t="s">
        <v>1910</v>
      </c>
      <c r="C88" s="2870"/>
      <c r="D88" s="2870"/>
      <c r="E88" s="2870"/>
      <c r="F88" s="2870"/>
      <c r="G88" s="3028"/>
      <c r="H88" s="3029">
        <v>1000</v>
      </c>
      <c r="I88" s="3029" t="s">
        <v>3198</v>
      </c>
      <c r="J88" s="2952"/>
    </row>
    <row r="89" spans="1:10" ht="24.95" customHeight="1">
      <c r="A89" s="3027"/>
      <c r="B89" s="2870" t="s">
        <v>1911</v>
      </c>
      <c r="C89" s="2870"/>
      <c r="D89" s="2870"/>
      <c r="E89" s="2870"/>
      <c r="F89" s="2870"/>
      <c r="G89" s="3028"/>
      <c r="H89" s="3029">
        <v>2250</v>
      </c>
      <c r="I89" s="3029" t="s">
        <v>3198</v>
      </c>
      <c r="J89" s="2952"/>
    </row>
    <row r="90" spans="1:10" ht="18" customHeight="1">
      <c r="A90" s="3027"/>
      <c r="B90" s="3027"/>
      <c r="C90" s="2870"/>
      <c r="D90" s="2870"/>
      <c r="E90" s="2870"/>
      <c r="F90" s="2870"/>
      <c r="G90" s="3028"/>
      <c r="H90" s="3028"/>
      <c r="I90" s="3029"/>
      <c r="J90" s="2952"/>
    </row>
    <row r="91" spans="1:10" ht="18" customHeight="1">
      <c r="A91" s="3027"/>
      <c r="B91" s="3027"/>
      <c r="C91" s="2870"/>
      <c r="D91" s="2870"/>
      <c r="E91" s="2870"/>
      <c r="F91" s="2870"/>
      <c r="G91" s="3028"/>
      <c r="H91" s="3028"/>
      <c r="I91" s="3029"/>
      <c r="J91" s="2952"/>
    </row>
    <row r="92" spans="1:10">
      <c r="H92" s="2926"/>
    </row>
    <row r="93" spans="1:10" ht="19.899999999999999">
      <c r="A93" s="3031">
        <v>3</v>
      </c>
      <c r="B93" s="3032" t="s">
        <v>1912</v>
      </c>
      <c r="H93" s="2926"/>
    </row>
    <row r="94" spans="1:10">
      <c r="H94" s="2926"/>
    </row>
    <row r="95" spans="1:10">
      <c r="H95" s="2926"/>
    </row>
    <row r="96" spans="1:10" ht="15">
      <c r="A96" s="3027">
        <v>3.1</v>
      </c>
      <c r="B96" s="3027" t="s">
        <v>1913</v>
      </c>
      <c r="C96" s="2870"/>
      <c r="D96" s="2870"/>
      <c r="E96" s="2870"/>
      <c r="F96" s="2870"/>
      <c r="G96" s="3028"/>
      <c r="H96" s="3028"/>
      <c r="I96" s="3029"/>
      <c r="J96" s="2952"/>
    </row>
    <row r="97" spans="1:11" ht="15">
      <c r="A97" s="3027"/>
      <c r="B97" s="3027"/>
      <c r="C97" s="2870"/>
      <c r="D97" s="2870"/>
      <c r="E97" s="2870"/>
      <c r="F97" s="2870"/>
      <c r="G97" s="3028"/>
      <c r="H97" s="3028"/>
      <c r="I97" s="3029"/>
      <c r="J97" s="2952"/>
    </row>
    <row r="98" spans="1:11" ht="15">
      <c r="A98" s="3027" t="s">
        <v>1914</v>
      </c>
      <c r="B98" s="3027" t="s">
        <v>1915</v>
      </c>
      <c r="C98" s="2870"/>
      <c r="D98" s="2870"/>
      <c r="E98" s="2870"/>
      <c r="F98" s="2870"/>
      <c r="G98" s="3028"/>
      <c r="H98" s="3033">
        <f>Girder!G37</f>
        <v>204.02886666666666</v>
      </c>
      <c r="I98" s="3029" t="s">
        <v>1558</v>
      </c>
      <c r="J98" s="3034">
        <f>H98*J75</f>
        <v>3060.433</v>
      </c>
      <c r="K98" s="2834" t="s">
        <v>276</v>
      </c>
    </row>
    <row r="99" spans="1:11" ht="15">
      <c r="A99" s="3027"/>
      <c r="B99" s="3027"/>
      <c r="C99" s="3027"/>
      <c r="D99" s="2870"/>
      <c r="E99" s="2870"/>
      <c r="F99" s="2870"/>
      <c r="G99" s="3028"/>
      <c r="H99" s="3028"/>
      <c r="I99" s="3029"/>
      <c r="J99" s="2952"/>
    </row>
    <row r="100" spans="1:11" ht="15">
      <c r="A100" s="3027" t="s">
        <v>1916</v>
      </c>
      <c r="B100" s="3027" t="s">
        <v>1557</v>
      </c>
      <c r="C100" s="3027"/>
      <c r="D100" s="2870"/>
      <c r="E100" s="2870"/>
      <c r="F100" s="2870"/>
      <c r="G100" s="3028"/>
      <c r="H100" s="3028">
        <f>Girder!H21</f>
        <v>100</v>
      </c>
      <c r="I100" s="3029" t="s">
        <v>1558</v>
      </c>
      <c r="J100" s="2952">
        <f>H100*J75</f>
        <v>1500</v>
      </c>
    </row>
    <row r="101" spans="1:11" ht="15">
      <c r="A101" s="3027"/>
      <c r="B101" s="3027"/>
      <c r="C101" s="3027"/>
      <c r="D101" s="2870"/>
      <c r="E101" s="2870"/>
      <c r="F101" s="2870"/>
      <c r="G101" s="3028"/>
      <c r="H101" s="3028"/>
      <c r="I101" s="3029"/>
      <c r="J101" s="2952"/>
    </row>
    <row r="102" spans="1:11" ht="15">
      <c r="A102" s="3027" t="s">
        <v>1917</v>
      </c>
      <c r="B102" s="3027" t="s">
        <v>1559</v>
      </c>
      <c r="C102" s="3027"/>
      <c r="D102" s="2870"/>
      <c r="E102" s="2870"/>
      <c r="F102" s="2870"/>
      <c r="G102" s="3028"/>
      <c r="H102" s="3028"/>
      <c r="I102" s="3029"/>
      <c r="J102" s="2952"/>
    </row>
    <row r="103" spans="1:11" ht="15">
      <c r="A103" s="3027"/>
      <c r="B103" s="3027"/>
      <c r="C103" s="3027"/>
      <c r="D103" s="2870"/>
      <c r="E103" s="2870"/>
      <c r="F103" s="2870"/>
      <c r="G103" s="3028"/>
      <c r="H103" s="3028"/>
      <c r="I103" s="3029"/>
      <c r="J103" s="2952"/>
    </row>
    <row r="104" spans="1:11" ht="15">
      <c r="A104" s="3027" t="s">
        <v>1918</v>
      </c>
      <c r="B104" s="3027" t="s">
        <v>1561</v>
      </c>
      <c r="C104" s="3027"/>
      <c r="D104" s="2870"/>
      <c r="E104" s="2870"/>
      <c r="F104" s="2870"/>
      <c r="G104" s="3028"/>
      <c r="H104" s="3028">
        <f>Girder!H23</f>
        <v>700</v>
      </c>
      <c r="I104" s="3029" t="s">
        <v>380</v>
      </c>
      <c r="J104" s="2952"/>
    </row>
    <row r="105" spans="1:11" ht="15">
      <c r="A105" s="3027"/>
      <c r="B105" s="3027"/>
      <c r="C105" s="3027"/>
      <c r="D105" s="2870"/>
      <c r="E105" s="2870"/>
      <c r="F105" s="2870"/>
      <c r="G105" s="3028"/>
      <c r="H105" s="3028"/>
      <c r="I105" s="3029"/>
      <c r="J105" s="2952"/>
    </row>
    <row r="106" spans="1:11" ht="15">
      <c r="A106" s="3027">
        <v>3.2</v>
      </c>
      <c r="B106" s="3027" t="s">
        <v>1562</v>
      </c>
      <c r="C106" s="3027"/>
      <c r="D106" s="2870"/>
      <c r="E106" s="2870"/>
      <c r="F106" s="2870"/>
      <c r="G106" s="3028"/>
      <c r="H106" s="3028"/>
      <c r="I106" s="3029"/>
      <c r="J106" s="2952"/>
    </row>
    <row r="107" spans="1:11" ht="15">
      <c r="A107" s="3027"/>
      <c r="B107" s="3027"/>
      <c r="C107" s="3027"/>
      <c r="D107" s="2870"/>
      <c r="E107" s="2870"/>
      <c r="F107" s="2870"/>
      <c r="G107" s="3028"/>
      <c r="H107" s="3028"/>
      <c r="I107" s="3029"/>
      <c r="J107" s="2952"/>
    </row>
    <row r="108" spans="1:11" ht="15">
      <c r="A108" s="3027" t="s">
        <v>1919</v>
      </c>
      <c r="B108" s="3027" t="s">
        <v>1563</v>
      </c>
      <c r="C108" s="3027"/>
      <c r="D108" s="2870"/>
      <c r="E108" s="2870"/>
      <c r="F108" s="2870"/>
      <c r="G108" s="3028"/>
      <c r="H108" s="3028">
        <f>Girder!H25</f>
        <v>4375</v>
      </c>
      <c r="I108" s="3029" t="s">
        <v>380</v>
      </c>
      <c r="J108" s="2952"/>
    </row>
    <row r="109" spans="1:11" ht="15">
      <c r="A109" s="3027"/>
      <c r="B109" s="3027" t="s">
        <v>1920</v>
      </c>
      <c r="C109" s="3027"/>
      <c r="D109" s="2870"/>
      <c r="E109" s="2870"/>
      <c r="F109" s="2870"/>
      <c r="G109" s="3028"/>
      <c r="H109" s="3028">
        <f>H108*0.25</f>
        <v>1093.75</v>
      </c>
      <c r="I109" s="3029" t="s">
        <v>380</v>
      </c>
      <c r="J109" s="2952"/>
    </row>
    <row r="110" spans="1:11" ht="15">
      <c r="A110" s="3027"/>
      <c r="B110" s="3027"/>
      <c r="C110" s="3027"/>
      <c r="D110" s="2870"/>
      <c r="E110" s="2870"/>
      <c r="F110" s="2870"/>
      <c r="G110" s="3028"/>
      <c r="H110" s="3028"/>
      <c r="I110" s="3029"/>
      <c r="J110" s="2952"/>
    </row>
    <row r="111" spans="1:11" ht="15">
      <c r="A111" s="3027" t="s">
        <v>1921</v>
      </c>
      <c r="B111" s="3027" t="s">
        <v>1564</v>
      </c>
      <c r="C111" s="3027"/>
      <c r="D111" s="2870"/>
      <c r="E111" s="2870"/>
      <c r="F111" s="2870"/>
      <c r="G111" s="3028"/>
      <c r="H111" s="3030">
        <f>Girder!H26</f>
        <v>25624.999999999996</v>
      </c>
      <c r="I111" s="3029" t="s">
        <v>380</v>
      </c>
      <c r="J111" s="2952"/>
    </row>
    <row r="112" spans="1:11" ht="15">
      <c r="A112" s="3027"/>
      <c r="B112" s="3027"/>
      <c r="C112" s="3027"/>
      <c r="D112" s="2870"/>
      <c r="E112" s="2870"/>
      <c r="F112" s="2870"/>
      <c r="G112" s="3028"/>
      <c r="H112" s="3028"/>
      <c r="I112" s="3029"/>
      <c r="J112" s="2952"/>
    </row>
    <row r="113" spans="1:10" ht="15">
      <c r="A113" s="3027" t="s">
        <v>1922</v>
      </c>
      <c r="B113" s="3027" t="s">
        <v>1923</v>
      </c>
      <c r="C113" s="3027"/>
      <c r="D113" s="2870"/>
      <c r="E113" s="2870"/>
      <c r="F113" s="2870"/>
      <c r="G113" s="3028"/>
      <c r="H113" s="3028"/>
      <c r="I113" s="3029"/>
      <c r="J113" s="2952"/>
    </row>
    <row r="114" spans="1:10" ht="15" customHeight="1">
      <c r="A114" s="3027"/>
      <c r="B114" s="3027" t="s">
        <v>3199</v>
      </c>
      <c r="C114" s="3027"/>
      <c r="D114" s="2870"/>
      <c r="E114" s="2870"/>
      <c r="F114" s="2870"/>
      <c r="G114" s="3028"/>
      <c r="H114" s="3028">
        <f>((Girder!P30*H111/2)+(H108/4))</f>
        <v>8781.2499999999982</v>
      </c>
      <c r="I114" s="3029" t="s">
        <v>380</v>
      </c>
      <c r="J114" s="2952"/>
    </row>
    <row r="115" spans="1:10" ht="15" customHeight="1">
      <c r="A115" s="3027"/>
      <c r="B115" s="3027"/>
      <c r="C115" s="3027"/>
      <c r="D115" s="2870"/>
      <c r="E115" s="2870"/>
      <c r="F115" s="2870"/>
      <c r="G115" s="3028"/>
      <c r="H115" s="3028"/>
      <c r="I115" s="3029"/>
      <c r="J115" s="2952"/>
    </row>
    <row r="116" spans="1:10" ht="15" customHeight="1">
      <c r="A116" s="3027"/>
      <c r="B116" s="3027" t="s">
        <v>3200</v>
      </c>
      <c r="C116" s="3027"/>
      <c r="D116" s="2870"/>
      <c r="E116" s="2870"/>
      <c r="F116" s="2870"/>
      <c r="G116" s="3028"/>
      <c r="H116" s="3028">
        <f>(((1-Girder!P30)*H111/2)+(H108/4))</f>
        <v>6218.75</v>
      </c>
      <c r="I116" s="3029" t="s">
        <v>380</v>
      </c>
      <c r="J116" s="2952"/>
    </row>
    <row r="117" spans="1:10" ht="15" customHeight="1">
      <c r="A117" s="3027"/>
      <c r="B117" s="3027"/>
      <c r="C117" s="3027"/>
      <c r="D117" s="2870"/>
      <c r="E117" s="2870"/>
      <c r="F117" s="2870"/>
      <c r="G117" s="3028"/>
      <c r="H117" s="2870"/>
      <c r="I117" s="3029"/>
      <c r="J117" s="2952"/>
    </row>
    <row r="118" spans="1:10" ht="15" customHeight="1">
      <c r="A118" s="3027" t="s">
        <v>1926</v>
      </c>
      <c r="B118" s="3027" t="s">
        <v>1927</v>
      </c>
      <c r="C118" s="3027"/>
      <c r="D118" s="2870"/>
      <c r="E118" s="2870"/>
      <c r="F118" s="2870"/>
      <c r="G118" s="3028"/>
      <c r="H118" s="2870"/>
      <c r="I118" s="3029"/>
      <c r="J118" s="2952"/>
    </row>
    <row r="119" spans="1:10" ht="15" customHeight="1">
      <c r="A119" s="3027"/>
      <c r="B119" s="3027"/>
      <c r="C119" s="3027"/>
      <c r="D119" s="2870"/>
      <c r="E119" s="2870"/>
      <c r="F119" s="2870"/>
      <c r="G119" s="3028"/>
      <c r="H119" s="2870"/>
      <c r="I119" s="3029"/>
      <c r="J119" s="2952"/>
    </row>
    <row r="120" spans="1:10" ht="15" customHeight="1">
      <c r="A120" s="3027"/>
      <c r="B120" s="3027" t="s">
        <v>1928</v>
      </c>
      <c r="C120" s="3027"/>
      <c r="D120" s="2870"/>
      <c r="E120" s="2870"/>
      <c r="F120" s="2870"/>
      <c r="G120" s="3028"/>
      <c r="H120" s="3035">
        <f>Girder!H13</f>
        <v>1.32</v>
      </c>
      <c r="I120" s="3029"/>
      <c r="J120" s="2952"/>
    </row>
    <row r="121" spans="1:10" ht="15" customHeight="1">
      <c r="A121" s="3027"/>
      <c r="B121" s="3027"/>
      <c r="C121" s="3027"/>
      <c r="D121" s="2870"/>
      <c r="E121" s="2870"/>
      <c r="F121" s="2870"/>
      <c r="G121" s="3028"/>
      <c r="H121" s="2870"/>
      <c r="I121" s="3029"/>
      <c r="J121" s="2952"/>
    </row>
    <row r="122" spans="1:10" ht="15" customHeight="1">
      <c r="A122" s="3027"/>
      <c r="B122" s="3036" t="s">
        <v>1929</v>
      </c>
      <c r="C122" s="3027"/>
      <c r="D122" s="2870"/>
      <c r="E122" s="2870"/>
      <c r="F122" s="2870"/>
      <c r="G122" s="3028"/>
      <c r="H122" s="3028">
        <f>((Girder!H13*Girder!P30*H111/2)+(H108/4))</f>
        <v>11241.249999999998</v>
      </c>
      <c r="I122" s="3029" t="s">
        <v>380</v>
      </c>
      <c r="J122" s="3028">
        <f>((Girder!H13*0.6*H111/(Girder!H16/2)+(H108/Girder!H16)))</f>
        <v>11241.249999999998</v>
      </c>
    </row>
    <row r="123" spans="1:10" ht="15" customHeight="1">
      <c r="A123" s="3027"/>
      <c r="B123" s="3036"/>
      <c r="C123" s="3027"/>
      <c r="D123" s="2870"/>
      <c r="E123" s="2870"/>
      <c r="F123" s="2870"/>
      <c r="G123" s="3028"/>
      <c r="H123" s="3028"/>
      <c r="I123" s="3029"/>
      <c r="J123" s="2952"/>
    </row>
    <row r="124" spans="1:10" ht="15" customHeight="1">
      <c r="A124" s="3027"/>
      <c r="B124" s="3036" t="s">
        <v>1930</v>
      </c>
      <c r="C124" s="3027"/>
      <c r="D124" s="2870"/>
      <c r="E124" s="2870"/>
      <c r="F124" s="2870"/>
      <c r="G124" s="3028"/>
      <c r="H124" s="3028">
        <f>((Girder!H13*(1-Girder!P30)*H111/2)+(H108/4))</f>
        <v>7858.7499999999991</v>
      </c>
      <c r="I124" s="3029" t="s">
        <v>380</v>
      </c>
      <c r="J124" s="2952"/>
    </row>
    <row r="125" spans="1:10" ht="15" customHeight="1">
      <c r="A125" s="3027"/>
      <c r="B125" s="3027"/>
      <c r="C125" s="3027"/>
      <c r="D125" s="2870"/>
      <c r="E125" s="2870"/>
      <c r="F125" s="2870"/>
      <c r="G125" s="3028"/>
      <c r="H125" s="2870"/>
      <c r="I125" s="3029"/>
      <c r="J125" s="2952"/>
    </row>
    <row r="126" spans="1:10" ht="15" customHeight="1">
      <c r="A126" s="3027" t="s">
        <v>1931</v>
      </c>
      <c r="B126" s="3027" t="s">
        <v>1932</v>
      </c>
      <c r="C126" s="3027"/>
      <c r="D126" s="2870"/>
      <c r="E126" s="2870"/>
      <c r="F126" s="2870"/>
      <c r="G126" s="3028"/>
      <c r="H126" s="2870"/>
      <c r="I126" s="3029"/>
      <c r="J126" s="2952"/>
    </row>
    <row r="127" spans="1:10" ht="15" customHeight="1">
      <c r="A127" s="3027"/>
      <c r="B127" s="3027"/>
      <c r="C127" s="3027"/>
      <c r="D127" s="2870"/>
      <c r="E127" s="2870"/>
      <c r="F127" s="2870"/>
      <c r="G127" s="3028"/>
      <c r="H127" s="2870"/>
      <c r="I127" s="3029"/>
      <c r="J127" s="2952"/>
    </row>
    <row r="128" spans="1:10" ht="15" customHeight="1">
      <c r="A128" s="3027"/>
      <c r="B128" s="3027" t="s">
        <v>1933</v>
      </c>
      <c r="C128" s="3027"/>
      <c r="D128" s="2870"/>
      <c r="E128" s="2870"/>
      <c r="F128" s="2870"/>
      <c r="G128" s="3028"/>
      <c r="H128" s="2870">
        <f>(0.05*(H111+H108))</f>
        <v>1500</v>
      </c>
      <c r="I128" s="3029" t="s">
        <v>380</v>
      </c>
      <c r="J128" s="2952"/>
    </row>
    <row r="129" spans="1:10" ht="15" customHeight="1">
      <c r="A129" s="3027"/>
      <c r="B129" s="3027"/>
      <c r="C129" s="3027"/>
      <c r="D129" s="2870"/>
      <c r="E129" s="2870"/>
      <c r="F129" s="2870"/>
      <c r="G129" s="3028"/>
      <c r="H129" s="2870"/>
      <c r="I129" s="3029"/>
      <c r="J129" s="2952"/>
    </row>
    <row r="130" spans="1:10" ht="15" customHeight="1">
      <c r="A130" s="3027"/>
      <c r="B130" s="3027" t="s">
        <v>3201</v>
      </c>
      <c r="C130" s="3027"/>
      <c r="D130" s="2870"/>
      <c r="E130" s="2870"/>
      <c r="F130" s="2870"/>
      <c r="G130" s="3028"/>
      <c r="H130" s="2870">
        <f>H128*Girder!P30/2</f>
        <v>450</v>
      </c>
      <c r="I130" s="3029" t="s">
        <v>380</v>
      </c>
      <c r="J130" s="2952"/>
    </row>
    <row r="131" spans="1:10" ht="15" customHeight="1">
      <c r="A131" s="3027"/>
      <c r="B131" s="3027"/>
      <c r="C131" s="3027"/>
      <c r="D131" s="2870"/>
      <c r="E131" s="2870"/>
      <c r="F131" s="2870"/>
      <c r="G131" s="3028"/>
      <c r="H131" s="2870"/>
      <c r="I131" s="3029"/>
      <c r="J131" s="2952"/>
    </row>
    <row r="132" spans="1:10" ht="15" customHeight="1">
      <c r="A132" s="3027"/>
      <c r="B132" s="3027" t="s">
        <v>3202</v>
      </c>
      <c r="C132" s="3027"/>
      <c r="D132" s="2870"/>
      <c r="E132" s="2870"/>
      <c r="F132" s="2870"/>
      <c r="G132" s="3028"/>
      <c r="H132" s="2870">
        <f>H128*(1-Girder!P30)/2</f>
        <v>300</v>
      </c>
      <c r="I132" s="3029" t="s">
        <v>380</v>
      </c>
      <c r="J132" s="2952"/>
    </row>
    <row r="133" spans="1:10" ht="15" customHeight="1">
      <c r="A133" s="3027"/>
      <c r="B133" s="3027"/>
      <c r="C133" s="3027"/>
      <c r="D133" s="2870"/>
      <c r="E133" s="2870"/>
      <c r="F133" s="2870"/>
      <c r="G133" s="3028"/>
      <c r="H133" s="2870"/>
      <c r="I133" s="3029"/>
      <c r="J133" s="2952"/>
    </row>
    <row r="134" spans="1:10" ht="15" customHeight="1">
      <c r="A134" s="3027"/>
      <c r="B134" s="3027" t="s">
        <v>1936</v>
      </c>
      <c r="C134" s="3027"/>
      <c r="D134" s="2870"/>
      <c r="E134" s="2870"/>
      <c r="F134" s="2870"/>
      <c r="G134" s="3028"/>
      <c r="H134" s="2870"/>
      <c r="I134" s="3029"/>
      <c r="J134" s="2952"/>
    </row>
    <row r="135" spans="1:10" ht="15" customHeight="1">
      <c r="A135" s="3027"/>
      <c r="B135" s="3027" t="s">
        <v>1937</v>
      </c>
      <c r="C135" s="3027"/>
      <c r="D135" s="2870"/>
      <c r="E135" s="2870"/>
      <c r="F135" s="2870"/>
      <c r="G135" s="3028"/>
      <c r="H135" s="2870">
        <f>(H130+H132)*(H82+'G CALCU'!I20)</f>
        <v>47969.25</v>
      </c>
      <c r="I135" s="3029" t="s">
        <v>1938</v>
      </c>
      <c r="J135" s="2952"/>
    </row>
    <row r="136" spans="1:10" ht="15">
      <c r="A136" s="3027"/>
      <c r="B136" s="3027"/>
      <c r="C136" s="2870"/>
      <c r="D136" s="2870"/>
      <c r="E136" s="2870"/>
      <c r="F136" s="2870"/>
      <c r="G136" s="3028"/>
      <c r="H136" s="2870"/>
      <c r="I136" s="3029"/>
      <c r="J136" s="2952"/>
    </row>
    <row r="137" spans="1:10">
      <c r="A137" s="3037"/>
      <c r="B137" s="3037"/>
      <c r="C137" s="3038"/>
      <c r="D137" s="3038"/>
      <c r="E137" s="3038"/>
      <c r="F137" s="3038"/>
      <c r="G137" s="3039"/>
      <c r="H137" s="3038"/>
      <c r="I137" s="3040"/>
    </row>
    <row r="138" spans="1:10" ht="19.899999999999999">
      <c r="A138" s="3032">
        <v>4</v>
      </c>
      <c r="B138" s="3041" t="s">
        <v>1939</v>
      </c>
      <c r="C138" s="3038"/>
      <c r="D138" s="3038"/>
      <c r="E138" s="3038"/>
      <c r="F138" s="3038"/>
      <c r="G138" s="3039"/>
      <c r="H138" s="3038"/>
      <c r="I138" s="3040"/>
    </row>
    <row r="139" spans="1:10">
      <c r="A139" s="3037"/>
      <c r="B139" s="3037"/>
      <c r="C139" s="3038"/>
      <c r="D139" s="3038"/>
      <c r="E139" s="3038"/>
      <c r="F139" s="3038"/>
      <c r="G139" s="3039"/>
      <c r="H139" s="3038"/>
      <c r="I139" s="3040"/>
    </row>
    <row r="140" spans="1:10" ht="15">
      <c r="A140" s="3027">
        <v>4.0999999999999996</v>
      </c>
      <c r="B140" s="3027" t="s">
        <v>1940</v>
      </c>
      <c r="C140" s="2870"/>
      <c r="D140" s="2870"/>
      <c r="E140" s="2870"/>
      <c r="F140" s="2870"/>
      <c r="G140" s="3028"/>
      <c r="H140" s="2870"/>
      <c r="I140" s="3040"/>
    </row>
    <row r="141" spans="1:10" ht="15">
      <c r="A141" s="3027"/>
      <c r="B141" s="3027" t="s">
        <v>1941</v>
      </c>
      <c r="C141" s="2870"/>
      <c r="D141" s="2870"/>
      <c r="E141" s="2870"/>
      <c r="F141" s="2870"/>
      <c r="G141" s="3028"/>
      <c r="H141" s="2870"/>
      <c r="I141" s="3040"/>
    </row>
    <row r="142" spans="1:10" ht="15">
      <c r="A142" s="3027"/>
      <c r="B142" s="3027"/>
      <c r="C142" s="2870"/>
      <c r="D142" s="2870"/>
      <c r="E142" s="2870"/>
      <c r="F142" s="2870"/>
      <c r="G142" s="3028"/>
      <c r="H142" s="2870"/>
      <c r="I142" s="3040"/>
    </row>
    <row r="143" spans="1:10" ht="15">
      <c r="A143" s="3027">
        <v>4.2</v>
      </c>
      <c r="B143" s="3027" t="s">
        <v>1942</v>
      </c>
      <c r="C143" s="2870"/>
      <c r="D143" s="2870"/>
      <c r="E143" s="2870"/>
      <c r="F143" s="2870"/>
      <c r="G143" s="3028"/>
      <c r="H143" s="2870"/>
      <c r="I143" s="3040"/>
    </row>
    <row r="144" spans="1:10" ht="15">
      <c r="A144" s="3027"/>
      <c r="B144" s="3027" t="s">
        <v>1943</v>
      </c>
      <c r="C144" s="2870"/>
      <c r="D144" s="2870"/>
      <c r="E144" s="2870"/>
      <c r="F144" s="2870"/>
      <c r="G144" s="3028"/>
      <c r="H144" s="2870"/>
      <c r="I144" s="3040"/>
    </row>
    <row r="145" spans="1:9" ht="15">
      <c r="A145" s="3027"/>
      <c r="B145" s="3027"/>
      <c r="C145" s="2870"/>
      <c r="D145" s="2870"/>
      <c r="E145" s="2870"/>
      <c r="F145" s="2870"/>
      <c r="G145" s="3028"/>
      <c r="H145" s="2870"/>
      <c r="I145" s="3040"/>
    </row>
    <row r="146" spans="1:9" ht="15">
      <c r="A146" s="3027">
        <v>4.3</v>
      </c>
      <c r="B146" s="3027" t="s">
        <v>1944</v>
      </c>
      <c r="C146" s="2870"/>
      <c r="D146" s="2870"/>
      <c r="E146" s="2870"/>
      <c r="F146" s="2870"/>
      <c r="G146" s="3028"/>
      <c r="H146" s="2870"/>
      <c r="I146" s="3040"/>
    </row>
    <row r="147" spans="1:9" ht="15">
      <c r="A147" s="3027"/>
      <c r="B147" s="3027" t="s">
        <v>1945</v>
      </c>
      <c r="C147" s="2870"/>
      <c r="D147" s="2870"/>
      <c r="E147" s="2870"/>
      <c r="F147" s="2870"/>
      <c r="G147" s="3028"/>
      <c r="H147" s="2870"/>
      <c r="I147" s="3040"/>
    </row>
    <row r="148" spans="1:9" ht="15">
      <c r="A148" s="3027"/>
      <c r="B148" s="3027"/>
      <c r="C148" s="2870"/>
      <c r="D148" s="2870"/>
      <c r="E148" s="2870"/>
      <c r="F148" s="2870"/>
      <c r="G148" s="3028"/>
      <c r="H148" s="2870"/>
      <c r="I148" s="3040"/>
    </row>
    <row r="149" spans="1:9" ht="15">
      <c r="A149" s="3027">
        <v>4.4000000000000004</v>
      </c>
      <c r="B149" s="3027" t="s">
        <v>1946</v>
      </c>
      <c r="C149" s="2870"/>
      <c r="D149" s="2870"/>
      <c r="E149" s="2870"/>
      <c r="F149" s="2870"/>
      <c r="G149" s="3028"/>
      <c r="H149" s="2870"/>
      <c r="I149" s="3040"/>
    </row>
    <row r="150" spans="1:9" ht="15">
      <c r="A150" s="3027"/>
      <c r="B150" s="3027" t="s">
        <v>1947</v>
      </c>
      <c r="C150" s="2870"/>
      <c r="D150" s="2870"/>
      <c r="E150" s="2870"/>
      <c r="F150" s="2870"/>
      <c r="G150" s="3028"/>
      <c r="H150" s="2870"/>
      <c r="I150" s="3040"/>
    </row>
    <row r="151" spans="1:9" ht="15">
      <c r="A151" s="3027"/>
      <c r="B151" s="3027"/>
      <c r="C151" s="2870"/>
      <c r="D151" s="2870"/>
      <c r="E151" s="2870"/>
      <c r="F151" s="2870"/>
      <c r="G151" s="3028"/>
      <c r="H151" s="2870"/>
      <c r="I151" s="3040"/>
    </row>
    <row r="152" spans="1:9" ht="15">
      <c r="A152" s="3027">
        <v>4.5</v>
      </c>
      <c r="B152" s="3027" t="s">
        <v>1948</v>
      </c>
      <c r="C152" s="2870"/>
      <c r="D152" s="2870"/>
      <c r="E152" s="2870"/>
      <c r="F152" s="2870"/>
      <c r="G152" s="3028"/>
      <c r="H152" s="2870"/>
      <c r="I152" s="3040"/>
    </row>
    <row r="153" spans="1:9" ht="15">
      <c r="A153" s="3027"/>
      <c r="B153" s="3027"/>
      <c r="C153" s="2870"/>
      <c r="D153" s="2870"/>
      <c r="E153" s="2870"/>
      <c r="F153" s="2870"/>
      <c r="G153" s="3028"/>
      <c r="H153" s="2870"/>
      <c r="I153" s="3040"/>
    </row>
    <row r="154" spans="1:9" ht="15">
      <c r="A154" s="3027"/>
      <c r="B154" s="3027" t="s">
        <v>1949</v>
      </c>
      <c r="C154" s="2870"/>
      <c r="D154" s="2870"/>
      <c r="E154" s="2870"/>
      <c r="F154" s="2870"/>
      <c r="G154" s="3028"/>
      <c r="H154" s="2870"/>
      <c r="I154" s="3040"/>
    </row>
    <row r="155" spans="1:9" ht="15">
      <c r="A155" s="3027"/>
      <c r="B155" s="3027"/>
      <c r="C155" s="2870"/>
      <c r="D155" s="2870"/>
      <c r="E155" s="2870"/>
      <c r="F155" s="2870"/>
      <c r="G155" s="3028"/>
      <c r="H155" s="2870"/>
      <c r="I155" s="3040"/>
    </row>
    <row r="156" spans="1:9" ht="15">
      <c r="A156" s="3027">
        <v>4.5999999999999996</v>
      </c>
      <c r="B156" s="3027" t="s">
        <v>1950</v>
      </c>
      <c r="C156" s="2870"/>
      <c r="D156" s="2870"/>
      <c r="E156" s="2870"/>
      <c r="F156" s="2870"/>
      <c r="G156" s="3028"/>
      <c r="H156" s="2870"/>
      <c r="I156" s="3040"/>
    </row>
    <row r="157" spans="1:9" ht="15">
      <c r="A157" s="3027"/>
      <c r="B157" s="3027" t="s">
        <v>1951</v>
      </c>
      <c r="C157" s="2870"/>
      <c r="D157" s="2870"/>
      <c r="E157" s="2870"/>
      <c r="F157" s="2870"/>
      <c r="G157" s="3028"/>
      <c r="H157" s="2870"/>
      <c r="I157" s="3040"/>
    </row>
    <row r="158" spans="1:9" ht="15">
      <c r="A158" s="3027"/>
      <c r="B158" s="3027"/>
      <c r="C158" s="2870"/>
      <c r="D158" s="2870"/>
      <c r="E158" s="2870"/>
      <c r="F158" s="2870"/>
      <c r="G158" s="3028"/>
      <c r="H158" s="2870"/>
      <c r="I158" s="3040"/>
    </row>
    <row r="159" spans="1:9" ht="15">
      <c r="A159" s="3027"/>
      <c r="B159" s="3027" t="s">
        <v>1952</v>
      </c>
      <c r="C159" s="2870"/>
      <c r="D159" s="2870"/>
      <c r="E159" s="2870"/>
      <c r="F159" s="2870"/>
      <c r="G159" s="3028"/>
      <c r="H159" s="2870"/>
      <c r="I159" s="3040"/>
    </row>
    <row r="160" spans="1:9" ht="15">
      <c r="A160" s="3027"/>
      <c r="B160" s="3027" t="s">
        <v>1953</v>
      </c>
      <c r="C160" s="2870"/>
      <c r="D160" s="2870"/>
      <c r="E160" s="2870"/>
      <c r="F160" s="2870"/>
      <c r="G160" s="3028"/>
      <c r="H160" s="2870"/>
      <c r="I160" s="3040"/>
    </row>
    <row r="161" spans="1:9" ht="15">
      <c r="A161" s="3027"/>
      <c r="B161" s="3027"/>
      <c r="C161" s="2870"/>
      <c r="D161" s="2870"/>
      <c r="E161" s="2870"/>
      <c r="F161" s="2870"/>
      <c r="G161" s="3028"/>
      <c r="H161" s="2870"/>
      <c r="I161" s="3040"/>
    </row>
    <row r="162" spans="1:9" ht="15">
      <c r="A162" s="3027"/>
      <c r="B162" s="3027" t="s">
        <v>1949</v>
      </c>
      <c r="C162" s="2870"/>
      <c r="D162" s="2870"/>
      <c r="E162" s="2870"/>
      <c r="F162" s="2870"/>
      <c r="G162" s="3028"/>
      <c r="H162" s="2870"/>
      <c r="I162" s="3040"/>
    </row>
    <row r="163" spans="1:9" ht="15">
      <c r="A163" s="3027"/>
      <c r="B163" s="3027"/>
      <c r="C163" s="2870"/>
      <c r="D163" s="2870"/>
      <c r="E163" s="2870"/>
      <c r="F163" s="2870"/>
      <c r="G163" s="3028"/>
      <c r="H163" s="2870"/>
      <c r="I163" s="3040"/>
    </row>
    <row r="164" spans="1:9" ht="15">
      <c r="A164" s="3027">
        <v>4.7</v>
      </c>
      <c r="B164" s="3027" t="s">
        <v>1954</v>
      </c>
      <c r="C164" s="2870"/>
      <c r="D164" s="2870"/>
      <c r="E164" s="2870"/>
      <c r="F164" s="2870"/>
      <c r="G164" s="3028"/>
      <c r="H164" s="2870"/>
      <c r="I164" s="3040"/>
    </row>
    <row r="165" spans="1:9" ht="15">
      <c r="A165" s="3027"/>
      <c r="B165" s="3027" t="s">
        <v>1955</v>
      </c>
      <c r="C165" s="2870"/>
      <c r="D165" s="2870"/>
      <c r="E165" s="2870"/>
      <c r="F165" s="2870"/>
      <c r="G165" s="3028"/>
      <c r="H165" s="2870"/>
      <c r="I165" s="3040"/>
    </row>
    <row r="166" spans="1:9" ht="15">
      <c r="A166" s="3027"/>
      <c r="B166" s="3027" t="s">
        <v>1956</v>
      </c>
      <c r="C166" s="2870"/>
      <c r="D166" s="2870"/>
      <c r="E166" s="2870"/>
      <c r="F166" s="2870"/>
      <c r="G166" s="3028"/>
      <c r="H166" s="2870"/>
      <c r="I166" s="3040"/>
    </row>
    <row r="167" spans="1:9" ht="15">
      <c r="A167" s="3027"/>
      <c r="B167" s="3027"/>
      <c r="C167" s="2870"/>
      <c r="D167" s="2870"/>
      <c r="E167" s="2870"/>
      <c r="F167" s="2870"/>
      <c r="G167" s="3028"/>
      <c r="H167" s="2870"/>
      <c r="I167" s="3040"/>
    </row>
    <row r="168" spans="1:9">
      <c r="A168" s="3037"/>
      <c r="B168" s="3037"/>
      <c r="C168" s="3038"/>
      <c r="D168" s="3038"/>
      <c r="E168" s="3038"/>
      <c r="F168" s="3038"/>
      <c r="G168" s="3039"/>
      <c r="H168" s="3038"/>
      <c r="I168" s="3040"/>
    </row>
    <row r="169" spans="1:9">
      <c r="A169" s="3037"/>
      <c r="B169" s="3037"/>
      <c r="C169" s="3038"/>
      <c r="D169" s="3038"/>
      <c r="E169" s="3038"/>
      <c r="F169" s="3038"/>
      <c r="G169" s="3039"/>
      <c r="H169" s="3038"/>
      <c r="I169" s="3040"/>
    </row>
    <row r="170" spans="1:9">
      <c r="A170" s="3037"/>
      <c r="B170" s="3038"/>
      <c r="C170" s="3038" t="s">
        <v>1957</v>
      </c>
      <c r="D170" s="3040">
        <f>'G CALCU'!D59</f>
        <v>11241.249999999998</v>
      </c>
      <c r="E170" s="3040">
        <f>'G CALCU'!E59</f>
        <v>19099.999999999996</v>
      </c>
      <c r="F170" s="3040">
        <f>'G CALCU'!F59</f>
        <v>7858.7499999999991</v>
      </c>
      <c r="G170" s="3038"/>
      <c r="H170" s="3038"/>
      <c r="I170" s="3040"/>
    </row>
    <row r="171" spans="1:9">
      <c r="A171" s="3037" t="s">
        <v>1958</v>
      </c>
      <c r="B171" s="3038"/>
      <c r="C171" s="3038" t="s">
        <v>1959</v>
      </c>
      <c r="D171" s="3040">
        <f>'G CALCU'!D60</f>
        <v>8781.2499999999982</v>
      </c>
      <c r="E171" s="3040">
        <f>'G CALCU'!E60</f>
        <v>14999.999999999998</v>
      </c>
      <c r="F171" s="3040">
        <f>'G CALCU'!F60</f>
        <v>6218.75</v>
      </c>
      <c r="G171" s="3038"/>
      <c r="H171" s="3038"/>
      <c r="I171" s="3040"/>
    </row>
    <row r="172" spans="1:9">
      <c r="A172" s="3037"/>
      <c r="B172" s="3038"/>
      <c r="C172" s="3038"/>
      <c r="D172" s="3038"/>
      <c r="E172" s="3038"/>
      <c r="F172" s="3038"/>
      <c r="G172" s="3038"/>
      <c r="H172" s="3038"/>
      <c r="I172" s="3040"/>
    </row>
    <row r="173" spans="1:9">
      <c r="A173" s="3037"/>
      <c r="B173" s="3038"/>
      <c r="C173" s="3038"/>
      <c r="D173" s="3038"/>
      <c r="E173" s="3038"/>
      <c r="F173" s="3038"/>
      <c r="G173" s="3038"/>
      <c r="H173" s="3038"/>
      <c r="I173" s="3040"/>
    </row>
    <row r="174" spans="1:9">
      <c r="A174" s="3037"/>
      <c r="B174" s="3040" t="s">
        <v>1960</v>
      </c>
      <c r="C174" s="3038"/>
      <c r="D174" s="3039" t="s">
        <v>1961</v>
      </c>
      <c r="E174" s="3038"/>
      <c r="F174" s="3038"/>
      <c r="G174" s="3038"/>
      <c r="H174" s="3040" t="s">
        <v>1962</v>
      </c>
      <c r="I174" s="3040"/>
    </row>
    <row r="175" spans="1:9">
      <c r="A175" s="3037"/>
      <c r="B175" s="3038"/>
      <c r="C175" s="3039" t="s">
        <v>1963</v>
      </c>
      <c r="D175" s="3038">
        <f>ROUNDDOWN('G CALCU'!D67,0)</f>
        <v>62</v>
      </c>
      <c r="E175" s="3038">
        <f>ROUNDUP('G CALCU'!E64,0)</f>
        <v>150</v>
      </c>
      <c r="F175" s="3038"/>
      <c r="G175" s="3038"/>
      <c r="H175" s="3038"/>
      <c r="I175" s="3040"/>
    </row>
    <row r="176" spans="1:9">
      <c r="A176" s="3037"/>
      <c r="B176" s="3038"/>
      <c r="C176" s="3038"/>
      <c r="D176" s="3042" t="s">
        <v>1964</v>
      </c>
      <c r="E176" s="3038"/>
      <c r="F176" s="3038"/>
      <c r="G176" s="3038"/>
      <c r="H176" s="3038"/>
      <c r="I176" s="3040"/>
    </row>
    <row r="177" spans="1:9">
      <c r="A177" s="3037"/>
      <c r="B177" s="3038"/>
      <c r="C177" s="3038"/>
      <c r="D177" s="3038"/>
      <c r="E177" s="3040" t="str">
        <f>"(C1)"&amp;D175+E175</f>
        <v>(C1)212</v>
      </c>
      <c r="F177" s="3038"/>
      <c r="G177" s="3038"/>
      <c r="H177" s="3038"/>
      <c r="I177" s="3040"/>
    </row>
    <row r="178" spans="1:9">
      <c r="A178" s="3037"/>
      <c r="B178" s="3038"/>
      <c r="C178" s="3038"/>
      <c r="D178" s="3038"/>
      <c r="E178" s="3038"/>
      <c r="F178" s="3038"/>
      <c r="G178" s="3038"/>
      <c r="H178" s="3038"/>
      <c r="I178" s="3040"/>
    </row>
    <row r="179" spans="1:9">
      <c r="A179" s="3037"/>
      <c r="B179" s="3037"/>
      <c r="C179" s="3038"/>
      <c r="D179" s="3038"/>
      <c r="E179" s="3040">
        <f>'G CALCU'!E68</f>
        <v>1500</v>
      </c>
      <c r="F179" s="3038"/>
      <c r="G179" s="3039"/>
      <c r="H179" s="3038"/>
      <c r="I179" s="3040"/>
    </row>
    <row r="180" spans="1:9">
      <c r="A180" s="3037"/>
      <c r="B180" s="3037"/>
      <c r="C180" s="3038"/>
      <c r="D180" s="3038"/>
      <c r="E180" s="3040"/>
      <c r="F180" s="3038"/>
      <c r="G180" s="3039"/>
      <c r="H180" s="3038"/>
      <c r="I180" s="3040"/>
    </row>
    <row r="181" spans="1:9">
      <c r="A181" s="3037"/>
      <c r="B181" s="3037"/>
      <c r="C181" s="3039" t="s">
        <v>1965</v>
      </c>
      <c r="D181" s="3043" t="s">
        <v>1966</v>
      </c>
      <c r="E181" s="3038"/>
      <c r="F181" s="3038"/>
      <c r="G181" s="3039"/>
      <c r="H181" s="3038"/>
      <c r="I181" s="3040"/>
    </row>
    <row r="182" spans="1:9">
      <c r="A182" s="3037"/>
      <c r="B182" s="3037"/>
      <c r="C182" s="3038"/>
      <c r="D182" s="3044">
        <v>2</v>
      </c>
      <c r="E182" s="3038"/>
      <c r="F182" s="3038"/>
      <c r="G182" s="3039"/>
      <c r="H182" s="3038"/>
      <c r="I182" s="3040"/>
    </row>
    <row r="183" spans="1:9">
      <c r="A183" s="3037"/>
      <c r="B183" s="3037"/>
      <c r="C183" s="3038"/>
      <c r="D183" s="3045"/>
      <c r="E183" s="3038"/>
      <c r="F183" s="3038"/>
      <c r="G183" s="3039"/>
      <c r="H183" s="3038"/>
      <c r="I183" s="3040"/>
    </row>
    <row r="184" spans="1:9">
      <c r="A184" s="3037"/>
      <c r="B184" s="3037"/>
      <c r="C184" s="3039" t="s">
        <v>160</v>
      </c>
      <c r="D184" s="3044">
        <f>'G CALCU'!E73</f>
        <v>718.90625</v>
      </c>
      <c r="E184" s="3038" t="s">
        <v>571</v>
      </c>
      <c r="F184" s="3038"/>
      <c r="G184" s="3039"/>
      <c r="H184" s="3038"/>
      <c r="I184" s="3040"/>
    </row>
    <row r="185" spans="1:9">
      <c r="A185" s="3037"/>
      <c r="B185" s="3037"/>
      <c r="C185" s="3039"/>
      <c r="D185" s="3044"/>
      <c r="E185" s="3038"/>
      <c r="F185" s="3038"/>
      <c r="G185" s="3039"/>
      <c r="H185" s="3038"/>
      <c r="I185" s="3040"/>
    </row>
    <row r="186" spans="1:9">
      <c r="A186" s="3037"/>
      <c r="B186" s="3037"/>
      <c r="C186" s="3038"/>
      <c r="D186" s="3038"/>
      <c r="E186" s="3038"/>
      <c r="F186" s="3038"/>
      <c r="G186" s="3039"/>
      <c r="H186" s="3038"/>
      <c r="I186" s="3040"/>
    </row>
    <row r="187" spans="1:9">
      <c r="A187" s="3037"/>
      <c r="B187" s="3037"/>
      <c r="C187" s="3038"/>
      <c r="D187" s="3038"/>
      <c r="E187" s="3038"/>
      <c r="F187" s="3038"/>
      <c r="G187" s="3039"/>
      <c r="H187" s="3038"/>
      <c r="I187" s="3040"/>
    </row>
    <row r="188" spans="1:9">
      <c r="A188" s="3037"/>
      <c r="B188" s="3037"/>
      <c r="C188" s="3038"/>
      <c r="D188" s="3038"/>
      <c r="E188" s="3038"/>
      <c r="F188" s="3038"/>
      <c r="G188" s="3039"/>
      <c r="H188" s="3038"/>
      <c r="I188" s="3040"/>
    </row>
    <row r="189" spans="1:9" ht="19.899999999999999">
      <c r="A189" s="3032">
        <v>5</v>
      </c>
      <c r="B189" s="3032" t="s">
        <v>1967</v>
      </c>
      <c r="C189" s="3038"/>
      <c r="D189" s="3038"/>
      <c r="E189" s="3038"/>
      <c r="F189" s="3038"/>
      <c r="G189" s="3039"/>
      <c r="H189" s="3038"/>
      <c r="I189" s="3040"/>
    </row>
    <row r="190" spans="1:9" ht="15">
      <c r="A190" s="3037"/>
      <c r="B190" s="3037"/>
      <c r="C190" s="3038"/>
      <c r="D190" s="3038"/>
      <c r="E190" s="3038"/>
      <c r="F190" s="2870"/>
      <c r="G190" s="3028"/>
      <c r="H190" s="2870"/>
      <c r="I190" s="3040"/>
    </row>
    <row r="191" spans="1:9" ht="15">
      <c r="A191" s="3037"/>
      <c r="B191" s="3037"/>
      <c r="C191" s="3038"/>
      <c r="D191" s="3038"/>
      <c r="E191" s="3038"/>
      <c r="F191" s="2870"/>
      <c r="G191" s="3028"/>
      <c r="H191" s="2870"/>
      <c r="I191" s="3040"/>
    </row>
    <row r="192" spans="1:9" ht="19.5">
      <c r="A192" s="3037"/>
      <c r="B192" s="3037">
        <f>'G CALCU'!F10*10</f>
        <v>10</v>
      </c>
      <c r="C192" s="3040">
        <f>'G CALCU'!F7*10</f>
        <v>370</v>
      </c>
      <c r="D192" s="3038"/>
      <c r="E192" s="3046"/>
      <c r="F192" s="3047" t="s">
        <v>1968</v>
      </c>
      <c r="G192" s="3048">
        <f>'G CALCU'!$I10</f>
        <v>210.84</v>
      </c>
      <c r="H192" s="3023" t="s">
        <v>3203</v>
      </c>
      <c r="I192" s="3040"/>
    </row>
    <row r="193" spans="1:9" ht="17.25">
      <c r="A193" s="3037"/>
      <c r="B193" s="3038"/>
      <c r="C193" s="3038"/>
      <c r="D193" s="3038"/>
      <c r="E193" s="3046"/>
      <c r="F193" s="3047" t="s">
        <v>1969</v>
      </c>
      <c r="G193" s="3049">
        <f>'G CALCU'!$I11</f>
        <v>63.040999999999997</v>
      </c>
      <c r="H193" s="3023" t="s">
        <v>1569</v>
      </c>
      <c r="I193" s="3040"/>
    </row>
    <row r="194" spans="1:9" ht="19.5">
      <c r="A194" s="3037"/>
      <c r="B194" s="3038"/>
      <c r="C194" s="3038"/>
      <c r="D194" s="3038"/>
      <c r="E194" s="3046"/>
      <c r="F194" s="3047" t="s">
        <v>1970</v>
      </c>
      <c r="G194" s="3048">
        <f>'G CALCU'!$I12</f>
        <v>416924.39</v>
      </c>
      <c r="H194" s="3023" t="s">
        <v>3204</v>
      </c>
      <c r="I194" s="3040"/>
    </row>
    <row r="195" spans="1:9" ht="19.5">
      <c r="A195" s="3037"/>
      <c r="B195" s="3040"/>
      <c r="C195" s="3037">
        <f>'G CALCU'!F12*10</f>
        <v>6</v>
      </c>
      <c r="D195" s="3039" t="s">
        <v>1572</v>
      </c>
      <c r="E195" s="3046"/>
      <c r="F195" s="3047" t="s">
        <v>1971</v>
      </c>
      <c r="G195" s="3048">
        <f>'G CALCU'!$I13</f>
        <v>40927.49</v>
      </c>
      <c r="H195" s="3023" t="s">
        <v>3204</v>
      </c>
      <c r="I195" s="3040"/>
    </row>
    <row r="196" spans="1:9" ht="33.75" customHeight="1">
      <c r="A196" s="3037"/>
      <c r="B196" s="3050">
        <f>('G CALCU'!F14*10)</f>
        <v>1202</v>
      </c>
      <c r="C196" s="3051">
        <f>Girder!G34*10</f>
        <v>6</v>
      </c>
      <c r="D196" s="3050">
        <f>'G CALCU'!F9*10</f>
        <v>1220</v>
      </c>
      <c r="E196" s="3046"/>
      <c r="F196" s="3047" t="s">
        <v>1972</v>
      </c>
      <c r="G196" s="3048">
        <f>'G CALCU'!$I14</f>
        <v>6613.5434082581187</v>
      </c>
      <c r="H196" s="3023" t="s">
        <v>3205</v>
      </c>
      <c r="I196" s="3040"/>
    </row>
    <row r="197" spans="1:9" ht="19.5">
      <c r="A197" s="3037"/>
      <c r="B197" s="3038"/>
      <c r="C197" s="3038"/>
      <c r="D197" s="3038"/>
      <c r="E197" s="3046"/>
      <c r="F197" s="3047" t="s">
        <v>1973</v>
      </c>
      <c r="G197" s="3048">
        <f>'G CALCU'!$I15</f>
        <v>7071.4291287165652</v>
      </c>
      <c r="H197" s="3023" t="s">
        <v>3205</v>
      </c>
      <c r="I197" s="3040"/>
    </row>
    <row r="198" spans="1:9" ht="19.5">
      <c r="A198" s="3037"/>
      <c r="B198" s="3038"/>
      <c r="D198" s="3039" t="s">
        <v>1580</v>
      </c>
      <c r="E198" s="3046"/>
      <c r="F198" s="3047" t="s">
        <v>1974</v>
      </c>
      <c r="G198" s="3048">
        <f>'G CALCU'!$I16</f>
        <v>2212.2967567567566</v>
      </c>
      <c r="H198" s="3023" t="s">
        <v>3205</v>
      </c>
      <c r="I198" s="3040"/>
    </row>
    <row r="199" spans="1:9" ht="20.25">
      <c r="A199" s="3037"/>
      <c r="B199" s="3038"/>
      <c r="C199" s="3038"/>
      <c r="D199" s="3038"/>
      <c r="E199" s="3046"/>
      <c r="F199" s="3047" t="s">
        <v>3206</v>
      </c>
      <c r="G199" s="3049">
        <f>'G CALCU'!$I17</f>
        <v>13.932564162680917</v>
      </c>
      <c r="H199" s="3023" t="s">
        <v>1569</v>
      </c>
      <c r="I199" s="3040"/>
    </row>
    <row r="200" spans="1:9" ht="17.25">
      <c r="A200" s="3037"/>
      <c r="B200" s="3038"/>
      <c r="C200" s="3038"/>
      <c r="D200" s="3038"/>
      <c r="E200" s="3046"/>
      <c r="F200" s="3047" t="s">
        <v>287</v>
      </c>
      <c r="G200" s="3048">
        <f>'G CALCU'!$I18</f>
        <v>165.5094</v>
      </c>
      <c r="H200" s="3023" t="s">
        <v>1975</v>
      </c>
      <c r="I200" s="3040"/>
    </row>
    <row r="201" spans="1:9" ht="17.25">
      <c r="A201" s="3037"/>
      <c r="B201" s="3037">
        <f>'G CALCU'!F11*10</f>
        <v>8</v>
      </c>
      <c r="C201" s="3052">
        <f>Girder!G29*10</f>
        <v>370</v>
      </c>
      <c r="D201" s="3038"/>
      <c r="E201" s="3046"/>
      <c r="F201" s="3047"/>
      <c r="G201" s="3048"/>
      <c r="H201" s="3023"/>
      <c r="I201" s="3040"/>
    </row>
    <row r="202" spans="1:9" ht="17.25">
      <c r="A202" s="3037"/>
      <c r="B202" s="3040"/>
      <c r="C202" s="3038"/>
      <c r="D202" s="3038"/>
      <c r="E202" s="3046"/>
      <c r="F202" s="3047" t="s">
        <v>1976</v>
      </c>
      <c r="G202" s="3049">
        <f>'G CALCU'!$I20</f>
        <v>58.959000000000003</v>
      </c>
      <c r="H202" s="3023" t="s">
        <v>1569</v>
      </c>
      <c r="I202" s="3040"/>
    </row>
    <row r="203" spans="1:9" ht="17.25">
      <c r="A203" s="3037"/>
      <c r="B203" s="3040"/>
      <c r="C203" s="3038"/>
      <c r="D203" s="3038"/>
      <c r="E203" s="3046"/>
      <c r="F203" s="3047" t="s">
        <v>1977</v>
      </c>
      <c r="G203" s="3049">
        <f>'G CALCU'!$I21</f>
        <v>63.040999999999997</v>
      </c>
      <c r="H203" s="3023" t="s">
        <v>1569</v>
      </c>
      <c r="I203" s="3040"/>
    </row>
    <row r="204" spans="1:9" ht="19.5">
      <c r="A204" s="3037"/>
      <c r="B204" s="3037"/>
      <c r="C204" s="3038"/>
      <c r="D204" s="3038"/>
      <c r="E204" s="3046"/>
      <c r="F204" s="3047" t="s">
        <v>1978</v>
      </c>
      <c r="G204" s="3053">
        <f>'G CALCU'!$I22</f>
        <v>144.24</v>
      </c>
      <c r="H204" s="3023" t="s">
        <v>3207</v>
      </c>
      <c r="I204" s="3040"/>
    </row>
    <row r="205" spans="1:9" ht="19.5">
      <c r="A205" s="3037"/>
      <c r="B205" s="3037"/>
      <c r="C205" s="3038"/>
      <c r="D205" s="3038">
        <v>0</v>
      </c>
      <c r="E205" s="3046"/>
      <c r="F205" s="3054" t="s">
        <v>1979</v>
      </c>
      <c r="G205" s="3048">
        <f>'G CALCU'!$I23</f>
        <v>148518.59758479084</v>
      </c>
      <c r="H205" s="3023" t="s">
        <v>3204</v>
      </c>
      <c r="I205" s="3040"/>
    </row>
    <row r="206" spans="1:9" ht="19.5">
      <c r="A206" s="3037"/>
      <c r="B206" s="3037"/>
      <c r="C206" s="3038"/>
      <c r="D206" s="3038"/>
      <c r="E206" s="3046"/>
      <c r="F206" s="3054" t="s">
        <v>1980</v>
      </c>
      <c r="G206" s="3048">
        <f>'G CALCU'!$I24</f>
        <v>5192.3136756320837</v>
      </c>
      <c r="H206" s="3023" t="s">
        <v>3205</v>
      </c>
      <c r="I206" s="3040"/>
    </row>
    <row r="207" spans="1:9" ht="17.25">
      <c r="A207" s="3037"/>
      <c r="B207" s="3037"/>
      <c r="C207" s="3038"/>
      <c r="D207" s="3038"/>
      <c r="E207" s="3046"/>
      <c r="F207" s="3054"/>
      <c r="G207" s="3055"/>
      <c r="H207" s="3046"/>
      <c r="I207" s="3040"/>
    </row>
    <row r="208" spans="1:9" ht="17.25">
      <c r="A208" s="3037"/>
      <c r="B208" s="3037"/>
      <c r="C208" s="3038"/>
      <c r="D208" s="3038"/>
      <c r="E208" s="3046"/>
      <c r="F208" s="3054"/>
      <c r="G208" s="3055"/>
      <c r="H208" s="3046"/>
      <c r="I208" s="3040"/>
    </row>
    <row r="209" spans="1:10">
      <c r="A209" s="3037"/>
      <c r="B209" s="3037"/>
      <c r="C209" s="3038"/>
      <c r="D209" s="3038"/>
      <c r="E209" s="3038"/>
      <c r="G209" s="3038"/>
      <c r="H209" s="3038"/>
      <c r="I209" s="3040"/>
    </row>
    <row r="210" spans="1:10" ht="15">
      <c r="A210" s="3027">
        <v>5.0999999999999996</v>
      </c>
      <c r="B210" s="2870" t="s">
        <v>1981</v>
      </c>
      <c r="C210" s="2870"/>
      <c r="D210" s="2870"/>
      <c r="E210" s="2870"/>
      <c r="F210" s="2870"/>
      <c r="G210" s="3028"/>
      <c r="H210" s="2870"/>
      <c r="I210" s="3029"/>
      <c r="J210" s="2952"/>
    </row>
    <row r="211" spans="1:10" ht="15">
      <c r="A211" s="3027"/>
      <c r="B211" s="2870" t="s">
        <v>1982</v>
      </c>
      <c r="C211" s="2870"/>
      <c r="D211" s="2870"/>
      <c r="E211" s="2870"/>
      <c r="F211" s="2870"/>
      <c r="G211" s="3028"/>
      <c r="H211" s="2870"/>
      <c r="I211" s="3029"/>
      <c r="J211" s="2952"/>
    </row>
    <row r="212" spans="1:10" ht="15">
      <c r="A212" s="3027"/>
      <c r="B212" s="2870"/>
      <c r="C212" s="2870"/>
      <c r="D212" s="2870"/>
      <c r="E212" s="2870"/>
      <c r="F212" s="2870"/>
      <c r="G212" s="3028"/>
      <c r="H212" s="2870"/>
      <c r="I212" s="3029"/>
      <c r="J212" s="2952"/>
    </row>
    <row r="213" spans="1:10" ht="15.95" customHeight="1">
      <c r="A213" s="3027"/>
      <c r="B213" s="2870" t="s">
        <v>1983</v>
      </c>
      <c r="C213" s="2870"/>
      <c r="D213" s="2870"/>
      <c r="E213" s="2870"/>
      <c r="F213" s="2870"/>
      <c r="G213" s="3028"/>
      <c r="H213" s="2870"/>
      <c r="I213" s="3029"/>
      <c r="J213" s="2952"/>
    </row>
    <row r="214" spans="1:10" ht="15.95" customHeight="1">
      <c r="A214" s="3027"/>
      <c r="B214" s="2870"/>
      <c r="C214" s="2870"/>
      <c r="D214" s="2870"/>
      <c r="E214" s="2870"/>
      <c r="F214" s="2870"/>
      <c r="G214" s="3028"/>
      <c r="H214" s="2870"/>
      <c r="I214" s="3029"/>
      <c r="J214" s="2952"/>
    </row>
    <row r="215" spans="1:10" ht="15.95" customHeight="1">
      <c r="A215" s="3027"/>
      <c r="B215" s="2870" t="s">
        <v>1984</v>
      </c>
      <c r="C215" s="2870"/>
      <c r="D215" s="2870"/>
      <c r="E215" s="2870"/>
      <c r="F215" s="2870"/>
      <c r="G215" s="3028"/>
      <c r="H215" s="2870"/>
      <c r="I215" s="3029"/>
      <c r="J215" s="2952"/>
    </row>
    <row r="216" spans="1:10" ht="15.95" customHeight="1">
      <c r="A216" s="3027"/>
      <c r="B216" s="2870"/>
      <c r="C216" s="2870"/>
      <c r="D216" s="2870"/>
      <c r="E216" s="2870"/>
      <c r="F216" s="2870"/>
      <c r="G216" s="3028"/>
      <c r="H216" s="2870"/>
      <c r="I216" s="3029"/>
      <c r="J216" s="2952"/>
    </row>
    <row r="217" spans="1:10" ht="15.95" customHeight="1">
      <c r="A217" s="3027"/>
      <c r="B217" s="2870" t="s">
        <v>1985</v>
      </c>
      <c r="C217" s="2870"/>
      <c r="D217" s="2870"/>
      <c r="E217" s="2870"/>
      <c r="F217" s="2870"/>
      <c r="G217" s="3028"/>
      <c r="H217" s="2870"/>
      <c r="I217" s="3029"/>
      <c r="J217" s="2952"/>
    </row>
    <row r="218" spans="1:10" ht="15.95" customHeight="1">
      <c r="A218" s="3027"/>
      <c r="B218" s="2870"/>
      <c r="C218" s="2870"/>
      <c r="D218" s="2870"/>
      <c r="E218" s="2870"/>
      <c r="F218" s="2870"/>
      <c r="G218" s="3028"/>
      <c r="H218" s="2870"/>
      <c r="I218" s="3029"/>
      <c r="J218" s="2952"/>
    </row>
    <row r="219" spans="1:10" ht="24.95" customHeight="1">
      <c r="A219" s="3027"/>
      <c r="B219" s="2870" t="s">
        <v>1986</v>
      </c>
      <c r="C219" s="2870"/>
      <c r="D219" s="2870"/>
      <c r="E219" s="2870"/>
      <c r="F219" s="2870"/>
      <c r="G219" s="3028"/>
      <c r="H219" s="3028">
        <f>0.85*H75</f>
        <v>1275</v>
      </c>
      <c r="I219" s="3029" t="s">
        <v>1987</v>
      </c>
      <c r="J219" s="2952"/>
    </row>
    <row r="220" spans="1:10" ht="24.95" customHeight="1">
      <c r="A220" s="3027"/>
      <c r="B220" s="2870" t="s">
        <v>1988</v>
      </c>
      <c r="C220" s="2870"/>
      <c r="D220" s="2870"/>
      <c r="E220" s="2870"/>
      <c r="F220" s="2870"/>
      <c r="G220" s="3028"/>
      <c r="H220" s="3056">
        <f>(2650000/(POWER(H222,2)))</f>
        <v>316.43725458831801</v>
      </c>
      <c r="I220" s="3029" t="s">
        <v>1989</v>
      </c>
      <c r="J220" s="2952"/>
    </row>
    <row r="221" spans="1:10" ht="24.95" customHeight="1">
      <c r="A221" s="3027"/>
      <c r="B221" s="2870" t="s">
        <v>1990</v>
      </c>
      <c r="C221" s="2870"/>
      <c r="D221" s="2870"/>
      <c r="E221" s="2870"/>
      <c r="F221" s="2870"/>
      <c r="G221" s="3028"/>
      <c r="H221" s="3056">
        <f>'G CALCU'!I17</f>
        <v>13.932564162680917</v>
      </c>
      <c r="I221" s="3029" t="s">
        <v>571</v>
      </c>
      <c r="J221" s="2952"/>
    </row>
    <row r="222" spans="1:10" ht="24.95" customHeight="1">
      <c r="A222" s="3027"/>
      <c r="B222" s="2870" t="s">
        <v>1991</v>
      </c>
      <c r="C222" s="2870"/>
      <c r="D222" s="2870"/>
      <c r="E222" s="2870"/>
      <c r="F222" s="2870"/>
      <c r="G222" s="3028"/>
      <c r="H222" s="3056">
        <f>H219/H221</f>
        <v>91.512228841203012</v>
      </c>
      <c r="I222" s="3029"/>
      <c r="J222" s="2952"/>
    </row>
    <row r="223" spans="1:10" ht="24.95" customHeight="1">
      <c r="A223" s="3027"/>
      <c r="B223" s="2870" t="s">
        <v>1992</v>
      </c>
      <c r="C223" s="2870"/>
      <c r="D223" s="2870"/>
      <c r="E223" s="2870"/>
      <c r="F223" s="2870"/>
      <c r="G223" s="3028"/>
      <c r="H223" s="3057">
        <f>(H219*'G CALCU'!F10)/(H221*'G CALCU'!F9)</f>
        <v>0.75010023640330337</v>
      </c>
      <c r="I223" s="3029"/>
      <c r="J223" s="2952"/>
    </row>
    <row r="224" spans="1:10" ht="24.95" customHeight="1">
      <c r="A224" s="3027"/>
      <c r="B224" s="2870" t="s">
        <v>1993</v>
      </c>
      <c r="C224" s="2870"/>
      <c r="D224" s="2870"/>
      <c r="E224" s="2870"/>
      <c r="F224" s="2870"/>
      <c r="G224" s="3028"/>
      <c r="H224" s="3056">
        <f>H220*SQRT((1+(0.05*(POWER(H223,2)))))</f>
        <v>320.85747067609475</v>
      </c>
      <c r="I224" s="3029" t="s">
        <v>1989</v>
      </c>
      <c r="J224" s="2952"/>
    </row>
    <row r="225" spans="1:13" ht="24.95" customHeight="1">
      <c r="A225" s="3027"/>
      <c r="B225" s="2870" t="s">
        <v>3208</v>
      </c>
      <c r="C225" s="2870"/>
      <c r="D225" s="2870"/>
      <c r="E225" s="2870"/>
      <c r="F225" s="2870"/>
      <c r="G225" s="3028"/>
      <c r="H225" s="3028">
        <f>M226/M225</f>
        <v>1.0692345528248444</v>
      </c>
      <c r="I225" s="3029"/>
      <c r="J225" s="2952"/>
      <c r="L225" s="2834" t="s">
        <v>3209</v>
      </c>
      <c r="M225" s="2869">
        <f>G202</f>
        <v>58.959000000000003</v>
      </c>
    </row>
    <row r="226" spans="1:13" ht="24.95" customHeight="1">
      <c r="A226" s="3027"/>
      <c r="B226" s="2870" t="s">
        <v>1995</v>
      </c>
      <c r="C226" s="2870"/>
      <c r="D226" s="2870"/>
      <c r="E226" s="2870"/>
      <c r="F226" s="2870"/>
      <c r="G226" s="3028"/>
      <c r="H226" s="2870">
        <v>1</v>
      </c>
      <c r="I226" s="3029"/>
      <c r="J226" s="2952"/>
      <c r="L226" s="2834" t="s">
        <v>3210</v>
      </c>
      <c r="M226" s="2869">
        <f>G203</f>
        <v>63.040999999999997</v>
      </c>
    </row>
    <row r="227" spans="1:13" ht="24.95" customHeight="1">
      <c r="A227" s="3027"/>
      <c r="B227" s="2870" t="s">
        <v>1996</v>
      </c>
      <c r="C227" s="2870"/>
      <c r="D227" s="2870"/>
      <c r="E227" s="2870"/>
      <c r="F227" s="2870"/>
      <c r="G227" s="3028"/>
      <c r="H227" s="2870">
        <f>IF(Girder!G31=Girder!G32,0,0.1)</f>
        <v>0.1</v>
      </c>
      <c r="I227" s="3029"/>
      <c r="J227" s="2952"/>
    </row>
    <row r="228" spans="1:13" ht="24.95" customHeight="1">
      <c r="A228" s="3027"/>
      <c r="B228" s="2870" t="s">
        <v>1997</v>
      </c>
      <c r="C228" s="2870"/>
      <c r="D228" s="2870"/>
      <c r="E228" s="2870"/>
      <c r="F228" s="2870"/>
      <c r="G228" s="3028"/>
      <c r="H228" s="3058">
        <f>H226*(H224+(H227*H220))*H225</f>
        <v>376.90645881955095</v>
      </c>
      <c r="I228" s="3029" t="s">
        <v>1989</v>
      </c>
      <c r="J228" s="2952"/>
    </row>
    <row r="229" spans="1:13" ht="24.95" customHeight="1">
      <c r="A229" s="3027"/>
      <c r="B229" s="2870"/>
      <c r="C229" s="2870"/>
      <c r="D229" s="2870"/>
      <c r="E229" s="2870"/>
      <c r="F229" s="2870"/>
      <c r="G229" s="3028"/>
      <c r="H229" s="2870"/>
      <c r="I229" s="3029"/>
      <c r="J229" s="2952"/>
    </row>
    <row r="230" spans="1:13" ht="24.95" customHeight="1">
      <c r="A230" s="3027"/>
      <c r="B230" s="3046" t="s">
        <v>3211</v>
      </c>
      <c r="C230" s="2870"/>
      <c r="D230" s="2870"/>
      <c r="E230" s="2870"/>
      <c r="F230" s="2870"/>
      <c r="G230" s="3028"/>
      <c r="H230" s="2870"/>
      <c r="I230" s="3029"/>
      <c r="J230" s="2952"/>
    </row>
    <row r="231" spans="1:13" ht="24.95" customHeight="1">
      <c r="A231" s="3027"/>
      <c r="B231" s="2870"/>
      <c r="C231" s="2870"/>
      <c r="D231" s="2870"/>
      <c r="E231" s="2870"/>
      <c r="F231" s="2870"/>
      <c r="G231" s="3028"/>
      <c r="H231" s="2870"/>
      <c r="I231" s="3029"/>
      <c r="J231" s="2952"/>
    </row>
    <row r="232" spans="1:13" ht="24.95" customHeight="1">
      <c r="A232" s="3027"/>
      <c r="B232" s="2870" t="s">
        <v>1999</v>
      </c>
      <c r="C232" s="2870"/>
      <c r="D232" s="2870"/>
      <c r="E232" s="2870"/>
      <c r="F232" s="2870"/>
      <c r="G232" s="3028"/>
      <c r="H232" s="3059">
        <f>(0.66*H228*Girder!H38)/((POWER((POWER(H228,1.4))+(POWER(Girder!H38,1.4)),0.714)))</f>
        <v>120.24262015951781</v>
      </c>
      <c r="I232" s="3029" t="s">
        <v>3212</v>
      </c>
      <c r="J232" s="2952"/>
      <c r="L232" s="2911"/>
      <c r="M232" s="2862"/>
    </row>
    <row r="233" spans="1:13" ht="19.5">
      <c r="A233" s="3027"/>
      <c r="B233" s="2870"/>
      <c r="C233" s="2870"/>
      <c r="D233" s="2870"/>
      <c r="E233" s="2870"/>
      <c r="F233" s="2870"/>
      <c r="G233" s="3028"/>
      <c r="H233" s="3060">
        <f>ROUND(H232*100/9.81,1)</f>
        <v>1225.7</v>
      </c>
      <c r="I233" s="3023" t="s">
        <v>3213</v>
      </c>
      <c r="J233" s="2952"/>
      <c r="M233" s="2862"/>
    </row>
    <row r="234" spans="1:13" ht="15">
      <c r="A234" s="3027"/>
      <c r="B234" s="2870"/>
      <c r="C234" s="2870"/>
      <c r="D234" s="2870"/>
      <c r="E234" s="2870"/>
      <c r="F234" s="2870"/>
      <c r="G234" s="3028"/>
      <c r="H234" s="3061"/>
      <c r="I234" s="3029"/>
      <c r="J234" s="2952"/>
    </row>
    <row r="235" spans="1:13">
      <c r="A235" s="3037"/>
      <c r="B235" s="3038"/>
      <c r="C235" s="3038"/>
      <c r="D235" s="3038"/>
      <c r="E235" s="3038"/>
      <c r="F235" s="3038"/>
      <c r="G235" s="3039"/>
      <c r="H235" s="3038"/>
      <c r="I235" s="3040"/>
    </row>
    <row r="236" spans="1:13">
      <c r="A236" s="3037"/>
      <c r="B236" s="3038"/>
      <c r="C236" s="3038"/>
      <c r="D236" s="3038"/>
      <c r="E236" s="3038"/>
      <c r="F236" s="3038"/>
      <c r="G236" s="3039"/>
      <c r="H236" s="3038"/>
      <c r="I236" s="3040"/>
    </row>
    <row r="237" spans="1:13">
      <c r="A237" s="3037"/>
      <c r="B237" s="3038"/>
      <c r="C237" s="3038"/>
      <c r="D237" s="3038"/>
      <c r="E237" s="3038"/>
      <c r="F237" s="3038"/>
      <c r="G237" s="3039"/>
      <c r="H237" s="3038"/>
      <c r="I237" s="3040"/>
    </row>
    <row r="238" spans="1:13" ht="19.899999999999999">
      <c r="A238" s="3023">
        <v>6</v>
      </c>
      <c r="B238" s="3023" t="s">
        <v>2000</v>
      </c>
      <c r="C238" s="3046"/>
      <c r="D238" s="3062"/>
      <c r="E238" s="3038"/>
      <c r="F238" s="3038"/>
      <c r="G238" s="3039"/>
      <c r="H238" s="3038"/>
      <c r="I238" s="3040"/>
    </row>
    <row r="239" spans="1:13">
      <c r="A239" s="3037"/>
      <c r="B239" s="3038"/>
      <c r="C239" s="3038"/>
      <c r="D239" s="3038"/>
      <c r="E239" s="3038"/>
      <c r="F239" s="3038"/>
      <c r="G239" s="3039"/>
      <c r="H239" s="3038"/>
      <c r="I239" s="3040"/>
    </row>
    <row r="240" spans="1:13" ht="24.95" customHeight="1">
      <c r="A240" s="3037"/>
      <c r="B240" s="2870" t="s">
        <v>2001</v>
      </c>
      <c r="C240" s="3038"/>
      <c r="D240" s="3038"/>
      <c r="E240" s="3038"/>
      <c r="F240" s="3038"/>
      <c r="G240" s="3039"/>
      <c r="H240" s="3038"/>
      <c r="I240" s="3040"/>
    </row>
    <row r="241" spans="1:15" ht="24.95" customHeight="1">
      <c r="A241" s="3027"/>
      <c r="B241" s="2870" t="s">
        <v>2002</v>
      </c>
      <c r="C241" s="3028"/>
      <c r="D241" s="2870"/>
      <c r="E241" s="2870"/>
      <c r="F241" s="2870"/>
      <c r="G241" s="3028"/>
      <c r="H241" s="3061">
        <f>'G CALCU'!I10</f>
        <v>210.84</v>
      </c>
      <c r="I241" s="3029" t="s">
        <v>3214</v>
      </c>
      <c r="J241" s="2952"/>
    </row>
    <row r="242" spans="1:15" ht="24.95" customHeight="1">
      <c r="A242" s="3027"/>
      <c r="B242" s="2870" t="s">
        <v>2003</v>
      </c>
      <c r="C242" s="3028"/>
      <c r="D242" s="2870"/>
      <c r="E242" s="2870"/>
      <c r="F242" s="2870"/>
      <c r="G242" s="3028"/>
      <c r="H242" s="2870">
        <f>'G CALCU'!I22</f>
        <v>144.24</v>
      </c>
      <c r="I242" s="3029" t="s">
        <v>3214</v>
      </c>
      <c r="J242" s="2952"/>
    </row>
    <row r="243" spans="1:15" ht="24.95" customHeight="1">
      <c r="A243" s="3027"/>
      <c r="B243" s="2870" t="s">
        <v>2004</v>
      </c>
      <c r="C243" s="3028"/>
      <c r="D243" s="2870"/>
      <c r="E243" s="2870"/>
      <c r="F243" s="2870"/>
      <c r="G243" s="3028"/>
      <c r="H243" s="3061">
        <f>'G CALCU'!I14</f>
        <v>6613.5434082581187</v>
      </c>
      <c r="I243" s="3029" t="s">
        <v>3215</v>
      </c>
      <c r="J243" s="2952"/>
    </row>
    <row r="244" spans="1:15" ht="24.95" customHeight="1">
      <c r="A244" s="3027"/>
      <c r="B244" s="2870" t="s">
        <v>2005</v>
      </c>
      <c r="C244" s="3028"/>
      <c r="D244" s="2870"/>
      <c r="E244" s="2870"/>
      <c r="F244" s="2870"/>
      <c r="G244" s="3028"/>
      <c r="H244" s="3061">
        <f>'G CALCU'!I15</f>
        <v>7071.4291287165652</v>
      </c>
      <c r="I244" s="3029" t="s">
        <v>3215</v>
      </c>
      <c r="J244" s="2952"/>
    </row>
    <row r="245" spans="1:15" ht="24.95" customHeight="1">
      <c r="A245" s="3027"/>
      <c r="B245" s="2870" t="s">
        <v>2006</v>
      </c>
      <c r="C245" s="3028"/>
      <c r="D245" s="2870"/>
      <c r="E245" s="2870"/>
      <c r="F245" s="2870"/>
      <c r="G245" s="3028"/>
      <c r="H245" s="3061">
        <f>'G CALCU'!I16</f>
        <v>2212.2967567567566</v>
      </c>
      <c r="I245" s="3029" t="s">
        <v>3215</v>
      </c>
      <c r="J245" s="2952"/>
    </row>
    <row r="246" spans="1:15" ht="24.95" customHeight="1">
      <c r="A246" s="3027"/>
      <c r="B246" s="2870" t="s">
        <v>2007</v>
      </c>
      <c r="C246" s="3028"/>
      <c r="D246" s="2870"/>
      <c r="E246" s="2870"/>
      <c r="F246" s="2870"/>
      <c r="G246" s="3028"/>
      <c r="H246" s="3061">
        <f>'G CALCU'!H256</f>
        <v>5192.3136756320837</v>
      </c>
      <c r="I246" s="3029" t="s">
        <v>3215</v>
      </c>
      <c r="J246" s="2952"/>
    </row>
    <row r="247" spans="1:15" ht="24.95" customHeight="1">
      <c r="A247" s="3027"/>
      <c r="B247" s="2870"/>
      <c r="C247" s="3028"/>
      <c r="D247" s="2870"/>
      <c r="E247" s="2870"/>
      <c r="F247" s="2870"/>
      <c r="G247" s="3028"/>
      <c r="H247" s="3061"/>
      <c r="I247" s="3029"/>
      <c r="J247" s="2952"/>
    </row>
    <row r="248" spans="1:15" ht="15.95" customHeight="1">
      <c r="A248" s="3027"/>
      <c r="B248" s="2870"/>
      <c r="C248" s="2870"/>
      <c r="D248" s="2870"/>
      <c r="E248" s="2870"/>
      <c r="F248" s="2870"/>
      <c r="G248" s="3028"/>
      <c r="H248" s="2870"/>
      <c r="I248" s="3029"/>
      <c r="J248" s="2952"/>
    </row>
    <row r="249" spans="1:15" ht="15.95" customHeight="1">
      <c r="A249" s="3037"/>
      <c r="B249" s="3046" t="s">
        <v>2008</v>
      </c>
      <c r="C249" s="2870"/>
      <c r="D249" s="2870"/>
      <c r="E249" s="2870"/>
      <c r="F249" s="3046" t="s">
        <v>2009</v>
      </c>
      <c r="G249" s="3028"/>
      <c r="H249" s="2870"/>
      <c r="I249" s="3029"/>
      <c r="J249" s="2952"/>
    </row>
    <row r="250" spans="1:15" ht="15.95" customHeight="1">
      <c r="A250" s="3037"/>
      <c r="B250" s="2870"/>
      <c r="C250" s="2870"/>
      <c r="D250" s="2870"/>
      <c r="E250" s="2870"/>
      <c r="F250" s="2870"/>
      <c r="G250" s="3028"/>
      <c r="H250" s="2870"/>
      <c r="I250" s="3029"/>
      <c r="J250" s="2952"/>
    </row>
    <row r="251" spans="1:15" ht="15.95" customHeight="1">
      <c r="A251" s="3028"/>
      <c r="B251" s="3028" t="s">
        <v>2010</v>
      </c>
      <c r="C251" s="2870">
        <f>((H111*H120)+H108)*'G CALCU'!L126</f>
        <v>0</v>
      </c>
      <c r="D251" s="2870" t="s">
        <v>380</v>
      </c>
      <c r="E251" s="2870"/>
      <c r="F251" s="2870" t="s">
        <v>2011</v>
      </c>
      <c r="G251" s="3028"/>
      <c r="H251" s="2870"/>
      <c r="I251" s="3029"/>
      <c r="J251" s="2952"/>
      <c r="M251" s="2852"/>
      <c r="N251" s="2852"/>
      <c r="O251" s="2852"/>
    </row>
    <row r="252" spans="1:15" ht="15.95" customHeight="1">
      <c r="A252" s="3028"/>
      <c r="B252" s="2870"/>
      <c r="C252" s="2870"/>
      <c r="D252" s="2870"/>
      <c r="E252" s="2870"/>
      <c r="F252" s="2870"/>
      <c r="G252" s="3028"/>
      <c r="H252" s="2870"/>
      <c r="I252" s="3029"/>
      <c r="J252" s="2952"/>
      <c r="M252" s="2852"/>
      <c r="N252" s="2852"/>
      <c r="O252" s="2852"/>
    </row>
    <row r="253" spans="1:15" ht="15.95" customHeight="1">
      <c r="A253" s="3027"/>
      <c r="B253" s="3028" t="s">
        <v>2012</v>
      </c>
      <c r="C253" s="3061">
        <f>'G CALCU'!E204</f>
        <v>20600.915666666664</v>
      </c>
      <c r="D253" s="2870" t="s">
        <v>380</v>
      </c>
      <c r="E253" s="2870"/>
      <c r="F253" s="2870"/>
      <c r="G253" s="3028"/>
      <c r="H253" s="2870"/>
      <c r="I253" s="3029"/>
      <c r="J253" s="2952"/>
      <c r="L253" s="4543" t="s">
        <v>3216</v>
      </c>
      <c r="M253" s="4543"/>
      <c r="N253" s="2852"/>
      <c r="O253" s="2852"/>
    </row>
    <row r="254" spans="1:15" ht="15.95" customHeight="1">
      <c r="A254" s="3027"/>
      <c r="B254" s="2870"/>
      <c r="C254" s="3061"/>
      <c r="D254" s="2870"/>
      <c r="E254" s="2870"/>
      <c r="F254" s="2870"/>
      <c r="G254" s="3028"/>
      <c r="H254" s="2870"/>
      <c r="I254" s="3029"/>
      <c r="J254" s="2952"/>
      <c r="L254" s="2839" t="s">
        <v>3217</v>
      </c>
      <c r="M254" s="2839" t="s">
        <v>3218</v>
      </c>
      <c r="N254" s="2852"/>
      <c r="O254" s="2852"/>
    </row>
    <row r="255" spans="1:15" ht="15.95" customHeight="1">
      <c r="A255" s="3027"/>
      <c r="B255" s="2870" t="s">
        <v>2013</v>
      </c>
      <c r="C255" s="3061">
        <f>'G CALCU'!E177</f>
        <v>7656743.75</v>
      </c>
      <c r="D255" s="2870" t="s">
        <v>2014</v>
      </c>
      <c r="E255" s="2870"/>
      <c r="F255" s="2870" t="s">
        <v>3219</v>
      </c>
      <c r="G255" s="2870"/>
      <c r="H255" s="3063">
        <f>'G CALCU'!G217</f>
        <v>1335.4963196082554</v>
      </c>
      <c r="I255" s="3064">
        <f>Sheet2!B21</f>
        <v>1477.34</v>
      </c>
      <c r="J255" s="2952" t="s">
        <v>1598</v>
      </c>
      <c r="L255" s="2709">
        <f>Sheet2!B21</f>
        <v>1477.34</v>
      </c>
      <c r="M255" s="2709">
        <f>Sheet2!B21</f>
        <v>1477.34</v>
      </c>
      <c r="N255" s="2911" t="s">
        <v>3220</v>
      </c>
      <c r="O255" s="2852"/>
    </row>
    <row r="256" spans="1:15" ht="15.95" customHeight="1">
      <c r="A256" s="3027"/>
      <c r="B256" s="2870"/>
      <c r="C256" s="3061"/>
      <c r="D256" s="2870"/>
      <c r="E256" s="2870"/>
      <c r="F256" s="2870" t="s">
        <v>3221</v>
      </c>
      <c r="G256" s="2870"/>
      <c r="H256" s="3063">
        <f>'G CALCU'!E217</f>
        <v>1414.9594512008923</v>
      </c>
      <c r="I256" s="3064">
        <f>Sheet2!C21</f>
        <v>1698.95</v>
      </c>
      <c r="J256" s="2952" t="s">
        <v>1598</v>
      </c>
      <c r="L256" s="2709">
        <f>Sheet2!C21</f>
        <v>1698.95</v>
      </c>
      <c r="M256" s="2709">
        <f>Sheet2!C21</f>
        <v>1698.95</v>
      </c>
      <c r="N256" s="2911" t="s">
        <v>3222</v>
      </c>
      <c r="O256" s="2852"/>
    </row>
    <row r="257" spans="1:15" ht="15.95" customHeight="1">
      <c r="A257" s="3027"/>
      <c r="B257" s="2870" t="s">
        <v>2016</v>
      </c>
      <c r="C257" s="3061">
        <f>'G CALCU'!H90</f>
        <v>258413.09814453122</v>
      </c>
      <c r="D257" s="2870" t="s">
        <v>2014</v>
      </c>
      <c r="E257" s="2870"/>
      <c r="F257" s="2870" t="s">
        <v>2017</v>
      </c>
      <c r="G257" s="2870"/>
      <c r="H257" s="3063">
        <f>'G CALCU'!E221</f>
        <v>181.69618962140123</v>
      </c>
      <c r="I257" s="3065">
        <f>Sheet2!D21</f>
        <v>980.92</v>
      </c>
      <c r="J257" s="2952" t="s">
        <v>1598</v>
      </c>
      <c r="L257" s="2709">
        <f>Sheet2!D21</f>
        <v>980.92</v>
      </c>
      <c r="M257" s="2709">
        <f>Sheet2!D21</f>
        <v>980.92</v>
      </c>
      <c r="N257" s="2911" t="s">
        <v>3223</v>
      </c>
      <c r="O257" s="2852"/>
    </row>
    <row r="258" spans="1:15" ht="15.95" hidden="1" customHeight="1">
      <c r="A258" s="3027"/>
      <c r="B258" s="2870"/>
      <c r="C258" s="3061"/>
      <c r="D258" s="2870"/>
      <c r="E258" s="2870"/>
      <c r="F258" s="2870" t="s">
        <v>3224</v>
      </c>
      <c r="G258" s="2870"/>
      <c r="H258" s="3063">
        <f>'G CALCU'!E222</f>
        <v>228.26889905149051</v>
      </c>
      <c r="I258" s="3065">
        <f>Sheet2!D21</f>
        <v>980.92</v>
      </c>
      <c r="J258" s="2952" t="s">
        <v>1598</v>
      </c>
      <c r="K258" s="2852" t="str">
        <f>IF(H258&lt;L257,"SAFE","UNSAFE")</f>
        <v>SAFE</v>
      </c>
      <c r="M258" s="2852"/>
      <c r="N258" s="2852"/>
      <c r="O258" s="2852"/>
    </row>
    <row r="259" spans="1:15" ht="15.95" customHeight="1">
      <c r="A259" s="3027"/>
      <c r="B259" s="2870" t="s">
        <v>2018</v>
      </c>
      <c r="C259" s="3061">
        <f>'G CALCU'!D170</f>
        <v>148435.91666666669</v>
      </c>
      <c r="D259" s="2870" t="s">
        <v>2014</v>
      </c>
      <c r="E259" s="2870"/>
      <c r="F259" s="2870" t="s">
        <v>2019</v>
      </c>
      <c r="G259" s="2870"/>
      <c r="H259" s="3063">
        <f>'G CALCU'!E223</f>
        <v>1372.0754117963065</v>
      </c>
      <c r="I259" s="3065">
        <f>Sheet2!E21</f>
        <v>2250</v>
      </c>
      <c r="J259" s="2952" t="s">
        <v>1598</v>
      </c>
      <c r="M259" s="3066">
        <f>IF(I255&gt;L255,L255,I255)</f>
        <v>1477.34</v>
      </c>
      <c r="N259" s="3066">
        <f>IF(I255&gt;M255,M255,I255)</f>
        <v>1477.34</v>
      </c>
    </row>
    <row r="260" spans="1:15" ht="15.95" customHeight="1">
      <c r="A260" s="3027"/>
      <c r="B260" s="2870"/>
      <c r="C260" s="2870"/>
      <c r="D260" s="2870"/>
      <c r="E260" s="2870"/>
      <c r="F260" s="2870"/>
      <c r="G260" s="3028"/>
      <c r="H260" s="2870"/>
      <c r="I260" s="3029"/>
      <c r="J260" s="2952"/>
    </row>
    <row r="261" spans="1:15">
      <c r="A261" s="3037"/>
      <c r="B261" s="3038"/>
      <c r="C261" s="3038"/>
      <c r="D261" s="3038"/>
      <c r="E261" s="3038"/>
      <c r="F261" s="3038"/>
      <c r="G261" s="3039"/>
      <c r="H261" s="3038"/>
      <c r="I261" s="3040"/>
    </row>
    <row r="262" spans="1:15">
      <c r="A262" s="3037"/>
      <c r="B262" s="3038"/>
      <c r="C262" s="3038"/>
      <c r="D262" s="3038"/>
      <c r="E262" s="3038"/>
      <c r="F262" s="3038"/>
      <c r="G262" s="3039"/>
      <c r="H262" s="3038"/>
      <c r="I262" s="3040"/>
      <c r="M262" s="2852" t="str">
        <f>Girder!G38</f>
        <v>ST-42</v>
      </c>
    </row>
    <row r="263" spans="1:15" ht="17.25">
      <c r="A263" s="3023">
        <v>7</v>
      </c>
      <c r="B263" s="3046" t="s">
        <v>2020</v>
      </c>
      <c r="C263" s="3046"/>
      <c r="D263" s="3038"/>
      <c r="E263" s="3038"/>
      <c r="F263" s="3038"/>
      <c r="G263" s="3039"/>
      <c r="H263" s="3038"/>
      <c r="I263" s="3040"/>
      <c r="M263" s="2840">
        <f>IF(M262="ST-52",I255,M259)</f>
        <v>1477.34</v>
      </c>
      <c r="N263" s="2840">
        <f>IF(M262="ST-42",I255,N259)</f>
        <v>1477.34</v>
      </c>
    </row>
    <row r="264" spans="1:15">
      <c r="A264" s="3037"/>
      <c r="B264" s="3038"/>
      <c r="C264" s="3038"/>
      <c r="D264" s="3038"/>
      <c r="E264" s="3038"/>
      <c r="F264" s="3038"/>
      <c r="G264" s="3039"/>
      <c r="H264" s="3038"/>
      <c r="I264" s="3040"/>
      <c r="M264" s="2903"/>
      <c r="N264" s="2903"/>
    </row>
    <row r="265" spans="1:15" ht="20.100000000000001" customHeight="1">
      <c r="A265" s="3037">
        <v>7.1</v>
      </c>
      <c r="B265" s="3027" t="s">
        <v>2021</v>
      </c>
      <c r="C265" s="3038"/>
      <c r="D265" s="3038"/>
      <c r="E265" s="3038"/>
      <c r="F265" s="3038"/>
      <c r="G265" s="3056">
        <f>H75/900*10</f>
        <v>16.666666666666668</v>
      </c>
      <c r="H265" s="2870" t="s">
        <v>466</v>
      </c>
      <c r="I265" s="3040"/>
      <c r="M265" s="2903">
        <f>IF(M262="ST-42",M263,N263)</f>
        <v>1477.34</v>
      </c>
      <c r="N265" s="2903"/>
    </row>
    <row r="266" spans="1:15" ht="20.100000000000001" customHeight="1">
      <c r="A266" s="3037"/>
      <c r="B266" s="3027"/>
      <c r="C266" s="3038"/>
      <c r="D266" s="3038"/>
      <c r="E266" s="3038"/>
      <c r="F266" s="3038"/>
      <c r="G266" s="3056"/>
      <c r="H266" s="2870"/>
      <c r="I266" s="3040"/>
    </row>
    <row r="267" spans="1:15" ht="20.100000000000001" customHeight="1">
      <c r="A267" s="3037">
        <v>7.2</v>
      </c>
      <c r="B267" s="3027" t="s">
        <v>2022</v>
      </c>
      <c r="C267" s="3038"/>
      <c r="D267" s="3038"/>
      <c r="E267" s="3038"/>
      <c r="F267" s="3038"/>
      <c r="G267" s="3056">
        <f>'G CALCU'!C278</f>
        <v>11.787198116901045</v>
      </c>
      <c r="H267" s="2870" t="s">
        <v>466</v>
      </c>
      <c r="I267" s="3040"/>
    </row>
    <row r="268" spans="1:15" ht="20.100000000000001" customHeight="1">
      <c r="A268" s="3037"/>
      <c r="B268" s="3027"/>
      <c r="C268" s="3067" t="s">
        <v>2023</v>
      </c>
      <c r="D268" s="3038"/>
      <c r="E268" s="3038"/>
      <c r="F268" s="3038"/>
      <c r="G268" s="3056"/>
      <c r="H268" s="2870"/>
      <c r="I268" s="3040"/>
    </row>
    <row r="269" spans="1:15" ht="15">
      <c r="A269" s="3037"/>
      <c r="B269" s="3037"/>
      <c r="C269" s="3038"/>
      <c r="D269" s="3038"/>
      <c r="E269" s="3038"/>
      <c r="F269" s="3038"/>
      <c r="G269" s="3028"/>
      <c r="H269" s="2870"/>
      <c r="I269" s="3040"/>
    </row>
    <row r="270" spans="1:15">
      <c r="A270" s="3037"/>
      <c r="B270" s="3037"/>
      <c r="C270" s="3038"/>
      <c r="D270" s="3038"/>
      <c r="E270" s="3038"/>
      <c r="F270" s="3038"/>
      <c r="G270" s="3039"/>
      <c r="H270" s="3038"/>
      <c r="I270" s="3040"/>
    </row>
    <row r="271" spans="1:15" ht="19.899999999999999">
      <c r="A271" s="3023">
        <v>8</v>
      </c>
      <c r="B271" s="3023" t="s">
        <v>2024</v>
      </c>
      <c r="C271" s="3062"/>
      <c r="D271" s="3038"/>
      <c r="E271" s="3038"/>
      <c r="F271" s="3038"/>
      <c r="G271" s="3039"/>
      <c r="H271" s="3038"/>
      <c r="I271" s="3040"/>
    </row>
    <row r="272" spans="1:15">
      <c r="A272" s="3037"/>
      <c r="B272" s="3037"/>
      <c r="C272" s="3038"/>
      <c r="D272" s="3038"/>
      <c r="E272" s="3038"/>
      <c r="F272" s="3038"/>
      <c r="G272" s="3039"/>
      <c r="H272" s="3038"/>
      <c r="I272" s="3040"/>
    </row>
    <row r="273" spans="1:9" ht="20.100000000000001" customHeight="1">
      <c r="A273" s="3027">
        <v>8.1</v>
      </c>
      <c r="B273" s="3027" t="s">
        <v>2025</v>
      </c>
      <c r="C273" s="2870"/>
      <c r="D273" s="2870"/>
      <c r="E273" s="2870"/>
      <c r="F273" s="2870"/>
      <c r="G273" s="3028">
        <f>H75/1000*10</f>
        <v>15</v>
      </c>
      <c r="H273" s="2870" t="s">
        <v>466</v>
      </c>
      <c r="I273" s="3040"/>
    </row>
    <row r="274" spans="1:9" ht="20.100000000000001" customHeight="1">
      <c r="A274" s="3027"/>
      <c r="B274" s="3027"/>
      <c r="C274" s="2870"/>
      <c r="D274" s="2870"/>
      <c r="E274" s="2870"/>
      <c r="F274" s="2870"/>
      <c r="G274" s="3028"/>
      <c r="H274" s="2870"/>
      <c r="I274" s="3040"/>
    </row>
    <row r="275" spans="1:9" ht="20.100000000000001" customHeight="1">
      <c r="A275" s="3027">
        <v>8.1999999999999993</v>
      </c>
      <c r="B275" s="3027" t="s">
        <v>2026</v>
      </c>
      <c r="C275" s="2870"/>
      <c r="D275" s="2870"/>
      <c r="E275" s="2870"/>
      <c r="F275" s="2870"/>
      <c r="G275" s="3056">
        <f>'G CALCU'!D285</f>
        <v>1.7668847967168064</v>
      </c>
      <c r="H275" s="2870" t="s">
        <v>466</v>
      </c>
      <c r="I275" s="3040"/>
    </row>
    <row r="276" spans="1:9" ht="20.100000000000001" customHeight="1">
      <c r="A276" s="3027"/>
      <c r="B276" s="3027"/>
      <c r="C276" s="2870"/>
      <c r="D276" s="2870"/>
      <c r="E276" s="2870"/>
      <c r="F276" s="2870"/>
      <c r="G276" s="3056"/>
      <c r="H276" s="2870"/>
      <c r="I276" s="3040"/>
    </row>
    <row r="277" spans="1:9" ht="20.100000000000001" customHeight="1">
      <c r="A277" s="3027">
        <v>8.3000000000000007</v>
      </c>
      <c r="B277" s="3027" t="s">
        <v>2027</v>
      </c>
      <c r="C277" s="2870"/>
      <c r="D277" s="2870"/>
      <c r="E277" s="2870"/>
      <c r="F277" s="2870"/>
      <c r="G277" s="3028"/>
      <c r="H277" s="2870"/>
      <c r="I277" s="3040"/>
    </row>
    <row r="278" spans="1:9" ht="20.100000000000001" customHeight="1">
      <c r="A278" s="3027"/>
      <c r="B278" s="3027"/>
      <c r="C278" s="2870"/>
      <c r="D278" s="2870"/>
      <c r="E278" s="2870"/>
      <c r="F278" s="2870"/>
      <c r="G278" s="3028"/>
      <c r="H278" s="2870"/>
      <c r="I278" s="3040"/>
    </row>
    <row r="279" spans="1:9" ht="20.100000000000001" customHeight="1">
      <c r="A279" s="3027"/>
      <c r="B279" s="3027" t="s">
        <v>2028</v>
      </c>
      <c r="C279" s="2870"/>
      <c r="D279" s="2870"/>
      <c r="E279" s="2870"/>
      <c r="F279" s="2870"/>
      <c r="G279" s="3056">
        <f>'G CALCU'!D292</f>
        <v>7.6604838551673291</v>
      </c>
      <c r="H279" s="2870" t="s">
        <v>466</v>
      </c>
      <c r="I279" s="3040"/>
    </row>
    <row r="280" spans="1:9" ht="20.100000000000001" customHeight="1">
      <c r="A280" s="3027"/>
      <c r="B280" s="3027"/>
      <c r="C280" s="2870"/>
      <c r="D280" s="2870"/>
      <c r="E280" s="2870"/>
      <c r="F280" s="2870"/>
      <c r="G280" s="3056"/>
      <c r="H280" s="2870"/>
      <c r="I280" s="3040"/>
    </row>
    <row r="281" spans="1:9" ht="20.100000000000001" customHeight="1">
      <c r="A281" s="3027">
        <v>8.4</v>
      </c>
      <c r="B281" s="3027" t="s">
        <v>2029</v>
      </c>
      <c r="C281" s="2870"/>
      <c r="D281" s="2870"/>
      <c r="E281" s="2870"/>
      <c r="F281" s="2870"/>
      <c r="G281" s="3028">
        <f>ROUNDUP(G279+(G273-G279)/2,0)</f>
        <v>12</v>
      </c>
      <c r="H281" s="2870" t="s">
        <v>466</v>
      </c>
      <c r="I281" s="3040"/>
    </row>
    <row r="282" spans="1:9" ht="20.100000000000001" customHeight="1">
      <c r="A282" s="3027"/>
      <c r="B282" s="3027"/>
      <c r="C282" s="2870"/>
      <c r="D282" s="2870"/>
      <c r="E282" s="2870"/>
      <c r="F282" s="2870"/>
      <c r="G282" s="3028"/>
      <c r="H282" s="2870"/>
      <c r="I282" s="3040"/>
    </row>
    <row r="283" spans="1:9" ht="20.100000000000001" customHeight="1">
      <c r="A283" s="3027"/>
      <c r="B283" s="3027"/>
      <c r="C283" s="2870"/>
      <c r="D283" s="2870"/>
      <c r="E283" s="2870"/>
      <c r="F283" s="2870"/>
      <c r="G283" s="3028"/>
      <c r="H283" s="2870"/>
      <c r="I283" s="3040"/>
    </row>
    <row r="284" spans="1:9" ht="20.100000000000001" customHeight="1">
      <c r="A284" s="3037"/>
      <c r="B284" s="3027"/>
      <c r="C284" s="2870"/>
      <c r="D284" s="2870"/>
      <c r="E284" s="2870"/>
      <c r="F284" s="2870"/>
      <c r="G284" s="3028"/>
      <c r="H284" s="2870"/>
      <c r="I284" s="3040"/>
    </row>
    <row r="285" spans="1:9" ht="17.25">
      <c r="A285" s="3023" t="s">
        <v>2030</v>
      </c>
      <c r="B285" s="3023"/>
      <c r="C285" s="3038"/>
      <c r="D285" s="3038"/>
      <c r="E285" s="3038"/>
      <c r="F285" s="3038"/>
      <c r="G285" s="3039"/>
      <c r="H285" s="3038"/>
      <c r="I285" s="3040"/>
    </row>
    <row r="286" spans="1:9" ht="17.25">
      <c r="A286" s="3023"/>
      <c r="B286" s="3023"/>
      <c r="C286" s="3038"/>
      <c r="D286" s="3038"/>
      <c r="E286" s="3038"/>
      <c r="F286" s="3038"/>
      <c r="G286" s="3039"/>
      <c r="H286" s="3038"/>
      <c r="I286" s="3040"/>
    </row>
    <row r="287" spans="1:9" s="2952" customFormat="1" ht="15">
      <c r="A287" s="3027"/>
      <c r="B287" s="3068" t="s">
        <v>2031</v>
      </c>
      <c r="C287" s="3069"/>
      <c r="D287" s="3069"/>
      <c r="E287" s="3069"/>
      <c r="F287" s="3069"/>
      <c r="G287" s="3028"/>
      <c r="H287" s="2870"/>
      <c r="I287" s="3029"/>
    </row>
    <row r="288" spans="1:9">
      <c r="A288" s="3037"/>
      <c r="B288" s="3037"/>
      <c r="C288" s="3038"/>
      <c r="D288" s="3038"/>
      <c r="E288" s="3038"/>
      <c r="F288" s="3038"/>
      <c r="G288" s="3039"/>
      <c r="H288" s="3038"/>
      <c r="I288" s="3040"/>
    </row>
    <row r="289" spans="1:9">
      <c r="A289" s="3037"/>
      <c r="B289" s="3037"/>
      <c r="C289" s="3038"/>
      <c r="D289" s="3038"/>
      <c r="E289" s="3038"/>
      <c r="F289" s="3038"/>
      <c r="G289" s="3039"/>
      <c r="H289" s="3038"/>
      <c r="I289" s="3040"/>
    </row>
    <row r="290" spans="1:9">
      <c r="A290" s="3037"/>
      <c r="B290" s="3037"/>
      <c r="C290" s="3038"/>
      <c r="D290" s="3038"/>
      <c r="E290" s="3038"/>
      <c r="F290" s="3038"/>
      <c r="G290" s="3039"/>
      <c r="H290" s="3038"/>
      <c r="I290" s="3040"/>
    </row>
    <row r="291" spans="1:9">
      <c r="A291" s="3037"/>
      <c r="B291" s="3037"/>
      <c r="C291" s="3038"/>
      <c r="D291" s="3038"/>
      <c r="E291" s="3038"/>
      <c r="F291" s="3038"/>
      <c r="G291" s="3039"/>
      <c r="H291" s="3038"/>
      <c r="I291" s="3040"/>
    </row>
    <row r="292" spans="1:9">
      <c r="A292" s="3037"/>
      <c r="B292" s="3037"/>
      <c r="C292" s="3038"/>
      <c r="D292" s="3038"/>
      <c r="E292" s="3038"/>
      <c r="F292" s="3038"/>
      <c r="G292" s="3039"/>
      <c r="H292" s="3038"/>
      <c r="I292" s="3040"/>
    </row>
    <row r="293" spans="1:9">
      <c r="A293" s="3037"/>
      <c r="B293" s="3037"/>
      <c r="C293" s="3038"/>
      <c r="D293" s="3038"/>
      <c r="E293" s="3038"/>
      <c r="F293" s="3038"/>
      <c r="G293" s="3039"/>
      <c r="H293" s="3038"/>
      <c r="I293" s="3040"/>
    </row>
    <row r="294" spans="1:9" ht="15.95" customHeight="1">
      <c r="A294" s="3037"/>
      <c r="B294" s="3028"/>
      <c r="C294" s="3027"/>
      <c r="D294" s="2870"/>
      <c r="E294" s="2870"/>
      <c r="F294" s="2870"/>
      <c r="G294" s="3028"/>
      <c r="H294" s="2870"/>
      <c r="I294" s="2870"/>
    </row>
    <row r="295" spans="1:9" ht="15.95" customHeight="1">
      <c r="A295" s="3037"/>
      <c r="B295" s="3028"/>
      <c r="C295" s="3027"/>
      <c r="D295" s="2870"/>
      <c r="E295" s="2870"/>
      <c r="F295" s="2870"/>
      <c r="G295" s="3028"/>
      <c r="H295" s="2870"/>
      <c r="I295" s="2870"/>
    </row>
    <row r="296" spans="1:9" ht="15.95" customHeight="1">
      <c r="A296" s="3037"/>
      <c r="B296" s="3028"/>
      <c r="C296" s="3027"/>
      <c r="D296" s="2870"/>
      <c r="E296" s="2870"/>
      <c r="F296" s="2870"/>
      <c r="G296" s="3028"/>
      <c r="H296" s="2870"/>
      <c r="I296" s="2870"/>
    </row>
    <row r="297" spans="1:9" ht="15.95" customHeight="1">
      <c r="A297" s="3037"/>
      <c r="B297" s="3028"/>
      <c r="C297" s="3070"/>
      <c r="D297" s="2870"/>
      <c r="E297" s="2870"/>
      <c r="F297" s="2870"/>
      <c r="G297" s="3028"/>
      <c r="H297" s="3070"/>
      <c r="I297" s="2870"/>
    </row>
    <row r="298" spans="1:9">
      <c r="A298" s="3037"/>
      <c r="B298" s="3037"/>
      <c r="C298" s="3038"/>
      <c r="D298" s="3038"/>
      <c r="E298" s="3038"/>
      <c r="F298" s="3038"/>
      <c r="G298" s="3039"/>
      <c r="H298" s="3038"/>
      <c r="I298" s="3040"/>
    </row>
    <row r="299" spans="1:9">
      <c r="A299" s="3037"/>
      <c r="B299" s="3037"/>
      <c r="C299" s="3038"/>
      <c r="D299" s="3038"/>
      <c r="E299" s="3038"/>
      <c r="F299" s="3038"/>
      <c r="G299" s="3039"/>
      <c r="H299" s="3038"/>
      <c r="I299" s="3040"/>
    </row>
    <row r="300" spans="1:9" ht="15">
      <c r="G300" s="3028"/>
      <c r="H300" s="3028"/>
    </row>
    <row r="301" spans="1:9" ht="15">
      <c r="G301" s="3028"/>
      <c r="H301" s="3027"/>
    </row>
    <row r="302" spans="1:9" ht="15">
      <c r="G302" s="3028"/>
    </row>
    <row r="303" spans="1:9" ht="15">
      <c r="G303" s="3028"/>
      <c r="H303" s="3070"/>
    </row>
    <row r="308" spans="7:9">
      <c r="G308" s="2834"/>
      <c r="I308" s="2834"/>
    </row>
    <row r="309" spans="7:9">
      <c r="G309" s="2834"/>
      <c r="I309" s="2834"/>
    </row>
    <row r="310" spans="7:9">
      <c r="G310" s="2834"/>
      <c r="I310" s="2834"/>
    </row>
    <row r="311" spans="7:9">
      <c r="G311" s="2834"/>
      <c r="I311" s="2834"/>
    </row>
    <row r="312" spans="7:9">
      <c r="G312" s="2834"/>
      <c r="I312" s="2834"/>
    </row>
    <row r="313" spans="7:9">
      <c r="G313" s="2834"/>
      <c r="I313" s="2834"/>
    </row>
    <row r="314" spans="7:9">
      <c r="G314" s="2834"/>
      <c r="I314" s="2834"/>
    </row>
    <row r="315" spans="7:9">
      <c r="G315" s="2834"/>
      <c r="I315" s="2834"/>
    </row>
    <row r="316" spans="7:9">
      <c r="G316" s="2834"/>
      <c r="I316" s="2834"/>
    </row>
    <row r="317" spans="7:9">
      <c r="G317" s="2834"/>
      <c r="I317" s="2834"/>
    </row>
    <row r="318" spans="7:9">
      <c r="G318" s="2834"/>
      <c r="I318" s="2834"/>
    </row>
    <row r="319" spans="7:9">
      <c r="G319" s="2834"/>
      <c r="I319" s="2834"/>
    </row>
    <row r="320" spans="7:9">
      <c r="G320" s="2834"/>
      <c r="I320" s="2834"/>
    </row>
    <row r="321" spans="7:9">
      <c r="G321" s="2834"/>
      <c r="I321" s="2834"/>
    </row>
    <row r="322" spans="7:9">
      <c r="G322" s="2834"/>
      <c r="I322" s="2834"/>
    </row>
    <row r="323" spans="7:9">
      <c r="G323" s="2834"/>
      <c r="I323" s="2834"/>
    </row>
    <row r="324" spans="7:9">
      <c r="G324" s="2834"/>
      <c r="I324" s="2834"/>
    </row>
    <row r="325" spans="7:9">
      <c r="G325" s="2834"/>
      <c r="I325" s="2834"/>
    </row>
    <row r="326" spans="7:9">
      <c r="G326" s="2834"/>
      <c r="I326" s="2834"/>
    </row>
    <row r="327" spans="7:9">
      <c r="G327" s="2834"/>
      <c r="I327" s="2834"/>
    </row>
    <row r="328" spans="7:9">
      <c r="G328" s="2834"/>
      <c r="I328" s="2834"/>
    </row>
    <row r="329" spans="7:9">
      <c r="G329" s="2834"/>
      <c r="I329" s="2834"/>
    </row>
    <row r="330" spans="7:9">
      <c r="G330" s="2834"/>
      <c r="I330" s="2834"/>
    </row>
  </sheetData>
  <mergeCells count="7">
    <mergeCell ref="L253:M253"/>
    <mergeCell ref="A10:J10"/>
    <mergeCell ref="A15:J15"/>
    <mergeCell ref="A16:J16"/>
    <mergeCell ref="A18:J18"/>
    <mergeCell ref="A19:J19"/>
    <mergeCell ref="A20:J20"/>
  </mergeCells>
  <dataValidations count="2">
    <dataValidation type="list" allowBlank="1" showInputMessage="1" showErrorMessage="1" sqref="E309" xr:uid="{2E0CB314-1495-4E83-9BD6-B4001D73283D}">
      <formula1>IF($B$2="ST-42",$D$5:$D$7,$C$5:$C$7)</formula1>
    </dataValidation>
    <dataValidation type="list" allowBlank="1" showInputMessage="1" showErrorMessage="1" sqref="D309" xr:uid="{8176CEC4-3682-4C60-AB8B-BF2E9650DD01}">
      <formula1>$C$4:$D$4</formula1>
    </dataValidation>
  </dataValidations>
  <pageMargins left="1" right="0" top="1.43888888888889" bottom="1" header="0.5" footer="0.5"/>
  <pageSetup scale="79" orientation="portrait" r:id="rId1"/>
  <headerFooter alignWithMargins="0">
    <oddFooter>&amp;L&amp;8FILE:-&amp;F&amp;Rpage:-&amp;P of 9</oddFooter>
  </headerFooter>
  <rowBreaks count="11" manualBreakCount="11">
    <brk id="38" max="16383" man="1"/>
    <brk id="60" max="16383" man="1"/>
    <brk id="91" max="16383" man="1"/>
    <brk id="136" max="16383" man="1"/>
    <brk id="185" max="9" man="1"/>
    <brk id="208" max="9" man="1"/>
    <brk id="234" max="16383" man="1"/>
    <brk id="269" max="9" man="1"/>
    <brk id="316" max="16383" man="1"/>
    <brk id="318" max="16383" man="1"/>
    <brk id="377" max="16383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F0069-C6D6-4CD6-ABF6-1E36A1A31239}">
  <dimension ref="A1:Q71"/>
  <sheetViews>
    <sheetView view="pageBreakPreview" topLeftCell="A38" zoomScaleNormal="130" zoomScaleSheetLayoutView="100" workbookViewId="0">
      <selection activeCell="C21" sqref="C21:D21"/>
    </sheetView>
  </sheetViews>
  <sheetFormatPr defaultColWidth="9.1328125" defaultRowHeight="14.25"/>
  <cols>
    <col min="1" max="2" width="9.1328125" style="3072"/>
    <col min="3" max="3" width="11.33203125" style="3072" customWidth="1"/>
    <col min="4" max="4" width="3" style="3072" customWidth="1"/>
    <col min="5" max="5" width="9.1328125" style="3072"/>
    <col min="6" max="6" width="6.86328125" style="3072" customWidth="1"/>
    <col min="7" max="7" width="4.53125" style="3072" customWidth="1"/>
    <col min="8" max="8" width="7.33203125" style="3072" customWidth="1"/>
    <col min="9" max="12" width="9.1328125" style="3072"/>
    <col min="13" max="13" width="10.33203125" style="3072" customWidth="1"/>
    <col min="14" max="14" width="9.1328125" style="3072"/>
    <col min="15" max="15" width="12.46484375" style="3072" customWidth="1"/>
    <col min="16" max="16384" width="9.1328125" style="3072"/>
  </cols>
  <sheetData>
    <row r="1" spans="1:11" ht="21.75" customHeight="1" thickBot="1">
      <c r="A1" s="4558" t="s">
        <v>3225</v>
      </c>
      <c r="B1" s="4559"/>
      <c r="C1" s="4559"/>
      <c r="D1" s="4559"/>
      <c r="E1" s="4559"/>
      <c r="F1" s="4559"/>
      <c r="G1" s="4559"/>
      <c r="H1" s="4559"/>
      <c r="I1" s="4559"/>
      <c r="J1" s="4560"/>
      <c r="K1" s="3071"/>
    </row>
    <row r="2" spans="1:11" ht="21.4" thickBot="1">
      <c r="A2" s="4561" t="s">
        <v>3226</v>
      </c>
      <c r="B2" s="4562"/>
      <c r="C2" s="4562"/>
      <c r="D2" s="4562"/>
      <c r="E2" s="4562"/>
      <c r="F2" s="4562"/>
      <c r="G2" s="4562"/>
      <c r="H2" s="4562"/>
      <c r="I2" s="4562"/>
      <c r="J2" s="4563"/>
      <c r="K2" s="3073"/>
    </row>
    <row r="3" spans="1:11">
      <c r="A3" s="4564" t="s">
        <v>3227</v>
      </c>
      <c r="B3" s="4565"/>
      <c r="C3" s="4565"/>
      <c r="D3" s="4565"/>
      <c r="E3" s="4565"/>
      <c r="F3" s="4565"/>
      <c r="G3" s="4565"/>
      <c r="H3" s="4565"/>
      <c r="I3" s="4565"/>
      <c r="J3" s="3075"/>
    </row>
    <row r="4" spans="1:11">
      <c r="A4" s="3076"/>
      <c r="J4" s="3075"/>
    </row>
    <row r="5" spans="1:11" ht="14.65" thickBot="1">
      <c r="A5" s="3076"/>
      <c r="J5" s="3075"/>
    </row>
    <row r="6" spans="1:11">
      <c r="A6" s="3077" t="s">
        <v>3228</v>
      </c>
      <c r="B6" s="3078"/>
      <c r="C6" s="4556" t="s">
        <v>3229</v>
      </c>
      <c r="D6" s="3079" t="s">
        <v>160</v>
      </c>
      <c r="E6" s="3080" t="s">
        <v>3230</v>
      </c>
      <c r="F6" s="3081"/>
      <c r="G6" s="4567" t="s">
        <v>3231</v>
      </c>
      <c r="J6" s="3075"/>
    </row>
    <row r="7" spans="1:11" ht="14.65" thickBot="1">
      <c r="A7" s="3076"/>
      <c r="C7" s="4566"/>
      <c r="D7" s="3082"/>
      <c r="E7" s="3083" t="s">
        <v>3232</v>
      </c>
      <c r="F7" s="3084"/>
      <c r="G7" s="4567"/>
      <c r="J7" s="3075"/>
    </row>
    <row r="8" spans="1:11">
      <c r="A8" s="3076"/>
      <c r="J8" s="3075"/>
    </row>
    <row r="9" spans="1:11">
      <c r="A9" s="3076"/>
      <c r="B9" s="3072" t="s">
        <v>3233</v>
      </c>
      <c r="C9" s="3078" t="s">
        <v>3234</v>
      </c>
      <c r="D9" s="3072" t="s">
        <v>160</v>
      </c>
      <c r="E9" s="3072" t="s">
        <v>3235</v>
      </c>
      <c r="J9" s="3075"/>
    </row>
    <row r="10" spans="1:11" ht="14.65" thickBot="1">
      <c r="A10" s="3076"/>
      <c r="D10" s="3072" t="s">
        <v>160</v>
      </c>
      <c r="E10" s="3085">
        <f>'G OUTPUT'!G267</f>
        <v>11.787198116901045</v>
      </c>
      <c r="F10" s="3072" t="s">
        <v>466</v>
      </c>
      <c r="G10" s="3072" t="s">
        <v>3236</v>
      </c>
      <c r="J10" s="3075"/>
    </row>
    <row r="11" spans="1:11" ht="14.65" thickBot="1">
      <c r="A11" s="3076"/>
      <c r="C11" s="3086" t="s">
        <v>3234</v>
      </c>
      <c r="D11" s="3087" t="s">
        <v>160</v>
      </c>
      <c r="E11" s="3088">
        <f>E10</f>
        <v>11.787198116901045</v>
      </c>
      <c r="F11" s="3072" t="s">
        <v>466</v>
      </c>
      <c r="J11" s="3075"/>
    </row>
    <row r="12" spans="1:11" ht="14.65" thickBot="1">
      <c r="A12" s="3076"/>
      <c r="J12" s="3075"/>
    </row>
    <row r="13" spans="1:11">
      <c r="A13" s="3076"/>
      <c r="C13" s="4556" t="s">
        <v>1865</v>
      </c>
      <c r="D13" s="3079" t="s">
        <v>160</v>
      </c>
      <c r="E13" s="3089">
        <v>1</v>
      </c>
      <c r="F13" s="3090" t="s">
        <v>3237</v>
      </c>
      <c r="G13" s="3081"/>
      <c r="J13" s="3075"/>
    </row>
    <row r="14" spans="1:11">
      <c r="A14" s="3076"/>
      <c r="C14" s="4557"/>
      <c r="E14" s="3074" t="s">
        <v>3238</v>
      </c>
      <c r="F14" s="3091" t="s">
        <v>3239</v>
      </c>
      <c r="G14" s="3075"/>
      <c r="H14" s="3072" t="s">
        <v>3240</v>
      </c>
      <c r="J14" s="3075"/>
    </row>
    <row r="15" spans="1:11" ht="14.65" thickBot="1">
      <c r="A15" s="3076"/>
      <c r="C15" s="3092"/>
      <c r="D15" s="3082"/>
      <c r="E15" s="3082"/>
      <c r="F15" s="3082"/>
      <c r="G15" s="3084"/>
      <c r="J15" s="3075"/>
    </row>
    <row r="16" spans="1:11">
      <c r="A16" s="3076"/>
      <c r="C16" s="3093" t="s">
        <v>1865</v>
      </c>
      <c r="D16" s="3072" t="s">
        <v>160</v>
      </c>
      <c r="E16" s="3072" t="s">
        <v>3241</v>
      </c>
      <c r="J16" s="3075"/>
    </row>
    <row r="17" spans="1:13" ht="14.65" thickBot="1">
      <c r="A17" s="3076"/>
      <c r="E17" s="3074"/>
      <c r="J17" s="3075"/>
    </row>
    <row r="18" spans="1:13">
      <c r="A18" s="3076"/>
      <c r="C18" s="3094" t="s">
        <v>3237</v>
      </c>
      <c r="D18" s="3079" t="s">
        <v>160</v>
      </c>
      <c r="E18" s="3095" t="s">
        <v>3242</v>
      </c>
      <c r="F18" s="4567" t="s">
        <v>3243</v>
      </c>
      <c r="J18" s="3075"/>
    </row>
    <row r="19" spans="1:13" ht="16.149999999999999" thickBot="1">
      <c r="A19" s="3076"/>
      <c r="C19" s="3092"/>
      <c r="D19" s="3082"/>
      <c r="E19" s="3096" t="s">
        <v>3244</v>
      </c>
      <c r="F19" s="4567"/>
      <c r="J19" s="3075"/>
    </row>
    <row r="20" spans="1:13">
      <c r="A20" s="3076"/>
      <c r="C20" s="3078" t="s">
        <v>3237</v>
      </c>
      <c r="D20" s="3072" t="s">
        <v>160</v>
      </c>
      <c r="E20" s="3072" t="s">
        <v>3245</v>
      </c>
      <c r="J20" s="3075"/>
    </row>
    <row r="21" spans="1:13" ht="15.75">
      <c r="A21" s="3076"/>
      <c r="B21" s="3072" t="s">
        <v>3233</v>
      </c>
      <c r="C21" s="3072" t="s">
        <v>1970</v>
      </c>
      <c r="D21" s="3072" t="s">
        <v>160</v>
      </c>
      <c r="E21" s="3097">
        <f>'G CALCU'!I12</f>
        <v>416924.39</v>
      </c>
      <c r="F21" s="3072" t="s">
        <v>3246</v>
      </c>
      <c r="H21" s="3072" t="s">
        <v>3247</v>
      </c>
      <c r="J21" s="3075"/>
      <c r="M21" s="3098"/>
    </row>
    <row r="22" spans="1:13" ht="15.75">
      <c r="A22" s="3076"/>
      <c r="C22" s="3072" t="s">
        <v>2076</v>
      </c>
      <c r="D22" s="3072" t="s">
        <v>160</v>
      </c>
      <c r="E22" s="3097" t="s">
        <v>3248</v>
      </c>
      <c r="F22" s="3072" t="s">
        <v>3249</v>
      </c>
      <c r="H22" s="3072" t="s">
        <v>3250</v>
      </c>
      <c r="J22" s="3075"/>
    </row>
    <row r="23" spans="1:13">
      <c r="A23" s="3076"/>
      <c r="C23" s="3072" t="s">
        <v>2105</v>
      </c>
      <c r="E23" s="3097">
        <f>Girder!H10</f>
        <v>1500</v>
      </c>
      <c r="F23" s="3072" t="s">
        <v>3251</v>
      </c>
      <c r="H23" s="3072" t="s">
        <v>3252</v>
      </c>
      <c r="J23" s="3075"/>
    </row>
    <row r="24" spans="1:13" ht="14.65" thickBot="1">
      <c r="A24" s="3076"/>
      <c r="J24" s="3075"/>
    </row>
    <row r="25" spans="1:13" ht="14.65" thickBot="1">
      <c r="A25" s="3076"/>
      <c r="C25" s="3099" t="s">
        <v>3237</v>
      </c>
      <c r="D25" s="3087" t="s">
        <v>160</v>
      </c>
      <c r="E25" s="3100">
        <f>(48*2.1*10^6*E21)/E23^3</f>
        <v>12452.141781333336</v>
      </c>
      <c r="F25" s="3072" t="s">
        <v>3243</v>
      </c>
      <c r="J25" s="3075"/>
    </row>
    <row r="26" spans="1:13" ht="14.65" thickBot="1">
      <c r="A26" s="3076"/>
      <c r="J26" s="3075"/>
    </row>
    <row r="27" spans="1:13" ht="15.75">
      <c r="A27" s="3076"/>
      <c r="C27" s="3094" t="s">
        <v>3239</v>
      </c>
      <c r="D27" s="3079" t="s">
        <v>160</v>
      </c>
      <c r="E27" s="3101">
        <v>17</v>
      </c>
      <c r="F27" s="3080" t="s">
        <v>3253</v>
      </c>
      <c r="G27" s="4568" t="s">
        <v>3254</v>
      </c>
      <c r="H27" s="3102" t="s">
        <v>3255</v>
      </c>
      <c r="I27" s="3072" t="s">
        <v>3256</v>
      </c>
      <c r="J27" s="3075"/>
    </row>
    <row r="28" spans="1:13" ht="14.65" thickBot="1">
      <c r="A28" s="3076"/>
      <c r="C28" s="3092"/>
      <c r="D28" s="3082"/>
      <c r="E28" s="3103">
        <v>35</v>
      </c>
      <c r="F28" s="3082" t="s">
        <v>3257</v>
      </c>
      <c r="G28" s="4569"/>
      <c r="H28" s="3104" t="s">
        <v>3258</v>
      </c>
      <c r="J28" s="3075"/>
    </row>
    <row r="29" spans="1:13">
      <c r="A29" s="3076"/>
      <c r="J29" s="3075"/>
    </row>
    <row r="30" spans="1:13">
      <c r="A30" s="3076"/>
      <c r="B30" s="3072" t="s">
        <v>3233</v>
      </c>
      <c r="C30" s="3072" t="s">
        <v>2091</v>
      </c>
      <c r="D30" s="3072" t="s">
        <v>160</v>
      </c>
      <c r="E30" s="3072" t="s">
        <v>3259</v>
      </c>
      <c r="G30" s="3072" t="s">
        <v>2044</v>
      </c>
      <c r="J30" s="3075"/>
    </row>
    <row r="31" spans="1:13">
      <c r="A31" s="3076"/>
      <c r="D31" s="3072" t="s">
        <v>160</v>
      </c>
      <c r="E31" s="3097">
        <f>Girder!F60</f>
        <v>3060.433</v>
      </c>
      <c r="G31" s="3072" t="s">
        <v>2044</v>
      </c>
      <c r="J31" s="3075"/>
    </row>
    <row r="32" spans="1:13">
      <c r="A32" s="3076"/>
      <c r="C32" s="3072" t="s">
        <v>3257</v>
      </c>
      <c r="D32" s="3072" t="s">
        <v>160</v>
      </c>
      <c r="E32" s="3097">
        <v>981</v>
      </c>
      <c r="G32" s="3072" t="s">
        <v>2044</v>
      </c>
      <c r="J32" s="3075"/>
    </row>
    <row r="33" spans="1:17">
      <c r="A33" s="3076"/>
      <c r="C33" s="3072" t="s">
        <v>3260</v>
      </c>
      <c r="D33" s="3072" t="s">
        <v>160</v>
      </c>
      <c r="E33" s="3097">
        <f>Girder!H14</f>
        <v>4375</v>
      </c>
      <c r="G33" s="3072" t="s">
        <v>2044</v>
      </c>
      <c r="H33" s="3105"/>
      <c r="J33" s="3075"/>
    </row>
    <row r="34" spans="1:17" ht="15.75">
      <c r="A34" s="3076"/>
      <c r="C34" s="3106" t="s">
        <v>3255</v>
      </c>
      <c r="D34" s="3072" t="s">
        <v>160</v>
      </c>
      <c r="E34" s="3072" t="s">
        <v>3261</v>
      </c>
      <c r="J34" s="3075"/>
    </row>
    <row r="35" spans="1:17">
      <c r="A35" s="3076"/>
      <c r="E35" s="3107">
        <f>E33+Girder!H11</f>
        <v>29999.999999999996</v>
      </c>
      <c r="G35" s="3072" t="s">
        <v>2044</v>
      </c>
      <c r="J35" s="3075"/>
    </row>
    <row r="36" spans="1:17" ht="14.65" thickBot="1">
      <c r="A36" s="3076"/>
      <c r="J36" s="3075"/>
    </row>
    <row r="37" spans="1:17" ht="20.25" customHeight="1" thickBot="1">
      <c r="A37" s="3076"/>
      <c r="C37" s="3108" t="s">
        <v>3239</v>
      </c>
      <c r="D37" s="3087" t="s">
        <v>160</v>
      </c>
      <c r="E37" s="3088">
        <f>((17/35)*(E31/E32))+((E35/(2*E32)))</f>
        <v>16.805806349206346</v>
      </c>
      <c r="F37" s="4570" t="s">
        <v>3262</v>
      </c>
      <c r="G37" s="4571"/>
      <c r="H37" s="4571"/>
      <c r="J37" s="3075"/>
    </row>
    <row r="38" spans="1:17">
      <c r="A38" s="3076"/>
      <c r="J38" s="3075"/>
    </row>
    <row r="39" spans="1:17">
      <c r="A39" s="3076"/>
      <c r="C39" s="3072" t="s">
        <v>1865</v>
      </c>
      <c r="D39" s="3072" t="s">
        <v>160</v>
      </c>
      <c r="E39" s="3109">
        <v>1</v>
      </c>
      <c r="F39" s="3110">
        <f>E25</f>
        <v>12452.141781333336</v>
      </c>
      <c r="J39" s="3075"/>
    </row>
    <row r="40" spans="1:17">
      <c r="A40" s="3076"/>
      <c r="E40" s="3074" t="s">
        <v>3238</v>
      </c>
      <c r="F40" s="3111">
        <f>E37</f>
        <v>16.805806349206346</v>
      </c>
      <c r="J40" s="3075"/>
    </row>
    <row r="41" spans="1:17" ht="14.65" thickBot="1">
      <c r="A41" s="3076"/>
      <c r="J41" s="3075"/>
    </row>
    <row r="42" spans="1:17" ht="14.65" thickBot="1">
      <c r="A42" s="3076"/>
      <c r="J42" s="3075"/>
      <c r="M42" s="3112">
        <f>VLOOKUP(M46,N48:O61,2,FALSE)</f>
        <v>0.12</v>
      </c>
      <c r="N42" s="3113" t="s">
        <v>3263</v>
      </c>
    </row>
    <row r="43" spans="1:17" ht="14.65" thickBot="1">
      <c r="A43" s="3076"/>
      <c r="D43" s="3072" t="s">
        <v>160</v>
      </c>
      <c r="E43" s="3114">
        <f>(F39/F40)^0.5</f>
        <v>27.220265131684044</v>
      </c>
      <c r="J43" s="3075"/>
    </row>
    <row r="44" spans="1:17" ht="14.65" thickBot="1">
      <c r="A44" s="3076"/>
      <c r="E44" s="3097">
        <f>2*3.14</f>
        <v>6.28</v>
      </c>
      <c r="J44" s="3075"/>
      <c r="M44" s="3115">
        <f>(Girder!H10/Girder!D32)*10</f>
        <v>12.295081967213115</v>
      </c>
      <c r="N44" s="3116" t="s">
        <v>3264</v>
      </c>
    </row>
    <row r="45" spans="1:17" ht="14.65" thickBot="1">
      <c r="A45" s="3076"/>
      <c r="C45" s="3099" t="s">
        <v>1865</v>
      </c>
      <c r="D45" s="3087" t="s">
        <v>160</v>
      </c>
      <c r="E45" s="3088">
        <f>E43/E44</f>
        <v>4.334437122879625</v>
      </c>
      <c r="F45" s="3072" t="s">
        <v>3265</v>
      </c>
      <c r="J45" s="3075"/>
      <c r="L45" s="3117" t="s">
        <v>3266</v>
      </c>
      <c r="M45" s="3112">
        <f>1/M44</f>
        <v>8.1333333333333341E-2</v>
      </c>
      <c r="N45" s="3116" t="s">
        <v>3267</v>
      </c>
      <c r="O45" s="3118" t="s">
        <v>3268</v>
      </c>
      <c r="P45" s="3119"/>
      <c r="Q45" s="3120"/>
    </row>
    <row r="46" spans="1:17" ht="14.65" thickBot="1">
      <c r="A46" s="3076"/>
      <c r="C46" s="3072" t="s">
        <v>3267</v>
      </c>
      <c r="D46" s="3072" t="s">
        <v>160</v>
      </c>
      <c r="E46" s="3072" t="s">
        <v>3269</v>
      </c>
      <c r="J46" s="3075"/>
      <c r="L46" s="3117" t="s">
        <v>3270</v>
      </c>
      <c r="M46" s="3121">
        <v>6.6666666666666666E-2</v>
      </c>
      <c r="N46" s="3116" t="s">
        <v>3267</v>
      </c>
      <c r="O46" s="3122" t="s">
        <v>3271</v>
      </c>
      <c r="Q46" s="3097"/>
    </row>
    <row r="47" spans="1:17" ht="15.75" thickBot="1">
      <c r="A47" s="3076"/>
      <c r="D47" s="3072" t="s">
        <v>160</v>
      </c>
      <c r="E47" s="3123">
        <f>(Girder!D32/Girder!H10)*(1/10)</f>
        <v>8.1333333333333341E-2</v>
      </c>
      <c r="J47" s="3075"/>
      <c r="L47" s="3124"/>
      <c r="M47" s="3125"/>
      <c r="N47" s="3126"/>
      <c r="O47" s="3127"/>
      <c r="Q47" s="3097"/>
    </row>
    <row r="48" spans="1:17" ht="14.65" thickBot="1">
      <c r="A48" s="3076"/>
      <c r="C48" s="3128" t="s">
        <v>3263</v>
      </c>
      <c r="D48" s="3087" t="s">
        <v>160</v>
      </c>
      <c r="E48" s="3129">
        <f>M42</f>
        <v>0.12</v>
      </c>
      <c r="F48" s="3130"/>
      <c r="J48" s="3075"/>
      <c r="M48" s="4572"/>
      <c r="N48" s="4573">
        <f>1/15</f>
        <v>6.6666666666666666E-2</v>
      </c>
      <c r="O48" s="4579">
        <v>0.12</v>
      </c>
      <c r="P48" s="4572"/>
      <c r="Q48" s="4572"/>
    </row>
    <row r="49" spans="1:17" ht="14.65" thickBot="1">
      <c r="A49" s="3076"/>
      <c r="C49" s="3106" t="s">
        <v>3263</v>
      </c>
      <c r="D49" s="3072" t="s">
        <v>160</v>
      </c>
      <c r="E49" s="3072" t="s">
        <v>3272</v>
      </c>
      <c r="F49" s="3131"/>
      <c r="J49" s="3075"/>
      <c r="M49" s="4572"/>
      <c r="N49" s="4574"/>
      <c r="O49" s="4580"/>
      <c r="P49" s="4572"/>
      <c r="Q49" s="4572"/>
    </row>
    <row r="50" spans="1:17" ht="10.5" customHeight="1">
      <c r="A50" s="3076"/>
      <c r="J50" s="3075"/>
      <c r="M50" s="4572"/>
      <c r="N50" s="4575">
        <f>1/16</f>
        <v>6.25E-2</v>
      </c>
      <c r="O50" s="4577">
        <v>0.1</v>
      </c>
      <c r="P50" s="4572"/>
      <c r="Q50" s="4572"/>
    </row>
    <row r="51" spans="1:17" ht="12" customHeight="1" thickBot="1">
      <c r="A51" s="3076"/>
      <c r="J51" s="3075"/>
      <c r="M51" s="4572"/>
      <c r="N51" s="4576"/>
      <c r="O51" s="4578"/>
      <c r="P51" s="4572"/>
      <c r="Q51" s="4572"/>
    </row>
    <row r="52" spans="1:17">
      <c r="A52" s="3076"/>
      <c r="C52" s="3078" t="s">
        <v>3229</v>
      </c>
      <c r="D52" s="3072" t="s">
        <v>160</v>
      </c>
      <c r="E52" s="3114">
        <f>LN(2*E11)</f>
        <v>3.1601612177483909</v>
      </c>
      <c r="F52" s="4572" t="s">
        <v>3231</v>
      </c>
      <c r="J52" s="3075"/>
      <c r="M52" s="4572"/>
      <c r="N52" s="4573">
        <f>1/17</f>
        <v>5.8823529411764705E-2</v>
      </c>
      <c r="O52" s="4577">
        <v>0.1</v>
      </c>
      <c r="P52" s="4572"/>
      <c r="Q52" s="4572"/>
    </row>
    <row r="53" spans="1:17" ht="14.65" thickBot="1">
      <c r="A53" s="3076"/>
      <c r="E53" s="3085">
        <f>E45*E48</f>
        <v>0.52013245474555503</v>
      </c>
      <c r="F53" s="4572"/>
      <c r="J53" s="3075"/>
      <c r="M53" s="4572"/>
      <c r="N53" s="4574"/>
      <c r="O53" s="4578"/>
      <c r="P53" s="4572"/>
      <c r="Q53" s="4572"/>
    </row>
    <row r="54" spans="1:17" ht="14.65" thickBot="1">
      <c r="A54" s="3076"/>
      <c r="J54" s="3075"/>
      <c r="M54" s="4572"/>
      <c r="N54" s="4573">
        <f>1/18</f>
        <v>5.5555555555555552E-2</v>
      </c>
      <c r="O54" s="4579">
        <v>7.0000000000000007E-2</v>
      </c>
      <c r="P54" s="4572"/>
      <c r="Q54" s="4572"/>
    </row>
    <row r="55" spans="1:17" s="3078" customFormat="1" ht="18.399999999999999" thickBot="1">
      <c r="A55" s="3132"/>
      <c r="B55" s="3133"/>
      <c r="C55" s="3086" t="s">
        <v>3229</v>
      </c>
      <c r="D55" s="3134" t="s">
        <v>160</v>
      </c>
      <c r="E55" s="3135">
        <f>E52/E53</f>
        <v>6.0756855084044288</v>
      </c>
      <c r="F55" s="3133" t="s">
        <v>3231</v>
      </c>
      <c r="G55" s="3136" t="s">
        <v>3273</v>
      </c>
      <c r="H55" s="3133">
        <v>15</v>
      </c>
      <c r="I55" s="3133" t="s">
        <v>3231</v>
      </c>
      <c r="J55" s="3137"/>
      <c r="K55" s="3133"/>
      <c r="M55" s="4572"/>
      <c r="N55" s="4574"/>
      <c r="O55" s="4580"/>
      <c r="P55" s="4572"/>
      <c r="Q55" s="4572"/>
    </row>
    <row r="56" spans="1:17">
      <c r="A56" s="3077" t="s">
        <v>3274</v>
      </c>
      <c r="J56" s="3075"/>
      <c r="M56" s="4572"/>
      <c r="N56" s="4573">
        <f>1/19</f>
        <v>5.2631578947368418E-2</v>
      </c>
      <c r="O56" s="4579">
        <v>7.0000000000000007E-2</v>
      </c>
      <c r="P56" s="4572"/>
      <c r="Q56" s="4572"/>
    </row>
    <row r="57" spans="1:17" ht="14.65" thickBot="1">
      <c r="A57" s="3076" t="s">
        <v>3275</v>
      </c>
      <c r="C57" s="3072" t="s">
        <v>160</v>
      </c>
      <c r="D57" s="3072" t="s">
        <v>3276</v>
      </c>
      <c r="J57" s="3075"/>
      <c r="M57" s="4572"/>
      <c r="N57" s="4574"/>
      <c r="O57" s="4580"/>
      <c r="P57" s="4572"/>
      <c r="Q57" s="4572"/>
    </row>
    <row r="58" spans="1:17">
      <c r="A58" s="3076" t="s">
        <v>3277</v>
      </c>
      <c r="D58" s="3072" t="s">
        <v>3278</v>
      </c>
      <c r="J58" s="3075"/>
      <c r="M58" s="4572"/>
      <c r="N58" s="4573">
        <f>1/20</f>
        <v>0.05</v>
      </c>
      <c r="O58" s="4579">
        <v>7.0000000000000007E-2</v>
      </c>
      <c r="P58" s="4572"/>
      <c r="Q58" s="4572"/>
    </row>
    <row r="59" spans="1:17" ht="14.65" thickBot="1">
      <c r="A59" s="3076" t="s">
        <v>3279</v>
      </c>
      <c r="D59" s="3072" t="s">
        <v>3280</v>
      </c>
      <c r="J59" s="3075"/>
      <c r="M59" s="4572"/>
      <c r="N59" s="4574"/>
      <c r="O59" s="4580"/>
      <c r="P59" s="4572"/>
      <c r="Q59" s="4572"/>
    </row>
    <row r="60" spans="1:17">
      <c r="A60" s="3076"/>
      <c r="J60" s="3075"/>
      <c r="M60" s="4572"/>
      <c r="N60" s="4573">
        <f>1/21</f>
        <v>4.7619047619047616E-2</v>
      </c>
      <c r="O60" s="4579">
        <v>0.05</v>
      </c>
      <c r="P60" s="4572"/>
      <c r="Q60" s="4572"/>
    </row>
    <row r="61" spans="1:17" ht="14.65" thickBot="1">
      <c r="A61" s="3076"/>
      <c r="J61" s="3075"/>
      <c r="M61" s="4572"/>
      <c r="N61" s="4574"/>
      <c r="O61" s="4580"/>
      <c r="P61" s="4572"/>
      <c r="Q61" s="4572"/>
    </row>
    <row r="62" spans="1:17">
      <c r="A62" s="3076"/>
      <c r="E62" s="4572"/>
      <c r="F62" s="4572"/>
      <c r="G62" s="4572"/>
      <c r="H62" s="4572"/>
      <c r="I62" s="4572"/>
      <c r="J62" s="3075"/>
      <c r="M62" s="4572"/>
      <c r="N62" s="4572"/>
      <c r="O62" s="4584"/>
      <c r="P62" s="4572"/>
      <c r="Q62" s="4572"/>
    </row>
    <row r="63" spans="1:17" ht="14.65" thickBot="1">
      <c r="A63" s="3076"/>
      <c r="E63" s="4572"/>
      <c r="F63" s="4572"/>
      <c r="G63" s="4572"/>
      <c r="H63" s="4572"/>
      <c r="I63" s="4572"/>
      <c r="J63" s="3075"/>
      <c r="M63" s="4572"/>
      <c r="N63" s="4572"/>
      <c r="O63" s="4584"/>
      <c r="P63" s="4572"/>
      <c r="Q63" s="4572"/>
    </row>
    <row r="64" spans="1:17" ht="103.5" customHeight="1" thickBot="1">
      <c r="A64" s="4581" t="s">
        <v>3281</v>
      </c>
      <c r="B64" s="4582"/>
      <c r="C64" s="4582"/>
      <c r="D64" s="4582"/>
      <c r="E64" s="4582"/>
      <c r="F64" s="4582"/>
      <c r="G64" s="4582"/>
      <c r="H64" s="4582"/>
      <c r="I64" s="4582"/>
      <c r="J64" s="4582"/>
      <c r="K64" s="4583"/>
      <c r="L64" s="3125"/>
    </row>
    <row r="65" spans="3:14">
      <c r="C65" s="3098"/>
    </row>
    <row r="66" spans="3:14">
      <c r="C66" s="3098"/>
    </row>
    <row r="71" spans="3:14">
      <c r="N71" s="3138"/>
    </row>
  </sheetData>
  <mergeCells count="52">
    <mergeCell ref="A64:K64"/>
    <mergeCell ref="E62:I63"/>
    <mergeCell ref="M62:M63"/>
    <mergeCell ref="N62:N63"/>
    <mergeCell ref="O62:O63"/>
    <mergeCell ref="P62:P63"/>
    <mergeCell ref="Q62:Q63"/>
    <mergeCell ref="M58:M59"/>
    <mergeCell ref="N58:N59"/>
    <mergeCell ref="O58:O59"/>
    <mergeCell ref="P58:P59"/>
    <mergeCell ref="Q58:Q59"/>
    <mergeCell ref="M60:M61"/>
    <mergeCell ref="N60:N61"/>
    <mergeCell ref="O60:O61"/>
    <mergeCell ref="P60:P61"/>
    <mergeCell ref="Q60:Q61"/>
    <mergeCell ref="M54:M55"/>
    <mergeCell ref="N54:N55"/>
    <mergeCell ref="O54:O55"/>
    <mergeCell ref="P54:P55"/>
    <mergeCell ref="Q54:Q55"/>
    <mergeCell ref="M56:M57"/>
    <mergeCell ref="N56:N57"/>
    <mergeCell ref="O56:O57"/>
    <mergeCell ref="P56:P57"/>
    <mergeCell ref="Q56:Q57"/>
    <mergeCell ref="F52:F53"/>
    <mergeCell ref="M52:M53"/>
    <mergeCell ref="N52:N53"/>
    <mergeCell ref="O52:O53"/>
    <mergeCell ref="P52:P53"/>
    <mergeCell ref="Q52:Q53"/>
    <mergeCell ref="P48:P49"/>
    <mergeCell ref="Q48:Q49"/>
    <mergeCell ref="M50:M51"/>
    <mergeCell ref="N50:N51"/>
    <mergeCell ref="O50:O51"/>
    <mergeCell ref="P50:P51"/>
    <mergeCell ref="Q50:Q51"/>
    <mergeCell ref="O48:O49"/>
    <mergeCell ref="F18:F19"/>
    <mergeCell ref="G27:G28"/>
    <mergeCell ref="F37:H37"/>
    <mergeCell ref="M48:M49"/>
    <mergeCell ref="N48:N49"/>
    <mergeCell ref="C13:C14"/>
    <mergeCell ref="A1:J1"/>
    <mergeCell ref="A2:J2"/>
    <mergeCell ref="A3:I3"/>
    <mergeCell ref="C6:C7"/>
    <mergeCell ref="G6:G7"/>
  </mergeCells>
  <dataValidations disablePrompts="1" count="1">
    <dataValidation type="list" allowBlank="1" showInputMessage="1" showErrorMessage="1" sqref="M46:M47" xr:uid="{1E27C4AD-E430-482E-B154-63151B4DD2BB}">
      <formula1>$N$48:$N$61</formula1>
    </dataValidation>
  </dataValidations>
  <pageMargins left="0.69930555555555596" right="0.69930555555555596" top="0.75" bottom="0.75" header="0.3" footer="0.3"/>
  <pageSetup scale="71" orientation="portrait" r:id="rId1"/>
  <headerFooter alignWithMargins="0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2933F-C847-44A4-AB5F-4ED04EA0C52D}">
  <dimension ref="A1:X347"/>
  <sheetViews>
    <sheetView topLeftCell="A67" workbookViewId="0">
      <selection activeCell="H50" sqref="H50"/>
    </sheetView>
  </sheetViews>
  <sheetFormatPr defaultColWidth="9.1328125" defaultRowHeight="14.25"/>
  <cols>
    <col min="1" max="1" width="4.53125" style="3142" customWidth="1"/>
    <col min="2" max="2" width="9.1328125" style="3142" customWidth="1"/>
    <col min="3" max="3" width="15.33203125" style="3142" customWidth="1"/>
    <col min="4" max="4" width="12" style="3142" customWidth="1"/>
    <col min="5" max="5" width="9.46484375" style="3142" customWidth="1"/>
    <col min="6" max="6" width="10.53125" style="3142" customWidth="1"/>
    <col min="7" max="8" width="9.1328125" style="3142"/>
    <col min="9" max="9" width="10.53125" style="3142" customWidth="1"/>
    <col min="10" max="11" width="9.1328125" style="3142"/>
    <col min="12" max="12" width="9.1328125" style="3142" customWidth="1"/>
    <col min="13" max="13" width="11.46484375" style="3142" customWidth="1"/>
    <col min="14" max="14" width="9.1328125" style="3142" customWidth="1"/>
    <col min="15" max="15" width="13.86328125" style="3142" customWidth="1"/>
    <col min="16" max="16" width="23.46484375" style="3142" customWidth="1"/>
    <col min="17" max="19" width="9.1328125" style="3142" customWidth="1"/>
    <col min="20" max="16384" width="9.1328125" style="3142"/>
  </cols>
  <sheetData>
    <row r="1" spans="1:11">
      <c r="A1" s="3139"/>
      <c r="B1" s="3140"/>
      <c r="C1" s="3140"/>
      <c r="D1" s="3140"/>
      <c r="E1" s="3140"/>
      <c r="F1" s="3140"/>
      <c r="G1" s="3140"/>
      <c r="H1" s="3140"/>
      <c r="I1" s="3140"/>
      <c r="J1" s="3140"/>
      <c r="K1" s="3141"/>
    </row>
    <row r="2" spans="1:11">
      <c r="A2" s="3143"/>
      <c r="B2" s="3144" t="s">
        <v>3282</v>
      </c>
      <c r="K2" s="3145"/>
    </row>
    <row r="3" spans="1:11" ht="15" customHeight="1">
      <c r="A3" s="3143"/>
      <c r="B3" s="3144"/>
      <c r="K3" s="3145"/>
    </row>
    <row r="4" spans="1:11">
      <c r="A4" s="3143"/>
      <c r="B4" s="4587" t="s">
        <v>3283</v>
      </c>
      <c r="C4" s="4587"/>
      <c r="D4" s="4587"/>
      <c r="K4" s="3145"/>
    </row>
    <row r="5" spans="1:11">
      <c r="A5" s="3146"/>
      <c r="B5" s="3147" t="s">
        <v>3284</v>
      </c>
      <c r="D5" s="3148">
        <f>Girder!G28</f>
        <v>37</v>
      </c>
      <c r="E5" s="3142" t="s">
        <v>571</v>
      </c>
      <c r="K5" s="3145"/>
    </row>
    <row r="6" spans="1:11">
      <c r="A6" s="3146"/>
      <c r="B6" s="3147" t="s">
        <v>3285</v>
      </c>
      <c r="D6" s="3149">
        <f>Girder!G29</f>
        <v>37</v>
      </c>
      <c r="E6" s="3142" t="s">
        <v>571</v>
      </c>
      <c r="K6" s="3145"/>
    </row>
    <row r="7" spans="1:11">
      <c r="A7" s="3146"/>
      <c r="B7" s="3147" t="s">
        <v>3286</v>
      </c>
      <c r="D7" s="3149">
        <f>Girder!G35</f>
        <v>120.2</v>
      </c>
      <c r="E7" s="3142" t="s">
        <v>571</v>
      </c>
      <c r="K7" s="3145"/>
    </row>
    <row r="8" spans="1:11">
      <c r="A8" s="3150"/>
      <c r="B8" s="3147" t="s">
        <v>3287</v>
      </c>
      <c r="D8" s="3149">
        <f>Girder!G31</f>
        <v>1</v>
      </c>
      <c r="E8" s="3142" t="s">
        <v>571</v>
      </c>
      <c r="K8" s="3145"/>
    </row>
    <row r="9" spans="1:11">
      <c r="A9" s="3150"/>
      <c r="B9" s="3147" t="s">
        <v>3288</v>
      </c>
      <c r="D9" s="3149">
        <f>Girder!G32</f>
        <v>0.8</v>
      </c>
      <c r="E9" s="3142" t="s">
        <v>571</v>
      </c>
      <c r="K9" s="3145"/>
    </row>
    <row r="10" spans="1:11">
      <c r="A10" s="3150"/>
      <c r="B10" s="3147" t="s">
        <v>3289</v>
      </c>
      <c r="D10" s="3149">
        <f>Girder!G33</f>
        <v>0.6</v>
      </c>
      <c r="E10" s="3142" t="s">
        <v>571</v>
      </c>
      <c r="K10" s="3145"/>
    </row>
    <row r="11" spans="1:11">
      <c r="A11" s="3146"/>
      <c r="B11" s="3147" t="s">
        <v>3290</v>
      </c>
      <c r="D11" s="3149">
        <f>Girder!G34</f>
        <v>0.6</v>
      </c>
      <c r="E11" s="3142" t="s">
        <v>571</v>
      </c>
      <c r="K11" s="3145"/>
    </row>
    <row r="12" spans="1:11" ht="15">
      <c r="A12" s="3146"/>
      <c r="B12" s="3147" t="s">
        <v>3291</v>
      </c>
      <c r="D12" s="3149">
        <f t="shared" ref="D12" si="0">(D5*D8)</f>
        <v>37</v>
      </c>
      <c r="E12" s="3142" t="s">
        <v>3292</v>
      </c>
      <c r="K12" s="3145" t="s">
        <v>93</v>
      </c>
    </row>
    <row r="13" spans="1:11" ht="15">
      <c r="A13" s="3146"/>
      <c r="B13" s="3147" t="s">
        <v>3293</v>
      </c>
      <c r="D13" s="3149">
        <f>(D6*D9)</f>
        <v>29.6</v>
      </c>
      <c r="E13" s="3142" t="s">
        <v>3294</v>
      </c>
      <c r="K13" s="3145"/>
    </row>
    <row r="14" spans="1:11" ht="15">
      <c r="A14" s="3146"/>
      <c r="B14" s="3147" t="s">
        <v>3295</v>
      </c>
      <c r="D14" s="3149">
        <f>(D7*D10)</f>
        <v>72.12</v>
      </c>
      <c r="E14" s="3142" t="s">
        <v>3292</v>
      </c>
      <c r="K14" s="3145"/>
    </row>
    <row r="15" spans="1:11" ht="15">
      <c r="A15" s="3146"/>
      <c r="B15" s="3147" t="s">
        <v>3296</v>
      </c>
      <c r="D15" s="3151">
        <f>(D7*D11)</f>
        <v>72.12</v>
      </c>
      <c r="E15" s="3142" t="s">
        <v>3292</v>
      </c>
      <c r="K15" s="3145"/>
    </row>
    <row r="16" spans="1:11">
      <c r="A16" s="3146"/>
      <c r="B16" s="3147" t="s">
        <v>3297</v>
      </c>
      <c r="D16" s="3149">
        <f>(Girder!C31/10)+(Girder!G33/2)+(Girder!G34/2)</f>
        <v>30.400000000000002</v>
      </c>
      <c r="E16" s="3142" t="s">
        <v>571</v>
      </c>
      <c r="K16" s="3145"/>
    </row>
    <row r="17" spans="1:16" ht="15">
      <c r="A17" s="3146"/>
      <c r="B17" s="3147" t="s">
        <v>3298</v>
      </c>
      <c r="D17" s="3149">
        <f>(D12+D13+D14+D15)</f>
        <v>210.84</v>
      </c>
      <c r="E17" s="3142" t="s">
        <v>3292</v>
      </c>
      <c r="K17" s="3145"/>
    </row>
    <row r="18" spans="1:16">
      <c r="A18" s="3146"/>
      <c r="B18" s="3147" t="s">
        <v>3299</v>
      </c>
      <c r="D18" s="3152">
        <f>((D12*(D8/2))+(D14*((D7/2)+D8))+(D15*((D7/2)+D8))+(D13*(D8+D7+(D9/2))))/(D17)</f>
        <v>58.959040030354778</v>
      </c>
      <c r="E18" s="3142" t="s">
        <v>571</v>
      </c>
      <c r="K18" s="3145"/>
    </row>
    <row r="19" spans="1:16">
      <c r="A19" s="3146"/>
      <c r="B19" s="3147" t="s">
        <v>3300</v>
      </c>
      <c r="D19" s="3153">
        <f>ROUND((D8+D7+D9-D18),2)</f>
        <v>63.04</v>
      </c>
      <c r="E19" s="3142" t="s">
        <v>571</v>
      </c>
      <c r="K19" s="3145"/>
    </row>
    <row r="20" spans="1:16">
      <c r="A20" s="3146"/>
      <c r="K20" s="3145"/>
    </row>
    <row r="21" spans="1:16">
      <c r="A21" s="3146"/>
      <c r="B21" s="3154" t="s">
        <v>3301</v>
      </c>
      <c r="D21" s="3155">
        <f>0.4*D18</f>
        <v>23.583616012141913</v>
      </c>
      <c r="E21" s="3142" t="s">
        <v>571</v>
      </c>
      <c r="K21" s="3145"/>
    </row>
    <row r="22" spans="1:16">
      <c r="A22" s="3146"/>
      <c r="B22" s="3154" t="s">
        <v>3302</v>
      </c>
      <c r="D22" s="3155">
        <f>ROUND(D18,2)</f>
        <v>58.96</v>
      </c>
      <c r="E22" s="3142" t="s">
        <v>571</v>
      </c>
      <c r="K22" s="3145"/>
    </row>
    <row r="23" spans="1:16">
      <c r="A23" s="3146"/>
      <c r="K23" s="3145"/>
    </row>
    <row r="24" spans="1:16">
      <c r="A24" s="3146"/>
      <c r="B24" s="3142" t="s">
        <v>3303</v>
      </c>
      <c r="D24" s="3153">
        <f>IF(C57="NOT REQ.",0,O24)</f>
        <v>16.329999999999998</v>
      </c>
      <c r="E24" s="3142" t="s">
        <v>571</v>
      </c>
      <c r="K24" s="3145"/>
      <c r="M24" s="3142" t="s">
        <v>3303</v>
      </c>
      <c r="O24" s="3153">
        <f>ROUND((D21-D8-J63/2),2)</f>
        <v>16.329999999999998</v>
      </c>
      <c r="P24" s="3142" t="s">
        <v>571</v>
      </c>
    </row>
    <row r="25" spans="1:16">
      <c r="A25" s="3143"/>
      <c r="B25" s="3142" t="s">
        <v>3304</v>
      </c>
      <c r="D25" s="3156">
        <v>140</v>
      </c>
      <c r="E25" s="3142" t="s">
        <v>571</v>
      </c>
      <c r="K25" s="3145"/>
      <c r="M25" s="3142" t="s">
        <v>3305</v>
      </c>
      <c r="O25" s="3153">
        <f>ROUND((D22-D21-(J63/2)-(J83/2)),2)</f>
        <v>29.13</v>
      </c>
      <c r="P25" s="3142" t="s">
        <v>571</v>
      </c>
    </row>
    <row r="26" spans="1:16">
      <c r="A26" s="3143"/>
      <c r="K26" s="3145"/>
    </row>
    <row r="27" spans="1:16">
      <c r="A27" s="3143"/>
      <c r="B27" s="3142" t="s">
        <v>3305</v>
      </c>
      <c r="D27" s="3153">
        <f>IF(C57="NOT REQ.",0,O25)</f>
        <v>29.13</v>
      </c>
      <c r="E27" s="3142" t="s">
        <v>571</v>
      </c>
      <c r="K27" s="3145"/>
    </row>
    <row r="28" spans="1:16">
      <c r="A28" s="3143"/>
      <c r="B28" s="3142" t="s">
        <v>3306</v>
      </c>
      <c r="D28" s="3156">
        <v>140</v>
      </c>
      <c r="E28" s="3142" t="s">
        <v>571</v>
      </c>
      <c r="K28" s="3145"/>
      <c r="L28" s="3157" t="s">
        <v>3116</v>
      </c>
      <c r="M28" s="2814">
        <f>IF(D24=0,D30,O24)</f>
        <v>16.329999999999998</v>
      </c>
      <c r="N28" s="3142" t="s">
        <v>571</v>
      </c>
    </row>
    <row r="29" spans="1:16">
      <c r="A29" s="3143"/>
      <c r="K29" s="3145"/>
    </row>
    <row r="30" spans="1:16">
      <c r="A30" s="3143"/>
      <c r="B30" s="3142" t="s">
        <v>3307</v>
      </c>
      <c r="D30" s="3158">
        <f>D7-(D24+J63+D27+J83)</f>
        <v>62.240000000000009</v>
      </c>
      <c r="E30" s="3142" t="s">
        <v>571</v>
      </c>
      <c r="K30" s="3145"/>
    </row>
    <row r="31" spans="1:16">
      <c r="A31" s="3143"/>
      <c r="B31" s="3159" t="s">
        <v>303</v>
      </c>
      <c r="C31" s="3160"/>
      <c r="D31" s="3160"/>
      <c r="E31" s="3160"/>
      <c r="K31" s="3145"/>
    </row>
    <row r="32" spans="1:16">
      <c r="A32" s="3143"/>
      <c r="B32" s="3147" t="s">
        <v>3308</v>
      </c>
      <c r="C32" s="3147"/>
      <c r="D32" s="3147"/>
      <c r="E32" s="3147"/>
      <c r="K32" s="3145"/>
    </row>
    <row r="33" spans="1:11">
      <c r="A33" s="3143"/>
      <c r="B33" s="3147" t="s">
        <v>3309</v>
      </c>
      <c r="K33" s="3145"/>
    </row>
    <row r="34" spans="1:11" ht="15">
      <c r="A34" s="3143"/>
      <c r="B34" s="3147" t="s">
        <v>3310</v>
      </c>
      <c r="C34" s="3147"/>
      <c r="D34" s="3147"/>
      <c r="E34" s="3147"/>
      <c r="K34" s="3145"/>
    </row>
    <row r="35" spans="1:11" ht="15">
      <c r="A35" s="3143"/>
      <c r="B35" s="3147" t="s">
        <v>3311</v>
      </c>
      <c r="C35" s="3147"/>
      <c r="D35" s="3147"/>
      <c r="E35" s="3147"/>
      <c r="K35" s="3145"/>
    </row>
    <row r="36" spans="1:11">
      <c r="A36" s="3143"/>
      <c r="B36" s="3147" t="s">
        <v>3312</v>
      </c>
      <c r="C36" s="3147"/>
      <c r="D36" s="3147"/>
      <c r="E36" s="3147"/>
      <c r="K36" s="3145"/>
    </row>
    <row r="37" spans="1:11">
      <c r="A37" s="3161"/>
      <c r="B37" s="3162"/>
      <c r="C37" s="3162"/>
      <c r="D37" s="3162"/>
      <c r="E37" s="3162"/>
      <c r="F37" s="3163"/>
      <c r="G37" s="3162"/>
      <c r="H37" s="3162"/>
      <c r="I37" s="3162"/>
      <c r="J37" s="3162"/>
      <c r="K37" s="3164"/>
    </row>
    <row r="38" spans="1:11">
      <c r="A38" s="3139"/>
      <c r="B38" s="4588" t="s">
        <v>3313</v>
      </c>
      <c r="C38" s="4589"/>
      <c r="D38" s="4589"/>
      <c r="E38" s="4590"/>
      <c r="F38" s="3140"/>
      <c r="G38" s="3140"/>
      <c r="H38" s="3140"/>
      <c r="I38" s="3140"/>
      <c r="J38" s="3140"/>
      <c r="K38" s="3141"/>
    </row>
    <row r="39" spans="1:11">
      <c r="A39" s="3143"/>
      <c r="B39" s="3142" t="s">
        <v>3314</v>
      </c>
      <c r="F39" s="3166"/>
      <c r="K39" s="3145"/>
    </row>
    <row r="40" spans="1:11">
      <c r="A40" s="3143"/>
      <c r="B40" s="3166" t="s">
        <v>3315</v>
      </c>
      <c r="K40" s="3145"/>
    </row>
    <row r="41" spans="1:11">
      <c r="A41" s="3143"/>
      <c r="B41" s="3142" t="s">
        <v>3316</v>
      </c>
      <c r="K41" s="3145"/>
    </row>
    <row r="42" spans="1:11">
      <c r="A42" s="3143"/>
      <c r="B42" s="3167" t="s">
        <v>3079</v>
      </c>
      <c r="C42" s="2814" t="s">
        <v>823</v>
      </c>
      <c r="D42" s="3168">
        <f>D25</f>
        <v>140</v>
      </c>
      <c r="E42" s="3142" t="s">
        <v>1524</v>
      </c>
      <c r="F42" s="2814" t="s">
        <v>3116</v>
      </c>
      <c r="G42" s="3169">
        <f>D24</f>
        <v>16.329999999999998</v>
      </c>
      <c r="K42" s="3145"/>
    </row>
    <row r="43" spans="1:11">
      <c r="A43" s="3143"/>
      <c r="C43" s="2814" t="s">
        <v>3317</v>
      </c>
      <c r="D43" s="3168">
        <f>270*D10</f>
        <v>162</v>
      </c>
      <c r="E43" s="3142" t="s">
        <v>1524</v>
      </c>
      <c r="F43" s="2814" t="s">
        <v>3318</v>
      </c>
      <c r="G43" s="3168">
        <f>180*D10</f>
        <v>108</v>
      </c>
      <c r="K43" s="3145"/>
    </row>
    <row r="44" spans="1:11">
      <c r="A44" s="3143"/>
      <c r="B44" s="3167" t="s">
        <v>473</v>
      </c>
      <c r="C44" s="3168" t="str">
        <f>CONCATENATE(D42," &lt; ",D43)</f>
        <v>140 &lt; 162</v>
      </c>
      <c r="D44" s="3170" t="str">
        <f>IF(D42&lt;D43,"SAFE","UNSAFE")</f>
        <v>SAFE</v>
      </c>
      <c r="E44" s="3157" t="s">
        <v>473</v>
      </c>
      <c r="F44" s="3168" t="str">
        <f>CONCATENATE(G42," &lt; ",G43)</f>
        <v>16.33 &lt; 108</v>
      </c>
      <c r="G44" s="3170" t="str">
        <f>IF(G42&lt;G43,"SAFE","UNSAFE")</f>
        <v>SAFE</v>
      </c>
      <c r="K44" s="3145"/>
    </row>
    <row r="45" spans="1:11">
      <c r="A45" s="3143"/>
      <c r="K45" s="3145"/>
    </row>
    <row r="46" spans="1:11">
      <c r="A46" s="3143"/>
      <c r="B46" s="3166" t="s">
        <v>3319</v>
      </c>
      <c r="C46" s="3167"/>
      <c r="K46" s="3145"/>
    </row>
    <row r="47" spans="1:11">
      <c r="A47" s="3143"/>
      <c r="B47" s="3167" t="s">
        <v>3079</v>
      </c>
      <c r="C47" s="2814" t="s">
        <v>3320</v>
      </c>
      <c r="D47" s="3168">
        <f>D28</f>
        <v>140</v>
      </c>
      <c r="F47" s="2814" t="s">
        <v>3321</v>
      </c>
      <c r="G47" s="3169">
        <f>D27</f>
        <v>29.13</v>
      </c>
      <c r="K47" s="3145"/>
    </row>
    <row r="48" spans="1:11">
      <c r="A48" s="3143"/>
      <c r="C48" s="2814" t="s">
        <v>3317</v>
      </c>
      <c r="D48" s="3168">
        <f>270*D10</f>
        <v>162</v>
      </c>
      <c r="F48" s="2814" t="s">
        <v>3318</v>
      </c>
      <c r="G48" s="3168">
        <f>180*D10</f>
        <v>108</v>
      </c>
      <c r="K48" s="3145"/>
    </row>
    <row r="49" spans="1:24">
      <c r="A49" s="3143"/>
      <c r="B49" s="3167" t="s">
        <v>473</v>
      </c>
      <c r="C49" s="3168" t="str">
        <f>CONCATENATE(D47," &lt; ",D48)</f>
        <v>140 &lt; 162</v>
      </c>
      <c r="D49" s="3170" t="str">
        <f>IF(D47&lt;D48,"SAFE","UNSAFE")</f>
        <v>SAFE</v>
      </c>
      <c r="E49" s="3157" t="s">
        <v>473</v>
      </c>
      <c r="F49" s="3168" t="str">
        <f>CONCATENATE(G47," &lt; ",G48)</f>
        <v>29.13 &lt; 108</v>
      </c>
      <c r="G49" s="3170" t="str">
        <f>IF(G47&lt;G48,"SAFE","UNSAFE")</f>
        <v>SAFE</v>
      </c>
      <c r="K49" s="3145"/>
    </row>
    <row r="50" spans="1:24">
      <c r="A50" s="3143"/>
      <c r="K50" s="3145"/>
    </row>
    <row r="51" spans="1:24">
      <c r="A51" s="3143"/>
      <c r="B51" s="3166" t="s">
        <v>3322</v>
      </c>
      <c r="C51" s="3167"/>
      <c r="K51" s="3145"/>
    </row>
    <row r="52" spans="1:24">
      <c r="A52" s="3143"/>
      <c r="B52" s="3167" t="s">
        <v>3079</v>
      </c>
      <c r="C52" s="2814" t="s">
        <v>3320</v>
      </c>
      <c r="D52" s="3168">
        <f>D28</f>
        <v>140</v>
      </c>
      <c r="F52" s="2814" t="s">
        <v>3323</v>
      </c>
      <c r="G52" s="3169">
        <f>D30</f>
        <v>62.240000000000009</v>
      </c>
      <c r="K52" s="3145"/>
    </row>
    <row r="53" spans="1:24">
      <c r="A53" s="3143"/>
      <c r="C53" s="2814" t="s">
        <v>3318</v>
      </c>
      <c r="D53" s="3168">
        <f>180*D10</f>
        <v>108</v>
      </c>
      <c r="F53" s="2814" t="s">
        <v>3317</v>
      </c>
      <c r="G53" s="3168">
        <f>270*D10</f>
        <v>162</v>
      </c>
      <c r="K53" s="3145"/>
      <c r="O53" s="4585" t="s">
        <v>3324</v>
      </c>
      <c r="P53" s="4585" t="s">
        <v>3325</v>
      </c>
      <c r="Q53" s="4585" t="s">
        <v>3326</v>
      </c>
      <c r="R53" s="4585" t="s">
        <v>3327</v>
      </c>
      <c r="S53" s="4585" t="s">
        <v>3328</v>
      </c>
      <c r="T53" s="4585" t="s">
        <v>3329</v>
      </c>
      <c r="U53" s="4585" t="s">
        <v>3330</v>
      </c>
      <c r="V53" s="4585" t="s">
        <v>3331</v>
      </c>
      <c r="W53" s="4585" t="s">
        <v>3332</v>
      </c>
      <c r="X53" s="4585"/>
    </row>
    <row r="54" spans="1:24" ht="15" customHeight="1">
      <c r="A54" s="3143"/>
      <c r="B54" s="3142" t="s">
        <v>473</v>
      </c>
      <c r="C54" s="2814" t="str">
        <f>CONCATENATE(D52," &lt; ",D53)</f>
        <v>140 &lt; 108</v>
      </c>
      <c r="D54" s="3170" t="str">
        <f>IF(D52&lt;D53,"SAFE","UNSAFE")</f>
        <v>UNSAFE</v>
      </c>
      <c r="E54" s="3142" t="s">
        <v>473</v>
      </c>
      <c r="F54" s="2814" t="str">
        <f>CONCATENATE(G52," &lt; ",G53)</f>
        <v>62.24 &lt; 162</v>
      </c>
      <c r="G54" s="3170" t="str">
        <f>IF(G52&lt;G53,"SAFE","UNSAFE")</f>
        <v>SAFE</v>
      </c>
      <c r="K54" s="3145"/>
      <c r="O54" s="4585"/>
      <c r="P54" s="4585"/>
      <c r="Q54" s="4585"/>
      <c r="R54" s="4585"/>
      <c r="S54" s="4585"/>
      <c r="T54" s="4585"/>
      <c r="U54" s="4585"/>
      <c r="V54" s="4585"/>
      <c r="W54" s="4585"/>
      <c r="X54" s="4585"/>
    </row>
    <row r="55" spans="1:24" ht="15" customHeight="1">
      <c r="A55" s="3143"/>
      <c r="K55" s="3145"/>
      <c r="O55" s="4585"/>
      <c r="P55" s="4585"/>
      <c r="Q55" s="4585"/>
      <c r="R55" s="4585"/>
      <c r="S55" s="4585"/>
      <c r="T55" s="4585"/>
      <c r="U55" s="4585"/>
      <c r="V55" s="4585"/>
      <c r="W55" s="4585"/>
      <c r="X55" s="4585"/>
    </row>
    <row r="56" spans="1:24" ht="15" customHeight="1">
      <c r="A56" s="3143"/>
      <c r="B56" s="4586" t="s">
        <v>3333</v>
      </c>
      <c r="C56" s="4586"/>
      <c r="D56" s="4586"/>
      <c r="K56" s="3145"/>
      <c r="O56" s="4585"/>
      <c r="P56" s="4585"/>
      <c r="Q56" s="4585"/>
      <c r="R56" s="4585"/>
      <c r="S56" s="4585"/>
      <c r="T56" s="4585"/>
      <c r="U56" s="4585"/>
      <c r="V56" s="4585"/>
      <c r="W56" s="3173" t="s">
        <v>3334</v>
      </c>
      <c r="X56" s="3173" t="s">
        <v>3335</v>
      </c>
    </row>
    <row r="57" spans="1:24">
      <c r="A57" s="3174" t="s">
        <v>3336</v>
      </c>
      <c r="B57" s="3175" t="s">
        <v>3337</v>
      </c>
      <c r="C57" s="3176" t="s">
        <v>3338</v>
      </c>
      <c r="D57" s="3166" t="s">
        <v>3339</v>
      </c>
      <c r="K57" s="3145"/>
      <c r="O57" s="3177" t="s">
        <v>3340</v>
      </c>
      <c r="P57" s="3178">
        <v>0</v>
      </c>
      <c r="Q57" s="3178">
        <v>0</v>
      </c>
      <c r="R57" s="3178">
        <v>0</v>
      </c>
      <c r="S57" s="3178">
        <v>0</v>
      </c>
      <c r="T57" s="3178">
        <v>0</v>
      </c>
      <c r="U57" s="3178">
        <v>0</v>
      </c>
      <c r="V57" s="3178">
        <v>0</v>
      </c>
      <c r="W57" s="3178">
        <v>0</v>
      </c>
      <c r="X57" s="3178">
        <v>0</v>
      </c>
    </row>
    <row r="58" spans="1:24">
      <c r="A58" s="3143"/>
      <c r="B58" s="3142" t="s">
        <v>2983</v>
      </c>
      <c r="K58" s="3145"/>
      <c r="O58" s="3177" t="s">
        <v>3341</v>
      </c>
      <c r="P58" s="3179">
        <v>7.14</v>
      </c>
      <c r="Q58" s="3171">
        <v>9.1</v>
      </c>
      <c r="R58" s="3179">
        <v>75</v>
      </c>
      <c r="S58" s="3179">
        <v>40</v>
      </c>
      <c r="T58" s="3179">
        <v>7.5</v>
      </c>
      <c r="U58" s="3179">
        <v>4.8</v>
      </c>
      <c r="V58" s="3171">
        <v>1.32</v>
      </c>
      <c r="W58" s="3173">
        <v>78.5</v>
      </c>
      <c r="X58" s="3173">
        <v>12.9</v>
      </c>
    </row>
    <row r="59" spans="1:24">
      <c r="A59" s="3143"/>
      <c r="B59" s="4586" t="s">
        <v>3342</v>
      </c>
      <c r="C59" s="4586"/>
      <c r="F59" s="3166" t="s">
        <v>3343</v>
      </c>
      <c r="K59" s="3145"/>
      <c r="O59" s="3177" t="s">
        <v>3344</v>
      </c>
      <c r="P59" s="3179">
        <v>9.56</v>
      </c>
      <c r="Q59" s="3180">
        <v>12.2</v>
      </c>
      <c r="R59" s="3179">
        <v>100</v>
      </c>
      <c r="S59" s="3179">
        <v>50</v>
      </c>
      <c r="T59" s="3179">
        <v>7.7</v>
      </c>
      <c r="U59" s="3179">
        <v>5</v>
      </c>
      <c r="V59" s="3180">
        <v>1.54</v>
      </c>
      <c r="W59" s="3180">
        <v>192</v>
      </c>
      <c r="X59" s="3180">
        <v>26.7</v>
      </c>
    </row>
    <row r="60" spans="1:24">
      <c r="A60" s="3143"/>
      <c r="B60" s="3142" t="s">
        <v>303</v>
      </c>
      <c r="K60" s="3145"/>
      <c r="O60" s="3177" t="s">
        <v>3338</v>
      </c>
      <c r="P60" s="3179">
        <v>13.1</v>
      </c>
      <c r="Q60" s="3180">
        <v>16.7</v>
      </c>
      <c r="R60" s="3179">
        <v>125</v>
      </c>
      <c r="S60" s="3179">
        <v>65</v>
      </c>
      <c r="T60" s="3179">
        <v>8.1999999999999993</v>
      </c>
      <c r="U60" s="3179">
        <v>5.3</v>
      </c>
      <c r="V60" s="3180">
        <v>1.95</v>
      </c>
      <c r="W60" s="3180">
        <v>425</v>
      </c>
      <c r="X60" s="3180">
        <v>61.1</v>
      </c>
    </row>
    <row r="61" spans="1:24">
      <c r="A61" s="3143"/>
      <c r="B61" s="3167" t="s">
        <v>3345</v>
      </c>
      <c r="C61" s="3142" t="s">
        <v>3346</v>
      </c>
      <c r="H61" s="3157" t="s">
        <v>806</v>
      </c>
      <c r="I61" s="4592" t="str">
        <f>C57</f>
        <v>ISMC 125 x 65</v>
      </c>
      <c r="J61" s="4592"/>
      <c r="K61" s="3145"/>
      <c r="O61" s="3177" t="s">
        <v>3347</v>
      </c>
      <c r="P61" s="3179">
        <v>16.8</v>
      </c>
      <c r="Q61" s="3180">
        <v>21.3</v>
      </c>
      <c r="R61" s="3179">
        <v>150</v>
      </c>
      <c r="S61" s="3179">
        <v>75</v>
      </c>
      <c r="T61" s="3179">
        <v>9</v>
      </c>
      <c r="U61" s="3179">
        <v>5.7</v>
      </c>
      <c r="V61" s="3180">
        <v>2.2000000000000002</v>
      </c>
      <c r="W61" s="3180">
        <v>788</v>
      </c>
      <c r="X61" s="3180">
        <v>103</v>
      </c>
    </row>
    <row r="62" spans="1:24">
      <c r="A62" s="3143"/>
      <c r="B62" s="3167" t="s">
        <v>160</v>
      </c>
      <c r="C62" s="3142" t="str">
        <f>P78</f>
        <v>61.1+16.7x(65/10-1.95)^2</v>
      </c>
      <c r="E62" s="4593" t="s">
        <v>3348</v>
      </c>
      <c r="F62" s="4593"/>
      <c r="H62" s="3181" t="s">
        <v>3349</v>
      </c>
      <c r="I62" s="3181"/>
      <c r="J62" s="3168">
        <f>S78</f>
        <v>6.5</v>
      </c>
      <c r="K62" s="3181" t="s">
        <v>1524</v>
      </c>
      <c r="O62" s="3177" t="s">
        <v>3350</v>
      </c>
      <c r="P62" s="3179">
        <v>22.3</v>
      </c>
      <c r="Q62" s="3180">
        <v>28.5</v>
      </c>
      <c r="R62" s="3179">
        <v>200</v>
      </c>
      <c r="S62" s="3179">
        <v>75</v>
      </c>
      <c r="T62" s="3179">
        <v>11.4</v>
      </c>
      <c r="U62" s="3179">
        <v>6.2</v>
      </c>
      <c r="V62" s="3180">
        <v>2.2000000000000002</v>
      </c>
      <c r="W62" s="3180">
        <v>1830</v>
      </c>
      <c r="X62" s="3180">
        <v>141</v>
      </c>
    </row>
    <row r="63" spans="1:24">
      <c r="A63" s="3143"/>
      <c r="B63" s="3172" t="s">
        <v>3345</v>
      </c>
      <c r="C63" s="3168">
        <f>Q78</f>
        <v>406.83</v>
      </c>
      <c r="D63" s="3142" t="s">
        <v>3351</v>
      </c>
      <c r="E63" s="4593"/>
      <c r="F63" s="4593"/>
      <c r="H63" s="3181" t="s">
        <v>3352</v>
      </c>
      <c r="I63" s="3181"/>
      <c r="J63" s="3168">
        <f>R78</f>
        <v>12.5</v>
      </c>
      <c r="K63" s="3181" t="s">
        <v>1524</v>
      </c>
      <c r="O63" s="3177" t="s">
        <v>3353</v>
      </c>
      <c r="P63" s="3179">
        <v>30.6</v>
      </c>
      <c r="Q63" s="3180">
        <v>39</v>
      </c>
      <c r="R63" s="3179">
        <v>250</v>
      </c>
      <c r="S63" s="3179">
        <v>80</v>
      </c>
      <c r="T63" s="3179">
        <v>14.1</v>
      </c>
      <c r="U63" s="3179">
        <v>7.2</v>
      </c>
      <c r="V63" s="3180">
        <v>2.2999999999999998</v>
      </c>
      <c r="W63" s="3180">
        <v>3880</v>
      </c>
      <c r="X63" s="3180">
        <v>211</v>
      </c>
    </row>
    <row r="64" spans="1:24">
      <c r="A64" s="3143"/>
      <c r="K64" s="3145"/>
      <c r="O64" s="3177" t="s">
        <v>3354</v>
      </c>
      <c r="P64" s="3179">
        <v>36.299999999999997</v>
      </c>
      <c r="Q64" s="3180">
        <v>46.3</v>
      </c>
      <c r="R64" s="3179">
        <v>300</v>
      </c>
      <c r="S64" s="3179">
        <v>90</v>
      </c>
      <c r="T64" s="3179">
        <v>13.6</v>
      </c>
      <c r="U64" s="3179">
        <v>7.8</v>
      </c>
      <c r="V64" s="3180">
        <v>2.35</v>
      </c>
      <c r="W64" s="3180">
        <v>6420</v>
      </c>
      <c r="X64" s="3180">
        <v>313</v>
      </c>
    </row>
    <row r="65" spans="1:24">
      <c r="A65" s="3143"/>
      <c r="B65" s="3167" t="s">
        <v>3355</v>
      </c>
      <c r="C65" s="3142" t="s">
        <v>3356</v>
      </c>
      <c r="K65" s="3145"/>
      <c r="O65" s="3177" t="s">
        <v>3357</v>
      </c>
      <c r="P65" s="3179">
        <v>42.7</v>
      </c>
      <c r="Q65" s="3180">
        <v>54.4</v>
      </c>
      <c r="R65" s="3179">
        <v>350</v>
      </c>
      <c r="S65" s="3179">
        <v>100</v>
      </c>
      <c r="T65" s="3179">
        <v>13.5</v>
      </c>
      <c r="U65" s="3179">
        <v>8.3000000000000007</v>
      </c>
      <c r="V65" s="3180">
        <v>2.44</v>
      </c>
      <c r="W65" s="3180">
        <v>10000</v>
      </c>
      <c r="X65" s="3180">
        <v>434</v>
      </c>
    </row>
    <row r="66" spans="1:24">
      <c r="A66" s="3143"/>
      <c r="B66" s="2814" t="s">
        <v>3355</v>
      </c>
      <c r="C66" s="3168">
        <f>D25</f>
        <v>140</v>
      </c>
      <c r="D66" s="3142" t="s">
        <v>1524</v>
      </c>
      <c r="K66" s="3145"/>
      <c r="O66" s="3177" t="s">
        <v>3358</v>
      </c>
      <c r="P66" s="3179">
        <v>50.1</v>
      </c>
      <c r="Q66" s="3180">
        <v>63.8</v>
      </c>
      <c r="R66" s="3179">
        <v>400</v>
      </c>
      <c r="S66" s="3179">
        <v>100</v>
      </c>
      <c r="T66" s="3179">
        <v>15.3</v>
      </c>
      <c r="U66" s="3179">
        <v>8.8000000000000007</v>
      </c>
      <c r="V66" s="3180">
        <v>2.42</v>
      </c>
      <c r="W66" s="3180">
        <v>15200</v>
      </c>
      <c r="X66" s="3180">
        <v>508</v>
      </c>
    </row>
    <row r="67" spans="1:24">
      <c r="A67" s="3143"/>
      <c r="B67" s="3167"/>
      <c r="K67" s="3145"/>
      <c r="O67" s="2814" t="s">
        <v>3340</v>
      </c>
      <c r="P67" s="3181" t="str">
        <f t="shared" ref="P67:P71" si="1">CONCATENATE(X57,"+",Q57,"x","(",S57,"/",10,"-",V57,")","^",2)</f>
        <v>0+0x(0/10-0)^2</v>
      </c>
      <c r="Q67" s="2814">
        <f t="shared" ref="Q67:Q71" si="2">ROUND(X57+Q57*(S57/10-V57)^2,2)</f>
        <v>0</v>
      </c>
      <c r="R67" s="2814">
        <f t="shared" ref="R67:S67" si="3">R57/10</f>
        <v>0</v>
      </c>
      <c r="S67" s="2814">
        <f t="shared" si="3"/>
        <v>0</v>
      </c>
      <c r="T67" s="3182"/>
      <c r="U67" s="3182"/>
      <c r="V67" s="3183"/>
      <c r="W67" s="3183"/>
      <c r="X67" s="3183"/>
    </row>
    <row r="68" spans="1:24">
      <c r="A68" s="3143"/>
      <c r="K68" s="3145"/>
      <c r="O68" s="2814" t="s">
        <v>3341</v>
      </c>
      <c r="P68" s="3181" t="str">
        <f t="shared" si="1"/>
        <v>12.9+9.1x(40/10-1.32)^2</v>
      </c>
      <c r="Q68" s="2814">
        <f t="shared" si="2"/>
        <v>78.260000000000005</v>
      </c>
      <c r="R68" s="2814">
        <f>R58/10</f>
        <v>7.5</v>
      </c>
      <c r="S68" s="2814">
        <f>S58/10</f>
        <v>4</v>
      </c>
    </row>
    <row r="69" spans="1:24">
      <c r="A69" s="3143"/>
      <c r="B69" s="3167" t="s">
        <v>3359</v>
      </c>
      <c r="C69" s="3142" t="s">
        <v>3360</v>
      </c>
      <c r="K69" s="3145"/>
      <c r="O69" s="2814" t="s">
        <v>3344</v>
      </c>
      <c r="P69" s="3181" t="str">
        <f t="shared" si="1"/>
        <v>26.7+12.2x(50/10-1.54)^2</v>
      </c>
      <c r="Q69" s="2814">
        <f t="shared" si="2"/>
        <v>172.75</v>
      </c>
      <c r="R69" s="2814">
        <f t="shared" ref="R69:S76" si="4">R59/10</f>
        <v>10</v>
      </c>
      <c r="S69" s="2814">
        <f t="shared" si="4"/>
        <v>5</v>
      </c>
    </row>
    <row r="70" spans="1:24">
      <c r="A70" s="3143"/>
      <c r="B70" s="2814" t="s">
        <v>3359</v>
      </c>
      <c r="C70" s="3168">
        <f>D10</f>
        <v>0.6</v>
      </c>
      <c r="D70" s="3142" t="s">
        <v>1524</v>
      </c>
      <c r="K70" s="3145"/>
      <c r="O70" s="2814" t="s">
        <v>3338</v>
      </c>
      <c r="P70" s="3181" t="str">
        <f t="shared" si="1"/>
        <v>61.1+16.7x(65/10-1.95)^2</v>
      </c>
      <c r="Q70" s="2814">
        <f t="shared" si="2"/>
        <v>406.83</v>
      </c>
      <c r="R70" s="2814">
        <f t="shared" si="4"/>
        <v>12.5</v>
      </c>
      <c r="S70" s="2814">
        <f t="shared" si="4"/>
        <v>6.5</v>
      </c>
    </row>
    <row r="71" spans="1:24">
      <c r="A71" s="3143"/>
      <c r="K71" s="3145"/>
      <c r="O71" s="2814" t="s">
        <v>3347</v>
      </c>
      <c r="P71" s="3181" t="str">
        <f t="shared" si="1"/>
        <v>103+21.3x(75/10-2.2)^2</v>
      </c>
      <c r="Q71" s="2814">
        <f t="shared" si="2"/>
        <v>701.32</v>
      </c>
      <c r="R71" s="2814">
        <f t="shared" si="4"/>
        <v>15</v>
      </c>
      <c r="S71" s="2814">
        <f t="shared" si="4"/>
        <v>7.5</v>
      </c>
    </row>
    <row r="72" spans="1:24">
      <c r="A72" s="3143"/>
      <c r="B72" s="3172" t="s">
        <v>3361</v>
      </c>
      <c r="C72" s="3168">
        <f>4*C66*C70^3</f>
        <v>120.96</v>
      </c>
      <c r="D72" s="3142" t="s">
        <v>3351</v>
      </c>
      <c r="K72" s="3145"/>
      <c r="O72" s="2814" t="s">
        <v>3350</v>
      </c>
      <c r="P72" s="3181" t="str">
        <f>CONCATENATE(X62,"+",Q62,"x","(",S62,"/",10,"-",V62,")","^",2)</f>
        <v>141+28.5x(75/10-2.2)^2</v>
      </c>
      <c r="Q72" s="2814">
        <f>ROUND(X62+Q62*(S62/10-V62)^2,2)</f>
        <v>941.57</v>
      </c>
      <c r="R72" s="2814">
        <f t="shared" si="4"/>
        <v>20</v>
      </c>
      <c r="S72" s="2814">
        <f t="shared" si="4"/>
        <v>7.5</v>
      </c>
    </row>
    <row r="73" spans="1:24">
      <c r="A73" s="3143"/>
      <c r="B73" s="3142" t="s">
        <v>3079</v>
      </c>
      <c r="K73" s="3145"/>
      <c r="O73" s="2814" t="s">
        <v>3353</v>
      </c>
      <c r="P73" s="3181" t="str">
        <f>CONCATENATE(X63,"+",Q63,"x","(",S63,"/",10,"-",V63,")","^",2)</f>
        <v>211+39x(80/10-2.3)^2</v>
      </c>
      <c r="Q73" s="2814">
        <f>ROUND(X63+Q63*(S63/10-V63)^2,2)</f>
        <v>1478.11</v>
      </c>
      <c r="R73" s="2814">
        <f t="shared" si="4"/>
        <v>25</v>
      </c>
      <c r="S73" s="2814">
        <f t="shared" si="4"/>
        <v>8</v>
      </c>
    </row>
    <row r="74" spans="1:24">
      <c r="A74" s="3143"/>
      <c r="B74" s="4586" t="s">
        <v>3362</v>
      </c>
      <c r="C74" s="4586"/>
      <c r="D74" s="3170" t="str">
        <f>IF(C63&gt;C72,"SAFE","UNSAFE")</f>
        <v>SAFE</v>
      </c>
      <c r="K74" s="3145"/>
      <c r="O74" s="2814" t="s">
        <v>3354</v>
      </c>
      <c r="P74" s="3181" t="str">
        <f>CONCATENATE(X64,"+",Q64,"x","(",S64,"/",10,"-",V64,")","^",2)</f>
        <v>313+46.3x(90/10-2.35)^2</v>
      </c>
      <c r="Q74" s="2814">
        <f>ROUND(X64+Q64*(S64/10-V64)^2,2)</f>
        <v>2360.5</v>
      </c>
      <c r="R74" s="2814">
        <f t="shared" si="4"/>
        <v>30</v>
      </c>
      <c r="S74" s="2814">
        <f t="shared" si="4"/>
        <v>9</v>
      </c>
    </row>
    <row r="75" spans="1:24">
      <c r="A75" s="3143"/>
      <c r="K75" s="3145"/>
      <c r="O75" s="2814" t="s">
        <v>3357</v>
      </c>
      <c r="P75" s="3181" t="str">
        <f>CONCATENATE(X65,"+",Q65,"x","(",S65,"/",10,"-",V65,")","^",2)</f>
        <v>434+54.4x(100/10-2.44)^2</v>
      </c>
      <c r="Q75" s="2814">
        <f>ROUND(X65+Q65*(S65/10-V65)^2,2)</f>
        <v>3543.16</v>
      </c>
      <c r="R75" s="2814">
        <f t="shared" si="4"/>
        <v>35</v>
      </c>
      <c r="S75" s="2814">
        <f t="shared" si="4"/>
        <v>10</v>
      </c>
    </row>
    <row r="76" spans="1:24">
      <c r="A76" s="3174" t="s">
        <v>3363</v>
      </c>
      <c r="B76" s="3175" t="s">
        <v>3337</v>
      </c>
      <c r="C76" s="3184" t="s">
        <v>3340</v>
      </c>
      <c r="D76" s="3166" t="s">
        <v>3364</v>
      </c>
      <c r="K76" s="3145"/>
      <c r="O76" s="2814" t="s">
        <v>3358</v>
      </c>
      <c r="P76" s="3181" t="str">
        <f>CONCATENATE(X66,"+",Q66,"x","(",S66,"/",10,"-",V66,")","^",2)</f>
        <v>508+63.8x(100/10-2.42)^2</v>
      </c>
      <c r="Q76" s="2814">
        <f>ROUND(X66+Q66*(S66/10-V66)^2,2)</f>
        <v>4173.72</v>
      </c>
      <c r="R76" s="2814">
        <f t="shared" si="4"/>
        <v>40</v>
      </c>
      <c r="S76" s="2814">
        <f t="shared" si="4"/>
        <v>10</v>
      </c>
    </row>
    <row r="77" spans="1:24">
      <c r="A77" s="3143"/>
      <c r="B77" s="3142" t="s">
        <v>2983</v>
      </c>
      <c r="K77" s="3145"/>
    </row>
    <row r="78" spans="1:24">
      <c r="A78" s="3143"/>
      <c r="B78" s="4586" t="s">
        <v>3365</v>
      </c>
      <c r="C78" s="4586"/>
      <c r="F78" s="3166" t="s">
        <v>3343</v>
      </c>
      <c r="K78" s="3145"/>
      <c r="O78" s="3185" t="str">
        <f>C57</f>
        <v>ISMC 125 x 65</v>
      </c>
      <c r="P78" s="3172" t="str">
        <f>VLOOKUP(C57,O67:S76,2,0)</f>
        <v>61.1+16.7x(65/10-1.95)^2</v>
      </c>
      <c r="Q78" s="3172">
        <f>VLOOKUP(C57,O67:S76,3,0)</f>
        <v>406.83</v>
      </c>
      <c r="R78" s="3172">
        <f>VLOOKUP(C57,O67:S76,4,0)</f>
        <v>12.5</v>
      </c>
      <c r="S78" s="3172">
        <f>VLOOKUP(C57,O67:S76,5,0)</f>
        <v>6.5</v>
      </c>
    </row>
    <row r="79" spans="1:24">
      <c r="A79" s="3143"/>
      <c r="B79" s="3142" t="s">
        <v>303</v>
      </c>
      <c r="K79" s="3145"/>
      <c r="O79" s="3185" t="str">
        <f>C76</f>
        <v>NOT REQ.</v>
      </c>
      <c r="P79" s="3172" t="str">
        <f>VLOOKUP(C76,O67:S76,2,0)</f>
        <v>0+0x(0/10-0)^2</v>
      </c>
      <c r="Q79" s="3172">
        <f>VLOOKUP(C76,O67:S76,3,0)</f>
        <v>0</v>
      </c>
      <c r="R79" s="3172">
        <f>VLOOKUP(C76,O67:S76,4,0)</f>
        <v>0</v>
      </c>
      <c r="S79" s="3172">
        <f>VLOOKUP(C76,O67:S76,5,0)</f>
        <v>0</v>
      </c>
    </row>
    <row r="80" spans="1:24">
      <c r="A80" s="3143"/>
      <c r="B80" s="3167" t="s">
        <v>3345</v>
      </c>
      <c r="C80" s="3142" t="s">
        <v>3346</v>
      </c>
      <c r="K80" s="3145"/>
    </row>
    <row r="81" spans="1:15" ht="15" customHeight="1">
      <c r="A81" s="3143"/>
      <c r="B81" s="3167" t="s">
        <v>160</v>
      </c>
      <c r="C81" s="3142" t="str">
        <f>P79</f>
        <v>0+0x(0/10-0)^2</v>
      </c>
      <c r="E81" s="4593" t="s">
        <v>3348</v>
      </c>
      <c r="F81" s="4593"/>
      <c r="H81" s="3157" t="s">
        <v>806</v>
      </c>
      <c r="I81" s="4592" t="str">
        <f>C76</f>
        <v>NOT REQ.</v>
      </c>
      <c r="J81" s="4592"/>
      <c r="K81" s="3145"/>
      <c r="O81" s="3167">
        <f>VLOOKUP(C57,O57:P66,2,0)</f>
        <v>13.1</v>
      </c>
    </row>
    <row r="82" spans="1:15">
      <c r="A82" s="3143"/>
      <c r="B82" s="3172" t="s">
        <v>3345</v>
      </c>
      <c r="C82" s="3168">
        <f>Q79</f>
        <v>0</v>
      </c>
      <c r="D82" s="3142" t="s">
        <v>3351</v>
      </c>
      <c r="E82" s="4593"/>
      <c r="F82" s="4593"/>
      <c r="H82" s="3181" t="s">
        <v>3349</v>
      </c>
      <c r="I82" s="3181"/>
      <c r="J82" s="3168">
        <f>S79</f>
        <v>0</v>
      </c>
      <c r="K82" s="3181" t="s">
        <v>1524</v>
      </c>
      <c r="O82" s="3167">
        <f>VLOOKUP(C76,O57:P66,2,0)</f>
        <v>0</v>
      </c>
    </row>
    <row r="83" spans="1:15">
      <c r="A83" s="3143"/>
      <c r="H83" s="3181" t="s">
        <v>3352</v>
      </c>
      <c r="I83" s="3181"/>
      <c r="J83" s="3168">
        <f>R79</f>
        <v>0</v>
      </c>
      <c r="K83" s="3181" t="s">
        <v>1524</v>
      </c>
    </row>
    <row r="84" spans="1:15">
      <c r="A84" s="3143"/>
      <c r="B84" s="3167" t="s">
        <v>3366</v>
      </c>
      <c r="C84" s="3142" t="s">
        <v>3367</v>
      </c>
      <c r="K84" s="3145"/>
    </row>
    <row r="85" spans="1:15">
      <c r="A85" s="3143"/>
      <c r="B85" s="3167" t="s">
        <v>160</v>
      </c>
      <c r="C85" s="3159" t="str">
        <f>CONCATENATE(2,"x","(",D22,"-",D8,")")</f>
        <v>2x(58.96-1)</v>
      </c>
      <c r="K85" s="3145"/>
    </row>
    <row r="86" spans="1:15">
      <c r="A86" s="3143"/>
      <c r="B86" s="2814" t="s">
        <v>3366</v>
      </c>
      <c r="C86" s="3168">
        <f>ROUND(2*(D22-D8),2)</f>
        <v>115.92</v>
      </c>
      <c r="D86" s="3142" t="s">
        <v>1524</v>
      </c>
      <c r="K86" s="3145"/>
    </row>
    <row r="87" spans="1:15">
      <c r="A87" s="3143"/>
      <c r="G87" s="3142" t="s">
        <v>3368</v>
      </c>
      <c r="I87" s="3168">
        <f>ROUND((2*O81*(Girder!H10/100))+(2*O82*(Girder!H10/100)),2)</f>
        <v>393</v>
      </c>
      <c r="J87" s="3142" t="s">
        <v>276</v>
      </c>
      <c r="K87" s="3145"/>
      <c r="M87" s="3186">
        <f>I87/(Girder!H10/100)</f>
        <v>26.2</v>
      </c>
      <c r="N87" s="3142" t="s">
        <v>3369</v>
      </c>
    </row>
    <row r="88" spans="1:15">
      <c r="A88" s="3143"/>
      <c r="B88" s="3172" t="s">
        <v>3370</v>
      </c>
      <c r="C88" s="3187">
        <f>C86*C70^3</f>
        <v>25.038720000000001</v>
      </c>
      <c r="D88" s="3142" t="s">
        <v>3351</v>
      </c>
      <c r="K88" s="3145"/>
    </row>
    <row r="89" spans="1:15">
      <c r="A89" s="3143"/>
      <c r="B89" s="3142" t="s">
        <v>3079</v>
      </c>
      <c r="K89" s="3145"/>
    </row>
    <row r="90" spans="1:15">
      <c r="A90" s="3143"/>
      <c r="B90" s="4586" t="s">
        <v>3371</v>
      </c>
      <c r="C90" s="4586"/>
      <c r="D90" s="3170" t="str">
        <f>IF(C82&gt;C88,"SAFE","UNSAFE")</f>
        <v>UNSAFE</v>
      </c>
      <c r="K90" s="3145"/>
      <c r="M90" s="3142">
        <f>I87*2</f>
        <v>786</v>
      </c>
    </row>
    <row r="91" spans="1:15">
      <c r="A91" s="3161"/>
      <c r="B91" s="3188"/>
      <c r="C91" s="3188"/>
      <c r="D91" s="3162"/>
      <c r="E91" s="3162"/>
      <c r="F91" s="3162"/>
      <c r="G91" s="3162"/>
      <c r="H91" s="3162"/>
      <c r="I91" s="3162"/>
      <c r="J91" s="3162"/>
      <c r="K91" s="3164"/>
    </row>
    <row r="92" spans="1:15">
      <c r="A92" s="3189" t="s">
        <v>3372</v>
      </c>
      <c r="B92" s="3190" t="s">
        <v>3337</v>
      </c>
      <c r="C92" s="3184" t="str">
        <f>Girder!P42</f>
        <v>Not Req.</v>
      </c>
      <c r="D92" s="4594" t="s">
        <v>3373</v>
      </c>
      <c r="E92" s="4594"/>
      <c r="F92" s="4594"/>
      <c r="G92" s="3140" t="s">
        <v>3374</v>
      </c>
      <c r="H92" s="3140"/>
      <c r="I92" s="3140"/>
      <c r="J92" s="3140"/>
      <c r="K92" s="3141"/>
    </row>
    <row r="93" spans="1:15">
      <c r="A93" s="3143"/>
      <c r="B93" s="3191"/>
      <c r="C93" s="3191"/>
      <c r="D93" s="4595"/>
      <c r="E93" s="4595"/>
      <c r="F93" s="4595"/>
      <c r="G93" s="4596" t="str">
        <f>Girder!B53</f>
        <v>NO STIFFENER PLATE IN BETWEEN COMPRESSION PLATE REQUIRED</v>
      </c>
      <c r="H93" s="4596"/>
      <c r="I93" s="4596"/>
      <c r="J93" s="4596"/>
      <c r="K93" s="3145"/>
    </row>
    <row r="94" spans="1:15">
      <c r="A94" s="3143"/>
      <c r="B94" s="3191"/>
      <c r="C94" s="3191"/>
      <c r="G94" s="4596"/>
      <c r="H94" s="4596"/>
      <c r="I94" s="4596"/>
      <c r="J94" s="4596"/>
      <c r="K94" s="3145"/>
    </row>
    <row r="95" spans="1:15">
      <c r="A95" s="3143"/>
      <c r="B95" s="4597" t="s">
        <v>3114</v>
      </c>
      <c r="C95" s="4597"/>
      <c r="D95" s="4597"/>
      <c r="F95" s="3166" t="s">
        <v>3375</v>
      </c>
      <c r="K95" s="3145"/>
    </row>
    <row r="96" spans="1:15">
      <c r="A96" s="3143"/>
      <c r="B96" s="4598" t="s">
        <v>3376</v>
      </c>
      <c r="C96" s="4599"/>
      <c r="K96" s="3145"/>
    </row>
    <row r="97" spans="1:21">
      <c r="A97" s="3143"/>
      <c r="B97" s="3147" t="s">
        <v>303</v>
      </c>
      <c r="K97" s="3145"/>
    </row>
    <row r="98" spans="1:21">
      <c r="A98" s="3143"/>
      <c r="B98" s="3147" t="s">
        <v>3377</v>
      </c>
      <c r="C98" s="3147"/>
      <c r="D98" s="3168">
        <f>Girder!N42</f>
        <v>0</v>
      </c>
      <c r="E98" s="3142" t="s">
        <v>1524</v>
      </c>
      <c r="F98" s="3168">
        <f>D98*0.394</f>
        <v>0</v>
      </c>
      <c r="G98" s="3142" t="s">
        <v>3119</v>
      </c>
      <c r="K98" s="3145"/>
    </row>
    <row r="99" spans="1:21">
      <c r="A99" s="3143"/>
      <c r="B99" s="3147" t="s">
        <v>3378</v>
      </c>
      <c r="C99" s="3192"/>
      <c r="D99" s="3168">
        <f>Girder!N43</f>
        <v>0</v>
      </c>
      <c r="E99" s="3142" t="s">
        <v>1524</v>
      </c>
      <c r="F99" s="3168">
        <f>D99*0.394</f>
        <v>0</v>
      </c>
      <c r="G99" s="3142" t="s">
        <v>3119</v>
      </c>
      <c r="K99" s="3145"/>
    </row>
    <row r="100" spans="1:21">
      <c r="A100" s="3143"/>
      <c r="B100" s="3191"/>
      <c r="C100" s="3191"/>
      <c r="K100" s="3145"/>
    </row>
    <row r="101" spans="1:21">
      <c r="A101" s="3143"/>
      <c r="B101" s="3193" t="s">
        <v>3379</v>
      </c>
      <c r="C101" s="3194">
        <f>(F99*F98^3)/3</f>
        <v>0</v>
      </c>
      <c r="D101" s="3142" t="s">
        <v>3380</v>
      </c>
      <c r="K101" s="3145"/>
    </row>
    <row r="102" spans="1:21">
      <c r="A102" s="3143"/>
      <c r="K102" s="3145"/>
    </row>
    <row r="103" spans="1:21">
      <c r="A103" s="3143"/>
      <c r="B103" s="3142" t="s">
        <v>3381</v>
      </c>
      <c r="K103" s="3145"/>
    </row>
    <row r="104" spans="1:21">
      <c r="A104" s="3143"/>
      <c r="B104" s="4591" t="s">
        <v>3382</v>
      </c>
      <c r="C104" s="4591"/>
      <c r="D104" s="4591"/>
      <c r="E104" s="4591"/>
      <c r="F104" s="4591"/>
      <c r="G104" s="4591"/>
      <c r="H104" s="3167" t="s">
        <v>160</v>
      </c>
      <c r="I104" s="3195">
        <f>((0.6*(F109/F112))+(0.2*(F109/F112)^2)+3*((F110*F109)/(F112^2*F111)))*(F112*F111^3)</f>
        <v>5.1942167469311151</v>
      </c>
      <c r="J104" s="3142" t="s">
        <v>3380</v>
      </c>
      <c r="K104" s="3145"/>
    </row>
    <row r="105" spans="1:21">
      <c r="A105" s="3143"/>
      <c r="B105" s="3196" t="s">
        <v>3383</v>
      </c>
      <c r="C105" s="3196"/>
      <c r="H105" s="3167"/>
      <c r="K105" s="3145"/>
    </row>
    <row r="106" spans="1:21">
      <c r="A106" s="3143"/>
      <c r="B106" s="4591" t="s">
        <v>3384</v>
      </c>
      <c r="C106" s="4591"/>
      <c r="D106" s="4591"/>
      <c r="E106" s="4591"/>
      <c r="F106" s="4591"/>
      <c r="G106" s="3167"/>
      <c r="H106" s="3167" t="s">
        <v>160</v>
      </c>
      <c r="I106" s="3195">
        <f>(2.2+(10.3*(F110/F112)*F111)*(1+(F110/F112)*F111))*(F112*F111^3)</f>
        <v>1.5798790210297604</v>
      </c>
      <c r="J106" s="3142" t="s">
        <v>3380</v>
      </c>
      <c r="K106" s="3145"/>
      <c r="U106" s="3197"/>
    </row>
    <row r="107" spans="1:21">
      <c r="A107" s="3143"/>
      <c r="K107" s="3145"/>
    </row>
    <row r="108" spans="1:21">
      <c r="A108" s="3143"/>
      <c r="B108" s="3147" t="s">
        <v>303</v>
      </c>
      <c r="K108" s="3145"/>
    </row>
    <row r="109" spans="1:21">
      <c r="A109" s="3143"/>
      <c r="B109" s="3198" t="s">
        <v>3125</v>
      </c>
      <c r="C109" s="3147" t="s">
        <v>3126</v>
      </c>
      <c r="F109" s="3168">
        <f>D25*0.394</f>
        <v>55.160000000000004</v>
      </c>
      <c r="G109" s="3147" t="s">
        <v>3385</v>
      </c>
      <c r="K109" s="3145"/>
    </row>
    <row r="110" spans="1:21">
      <c r="A110" s="3143"/>
      <c r="B110" s="3198" t="s">
        <v>3128</v>
      </c>
      <c r="C110" s="3147" t="s">
        <v>3386</v>
      </c>
      <c r="F110" s="3199">
        <f>F98*F99</f>
        <v>0</v>
      </c>
      <c r="G110" s="3147"/>
      <c r="K110" s="3145"/>
      <c r="M110" s="2814">
        <f>IF(D98&gt;0,J114,0)</f>
        <v>0</v>
      </c>
    </row>
    <row r="111" spans="1:21">
      <c r="A111" s="3143"/>
      <c r="B111" s="3198" t="s">
        <v>3387</v>
      </c>
      <c r="C111" s="3147" t="s">
        <v>3388</v>
      </c>
      <c r="F111" s="3169">
        <f>D8*0.394</f>
        <v>0.39400000000000002</v>
      </c>
      <c r="G111" s="3147" t="s">
        <v>3389</v>
      </c>
      <c r="K111" s="3145"/>
    </row>
    <row r="112" spans="1:21">
      <c r="A112" s="3143"/>
      <c r="B112" s="3198" t="s">
        <v>3390</v>
      </c>
      <c r="C112" s="3147" t="s">
        <v>3134</v>
      </c>
      <c r="F112" s="3169">
        <f>(D16-D10/2-D11/2)*0.394</f>
        <v>11.741200000000001</v>
      </c>
      <c r="G112" s="3147" t="s">
        <v>3391</v>
      </c>
      <c r="K112" s="3145"/>
    </row>
    <row r="113" spans="1:14">
      <c r="A113" s="3143"/>
      <c r="B113" s="3191"/>
      <c r="C113" s="3191"/>
      <c r="K113" s="3145"/>
    </row>
    <row r="114" spans="1:14">
      <c r="A114" s="3143"/>
      <c r="B114" s="3198" t="s">
        <v>473</v>
      </c>
      <c r="G114" s="3142" t="s">
        <v>3392</v>
      </c>
      <c r="J114" s="3168">
        <f>ROUND(((D99*10)*(D98/100)*((Girder!H10+50)/100)*7.85),2)</f>
        <v>0</v>
      </c>
      <c r="K114" s="3145" t="s">
        <v>276</v>
      </c>
      <c r="M114" s="3186">
        <f>J114/(Girder!H10/100)</f>
        <v>0</v>
      </c>
      <c r="N114" s="3142" t="s">
        <v>3369</v>
      </c>
    </row>
    <row r="115" spans="1:14">
      <c r="A115" s="3143"/>
      <c r="B115" s="4601" t="s">
        <v>3393</v>
      </c>
      <c r="C115" s="4602"/>
      <c r="D115" s="4603" t="str">
        <f>C92</f>
        <v>Not Req.</v>
      </c>
      <c r="E115" s="4603"/>
      <c r="F115" s="3170" t="str">
        <f>IF(C101&lt;I104,"UNSAFE",IF(C101&gt;I106,"OVER DESIGN","SAFE"))</f>
        <v>UNSAFE</v>
      </c>
      <c r="K115" s="3145"/>
    </row>
    <row r="116" spans="1:14">
      <c r="A116" s="3143"/>
      <c r="B116" s="3198"/>
      <c r="K116" s="3145"/>
    </row>
    <row r="117" spans="1:14">
      <c r="A117" s="3143"/>
      <c r="B117" s="4586" t="s">
        <v>3394</v>
      </c>
      <c r="C117" s="4586"/>
      <c r="D117" s="4586"/>
      <c r="K117" s="3145"/>
    </row>
    <row r="118" spans="1:14">
      <c r="A118" s="3143"/>
      <c r="B118" s="3142" t="s">
        <v>3395</v>
      </c>
      <c r="F118" s="3200">
        <f>ROUND(Girder!C44,2)</f>
        <v>1335.5</v>
      </c>
      <c r="G118" s="3142" t="s">
        <v>3396</v>
      </c>
      <c r="K118" s="3145"/>
    </row>
    <row r="119" spans="1:14">
      <c r="A119" s="3143"/>
      <c r="B119" s="3142" t="s">
        <v>3397</v>
      </c>
      <c r="H119" s="3167"/>
      <c r="K119" s="3145"/>
    </row>
    <row r="120" spans="1:14">
      <c r="A120" s="3143"/>
      <c r="B120" s="3142" t="s">
        <v>3398</v>
      </c>
      <c r="D120" s="3145"/>
      <c r="F120" s="3200">
        <f>ROUND('G CALCU'!E207,2)</f>
        <v>142.82</v>
      </c>
      <c r="G120" s="3142" t="s">
        <v>3396</v>
      </c>
      <c r="H120" s="3167"/>
      <c r="K120" s="3145"/>
    </row>
    <row r="121" spans="1:14" ht="15" customHeight="1">
      <c r="A121" s="3143"/>
      <c r="B121" s="3142" t="s">
        <v>3397</v>
      </c>
      <c r="H121" s="3167"/>
      <c r="I121" s="3167"/>
      <c r="K121" s="3145"/>
    </row>
    <row r="122" spans="1:14" ht="15" customHeight="1">
      <c r="A122" s="3143"/>
      <c r="B122" s="4604" t="s">
        <v>3399</v>
      </c>
      <c r="C122" s="4604"/>
      <c r="D122" s="4604"/>
      <c r="K122" s="3145"/>
    </row>
    <row r="123" spans="1:14">
      <c r="A123" s="3143"/>
      <c r="B123" s="4604"/>
      <c r="C123" s="4604"/>
      <c r="D123" s="4604"/>
      <c r="E123" s="3142" t="str">
        <f>CONCATENATE("(",F118,"x","(",D22,"-",D8,")",")","/",D22)</f>
        <v>(1335.5x(58.96-1))/58.96</v>
      </c>
      <c r="H123" s="3167" t="s">
        <v>3400</v>
      </c>
      <c r="I123" s="3142" t="str">
        <f>CONCATENATE("(",ROUND(Girder!C45,2),"x","(",D19,"-",D9,")",")","/",D19)</f>
        <v>(1414.96x(63.04-0.8))/63.04</v>
      </c>
      <c r="K123" s="3145"/>
    </row>
    <row r="124" spans="1:14">
      <c r="A124" s="3143"/>
      <c r="D124" s="2814" t="s">
        <v>3401</v>
      </c>
      <c r="E124" s="3168">
        <f>ROUND((F118*(D22-D8))/D22,2)</f>
        <v>1312.85</v>
      </c>
      <c r="F124" s="3142" t="s">
        <v>3396</v>
      </c>
      <c r="H124" s="2814" t="s">
        <v>3400</v>
      </c>
      <c r="I124" s="3168">
        <f>ROUND((Girder!C45*(D19-D9))/D19,2)</f>
        <v>1397</v>
      </c>
      <c r="J124" s="3142" t="s">
        <v>3396</v>
      </c>
      <c r="K124" s="3145"/>
    </row>
    <row r="125" spans="1:14">
      <c r="A125" s="3143"/>
      <c r="H125" s="3167"/>
      <c r="I125" s="3167"/>
      <c r="K125" s="3145"/>
    </row>
    <row r="126" spans="1:14">
      <c r="A126" s="3143"/>
      <c r="B126" s="4604" t="s">
        <v>3402</v>
      </c>
      <c r="C126" s="4604"/>
      <c r="D126" s="4604"/>
      <c r="H126" s="3159"/>
      <c r="K126" s="3145"/>
    </row>
    <row r="127" spans="1:14">
      <c r="A127" s="3143"/>
      <c r="B127" s="4604"/>
      <c r="C127" s="4604"/>
      <c r="D127" s="4604"/>
      <c r="E127" s="3159" t="str">
        <f>CONCATENATE("(",E124,"x","(",D22,"-","(",D8,"+",D24,")",")",")","/","(",D22,"-",D8,")")</f>
        <v>(1312.85x(58.96-(1+16.33)))/(58.96-1)</v>
      </c>
      <c r="K127" s="3145"/>
    </row>
    <row r="128" spans="1:14">
      <c r="A128" s="3143"/>
      <c r="D128" s="2814" t="s">
        <v>3400</v>
      </c>
      <c r="E128" s="3168">
        <f>ROUND((E124*(D22-(D8+D24)))/(D22-D8),2)</f>
        <v>942.96</v>
      </c>
      <c r="F128" s="3142" t="s">
        <v>3396</v>
      </c>
      <c r="K128" s="3145"/>
    </row>
    <row r="129" spans="1:11">
      <c r="A129" s="3143"/>
      <c r="K129" s="3145"/>
    </row>
    <row r="130" spans="1:11">
      <c r="A130" s="3143"/>
      <c r="B130" s="4604" t="s">
        <v>3403</v>
      </c>
      <c r="C130" s="4604"/>
      <c r="D130" s="4604"/>
      <c r="I130" s="3159"/>
      <c r="K130" s="3145"/>
    </row>
    <row r="131" spans="1:11">
      <c r="A131" s="3143"/>
      <c r="B131" s="4604"/>
      <c r="C131" s="4604"/>
      <c r="D131" s="4604"/>
      <c r="E131" s="3159" t="str">
        <f>CONCATENATE("(",E128,"x","(",D22,"-","(",D8,"+",D24,"+",J63,")",")",")","/","(",D22,"-","(",D8,"+",D24,")")</f>
        <v>(942.96x(58.96-(1+16.33+12.5)))/(58.96-(1+16.33)</v>
      </c>
      <c r="K131" s="3145"/>
    </row>
    <row r="132" spans="1:11">
      <c r="A132" s="3143"/>
      <c r="D132" s="2814" t="s">
        <v>3404</v>
      </c>
      <c r="E132" s="3168">
        <f>ROUND((E128*(D22-(D8+D24+J63)))/(D22-(D8+D24)),2)</f>
        <v>659.82</v>
      </c>
      <c r="F132" s="3142" t="s">
        <v>3396</v>
      </c>
      <c r="K132" s="3145"/>
    </row>
    <row r="133" spans="1:11">
      <c r="A133" s="3201"/>
      <c r="K133" s="3145"/>
    </row>
    <row r="134" spans="1:11">
      <c r="A134" s="3201"/>
      <c r="B134" s="4604" t="s">
        <v>3405</v>
      </c>
      <c r="C134" s="4604"/>
      <c r="D134" s="4604"/>
      <c r="K134" s="3145"/>
    </row>
    <row r="135" spans="1:11">
      <c r="A135" s="3201"/>
      <c r="B135" s="4604"/>
      <c r="C135" s="4604"/>
      <c r="D135" s="4604"/>
      <c r="E135" s="3159" t="str">
        <f>CONCATENATE("(",E132,"x",J83,"/",2,")","/","(",D22,"-","(",D8,"+",D24,"+",J63,")")</f>
        <v>(659.82x0/2)/(58.96-(1+16.33+12.5)</v>
      </c>
      <c r="K135" s="3145"/>
    </row>
    <row r="136" spans="1:11" ht="15" customHeight="1">
      <c r="A136" s="3201"/>
      <c r="D136" s="2814" t="s">
        <v>3406</v>
      </c>
      <c r="E136" s="3168">
        <f>ROUND((E132*(J83/2))/(D22-(D8+D24+J63)),2)</f>
        <v>0</v>
      </c>
      <c r="F136" s="3142" t="s">
        <v>3396</v>
      </c>
      <c r="K136" s="3145"/>
    </row>
    <row r="137" spans="1:11">
      <c r="A137" s="3202"/>
      <c r="B137" s="3162"/>
      <c r="C137" s="3162"/>
      <c r="D137" s="3162"/>
      <c r="E137" s="3162"/>
      <c r="F137" s="3162"/>
      <c r="G137" s="3162"/>
      <c r="H137" s="3162"/>
      <c r="I137" s="3162"/>
      <c r="J137" s="3162"/>
      <c r="K137" s="3164"/>
    </row>
    <row r="138" spans="1:11">
      <c r="A138" s="3139"/>
      <c r="B138" s="4586" t="s">
        <v>3407</v>
      </c>
      <c r="C138" s="4586"/>
      <c r="D138" s="3203"/>
      <c r="E138" s="3140"/>
      <c r="F138" s="3140"/>
      <c r="G138" s="3140"/>
      <c r="H138" s="3140"/>
      <c r="I138" s="3140"/>
      <c r="J138" s="3140"/>
      <c r="K138" s="3141"/>
    </row>
    <row r="139" spans="1:11" ht="15" customHeight="1">
      <c r="A139" s="3143"/>
      <c r="K139" s="3145"/>
    </row>
    <row r="140" spans="1:11" ht="15.4">
      <c r="A140" s="3143"/>
      <c r="B140" s="3142" t="s">
        <v>3408</v>
      </c>
      <c r="D140" s="3204">
        <f>E128/E124</f>
        <v>0.71825417983775763</v>
      </c>
      <c r="E140" s="3142" t="s">
        <v>3409</v>
      </c>
      <c r="G140" s="3142" t="s">
        <v>3408</v>
      </c>
      <c r="I140" s="3204">
        <f>I124/E124</f>
        <v>1.0640971931294512</v>
      </c>
      <c r="J140" s="3142" t="s">
        <v>3409</v>
      </c>
      <c r="K140" s="3145"/>
    </row>
    <row r="141" spans="1:11" ht="14.65">
      <c r="A141" s="3143"/>
      <c r="C141" s="3205" t="s">
        <v>3410</v>
      </c>
      <c r="D141" s="3204">
        <f>D25/M28</f>
        <v>8.5731781996325793</v>
      </c>
      <c r="E141" s="3142" t="s">
        <v>3411</v>
      </c>
      <c r="K141" s="3145"/>
    </row>
    <row r="142" spans="1:11">
      <c r="A142" s="3143"/>
      <c r="B142" s="3142" t="s">
        <v>3412</v>
      </c>
      <c r="K142" s="3145"/>
    </row>
    <row r="143" spans="1:11">
      <c r="A143" s="3143"/>
      <c r="B143" s="3166" t="s">
        <v>3413</v>
      </c>
      <c r="K143" s="3145"/>
    </row>
    <row r="144" spans="1:11">
      <c r="A144" s="3143"/>
      <c r="B144" s="3142" t="s">
        <v>3414</v>
      </c>
      <c r="K144" s="3145"/>
    </row>
    <row r="145" spans="1:11">
      <c r="A145" s="3143"/>
      <c r="B145" s="3142" t="s">
        <v>3415</v>
      </c>
      <c r="D145" s="3142" t="s">
        <v>3416</v>
      </c>
      <c r="K145" s="3145"/>
    </row>
    <row r="146" spans="1:11" ht="14.65">
      <c r="A146" s="3143"/>
      <c r="C146" s="3157" t="s">
        <v>3417</v>
      </c>
      <c r="D146" s="2814" t="s">
        <v>3418</v>
      </c>
      <c r="K146" s="3145"/>
    </row>
    <row r="147" spans="1:11">
      <c r="A147" s="3143"/>
      <c r="K147" s="3145"/>
    </row>
    <row r="148" spans="1:11" ht="15" customHeight="1">
      <c r="A148" s="3143"/>
      <c r="B148" s="3142" t="s">
        <v>3419</v>
      </c>
      <c r="D148" s="3206" t="s">
        <v>3420</v>
      </c>
      <c r="G148" s="3139" t="s">
        <v>3419</v>
      </c>
      <c r="H148" s="3140"/>
      <c r="I148" s="3140"/>
      <c r="J148" s="3206" t="s">
        <v>3421</v>
      </c>
      <c r="K148" s="3145"/>
    </row>
    <row r="149" spans="1:11">
      <c r="A149" s="3143"/>
      <c r="B149" s="3142" t="s">
        <v>473</v>
      </c>
      <c r="G149" s="3143" t="s">
        <v>473</v>
      </c>
      <c r="J149" s="3145"/>
      <c r="K149" s="3145"/>
    </row>
    <row r="150" spans="1:11" ht="15" customHeight="1">
      <c r="A150" s="3143"/>
      <c r="B150" s="4604" t="s">
        <v>3422</v>
      </c>
      <c r="C150" s="4604"/>
      <c r="G150" s="3143" t="s">
        <v>3422</v>
      </c>
      <c r="J150" s="3145"/>
      <c r="K150" s="3145"/>
    </row>
    <row r="151" spans="1:11">
      <c r="A151" s="3143"/>
      <c r="B151" s="4604"/>
      <c r="C151" s="4604"/>
      <c r="D151" s="4600" t="s">
        <v>3423</v>
      </c>
      <c r="E151" s="4600"/>
      <c r="G151" s="3143"/>
      <c r="H151" s="4600" t="s">
        <v>3424</v>
      </c>
      <c r="I151" s="4600"/>
      <c r="J151" s="4600"/>
      <c r="K151" s="3208"/>
    </row>
    <row r="152" spans="1:11">
      <c r="A152" s="3143"/>
      <c r="C152" s="3172" t="s">
        <v>3425</v>
      </c>
      <c r="D152" s="2814">
        <f>ROUND(8.4/(D140+1.1),2)</f>
        <v>4.62</v>
      </c>
      <c r="G152" s="3143"/>
      <c r="H152" s="3209" t="s">
        <v>3425</v>
      </c>
      <c r="I152" s="3210">
        <f>ROUND((2.1*(D141+(1/D141))^2)/(D140+1.1),2)</f>
        <v>87.21</v>
      </c>
      <c r="J152" s="3145"/>
      <c r="K152" s="3145"/>
    </row>
    <row r="153" spans="1:11">
      <c r="A153" s="3143"/>
      <c r="G153" s="3143"/>
      <c r="J153" s="3145"/>
      <c r="K153" s="3145"/>
    </row>
    <row r="154" spans="1:11">
      <c r="A154" s="3143"/>
      <c r="B154" s="4604" t="s">
        <v>3426</v>
      </c>
      <c r="C154" s="4604"/>
      <c r="G154" s="4605" t="s">
        <v>3426</v>
      </c>
      <c r="H154" s="4604"/>
      <c r="J154" s="3145"/>
      <c r="K154" s="3145"/>
    </row>
    <row r="155" spans="1:11">
      <c r="A155" s="3143"/>
      <c r="B155" s="4604"/>
      <c r="C155" s="4604"/>
      <c r="D155" s="4600" t="s">
        <v>3427</v>
      </c>
      <c r="E155" s="4600"/>
      <c r="G155" s="4605"/>
      <c r="H155" s="4604"/>
      <c r="I155" s="4600" t="s">
        <v>3428</v>
      </c>
      <c r="J155" s="4600"/>
      <c r="K155" s="3145"/>
    </row>
    <row r="156" spans="1:11">
      <c r="A156" s="3143"/>
      <c r="C156" s="3172" t="s">
        <v>3429</v>
      </c>
      <c r="D156" s="2814">
        <f>ROUND(5.34+(4/D141^2),2)</f>
        <v>5.39</v>
      </c>
      <c r="G156" s="3161"/>
      <c r="H156" s="3172" t="s">
        <v>3429</v>
      </c>
      <c r="I156" s="2814">
        <f>ROUND(4+(5.34/D141^2),2)</f>
        <v>4.07</v>
      </c>
      <c r="J156" s="3164"/>
      <c r="K156" s="3145"/>
    </row>
    <row r="157" spans="1:11">
      <c r="A157" s="3143"/>
      <c r="B157" s="3142" t="s">
        <v>3412</v>
      </c>
      <c r="K157" s="3145"/>
    </row>
    <row r="158" spans="1:11">
      <c r="A158" s="3143"/>
      <c r="B158" s="4595" t="s">
        <v>3430</v>
      </c>
      <c r="C158" s="4595"/>
      <c r="D158" s="3211"/>
      <c r="K158" s="3145"/>
    </row>
    <row r="159" spans="1:11">
      <c r="A159" s="3143"/>
      <c r="B159" s="4595"/>
      <c r="C159" s="4595"/>
      <c r="D159" s="3211" t="s">
        <v>3431</v>
      </c>
      <c r="K159" s="3145"/>
    </row>
    <row r="160" spans="1:11">
      <c r="A160" s="3143"/>
      <c r="K160" s="3145"/>
    </row>
    <row r="161" spans="1:11">
      <c r="A161" s="3143"/>
      <c r="B161" s="4595" t="s">
        <v>3432</v>
      </c>
      <c r="C161" s="4595"/>
      <c r="D161" s="3211"/>
      <c r="K161" s="3145"/>
    </row>
    <row r="162" spans="1:11">
      <c r="A162" s="3143"/>
      <c r="B162" s="4595"/>
      <c r="C162" s="4595"/>
      <c r="D162" s="3211" t="s">
        <v>3433</v>
      </c>
      <c r="K162" s="3145"/>
    </row>
    <row r="163" spans="1:11" ht="15" customHeight="1">
      <c r="A163" s="3143"/>
      <c r="B163" s="3142" t="s">
        <v>303</v>
      </c>
      <c r="K163" s="3145"/>
    </row>
    <row r="164" spans="1:11">
      <c r="A164" s="3143"/>
      <c r="B164" s="4606" t="s">
        <v>3434</v>
      </c>
      <c r="C164" s="4606"/>
      <c r="D164" s="3142" t="s">
        <v>3435</v>
      </c>
      <c r="F164" s="3142" t="s">
        <v>438</v>
      </c>
      <c r="K164" s="3145"/>
    </row>
    <row r="165" spans="1:11">
      <c r="A165" s="3143"/>
      <c r="C165" s="3167" t="s">
        <v>2901</v>
      </c>
      <c r="D165" s="3142" t="s">
        <v>3436</v>
      </c>
      <c r="F165" s="3168">
        <f>D10*10</f>
        <v>6</v>
      </c>
      <c r="G165" s="3142" t="s">
        <v>466</v>
      </c>
      <c r="K165" s="3145"/>
    </row>
    <row r="166" spans="1:11">
      <c r="A166" s="3143"/>
      <c r="C166" s="3167" t="s">
        <v>3437</v>
      </c>
      <c r="D166" s="3142" t="s">
        <v>3438</v>
      </c>
      <c r="F166" s="3212">
        <f>M28*10</f>
        <v>163.29999999999998</v>
      </c>
      <c r="G166" s="3142" t="s">
        <v>466</v>
      </c>
      <c r="K166" s="3145"/>
    </row>
    <row r="167" spans="1:11">
      <c r="A167" s="3143"/>
      <c r="B167" s="4606" t="s">
        <v>3434</v>
      </c>
      <c r="C167" s="4606"/>
      <c r="D167" s="3142" t="str">
        <f>CONCATENATE(189800,"x","(",F165,"/",F166,")","^",2)</f>
        <v>189800x(6/163.3)^2</v>
      </c>
      <c r="K167" s="3145"/>
    </row>
    <row r="168" spans="1:11">
      <c r="A168" s="3143"/>
      <c r="B168" s="3191"/>
      <c r="C168" s="3191" t="s">
        <v>160</v>
      </c>
      <c r="D168" s="3187">
        <f>189800*(F165/F166)^2</f>
        <v>256.22785409172201</v>
      </c>
      <c r="E168" s="3142" t="s">
        <v>438</v>
      </c>
      <c r="K168" s="3145"/>
    </row>
    <row r="169" spans="1:11" ht="15" customHeight="1">
      <c r="A169" s="3143"/>
      <c r="B169" s="3191"/>
      <c r="C169" s="3191"/>
      <c r="K169" s="3145"/>
    </row>
    <row r="170" spans="1:11" ht="15" customHeight="1">
      <c r="A170" s="3143"/>
      <c r="B170" s="4586" t="s">
        <v>3434</v>
      </c>
      <c r="C170" s="4586"/>
      <c r="D170" s="3168">
        <f>ROUND((D168*100)/9.81,2)</f>
        <v>2611.9</v>
      </c>
      <c r="E170" s="3142" t="s">
        <v>3439</v>
      </c>
      <c r="K170" s="3145"/>
    </row>
    <row r="171" spans="1:11" ht="15" customHeight="1">
      <c r="A171" s="3143"/>
      <c r="K171" s="3145"/>
    </row>
    <row r="172" spans="1:11" ht="14.65">
      <c r="A172" s="3143"/>
      <c r="B172" s="3213" t="s">
        <v>3440</v>
      </c>
      <c r="C172" s="3198" t="str">
        <f>CONCATENATE(D152," x ",D170)</f>
        <v>4.62 x 2611.9</v>
      </c>
      <c r="F172" s="3214" t="s">
        <v>3440</v>
      </c>
      <c r="G172" s="3215" t="str">
        <f>CONCATENATE(I152," x ",D170)</f>
        <v>87.21 x 2611.9</v>
      </c>
      <c r="H172" s="3141"/>
      <c r="I172" s="3206" t="s">
        <v>3421</v>
      </c>
      <c r="K172" s="3145"/>
    </row>
    <row r="173" spans="1:11" ht="14.65">
      <c r="A173" s="3143"/>
      <c r="B173" s="3216" t="s">
        <v>3440</v>
      </c>
      <c r="C173" s="3217">
        <f>D152*D170</f>
        <v>12066.978000000001</v>
      </c>
      <c r="D173" s="3142" t="s">
        <v>3439</v>
      </c>
      <c r="F173" s="3216" t="s">
        <v>3440</v>
      </c>
      <c r="G173" s="3217">
        <f>I152*D170</f>
        <v>227783.799</v>
      </c>
      <c r="H173" s="3145" t="s">
        <v>3439</v>
      </c>
      <c r="K173" s="3145"/>
    </row>
    <row r="174" spans="1:11">
      <c r="A174" s="3143"/>
      <c r="F174" s="3143"/>
      <c r="H174" s="3145"/>
      <c r="K174" s="3145"/>
    </row>
    <row r="175" spans="1:11">
      <c r="A175" s="3143"/>
      <c r="B175" s="3213" t="s">
        <v>3441</v>
      </c>
      <c r="C175" s="3198" t="str">
        <f>CONCATENATE(D156," x ",D170)</f>
        <v>5.39 x 2611.9</v>
      </c>
      <c r="F175" s="3218" t="s">
        <v>3441</v>
      </c>
      <c r="G175" s="3192" t="str">
        <f>CONCATENATE(I156," x ",D170)</f>
        <v>4.07 x 2611.9</v>
      </c>
      <c r="H175" s="3145"/>
      <c r="K175" s="3145"/>
    </row>
    <row r="176" spans="1:11">
      <c r="A176" s="3143"/>
      <c r="B176" s="3216" t="s">
        <v>3441</v>
      </c>
      <c r="C176" s="3217">
        <f>D156*D170</f>
        <v>14078.141</v>
      </c>
      <c r="D176" s="3142" t="s">
        <v>3439</v>
      </c>
      <c r="F176" s="3216" t="s">
        <v>3441</v>
      </c>
      <c r="G176" s="3217">
        <f>I156*D170</f>
        <v>10630.433000000001</v>
      </c>
      <c r="H176" s="3164" t="s">
        <v>3439</v>
      </c>
      <c r="K176" s="3145"/>
    </row>
    <row r="177" spans="1:11">
      <c r="A177" s="3161"/>
      <c r="B177" s="3162"/>
      <c r="C177" s="3162"/>
      <c r="D177" s="3162"/>
      <c r="E177" s="3162"/>
      <c r="F177" s="3162"/>
      <c r="G177" s="3162"/>
      <c r="H177" s="3162"/>
      <c r="I177" s="3162"/>
      <c r="J177" s="3162"/>
      <c r="K177" s="3164"/>
    </row>
    <row r="178" spans="1:11">
      <c r="A178" s="3139"/>
      <c r="B178" s="3140" t="s">
        <v>3412</v>
      </c>
      <c r="C178" s="3140"/>
      <c r="D178" s="3140"/>
      <c r="E178" s="3140"/>
      <c r="F178" s="3140"/>
      <c r="G178" s="3140"/>
      <c r="H178" s="3140"/>
      <c r="I178" s="3140"/>
      <c r="J178" s="3140"/>
      <c r="K178" s="3141"/>
    </row>
    <row r="179" spans="1:11">
      <c r="A179" s="3143"/>
      <c r="B179" s="3142" t="s">
        <v>3442</v>
      </c>
      <c r="K179" s="3145"/>
    </row>
    <row r="180" spans="1:11">
      <c r="A180" s="3143"/>
      <c r="K180" s="3145"/>
    </row>
    <row r="181" spans="1:11">
      <c r="A181" s="3143"/>
      <c r="B181" s="3167" t="s">
        <v>3443</v>
      </c>
      <c r="C181" s="4607" t="s">
        <v>3444</v>
      </c>
      <c r="D181" s="4607"/>
      <c r="E181" s="4607"/>
      <c r="F181" s="4607"/>
      <c r="K181" s="3145"/>
    </row>
    <row r="182" spans="1:11">
      <c r="A182" s="3143"/>
      <c r="C182" s="3142" t="s">
        <v>3445</v>
      </c>
      <c r="K182" s="3145"/>
    </row>
    <row r="183" spans="1:11">
      <c r="A183" s="3143"/>
      <c r="B183" s="3142" t="s">
        <v>303</v>
      </c>
      <c r="K183" s="3145"/>
    </row>
    <row r="184" spans="1:11">
      <c r="A184" s="3143"/>
      <c r="B184" s="3191" t="s">
        <v>3446</v>
      </c>
      <c r="C184" s="3220" t="s">
        <v>3447</v>
      </c>
      <c r="K184" s="3145"/>
    </row>
    <row r="185" spans="1:11" ht="15" customHeight="1">
      <c r="A185" s="3143"/>
      <c r="K185" s="3145"/>
    </row>
    <row r="186" spans="1:11">
      <c r="A186" s="3143"/>
      <c r="B186" s="3167" t="s">
        <v>3443</v>
      </c>
      <c r="C186" s="4607" t="str">
        <f>CONCATENATE("(",E124,"^",2,"+",3,"x",F120,"^",2,")","^",0.5)</f>
        <v>(1312.85^2+3x142.82^2)^0.5</v>
      </c>
      <c r="D186" s="4607"/>
      <c r="E186" s="4607"/>
      <c r="F186" s="4607"/>
      <c r="K186" s="3145"/>
    </row>
    <row r="187" spans="1:11" ht="15" customHeight="1">
      <c r="A187" s="3143"/>
      <c r="C187" s="3142" t="s">
        <v>3445</v>
      </c>
      <c r="D187" s="3221"/>
      <c r="E187" s="3221"/>
      <c r="F187" s="3221"/>
      <c r="K187" s="3145"/>
    </row>
    <row r="188" spans="1:11">
      <c r="A188" s="3143"/>
      <c r="C188" s="3222"/>
      <c r="D188" s="3222"/>
      <c r="E188" s="3222"/>
      <c r="F188" s="3222"/>
      <c r="K188" s="3145"/>
    </row>
    <row r="189" spans="1:11" ht="15" customHeight="1">
      <c r="A189" s="3143"/>
      <c r="B189" s="3167" t="s">
        <v>3443</v>
      </c>
      <c r="C189" s="3223">
        <f>((E124^2+3*F120^2)^0.5)</f>
        <v>1335.9520124989519</v>
      </c>
      <c r="F189" s="3224" t="s">
        <v>3443</v>
      </c>
      <c r="G189" s="3225">
        <f>((E124^2+3*F120^2)^0.5)</f>
        <v>1335.9520124989519</v>
      </c>
      <c r="H189" s="3141"/>
      <c r="I189" s="3206" t="s">
        <v>3421</v>
      </c>
      <c r="K189" s="3145"/>
    </row>
    <row r="190" spans="1:11">
      <c r="A190" s="3143"/>
      <c r="C190" s="3226">
        <f>((1+D140)/4)*(E124/C173)*((((3-D140)/4*(E124/C173))^2+(F120/C176)^2)^0.5)</f>
        <v>2.9389616465742225E-3</v>
      </c>
      <c r="F190" s="3143"/>
      <c r="G190" s="3227">
        <f>((1+D140)/4)*(E124/G173)*((((3-D140)/4*(E124/G173))^2+(F120/G176)^2)^0.5)</f>
        <v>3.4244220095770066E-5</v>
      </c>
      <c r="H190" s="3145"/>
      <c r="K190" s="3145"/>
    </row>
    <row r="191" spans="1:11">
      <c r="A191" s="3143"/>
      <c r="B191" s="3172" t="s">
        <v>3443</v>
      </c>
      <c r="C191" s="3187">
        <f>C189/C190</f>
        <v>454565.99069817527</v>
      </c>
      <c r="D191" s="3142" t="s">
        <v>3439</v>
      </c>
      <c r="F191" s="3172" t="s">
        <v>3443</v>
      </c>
      <c r="G191" s="3212">
        <f>G189/G190</f>
        <v>39012481.778318323</v>
      </c>
      <c r="H191" s="3164" t="s">
        <v>3439</v>
      </c>
      <c r="K191" s="3145"/>
    </row>
    <row r="192" spans="1:11">
      <c r="A192" s="3143"/>
      <c r="K192" s="3145"/>
    </row>
    <row r="193" spans="1:11">
      <c r="A193" s="3143"/>
      <c r="B193" s="3142" t="s">
        <v>3448</v>
      </c>
      <c r="F193" s="3169">
        <f>250*9.81</f>
        <v>2452.5</v>
      </c>
      <c r="G193" s="3142" t="s">
        <v>3439</v>
      </c>
      <c r="K193" s="3145"/>
    </row>
    <row r="194" spans="1:11">
      <c r="A194" s="3143"/>
      <c r="B194" s="3142" t="s">
        <v>2983</v>
      </c>
      <c r="K194" s="3145"/>
    </row>
    <row r="195" spans="1:11" ht="15" customHeight="1">
      <c r="A195" s="3143"/>
      <c r="B195" s="3142" t="s">
        <v>3449</v>
      </c>
      <c r="K195" s="3145"/>
    </row>
    <row r="196" spans="1:11">
      <c r="A196" s="3143"/>
      <c r="B196" s="3142" t="s">
        <v>3079</v>
      </c>
      <c r="K196" s="3145"/>
    </row>
    <row r="197" spans="1:11">
      <c r="A197" s="3143"/>
      <c r="B197" s="3142" t="s">
        <v>3450</v>
      </c>
      <c r="K197" s="3145"/>
    </row>
    <row r="198" spans="1:11">
      <c r="A198" s="3228" t="s">
        <v>3451</v>
      </c>
      <c r="B198" s="4586" t="s">
        <v>3452</v>
      </c>
      <c r="C198" s="4586"/>
      <c r="D198" s="3172" t="s">
        <v>3453</v>
      </c>
      <c r="K198" s="3145"/>
    </row>
    <row r="199" spans="1:11" ht="15" customHeight="1">
      <c r="A199" s="3143"/>
      <c r="B199" s="3142" t="s">
        <v>303</v>
      </c>
      <c r="K199" s="3145"/>
    </row>
    <row r="200" spans="1:11">
      <c r="A200" s="3143"/>
      <c r="B200" s="3167" t="s">
        <v>3454</v>
      </c>
      <c r="C200" s="3142" t="s">
        <v>3455</v>
      </c>
      <c r="K200" s="3145"/>
    </row>
    <row r="201" spans="1:11" ht="15" customHeight="1">
      <c r="A201" s="3143"/>
      <c r="B201" s="3167" t="s">
        <v>160</v>
      </c>
      <c r="C201" s="3142" t="str">
        <f>CONCATENATE("(",E124,"^",2,"+",3,"x",F120,"^",2,")","^",0.5)</f>
        <v>(1312.85^2+3x142.82^2)^0.5</v>
      </c>
      <c r="K201" s="3145"/>
    </row>
    <row r="202" spans="1:11">
      <c r="A202" s="3143"/>
      <c r="B202" s="3172" t="s">
        <v>3454</v>
      </c>
      <c r="C202" s="3195">
        <f>C189</f>
        <v>1335.9520124989519</v>
      </c>
      <c r="D202" s="3142" t="s">
        <v>3439</v>
      </c>
      <c r="K202" s="3145"/>
    </row>
    <row r="203" spans="1:11">
      <c r="A203" s="3143"/>
      <c r="K203" s="3145"/>
    </row>
    <row r="204" spans="1:11">
      <c r="A204" s="3143"/>
      <c r="B204" s="3167" t="s">
        <v>3456</v>
      </c>
      <c r="C204" s="3142" t="s">
        <v>3457</v>
      </c>
      <c r="K204" s="3145"/>
    </row>
    <row r="205" spans="1:11">
      <c r="A205" s="3143"/>
      <c r="B205" s="3167" t="s">
        <v>3456</v>
      </c>
      <c r="C205" s="3229">
        <v>221</v>
      </c>
      <c r="D205" s="3142" t="s">
        <v>438</v>
      </c>
      <c r="E205" s="3166" t="s">
        <v>3458</v>
      </c>
      <c r="K205" s="3145"/>
    </row>
    <row r="206" spans="1:11">
      <c r="A206" s="3143"/>
      <c r="B206" s="2814" t="s">
        <v>3456</v>
      </c>
      <c r="C206" s="3187">
        <f>ROUND(C205*100/9.81,2)</f>
        <v>2252.8000000000002</v>
      </c>
      <c r="D206" s="3142" t="s">
        <v>3439</v>
      </c>
      <c r="E206" s="3166"/>
      <c r="K206" s="3145"/>
    </row>
    <row r="207" spans="1:11">
      <c r="A207" s="3143"/>
      <c r="K207" s="3145"/>
    </row>
    <row r="208" spans="1:11">
      <c r="A208" s="3143"/>
      <c r="B208" s="3167" t="s">
        <v>1029</v>
      </c>
      <c r="C208" s="3142" t="s">
        <v>3459</v>
      </c>
      <c r="F208" s="3166" t="s">
        <v>3460</v>
      </c>
      <c r="G208" s="3166"/>
      <c r="H208" s="3166"/>
      <c r="K208" s="3145"/>
    </row>
    <row r="209" spans="1:11">
      <c r="A209" s="3143"/>
      <c r="B209" s="3167" t="s">
        <v>1029</v>
      </c>
      <c r="C209" s="4591" t="s">
        <v>3461</v>
      </c>
      <c r="D209" s="4591"/>
      <c r="E209" s="3172" t="s">
        <v>3462</v>
      </c>
      <c r="F209" s="3166"/>
      <c r="K209" s="3145"/>
    </row>
    <row r="210" spans="1:11">
      <c r="A210" s="3143"/>
      <c r="B210" s="3167" t="s">
        <v>1029</v>
      </c>
      <c r="C210" s="3187">
        <f>ROUND(1.5+0.075*(D140-1),2)</f>
        <v>1.48</v>
      </c>
      <c r="F210" s="3166"/>
      <c r="K210" s="3145"/>
    </row>
    <row r="211" spans="1:11">
      <c r="A211" s="3143"/>
      <c r="B211" s="3142" t="s">
        <v>473</v>
      </c>
      <c r="K211" s="3145"/>
    </row>
    <row r="212" spans="1:11">
      <c r="A212" s="3143"/>
      <c r="B212" s="3167" t="s">
        <v>3463</v>
      </c>
      <c r="C212" s="3167" t="str">
        <f>CONCATENATE(C206,"/",C210)</f>
        <v>2252.8/1.48</v>
      </c>
      <c r="K212" s="3145"/>
    </row>
    <row r="213" spans="1:11">
      <c r="A213" s="3143"/>
      <c r="B213" s="3172" t="s">
        <v>3463</v>
      </c>
      <c r="C213" s="3195">
        <f>C206/C210</f>
        <v>1522.1621621621623</v>
      </c>
      <c r="D213" s="3142" t="s">
        <v>3439</v>
      </c>
      <c r="K213" s="3145"/>
    </row>
    <row r="214" spans="1:11">
      <c r="A214" s="3143"/>
      <c r="K214" s="3145"/>
    </row>
    <row r="215" spans="1:11">
      <c r="A215" s="3143"/>
      <c r="B215" s="3142" t="s">
        <v>3079</v>
      </c>
      <c r="K215" s="3145"/>
    </row>
    <row r="216" spans="1:11">
      <c r="A216" s="3143"/>
      <c r="B216" s="3172" t="s">
        <v>3464</v>
      </c>
      <c r="C216" s="3172" t="s">
        <v>3453</v>
      </c>
      <c r="D216" s="4608" t="str">
        <f>IF(C202&lt;C213,"SAFE IN BUCKLING  FOR ","UNSAFE")</f>
        <v xml:space="preserve">SAFE IN BUCKLING  FOR </v>
      </c>
      <c r="E216" s="4609"/>
      <c r="F216" s="3230" t="s">
        <v>3462</v>
      </c>
      <c r="K216" s="3145"/>
    </row>
    <row r="217" spans="1:11">
      <c r="A217" s="3161"/>
      <c r="B217" s="3162"/>
      <c r="C217" s="3162"/>
      <c r="D217" s="3162"/>
      <c r="E217" s="3162"/>
      <c r="F217" s="3162"/>
      <c r="G217" s="3162"/>
      <c r="H217" s="3162"/>
      <c r="I217" s="3162"/>
      <c r="J217" s="3162"/>
      <c r="K217" s="3164"/>
    </row>
    <row r="218" spans="1:11">
      <c r="A218" s="3139"/>
      <c r="B218" s="4586" t="s">
        <v>3465</v>
      </c>
      <c r="C218" s="4586"/>
      <c r="D218" s="3203"/>
      <c r="E218" s="3140"/>
      <c r="F218" s="3140"/>
      <c r="G218" s="3140"/>
      <c r="H218" s="3140"/>
      <c r="I218" s="3140"/>
      <c r="J218" s="3140"/>
      <c r="K218" s="3141"/>
    </row>
    <row r="219" spans="1:11">
      <c r="A219" s="3143"/>
      <c r="K219" s="3145"/>
    </row>
    <row r="220" spans="1:11" ht="15.4">
      <c r="A220" s="3143"/>
      <c r="B220" s="3142" t="s">
        <v>3408</v>
      </c>
      <c r="D220" s="3204">
        <f>E136/E132</f>
        <v>0</v>
      </c>
      <c r="E220" s="3142" t="s">
        <v>3466</v>
      </c>
      <c r="K220" s="3145"/>
    </row>
    <row r="221" spans="1:11" ht="14.65">
      <c r="A221" s="3143"/>
      <c r="C221" s="3205" t="s">
        <v>3467</v>
      </c>
      <c r="D221" s="3204">
        <f>D28/D27</f>
        <v>4.8060418812221082</v>
      </c>
      <c r="E221" s="3142" t="s">
        <v>3468</v>
      </c>
      <c r="K221" s="3145"/>
    </row>
    <row r="222" spans="1:11">
      <c r="A222" s="3143"/>
      <c r="B222" s="3142" t="s">
        <v>3412</v>
      </c>
      <c r="K222" s="3145"/>
    </row>
    <row r="223" spans="1:11">
      <c r="A223" s="3143"/>
      <c r="B223" s="3166" t="s">
        <v>3413</v>
      </c>
      <c r="K223" s="3145"/>
    </row>
    <row r="224" spans="1:11">
      <c r="A224" s="3143"/>
      <c r="B224" s="3142" t="s">
        <v>3414</v>
      </c>
      <c r="K224" s="3145"/>
    </row>
    <row r="225" spans="1:11">
      <c r="A225" s="3143"/>
      <c r="B225" s="3142" t="s">
        <v>3415</v>
      </c>
      <c r="D225" s="3142" t="s">
        <v>3416</v>
      </c>
      <c r="K225" s="3145"/>
    </row>
    <row r="226" spans="1:11" ht="14.65">
      <c r="A226" s="3143"/>
      <c r="C226" s="3157" t="s">
        <v>3417</v>
      </c>
      <c r="D226" s="2814" t="s">
        <v>3469</v>
      </c>
      <c r="K226" s="3145"/>
    </row>
    <row r="227" spans="1:11">
      <c r="A227" s="3143"/>
      <c r="K227" s="3145"/>
    </row>
    <row r="228" spans="1:11" ht="14.65">
      <c r="A228" s="3143"/>
      <c r="B228" s="3142" t="s">
        <v>3419</v>
      </c>
      <c r="D228" s="3206" t="s">
        <v>3420</v>
      </c>
      <c r="K228" s="3145"/>
    </row>
    <row r="229" spans="1:11">
      <c r="A229" s="3143"/>
      <c r="B229" s="3142" t="s">
        <v>473</v>
      </c>
      <c r="K229" s="3145"/>
    </row>
    <row r="230" spans="1:11">
      <c r="A230" s="3143"/>
      <c r="B230" s="4604" t="s">
        <v>3422</v>
      </c>
      <c r="C230" s="4604"/>
      <c r="K230" s="3145"/>
    </row>
    <row r="231" spans="1:11">
      <c r="A231" s="3143"/>
      <c r="B231" s="4604"/>
      <c r="C231" s="4604"/>
      <c r="D231" s="4600" t="s">
        <v>3423</v>
      </c>
      <c r="E231" s="4600"/>
      <c r="K231" s="3145"/>
    </row>
    <row r="232" spans="1:11">
      <c r="A232" s="3143"/>
      <c r="C232" s="3172" t="s">
        <v>3425</v>
      </c>
      <c r="D232" s="2814">
        <f>ROUND(8.4/(D220+1.1),2)</f>
        <v>7.64</v>
      </c>
      <c r="K232" s="3145"/>
    </row>
    <row r="233" spans="1:11">
      <c r="A233" s="3143"/>
      <c r="K233" s="3145"/>
    </row>
    <row r="234" spans="1:11">
      <c r="A234" s="3143"/>
      <c r="B234" s="4604" t="s">
        <v>3426</v>
      </c>
      <c r="C234" s="4604"/>
      <c r="K234" s="3145"/>
    </row>
    <row r="235" spans="1:11">
      <c r="A235" s="3143"/>
      <c r="B235" s="4604"/>
      <c r="C235" s="4604"/>
      <c r="D235" s="4600" t="s">
        <v>3427</v>
      </c>
      <c r="E235" s="4600"/>
      <c r="K235" s="3145"/>
    </row>
    <row r="236" spans="1:11">
      <c r="A236" s="3143"/>
      <c r="C236" s="3172" t="s">
        <v>3429</v>
      </c>
      <c r="D236" s="2814">
        <f>ROUND(5.34+(4/D221^2),2)</f>
        <v>5.51</v>
      </c>
      <c r="K236" s="3145"/>
    </row>
    <row r="237" spans="1:11">
      <c r="A237" s="3143"/>
      <c r="B237" s="3142" t="s">
        <v>3412</v>
      </c>
      <c r="K237" s="3145"/>
    </row>
    <row r="238" spans="1:11">
      <c r="A238" s="3143"/>
      <c r="B238" s="4595" t="s">
        <v>3430</v>
      </c>
      <c r="C238" s="4595"/>
      <c r="D238" s="3211"/>
      <c r="K238" s="3145"/>
    </row>
    <row r="239" spans="1:11">
      <c r="A239" s="3143"/>
      <c r="B239" s="4595"/>
      <c r="C239" s="4595"/>
      <c r="D239" s="3211" t="s">
        <v>3431</v>
      </c>
      <c r="K239" s="3145"/>
    </row>
    <row r="240" spans="1:11">
      <c r="A240" s="3143"/>
      <c r="K240" s="3145"/>
    </row>
    <row r="241" spans="1:11">
      <c r="A241" s="3143"/>
      <c r="B241" s="4595" t="s">
        <v>3432</v>
      </c>
      <c r="C241" s="4595"/>
      <c r="D241" s="3211"/>
      <c r="K241" s="3145"/>
    </row>
    <row r="242" spans="1:11">
      <c r="A242" s="3143"/>
      <c r="B242" s="4595"/>
      <c r="C242" s="4595"/>
      <c r="D242" s="3211" t="s">
        <v>3433</v>
      </c>
      <c r="K242" s="3145"/>
    </row>
    <row r="243" spans="1:11">
      <c r="A243" s="3143"/>
      <c r="B243" s="3142" t="s">
        <v>303</v>
      </c>
      <c r="K243" s="3145"/>
    </row>
    <row r="244" spans="1:11">
      <c r="A244" s="3143"/>
      <c r="B244" s="4606" t="s">
        <v>3434</v>
      </c>
      <c r="C244" s="4606"/>
      <c r="D244" s="3142" t="s">
        <v>3470</v>
      </c>
      <c r="F244" s="3142" t="s">
        <v>438</v>
      </c>
      <c r="K244" s="3145"/>
    </row>
    <row r="245" spans="1:11">
      <c r="A245" s="3143"/>
      <c r="C245" s="3167" t="s">
        <v>2901</v>
      </c>
      <c r="D245" s="3142" t="s">
        <v>3436</v>
      </c>
      <c r="F245" s="3168">
        <f>D10*10</f>
        <v>6</v>
      </c>
      <c r="G245" s="3142" t="s">
        <v>466</v>
      </c>
      <c r="K245" s="3145"/>
    </row>
    <row r="246" spans="1:11">
      <c r="A246" s="3143"/>
      <c r="C246" s="3167" t="s">
        <v>3471</v>
      </c>
      <c r="D246" s="3142" t="s">
        <v>3438</v>
      </c>
      <c r="F246" s="3212">
        <f>D27*10</f>
        <v>291.3</v>
      </c>
      <c r="G246" s="3142" t="s">
        <v>466</v>
      </c>
      <c r="K246" s="3145"/>
    </row>
    <row r="247" spans="1:11">
      <c r="A247" s="3143"/>
      <c r="B247" s="4606" t="s">
        <v>3434</v>
      </c>
      <c r="C247" s="4606"/>
      <c r="D247" s="3142" t="str">
        <f>CONCATENATE(189800,"x","(",F245,"/",F246,")","^",2)</f>
        <v>189800x(6/291.3)^2</v>
      </c>
      <c r="K247" s="3145"/>
    </row>
    <row r="248" spans="1:11">
      <c r="A248" s="3143"/>
      <c r="C248" s="3167" t="s">
        <v>160</v>
      </c>
      <c r="D248" s="3187">
        <f>189800*(F245/F246)^2</f>
        <v>80.522590765569149</v>
      </c>
      <c r="E248" s="3142" t="s">
        <v>438</v>
      </c>
      <c r="K248" s="3145"/>
    </row>
    <row r="249" spans="1:11">
      <c r="A249" s="3143"/>
      <c r="C249" s="3167"/>
      <c r="K249" s="3145"/>
    </row>
    <row r="250" spans="1:11">
      <c r="A250" s="3143"/>
      <c r="B250" s="4586" t="s">
        <v>3472</v>
      </c>
      <c r="C250" s="4586"/>
      <c r="D250" s="3168">
        <f>ROUND((D248*100)/9.81,2)</f>
        <v>820.82</v>
      </c>
      <c r="E250" s="3142" t="s">
        <v>3439</v>
      </c>
      <c r="K250" s="3145"/>
    </row>
    <row r="251" spans="1:11">
      <c r="A251" s="3143"/>
      <c r="K251" s="3145"/>
    </row>
    <row r="252" spans="1:11" ht="14.65">
      <c r="A252" s="3143"/>
      <c r="B252" s="3213" t="s">
        <v>3440</v>
      </c>
      <c r="C252" s="3198" t="str">
        <f>CONCATENATE(D232," x ",D250)</f>
        <v>7.64 x 820.82</v>
      </c>
      <c r="K252" s="3145"/>
    </row>
    <row r="253" spans="1:11" ht="14.65">
      <c r="A253" s="3143"/>
      <c r="B253" s="3216" t="s">
        <v>3440</v>
      </c>
      <c r="C253" s="3217">
        <f>D232*D250</f>
        <v>6271.0648000000001</v>
      </c>
      <c r="D253" s="3142" t="s">
        <v>3439</v>
      </c>
      <c r="K253" s="3145"/>
    </row>
    <row r="254" spans="1:11">
      <c r="A254" s="3143"/>
      <c r="K254" s="3145"/>
    </row>
    <row r="255" spans="1:11">
      <c r="A255" s="3143"/>
      <c r="B255" s="3213" t="s">
        <v>3441</v>
      </c>
      <c r="C255" s="3198" t="str">
        <f>CONCATENATE(D236," x ",D250)</f>
        <v>5.51 x 820.82</v>
      </c>
      <c r="K255" s="3145"/>
    </row>
    <row r="256" spans="1:11">
      <c r="A256" s="3143"/>
      <c r="B256" s="3216" t="s">
        <v>3441</v>
      </c>
      <c r="C256" s="3217">
        <f>D236*D250</f>
        <v>4522.7182000000003</v>
      </c>
      <c r="D256" s="3142" t="s">
        <v>3439</v>
      </c>
      <c r="K256" s="3145"/>
    </row>
    <row r="257" spans="1:11">
      <c r="A257" s="3161"/>
      <c r="B257" s="3162"/>
      <c r="C257" s="3162"/>
      <c r="D257" s="3162"/>
      <c r="E257" s="3162"/>
      <c r="F257" s="3162"/>
      <c r="G257" s="3162"/>
      <c r="H257" s="3162"/>
      <c r="I257" s="3162"/>
      <c r="J257" s="3162"/>
      <c r="K257" s="3164"/>
    </row>
    <row r="258" spans="1:11">
      <c r="A258" s="3139"/>
      <c r="B258" s="3140" t="s">
        <v>3412</v>
      </c>
      <c r="C258" s="3140"/>
      <c r="D258" s="3140"/>
      <c r="E258" s="3140"/>
      <c r="F258" s="3140"/>
      <c r="G258" s="3140"/>
      <c r="H258" s="3140"/>
      <c r="I258" s="3140"/>
      <c r="J258" s="3140"/>
      <c r="K258" s="3141"/>
    </row>
    <row r="259" spans="1:11">
      <c r="A259" s="3143"/>
      <c r="B259" s="3142" t="s">
        <v>3442</v>
      </c>
      <c r="K259" s="3145"/>
    </row>
    <row r="260" spans="1:11" ht="15.75" customHeight="1">
      <c r="A260" s="3143"/>
      <c r="K260" s="3145"/>
    </row>
    <row r="261" spans="1:11">
      <c r="A261" s="3143"/>
      <c r="B261" s="3167" t="s">
        <v>3443</v>
      </c>
      <c r="C261" s="4607" t="s">
        <v>3473</v>
      </c>
      <c r="D261" s="4607"/>
      <c r="E261" s="4607"/>
      <c r="F261" s="4607"/>
      <c r="K261" s="3145"/>
    </row>
    <row r="262" spans="1:11">
      <c r="A262" s="3143"/>
      <c r="C262" s="3142" t="s">
        <v>3474</v>
      </c>
      <c r="K262" s="3145"/>
    </row>
    <row r="263" spans="1:11">
      <c r="A263" s="3143"/>
      <c r="B263" s="3142" t="s">
        <v>303</v>
      </c>
      <c r="K263" s="3145"/>
    </row>
    <row r="264" spans="1:11">
      <c r="A264" s="3143"/>
      <c r="B264" s="3191" t="s">
        <v>3446</v>
      </c>
      <c r="C264" s="3220" t="s">
        <v>3447</v>
      </c>
      <c r="K264" s="3145"/>
    </row>
    <row r="265" spans="1:11">
      <c r="A265" s="3143"/>
      <c r="K265" s="3145"/>
    </row>
    <row r="266" spans="1:11">
      <c r="A266" s="3143"/>
      <c r="B266" s="3167" t="s">
        <v>3443</v>
      </c>
      <c r="C266" s="4607" t="str">
        <f>CONCATENATE("(",E132,"^",2,"+",3,"x",F120,"^",2,")","^",0.5)</f>
        <v>(659.82^2+3x142.82^2)^0.5</v>
      </c>
      <c r="D266" s="4607"/>
      <c r="E266" s="4607"/>
      <c r="F266" s="4607"/>
      <c r="K266" s="3145"/>
    </row>
    <row r="267" spans="1:11" ht="15" customHeight="1">
      <c r="A267" s="3143"/>
      <c r="C267" s="3142" t="s">
        <v>3474</v>
      </c>
      <c r="D267" s="3231"/>
      <c r="E267" s="3231"/>
      <c r="F267" s="3231"/>
      <c r="K267" s="3145"/>
    </row>
    <row r="268" spans="1:11">
      <c r="A268" s="3143"/>
      <c r="C268" s="3232"/>
      <c r="D268" s="3232"/>
      <c r="E268" s="3232"/>
      <c r="F268" s="3232"/>
      <c r="K268" s="3145"/>
    </row>
    <row r="269" spans="1:11">
      <c r="A269" s="3143"/>
      <c r="B269" s="3167" t="s">
        <v>3443</v>
      </c>
      <c r="C269" s="3223">
        <f>((E132^2+3*F120^2)^0.5)</f>
        <v>704.66665140334271</v>
      </c>
      <c r="K269" s="3145"/>
    </row>
    <row r="270" spans="1:11">
      <c r="A270" s="3143"/>
      <c r="C270" s="3226">
        <f>((1+D220)/4)*(E132/C253)*((((3-D220)/4*(E132/C253))^2+(F120/C256)^2)^0.5)</f>
        <v>2.2357541074980555E-3</v>
      </c>
      <c r="K270" s="3145"/>
    </row>
    <row r="271" spans="1:11">
      <c r="A271" s="3143"/>
      <c r="B271" s="3172" t="s">
        <v>3443</v>
      </c>
      <c r="C271" s="3187">
        <f>C269/C270</f>
        <v>315180.74775759102</v>
      </c>
      <c r="D271" s="3142" t="s">
        <v>3439</v>
      </c>
      <c r="K271" s="3145"/>
    </row>
    <row r="272" spans="1:11">
      <c r="A272" s="3143"/>
      <c r="K272" s="3145"/>
    </row>
    <row r="273" spans="1:11">
      <c r="A273" s="3143"/>
      <c r="B273" s="3142" t="s">
        <v>3448</v>
      </c>
      <c r="F273" s="3169">
        <f>250*9.81</f>
        <v>2452.5</v>
      </c>
      <c r="G273" s="3142" t="s">
        <v>3439</v>
      </c>
      <c r="K273" s="3145"/>
    </row>
    <row r="274" spans="1:11">
      <c r="A274" s="3143"/>
      <c r="B274" s="3142" t="s">
        <v>2983</v>
      </c>
      <c r="K274" s="3145"/>
    </row>
    <row r="275" spans="1:11">
      <c r="A275" s="3143"/>
      <c r="B275" s="3142" t="s">
        <v>3449</v>
      </c>
      <c r="K275" s="3145"/>
    </row>
    <row r="276" spans="1:11">
      <c r="A276" s="3143"/>
      <c r="B276" s="3142" t="s">
        <v>3079</v>
      </c>
      <c r="K276" s="3145"/>
    </row>
    <row r="277" spans="1:11">
      <c r="A277" s="3143"/>
      <c r="B277" s="3142" t="s">
        <v>3450</v>
      </c>
      <c r="K277" s="3145"/>
    </row>
    <row r="278" spans="1:11">
      <c r="A278" s="3228" t="s">
        <v>3451</v>
      </c>
      <c r="B278" s="4586" t="s">
        <v>3475</v>
      </c>
      <c r="C278" s="4586"/>
      <c r="D278" s="3172" t="s">
        <v>3453</v>
      </c>
      <c r="K278" s="3145"/>
    </row>
    <row r="279" spans="1:11">
      <c r="A279" s="3143"/>
      <c r="B279" s="3142" t="s">
        <v>303</v>
      </c>
      <c r="K279" s="3145"/>
    </row>
    <row r="280" spans="1:11">
      <c r="A280" s="3143"/>
      <c r="B280" s="3167" t="s">
        <v>3454</v>
      </c>
      <c r="C280" s="3142" t="s">
        <v>3455</v>
      </c>
      <c r="K280" s="3145"/>
    </row>
    <row r="281" spans="1:11">
      <c r="A281" s="3143"/>
      <c r="B281" s="3167" t="s">
        <v>160</v>
      </c>
      <c r="C281" s="3142" t="str">
        <f>CONCATENATE("(",E132,"^",2,"+",3,"x",F120,"^",2,")","^",0.5)</f>
        <v>(659.82^2+3x142.82^2)^0.5</v>
      </c>
      <c r="K281" s="3145"/>
    </row>
    <row r="282" spans="1:11">
      <c r="A282" s="3143"/>
      <c r="B282" s="3172" t="s">
        <v>3454</v>
      </c>
      <c r="C282" s="3195">
        <f>C269</f>
        <v>704.66665140334271</v>
      </c>
      <c r="D282" s="3142" t="s">
        <v>3439</v>
      </c>
      <c r="K282" s="3145"/>
    </row>
    <row r="283" spans="1:11">
      <c r="A283" s="3143"/>
      <c r="K283" s="3145"/>
    </row>
    <row r="284" spans="1:11">
      <c r="A284" s="3143"/>
      <c r="B284" s="3167" t="s">
        <v>3456</v>
      </c>
      <c r="C284" s="3142" t="s">
        <v>3457</v>
      </c>
      <c r="K284" s="3145"/>
    </row>
    <row r="285" spans="1:11">
      <c r="A285" s="3143"/>
      <c r="B285" s="3167" t="s">
        <v>3456</v>
      </c>
      <c r="C285" s="3229">
        <v>221</v>
      </c>
      <c r="D285" s="3142" t="s">
        <v>438</v>
      </c>
      <c r="E285" s="3166" t="s">
        <v>3458</v>
      </c>
      <c r="K285" s="3145"/>
    </row>
    <row r="286" spans="1:11">
      <c r="A286" s="3143"/>
      <c r="B286" s="2814" t="s">
        <v>3456</v>
      </c>
      <c r="C286" s="3187">
        <f>ROUND(C285*100/9.81,2)</f>
        <v>2252.8000000000002</v>
      </c>
      <c r="D286" s="3142" t="s">
        <v>3439</v>
      </c>
      <c r="E286" s="3166"/>
      <c r="K286" s="3145"/>
    </row>
    <row r="287" spans="1:11">
      <c r="A287" s="3143"/>
      <c r="K287" s="3145"/>
    </row>
    <row r="288" spans="1:11">
      <c r="A288" s="3143"/>
      <c r="B288" s="3167" t="s">
        <v>1029</v>
      </c>
      <c r="C288" s="3142" t="s">
        <v>3459</v>
      </c>
      <c r="F288" s="3166" t="s">
        <v>3460</v>
      </c>
      <c r="G288" s="3166"/>
      <c r="H288" s="3166"/>
      <c r="K288" s="3145"/>
    </row>
    <row r="289" spans="1:11">
      <c r="A289" s="3143"/>
      <c r="B289" s="3167" t="s">
        <v>160</v>
      </c>
      <c r="C289" s="4591" t="s">
        <v>3461</v>
      </c>
      <c r="D289" s="4591"/>
      <c r="E289" s="3172" t="s">
        <v>3462</v>
      </c>
      <c r="F289" s="3166"/>
      <c r="G289" s="3166"/>
      <c r="H289" s="3166"/>
      <c r="K289" s="3145"/>
    </row>
    <row r="290" spans="1:11">
      <c r="A290" s="3143"/>
      <c r="B290" s="3167" t="s">
        <v>1029</v>
      </c>
      <c r="C290" s="3187">
        <f>ROUND(1.5+0.075*(D220-1),2)</f>
        <v>1.43</v>
      </c>
      <c r="F290" s="3166"/>
      <c r="G290" s="3166"/>
      <c r="H290" s="3166"/>
      <c r="K290" s="3145"/>
    </row>
    <row r="291" spans="1:11">
      <c r="A291" s="3143"/>
      <c r="B291" s="3142" t="s">
        <v>473</v>
      </c>
      <c r="K291" s="3145"/>
    </row>
    <row r="292" spans="1:11">
      <c r="A292" s="3143"/>
      <c r="B292" s="3167" t="s">
        <v>3463</v>
      </c>
      <c r="C292" s="3167" t="str">
        <f>CONCATENATE(C286,"/",C290)</f>
        <v>2252.8/1.43</v>
      </c>
      <c r="K292" s="3145"/>
    </row>
    <row r="293" spans="1:11">
      <c r="A293" s="3143"/>
      <c r="B293" s="3172" t="s">
        <v>3463</v>
      </c>
      <c r="C293" s="3195">
        <f>C286/C290</f>
        <v>1575.3846153846155</v>
      </c>
      <c r="D293" s="3142" t="s">
        <v>3439</v>
      </c>
      <c r="K293" s="3145"/>
    </row>
    <row r="294" spans="1:11">
      <c r="A294" s="3143"/>
      <c r="K294" s="3145"/>
    </row>
    <row r="295" spans="1:11">
      <c r="A295" s="3143"/>
      <c r="B295" s="3142" t="s">
        <v>3079</v>
      </c>
      <c r="K295" s="3145"/>
    </row>
    <row r="296" spans="1:11">
      <c r="A296" s="3143"/>
      <c r="B296" s="3172" t="s">
        <v>3464</v>
      </c>
      <c r="C296" s="3172" t="s">
        <v>3453</v>
      </c>
      <c r="D296" s="4608" t="str">
        <f>IF(C282&lt;C293,"SAFE IN BUCKLING  FOR  ","UNSAFE")</f>
        <v xml:space="preserve">SAFE IN BUCKLING  FOR  </v>
      </c>
      <c r="E296" s="4609"/>
      <c r="F296" s="3230" t="s">
        <v>3462</v>
      </c>
      <c r="K296" s="3145"/>
    </row>
    <row r="297" spans="1:11">
      <c r="A297" s="3143"/>
      <c r="K297" s="3145"/>
    </row>
    <row r="298" spans="1:11">
      <c r="A298" s="3161"/>
      <c r="B298" s="3162"/>
      <c r="C298" s="3162"/>
      <c r="D298" s="3162"/>
      <c r="E298" s="3162"/>
      <c r="F298" s="3162"/>
      <c r="G298" s="3162"/>
      <c r="H298" s="3162"/>
      <c r="I298" s="3162"/>
      <c r="J298" s="3162"/>
      <c r="K298" s="3164"/>
    </row>
    <row r="299" spans="1:11">
      <c r="A299" s="3139"/>
      <c r="B299" s="4586" t="s">
        <v>3476</v>
      </c>
      <c r="C299" s="4586"/>
      <c r="D299" s="4586"/>
      <c r="E299" s="4586"/>
      <c r="F299" s="3140"/>
      <c r="G299" s="3140"/>
      <c r="H299" s="3140"/>
      <c r="I299" s="3140"/>
      <c r="J299" s="3140"/>
      <c r="K299" s="3141"/>
    </row>
    <row r="300" spans="1:11">
      <c r="A300" s="3143"/>
      <c r="K300" s="3145"/>
    </row>
    <row r="301" spans="1:11">
      <c r="A301" s="3143"/>
      <c r="B301" s="3142" t="s">
        <v>3477</v>
      </c>
      <c r="D301" s="3153">
        <f>D16/2</f>
        <v>15.200000000000001</v>
      </c>
      <c r="E301" s="3142" t="s">
        <v>571</v>
      </c>
      <c r="F301" s="3142" t="s">
        <v>3478</v>
      </c>
      <c r="K301" s="3145"/>
    </row>
    <row r="302" spans="1:11">
      <c r="A302" s="3143"/>
      <c r="B302" s="3142" t="s">
        <v>3304</v>
      </c>
      <c r="D302" s="3233">
        <f>D25</f>
        <v>140</v>
      </c>
      <c r="E302" s="3142" t="s">
        <v>571</v>
      </c>
      <c r="K302" s="3145"/>
    </row>
    <row r="303" spans="1:11">
      <c r="A303" s="3143"/>
      <c r="B303" s="4595" t="s">
        <v>3373</v>
      </c>
      <c r="C303" s="4595"/>
      <c r="D303" s="4595"/>
      <c r="K303" s="3145"/>
    </row>
    <row r="304" spans="1:11">
      <c r="A304" s="3143"/>
      <c r="B304" s="4595"/>
      <c r="C304" s="4595"/>
      <c r="D304" s="4595"/>
      <c r="K304" s="3145"/>
    </row>
    <row r="305" spans="1:12" ht="15.4">
      <c r="A305" s="3143"/>
      <c r="B305" s="3142" t="s">
        <v>3408</v>
      </c>
      <c r="D305" s="3234">
        <v>1</v>
      </c>
      <c r="K305" s="3145"/>
    </row>
    <row r="306" spans="1:12" ht="14.65">
      <c r="A306" s="3143"/>
      <c r="B306" s="3235" t="s">
        <v>3479</v>
      </c>
      <c r="D306" s="3204">
        <f>D302/D301</f>
        <v>9.2105263157894726</v>
      </c>
      <c r="E306" s="3142" t="s">
        <v>3480</v>
      </c>
      <c r="K306" s="3145"/>
    </row>
    <row r="307" spans="1:12">
      <c r="A307" s="3143"/>
      <c r="B307" s="3142" t="s">
        <v>3412</v>
      </c>
      <c r="K307" s="3145"/>
    </row>
    <row r="308" spans="1:12">
      <c r="A308" s="3143"/>
      <c r="B308" s="3166" t="s">
        <v>3413</v>
      </c>
      <c r="K308" s="3145"/>
    </row>
    <row r="309" spans="1:12">
      <c r="A309" s="3143"/>
      <c r="B309" s="3142" t="s">
        <v>3414</v>
      </c>
      <c r="K309" s="3145"/>
    </row>
    <row r="310" spans="1:12">
      <c r="A310" s="3143"/>
      <c r="B310" s="3142" t="s">
        <v>3415</v>
      </c>
      <c r="D310" s="4610" t="s">
        <v>3481</v>
      </c>
      <c r="E310" s="4611"/>
      <c r="K310" s="3145"/>
      <c r="L310" s="3142">
        <f>D301*10</f>
        <v>152</v>
      </c>
    </row>
    <row r="311" spans="1:12">
      <c r="A311" s="3143"/>
      <c r="D311" s="4612"/>
      <c r="E311" s="4613"/>
      <c r="K311" s="3145"/>
      <c r="L311" s="3142">
        <f>D302*10</f>
        <v>1400</v>
      </c>
    </row>
    <row r="312" spans="1:12" ht="14.65">
      <c r="A312" s="3143"/>
      <c r="C312" s="3157" t="s">
        <v>3417</v>
      </c>
      <c r="D312" s="3236" t="s">
        <v>3482</v>
      </c>
      <c r="K312" s="3145"/>
      <c r="L312" s="3142">
        <f>D8*10</f>
        <v>10</v>
      </c>
    </row>
    <row r="313" spans="1:12">
      <c r="A313" s="3143"/>
      <c r="K313" s="3145"/>
    </row>
    <row r="314" spans="1:12" ht="14.65">
      <c r="A314" s="3143"/>
      <c r="B314" s="3142" t="s">
        <v>3419</v>
      </c>
      <c r="D314" s="3206" t="s">
        <v>3420</v>
      </c>
      <c r="K314" s="3145"/>
    </row>
    <row r="315" spans="1:12">
      <c r="A315" s="3143"/>
      <c r="B315" s="3142" t="s">
        <v>473</v>
      </c>
      <c r="K315" s="3145"/>
    </row>
    <row r="316" spans="1:12">
      <c r="A316" s="3143"/>
      <c r="B316" s="4604" t="s">
        <v>3483</v>
      </c>
      <c r="C316" s="4604"/>
      <c r="K316" s="3145"/>
    </row>
    <row r="317" spans="1:12">
      <c r="A317" s="3143"/>
      <c r="B317" s="4604"/>
      <c r="C317" s="4604"/>
      <c r="D317" s="3207">
        <v>4</v>
      </c>
      <c r="K317" s="3145"/>
    </row>
    <row r="318" spans="1:12">
      <c r="A318" s="3143"/>
      <c r="K318" s="3145"/>
    </row>
    <row r="319" spans="1:12">
      <c r="A319" s="3143"/>
      <c r="B319" s="3142" t="s">
        <v>3412</v>
      </c>
      <c r="K319" s="3145"/>
    </row>
    <row r="320" spans="1:12">
      <c r="A320" s="3143"/>
      <c r="B320" s="4595" t="s">
        <v>3484</v>
      </c>
      <c r="C320" s="4595"/>
      <c r="D320" s="3211"/>
      <c r="K320" s="3145"/>
    </row>
    <row r="321" spans="1:11">
      <c r="A321" s="3143"/>
      <c r="B321" s="4595"/>
      <c r="C321" s="4595"/>
      <c r="D321" s="3211" t="s">
        <v>3431</v>
      </c>
      <c r="K321" s="3145"/>
    </row>
    <row r="322" spans="1:11">
      <c r="A322" s="3143"/>
      <c r="B322" s="3142" t="s">
        <v>303</v>
      </c>
      <c r="K322" s="3145"/>
    </row>
    <row r="323" spans="1:11">
      <c r="A323" s="3143"/>
      <c r="B323" s="4606" t="s">
        <v>3472</v>
      </c>
      <c r="C323" s="4606"/>
      <c r="D323" s="3142" t="s">
        <v>3485</v>
      </c>
      <c r="E323" s="3142" t="s">
        <v>438</v>
      </c>
      <c r="K323" s="3145"/>
    </row>
    <row r="324" spans="1:11">
      <c r="A324" s="3143"/>
      <c r="C324" s="3167" t="s">
        <v>2901</v>
      </c>
      <c r="D324" s="3142" t="s">
        <v>3486</v>
      </c>
      <c r="K324" s="3145"/>
    </row>
    <row r="325" spans="1:11">
      <c r="A325" s="3143"/>
      <c r="C325" s="3167" t="s">
        <v>3487</v>
      </c>
      <c r="D325" s="3142" t="s">
        <v>3488</v>
      </c>
      <c r="K325" s="3145"/>
    </row>
    <row r="326" spans="1:11">
      <c r="A326" s="3143"/>
      <c r="B326" s="4606" t="s">
        <v>3472</v>
      </c>
      <c r="C326" s="4606"/>
      <c r="D326" s="3142" t="str">
        <f>CONCATENATE("(",431,"x",L312,"/",L310,")","^",2)</f>
        <v>(431x10/152)^2</v>
      </c>
      <c r="K326" s="3145"/>
    </row>
    <row r="327" spans="1:11">
      <c r="A327" s="3143"/>
      <c r="B327" s="3191"/>
      <c r="C327" s="3191" t="s">
        <v>160</v>
      </c>
      <c r="D327" s="3187">
        <f>(431*L312/L310)^2</f>
        <v>804.02094875346256</v>
      </c>
      <c r="E327" s="3142" t="s">
        <v>438</v>
      </c>
      <c r="K327" s="3145"/>
    </row>
    <row r="328" spans="1:11">
      <c r="A328" s="3143"/>
      <c r="B328" s="3191"/>
      <c r="C328" s="3191"/>
      <c r="K328" s="3145"/>
    </row>
    <row r="329" spans="1:11">
      <c r="A329" s="3143"/>
      <c r="B329" s="4586" t="s">
        <v>3472</v>
      </c>
      <c r="C329" s="4586"/>
      <c r="D329" s="3168">
        <f>ROUND((((431*(D8/D301))^2)*100)/9.81,2)</f>
        <v>8195.93</v>
      </c>
      <c r="E329" s="3142" t="s">
        <v>3439</v>
      </c>
      <c r="K329" s="3145"/>
    </row>
    <row r="330" spans="1:11">
      <c r="A330" s="3143"/>
      <c r="K330" s="3145"/>
    </row>
    <row r="331" spans="1:11" ht="14.65">
      <c r="A331" s="3143"/>
      <c r="B331" s="3213" t="s">
        <v>3489</v>
      </c>
      <c r="C331" s="3198" t="str">
        <f>CONCATENATE(D317," x ",D329)</f>
        <v>4 x 8195.93</v>
      </c>
      <c r="K331" s="3145"/>
    </row>
    <row r="332" spans="1:11" ht="14.65">
      <c r="A332" s="3143"/>
      <c r="B332" s="3216" t="s">
        <v>3489</v>
      </c>
      <c r="C332" s="3217">
        <f>D317*D329</f>
        <v>32783.72</v>
      </c>
      <c r="D332" s="3142" t="s">
        <v>3439</v>
      </c>
      <c r="K332" s="3145"/>
    </row>
    <row r="333" spans="1:11">
      <c r="A333" s="3143"/>
      <c r="B333" s="3142" t="s">
        <v>3412</v>
      </c>
      <c r="K333" s="3145"/>
    </row>
    <row r="334" spans="1:11">
      <c r="A334" s="3143"/>
      <c r="B334" s="3142" t="s">
        <v>3490</v>
      </c>
      <c r="K334" s="3145"/>
    </row>
    <row r="335" spans="1:11">
      <c r="A335" s="3143"/>
      <c r="B335" s="3165" t="s">
        <v>3491</v>
      </c>
      <c r="C335" s="3172" t="s">
        <v>3492</v>
      </c>
      <c r="K335" s="3145"/>
    </row>
    <row r="336" spans="1:11">
      <c r="A336" s="3143"/>
      <c r="B336" s="3142" t="s">
        <v>303</v>
      </c>
      <c r="K336" s="3145"/>
    </row>
    <row r="337" spans="1:11">
      <c r="A337" s="3143"/>
      <c r="B337" s="3167" t="s">
        <v>1029</v>
      </c>
      <c r="C337" s="3142" t="s">
        <v>3459</v>
      </c>
      <c r="F337" s="3166" t="s">
        <v>3460</v>
      </c>
      <c r="G337" s="3166"/>
      <c r="H337" s="3166"/>
      <c r="K337" s="3145"/>
    </row>
    <row r="338" spans="1:11">
      <c r="A338" s="3143"/>
      <c r="B338" s="3167" t="s">
        <v>160</v>
      </c>
      <c r="C338" s="4591" t="s">
        <v>3461</v>
      </c>
      <c r="D338" s="4591"/>
      <c r="E338" s="3172" t="s">
        <v>3462</v>
      </c>
      <c r="F338" s="3166"/>
      <c r="G338" s="3166"/>
      <c r="H338" s="3166"/>
      <c r="K338" s="3145"/>
    </row>
    <row r="339" spans="1:11">
      <c r="A339" s="3143"/>
      <c r="B339" s="3167" t="s">
        <v>1029</v>
      </c>
      <c r="C339" s="3187">
        <f>ROUND(1.5+0.075*(D305-1),2)</f>
        <v>1.5</v>
      </c>
      <c r="F339" s="3166"/>
      <c r="G339" s="3166"/>
      <c r="H339" s="3166"/>
      <c r="K339" s="3145"/>
    </row>
    <row r="340" spans="1:11">
      <c r="A340" s="3143"/>
      <c r="B340" s="3142" t="s">
        <v>473</v>
      </c>
      <c r="K340" s="3145"/>
    </row>
    <row r="341" spans="1:11">
      <c r="A341" s="3143"/>
      <c r="B341" s="3167" t="s">
        <v>3493</v>
      </c>
      <c r="C341" s="3167" t="str">
        <f>CONCATENATE(C332,"/",C339)</f>
        <v>32783.72/1.5</v>
      </c>
      <c r="K341" s="3145"/>
    </row>
    <row r="342" spans="1:11">
      <c r="A342" s="3143"/>
      <c r="B342" s="3172" t="s">
        <v>3493</v>
      </c>
      <c r="C342" s="3195">
        <f>C332/C339</f>
        <v>21855.813333333335</v>
      </c>
      <c r="D342" s="3142" t="s">
        <v>3439</v>
      </c>
      <c r="K342" s="3145"/>
    </row>
    <row r="343" spans="1:11">
      <c r="A343" s="3143"/>
      <c r="K343" s="3145"/>
    </row>
    <row r="344" spans="1:11">
      <c r="A344" s="3143"/>
      <c r="B344" s="3172" t="s">
        <v>3494</v>
      </c>
      <c r="C344" s="3237">
        <f>F118</f>
        <v>1335.5</v>
      </c>
      <c r="D344" s="3142" t="s">
        <v>3439</v>
      </c>
      <c r="E344" s="3142" t="s">
        <v>3495</v>
      </c>
      <c r="K344" s="3145"/>
    </row>
    <row r="345" spans="1:11">
      <c r="A345" s="3143"/>
      <c r="B345" s="3142" t="s">
        <v>3079</v>
      </c>
      <c r="K345" s="3145"/>
    </row>
    <row r="346" spans="1:11">
      <c r="A346" s="3143"/>
      <c r="B346" s="3172" t="s">
        <v>3496</v>
      </c>
      <c r="C346" s="3172" t="s">
        <v>3492</v>
      </c>
      <c r="D346" s="4608" t="str">
        <f>IF(C344&lt;C342,"SAFE IN BUCKLING  FOR  ","UNSAFE")</f>
        <v xml:space="preserve">SAFE IN BUCKLING  FOR  </v>
      </c>
      <c r="E346" s="4609"/>
      <c r="F346" s="3230" t="s">
        <v>3462</v>
      </c>
      <c r="K346" s="3145"/>
    </row>
    <row r="347" spans="1:11">
      <c r="A347" s="3161"/>
      <c r="B347" s="3162"/>
      <c r="C347" s="3162"/>
      <c r="D347" s="3162"/>
      <c r="E347" s="3162"/>
      <c r="F347" s="3162"/>
      <c r="G347" s="3162"/>
      <c r="H347" s="3162"/>
      <c r="I347" s="3162"/>
      <c r="J347" s="3162"/>
      <c r="K347" s="3164"/>
    </row>
  </sheetData>
  <mergeCells count="76">
    <mergeCell ref="C338:D338"/>
    <mergeCell ref="D346:E346"/>
    <mergeCell ref="D310:E311"/>
    <mergeCell ref="B316:C317"/>
    <mergeCell ref="B320:C321"/>
    <mergeCell ref="B323:C323"/>
    <mergeCell ref="B326:C326"/>
    <mergeCell ref="B329:C329"/>
    <mergeCell ref="D231:E231"/>
    <mergeCell ref="B303:D304"/>
    <mergeCell ref="B238:C239"/>
    <mergeCell ref="B241:C242"/>
    <mergeCell ref="B244:C244"/>
    <mergeCell ref="B247:C247"/>
    <mergeCell ref="B250:C250"/>
    <mergeCell ref="C261:F261"/>
    <mergeCell ref="C266:F266"/>
    <mergeCell ref="B278:C278"/>
    <mergeCell ref="C289:D289"/>
    <mergeCell ref="D296:E296"/>
    <mergeCell ref="B299:E299"/>
    <mergeCell ref="G154:H155"/>
    <mergeCell ref="D155:E155"/>
    <mergeCell ref="I155:J155"/>
    <mergeCell ref="B158:C159"/>
    <mergeCell ref="B234:C235"/>
    <mergeCell ref="D235:E235"/>
    <mergeCell ref="B164:C164"/>
    <mergeCell ref="B167:C167"/>
    <mergeCell ref="B170:C170"/>
    <mergeCell ref="C181:F181"/>
    <mergeCell ref="C186:F186"/>
    <mergeCell ref="B198:C198"/>
    <mergeCell ref="C209:D209"/>
    <mergeCell ref="D216:E216"/>
    <mergeCell ref="B218:C218"/>
    <mergeCell ref="B230:C231"/>
    <mergeCell ref="B161:C162"/>
    <mergeCell ref="B130:D131"/>
    <mergeCell ref="B134:D135"/>
    <mergeCell ref="B138:C138"/>
    <mergeCell ref="B150:C151"/>
    <mergeCell ref="D151:E151"/>
    <mergeCell ref="B154:C155"/>
    <mergeCell ref="H151:J151"/>
    <mergeCell ref="B106:F106"/>
    <mergeCell ref="B115:C115"/>
    <mergeCell ref="D115:E115"/>
    <mergeCell ref="B117:D117"/>
    <mergeCell ref="B122:D123"/>
    <mergeCell ref="B126:D127"/>
    <mergeCell ref="B104:G104"/>
    <mergeCell ref="B59:C59"/>
    <mergeCell ref="I61:J61"/>
    <mergeCell ref="E62:F63"/>
    <mergeCell ref="B74:C74"/>
    <mergeCell ref="B78:C78"/>
    <mergeCell ref="E81:F82"/>
    <mergeCell ref="I81:J81"/>
    <mergeCell ref="B90:C90"/>
    <mergeCell ref="D92:F93"/>
    <mergeCell ref="G93:J94"/>
    <mergeCell ref="B95:D95"/>
    <mergeCell ref="B96:C96"/>
    <mergeCell ref="S53:S56"/>
    <mergeCell ref="T53:T56"/>
    <mergeCell ref="U53:U56"/>
    <mergeCell ref="V53:V56"/>
    <mergeCell ref="W53:X55"/>
    <mergeCell ref="Q53:Q56"/>
    <mergeCell ref="R53:R56"/>
    <mergeCell ref="B56:D56"/>
    <mergeCell ref="B4:D4"/>
    <mergeCell ref="B38:E38"/>
    <mergeCell ref="O53:O56"/>
    <mergeCell ref="P53:P56"/>
  </mergeCells>
  <dataValidations count="1">
    <dataValidation type="list" allowBlank="1" showInputMessage="1" showErrorMessage="1" sqref="C76 C57" xr:uid="{4BFA7771-E4F4-4572-B13C-DE760C26A5C9}">
      <formula1>$O$57:$O$66</formula1>
    </dataValidation>
  </dataValidations>
  <printOptions horizontalCentered="1"/>
  <pageMargins left="0.75" right="0.75" top="0.75" bottom="0.75" header="0.3" footer="0.3"/>
  <pageSetup scale="79" orientation="portrait"/>
  <headerFooter alignWithMargins="0">
    <oddFooter>&amp;L&amp;G&amp;CAIL W.O.-XXX&amp;RPrepared by:-Amol</oddFooter>
  </headerFooter>
  <rowBreaks count="7" manualBreakCount="7">
    <brk id="37" max="10" man="1"/>
    <brk id="91" max="10" man="1"/>
    <brk id="137" max="10" man="1"/>
    <brk id="177" max="10" man="1"/>
    <brk id="217" max="10" man="1"/>
    <brk id="257" max="10" man="1"/>
    <brk id="298" max="10" man="1"/>
  </rowBreaks>
  <colBreaks count="1" manualBreakCount="1">
    <brk id="11" max="319" man="1"/>
  </colBreaks>
  <drawing r:id="rId1"/>
  <legacyDrawing r:id="rId2"/>
  <legacyDrawingHF r:id="rId3"/>
  <oleObjects>
    <mc:AlternateContent xmlns:mc="http://schemas.openxmlformats.org/markup-compatibility/2006">
      <mc:Choice Requires="x14">
        <oleObject progId="AutoCAD.Drawing.18" shapeId="27649" r:id="rId4">
          <objectPr defaultSize="0" autoPict="0" r:id="rId5">
            <anchor moveWithCells="1">
              <from>
                <xdr:col>5</xdr:col>
                <xdr:colOff>38100</xdr:colOff>
                <xdr:row>1</xdr:row>
                <xdr:rowOff>61913</xdr:rowOff>
              </from>
              <to>
                <xdr:col>11</xdr:col>
                <xdr:colOff>190500</xdr:colOff>
                <xdr:row>15</xdr:row>
                <xdr:rowOff>85725</xdr:rowOff>
              </to>
            </anchor>
          </objectPr>
        </oleObject>
      </mc:Choice>
      <mc:Fallback>
        <oleObject progId="AutoCAD.Drawing.18" shapeId="27649" r:id="rId4"/>
      </mc:Fallback>
    </mc:AlternateContent>
    <mc:AlternateContent xmlns:mc="http://schemas.openxmlformats.org/markup-compatibility/2006">
      <mc:Choice Requires="x14">
        <oleObject progId="AutoCAD.Drawing.18" shapeId="27650" r:id="rId6">
          <objectPr defaultSize="0" autoPict="0" r:id="rId7">
            <anchor moveWithCells="1">
              <from>
                <xdr:col>5</xdr:col>
                <xdr:colOff>9525</xdr:colOff>
                <xdr:row>18</xdr:row>
                <xdr:rowOff>85725</xdr:rowOff>
              </from>
              <to>
                <xdr:col>9</xdr:col>
                <xdr:colOff>276225</xdr:colOff>
                <xdr:row>32</xdr:row>
                <xdr:rowOff>23813</xdr:rowOff>
              </to>
            </anchor>
          </objectPr>
        </oleObject>
      </mc:Choice>
      <mc:Fallback>
        <oleObject progId="AutoCAD.Drawing.18" shapeId="27650" r:id="rId6"/>
      </mc:Fallback>
    </mc:AlternateContent>
    <mc:AlternateContent xmlns:mc="http://schemas.openxmlformats.org/markup-compatibility/2006">
      <mc:Choice Requires="x14">
        <oleObject progId="AutoCAD.Drawing.18" shapeId="27651" r:id="rId8">
          <objectPr defaultSize="0" autoPict="0" r:id="rId9">
            <anchor moveWithCells="1">
              <from>
                <xdr:col>11</xdr:col>
                <xdr:colOff>390525</xdr:colOff>
                <xdr:row>1</xdr:row>
                <xdr:rowOff>123825</xdr:rowOff>
              </from>
              <to>
                <xdr:col>15</xdr:col>
                <xdr:colOff>1209675</xdr:colOff>
                <xdr:row>17</xdr:row>
                <xdr:rowOff>142875</xdr:rowOff>
              </to>
            </anchor>
          </objectPr>
        </oleObject>
      </mc:Choice>
      <mc:Fallback>
        <oleObject progId="AutoCAD.Drawing.18" shapeId="27651" r:id="rId8"/>
      </mc:Fallback>
    </mc:AlternateContent>
  </oleObjec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A9AF9-7C20-4890-8F0C-39318BDA30EB}">
  <dimension ref="A1:AK283"/>
  <sheetViews>
    <sheetView topLeftCell="A49" workbookViewId="0">
      <selection activeCell="H50" sqref="H50"/>
    </sheetView>
  </sheetViews>
  <sheetFormatPr defaultColWidth="9.1328125" defaultRowHeight="14.25"/>
  <cols>
    <col min="1" max="1" width="4.53125" style="3142" customWidth="1"/>
    <col min="2" max="2" width="9.1328125" style="3142" customWidth="1"/>
    <col min="3" max="3" width="16.33203125" style="3142" customWidth="1"/>
    <col min="4" max="4" width="12.6640625" style="3142" customWidth="1"/>
    <col min="5" max="5" width="9.46484375" style="3142" customWidth="1"/>
    <col min="6" max="6" width="11.1328125" style="3142" customWidth="1"/>
    <col min="7" max="8" width="9.1328125" style="3142"/>
    <col min="9" max="9" width="10.53125" style="3142" customWidth="1"/>
    <col min="10" max="10" width="10" style="3142" customWidth="1"/>
    <col min="11" max="11" width="9.1328125" style="3142"/>
    <col min="12" max="19" width="9" style="3142" hidden="1" customWidth="1"/>
    <col min="20" max="21" width="9.1328125" style="3142"/>
    <col min="22" max="22" width="12" style="3142" customWidth="1"/>
    <col min="23" max="16384" width="9.1328125" style="3142"/>
  </cols>
  <sheetData>
    <row r="1" spans="1:25">
      <c r="A1" s="3238"/>
      <c r="B1" s="3238"/>
      <c r="C1" s="3238"/>
      <c r="D1" s="3239"/>
      <c r="E1" s="3239"/>
      <c r="F1" s="3239"/>
      <c r="G1" s="3240"/>
      <c r="H1" s="3240"/>
      <c r="I1" s="3240"/>
      <c r="J1" s="3240"/>
      <c r="K1" s="3183"/>
      <c r="L1" s="3241"/>
      <c r="M1" s="3241"/>
      <c r="N1" s="3241"/>
      <c r="O1" s="3241"/>
      <c r="P1" s="3241"/>
      <c r="Q1" s="3241"/>
      <c r="R1" s="3241"/>
      <c r="S1" s="3241"/>
      <c r="T1" s="3183"/>
    </row>
    <row r="2" spans="1:25">
      <c r="A2" s="3139"/>
      <c r="B2" s="3242" t="s">
        <v>3497</v>
      </c>
      <c r="C2" s="3140"/>
      <c r="D2" s="3140"/>
      <c r="E2" s="3140"/>
      <c r="F2" s="3140"/>
      <c r="G2" s="3140"/>
      <c r="H2" s="3243"/>
      <c r="I2" s="3243"/>
      <c r="J2" s="3243"/>
      <c r="K2" s="3244"/>
      <c r="L2" s="3245"/>
      <c r="M2" s="3245"/>
      <c r="N2" s="3245"/>
      <c r="O2" s="3245"/>
      <c r="P2" s="3245"/>
      <c r="Q2" s="3245"/>
      <c r="R2" s="3245"/>
      <c r="S2" s="3245"/>
      <c r="T2" s="3246"/>
    </row>
    <row r="3" spans="1:25">
      <c r="A3" s="3247"/>
      <c r="B3" s="3238"/>
      <c r="C3" s="3238"/>
      <c r="D3" s="3239"/>
      <c r="E3" s="3239"/>
      <c r="F3" s="3239"/>
      <c r="G3" s="3240"/>
      <c r="H3" s="3240"/>
      <c r="I3" s="3240"/>
      <c r="J3" s="3240"/>
      <c r="K3" s="3183"/>
      <c r="L3" s="3241"/>
      <c r="M3" s="3241"/>
      <c r="N3" s="3241"/>
      <c r="O3" s="3241"/>
      <c r="P3" s="3241"/>
      <c r="Q3" s="3241"/>
      <c r="R3" s="3241"/>
      <c r="S3" s="3241"/>
      <c r="T3" s="3248"/>
    </row>
    <row r="4" spans="1:25">
      <c r="A4" s="3249"/>
      <c r="B4" s="4614" t="s">
        <v>3498</v>
      </c>
      <c r="C4" s="4614"/>
      <c r="D4" s="4614"/>
      <c r="E4" s="3239"/>
      <c r="F4" s="3239"/>
      <c r="G4" s="3240"/>
      <c r="H4" s="3240"/>
      <c r="I4" s="3240"/>
      <c r="J4" s="3240"/>
      <c r="K4" s="3183"/>
      <c r="L4" s="3241"/>
      <c r="M4" s="3241"/>
      <c r="N4" s="3241"/>
      <c r="O4" s="3241"/>
      <c r="P4" s="3241"/>
      <c r="Q4" s="3241"/>
      <c r="R4" s="3241"/>
      <c r="S4" s="3241"/>
      <c r="T4" s="3248"/>
    </row>
    <row r="5" spans="1:25">
      <c r="A5" s="3249"/>
      <c r="B5" s="3250" t="s">
        <v>3499</v>
      </c>
      <c r="C5" s="3250"/>
      <c r="D5" s="3250"/>
      <c r="E5" s="3239"/>
      <c r="F5" s="3239"/>
      <c r="G5" s="3240"/>
      <c r="H5" s="3240"/>
      <c r="I5" s="3240"/>
      <c r="J5" s="3240"/>
      <c r="K5" s="3183"/>
      <c r="L5" s="3241"/>
      <c r="M5" s="3241"/>
      <c r="N5" s="3241"/>
      <c r="O5" s="3241"/>
      <c r="P5" s="3241"/>
      <c r="Q5" s="3241"/>
      <c r="R5" s="3241"/>
      <c r="S5" s="3241"/>
      <c r="T5" s="3248"/>
    </row>
    <row r="6" spans="1:25">
      <c r="A6" s="3249"/>
      <c r="B6" s="4615" t="s">
        <v>160</v>
      </c>
      <c r="C6" s="3252" t="s">
        <v>3500</v>
      </c>
      <c r="D6" s="4615" t="s">
        <v>3501</v>
      </c>
      <c r="E6" s="3252" t="s">
        <v>3502</v>
      </c>
      <c r="F6" s="3239"/>
      <c r="G6" s="3240"/>
      <c r="H6" s="3240"/>
      <c r="I6" s="3240"/>
      <c r="J6" s="3240"/>
      <c r="K6" s="3183"/>
      <c r="L6" s="3241"/>
      <c r="M6" s="3241"/>
      <c r="N6" s="3241"/>
      <c r="O6" s="3241"/>
      <c r="P6" s="3241"/>
      <c r="Q6" s="3241"/>
      <c r="R6" s="3241"/>
      <c r="S6" s="3241"/>
      <c r="T6" s="3248"/>
    </row>
    <row r="7" spans="1:25">
      <c r="A7" s="3249"/>
      <c r="B7" s="4615"/>
      <c r="C7" s="3198" t="s">
        <v>3503</v>
      </c>
      <c r="D7" s="4615"/>
      <c r="E7" s="3198" t="s">
        <v>3504</v>
      </c>
      <c r="F7" s="3239"/>
      <c r="G7" s="3240"/>
      <c r="H7" s="3240"/>
      <c r="I7" s="3240"/>
      <c r="J7" s="3240"/>
      <c r="K7" s="3183"/>
      <c r="L7" s="3241"/>
      <c r="M7" s="3241"/>
      <c r="N7" s="3241"/>
      <c r="O7" s="3241"/>
      <c r="P7" s="3241"/>
      <c r="Q7" s="3241"/>
      <c r="R7" s="3241"/>
      <c r="S7" s="3241"/>
      <c r="T7" s="3248"/>
    </row>
    <row r="8" spans="1:25">
      <c r="A8" s="3249"/>
      <c r="B8" s="3251"/>
      <c r="C8" s="3198"/>
      <c r="D8" s="3251"/>
      <c r="E8" s="3198"/>
      <c r="F8" s="3239"/>
      <c r="G8" s="3240"/>
      <c r="H8" s="3240"/>
      <c r="I8" s="3240"/>
      <c r="J8" s="3240"/>
      <c r="K8" s="3183"/>
      <c r="L8" s="3241"/>
      <c r="M8" s="3241"/>
      <c r="N8" s="3241"/>
      <c r="O8" s="3241"/>
      <c r="P8" s="3241"/>
      <c r="Q8" s="3241"/>
      <c r="R8" s="3241"/>
      <c r="S8" s="3241"/>
      <c r="T8" s="3248"/>
    </row>
    <row r="9" spans="1:25">
      <c r="A9" s="3249"/>
      <c r="B9" s="3253" t="s">
        <v>3505</v>
      </c>
      <c r="C9" s="3198"/>
      <c r="D9" s="3251"/>
      <c r="E9" s="3198"/>
      <c r="F9" s="3239"/>
      <c r="G9" s="3240"/>
      <c r="H9" s="3240"/>
      <c r="I9" s="3240"/>
      <c r="J9" s="3240"/>
      <c r="K9" s="3183"/>
      <c r="L9" s="3241"/>
      <c r="M9" s="3241"/>
      <c r="N9" s="3241"/>
      <c r="O9" s="3241"/>
      <c r="P9" s="3241"/>
      <c r="Q9" s="3241"/>
      <c r="R9" s="3241"/>
      <c r="S9" s="3241"/>
      <c r="T9" s="3248"/>
    </row>
    <row r="10" spans="1:25">
      <c r="A10" s="3249"/>
      <c r="B10" s="3253"/>
      <c r="C10" s="3198"/>
      <c r="D10" s="3251"/>
      <c r="E10" s="3198"/>
      <c r="F10" s="3239"/>
      <c r="G10" s="3240"/>
      <c r="H10" s="3240"/>
      <c r="I10" s="3240"/>
      <c r="J10" s="3240"/>
      <c r="K10" s="3183"/>
      <c r="L10" s="3241"/>
      <c r="M10" s="3241"/>
      <c r="N10" s="3241"/>
      <c r="O10" s="3241"/>
      <c r="P10" s="3241"/>
      <c r="Q10" s="3241"/>
      <c r="R10" s="3241"/>
      <c r="S10" s="3241"/>
      <c r="T10" s="3248"/>
    </row>
    <row r="11" spans="1:25">
      <c r="A11" s="3249"/>
      <c r="B11" s="3198" t="s">
        <v>303</v>
      </c>
      <c r="C11" s="3238"/>
      <c r="D11" s="3239"/>
      <c r="E11" s="3239"/>
      <c r="F11" s="3239"/>
      <c r="G11" s="3240"/>
      <c r="H11" s="3240"/>
      <c r="I11" s="3240"/>
      <c r="J11" s="3240"/>
      <c r="K11" s="3183"/>
      <c r="L11" s="3241"/>
      <c r="M11" s="3241"/>
      <c r="N11" s="3241"/>
      <c r="O11" s="3241"/>
      <c r="P11" s="3241"/>
      <c r="Q11" s="3241"/>
      <c r="R11" s="3241"/>
      <c r="S11" s="3241"/>
      <c r="T11" s="3248"/>
    </row>
    <row r="12" spans="1:25">
      <c r="A12" s="3249"/>
      <c r="B12" s="3198" t="s">
        <v>2901</v>
      </c>
      <c r="C12" s="3192" t="s">
        <v>3506</v>
      </c>
      <c r="D12" s="3239"/>
      <c r="E12" s="3239"/>
      <c r="F12" s="3239"/>
      <c r="G12" s="3240"/>
      <c r="H12" s="3240"/>
      <c r="I12" s="3240"/>
      <c r="J12" s="3240"/>
      <c r="K12" s="3183"/>
      <c r="L12" s="3241"/>
      <c r="M12" s="3241"/>
      <c r="N12" s="3241"/>
      <c r="O12" s="3241"/>
      <c r="P12" s="3241"/>
      <c r="Q12" s="3241"/>
      <c r="R12" s="3241"/>
      <c r="S12" s="3241"/>
      <c r="T12" s="3248"/>
    </row>
    <row r="13" spans="1:25">
      <c r="A13" s="3249"/>
      <c r="B13" s="3198" t="s">
        <v>3507</v>
      </c>
      <c r="C13" s="3192" t="s">
        <v>3508</v>
      </c>
      <c r="D13" s="3239"/>
      <c r="E13" s="3239"/>
      <c r="F13" s="3239"/>
      <c r="G13" s="3240"/>
      <c r="H13" s="3240"/>
      <c r="I13" s="3240"/>
      <c r="J13" s="3240"/>
      <c r="K13" s="3183"/>
      <c r="L13" s="3241"/>
      <c r="M13" s="3241"/>
      <c r="N13" s="3241"/>
      <c r="O13" s="3241"/>
      <c r="P13" s="3241"/>
      <c r="Q13" s="3241"/>
      <c r="R13" s="3241"/>
      <c r="S13" s="3241"/>
      <c r="T13" s="3248"/>
    </row>
    <row r="14" spans="1:25">
      <c r="A14" s="3249"/>
      <c r="B14" s="3198" t="s">
        <v>3509</v>
      </c>
      <c r="C14" s="3192" t="s">
        <v>3510</v>
      </c>
      <c r="D14" s="3239"/>
      <c r="E14" s="3239"/>
      <c r="F14" s="3239"/>
      <c r="G14" s="3240"/>
      <c r="H14" s="3240"/>
      <c r="I14" s="3240"/>
      <c r="J14" s="3240"/>
      <c r="K14" s="3183"/>
      <c r="L14" s="3241"/>
      <c r="M14" s="3241"/>
      <c r="N14" s="3241"/>
      <c r="O14" s="3241"/>
      <c r="P14" s="3241"/>
      <c r="Q14" s="3241"/>
      <c r="R14" s="3241"/>
      <c r="S14" s="3241"/>
      <c r="T14" s="3248"/>
    </row>
    <row r="15" spans="1:25">
      <c r="A15" s="3249"/>
      <c r="B15" s="3198" t="s">
        <v>2897</v>
      </c>
      <c r="C15" s="3254">
        <f>'G BUCKLING'!D30*10</f>
        <v>622.40000000000009</v>
      </c>
      <c r="D15" s="3255" t="s">
        <v>3511</v>
      </c>
      <c r="E15" s="3255"/>
      <c r="F15" s="3239"/>
      <c r="G15" s="3240"/>
      <c r="H15" s="3240"/>
      <c r="I15" s="3240"/>
      <c r="J15" s="3240"/>
      <c r="K15" s="3183"/>
      <c r="L15" s="3241"/>
      <c r="M15" s="3241"/>
      <c r="N15" s="3241"/>
      <c r="O15" s="3241"/>
      <c r="P15" s="3241"/>
      <c r="Q15" s="3241"/>
      <c r="R15" s="3241"/>
      <c r="S15" s="3241"/>
      <c r="T15" s="3248"/>
      <c r="V15" s="2668" t="s">
        <v>670</v>
      </c>
      <c r="W15" s="2668" t="s">
        <v>1546</v>
      </c>
      <c r="X15" s="2669" t="s">
        <v>1475</v>
      </c>
      <c r="Y15" s="3256" t="s">
        <v>3512</v>
      </c>
    </row>
    <row r="16" spans="1:25">
      <c r="A16" s="3249"/>
      <c r="B16" s="3198" t="s">
        <v>473</v>
      </c>
      <c r="C16" s="3192"/>
      <c r="D16" s="3239"/>
      <c r="E16" s="3255" t="s">
        <v>3513</v>
      </c>
      <c r="F16" s="3239"/>
      <c r="G16" s="3240"/>
      <c r="H16" s="3240"/>
      <c r="I16" s="3240"/>
      <c r="J16" s="3240"/>
      <c r="K16" s="3183"/>
      <c r="L16" s="3241"/>
      <c r="M16" s="3241"/>
      <c r="N16" s="3241"/>
      <c r="O16" s="3241"/>
      <c r="P16" s="3241"/>
      <c r="Q16" s="3241"/>
      <c r="R16" s="3241"/>
      <c r="S16" s="3241"/>
      <c r="T16" s="3248"/>
      <c r="V16" s="2691" t="s">
        <v>2853</v>
      </c>
      <c r="W16" s="2691">
        <v>4</v>
      </c>
      <c r="X16" s="3257">
        <v>40</v>
      </c>
      <c r="Y16" s="2814">
        <f>ROUND(((W16^4/12)/(W16/2))*0.394^3,2)</f>
        <v>0.65</v>
      </c>
    </row>
    <row r="17" spans="1:25">
      <c r="A17" s="3249"/>
      <c r="B17" s="3198" t="s">
        <v>2901</v>
      </c>
      <c r="C17" s="3258">
        <f>'G BUCKLING'!D10</f>
        <v>0.6</v>
      </c>
      <c r="D17" s="3259" t="s">
        <v>1524</v>
      </c>
      <c r="E17" s="3255"/>
      <c r="F17" s="3239"/>
      <c r="G17" s="3240"/>
      <c r="H17" s="3240"/>
      <c r="I17" s="3240"/>
      <c r="J17" s="3240"/>
      <c r="K17" s="3183"/>
      <c r="L17" s="3241"/>
      <c r="M17" s="3241"/>
      <c r="N17" s="3241"/>
      <c r="O17" s="3241"/>
      <c r="P17" s="3241"/>
      <c r="Q17" s="3241"/>
      <c r="R17" s="3241"/>
      <c r="S17" s="3241"/>
      <c r="T17" s="3248"/>
      <c r="V17" s="2691" t="s">
        <v>2855</v>
      </c>
      <c r="W17" s="2691">
        <v>5</v>
      </c>
      <c r="X17" s="3257">
        <v>50</v>
      </c>
      <c r="Y17" s="2814">
        <f>ROUND(((W17^4/12)/(W17/2))*0.394^3,2)</f>
        <v>1.27</v>
      </c>
    </row>
    <row r="18" spans="1:25">
      <c r="A18" s="3249"/>
      <c r="B18" s="3260" t="s">
        <v>2901</v>
      </c>
      <c r="C18" s="3261">
        <f>C17*0.394</f>
        <v>0.2364</v>
      </c>
      <c r="D18" s="3259" t="s">
        <v>3119</v>
      </c>
      <c r="E18" s="3255"/>
      <c r="F18" s="3239"/>
      <c r="G18" s="3240"/>
      <c r="H18" s="3240"/>
      <c r="I18" s="3240"/>
      <c r="J18" s="3240"/>
      <c r="K18" s="3183"/>
      <c r="L18" s="3241"/>
      <c r="M18" s="3241"/>
      <c r="N18" s="3241"/>
      <c r="O18" s="3241"/>
      <c r="P18" s="3241"/>
      <c r="Q18" s="3241"/>
      <c r="R18" s="3241"/>
      <c r="S18" s="3241"/>
      <c r="T18" s="3248"/>
      <c r="V18" s="2691" t="s">
        <v>2857</v>
      </c>
      <c r="W18" s="2691">
        <v>7.9329999999999998</v>
      </c>
      <c r="X18" s="3257">
        <v>35.94</v>
      </c>
      <c r="Y18" s="3262">
        <f>58*0.394^3</f>
        <v>3.5474530720000006</v>
      </c>
    </row>
    <row r="19" spans="1:25">
      <c r="A19" s="3249"/>
      <c r="B19" s="3198"/>
      <c r="C19" s="3198"/>
      <c r="D19" s="3239"/>
      <c r="E19" s="3255"/>
      <c r="F19" s="3239"/>
      <c r="G19" s="3240"/>
      <c r="H19" s="3240"/>
      <c r="I19" s="3240"/>
      <c r="J19" s="3240"/>
      <c r="K19" s="3183"/>
      <c r="L19" s="3241"/>
      <c r="M19" s="3241"/>
      <c r="N19" s="3241"/>
      <c r="O19" s="3241"/>
      <c r="P19" s="3241"/>
      <c r="Q19" s="3241"/>
      <c r="R19" s="3241"/>
      <c r="S19" s="3241"/>
      <c r="T19" s="3248"/>
      <c r="V19" s="2691" t="s">
        <v>2859</v>
      </c>
      <c r="W19" s="2691">
        <v>11.43</v>
      </c>
      <c r="X19" s="3257">
        <v>44.4</v>
      </c>
      <c r="Y19" s="3262">
        <f>116*0.394^3</f>
        <v>7.0949061440000012</v>
      </c>
    </row>
    <row r="20" spans="1:25">
      <c r="A20" s="3249"/>
      <c r="B20" s="3198" t="s">
        <v>3514</v>
      </c>
      <c r="C20" s="3258">
        <f>'G BUCKLING'!F120</f>
        <v>142.82</v>
      </c>
      <c r="D20" s="3259" t="s">
        <v>3103</v>
      </c>
      <c r="E20" s="3255" t="s">
        <v>3515</v>
      </c>
      <c r="F20" s="3239"/>
      <c r="G20" s="3240"/>
      <c r="H20" s="3240"/>
      <c r="I20" s="3240"/>
      <c r="J20" s="3240"/>
      <c r="K20" s="3183"/>
      <c r="L20" s="3241"/>
      <c r="M20" s="3241"/>
      <c r="N20" s="3241"/>
      <c r="O20" s="3241"/>
      <c r="P20" s="3241"/>
      <c r="Q20" s="3241"/>
      <c r="R20" s="3241"/>
      <c r="S20" s="3241"/>
      <c r="T20" s="3248"/>
      <c r="V20" s="2691" t="s">
        <v>2862</v>
      </c>
      <c r="W20" s="3257">
        <v>14.238</v>
      </c>
      <c r="X20" s="3257">
        <v>49.74</v>
      </c>
      <c r="Y20" s="3262">
        <f>212*0.394^3</f>
        <v>12.966552608000002</v>
      </c>
    </row>
    <row r="21" spans="1:25">
      <c r="A21" s="3249"/>
      <c r="B21" s="3198" t="s">
        <v>3514</v>
      </c>
      <c r="C21" s="3198" t="str">
        <f>CONCATENATE(C20,"/",70)</f>
        <v>142.82/70</v>
      </c>
      <c r="D21" s="3239"/>
      <c r="E21" s="3255" t="s">
        <v>3516</v>
      </c>
      <c r="F21" s="3239"/>
      <c r="G21" s="3240"/>
      <c r="H21" s="3240"/>
      <c r="I21" s="3240"/>
      <c r="J21" s="3240"/>
      <c r="K21" s="3183"/>
      <c r="L21" s="3241"/>
      <c r="M21" s="3241"/>
      <c r="N21" s="3241"/>
      <c r="O21" s="3241"/>
      <c r="P21" s="3241"/>
      <c r="Q21" s="3241"/>
      <c r="R21" s="3241"/>
      <c r="S21" s="3241"/>
      <c r="T21" s="3248"/>
      <c r="V21" s="2691" t="s">
        <v>2865</v>
      </c>
      <c r="W21" s="2691">
        <v>15.6</v>
      </c>
      <c r="X21" s="3257">
        <v>52.2</v>
      </c>
      <c r="Y21" s="3262">
        <f>198*0.394^3</f>
        <v>12.110270832000001</v>
      </c>
    </row>
    <row r="22" spans="1:25">
      <c r="A22" s="3249"/>
      <c r="B22" s="3260" t="s">
        <v>3514</v>
      </c>
      <c r="C22" s="3258">
        <f>ROUND(C20/70,2)</f>
        <v>2.04</v>
      </c>
      <c r="D22" s="3259" t="s">
        <v>3517</v>
      </c>
      <c r="E22" s="3255"/>
      <c r="F22" s="3239"/>
      <c r="G22" s="3240"/>
      <c r="H22" s="3240"/>
      <c r="I22" s="3240"/>
      <c r="J22" s="3240"/>
      <c r="K22" s="3183"/>
      <c r="L22" s="3241"/>
      <c r="M22" s="3241"/>
      <c r="N22" s="3241"/>
      <c r="O22" s="3241"/>
      <c r="P22" s="3241"/>
      <c r="Q22" s="3241"/>
      <c r="R22" s="3241"/>
      <c r="S22" s="3241"/>
      <c r="T22" s="3248"/>
      <c r="V22" s="2691" t="s">
        <v>912</v>
      </c>
      <c r="W22" s="2691">
        <v>13</v>
      </c>
      <c r="X22" s="3257">
        <v>69.34</v>
      </c>
      <c r="Y22" s="3262">
        <f>233*0.394^3</f>
        <v>14.250975272000002</v>
      </c>
    </row>
    <row r="23" spans="1:25">
      <c r="A23" s="3249"/>
      <c r="B23" s="3198"/>
      <c r="C23" s="3198"/>
      <c r="D23" s="3239"/>
      <c r="E23" s="3255"/>
      <c r="F23" s="3239"/>
      <c r="G23" s="3240"/>
      <c r="H23" s="3240"/>
      <c r="I23" s="3240"/>
      <c r="J23" s="3240"/>
      <c r="K23" s="3183"/>
      <c r="L23" s="3241"/>
      <c r="M23" s="3241"/>
      <c r="N23" s="3241"/>
      <c r="O23" s="3241"/>
      <c r="P23" s="3241"/>
      <c r="Q23" s="3241"/>
      <c r="R23" s="3241"/>
      <c r="S23" s="3241"/>
      <c r="T23" s="3248"/>
      <c r="V23" s="2698" t="s">
        <v>915</v>
      </c>
      <c r="W23" s="2698">
        <v>15</v>
      </c>
      <c r="X23" s="3003">
        <v>89.34</v>
      </c>
      <c r="Y23" s="3262">
        <f>368*0.394^3</f>
        <v>22.507978112000004</v>
      </c>
    </row>
    <row r="24" spans="1:25">
      <c r="A24" s="3249"/>
      <c r="B24" s="3198" t="s">
        <v>3518</v>
      </c>
      <c r="C24" s="3258">
        <f>250*9.81</f>
        <v>2452.5</v>
      </c>
      <c r="D24" s="3259" t="s">
        <v>3103</v>
      </c>
      <c r="E24" s="3255" t="s">
        <v>3519</v>
      </c>
      <c r="F24" s="3239"/>
      <c r="G24" s="3240"/>
      <c r="H24" s="3240"/>
      <c r="I24" s="3240"/>
      <c r="J24" s="3240"/>
      <c r="K24" s="3183"/>
      <c r="L24" s="3241"/>
      <c r="M24" s="3241"/>
      <c r="N24" s="3241"/>
      <c r="O24" s="3241"/>
      <c r="P24" s="3241"/>
      <c r="Q24" s="3241"/>
      <c r="R24" s="3241"/>
      <c r="S24" s="3241"/>
      <c r="T24" s="3248"/>
      <c r="V24" s="2691" t="s">
        <v>917</v>
      </c>
      <c r="W24" s="2691">
        <v>17</v>
      </c>
      <c r="X24" s="3257">
        <v>109.34</v>
      </c>
      <c r="Y24" s="3262">
        <f>552*0.394^3</f>
        <v>33.761967168000005</v>
      </c>
    </row>
    <row r="25" spans="1:25">
      <c r="A25" s="3249"/>
      <c r="B25" s="3198" t="s">
        <v>3518</v>
      </c>
      <c r="C25" s="3198" t="str">
        <f>CONCATENATE(C24,"/",70)</f>
        <v>2452.5/70</v>
      </c>
      <c r="D25" s="3239"/>
      <c r="E25" s="3255"/>
      <c r="F25" s="3239"/>
      <c r="G25" s="3240"/>
      <c r="H25" s="3240"/>
      <c r="I25" s="3240"/>
      <c r="J25" s="3240"/>
      <c r="K25" s="3183"/>
      <c r="L25" s="3241"/>
      <c r="M25" s="3241"/>
      <c r="N25" s="3241"/>
      <c r="O25" s="3241"/>
      <c r="P25" s="3241"/>
      <c r="Q25" s="3241"/>
      <c r="R25" s="3241"/>
      <c r="S25" s="3241"/>
      <c r="T25" s="3248"/>
      <c r="V25" s="2691" t="s">
        <v>1565</v>
      </c>
      <c r="W25" s="2691">
        <v>9.5</v>
      </c>
      <c r="X25" s="3257">
        <v>83.5</v>
      </c>
      <c r="Y25" s="3262">
        <f>204.7*0.394^3</f>
        <v>12.520062824800002</v>
      </c>
    </row>
    <row r="26" spans="1:25">
      <c r="A26" s="3249"/>
      <c r="B26" s="3260" t="s">
        <v>3518</v>
      </c>
      <c r="C26" s="3258">
        <f>ROUND(C24/70,2)</f>
        <v>35.04</v>
      </c>
      <c r="D26" s="3259" t="s">
        <v>3517</v>
      </c>
      <c r="E26" s="3255"/>
      <c r="F26" s="3239"/>
      <c r="G26" s="3240"/>
      <c r="H26" s="3240"/>
      <c r="I26" s="3240"/>
      <c r="J26" s="3240"/>
      <c r="K26" s="3183"/>
      <c r="L26" s="3241"/>
      <c r="M26" s="3241"/>
      <c r="N26" s="3241"/>
      <c r="O26" s="3241"/>
      <c r="P26" s="3241"/>
      <c r="Q26" s="3241"/>
      <c r="R26" s="3241"/>
      <c r="S26" s="3241"/>
      <c r="T26" s="3248"/>
      <c r="V26" s="2691" t="s">
        <v>1566</v>
      </c>
      <c r="W26" s="2691">
        <v>10.5</v>
      </c>
      <c r="X26" s="3257">
        <v>120</v>
      </c>
      <c r="Y26" s="3262">
        <f>289.9*0.394^3</f>
        <v>17.7311490616</v>
      </c>
    </row>
    <row r="27" spans="1:25">
      <c r="A27" s="3249"/>
      <c r="B27" s="3198" t="s">
        <v>3079</v>
      </c>
      <c r="C27" s="3198"/>
      <c r="D27" s="3239"/>
      <c r="E27" s="3255"/>
      <c r="F27" s="3239"/>
      <c r="G27" s="3240"/>
      <c r="H27" s="3240"/>
      <c r="I27" s="3240"/>
      <c r="J27" s="3240"/>
      <c r="K27" s="3183"/>
      <c r="L27" s="3241"/>
      <c r="M27" s="3241"/>
      <c r="N27" s="3241"/>
      <c r="O27" s="3241"/>
      <c r="P27" s="3241"/>
      <c r="Q27" s="3241"/>
      <c r="R27" s="3241"/>
      <c r="S27" s="3241"/>
      <c r="T27" s="3248"/>
      <c r="Y27" s="3142">
        <f>LOOKUP(T86,V16:V26,Y16:Y26)</f>
        <v>12.110270832000001</v>
      </c>
    </row>
    <row r="28" spans="1:25">
      <c r="A28" s="3249"/>
      <c r="B28" s="3253"/>
      <c r="C28" s="3252" t="s">
        <v>3500</v>
      </c>
      <c r="D28" s="3253"/>
      <c r="E28" s="3253"/>
      <c r="F28" s="3252" t="s">
        <v>3502</v>
      </c>
      <c r="G28" s="3253"/>
      <c r="H28" s="3240"/>
      <c r="I28" s="3240"/>
      <c r="J28" s="3240"/>
      <c r="K28" s="3183"/>
      <c r="L28" s="3241"/>
      <c r="M28" s="3241"/>
      <c r="N28" s="3241"/>
      <c r="O28" s="3241"/>
      <c r="P28" s="3241"/>
      <c r="Q28" s="3241"/>
      <c r="R28" s="3241"/>
      <c r="S28" s="3241"/>
      <c r="T28" s="3248"/>
    </row>
    <row r="29" spans="1:25">
      <c r="A29" s="3249"/>
      <c r="B29" s="3253"/>
      <c r="C29" s="3198" t="s">
        <v>3503</v>
      </c>
      <c r="D29" s="3253"/>
      <c r="E29" s="3253"/>
      <c r="F29" s="3198" t="s">
        <v>3504</v>
      </c>
      <c r="G29" s="3253"/>
      <c r="H29" s="3240"/>
      <c r="I29" s="3240"/>
      <c r="J29" s="3240"/>
      <c r="K29" s="3183"/>
      <c r="L29" s="3241"/>
      <c r="M29" s="3241"/>
      <c r="N29" s="3241"/>
      <c r="O29" s="3241"/>
      <c r="P29" s="3241"/>
      <c r="Q29" s="3241"/>
      <c r="R29" s="3241"/>
      <c r="S29" s="3241"/>
      <c r="T29" s="3248"/>
    </row>
    <row r="30" spans="1:25">
      <c r="A30" s="3249"/>
      <c r="B30" s="3263" t="s">
        <v>160</v>
      </c>
      <c r="C30" s="3264" t="str">
        <f>CONCATENATE(320,"x",C18)</f>
        <v>320x0.2364</v>
      </c>
      <c r="D30" s="3253"/>
      <c r="E30" s="3263" t="s">
        <v>160</v>
      </c>
      <c r="F30" s="3264" t="str">
        <f>CONCATENATE(500,"x",C18)</f>
        <v>500x0.2364</v>
      </c>
      <c r="G30" s="3253"/>
      <c r="H30" s="3253"/>
      <c r="I30" s="3253"/>
      <c r="J30" s="3253"/>
      <c r="K30" s="3253"/>
      <c r="L30" s="3253"/>
      <c r="M30" s="3253"/>
      <c r="N30" s="3253"/>
      <c r="O30" s="3253"/>
      <c r="P30" s="3253"/>
      <c r="Q30" s="3253"/>
      <c r="R30" s="3253"/>
      <c r="S30" s="3253"/>
      <c r="T30" s="3265"/>
    </row>
    <row r="31" spans="1:25" ht="15" customHeight="1">
      <c r="A31" s="3249"/>
      <c r="B31" s="3253"/>
      <c r="C31" s="3251" t="str">
        <f>CONCATENATE(C22,"^",0.5)</f>
        <v>2.04^0.5</v>
      </c>
      <c r="D31" s="3253"/>
      <c r="E31" s="3253"/>
      <c r="F31" s="3251" t="str">
        <f>CONCATENATE(C26,"^",0.5)</f>
        <v>35.04^0.5</v>
      </c>
      <c r="G31" s="3253"/>
      <c r="H31" s="3253"/>
      <c r="I31" s="3253"/>
      <c r="J31" s="3253"/>
      <c r="K31" s="3253"/>
      <c r="L31" s="3253"/>
      <c r="M31" s="3253"/>
      <c r="N31" s="3253"/>
      <c r="O31" s="3253"/>
      <c r="P31" s="3253"/>
      <c r="Q31" s="3253"/>
      <c r="R31" s="3253"/>
      <c r="S31" s="3253"/>
      <c r="T31" s="3265"/>
    </row>
    <row r="32" spans="1:25">
      <c r="A32" s="3249"/>
      <c r="B32" s="3263" t="s">
        <v>160</v>
      </c>
      <c r="C32" s="3251">
        <f>ROUND((320*C18)/(C22^0.5),2)</f>
        <v>52.96</v>
      </c>
      <c r="D32" s="3253" t="s">
        <v>3119</v>
      </c>
      <c r="E32" s="3263" t="s">
        <v>160</v>
      </c>
      <c r="F32" s="3251">
        <f>ROUND((500*C18)/(C26^0.5),2)</f>
        <v>19.97</v>
      </c>
      <c r="G32" s="3253" t="s">
        <v>3119</v>
      </c>
      <c r="H32" s="3253"/>
      <c r="I32" s="3253"/>
      <c r="J32" s="3253"/>
      <c r="K32" s="3253"/>
      <c r="L32" s="3253"/>
      <c r="M32" s="3253"/>
      <c r="N32" s="3253"/>
      <c r="O32" s="3253"/>
      <c r="P32" s="3253"/>
      <c r="Q32" s="3253"/>
      <c r="R32" s="3253"/>
      <c r="S32" s="3253"/>
      <c r="T32" s="3265"/>
    </row>
    <row r="33" spans="1:37">
      <c r="A33" s="3249"/>
      <c r="B33" s="3263" t="s">
        <v>160</v>
      </c>
      <c r="C33" s="3266">
        <f>C32*25.4</f>
        <v>1345.184</v>
      </c>
      <c r="D33" s="3253" t="s">
        <v>466</v>
      </c>
      <c r="E33" s="3263" t="s">
        <v>160</v>
      </c>
      <c r="F33" s="3266">
        <f>F32*25.4</f>
        <v>507.23799999999994</v>
      </c>
      <c r="G33" s="3253" t="s">
        <v>3520</v>
      </c>
      <c r="H33" s="3253"/>
      <c r="I33" s="3253"/>
      <c r="J33" s="3253"/>
      <c r="K33" s="3253"/>
      <c r="L33" s="3253"/>
      <c r="M33" s="3253"/>
      <c r="N33" s="3253"/>
      <c r="O33" s="3253"/>
      <c r="P33" s="3253"/>
      <c r="Q33" s="3253"/>
      <c r="R33" s="3253"/>
      <c r="S33" s="3253"/>
      <c r="T33" s="3265"/>
    </row>
    <row r="34" spans="1:37">
      <c r="A34" s="3249"/>
      <c r="C34" s="3192"/>
      <c r="D34" s="3259"/>
      <c r="E34" s="3259"/>
      <c r="F34" s="3259"/>
      <c r="G34" s="3253"/>
      <c r="H34" s="3253"/>
      <c r="I34" s="3253"/>
      <c r="J34" s="3253"/>
      <c r="K34" s="3253"/>
      <c r="L34" s="3253"/>
      <c r="M34" s="3253"/>
      <c r="N34" s="3253"/>
      <c r="O34" s="3253"/>
      <c r="P34" s="3253"/>
      <c r="Q34" s="3253"/>
      <c r="R34" s="3253"/>
      <c r="S34" s="3253"/>
      <c r="T34" s="3265"/>
    </row>
    <row r="35" spans="1:37">
      <c r="A35" s="3249"/>
      <c r="B35" s="3198" t="s">
        <v>3412</v>
      </c>
      <c r="C35" s="3192" t="s">
        <v>3521</v>
      </c>
      <c r="D35" s="3259"/>
      <c r="E35" s="3253"/>
      <c r="F35" s="3259"/>
      <c r="G35" s="3267">
        <v>1400</v>
      </c>
      <c r="H35" s="3253" t="s">
        <v>466</v>
      </c>
      <c r="I35" s="3253"/>
      <c r="J35" s="3253"/>
      <c r="K35" s="3253"/>
      <c r="L35" s="3253"/>
      <c r="M35" s="3253"/>
      <c r="N35" s="3253"/>
      <c r="O35" s="3253"/>
      <c r="P35" s="3253"/>
      <c r="Q35" s="3253"/>
      <c r="R35" s="3253"/>
      <c r="S35" s="3253"/>
      <c r="T35" s="3265"/>
    </row>
    <row r="36" spans="1:37">
      <c r="A36" s="3249"/>
      <c r="B36" s="3198"/>
      <c r="C36" s="3192"/>
      <c r="D36" s="3259"/>
      <c r="E36" s="3253"/>
      <c r="F36" s="3259"/>
      <c r="G36" s="3253"/>
      <c r="H36" s="3253"/>
      <c r="I36" s="3253"/>
      <c r="J36" s="3253"/>
      <c r="K36" s="3253"/>
      <c r="L36" s="3253"/>
      <c r="M36" s="3253"/>
      <c r="N36" s="3253"/>
      <c r="O36" s="3253"/>
      <c r="P36" s="3253"/>
      <c r="Q36" s="3253"/>
      <c r="R36" s="3253"/>
      <c r="S36" s="3253"/>
      <c r="T36" s="3265"/>
      <c r="AJ36" s="2834"/>
      <c r="AK36" s="2834"/>
    </row>
    <row r="37" spans="1:37">
      <c r="A37" s="3249"/>
      <c r="B37" s="3192" t="s">
        <v>2983</v>
      </c>
      <c r="C37" s="3180">
        <f>G35</f>
        <v>1400</v>
      </c>
      <c r="D37" s="3268" t="s">
        <v>3522</v>
      </c>
      <c r="E37" s="3269">
        <f>F33</f>
        <v>507.23799999999994</v>
      </c>
      <c r="F37" s="3270" t="str">
        <f>IF(C37&lt;E37,"SAFE","UNSAFE")</f>
        <v>UNSAFE</v>
      </c>
      <c r="G37" s="3253"/>
      <c r="H37" s="3253"/>
      <c r="I37" s="3253"/>
      <c r="J37" s="3253"/>
      <c r="K37" s="3253"/>
      <c r="L37" s="3253"/>
      <c r="M37" s="3253"/>
      <c r="N37" s="3253"/>
      <c r="O37" s="3253"/>
      <c r="P37" s="3253"/>
      <c r="Q37" s="3253"/>
      <c r="R37" s="3253"/>
      <c r="S37" s="3253"/>
      <c r="T37" s="3265"/>
      <c r="AJ37" s="2834"/>
      <c r="AK37" s="2834"/>
    </row>
    <row r="38" spans="1:37">
      <c r="A38" s="3249"/>
      <c r="B38" s="3192"/>
      <c r="C38" s="3180">
        <f>G35</f>
        <v>1400</v>
      </c>
      <c r="D38" s="3268" t="s">
        <v>3522</v>
      </c>
      <c r="E38" s="3271">
        <f>C15</f>
        <v>622.40000000000009</v>
      </c>
      <c r="F38" s="3270" t="str">
        <f>IF(C38&lt;E38,"SAFE","UNSAFE")</f>
        <v>UNSAFE</v>
      </c>
      <c r="G38" s="3253"/>
      <c r="H38" s="3253"/>
      <c r="I38" s="3253"/>
      <c r="J38" s="3253"/>
      <c r="K38" s="3253"/>
      <c r="L38" s="3253"/>
      <c r="M38" s="3253"/>
      <c r="N38" s="3253"/>
      <c r="O38" s="3253"/>
      <c r="P38" s="3253"/>
      <c r="Q38" s="3253"/>
      <c r="R38" s="3253"/>
      <c r="S38" s="3253"/>
      <c r="T38" s="3265"/>
      <c r="AJ38" s="2834"/>
      <c r="AK38" s="2834"/>
    </row>
    <row r="39" spans="1:37">
      <c r="A39" s="3272"/>
      <c r="B39" s="3273" t="s">
        <v>473</v>
      </c>
      <c r="C39" s="3274" t="s">
        <v>3523</v>
      </c>
      <c r="D39" s="3275"/>
      <c r="E39" s="3275"/>
      <c r="F39" s="3275"/>
      <c r="G39" s="3276"/>
      <c r="H39" s="3276"/>
      <c r="I39" s="3276"/>
      <c r="J39" s="3276"/>
      <c r="K39" s="3276"/>
      <c r="L39" s="3276"/>
      <c r="M39" s="3276"/>
      <c r="N39" s="3276"/>
      <c r="O39" s="3276"/>
      <c r="P39" s="3276"/>
      <c r="Q39" s="3276"/>
      <c r="R39" s="3276"/>
      <c r="S39" s="3276"/>
      <c r="T39" s="3277"/>
      <c r="AJ39" s="2834"/>
      <c r="AK39" s="2834"/>
    </row>
    <row r="40" spans="1:37">
      <c r="A40" s="3278"/>
      <c r="B40" s="3279"/>
      <c r="C40" s="3279"/>
      <c r="D40" s="3280"/>
      <c r="E40" s="3280"/>
      <c r="F40" s="3280"/>
      <c r="G40" s="3243"/>
      <c r="H40" s="3243"/>
      <c r="I40" s="3243"/>
      <c r="J40" s="3243"/>
      <c r="K40" s="3244"/>
      <c r="L40" s="3245"/>
      <c r="M40" s="3245"/>
      <c r="N40" s="3245"/>
      <c r="O40" s="3245"/>
      <c r="P40" s="3245"/>
      <c r="Q40" s="3245"/>
      <c r="R40" s="3245"/>
      <c r="S40" s="3245"/>
      <c r="T40" s="3246"/>
      <c r="AJ40" s="2834"/>
      <c r="AK40" s="2834"/>
    </row>
    <row r="41" spans="1:37">
      <c r="A41" s="3143"/>
      <c r="B41" s="3281" t="s">
        <v>3524</v>
      </c>
      <c r="L41" s="3241"/>
      <c r="M41" s="3241"/>
      <c r="N41" s="3241"/>
      <c r="O41" s="3241"/>
      <c r="P41" s="3241"/>
      <c r="Q41" s="3241"/>
      <c r="R41" s="3241"/>
      <c r="S41" s="3241"/>
      <c r="T41" s="3248"/>
      <c r="AJ41" s="2834"/>
      <c r="AK41" s="2834"/>
    </row>
    <row r="42" spans="1:37">
      <c r="A42" s="3143"/>
      <c r="F42" s="3147"/>
      <c r="L42" s="3241"/>
      <c r="M42" s="3241"/>
      <c r="N42" s="3241"/>
      <c r="O42" s="3241"/>
      <c r="P42" s="3241"/>
      <c r="Q42" s="3241"/>
      <c r="R42" s="3241"/>
      <c r="S42" s="3241"/>
      <c r="T42" s="3248"/>
      <c r="AJ42" s="2834"/>
      <c r="AK42" s="2834"/>
    </row>
    <row r="43" spans="1:37">
      <c r="A43" s="3143"/>
      <c r="B43" s="4614" t="s">
        <v>3138</v>
      </c>
      <c r="C43" s="4614"/>
      <c r="D43" s="4614"/>
      <c r="F43" s="3147"/>
      <c r="L43" s="3241"/>
      <c r="M43" s="3241"/>
      <c r="N43" s="3241"/>
      <c r="O43" s="3241"/>
      <c r="P43" s="3241"/>
      <c r="Q43" s="3241"/>
      <c r="R43" s="3241"/>
      <c r="S43" s="3241"/>
      <c r="T43" s="3248"/>
      <c r="AJ43" s="2834"/>
      <c r="AK43" s="2834"/>
    </row>
    <row r="44" spans="1:37">
      <c r="A44" s="3143"/>
      <c r="B44" s="3282"/>
      <c r="F44" s="3147"/>
      <c r="L44" s="3241"/>
      <c r="M44" s="3241"/>
      <c r="N44" s="3241"/>
      <c r="O44" s="3241"/>
      <c r="P44" s="3241"/>
      <c r="Q44" s="3241"/>
      <c r="R44" s="3241"/>
      <c r="S44" s="3241"/>
      <c r="T44" s="3248"/>
      <c r="AJ44" s="2834"/>
      <c r="AK44" s="2834"/>
    </row>
    <row r="45" spans="1:37">
      <c r="A45" s="3143"/>
      <c r="B45" s="3283" t="s">
        <v>3137</v>
      </c>
      <c r="F45" s="3147"/>
      <c r="G45" s="3284"/>
      <c r="L45" s="3241"/>
      <c r="M45" s="3241"/>
      <c r="N45" s="3241"/>
      <c r="O45" s="3241"/>
      <c r="P45" s="3241"/>
      <c r="Q45" s="3241"/>
      <c r="R45" s="3241"/>
      <c r="S45" s="3241"/>
      <c r="T45" s="3248"/>
      <c r="AJ45" s="2834"/>
      <c r="AK45" s="2834"/>
    </row>
    <row r="46" spans="1:37">
      <c r="A46" s="3143"/>
      <c r="B46" s="3260" t="s">
        <v>3139</v>
      </c>
      <c r="C46" s="4616" t="s">
        <v>3525</v>
      </c>
      <c r="D46" s="4616"/>
      <c r="E46" s="4616"/>
      <c r="F46" s="3147"/>
      <c r="L46" s="3241"/>
      <c r="M46" s="3241"/>
      <c r="N46" s="3241"/>
      <c r="O46" s="3241"/>
      <c r="P46" s="3241"/>
      <c r="Q46" s="3241"/>
      <c r="R46" s="3241"/>
      <c r="S46" s="3241"/>
      <c r="T46" s="3248"/>
      <c r="AJ46" s="2834"/>
      <c r="AK46" s="2834"/>
    </row>
    <row r="47" spans="1:37">
      <c r="A47" s="3143"/>
      <c r="B47" s="3260" t="s">
        <v>3141</v>
      </c>
      <c r="C47" s="4616" t="s">
        <v>3526</v>
      </c>
      <c r="D47" s="4616"/>
      <c r="E47" s="4616"/>
      <c r="L47" s="3241"/>
      <c r="M47" s="3241"/>
      <c r="N47" s="3241"/>
      <c r="O47" s="3241"/>
      <c r="P47" s="3241"/>
      <c r="Q47" s="3241"/>
      <c r="R47" s="3241"/>
      <c r="S47" s="3241"/>
      <c r="T47" s="3248"/>
      <c r="AJ47" s="2834"/>
      <c r="AK47" s="2834"/>
    </row>
    <row r="48" spans="1:37">
      <c r="A48" s="3143"/>
      <c r="L48" s="3241"/>
      <c r="M48" s="3241"/>
      <c r="N48" s="3241"/>
      <c r="O48" s="3241"/>
      <c r="P48" s="3241"/>
      <c r="Q48" s="3241"/>
      <c r="R48" s="3241"/>
      <c r="S48" s="3241"/>
      <c r="T48" s="3248"/>
      <c r="AJ48" s="2834"/>
      <c r="AK48" s="2834"/>
    </row>
    <row r="49" spans="1:37">
      <c r="A49" s="3143"/>
      <c r="B49" s="3147" t="s">
        <v>303</v>
      </c>
      <c r="C49" s="3192" t="s">
        <v>3527</v>
      </c>
      <c r="D49" s="3175"/>
      <c r="F49" s="3168">
        <f>Girder!G35</f>
        <v>120.2</v>
      </c>
      <c r="G49" s="3147" t="s">
        <v>571</v>
      </c>
      <c r="I49" s="3166" t="s">
        <v>3528</v>
      </c>
      <c r="L49" s="3241"/>
      <c r="M49" s="3241"/>
      <c r="N49" s="3241"/>
      <c r="O49" s="3241"/>
      <c r="P49" s="3241"/>
      <c r="Q49" s="3241"/>
      <c r="R49" s="3241"/>
      <c r="S49" s="3241"/>
      <c r="T49" s="3248"/>
      <c r="AJ49" s="2834"/>
      <c r="AK49" s="2834"/>
    </row>
    <row r="50" spans="1:37">
      <c r="A50" s="3143"/>
      <c r="C50" s="3192" t="s">
        <v>3529</v>
      </c>
      <c r="D50" s="3175"/>
      <c r="F50" s="3168">
        <f>G35/10</f>
        <v>140</v>
      </c>
      <c r="G50" s="3147" t="s">
        <v>571</v>
      </c>
      <c r="H50" s="3142" t="s">
        <v>3952</v>
      </c>
      <c r="I50" s="2814">
        <f>ROUND((((F49-5)/100)*((F52*2)/100)*(F51*10)*7.85)*((Girder!H10/70)/2),2)*0.8</f>
        <v>184.79200000000003</v>
      </c>
      <c r="L50" s="3241"/>
      <c r="M50" s="3241"/>
      <c r="N50" s="3241"/>
      <c r="O50" s="3241"/>
      <c r="P50" s="3241"/>
      <c r="Q50" s="3241"/>
      <c r="R50" s="3241"/>
      <c r="S50" s="3241"/>
      <c r="T50" s="3248"/>
      <c r="AJ50" s="2834"/>
      <c r="AK50" s="2834"/>
    </row>
    <row r="51" spans="1:37">
      <c r="A51" s="3143"/>
      <c r="C51" s="3285" t="s">
        <v>3530</v>
      </c>
      <c r="D51" s="3211"/>
      <c r="F51" s="3286">
        <f>0.6+0.2</f>
        <v>0.8</v>
      </c>
      <c r="G51" s="3211" t="s">
        <v>571</v>
      </c>
      <c r="L51" s="3241"/>
      <c r="M51" s="3241"/>
      <c r="N51" s="3241"/>
      <c r="O51" s="3241"/>
      <c r="P51" s="3241"/>
      <c r="Q51" s="3241"/>
      <c r="R51" s="3241"/>
      <c r="S51" s="3241"/>
      <c r="T51" s="3248"/>
      <c r="AJ51" s="2834"/>
      <c r="AK51" s="2834"/>
    </row>
    <row r="52" spans="1:37">
      <c r="A52" s="3143"/>
      <c r="C52" s="3192" t="s">
        <v>3531</v>
      </c>
      <c r="F52" s="3168">
        <f>((Girder!C31/10))/2</f>
        <v>14.9</v>
      </c>
      <c r="G52" s="3147" t="s">
        <v>571</v>
      </c>
      <c r="I52" s="3166" t="s">
        <v>3532</v>
      </c>
      <c r="L52" s="3241"/>
      <c r="M52" s="3241"/>
      <c r="N52" s="3241"/>
      <c r="O52" s="3241"/>
      <c r="P52" s="3241"/>
      <c r="Q52" s="3241"/>
      <c r="R52" s="3241"/>
      <c r="S52" s="3241"/>
      <c r="T52" s="3248"/>
      <c r="V52" s="2834"/>
      <c r="W52" s="2834"/>
      <c r="X52" s="2834"/>
      <c r="Y52" s="2834"/>
      <c r="Z52" s="2834"/>
      <c r="AA52" s="2834"/>
      <c r="AB52" s="2834"/>
      <c r="AC52" s="2834"/>
      <c r="AD52" s="2834"/>
      <c r="AE52" s="2834"/>
      <c r="AF52" s="2834"/>
      <c r="AG52" s="2834"/>
      <c r="AH52" s="2834"/>
      <c r="AI52" s="2834"/>
      <c r="AJ52" s="2834"/>
      <c r="AK52" s="2834"/>
    </row>
    <row r="53" spans="1:37">
      <c r="A53" s="3143"/>
      <c r="D53" s="3192"/>
      <c r="E53" s="3175"/>
      <c r="F53" s="3147"/>
      <c r="G53" s="3147"/>
      <c r="I53" s="2814">
        <f>ROUND(((E146/1000)*((F52*2)/100)*(F51*10)*7.85)*((Girder!H10/50)/2),2)</f>
        <v>0</v>
      </c>
      <c r="L53" s="3241"/>
      <c r="M53" s="3241"/>
      <c r="N53" s="3241"/>
      <c r="O53" s="3241"/>
      <c r="P53" s="3241"/>
      <c r="Q53" s="3241"/>
      <c r="R53" s="3241"/>
      <c r="S53" s="3241"/>
      <c r="T53" s="3248"/>
      <c r="V53" s="2834"/>
      <c r="W53" s="2834"/>
      <c r="X53" s="2834"/>
      <c r="Y53" s="2834"/>
      <c r="Z53" s="2834"/>
      <c r="AA53" s="2834"/>
      <c r="AB53" s="2834"/>
      <c r="AC53" s="2834"/>
      <c r="AD53" s="2834"/>
      <c r="AE53" s="2834"/>
      <c r="AF53" s="2834"/>
      <c r="AG53" s="2834"/>
      <c r="AH53" s="2834"/>
      <c r="AI53" s="2834"/>
      <c r="AJ53" s="2834"/>
      <c r="AK53" s="2834"/>
    </row>
    <row r="54" spans="1:37">
      <c r="A54" s="3143"/>
      <c r="C54" s="3211" t="s">
        <v>3533</v>
      </c>
      <c r="L54" s="3241"/>
      <c r="M54" s="3241"/>
      <c r="N54" s="3241"/>
      <c r="O54" s="3241"/>
      <c r="P54" s="3241"/>
      <c r="Q54" s="3241"/>
      <c r="R54" s="3241"/>
      <c r="S54" s="3241"/>
      <c r="T54" s="3248"/>
      <c r="V54" s="2834"/>
      <c r="W54" s="2834"/>
      <c r="X54" s="2834"/>
      <c r="Y54" s="2834"/>
      <c r="Z54" s="2834"/>
      <c r="AA54" s="2834"/>
      <c r="AB54" s="2834"/>
      <c r="AC54" s="2834"/>
      <c r="AD54" s="2834"/>
      <c r="AE54" s="2834"/>
      <c r="AF54" s="2834"/>
      <c r="AG54" s="2834"/>
      <c r="AH54" s="2834"/>
      <c r="AI54" s="2834"/>
      <c r="AJ54" s="2834"/>
      <c r="AK54" s="2834"/>
    </row>
    <row r="55" spans="1:37">
      <c r="A55" s="3143"/>
      <c r="C55" s="3287" t="s">
        <v>3534</v>
      </c>
      <c r="D55" s="3192"/>
      <c r="E55" s="3175"/>
      <c r="G55" s="3147"/>
      <c r="H55" s="3167" t="s">
        <v>3100</v>
      </c>
      <c r="I55" s="3168">
        <f>I50+I53</f>
        <v>184.79200000000003</v>
      </c>
      <c r="J55" s="3142" t="s">
        <v>276</v>
      </c>
      <c r="L55" s="3241"/>
      <c r="M55" s="3241"/>
      <c r="N55" s="3241"/>
      <c r="O55" s="3241"/>
      <c r="P55" s="3241"/>
      <c r="Q55" s="3241"/>
      <c r="R55" s="3241"/>
      <c r="S55" s="3241"/>
      <c r="T55" s="3248"/>
    </row>
    <row r="56" spans="1:37">
      <c r="A56" s="3143"/>
      <c r="B56" s="3175" t="s">
        <v>303</v>
      </c>
      <c r="C56" s="3288" t="s">
        <v>3535</v>
      </c>
      <c r="D56" s="3192" t="s">
        <v>3536</v>
      </c>
      <c r="F56" s="3192"/>
      <c r="G56" s="3147"/>
      <c r="I56" s="3212">
        <f>I55/(Girder!H10/100)</f>
        <v>12.319466666666669</v>
      </c>
      <c r="J56" s="3142" t="s">
        <v>3537</v>
      </c>
      <c r="L56" s="3241"/>
      <c r="M56" s="3241"/>
      <c r="N56" s="3241"/>
      <c r="O56" s="3241"/>
      <c r="P56" s="3241"/>
      <c r="Q56" s="3241"/>
      <c r="R56" s="3241"/>
      <c r="S56" s="3241"/>
      <c r="T56" s="3248"/>
    </row>
    <row r="57" spans="1:37">
      <c r="A57" s="3143"/>
      <c r="C57" s="3147" t="s">
        <v>3538</v>
      </c>
      <c r="D57" s="3192"/>
      <c r="E57" s="3175"/>
      <c r="G57" s="3147"/>
      <c r="L57" s="3241"/>
      <c r="M57" s="3241"/>
      <c r="N57" s="3241"/>
      <c r="O57" s="3241"/>
      <c r="P57" s="3241"/>
      <c r="Q57" s="3241"/>
      <c r="R57" s="3241"/>
      <c r="S57" s="3241"/>
      <c r="T57" s="3248"/>
    </row>
    <row r="58" spans="1:37" ht="15">
      <c r="A58" s="3143"/>
      <c r="C58" s="3198" t="s">
        <v>3539</v>
      </c>
      <c r="D58" s="3192" t="s">
        <v>3540</v>
      </c>
      <c r="E58" s="3175"/>
      <c r="G58" s="3147"/>
      <c r="I58" s="3289"/>
      <c r="L58" s="3241"/>
      <c r="M58" s="3241"/>
      <c r="N58" s="3241"/>
      <c r="O58" s="3241"/>
      <c r="P58" s="3241"/>
      <c r="Q58" s="3241"/>
      <c r="R58" s="3241"/>
      <c r="S58" s="3241"/>
      <c r="T58" s="3248"/>
    </row>
    <row r="59" spans="1:37">
      <c r="A59" s="3143"/>
      <c r="C59" s="3260" t="s">
        <v>3539</v>
      </c>
      <c r="D59" s="3258">
        <f>ROUND((4+(5.35/C74^2)),2)</f>
        <v>7.94</v>
      </c>
      <c r="E59" s="3175"/>
      <c r="G59" s="3147"/>
      <c r="L59" s="3241"/>
      <c r="M59" s="3241"/>
      <c r="N59" s="3241"/>
      <c r="O59" s="3241"/>
      <c r="P59" s="3241"/>
      <c r="Q59" s="3241"/>
      <c r="R59" s="3241"/>
      <c r="S59" s="3241"/>
      <c r="T59" s="3248"/>
    </row>
    <row r="60" spans="1:37">
      <c r="A60" s="3143"/>
      <c r="B60" s="3175" t="s">
        <v>3412</v>
      </c>
      <c r="C60" s="3147"/>
      <c r="D60" s="3192"/>
      <c r="E60" s="3175"/>
      <c r="G60" s="3147"/>
      <c r="L60" s="3241"/>
      <c r="M60" s="3241"/>
      <c r="N60" s="3241"/>
      <c r="O60" s="3241"/>
      <c r="P60" s="3241"/>
      <c r="Q60" s="3241"/>
      <c r="R60" s="3241"/>
      <c r="S60" s="3241"/>
      <c r="T60" s="3248"/>
    </row>
    <row r="61" spans="1:37">
      <c r="A61" s="3143"/>
      <c r="C61" s="3198" t="s">
        <v>3541</v>
      </c>
      <c r="D61" s="3192" t="str">
        <f>CONCATENATE(67,"x",1,"x","(",D59,"/",5.35,")","^",0.5)</f>
        <v>67x1x(7.94/5.35)^0.5</v>
      </c>
      <c r="E61" s="3175"/>
      <c r="G61" s="3147"/>
      <c r="L61" s="3241"/>
      <c r="M61" s="3241"/>
      <c r="N61" s="3241"/>
      <c r="O61" s="3241"/>
      <c r="P61" s="3241"/>
      <c r="Q61" s="3241"/>
      <c r="R61" s="3241"/>
      <c r="S61" s="3241"/>
      <c r="T61" s="3248"/>
    </row>
    <row r="62" spans="1:37">
      <c r="A62" s="3143"/>
      <c r="C62" s="3198" t="s">
        <v>3541</v>
      </c>
      <c r="D62" s="3258">
        <f>ROUND((67*1*(D59/5.35)^0.5),2)</f>
        <v>81.62</v>
      </c>
      <c r="E62" s="3175"/>
      <c r="G62" s="3147"/>
      <c r="L62" s="3241"/>
      <c r="M62" s="3241"/>
      <c r="N62" s="3241"/>
      <c r="O62" s="3241"/>
      <c r="P62" s="3241"/>
      <c r="Q62" s="3241"/>
      <c r="R62" s="3241"/>
      <c r="S62" s="3241"/>
      <c r="T62" s="3248"/>
    </row>
    <row r="63" spans="1:37">
      <c r="A63" s="3143"/>
      <c r="C63" s="3198"/>
      <c r="D63" s="3198"/>
      <c r="E63" s="3175"/>
      <c r="G63" s="3147"/>
      <c r="L63" s="3241"/>
      <c r="M63" s="3241"/>
      <c r="N63" s="3241"/>
      <c r="O63" s="3241"/>
      <c r="P63" s="3241"/>
      <c r="Q63" s="3241"/>
      <c r="R63" s="3241"/>
      <c r="S63" s="3241"/>
      <c r="T63" s="3248"/>
    </row>
    <row r="64" spans="1:37">
      <c r="A64" s="3143"/>
      <c r="B64" s="3175" t="s">
        <v>473</v>
      </c>
      <c r="C64" s="3198" t="s">
        <v>3359</v>
      </c>
      <c r="D64" s="3192" t="str">
        <f>CONCATENATE(F49,"/",D62)</f>
        <v>120.2/81.62</v>
      </c>
      <c r="E64" s="3175"/>
      <c r="G64" s="3147"/>
      <c r="L64" s="3241"/>
      <c r="M64" s="3241"/>
      <c r="N64" s="3241"/>
      <c r="O64" s="3241"/>
      <c r="P64" s="3241"/>
      <c r="Q64" s="3241"/>
      <c r="R64" s="3241"/>
      <c r="S64" s="3241"/>
      <c r="T64" s="3248"/>
    </row>
    <row r="65" spans="1:20">
      <c r="A65" s="3143"/>
      <c r="C65" s="3260" t="s">
        <v>3359</v>
      </c>
      <c r="D65" s="3258">
        <f>ROUND(F49/D62,2)</f>
        <v>1.47</v>
      </c>
      <c r="E65" s="3192" t="s">
        <v>1524</v>
      </c>
      <c r="G65" s="3147"/>
      <c r="L65" s="3241"/>
      <c r="M65" s="3241"/>
      <c r="N65" s="3241"/>
      <c r="O65" s="3241"/>
      <c r="P65" s="3241"/>
      <c r="Q65" s="3241"/>
      <c r="R65" s="3241"/>
      <c r="S65" s="3241"/>
      <c r="T65" s="3248"/>
    </row>
    <row r="66" spans="1:20">
      <c r="A66" s="3143"/>
      <c r="B66" s="3175" t="s">
        <v>303</v>
      </c>
      <c r="C66" s="3192" t="s">
        <v>3542</v>
      </c>
      <c r="D66" s="3192"/>
      <c r="E66" s="3175"/>
      <c r="G66" s="3147"/>
      <c r="L66" s="3241"/>
      <c r="M66" s="3241"/>
      <c r="N66" s="3241"/>
      <c r="O66" s="3241"/>
      <c r="P66" s="3241"/>
      <c r="Q66" s="3241"/>
      <c r="R66" s="3241"/>
      <c r="S66" s="3241"/>
      <c r="T66" s="3248"/>
    </row>
    <row r="67" spans="1:20">
      <c r="A67" s="3143"/>
      <c r="T67" s="3145"/>
    </row>
    <row r="68" spans="1:20">
      <c r="A68" s="3143"/>
      <c r="B68" s="3175" t="s">
        <v>3543</v>
      </c>
      <c r="C68" s="3147" t="s">
        <v>3544</v>
      </c>
      <c r="G68" s="3147"/>
      <c r="L68" s="3241"/>
      <c r="M68" s="3241"/>
      <c r="N68" s="3241"/>
      <c r="O68" s="3241"/>
      <c r="P68" s="3241"/>
      <c r="Q68" s="3241"/>
      <c r="R68" s="3241"/>
      <c r="S68" s="3241"/>
      <c r="T68" s="3248"/>
    </row>
    <row r="69" spans="1:20">
      <c r="A69" s="3143"/>
      <c r="B69" s="3175" t="s">
        <v>3543</v>
      </c>
      <c r="C69" s="4601" t="s">
        <v>3545</v>
      </c>
      <c r="D69" s="4601"/>
      <c r="F69" s="3167"/>
      <c r="L69" s="3241"/>
      <c r="M69" s="3241"/>
      <c r="N69" s="3241"/>
      <c r="O69" s="3241"/>
      <c r="P69" s="3241"/>
      <c r="Q69" s="3241"/>
      <c r="R69" s="3241"/>
      <c r="S69" s="3241"/>
      <c r="T69" s="3248"/>
    </row>
    <row r="70" spans="1:20">
      <c r="A70" s="3143"/>
      <c r="B70" s="3175" t="s">
        <v>160</v>
      </c>
      <c r="C70" s="4617" t="str">
        <f>CONCATENATE("(",1,"/",3,")","x",F51,"x",F52,"^",3)</f>
        <v>(1/3)x0.8x14.9^3</v>
      </c>
      <c r="D70" s="4617"/>
      <c r="F70" s="3167"/>
      <c r="L70" s="3241"/>
      <c r="M70" s="3241"/>
      <c r="N70" s="3241"/>
      <c r="O70" s="3241"/>
      <c r="P70" s="3241"/>
      <c r="Q70" s="3241"/>
      <c r="R70" s="3241"/>
      <c r="S70" s="3241"/>
      <c r="T70" s="3248"/>
    </row>
    <row r="71" spans="1:20">
      <c r="A71" s="3143"/>
      <c r="B71" s="3290" t="s">
        <v>3543</v>
      </c>
      <c r="C71" s="3291">
        <f>ROUND((1/3)*F51*F52^3,2)</f>
        <v>882.12</v>
      </c>
      <c r="D71" s="3147" t="s">
        <v>3153</v>
      </c>
      <c r="F71" s="3167"/>
      <c r="L71" s="3241"/>
      <c r="M71" s="3241"/>
      <c r="N71" s="3241"/>
      <c r="O71" s="3241"/>
      <c r="P71" s="3241"/>
      <c r="Q71" s="3241"/>
      <c r="R71" s="3241"/>
      <c r="S71" s="3241"/>
      <c r="T71" s="3248"/>
    </row>
    <row r="72" spans="1:20">
      <c r="A72" s="3143"/>
      <c r="B72" s="3198" t="s">
        <v>3412</v>
      </c>
      <c r="F72" s="3167"/>
      <c r="L72" s="3241"/>
      <c r="M72" s="3241"/>
      <c r="N72" s="3241"/>
      <c r="O72" s="3241"/>
      <c r="P72" s="3241"/>
      <c r="Q72" s="3241"/>
      <c r="R72" s="3241"/>
      <c r="S72" s="3241"/>
      <c r="T72" s="3248"/>
    </row>
    <row r="73" spans="1:20">
      <c r="A73" s="3143"/>
      <c r="B73" s="3198" t="s">
        <v>3154</v>
      </c>
      <c r="C73" s="3167" t="str">
        <f>CONCATENATE(F50,"/",F49)</f>
        <v>140/120.2</v>
      </c>
      <c r="E73" s="3167"/>
      <c r="L73" s="3241"/>
      <c r="M73" s="3241"/>
      <c r="N73" s="3241"/>
      <c r="O73" s="3241"/>
      <c r="P73" s="3241"/>
      <c r="Q73" s="3241"/>
      <c r="R73" s="3241"/>
      <c r="S73" s="3241"/>
      <c r="T73" s="3248"/>
    </row>
    <row r="74" spans="1:20" ht="15" customHeight="1">
      <c r="A74" s="3143"/>
      <c r="B74" s="3198" t="s">
        <v>3154</v>
      </c>
      <c r="C74" s="3217">
        <f>ROUND(F50/F49,4)</f>
        <v>1.1647000000000001</v>
      </c>
      <c r="D74" s="3292" t="s">
        <v>3546</v>
      </c>
      <c r="E74" s="3142" t="s">
        <v>3547</v>
      </c>
      <c r="I74" s="3183"/>
      <c r="J74" s="3183"/>
      <c r="K74" s="3183"/>
      <c r="L74" s="3183"/>
      <c r="M74" s="3183"/>
      <c r="N74" s="3183"/>
      <c r="O74" s="3183"/>
      <c r="P74" s="3183"/>
      <c r="Q74" s="3183"/>
      <c r="R74" s="3183"/>
      <c r="S74" s="3183"/>
      <c r="T74" s="3248"/>
    </row>
    <row r="75" spans="1:20">
      <c r="A75" s="3143"/>
      <c r="F75" s="3167"/>
      <c r="I75" s="3183"/>
      <c r="J75" s="3183"/>
      <c r="K75" s="3183"/>
      <c r="L75" s="3183"/>
      <c r="M75" s="3183"/>
      <c r="N75" s="3183"/>
      <c r="O75" s="3183"/>
      <c r="P75" s="3183"/>
      <c r="Q75" s="3183"/>
      <c r="R75" s="3183"/>
      <c r="S75" s="3183"/>
      <c r="T75" s="3248"/>
    </row>
    <row r="76" spans="1:20">
      <c r="A76" s="3143"/>
      <c r="B76" s="3147" t="s">
        <v>3548</v>
      </c>
      <c r="D76" s="3147"/>
      <c r="I76" s="3183"/>
      <c r="J76" s="3183"/>
      <c r="K76" s="3183"/>
      <c r="L76" s="3183"/>
      <c r="M76" s="3183"/>
      <c r="N76" s="3183"/>
      <c r="O76" s="3183"/>
      <c r="P76" s="3183"/>
      <c r="Q76" s="3183"/>
      <c r="R76" s="3183"/>
      <c r="S76" s="3183"/>
      <c r="T76" s="3248"/>
    </row>
    <row r="77" spans="1:20">
      <c r="A77" s="3143"/>
      <c r="B77" s="3175" t="s">
        <v>3079</v>
      </c>
      <c r="C77" s="4618" t="s">
        <v>3549</v>
      </c>
      <c r="D77" s="4618"/>
      <c r="E77" s="4607" t="str">
        <f>CONCATENATE(1.5,"x",F49,"^",3,"x",D65,"^",3)</f>
        <v>1.5x120.2^3x1.47^3</v>
      </c>
      <c r="F77" s="4607"/>
      <c r="I77" s="3183"/>
      <c r="J77" s="3183"/>
      <c r="K77" s="3183"/>
      <c r="L77" s="3183"/>
      <c r="M77" s="3183"/>
      <c r="N77" s="3183"/>
      <c r="O77" s="3183"/>
      <c r="P77" s="3183"/>
      <c r="Q77" s="3183"/>
      <c r="R77" s="3183"/>
      <c r="S77" s="3183"/>
      <c r="T77" s="3248"/>
    </row>
    <row r="78" spans="1:20">
      <c r="A78" s="3143"/>
      <c r="E78" s="4617" t="str">
        <f>CONCATENATE(F50,"^",2)</f>
        <v>140^2</v>
      </c>
      <c r="F78" s="4617"/>
      <c r="L78" s="3241"/>
      <c r="M78" s="3241"/>
      <c r="N78" s="3241"/>
      <c r="O78" s="3241"/>
      <c r="P78" s="3241"/>
      <c r="Q78" s="3241"/>
      <c r="R78" s="3241"/>
      <c r="S78" s="3241"/>
      <c r="T78" s="3248"/>
    </row>
    <row r="79" spans="1:20">
      <c r="A79" s="3143"/>
      <c r="C79" s="4598" t="s">
        <v>3549</v>
      </c>
      <c r="D79" s="4599"/>
      <c r="E79" s="3291">
        <f>ROUND((1.5*F49^3*D65^3)/F50^2,2)</f>
        <v>422.18</v>
      </c>
      <c r="F79" s="3147" t="s">
        <v>3153</v>
      </c>
      <c r="L79" s="3241"/>
      <c r="M79" s="3241"/>
      <c r="N79" s="3241"/>
      <c r="O79" s="3241"/>
      <c r="P79" s="3241"/>
      <c r="Q79" s="3241"/>
      <c r="R79" s="3241"/>
      <c r="S79" s="3241"/>
      <c r="T79" s="3248"/>
    </row>
    <row r="80" spans="1:20">
      <c r="A80" s="3143"/>
      <c r="B80" s="3293"/>
      <c r="C80" s="3284"/>
      <c r="D80" s="3284"/>
      <c r="E80" s="3284"/>
      <c r="F80" s="3147"/>
      <c r="L80" s="3241"/>
      <c r="M80" s="3241"/>
      <c r="N80" s="3241"/>
      <c r="O80" s="3241"/>
      <c r="P80" s="3241"/>
      <c r="Q80" s="3241"/>
      <c r="R80" s="3241"/>
      <c r="S80" s="3241"/>
      <c r="T80" s="3248"/>
    </row>
    <row r="81" spans="1:23" ht="15.75">
      <c r="A81" s="3143"/>
      <c r="B81" s="3198" t="s">
        <v>473</v>
      </c>
      <c r="C81" s="3168">
        <f>C71</f>
        <v>882.12</v>
      </c>
      <c r="D81" s="3294" t="s">
        <v>3550</v>
      </c>
      <c r="E81" s="3168">
        <f>E79</f>
        <v>422.18</v>
      </c>
      <c r="F81" s="3147" t="s">
        <v>3153</v>
      </c>
      <c r="G81" s="3170" t="str">
        <f>IF(C81&gt;E81,"SAFE","UNSAFE")</f>
        <v>SAFE</v>
      </c>
      <c r="L81" s="3241"/>
      <c r="M81" s="3241"/>
      <c r="N81" s="3241"/>
      <c r="O81" s="3241"/>
      <c r="P81" s="3241"/>
      <c r="Q81" s="3241"/>
      <c r="R81" s="3241"/>
      <c r="S81" s="3241"/>
      <c r="T81" s="3248"/>
    </row>
    <row r="82" spans="1:23">
      <c r="A82" s="3143"/>
      <c r="L82" s="3241"/>
      <c r="M82" s="3241"/>
      <c r="N82" s="3241"/>
      <c r="O82" s="3241"/>
      <c r="P82" s="3241"/>
      <c r="Q82" s="3241"/>
      <c r="R82" s="3241"/>
      <c r="S82" s="3241"/>
      <c r="T82" s="3248"/>
    </row>
    <row r="83" spans="1:23">
      <c r="A83" s="3143"/>
      <c r="B83" s="3295" t="s">
        <v>3551</v>
      </c>
      <c r="C83" s="3296"/>
      <c r="D83" s="3297"/>
      <c r="E83" s="3230">
        <f>F51*10</f>
        <v>8</v>
      </c>
      <c r="F83" s="3298" t="s">
        <v>3552</v>
      </c>
      <c r="L83" s="3241"/>
      <c r="M83" s="3241"/>
      <c r="N83" s="3241"/>
      <c r="O83" s="3241"/>
      <c r="P83" s="3241"/>
      <c r="Q83" s="3241"/>
      <c r="R83" s="3241"/>
      <c r="S83" s="3241"/>
      <c r="T83" s="3248"/>
    </row>
    <row r="84" spans="1:23">
      <c r="A84" s="3161"/>
      <c r="B84" s="3299"/>
      <c r="C84" s="3162"/>
      <c r="D84" s="3162"/>
      <c r="E84" s="3162"/>
      <c r="F84" s="3162"/>
      <c r="G84" s="3162"/>
      <c r="H84" s="3162"/>
      <c r="I84" s="3162"/>
      <c r="J84" s="3162"/>
      <c r="K84" s="3162"/>
      <c r="L84" s="3300"/>
      <c r="M84" s="3300"/>
      <c r="N84" s="3300"/>
      <c r="O84" s="3300"/>
      <c r="P84" s="3300"/>
      <c r="Q84" s="3300"/>
      <c r="R84" s="3300"/>
      <c r="S84" s="3300"/>
      <c r="T84" s="3301"/>
    </row>
    <row r="85" spans="1:23">
      <c r="A85" s="3139"/>
      <c r="B85" s="3203" t="s">
        <v>3553</v>
      </c>
      <c r="C85" s="3140"/>
      <c r="D85" s="3140"/>
      <c r="E85" s="3140"/>
      <c r="F85" s="3140"/>
      <c r="G85" s="3140"/>
      <c r="H85" s="3140"/>
      <c r="I85" s="3140"/>
      <c r="J85" s="3140"/>
      <c r="K85" s="3140"/>
      <c r="L85" s="3245"/>
      <c r="M85" s="3245"/>
      <c r="N85" s="3245"/>
      <c r="O85" s="3245"/>
      <c r="P85" s="3245"/>
      <c r="Q85" s="3245"/>
      <c r="R85" s="3245"/>
      <c r="S85" s="3245"/>
      <c r="T85" s="3246"/>
    </row>
    <row r="86" spans="1:23">
      <c r="A86" s="3143"/>
      <c r="B86" s="3142" t="s">
        <v>3554</v>
      </c>
      <c r="D86" s="3162" t="s">
        <v>3555</v>
      </c>
      <c r="E86" s="3162"/>
      <c r="H86" s="3142" t="s">
        <v>3556</v>
      </c>
      <c r="J86" s="3169">
        <f>Girder!Y5</f>
        <v>5</v>
      </c>
      <c r="K86" s="3142" t="s">
        <v>1524</v>
      </c>
      <c r="L86" s="3241"/>
      <c r="M86" s="3241"/>
      <c r="N86" s="3241"/>
      <c r="O86" s="3241"/>
      <c r="P86" s="3241"/>
      <c r="Q86" s="3241"/>
      <c r="R86" s="3241"/>
      <c r="S86" s="3241"/>
      <c r="T86" s="3179" t="str">
        <f>Girder!F18</f>
        <v>50SQ.</v>
      </c>
    </row>
    <row r="87" spans="1:23">
      <c r="A87" s="3143"/>
      <c r="D87" s="4617" t="s">
        <v>3557</v>
      </c>
      <c r="E87" s="4617"/>
      <c r="H87" s="3142" t="s">
        <v>3558</v>
      </c>
      <c r="J87" s="3168">
        <f>Girder!G31</f>
        <v>1</v>
      </c>
      <c r="K87" s="3142" t="s">
        <v>1524</v>
      </c>
      <c r="L87" s="3302"/>
      <c r="M87" s="3302"/>
      <c r="N87" s="3302"/>
      <c r="O87" s="3302"/>
      <c r="P87" s="3302"/>
      <c r="Q87" s="3302"/>
      <c r="R87" s="3302"/>
      <c r="S87" s="3302"/>
      <c r="T87" s="3303"/>
    </row>
    <row r="88" spans="1:23">
      <c r="A88" s="3143"/>
      <c r="B88" s="3142" t="s">
        <v>303</v>
      </c>
      <c r="H88" s="3142" t="s">
        <v>3559</v>
      </c>
      <c r="J88" s="3229">
        <v>0</v>
      </c>
      <c r="K88" s="3142" t="s">
        <v>1524</v>
      </c>
      <c r="L88" s="3302"/>
      <c r="M88" s="3302"/>
      <c r="N88" s="3302"/>
      <c r="O88" s="3302"/>
      <c r="P88" s="3302"/>
      <c r="Q88" s="3302"/>
      <c r="R88" s="3302"/>
      <c r="S88" s="3302"/>
      <c r="T88" s="3303"/>
    </row>
    <row r="89" spans="1:23">
      <c r="A89" s="3143"/>
      <c r="B89" s="3157" t="s">
        <v>3560</v>
      </c>
      <c r="C89" s="3142" t="s">
        <v>3561</v>
      </c>
      <c r="L89" s="3302"/>
      <c r="M89" s="3302"/>
      <c r="N89" s="3302"/>
      <c r="O89" s="3302"/>
      <c r="P89" s="3302"/>
      <c r="Q89" s="3302"/>
      <c r="R89" s="3302"/>
      <c r="S89" s="3302"/>
      <c r="T89" s="3303"/>
    </row>
    <row r="90" spans="1:23">
      <c r="A90" s="3143"/>
      <c r="B90" s="3157"/>
      <c r="L90" s="3302"/>
      <c r="M90" s="3302"/>
      <c r="N90" s="3302"/>
      <c r="O90" s="3302"/>
      <c r="P90" s="3302"/>
      <c r="Q90" s="3302"/>
      <c r="R90" s="3302"/>
      <c r="S90" s="3302"/>
      <c r="T90" s="3303"/>
    </row>
    <row r="91" spans="1:23">
      <c r="A91" s="3143"/>
      <c r="B91" s="3142" t="s">
        <v>3562</v>
      </c>
      <c r="D91" s="3195">
        <f>ROUND(0.75*250*9.81,2)</f>
        <v>1839.38</v>
      </c>
      <c r="E91" s="3142" t="s">
        <v>3103</v>
      </c>
      <c r="F91" s="3142" t="s">
        <v>3563</v>
      </c>
      <c r="L91" s="3302"/>
      <c r="M91" s="3302"/>
      <c r="N91" s="3302"/>
      <c r="O91" s="3302"/>
      <c r="P91" s="3302"/>
      <c r="Q91" s="3302"/>
      <c r="R91" s="3302"/>
      <c r="S91" s="3302"/>
      <c r="T91" s="3303"/>
      <c r="V91" s="3142">
        <f>V93/(Girder!H10/100)</f>
        <v>0</v>
      </c>
      <c r="W91" s="3142" t="s">
        <v>3369</v>
      </c>
    </row>
    <row r="92" spans="1:23">
      <c r="A92" s="3143"/>
      <c r="C92" s="3157" t="s">
        <v>3564</v>
      </c>
      <c r="D92" s="3187">
        <f>ROUND(D91/70,2)</f>
        <v>26.28</v>
      </c>
      <c r="E92" s="3142" t="s">
        <v>3565</v>
      </c>
      <c r="F92" s="3142" t="s">
        <v>3566</v>
      </c>
      <c r="L92" s="3302"/>
      <c r="M92" s="3302"/>
      <c r="N92" s="3302"/>
      <c r="O92" s="3302"/>
      <c r="P92" s="3302"/>
      <c r="Q92" s="3302"/>
      <c r="R92" s="3302"/>
      <c r="S92" s="3302"/>
      <c r="T92" s="3303"/>
    </row>
    <row r="93" spans="1:23">
      <c r="A93" s="3143"/>
      <c r="I93" s="3166" t="s">
        <v>3567</v>
      </c>
      <c r="K93" s="3168">
        <f>ROUND((J123*(J121/1000)*(J122/1000)*7.85)*(Girder!H10/50),2)</f>
        <v>0</v>
      </c>
      <c r="L93" s="3302"/>
      <c r="M93" s="3302"/>
      <c r="N93" s="3302"/>
      <c r="O93" s="3302"/>
      <c r="P93" s="3302"/>
      <c r="Q93" s="3302"/>
      <c r="R93" s="3302"/>
      <c r="S93" s="3302"/>
      <c r="T93" s="3265" t="s">
        <v>276</v>
      </c>
      <c r="V93" s="2814">
        <f>IF(J111&gt;0,K93,0)</f>
        <v>0</v>
      </c>
    </row>
    <row r="94" spans="1:23">
      <c r="A94" s="3143"/>
      <c r="B94" s="3142" t="s">
        <v>3568</v>
      </c>
      <c r="D94" s="3187">
        <f>(((Girder!P30*Girder!H11*Girder!H13)/(Girder!H16/2))+(Girder!H14/Girder!H16))/1000</f>
        <v>11.241249999999997</v>
      </c>
      <c r="E94" s="3142" t="s">
        <v>582</v>
      </c>
      <c r="F94" s="3142" t="s">
        <v>3569</v>
      </c>
      <c r="L94" s="3302"/>
      <c r="M94" s="3302"/>
      <c r="N94" s="3302"/>
      <c r="O94" s="3302"/>
      <c r="P94" s="3302"/>
      <c r="Q94" s="3302"/>
      <c r="R94" s="3302"/>
      <c r="S94" s="3302"/>
      <c r="T94" s="3303"/>
    </row>
    <row r="95" spans="1:23">
      <c r="A95" s="3143"/>
      <c r="C95" s="3304" t="s">
        <v>160</v>
      </c>
      <c r="D95" s="3167">
        <f>D94*1000</f>
        <v>11241.249999999998</v>
      </c>
      <c r="E95" s="3142" t="s">
        <v>276</v>
      </c>
      <c r="L95" s="3302"/>
      <c r="M95" s="3302"/>
      <c r="N95" s="3302"/>
      <c r="O95" s="3302"/>
      <c r="P95" s="3302"/>
      <c r="Q95" s="3302"/>
      <c r="R95" s="3302"/>
      <c r="S95" s="3302"/>
      <c r="T95" s="3303"/>
    </row>
    <row r="96" spans="1:23">
      <c r="A96" s="3143"/>
      <c r="B96" s="3142" t="s">
        <v>3568</v>
      </c>
      <c r="C96" s="3304"/>
      <c r="D96" s="3168">
        <f>ROUND(D95/453.59,2)</f>
        <v>24.78</v>
      </c>
      <c r="E96" s="3142" t="s">
        <v>3570</v>
      </c>
      <c r="F96" s="3142" t="s">
        <v>3571</v>
      </c>
      <c r="L96" s="3302"/>
      <c r="M96" s="3302"/>
      <c r="N96" s="3302"/>
      <c r="O96" s="3302"/>
      <c r="P96" s="3302"/>
      <c r="Q96" s="3302"/>
      <c r="R96" s="3302"/>
      <c r="S96" s="3302"/>
      <c r="T96" s="3303"/>
    </row>
    <row r="97" spans="1:30">
      <c r="A97" s="3143"/>
      <c r="L97" s="3302"/>
      <c r="M97" s="3302"/>
      <c r="N97" s="3302"/>
      <c r="O97" s="3302"/>
      <c r="P97" s="3302"/>
      <c r="Q97" s="3302"/>
      <c r="R97" s="3302"/>
      <c r="S97" s="3302"/>
      <c r="T97" s="3303"/>
      <c r="V97" s="3305">
        <v>65.77</v>
      </c>
      <c r="W97" s="3142" t="s">
        <v>3572</v>
      </c>
    </row>
    <row r="98" spans="1:30">
      <c r="A98" s="3143"/>
      <c r="B98" s="4617" t="s">
        <v>3573</v>
      </c>
      <c r="C98" s="4617"/>
      <c r="D98" s="3142" t="s">
        <v>3574</v>
      </c>
      <c r="L98" s="3302"/>
      <c r="M98" s="3302"/>
      <c r="N98" s="3302"/>
      <c r="O98" s="3302"/>
      <c r="P98" s="3302"/>
      <c r="Q98" s="3302"/>
      <c r="R98" s="3302"/>
      <c r="S98" s="3302"/>
      <c r="T98" s="3303"/>
    </row>
    <row r="99" spans="1:30">
      <c r="A99" s="3143"/>
      <c r="B99" s="4617" t="s">
        <v>3573</v>
      </c>
      <c r="C99" s="4617"/>
      <c r="D99" s="3306" t="str">
        <f>CONCATENATE("(",J86,")","+",2,"x","(",J87,"+",J88,")",)</f>
        <v>(5)+2x(1+0)</v>
      </c>
      <c r="L99" s="3302"/>
      <c r="M99" s="3302"/>
      <c r="N99" s="3302"/>
      <c r="O99" s="3302"/>
      <c r="P99" s="3302"/>
      <c r="Q99" s="3302"/>
      <c r="R99" s="3302"/>
      <c r="S99" s="3302"/>
      <c r="T99" s="3303"/>
    </row>
    <row r="100" spans="1:30">
      <c r="A100" s="3143"/>
      <c r="C100" s="3307" t="s">
        <v>160</v>
      </c>
      <c r="D100" s="3308">
        <f>(J86)+2*(J87+J88)</f>
        <v>7</v>
      </c>
      <c r="E100" s="3142" t="s">
        <v>1524</v>
      </c>
      <c r="L100" s="3302"/>
      <c r="M100" s="3302"/>
      <c r="N100" s="3302"/>
      <c r="O100" s="3302"/>
      <c r="P100" s="3302"/>
      <c r="Q100" s="3302"/>
      <c r="R100" s="3302"/>
      <c r="S100" s="3302"/>
      <c r="T100" s="3303"/>
    </row>
    <row r="101" spans="1:30">
      <c r="A101" s="3143"/>
      <c r="B101" s="4591" t="s">
        <v>3573</v>
      </c>
      <c r="C101" s="4591"/>
      <c r="D101" s="3168">
        <f>ROUND(D100/2.54,2)</f>
        <v>2.76</v>
      </c>
      <c r="E101" s="3142" t="s">
        <v>3119</v>
      </c>
      <c r="L101" s="3302"/>
      <c r="M101" s="3302"/>
      <c r="N101" s="3302"/>
      <c r="O101" s="3302"/>
      <c r="P101" s="3302"/>
      <c r="Q101" s="3302"/>
      <c r="R101" s="3302"/>
      <c r="S101" s="3302"/>
      <c r="T101" s="3303"/>
    </row>
    <row r="102" spans="1:30">
      <c r="A102" s="3143"/>
      <c r="L102" s="3302"/>
      <c r="M102" s="3302"/>
      <c r="N102" s="3302"/>
      <c r="O102" s="3302"/>
      <c r="P102" s="3302"/>
      <c r="Q102" s="3302"/>
      <c r="R102" s="3302"/>
      <c r="S102" s="3302"/>
      <c r="T102" s="3303"/>
    </row>
    <row r="103" spans="1:30">
      <c r="A103" s="3143"/>
      <c r="B103" s="3167" t="s">
        <v>2901</v>
      </c>
      <c r="C103" s="3219">
        <f>D96</f>
        <v>24.78</v>
      </c>
      <c r="L103" s="3302"/>
      <c r="M103" s="3302"/>
      <c r="N103" s="3302"/>
      <c r="O103" s="3302"/>
      <c r="P103" s="3302"/>
      <c r="Q103" s="3302"/>
      <c r="R103" s="3302"/>
      <c r="S103" s="3302"/>
      <c r="T103" s="3303"/>
    </row>
    <row r="104" spans="1:30">
      <c r="A104" s="3143"/>
      <c r="C104" s="3167" t="str">
        <f>CONCATENATE(D101,"x",D92)</f>
        <v>2.76x26.28</v>
      </c>
      <c r="L104" s="3302"/>
      <c r="M104" s="3302"/>
      <c r="N104" s="3302"/>
      <c r="O104" s="3302"/>
      <c r="P104" s="3302"/>
      <c r="Q104" s="3302"/>
      <c r="R104" s="3302"/>
      <c r="S104" s="3302"/>
      <c r="T104" s="3303"/>
    </row>
    <row r="105" spans="1:30">
      <c r="A105" s="3143"/>
      <c r="B105" s="3167" t="s">
        <v>2901</v>
      </c>
      <c r="C105" s="3309">
        <f>ROUND(D96/(D101*D92),2)</f>
        <v>0.34</v>
      </c>
      <c r="D105" s="3142" t="s">
        <v>3119</v>
      </c>
      <c r="L105" s="3302"/>
      <c r="M105" s="3302"/>
      <c r="N105" s="3302"/>
      <c r="O105" s="3302"/>
      <c r="P105" s="3302"/>
      <c r="Q105" s="3302"/>
      <c r="R105" s="3302"/>
      <c r="S105" s="3302"/>
      <c r="T105" s="3303"/>
    </row>
    <row r="106" spans="1:30">
      <c r="A106" s="3143"/>
      <c r="B106" s="2814" t="s">
        <v>2901</v>
      </c>
      <c r="C106" s="3187">
        <f>C105*25.4</f>
        <v>8.636000000000001</v>
      </c>
      <c r="D106" s="3142" t="s">
        <v>466</v>
      </c>
      <c r="L106" s="3302"/>
      <c r="M106" s="3302"/>
      <c r="N106" s="3302"/>
      <c r="O106" s="3302"/>
      <c r="P106" s="3302"/>
      <c r="Q106" s="3302"/>
      <c r="R106" s="3302"/>
      <c r="S106" s="3302"/>
      <c r="T106" s="3303"/>
    </row>
    <row r="107" spans="1:30">
      <c r="A107" s="3143"/>
      <c r="B107" s="3159" t="s">
        <v>3412</v>
      </c>
      <c r="L107" s="3302"/>
      <c r="M107" s="3302"/>
      <c r="N107" s="3302"/>
      <c r="O107" s="3302"/>
      <c r="P107" s="3302"/>
      <c r="Q107" s="3302"/>
      <c r="R107" s="3302"/>
      <c r="S107" s="3302"/>
      <c r="T107" s="3303"/>
    </row>
    <row r="108" spans="1:30">
      <c r="A108" s="3143"/>
      <c r="B108" s="3220" t="s">
        <v>3575</v>
      </c>
      <c r="D108" s="3191"/>
      <c r="H108" s="3142" t="s">
        <v>3576</v>
      </c>
      <c r="L108" s="3302"/>
      <c r="M108" s="3302"/>
      <c r="N108" s="3302"/>
      <c r="O108" s="3302"/>
      <c r="P108" s="3302"/>
      <c r="Q108" s="3302"/>
      <c r="R108" s="3302"/>
      <c r="S108" s="3302"/>
      <c r="T108" s="3303"/>
    </row>
    <row r="109" spans="1:30">
      <c r="A109" s="3143"/>
      <c r="B109" s="3159" t="s">
        <v>303</v>
      </c>
      <c r="D109" s="3191"/>
      <c r="E109" s="3142" t="s">
        <v>473</v>
      </c>
      <c r="L109" s="3302"/>
      <c r="M109" s="3302"/>
      <c r="N109" s="3302"/>
      <c r="O109" s="3302"/>
      <c r="P109" s="3302"/>
      <c r="Q109" s="3302"/>
      <c r="R109" s="3302"/>
      <c r="S109" s="3302"/>
      <c r="T109" s="3265"/>
    </row>
    <row r="110" spans="1:30">
      <c r="A110" s="3143"/>
      <c r="B110" s="3159" t="s">
        <v>3577</v>
      </c>
      <c r="D110" s="3167"/>
      <c r="E110" s="2814" t="s">
        <v>3578</v>
      </c>
      <c r="F110" s="3168" t="str">
        <f>CONCATENATE(J111,"+",J110,)</f>
        <v>0+8</v>
      </c>
      <c r="G110" s="3143"/>
      <c r="H110" s="3142" t="s">
        <v>303</v>
      </c>
      <c r="I110" s="3167" t="s">
        <v>3579</v>
      </c>
      <c r="J110" s="3168">
        <f>F51*10</f>
        <v>8</v>
      </c>
      <c r="K110" s="3142" t="s">
        <v>466</v>
      </c>
      <c r="L110" s="3302"/>
      <c r="M110" s="3302"/>
      <c r="N110" s="3302"/>
      <c r="O110" s="3302"/>
      <c r="P110" s="3302"/>
      <c r="Q110" s="3302"/>
      <c r="R110" s="3302"/>
      <c r="S110" s="3302"/>
      <c r="T110" s="3265"/>
      <c r="V110" s="4591" t="s">
        <v>3580</v>
      </c>
      <c r="W110" s="4591"/>
      <c r="X110" s="3143" t="str">
        <f>CONCATENATE(J111," x ",J122,"(","W",")",," x ",J121,"(","H",")",)</f>
        <v>0 x 50(W) x 130(H)</v>
      </c>
    </row>
    <row r="111" spans="1:30">
      <c r="A111" s="3143"/>
      <c r="B111" s="3159" t="s">
        <v>3581</v>
      </c>
      <c r="E111" s="2814" t="s">
        <v>3578</v>
      </c>
      <c r="F111" s="3168">
        <f>J111+J110</f>
        <v>8</v>
      </c>
      <c r="G111" s="3142" t="s">
        <v>3582</v>
      </c>
      <c r="I111" s="3167" t="s">
        <v>3583</v>
      </c>
      <c r="J111" s="3229">
        <v>0</v>
      </c>
      <c r="K111" s="3142" t="s">
        <v>3584</v>
      </c>
      <c r="L111" s="3302"/>
      <c r="M111" s="3302"/>
      <c r="N111" s="3302"/>
      <c r="O111" s="3302"/>
      <c r="P111" s="3302"/>
      <c r="Q111" s="3302"/>
      <c r="R111" s="3302"/>
      <c r="S111" s="3302"/>
      <c r="T111" s="3303"/>
      <c r="V111" s="4619" t="s">
        <v>3580</v>
      </c>
      <c r="W111" s="4619"/>
      <c r="X111" s="3143">
        <f>IF(K120&gt;0,X110,0)</f>
        <v>0</v>
      </c>
    </row>
    <row r="112" spans="1:30">
      <c r="A112" s="3143"/>
      <c r="B112" s="3159" t="s">
        <v>3585</v>
      </c>
      <c r="E112" s="2814" t="s">
        <v>3578</v>
      </c>
      <c r="F112" s="3168">
        <f>F111/10</f>
        <v>0.8</v>
      </c>
      <c r="G112" s="3142" t="s">
        <v>1524</v>
      </c>
      <c r="L112" s="3302"/>
      <c r="M112" s="3302"/>
      <c r="N112" s="3302"/>
      <c r="O112" s="3302"/>
      <c r="P112" s="3302"/>
      <c r="Q112" s="3302"/>
      <c r="R112" s="3302"/>
      <c r="S112" s="3302"/>
      <c r="T112" s="3303"/>
      <c r="V112" s="3310" t="s">
        <v>2983</v>
      </c>
      <c r="W112" s="3311"/>
      <c r="X112" s="3311"/>
      <c r="Y112" s="3311"/>
      <c r="Z112" s="3311"/>
      <c r="AA112" s="4622" t="s">
        <v>3586</v>
      </c>
      <c r="AB112" s="4623"/>
      <c r="AC112" s="4624"/>
      <c r="AD112" s="3141"/>
    </row>
    <row r="113" spans="1:30">
      <c r="A113" s="3143"/>
      <c r="B113" s="3159"/>
      <c r="H113" s="3166" t="s">
        <v>3587</v>
      </c>
      <c r="L113" s="3302"/>
      <c r="M113" s="3302"/>
      <c r="N113" s="3302"/>
      <c r="O113" s="3302"/>
      <c r="P113" s="3302"/>
      <c r="Q113" s="3302"/>
      <c r="R113" s="3302"/>
      <c r="S113" s="3302"/>
      <c r="T113" s="3303"/>
      <c r="V113" s="3312" t="s">
        <v>3562</v>
      </c>
      <c r="W113" s="3313"/>
      <c r="X113" s="3314">
        <f>ROUND(0.75*250*9.81,2)</f>
        <v>1839.38</v>
      </c>
      <c r="Y113" s="3313" t="s">
        <v>3103</v>
      </c>
      <c r="Z113" s="3313"/>
      <c r="AA113" s="3313"/>
      <c r="AB113" s="3313"/>
      <c r="AC113" s="3313"/>
      <c r="AD113" s="3145"/>
    </row>
    <row r="114" spans="1:30">
      <c r="A114" s="3143"/>
      <c r="B114" s="3142" t="s">
        <v>3588</v>
      </c>
      <c r="H114" s="3142" t="s">
        <v>3589</v>
      </c>
      <c r="J114" s="3167" t="str">
        <f>CONCATENATE(D100,"+",2,"x",Girder!G31,"=",)</f>
        <v>7+2x1=</v>
      </c>
      <c r="K114" s="2814">
        <f>D100+2*Girder!G31</f>
        <v>9</v>
      </c>
      <c r="L114" s="3302"/>
      <c r="M114" s="3302"/>
      <c r="N114" s="3302"/>
      <c r="O114" s="3302"/>
      <c r="P114" s="3302"/>
      <c r="Q114" s="3302"/>
      <c r="R114" s="3302"/>
      <c r="S114" s="3302"/>
      <c r="T114" s="3265" t="s">
        <v>1524</v>
      </c>
      <c r="V114" s="3312" t="s">
        <v>3563</v>
      </c>
      <c r="W114" s="2935"/>
      <c r="X114" s="2834"/>
      <c r="Y114" s="2852"/>
      <c r="Z114" s="3313"/>
      <c r="AA114" s="2834"/>
      <c r="AB114" s="2935"/>
      <c r="AC114" s="2935"/>
      <c r="AD114" s="3145"/>
    </row>
    <row r="115" spans="1:30">
      <c r="A115" s="3143"/>
      <c r="B115" s="3142" t="s">
        <v>3554</v>
      </c>
      <c r="D115" s="3162" t="s">
        <v>3555</v>
      </c>
      <c r="E115" s="3162"/>
      <c r="H115" s="3142" t="s">
        <v>3590</v>
      </c>
      <c r="J115" s="4607">
        <f>D95</f>
        <v>11241.249999999998</v>
      </c>
      <c r="K115" s="4607"/>
      <c r="L115" s="3302"/>
      <c r="M115" s="3302"/>
      <c r="N115" s="3302"/>
      <c r="O115" s="3302"/>
      <c r="P115" s="3302"/>
      <c r="Q115" s="3302"/>
      <c r="R115" s="3302"/>
      <c r="S115" s="3302"/>
      <c r="T115" s="3303"/>
      <c r="V115" s="3315" t="s">
        <v>3412</v>
      </c>
      <c r="W115" s="2935"/>
      <c r="X115" s="2834"/>
      <c r="Y115" s="2852"/>
      <c r="Z115" s="3313"/>
      <c r="AA115" s="2834"/>
      <c r="AB115" s="2935"/>
      <c r="AC115" s="2935"/>
      <c r="AD115" s="3145"/>
    </row>
    <row r="116" spans="1:30">
      <c r="A116" s="3143"/>
      <c r="B116" s="3159"/>
      <c r="D116" s="4620" t="s">
        <v>3557</v>
      </c>
      <c r="E116" s="4620"/>
      <c r="I116" s="3157"/>
      <c r="J116" s="4620" t="str">
        <f>CONCATENATE(K114,"x","(",J111/10,"+",J110/10,")",)</f>
        <v>9x(0+0.8)</v>
      </c>
      <c r="K116" s="4620"/>
      <c r="L116" s="3302"/>
      <c r="M116" s="3302"/>
      <c r="N116" s="3302"/>
      <c r="O116" s="3302"/>
      <c r="P116" s="3302"/>
      <c r="Q116" s="3302"/>
      <c r="R116" s="3302"/>
      <c r="S116" s="3302"/>
      <c r="T116" s="3303"/>
      <c r="V116" s="3315" t="s">
        <v>3591</v>
      </c>
      <c r="W116" s="2935"/>
      <c r="X116" s="2834"/>
      <c r="Y116" s="2852"/>
      <c r="Z116" s="3316">
        <v>0</v>
      </c>
      <c r="AA116" s="2834" t="s">
        <v>571</v>
      </c>
      <c r="AB116" s="2935"/>
      <c r="AC116" s="2935"/>
      <c r="AD116" s="3145"/>
    </row>
    <row r="117" spans="1:30">
      <c r="A117" s="3143"/>
      <c r="B117" s="3142" t="s">
        <v>3554</v>
      </c>
      <c r="D117" s="3317">
        <f>D95</f>
        <v>11241.249999999998</v>
      </c>
      <c r="H117" s="3142" t="s">
        <v>3590</v>
      </c>
      <c r="J117" s="2814">
        <f>ROUND(D95/(K114*(J111/10+J110/10)),2)</f>
        <v>1561.28</v>
      </c>
      <c r="K117" s="3142" t="s">
        <v>3103</v>
      </c>
      <c r="L117" s="3302"/>
      <c r="M117" s="3302"/>
      <c r="N117" s="3302"/>
      <c r="O117" s="3302"/>
      <c r="P117" s="3302"/>
      <c r="Q117" s="3302"/>
      <c r="R117" s="3302"/>
      <c r="S117" s="3302"/>
      <c r="T117" s="3318" t="str">
        <f>IF(J117&lt;D91,"SAFE","UNSAFE")</f>
        <v>SAFE</v>
      </c>
      <c r="V117" s="3315" t="s">
        <v>3592</v>
      </c>
      <c r="W117" s="2935"/>
      <c r="X117" s="2834"/>
      <c r="Y117" s="2852"/>
      <c r="Z117" s="3313"/>
      <c r="AA117" s="2834"/>
      <c r="AB117" s="2935"/>
      <c r="AC117" s="2935"/>
      <c r="AD117" s="3145"/>
    </row>
    <row r="118" spans="1:30">
      <c r="A118" s="3143"/>
      <c r="B118" s="3159"/>
      <c r="D118" s="3167" t="str">
        <f>CONCATENATE(D100,"x",F112)</f>
        <v>7x0.8</v>
      </c>
      <c r="H118" s="3142" t="s">
        <v>3593</v>
      </c>
      <c r="L118" s="3302"/>
      <c r="M118" s="3302"/>
      <c r="N118" s="3302"/>
      <c r="O118" s="3302"/>
      <c r="P118" s="3302"/>
      <c r="Q118" s="3302"/>
      <c r="R118" s="3302"/>
      <c r="S118" s="3302"/>
      <c r="T118" s="3303"/>
      <c r="V118" s="3315" t="s">
        <v>3594</v>
      </c>
      <c r="W118" s="2935"/>
      <c r="X118" s="2834"/>
      <c r="Y118" s="2852"/>
      <c r="Z118" s="3313"/>
      <c r="AA118" s="2834"/>
      <c r="AB118" s="2935"/>
      <c r="AC118" s="2935"/>
      <c r="AD118" s="3145"/>
    </row>
    <row r="119" spans="1:30" ht="14.25" customHeight="1">
      <c r="A119" s="3143"/>
      <c r="B119" s="3142" t="s">
        <v>3554</v>
      </c>
      <c r="D119" s="3291">
        <f>ROUND(D95/(D100*F112),2)</f>
        <v>2007.37</v>
      </c>
      <c r="E119" s="3142" t="s">
        <v>3103</v>
      </c>
      <c r="G119" s="3157" t="s">
        <v>160</v>
      </c>
      <c r="H119" s="4607" t="str">
        <f>CONCATENATE(D95,"-",D100)</f>
        <v>11241.25-7</v>
      </c>
      <c r="I119" s="4607"/>
      <c r="J119" s="3319" t="s">
        <v>160</v>
      </c>
      <c r="K119" s="3167">
        <f>ROUND(((D95/(2*D91*(J110/10)))-(D100/2)),2)</f>
        <v>0.32</v>
      </c>
      <c r="L119" s="3302"/>
      <c r="M119" s="3302"/>
      <c r="N119" s="3302"/>
      <c r="O119" s="3302"/>
      <c r="P119" s="3302"/>
      <c r="Q119" s="3302"/>
      <c r="R119" s="3302"/>
      <c r="S119" s="3302"/>
      <c r="T119" s="3265" t="s">
        <v>3595</v>
      </c>
      <c r="V119" s="3320" t="s">
        <v>3596</v>
      </c>
      <c r="W119" s="2928" t="str">
        <f>CONCATENATE(2,"x","(",Girder!H18,"+",Girder!G31,"+",'G DIAPHRAGM '!Z116,")",)</f>
        <v>2x(5+1+0)</v>
      </c>
      <c r="X119" s="2834"/>
      <c r="Y119" s="2852"/>
      <c r="Z119" s="3313"/>
      <c r="AA119" s="2834"/>
      <c r="AB119" s="2935"/>
      <c r="AC119" s="2935"/>
      <c r="AD119" s="3145"/>
    </row>
    <row r="120" spans="1:30">
      <c r="A120" s="3143"/>
      <c r="H120" s="4617" t="str">
        <f>CONCATENATE(J110/10,"x",D91,"/",2)</f>
        <v>0.8x1839.38/2</v>
      </c>
      <c r="I120" s="4617"/>
      <c r="J120" s="3319" t="s">
        <v>3597</v>
      </c>
      <c r="K120" s="3229">
        <v>0</v>
      </c>
      <c r="L120" s="3302"/>
      <c r="M120" s="3302"/>
      <c r="N120" s="3302"/>
      <c r="O120" s="3302"/>
      <c r="P120" s="3302"/>
      <c r="Q120" s="3302"/>
      <c r="R120" s="3302"/>
      <c r="S120" s="3302"/>
      <c r="T120" s="3265" t="s">
        <v>1524</v>
      </c>
      <c r="V120" s="3321" t="s">
        <v>3596</v>
      </c>
      <c r="W120" s="3322">
        <f>2*(Girder!H18+Girder!G31+'G DIAPHRAGM '!Z116)</f>
        <v>12</v>
      </c>
      <c r="X120" s="2834" t="s">
        <v>571</v>
      </c>
      <c r="Y120" s="2852"/>
      <c r="Z120" s="3313"/>
      <c r="AA120" s="2834"/>
      <c r="AB120" s="2935"/>
      <c r="AC120" s="2935"/>
      <c r="AD120" s="3145"/>
    </row>
    <row r="121" spans="1:30">
      <c r="A121" s="3143"/>
      <c r="B121" s="3159" t="s">
        <v>3079</v>
      </c>
      <c r="C121" s="3167" t="s">
        <v>3598</v>
      </c>
      <c r="F121" s="3157" t="s">
        <v>473</v>
      </c>
      <c r="G121" s="4625" t="s">
        <v>3599</v>
      </c>
      <c r="H121" s="4625"/>
      <c r="I121" s="4625"/>
      <c r="J121" s="3323">
        <v>130</v>
      </c>
      <c r="K121" s="3142" t="s">
        <v>3600</v>
      </c>
      <c r="T121" s="3145"/>
      <c r="V121" s="3312"/>
      <c r="W121" s="2935"/>
      <c r="X121" s="2834"/>
      <c r="Y121" s="2852"/>
      <c r="Z121" s="3313"/>
      <c r="AA121" s="2834"/>
      <c r="AB121" s="2935"/>
      <c r="AC121" s="2935"/>
      <c r="AD121" s="3145"/>
    </row>
    <row r="122" spans="1:30">
      <c r="A122" s="3143"/>
      <c r="B122" s="3159"/>
      <c r="C122" s="3167"/>
      <c r="F122" s="3157"/>
      <c r="G122" s="4625" t="s">
        <v>3601</v>
      </c>
      <c r="H122" s="4625"/>
      <c r="I122" s="4625"/>
      <c r="J122" s="3291">
        <f>((K120*2)+J86)*10</f>
        <v>50</v>
      </c>
      <c r="K122" s="3142" t="s">
        <v>466</v>
      </c>
      <c r="T122" s="3145"/>
      <c r="V122" s="3312"/>
      <c r="W122" s="2935"/>
      <c r="X122" s="2834"/>
      <c r="Y122" s="2852"/>
      <c r="Z122" s="3313"/>
      <c r="AA122" s="2834"/>
      <c r="AB122" s="2935"/>
      <c r="AC122" s="2935"/>
      <c r="AD122" s="3145"/>
    </row>
    <row r="123" spans="1:30">
      <c r="A123" s="3161"/>
      <c r="B123" s="3324" t="s">
        <v>3417</v>
      </c>
      <c r="C123" s="3172" t="str">
        <f>CONCATENATE(D119,"&lt;",D91)</f>
        <v>2007.37&lt;1839.38</v>
      </c>
      <c r="D123" s="3170" t="str">
        <f>IF(D119&lt;D91,"SAFE","UNSAFE")</f>
        <v>UNSAFE</v>
      </c>
      <c r="E123" s="3162"/>
      <c r="F123" s="3162"/>
      <c r="G123" s="4626" t="s">
        <v>3602</v>
      </c>
      <c r="H123" s="4626"/>
      <c r="I123" s="4626"/>
      <c r="J123" s="3291">
        <f>J111</f>
        <v>0</v>
      </c>
      <c r="K123" s="3162" t="s">
        <v>466</v>
      </c>
      <c r="L123" s="3325"/>
      <c r="M123" s="3325"/>
      <c r="N123" s="3325"/>
      <c r="O123" s="3325"/>
      <c r="P123" s="3325"/>
      <c r="Q123" s="3325"/>
      <c r="R123" s="3325"/>
      <c r="S123" s="3325"/>
      <c r="T123" s="3326"/>
      <c r="V123" s="2888" t="s">
        <v>473</v>
      </c>
      <c r="W123" s="2834" t="s">
        <v>3603</v>
      </c>
      <c r="X123" s="2834"/>
      <c r="Y123" s="2834"/>
      <c r="Z123" s="2834"/>
      <c r="AA123" s="2834"/>
      <c r="AB123" s="2935"/>
      <c r="AC123" s="2935"/>
      <c r="AD123" s="3145"/>
    </row>
    <row r="124" spans="1:30">
      <c r="A124" s="3139"/>
      <c r="B124" s="3140"/>
      <c r="C124" s="3140"/>
      <c r="D124" s="3140"/>
      <c r="E124" s="3140"/>
      <c r="F124" s="3140"/>
      <c r="G124" s="3140"/>
      <c r="H124" s="3140"/>
      <c r="I124" s="3327">
        <f>D96</f>
        <v>24.78</v>
      </c>
      <c r="J124" s="3140" t="s">
        <v>3570</v>
      </c>
      <c r="K124" s="3140"/>
      <c r="L124" s="3328"/>
      <c r="M124" s="3328"/>
      <c r="N124" s="3328"/>
      <c r="O124" s="3328"/>
      <c r="P124" s="3328"/>
      <c r="Q124" s="3328"/>
      <c r="R124" s="3328"/>
      <c r="S124" s="3328"/>
      <c r="T124" s="3329"/>
      <c r="V124" s="4621" t="s">
        <v>3604</v>
      </c>
      <c r="W124" s="4524"/>
      <c r="X124" s="2928" t="str">
        <f>CONCATENATE(D94,"/","(",W120,"x",J110/10,")")</f>
        <v>11.24125/(12x0.8)</v>
      </c>
      <c r="Y124" s="2834"/>
      <c r="Z124" s="2834"/>
      <c r="AA124" s="2834"/>
      <c r="AB124" s="2935"/>
      <c r="AC124" s="2935"/>
      <c r="AD124" s="3145"/>
    </row>
    <row r="125" spans="1:30">
      <c r="A125" s="3143"/>
      <c r="B125" s="3166" t="s">
        <v>3605</v>
      </c>
      <c r="L125" s="3302"/>
      <c r="M125" s="3302"/>
      <c r="N125" s="3302"/>
      <c r="O125" s="3302"/>
      <c r="P125" s="3302"/>
      <c r="Q125" s="3302"/>
      <c r="R125" s="3302"/>
      <c r="S125" s="3302"/>
      <c r="T125" s="3303"/>
      <c r="V125" s="2888"/>
      <c r="W125" s="2852" t="s">
        <v>160</v>
      </c>
      <c r="X125" s="2902">
        <f>ROUND(D94/(W120*J110/10),2)</f>
        <v>1.17</v>
      </c>
      <c r="Y125" s="2862" t="s">
        <v>3606</v>
      </c>
      <c r="Z125" s="2834"/>
      <c r="AA125" s="2834"/>
      <c r="AB125" s="2935"/>
      <c r="AC125" s="2935"/>
      <c r="AD125" s="3145"/>
    </row>
    <row r="126" spans="1:30">
      <c r="A126" s="3143"/>
      <c r="B126" s="3166" t="s">
        <v>3607</v>
      </c>
      <c r="F126" s="4614" t="s">
        <v>3608</v>
      </c>
      <c r="G126" s="4614"/>
      <c r="H126" s="4614"/>
      <c r="L126" s="3241"/>
      <c r="M126" s="3241"/>
      <c r="N126" s="3241"/>
      <c r="O126" s="3241"/>
      <c r="P126" s="3241"/>
      <c r="Q126" s="3241"/>
      <c r="R126" s="3241"/>
      <c r="S126" s="3241"/>
      <c r="T126" s="3248"/>
      <c r="V126" s="4543" t="s">
        <v>3604</v>
      </c>
      <c r="W126" s="4539"/>
      <c r="X126" s="2944">
        <f>X125*1000</f>
        <v>1170</v>
      </c>
      <c r="Y126" s="2905" t="s">
        <v>3103</v>
      </c>
      <c r="Z126" s="3330" t="s">
        <v>3522</v>
      </c>
      <c r="AA126" s="3314">
        <f>X113</f>
        <v>1839.38</v>
      </c>
      <c r="AB126" s="3331" t="s">
        <v>3103</v>
      </c>
      <c r="AC126" s="2710" t="str">
        <f>IF(X126&lt;AA126,"SAFE","UNSAFE")</f>
        <v>SAFE</v>
      </c>
      <c r="AD126" s="3164"/>
    </row>
    <row r="127" spans="1:30">
      <c r="A127" s="3143"/>
      <c r="B127" s="3167" t="s">
        <v>3609</v>
      </c>
      <c r="C127" s="3142" t="str">
        <f>CONCATENATE(G135,"x","(",H129,"+",I129,"/",2,")","-","(","(",I124,"/",I129,")","x",I129,"^",2,"/",8,")",)</f>
        <v>12.39x(4.485+2.76/2)-((24.78/2.76)x2.76^2/8)</v>
      </c>
      <c r="L127" s="3241"/>
      <c r="M127" s="3241"/>
      <c r="N127" s="3241"/>
      <c r="O127" s="3241"/>
      <c r="P127" s="3241"/>
      <c r="Q127" s="3241"/>
      <c r="R127" s="3241"/>
      <c r="S127" s="3241"/>
      <c r="T127" s="3248"/>
    </row>
    <row r="128" spans="1:30">
      <c r="A128" s="3143"/>
      <c r="B128" s="2814" t="s">
        <v>3609</v>
      </c>
      <c r="C128" s="3168">
        <f>ROUND((G135*(H129+I129/2))-((I124/I129)*(I129^2/8)),2)</f>
        <v>64.12</v>
      </c>
      <c r="D128" s="3142" t="s">
        <v>3610</v>
      </c>
      <c r="L128" s="3241"/>
      <c r="M128" s="3241"/>
      <c r="N128" s="3241"/>
      <c r="O128" s="3241"/>
      <c r="P128" s="3241"/>
      <c r="Q128" s="3241"/>
      <c r="R128" s="3241"/>
      <c r="S128" s="3241"/>
      <c r="T128" s="3248"/>
      <c r="V128" s="3142" t="s">
        <v>3611</v>
      </c>
      <c r="W128" s="2814">
        <f>(D152*(Z116/100)*7.85)</f>
        <v>0</v>
      </c>
      <c r="X128" s="3142" t="s">
        <v>2845</v>
      </c>
    </row>
    <row r="129" spans="1:24">
      <c r="A129" s="3143"/>
      <c r="B129" s="3142" t="s">
        <v>3412</v>
      </c>
      <c r="H129" s="3332">
        <f>(I131-I129)/2</f>
        <v>4.4850000000000003</v>
      </c>
      <c r="I129" s="3333">
        <f>D101</f>
        <v>2.76</v>
      </c>
      <c r="J129" s="3334">
        <f>I131-H129-I129</f>
        <v>4.4850000000000003</v>
      </c>
      <c r="L129" s="3241"/>
      <c r="M129" s="3241"/>
      <c r="N129" s="3241"/>
      <c r="O129" s="3241"/>
      <c r="P129" s="3241"/>
      <c r="Q129" s="3241"/>
      <c r="R129" s="3241"/>
      <c r="S129" s="3241"/>
      <c r="T129" s="3248"/>
      <c r="W129" s="2814">
        <v>0</v>
      </c>
      <c r="X129" s="3142" t="s">
        <v>276</v>
      </c>
    </row>
    <row r="130" spans="1:24">
      <c r="A130" s="3143"/>
      <c r="C130" s="3142" t="s">
        <v>3612</v>
      </c>
      <c r="L130" s="3241"/>
      <c r="M130" s="3241"/>
      <c r="N130" s="3241"/>
      <c r="O130" s="3241"/>
      <c r="P130" s="3241"/>
      <c r="Q130" s="3241"/>
      <c r="R130" s="3241"/>
      <c r="S130" s="3241"/>
      <c r="T130" s="3248"/>
    </row>
    <row r="131" spans="1:24">
      <c r="A131" s="3143"/>
      <c r="B131" s="3167" t="s">
        <v>303</v>
      </c>
      <c r="C131" s="3142" t="s">
        <v>3613</v>
      </c>
      <c r="E131" s="3168">
        <f>ROUND('G OUTPUT'!I256/70,2)</f>
        <v>24.27</v>
      </c>
      <c r="F131" s="3142" t="s">
        <v>3565</v>
      </c>
      <c r="I131" s="3333">
        <f>ROUND(('G CALCU'!C10/10)/2.54,2)</f>
        <v>11.73</v>
      </c>
      <c r="L131" s="3241"/>
      <c r="M131" s="3241"/>
      <c r="N131" s="3241"/>
      <c r="O131" s="3241"/>
      <c r="P131" s="3241"/>
      <c r="Q131" s="3241"/>
      <c r="R131" s="3241"/>
      <c r="S131" s="3241"/>
      <c r="T131" s="3248"/>
    </row>
    <row r="132" spans="1:24">
      <c r="A132" s="3143"/>
      <c r="C132" s="3142" t="s">
        <v>3516</v>
      </c>
      <c r="L132" s="3241"/>
      <c r="M132" s="3241"/>
      <c r="N132" s="3241"/>
      <c r="O132" s="3241"/>
      <c r="P132" s="3241"/>
      <c r="Q132" s="3241"/>
      <c r="R132" s="3241"/>
      <c r="S132" s="3241"/>
      <c r="T132" s="3248"/>
    </row>
    <row r="133" spans="1:24">
      <c r="A133" s="3143"/>
      <c r="B133" s="3159" t="s">
        <v>3614</v>
      </c>
      <c r="L133" s="3241"/>
      <c r="M133" s="3241"/>
      <c r="N133" s="3241"/>
      <c r="O133" s="3241"/>
      <c r="P133" s="3241"/>
      <c r="Q133" s="3241"/>
      <c r="R133" s="3241"/>
      <c r="S133" s="3241"/>
      <c r="T133" s="3248"/>
    </row>
    <row r="134" spans="1:24" ht="15" customHeight="1">
      <c r="A134" s="3143"/>
      <c r="B134" s="3167" t="s">
        <v>3615</v>
      </c>
      <c r="C134" s="3167" t="str">
        <f>CONCATENATE(C128,"/",E131)</f>
        <v>64.12/24.27</v>
      </c>
      <c r="D134" s="3159"/>
      <c r="E134" s="3159"/>
      <c r="F134" s="3159"/>
      <c r="G134" s="3159"/>
      <c r="H134" s="3159"/>
      <c r="I134" s="3159"/>
      <c r="J134" s="3159"/>
      <c r="K134" s="3159"/>
      <c r="L134" s="3241"/>
      <c r="M134" s="3241"/>
      <c r="N134" s="3241"/>
      <c r="O134" s="3241"/>
      <c r="P134" s="3241"/>
      <c r="Q134" s="3241"/>
      <c r="R134" s="3241"/>
      <c r="S134" s="3241"/>
      <c r="T134" s="3248"/>
    </row>
    <row r="135" spans="1:24">
      <c r="A135" s="3143"/>
      <c r="B135" s="2814" t="s">
        <v>3615</v>
      </c>
      <c r="C135" s="3168">
        <f>ROUND(C128/E131,2)</f>
        <v>2.64</v>
      </c>
      <c r="D135" s="3159" t="s">
        <v>3616</v>
      </c>
      <c r="E135" s="3159"/>
      <c r="F135" s="3159"/>
      <c r="G135" s="3327">
        <f>I124/2</f>
        <v>12.39</v>
      </c>
      <c r="H135" s="3159"/>
      <c r="I135" s="3159"/>
      <c r="J135" s="3159"/>
      <c r="K135" s="3335">
        <f>I124/2</f>
        <v>12.39</v>
      </c>
      <c r="L135" s="3241"/>
      <c r="M135" s="3241"/>
      <c r="N135" s="3241"/>
      <c r="O135" s="3241"/>
      <c r="P135" s="3241"/>
      <c r="Q135" s="3241"/>
      <c r="R135" s="3241"/>
      <c r="S135" s="3241"/>
      <c r="T135" s="3248"/>
    </row>
    <row r="136" spans="1:24">
      <c r="A136" s="3143"/>
      <c r="B136" s="3159"/>
      <c r="C136" s="3159"/>
      <c r="D136" s="3159"/>
      <c r="E136" s="3159"/>
      <c r="F136" s="3159"/>
      <c r="G136" s="3159"/>
      <c r="H136" s="3159"/>
      <c r="I136" s="3159"/>
      <c r="J136" s="3159"/>
      <c r="K136" s="3159"/>
      <c r="L136" s="3241"/>
      <c r="M136" s="3241"/>
      <c r="N136" s="3241"/>
      <c r="O136" s="3241"/>
      <c r="P136" s="3241"/>
      <c r="Q136" s="3241"/>
      <c r="R136" s="3241"/>
      <c r="S136" s="3241"/>
      <c r="T136" s="3248"/>
    </row>
    <row r="137" spans="1:24">
      <c r="A137" s="3143"/>
      <c r="B137" s="3159" t="s">
        <v>3412</v>
      </c>
      <c r="C137" s="3159"/>
      <c r="D137" s="3159"/>
      <c r="E137" s="3159"/>
      <c r="F137" s="3159"/>
      <c r="G137" s="3159"/>
      <c r="H137" s="3159"/>
      <c r="I137" s="3159"/>
      <c r="J137" s="3159"/>
      <c r="K137" s="3159"/>
      <c r="L137" s="3241"/>
      <c r="M137" s="3241"/>
      <c r="N137" s="3241"/>
      <c r="O137" s="3241"/>
      <c r="P137" s="3241"/>
      <c r="Q137" s="3241"/>
      <c r="R137" s="3241"/>
      <c r="S137" s="3241"/>
      <c r="T137" s="3248"/>
    </row>
    <row r="138" spans="1:24">
      <c r="A138" s="3143"/>
      <c r="B138" s="3167" t="s">
        <v>3615</v>
      </c>
      <c r="C138" s="3167" t="s">
        <v>3617</v>
      </c>
      <c r="D138" s="3159" t="s">
        <v>3618</v>
      </c>
      <c r="E138" s="3159"/>
      <c r="F138" s="3159"/>
      <c r="G138" s="3159"/>
      <c r="H138" s="3159"/>
      <c r="I138" s="3159"/>
      <c r="J138" s="3159"/>
      <c r="K138" s="3159"/>
      <c r="L138" s="3241"/>
      <c r="M138" s="3241"/>
      <c r="N138" s="3241"/>
      <c r="O138" s="3241"/>
      <c r="P138" s="3241"/>
      <c r="Q138" s="3241"/>
      <c r="R138" s="3241"/>
      <c r="S138" s="3241"/>
      <c r="T138" s="3248"/>
    </row>
    <row r="139" spans="1:24">
      <c r="A139" s="3143"/>
      <c r="B139" s="3167" t="s">
        <v>3079</v>
      </c>
      <c r="C139" s="3167"/>
      <c r="D139" s="3157" t="s">
        <v>3619</v>
      </c>
      <c r="E139" s="3168">
        <f>ROUND(F51/2.54,2)</f>
        <v>0.31</v>
      </c>
      <c r="F139" s="3159" t="s">
        <v>3620</v>
      </c>
      <c r="G139" s="3159"/>
      <c r="H139" s="3159"/>
      <c r="I139" s="3159"/>
      <c r="J139" s="3159"/>
      <c r="K139" s="3159"/>
      <c r="L139" s="3241"/>
      <c r="M139" s="3241"/>
      <c r="N139" s="3241"/>
      <c r="O139" s="3241"/>
      <c r="P139" s="3241"/>
      <c r="Q139" s="3241"/>
      <c r="R139" s="3241"/>
      <c r="S139" s="3241"/>
      <c r="T139" s="3248"/>
    </row>
    <row r="140" spans="1:24">
      <c r="A140" s="3143"/>
      <c r="B140" s="3167" t="s">
        <v>3621</v>
      </c>
      <c r="C140" s="3167" t="s">
        <v>3622</v>
      </c>
      <c r="D140" s="3159"/>
      <c r="E140" s="3159"/>
      <c r="F140" s="3159"/>
      <c r="G140" s="3159"/>
      <c r="H140" s="3159"/>
      <c r="I140" s="3159"/>
      <c r="K140" s="3159"/>
      <c r="L140" s="3241"/>
      <c r="M140" s="3241"/>
      <c r="N140" s="3241"/>
      <c r="O140" s="3241"/>
      <c r="P140" s="3241"/>
      <c r="Q140" s="3241"/>
      <c r="R140" s="3241"/>
      <c r="S140" s="3241"/>
      <c r="T140" s="3248"/>
    </row>
    <row r="141" spans="1:24">
      <c r="A141" s="3143"/>
      <c r="B141" s="3167" t="s">
        <v>3621</v>
      </c>
      <c r="C141" s="3159" t="str">
        <f>CONCATENATE("(",6,"x",C135,"/",E139,")","^",0.5,)</f>
        <v>(6x2.64/0.31)^0.5</v>
      </c>
      <c r="D141" s="3159"/>
      <c r="F141" s="3159"/>
      <c r="H141" s="3159"/>
      <c r="I141" s="3159"/>
      <c r="J141" s="3159"/>
      <c r="K141" s="3159"/>
      <c r="L141" s="3241"/>
      <c r="M141" s="3241"/>
      <c r="N141" s="3241"/>
      <c r="O141" s="3241"/>
      <c r="P141" s="3241"/>
      <c r="Q141" s="3241"/>
      <c r="R141" s="3241"/>
      <c r="S141" s="3241"/>
      <c r="T141" s="3248"/>
    </row>
    <row r="142" spans="1:24">
      <c r="A142" s="3143"/>
      <c r="B142" s="2814" t="s">
        <v>3621</v>
      </c>
      <c r="C142" s="3168">
        <f>ROUND((6*C135/E139)^0.5,2)</f>
        <v>7.15</v>
      </c>
      <c r="D142" s="3159" t="s">
        <v>3119</v>
      </c>
      <c r="E142" s="3159"/>
      <c r="F142" s="3159"/>
      <c r="G142" s="3159"/>
      <c r="H142" s="3159"/>
      <c r="I142" s="3159"/>
      <c r="J142" s="3159"/>
      <c r="K142" s="3159"/>
      <c r="L142" s="3241"/>
      <c r="M142" s="3241"/>
      <c r="N142" s="3241"/>
      <c r="O142" s="3241"/>
      <c r="P142" s="3241"/>
      <c r="Q142" s="3241"/>
      <c r="R142" s="3241"/>
      <c r="S142" s="3241"/>
      <c r="T142" s="3248"/>
    </row>
    <row r="143" spans="1:24">
      <c r="A143" s="3143"/>
      <c r="B143" s="2814" t="s">
        <v>3621</v>
      </c>
      <c r="C143" s="3187">
        <f>C142*25.4</f>
        <v>181.60999999999999</v>
      </c>
      <c r="D143" s="3159" t="s">
        <v>466</v>
      </c>
      <c r="E143" s="3159"/>
      <c r="F143" s="3159"/>
      <c r="G143" s="3159"/>
      <c r="H143" s="3159"/>
      <c r="I143" s="3159"/>
      <c r="J143" s="3159"/>
      <c r="K143" s="3159"/>
      <c r="L143" s="3241"/>
      <c r="M143" s="3241"/>
      <c r="N143" s="3241"/>
      <c r="O143" s="3241"/>
      <c r="P143" s="3241"/>
      <c r="Q143" s="3241"/>
      <c r="R143" s="3241"/>
      <c r="S143" s="3241"/>
      <c r="T143" s="3248"/>
    </row>
    <row r="144" spans="1:24">
      <c r="A144" s="3143"/>
      <c r="B144" s="3159" t="s">
        <v>3079</v>
      </c>
      <c r="C144" s="3159"/>
      <c r="D144" s="3159"/>
      <c r="E144" s="3159"/>
      <c r="F144" s="3159"/>
      <c r="G144" s="3159"/>
      <c r="H144" s="3159"/>
      <c r="I144" s="3159"/>
      <c r="J144" s="3159"/>
      <c r="K144" s="3159"/>
      <c r="L144" s="3241"/>
      <c r="M144" s="3241"/>
      <c r="N144" s="3241"/>
      <c r="O144" s="3241"/>
      <c r="P144" s="3241"/>
      <c r="Q144" s="3241"/>
      <c r="R144" s="3241"/>
      <c r="S144" s="3241"/>
      <c r="T144" s="3248"/>
    </row>
    <row r="145" spans="1:20">
      <c r="A145" s="3143"/>
      <c r="B145" s="3159" t="s">
        <v>3623</v>
      </c>
      <c r="C145" s="3159"/>
      <c r="D145" s="3159"/>
      <c r="E145" s="3262">
        <f>C143</f>
        <v>181.60999999999999</v>
      </c>
      <c r="F145" s="3159" t="s">
        <v>466</v>
      </c>
      <c r="G145" s="3159"/>
      <c r="H145" s="3159"/>
      <c r="I145" s="3159"/>
      <c r="J145" s="3159"/>
      <c r="K145" s="3159"/>
      <c r="L145" s="3241"/>
      <c r="M145" s="3241"/>
      <c r="N145" s="3241"/>
      <c r="O145" s="3241"/>
      <c r="P145" s="3241"/>
      <c r="Q145" s="3241"/>
      <c r="R145" s="3241"/>
      <c r="S145" s="3241"/>
      <c r="T145" s="3248"/>
    </row>
    <row r="146" spans="1:20">
      <c r="A146" s="3143"/>
      <c r="B146" s="3220" t="s">
        <v>3624</v>
      </c>
      <c r="C146" s="3159"/>
      <c r="D146" s="3159"/>
      <c r="E146" s="3323">
        <v>0</v>
      </c>
      <c r="F146" s="3159" t="s">
        <v>466</v>
      </c>
      <c r="G146" s="3170" t="str">
        <f>IF(C143&lt;E146,"SAFE","UNSAFE")</f>
        <v>UNSAFE</v>
      </c>
      <c r="H146" s="3159"/>
      <c r="I146" s="3159"/>
      <c r="J146" s="3159"/>
      <c r="K146" s="3159"/>
      <c r="L146" s="3241"/>
      <c r="M146" s="3241"/>
      <c r="N146" s="3241"/>
      <c r="O146" s="3241"/>
      <c r="P146" s="3241"/>
      <c r="Q146" s="3241"/>
      <c r="R146" s="3241"/>
      <c r="S146" s="3241"/>
      <c r="T146" s="3248"/>
    </row>
    <row r="147" spans="1:20">
      <c r="A147" s="3161"/>
      <c r="B147" s="3162"/>
      <c r="C147" s="3162"/>
      <c r="D147" s="3162"/>
      <c r="E147" s="3162"/>
      <c r="F147" s="3162"/>
      <c r="G147" s="3162"/>
      <c r="H147" s="3162"/>
      <c r="I147" s="3162"/>
      <c r="J147" s="3162"/>
      <c r="K147" s="3162"/>
      <c r="L147" s="3162"/>
      <c r="M147" s="3162"/>
      <c r="N147" s="3162"/>
      <c r="O147" s="3162"/>
      <c r="P147" s="3162"/>
      <c r="Q147" s="3162"/>
      <c r="R147" s="3162"/>
      <c r="S147" s="3162"/>
      <c r="T147" s="3164"/>
    </row>
    <row r="148" spans="1:20">
      <c r="A148" s="3336"/>
      <c r="B148" s="2958" t="s">
        <v>3625</v>
      </c>
      <c r="C148" s="2958"/>
      <c r="D148" s="2958"/>
      <c r="E148" s="2958"/>
      <c r="F148" s="2958"/>
      <c r="G148" s="3311"/>
      <c r="H148" s="3311"/>
      <c r="I148" s="3311"/>
      <c r="J148" s="2704"/>
    </row>
    <row r="149" spans="1:20">
      <c r="A149" s="3312"/>
      <c r="B149" s="2862" t="s">
        <v>3626</v>
      </c>
      <c r="C149" s="2834"/>
      <c r="D149" s="2834"/>
      <c r="E149" s="2834"/>
      <c r="F149" s="2834"/>
      <c r="G149" s="2935"/>
      <c r="H149" s="2935"/>
      <c r="I149" s="2935"/>
      <c r="J149" s="2890"/>
    </row>
    <row r="150" spans="1:20">
      <c r="A150" s="3312"/>
      <c r="B150" s="2834" t="s">
        <v>303</v>
      </c>
      <c r="C150" s="2834"/>
      <c r="D150" s="2834"/>
      <c r="E150" s="2834"/>
      <c r="F150" s="2834"/>
      <c r="G150" s="2935"/>
      <c r="H150" s="2935"/>
      <c r="I150" s="2935"/>
      <c r="J150" s="2890"/>
    </row>
    <row r="151" spans="1:20">
      <c r="A151" s="3312"/>
      <c r="B151" s="2862" t="s">
        <v>3627</v>
      </c>
      <c r="C151" s="2834"/>
      <c r="D151" s="2973">
        <f>D94</f>
        <v>11.241249999999997</v>
      </c>
      <c r="E151" s="2862" t="s">
        <v>2993</v>
      </c>
      <c r="F151" s="2834" t="s">
        <v>3628</v>
      </c>
      <c r="G151" s="2935"/>
      <c r="H151" s="2935"/>
      <c r="I151" s="2935"/>
      <c r="J151" s="2890"/>
    </row>
    <row r="152" spans="1:20">
      <c r="A152" s="3312"/>
      <c r="B152" s="2834" t="s">
        <v>3629</v>
      </c>
      <c r="C152" s="2834"/>
      <c r="D152" s="3337">
        <f>Girder!G34</f>
        <v>0.6</v>
      </c>
      <c r="E152" s="2862" t="s">
        <v>571</v>
      </c>
      <c r="F152" s="2710" t="s">
        <v>3630</v>
      </c>
      <c r="G152" s="2935"/>
      <c r="H152" s="2935"/>
      <c r="I152" s="2935"/>
      <c r="J152" s="2890"/>
    </row>
    <row r="153" spans="1:20">
      <c r="A153" s="3312"/>
      <c r="B153" s="2834"/>
      <c r="C153" s="2834"/>
      <c r="D153" s="2834"/>
      <c r="E153" s="2834"/>
      <c r="F153" s="2834"/>
      <c r="G153" s="2935"/>
      <c r="H153" s="2935"/>
      <c r="I153" s="2935"/>
      <c r="J153" s="2890"/>
    </row>
    <row r="154" spans="1:20">
      <c r="A154" s="3312"/>
      <c r="B154" s="2834" t="s">
        <v>303</v>
      </c>
      <c r="C154" s="2834"/>
      <c r="D154" s="2935"/>
      <c r="E154" s="2834"/>
      <c r="F154" s="2834"/>
      <c r="G154" s="2935"/>
      <c r="H154" s="2935"/>
      <c r="I154" s="2935"/>
      <c r="J154" s="2890"/>
    </row>
    <row r="155" spans="1:20">
      <c r="A155" s="3312"/>
      <c r="B155" s="2852" t="s">
        <v>3631</v>
      </c>
      <c r="C155" s="2862" t="s">
        <v>3632</v>
      </c>
      <c r="D155" s="2935"/>
      <c r="E155" s="3313"/>
      <c r="F155" s="3313"/>
      <c r="G155" s="3313"/>
      <c r="H155" s="2935"/>
      <c r="I155" s="2935"/>
      <c r="J155" s="2890"/>
    </row>
    <row r="156" spans="1:20">
      <c r="A156" s="3312"/>
      <c r="B156" s="2852" t="s">
        <v>3631</v>
      </c>
      <c r="C156" s="3338">
        <f>Girder!H18+'G DIAPHRAGM '!J88</f>
        <v>5</v>
      </c>
      <c r="D156" s="2935" t="s">
        <v>571</v>
      </c>
      <c r="E156" s="3313"/>
      <c r="F156" s="3313"/>
      <c r="G156" s="3313"/>
      <c r="H156" s="2935"/>
      <c r="I156" s="2935"/>
      <c r="J156" s="2890"/>
    </row>
    <row r="157" spans="1:20">
      <c r="A157" s="3312"/>
      <c r="B157" s="2852"/>
      <c r="C157" s="2834"/>
      <c r="D157" s="2935"/>
      <c r="E157" s="2862"/>
      <c r="F157" s="2834"/>
      <c r="G157" s="2935"/>
      <c r="H157" s="2935"/>
      <c r="I157" s="2935"/>
      <c r="J157" s="2890"/>
    </row>
    <row r="158" spans="1:20">
      <c r="A158" s="3312"/>
      <c r="B158" s="2852" t="s">
        <v>3633</v>
      </c>
      <c r="C158" s="2843" t="s">
        <v>3634</v>
      </c>
      <c r="D158" s="2935"/>
      <c r="E158" s="2834"/>
      <c r="F158" s="2834"/>
      <c r="G158" s="2935"/>
      <c r="H158" s="2935"/>
      <c r="I158" s="2935"/>
      <c r="J158" s="2890"/>
    </row>
    <row r="159" spans="1:20">
      <c r="A159" s="3312"/>
      <c r="B159" s="2852" t="s">
        <v>3633</v>
      </c>
      <c r="C159" s="2910">
        <f>Girder!G31</f>
        <v>1</v>
      </c>
      <c r="D159" s="2935" t="s">
        <v>571</v>
      </c>
      <c r="E159" s="2834"/>
      <c r="F159" s="2834"/>
      <c r="G159" s="2935"/>
      <c r="H159" s="2935"/>
      <c r="I159" s="2935"/>
      <c r="J159" s="2890"/>
    </row>
    <row r="160" spans="1:20">
      <c r="A160" s="3312"/>
      <c r="B160" s="2852"/>
      <c r="C160" s="2834"/>
      <c r="D160" s="2935"/>
      <c r="E160" s="2834"/>
      <c r="F160" s="2834"/>
      <c r="G160" s="2935"/>
      <c r="H160" s="2935"/>
      <c r="I160" s="2935"/>
      <c r="J160" s="2890"/>
    </row>
    <row r="161" spans="1:10" ht="15" customHeight="1">
      <c r="A161" s="3312"/>
      <c r="B161" s="2852"/>
      <c r="C161" s="2834"/>
      <c r="D161" s="2935"/>
      <c r="E161" s="2834"/>
      <c r="F161" s="2834"/>
      <c r="G161" s="2935"/>
      <c r="H161" s="2935"/>
      <c r="I161" s="2935"/>
      <c r="J161" s="2890"/>
    </row>
    <row r="162" spans="1:10">
      <c r="A162" s="3312"/>
      <c r="B162" s="2852" t="s">
        <v>1031</v>
      </c>
      <c r="C162" s="2843" t="s">
        <v>3635</v>
      </c>
      <c r="D162" s="2935"/>
      <c r="E162" s="2834"/>
      <c r="F162" s="2834"/>
      <c r="G162" s="2935"/>
      <c r="H162" s="2935"/>
      <c r="I162" s="2935"/>
      <c r="J162" s="2890"/>
    </row>
    <row r="163" spans="1:10">
      <c r="A163" s="3312"/>
      <c r="B163" s="2852" t="s">
        <v>1031</v>
      </c>
      <c r="C163" s="2910" t="s">
        <v>3636</v>
      </c>
      <c r="D163" s="2935"/>
      <c r="E163" s="2834"/>
      <c r="F163" s="2834"/>
      <c r="G163" s="2935"/>
      <c r="H163" s="2935"/>
      <c r="I163" s="2935"/>
      <c r="J163" s="2890"/>
    </row>
    <row r="164" spans="1:10">
      <c r="A164" s="3312"/>
      <c r="B164" s="2834" t="s">
        <v>473</v>
      </c>
      <c r="C164" s="2834"/>
      <c r="D164" s="2935"/>
      <c r="E164" s="2834"/>
      <c r="F164" s="2834"/>
      <c r="G164" s="2935"/>
      <c r="H164" s="2935"/>
      <c r="I164" s="2935"/>
      <c r="J164" s="2890"/>
    </row>
    <row r="165" spans="1:10">
      <c r="A165" s="3312"/>
      <c r="B165" s="2834" t="s">
        <v>3637</v>
      </c>
      <c r="C165" s="2834"/>
      <c r="D165" s="2834"/>
      <c r="E165" s="2834"/>
      <c r="F165" s="2834"/>
      <c r="G165" s="2935"/>
      <c r="H165" s="2935"/>
      <c r="I165" s="2935"/>
      <c r="J165" s="2890"/>
    </row>
    <row r="166" spans="1:10">
      <c r="A166" s="3312"/>
      <c r="B166" s="2852" t="s">
        <v>1965</v>
      </c>
      <c r="C166" s="2852" t="str">
        <f>CONCATENATE(2,"x","(",C156,"+",C159,")","+",0.5)</f>
        <v>2x(5+1)+0.5</v>
      </c>
      <c r="D166" s="2834"/>
      <c r="E166" s="2834"/>
      <c r="F166" s="2834"/>
      <c r="G166" s="2935"/>
      <c r="H166" s="2935"/>
      <c r="I166" s="2935"/>
      <c r="J166" s="2890"/>
    </row>
    <row r="167" spans="1:10">
      <c r="A167" s="3312"/>
      <c r="B167" s="2709" t="s">
        <v>1965</v>
      </c>
      <c r="C167" s="2904">
        <f>ROUND(2*(C156+C159),2)</f>
        <v>12</v>
      </c>
      <c r="D167" s="2834" t="s">
        <v>1524</v>
      </c>
      <c r="E167" s="2834"/>
      <c r="F167" s="2834"/>
      <c r="G167" s="2935"/>
      <c r="H167" s="2935"/>
      <c r="I167" s="2935"/>
      <c r="J167" s="2890"/>
    </row>
    <row r="168" spans="1:10">
      <c r="A168" s="3312"/>
      <c r="B168" s="2834"/>
      <c r="C168" s="2834"/>
      <c r="D168" s="2834"/>
      <c r="E168" s="2834"/>
      <c r="F168" s="2834"/>
      <c r="G168" s="2935"/>
      <c r="H168" s="2935"/>
      <c r="I168" s="2935"/>
      <c r="J168" s="2890"/>
    </row>
    <row r="169" spans="1:10">
      <c r="A169" s="3312"/>
      <c r="B169" s="2834" t="s">
        <v>473</v>
      </c>
      <c r="C169" s="2834"/>
      <c r="D169" s="2834"/>
      <c r="E169" s="2834"/>
      <c r="F169" s="2834"/>
      <c r="G169" s="2935"/>
      <c r="H169" s="2935"/>
      <c r="I169" s="2935"/>
      <c r="J169" s="2890"/>
    </row>
    <row r="170" spans="1:10">
      <c r="A170" s="3312"/>
      <c r="B170" s="4525" t="s">
        <v>3604</v>
      </c>
      <c r="C170" s="4524"/>
      <c r="D170" s="2928" t="str">
        <f>CONCATENATE(D151,"/","(",C167,"x",D152,")")</f>
        <v>11.24125/(12x0.6)</v>
      </c>
      <c r="E170" s="2834"/>
      <c r="F170" s="2834"/>
      <c r="G170" s="2935"/>
      <c r="H170" s="2935"/>
      <c r="I170" s="2935"/>
      <c r="J170" s="2890"/>
    </row>
    <row r="171" spans="1:10">
      <c r="A171" s="3312"/>
      <c r="B171" s="2834"/>
      <c r="C171" s="2852" t="s">
        <v>160</v>
      </c>
      <c r="D171" s="2902">
        <f>ROUND(D151/(C167*D152),2)</f>
        <v>1.56</v>
      </c>
      <c r="E171" s="2862" t="s">
        <v>3606</v>
      </c>
      <c r="F171" s="2834"/>
      <c r="G171" s="2935"/>
      <c r="H171" s="2935"/>
      <c r="I171" s="2935"/>
      <c r="J171" s="2890"/>
    </row>
    <row r="172" spans="1:10">
      <c r="A172" s="3312"/>
      <c r="B172" s="4543" t="s">
        <v>3604</v>
      </c>
      <c r="C172" s="4539"/>
      <c r="D172" s="2944">
        <f>D171*1000</f>
        <v>1560</v>
      </c>
      <c r="E172" s="2862" t="s">
        <v>3103</v>
      </c>
      <c r="F172" s="2710" t="str">
        <f>IF(D172&lt;D174,"SAFE","UNSAFE")</f>
        <v>SAFE</v>
      </c>
      <c r="G172" s="2935"/>
      <c r="H172" s="2935"/>
      <c r="I172" s="2935"/>
      <c r="J172" s="2890"/>
    </row>
    <row r="173" spans="1:10">
      <c r="A173" s="3312"/>
      <c r="B173" s="2935" t="s">
        <v>2983</v>
      </c>
      <c r="C173" s="2935"/>
      <c r="D173" s="2935"/>
      <c r="E173" s="2935"/>
      <c r="F173" s="2935"/>
      <c r="G173" s="2935"/>
      <c r="H173" s="2935"/>
      <c r="I173" s="2935"/>
      <c r="J173" s="2890"/>
    </row>
    <row r="174" spans="1:10">
      <c r="A174" s="3312"/>
      <c r="B174" s="3313" t="s">
        <v>3562</v>
      </c>
      <c r="C174" s="3313"/>
      <c r="D174" s="3314">
        <f>ROUND(0.75*250*9.81,2)</f>
        <v>1839.38</v>
      </c>
      <c r="E174" s="3313" t="s">
        <v>3103</v>
      </c>
      <c r="F174" s="3313"/>
      <c r="G174" s="3313"/>
      <c r="H174" s="3313"/>
      <c r="I174" s="3313"/>
      <c r="J174" s="3339"/>
    </row>
    <row r="175" spans="1:10">
      <c r="A175" s="3312"/>
      <c r="B175" s="3313" t="s">
        <v>3563</v>
      </c>
      <c r="C175" s="2935"/>
      <c r="D175" s="2834"/>
      <c r="E175" s="2852"/>
      <c r="F175" s="3313"/>
      <c r="G175" s="2834"/>
      <c r="H175" s="2935"/>
      <c r="I175" s="2935"/>
      <c r="J175" s="2890"/>
    </row>
    <row r="176" spans="1:10">
      <c r="A176" s="3340"/>
      <c r="B176" s="3341"/>
      <c r="C176" s="3331"/>
      <c r="D176" s="3331"/>
      <c r="E176" s="3331"/>
      <c r="F176" s="3331"/>
      <c r="G176" s="3331"/>
      <c r="H176" s="3331"/>
      <c r="I176" s="3331"/>
      <c r="J176" s="3342"/>
    </row>
    <row r="193" ht="15" customHeight="1"/>
    <row r="197" ht="15" customHeight="1"/>
    <row r="198" ht="15" customHeight="1"/>
    <row r="213" ht="15" customHeight="1"/>
    <row r="216" ht="15" customHeight="1"/>
    <row r="283" ht="15" customHeight="1"/>
  </sheetData>
  <mergeCells count="32">
    <mergeCell ref="B170:C170"/>
    <mergeCell ref="B172:C172"/>
    <mergeCell ref="G121:I121"/>
    <mergeCell ref="G122:I122"/>
    <mergeCell ref="G123:I123"/>
    <mergeCell ref="V124:W124"/>
    <mergeCell ref="F126:H126"/>
    <mergeCell ref="V126:W126"/>
    <mergeCell ref="AA112:AC112"/>
    <mergeCell ref="J115:K115"/>
    <mergeCell ref="D116:E116"/>
    <mergeCell ref="J116:K116"/>
    <mergeCell ref="H119:I119"/>
    <mergeCell ref="H120:I120"/>
    <mergeCell ref="D87:E87"/>
    <mergeCell ref="B98:C98"/>
    <mergeCell ref="B99:C99"/>
    <mergeCell ref="B101:C101"/>
    <mergeCell ref="V110:W110"/>
    <mergeCell ref="V111:W111"/>
    <mergeCell ref="C79:D79"/>
    <mergeCell ref="B4:D4"/>
    <mergeCell ref="B6:B7"/>
    <mergeCell ref="D6:D7"/>
    <mergeCell ref="B43:D43"/>
    <mergeCell ref="C46:E46"/>
    <mergeCell ref="C47:E47"/>
    <mergeCell ref="C69:D69"/>
    <mergeCell ref="C70:D70"/>
    <mergeCell ref="C77:D77"/>
    <mergeCell ref="E77:F77"/>
    <mergeCell ref="E78:F78"/>
  </mergeCells>
  <dataValidations count="1">
    <dataValidation type="list" allowBlank="1" showInputMessage="1" showErrorMessage="1" sqref="J111" xr:uid="{C0951FDC-C77B-484E-9557-5AA4B9AEE5FC}">
      <formula1>"0,4,6,8,10,12,16,20,25,28"</formula1>
    </dataValidation>
  </dataValidations>
  <printOptions horizontalCentered="1"/>
  <pageMargins left="0.75" right="0.75" top="0.75" bottom="0.75" header="0.3" footer="0.3"/>
  <pageSetup scale="75" orientation="portrait"/>
  <headerFooter alignWithMargins="0">
    <oddFooter>&amp;L&amp;G&amp;CWO-AIL XXX&amp;RPrepared by:- Amol</oddFooter>
  </headerFooter>
  <rowBreaks count="4" manualBreakCount="4">
    <brk id="39" max="19" man="1"/>
    <brk id="84" max="19" man="1"/>
    <brk id="123" max="19" man="1"/>
    <brk id="171" max="19" man="1"/>
  </rowBreaks>
  <drawing r:id="rId1"/>
  <legacyDrawing r:id="rId2"/>
  <legacyDrawingHF r:id="rId3"/>
  <oleObjects>
    <mc:AlternateContent xmlns:mc="http://schemas.openxmlformats.org/markup-compatibility/2006">
      <mc:Choice Requires="x14">
        <oleObject progId="AutoCAD.Drawing.18" shapeId="28673" r:id="rId4">
          <objectPr defaultSize="0" autoPict="0" r:id="rId5">
            <anchor moveWithCells="1">
              <from>
                <xdr:col>5</xdr:col>
                <xdr:colOff>428625</xdr:colOff>
                <xdr:row>99</xdr:row>
                <xdr:rowOff>0</xdr:rowOff>
              </from>
              <to>
                <xdr:col>10</xdr:col>
                <xdr:colOff>276225</xdr:colOff>
                <xdr:row>107</xdr:row>
                <xdr:rowOff>142875</xdr:rowOff>
              </to>
            </anchor>
          </objectPr>
        </oleObject>
      </mc:Choice>
      <mc:Fallback>
        <oleObject progId="AutoCAD.Drawing.18" shapeId="28673" r:id="rId4"/>
      </mc:Fallback>
    </mc:AlternateContent>
    <mc:AlternateContent xmlns:mc="http://schemas.openxmlformats.org/markup-compatibility/2006">
      <mc:Choice Requires="x14">
        <oleObject progId="AutoCAD.Drawing.18" shapeId="28674" r:id="rId6">
          <objectPr defaultSize="0" autoPict="0" r:id="rId7">
            <anchor moveWithCells="1">
              <from>
                <xdr:col>7</xdr:col>
                <xdr:colOff>228600</xdr:colOff>
                <xdr:row>124</xdr:row>
                <xdr:rowOff>114300</xdr:rowOff>
              </from>
              <to>
                <xdr:col>9</xdr:col>
                <xdr:colOff>366713</xdr:colOff>
                <xdr:row>127</xdr:row>
                <xdr:rowOff>76200</xdr:rowOff>
              </to>
            </anchor>
          </objectPr>
        </oleObject>
      </mc:Choice>
      <mc:Fallback>
        <oleObject progId="AutoCAD.Drawing.18" shapeId="28674" r:id="rId6"/>
      </mc:Fallback>
    </mc:AlternateContent>
    <mc:AlternateContent xmlns:mc="http://schemas.openxmlformats.org/markup-compatibility/2006">
      <mc:Choice Requires="x14">
        <oleObject progId="AutoCAD.Drawing.18" shapeId="28675" r:id="rId8">
          <objectPr defaultSize="0" autoPict="0" r:id="rId9">
            <anchor moveWithCells="1">
              <from>
                <xdr:col>4</xdr:col>
                <xdr:colOff>214313</xdr:colOff>
                <xdr:row>158</xdr:row>
                <xdr:rowOff>23813</xdr:rowOff>
              </from>
              <to>
                <xdr:col>9</xdr:col>
                <xdr:colOff>228600</xdr:colOff>
                <xdr:row>168</xdr:row>
                <xdr:rowOff>123825</xdr:rowOff>
              </to>
            </anchor>
          </objectPr>
        </oleObject>
      </mc:Choice>
      <mc:Fallback>
        <oleObject progId="AutoCAD.Drawing.18" shapeId="28675" r:id="rId8"/>
      </mc:Fallback>
    </mc:AlternateContent>
  </oleObjec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28630-A7D8-4A6A-AD09-6B18FB8F1FED}">
  <dimension ref="A1:T106"/>
  <sheetViews>
    <sheetView topLeftCell="A97" workbookViewId="0">
      <selection activeCell="H50" sqref="H50"/>
    </sheetView>
  </sheetViews>
  <sheetFormatPr defaultColWidth="9.1328125" defaultRowHeight="12.75"/>
  <cols>
    <col min="1" max="3" width="9.1328125" style="3343"/>
    <col min="4" max="4" width="10.46484375" style="3343" customWidth="1"/>
    <col min="5" max="5" width="10.33203125" style="3343" customWidth="1"/>
    <col min="6" max="6" width="10" style="3343" customWidth="1"/>
    <col min="7" max="7" width="9.1328125" style="3343"/>
    <col min="8" max="8" width="9.53125" style="3343" customWidth="1"/>
    <col min="9" max="9" width="11" style="3343" customWidth="1"/>
    <col min="10" max="14" width="9.1328125" style="3343" customWidth="1"/>
    <col min="15" max="16384" width="9.1328125" style="3343"/>
  </cols>
  <sheetData>
    <row r="1" spans="1:20" ht="12.75" customHeight="1"/>
    <row r="2" spans="1:20" ht="12.75" customHeight="1">
      <c r="A2" s="4628" t="s">
        <v>3638</v>
      </c>
      <c r="B2" s="4628"/>
      <c r="C2" s="4628"/>
      <c r="D2" s="3345">
        <f>L13</f>
        <v>0.11249999999999999</v>
      </c>
      <c r="E2" s="4629" t="s">
        <v>3639</v>
      </c>
      <c r="F2" s="4630"/>
      <c r="G2" s="4631"/>
      <c r="H2" s="3346"/>
      <c r="I2" s="3347"/>
    </row>
    <row r="3" spans="1:20">
      <c r="A3" s="4628" t="s">
        <v>3640</v>
      </c>
      <c r="B3" s="4628"/>
      <c r="C3" s="4628"/>
      <c r="D3" s="3345">
        <f>L22</f>
        <v>7.4999999999999983E-2</v>
      </c>
      <c r="E3" s="4632" t="s">
        <v>3641</v>
      </c>
      <c r="F3" s="4633"/>
      <c r="I3" s="3348"/>
    </row>
    <row r="4" spans="1:20" ht="14.25">
      <c r="A4" s="3349"/>
      <c r="B4" s="3350"/>
      <c r="C4" s="3350"/>
      <c r="D4" s="3350"/>
      <c r="I4" s="3348"/>
      <c r="K4" s="2886" t="s">
        <v>3642</v>
      </c>
      <c r="L4" s="2887"/>
      <c r="M4" s="2887"/>
      <c r="N4" s="2887"/>
      <c r="O4" s="2887"/>
      <c r="P4" s="2887"/>
      <c r="Q4" s="2704"/>
    </row>
    <row r="5" spans="1:20" ht="14.25">
      <c r="A5" s="3351"/>
      <c r="B5" s="4627" t="s">
        <v>1810</v>
      </c>
      <c r="C5" s="4627"/>
      <c r="D5" s="3353">
        <f>Girder!H10</f>
        <v>1500</v>
      </c>
      <c r="E5" s="3343" t="s">
        <v>571</v>
      </c>
      <c r="I5" s="3348"/>
      <c r="K5" s="3354" t="s">
        <v>3643</v>
      </c>
      <c r="L5" s="3355" t="s">
        <v>3644</v>
      </c>
      <c r="M5" s="2834" t="s">
        <v>3645</v>
      </c>
      <c r="N5" s="2834"/>
      <c r="O5" s="2834"/>
      <c r="P5" s="2834"/>
      <c r="Q5" s="2890"/>
    </row>
    <row r="6" spans="1:20">
      <c r="A6" s="3351"/>
      <c r="B6" s="4627" t="s">
        <v>3646</v>
      </c>
      <c r="C6" s="4627"/>
      <c r="D6" s="3353">
        <f>Girder!H14</f>
        <v>4375</v>
      </c>
      <c r="E6" s="3343" t="s">
        <v>276</v>
      </c>
      <c r="I6" s="3348"/>
      <c r="K6" s="2888"/>
      <c r="L6" s="3356" t="s">
        <v>3647</v>
      </c>
      <c r="M6" s="2834" t="s">
        <v>3648</v>
      </c>
      <c r="N6" s="2834"/>
      <c r="O6" s="2834"/>
      <c r="P6" s="2834"/>
      <c r="Q6" s="2890"/>
    </row>
    <row r="7" spans="1:20">
      <c r="A7" s="3349"/>
      <c r="B7" s="4634" t="s">
        <v>3649</v>
      </c>
      <c r="C7" s="4634"/>
      <c r="D7" s="3350"/>
      <c r="I7" s="3348"/>
      <c r="K7" s="2888" t="s">
        <v>303</v>
      </c>
      <c r="L7" s="2834"/>
      <c r="M7" s="2834"/>
      <c r="N7" s="2834"/>
      <c r="O7" s="2834"/>
      <c r="P7" s="2834"/>
      <c r="Q7" s="2890"/>
    </row>
    <row r="8" spans="1:20">
      <c r="A8" s="3349"/>
      <c r="B8" s="4634"/>
      <c r="C8" s="4634"/>
      <c r="D8" s="3358">
        <f>'G OUTPUT'!J98+'G OUTPUT'!J100+'G OUTPUT'!H104</f>
        <v>5260.433</v>
      </c>
      <c r="E8" s="3343" t="s">
        <v>276</v>
      </c>
      <c r="I8" s="3348"/>
      <c r="K8" s="3354" t="s">
        <v>3650</v>
      </c>
      <c r="L8" s="3066">
        <f>VLOOKUP(Girder!I6,'G SEISMIC-1893'!S9:T12,2,0)</f>
        <v>0.24</v>
      </c>
      <c r="M8" s="2862" t="s">
        <v>3651</v>
      </c>
      <c r="N8" s="2834"/>
      <c r="O8" s="2834"/>
      <c r="P8" s="2834"/>
      <c r="Q8" s="2890"/>
      <c r="S8" s="3344" t="s">
        <v>3652</v>
      </c>
      <c r="T8" s="3344" t="s">
        <v>3653</v>
      </c>
    </row>
    <row r="9" spans="1:20">
      <c r="A9" s="3349"/>
      <c r="B9" s="4627" t="s">
        <v>3654</v>
      </c>
      <c r="C9" s="4627"/>
      <c r="D9" s="3359">
        <f>Girder!H11</f>
        <v>25624.999999999996</v>
      </c>
      <c r="E9" s="3343" t="s">
        <v>276</v>
      </c>
      <c r="I9" s="3348"/>
      <c r="K9" s="3354" t="s">
        <v>3655</v>
      </c>
      <c r="L9" s="2852">
        <v>1.5</v>
      </c>
      <c r="M9" s="2834" t="s">
        <v>3656</v>
      </c>
      <c r="N9" s="2834"/>
      <c r="O9" s="2834"/>
      <c r="P9" s="2834"/>
      <c r="Q9" s="2890"/>
      <c r="S9" s="3344" t="s">
        <v>3657</v>
      </c>
      <c r="T9" s="3344">
        <v>0.1</v>
      </c>
    </row>
    <row r="10" spans="1:20">
      <c r="A10" s="3360" t="s">
        <v>3658</v>
      </c>
      <c r="C10" s="3357"/>
      <c r="D10" s="3358">
        <f>'G CALCU'!C30</f>
        <v>8781.2499999999982</v>
      </c>
      <c r="E10" s="3343" t="s">
        <v>276</v>
      </c>
      <c r="I10" s="3348"/>
      <c r="K10" s="3354" t="s">
        <v>3659</v>
      </c>
      <c r="L10" s="2852">
        <v>4</v>
      </c>
      <c r="M10" s="2834" t="s">
        <v>3660</v>
      </c>
      <c r="N10" s="2834"/>
      <c r="O10" s="2834"/>
      <c r="P10" s="2834"/>
      <c r="Q10" s="2890"/>
      <c r="S10" s="3344" t="s">
        <v>3661</v>
      </c>
      <c r="T10" s="3344">
        <v>0.16</v>
      </c>
    </row>
    <row r="11" spans="1:20">
      <c r="A11" s="3360" t="s">
        <v>3662</v>
      </c>
      <c r="B11" s="3357"/>
      <c r="C11" s="3357"/>
      <c r="D11" s="3353">
        <f>'G CALCU'!D30</f>
        <v>6218.75</v>
      </c>
      <c r="E11" s="3343" t="s">
        <v>276</v>
      </c>
      <c r="I11" s="3348"/>
      <c r="K11" s="3354" t="s">
        <v>3663</v>
      </c>
      <c r="L11" s="2852">
        <v>2.5</v>
      </c>
      <c r="M11" s="2834" t="s">
        <v>3664</v>
      </c>
      <c r="N11" s="2834"/>
      <c r="O11" s="2834"/>
      <c r="P11" s="2834"/>
      <c r="Q11" s="2890"/>
      <c r="S11" s="3344" t="s">
        <v>2842</v>
      </c>
      <c r="T11" s="3344">
        <v>0.24</v>
      </c>
    </row>
    <row r="12" spans="1:20">
      <c r="A12" s="3361" t="s">
        <v>3665</v>
      </c>
      <c r="C12" s="3357"/>
      <c r="D12" s="3353">
        <f>Girder!H15</f>
        <v>150</v>
      </c>
      <c r="E12" s="3343" t="s">
        <v>571</v>
      </c>
      <c r="I12" s="3348"/>
      <c r="K12" s="2888"/>
      <c r="L12" s="2834"/>
      <c r="M12" s="2834"/>
      <c r="N12" s="2834"/>
      <c r="O12" s="2834"/>
      <c r="P12" s="2834"/>
      <c r="Q12" s="2890"/>
      <c r="S12" s="3344" t="s">
        <v>3666</v>
      </c>
      <c r="T12" s="3344">
        <v>0.36</v>
      </c>
    </row>
    <row r="13" spans="1:20">
      <c r="A13" s="3351"/>
      <c r="I13" s="3348"/>
      <c r="K13" s="2709" t="s">
        <v>3643</v>
      </c>
      <c r="L13" s="2970">
        <f>(L8*L9*L11)/(2*L10)</f>
        <v>0.11249999999999999</v>
      </c>
      <c r="M13" s="3362" t="s">
        <v>3667</v>
      </c>
      <c r="N13" s="2834"/>
      <c r="O13" s="2834"/>
      <c r="P13" s="2834"/>
      <c r="Q13" s="2890"/>
    </row>
    <row r="14" spans="1:20" ht="13.15">
      <c r="A14" s="3363" t="s">
        <v>3668</v>
      </c>
      <c r="I14" s="3348"/>
      <c r="K14" s="2919"/>
      <c r="L14" s="2906"/>
      <c r="M14" s="2906"/>
      <c r="N14" s="2906"/>
      <c r="O14" s="2906"/>
      <c r="P14" s="2906"/>
      <c r="Q14" s="2907"/>
    </row>
    <row r="15" spans="1:20" ht="14.25">
      <c r="A15" s="3364" t="s">
        <v>3669</v>
      </c>
      <c r="E15" s="4627" t="s">
        <v>3670</v>
      </c>
      <c r="F15" s="4627"/>
      <c r="G15" s="4627"/>
      <c r="I15" s="3348"/>
      <c r="K15" s="2886" t="s">
        <v>3671</v>
      </c>
      <c r="L15" s="2887"/>
      <c r="M15" s="2887"/>
      <c r="N15" s="2887"/>
      <c r="O15" s="2887"/>
      <c r="P15" s="2887"/>
      <c r="Q15" s="2704"/>
    </row>
    <row r="16" spans="1:20">
      <c r="A16" s="3351"/>
      <c r="B16" s="3365" t="s">
        <v>3139</v>
      </c>
      <c r="C16" s="3343" t="s">
        <v>3672</v>
      </c>
      <c r="E16" s="3366">
        <f>D2*E19</f>
        <v>591.79871249999997</v>
      </c>
      <c r="F16" s="3344" t="s">
        <v>276</v>
      </c>
      <c r="I16" s="3348"/>
      <c r="K16" s="2888" t="s">
        <v>3673</v>
      </c>
      <c r="L16" s="2834"/>
      <c r="M16" s="2834"/>
      <c r="N16" s="2834"/>
      <c r="O16" s="2834"/>
      <c r="P16" s="2834"/>
      <c r="Q16" s="2890"/>
    </row>
    <row r="17" spans="1:17">
      <c r="A17" s="3351"/>
      <c r="I17" s="3348"/>
      <c r="K17" s="2888" t="s">
        <v>3674</v>
      </c>
      <c r="L17" s="2834"/>
      <c r="M17" s="2834"/>
      <c r="N17" s="2834"/>
      <c r="O17" s="2834"/>
      <c r="P17" s="2834"/>
      <c r="Q17" s="2890"/>
    </row>
    <row r="18" spans="1:17">
      <c r="A18" s="3351"/>
      <c r="C18" s="3343" t="s">
        <v>303</v>
      </c>
      <c r="D18" s="3343" t="s">
        <v>3675</v>
      </c>
      <c r="E18" s="3343" t="s">
        <v>3676</v>
      </c>
      <c r="I18" s="3348"/>
      <c r="K18" s="2888" t="s">
        <v>3677</v>
      </c>
      <c r="L18" s="2834"/>
      <c r="M18" s="2834"/>
      <c r="N18" s="2834"/>
      <c r="O18" s="2834"/>
      <c r="P18" s="2834"/>
      <c r="Q18" s="2890"/>
    </row>
    <row r="19" spans="1:17">
      <c r="A19" s="3351"/>
      <c r="D19" s="3350" t="s">
        <v>160</v>
      </c>
      <c r="E19" s="3367">
        <f>D8</f>
        <v>5260.433</v>
      </c>
      <c r="F19" s="3344" t="s">
        <v>276</v>
      </c>
      <c r="I19" s="3348"/>
      <c r="K19" s="2888"/>
      <c r="L19" s="2834"/>
      <c r="M19" s="2834"/>
      <c r="N19" s="2834"/>
      <c r="O19" s="2834"/>
      <c r="P19" s="2834"/>
      <c r="Q19" s="2890"/>
    </row>
    <row r="20" spans="1:17">
      <c r="A20" s="3351"/>
      <c r="D20" s="3350"/>
      <c r="E20" s="3350"/>
      <c r="F20" s="3350"/>
      <c r="I20" s="3348"/>
      <c r="K20" s="3354" t="s">
        <v>3678</v>
      </c>
      <c r="L20" s="2852" t="s">
        <v>3679</v>
      </c>
      <c r="M20" s="2834"/>
      <c r="N20" s="2834"/>
      <c r="O20" s="2834"/>
      <c r="P20" s="2834"/>
      <c r="Q20" s="2890"/>
    </row>
    <row r="21" spans="1:17">
      <c r="A21" s="3364" t="s">
        <v>3669</v>
      </c>
      <c r="E21" s="3343" t="s">
        <v>3680</v>
      </c>
      <c r="I21" s="3348"/>
      <c r="K21" s="3354"/>
      <c r="L21" s="2834"/>
      <c r="M21" s="2834"/>
      <c r="N21" s="2834"/>
      <c r="O21" s="2834"/>
      <c r="P21" s="2834"/>
      <c r="Q21" s="2890"/>
    </row>
    <row r="22" spans="1:17">
      <c r="A22" s="3351"/>
      <c r="B22" s="3365" t="s">
        <v>3141</v>
      </c>
      <c r="C22" s="3343" t="s">
        <v>3681</v>
      </c>
      <c r="E22" s="3366">
        <f>D2*E25</f>
        <v>246.09374999999997</v>
      </c>
      <c r="F22" s="3344" t="s">
        <v>276</v>
      </c>
      <c r="I22" s="3348"/>
      <c r="K22" s="2709" t="s">
        <v>3678</v>
      </c>
      <c r="L22" s="2970">
        <f>(2/3)*L13</f>
        <v>7.4999999999999983E-2</v>
      </c>
      <c r="M22" s="3368" t="s">
        <v>3682</v>
      </c>
      <c r="N22" s="2906"/>
      <c r="O22" s="2906"/>
      <c r="P22" s="2906"/>
      <c r="Q22" s="2907"/>
    </row>
    <row r="23" spans="1:17">
      <c r="A23" s="3351"/>
      <c r="I23" s="3348"/>
    </row>
    <row r="24" spans="1:17">
      <c r="A24" s="3351"/>
      <c r="C24" s="3343" t="s">
        <v>303</v>
      </c>
      <c r="D24" s="3343" t="s">
        <v>3683</v>
      </c>
      <c r="E24" s="3343" t="s">
        <v>3684</v>
      </c>
      <c r="I24" s="3348"/>
    </row>
    <row r="25" spans="1:17">
      <c r="A25" s="3351"/>
      <c r="D25" s="3350" t="s">
        <v>160</v>
      </c>
      <c r="E25" s="3369">
        <f>D6/2</f>
        <v>2187.5</v>
      </c>
      <c r="F25" s="3344" t="s">
        <v>276</v>
      </c>
      <c r="I25" s="3348"/>
    </row>
    <row r="26" spans="1:17">
      <c r="A26" s="3351"/>
      <c r="I26" s="3348"/>
    </row>
    <row r="27" spans="1:17">
      <c r="A27" s="3351"/>
      <c r="C27" s="4635" t="s">
        <v>3685</v>
      </c>
      <c r="D27" s="4635"/>
      <c r="E27" s="4627" t="s">
        <v>3686</v>
      </c>
      <c r="F27" s="4627"/>
      <c r="G27" s="4627"/>
      <c r="H27" s="4627"/>
      <c r="I27" s="3348"/>
    </row>
    <row r="28" spans="1:17" ht="13.15">
      <c r="A28" s="3351"/>
      <c r="C28" s="4636" t="s">
        <v>3685</v>
      </c>
      <c r="D28" s="4636"/>
      <c r="E28" s="3370">
        <f>((E16*D5)/8)+((E22*D5)/4)</f>
        <v>203247.41484374998</v>
      </c>
      <c r="F28" s="3344" t="s">
        <v>3687</v>
      </c>
      <c r="I28" s="3348"/>
    </row>
    <row r="29" spans="1:17">
      <c r="A29" s="3351"/>
      <c r="F29" s="3350"/>
      <c r="I29" s="3348"/>
    </row>
    <row r="30" spans="1:17" ht="13.15">
      <c r="A30" s="3363" t="s">
        <v>3688</v>
      </c>
      <c r="I30" s="3348"/>
    </row>
    <row r="31" spans="1:17">
      <c r="A31" s="3364" t="s">
        <v>3689</v>
      </c>
      <c r="E31" s="4627" t="s">
        <v>3690</v>
      </c>
      <c r="F31" s="4627"/>
      <c r="G31" s="4627"/>
      <c r="H31" s="4627"/>
      <c r="I31" s="4637"/>
    </row>
    <row r="32" spans="1:17">
      <c r="A32" s="3351"/>
      <c r="C32" s="4635" t="s">
        <v>3691</v>
      </c>
      <c r="D32" s="4638"/>
      <c r="E32" s="3371">
        <f>D3*D8</f>
        <v>394.53247499999992</v>
      </c>
      <c r="F32" s="3344" t="s">
        <v>276</v>
      </c>
      <c r="I32" s="3348"/>
    </row>
    <row r="33" spans="1:9">
      <c r="A33" s="3351"/>
      <c r="C33" s="3350"/>
      <c r="D33" s="3350"/>
      <c r="E33" s="3350"/>
      <c r="F33" s="3350"/>
      <c r="I33" s="3348"/>
    </row>
    <row r="34" spans="1:9">
      <c r="A34" s="3364" t="s">
        <v>3689</v>
      </c>
      <c r="E34" s="4639" t="s">
        <v>3692</v>
      </c>
      <c r="F34" s="4639"/>
      <c r="G34" s="4639"/>
      <c r="H34" s="4639"/>
      <c r="I34" s="3348"/>
    </row>
    <row r="35" spans="1:9">
      <c r="A35" s="3351"/>
      <c r="E35" s="4639"/>
      <c r="F35" s="4639"/>
      <c r="G35" s="4639"/>
      <c r="H35" s="4639"/>
      <c r="I35" s="3348"/>
    </row>
    <row r="36" spans="1:9">
      <c r="A36" s="3351"/>
      <c r="C36" s="3350"/>
      <c r="D36" s="3350"/>
      <c r="E36" s="3350"/>
      <c r="F36" s="3350"/>
      <c r="I36" s="3348"/>
    </row>
    <row r="37" spans="1:9">
      <c r="A37" s="3351"/>
      <c r="C37" s="4635" t="s">
        <v>3693</v>
      </c>
      <c r="D37" s="4638"/>
      <c r="E37" s="3369">
        <f>D3*((D6+D9)/2)</f>
        <v>1124.9999999999995</v>
      </c>
      <c r="F37" s="3344" t="s">
        <v>276</v>
      </c>
      <c r="I37" s="3348"/>
    </row>
    <row r="38" spans="1:9">
      <c r="A38" s="3351"/>
      <c r="C38" s="3350"/>
      <c r="D38" s="3350"/>
      <c r="E38" s="3350"/>
      <c r="F38" s="3350"/>
      <c r="I38" s="3348"/>
    </row>
    <row r="39" spans="1:9">
      <c r="A39" s="3351" t="s">
        <v>3694</v>
      </c>
      <c r="E39" s="3343" t="s">
        <v>3695</v>
      </c>
      <c r="I39" s="3348"/>
    </row>
    <row r="40" spans="1:9">
      <c r="A40" s="3351"/>
      <c r="B40" s="3365" t="s">
        <v>3139</v>
      </c>
      <c r="C40" s="3365" t="s">
        <v>3696</v>
      </c>
      <c r="D40" s="3350" t="s">
        <v>160</v>
      </c>
      <c r="E40" s="3371">
        <f>E32+D8</f>
        <v>5654.965475</v>
      </c>
      <c r="F40" s="3344" t="s">
        <v>276</v>
      </c>
      <c r="I40" s="3348"/>
    </row>
    <row r="41" spans="1:9">
      <c r="A41" s="3351"/>
      <c r="C41" s="3350"/>
      <c r="D41" s="3350"/>
      <c r="E41" s="3350"/>
      <c r="F41" s="3350"/>
      <c r="I41" s="3348"/>
    </row>
    <row r="42" spans="1:9">
      <c r="A42" s="3351" t="s">
        <v>3694</v>
      </c>
      <c r="E42" s="3372" t="s">
        <v>3697</v>
      </c>
      <c r="F42" s="3372"/>
      <c r="G42" s="3372"/>
      <c r="H42" s="3372"/>
      <c r="I42" s="3348"/>
    </row>
    <row r="43" spans="1:9">
      <c r="A43" s="3351"/>
      <c r="B43" s="3365" t="s">
        <v>3139</v>
      </c>
      <c r="C43" s="3365" t="s">
        <v>3698</v>
      </c>
      <c r="D43" s="3350" t="s">
        <v>160</v>
      </c>
      <c r="E43" s="3371">
        <f>E37+((D6+D9)/2)</f>
        <v>16124.999999999998</v>
      </c>
      <c r="F43" s="3344" t="s">
        <v>276</v>
      </c>
      <c r="G43" s="3372"/>
      <c r="H43" s="3372"/>
      <c r="I43" s="3348"/>
    </row>
    <row r="44" spans="1:9">
      <c r="A44" s="3351"/>
      <c r="C44" s="3350"/>
      <c r="D44" s="3350"/>
      <c r="E44" s="3350"/>
      <c r="F44" s="3350"/>
      <c r="I44" s="3348"/>
    </row>
    <row r="45" spans="1:9">
      <c r="A45" s="3364" t="s">
        <v>3699</v>
      </c>
      <c r="D45" s="4627" t="s">
        <v>3700</v>
      </c>
      <c r="E45" s="4627"/>
      <c r="F45" s="4627"/>
      <c r="G45" s="4627"/>
      <c r="H45" s="4627"/>
      <c r="I45" s="3348"/>
    </row>
    <row r="46" spans="1:9">
      <c r="A46" s="3351"/>
      <c r="B46" s="3343" t="s">
        <v>3701</v>
      </c>
      <c r="D46" s="3366">
        <f>D3*D10</f>
        <v>658.59374999999977</v>
      </c>
      <c r="E46" s="3344" t="s">
        <v>276</v>
      </c>
      <c r="I46" s="3348"/>
    </row>
    <row r="47" spans="1:9">
      <c r="A47" s="3351"/>
      <c r="I47" s="3348"/>
    </row>
    <row r="48" spans="1:9">
      <c r="A48" s="3364" t="s">
        <v>3702</v>
      </c>
      <c r="D48" s="4627" t="s">
        <v>3703</v>
      </c>
      <c r="E48" s="4627"/>
      <c r="F48" s="4627"/>
      <c r="G48" s="4627"/>
      <c r="H48" s="4627"/>
      <c r="I48" s="3348"/>
    </row>
    <row r="49" spans="1:9">
      <c r="A49" s="3351"/>
      <c r="B49" s="3343" t="s">
        <v>3704</v>
      </c>
      <c r="D49" s="3366">
        <f>D3*D11</f>
        <v>466.40624999999989</v>
      </c>
      <c r="E49" s="3344" t="s">
        <v>276</v>
      </c>
      <c r="I49" s="3348"/>
    </row>
    <row r="50" spans="1:9">
      <c r="A50" s="3351"/>
      <c r="D50" s="3350"/>
      <c r="E50" s="3350"/>
      <c r="I50" s="3348"/>
    </row>
    <row r="51" spans="1:9">
      <c r="A51" s="3351" t="s">
        <v>473</v>
      </c>
      <c r="I51" s="3348"/>
    </row>
    <row r="52" spans="1:9">
      <c r="A52" s="3351" t="s">
        <v>3705</v>
      </c>
      <c r="I52" s="3348"/>
    </row>
    <row r="53" spans="1:9">
      <c r="A53" s="3351"/>
      <c r="E53" s="3350" t="s">
        <v>160</v>
      </c>
      <c r="F53" s="3367">
        <f>D46+D10</f>
        <v>9439.8437499999982</v>
      </c>
      <c r="G53" s="3344" t="s">
        <v>276</v>
      </c>
      <c r="I53" s="3348"/>
    </row>
    <row r="54" spans="1:9">
      <c r="A54" s="3351"/>
      <c r="I54" s="3348"/>
    </row>
    <row r="55" spans="1:9">
      <c r="A55" s="3351" t="s">
        <v>3706</v>
      </c>
      <c r="I55" s="3348"/>
    </row>
    <row r="56" spans="1:9">
      <c r="A56" s="3351"/>
      <c r="E56" s="3350" t="s">
        <v>160</v>
      </c>
      <c r="F56" s="3367">
        <f>D49+D11</f>
        <v>6685.15625</v>
      </c>
      <c r="G56" s="3344" t="s">
        <v>276</v>
      </c>
      <c r="I56" s="3348"/>
    </row>
    <row r="57" spans="1:9">
      <c r="A57" s="3351"/>
      <c r="I57" s="3348"/>
    </row>
    <row r="58" spans="1:9">
      <c r="A58" s="3351"/>
      <c r="C58" s="3350" t="s">
        <v>3707</v>
      </c>
      <c r="E58" s="3350" t="s">
        <v>3708</v>
      </c>
      <c r="I58" s="3348"/>
    </row>
    <row r="59" spans="1:9">
      <c r="A59" s="3351"/>
      <c r="C59" s="3373">
        <f>F53</f>
        <v>9439.8437499999982</v>
      </c>
      <c r="D59" s="3350"/>
      <c r="E59" s="3373">
        <f>F56</f>
        <v>6685.15625</v>
      </c>
      <c r="F59" s="3365" t="s">
        <v>897</v>
      </c>
      <c r="G59" s="3374">
        <f>E40</f>
        <v>5654.965475</v>
      </c>
      <c r="H59" s="3343" t="s">
        <v>276</v>
      </c>
      <c r="I59" s="3348"/>
    </row>
    <row r="60" spans="1:9">
      <c r="A60" s="3351"/>
      <c r="D60" s="3350">
        <f>D12</f>
        <v>150</v>
      </c>
      <c r="I60" s="3348"/>
    </row>
    <row r="61" spans="1:9">
      <c r="A61" s="3351"/>
      <c r="I61" s="3348"/>
    </row>
    <row r="62" spans="1:9">
      <c r="A62" s="3349" t="s">
        <v>1832</v>
      </c>
      <c r="C62" s="3375" t="s">
        <v>2049</v>
      </c>
      <c r="D62" s="3352"/>
      <c r="E62" s="3350" t="s">
        <v>2051</v>
      </c>
      <c r="G62" s="3350" t="s">
        <v>1873</v>
      </c>
      <c r="I62" s="3348"/>
    </row>
    <row r="63" spans="1:9">
      <c r="A63" s="3351"/>
      <c r="B63" s="3365"/>
      <c r="C63" s="3376"/>
      <c r="D63" s="3377" t="s">
        <v>2652</v>
      </c>
      <c r="I63" s="3348"/>
    </row>
    <row r="64" spans="1:9">
      <c r="A64" s="3351"/>
      <c r="B64" s="4635">
        <f>D65/2</f>
        <v>750</v>
      </c>
      <c r="C64" s="4635"/>
      <c r="E64" s="4635">
        <f>D65/2</f>
        <v>750</v>
      </c>
      <c r="F64" s="4635"/>
      <c r="I64" s="3348"/>
    </row>
    <row r="65" spans="1:9">
      <c r="A65" s="3378" t="s">
        <v>3709</v>
      </c>
      <c r="D65" s="3350">
        <f>D5</f>
        <v>1500</v>
      </c>
      <c r="G65" s="3352" t="s">
        <v>3710</v>
      </c>
      <c r="I65" s="3348"/>
    </row>
    <row r="66" spans="1:9">
      <c r="A66" s="3351"/>
      <c r="I66" s="3348"/>
    </row>
    <row r="67" spans="1:9">
      <c r="A67" s="3379"/>
      <c r="B67" s="3380"/>
      <c r="C67" s="3380"/>
      <c r="D67" s="3380"/>
      <c r="E67" s="3380"/>
      <c r="F67" s="3380"/>
      <c r="G67" s="3380"/>
      <c r="H67" s="3380"/>
      <c r="I67" s="3381"/>
    </row>
    <row r="68" spans="1:9">
      <c r="A68" s="3382"/>
      <c r="B68" s="3346"/>
      <c r="C68" s="3346"/>
      <c r="D68" s="3346"/>
      <c r="E68" s="3346"/>
      <c r="F68" s="3346"/>
      <c r="G68" s="3346"/>
      <c r="H68" s="3346"/>
      <c r="I68" s="3347"/>
    </row>
    <row r="69" spans="1:9">
      <c r="A69" s="3351"/>
      <c r="B69" s="4635" t="s">
        <v>3711</v>
      </c>
      <c r="C69" s="4635"/>
      <c r="D69" s="4635"/>
      <c r="I69" s="3348"/>
    </row>
    <row r="70" spans="1:9">
      <c r="A70" s="3351"/>
      <c r="B70" s="3343" t="s">
        <v>3712</v>
      </c>
      <c r="C70" s="3367">
        <f>((C59*(E64+F70))+(E59*(E64+F70-D60)))/D65</f>
        <v>8337.9687499999982</v>
      </c>
      <c r="D70" s="3343" t="s">
        <v>3687</v>
      </c>
      <c r="E70" s="3343" t="s">
        <v>3713</v>
      </c>
      <c r="F70" s="3383">
        <f>F53*D60/(F53+F56)</f>
        <v>87.8125</v>
      </c>
      <c r="I70" s="3348"/>
    </row>
    <row r="71" spans="1:9">
      <c r="A71" s="3351"/>
      <c r="B71" s="3343" t="s">
        <v>3714</v>
      </c>
      <c r="C71" s="3367">
        <f>C59+E59-C70</f>
        <v>7787.03125</v>
      </c>
      <c r="D71" s="3343" t="s">
        <v>3687</v>
      </c>
      <c r="I71" s="3348"/>
    </row>
    <row r="72" spans="1:9">
      <c r="A72" s="3351" t="s">
        <v>3715</v>
      </c>
      <c r="F72" s="3369">
        <f>(C70*(B64-F70))</f>
        <v>5521298.6816406241</v>
      </c>
      <c r="G72" s="3343" t="s">
        <v>3687</v>
      </c>
      <c r="I72" s="3348"/>
    </row>
    <row r="73" spans="1:9">
      <c r="A73" s="3351"/>
      <c r="I73" s="3348"/>
    </row>
    <row r="74" spans="1:9">
      <c r="A74" s="3351" t="s">
        <v>3716</v>
      </c>
      <c r="F74" s="3384">
        <f>G59*D65/8</f>
        <v>1060306.0265625</v>
      </c>
      <c r="G74" s="3343" t="s">
        <v>3687</v>
      </c>
      <c r="I74" s="3348"/>
    </row>
    <row r="75" spans="1:9">
      <c r="A75" s="3351"/>
      <c r="I75" s="3348"/>
    </row>
    <row r="76" spans="1:9">
      <c r="A76" s="3351"/>
      <c r="E76" s="3343" t="s">
        <v>3717</v>
      </c>
      <c r="F76" s="3369">
        <f>F72+F74</f>
        <v>6581604.7082031239</v>
      </c>
      <c r="G76" s="3343" t="s">
        <v>3687</v>
      </c>
      <c r="I76" s="3348"/>
    </row>
    <row r="77" spans="1:9">
      <c r="A77" s="3351"/>
      <c r="I77" s="3348"/>
    </row>
    <row r="78" spans="1:9" ht="12.75" customHeight="1">
      <c r="A78" s="3351"/>
      <c r="C78" s="3385" t="s">
        <v>3718</v>
      </c>
      <c r="D78" s="3386">
        <f>F76</f>
        <v>6581604.7082031239</v>
      </c>
      <c r="E78" s="3343" t="s">
        <v>3687</v>
      </c>
      <c r="I78" s="3348"/>
    </row>
    <row r="79" spans="1:9">
      <c r="A79" s="3351"/>
      <c r="D79" s="3372"/>
      <c r="E79" s="3350"/>
      <c r="I79" s="3348"/>
    </row>
    <row r="80" spans="1:9" ht="13.15">
      <c r="A80" s="3363" t="s">
        <v>3719</v>
      </c>
      <c r="I80" s="3348"/>
    </row>
    <row r="81" spans="1:9">
      <c r="A81" s="3351"/>
      <c r="I81" s="3348"/>
    </row>
    <row r="82" spans="1:9">
      <c r="A82" s="3351"/>
      <c r="C82" s="3365" t="s">
        <v>160</v>
      </c>
      <c r="D82" s="3387" t="s">
        <v>3720</v>
      </c>
      <c r="E82" s="4644" t="s">
        <v>3254</v>
      </c>
      <c r="F82" s="3387" t="s">
        <v>3721</v>
      </c>
      <c r="I82" s="3348"/>
    </row>
    <row r="83" spans="1:9">
      <c r="A83" s="3351"/>
      <c r="D83" s="3350" t="s">
        <v>3722</v>
      </c>
      <c r="E83" s="4644"/>
      <c r="F83" s="3350" t="s">
        <v>2006</v>
      </c>
      <c r="I83" s="3348"/>
    </row>
    <row r="84" spans="1:9" ht="13.15">
      <c r="A84" s="3351"/>
      <c r="D84" s="3350"/>
      <c r="E84" s="3388"/>
      <c r="F84" s="3350"/>
      <c r="I84" s="3348"/>
    </row>
    <row r="85" spans="1:9" ht="13.15">
      <c r="A85" s="3351"/>
      <c r="C85" s="3365" t="s">
        <v>160</v>
      </c>
      <c r="D85" s="3389">
        <f>D78/'G CALCU'!I15</f>
        <v>930.73190558832027</v>
      </c>
      <c r="E85" s="3388" t="s">
        <v>3254</v>
      </c>
      <c r="F85" s="3389">
        <f>E28/'G CALCU'!I16</f>
        <v>91.871677804071908</v>
      </c>
      <c r="I85" s="3348"/>
    </row>
    <row r="86" spans="1:9">
      <c r="A86" s="3351"/>
      <c r="I86" s="3348"/>
    </row>
    <row r="87" spans="1:9" ht="13.15">
      <c r="A87" s="3351"/>
      <c r="C87" s="3365" t="s">
        <v>160</v>
      </c>
      <c r="D87" s="3390">
        <f>D85+F85</f>
        <v>1022.6035833923922</v>
      </c>
      <c r="E87" s="3343" t="s">
        <v>3723</v>
      </c>
      <c r="F87" s="3391">
        <f>1.33*'G OUTPUT'!M259</f>
        <v>1964.8622</v>
      </c>
      <c r="G87" s="3351" t="s">
        <v>3724</v>
      </c>
      <c r="I87" s="3348"/>
    </row>
    <row r="88" spans="1:9">
      <c r="A88" s="3351"/>
      <c r="D88" s="3392" t="str">
        <f>IF(F87&gt;D87,"SAFE","UNSAFE")</f>
        <v>SAFE</v>
      </c>
      <c r="I88" s="3348"/>
    </row>
    <row r="89" spans="1:9">
      <c r="A89" s="3351"/>
      <c r="I89" s="3348"/>
    </row>
    <row r="90" spans="1:9" ht="13.15">
      <c r="A90" s="3363" t="s">
        <v>3725</v>
      </c>
      <c r="I90" s="3348"/>
    </row>
    <row r="91" spans="1:9">
      <c r="A91" s="3351"/>
      <c r="I91" s="3348"/>
    </row>
    <row r="92" spans="1:9" ht="13.15">
      <c r="A92" s="3351"/>
      <c r="C92" s="3365" t="s">
        <v>160</v>
      </c>
      <c r="D92" s="3387" t="s">
        <v>3720</v>
      </c>
      <c r="E92" s="3388" t="s">
        <v>3254</v>
      </c>
      <c r="F92" s="3387" t="s">
        <v>3721</v>
      </c>
      <c r="I92" s="3348"/>
    </row>
    <row r="93" spans="1:9" ht="13.15">
      <c r="A93" s="3351"/>
      <c r="D93" s="3350" t="s">
        <v>3726</v>
      </c>
      <c r="E93" s="3388"/>
      <c r="F93" s="3350" t="s">
        <v>2006</v>
      </c>
      <c r="I93" s="3348"/>
    </row>
    <row r="94" spans="1:9" ht="13.15">
      <c r="A94" s="3351"/>
      <c r="D94" s="3350"/>
      <c r="E94" s="3388"/>
      <c r="F94" s="3350"/>
      <c r="I94" s="3348"/>
    </row>
    <row r="95" spans="1:9" ht="13.15">
      <c r="A95" s="3351"/>
      <c r="C95" s="3365" t="s">
        <v>160</v>
      </c>
      <c r="D95" s="3389">
        <f>D78/'G CALCU'!I14</f>
        <v>995.17071287154272</v>
      </c>
      <c r="E95" s="3388" t="s">
        <v>3254</v>
      </c>
      <c r="F95" s="3389">
        <f>E28/'G CALCU'!I16</f>
        <v>91.871677804071908</v>
      </c>
      <c r="I95" s="3348"/>
    </row>
    <row r="96" spans="1:9">
      <c r="A96" s="3351"/>
      <c r="I96" s="3348"/>
    </row>
    <row r="97" spans="1:10" ht="13.15">
      <c r="A97" s="3351"/>
      <c r="C97" s="3365" t="s">
        <v>160</v>
      </c>
      <c r="D97" s="3390">
        <f>D95+F95</f>
        <v>1087.0423906756146</v>
      </c>
      <c r="E97" s="3343" t="s">
        <v>3723</v>
      </c>
      <c r="F97" s="3391">
        <f>1.33*'G OUTPUT'!I256</f>
        <v>2259.6035000000002</v>
      </c>
      <c r="G97" s="3351" t="s">
        <v>3724</v>
      </c>
      <c r="I97" s="3348"/>
      <c r="J97" s="3393"/>
    </row>
    <row r="98" spans="1:10">
      <c r="A98" s="3351"/>
      <c r="D98" s="3392" t="str">
        <f>IF(F97&gt;D97,"SAFE","UNSAFE")</f>
        <v>SAFE</v>
      </c>
      <c r="I98" s="3348"/>
    </row>
    <row r="99" spans="1:10">
      <c r="A99" s="3351"/>
      <c r="I99" s="3348"/>
    </row>
    <row r="100" spans="1:10">
      <c r="A100" s="3394" t="s">
        <v>3727</v>
      </c>
      <c r="B100" s="4645" t="s">
        <v>3728</v>
      </c>
      <c r="C100" s="4646"/>
      <c r="D100" s="4647" t="s">
        <v>3254</v>
      </c>
      <c r="E100" s="4646" t="s">
        <v>3729</v>
      </c>
      <c r="F100" s="4646"/>
      <c r="G100" s="4640" t="s">
        <v>3730</v>
      </c>
      <c r="H100" s="3395"/>
      <c r="I100" s="3348"/>
    </row>
    <row r="101" spans="1:10">
      <c r="A101" s="3396"/>
      <c r="B101" s="4642" t="s">
        <v>3731</v>
      </c>
      <c r="C101" s="4643"/>
      <c r="D101" s="4648"/>
      <c r="E101" s="4643" t="s">
        <v>3732</v>
      </c>
      <c r="F101" s="4643"/>
      <c r="G101" s="4641"/>
      <c r="H101" s="3397"/>
      <c r="I101" s="3348"/>
    </row>
    <row r="102" spans="1:10">
      <c r="A102" s="3398" t="s">
        <v>3079</v>
      </c>
      <c r="B102" s="3399"/>
      <c r="C102" s="3399"/>
      <c r="D102" s="3399"/>
      <c r="E102" s="3399"/>
      <c r="F102" s="3399"/>
      <c r="G102" s="3399"/>
      <c r="H102" s="3399"/>
      <c r="I102" s="3348"/>
    </row>
    <row r="103" spans="1:10" ht="13.15">
      <c r="A103" s="3400" t="s">
        <v>3220</v>
      </c>
      <c r="B103" s="3401">
        <f>ROUND(CONCATENATE(D85),2)</f>
        <v>930.73</v>
      </c>
      <c r="C103" s="3402" t="s">
        <v>3254</v>
      </c>
      <c r="D103" s="3403">
        <f>F85</f>
        <v>91.871677804071908</v>
      </c>
      <c r="E103" s="3400" t="s">
        <v>3222</v>
      </c>
      <c r="F103" s="3401">
        <f>ROUND(CONCATENATE(D95),2)</f>
        <v>995.17</v>
      </c>
      <c r="G103" s="3402" t="s">
        <v>3254</v>
      </c>
      <c r="H103" s="3403">
        <f>ROUND(CONCATENATE(F95),2)</f>
        <v>91.87</v>
      </c>
      <c r="I103" s="3348"/>
    </row>
    <row r="104" spans="1:10">
      <c r="A104" s="3396"/>
      <c r="B104" s="3404">
        <f>ROUND(CONCATENATE(F87),2)</f>
        <v>1964.86</v>
      </c>
      <c r="C104" s="3399"/>
      <c r="D104" s="3405">
        <f>F97</f>
        <v>2259.6035000000002</v>
      </c>
      <c r="E104" s="3396"/>
      <c r="F104" s="3404">
        <f>ROUND(CONCATENATE(F97),2)</f>
        <v>2259.6</v>
      </c>
      <c r="G104" s="3399"/>
      <c r="H104" s="3405">
        <f>ROUND(CONCATENATE(F97),2)</f>
        <v>2259.6</v>
      </c>
      <c r="I104" s="3348"/>
    </row>
    <row r="105" spans="1:10" ht="13.15">
      <c r="A105" s="3406" t="s">
        <v>160</v>
      </c>
      <c r="B105" s="3407">
        <f>(D85/F87)+(F85/F97)</f>
        <v>0.51434645028545178</v>
      </c>
      <c r="C105" s="3408" t="s">
        <v>3733</v>
      </c>
      <c r="D105" s="3409" t="str">
        <f>IF(B105&lt;=1,"SAFE","UNSAFE")</f>
        <v>SAFE</v>
      </c>
      <c r="E105" s="3410" t="s">
        <v>160</v>
      </c>
      <c r="F105" s="3407">
        <f>(D95/F97)+(F95/F97)</f>
        <v>0.48107660953597148</v>
      </c>
      <c r="G105" s="3408" t="s">
        <v>3733</v>
      </c>
      <c r="H105" s="3409" t="str">
        <f>IF(F105&lt;=1,"SAFE","UNSAFE")</f>
        <v>SAFE</v>
      </c>
      <c r="I105" s="3348"/>
    </row>
    <row r="106" spans="1:10">
      <c r="A106" s="3379"/>
      <c r="B106" s="3380"/>
      <c r="C106" s="3380"/>
      <c r="D106" s="3380"/>
      <c r="E106" s="3380"/>
      <c r="F106" s="3380"/>
      <c r="G106" s="3380"/>
      <c r="H106" s="3380"/>
      <c r="I106" s="3381"/>
    </row>
  </sheetData>
  <mergeCells count="28">
    <mergeCell ref="G100:G101"/>
    <mergeCell ref="B101:C101"/>
    <mergeCell ref="E101:F101"/>
    <mergeCell ref="B64:C64"/>
    <mergeCell ref="E64:F64"/>
    <mergeCell ref="B69:D69"/>
    <mergeCell ref="E82:E83"/>
    <mergeCell ref="B100:C100"/>
    <mergeCell ref="D100:D101"/>
    <mergeCell ref="E100:F100"/>
    <mergeCell ref="D48:H48"/>
    <mergeCell ref="B7:C8"/>
    <mergeCell ref="B9:C9"/>
    <mergeCell ref="E15:G15"/>
    <mergeCell ref="C27:D27"/>
    <mergeCell ref="E27:H27"/>
    <mergeCell ref="C28:D28"/>
    <mergeCell ref="E31:I31"/>
    <mergeCell ref="C32:D32"/>
    <mergeCell ref="E34:H35"/>
    <mergeCell ref="C37:D37"/>
    <mergeCell ref="D45:H45"/>
    <mergeCell ref="B6:C6"/>
    <mergeCell ref="A2:C2"/>
    <mergeCell ref="E2:G2"/>
    <mergeCell ref="A3:C3"/>
    <mergeCell ref="E3:F3"/>
    <mergeCell ref="B5:C5"/>
  </mergeCells>
  <dataValidations count="2">
    <dataValidation type="list" allowBlank="1" showInputMessage="1" showErrorMessage="1" sqref="M17" xr:uid="{9FE8F1B5-32E7-4A8E-B79E-6CBEC617F838}">
      <formula1>"0.01,0.02,0.03,0.04,0.05,0.06,0.07,0.08,0.09,0.1,0.11,0.12,0.13,0.14,0.15,0.16,0.17"</formula1>
    </dataValidation>
    <dataValidation type="list" allowBlank="1" showInputMessage="1" showErrorMessage="1" sqref="M18" xr:uid="{2081B4A7-B00D-44B6-8E16-0A9F4F8AB031}">
      <formula1>$P$29:$P$36</formula1>
    </dataValidation>
  </dataValidations>
  <printOptions horizontalCentered="1"/>
  <pageMargins left="0.69930555555555596" right="0.69930555555555596" top="0.75" bottom="0.75" header="0.3" footer="0.3"/>
  <pageSetup scale="75" orientation="portrait"/>
  <headerFooter alignWithMargins="0">
    <oddHeader>&amp;L&amp;P</oddHeader>
    <oddFooter>&amp;LDesign by:- Amol S.&amp;CChecked by:- S.K.M&amp;RApproved by:- S.K.M</oddFooter>
  </headerFooter>
  <rowBreaks count="1" manualBreakCount="1">
    <brk id="67" max="8" man="1"/>
  </rowBreak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96131-3D42-47D6-A0B4-0AFC2B394B80}">
  <dimension ref="A2:K28"/>
  <sheetViews>
    <sheetView workbookViewId="0">
      <selection activeCell="H50" sqref="H50"/>
    </sheetView>
  </sheetViews>
  <sheetFormatPr defaultColWidth="9.1328125" defaultRowHeight="12.75"/>
  <cols>
    <col min="1" max="1" width="5.6640625" style="3411" customWidth="1"/>
    <col min="2" max="2" width="9.1328125" style="3411"/>
    <col min="3" max="3" width="11.6640625" style="3411" customWidth="1"/>
    <col min="4" max="5" width="9.1328125" style="3411"/>
    <col min="6" max="6" width="12.1328125" style="3411" customWidth="1"/>
    <col min="7" max="7" width="4.33203125" style="3411" customWidth="1"/>
    <col min="8" max="8" width="9.1328125" style="3411"/>
    <col min="9" max="9" width="7.46484375" style="3411" customWidth="1"/>
    <col min="10" max="10" width="9.1328125" style="3411"/>
    <col min="11" max="11" width="2.53125" style="3411" customWidth="1"/>
    <col min="12" max="16384" width="9.1328125" style="3411"/>
  </cols>
  <sheetData>
    <row r="2" spans="2:11">
      <c r="B2" s="3411" t="s">
        <v>3734</v>
      </c>
    </row>
    <row r="5" spans="2:11" ht="13.15">
      <c r="B5" s="3412" t="s">
        <v>1101</v>
      </c>
      <c r="C5" s="3412"/>
      <c r="D5" s="3413">
        <v>5</v>
      </c>
      <c r="E5" s="3414" t="s">
        <v>985</v>
      </c>
      <c r="F5" s="3411" t="s">
        <v>3735</v>
      </c>
    </row>
    <row r="6" spans="2:11" ht="13.15">
      <c r="B6" s="3412" t="s">
        <v>3736</v>
      </c>
      <c r="D6" s="3413">
        <v>0.8</v>
      </c>
      <c r="E6" s="3414" t="s">
        <v>985</v>
      </c>
      <c r="F6" s="3411" t="s">
        <v>3735</v>
      </c>
    </row>
    <row r="7" spans="2:11" ht="13.15">
      <c r="B7" s="4649" t="s">
        <v>1235</v>
      </c>
      <c r="C7" s="4650"/>
      <c r="D7" s="3413">
        <v>10.95</v>
      </c>
      <c r="E7" s="3412" t="s">
        <v>1638</v>
      </c>
      <c r="F7" s="3411" t="s">
        <v>3735</v>
      </c>
      <c r="H7" s="3411" t="s">
        <v>3737</v>
      </c>
    </row>
    <row r="8" spans="2:11" ht="13.15">
      <c r="B8" s="3415" t="s">
        <v>3738</v>
      </c>
      <c r="C8" s="3416"/>
      <c r="D8" s="3413">
        <v>4</v>
      </c>
      <c r="E8" s="3412" t="s">
        <v>3739</v>
      </c>
      <c r="F8" s="3411" t="s">
        <v>3735</v>
      </c>
      <c r="H8" s="3411" t="s">
        <v>3740</v>
      </c>
    </row>
    <row r="9" spans="2:11" ht="13.15">
      <c r="B9" s="4651" t="s">
        <v>3741</v>
      </c>
      <c r="C9" s="4652"/>
      <c r="D9" s="3417">
        <v>1986</v>
      </c>
      <c r="E9" s="3412" t="s">
        <v>2146</v>
      </c>
      <c r="F9" s="3411" t="s">
        <v>3735</v>
      </c>
    </row>
    <row r="10" spans="2:11" ht="13.15">
      <c r="B10" s="3418" t="s">
        <v>1970</v>
      </c>
      <c r="C10" s="3419"/>
      <c r="D10" s="3417">
        <v>63226</v>
      </c>
      <c r="E10" s="3412" t="s">
        <v>3742</v>
      </c>
      <c r="F10" s="3411" t="s">
        <v>3735</v>
      </c>
    </row>
    <row r="11" spans="2:11" ht="13.15">
      <c r="B11" s="4653" t="s">
        <v>3743</v>
      </c>
      <c r="C11" s="4654"/>
      <c r="D11" s="3413">
        <v>122.7</v>
      </c>
      <c r="E11" s="3412" t="s">
        <v>380</v>
      </c>
      <c r="F11" s="3411" t="s">
        <v>3735</v>
      </c>
    </row>
    <row r="12" spans="2:11" ht="13.15">
      <c r="B12" s="3412" t="s">
        <v>3744</v>
      </c>
      <c r="C12" s="3412"/>
      <c r="D12" s="3413">
        <v>1.3</v>
      </c>
      <c r="E12" s="3417"/>
      <c r="F12" s="3411" t="s">
        <v>3735</v>
      </c>
    </row>
    <row r="13" spans="2:11" ht="13.15">
      <c r="B13" s="3412" t="s">
        <v>3745</v>
      </c>
      <c r="C13" s="3412"/>
      <c r="D13" s="3413">
        <v>0.5</v>
      </c>
      <c r="E13" s="3412" t="s">
        <v>1638</v>
      </c>
      <c r="F13" s="3411" t="s">
        <v>3735</v>
      </c>
    </row>
    <row r="14" spans="2:11" ht="13.15">
      <c r="B14" s="3412" t="s">
        <v>3746</v>
      </c>
      <c r="C14" s="3412"/>
      <c r="D14" s="3420">
        <f>(D5+D6)/D8</f>
        <v>1.45</v>
      </c>
      <c r="E14" s="3417"/>
      <c r="F14" s="3421" t="s">
        <v>3747</v>
      </c>
    </row>
    <row r="15" spans="2:11" ht="13.15">
      <c r="B15" s="3412" t="s">
        <v>3746</v>
      </c>
      <c r="C15" s="3412"/>
      <c r="D15" s="3420">
        <f>(D5*1.3+D6)/D8</f>
        <v>1.825</v>
      </c>
      <c r="E15" s="3414" t="s">
        <v>985</v>
      </c>
      <c r="F15" s="3421" t="s">
        <v>3748</v>
      </c>
      <c r="H15" s="3422"/>
      <c r="I15" s="3423"/>
      <c r="K15" s="3424"/>
    </row>
    <row r="16" spans="2:11" ht="13.15">
      <c r="B16" s="4649" t="s">
        <v>1832</v>
      </c>
      <c r="C16" s="4650"/>
      <c r="D16" s="3420">
        <f>(D7-D13)/2</f>
        <v>5.2249999999999996</v>
      </c>
      <c r="E16" s="3412" t="s">
        <v>1638</v>
      </c>
    </row>
    <row r="18" spans="1:10" ht="13.15">
      <c r="F18" s="3425"/>
    </row>
    <row r="19" spans="1:10" ht="13.15">
      <c r="F19" s="3425"/>
      <c r="H19" s="3422">
        <v>-1</v>
      </c>
    </row>
    <row r="20" spans="1:10">
      <c r="I20" s="3423" t="s">
        <v>3749</v>
      </c>
    </row>
    <row r="21" spans="1:10" ht="15">
      <c r="A21" s="3422">
        <v>-1</v>
      </c>
      <c r="B21" s="3426" t="s">
        <v>3750</v>
      </c>
      <c r="C21" s="3427">
        <f>((D15*2*D16*1000*100)+(D7*D11*D7*100/8))/D9</f>
        <v>1052.8829100579053</v>
      </c>
      <c r="D21" s="3426" t="s">
        <v>3751</v>
      </c>
      <c r="E21" s="3417" t="s">
        <v>3752</v>
      </c>
      <c r="F21" s="3425"/>
      <c r="H21" s="3411" t="s">
        <v>3753</v>
      </c>
      <c r="J21" s="3428" t="s">
        <v>3754</v>
      </c>
    </row>
    <row r="22" spans="1:10" ht="13.15">
      <c r="A22" s="3422">
        <v>-2</v>
      </c>
      <c r="B22" s="3429" t="s">
        <v>3755</v>
      </c>
      <c r="C22" s="3430">
        <f>ROUND(2*D14*1000*9.81*(D7*1000)^3/(6*2.1*10^5*D10*10^4)*((3*D16/(4*D7)-(D16/D7)^3)),2)</f>
        <v>11.69</v>
      </c>
      <c r="D22" s="3429" t="s">
        <v>466</v>
      </c>
      <c r="E22" s="3417" t="str">
        <f>"&lt;"&amp;ROUND(D7*1000/900,2)</f>
        <v>&lt;12.17</v>
      </c>
    </row>
    <row r="23" spans="1:10" ht="13.15">
      <c r="A23" s="3422"/>
      <c r="B23" s="3425"/>
      <c r="C23" s="3431"/>
      <c r="D23" s="3425"/>
      <c r="E23" s="3432"/>
    </row>
    <row r="25" spans="1:10" ht="13.15">
      <c r="A25" s="3422"/>
      <c r="B25" s="3429" t="s">
        <v>3756</v>
      </c>
      <c r="C25" s="3433">
        <f>(D14*2*1000*9.81*(D7*1000)^3/(6*2.1*10^5*(D7*1000/900)))*((3*D16/(4*D7))-POWER(D16/D7,3))/10000</f>
        <v>60725.004064946173</v>
      </c>
      <c r="D25" s="3429" t="s">
        <v>2132</v>
      </c>
    </row>
    <row r="28" spans="1:10">
      <c r="C28" s="3434"/>
    </row>
  </sheetData>
  <mergeCells count="4">
    <mergeCell ref="B7:C7"/>
    <mergeCell ref="B9:C9"/>
    <mergeCell ref="B11:C11"/>
    <mergeCell ref="B16:C16"/>
  </mergeCells>
  <pageMargins left="0.75" right="0.75" top="1" bottom="1" header="0.5" footer="0.5"/>
  <pageSetup orientation="portrait" horizontalDpi="1200" verticalDpi="1200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8D479-8630-47DB-899B-D86481421949}">
  <dimension ref="A3:C22"/>
  <sheetViews>
    <sheetView workbookViewId="0">
      <selection activeCell="H50" sqref="H50"/>
    </sheetView>
  </sheetViews>
  <sheetFormatPr defaultColWidth="9" defaultRowHeight="12.75"/>
  <cols>
    <col min="1" max="1" width="9" style="2834"/>
    <col min="2" max="2" width="10.46484375" style="2834" customWidth="1"/>
    <col min="3" max="16384" width="9" style="2834"/>
  </cols>
  <sheetData>
    <row r="3" spans="2:3">
      <c r="B3" s="2834" t="s">
        <v>3757</v>
      </c>
    </row>
    <row r="4" spans="2:3">
      <c r="B4" s="2709" t="s">
        <v>3758</v>
      </c>
      <c r="C4" s="2709" t="s">
        <v>287</v>
      </c>
    </row>
    <row r="5" spans="2:3">
      <c r="B5" s="2709">
        <v>2</v>
      </c>
      <c r="C5" s="2709">
        <v>515</v>
      </c>
    </row>
    <row r="6" spans="2:3">
      <c r="B6" s="2709">
        <v>3</v>
      </c>
      <c r="C6" s="2709">
        <v>545</v>
      </c>
    </row>
    <row r="7" spans="2:3">
      <c r="B7" s="2709">
        <v>5</v>
      </c>
      <c r="C7" s="2709">
        <v>575</v>
      </c>
    </row>
    <row r="8" spans="2:3">
      <c r="B8" s="2709">
        <v>7.5</v>
      </c>
      <c r="C8" s="2709">
        <v>595</v>
      </c>
    </row>
    <row r="9" spans="2:3">
      <c r="B9" s="2709">
        <v>10</v>
      </c>
      <c r="C9" s="2709">
        <v>875</v>
      </c>
    </row>
    <row r="10" spans="2:3">
      <c r="B10" s="2709">
        <v>12.5</v>
      </c>
      <c r="C10" s="2709">
        <v>1000</v>
      </c>
    </row>
    <row r="11" spans="2:3">
      <c r="B11" s="2709">
        <v>15</v>
      </c>
      <c r="C11" s="2709">
        <v>1125</v>
      </c>
    </row>
    <row r="12" spans="2:3">
      <c r="B12" s="2709">
        <v>20</v>
      </c>
      <c r="C12" s="2709">
        <v>1220</v>
      </c>
    </row>
    <row r="13" spans="2:3">
      <c r="B13" s="2709">
        <v>30</v>
      </c>
      <c r="C13" s="2709">
        <v>2100</v>
      </c>
    </row>
    <row r="14" spans="2:3">
      <c r="B14" s="2709">
        <v>45</v>
      </c>
      <c r="C14" s="2709">
        <v>2785</v>
      </c>
    </row>
    <row r="15" spans="2:3">
      <c r="B15" s="2709">
        <v>50</v>
      </c>
      <c r="C15" s="2709">
        <v>3100</v>
      </c>
    </row>
    <row r="16" spans="2:3">
      <c r="B16" s="2709">
        <v>60</v>
      </c>
      <c r="C16" s="2709">
        <v>3300</v>
      </c>
    </row>
    <row r="17" spans="1:3">
      <c r="B17" s="2709">
        <v>80</v>
      </c>
      <c r="C17" s="2709">
        <v>3500</v>
      </c>
    </row>
    <row r="18" spans="1:3">
      <c r="B18" s="2709">
        <v>100</v>
      </c>
      <c r="C18" s="2709">
        <v>6500</v>
      </c>
    </row>
    <row r="19" spans="1:3">
      <c r="B19" s="2709">
        <v>130</v>
      </c>
      <c r="C19" s="2709">
        <v>11600</v>
      </c>
    </row>
    <row r="22" spans="1:3">
      <c r="A22" s="2834" t="e">
        <f>#REF!</f>
        <v>#REF!</v>
      </c>
      <c r="B22" s="2834" t="e">
        <f>VLOOKUP(A22,B4:C19,2)</f>
        <v>#REF!</v>
      </c>
    </row>
  </sheetData>
  <pageMargins left="0.75" right="0.75" top="1" bottom="1" header="0.5" footer="0.5"/>
  <pageSetup paperSize="9"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00CC3-4395-4763-86BA-EA9A2B52B8B2}">
  <dimension ref="A2:I26"/>
  <sheetViews>
    <sheetView workbookViewId="0">
      <selection activeCell="H50" sqref="H50"/>
    </sheetView>
  </sheetViews>
  <sheetFormatPr defaultColWidth="9" defaultRowHeight="12.75"/>
  <cols>
    <col min="1" max="16384" width="9" style="2834"/>
  </cols>
  <sheetData>
    <row r="2" spans="1:9">
      <c r="A2" s="2902" t="s">
        <v>3759</v>
      </c>
      <c r="B2" s="3435" t="s">
        <v>3760</v>
      </c>
      <c r="C2" s="3435" t="s">
        <v>3761</v>
      </c>
      <c r="D2" s="3435"/>
      <c r="E2" s="3435"/>
      <c r="F2" s="3435" t="s">
        <v>3762</v>
      </c>
      <c r="G2" s="3435" t="s">
        <v>3763</v>
      </c>
    </row>
    <row r="3" spans="1:9">
      <c r="A3" s="3436" t="s">
        <v>809</v>
      </c>
      <c r="B3" s="3436" t="s">
        <v>3764</v>
      </c>
      <c r="C3" s="2902" t="s">
        <v>1476</v>
      </c>
      <c r="D3" s="2902" t="s">
        <v>3765</v>
      </c>
      <c r="E3" s="2902" t="s">
        <v>3766</v>
      </c>
      <c r="F3" s="3436" t="s">
        <v>3767</v>
      </c>
      <c r="G3" s="3436" t="s">
        <v>3768</v>
      </c>
    </row>
    <row r="4" spans="1:9">
      <c r="A4" s="2831"/>
      <c r="B4" s="2831" t="s">
        <v>3769</v>
      </c>
      <c r="C4" s="2831" t="s">
        <v>466</v>
      </c>
      <c r="D4" s="2831" t="s">
        <v>466</v>
      </c>
      <c r="E4" s="2831" t="s">
        <v>466</v>
      </c>
      <c r="F4" s="2831" t="s">
        <v>3770</v>
      </c>
      <c r="G4" s="2831" t="s">
        <v>3771</v>
      </c>
    </row>
    <row r="5" spans="1:9">
      <c r="A5" s="2709">
        <v>1</v>
      </c>
      <c r="B5" s="2709">
        <v>200</v>
      </c>
      <c r="C5" s="2709">
        <v>8</v>
      </c>
      <c r="D5" s="2709">
        <v>6</v>
      </c>
      <c r="E5" s="2709">
        <v>5</v>
      </c>
      <c r="F5" s="2709">
        <v>57.25</v>
      </c>
      <c r="G5" s="2709">
        <v>60</v>
      </c>
      <c r="H5" s="2709">
        <v>57.25</v>
      </c>
      <c r="I5" s="2709">
        <v>60</v>
      </c>
    </row>
    <row r="6" spans="1:9">
      <c r="A6" s="2709">
        <v>2</v>
      </c>
      <c r="B6" s="2709">
        <v>250</v>
      </c>
      <c r="C6" s="2709">
        <v>8</v>
      </c>
      <c r="D6" s="2709">
        <v>6</v>
      </c>
      <c r="E6" s="2709">
        <v>6</v>
      </c>
      <c r="F6" s="2709">
        <v>65.23</v>
      </c>
      <c r="G6" s="2709">
        <v>60</v>
      </c>
      <c r="H6" s="2709">
        <v>65.23</v>
      </c>
      <c r="I6" s="2709">
        <v>60</v>
      </c>
    </row>
    <row r="7" spans="1:9">
      <c r="A7" s="2709">
        <v>3</v>
      </c>
      <c r="B7" s="2709">
        <v>320</v>
      </c>
      <c r="C7" s="2709">
        <v>8</v>
      </c>
      <c r="D7" s="2709">
        <v>6</v>
      </c>
      <c r="E7" s="2709">
        <v>6</v>
      </c>
      <c r="F7" s="2709">
        <v>70.39</v>
      </c>
      <c r="G7" s="2709">
        <v>75</v>
      </c>
      <c r="H7" s="2709">
        <v>70.39</v>
      </c>
      <c r="I7" s="2709">
        <v>75</v>
      </c>
    </row>
    <row r="8" spans="1:9">
      <c r="A8" s="2709">
        <v>4</v>
      </c>
      <c r="B8" s="2709">
        <v>400</v>
      </c>
      <c r="C8" s="2709">
        <v>10</v>
      </c>
      <c r="D8" s="2709">
        <v>6</v>
      </c>
      <c r="E8" s="2709">
        <v>6</v>
      </c>
      <c r="F8" s="2709">
        <v>90.32</v>
      </c>
      <c r="G8" s="2709">
        <v>120</v>
      </c>
      <c r="H8" s="2709">
        <v>90.32</v>
      </c>
      <c r="I8" s="2709">
        <v>120</v>
      </c>
    </row>
    <row r="9" spans="1:9">
      <c r="A9" s="2709">
        <v>8</v>
      </c>
      <c r="B9" s="2709">
        <v>500</v>
      </c>
      <c r="C9" s="2709">
        <v>10</v>
      </c>
      <c r="D9" s="2709">
        <v>6</v>
      </c>
      <c r="E9" s="2709">
        <v>6</v>
      </c>
      <c r="F9" s="2709">
        <v>103.31</v>
      </c>
      <c r="G9" s="2709">
        <v>153</v>
      </c>
      <c r="H9" s="2709">
        <v>103.31</v>
      </c>
      <c r="I9" s="2709">
        <v>153</v>
      </c>
    </row>
    <row r="10" spans="1:9">
      <c r="A10" s="2709">
        <v>9</v>
      </c>
      <c r="B10" s="2709">
        <v>550</v>
      </c>
      <c r="C10" s="2709">
        <v>10</v>
      </c>
      <c r="D10" s="2709">
        <v>6</v>
      </c>
      <c r="E10" s="2709">
        <v>6</v>
      </c>
      <c r="F10" s="2709">
        <v>108.99</v>
      </c>
      <c r="G10" s="2709">
        <v>162</v>
      </c>
      <c r="H10" s="2709">
        <v>108.99</v>
      </c>
      <c r="I10" s="2709">
        <v>162</v>
      </c>
    </row>
    <row r="11" spans="1:9">
      <c r="A11" s="2709">
        <v>10</v>
      </c>
      <c r="B11" s="2709">
        <v>630</v>
      </c>
      <c r="C11" s="2709">
        <v>12</v>
      </c>
      <c r="D11" s="2709">
        <v>6</v>
      </c>
      <c r="E11" s="2709">
        <v>8</v>
      </c>
      <c r="F11" s="2709">
        <v>129.12</v>
      </c>
      <c r="G11" s="2709">
        <v>223</v>
      </c>
      <c r="H11" s="2709">
        <v>129.12</v>
      </c>
      <c r="I11" s="2709">
        <v>223</v>
      </c>
    </row>
    <row r="12" spans="1:9">
      <c r="A12" s="2709">
        <v>11</v>
      </c>
      <c r="B12" s="2709">
        <v>710</v>
      </c>
      <c r="C12" s="2709">
        <v>12</v>
      </c>
      <c r="D12" s="2709">
        <v>6</v>
      </c>
      <c r="E12" s="2709">
        <v>8</v>
      </c>
      <c r="F12" s="2709">
        <v>134.18</v>
      </c>
      <c r="G12" s="2709">
        <v>290</v>
      </c>
      <c r="H12" s="2709">
        <v>134.18</v>
      </c>
      <c r="I12" s="2709">
        <v>290</v>
      </c>
    </row>
    <row r="17" spans="1:6">
      <c r="A17" s="2834" t="s">
        <v>3772</v>
      </c>
      <c r="B17" s="2834" t="e">
        <f>#REF!</f>
        <v>#REF!</v>
      </c>
      <c r="D17" s="2834" t="e">
        <f>#REF!</f>
        <v>#REF!</v>
      </c>
    </row>
    <row r="18" spans="1:6">
      <c r="A18" s="2834" t="s">
        <v>3773</v>
      </c>
      <c r="B18" s="2834" t="e">
        <f>VLOOKUP(B17,B5:I12,7)</f>
        <v>#REF!</v>
      </c>
      <c r="C18" s="2834" t="e">
        <f>VLOOKUP(B17,B5:J12,8)</f>
        <v>#REF!</v>
      </c>
      <c r="D18" s="2834" t="e">
        <f>VLOOKUP(D17,B5:I12,7)</f>
        <v>#REF!</v>
      </c>
      <c r="E18" s="2834" t="e">
        <f>VLOOKUP(D17,B5:I12,8)</f>
        <v>#REF!</v>
      </c>
    </row>
    <row r="20" spans="1:6">
      <c r="A20" s="2928" t="s">
        <v>3774</v>
      </c>
      <c r="B20" s="2863" t="e">
        <f>(((#REF!)+#REF!)*(#REF!+0.5))*2</f>
        <v>#REF!</v>
      </c>
      <c r="D20" s="2863"/>
      <c r="F20" s="2863" t="e">
        <f>((((#REF!+10)*1.05)+#REF!)*(#REF!+0.5))*2</f>
        <v>#REF!</v>
      </c>
    </row>
    <row r="21" spans="1:6">
      <c r="A21" s="2834" t="s">
        <v>3775</v>
      </c>
      <c r="B21" s="2834" t="e">
        <f>(#REF!+2)*70</f>
        <v>#REF!</v>
      </c>
      <c r="F21" s="2852" t="e">
        <f>(#REF!+2)*70</f>
        <v>#REF!</v>
      </c>
    </row>
    <row r="22" spans="1:6">
      <c r="A22" s="2834" t="s">
        <v>3776</v>
      </c>
      <c r="B22" s="2834" t="e">
        <f>27*2*#REF!</f>
        <v>#REF!</v>
      </c>
      <c r="F22" s="2852" t="e">
        <f>27*2*#REF!</f>
        <v>#REF!</v>
      </c>
    </row>
    <row r="23" spans="1:6">
      <c r="A23" s="2834" t="s">
        <v>3777</v>
      </c>
      <c r="B23" s="2842" t="e">
        <f>((#REF!/5+0.3+#REF!/1000)*3*#REF!)+#REF!</f>
        <v>#REF!</v>
      </c>
      <c r="D23" s="2842"/>
      <c r="F23" s="2871" t="e">
        <f>((#REF!/5+0.3+#REF!/1000)*3*#REF!)+#REF!</f>
        <v>#REF!</v>
      </c>
    </row>
    <row r="24" spans="1:6">
      <c r="A24" s="2834" t="s">
        <v>3778</v>
      </c>
      <c r="B24" s="2834">
        <v>500</v>
      </c>
      <c r="F24" s="2852">
        <v>1125</v>
      </c>
    </row>
    <row r="25" spans="1:6">
      <c r="A25" s="2834" t="s">
        <v>3779</v>
      </c>
      <c r="B25" s="2834">
        <v>700</v>
      </c>
      <c r="F25" s="2852">
        <v>1000</v>
      </c>
    </row>
    <row r="26" spans="1:6">
      <c r="A26" s="2834" t="s">
        <v>3780</v>
      </c>
      <c r="B26" s="2842" t="e">
        <f>SUM(B20:B25)</f>
        <v>#REF!</v>
      </c>
      <c r="D26" s="2842"/>
      <c r="F26" s="2871" t="e">
        <f>SUM(F20:F25)</f>
        <v>#REF!</v>
      </c>
    </row>
  </sheetData>
  <pageMargins left="0.75" right="0.75" top="1" bottom="1" header="0.5" footer="0.5"/>
  <pageSetup paperSize="9"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BCBCD-F425-492E-9A9F-0B7DFCA454AE}">
  <dimension ref="A1:M36"/>
  <sheetViews>
    <sheetView topLeftCell="A4" workbookViewId="0">
      <selection activeCell="H50" sqref="H50"/>
    </sheetView>
  </sheetViews>
  <sheetFormatPr defaultColWidth="9.1328125" defaultRowHeight="12.75"/>
  <cols>
    <col min="1" max="1" width="6.6640625" style="3411" customWidth="1"/>
    <col min="2" max="2" width="10" style="3411" customWidth="1"/>
    <col min="3" max="3" width="11.46484375" style="3411" customWidth="1"/>
    <col min="4" max="5" width="9.1328125" style="3411"/>
    <col min="6" max="6" width="12.1328125" style="3411" customWidth="1"/>
    <col min="7" max="7" width="4.33203125" style="3411" customWidth="1"/>
    <col min="8" max="8" width="9.1328125" style="3411"/>
    <col min="9" max="9" width="7.1328125" style="3411" customWidth="1"/>
    <col min="10" max="10" width="9.1328125" style="3411"/>
    <col min="11" max="11" width="1.46484375" style="3411" customWidth="1"/>
    <col min="12" max="12" width="12" style="3411" customWidth="1"/>
    <col min="13" max="16384" width="9.1328125" style="3411"/>
  </cols>
  <sheetData>
    <row r="1" spans="2:13" ht="13.15">
      <c r="E1" s="3425" t="s">
        <v>3781</v>
      </c>
    </row>
    <row r="3" spans="2:13" ht="13.15">
      <c r="B3" s="3412" t="s">
        <v>1101</v>
      </c>
      <c r="C3" s="3412"/>
      <c r="D3" s="3413">
        <v>10</v>
      </c>
      <c r="E3" s="3414" t="s">
        <v>985</v>
      </c>
      <c r="F3" s="3411" t="s">
        <v>3735</v>
      </c>
    </row>
    <row r="4" spans="2:13" ht="13.15">
      <c r="B4" s="3412" t="s">
        <v>3782</v>
      </c>
      <c r="D4" s="3413">
        <v>15</v>
      </c>
      <c r="E4" s="3414" t="s">
        <v>985</v>
      </c>
      <c r="F4" s="3411" t="s">
        <v>3735</v>
      </c>
    </row>
    <row r="5" spans="2:13" ht="13.15">
      <c r="B5" s="3412" t="s">
        <v>3783</v>
      </c>
      <c r="D5" s="3413">
        <v>2.75</v>
      </c>
      <c r="E5" s="3414" t="s">
        <v>985</v>
      </c>
      <c r="F5" s="3411" t="s">
        <v>3735</v>
      </c>
    </row>
    <row r="6" spans="2:13" ht="13.15">
      <c r="B6" s="4649" t="s">
        <v>1235</v>
      </c>
      <c r="C6" s="4650"/>
      <c r="D6" s="3413">
        <v>13</v>
      </c>
      <c r="E6" s="3412" t="s">
        <v>1638</v>
      </c>
      <c r="F6" s="3411" t="s">
        <v>3735</v>
      </c>
    </row>
    <row r="7" spans="2:13" ht="13.15">
      <c r="B7" s="3415" t="s">
        <v>3784</v>
      </c>
      <c r="C7" s="3416"/>
      <c r="D7" s="3413">
        <v>1</v>
      </c>
      <c r="E7" s="3412" t="s">
        <v>1638</v>
      </c>
      <c r="F7" s="3411" t="s">
        <v>3735</v>
      </c>
    </row>
    <row r="8" spans="2:13" ht="13.15">
      <c r="B8" s="3415" t="s">
        <v>3738</v>
      </c>
      <c r="C8" s="3416"/>
      <c r="D8" s="3413">
        <v>4</v>
      </c>
      <c r="E8" s="3412" t="s">
        <v>3739</v>
      </c>
      <c r="H8" s="3411" t="s">
        <v>3785</v>
      </c>
    </row>
    <row r="9" spans="2:13" ht="13.15">
      <c r="B9" s="4649" t="s">
        <v>3786</v>
      </c>
      <c r="C9" s="4650"/>
      <c r="D9" s="3413">
        <v>4.75</v>
      </c>
      <c r="E9" s="3412" t="s">
        <v>1638</v>
      </c>
      <c r="F9" s="3411" t="s">
        <v>3735</v>
      </c>
      <c r="H9" s="3411" t="s">
        <v>3787</v>
      </c>
    </row>
    <row r="10" spans="2:13" ht="13.15">
      <c r="B10" s="4651" t="s">
        <v>3653</v>
      </c>
      <c r="C10" s="4652"/>
      <c r="D10" s="3417">
        <v>632.6</v>
      </c>
      <c r="E10" s="3412" t="s">
        <v>2146</v>
      </c>
      <c r="F10" s="3411" t="s">
        <v>3735</v>
      </c>
      <c r="H10" s="3411" t="s">
        <v>3788</v>
      </c>
      <c r="M10" s="3411">
        <v>1575</v>
      </c>
    </row>
    <row r="11" spans="2:13" ht="13.15">
      <c r="B11" s="4653" t="s">
        <v>3743</v>
      </c>
      <c r="C11" s="4654"/>
      <c r="D11" s="3413">
        <v>74.599999999999994</v>
      </c>
      <c r="E11" s="3412" t="s">
        <v>380</v>
      </c>
      <c r="F11" s="3411" t="s">
        <v>3735</v>
      </c>
    </row>
    <row r="12" spans="2:13" ht="13.15">
      <c r="B12" s="3412" t="s">
        <v>3744</v>
      </c>
      <c r="C12" s="3412"/>
      <c r="D12" s="3413">
        <v>1.3</v>
      </c>
      <c r="E12" s="3417"/>
      <c r="F12" s="3411" t="s">
        <v>3735</v>
      </c>
    </row>
    <row r="13" spans="2:13" ht="13.15">
      <c r="B13" s="3412"/>
      <c r="C13" s="3412"/>
      <c r="D13" s="3413"/>
      <c r="E13" s="3417"/>
    </row>
    <row r="14" spans="2:13" ht="13.15">
      <c r="B14" s="3412" t="s">
        <v>3789</v>
      </c>
      <c r="C14" s="3412"/>
      <c r="D14" s="3413">
        <v>1.5</v>
      </c>
      <c r="E14" s="3417" t="s">
        <v>1218</v>
      </c>
    </row>
    <row r="15" spans="2:13" ht="13.15">
      <c r="B15" s="3412" t="s">
        <v>3790</v>
      </c>
      <c r="C15" s="3412"/>
      <c r="D15" s="3413">
        <v>3.5</v>
      </c>
      <c r="E15" s="3412" t="s">
        <v>1638</v>
      </c>
    </row>
    <row r="16" spans="2:13" ht="13.15">
      <c r="B16" s="3412" t="s">
        <v>3791</v>
      </c>
      <c r="C16" s="3412"/>
      <c r="D16" s="3420">
        <f>((((D3)+D5)*(D6-D7)/(D6*D8/2))+((D4-D5)*1.05/D8))</f>
        <v>9.1002403846153861</v>
      </c>
      <c r="E16" s="3417"/>
      <c r="F16" s="3421" t="s">
        <v>3747</v>
      </c>
    </row>
    <row r="17" spans="1:11" ht="13.15">
      <c r="B17" s="3412" t="s">
        <v>3791</v>
      </c>
      <c r="C17" s="3412"/>
      <c r="D17" s="3420">
        <f>((((D3*D12)+D5)*(D6-D7)/(D6*D8/2))+((D4-D5)*1.05/D8))</f>
        <v>10.484855769230769</v>
      </c>
      <c r="E17" s="3414" t="s">
        <v>985</v>
      </c>
      <c r="F17" s="3421" t="s">
        <v>3748</v>
      </c>
      <c r="H17" s="3422" t="s">
        <v>3792</v>
      </c>
      <c r="I17" s="3423"/>
      <c r="K17" s="3424"/>
    </row>
    <row r="18" spans="1:11" ht="13.15">
      <c r="B18" s="4649" t="s">
        <v>1832</v>
      </c>
      <c r="C18" s="4650"/>
      <c r="D18" s="3420">
        <f>(D9-D15)/2</f>
        <v>0.625</v>
      </c>
      <c r="E18" s="3412" t="s">
        <v>1638</v>
      </c>
    </row>
    <row r="19" spans="1:11" ht="13.15">
      <c r="B19" s="3437" t="s">
        <v>3793</v>
      </c>
      <c r="C19" s="3438"/>
      <c r="D19" s="3439">
        <f>(D9-D14)/2</f>
        <v>1.625</v>
      </c>
      <c r="E19" s="3412" t="s">
        <v>1638</v>
      </c>
    </row>
    <row r="20" spans="1:11" ht="13.15">
      <c r="F20" s="3425"/>
    </row>
    <row r="21" spans="1:11" ht="13.15">
      <c r="F21" s="3425"/>
      <c r="H21" s="3422" t="s">
        <v>3794</v>
      </c>
    </row>
    <row r="22" spans="1:11" ht="15">
      <c r="B22" s="3440" t="s">
        <v>3795</v>
      </c>
      <c r="I22" s="3423" t="s">
        <v>3796</v>
      </c>
    </row>
    <row r="23" spans="1:11" ht="15">
      <c r="A23" s="3422" t="s">
        <v>3797</v>
      </c>
      <c r="B23" s="3412" t="s">
        <v>3798</v>
      </c>
      <c r="C23" s="3421">
        <f>((D17*D9*1000*100/4)+(D9*D11*D9*100/8))/D10</f>
        <v>2001.4482356088429</v>
      </c>
      <c r="D23" s="3412" t="s">
        <v>3751</v>
      </c>
      <c r="E23" s="3432" t="s">
        <v>3799</v>
      </c>
      <c r="F23" s="3441"/>
      <c r="H23" s="3411" t="s">
        <v>3753</v>
      </c>
      <c r="J23" s="3428" t="s">
        <v>3754</v>
      </c>
    </row>
    <row r="24" spans="1:11" ht="15">
      <c r="B24" s="3412" t="s">
        <v>3800</v>
      </c>
      <c r="C24" s="3442">
        <f>((D17*D19*1000*100)+(D9*D11*D9*100/8))/D10</f>
        <v>2726.5706508852354</v>
      </c>
      <c r="D24" s="3412" t="s">
        <v>3751</v>
      </c>
      <c r="E24" s="3432" t="s">
        <v>3799</v>
      </c>
    </row>
    <row r="25" spans="1:11" ht="15">
      <c r="A25" s="3422" t="s">
        <v>3794</v>
      </c>
      <c r="B25" s="3429" t="s">
        <v>3750</v>
      </c>
      <c r="C25" s="3433">
        <f>((D17*D18*1000*100)+(D11*D9*D9*100/8))/D10</f>
        <v>1069.1479873963374</v>
      </c>
      <c r="D25" s="3429" t="s">
        <v>3751</v>
      </c>
      <c r="E25" s="3432" t="s">
        <v>3799</v>
      </c>
    </row>
    <row r="27" spans="1:11" ht="15">
      <c r="B27" s="3443" t="s">
        <v>3801</v>
      </c>
    </row>
    <row r="28" spans="1:11" ht="13.15">
      <c r="A28" s="3422" t="s">
        <v>3797</v>
      </c>
      <c r="B28" s="3412" t="s">
        <v>3798</v>
      </c>
      <c r="C28" s="3433">
        <f>(D16*1000*9.81*(D9*1000)^3/(48*2.1*(10^5)*(D9*1000/900)))/10000</f>
        <v>17984.197712321864</v>
      </c>
      <c r="D28" s="3429" t="s">
        <v>2132</v>
      </c>
      <c r="E28" s="3411" t="s">
        <v>1609</v>
      </c>
    </row>
    <row r="29" spans="1:11" ht="13.15">
      <c r="A29" s="3422"/>
      <c r="B29" s="3412" t="s">
        <v>3800</v>
      </c>
      <c r="C29" s="3433">
        <f>(((D16*1000*9.81*(D9*1000)^3/(6*2.1*(10^5)*(D9*1000/900)))*((((3*D19/(4*D9))-(D19/D9)^3)))))/10000</f>
        <v>31154.430269399094</v>
      </c>
      <c r="D29" s="3429" t="s">
        <v>2132</v>
      </c>
      <c r="E29" s="3411" t="s">
        <v>1609</v>
      </c>
    </row>
    <row r="30" spans="1:11" ht="13.15">
      <c r="A30" s="3422" t="s">
        <v>3794</v>
      </c>
      <c r="B30" s="3429"/>
      <c r="C30" s="3433">
        <f>(D16*2*1000*9.81*(D9*1000)^3/(6*2.1*10^5*(D9*1000/900)))*((3*D18/(4*D9))-POWER(D18/D9,3))/10000</f>
        <v>27740.605306366135</v>
      </c>
      <c r="D30" s="3429" t="s">
        <v>2132</v>
      </c>
      <c r="E30" s="3411" t="s">
        <v>1609</v>
      </c>
    </row>
    <row r="31" spans="1:11" ht="13.15">
      <c r="A31" s="3422" t="s">
        <v>3797</v>
      </c>
      <c r="B31" s="3412" t="s">
        <v>3798</v>
      </c>
      <c r="C31" s="3433">
        <f>(D16*1000*9.81*(D9*1000)^3/(48*2.1*10^5*(D9*1000/750)))/10000</f>
        <v>14986.831426934887</v>
      </c>
      <c r="D31" s="3429" t="s">
        <v>2132</v>
      </c>
      <c r="E31" s="3444" t="s">
        <v>1610</v>
      </c>
    </row>
    <row r="32" spans="1:11" ht="13.15">
      <c r="A32" s="3422"/>
      <c r="B32" s="3412" t="s">
        <v>3800</v>
      </c>
      <c r="C32" s="3433">
        <f>(((D16*1000*9.81*(D9*1000)^3/(6*2.1*(10^5)*(D9*1000/750)))*((((3*D19/(4*D9))-(D19/D9)^3)))))/10000</f>
        <v>25962.025224499248</v>
      </c>
      <c r="D32" s="3429" t="s">
        <v>2132</v>
      </c>
      <c r="E32" s="3444" t="s">
        <v>1610</v>
      </c>
    </row>
    <row r="33" spans="1:5" ht="13.15">
      <c r="A33" s="3422" t="s">
        <v>3794</v>
      </c>
      <c r="B33" s="3429"/>
      <c r="C33" s="3433">
        <f>(D16*2*1000*9.81*(D9*1000)^3/(6*2.1*10^5*(D9*1000/750)))*((3*D18/(4*D9))-POWER(D18/D9,3))/10000</f>
        <v>23117.171088638446</v>
      </c>
      <c r="D33" s="3429" t="s">
        <v>2132</v>
      </c>
      <c r="E33" s="3444" t="s">
        <v>1610</v>
      </c>
    </row>
    <row r="34" spans="1:5" ht="13.15">
      <c r="A34" s="3422" t="s">
        <v>3797</v>
      </c>
      <c r="B34" s="3412" t="s">
        <v>3798</v>
      </c>
      <c r="C34" s="3433">
        <f>(D16*1000*9.81*(D9*1000)^3/(48*2.1*10^5*(D9*1000/500)))/10000</f>
        <v>9991.2209512899226</v>
      </c>
      <c r="D34" s="3429" t="s">
        <v>2132</v>
      </c>
      <c r="E34" s="3411" t="s">
        <v>3802</v>
      </c>
    </row>
    <row r="35" spans="1:5" ht="13.15">
      <c r="A35" s="3422"/>
      <c r="B35" s="3412" t="s">
        <v>3800</v>
      </c>
      <c r="C35" s="3433">
        <f>(((D16*1000*9.81*(D9*1000)^3/(6*2.1*(10^5)*(D9*1000/500)))*((((3*D19/(4*D9))-(D19/D9)^3)))))/10000</f>
        <v>17308.016816332831</v>
      </c>
      <c r="D35" s="3429" t="s">
        <v>2132</v>
      </c>
      <c r="E35" s="3411" t="s">
        <v>3802</v>
      </c>
    </row>
    <row r="36" spans="1:5" ht="13.15">
      <c r="A36" s="3422" t="s">
        <v>3794</v>
      </c>
      <c r="B36" s="3429"/>
      <c r="C36" s="3433">
        <f>(D16*2*1000*9.81*(D9*1000)^3/(6*2.1*10^5*(D9*1000/500)))*((3*D18/(4*D9))-POWER(D18/D9,3))/10000</f>
        <v>15411.447392425629</v>
      </c>
      <c r="D36" s="3429" t="s">
        <v>2132</v>
      </c>
      <c r="E36" s="3411" t="s">
        <v>3802</v>
      </c>
    </row>
  </sheetData>
  <mergeCells count="5">
    <mergeCell ref="B6:C6"/>
    <mergeCell ref="B9:C9"/>
    <mergeCell ref="B10:C10"/>
    <mergeCell ref="B11:C11"/>
    <mergeCell ref="B18:C18"/>
  </mergeCells>
  <pageMargins left="0.75" right="0.75" top="1" bottom="1" header="0.5" footer="0.5"/>
  <pageSetup orientation="portrait"/>
  <headerFooter alignWithMargins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C2AFD-D216-4BAB-BB61-EC30087051ED}">
  <dimension ref="A2:J27"/>
  <sheetViews>
    <sheetView workbookViewId="0">
      <selection activeCell="H50" sqref="H50"/>
    </sheetView>
  </sheetViews>
  <sheetFormatPr defaultColWidth="9" defaultRowHeight="12.75"/>
  <cols>
    <col min="1" max="3" width="9" style="2834"/>
    <col min="4" max="4" width="10.6640625" style="2834" customWidth="1"/>
    <col min="5" max="6" width="9" style="2834"/>
    <col min="7" max="8" width="7.86328125" style="2834" customWidth="1"/>
    <col min="9" max="9" width="6.86328125" style="2834" customWidth="1"/>
    <col min="10" max="10" width="10.1328125" style="2834" customWidth="1"/>
    <col min="11" max="16384" width="9" style="2834"/>
  </cols>
  <sheetData>
    <row r="2" spans="1:10" ht="13.15">
      <c r="C2" s="2848" t="s">
        <v>3803</v>
      </c>
    </row>
    <row r="3" spans="1:10" ht="15">
      <c r="B3" s="2964" t="s">
        <v>3804</v>
      </c>
      <c r="C3" s="2964"/>
      <c r="D3" s="2964"/>
    </row>
    <row r="5" spans="1:10" ht="13.15" thickBot="1">
      <c r="A5" s="3445" t="s">
        <v>3805</v>
      </c>
      <c r="B5" s="3446"/>
      <c r="C5" s="3447">
        <v>2</v>
      </c>
      <c r="D5" s="3446" t="s">
        <v>1987</v>
      </c>
    </row>
    <row r="6" spans="1:10" ht="13.15">
      <c r="B6" s="2848" t="s">
        <v>3806</v>
      </c>
      <c r="D6" s="2834" t="s">
        <v>3807</v>
      </c>
      <c r="I6" s="2846" t="s">
        <v>3808</v>
      </c>
    </row>
    <row r="7" spans="1:10" ht="13.15">
      <c r="A7" s="2903"/>
      <c r="B7" s="3448" t="s">
        <v>3809</v>
      </c>
      <c r="C7" s="3448" t="s">
        <v>3810</v>
      </c>
      <c r="D7" s="3448" t="s">
        <v>3811</v>
      </c>
      <c r="E7" s="3448" t="s">
        <v>3812</v>
      </c>
      <c r="F7" s="3448" t="s">
        <v>3813</v>
      </c>
      <c r="G7" s="3448" t="s">
        <v>3814</v>
      </c>
      <c r="H7" s="3448" t="s">
        <v>3815</v>
      </c>
      <c r="I7" s="3448" t="s">
        <v>3816</v>
      </c>
      <c r="J7" s="2903" t="s">
        <v>3817</v>
      </c>
    </row>
    <row r="8" spans="1:10" ht="13.15">
      <c r="A8" s="3449" t="s">
        <v>3818</v>
      </c>
      <c r="B8" s="3450">
        <v>300</v>
      </c>
      <c r="C8" s="3450">
        <v>43.96</v>
      </c>
      <c r="D8" s="3450">
        <v>45.2</v>
      </c>
      <c r="E8" s="3450">
        <v>20297</v>
      </c>
      <c r="F8" s="3450"/>
      <c r="G8" s="3450">
        <v>34.5</v>
      </c>
      <c r="H8" s="3451">
        <f>D8/2</f>
        <v>22.6</v>
      </c>
      <c r="I8" s="3452">
        <f>D8/2+D10</f>
        <v>23.8</v>
      </c>
      <c r="J8" s="2981">
        <v>1.24</v>
      </c>
    </row>
    <row r="9" spans="1:10" ht="13.15">
      <c r="A9" s="3449" t="s">
        <v>3819</v>
      </c>
      <c r="B9" s="3450">
        <v>200</v>
      </c>
      <c r="C9" s="3450">
        <v>28.21</v>
      </c>
      <c r="D9" s="3450">
        <v>0.61</v>
      </c>
      <c r="E9" s="3450">
        <v>140.4</v>
      </c>
      <c r="F9" s="3450"/>
      <c r="G9" s="3450">
        <v>22.1</v>
      </c>
      <c r="H9" s="3450">
        <v>2.17</v>
      </c>
      <c r="I9" s="3452">
        <f>D8+D10+D9-H9</f>
        <v>44.84</v>
      </c>
      <c r="J9" s="2903">
        <f>D9</f>
        <v>0.61</v>
      </c>
    </row>
    <row r="10" spans="1:10" ht="13.15">
      <c r="A10" s="3449" t="s">
        <v>3820</v>
      </c>
      <c r="B10" s="3453">
        <v>130</v>
      </c>
      <c r="C10" s="3452">
        <f>B10*D10/10</f>
        <v>15.6</v>
      </c>
      <c r="D10" s="3453">
        <v>1.2</v>
      </c>
      <c r="E10" s="3454">
        <f>B10/10*D10^3/12</f>
        <v>1.8719999999999999</v>
      </c>
      <c r="F10" s="3455">
        <f>D10*(B10/10)^3/12</f>
        <v>219.70000000000002</v>
      </c>
      <c r="G10" s="3455">
        <f>C10*7850/10000</f>
        <v>12.246</v>
      </c>
      <c r="H10" s="3452">
        <f>D10/2</f>
        <v>0.6</v>
      </c>
      <c r="I10" s="3452">
        <f>H10</f>
        <v>0.6</v>
      </c>
      <c r="J10" s="3456">
        <f>D10</f>
        <v>1.2</v>
      </c>
    </row>
    <row r="11" spans="1:10" ht="13.15">
      <c r="A11" s="3449" t="s">
        <v>3821</v>
      </c>
      <c r="B11" s="3457" t="s">
        <v>3822</v>
      </c>
      <c r="C11" s="2843"/>
      <c r="D11" s="2843"/>
      <c r="E11" s="2843"/>
      <c r="F11" s="2843"/>
      <c r="G11" s="2843"/>
      <c r="H11" s="2843"/>
      <c r="I11" s="2843"/>
    </row>
    <row r="12" spans="1:10" ht="13.15">
      <c r="A12" s="3449" t="s">
        <v>3823</v>
      </c>
      <c r="B12" s="3458">
        <f>(C8*I8+C9*I9+C10*I10)/(C8+C9+C10)</f>
        <v>26.438924461661163</v>
      </c>
      <c r="C12" s="2843" t="s">
        <v>3824</v>
      </c>
      <c r="D12" s="2843"/>
      <c r="E12" s="2843"/>
      <c r="F12" s="2843"/>
      <c r="G12" s="2843"/>
      <c r="H12" s="2843"/>
      <c r="I12" s="2843"/>
    </row>
    <row r="13" spans="1:10" ht="13.15">
      <c r="A13" s="3449" t="s">
        <v>3825</v>
      </c>
      <c r="B13" s="3459">
        <f>(D8+D9+D10)-B12</f>
        <v>20.571075538338842</v>
      </c>
      <c r="C13" s="2843" t="s">
        <v>3826</v>
      </c>
      <c r="D13" s="3460"/>
      <c r="E13" s="2843"/>
      <c r="F13" s="2843"/>
      <c r="G13" s="2843"/>
      <c r="H13" s="2843"/>
      <c r="I13" s="2843"/>
      <c r="J13" s="2852"/>
    </row>
    <row r="14" spans="1:10" ht="13.15">
      <c r="A14" s="3449" t="s">
        <v>3827</v>
      </c>
      <c r="B14" s="3459">
        <f>B10/20</f>
        <v>6.5</v>
      </c>
      <c r="C14" s="2843"/>
      <c r="D14" s="2843"/>
      <c r="E14" s="2843"/>
      <c r="F14" s="2843"/>
      <c r="G14" s="2843"/>
      <c r="H14" s="2843"/>
      <c r="I14" s="2843"/>
      <c r="J14" s="2852"/>
    </row>
    <row r="15" spans="1:10" ht="13.15">
      <c r="A15" s="3449" t="s">
        <v>3828</v>
      </c>
      <c r="B15" s="3461">
        <f>E8+E9+E10+(C9*(B12-I9)^2)+(C10*(B12-I10)^2)+C8*(B12-I8)^2</f>
        <v>40712.640474469183</v>
      </c>
      <c r="C15" s="2843"/>
      <c r="D15" s="2843"/>
      <c r="E15" s="2843"/>
      <c r="F15" s="2843"/>
      <c r="G15" s="2843"/>
      <c r="H15" s="2843"/>
      <c r="I15" s="2843"/>
      <c r="J15" s="2852"/>
    </row>
    <row r="16" spans="1:10" ht="13.15">
      <c r="A16" s="3449" t="s">
        <v>3829</v>
      </c>
      <c r="B16" s="3462">
        <f>E9+F8+F10</f>
        <v>360.1</v>
      </c>
      <c r="J16" s="2852"/>
    </row>
    <row r="17" spans="1:10" ht="13.15">
      <c r="A17" s="3449" t="s">
        <v>3741</v>
      </c>
      <c r="B17" s="3463">
        <f>B15/B12</f>
        <v>1539.8750631292207</v>
      </c>
      <c r="J17" s="2852"/>
    </row>
    <row r="18" spans="1:10" ht="13.15">
      <c r="A18" s="3449" t="s">
        <v>3830</v>
      </c>
      <c r="B18" s="3464">
        <f>B15/B13</f>
        <v>1979.120654075281</v>
      </c>
      <c r="J18" s="2852"/>
    </row>
    <row r="19" spans="1:10" ht="13.15">
      <c r="A19" s="3449" t="s">
        <v>2006</v>
      </c>
      <c r="B19" s="3459">
        <f>B16/(B14)</f>
        <v>55.400000000000006</v>
      </c>
      <c r="J19" s="2852"/>
    </row>
    <row r="20" spans="1:10" ht="13.15">
      <c r="A20" s="3449" t="s">
        <v>3831</v>
      </c>
      <c r="B20" s="3456">
        <f>D8+D9+D10</f>
        <v>47.010000000000005</v>
      </c>
      <c r="J20" s="2852"/>
    </row>
    <row r="21" spans="1:10" ht="13.15">
      <c r="A21" s="3449" t="s">
        <v>3832</v>
      </c>
      <c r="B21" s="3456">
        <f>D9+J9</f>
        <v>1.22</v>
      </c>
      <c r="J21" s="2852"/>
    </row>
    <row r="22" spans="1:10" ht="13.15">
      <c r="A22" s="3449" t="s">
        <v>3833</v>
      </c>
      <c r="B22" s="3459">
        <f>B20/B21</f>
        <v>38.532786885245905</v>
      </c>
    </row>
    <row r="23" spans="1:10" ht="13.15">
      <c r="A23" s="3449" t="s">
        <v>3834</v>
      </c>
      <c r="B23" s="3456">
        <f>C8+C9+C10</f>
        <v>87.77</v>
      </c>
    </row>
    <row r="24" spans="1:10" ht="13.15">
      <c r="A24" s="3449" t="s">
        <v>275</v>
      </c>
      <c r="B24" s="3459">
        <f>G8+G9+G10</f>
        <v>68.846000000000004</v>
      </c>
    </row>
    <row r="25" spans="1:10" ht="13.15">
      <c r="A25" s="3449" t="s">
        <v>3835</v>
      </c>
      <c r="B25" s="3459">
        <f>SQRT(B16/B23)</f>
        <v>2.0255292147360762</v>
      </c>
    </row>
    <row r="26" spans="1:10">
      <c r="A26" s="2903"/>
      <c r="B26" s="3456"/>
    </row>
    <row r="27" spans="1:10">
      <c r="A27" s="2903"/>
      <c r="B27" s="2903"/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1D762-C824-4FFA-8380-87C17D1C4C8C}">
  <dimension ref="A2:J27"/>
  <sheetViews>
    <sheetView topLeftCell="A7" workbookViewId="0">
      <selection activeCell="H50" sqref="H50"/>
    </sheetView>
  </sheetViews>
  <sheetFormatPr defaultColWidth="9" defaultRowHeight="12.75"/>
  <cols>
    <col min="1" max="3" width="9" style="2834"/>
    <col min="4" max="4" width="10.6640625" style="2834" customWidth="1"/>
    <col min="5" max="6" width="9" style="2834"/>
    <col min="7" max="8" width="7.86328125" style="2834" customWidth="1"/>
    <col min="9" max="9" width="6.86328125" style="2834" customWidth="1"/>
    <col min="10" max="10" width="10.1328125" style="2834" customWidth="1"/>
    <col min="11" max="16384" width="9" style="2834"/>
  </cols>
  <sheetData>
    <row r="2" spans="1:10" ht="13.15">
      <c r="C2" s="2848" t="s">
        <v>3803</v>
      </c>
    </row>
    <row r="3" spans="1:10" ht="15">
      <c r="B3" s="2964" t="s">
        <v>3804</v>
      </c>
      <c r="C3" s="2964"/>
      <c r="D3" s="2964"/>
    </row>
    <row r="5" spans="1:10" ht="13.15" thickBot="1">
      <c r="A5" s="3445" t="s">
        <v>3805</v>
      </c>
      <c r="B5" s="3446"/>
      <c r="C5" s="3447">
        <v>2</v>
      </c>
      <c r="D5" s="3446" t="s">
        <v>1987</v>
      </c>
    </row>
    <row r="6" spans="1:10" ht="13.15">
      <c r="B6" s="2848" t="s">
        <v>3806</v>
      </c>
      <c r="D6" s="2834" t="s">
        <v>3807</v>
      </c>
      <c r="I6" s="2846" t="s">
        <v>3808</v>
      </c>
    </row>
    <row r="7" spans="1:10" ht="13.15">
      <c r="A7" s="2903"/>
      <c r="B7" s="3448" t="s">
        <v>3809</v>
      </c>
      <c r="C7" s="3448" t="s">
        <v>3810</v>
      </c>
      <c r="D7" s="3448" t="s">
        <v>3811</v>
      </c>
      <c r="E7" s="3448" t="s">
        <v>3812</v>
      </c>
      <c r="F7" s="3448" t="s">
        <v>3813</v>
      </c>
      <c r="G7" s="3448" t="s">
        <v>3814</v>
      </c>
      <c r="H7" s="3448" t="s">
        <v>3815</v>
      </c>
      <c r="I7" s="3448" t="s">
        <v>3816</v>
      </c>
      <c r="J7" s="2903" t="s">
        <v>3817</v>
      </c>
    </row>
    <row r="8" spans="1:10" ht="13.15">
      <c r="A8" s="3449" t="s">
        <v>3818</v>
      </c>
      <c r="B8" s="3450">
        <v>600</v>
      </c>
      <c r="C8" s="3450">
        <v>156.21</v>
      </c>
      <c r="D8" s="3450">
        <v>90.5</v>
      </c>
      <c r="E8" s="3450">
        <v>216098</v>
      </c>
      <c r="F8" s="3450">
        <v>2651</v>
      </c>
      <c r="G8" s="3450">
        <v>122.6</v>
      </c>
      <c r="H8" s="3451">
        <f>D8/2</f>
        <v>45.25</v>
      </c>
      <c r="I8" s="3452">
        <f>D8/2+D10</f>
        <v>48.45</v>
      </c>
      <c r="J8" s="2981">
        <v>2.08</v>
      </c>
    </row>
    <row r="9" spans="1:10" ht="13.15">
      <c r="A9" s="3449" t="s">
        <v>3819</v>
      </c>
      <c r="B9" s="3450">
        <v>400</v>
      </c>
      <c r="C9" s="3450">
        <v>62.93</v>
      </c>
      <c r="D9" s="3450">
        <v>1.53</v>
      </c>
      <c r="E9" s="3450">
        <v>504.8</v>
      </c>
      <c r="F9" s="3450">
        <v>15082.8</v>
      </c>
      <c r="G9" s="3450">
        <v>49.4</v>
      </c>
      <c r="H9" s="3450">
        <v>2.42</v>
      </c>
      <c r="I9" s="3452">
        <f>D8+D10+D9-H9</f>
        <v>92.81</v>
      </c>
      <c r="J9" s="2903">
        <f>D9</f>
        <v>1.53</v>
      </c>
    </row>
    <row r="10" spans="1:10" ht="13.15">
      <c r="A10" s="3449" t="s">
        <v>3820</v>
      </c>
      <c r="B10" s="3453">
        <v>250</v>
      </c>
      <c r="C10" s="3452">
        <f>B10*D10/10</f>
        <v>80</v>
      </c>
      <c r="D10" s="3453">
        <v>3.2</v>
      </c>
      <c r="E10" s="3454">
        <f>B10/10*D10^3/12</f>
        <v>68.26666666666668</v>
      </c>
      <c r="F10" s="3455">
        <f>D10*(B10/10)^3/12</f>
        <v>4166.666666666667</v>
      </c>
      <c r="G10" s="3455">
        <f>C10*7850/10000</f>
        <v>62.8</v>
      </c>
      <c r="H10" s="3452">
        <f>D10/2</f>
        <v>1.6</v>
      </c>
      <c r="I10" s="3452">
        <f>H10</f>
        <v>1.6</v>
      </c>
      <c r="J10" s="3456">
        <f>D10</f>
        <v>3.2</v>
      </c>
    </row>
    <row r="11" spans="1:10" ht="13.15">
      <c r="A11" s="3449" t="s">
        <v>3821</v>
      </c>
      <c r="B11" s="3457" t="s">
        <v>3836</v>
      </c>
      <c r="C11" s="2843"/>
      <c r="D11" s="2843"/>
      <c r="E11" s="2843"/>
      <c r="F11" s="2843"/>
      <c r="G11" s="2875">
        <f>G10+G9+G8</f>
        <v>234.79999999999998</v>
      </c>
      <c r="H11" s="2843"/>
      <c r="I11" s="2843"/>
    </row>
    <row r="12" spans="1:10" ht="13.15">
      <c r="A12" s="3449" t="s">
        <v>3823</v>
      </c>
      <c r="B12" s="3459">
        <f>(C8*I8+C9*I9+C10*I10)/(C8+C9+C10)</f>
        <v>45.252750551581201</v>
      </c>
      <c r="C12" s="2843" t="s">
        <v>3824</v>
      </c>
      <c r="D12" s="2843"/>
      <c r="E12" s="2843"/>
      <c r="F12" s="2843"/>
      <c r="G12" s="2843"/>
      <c r="H12" s="2843"/>
      <c r="I12" s="2843"/>
    </row>
    <row r="13" spans="1:10" ht="13.15">
      <c r="A13" s="3449" t="s">
        <v>3825</v>
      </c>
      <c r="B13" s="3459">
        <f>(D8+D9+D10)-B12</f>
        <v>49.977249448418803</v>
      </c>
      <c r="C13" s="2843" t="s">
        <v>3826</v>
      </c>
      <c r="D13" s="2843"/>
      <c r="E13" s="2843"/>
      <c r="F13" s="2843"/>
      <c r="G13" s="2843"/>
      <c r="H13" s="2843"/>
      <c r="I13" s="2843"/>
      <c r="J13" s="2852"/>
    </row>
    <row r="14" spans="1:10" ht="13.15">
      <c r="A14" s="3449" t="s">
        <v>3827</v>
      </c>
      <c r="B14" s="3459">
        <f>B10/20</f>
        <v>12.5</v>
      </c>
      <c r="C14" s="2843"/>
      <c r="D14" s="2843"/>
      <c r="E14" s="2843"/>
      <c r="F14" s="2843"/>
      <c r="G14" s="2843"/>
      <c r="H14" s="2843"/>
      <c r="I14" s="2843"/>
      <c r="J14" s="2852"/>
    </row>
    <row r="15" spans="1:10" ht="13.15">
      <c r="A15" s="3449" t="s">
        <v>3828</v>
      </c>
      <c r="B15" s="3461">
        <f>E8+E9+E10+(C9*(B12-I9)^2)+(C10*(B12-I10)^2)+C8*(B12-I8)^2</f>
        <v>513041.19485151279</v>
      </c>
      <c r="C15" s="2843"/>
      <c r="D15" s="2843"/>
      <c r="E15" s="2843"/>
      <c r="F15" s="2843"/>
      <c r="G15" s="2843"/>
      <c r="H15" s="2843"/>
      <c r="I15" s="2843"/>
      <c r="J15" s="2852"/>
    </row>
    <row r="16" spans="1:10" ht="13.15">
      <c r="A16" s="3449" t="s">
        <v>3829</v>
      </c>
      <c r="B16" s="3462">
        <f>E9+F8+F10</f>
        <v>7322.4666666666672</v>
      </c>
      <c r="J16" s="2852"/>
    </row>
    <row r="17" spans="1:10" ht="13.15">
      <c r="A17" s="3449" t="s">
        <v>3741</v>
      </c>
      <c r="B17" s="3463">
        <f>B15/B12</f>
        <v>11337.237816444427</v>
      </c>
      <c r="J17" s="2852"/>
    </row>
    <row r="18" spans="1:10" ht="13.15">
      <c r="A18" s="3449" t="s">
        <v>3830</v>
      </c>
      <c r="B18" s="3464">
        <f>B15/B13</f>
        <v>10265.494810414073</v>
      </c>
      <c r="J18" s="2852"/>
    </row>
    <row r="19" spans="1:10" ht="13.15">
      <c r="A19" s="3449" t="s">
        <v>2006</v>
      </c>
      <c r="B19" s="3459">
        <f>B16/(B14)</f>
        <v>585.79733333333343</v>
      </c>
      <c r="J19" s="2852"/>
    </row>
    <row r="20" spans="1:10" ht="13.15">
      <c r="A20" s="3449" t="s">
        <v>3831</v>
      </c>
      <c r="B20" s="3456">
        <f>D8+D9+D10</f>
        <v>95.23</v>
      </c>
      <c r="J20" s="2852"/>
    </row>
    <row r="21" spans="1:10" ht="13.15">
      <c r="A21" s="3449" t="s">
        <v>3832</v>
      </c>
      <c r="B21" s="3456">
        <f>D9+J9</f>
        <v>3.06</v>
      </c>
      <c r="J21" s="2852"/>
    </row>
    <row r="22" spans="1:10" ht="13.15">
      <c r="A22" s="3449" t="s">
        <v>3833</v>
      </c>
      <c r="B22" s="3459">
        <f>B20/B21</f>
        <v>31.12091503267974</v>
      </c>
    </row>
    <row r="23" spans="1:10" ht="13.15">
      <c r="A23" s="3449" t="s">
        <v>3834</v>
      </c>
      <c r="B23" s="3456">
        <f>C8+C9+C10</f>
        <v>299.14</v>
      </c>
    </row>
    <row r="24" spans="1:10" ht="13.15">
      <c r="A24" s="3449" t="s">
        <v>275</v>
      </c>
      <c r="B24" s="3456">
        <f>G8+G9+G10</f>
        <v>234.8</v>
      </c>
    </row>
    <row r="25" spans="1:10" ht="13.15">
      <c r="A25" s="3449" t="s">
        <v>3835</v>
      </c>
      <c r="B25" s="3459">
        <f>SQRT(B16/B23)</f>
        <v>4.9475644126436968</v>
      </c>
    </row>
    <row r="26" spans="1:10">
      <c r="A26" s="2903"/>
      <c r="B26" s="3456"/>
    </row>
    <row r="27" spans="1:10">
      <c r="A27" s="2903"/>
      <c r="B27" s="2903"/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DF188-5B6A-4B85-A9BA-9BAAB69A3437}">
  <dimension ref="B1:I20"/>
  <sheetViews>
    <sheetView workbookViewId="0">
      <selection activeCell="H50" sqref="H50"/>
    </sheetView>
  </sheetViews>
  <sheetFormatPr defaultColWidth="9" defaultRowHeight="12.75"/>
  <cols>
    <col min="1" max="1" width="6.53125" style="2834" customWidth="1"/>
    <col min="2" max="2" width="11.6640625" style="2834" customWidth="1"/>
    <col min="3" max="3" width="10.1328125" style="2834" customWidth="1"/>
    <col min="4" max="5" width="9" style="2834"/>
    <col min="6" max="6" width="13.33203125" style="2834" customWidth="1"/>
    <col min="7" max="7" width="9.53125" style="2834" customWidth="1"/>
    <col min="8" max="8" width="9" style="2834"/>
    <col min="9" max="9" width="7.6640625" style="2834" customWidth="1"/>
    <col min="10" max="16384" width="9" style="2834"/>
  </cols>
  <sheetData>
    <row r="1" spans="2:9" ht="13.15" thickBot="1"/>
    <row r="2" spans="2:9">
      <c r="B2" s="3465"/>
      <c r="C2" s="3466"/>
      <c r="D2" s="3466"/>
      <c r="E2" s="3466"/>
      <c r="F2" s="3466"/>
      <c r="G2" s="3466"/>
      <c r="H2" s="3467"/>
    </row>
    <row r="3" spans="2:9" ht="13.15">
      <c r="B3" s="3468" t="s">
        <v>3837</v>
      </c>
      <c r="H3" s="3469"/>
    </row>
    <row r="4" spans="2:9">
      <c r="B4" s="3470" t="s">
        <v>1101</v>
      </c>
      <c r="C4" s="2852">
        <v>80</v>
      </c>
      <c r="D4" s="2834" t="s">
        <v>985</v>
      </c>
      <c r="F4" s="2834" t="s">
        <v>1101</v>
      </c>
      <c r="G4" s="3471">
        <f t="shared" ref="G4" si="0">C4</f>
        <v>80</v>
      </c>
      <c r="H4" s="3469" t="s">
        <v>985</v>
      </c>
    </row>
    <row r="5" spans="2:9">
      <c r="B5" s="3470" t="s">
        <v>3838</v>
      </c>
      <c r="C5" s="2852">
        <f>C4*0.05</f>
        <v>4</v>
      </c>
      <c r="D5" s="2834" t="s">
        <v>985</v>
      </c>
      <c r="F5" s="2834" t="s">
        <v>3838</v>
      </c>
      <c r="G5" s="3471">
        <f>C5</f>
        <v>4</v>
      </c>
      <c r="H5" s="3469" t="s">
        <v>985</v>
      </c>
    </row>
    <row r="6" spans="2:9">
      <c r="B6" s="3470" t="s">
        <v>3839</v>
      </c>
      <c r="C6" s="2852">
        <v>4</v>
      </c>
      <c r="D6" s="2834" t="s">
        <v>985</v>
      </c>
      <c r="F6" s="2834" t="s">
        <v>3839</v>
      </c>
      <c r="G6" s="3471">
        <f>C6</f>
        <v>4</v>
      </c>
      <c r="H6" s="3469" t="s">
        <v>985</v>
      </c>
    </row>
    <row r="7" spans="2:9">
      <c r="B7" s="3470" t="s">
        <v>3840</v>
      </c>
      <c r="C7" s="3471">
        <v>400</v>
      </c>
      <c r="D7" s="2834" t="s">
        <v>3841</v>
      </c>
      <c r="F7" s="2834" t="s">
        <v>3840</v>
      </c>
      <c r="G7" s="3471">
        <v>650</v>
      </c>
      <c r="H7" s="3469" t="s">
        <v>3841</v>
      </c>
    </row>
    <row r="8" spans="2:9">
      <c r="B8" s="3470" t="s">
        <v>3842</v>
      </c>
      <c r="C8" s="3471">
        <f>(C4+C5)/C6</f>
        <v>21</v>
      </c>
      <c r="D8" s="2834" t="s">
        <v>985</v>
      </c>
      <c r="F8" s="2834" t="s">
        <v>3842</v>
      </c>
      <c r="G8" s="3471">
        <f>C8</f>
        <v>21</v>
      </c>
      <c r="H8" s="3469" t="s">
        <v>985</v>
      </c>
    </row>
    <row r="9" spans="2:9">
      <c r="B9" s="3470"/>
      <c r="C9" s="3471"/>
      <c r="F9" s="2834" t="s">
        <v>3843</v>
      </c>
      <c r="G9" s="2911">
        <v>33</v>
      </c>
      <c r="H9" s="3469" t="s">
        <v>571</v>
      </c>
    </row>
    <row r="10" spans="2:9" ht="13.15" thickBot="1">
      <c r="B10" s="3470"/>
      <c r="H10" s="3469"/>
      <c r="I10" s="2892"/>
    </row>
    <row r="11" spans="2:9" ht="13.15" thickBot="1">
      <c r="B11" s="3445" t="s">
        <v>3844</v>
      </c>
      <c r="C11" s="3472"/>
      <c r="D11" s="3446"/>
      <c r="F11" s="3445" t="s">
        <v>3845</v>
      </c>
      <c r="G11" s="3472"/>
      <c r="H11" s="3446"/>
      <c r="I11" s="2892"/>
    </row>
    <row r="12" spans="2:9">
      <c r="B12" s="3465" t="s">
        <v>305</v>
      </c>
      <c r="C12" s="3473">
        <f>((C8*1000/C7)*(4/3.14))^(1/2)</f>
        <v>8.17795701209781</v>
      </c>
      <c r="D12" s="3467" t="s">
        <v>1524</v>
      </c>
      <c r="F12" s="3465" t="s">
        <v>305</v>
      </c>
      <c r="G12" s="3473">
        <f>((G8*1000*G9/G7)*(32/3.14))^(1/3)</f>
        <v>22.148623262937434</v>
      </c>
      <c r="H12" s="3467" t="s">
        <v>1524</v>
      </c>
    </row>
    <row r="13" spans="2:9" ht="13.15" thickBot="1">
      <c r="B13" s="3474"/>
      <c r="C13" s="3475">
        <f>C12*10</f>
        <v>81.779570120978093</v>
      </c>
      <c r="D13" s="3476" t="s">
        <v>466</v>
      </c>
      <c r="E13" s="3477"/>
      <c r="F13" s="3474"/>
      <c r="G13" s="3475">
        <f>G12*10</f>
        <v>221.48623262937434</v>
      </c>
      <c r="H13" s="3476" t="s">
        <v>466</v>
      </c>
    </row>
    <row r="15" spans="2:9">
      <c r="B15" s="3465"/>
      <c r="C15" s="3466"/>
      <c r="D15" s="3466"/>
      <c r="E15" s="3466"/>
      <c r="F15" s="3466"/>
      <c r="G15" s="3466"/>
      <c r="H15" s="3467"/>
    </row>
    <row r="16" spans="2:9" ht="13.15">
      <c r="B16" s="3478" t="s">
        <v>3846</v>
      </c>
      <c r="F16" s="2834" t="s">
        <v>3843</v>
      </c>
      <c r="G16" s="2911">
        <v>10</v>
      </c>
      <c r="H16" s="3469" t="s">
        <v>571</v>
      </c>
    </row>
    <row r="17" spans="2:8" ht="13.5" thickBot="1">
      <c r="B17" s="3478"/>
      <c r="G17" s="2911"/>
      <c r="H17" s="3469"/>
    </row>
    <row r="18" spans="2:8" ht="13.15" thickBot="1">
      <c r="B18" s="3445" t="s">
        <v>3844</v>
      </c>
      <c r="C18" s="3472"/>
      <c r="D18" s="3446"/>
      <c r="F18" s="3445" t="s">
        <v>3845</v>
      </c>
      <c r="G18" s="3479"/>
      <c r="H18" s="3446"/>
    </row>
    <row r="19" spans="2:8">
      <c r="B19" s="3465" t="s">
        <v>305</v>
      </c>
      <c r="C19" s="3473">
        <f>((C8*1000/C7)*(4/3.14))^(1/2)</f>
        <v>8.17795701209781</v>
      </c>
      <c r="D19" s="3467" t="s">
        <v>1524</v>
      </c>
      <c r="F19" s="3465" t="s">
        <v>305</v>
      </c>
      <c r="G19" s="3480">
        <f>((G8*1000*G16/G7)*(32/3.14))^(1/3)</f>
        <v>14.876773678734617</v>
      </c>
      <c r="H19" s="3467" t="s">
        <v>1524</v>
      </c>
    </row>
    <row r="20" spans="2:8" ht="13.15" thickBot="1">
      <c r="B20" s="3474"/>
      <c r="C20" s="3475">
        <f>C19*10</f>
        <v>81.779570120978093</v>
      </c>
      <c r="D20" s="3476" t="s">
        <v>466</v>
      </c>
      <c r="E20" s="3477"/>
      <c r="F20" s="3474"/>
      <c r="G20" s="3475">
        <f>G19*10</f>
        <v>148.76773678734617</v>
      </c>
      <c r="H20" s="3476" t="s">
        <v>466</v>
      </c>
    </row>
  </sheetData>
  <pageMargins left="0.75" right="0.75" top="1" bottom="1" header="0.5" footer="0.5"/>
  <pageSetup paperSize="9"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F8FA9-C4B0-491C-A4C4-367EFAA4F9F1}">
  <dimension ref="A4:M67"/>
  <sheetViews>
    <sheetView topLeftCell="A58" workbookViewId="0">
      <selection activeCell="H50" sqref="H50"/>
    </sheetView>
  </sheetViews>
  <sheetFormatPr defaultColWidth="9" defaultRowHeight="12.75"/>
  <cols>
    <col min="1" max="1" width="5.33203125" style="2834" customWidth="1"/>
    <col min="2" max="2" width="9" style="2834"/>
    <col min="3" max="3" width="12.53125" style="2834" customWidth="1"/>
    <col min="4" max="4" width="8.53125" style="2834" customWidth="1"/>
    <col min="5" max="5" width="2.6640625" style="2834" customWidth="1"/>
    <col min="6" max="6" width="8.6640625" style="2834" customWidth="1"/>
    <col min="7" max="7" width="1.1328125" style="2834" customWidth="1"/>
    <col min="8" max="8" width="6.86328125" style="2834" customWidth="1"/>
    <col min="9" max="9" width="5.46484375" style="2834" customWidth="1"/>
    <col min="10" max="10" width="8.86328125" style="2834" customWidth="1"/>
    <col min="11" max="11" width="4.1328125" style="2834" customWidth="1"/>
    <col min="12" max="12" width="7.86328125" style="2834" customWidth="1"/>
    <col min="13" max="13" width="5.86328125" style="2834" customWidth="1"/>
    <col min="14" max="16384" width="9" style="2834"/>
  </cols>
  <sheetData>
    <row r="4" spans="2:13" ht="13.15">
      <c r="B4" s="2848" t="s">
        <v>3847</v>
      </c>
    </row>
    <row r="5" spans="2:13">
      <c r="E5" s="2834" t="s">
        <v>3653</v>
      </c>
    </row>
    <row r="6" spans="2:13">
      <c r="D6" s="4655" t="s">
        <v>3848</v>
      </c>
      <c r="E6" s="4524"/>
      <c r="F6" s="4656"/>
    </row>
    <row r="7" spans="2:13" ht="7.5" customHeight="1" thickBot="1">
      <c r="C7" s="2906"/>
    </row>
    <row r="8" spans="2:13" ht="13.15" thickBot="1">
      <c r="D8" s="3445"/>
      <c r="E8" s="3472"/>
      <c r="F8" s="3446"/>
      <c r="H8" s="2969">
        <v>42.7</v>
      </c>
      <c r="J8" s="2834" t="s">
        <v>1968</v>
      </c>
      <c r="K8" s="2852" t="s">
        <v>160</v>
      </c>
      <c r="L8" s="2834">
        <v>575.79999999999995</v>
      </c>
      <c r="M8" s="2834" t="s">
        <v>3849</v>
      </c>
    </row>
    <row r="9" spans="2:13">
      <c r="E9" s="3481"/>
      <c r="J9" s="2834" t="s">
        <v>1969</v>
      </c>
      <c r="K9" s="2852" t="s">
        <v>160</v>
      </c>
      <c r="L9" s="2834">
        <v>46.65</v>
      </c>
      <c r="M9" s="2834" t="s">
        <v>571</v>
      </c>
    </row>
    <row r="10" spans="2:13">
      <c r="E10" s="3482"/>
      <c r="J10" s="2834" t="s">
        <v>1970</v>
      </c>
      <c r="K10" s="2852" t="s">
        <v>160</v>
      </c>
      <c r="L10" s="2834">
        <v>860185</v>
      </c>
      <c r="M10" s="2834" t="s">
        <v>3153</v>
      </c>
    </row>
    <row r="11" spans="2:13">
      <c r="E11" s="3482"/>
      <c r="J11" s="2834" t="s">
        <v>1971</v>
      </c>
      <c r="K11" s="2852" t="s">
        <v>160</v>
      </c>
      <c r="L11" s="2834">
        <v>59302</v>
      </c>
      <c r="M11" s="2834" t="s">
        <v>3153</v>
      </c>
    </row>
    <row r="12" spans="2:13">
      <c r="C12" s="2852">
        <v>933</v>
      </c>
      <c r="E12" s="3482">
        <v>24</v>
      </c>
      <c r="H12" s="2852">
        <f>C12-H8-H17</f>
        <v>847.59999999999991</v>
      </c>
      <c r="J12" s="2834" t="s">
        <v>1972</v>
      </c>
      <c r="K12" s="2852" t="s">
        <v>160</v>
      </c>
      <c r="L12" s="2834">
        <v>18439</v>
      </c>
      <c r="M12" s="2834" t="s">
        <v>3850</v>
      </c>
    </row>
    <row r="13" spans="2:13">
      <c r="B13" s="2850" t="s">
        <v>1963</v>
      </c>
      <c r="E13" s="3482"/>
      <c r="I13" s="2852" t="s">
        <v>1963</v>
      </c>
      <c r="J13" s="2834" t="s">
        <v>1973</v>
      </c>
      <c r="K13" s="2852" t="s">
        <v>160</v>
      </c>
      <c r="L13" s="2834">
        <v>18439</v>
      </c>
      <c r="M13" s="2834" t="s">
        <v>3850</v>
      </c>
    </row>
    <row r="14" spans="2:13">
      <c r="E14" s="3482"/>
      <c r="F14" s="3009" t="s">
        <v>3851</v>
      </c>
      <c r="J14" s="2834" t="s">
        <v>1974</v>
      </c>
      <c r="K14" s="2852" t="s">
        <v>160</v>
      </c>
      <c r="L14" s="2834">
        <v>2720</v>
      </c>
      <c r="M14" s="2834" t="s">
        <v>3850</v>
      </c>
    </row>
    <row r="15" spans="2:13" ht="15">
      <c r="E15" s="3482"/>
      <c r="F15" s="3483" t="s">
        <v>3852</v>
      </c>
      <c r="J15" s="2834" t="s">
        <v>2971</v>
      </c>
      <c r="K15" s="2852" t="s">
        <v>160</v>
      </c>
      <c r="L15" s="2834">
        <v>10.1</v>
      </c>
      <c r="M15" s="2834" t="s">
        <v>571</v>
      </c>
    </row>
    <row r="16" spans="2:13" ht="13.15" thickBot="1">
      <c r="E16" s="3484"/>
      <c r="F16" s="3485" t="s">
        <v>1832</v>
      </c>
      <c r="J16" s="2834" t="s">
        <v>287</v>
      </c>
      <c r="K16" s="2852" t="s">
        <v>160</v>
      </c>
      <c r="L16" s="2834">
        <v>452</v>
      </c>
      <c r="M16" s="2834" t="s">
        <v>442</v>
      </c>
    </row>
    <row r="17" spans="1:13" ht="13.15" thickBot="1">
      <c r="C17" s="3486"/>
      <c r="D17" s="3445"/>
      <c r="E17" s="3472"/>
      <c r="F17" s="3446"/>
      <c r="H17" s="2969">
        <v>42.7</v>
      </c>
      <c r="J17" s="2834" t="s">
        <v>1976</v>
      </c>
      <c r="K17" s="2852" t="s">
        <v>160</v>
      </c>
      <c r="L17" s="2834">
        <v>46.7</v>
      </c>
      <c r="M17" s="2834" t="s">
        <v>571</v>
      </c>
    </row>
    <row r="18" spans="1:13">
      <c r="G18" s="2834" t="s">
        <v>1873</v>
      </c>
      <c r="J18" s="2834" t="s">
        <v>1977</v>
      </c>
      <c r="K18" s="2852" t="s">
        <v>160</v>
      </c>
      <c r="L18" s="2834">
        <v>16.7</v>
      </c>
      <c r="M18" s="2834" t="s">
        <v>571</v>
      </c>
    </row>
    <row r="19" spans="1:13">
      <c r="E19" s="2834" t="s">
        <v>3653</v>
      </c>
      <c r="K19" s="2852"/>
    </row>
    <row r="20" spans="1:13">
      <c r="B20" s="2834" t="s">
        <v>3853</v>
      </c>
      <c r="D20" s="2834" t="s">
        <v>1865</v>
      </c>
      <c r="E20" s="2852" t="s">
        <v>160</v>
      </c>
      <c r="F20" s="2834">
        <v>8500</v>
      </c>
      <c r="H20" s="2834" t="s">
        <v>380</v>
      </c>
      <c r="K20" s="2852"/>
    </row>
    <row r="21" spans="1:13">
      <c r="B21" s="2834" t="s">
        <v>3854</v>
      </c>
      <c r="E21" s="2852" t="s">
        <v>160</v>
      </c>
      <c r="F21" s="2834">
        <v>4</v>
      </c>
      <c r="H21" s="2834" t="s">
        <v>3855</v>
      </c>
    </row>
    <row r="22" spans="1:13">
      <c r="B22" s="2834" t="s">
        <v>3856</v>
      </c>
      <c r="E22" s="2852" t="s">
        <v>160</v>
      </c>
      <c r="F22" s="2834">
        <v>557.5</v>
      </c>
      <c r="H22" s="2834" t="s">
        <v>571</v>
      </c>
    </row>
    <row r="25" spans="1:13" ht="13.15">
      <c r="B25" s="2834" t="s">
        <v>3857</v>
      </c>
      <c r="D25" s="3022" t="s">
        <v>3858</v>
      </c>
      <c r="E25" s="4657" t="s">
        <v>3254</v>
      </c>
      <c r="F25" s="3022" t="s">
        <v>3859</v>
      </c>
    </row>
    <row r="26" spans="1:13">
      <c r="D26" s="2852">
        <v>4</v>
      </c>
      <c r="E26" s="4658"/>
      <c r="F26" s="2852">
        <v>8</v>
      </c>
    </row>
    <row r="28" spans="1:13">
      <c r="C28" s="2850" t="s">
        <v>160</v>
      </c>
      <c r="D28" s="2834">
        <f>(F20*F21*F22/4)+(F22/100*L16*F22/8)</f>
        <v>4914355.53125</v>
      </c>
      <c r="F28" s="2834" t="s">
        <v>3860</v>
      </c>
    </row>
    <row r="31" spans="1:13" ht="18" customHeight="1">
      <c r="A31" s="2834" t="s">
        <v>3167</v>
      </c>
      <c r="B31" s="2834" t="s">
        <v>3861</v>
      </c>
      <c r="D31" s="3022" t="s">
        <v>3862</v>
      </c>
    </row>
    <row r="32" spans="1:13">
      <c r="D32" s="2852" t="s">
        <v>1980</v>
      </c>
    </row>
    <row r="33" spans="1:13">
      <c r="C33" s="2850" t="s">
        <v>160</v>
      </c>
      <c r="D33" s="2869">
        <f>ROUND(D28/L12,0)</f>
        <v>267</v>
      </c>
      <c r="F33" s="2834" t="s">
        <v>3863</v>
      </c>
    </row>
    <row r="34" spans="1:13" ht="13.15">
      <c r="C34" s="3487"/>
    </row>
    <row r="36" spans="1:13">
      <c r="A36" s="2834" t="s">
        <v>3864</v>
      </c>
      <c r="B36" s="2834" t="s">
        <v>3865</v>
      </c>
    </row>
    <row r="39" spans="1:13" ht="17.25" customHeight="1">
      <c r="C39" s="3488" t="s">
        <v>3866</v>
      </c>
      <c r="D39" s="3022" t="s">
        <v>3867</v>
      </c>
      <c r="J39" s="2834" t="s">
        <v>3851</v>
      </c>
      <c r="K39" s="2834" t="s">
        <v>160</v>
      </c>
      <c r="L39" s="2834">
        <v>20.6</v>
      </c>
      <c r="M39" s="2834" t="s">
        <v>571</v>
      </c>
    </row>
    <row r="40" spans="1:13">
      <c r="D40" s="2852" t="s">
        <v>3868</v>
      </c>
      <c r="J40" s="2834" t="s">
        <v>3869</v>
      </c>
      <c r="K40" s="2834" t="s">
        <v>160</v>
      </c>
      <c r="L40" s="2834">
        <v>12.95</v>
      </c>
      <c r="M40" s="2834" t="s">
        <v>571</v>
      </c>
    </row>
    <row r="41" spans="1:13">
      <c r="J41" s="2834" t="s">
        <v>2993</v>
      </c>
      <c r="K41" s="2834" t="s">
        <v>160</v>
      </c>
      <c r="L41" s="2834">
        <v>4.2699999999999996</v>
      </c>
      <c r="M41" s="2834" t="s">
        <v>571</v>
      </c>
    </row>
    <row r="42" spans="1:13">
      <c r="C42" s="2850" t="s">
        <v>160</v>
      </c>
      <c r="D42" s="2834">
        <f>ROUND(L42*F20/L41/L41,0)</f>
        <v>932</v>
      </c>
      <c r="F42" s="2834" t="s">
        <v>3103</v>
      </c>
      <c r="J42" s="2834" t="s">
        <v>3870</v>
      </c>
      <c r="K42" s="2834" t="s">
        <v>160</v>
      </c>
      <c r="L42" s="2834">
        <v>2</v>
      </c>
    </row>
    <row r="43" spans="1:13">
      <c r="J43" s="2834" t="s">
        <v>3871</v>
      </c>
      <c r="K43" s="2834" t="s">
        <v>160</v>
      </c>
      <c r="L43" s="2834">
        <v>0.6</v>
      </c>
    </row>
    <row r="44" spans="1:13">
      <c r="B44" s="2834" t="s">
        <v>3872</v>
      </c>
      <c r="J44" s="2834" t="s">
        <v>3873</v>
      </c>
      <c r="K44" s="2834" t="s">
        <v>160</v>
      </c>
      <c r="L44" s="2834">
        <v>0.4</v>
      </c>
    </row>
    <row r="45" spans="1:13" ht="20.25">
      <c r="C45" s="3488" t="s">
        <v>3874</v>
      </c>
      <c r="D45" s="3022" t="s">
        <v>3875</v>
      </c>
    </row>
    <row r="46" spans="1:13">
      <c r="D46" s="2852" t="s">
        <v>3868</v>
      </c>
    </row>
    <row r="48" spans="1:13">
      <c r="C48" s="2850" t="s">
        <v>160</v>
      </c>
      <c r="D48" s="2834">
        <f>ROUND(L43*F20/L41/L41,0)</f>
        <v>280</v>
      </c>
      <c r="F48" s="2834" t="s">
        <v>3103</v>
      </c>
    </row>
    <row r="50" spans="1:10">
      <c r="B50" s="2834" t="s">
        <v>3876</v>
      </c>
    </row>
    <row r="51" spans="1:10" ht="20.25">
      <c r="C51" s="3488" t="s">
        <v>3877</v>
      </c>
      <c r="D51" s="3022" t="s">
        <v>3878</v>
      </c>
    </row>
    <row r="52" spans="1:10">
      <c r="D52" s="2852" t="s">
        <v>3868</v>
      </c>
    </row>
    <row r="54" spans="1:10">
      <c r="C54" s="2850" t="s">
        <v>160</v>
      </c>
      <c r="D54" s="2834">
        <f>ROUND(L44*F20/L41/L41,0)</f>
        <v>186</v>
      </c>
      <c r="F54" s="2834" t="s">
        <v>3103</v>
      </c>
    </row>
    <row r="57" spans="1:10">
      <c r="A57" s="2834" t="s">
        <v>591</v>
      </c>
      <c r="B57" s="2834" t="s">
        <v>3879</v>
      </c>
    </row>
    <row r="59" spans="1:10" ht="20.25">
      <c r="C59" s="3488" t="s">
        <v>3880</v>
      </c>
      <c r="D59" s="3488" t="s">
        <v>3881</v>
      </c>
    </row>
    <row r="60" spans="1:10" ht="20.100000000000001" customHeight="1">
      <c r="C60" s="2850" t="s">
        <v>160</v>
      </c>
      <c r="D60" s="2834" t="str">
        <f>D54&amp;"+"&amp;D33</f>
        <v>186+267</v>
      </c>
    </row>
    <row r="61" spans="1:10" ht="20.100000000000001" customHeight="1">
      <c r="C61" s="2850" t="s">
        <v>160</v>
      </c>
      <c r="D61" s="2869">
        <f>D54+D33</f>
        <v>453</v>
      </c>
      <c r="F61" s="2834" t="s">
        <v>3863</v>
      </c>
      <c r="H61" s="3489" t="s">
        <v>3882</v>
      </c>
      <c r="I61" s="2834">
        <v>1650</v>
      </c>
      <c r="J61" s="2834" t="s">
        <v>3863</v>
      </c>
    </row>
    <row r="62" spans="1:10" ht="15.95" customHeight="1">
      <c r="C62" s="2850"/>
    </row>
    <row r="63" spans="1:10" ht="15.95" customHeight="1">
      <c r="A63" s="2834" t="s">
        <v>3883</v>
      </c>
      <c r="B63" s="2834" t="s">
        <v>3884</v>
      </c>
    </row>
    <row r="64" spans="1:10" ht="15.95" customHeight="1"/>
    <row r="65" spans="3:10" ht="15.95" customHeight="1">
      <c r="C65" s="3488" t="s">
        <v>3885</v>
      </c>
      <c r="D65" s="3488" t="s">
        <v>3886</v>
      </c>
      <c r="G65" s="2848" t="s">
        <v>26</v>
      </c>
      <c r="H65" s="3488" t="s">
        <v>3887</v>
      </c>
    </row>
    <row r="66" spans="3:10" ht="20.100000000000001" customHeight="1">
      <c r="C66" s="2850" t="s">
        <v>160</v>
      </c>
      <c r="D66" s="2834" t="str">
        <f>"("&amp;D42&amp;"^2+("&amp;D48&amp;"+"&amp;D33&amp;")^2-("&amp;D42&amp;"*("&amp;D48&amp;"+"&amp;D33&amp;")))^(1/2)"</f>
        <v>(932^2+(280+267)^2-(932*(280+267)))^(1/2)</v>
      </c>
    </row>
    <row r="67" spans="3:10" ht="20.100000000000001" customHeight="1">
      <c r="C67" s="2850" t="s">
        <v>160</v>
      </c>
      <c r="D67" s="2834">
        <f>(D42^2+(D48+D33)^2-(D42*(D48+D33)))^(1/2)</f>
        <v>811.18986680061528</v>
      </c>
      <c r="F67" s="2834" t="s">
        <v>3863</v>
      </c>
      <c r="H67" s="3489" t="s">
        <v>3882</v>
      </c>
      <c r="I67" s="2834">
        <v>1650</v>
      </c>
      <c r="J67" s="2834" t="s">
        <v>3863</v>
      </c>
    </row>
  </sheetData>
  <mergeCells count="2">
    <mergeCell ref="D6:F6"/>
    <mergeCell ref="E25:E26"/>
  </mergeCells>
  <pageMargins left="0.75" right="0.75" top="1" bottom="1" header="0.5" footer="0.5"/>
  <pageSetup paperSize="9" orientation="portrait"/>
  <headerFooter alignWithMargins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33D73-0CE7-4C59-9CF4-A59BE460BCBA}">
  <dimension ref="A1:I40"/>
  <sheetViews>
    <sheetView workbookViewId="0">
      <selection activeCell="H50" sqref="H50"/>
    </sheetView>
  </sheetViews>
  <sheetFormatPr defaultColWidth="9" defaultRowHeight="12.75"/>
  <cols>
    <col min="1" max="16384" width="9" style="2834"/>
  </cols>
  <sheetData>
    <row r="1" spans="1:9">
      <c r="A1" s="2834" t="s">
        <v>3888</v>
      </c>
      <c r="B1" s="3465"/>
      <c r="C1" s="3466" t="s">
        <v>3889</v>
      </c>
      <c r="D1" s="3466"/>
      <c r="E1" s="3467"/>
      <c r="F1" s="3465"/>
      <c r="G1" s="3466" t="s">
        <v>3890</v>
      </c>
      <c r="H1" s="3466"/>
      <c r="I1" s="3467"/>
    </row>
    <row r="2" spans="1:9" ht="13.15" thickBot="1">
      <c r="B2" s="3470"/>
      <c r="E2" s="3469"/>
      <c r="F2" s="3470"/>
      <c r="I2" s="3469"/>
    </row>
    <row r="3" spans="1:9">
      <c r="A3" s="3481" t="s">
        <v>3891</v>
      </c>
      <c r="B3" s="3465" t="s">
        <v>3892</v>
      </c>
      <c r="C3" s="3466" t="s">
        <v>3893</v>
      </c>
      <c r="D3" s="3466" t="s">
        <v>3894</v>
      </c>
      <c r="E3" s="3467" t="s">
        <v>932</v>
      </c>
      <c r="F3" s="3465" t="s">
        <v>3892</v>
      </c>
      <c r="G3" s="3466" t="s">
        <v>3893</v>
      </c>
      <c r="H3" s="3466" t="s">
        <v>3894</v>
      </c>
      <c r="I3" s="3467"/>
    </row>
    <row r="4" spans="1:9" ht="13.15" thickBot="1">
      <c r="A4" s="3484"/>
      <c r="B4" s="3470" t="s">
        <v>3895</v>
      </c>
      <c r="C4" s="2834" t="s">
        <v>1592</v>
      </c>
      <c r="D4" s="2834" t="s">
        <v>1592</v>
      </c>
      <c r="E4" s="3469" t="s">
        <v>449</v>
      </c>
      <c r="F4" s="3474" t="s">
        <v>3895</v>
      </c>
      <c r="G4" s="3477" t="s">
        <v>1592</v>
      </c>
      <c r="H4" s="3477" t="s">
        <v>449</v>
      </c>
      <c r="I4" s="3476"/>
    </row>
    <row r="5" spans="1:9">
      <c r="A5" s="3481">
        <v>1</v>
      </c>
      <c r="B5" s="3490">
        <v>22</v>
      </c>
      <c r="C5" s="3491">
        <f>80+20</f>
        <v>100</v>
      </c>
      <c r="D5" s="3492">
        <f>708+10</f>
        <v>718</v>
      </c>
      <c r="E5" s="3467">
        <f t="shared" ref="E5" si="0">3.14/4*C5*C5*D5*7850/1000000000</f>
        <v>44.244954999999997</v>
      </c>
      <c r="F5" s="3490">
        <v>77</v>
      </c>
      <c r="G5" s="3493">
        <f>238+20</f>
        <v>258</v>
      </c>
      <c r="H5" s="3493">
        <f>60+10</f>
        <v>70</v>
      </c>
      <c r="I5" s="3467">
        <f t="shared" ref="I5" si="1">3.14/4*G5*G5*H5*7850/1000000000</f>
        <v>28.712880630000001</v>
      </c>
    </row>
    <row r="6" spans="1:9">
      <c r="A6" s="3482">
        <v>2</v>
      </c>
      <c r="B6" s="3494">
        <v>22</v>
      </c>
      <c r="C6" s="2890">
        <f>100+20</f>
        <v>120</v>
      </c>
      <c r="D6" s="2888">
        <f>374+10</f>
        <v>384</v>
      </c>
      <c r="E6" s="3469">
        <f>3.14/4*C6*C6*D6*7850/1000000000</f>
        <v>34.074777599999997</v>
      </c>
      <c r="F6" s="3494">
        <v>77</v>
      </c>
      <c r="G6" s="3495">
        <f>318+20</f>
        <v>338</v>
      </c>
      <c r="H6" s="3495">
        <f>80+10</f>
        <v>90</v>
      </c>
      <c r="I6" s="3469">
        <f>3.14/4*G6*G6*H6*7850/1000000000</f>
        <v>63.360008010000001</v>
      </c>
    </row>
    <row r="7" spans="1:9" ht="13.15" thickBot="1">
      <c r="A7" s="3484">
        <v>3</v>
      </c>
      <c r="B7" s="3496">
        <v>20</v>
      </c>
      <c r="C7" s="3485">
        <f>145+20</f>
        <v>165</v>
      </c>
      <c r="D7" s="3497">
        <f>375+10</f>
        <v>385</v>
      </c>
      <c r="E7" s="3476">
        <f>3.14/4*C7*C7*D7*7850/1000000000</f>
        <v>64.590393656250001</v>
      </c>
      <c r="F7" s="3496">
        <v>79</v>
      </c>
      <c r="G7" s="3498">
        <f>487+20</f>
        <v>507</v>
      </c>
      <c r="H7" s="3498">
        <f>120+10</f>
        <v>130</v>
      </c>
      <c r="I7" s="3476">
        <f>3.14/4*G7*G7*H7*7850/1000000000</f>
        <v>205.9200260325</v>
      </c>
    </row>
    <row r="8" spans="1:9">
      <c r="A8" s="3482"/>
      <c r="B8" s="3470"/>
      <c r="E8" s="3469">
        <f>E7+E6+E5</f>
        <v>142.91012625625001</v>
      </c>
      <c r="F8" s="3470"/>
      <c r="I8" s="3469">
        <f>I7+I6+I5</f>
        <v>297.99291467249998</v>
      </c>
    </row>
    <row r="9" spans="1:9" ht="13.15" thickBot="1">
      <c r="A9" s="3484"/>
      <c r="B9" s="3474"/>
      <c r="C9" s="3477"/>
      <c r="D9" s="3477"/>
      <c r="E9" s="3476"/>
      <c r="F9" s="3474"/>
      <c r="G9" s="3477"/>
      <c r="H9" s="3477"/>
      <c r="I9" s="3476"/>
    </row>
    <row r="10" spans="1:9">
      <c r="A10" s="3465" t="s">
        <v>3896</v>
      </c>
      <c r="B10" s="3466"/>
      <c r="C10" s="3466">
        <f>200+20</f>
        <v>220</v>
      </c>
      <c r="D10" s="3466">
        <f>485+10</f>
        <v>495</v>
      </c>
      <c r="E10" s="3467">
        <f>3.14/4*C10*C10*D10*7850/1000000000</f>
        <v>147.63518550000003</v>
      </c>
      <c r="F10" s="3466"/>
      <c r="G10" s="3466"/>
      <c r="H10" s="3466"/>
      <c r="I10" s="3467"/>
    </row>
    <row r="11" spans="1:9" ht="13.15" thickBot="1">
      <c r="A11" s="3470" t="s">
        <v>3897</v>
      </c>
      <c r="C11" s="2834">
        <f>710+200+20</f>
        <v>930</v>
      </c>
      <c r="D11" s="2834">
        <f>45+10</f>
        <v>55</v>
      </c>
      <c r="E11" s="3469">
        <f>3.14/4*C11*C11*D11*7850/1000000000</f>
        <v>293.13515137500008</v>
      </c>
      <c r="I11" s="3469"/>
    </row>
    <row r="12" spans="1:9" ht="13.15" thickBot="1">
      <c r="A12" s="3474"/>
      <c r="B12" s="3477"/>
      <c r="C12" s="3477"/>
      <c r="D12" s="3477"/>
      <c r="E12" s="3499">
        <f>E11+E10+E8+I8</f>
        <v>881.6733778037501</v>
      </c>
      <c r="F12" s="3500" t="s">
        <v>3898</v>
      </c>
      <c r="G12" s="3501">
        <f>E12*32</f>
        <v>28213.548089720003</v>
      </c>
      <c r="H12" s="3502" t="s">
        <v>3899</v>
      </c>
      <c r="I12" s="3476"/>
    </row>
    <row r="14" spans="1:9">
      <c r="B14" s="3465"/>
      <c r="C14" s="3466" t="s">
        <v>3889</v>
      </c>
      <c r="D14" s="3466"/>
      <c r="E14" s="3467"/>
      <c r="F14" s="3465"/>
      <c r="G14" s="3466" t="s">
        <v>3890</v>
      </c>
      <c r="H14" s="3466"/>
      <c r="I14" s="3467"/>
    </row>
    <row r="15" spans="1:9" ht="13.15" thickBot="1">
      <c r="B15" s="3470"/>
      <c r="E15" s="3469"/>
      <c r="F15" s="3470"/>
      <c r="I15" s="3469"/>
    </row>
    <row r="16" spans="1:9">
      <c r="A16" s="3481" t="s">
        <v>3891</v>
      </c>
      <c r="B16" s="3465" t="s">
        <v>3892</v>
      </c>
      <c r="C16" s="3466" t="s">
        <v>3893</v>
      </c>
      <c r="D16" s="3466" t="s">
        <v>3894</v>
      </c>
      <c r="E16" s="3467" t="s">
        <v>932</v>
      </c>
      <c r="F16" s="3465" t="s">
        <v>3892</v>
      </c>
      <c r="G16" s="3466" t="s">
        <v>3893</v>
      </c>
      <c r="H16" s="3466" t="s">
        <v>3894</v>
      </c>
      <c r="I16" s="3467"/>
    </row>
    <row r="17" spans="1:9" ht="13.15" thickBot="1">
      <c r="A17" s="3484"/>
      <c r="B17" s="3470" t="s">
        <v>3895</v>
      </c>
      <c r="C17" s="2834" t="s">
        <v>1592</v>
      </c>
      <c r="D17" s="2834" t="s">
        <v>1592</v>
      </c>
      <c r="E17" s="3469" t="s">
        <v>449</v>
      </c>
      <c r="F17" s="3474" t="s">
        <v>3895</v>
      </c>
      <c r="G17" s="3477" t="s">
        <v>1592</v>
      </c>
      <c r="H17" s="3477" t="s">
        <v>449</v>
      </c>
      <c r="I17" s="3476"/>
    </row>
    <row r="18" spans="1:9">
      <c r="A18" s="3481">
        <v>1</v>
      </c>
      <c r="B18" s="3490">
        <v>20</v>
      </c>
      <c r="C18" s="3491">
        <v>80</v>
      </c>
      <c r="D18" s="3492">
        <v>708</v>
      </c>
      <c r="E18" s="3467">
        <f t="shared" ref="E18" si="2">3.14/4*C18*C18*D18*7850/1000000000</f>
        <v>27.922387199999999</v>
      </c>
      <c r="F18" s="3490">
        <v>79</v>
      </c>
      <c r="G18" s="3493">
        <v>244</v>
      </c>
      <c r="H18" s="3493">
        <v>60</v>
      </c>
      <c r="I18" s="3467">
        <f t="shared" ref="I18" si="3">3.14/4*G18*G18*H18*7850/1000000000</f>
        <v>22.012542960000001</v>
      </c>
    </row>
    <row r="19" spans="1:9">
      <c r="A19" s="3482">
        <v>2</v>
      </c>
      <c r="B19" s="3494">
        <v>20</v>
      </c>
      <c r="C19" s="2890">
        <v>100</v>
      </c>
      <c r="D19" s="2888">
        <v>374</v>
      </c>
      <c r="E19" s="3469">
        <f>3.14/4*C19*C19*D19*7850/1000000000</f>
        <v>23.046814999999999</v>
      </c>
      <c r="F19" s="3494">
        <v>79</v>
      </c>
      <c r="G19" s="3495">
        <v>325</v>
      </c>
      <c r="H19" s="3495">
        <v>80</v>
      </c>
      <c r="I19" s="3469">
        <f>3.14/4*G19*G19*H19*7850/1000000000</f>
        <v>52.071012500000002</v>
      </c>
    </row>
    <row r="20" spans="1:9" ht="13.15" thickBot="1">
      <c r="A20" s="3484">
        <v>3</v>
      </c>
      <c r="B20" s="3496">
        <v>18</v>
      </c>
      <c r="C20" s="3485">
        <v>130</v>
      </c>
      <c r="D20" s="3497">
        <v>375</v>
      </c>
      <c r="E20" s="3476">
        <f>3.14/4*C20*C20*D20*7850/1000000000</f>
        <v>39.053259375000003</v>
      </c>
      <c r="F20" s="3496">
        <v>81</v>
      </c>
      <c r="G20" s="3498">
        <v>499</v>
      </c>
      <c r="H20" s="3498">
        <v>120</v>
      </c>
      <c r="I20" s="3476">
        <f>3.14/4*G20*G20*H20*7850/1000000000</f>
        <v>184.12876947000001</v>
      </c>
    </row>
    <row r="21" spans="1:9">
      <c r="A21" s="3482"/>
      <c r="B21" s="3470"/>
      <c r="E21" s="3469">
        <f>E20+E19+E18</f>
        <v>90.022461575000008</v>
      </c>
      <c r="F21" s="3470"/>
      <c r="I21" s="3469">
        <f>I20+I19+I18</f>
        <v>258.21232493000002</v>
      </c>
    </row>
    <row r="22" spans="1:9" ht="13.15" thickBot="1">
      <c r="A22" s="3484"/>
      <c r="B22" s="3474"/>
      <c r="C22" s="3477"/>
      <c r="D22" s="3477"/>
      <c r="E22" s="3476"/>
      <c r="F22" s="3474"/>
      <c r="G22" s="3477"/>
      <c r="H22" s="3477"/>
      <c r="I22" s="3476"/>
    </row>
    <row r="23" spans="1:9">
      <c r="A23" s="3465" t="s">
        <v>3896</v>
      </c>
      <c r="B23" s="3466"/>
      <c r="C23" s="3466">
        <v>200</v>
      </c>
      <c r="D23" s="3466">
        <v>485</v>
      </c>
      <c r="E23" s="3467">
        <f>3.14/4*C23*C23*D23*7850/1000000000</f>
        <v>119.54765</v>
      </c>
      <c r="F23" s="3466"/>
      <c r="G23" s="3466"/>
      <c r="H23" s="3466"/>
      <c r="I23" s="3467"/>
    </row>
    <row r="24" spans="1:9" ht="13.15" thickBot="1">
      <c r="A24" s="3470" t="s">
        <v>3897</v>
      </c>
      <c r="C24" s="2834">
        <f>400+200</f>
        <v>600</v>
      </c>
      <c r="D24" s="2834">
        <v>45</v>
      </c>
      <c r="E24" s="3469">
        <f>3.14/4*C24*C24*D24*7850/1000000000</f>
        <v>99.828450000000004</v>
      </c>
      <c r="I24" s="3469"/>
    </row>
    <row r="25" spans="1:9" ht="13.15" thickBot="1">
      <c r="A25" s="3474"/>
      <c r="B25" s="3477"/>
      <c r="C25" s="3477"/>
      <c r="D25" s="3477"/>
      <c r="E25" s="3499">
        <f>E24+E23+E21+I21</f>
        <v>567.61088650500005</v>
      </c>
      <c r="F25" s="3500" t="s">
        <v>3898</v>
      </c>
      <c r="G25" s="3501">
        <f>E25*32</f>
        <v>18163.548368160002</v>
      </c>
      <c r="H25" s="3502" t="s">
        <v>3899</v>
      </c>
      <c r="I25" s="3476"/>
    </row>
    <row r="29" spans="1:9">
      <c r="A29" s="3465" t="s">
        <v>3900</v>
      </c>
      <c r="B29" s="3465"/>
      <c r="C29" s="3466" t="s">
        <v>3889</v>
      </c>
      <c r="D29" s="3466"/>
      <c r="E29" s="3467"/>
      <c r="F29" s="3465"/>
      <c r="G29" s="3466" t="s">
        <v>3890</v>
      </c>
      <c r="H29" s="3466"/>
      <c r="I29" s="3467"/>
    </row>
    <row r="30" spans="1:9" ht="13.15" thickBot="1">
      <c r="A30" s="3474"/>
      <c r="B30" s="3474"/>
      <c r="C30" s="3477"/>
      <c r="D30" s="3477"/>
      <c r="E30" s="3476"/>
      <c r="F30" s="3474"/>
      <c r="G30" s="3477"/>
      <c r="H30" s="3477"/>
      <c r="I30" s="3476"/>
    </row>
    <row r="31" spans="1:9">
      <c r="A31" s="3481" t="s">
        <v>3891</v>
      </c>
      <c r="B31" s="3465" t="s">
        <v>3892</v>
      </c>
      <c r="C31" s="3466" t="s">
        <v>3893</v>
      </c>
      <c r="D31" s="3466" t="s">
        <v>3894</v>
      </c>
      <c r="E31" s="3467" t="s">
        <v>932</v>
      </c>
      <c r="F31" s="3465" t="s">
        <v>3892</v>
      </c>
      <c r="G31" s="3466" t="s">
        <v>3893</v>
      </c>
      <c r="H31" s="3466" t="s">
        <v>3894</v>
      </c>
      <c r="I31" s="3467"/>
    </row>
    <row r="32" spans="1:9" ht="13.15" thickBot="1">
      <c r="A32" s="3484"/>
      <c r="B32" s="3470" t="s">
        <v>3895</v>
      </c>
      <c r="C32" s="2834" t="s">
        <v>1592</v>
      </c>
      <c r="D32" s="2834" t="s">
        <v>1592</v>
      </c>
      <c r="E32" s="3469" t="s">
        <v>449</v>
      </c>
      <c r="F32" s="3474" t="s">
        <v>3895</v>
      </c>
      <c r="G32" s="3477" t="s">
        <v>1592</v>
      </c>
      <c r="H32" s="3477" t="s">
        <v>449</v>
      </c>
      <c r="I32" s="3476"/>
    </row>
    <row r="33" spans="1:9">
      <c r="A33" s="3481">
        <v>1</v>
      </c>
      <c r="B33" s="3490"/>
      <c r="C33" s="3491">
        <f>56+20</f>
        <v>76</v>
      </c>
      <c r="D33" s="3492">
        <f>570+10</f>
        <v>580</v>
      </c>
      <c r="E33" s="3467">
        <f t="shared" ref="E33" si="4">3.14/4*C33*C33*D33*7850/1000000000</f>
        <v>20.644030480000001</v>
      </c>
      <c r="F33" s="3490"/>
      <c r="G33" s="3493">
        <f>165+20</f>
        <v>185</v>
      </c>
      <c r="H33" s="3493">
        <f>40+10</f>
        <v>50</v>
      </c>
      <c r="I33" s="3467">
        <f t="shared" ref="I33" si="5">3.14/4*G33*G33*H33*7850/1000000000</f>
        <v>10.545150312500001</v>
      </c>
    </row>
    <row r="34" spans="1:9">
      <c r="A34" s="3482">
        <v>2</v>
      </c>
      <c r="B34" s="3494"/>
      <c r="C34" s="2890">
        <f>65+20</f>
        <v>85</v>
      </c>
      <c r="D34" s="2888">
        <f>260+10</f>
        <v>270</v>
      </c>
      <c r="E34" s="3469">
        <f>3.14/4*C34*C34*D34*7850/1000000000</f>
        <v>12.021009187500002</v>
      </c>
      <c r="F34" s="3494"/>
      <c r="G34" s="3495">
        <f>203+20</f>
        <v>223</v>
      </c>
      <c r="H34" s="3495">
        <f>50+10</f>
        <v>60</v>
      </c>
      <c r="I34" s="3469">
        <f>3.14/4*G34*G34*H34*7850/1000000000</f>
        <v>18.386551815000001</v>
      </c>
    </row>
    <row r="35" spans="1:9" ht="13.15" thickBot="1">
      <c r="A35" s="3484">
        <v>3</v>
      </c>
      <c r="B35" s="3496"/>
      <c r="C35" s="3485">
        <f>90+20</f>
        <v>110</v>
      </c>
      <c r="D35" s="3497">
        <f>256+10</f>
        <v>266</v>
      </c>
      <c r="E35" s="3476">
        <f>3.14/4*C35*C35*D35*7850/1000000000</f>
        <v>19.833817850000003</v>
      </c>
      <c r="F35" s="3496"/>
      <c r="G35" s="3498">
        <f>272+20</f>
        <v>292</v>
      </c>
      <c r="H35" s="3498">
        <f>70+20</f>
        <v>90</v>
      </c>
      <c r="I35" s="3476">
        <f>3.14/4*G35*G35*H35*7850/1000000000</f>
        <v>47.287627560000004</v>
      </c>
    </row>
    <row r="36" spans="1:9">
      <c r="A36" s="3482"/>
      <c r="B36" s="3470"/>
      <c r="E36" s="3469">
        <f>E35+E34+E33</f>
        <v>52.498857517500007</v>
      </c>
      <c r="F36" s="3470"/>
      <c r="I36" s="3469">
        <f>I35+I34+I33</f>
        <v>76.219329687500007</v>
      </c>
    </row>
    <row r="37" spans="1:9" ht="13.15" thickBot="1">
      <c r="A37" s="3484"/>
      <c r="B37" s="3474"/>
      <c r="C37" s="3477"/>
      <c r="D37" s="3477"/>
      <c r="E37" s="3476"/>
      <c r="F37" s="3474"/>
      <c r="G37" s="3477"/>
      <c r="H37" s="3477"/>
      <c r="I37" s="3476"/>
    </row>
    <row r="38" spans="1:9">
      <c r="A38" s="3465" t="s">
        <v>3896</v>
      </c>
      <c r="B38" s="3466"/>
      <c r="C38" s="3466">
        <f>90+20</f>
        <v>110</v>
      </c>
      <c r="D38" s="3466">
        <f>790+10</f>
        <v>800</v>
      </c>
      <c r="E38" s="3467">
        <f>3.14/4*C38*C38*D38*7850/1000000000</f>
        <v>59.650580000000012</v>
      </c>
      <c r="F38" s="3466"/>
      <c r="G38" s="3466"/>
      <c r="H38" s="3466"/>
      <c r="I38" s="3467"/>
    </row>
    <row r="39" spans="1:9" ht="13.15" thickBot="1">
      <c r="A39" s="3470" t="s">
        <v>3897</v>
      </c>
      <c r="C39" s="2834">
        <v>0</v>
      </c>
      <c r="D39" s="2834">
        <v>0</v>
      </c>
      <c r="E39" s="3469">
        <f>3.14/4*C39*C39*D39*7850/1000000000</f>
        <v>0</v>
      </c>
      <c r="I39" s="3469"/>
    </row>
    <row r="40" spans="1:9" ht="13.15" thickBot="1">
      <c r="A40" s="3474"/>
      <c r="B40" s="3477"/>
      <c r="C40" s="3477"/>
      <c r="D40" s="3477"/>
      <c r="E40" s="3499">
        <f>E39+E38+E36+I36</f>
        <v>188.36876720500004</v>
      </c>
      <c r="F40" s="3500" t="s">
        <v>3898</v>
      </c>
      <c r="G40" s="3501">
        <f>E40*32</f>
        <v>6027.8005505600013</v>
      </c>
      <c r="H40" s="3502" t="s">
        <v>3899</v>
      </c>
      <c r="I40" s="3476"/>
    </row>
  </sheetData>
  <pageMargins left="0.75" right="0.75" top="1" bottom="1" header="0.5" footer="0.5"/>
  <pageSetup paperSize="9" orientation="portrait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43E54-1657-4C03-BEED-DAB05BE8D002}">
  <dimension ref="A1:M36"/>
  <sheetViews>
    <sheetView workbookViewId="0">
      <selection activeCell="H50" sqref="H50"/>
    </sheetView>
  </sheetViews>
  <sheetFormatPr defaultColWidth="9.1328125" defaultRowHeight="12.75"/>
  <cols>
    <col min="1" max="1" width="6.6640625" style="3411" customWidth="1"/>
    <col min="2" max="2" width="10" style="3411" customWidth="1"/>
    <col min="3" max="3" width="11.46484375" style="3411" customWidth="1"/>
    <col min="4" max="5" width="9.1328125" style="3411"/>
    <col min="6" max="6" width="12.1328125" style="3411" customWidth="1"/>
    <col min="7" max="7" width="4.33203125" style="3411" customWidth="1"/>
    <col min="8" max="8" width="9.1328125" style="3411"/>
    <col min="9" max="9" width="7.1328125" style="3411" customWidth="1"/>
    <col min="10" max="10" width="9.1328125" style="3411"/>
    <col min="11" max="11" width="1.46484375" style="3411" customWidth="1"/>
    <col min="12" max="12" width="12" style="3411" customWidth="1"/>
    <col min="13" max="16384" width="9.1328125" style="3411"/>
  </cols>
  <sheetData>
    <row r="1" spans="2:13" ht="13.15">
      <c r="E1" s="3425" t="s">
        <v>3901</v>
      </c>
    </row>
    <row r="3" spans="2:13" ht="13.15">
      <c r="B3" s="3412" t="s">
        <v>1101</v>
      </c>
      <c r="C3" s="3412"/>
      <c r="D3" s="3413">
        <f>20+20</f>
        <v>40</v>
      </c>
      <c r="E3" s="3414" t="s">
        <v>985</v>
      </c>
      <c r="F3" s="3411" t="s">
        <v>3735</v>
      </c>
    </row>
    <row r="4" spans="2:13" ht="13.15">
      <c r="B4" s="3412" t="s">
        <v>3782</v>
      </c>
      <c r="D4" s="3413">
        <v>66</v>
      </c>
      <c r="E4" s="3414" t="s">
        <v>985</v>
      </c>
      <c r="F4" s="3411" t="s">
        <v>3735</v>
      </c>
    </row>
    <row r="5" spans="2:13" ht="13.15">
      <c r="B5" s="3412" t="s">
        <v>3783</v>
      </c>
      <c r="D5" s="3413">
        <v>11</v>
      </c>
      <c r="E5" s="3414" t="s">
        <v>985</v>
      </c>
      <c r="F5" s="3411" t="s">
        <v>3735</v>
      </c>
    </row>
    <row r="6" spans="2:13" ht="13.15">
      <c r="B6" s="4649" t="s">
        <v>1235</v>
      </c>
      <c r="C6" s="4650"/>
      <c r="D6" s="3413">
        <v>26</v>
      </c>
      <c r="E6" s="3412" t="s">
        <v>1638</v>
      </c>
      <c r="F6" s="3411" t="s">
        <v>3735</v>
      </c>
    </row>
    <row r="7" spans="2:13" ht="13.15">
      <c r="B7" s="3415" t="s">
        <v>3784</v>
      </c>
      <c r="C7" s="3416"/>
      <c r="D7" s="3413">
        <v>1.5</v>
      </c>
      <c r="E7" s="3412" t="s">
        <v>1638</v>
      </c>
      <c r="F7" s="3411" t="s">
        <v>3735</v>
      </c>
    </row>
    <row r="8" spans="2:13" ht="13.15">
      <c r="B8" s="3415" t="s">
        <v>3738</v>
      </c>
      <c r="C8" s="3416"/>
      <c r="D8" s="3413">
        <v>4</v>
      </c>
      <c r="E8" s="3412" t="s">
        <v>3739</v>
      </c>
    </row>
    <row r="9" spans="2:13" ht="13.15">
      <c r="B9" s="4649" t="s">
        <v>3786</v>
      </c>
      <c r="C9" s="4650"/>
      <c r="D9" s="3413">
        <v>6</v>
      </c>
      <c r="E9" s="3412" t="s">
        <v>1638</v>
      </c>
      <c r="F9" s="3411" t="s">
        <v>3735</v>
      </c>
    </row>
    <row r="10" spans="2:13" ht="13.15">
      <c r="B10" s="4651" t="s">
        <v>3653</v>
      </c>
      <c r="C10" s="4652"/>
      <c r="D10" s="3417">
        <f>pp!B17</f>
        <v>5744.8843267607217</v>
      </c>
      <c r="E10" s="3412" t="s">
        <v>2146</v>
      </c>
      <c r="F10" s="3411" t="s">
        <v>3735</v>
      </c>
      <c r="H10" s="3411">
        <f>3060.4+754.1</f>
        <v>3814.5</v>
      </c>
      <c r="M10" s="3411">
        <v>1575</v>
      </c>
    </row>
    <row r="11" spans="2:13" ht="13.15">
      <c r="B11" s="4653" t="s">
        <v>3743</v>
      </c>
      <c r="C11" s="4654"/>
      <c r="D11" s="3413">
        <f>pp!B24</f>
        <v>200.88800000000001</v>
      </c>
      <c r="E11" s="3412" t="s">
        <v>380</v>
      </c>
      <c r="F11" s="3411" t="s">
        <v>3735</v>
      </c>
    </row>
    <row r="12" spans="2:13" ht="13.15">
      <c r="B12" s="3412" t="s">
        <v>3744</v>
      </c>
      <c r="C12" s="3412"/>
      <c r="D12" s="3413">
        <v>1.3</v>
      </c>
      <c r="E12" s="3417"/>
      <c r="F12" s="3411" t="s">
        <v>3735</v>
      </c>
    </row>
    <row r="13" spans="2:13" ht="13.15">
      <c r="B13" s="3412"/>
      <c r="C13" s="3412"/>
      <c r="D13" s="3413"/>
      <c r="E13" s="3417"/>
    </row>
    <row r="14" spans="2:13" ht="13.15">
      <c r="B14" s="3412" t="s">
        <v>3789</v>
      </c>
      <c r="C14" s="3412"/>
      <c r="D14" s="3413">
        <v>1.5</v>
      </c>
      <c r="E14" s="3417" t="s">
        <v>1218</v>
      </c>
    </row>
    <row r="15" spans="2:13" ht="13.15">
      <c r="B15" s="3412" t="s">
        <v>3790</v>
      </c>
      <c r="C15" s="3412"/>
      <c r="D15" s="3413">
        <v>6</v>
      </c>
      <c r="E15" s="3412" t="s">
        <v>1638</v>
      </c>
    </row>
    <row r="16" spans="2:13" ht="13.15">
      <c r="B16" s="3412" t="s">
        <v>3791</v>
      </c>
      <c r="C16" s="3412"/>
      <c r="D16" s="3420">
        <f>((((D3)+D5)*(D6-D7)/(D6*D8/2))+((D4-D5)*1.05/D8))</f>
        <v>38.466346153846153</v>
      </c>
      <c r="E16" s="3417"/>
      <c r="F16" s="3421" t="s">
        <v>3747</v>
      </c>
    </row>
    <row r="17" spans="1:11" ht="13.15">
      <c r="B17" s="3412" t="s">
        <v>3791</v>
      </c>
      <c r="C17" s="3412"/>
      <c r="D17" s="3420">
        <f>((((D3*D12)+D5)*(D6-D7)/(D6*D8/2))+((D4-D5)*1.05/D8))</f>
        <v>44.120192307692307</v>
      </c>
      <c r="E17" s="3414" t="s">
        <v>985</v>
      </c>
      <c r="F17" s="3421" t="s">
        <v>3748</v>
      </c>
      <c r="H17" s="3422" t="s">
        <v>3792</v>
      </c>
      <c r="I17" s="3423"/>
      <c r="K17" s="3424"/>
    </row>
    <row r="18" spans="1:11" ht="13.15">
      <c r="B18" s="4649" t="s">
        <v>1832</v>
      </c>
      <c r="C18" s="4650"/>
      <c r="D18" s="3420">
        <f>(D9-D15)/2</f>
        <v>0</v>
      </c>
      <c r="E18" s="3412" t="s">
        <v>1638</v>
      </c>
    </row>
    <row r="19" spans="1:11" ht="13.15">
      <c r="B19" s="3437" t="s">
        <v>3793</v>
      </c>
      <c r="C19" s="3438"/>
      <c r="D19" s="3439">
        <f>(D9-D14)/2</f>
        <v>2.25</v>
      </c>
      <c r="E19" s="3412" t="s">
        <v>1638</v>
      </c>
    </row>
    <row r="20" spans="1:11" ht="13.15">
      <c r="F20" s="3425"/>
    </row>
    <row r="21" spans="1:11" ht="13.15">
      <c r="F21" s="3425"/>
      <c r="H21" s="3422" t="s">
        <v>3794</v>
      </c>
    </row>
    <row r="22" spans="1:11" ht="15">
      <c r="B22" s="3440" t="s">
        <v>3795</v>
      </c>
      <c r="I22" s="3423" t="s">
        <v>3796</v>
      </c>
    </row>
    <row r="23" spans="1:11" ht="15">
      <c r="A23" s="3422" t="s">
        <v>3797</v>
      </c>
      <c r="B23" s="3412" t="s">
        <v>3798</v>
      </c>
      <c r="C23" s="3421">
        <f>((D17*D9*1000*100/4)+(D9*D11*D9*100/8))/D10</f>
        <v>1167.7221097219935</v>
      </c>
      <c r="D23" s="3412" t="s">
        <v>3751</v>
      </c>
      <c r="E23" s="3432" t="s">
        <v>3799</v>
      </c>
      <c r="F23" s="3441"/>
      <c r="H23" s="3411" t="s">
        <v>3753</v>
      </c>
      <c r="J23" s="3428" t="s">
        <v>3754</v>
      </c>
    </row>
    <row r="24" spans="1:11" ht="15">
      <c r="B24" s="3412" t="s">
        <v>3800</v>
      </c>
      <c r="C24" s="3442">
        <f>((D17*D19*1000*100)+(D9*D11*D9*100/8))/D10</f>
        <v>1743.7153299271297</v>
      </c>
      <c r="D24" s="3412" t="s">
        <v>3751</v>
      </c>
      <c r="E24" s="3432" t="s">
        <v>3799</v>
      </c>
    </row>
    <row r="25" spans="1:11" ht="15">
      <c r="A25" s="3422" t="s">
        <v>3794</v>
      </c>
      <c r="B25" s="3429" t="s">
        <v>3750</v>
      </c>
      <c r="C25" s="3433">
        <f>((D17*D18*1000*100)+(D11*D9*D9*100/8))/D10</f>
        <v>15.735669311721756</v>
      </c>
      <c r="D25" s="3429" t="s">
        <v>3751</v>
      </c>
      <c r="E25" s="3432" t="s">
        <v>3799</v>
      </c>
    </row>
    <row r="27" spans="1:11" ht="15">
      <c r="B27" s="3443" t="s">
        <v>3801</v>
      </c>
    </row>
    <row r="28" spans="1:11" ht="13.15">
      <c r="A28" s="3422" t="s">
        <v>3797</v>
      </c>
      <c r="B28" s="3412" t="s">
        <v>3798</v>
      </c>
      <c r="C28" s="3433">
        <f>(D16*1000*9.81*(D9*1000)^3/(48*2.1*(10^5)*(D9*1000/900)))/10000</f>
        <v>121292.63221153845</v>
      </c>
      <c r="D28" s="3429" t="s">
        <v>2132</v>
      </c>
      <c r="E28" s="3411" t="s">
        <v>1609</v>
      </c>
    </row>
    <row r="29" spans="1:11" ht="13.15">
      <c r="A29" s="3422"/>
      <c r="B29" s="3412" t="s">
        <v>3800</v>
      </c>
      <c r="C29" s="3433">
        <f>(((D16*1000*9.81*(D9*1000)^3/(6*2.1*(10^5)*(D9*1000/900)))*((((3*D19/(4*D9))-(D19/D9)^3)))))/10000</f>
        <v>221738.09326171875</v>
      </c>
      <c r="D29" s="3429" t="s">
        <v>2132</v>
      </c>
      <c r="E29" s="3411" t="s">
        <v>1609</v>
      </c>
    </row>
    <row r="30" spans="1:11" ht="13.15">
      <c r="A30" s="3422" t="s">
        <v>3794</v>
      </c>
      <c r="B30" s="3429"/>
      <c r="C30" s="3433">
        <f>(D16*2*1000*9.81*(D9*1000)^3/(6*2.1*10^5*(D9*1000/900)))*((3*D18/(4*D9))-POWER(D18/D9,3))/10000</f>
        <v>0</v>
      </c>
      <c r="D30" s="3429" t="s">
        <v>2132</v>
      </c>
      <c r="E30" s="3411" t="s">
        <v>1609</v>
      </c>
    </row>
    <row r="31" spans="1:11" ht="13.15">
      <c r="A31" s="3422" t="s">
        <v>3797</v>
      </c>
      <c r="B31" s="3412" t="s">
        <v>3798</v>
      </c>
      <c r="C31" s="3433">
        <f>(D16*1000*9.81*(D9*1000)^3/(48*2.1*10^5*(D9*1000/750)))/10000</f>
        <v>101077.19350961538</v>
      </c>
      <c r="D31" s="3429" t="s">
        <v>2132</v>
      </c>
      <c r="E31" s="3444" t="s">
        <v>1610</v>
      </c>
    </row>
    <row r="32" spans="1:11" ht="13.15">
      <c r="A32" s="3422"/>
      <c r="B32" s="3412" t="s">
        <v>3800</v>
      </c>
      <c r="C32" s="3433">
        <f>(((D16*1000*9.81*(D9*1000)^3/(6*2.1*(10^5)*(D9*1000/750)))*((((3*D19/(4*D9))-(D19/D9)^3)))))/10000</f>
        <v>184781.7443847656</v>
      </c>
      <c r="D32" s="3429" t="s">
        <v>2132</v>
      </c>
      <c r="E32" s="3444" t="s">
        <v>1610</v>
      </c>
    </row>
    <row r="33" spans="1:5" ht="13.15">
      <c r="A33" s="3422" t="s">
        <v>3794</v>
      </c>
      <c r="B33" s="3429"/>
      <c r="C33" s="3433">
        <f>(D16*2*1000*9.81*(D9*1000)^3/(6*2.1*10^5*(D9*1000/750)))*((3*D18/(4*D9))-POWER(D18/D9,3))/10000</f>
        <v>0</v>
      </c>
      <c r="D33" s="3429" t="s">
        <v>2132</v>
      </c>
      <c r="E33" s="3444" t="s">
        <v>1610</v>
      </c>
    </row>
    <row r="34" spans="1:5" ht="13.15">
      <c r="A34" s="3422" t="s">
        <v>3797</v>
      </c>
      <c r="B34" s="3412" t="s">
        <v>3798</v>
      </c>
      <c r="C34" s="3433">
        <f>(D16*1000*9.81*(D9*1000)^3/(48*2.1*10^5*(D9*1000/500)))/10000</f>
        <v>67384.795673076922</v>
      </c>
      <c r="D34" s="3429" t="s">
        <v>2132</v>
      </c>
      <c r="E34" s="3411" t="s">
        <v>3802</v>
      </c>
    </row>
    <row r="35" spans="1:5" ht="13.15">
      <c r="A35" s="3422"/>
      <c r="B35" s="3412" t="s">
        <v>3800</v>
      </c>
      <c r="C35" s="3433">
        <f>(((D16*1000*9.81*(D9*1000)^3/(6*2.1*(10^5)*(D9*1000/500)))*((((3*D19/(4*D9))-(D19/D9)^3)))))/10000</f>
        <v>123187.82958984372</v>
      </c>
      <c r="D35" s="3429" t="s">
        <v>2132</v>
      </c>
      <c r="E35" s="3411" t="s">
        <v>3802</v>
      </c>
    </row>
    <row r="36" spans="1:5" ht="13.15">
      <c r="A36" s="3422" t="s">
        <v>3794</v>
      </c>
      <c r="B36" s="3429"/>
      <c r="C36" s="3433">
        <f>(D16*2*1000*9.81*(D9*1000)^3/(6*2.1*10^5*(D9*1000/500)))*((3*D18/(4*D9))-POWER(D18/D9,3))/10000</f>
        <v>0</v>
      </c>
      <c r="D36" s="3429" t="s">
        <v>2132</v>
      </c>
      <c r="E36" s="3411" t="s">
        <v>3802</v>
      </c>
    </row>
  </sheetData>
  <mergeCells count="5">
    <mergeCell ref="B6:C6"/>
    <mergeCell ref="B9:C9"/>
    <mergeCell ref="B10:C10"/>
    <mergeCell ref="B11:C11"/>
    <mergeCell ref="B18:C18"/>
  </mergeCells>
  <pageMargins left="0.75" right="0.75" top="1" bottom="1" header="0.5" footer="0.5"/>
  <pageSetup orientation="portrait" horizontalDpi="1200" verticalDpi="1200"/>
  <headerFooter alignWithMargins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0AC01-4586-453C-AE94-90A844A5B0BB}">
  <dimension ref="A1:J27"/>
  <sheetViews>
    <sheetView workbookViewId="0">
      <selection activeCell="H50" sqref="H50"/>
    </sheetView>
  </sheetViews>
  <sheetFormatPr defaultColWidth="9" defaultRowHeight="12.75"/>
  <cols>
    <col min="1" max="3" width="9" style="2834"/>
    <col min="4" max="4" width="10.6640625" style="2834" customWidth="1"/>
    <col min="5" max="6" width="9" style="2834"/>
    <col min="7" max="8" width="7.86328125" style="2834" customWidth="1"/>
    <col min="9" max="9" width="6.86328125" style="2834" customWidth="1"/>
    <col min="10" max="10" width="10.1328125" style="2834" customWidth="1"/>
    <col min="11" max="16384" width="9" style="2834"/>
  </cols>
  <sheetData>
    <row r="1" spans="1:10" ht="13.15">
      <c r="C1" s="3503" t="str">
        <f>GG_cal!E1</f>
        <v>SEL 20 ton gantry girder</v>
      </c>
    </row>
    <row r="2" spans="1:10" ht="13.15">
      <c r="C2" s="2848" t="s">
        <v>3902</v>
      </c>
    </row>
    <row r="3" spans="1:10" ht="15">
      <c r="B3" s="2964" t="s">
        <v>3804</v>
      </c>
      <c r="C3" s="2964"/>
      <c r="D3" s="2964"/>
    </row>
    <row r="5" spans="1:10" ht="13.15" thickBot="1">
      <c r="A5" s="3445" t="s">
        <v>3805</v>
      </c>
      <c r="B5" s="3446"/>
      <c r="C5" s="3447">
        <v>1.6</v>
      </c>
      <c r="D5" s="3446" t="s">
        <v>1987</v>
      </c>
    </row>
    <row r="6" spans="1:10" ht="13.15">
      <c r="B6" s="2848" t="s">
        <v>3806</v>
      </c>
      <c r="D6" s="2834" t="s">
        <v>3807</v>
      </c>
      <c r="I6" s="2846" t="s">
        <v>3808</v>
      </c>
    </row>
    <row r="7" spans="1:10" ht="13.15">
      <c r="A7" s="2903"/>
      <c r="B7" s="3448" t="s">
        <v>3809</v>
      </c>
      <c r="C7" s="3448" t="s">
        <v>3810</v>
      </c>
      <c r="D7" s="3448" t="s">
        <v>3811</v>
      </c>
      <c r="E7" s="3448" t="s">
        <v>3812</v>
      </c>
      <c r="F7" s="3448" t="s">
        <v>3813</v>
      </c>
      <c r="G7" s="3448" t="s">
        <v>3814</v>
      </c>
      <c r="H7" s="3448" t="s">
        <v>3815</v>
      </c>
      <c r="I7" s="3448" t="s">
        <v>3816</v>
      </c>
      <c r="J7" s="2903" t="s">
        <v>3817</v>
      </c>
    </row>
    <row r="8" spans="1:10" ht="13.15">
      <c r="A8" s="3449" t="s">
        <v>3818</v>
      </c>
      <c r="B8" s="3450">
        <v>600</v>
      </c>
      <c r="C8" s="3450">
        <v>256.20999999999998</v>
      </c>
      <c r="D8" s="3450">
        <v>60</v>
      </c>
      <c r="E8" s="3450">
        <v>91813</v>
      </c>
      <c r="F8" s="3450">
        <v>2651</v>
      </c>
      <c r="G8" s="3450">
        <v>122.6</v>
      </c>
      <c r="H8" s="3451">
        <f>D8/2</f>
        <v>30</v>
      </c>
      <c r="I8" s="3452">
        <f>D8/2+D10</f>
        <v>31.6</v>
      </c>
      <c r="J8" s="2981">
        <v>1.2</v>
      </c>
    </row>
    <row r="9" spans="1:10" ht="13.15">
      <c r="A9" s="3449" t="s">
        <v>3819</v>
      </c>
      <c r="B9" s="3450">
        <v>400</v>
      </c>
      <c r="C9" s="3450">
        <v>62.93</v>
      </c>
      <c r="D9" s="3450">
        <v>1</v>
      </c>
      <c r="E9" s="3450">
        <v>15382.8</v>
      </c>
      <c r="F9" s="3450">
        <v>504.8</v>
      </c>
      <c r="G9" s="3450">
        <v>49.4</v>
      </c>
      <c r="H9" s="3450">
        <v>2.42</v>
      </c>
      <c r="I9" s="3452">
        <f>D8+D10+D9-H9</f>
        <v>60.18</v>
      </c>
      <c r="J9" s="2903">
        <f>D9</f>
        <v>1</v>
      </c>
    </row>
    <row r="10" spans="1:10" ht="13.15">
      <c r="A10" s="3449" t="s">
        <v>3820</v>
      </c>
      <c r="B10" s="3453">
        <v>230</v>
      </c>
      <c r="C10" s="3452">
        <f>B10*D10/10</f>
        <v>36.799999999999997</v>
      </c>
      <c r="D10" s="3453">
        <v>1.6</v>
      </c>
      <c r="E10" s="3454">
        <f>B10/10*D10^3/12</f>
        <v>7.8506666666666689</v>
      </c>
      <c r="F10" s="3455">
        <f>D10*(B10/10)^3/12</f>
        <v>1622.2666666666667</v>
      </c>
      <c r="G10" s="3455">
        <f>C10*7850/10000</f>
        <v>28.888000000000002</v>
      </c>
      <c r="H10" s="3452">
        <f>D10/2</f>
        <v>0.8</v>
      </c>
      <c r="I10" s="3452">
        <f>H10</f>
        <v>0.8</v>
      </c>
      <c r="J10" s="3456">
        <f>D10</f>
        <v>1.6</v>
      </c>
    </row>
    <row r="11" spans="1:10" ht="13.15">
      <c r="A11" s="3449" t="s">
        <v>3821</v>
      </c>
      <c r="B11" s="3457" t="s">
        <v>3836</v>
      </c>
      <c r="C11" s="2843"/>
      <c r="D11" s="2843"/>
      <c r="E11" s="2843"/>
      <c r="F11" s="2843"/>
      <c r="G11" s="2843"/>
      <c r="H11" s="2843"/>
      <c r="I11" s="2843"/>
    </row>
    <row r="12" spans="1:10" ht="13.15">
      <c r="A12" s="3449" t="s">
        <v>3823</v>
      </c>
      <c r="B12" s="3458">
        <f>(C8*I8+C9*I9+C10*I10)/(C8+C9+C10)</f>
        <v>33.468571669382484</v>
      </c>
      <c r="C12" s="2843" t="s">
        <v>3824</v>
      </c>
      <c r="D12" s="2843"/>
      <c r="E12" s="2843"/>
      <c r="F12" s="2843"/>
      <c r="G12" s="2843"/>
      <c r="H12" s="2843"/>
      <c r="I12" s="2843"/>
    </row>
    <row r="13" spans="1:10" ht="13.15">
      <c r="A13" s="3449" t="s">
        <v>3825</v>
      </c>
      <c r="B13" s="3459">
        <f>(D8+D9+D10)-B12</f>
        <v>29.131428330617517</v>
      </c>
      <c r="C13" s="2843" t="s">
        <v>3826</v>
      </c>
      <c r="D13" s="3460"/>
      <c r="E13" s="2843"/>
      <c r="F13" s="2843"/>
      <c r="G13" s="2843"/>
      <c r="H13" s="2843"/>
      <c r="I13" s="2843"/>
      <c r="J13" s="2852"/>
    </row>
    <row r="14" spans="1:10" ht="13.15">
      <c r="A14" s="3448" t="s">
        <v>3827</v>
      </c>
      <c r="B14" s="3459">
        <f>B10/20</f>
        <v>11.5</v>
      </c>
      <c r="C14" s="2843"/>
      <c r="D14" s="2843"/>
      <c r="E14" s="2843"/>
      <c r="F14" s="2843"/>
      <c r="G14" s="2843"/>
      <c r="H14" s="2843"/>
      <c r="I14" s="2843"/>
      <c r="J14" s="2852"/>
    </row>
    <row r="15" spans="1:10" ht="13.15">
      <c r="A15" s="3449" t="s">
        <v>3828</v>
      </c>
      <c r="B15" s="3461">
        <f>E8+E9+E10+(C9*(B12-I9)^2)+(C10*(B12-I10)^2)+C8*(B12-I8)^2</f>
        <v>192273.07282250337</v>
      </c>
      <c r="C15" s="2843"/>
      <c r="D15" s="2843"/>
      <c r="E15" s="2843"/>
      <c r="F15" s="2843"/>
      <c r="G15" s="2843"/>
      <c r="H15" s="2843"/>
      <c r="I15" s="2843"/>
      <c r="J15" s="2852"/>
    </row>
    <row r="16" spans="1:10" ht="13.15">
      <c r="A16" s="3449" t="s">
        <v>3829</v>
      </c>
      <c r="B16" s="3462">
        <f>E9+F8+F10</f>
        <v>19656.066666666666</v>
      </c>
      <c r="J16" s="2852"/>
    </row>
    <row r="17" spans="1:10" ht="13.15">
      <c r="A17" s="3449" t="s">
        <v>3741</v>
      </c>
      <c r="B17" s="3463">
        <f>B15/B12</f>
        <v>5744.8843267607217</v>
      </c>
      <c r="J17" s="2852"/>
    </row>
    <row r="18" spans="1:10" ht="13.15">
      <c r="A18" s="3449" t="s">
        <v>3830</v>
      </c>
      <c r="B18" s="3464">
        <f>B15/B13</f>
        <v>6600.1938058224841</v>
      </c>
      <c r="J18" s="2852"/>
    </row>
    <row r="19" spans="1:10" ht="13.15">
      <c r="A19" s="3449" t="s">
        <v>2006</v>
      </c>
      <c r="B19" s="3459">
        <f>B16/(B14)</f>
        <v>1709.2231884057969</v>
      </c>
      <c r="J19" s="2852"/>
    </row>
    <row r="20" spans="1:10" ht="13.15">
      <c r="A20" s="3449" t="s">
        <v>3831</v>
      </c>
      <c r="B20" s="3456">
        <f>D8+D9+D10</f>
        <v>62.6</v>
      </c>
      <c r="J20" s="2852"/>
    </row>
    <row r="21" spans="1:10" ht="13.15">
      <c r="A21" s="3449" t="s">
        <v>3832</v>
      </c>
      <c r="B21" s="3456">
        <f>D9+J9</f>
        <v>2</v>
      </c>
      <c r="J21" s="2852"/>
    </row>
    <row r="22" spans="1:10" ht="13.15">
      <c r="A22" s="3449" t="s">
        <v>3833</v>
      </c>
      <c r="B22" s="3459">
        <f>B20/B21</f>
        <v>31.3</v>
      </c>
    </row>
    <row r="23" spans="1:10" ht="13.15">
      <c r="A23" s="3449" t="s">
        <v>3834</v>
      </c>
      <c r="B23" s="3456">
        <f>C8+C9+C10</f>
        <v>355.94</v>
      </c>
    </row>
    <row r="24" spans="1:10" ht="13.15">
      <c r="A24" s="3449" t="s">
        <v>275</v>
      </c>
      <c r="B24" s="3456">
        <f>G8+G9+G10</f>
        <v>200.88800000000001</v>
      </c>
    </row>
    <row r="25" spans="1:10" ht="13.15">
      <c r="A25" s="3449" t="s">
        <v>3835</v>
      </c>
      <c r="B25" s="3459">
        <f>SQRT(B16/B23)</f>
        <v>7.4312164317431968</v>
      </c>
    </row>
    <row r="26" spans="1:10">
      <c r="A26" s="2903"/>
      <c r="B26" s="3456"/>
    </row>
    <row r="27" spans="1:10">
      <c r="A27" s="2903"/>
      <c r="B27" s="2903"/>
    </row>
  </sheetData>
  <pageMargins left="0.75" right="0.75" top="1" bottom="1" header="0.5" footer="0.5"/>
  <pageSetup orientation="portrait" horizontalDpi="1200" verticalDpi="12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B5B08-0789-452B-A025-75D54209664C}">
  <dimension ref="A1:F16"/>
  <sheetViews>
    <sheetView workbookViewId="0">
      <selection activeCell="H50" sqref="H50"/>
    </sheetView>
  </sheetViews>
  <sheetFormatPr defaultColWidth="9" defaultRowHeight="12.75"/>
  <cols>
    <col min="1" max="16384" width="9" style="2834"/>
  </cols>
  <sheetData>
    <row r="1" spans="1:6">
      <c r="A1" s="2834" t="s">
        <v>3903</v>
      </c>
    </row>
    <row r="2" spans="1:6">
      <c r="A2" s="2834" t="s">
        <v>3904</v>
      </c>
      <c r="B2" s="2834" t="s">
        <v>3905</v>
      </c>
      <c r="D2" s="2834" t="s">
        <v>3906</v>
      </c>
    </row>
    <row r="3" spans="1:6">
      <c r="A3" s="2834" t="s">
        <v>3907</v>
      </c>
      <c r="B3" s="2834">
        <v>28</v>
      </c>
      <c r="D3" s="2834">
        <v>53</v>
      </c>
      <c r="E3" s="2834">
        <v>11</v>
      </c>
      <c r="F3" s="2834" t="s">
        <v>2803</v>
      </c>
    </row>
    <row r="4" spans="1:6">
      <c r="A4" s="2834" t="s">
        <v>3908</v>
      </c>
      <c r="B4" s="2834">
        <v>38</v>
      </c>
      <c r="D4" s="2834">
        <v>71</v>
      </c>
      <c r="E4" s="2834">
        <v>14</v>
      </c>
      <c r="F4" s="2834" t="s">
        <v>2803</v>
      </c>
    </row>
    <row r="5" spans="1:6">
      <c r="A5" s="2834" t="s">
        <v>3909</v>
      </c>
      <c r="B5" s="2834">
        <v>42</v>
      </c>
      <c r="D5" s="2834">
        <v>80</v>
      </c>
      <c r="E5" s="2834">
        <v>19</v>
      </c>
      <c r="F5" s="2834" t="s">
        <v>2803</v>
      </c>
    </row>
    <row r="6" spans="1:6">
      <c r="A6" s="2834" t="s">
        <v>3910</v>
      </c>
      <c r="B6" s="2834">
        <v>42</v>
      </c>
      <c r="D6" s="2834" t="s">
        <v>133</v>
      </c>
      <c r="E6" s="2834">
        <v>24</v>
      </c>
      <c r="F6" s="2834" t="s">
        <v>2803</v>
      </c>
    </row>
    <row r="7" spans="1:6">
      <c r="A7" s="2834" t="s">
        <v>3911</v>
      </c>
      <c r="B7" s="2834">
        <v>48</v>
      </c>
      <c r="D7" s="2834" t="s">
        <v>136</v>
      </c>
      <c r="E7" s="2834">
        <v>24</v>
      </c>
      <c r="F7" s="2834" t="s">
        <v>266</v>
      </c>
    </row>
    <row r="8" spans="1:6">
      <c r="A8" s="2834" t="s">
        <v>3912</v>
      </c>
      <c r="B8" s="2834">
        <v>55</v>
      </c>
      <c r="D8" s="2834" t="s">
        <v>140</v>
      </c>
      <c r="E8" s="2834">
        <v>28</v>
      </c>
      <c r="F8" s="2834" t="s">
        <v>266</v>
      </c>
    </row>
    <row r="9" spans="1:6">
      <c r="A9" s="2834" t="s">
        <v>3913</v>
      </c>
      <c r="B9" s="2834">
        <v>60</v>
      </c>
      <c r="D9" s="2834" t="s">
        <v>143</v>
      </c>
      <c r="E9" s="2834">
        <v>28</v>
      </c>
      <c r="F9" s="2834" t="s">
        <v>266</v>
      </c>
    </row>
    <row r="10" spans="1:6">
      <c r="A10" s="2834" t="s">
        <v>3914</v>
      </c>
      <c r="B10" s="2834">
        <v>60</v>
      </c>
      <c r="D10" s="2834" t="s">
        <v>147</v>
      </c>
      <c r="E10" s="2834">
        <v>38</v>
      </c>
      <c r="F10" s="2834" t="s">
        <v>266</v>
      </c>
    </row>
    <row r="11" spans="1:6">
      <c r="A11" s="2834" t="s">
        <v>200</v>
      </c>
      <c r="B11" s="2834">
        <v>65</v>
      </c>
      <c r="D11" s="2834" t="s">
        <v>151</v>
      </c>
      <c r="E11" s="2834">
        <v>38</v>
      </c>
      <c r="F11" s="2834" t="s">
        <v>266</v>
      </c>
    </row>
    <row r="12" spans="1:6">
      <c r="A12" s="2834" t="s">
        <v>207</v>
      </c>
      <c r="B12" s="2834">
        <v>65</v>
      </c>
    </row>
    <row r="13" spans="1:6">
      <c r="A13" s="2834" t="s">
        <v>214</v>
      </c>
      <c r="B13" s="2834">
        <v>75</v>
      </c>
      <c r="D13" s="2834" t="s">
        <v>3915</v>
      </c>
    </row>
    <row r="14" spans="1:6">
      <c r="A14" s="2834" t="s">
        <v>3916</v>
      </c>
      <c r="B14" s="2834">
        <v>75</v>
      </c>
    </row>
    <row r="15" spans="1:6">
      <c r="A15" s="2834" t="s">
        <v>3917</v>
      </c>
      <c r="B15" s="2834">
        <v>80</v>
      </c>
    </row>
    <row r="16" spans="1:6">
      <c r="A16" s="2834" t="s">
        <v>3918</v>
      </c>
      <c r="B16" s="2834">
        <v>80</v>
      </c>
    </row>
  </sheetData>
  <pageMargins left="0.75" right="0.75" top="1" bottom="1" header="0.5" footer="0.5"/>
  <pageSetup paperSize="9" orientation="portrait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E6481-72C5-42BA-83A4-77448EF308E9}">
  <dimension ref="B2:F21"/>
  <sheetViews>
    <sheetView workbookViewId="0">
      <selection activeCell="H50" sqref="H50"/>
    </sheetView>
  </sheetViews>
  <sheetFormatPr defaultColWidth="9" defaultRowHeight="12.75"/>
  <cols>
    <col min="1" max="1" width="4.86328125" style="2834" customWidth="1"/>
    <col min="2" max="16384" width="9" style="2834"/>
  </cols>
  <sheetData>
    <row r="2" spans="2:6">
      <c r="B2" s="2709" t="str">
        <f>Girder!G38</f>
        <v>ST-42</v>
      </c>
      <c r="C2" s="2709">
        <f>Girder!H38</f>
        <v>250</v>
      </c>
    </row>
    <row r="4" spans="2:6">
      <c r="B4" s="2709" t="s">
        <v>2936</v>
      </c>
      <c r="C4" s="2660" t="s">
        <v>2937</v>
      </c>
      <c r="D4" s="2660" t="s">
        <v>2887</v>
      </c>
      <c r="E4" s="2633"/>
    </row>
    <row r="5" spans="2:6">
      <c r="B5" s="2709" t="s">
        <v>2939</v>
      </c>
      <c r="C5" s="2831">
        <v>350</v>
      </c>
      <c r="D5" s="2831">
        <v>250</v>
      </c>
      <c r="E5" s="2633" t="s">
        <v>438</v>
      </c>
    </row>
    <row r="6" spans="2:6">
      <c r="B6" s="2709" t="s">
        <v>2943</v>
      </c>
      <c r="C6" s="2709">
        <v>330</v>
      </c>
      <c r="D6" s="2709">
        <v>240</v>
      </c>
      <c r="E6" s="2633" t="s">
        <v>438</v>
      </c>
    </row>
    <row r="7" spans="2:6">
      <c r="B7" s="2709" t="s">
        <v>2945</v>
      </c>
      <c r="C7" s="2709">
        <v>320</v>
      </c>
      <c r="D7" s="2709">
        <v>230</v>
      </c>
      <c r="E7" s="2633" t="s">
        <v>438</v>
      </c>
    </row>
    <row r="10" spans="2:6">
      <c r="B10" s="2709" t="str">
        <f t="shared" ref="B10" si="0">D4</f>
        <v>ST-42</v>
      </c>
      <c r="C10" s="2709" t="s">
        <v>3220</v>
      </c>
      <c r="D10" s="2709" t="s">
        <v>3222</v>
      </c>
      <c r="E10" s="2709" t="s">
        <v>3223</v>
      </c>
      <c r="F10" s="2709" t="s">
        <v>3919</v>
      </c>
    </row>
    <row r="11" spans="2:6">
      <c r="B11" s="2709">
        <f>D5</f>
        <v>250</v>
      </c>
      <c r="C11" s="2709">
        <f t="shared" ref="C11" si="1">ROUND(D5*100/9.81/1.5/1.15,2)</f>
        <v>1477.34</v>
      </c>
      <c r="D11" s="2709">
        <f t="shared" ref="D11" si="2">ROUND(D5*100/9.81/1.5,2)</f>
        <v>1698.95</v>
      </c>
      <c r="E11" s="2709">
        <f t="shared" ref="E11" si="3">ROUND(D5*100/9.81/1.5/1.732,2)</f>
        <v>980.92</v>
      </c>
      <c r="F11" s="2660">
        <v>2250</v>
      </c>
    </row>
    <row r="12" spans="2:6">
      <c r="B12" s="2709">
        <f>D6</f>
        <v>240</v>
      </c>
      <c r="C12" s="2709">
        <f>ROUND(D6*100/9.81/1.5/1.15,2)</f>
        <v>1418.25</v>
      </c>
      <c r="D12" s="2709">
        <f>ROUND(D6*100/9.81/1.5,2)</f>
        <v>1630.99</v>
      </c>
      <c r="E12" s="2709">
        <f>ROUND(D6*100/9.81/1.5/1.732,2)</f>
        <v>941.68</v>
      </c>
      <c r="F12" s="2660">
        <v>2250</v>
      </c>
    </row>
    <row r="13" spans="2:6">
      <c r="B13" s="2709">
        <f>D7</f>
        <v>230</v>
      </c>
      <c r="C13" s="2709">
        <f>ROUND(D7*100/9.81/1.5/1.15,2)</f>
        <v>1359.16</v>
      </c>
      <c r="D13" s="2709">
        <f>ROUND(D7*100/9.81/1.5,2)</f>
        <v>1563.03</v>
      </c>
      <c r="E13" s="2709">
        <f>ROUND(D7*100/9.81/1.5/1.732,2)</f>
        <v>902.44</v>
      </c>
      <c r="F13" s="2660">
        <v>2250</v>
      </c>
    </row>
    <row r="15" spans="2:6">
      <c r="B15" s="2709" t="str">
        <f t="shared" ref="B15" si="4">C4</f>
        <v>ST-52</v>
      </c>
      <c r="C15" s="2709" t="s">
        <v>3220</v>
      </c>
      <c r="D15" s="2709" t="s">
        <v>3222</v>
      </c>
      <c r="E15" s="2709" t="s">
        <v>3223</v>
      </c>
      <c r="F15" s="2709" t="s">
        <v>3919</v>
      </c>
    </row>
    <row r="16" spans="2:6">
      <c r="B16" s="2709">
        <f>C5</f>
        <v>350</v>
      </c>
      <c r="C16" s="2709">
        <f t="shared" ref="C16" si="5">ROUND(C5*100/9.81/1.5/1.15,2)</f>
        <v>2068.2800000000002</v>
      </c>
      <c r="D16" s="2709">
        <f t="shared" ref="D16" si="6">ROUND(C5*100/9.81/1.5,2)</f>
        <v>2378.5300000000002</v>
      </c>
      <c r="E16" s="2709">
        <f t="shared" ref="E16" si="7">ROUND(C5*100/9.81/1.5/1.732,2)</f>
        <v>1373.28</v>
      </c>
      <c r="F16" s="2660">
        <v>2970</v>
      </c>
    </row>
    <row r="17" spans="2:6">
      <c r="B17" s="2709">
        <f>C6</f>
        <v>330</v>
      </c>
      <c r="C17" s="2709">
        <f>ROUND(C6*100/9.81/1.5/1.15,2)</f>
        <v>1950.1</v>
      </c>
      <c r="D17" s="2709">
        <f>ROUND(C6*100/9.81/1.5,2)</f>
        <v>2242.61</v>
      </c>
      <c r="E17" s="2709">
        <f>ROUND(C6*100/9.81/1.5/1.732,2)</f>
        <v>1294.81</v>
      </c>
      <c r="F17" s="2660">
        <v>2970</v>
      </c>
    </row>
    <row r="18" spans="2:6">
      <c r="B18" s="2709">
        <f>C7</f>
        <v>320</v>
      </c>
      <c r="C18" s="2709">
        <f>ROUND(C7*100/9.81/1.5/1.15,2)</f>
        <v>1891</v>
      </c>
      <c r="D18" s="2709">
        <f>ROUND(C7*100/9.81/1.5,2)</f>
        <v>2174.65</v>
      </c>
      <c r="E18" s="2709">
        <f>ROUND(C7*100/9.81/1.5/1.732,2)</f>
        <v>1255.57</v>
      </c>
      <c r="F18" s="2660">
        <v>2970</v>
      </c>
    </row>
    <row r="20" spans="2:6">
      <c r="B20" s="2709" t="s">
        <v>3220</v>
      </c>
      <c r="C20" s="2709" t="s">
        <v>3222</v>
      </c>
      <c r="D20" s="2709" t="s">
        <v>3223</v>
      </c>
      <c r="E20" s="2709" t="s">
        <v>3919</v>
      </c>
    </row>
    <row r="21" spans="2:6">
      <c r="B21" s="2709">
        <f>IF(B2="ST-42",VLOOKUP(C2,B11:F13,2,FALSE),VLOOKUP(C2,B16:F18,2,FALSE))</f>
        <v>1477.34</v>
      </c>
      <c r="C21" s="2709">
        <f>IF(B2="ST-42",VLOOKUP(C2,B11:F13,3,FALSE),VLOOKUP(C2,B16:F18,3,FALSE))</f>
        <v>1698.95</v>
      </c>
      <c r="D21" s="2709">
        <f>IF(B2="ST-42",VLOOKUP(C2,B11:F13,4,FALSE),VLOOKUP(C2,B16:F18,4,FALSE))</f>
        <v>980.92</v>
      </c>
      <c r="E21" s="2709">
        <f>IF(B2="ST-42",VLOOKUP(C2,B11:F13,5,FALSE),VLOOKUP(C2,B16:F18,5,FALSE))</f>
        <v>2250</v>
      </c>
    </row>
  </sheetData>
  <dataValidations count="1">
    <dataValidation type="list" allowBlank="1" showInputMessage="1" showErrorMessage="1" sqref="M8" xr:uid="{FAFFDD83-E52F-4079-82B0-5848AA401990}">
      <formula1>IF($B$2="ST-42",$L$3:$L$5,$M$3:$M$5)</formula1>
    </dataValidation>
  </dataValidations>
  <pageMargins left="0.69930555555555596" right="0.69930555555555596" top="0.75" bottom="0.75" header="0.3" footer="0.3"/>
  <pageSetup paperSize="9" orientation="portrait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E79CE-5E9F-4056-B659-2671ABE2E729}">
  <dimension ref="A1:L48"/>
  <sheetViews>
    <sheetView workbookViewId="0">
      <selection activeCell="H50" sqref="H50"/>
    </sheetView>
  </sheetViews>
  <sheetFormatPr defaultColWidth="9.1328125" defaultRowHeight="14.25"/>
  <cols>
    <col min="1" max="1" width="7.86328125" style="3504" customWidth="1"/>
    <col min="2" max="2" width="12.46484375" style="3504" customWidth="1"/>
    <col min="3" max="3" width="20" style="3504" customWidth="1"/>
    <col min="4" max="4" width="13.53125" style="3504" customWidth="1"/>
    <col min="5" max="7" width="9.1328125" style="3504"/>
    <col min="8" max="8" width="9.53125" style="3504" customWidth="1"/>
    <col min="9" max="9" width="12.46484375" style="3504" customWidth="1"/>
    <col min="10" max="11" width="9.1328125" style="3504"/>
    <col min="12" max="12" width="36.33203125" style="3504" customWidth="1"/>
    <col min="13" max="16384" width="9.1328125" style="3504"/>
  </cols>
  <sheetData>
    <row r="1" spans="1:12" ht="15.75">
      <c r="A1" s="4661"/>
      <c r="B1" s="4662"/>
      <c r="C1" s="4662"/>
      <c r="D1" s="4662"/>
      <c r="E1" s="4662"/>
      <c r="F1" s="4662"/>
      <c r="G1" s="4662"/>
      <c r="H1" s="4662"/>
      <c r="I1" s="4662"/>
      <c r="J1" s="4662"/>
      <c r="K1" s="4662"/>
      <c r="L1" s="4663"/>
    </row>
    <row r="2" spans="1:12">
      <c r="A2" s="3505"/>
      <c r="B2" s="4659" t="s">
        <v>3920</v>
      </c>
      <c r="C2" s="4660"/>
      <c r="D2" s="3507">
        <f>Girder!G28</f>
        <v>37</v>
      </c>
      <c r="E2" s="3508" t="s">
        <v>571</v>
      </c>
      <c r="L2" s="3508"/>
    </row>
    <row r="3" spans="1:12">
      <c r="A3" s="3505"/>
      <c r="B3" s="4659" t="s">
        <v>3921</v>
      </c>
      <c r="C3" s="4660"/>
      <c r="D3" s="3509">
        <f>Girder!G31</f>
        <v>1</v>
      </c>
      <c r="E3" s="3508" t="s">
        <v>571</v>
      </c>
      <c r="L3" s="3508"/>
    </row>
    <row r="4" spans="1:12">
      <c r="A4" s="3505"/>
      <c r="B4" s="4659" t="s">
        <v>3922</v>
      </c>
      <c r="C4" s="4660"/>
      <c r="D4" s="3509">
        <f>Girder!G29</f>
        <v>37</v>
      </c>
      <c r="E4" s="3508" t="s">
        <v>571</v>
      </c>
      <c r="L4" s="3508"/>
    </row>
    <row r="5" spans="1:12">
      <c r="A5" s="3505"/>
      <c r="B5" s="4659" t="s">
        <v>3923</v>
      </c>
      <c r="C5" s="4660"/>
      <c r="D5" s="3509">
        <f>Girder!G32</f>
        <v>0.8</v>
      </c>
      <c r="E5" s="3508" t="s">
        <v>571</v>
      </c>
      <c r="L5" s="3508"/>
    </row>
    <row r="6" spans="1:12">
      <c r="A6" s="3505"/>
      <c r="B6" s="4659" t="s">
        <v>3924</v>
      </c>
      <c r="C6" s="4660"/>
      <c r="D6" s="3510">
        <f>D9-D3-D5</f>
        <v>120.2</v>
      </c>
      <c r="E6" s="3508" t="s">
        <v>571</v>
      </c>
      <c r="L6" s="3508"/>
    </row>
    <row r="7" spans="1:12">
      <c r="A7" s="3505"/>
      <c r="B7" s="4659" t="s">
        <v>3925</v>
      </c>
      <c r="C7" s="4660"/>
      <c r="D7" s="3509">
        <f>Girder!G33</f>
        <v>0.6</v>
      </c>
      <c r="E7" s="3508" t="s">
        <v>571</v>
      </c>
      <c r="L7" s="3508"/>
    </row>
    <row r="8" spans="1:12">
      <c r="A8" s="3505"/>
      <c r="B8" s="4659" t="s">
        <v>3926</v>
      </c>
      <c r="C8" s="4660"/>
      <c r="D8" s="3509">
        <f>Girder!G34</f>
        <v>0.6</v>
      </c>
      <c r="E8" s="3508" t="s">
        <v>571</v>
      </c>
      <c r="L8" s="3508"/>
    </row>
    <row r="9" spans="1:12">
      <c r="A9" s="3505"/>
      <c r="B9" s="4659" t="s">
        <v>3927</v>
      </c>
      <c r="C9" s="4660"/>
      <c r="D9" s="3509">
        <f>Girder!G30</f>
        <v>122</v>
      </c>
      <c r="E9" s="3508" t="s">
        <v>571</v>
      </c>
      <c r="L9" s="3508"/>
    </row>
    <row r="10" spans="1:12">
      <c r="A10" s="3505"/>
      <c r="B10" s="4659" t="s">
        <v>3928</v>
      </c>
      <c r="C10" s="4660"/>
      <c r="D10" s="3509">
        <f>(Girder!C31+Girder!D31/2+Girder!B31/2)/10</f>
        <v>30.4</v>
      </c>
      <c r="E10" s="3508" t="s">
        <v>571</v>
      </c>
      <c r="L10" s="3508"/>
    </row>
    <row r="11" spans="1:12">
      <c r="A11" s="3505"/>
      <c r="B11" s="4666" t="s">
        <v>3929</v>
      </c>
      <c r="C11" s="4667"/>
      <c r="D11" s="3510">
        <f>D9-D3/2-D5/2</f>
        <v>121.1</v>
      </c>
      <c r="E11" s="3511" t="s">
        <v>571</v>
      </c>
      <c r="L11" s="3508"/>
    </row>
    <row r="12" spans="1:12">
      <c r="A12" s="3505"/>
      <c r="L12" s="3508"/>
    </row>
    <row r="13" spans="1:12">
      <c r="A13" s="3505"/>
      <c r="B13" s="3512" t="s">
        <v>3930</v>
      </c>
      <c r="C13" s="3512"/>
      <c r="D13" s="3510">
        <f>ROUND(D4/2-D10/2,2)</f>
        <v>3.3</v>
      </c>
      <c r="E13" s="3513" t="s">
        <v>571</v>
      </c>
      <c r="L13" s="3508"/>
    </row>
    <row r="14" spans="1:12">
      <c r="A14" s="3505"/>
      <c r="B14" s="3514" t="s">
        <v>3931</v>
      </c>
      <c r="C14" s="3515"/>
      <c r="D14" s="3510">
        <f>D10+D7</f>
        <v>31</v>
      </c>
      <c r="E14" s="3511" t="s">
        <v>571</v>
      </c>
      <c r="L14" s="3508"/>
    </row>
    <row r="15" spans="1:12">
      <c r="A15" s="3505"/>
      <c r="L15" s="3508"/>
    </row>
    <row r="16" spans="1:12">
      <c r="A16" s="3505"/>
      <c r="B16" s="3516" t="s">
        <v>3932</v>
      </c>
      <c r="H16" s="3517">
        <f>ROUND(I39/I35,2)</f>
        <v>0.1</v>
      </c>
      <c r="I16" s="3517" t="s">
        <v>2889</v>
      </c>
      <c r="L16" s="3508"/>
    </row>
    <row r="17" spans="1:12">
      <c r="A17" s="3505"/>
      <c r="B17" s="4668" t="s">
        <v>3933</v>
      </c>
      <c r="C17" s="4669"/>
      <c r="E17" s="3518">
        <f>D2*D3</f>
        <v>37</v>
      </c>
      <c r="F17" s="3504" t="s">
        <v>3849</v>
      </c>
      <c r="L17" s="3508"/>
    </row>
    <row r="18" spans="1:12" ht="15" customHeight="1">
      <c r="A18" s="3505"/>
      <c r="B18" s="4668" t="s">
        <v>3934</v>
      </c>
      <c r="C18" s="4669"/>
      <c r="E18" s="3518">
        <f>D4*D5</f>
        <v>29.6</v>
      </c>
      <c r="F18" s="3504" t="s">
        <v>3849</v>
      </c>
      <c r="L18" s="3508"/>
    </row>
    <row r="19" spans="1:12" ht="15" customHeight="1">
      <c r="A19" s="3505"/>
      <c r="B19" s="4668" t="s">
        <v>3935</v>
      </c>
      <c r="C19" s="4669"/>
      <c r="E19" s="3518">
        <f>D6*D7</f>
        <v>72.12</v>
      </c>
      <c r="F19" s="3504" t="s">
        <v>3849</v>
      </c>
      <c r="L19" s="3508"/>
    </row>
    <row r="20" spans="1:12" ht="15" customHeight="1">
      <c r="A20" s="3505"/>
      <c r="B20" s="4668" t="s">
        <v>3936</v>
      </c>
      <c r="C20" s="4669"/>
      <c r="E20" s="3518">
        <f>D6*D8</f>
        <v>72.12</v>
      </c>
      <c r="F20" s="3504" t="s">
        <v>3849</v>
      </c>
      <c r="L20" s="3508"/>
    </row>
    <row r="21" spans="1:12" ht="15" customHeight="1">
      <c r="A21" s="3505"/>
      <c r="B21" s="3516"/>
      <c r="L21" s="3508"/>
    </row>
    <row r="22" spans="1:12">
      <c r="A22" s="3505"/>
      <c r="B22" s="3519" t="s">
        <v>3937</v>
      </c>
      <c r="L22" s="3508"/>
    </row>
    <row r="23" spans="1:12">
      <c r="A23" s="3506" t="s">
        <v>1488</v>
      </c>
      <c r="B23" s="3518" t="s">
        <v>1031</v>
      </c>
      <c r="I23" s="3520">
        <f>E17+E18+E19+E20</f>
        <v>210.84</v>
      </c>
      <c r="J23" s="3504" t="s">
        <v>3849</v>
      </c>
      <c r="L23" s="3508"/>
    </row>
    <row r="24" spans="1:12">
      <c r="A24" s="3506"/>
      <c r="L24" s="3508"/>
    </row>
    <row r="25" spans="1:12">
      <c r="A25" s="3505"/>
      <c r="B25" s="3521" t="s">
        <v>3938</v>
      </c>
      <c r="L25" s="3508"/>
    </row>
    <row r="26" spans="1:12">
      <c r="A26" s="3506" t="s">
        <v>1489</v>
      </c>
      <c r="B26" s="3521" t="s">
        <v>3939</v>
      </c>
      <c r="J26" s="3510">
        <f>ROUND(((E17*D3/2)+(E19*(D3+D6/2))+(E20*(D3+D6/2))+(E18*(D3+D6+D5/2)))/I23,3)</f>
        <v>58.959000000000003</v>
      </c>
      <c r="K26" s="3504" t="s">
        <v>571</v>
      </c>
      <c r="L26" s="3508"/>
    </row>
    <row r="27" spans="1:12">
      <c r="A27" s="3506" t="s">
        <v>1491</v>
      </c>
      <c r="B27" s="3521" t="s">
        <v>3940</v>
      </c>
      <c r="I27" s="3522" t="s">
        <v>160</v>
      </c>
      <c r="J27" s="3510">
        <f>D9-J26</f>
        <v>63.040999999999997</v>
      </c>
      <c r="K27" s="3504" t="s">
        <v>571</v>
      </c>
      <c r="L27" s="3508"/>
    </row>
    <row r="28" spans="1:12">
      <c r="A28" s="3506"/>
      <c r="H28" s="3522"/>
      <c r="L28" s="3508"/>
    </row>
    <row r="29" spans="1:12">
      <c r="A29" s="3506"/>
      <c r="B29" s="3521" t="s">
        <v>3941</v>
      </c>
      <c r="L29" s="3508"/>
    </row>
    <row r="30" spans="1:12">
      <c r="A30" s="3506" t="s">
        <v>1492</v>
      </c>
      <c r="B30" s="3521" t="s">
        <v>3942</v>
      </c>
      <c r="H30" s="3522" t="s">
        <v>160</v>
      </c>
      <c r="I30" s="3510">
        <f>ROUND(((E17*D2/2)+(E19*D13)+(E19*(D13+D10))+(E18*D4/2))/I23,3)</f>
        <v>18.5</v>
      </c>
      <c r="J30" s="3504" t="s">
        <v>571</v>
      </c>
      <c r="L30" s="3508"/>
    </row>
    <row r="31" spans="1:12">
      <c r="A31" s="3506" t="s">
        <v>1494</v>
      </c>
      <c r="B31" s="3521" t="s">
        <v>3943</v>
      </c>
      <c r="H31" s="3522" t="s">
        <v>160</v>
      </c>
      <c r="I31" s="3510">
        <f>D2-I30</f>
        <v>18.5</v>
      </c>
      <c r="J31" s="3504" t="s">
        <v>571</v>
      </c>
      <c r="L31" s="3508"/>
    </row>
    <row r="32" spans="1:12">
      <c r="A32" s="3506"/>
      <c r="H32" s="3522"/>
      <c r="L32" s="3508"/>
    </row>
    <row r="33" spans="1:12" ht="15" customHeight="1">
      <c r="A33" s="3506"/>
      <c r="B33" s="3521" t="s">
        <v>3944</v>
      </c>
    </row>
    <row r="34" spans="1:12">
      <c r="A34" s="4664" t="s">
        <v>1497</v>
      </c>
      <c r="B34" s="4665" t="s">
        <v>3183</v>
      </c>
      <c r="L34" s="3508"/>
    </row>
    <row r="35" spans="1:12">
      <c r="A35" s="4664"/>
      <c r="B35" s="4665"/>
      <c r="I35" s="3523">
        <f>ROUND((((1/12)*(D2*D3^3)+(E17*(J26-D3/2)^2))+((1/12)*(D7*D6^3)+(E19*(J26-(D3+D6/2))^2))+((1/12)*(D8*D6^3)+(E20*(J26-(D3+D6/2))^2))+((1/12)*(D4*D5^3)+(E18*(J27-D5/2)^2))),2)</f>
        <v>416924.39</v>
      </c>
      <c r="J35" s="3504" t="s">
        <v>3153</v>
      </c>
      <c r="L35" s="3508"/>
    </row>
    <row r="36" spans="1:12">
      <c r="A36" s="3524"/>
      <c r="C36" s="3525"/>
      <c r="D36" s="3525"/>
      <c r="E36" s="3525"/>
      <c r="F36" s="3525"/>
      <c r="G36" s="3525"/>
      <c r="H36" s="3525"/>
      <c r="L36" s="3508"/>
    </row>
    <row r="37" spans="1:12">
      <c r="A37" s="3506"/>
      <c r="B37" s="3521" t="s">
        <v>3945</v>
      </c>
    </row>
    <row r="38" spans="1:12">
      <c r="A38" s="4664" t="s">
        <v>1500</v>
      </c>
      <c r="B38" s="4665" t="s">
        <v>3185</v>
      </c>
      <c r="L38" s="3508"/>
    </row>
    <row r="39" spans="1:12">
      <c r="A39" s="4664"/>
      <c r="B39" s="4665"/>
      <c r="I39" s="3523">
        <f>ROUND((((1/12)*(D3*D2^3))+(E17*(I30-D2/2)^2))+(((1/12)*(D6*D7^3))+(E19*(I30-D13)^2))+(((1/12)*(D6*D8^3))+(E20*(I31-D13)^2))+(((1/12)*(D5*D4^3))+(E18*(I31-D4/2)^2)),2)</f>
        <v>40927.49</v>
      </c>
      <c r="J39" s="3504" t="s">
        <v>3153</v>
      </c>
      <c r="L39" s="3508"/>
    </row>
    <row r="40" spans="1:12">
      <c r="A40" s="3524"/>
      <c r="L40" s="3508"/>
    </row>
    <row r="41" spans="1:12">
      <c r="A41" s="3506"/>
      <c r="B41" s="3518" t="s">
        <v>3946</v>
      </c>
      <c r="L41" s="3508"/>
    </row>
    <row r="42" spans="1:12">
      <c r="A42" s="3506" t="s">
        <v>1501</v>
      </c>
      <c r="B42" s="3518" t="s">
        <v>3947</v>
      </c>
      <c r="H42" s="3504" t="s">
        <v>160</v>
      </c>
      <c r="I42" s="3520">
        <f>ROUND(I35/J26,2)</f>
        <v>7071.43</v>
      </c>
      <c r="J42" s="3504" t="s">
        <v>3850</v>
      </c>
      <c r="L42" s="3508"/>
    </row>
    <row r="43" spans="1:12">
      <c r="A43" s="3506" t="s">
        <v>1504</v>
      </c>
      <c r="B43" s="3518" t="s">
        <v>3948</v>
      </c>
      <c r="H43" s="3504" t="s">
        <v>160</v>
      </c>
      <c r="I43" s="3520">
        <f>ROUND(I35/J27,2)</f>
        <v>6613.54</v>
      </c>
      <c r="J43" s="3504" t="s">
        <v>3850</v>
      </c>
      <c r="L43" s="3508"/>
    </row>
    <row r="44" spans="1:12">
      <c r="A44" s="3506"/>
      <c r="L44" s="3508"/>
    </row>
    <row r="45" spans="1:12">
      <c r="A45" s="3506"/>
      <c r="B45" s="3518" t="s">
        <v>3949</v>
      </c>
      <c r="L45" s="3508"/>
    </row>
    <row r="46" spans="1:12">
      <c r="A46" s="3506" t="s">
        <v>1506</v>
      </c>
      <c r="B46" s="3518" t="s">
        <v>3950</v>
      </c>
      <c r="H46" s="3504" t="s">
        <v>160</v>
      </c>
      <c r="I46" s="3520">
        <f>ROUND(I39/I30,2)</f>
        <v>2212.3000000000002</v>
      </c>
      <c r="J46" s="3504" t="s">
        <v>3850</v>
      </c>
      <c r="L46" s="3508"/>
    </row>
    <row r="47" spans="1:12">
      <c r="A47" s="3506"/>
      <c r="B47" s="3518" t="s">
        <v>3951</v>
      </c>
      <c r="H47" s="3504" t="s">
        <v>160</v>
      </c>
      <c r="I47" s="3520">
        <f>ROUND(I39/I31,2)</f>
        <v>2212.3000000000002</v>
      </c>
      <c r="J47" s="3504" t="s">
        <v>3850</v>
      </c>
      <c r="L47" s="3508"/>
    </row>
    <row r="48" spans="1:12">
      <c r="A48" s="3514"/>
      <c r="B48" s="3515"/>
      <c r="C48" s="3515"/>
      <c r="D48" s="3515"/>
      <c r="E48" s="3515"/>
      <c r="F48" s="3515"/>
      <c r="G48" s="3515"/>
      <c r="H48" s="3515"/>
      <c r="I48" s="3515"/>
      <c r="J48" s="3515"/>
      <c r="K48" s="3515"/>
      <c r="L48" s="3511"/>
    </row>
  </sheetData>
  <mergeCells count="19">
    <mergeCell ref="A38:A39"/>
    <mergeCell ref="B38:B39"/>
    <mergeCell ref="B7:C7"/>
    <mergeCell ref="B8:C8"/>
    <mergeCell ref="B9:C9"/>
    <mergeCell ref="B10:C10"/>
    <mergeCell ref="B11:C11"/>
    <mergeCell ref="B17:C17"/>
    <mergeCell ref="B18:C18"/>
    <mergeCell ref="B19:C19"/>
    <mergeCell ref="B20:C20"/>
    <mergeCell ref="A34:A35"/>
    <mergeCell ref="B34:B35"/>
    <mergeCell ref="B6:C6"/>
    <mergeCell ref="A1:L1"/>
    <mergeCell ref="B2:C2"/>
    <mergeCell ref="B3:C3"/>
    <mergeCell ref="B4:C4"/>
    <mergeCell ref="B5:C5"/>
  </mergeCells>
  <pageMargins left="0.69930555555555596" right="0.69930555555555596" top="0.75" bottom="0.75" header="0.3" footer="0.3"/>
  <pageSetup scale="69" orientation="portrait"/>
  <headerFooter alignWithMargins="0">
    <oddHeader>&amp;R&amp;G</oddHeader>
    <oddFooter>&amp;LPrepared by:- Amol&amp;RApproved by:- S.K.M</oddFooter>
  </headerFooter>
  <legacyDrawingHF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Y500"/>
  <sheetViews>
    <sheetView topLeftCell="CL1" zoomScale="85" zoomScaleNormal="85" zoomScaleSheetLayoutView="55" workbookViewId="0">
      <pane ySplit="1" topLeftCell="A20" activePane="bottomLeft" state="frozen"/>
      <selection activeCell="E24" sqref="E24"/>
      <selection pane="bottomLeft" activeCell="CU28" sqref="CU28"/>
    </sheetView>
  </sheetViews>
  <sheetFormatPr defaultColWidth="9.1328125" defaultRowHeight="21.95" customHeight="1"/>
  <cols>
    <col min="1" max="1" width="7.33203125" style="1" customWidth="1"/>
    <col min="2" max="2" width="9.86328125" style="277" bestFit="1" customWidth="1"/>
    <col min="3" max="8" width="21.46484375" style="277" customWidth="1"/>
    <col min="9" max="9" width="9.6640625" style="277" customWidth="1"/>
    <col min="10" max="11" width="9.33203125" style="277" bestFit="1" customWidth="1"/>
    <col min="12" max="16" width="11.33203125" style="277" customWidth="1"/>
    <col min="17" max="17" width="15.46484375" style="277" customWidth="1"/>
    <col min="18" max="18" width="9.33203125" style="277" bestFit="1" customWidth="1"/>
    <col min="19" max="19" width="9.33203125" style="2176" bestFit="1" customWidth="1"/>
    <col min="20" max="20" width="9.6640625" style="2176" bestFit="1" customWidth="1"/>
    <col min="21" max="29" width="9.33203125" style="277" bestFit="1" customWidth="1"/>
    <col min="30" max="30" width="9.86328125" style="277" bestFit="1" customWidth="1"/>
    <col min="31" max="40" width="9.33203125" style="277" bestFit="1" customWidth="1"/>
    <col min="41" max="41" width="9.33203125" style="2174" bestFit="1" customWidth="1"/>
    <col min="42" max="43" width="9.33203125" style="277" bestFit="1" customWidth="1"/>
    <col min="44" max="44" width="9.86328125" style="277" bestFit="1" customWidth="1"/>
    <col min="45" max="47" width="9.33203125" style="277" bestFit="1" customWidth="1"/>
    <col min="48" max="48" width="10.46484375" style="277" bestFit="1" customWidth="1"/>
    <col min="49" max="49" width="12.33203125" style="277" bestFit="1" customWidth="1"/>
    <col min="50" max="55" width="9.33203125" style="277" bestFit="1" customWidth="1"/>
    <col min="56" max="57" width="9.1328125" style="277"/>
    <col min="58" max="60" width="9.33203125" style="277" bestFit="1" customWidth="1"/>
    <col min="61" max="61" width="9.33203125" style="2176" bestFit="1" customWidth="1"/>
    <col min="62" max="62" width="9.86328125" style="2176" bestFit="1" customWidth="1"/>
    <col min="63" max="64" width="9.33203125" style="277" bestFit="1" customWidth="1"/>
    <col min="65" max="65" width="9.86328125" style="277" bestFit="1" customWidth="1"/>
    <col min="66" max="68" width="9.33203125" style="277" bestFit="1" customWidth="1"/>
    <col min="69" max="69" width="9.46484375" style="277" bestFit="1" customWidth="1"/>
    <col min="70" max="70" width="10.46484375" style="277" bestFit="1" customWidth="1"/>
    <col min="71" max="75" width="9.33203125" style="277" bestFit="1" customWidth="1"/>
    <col min="76" max="76" width="9.86328125" style="277" bestFit="1" customWidth="1"/>
    <col min="77" max="89" width="9.33203125" style="277" bestFit="1" customWidth="1"/>
    <col min="90" max="90" width="9.86328125" style="277" bestFit="1" customWidth="1"/>
    <col min="91" max="91" width="10.46484375" style="277" bestFit="1" customWidth="1"/>
    <col min="92" max="92" width="10.53125" style="277" bestFit="1" customWidth="1"/>
    <col min="93" max="103" width="9.33203125" style="277" bestFit="1" customWidth="1"/>
    <col min="104" max="104" width="9.86328125" style="277" bestFit="1" customWidth="1"/>
    <col min="105" max="111" width="9.33203125" style="277" bestFit="1" customWidth="1"/>
    <col min="112" max="112" width="10.46484375" style="277" bestFit="1" customWidth="1"/>
    <col min="113" max="115" width="9.33203125" style="277" bestFit="1" customWidth="1"/>
    <col min="116" max="119" width="9.1328125" style="277"/>
    <col min="120" max="120" width="9.1328125" style="277" customWidth="1"/>
    <col min="121" max="122" width="9.1328125" style="2171"/>
    <col min="123" max="123" width="9.1328125" style="286"/>
    <col min="124" max="128" width="9.1328125" style="277"/>
    <col min="129" max="129" width="9.86328125" style="277" bestFit="1" customWidth="1"/>
    <col min="130" max="130" width="18.53125" style="277" customWidth="1"/>
    <col min="131" max="135" width="12.86328125" style="277" customWidth="1"/>
    <col min="136" max="138" width="11.6640625" style="277" customWidth="1"/>
    <col min="139" max="142" width="9.33203125" style="277" bestFit="1" customWidth="1"/>
    <col min="143" max="143" width="9.86328125" style="277" bestFit="1" customWidth="1"/>
    <col min="144" max="156" width="9.33203125" style="277" bestFit="1" customWidth="1"/>
    <col min="157" max="157" width="9.86328125" style="277" bestFit="1" customWidth="1"/>
    <col min="158" max="170" width="9.33203125" style="277" bestFit="1" customWidth="1"/>
    <col min="171" max="171" width="9.86328125" style="277" bestFit="1" customWidth="1"/>
    <col min="172" max="175" width="9.33203125" style="277" bestFit="1" customWidth="1"/>
    <col min="176" max="176" width="10.53125" style="277" bestFit="1" customWidth="1"/>
    <col min="177" max="182" width="9.33203125" style="277" bestFit="1" customWidth="1"/>
    <col min="183" max="184" width="9.1328125" style="277"/>
    <col min="185" max="188" width="9.33203125" style="277" bestFit="1" customWidth="1"/>
    <col min="189" max="189" width="9.86328125" style="277" bestFit="1" customWidth="1"/>
    <col min="190" max="191" width="9.33203125" style="277" bestFit="1" customWidth="1"/>
    <col min="192" max="192" width="9.86328125" style="277" bestFit="1" customWidth="1"/>
    <col min="193" max="195" width="9.33203125" style="277" bestFit="1" customWidth="1"/>
    <col min="196" max="196" width="9.46484375" style="277" bestFit="1" customWidth="1"/>
    <col min="197" max="202" width="9.33203125" style="277" bestFit="1" customWidth="1"/>
    <col min="203" max="203" width="9.86328125" style="277" bestFit="1" customWidth="1"/>
    <col min="204" max="216" width="9.33203125" style="277" bestFit="1" customWidth="1"/>
    <col min="217" max="217" width="9.86328125" style="277" bestFit="1" customWidth="1"/>
    <col min="218" max="218" width="9.33203125" style="277" bestFit="1" customWidth="1"/>
    <col min="219" max="219" width="10.53125" style="277" bestFit="1" customWidth="1"/>
    <col min="220" max="230" width="9.33203125" style="277" bestFit="1" customWidth="1"/>
    <col min="231" max="231" width="9.86328125" style="277" bestFit="1" customWidth="1"/>
    <col min="232" max="242" width="9.33203125" style="277" bestFit="1" customWidth="1"/>
    <col min="243" max="244" width="9.1328125" style="277"/>
    <col min="245" max="245" width="9.1328125" style="277" customWidth="1"/>
    <col min="246" max="246" width="9.1328125" style="277"/>
    <col min="247" max="247" width="9.1328125" style="277" customWidth="1"/>
    <col min="248" max="249" width="9.1328125" style="2171"/>
    <col min="250" max="16384" width="9.1328125" style="277"/>
  </cols>
  <sheetData>
    <row r="1" spans="1:285" ht="21.95" customHeight="1">
      <c r="A1" s="2169"/>
      <c r="B1" s="2170"/>
      <c r="C1" s="2170"/>
      <c r="D1" s="2170"/>
      <c r="E1" s="2170"/>
      <c r="F1" s="2170"/>
      <c r="G1" s="2170"/>
      <c r="H1" s="2170"/>
      <c r="I1" s="2170"/>
      <c r="J1" s="2170"/>
      <c r="K1" s="2170"/>
      <c r="L1" s="2170"/>
      <c r="M1" s="2170"/>
      <c r="N1" s="2170"/>
      <c r="O1" s="2170"/>
      <c r="P1" s="2170"/>
      <c r="Q1" s="2170"/>
      <c r="R1" s="2170"/>
      <c r="S1" s="2170"/>
      <c r="T1" s="2170"/>
      <c r="U1" s="2170"/>
      <c r="V1" s="2170"/>
      <c r="W1" s="2170"/>
      <c r="X1" s="2170"/>
      <c r="Y1" s="2170"/>
      <c r="Z1" s="2170"/>
      <c r="AA1" s="2170"/>
      <c r="AB1" s="2170"/>
      <c r="AC1" s="2170"/>
      <c r="AD1" s="2170"/>
      <c r="AE1" s="2170"/>
      <c r="AF1" s="2170"/>
      <c r="AG1" s="2170"/>
      <c r="AH1" s="2170"/>
      <c r="AI1" s="2170"/>
      <c r="AJ1" s="10"/>
      <c r="AK1" s="10"/>
      <c r="AL1" s="2170"/>
      <c r="AM1" s="2170"/>
      <c r="AN1" s="10"/>
      <c r="AO1" s="2170"/>
      <c r="AP1" s="2170"/>
      <c r="AQ1" s="10"/>
      <c r="AR1" s="2170"/>
      <c r="AS1" s="2170"/>
      <c r="AT1" s="10"/>
      <c r="AU1" s="2170"/>
      <c r="AV1" s="2170"/>
      <c r="AW1" s="10"/>
      <c r="AX1" s="2170"/>
      <c r="AY1" s="2170"/>
      <c r="AZ1" s="2170"/>
      <c r="BA1" s="2170"/>
      <c r="BB1" s="2170"/>
      <c r="BC1" s="2170"/>
      <c r="BD1" s="2170"/>
      <c r="BE1" s="2170"/>
      <c r="BF1" s="2170"/>
      <c r="BG1" s="2170"/>
      <c r="BH1" s="2170"/>
      <c r="BI1" s="2170"/>
      <c r="BJ1" s="2170"/>
      <c r="BK1" s="2170"/>
      <c r="BL1" s="2170"/>
      <c r="BM1" s="2170"/>
      <c r="BN1" s="2170"/>
      <c r="BO1" s="2170"/>
      <c r="BP1" s="2170"/>
      <c r="BQ1" s="2170"/>
      <c r="BR1" s="2170"/>
      <c r="BS1" s="2170"/>
      <c r="BT1" s="2170"/>
      <c r="BU1" s="2170"/>
      <c r="BV1" s="2170"/>
      <c r="BW1" s="2170"/>
      <c r="BX1" s="2170"/>
      <c r="BY1" s="2170"/>
      <c r="BZ1" s="2170"/>
      <c r="CA1" s="10"/>
      <c r="CB1" s="10"/>
      <c r="CC1" s="2170"/>
      <c r="CD1" s="2170"/>
      <c r="CE1" s="10"/>
      <c r="CF1" s="2170"/>
      <c r="CG1" s="2170"/>
      <c r="CH1" s="10"/>
      <c r="CI1" s="2170"/>
      <c r="CJ1" s="2170"/>
      <c r="CK1" s="10"/>
      <c r="CL1" s="2170"/>
      <c r="CM1" s="2170"/>
      <c r="CN1" s="10"/>
      <c r="CO1" s="2170"/>
      <c r="CP1" s="2170"/>
      <c r="CQ1" s="2170"/>
      <c r="CR1" s="2170"/>
      <c r="CS1" s="2170"/>
      <c r="CT1" s="2170"/>
      <c r="CU1" s="2170"/>
      <c r="CV1" s="2170"/>
      <c r="CW1" s="2170"/>
      <c r="CX1" s="2170"/>
      <c r="CY1" s="2170"/>
      <c r="CZ1" s="2170"/>
      <c r="DA1" s="2170"/>
      <c r="DB1" s="2170"/>
      <c r="DC1" s="2170"/>
      <c r="DD1" s="2170"/>
      <c r="DE1" s="2170"/>
      <c r="DF1" s="2170"/>
      <c r="DG1" s="2170"/>
      <c r="DH1" s="2170"/>
      <c r="DI1" s="2170"/>
      <c r="DJ1" s="2170"/>
      <c r="DK1" s="2170"/>
      <c r="DL1" s="2170"/>
      <c r="DM1" s="2170"/>
      <c r="DN1" s="2170"/>
      <c r="DO1" s="2170"/>
      <c r="DP1" s="2170"/>
      <c r="DS1" s="2172"/>
      <c r="DT1" s="2172"/>
      <c r="DU1" s="2172"/>
      <c r="DV1" s="2172"/>
      <c r="DW1" s="2172"/>
      <c r="DX1" s="2172"/>
      <c r="DY1" s="2172"/>
      <c r="DZ1" s="2172"/>
      <c r="EA1" s="2173"/>
      <c r="EB1" s="2172"/>
      <c r="EC1" s="2172"/>
      <c r="ED1" s="2172"/>
      <c r="EE1" s="2172"/>
      <c r="EF1" s="2172"/>
      <c r="EG1" s="2172"/>
      <c r="EH1" s="2172"/>
      <c r="EI1" s="2172"/>
      <c r="EJ1" s="2172"/>
      <c r="EK1" s="2172"/>
      <c r="EL1" s="2172"/>
      <c r="EM1" s="2172"/>
      <c r="EN1" s="2172"/>
      <c r="EO1" s="2172"/>
      <c r="EP1" s="2172"/>
      <c r="EQ1" s="2172"/>
      <c r="ER1" s="2172"/>
      <c r="ES1" s="2172"/>
      <c r="ET1" s="2172"/>
      <c r="EU1" s="2172"/>
      <c r="EV1" s="2172"/>
      <c r="EW1" s="2172"/>
      <c r="EX1" s="2172"/>
      <c r="EY1" s="2172"/>
      <c r="EZ1" s="2172"/>
      <c r="FA1" s="2172"/>
      <c r="FB1" s="2172"/>
      <c r="FC1" s="2172"/>
      <c r="FD1" s="2172"/>
      <c r="FE1" s="2172"/>
      <c r="FF1" s="2172"/>
      <c r="FG1" s="2172"/>
      <c r="FH1" s="2172"/>
      <c r="FI1" s="2172"/>
      <c r="FJ1" s="2172"/>
      <c r="FK1" s="2172"/>
      <c r="FL1" s="2172"/>
      <c r="FM1" s="2172"/>
      <c r="FN1" s="2172"/>
      <c r="FO1" s="2172"/>
      <c r="FP1" s="2172"/>
      <c r="FQ1" s="2172"/>
      <c r="FR1" s="2172"/>
      <c r="FS1" s="2172"/>
      <c r="FT1" s="2172"/>
      <c r="FU1" s="2172"/>
      <c r="FV1" s="2172"/>
      <c r="FW1" s="2172"/>
      <c r="FX1" s="2172"/>
      <c r="FY1" s="2172"/>
      <c r="FZ1" s="2172"/>
      <c r="GA1" s="2172"/>
      <c r="GB1" s="2172"/>
      <c r="GC1" s="2172"/>
      <c r="GD1" s="2172"/>
      <c r="GE1" s="2172"/>
      <c r="GF1" s="2172"/>
      <c r="GG1" s="2172"/>
      <c r="GH1" s="2172"/>
      <c r="GI1" s="2172"/>
      <c r="GJ1" s="2172"/>
      <c r="GK1" s="2172"/>
      <c r="GL1" s="2172"/>
      <c r="GM1" s="2172"/>
      <c r="GN1" s="2172"/>
      <c r="GO1" s="2172"/>
      <c r="GP1" s="2172"/>
      <c r="GQ1" s="2172"/>
      <c r="GR1" s="2172"/>
      <c r="GS1" s="2172"/>
      <c r="GT1" s="2172"/>
      <c r="GU1" s="2172"/>
      <c r="GV1" s="2172"/>
      <c r="GW1" s="2172"/>
      <c r="GX1" s="2172"/>
      <c r="GY1" s="2172"/>
      <c r="GZ1" s="2172"/>
      <c r="HA1" s="2172"/>
      <c r="HB1" s="2172"/>
      <c r="HC1" s="2172"/>
      <c r="HD1" s="2172"/>
      <c r="HE1" s="2172"/>
      <c r="HF1" s="2172"/>
      <c r="HG1" s="2172"/>
      <c r="HH1" s="2172"/>
      <c r="HI1" s="2172"/>
      <c r="HJ1" s="2172"/>
      <c r="HK1" s="2172"/>
      <c r="HL1" s="2172"/>
      <c r="HM1" s="2172"/>
      <c r="HN1" s="2172"/>
      <c r="HO1" s="2172"/>
      <c r="HP1" s="2172"/>
      <c r="HQ1" s="2172"/>
      <c r="HR1" s="2172"/>
      <c r="HS1" s="2172"/>
      <c r="HT1" s="2172"/>
      <c r="HU1" s="2172"/>
      <c r="HV1" s="2172"/>
      <c r="HW1" s="2172"/>
      <c r="HX1" s="2172"/>
      <c r="HY1" s="2172"/>
      <c r="HZ1" s="2172"/>
      <c r="IA1" s="2172"/>
      <c r="IB1" s="2172"/>
      <c r="IC1" s="2172"/>
      <c r="ID1" s="2172"/>
      <c r="IE1" s="2172"/>
      <c r="IF1" s="2172"/>
      <c r="IG1" s="2172"/>
      <c r="IH1" s="2172"/>
      <c r="II1" s="2172"/>
      <c r="IJ1" s="2172"/>
      <c r="IK1" s="2172"/>
      <c r="IL1" s="2172"/>
      <c r="IM1" s="2172"/>
      <c r="IP1" s="2172"/>
      <c r="IQ1" s="2172"/>
      <c r="IR1" s="2172"/>
      <c r="IS1" s="2172"/>
      <c r="IT1" s="2172"/>
      <c r="IU1" s="2172"/>
      <c r="IV1" s="2172"/>
      <c r="IW1" s="2172"/>
      <c r="IX1" s="2172"/>
      <c r="IY1" s="2172"/>
      <c r="IZ1" s="2172"/>
      <c r="JA1" s="2172"/>
      <c r="JB1" s="2172"/>
      <c r="JC1" s="2172"/>
      <c r="JD1" s="2172"/>
      <c r="JE1" s="2172"/>
      <c r="JF1" s="2172"/>
      <c r="JG1" s="2172"/>
      <c r="JH1" s="2172"/>
      <c r="JI1" s="2172"/>
      <c r="JJ1" s="2172"/>
      <c r="JK1" s="2172"/>
      <c r="JL1" s="2172"/>
      <c r="JM1" s="2172"/>
      <c r="JN1" s="2172"/>
      <c r="JO1" s="2172"/>
      <c r="JP1" s="2172"/>
      <c r="JQ1" s="2172"/>
      <c r="JR1" s="2172"/>
      <c r="JS1" s="2172"/>
      <c r="JT1" s="2172"/>
      <c r="JU1" s="2172"/>
      <c r="JV1" s="2172"/>
      <c r="JW1" s="2172"/>
      <c r="JX1" s="2172"/>
      <c r="JY1" s="2172"/>
    </row>
    <row r="2" spans="1:285" ht="21.95" customHeight="1">
      <c r="S2" s="286"/>
      <c r="T2" s="286"/>
      <c r="AF2" s="2174"/>
      <c r="AG2" s="2174"/>
      <c r="AJ2" s="1"/>
      <c r="AO2" s="286"/>
      <c r="AP2" s="286"/>
      <c r="AQ2" s="286"/>
      <c r="BB2" s="2175"/>
      <c r="BC2" s="2176"/>
      <c r="BI2" s="277"/>
      <c r="BJ2" s="277"/>
      <c r="BX2" s="2174"/>
      <c r="CA2" s="1"/>
      <c r="CD2" s="286"/>
      <c r="CE2" s="286"/>
      <c r="CF2" s="286"/>
      <c r="CG2" s="286"/>
      <c r="CR2" s="2175"/>
      <c r="CS2" s="2176"/>
      <c r="DX2" s="1"/>
      <c r="EP2" s="286"/>
      <c r="EQ2" s="286"/>
      <c r="FC2" s="2174"/>
      <c r="FD2" s="2174"/>
      <c r="FG2" s="1"/>
      <c r="FH2" s="1"/>
      <c r="FK2" s="1"/>
      <c r="FN2" s="1"/>
      <c r="FQ2" s="1"/>
      <c r="FT2" s="1"/>
      <c r="FY2" s="2176"/>
      <c r="FZ2" s="2176"/>
      <c r="GU2" s="2174"/>
      <c r="GX2" s="1"/>
      <c r="GY2" s="1"/>
      <c r="HB2" s="1"/>
      <c r="HE2" s="1"/>
      <c r="HH2" s="1"/>
      <c r="HK2" s="1"/>
      <c r="HO2" s="2175"/>
      <c r="HP2" s="2176"/>
    </row>
    <row r="3" spans="1:285" ht="21.95" customHeight="1">
      <c r="C3" s="3613" t="str">
        <f>MH!J284</f>
        <v>Class II</v>
      </c>
      <c r="G3" s="2171" t="s">
        <v>1274</v>
      </c>
      <c r="H3" s="2171" t="s">
        <v>2237</v>
      </c>
      <c r="I3" s="3614" t="str">
        <f>IF(EJ4="right",IF(EJ5="right",IF(EK4="right",IF(EK5="right","Right","Wrong"))))</f>
        <v>Right</v>
      </c>
      <c r="J3" s="2171" t="s">
        <v>1154</v>
      </c>
      <c r="K3" s="2171" t="s">
        <v>1144</v>
      </c>
      <c r="L3" s="3614" t="str">
        <f>IF(EL4="right",IF(EL5="right",IF(EM4="right",IF(EM5="right","Right","Wrong"))))</f>
        <v>Right</v>
      </c>
      <c r="S3" s="286"/>
      <c r="T3" s="286"/>
      <c r="AF3" s="2174"/>
      <c r="AG3" s="2174"/>
      <c r="AJ3" s="2177"/>
      <c r="AK3" s="4681"/>
      <c r="AL3" s="4681"/>
      <c r="AM3" s="2178"/>
      <c r="AN3" s="2178"/>
      <c r="AO3" s="2178"/>
      <c r="AP3" s="2178"/>
      <c r="AQ3" s="2178"/>
      <c r="AR3" s="2178"/>
      <c r="AS3" s="2178"/>
      <c r="AT3" s="2178"/>
      <c r="AV3" s="2179"/>
      <c r="AY3" s="2178"/>
      <c r="BB3" s="2176"/>
      <c r="BC3" s="2176"/>
      <c r="BI3" s="277"/>
      <c r="BJ3" s="277"/>
      <c r="BX3" s="2174"/>
      <c r="CA3" s="2180"/>
      <c r="CR3" s="2176"/>
      <c r="CS3" s="2176"/>
      <c r="DX3" s="1"/>
      <c r="DZ3" s="3613" t="str">
        <f>AH!J284</f>
        <v>Class II</v>
      </c>
      <c r="ED3" s="2171" t="s">
        <v>1274</v>
      </c>
      <c r="EE3" s="2171" t="s">
        <v>2237</v>
      </c>
      <c r="EG3" s="2171" t="s">
        <v>1154</v>
      </c>
      <c r="EH3" s="2171" t="s">
        <v>1144</v>
      </c>
      <c r="EP3" s="286"/>
      <c r="EQ3" s="286"/>
      <c r="FC3" s="2174"/>
      <c r="FD3" s="2174"/>
      <c r="FG3" s="1"/>
      <c r="FL3" s="286"/>
      <c r="FM3" s="286"/>
      <c r="FN3" s="286"/>
      <c r="FY3" s="2175"/>
      <c r="FZ3" s="2176"/>
      <c r="GU3" s="2174"/>
      <c r="GX3" s="1"/>
      <c r="HA3" s="286"/>
      <c r="HB3" s="286"/>
      <c r="HC3" s="286"/>
      <c r="HD3" s="286"/>
      <c r="HO3" s="2176"/>
      <c r="HP3" s="2176"/>
    </row>
    <row r="4" spans="1:285" ht="21.95" customHeight="1">
      <c r="C4" s="280"/>
      <c r="D4" s="2249" t="s">
        <v>2238</v>
      </c>
      <c r="E4" s="2181">
        <f>MH!J287</f>
        <v>19.915970774546171</v>
      </c>
      <c r="F4" s="2182"/>
      <c r="G4" s="3615">
        <f>MH!J287</f>
        <v>19.915970774546171</v>
      </c>
      <c r="H4" s="3615">
        <f>AH!J287</f>
        <v>19.968225884687833</v>
      </c>
      <c r="I4" s="2183"/>
      <c r="J4" s="3615">
        <f>CT_wh!I74</f>
        <v>0.75631178540277322</v>
      </c>
      <c r="K4" s="3615">
        <f>LT_wh!I73</f>
        <v>1.3354563802212776</v>
      </c>
      <c r="S4" s="286"/>
      <c r="T4" s="286"/>
      <c r="AA4" s="277" t="s">
        <v>1832</v>
      </c>
      <c r="AB4" s="277" t="s">
        <v>1873</v>
      </c>
      <c r="AF4" s="2174"/>
      <c r="AG4" s="2174"/>
      <c r="AJ4" s="2184" t="s">
        <v>682</v>
      </c>
      <c r="AK4" s="2184">
        <v>160</v>
      </c>
      <c r="AL4" s="2184">
        <v>180</v>
      </c>
      <c r="AM4" s="2184">
        <v>200</v>
      </c>
      <c r="AN4" s="2184">
        <v>225</v>
      </c>
      <c r="AO4" s="2184">
        <v>250</v>
      </c>
      <c r="AP4" s="2184">
        <v>280</v>
      </c>
      <c r="AQ4" s="2184">
        <v>315</v>
      </c>
      <c r="AR4" s="2184">
        <v>355</v>
      </c>
      <c r="AS4" s="2184">
        <v>400</v>
      </c>
      <c r="AT4" s="2184">
        <v>450</v>
      </c>
      <c r="AU4" s="2185">
        <v>500</v>
      </c>
      <c r="AV4" s="2185">
        <v>560</v>
      </c>
      <c r="AW4" s="2185">
        <v>630</v>
      </c>
      <c r="AX4" s="2185">
        <v>710</v>
      </c>
      <c r="AY4" s="2184">
        <v>800</v>
      </c>
      <c r="BB4" s="2186">
        <v>0</v>
      </c>
      <c r="BC4" s="2187">
        <v>14</v>
      </c>
      <c r="BF4" s="2184" t="s">
        <v>682</v>
      </c>
      <c r="BG4" s="2188">
        <v>160</v>
      </c>
      <c r="BH4" s="2188">
        <v>180</v>
      </c>
      <c r="BI4" s="2184">
        <v>200</v>
      </c>
      <c r="BJ4" s="2184">
        <v>225</v>
      </c>
      <c r="BK4" s="2184">
        <v>250</v>
      </c>
      <c r="BL4" s="2184">
        <v>280</v>
      </c>
      <c r="BM4" s="2184">
        <v>315</v>
      </c>
      <c r="BN4" s="2184">
        <v>355</v>
      </c>
      <c r="BO4" s="2184">
        <v>400</v>
      </c>
      <c r="BP4" s="2184">
        <v>450</v>
      </c>
      <c r="BQ4" s="2185">
        <v>500</v>
      </c>
      <c r="BR4" s="2185">
        <v>560</v>
      </c>
      <c r="BS4" s="2185">
        <v>630</v>
      </c>
      <c r="BT4" s="2185">
        <v>710</v>
      </c>
      <c r="BU4" s="2184">
        <v>800</v>
      </c>
      <c r="BX4" s="2174"/>
      <c r="CA4" s="2184" t="s">
        <v>682</v>
      </c>
      <c r="CB4" s="2184">
        <v>140</v>
      </c>
      <c r="CC4" s="2184">
        <v>160</v>
      </c>
      <c r="CD4" s="2184">
        <v>180</v>
      </c>
      <c r="CE4" s="2184">
        <v>200</v>
      </c>
      <c r="CF4" s="2184">
        <v>225</v>
      </c>
      <c r="CG4" s="2184">
        <v>250</v>
      </c>
      <c r="CH4" s="2184">
        <v>280</v>
      </c>
      <c r="CI4" s="2184">
        <v>315</v>
      </c>
      <c r="CJ4" s="2184">
        <v>355</v>
      </c>
      <c r="CK4" s="2184">
        <v>400</v>
      </c>
      <c r="CL4" s="2189">
        <v>450</v>
      </c>
      <c r="CM4" s="2189">
        <v>500</v>
      </c>
      <c r="CN4" s="2189">
        <v>560</v>
      </c>
      <c r="CO4" s="2190">
        <v>630</v>
      </c>
      <c r="CR4" s="2186">
        <v>0</v>
      </c>
      <c r="CS4" s="2187">
        <v>25.6</v>
      </c>
      <c r="CV4" s="2184" t="s">
        <v>682</v>
      </c>
      <c r="CW4" s="2184">
        <v>140</v>
      </c>
      <c r="CX4" s="2184">
        <v>160</v>
      </c>
      <c r="CY4" s="2184">
        <v>180</v>
      </c>
      <c r="CZ4" s="2184">
        <v>200</v>
      </c>
      <c r="DA4" s="2184">
        <v>225</v>
      </c>
      <c r="DB4" s="2184">
        <v>250</v>
      </c>
      <c r="DC4" s="2184">
        <v>280</v>
      </c>
      <c r="DD4" s="2184">
        <v>315</v>
      </c>
      <c r="DE4" s="2184">
        <v>355</v>
      </c>
      <c r="DF4" s="2184">
        <v>400</v>
      </c>
      <c r="DG4" s="2189">
        <v>450</v>
      </c>
      <c r="DH4" s="2189">
        <v>500</v>
      </c>
      <c r="DI4" s="2189">
        <v>560</v>
      </c>
      <c r="DJ4" s="2190">
        <v>630</v>
      </c>
      <c r="DX4" s="1"/>
      <c r="DZ4" s="280"/>
      <c r="EA4" s="2249" t="s">
        <v>2238</v>
      </c>
      <c r="EB4" s="2181">
        <f>AH!J287</f>
        <v>19.968225884687833</v>
      </c>
      <c r="EC4" s="2182"/>
      <c r="ED4" s="3616">
        <f>MH!J287</f>
        <v>19.915970774546171</v>
      </c>
      <c r="EE4" s="3616">
        <f>AH!J287</f>
        <v>19.968225884687833</v>
      </c>
      <c r="EF4" s="2183"/>
      <c r="EG4" s="3616">
        <f>CT_wh!I74</f>
        <v>0.75631178540277322</v>
      </c>
      <c r="EH4" s="3616">
        <f>LT_wh!I73</f>
        <v>1.3354563802212776</v>
      </c>
      <c r="EJ4" s="2176" t="str">
        <f>IF(ED4=G4,"Right","Wrong")</f>
        <v>Right</v>
      </c>
      <c r="EK4" s="2176" t="str">
        <f>IF(EE4=H4,"Right","Wrong")</f>
        <v>Right</v>
      </c>
      <c r="EL4" s="2176" t="str">
        <f>IF(EG4=J4,"Right","Wrong")</f>
        <v>Right</v>
      </c>
      <c r="EM4" s="2176" t="str">
        <f>IF(EH4=K4,"Right","Wrong")</f>
        <v>Right</v>
      </c>
      <c r="EP4" s="286"/>
      <c r="EQ4" s="286"/>
      <c r="FC4" s="2174"/>
      <c r="FD4" s="2174"/>
      <c r="FG4" s="2177"/>
      <c r="FH4" s="4681"/>
      <c r="FI4" s="4681"/>
      <c r="FJ4" s="2178"/>
      <c r="FK4" s="2178"/>
      <c r="FL4" s="2178"/>
      <c r="FM4" s="2178"/>
      <c r="FN4" s="2178"/>
      <c r="FO4" s="2178"/>
      <c r="FP4" s="2178"/>
      <c r="FQ4" s="2178"/>
      <c r="FS4" s="2179"/>
      <c r="FV4" s="2178"/>
      <c r="FY4" s="2176"/>
      <c r="FZ4" s="2176"/>
      <c r="GU4" s="2174"/>
      <c r="GX4" s="2180"/>
      <c r="HO4" s="2176"/>
      <c r="HP4" s="2176"/>
    </row>
    <row r="5" spans="1:285" ht="21.95" customHeight="1">
      <c r="C5" s="280"/>
      <c r="D5" s="2249" t="s">
        <v>2170</v>
      </c>
      <c r="E5" s="2181">
        <f>MH!J279</f>
        <v>204.36114285714288</v>
      </c>
      <c r="F5" s="2191"/>
      <c r="G5" s="3615">
        <f>MH!J279</f>
        <v>204.36114285714288</v>
      </c>
      <c r="H5" s="3615">
        <f>AH!J279</f>
        <v>125.03040000000001</v>
      </c>
      <c r="I5" s="2183"/>
      <c r="J5" s="3615">
        <f>CT_wh!I68</f>
        <v>72.382464000000013</v>
      </c>
      <c r="K5" s="3615">
        <f>LT_wh!I67</f>
        <v>45.239040000000003</v>
      </c>
      <c r="S5" s="286"/>
      <c r="T5" s="286"/>
      <c r="AA5" s="2192" t="s">
        <v>2288</v>
      </c>
      <c r="AB5" s="2192" t="s">
        <v>2289</v>
      </c>
      <c r="AC5" s="2192" t="s">
        <v>660</v>
      </c>
      <c r="AD5" s="2192" t="s">
        <v>656</v>
      </c>
      <c r="AF5" s="2174"/>
      <c r="AG5" s="2174"/>
      <c r="AJ5" s="2193">
        <v>14</v>
      </c>
      <c r="AK5" s="2194">
        <v>34</v>
      </c>
      <c r="AL5" s="2194">
        <v>47</v>
      </c>
      <c r="AM5" s="2194">
        <v>73</v>
      </c>
      <c r="AN5" s="2194">
        <v>95</v>
      </c>
      <c r="AO5" s="2194">
        <v>135</v>
      </c>
      <c r="AP5" s="2194">
        <v>190</v>
      </c>
      <c r="AQ5" s="2194">
        <v>270</v>
      </c>
      <c r="AR5" s="2194">
        <v>390</v>
      </c>
      <c r="AS5" s="2194">
        <v>500</v>
      </c>
      <c r="AT5" s="2194">
        <v>700</v>
      </c>
      <c r="AU5" s="280">
        <v>1250</v>
      </c>
      <c r="AV5" s="280">
        <v>1770</v>
      </c>
      <c r="AW5" s="280">
        <v>2340</v>
      </c>
      <c r="AX5" s="280">
        <v>3420</v>
      </c>
      <c r="AY5" s="2194">
        <v>4900</v>
      </c>
      <c r="BB5" s="2187">
        <v>14</v>
      </c>
      <c r="BC5" s="2187">
        <v>16</v>
      </c>
      <c r="BF5" s="2193">
        <v>14</v>
      </c>
      <c r="BG5" s="2194">
        <v>34</v>
      </c>
      <c r="BH5" s="2194">
        <v>47</v>
      </c>
      <c r="BI5" s="2194">
        <v>73</v>
      </c>
      <c r="BJ5" s="2194">
        <v>95</v>
      </c>
      <c r="BK5" s="2194">
        <v>135</v>
      </c>
      <c r="BL5" s="2194">
        <v>190</v>
      </c>
      <c r="BM5" s="2194">
        <v>270</v>
      </c>
      <c r="BN5" s="2194">
        <v>390</v>
      </c>
      <c r="BO5" s="2194">
        <v>500</v>
      </c>
      <c r="BP5" s="2194">
        <v>700</v>
      </c>
      <c r="BQ5" s="280">
        <v>1250</v>
      </c>
      <c r="BR5" s="280">
        <v>1770</v>
      </c>
      <c r="BS5" s="280">
        <v>2340</v>
      </c>
      <c r="BT5" s="280">
        <v>3420</v>
      </c>
      <c r="BU5" s="2194">
        <v>4900</v>
      </c>
      <c r="BX5" s="2174"/>
      <c r="CA5" s="2193">
        <v>25.6</v>
      </c>
      <c r="CB5" s="2194">
        <v>14.8</v>
      </c>
      <c r="CC5" s="2194">
        <v>22.8</v>
      </c>
      <c r="CD5" s="2194">
        <v>33.200000000000003</v>
      </c>
      <c r="CE5" s="2194">
        <v>48.1</v>
      </c>
      <c r="CF5" s="2194">
        <v>63</v>
      </c>
      <c r="CG5" s="2194">
        <v>93.5</v>
      </c>
      <c r="CH5" s="2194">
        <v>128</v>
      </c>
      <c r="CI5" s="2194">
        <v>174</v>
      </c>
      <c r="CJ5" s="2194">
        <v>248</v>
      </c>
      <c r="CK5" s="2194">
        <v>368</v>
      </c>
      <c r="CL5" s="280">
        <v>513</v>
      </c>
      <c r="CM5" s="280">
        <v>782</v>
      </c>
      <c r="CN5" s="280">
        <v>1035</v>
      </c>
      <c r="CO5" s="2194">
        <v>1354</v>
      </c>
      <c r="CR5" s="2187">
        <v>25.6</v>
      </c>
      <c r="CS5" s="2187">
        <v>28.4</v>
      </c>
      <c r="CV5" s="2193">
        <v>25.6</v>
      </c>
      <c r="CW5" s="2194">
        <v>14.8</v>
      </c>
      <c r="CX5" s="2194">
        <v>22.8</v>
      </c>
      <c r="CY5" s="2194">
        <v>33.200000000000003</v>
      </c>
      <c r="CZ5" s="2194">
        <v>48.1</v>
      </c>
      <c r="DA5" s="2194">
        <v>63</v>
      </c>
      <c r="DB5" s="2194">
        <v>93.5</v>
      </c>
      <c r="DC5" s="2194">
        <v>128</v>
      </c>
      <c r="DD5" s="2194">
        <v>174</v>
      </c>
      <c r="DE5" s="2194">
        <v>248</v>
      </c>
      <c r="DF5" s="2194">
        <v>368</v>
      </c>
      <c r="DG5" s="280">
        <v>513</v>
      </c>
      <c r="DH5" s="280">
        <v>782</v>
      </c>
      <c r="DI5" s="280">
        <v>1035</v>
      </c>
      <c r="DJ5" s="2194">
        <v>1354</v>
      </c>
      <c r="DX5" s="1"/>
      <c r="DZ5" s="280"/>
      <c r="EA5" s="2249" t="s">
        <v>2170</v>
      </c>
      <c r="EB5" s="2181">
        <f>AH!J279</f>
        <v>125.03040000000001</v>
      </c>
      <c r="EC5" s="2182"/>
      <c r="ED5" s="3616">
        <f>MH!J279</f>
        <v>204.36114285714288</v>
      </c>
      <c r="EE5" s="3616">
        <f>AH!J279</f>
        <v>125.03040000000001</v>
      </c>
      <c r="EF5" s="2183"/>
      <c r="EG5" s="3616">
        <f>CT_wh!I68</f>
        <v>72.382464000000013</v>
      </c>
      <c r="EH5" s="3616">
        <f>LT_wh!I67</f>
        <v>45.239040000000003</v>
      </c>
      <c r="EJ5" s="2176" t="str">
        <f>IF(ED5=G5,"Right","Wrong")</f>
        <v>Right</v>
      </c>
      <c r="EK5" s="2176" t="str">
        <f>IF(EE5=H5,"Right","Wrong")</f>
        <v>Right</v>
      </c>
      <c r="EL5" s="2176" t="str">
        <f>IF(EG5=J5,"Right","Wrong")</f>
        <v>Right</v>
      </c>
      <c r="EM5" s="2176" t="str">
        <f>IF(EH5=K5,"Right","Wrong")</f>
        <v>Right</v>
      </c>
      <c r="EP5" s="286"/>
      <c r="EQ5" s="286"/>
      <c r="EY5" s="2250"/>
      <c r="FC5" s="2174"/>
      <c r="FD5" s="2174"/>
      <c r="FG5" s="2184" t="s">
        <v>682</v>
      </c>
      <c r="FH5" s="2184">
        <v>160</v>
      </c>
      <c r="FI5" s="2184">
        <v>180</v>
      </c>
      <c r="FJ5" s="2184">
        <v>200</v>
      </c>
      <c r="FK5" s="2184">
        <v>225</v>
      </c>
      <c r="FL5" s="2184">
        <v>250</v>
      </c>
      <c r="FM5" s="2184">
        <v>280</v>
      </c>
      <c r="FN5" s="2184">
        <v>315</v>
      </c>
      <c r="FO5" s="2184">
        <v>355</v>
      </c>
      <c r="FP5" s="2184">
        <v>400</v>
      </c>
      <c r="FQ5" s="2184">
        <v>450</v>
      </c>
      <c r="FR5" s="2185">
        <v>500</v>
      </c>
      <c r="FS5" s="2185">
        <v>560</v>
      </c>
      <c r="FT5" s="2185">
        <v>630</v>
      </c>
      <c r="FU5" s="2185">
        <v>710</v>
      </c>
      <c r="FV5" s="2184">
        <v>800</v>
      </c>
      <c r="FY5" s="2186">
        <v>0</v>
      </c>
      <c r="FZ5" s="2187">
        <v>14</v>
      </c>
      <c r="GC5" s="2184" t="s">
        <v>682</v>
      </c>
      <c r="GD5" s="2188">
        <v>160</v>
      </c>
      <c r="GE5" s="2188">
        <v>180</v>
      </c>
      <c r="GF5" s="2184">
        <v>200</v>
      </c>
      <c r="GG5" s="2184">
        <v>225</v>
      </c>
      <c r="GH5" s="2184">
        <v>250</v>
      </c>
      <c r="GI5" s="2184">
        <v>280</v>
      </c>
      <c r="GJ5" s="2184">
        <v>315</v>
      </c>
      <c r="GK5" s="2184">
        <v>355</v>
      </c>
      <c r="GL5" s="2184">
        <v>400</v>
      </c>
      <c r="GM5" s="2184">
        <v>450</v>
      </c>
      <c r="GN5" s="2185">
        <v>500</v>
      </c>
      <c r="GO5" s="2185">
        <v>560</v>
      </c>
      <c r="GP5" s="2185">
        <v>630</v>
      </c>
      <c r="GQ5" s="2185">
        <v>710</v>
      </c>
      <c r="GR5" s="2184">
        <v>800</v>
      </c>
      <c r="GU5" s="2174"/>
      <c r="GX5" s="2184" t="s">
        <v>682</v>
      </c>
      <c r="GY5" s="2184">
        <v>140</v>
      </c>
      <c r="GZ5" s="2184">
        <v>160</v>
      </c>
      <c r="HA5" s="2184">
        <v>180</v>
      </c>
      <c r="HB5" s="2184">
        <v>200</v>
      </c>
      <c r="HC5" s="2184">
        <v>225</v>
      </c>
      <c r="HD5" s="2184">
        <v>250</v>
      </c>
      <c r="HE5" s="2184">
        <v>280</v>
      </c>
      <c r="HF5" s="2184">
        <v>315</v>
      </c>
      <c r="HG5" s="2184">
        <v>355</v>
      </c>
      <c r="HH5" s="2184">
        <v>400</v>
      </c>
      <c r="HI5" s="2189">
        <v>450</v>
      </c>
      <c r="HJ5" s="2189">
        <v>500</v>
      </c>
      <c r="HK5" s="2189">
        <v>560</v>
      </c>
      <c r="HL5" s="2190">
        <v>630</v>
      </c>
      <c r="HO5" s="2186">
        <v>0</v>
      </c>
      <c r="HP5" s="2187">
        <v>25.6</v>
      </c>
      <c r="HS5" s="2184" t="s">
        <v>682</v>
      </c>
      <c r="HT5" s="2184">
        <v>140</v>
      </c>
      <c r="HU5" s="2184">
        <v>160</v>
      </c>
      <c r="HV5" s="2184">
        <v>180</v>
      </c>
      <c r="HW5" s="2184">
        <v>200</v>
      </c>
      <c r="HX5" s="2184">
        <v>225</v>
      </c>
      <c r="HY5" s="2184">
        <v>250</v>
      </c>
      <c r="HZ5" s="2184">
        <v>280</v>
      </c>
      <c r="IA5" s="2184">
        <v>315</v>
      </c>
      <c r="IB5" s="2184">
        <v>355</v>
      </c>
      <c r="IC5" s="2184">
        <v>400</v>
      </c>
      <c r="ID5" s="2189">
        <v>450</v>
      </c>
      <c r="IE5" s="2189">
        <v>500</v>
      </c>
      <c r="IF5" s="2189">
        <v>560</v>
      </c>
      <c r="IG5" s="2190">
        <v>630</v>
      </c>
    </row>
    <row r="6" spans="1:285" ht="21.95" customHeight="1">
      <c r="C6" s="281"/>
      <c r="D6" s="281"/>
      <c r="F6" s="281"/>
      <c r="G6" s="281"/>
      <c r="H6" s="281"/>
      <c r="I6" s="281"/>
      <c r="J6" s="281"/>
      <c r="S6" s="286"/>
      <c r="T6" s="286"/>
      <c r="AA6" s="2276" t="str">
        <f>AI142</f>
        <v>Right</v>
      </c>
      <c r="AB6" s="2276" t="str">
        <f>+AI331</f>
        <v>Right</v>
      </c>
      <c r="AC6" s="2176" t="str">
        <f>AT46</f>
        <v>Right</v>
      </c>
      <c r="AD6" s="2176" t="str">
        <f>CK46</f>
        <v>Right</v>
      </c>
      <c r="AF6" s="2174"/>
      <c r="AG6" s="2174"/>
      <c r="AJ6" s="2193">
        <v>16</v>
      </c>
      <c r="AK6" s="2194">
        <v>32</v>
      </c>
      <c r="AL6" s="2194">
        <v>44</v>
      </c>
      <c r="AM6" s="2194">
        <v>66</v>
      </c>
      <c r="AN6" s="2194">
        <v>88</v>
      </c>
      <c r="AO6" s="2194">
        <v>120</v>
      </c>
      <c r="AP6" s="2194">
        <v>170</v>
      </c>
      <c r="AQ6" s="2194">
        <v>250</v>
      </c>
      <c r="AR6" s="2194">
        <v>350</v>
      </c>
      <c r="AS6" s="2194">
        <v>460</v>
      </c>
      <c r="AT6" s="2194">
        <v>640</v>
      </c>
      <c r="AU6" s="280">
        <v>1120</v>
      </c>
      <c r="AV6" s="280">
        <v>1580</v>
      </c>
      <c r="AW6" s="280">
        <v>2090</v>
      </c>
      <c r="AX6" s="280">
        <v>3060</v>
      </c>
      <c r="AY6" s="2194">
        <v>4390</v>
      </c>
      <c r="BB6" s="2187">
        <v>16</v>
      </c>
      <c r="BC6" s="2187">
        <v>18</v>
      </c>
      <c r="BF6" s="2193">
        <v>16</v>
      </c>
      <c r="BG6" s="2194">
        <v>32</v>
      </c>
      <c r="BH6" s="2194">
        <v>44</v>
      </c>
      <c r="BI6" s="2194">
        <v>66</v>
      </c>
      <c r="BJ6" s="2194">
        <v>88</v>
      </c>
      <c r="BK6" s="2194">
        <v>120</v>
      </c>
      <c r="BL6" s="2194">
        <v>170</v>
      </c>
      <c r="BM6" s="2194">
        <v>250</v>
      </c>
      <c r="BN6" s="2194">
        <v>350</v>
      </c>
      <c r="BO6" s="2194">
        <v>460</v>
      </c>
      <c r="BP6" s="2194">
        <v>640</v>
      </c>
      <c r="BQ6" s="280">
        <v>1120</v>
      </c>
      <c r="BR6" s="280">
        <v>1580</v>
      </c>
      <c r="BS6" s="280">
        <v>2090</v>
      </c>
      <c r="BT6" s="280">
        <v>3060</v>
      </c>
      <c r="BU6" s="2194">
        <v>4390</v>
      </c>
      <c r="BX6" s="2174"/>
      <c r="CA6" s="2193">
        <v>28.4</v>
      </c>
      <c r="CB6" s="2194">
        <v>14</v>
      </c>
      <c r="CC6" s="2194">
        <v>19.899999999999999</v>
      </c>
      <c r="CD6" s="2194">
        <v>30.3</v>
      </c>
      <c r="CE6" s="2194">
        <v>44.5</v>
      </c>
      <c r="CF6" s="2194">
        <v>58.2</v>
      </c>
      <c r="CG6" s="2194">
        <v>85</v>
      </c>
      <c r="CH6" s="2194">
        <v>116</v>
      </c>
      <c r="CI6" s="2194">
        <v>152</v>
      </c>
      <c r="CJ6" s="2194">
        <v>221</v>
      </c>
      <c r="CK6" s="2194">
        <v>330</v>
      </c>
      <c r="CL6" s="280">
        <v>471</v>
      </c>
      <c r="CM6" s="280">
        <v>705</v>
      </c>
      <c r="CN6" s="280">
        <v>940</v>
      </c>
      <c r="CO6" s="2194">
        <v>1208</v>
      </c>
      <c r="CR6" s="2187">
        <v>28.4</v>
      </c>
      <c r="CS6" s="2187">
        <v>31.4</v>
      </c>
      <c r="CV6" s="2193">
        <v>28.4</v>
      </c>
      <c r="CW6" s="2194">
        <v>14</v>
      </c>
      <c r="CX6" s="2194">
        <v>19.899999999999999</v>
      </c>
      <c r="CY6" s="2194">
        <v>30.3</v>
      </c>
      <c r="CZ6" s="2194">
        <v>44.5</v>
      </c>
      <c r="DA6" s="2194">
        <v>58.2</v>
      </c>
      <c r="DB6" s="2194">
        <v>85</v>
      </c>
      <c r="DC6" s="2194">
        <v>116</v>
      </c>
      <c r="DD6" s="2194">
        <v>152</v>
      </c>
      <c r="DE6" s="2194">
        <v>221</v>
      </c>
      <c r="DF6" s="2194">
        <v>330</v>
      </c>
      <c r="DG6" s="280">
        <v>471</v>
      </c>
      <c r="DH6" s="280">
        <v>705</v>
      </c>
      <c r="DI6" s="280">
        <v>940</v>
      </c>
      <c r="DJ6" s="2194">
        <v>1208</v>
      </c>
      <c r="DX6" s="1"/>
      <c r="DZ6" s="281"/>
      <c r="EA6" s="281"/>
      <c r="EC6" s="281"/>
      <c r="ED6" s="281"/>
      <c r="EE6" s="281"/>
      <c r="EF6" s="281"/>
      <c r="EG6" s="281"/>
      <c r="EP6" s="286"/>
      <c r="EQ6" s="286"/>
      <c r="EX6" s="2192" t="s">
        <v>2288</v>
      </c>
      <c r="EY6" s="2192" t="s">
        <v>2289</v>
      </c>
      <c r="EZ6" s="2192" t="s">
        <v>660</v>
      </c>
      <c r="FA6" s="2192" t="s">
        <v>656</v>
      </c>
      <c r="FC6" s="2174"/>
      <c r="FD6" s="2174"/>
      <c r="FG6" s="2193">
        <v>14</v>
      </c>
      <c r="FH6" s="2194">
        <v>34</v>
      </c>
      <c r="FI6" s="2194">
        <v>47</v>
      </c>
      <c r="FJ6" s="2194">
        <v>73</v>
      </c>
      <c r="FK6" s="2194">
        <v>95</v>
      </c>
      <c r="FL6" s="2194">
        <v>135</v>
      </c>
      <c r="FM6" s="2194">
        <v>190</v>
      </c>
      <c r="FN6" s="2194">
        <v>270</v>
      </c>
      <c r="FO6" s="2194">
        <v>390</v>
      </c>
      <c r="FP6" s="2194">
        <v>500</v>
      </c>
      <c r="FQ6" s="2194">
        <v>700</v>
      </c>
      <c r="FR6" s="280">
        <v>1250</v>
      </c>
      <c r="FS6" s="280">
        <v>1770</v>
      </c>
      <c r="FT6" s="280">
        <v>2340</v>
      </c>
      <c r="FU6" s="280">
        <v>3420</v>
      </c>
      <c r="FV6" s="2194">
        <v>4900</v>
      </c>
      <c r="FY6" s="2187">
        <v>14</v>
      </c>
      <c r="FZ6" s="2187">
        <v>16</v>
      </c>
      <c r="GC6" s="2193">
        <v>14</v>
      </c>
      <c r="GD6" s="2194">
        <v>34</v>
      </c>
      <c r="GE6" s="2194">
        <v>47</v>
      </c>
      <c r="GF6" s="2194">
        <v>73</v>
      </c>
      <c r="GG6" s="2194">
        <v>95</v>
      </c>
      <c r="GH6" s="2194">
        <v>135</v>
      </c>
      <c r="GI6" s="2194">
        <v>190</v>
      </c>
      <c r="GJ6" s="2194">
        <v>270</v>
      </c>
      <c r="GK6" s="2194">
        <v>390</v>
      </c>
      <c r="GL6" s="2194">
        <v>500</v>
      </c>
      <c r="GM6" s="2194">
        <v>700</v>
      </c>
      <c r="GN6" s="280">
        <v>1250</v>
      </c>
      <c r="GO6" s="280">
        <v>1770</v>
      </c>
      <c r="GP6" s="280">
        <v>2340</v>
      </c>
      <c r="GQ6" s="280">
        <v>3420</v>
      </c>
      <c r="GR6" s="2194">
        <v>4900</v>
      </c>
      <c r="GU6" s="2174"/>
      <c r="GX6" s="2193">
        <v>25.6</v>
      </c>
      <c r="GY6" s="2194">
        <v>14.8</v>
      </c>
      <c r="GZ6" s="2194">
        <v>22.8</v>
      </c>
      <c r="HA6" s="2194">
        <v>33.200000000000003</v>
      </c>
      <c r="HB6" s="2194">
        <v>48.1</v>
      </c>
      <c r="HC6" s="2194">
        <v>63</v>
      </c>
      <c r="HD6" s="2194">
        <v>93.5</v>
      </c>
      <c r="HE6" s="2194">
        <v>128</v>
      </c>
      <c r="HF6" s="2194">
        <v>174</v>
      </c>
      <c r="HG6" s="2194">
        <v>248</v>
      </c>
      <c r="HH6" s="2194">
        <v>368</v>
      </c>
      <c r="HI6" s="280">
        <v>513</v>
      </c>
      <c r="HJ6" s="280">
        <v>782</v>
      </c>
      <c r="HK6" s="280">
        <v>1035</v>
      </c>
      <c r="HL6" s="2194">
        <v>1354</v>
      </c>
      <c r="HO6" s="2187">
        <v>25.6</v>
      </c>
      <c r="HP6" s="2187">
        <v>28.4</v>
      </c>
      <c r="HS6" s="2193">
        <v>25.6</v>
      </c>
      <c r="HT6" s="2194">
        <v>14.8</v>
      </c>
      <c r="HU6" s="2194">
        <v>22.8</v>
      </c>
      <c r="HV6" s="2194">
        <v>33.200000000000003</v>
      </c>
      <c r="HW6" s="2194">
        <v>48.1</v>
      </c>
      <c r="HX6" s="2194">
        <v>63</v>
      </c>
      <c r="HY6" s="2194">
        <v>93.5</v>
      </c>
      <c r="HZ6" s="2194">
        <v>128</v>
      </c>
      <c r="IA6" s="2194">
        <v>174</v>
      </c>
      <c r="IB6" s="2194">
        <v>248</v>
      </c>
      <c r="IC6" s="2194">
        <v>368</v>
      </c>
      <c r="ID6" s="280">
        <v>513</v>
      </c>
      <c r="IE6" s="280">
        <v>782</v>
      </c>
      <c r="IF6" s="280">
        <v>1035</v>
      </c>
      <c r="IG6" s="2194">
        <v>1354</v>
      </c>
    </row>
    <row r="7" spans="1:285" ht="21.95" customHeight="1">
      <c r="C7" s="3617" t="str">
        <f>IF(I8="Right",IF(I15="Right",IF(I22="Right",IF(I26="Right",IF(I31="Right",IF(I38="Right","Right","Wrong"),"Wrong"),"Wrong"),"Wrong"),"Wrong"),"Wrong")</f>
        <v>Right</v>
      </c>
      <c r="D7" s="281"/>
      <c r="E7" s="281"/>
      <c r="F7" s="281"/>
      <c r="G7" s="281"/>
      <c r="H7" s="281"/>
      <c r="I7" s="281"/>
      <c r="J7" s="281"/>
      <c r="S7" s="286"/>
      <c r="T7" s="286"/>
      <c r="AA7" s="2276" t="str">
        <f>AI143</f>
        <v>Right</v>
      </c>
      <c r="AB7" s="2276" t="str">
        <f>+AI332</f>
        <v>Right</v>
      </c>
      <c r="AC7" s="2176" t="str">
        <f>IF(AK40&lt;=112,AL72,"Right")</f>
        <v>Right</v>
      </c>
      <c r="AD7" s="2176" t="str">
        <f>IF(CB40&lt;=130,CC72,"Right")</f>
        <v>Right</v>
      </c>
      <c r="AF7" s="2174"/>
      <c r="AG7" s="2174"/>
      <c r="AJ7" s="2193">
        <v>18</v>
      </c>
      <c r="AK7" s="2194">
        <v>30</v>
      </c>
      <c r="AL7" s="2194">
        <v>42</v>
      </c>
      <c r="AM7" s="2194">
        <v>60</v>
      </c>
      <c r="AN7" s="2194">
        <v>80</v>
      </c>
      <c r="AO7" s="2194">
        <v>105</v>
      </c>
      <c r="AP7" s="2194">
        <v>150</v>
      </c>
      <c r="AQ7" s="2194">
        <v>220</v>
      </c>
      <c r="AR7" s="2194">
        <v>320</v>
      </c>
      <c r="AS7" s="2194">
        <v>420</v>
      </c>
      <c r="AT7" s="2194">
        <v>590</v>
      </c>
      <c r="AU7" s="280">
        <v>1000</v>
      </c>
      <c r="AV7" s="280">
        <v>1410</v>
      </c>
      <c r="AW7" s="280">
        <v>1860</v>
      </c>
      <c r="AX7" s="280">
        <v>2720</v>
      </c>
      <c r="AY7" s="2194">
        <v>3900</v>
      </c>
      <c r="BB7" s="2187">
        <v>18</v>
      </c>
      <c r="BC7" s="2187">
        <v>20</v>
      </c>
      <c r="BF7" s="2193">
        <v>18</v>
      </c>
      <c r="BG7" s="2194">
        <v>30</v>
      </c>
      <c r="BH7" s="2194">
        <v>42</v>
      </c>
      <c r="BI7" s="2194">
        <v>60</v>
      </c>
      <c r="BJ7" s="2194">
        <v>80</v>
      </c>
      <c r="BK7" s="2194">
        <v>105</v>
      </c>
      <c r="BL7" s="2194">
        <v>150</v>
      </c>
      <c r="BM7" s="2194">
        <v>220</v>
      </c>
      <c r="BN7" s="2194">
        <v>320</v>
      </c>
      <c r="BO7" s="2194">
        <v>420</v>
      </c>
      <c r="BP7" s="2194">
        <v>590</v>
      </c>
      <c r="BQ7" s="280">
        <v>1000</v>
      </c>
      <c r="BR7" s="280">
        <v>1410</v>
      </c>
      <c r="BS7" s="280">
        <v>1860</v>
      </c>
      <c r="BT7" s="280">
        <v>2720</v>
      </c>
      <c r="BU7" s="2194">
        <v>3900</v>
      </c>
      <c r="BX7" s="2174"/>
      <c r="CA7" s="2193">
        <v>31.4</v>
      </c>
      <c r="CB7" s="2194">
        <v>11.5</v>
      </c>
      <c r="CC7" s="2194">
        <v>17.7</v>
      </c>
      <c r="CD7" s="2194">
        <v>27.5</v>
      </c>
      <c r="CE7" s="2194">
        <v>40</v>
      </c>
      <c r="CF7" s="2194">
        <v>51.5</v>
      </c>
      <c r="CG7" s="2194">
        <v>82.2</v>
      </c>
      <c r="CH7" s="2194">
        <v>105</v>
      </c>
      <c r="CI7" s="2194">
        <v>141</v>
      </c>
      <c r="CJ7" s="2194">
        <v>203</v>
      </c>
      <c r="CK7" s="2194">
        <v>297</v>
      </c>
      <c r="CL7" s="280">
        <v>415</v>
      </c>
      <c r="CM7" s="280">
        <v>648</v>
      </c>
      <c r="CN7" s="280">
        <v>852</v>
      </c>
      <c r="CO7" s="2194">
        <v>1114</v>
      </c>
      <c r="CR7" s="2187">
        <v>31.4</v>
      </c>
      <c r="CS7" s="2187">
        <v>34.700000000000003</v>
      </c>
      <c r="CV7" s="2193">
        <v>31.4</v>
      </c>
      <c r="CW7" s="2194">
        <v>11.5</v>
      </c>
      <c r="CX7" s="2194">
        <v>17.7</v>
      </c>
      <c r="CY7" s="2194">
        <v>27.5</v>
      </c>
      <c r="CZ7" s="2194">
        <v>40</v>
      </c>
      <c r="DA7" s="2194">
        <v>51.5</v>
      </c>
      <c r="DB7" s="2194">
        <v>82.2</v>
      </c>
      <c r="DC7" s="2194">
        <v>105</v>
      </c>
      <c r="DD7" s="2194">
        <v>141</v>
      </c>
      <c r="DE7" s="2194">
        <v>203</v>
      </c>
      <c r="DF7" s="2194">
        <v>297</v>
      </c>
      <c r="DG7" s="280">
        <v>415</v>
      </c>
      <c r="DH7" s="280">
        <v>648</v>
      </c>
      <c r="DI7" s="280">
        <v>852</v>
      </c>
      <c r="DJ7" s="2194">
        <v>1114</v>
      </c>
      <c r="DX7" s="1"/>
      <c r="DZ7" s="3617" t="str">
        <f>IF(EF8="Right",IF(EF15="Right",IF(EF22="Right",IF(EF26="Right",IF(EF31="Right",IF(EF38="Right","Right","Wrong"),"Wrong"),"Wrong"),"Wrong"),"Wrong"),"Wrong")</f>
        <v>Right</v>
      </c>
      <c r="EA7" s="281"/>
      <c r="EB7" s="281"/>
      <c r="EC7" s="281"/>
      <c r="ED7" s="281"/>
      <c r="EE7" s="281"/>
      <c r="EF7" s="281"/>
      <c r="EG7" s="281"/>
      <c r="EP7" s="286"/>
      <c r="EQ7" s="286"/>
      <c r="EX7" s="3618" t="str">
        <f>FF143</f>
        <v>Right</v>
      </c>
      <c r="EY7" s="3618" t="str">
        <f>+FF331</f>
        <v>Right</v>
      </c>
      <c r="EZ7" s="2176" t="str">
        <f>FQ47</f>
        <v>Right</v>
      </c>
      <c r="FA7" s="2176" t="str">
        <f>HH47</f>
        <v>Right</v>
      </c>
      <c r="FC7" s="2174"/>
      <c r="FD7" s="2174"/>
      <c r="FG7" s="2193">
        <v>16</v>
      </c>
      <c r="FH7" s="2194">
        <v>32</v>
      </c>
      <c r="FI7" s="2194">
        <v>44</v>
      </c>
      <c r="FJ7" s="2194">
        <v>66</v>
      </c>
      <c r="FK7" s="2194">
        <v>88</v>
      </c>
      <c r="FL7" s="2194">
        <v>120</v>
      </c>
      <c r="FM7" s="2194">
        <v>170</v>
      </c>
      <c r="FN7" s="2194">
        <v>250</v>
      </c>
      <c r="FO7" s="2194">
        <v>350</v>
      </c>
      <c r="FP7" s="2194">
        <v>460</v>
      </c>
      <c r="FQ7" s="2194">
        <v>640</v>
      </c>
      <c r="FR7" s="280">
        <v>1120</v>
      </c>
      <c r="FS7" s="280">
        <v>1580</v>
      </c>
      <c r="FT7" s="280">
        <v>2090</v>
      </c>
      <c r="FU7" s="280">
        <v>3060</v>
      </c>
      <c r="FV7" s="2194">
        <v>4390</v>
      </c>
      <c r="FY7" s="2187">
        <v>16</v>
      </c>
      <c r="FZ7" s="2187">
        <v>18</v>
      </c>
      <c r="GC7" s="2193">
        <v>16</v>
      </c>
      <c r="GD7" s="2194">
        <v>32</v>
      </c>
      <c r="GE7" s="2194">
        <v>44</v>
      </c>
      <c r="GF7" s="2194">
        <v>66</v>
      </c>
      <c r="GG7" s="2194">
        <v>88</v>
      </c>
      <c r="GH7" s="2194">
        <v>120</v>
      </c>
      <c r="GI7" s="2194">
        <v>170</v>
      </c>
      <c r="GJ7" s="2194">
        <v>250</v>
      </c>
      <c r="GK7" s="2194">
        <v>350</v>
      </c>
      <c r="GL7" s="2194">
        <v>460</v>
      </c>
      <c r="GM7" s="2194">
        <v>640</v>
      </c>
      <c r="GN7" s="280">
        <v>1120</v>
      </c>
      <c r="GO7" s="280">
        <v>1580</v>
      </c>
      <c r="GP7" s="280">
        <v>2090</v>
      </c>
      <c r="GQ7" s="280">
        <v>3060</v>
      </c>
      <c r="GR7" s="2194">
        <v>4390</v>
      </c>
      <c r="GU7" s="2174"/>
      <c r="GX7" s="2193">
        <v>28.4</v>
      </c>
      <c r="GY7" s="2194">
        <v>14</v>
      </c>
      <c r="GZ7" s="2194">
        <v>19.899999999999999</v>
      </c>
      <c r="HA7" s="2194">
        <v>30.3</v>
      </c>
      <c r="HB7" s="2194">
        <v>44.5</v>
      </c>
      <c r="HC7" s="2194">
        <v>58.2</v>
      </c>
      <c r="HD7" s="2194">
        <v>85</v>
      </c>
      <c r="HE7" s="2194">
        <v>116</v>
      </c>
      <c r="HF7" s="2194">
        <v>152</v>
      </c>
      <c r="HG7" s="2194">
        <v>221</v>
      </c>
      <c r="HH7" s="2194">
        <v>330</v>
      </c>
      <c r="HI7" s="280">
        <v>471</v>
      </c>
      <c r="HJ7" s="280">
        <v>705</v>
      </c>
      <c r="HK7" s="280">
        <v>940</v>
      </c>
      <c r="HL7" s="2194">
        <v>1208</v>
      </c>
      <c r="HO7" s="2187">
        <v>28.4</v>
      </c>
      <c r="HP7" s="2187">
        <v>31.4</v>
      </c>
      <c r="HS7" s="2193">
        <v>28.4</v>
      </c>
      <c r="HT7" s="2194">
        <v>14</v>
      </c>
      <c r="HU7" s="2194">
        <v>19.899999999999999</v>
      </c>
      <c r="HV7" s="2194">
        <v>30.3</v>
      </c>
      <c r="HW7" s="2194">
        <v>44.5</v>
      </c>
      <c r="HX7" s="2194">
        <v>58.2</v>
      </c>
      <c r="HY7" s="2194">
        <v>85</v>
      </c>
      <c r="HZ7" s="2194">
        <v>116</v>
      </c>
      <c r="IA7" s="2194">
        <v>152</v>
      </c>
      <c r="IB7" s="2194">
        <v>221</v>
      </c>
      <c r="IC7" s="2194">
        <v>330</v>
      </c>
      <c r="ID7" s="280">
        <v>471</v>
      </c>
      <c r="IE7" s="280">
        <v>705</v>
      </c>
      <c r="IF7" s="280">
        <v>940</v>
      </c>
      <c r="IG7" s="2194">
        <v>1208</v>
      </c>
    </row>
    <row r="8" spans="1:285" ht="21.95" customHeight="1">
      <c r="C8" s="777" t="s">
        <v>2259</v>
      </c>
      <c r="D8" s="778" t="s">
        <v>2171</v>
      </c>
      <c r="E8" s="779" t="s">
        <v>2172</v>
      </c>
      <c r="F8" s="779" t="s">
        <v>2173</v>
      </c>
      <c r="G8" s="779" t="s">
        <v>1682</v>
      </c>
      <c r="H8" s="779" t="s">
        <v>2174</v>
      </c>
      <c r="I8" s="3619" t="str">
        <f>'E Gear B'!F149</f>
        <v>Right</v>
      </c>
      <c r="J8" s="281"/>
      <c r="S8" s="286"/>
      <c r="T8" s="286"/>
      <c r="AA8" s="2276" t="str">
        <f>AI144</f>
        <v>Right</v>
      </c>
      <c r="AB8" s="2276" t="str">
        <f>+AI333</f>
        <v>Right</v>
      </c>
      <c r="AC8" s="2176" t="str">
        <f>IF(AK40&lt;=112,AL73,"Right")</f>
        <v>Right</v>
      </c>
      <c r="AD8" s="2176" t="str">
        <f>IF(CB40&lt;=130,CC73,"Right")</f>
        <v>Right</v>
      </c>
      <c r="AF8" s="2174"/>
      <c r="AG8" s="2174"/>
      <c r="AJ8" s="2193">
        <v>20</v>
      </c>
      <c r="AK8" s="2194">
        <v>27</v>
      </c>
      <c r="AL8" s="2194">
        <v>39</v>
      </c>
      <c r="AM8" s="2194">
        <v>54</v>
      </c>
      <c r="AN8" s="2194">
        <v>70</v>
      </c>
      <c r="AO8" s="2194">
        <v>98</v>
      </c>
      <c r="AP8" s="2194">
        <v>140</v>
      </c>
      <c r="AQ8" s="2194">
        <v>200</v>
      </c>
      <c r="AR8" s="2194">
        <v>290</v>
      </c>
      <c r="AS8" s="2194">
        <v>380</v>
      </c>
      <c r="AT8" s="2194">
        <v>550</v>
      </c>
      <c r="AU8" s="280">
        <v>880</v>
      </c>
      <c r="AV8" s="280">
        <v>1240</v>
      </c>
      <c r="AW8" s="280">
        <v>1640</v>
      </c>
      <c r="AX8" s="280">
        <v>2400</v>
      </c>
      <c r="AY8" s="2194">
        <v>3440</v>
      </c>
      <c r="BB8" s="2187">
        <v>20</v>
      </c>
      <c r="BC8" s="2187">
        <v>22.4</v>
      </c>
      <c r="BF8" s="2193">
        <v>20</v>
      </c>
      <c r="BG8" s="2194">
        <v>27</v>
      </c>
      <c r="BH8" s="2194">
        <v>39</v>
      </c>
      <c r="BI8" s="2194">
        <v>54</v>
      </c>
      <c r="BJ8" s="2194">
        <v>70</v>
      </c>
      <c r="BK8" s="2194">
        <v>98</v>
      </c>
      <c r="BL8" s="2194">
        <v>140</v>
      </c>
      <c r="BM8" s="2194">
        <v>200</v>
      </c>
      <c r="BN8" s="2194">
        <v>290</v>
      </c>
      <c r="BO8" s="2194">
        <v>380</v>
      </c>
      <c r="BP8" s="2194">
        <v>550</v>
      </c>
      <c r="BQ8" s="280">
        <v>880</v>
      </c>
      <c r="BR8" s="280">
        <v>1240</v>
      </c>
      <c r="BS8" s="280">
        <v>1640</v>
      </c>
      <c r="BT8" s="280">
        <v>2400</v>
      </c>
      <c r="BU8" s="2194">
        <v>3440</v>
      </c>
      <c r="BX8" s="2174"/>
      <c r="CA8" s="2193">
        <v>34.700000000000003</v>
      </c>
      <c r="CB8" s="2194">
        <v>11.1</v>
      </c>
      <c r="CC8" s="2194">
        <v>16.399999999999999</v>
      </c>
      <c r="CD8" s="2194">
        <v>25.4</v>
      </c>
      <c r="CE8" s="2194">
        <v>35.299999999999997</v>
      </c>
      <c r="CF8" s="2194">
        <v>46.6</v>
      </c>
      <c r="CG8" s="2194">
        <v>71.599999999999994</v>
      </c>
      <c r="CH8" s="2194">
        <v>93.4</v>
      </c>
      <c r="CI8" s="2194">
        <v>126</v>
      </c>
      <c r="CJ8" s="2194">
        <v>186</v>
      </c>
      <c r="CK8" s="2194">
        <v>272</v>
      </c>
      <c r="CL8" s="280">
        <v>383</v>
      </c>
      <c r="CM8" s="280">
        <v>571</v>
      </c>
      <c r="CN8" s="280">
        <v>756</v>
      </c>
      <c r="CO8" s="2194">
        <v>989</v>
      </c>
      <c r="CR8" s="2187">
        <v>34.700000000000003</v>
      </c>
      <c r="CS8" s="2187">
        <v>38.4</v>
      </c>
      <c r="CV8" s="2193">
        <v>34.700000000000003</v>
      </c>
      <c r="CW8" s="2194">
        <v>11.1</v>
      </c>
      <c r="CX8" s="2194">
        <v>16.399999999999999</v>
      </c>
      <c r="CY8" s="2194">
        <v>25.4</v>
      </c>
      <c r="CZ8" s="2194">
        <v>35.299999999999997</v>
      </c>
      <c r="DA8" s="2194">
        <v>46.6</v>
      </c>
      <c r="DB8" s="2194">
        <v>71.599999999999994</v>
      </c>
      <c r="DC8" s="2194">
        <v>93.4</v>
      </c>
      <c r="DD8" s="2194">
        <v>126</v>
      </c>
      <c r="DE8" s="2194">
        <v>186</v>
      </c>
      <c r="DF8" s="2194">
        <v>272</v>
      </c>
      <c r="DG8" s="280">
        <v>383</v>
      </c>
      <c r="DH8" s="280">
        <v>571</v>
      </c>
      <c r="DI8" s="280">
        <v>756</v>
      </c>
      <c r="DJ8" s="2194">
        <v>989</v>
      </c>
      <c r="DX8" s="1"/>
      <c r="DZ8" s="777" t="s">
        <v>2259</v>
      </c>
      <c r="EA8" s="778" t="s">
        <v>2171</v>
      </c>
      <c r="EB8" s="779" t="s">
        <v>2172</v>
      </c>
      <c r="EC8" s="779" t="s">
        <v>2173</v>
      </c>
      <c r="ED8" s="779" t="s">
        <v>1682</v>
      </c>
      <c r="EE8" s="779" t="s">
        <v>2174</v>
      </c>
      <c r="EF8" s="3619" t="str">
        <f>'E Gear B'!EC150</f>
        <v>Right</v>
      </c>
      <c r="EG8" s="281"/>
      <c r="EP8" s="286"/>
      <c r="EQ8" s="286"/>
      <c r="EX8" s="3618" t="str">
        <f>FF144</f>
        <v>Right</v>
      </c>
      <c r="EY8" s="3618" t="str">
        <f>+FF332</f>
        <v>Right</v>
      </c>
      <c r="EZ8" s="2176" t="str">
        <f>IF(FH41&lt;=112,FI73,"Right")</f>
        <v>Right</v>
      </c>
      <c r="FA8" s="2176" t="str">
        <f>IF(GY41&lt;=130,GZ73,"Right")</f>
        <v>Right</v>
      </c>
      <c r="FC8" s="2174"/>
      <c r="FD8" s="2174"/>
      <c r="FG8" s="2193">
        <v>18</v>
      </c>
      <c r="FH8" s="2194">
        <v>30</v>
      </c>
      <c r="FI8" s="2194">
        <v>42</v>
      </c>
      <c r="FJ8" s="2194">
        <v>60</v>
      </c>
      <c r="FK8" s="2194">
        <v>80</v>
      </c>
      <c r="FL8" s="2194">
        <v>105</v>
      </c>
      <c r="FM8" s="2194">
        <v>150</v>
      </c>
      <c r="FN8" s="2194">
        <v>220</v>
      </c>
      <c r="FO8" s="2194">
        <v>320</v>
      </c>
      <c r="FP8" s="2194">
        <v>420</v>
      </c>
      <c r="FQ8" s="2194">
        <v>590</v>
      </c>
      <c r="FR8" s="280">
        <v>1000</v>
      </c>
      <c r="FS8" s="280">
        <v>1410</v>
      </c>
      <c r="FT8" s="280">
        <v>1860</v>
      </c>
      <c r="FU8" s="280">
        <v>2720</v>
      </c>
      <c r="FV8" s="2194">
        <v>3900</v>
      </c>
      <c r="FY8" s="2187">
        <v>18</v>
      </c>
      <c r="FZ8" s="2187">
        <v>20</v>
      </c>
      <c r="GC8" s="2193">
        <v>18</v>
      </c>
      <c r="GD8" s="2194">
        <v>30</v>
      </c>
      <c r="GE8" s="2194">
        <v>42</v>
      </c>
      <c r="GF8" s="2194">
        <v>60</v>
      </c>
      <c r="GG8" s="2194">
        <v>80</v>
      </c>
      <c r="GH8" s="2194">
        <v>105</v>
      </c>
      <c r="GI8" s="2194">
        <v>150</v>
      </c>
      <c r="GJ8" s="2194">
        <v>220</v>
      </c>
      <c r="GK8" s="2194">
        <v>320</v>
      </c>
      <c r="GL8" s="2194">
        <v>420</v>
      </c>
      <c r="GM8" s="2194">
        <v>590</v>
      </c>
      <c r="GN8" s="280">
        <v>1000</v>
      </c>
      <c r="GO8" s="280">
        <v>1410</v>
      </c>
      <c r="GP8" s="280">
        <v>1860</v>
      </c>
      <c r="GQ8" s="280">
        <v>2720</v>
      </c>
      <c r="GR8" s="2194">
        <v>3900</v>
      </c>
      <c r="GU8" s="2174"/>
      <c r="GX8" s="2193">
        <v>31.4</v>
      </c>
      <c r="GY8" s="2194">
        <v>11.5</v>
      </c>
      <c r="GZ8" s="2194">
        <v>17.7</v>
      </c>
      <c r="HA8" s="2194">
        <v>27.5</v>
      </c>
      <c r="HB8" s="2194">
        <v>40</v>
      </c>
      <c r="HC8" s="2194">
        <v>51.5</v>
      </c>
      <c r="HD8" s="2194">
        <v>82.2</v>
      </c>
      <c r="HE8" s="2194">
        <v>105</v>
      </c>
      <c r="HF8" s="2194">
        <v>141</v>
      </c>
      <c r="HG8" s="2194">
        <v>203</v>
      </c>
      <c r="HH8" s="2194">
        <v>297</v>
      </c>
      <c r="HI8" s="280">
        <v>415</v>
      </c>
      <c r="HJ8" s="280">
        <v>648</v>
      </c>
      <c r="HK8" s="280">
        <v>852</v>
      </c>
      <c r="HL8" s="2194">
        <v>1114</v>
      </c>
      <c r="HO8" s="2187">
        <v>31.4</v>
      </c>
      <c r="HP8" s="2187">
        <v>34.700000000000003</v>
      </c>
      <c r="HS8" s="2193">
        <v>31.4</v>
      </c>
      <c r="HT8" s="2194">
        <v>11.5</v>
      </c>
      <c r="HU8" s="2194">
        <v>17.7</v>
      </c>
      <c r="HV8" s="2194">
        <v>27.5</v>
      </c>
      <c r="HW8" s="2194">
        <v>40</v>
      </c>
      <c r="HX8" s="2194">
        <v>51.5</v>
      </c>
      <c r="HY8" s="2194">
        <v>82.2</v>
      </c>
      <c r="HZ8" s="2194">
        <v>105</v>
      </c>
      <c r="IA8" s="2194">
        <v>141</v>
      </c>
      <c r="IB8" s="2194">
        <v>203</v>
      </c>
      <c r="IC8" s="2194">
        <v>297</v>
      </c>
      <c r="ID8" s="280">
        <v>415</v>
      </c>
      <c r="IE8" s="280">
        <v>648</v>
      </c>
      <c r="IF8" s="280">
        <v>852</v>
      </c>
      <c r="IG8" s="2194">
        <v>1114</v>
      </c>
    </row>
    <row r="9" spans="1:285" ht="21.95" customHeight="1">
      <c r="C9" s="283" t="s">
        <v>651</v>
      </c>
      <c r="D9" s="3620">
        <f>'E Gear B'!E145</f>
        <v>20.89</v>
      </c>
      <c r="E9" s="3620" t="str">
        <f>"3AH"&amp;'E Gear B'!F145</f>
        <v>3AH650</v>
      </c>
      <c r="F9" s="3620">
        <f>VLOOKUP(E9,'E Gear B'!C56:F66,2,0)</f>
        <v>108150</v>
      </c>
      <c r="G9" s="3620">
        <f>VLOOKUP(E9,'E Gear B'!C56:F66,3,0)</f>
        <v>26250</v>
      </c>
      <c r="H9" s="3620">
        <f>VLOOKUP(E9,'E Gear B'!C56:F66,4,0)</f>
        <v>700</v>
      </c>
      <c r="I9" s="281"/>
      <c r="J9" s="281"/>
      <c r="S9" s="286"/>
      <c r="T9" s="286"/>
      <c r="AA9" s="2276" t="str">
        <f>AI145</f>
        <v>Right</v>
      </c>
      <c r="AB9" s="2276" t="str">
        <f>+AI334</f>
        <v>Right</v>
      </c>
      <c r="AC9" s="2176" t="str">
        <f>AQ49</f>
        <v>Right</v>
      </c>
      <c r="AD9" s="2176" t="str">
        <f>CH49</f>
        <v>Right</v>
      </c>
      <c r="AF9" s="2174"/>
      <c r="AG9" s="2174"/>
      <c r="AJ9" s="2193">
        <v>22.4</v>
      </c>
      <c r="AK9" s="2194">
        <v>24</v>
      </c>
      <c r="AL9" s="2194">
        <v>35</v>
      </c>
      <c r="AM9" s="2194">
        <v>50</v>
      </c>
      <c r="AN9" s="2194">
        <v>65</v>
      </c>
      <c r="AO9" s="2194">
        <v>91</v>
      </c>
      <c r="AP9" s="2194">
        <v>130</v>
      </c>
      <c r="AQ9" s="2194">
        <v>190</v>
      </c>
      <c r="AR9" s="2194">
        <v>265</v>
      </c>
      <c r="AS9" s="2194">
        <v>345</v>
      </c>
      <c r="AT9" s="2194">
        <v>520</v>
      </c>
      <c r="AU9" s="280">
        <v>780</v>
      </c>
      <c r="AV9" s="280">
        <v>1100</v>
      </c>
      <c r="AW9" s="280">
        <v>1450</v>
      </c>
      <c r="AX9" s="280">
        <v>2120</v>
      </c>
      <c r="AY9" s="2194">
        <v>3040</v>
      </c>
      <c r="BB9" s="2187">
        <v>22.4</v>
      </c>
      <c r="BC9" s="2187">
        <v>25</v>
      </c>
      <c r="BF9" s="2193">
        <v>22.4</v>
      </c>
      <c r="BG9" s="2194">
        <v>24</v>
      </c>
      <c r="BH9" s="2194">
        <v>35</v>
      </c>
      <c r="BI9" s="2194">
        <v>50</v>
      </c>
      <c r="BJ9" s="2194">
        <v>65</v>
      </c>
      <c r="BK9" s="2194">
        <v>91</v>
      </c>
      <c r="BL9" s="2194">
        <v>130</v>
      </c>
      <c r="BM9" s="2194">
        <v>190</v>
      </c>
      <c r="BN9" s="2194">
        <v>265</v>
      </c>
      <c r="BO9" s="2194">
        <v>345</v>
      </c>
      <c r="BP9" s="2194">
        <v>520</v>
      </c>
      <c r="BQ9" s="280">
        <v>780</v>
      </c>
      <c r="BR9" s="280">
        <v>1100</v>
      </c>
      <c r="BS9" s="280">
        <v>1450</v>
      </c>
      <c r="BT9" s="280">
        <v>2120</v>
      </c>
      <c r="BU9" s="2194">
        <v>3040</v>
      </c>
      <c r="BX9" s="2174"/>
      <c r="CA9" s="2193">
        <v>38.4</v>
      </c>
      <c r="CB9" s="2194">
        <v>9.91</v>
      </c>
      <c r="CC9" s="2194">
        <v>14.9</v>
      </c>
      <c r="CD9" s="2194">
        <v>22.3</v>
      </c>
      <c r="CE9" s="2194">
        <v>33.4</v>
      </c>
      <c r="CF9" s="2194">
        <v>42</v>
      </c>
      <c r="CG9" s="2194">
        <v>69.7</v>
      </c>
      <c r="CH9" s="2194">
        <v>85.6</v>
      </c>
      <c r="CI9" s="2194">
        <v>114</v>
      </c>
      <c r="CJ9" s="2194">
        <v>164</v>
      </c>
      <c r="CK9" s="2194">
        <v>246</v>
      </c>
      <c r="CL9" s="280">
        <v>341</v>
      </c>
      <c r="CM9" s="280">
        <v>531</v>
      </c>
      <c r="CN9" s="280">
        <v>697</v>
      </c>
      <c r="CO9" s="2194">
        <v>900</v>
      </c>
      <c r="CR9" s="2187">
        <v>38.4</v>
      </c>
      <c r="CS9" s="2187">
        <v>42.5</v>
      </c>
      <c r="CV9" s="2193">
        <v>38.4</v>
      </c>
      <c r="CW9" s="2194">
        <v>9.91</v>
      </c>
      <c r="CX9" s="2194">
        <v>14.9</v>
      </c>
      <c r="CY9" s="2194">
        <v>22.3</v>
      </c>
      <c r="CZ9" s="2194">
        <v>33.4</v>
      </c>
      <c r="DA9" s="2194">
        <v>42</v>
      </c>
      <c r="DB9" s="2194">
        <v>69.7</v>
      </c>
      <c r="DC9" s="2194">
        <v>85.6</v>
      </c>
      <c r="DD9" s="2194">
        <v>114</v>
      </c>
      <c r="DE9" s="2194">
        <v>164</v>
      </c>
      <c r="DF9" s="2194">
        <v>246</v>
      </c>
      <c r="DG9" s="280">
        <v>341</v>
      </c>
      <c r="DH9" s="280">
        <v>531</v>
      </c>
      <c r="DI9" s="280">
        <v>697</v>
      </c>
      <c r="DJ9" s="2194">
        <v>900</v>
      </c>
      <c r="DX9" s="1"/>
      <c r="DZ9" s="283" t="s">
        <v>651</v>
      </c>
      <c r="EA9" s="3620">
        <f>'E Gear B'!EB146</f>
        <v>31.19</v>
      </c>
      <c r="EB9" s="3620" t="str">
        <f>"3AH"&amp;'E Gear B'!EC146</f>
        <v>3AH650</v>
      </c>
      <c r="EC9" s="3620">
        <f>VLOOKUP(EB9,'E Gear B'!DZ56:EC66,2,0)</f>
        <v>108150</v>
      </c>
      <c r="ED9" s="3620">
        <f>VLOOKUP(EB9,'E Gear B'!DZ56:EC66,3,0)</f>
        <v>26250</v>
      </c>
      <c r="EE9" s="3620">
        <f>VLOOKUP(EB9,'E Gear B'!DZ56:EC66,4,0)</f>
        <v>700</v>
      </c>
      <c r="EF9" s="281"/>
      <c r="EG9" s="281"/>
      <c r="EP9" s="286"/>
      <c r="EQ9" s="286"/>
      <c r="EX9" s="3618" t="str">
        <f>FF145</f>
        <v>Right</v>
      </c>
      <c r="EY9" s="3618" t="str">
        <f>+FF333</f>
        <v>Right</v>
      </c>
      <c r="EZ9" s="2176" t="str">
        <f>IF(FH41&lt;=112,FI74,"Right")</f>
        <v>Right</v>
      </c>
      <c r="FA9" s="2176" t="str">
        <f>IF(GY41&lt;=130,GZ74,"Right")</f>
        <v>Right</v>
      </c>
      <c r="FC9" s="2174"/>
      <c r="FD9" s="2174"/>
      <c r="FG9" s="2193">
        <v>20</v>
      </c>
      <c r="FH9" s="2194">
        <v>27</v>
      </c>
      <c r="FI9" s="2194">
        <v>39</v>
      </c>
      <c r="FJ9" s="2194">
        <v>54</v>
      </c>
      <c r="FK9" s="2194">
        <v>70</v>
      </c>
      <c r="FL9" s="2194">
        <v>98</v>
      </c>
      <c r="FM9" s="2194">
        <v>140</v>
      </c>
      <c r="FN9" s="2194">
        <v>200</v>
      </c>
      <c r="FO9" s="2194">
        <v>290</v>
      </c>
      <c r="FP9" s="2194">
        <v>380</v>
      </c>
      <c r="FQ9" s="2194">
        <v>550</v>
      </c>
      <c r="FR9" s="280">
        <v>880</v>
      </c>
      <c r="FS9" s="280">
        <v>1240</v>
      </c>
      <c r="FT9" s="280">
        <v>1640</v>
      </c>
      <c r="FU9" s="280">
        <v>2400</v>
      </c>
      <c r="FV9" s="2194">
        <v>3440</v>
      </c>
      <c r="FY9" s="2187">
        <v>20</v>
      </c>
      <c r="FZ9" s="2187">
        <v>22.4</v>
      </c>
      <c r="GC9" s="2193">
        <v>20</v>
      </c>
      <c r="GD9" s="2194">
        <v>27</v>
      </c>
      <c r="GE9" s="2194">
        <v>39</v>
      </c>
      <c r="GF9" s="2194">
        <v>54</v>
      </c>
      <c r="GG9" s="2194">
        <v>70</v>
      </c>
      <c r="GH9" s="2194">
        <v>98</v>
      </c>
      <c r="GI9" s="2194">
        <v>140</v>
      </c>
      <c r="GJ9" s="2194">
        <v>200</v>
      </c>
      <c r="GK9" s="2194">
        <v>290</v>
      </c>
      <c r="GL9" s="2194">
        <v>380</v>
      </c>
      <c r="GM9" s="2194">
        <v>550</v>
      </c>
      <c r="GN9" s="280">
        <v>880</v>
      </c>
      <c r="GO9" s="280">
        <v>1240</v>
      </c>
      <c r="GP9" s="280">
        <v>1640</v>
      </c>
      <c r="GQ9" s="280">
        <v>2400</v>
      </c>
      <c r="GR9" s="2194">
        <v>3440</v>
      </c>
      <c r="GU9" s="2174"/>
      <c r="GX9" s="2193">
        <v>34.700000000000003</v>
      </c>
      <c r="GY9" s="2194">
        <v>11.1</v>
      </c>
      <c r="GZ9" s="2194">
        <v>16.399999999999999</v>
      </c>
      <c r="HA9" s="2194">
        <v>25.4</v>
      </c>
      <c r="HB9" s="2194">
        <v>35.299999999999997</v>
      </c>
      <c r="HC9" s="2194">
        <v>46.6</v>
      </c>
      <c r="HD9" s="2194">
        <v>71.599999999999994</v>
      </c>
      <c r="HE9" s="2194">
        <v>93.4</v>
      </c>
      <c r="HF9" s="2194">
        <v>126</v>
      </c>
      <c r="HG9" s="2194">
        <v>186</v>
      </c>
      <c r="HH9" s="2194">
        <v>272</v>
      </c>
      <c r="HI9" s="280">
        <v>383</v>
      </c>
      <c r="HJ9" s="280">
        <v>571</v>
      </c>
      <c r="HK9" s="280">
        <v>756</v>
      </c>
      <c r="HL9" s="2194">
        <v>989</v>
      </c>
      <c r="HO9" s="2187">
        <v>34.700000000000003</v>
      </c>
      <c r="HP9" s="2187">
        <v>38.4</v>
      </c>
      <c r="HS9" s="2193">
        <v>34.700000000000003</v>
      </c>
      <c r="HT9" s="2194">
        <v>11.1</v>
      </c>
      <c r="HU9" s="2194">
        <v>16.399999999999999</v>
      </c>
      <c r="HV9" s="2194">
        <v>25.4</v>
      </c>
      <c r="HW9" s="2194">
        <v>35.299999999999997</v>
      </c>
      <c r="HX9" s="2194">
        <v>46.6</v>
      </c>
      <c r="HY9" s="2194">
        <v>71.599999999999994</v>
      </c>
      <c r="HZ9" s="2194">
        <v>93.4</v>
      </c>
      <c r="IA9" s="2194">
        <v>126</v>
      </c>
      <c r="IB9" s="2194">
        <v>186</v>
      </c>
      <c r="IC9" s="2194">
        <v>272</v>
      </c>
      <c r="ID9" s="280">
        <v>383</v>
      </c>
      <c r="IE9" s="280">
        <v>571</v>
      </c>
      <c r="IF9" s="280">
        <v>756</v>
      </c>
      <c r="IG9" s="2194">
        <v>989</v>
      </c>
    </row>
    <row r="10" spans="1:285" ht="21.95" customHeight="1">
      <c r="C10" s="283" t="s">
        <v>654</v>
      </c>
      <c r="D10" s="3620">
        <f>'E Gear B'!E146</f>
        <v>23.76</v>
      </c>
      <c r="E10" s="3620" t="str">
        <f>"3AH"&amp;'E Gear B'!F146</f>
        <v>3AH775</v>
      </c>
      <c r="F10" s="3620">
        <f>VLOOKUP(E10,'E Gear B'!C56:F66,2,0)</f>
        <v>195532</v>
      </c>
      <c r="G10" s="3620">
        <f>VLOOKUP(E10,'E Gear B'!C56:F66,3,0)</f>
        <v>29400</v>
      </c>
      <c r="H10" s="3620">
        <f>VLOOKUP(E10,'E Gear B'!C56:F66,4,0)</f>
        <v>1100</v>
      </c>
      <c r="I10" s="281"/>
      <c r="J10" s="281"/>
      <c r="S10" s="286"/>
      <c r="T10" s="286"/>
      <c r="AA10" s="2276" t="str">
        <f>CQ142</f>
        <v>Right</v>
      </c>
      <c r="AB10" s="2276" t="str">
        <f>+CQ331</f>
        <v>Right</v>
      </c>
      <c r="AC10" s="2176" t="str">
        <f>AQ50</f>
        <v>Right</v>
      </c>
      <c r="AD10" s="2176" t="str">
        <f>CH50</f>
        <v>Right</v>
      </c>
      <c r="AF10" s="2174"/>
      <c r="AG10" s="2174"/>
      <c r="AJ10" s="2193">
        <v>25</v>
      </c>
      <c r="AK10" s="2194">
        <v>20</v>
      </c>
      <c r="AL10" s="2194">
        <v>30</v>
      </c>
      <c r="AM10" s="2194">
        <v>42</v>
      </c>
      <c r="AN10" s="2194">
        <v>57</v>
      </c>
      <c r="AO10" s="2194">
        <v>80</v>
      </c>
      <c r="AP10" s="2194">
        <v>110</v>
      </c>
      <c r="AQ10" s="2194">
        <v>165</v>
      </c>
      <c r="AR10" s="2194">
        <v>255</v>
      </c>
      <c r="AS10" s="2194">
        <v>315</v>
      </c>
      <c r="AT10" s="2194">
        <v>460</v>
      </c>
      <c r="AU10" s="280">
        <v>730</v>
      </c>
      <c r="AV10" s="280">
        <v>1040</v>
      </c>
      <c r="AW10" s="280">
        <v>1350</v>
      </c>
      <c r="AX10" s="280">
        <v>2010</v>
      </c>
      <c r="AY10" s="2194">
        <v>2900</v>
      </c>
      <c r="BB10" s="2187">
        <v>25</v>
      </c>
      <c r="BC10" s="2187">
        <v>28</v>
      </c>
      <c r="BF10" s="2193">
        <v>25</v>
      </c>
      <c r="BG10" s="2194">
        <v>20</v>
      </c>
      <c r="BH10" s="2194">
        <v>30</v>
      </c>
      <c r="BI10" s="2194">
        <v>42</v>
      </c>
      <c r="BJ10" s="2194">
        <v>57</v>
      </c>
      <c r="BK10" s="2194">
        <v>80</v>
      </c>
      <c r="BL10" s="2194">
        <v>110</v>
      </c>
      <c r="BM10" s="2194">
        <v>165</v>
      </c>
      <c r="BN10" s="2194">
        <v>255</v>
      </c>
      <c r="BO10" s="2194">
        <v>315</v>
      </c>
      <c r="BP10" s="2194">
        <v>460</v>
      </c>
      <c r="BQ10" s="280">
        <v>730</v>
      </c>
      <c r="BR10" s="280">
        <v>1040</v>
      </c>
      <c r="BS10" s="280">
        <v>1350</v>
      </c>
      <c r="BT10" s="280">
        <v>2010</v>
      </c>
      <c r="BU10" s="2194">
        <v>2900</v>
      </c>
      <c r="BX10" s="2174"/>
      <c r="CA10" s="2193">
        <v>42.5</v>
      </c>
      <c r="CB10" s="2194">
        <v>8.89</v>
      </c>
      <c r="CC10" s="2194">
        <v>13.3</v>
      </c>
      <c r="CD10" s="2194">
        <v>20.6</v>
      </c>
      <c r="CE10" s="2194">
        <v>29.4</v>
      </c>
      <c r="CF10" s="2194">
        <v>38</v>
      </c>
      <c r="CG10" s="2194">
        <v>60.9</v>
      </c>
      <c r="CH10" s="2194">
        <v>76.3</v>
      </c>
      <c r="CI10" s="2194">
        <v>102</v>
      </c>
      <c r="CJ10" s="2194">
        <v>152</v>
      </c>
      <c r="CK10" s="2194">
        <v>220</v>
      </c>
      <c r="CL10" s="280">
        <v>309</v>
      </c>
      <c r="CM10" s="280">
        <v>472</v>
      </c>
      <c r="CN10" s="280">
        <v>622</v>
      </c>
      <c r="CO10" s="2194">
        <v>812</v>
      </c>
      <c r="CR10" s="2187">
        <v>42.5</v>
      </c>
      <c r="CS10" s="2187">
        <v>47.1</v>
      </c>
      <c r="CV10" s="2193">
        <v>42.5</v>
      </c>
      <c r="CW10" s="2194">
        <v>8.89</v>
      </c>
      <c r="CX10" s="2194">
        <v>13.3</v>
      </c>
      <c r="CY10" s="2194">
        <v>20.6</v>
      </c>
      <c r="CZ10" s="2194">
        <v>29.4</v>
      </c>
      <c r="DA10" s="2194">
        <v>38</v>
      </c>
      <c r="DB10" s="2194">
        <v>60.9</v>
      </c>
      <c r="DC10" s="2194">
        <v>76.3</v>
      </c>
      <c r="DD10" s="2194">
        <v>102</v>
      </c>
      <c r="DE10" s="2194">
        <v>152</v>
      </c>
      <c r="DF10" s="2194">
        <v>220</v>
      </c>
      <c r="DG10" s="280">
        <v>309</v>
      </c>
      <c r="DH10" s="280">
        <v>472</v>
      </c>
      <c r="DI10" s="280">
        <v>622</v>
      </c>
      <c r="DJ10" s="2194">
        <v>812</v>
      </c>
      <c r="DX10" s="1"/>
      <c r="DZ10" s="283" t="s">
        <v>654</v>
      </c>
      <c r="EA10" s="3620">
        <f>'E Gear B'!EB147</f>
        <v>22.48</v>
      </c>
      <c r="EB10" s="3620" t="str">
        <f>"3AH"&amp;'E Gear B'!EC147</f>
        <v>3AH650</v>
      </c>
      <c r="EC10" s="3620">
        <f>VLOOKUP(EB10,'E Gear B'!DZ56:EC66,2,0)</f>
        <v>108150</v>
      </c>
      <c r="ED10" s="3620">
        <f>VLOOKUP(EB10,'E Gear B'!DZ56:EC66,3,0)</f>
        <v>26250</v>
      </c>
      <c r="EE10" s="3620">
        <f>VLOOKUP(EB10,'E Gear B'!DZ56:EC66,4,0)</f>
        <v>700</v>
      </c>
      <c r="EF10" s="281"/>
      <c r="EG10" s="281"/>
      <c r="EP10" s="286"/>
      <c r="EQ10" s="286"/>
      <c r="EX10" s="3618" t="str">
        <f>FF146</f>
        <v>Right</v>
      </c>
      <c r="EY10" s="3618" t="str">
        <f>+FF334</f>
        <v>Right</v>
      </c>
      <c r="EZ10" s="2176" t="str">
        <f>FN50</f>
        <v>Right</v>
      </c>
      <c r="FA10" s="2176" t="str">
        <f>HE50</f>
        <v>Right</v>
      </c>
      <c r="FC10" s="2174"/>
      <c r="FD10" s="2174"/>
      <c r="FG10" s="2193">
        <v>22.4</v>
      </c>
      <c r="FH10" s="2194">
        <v>24</v>
      </c>
      <c r="FI10" s="2194">
        <v>35</v>
      </c>
      <c r="FJ10" s="2194">
        <v>50</v>
      </c>
      <c r="FK10" s="2194">
        <v>65</v>
      </c>
      <c r="FL10" s="2194">
        <v>91</v>
      </c>
      <c r="FM10" s="2194">
        <v>130</v>
      </c>
      <c r="FN10" s="2194">
        <v>190</v>
      </c>
      <c r="FO10" s="2194">
        <v>265</v>
      </c>
      <c r="FP10" s="2194">
        <v>345</v>
      </c>
      <c r="FQ10" s="2194">
        <v>520</v>
      </c>
      <c r="FR10" s="280">
        <v>780</v>
      </c>
      <c r="FS10" s="280">
        <v>1100</v>
      </c>
      <c r="FT10" s="280">
        <v>1450</v>
      </c>
      <c r="FU10" s="280">
        <v>2120</v>
      </c>
      <c r="FV10" s="2194">
        <v>3040</v>
      </c>
      <c r="FY10" s="2187">
        <v>22.4</v>
      </c>
      <c r="FZ10" s="2187">
        <v>25</v>
      </c>
      <c r="GC10" s="2193">
        <v>22.4</v>
      </c>
      <c r="GD10" s="2194">
        <v>24</v>
      </c>
      <c r="GE10" s="2194">
        <v>35</v>
      </c>
      <c r="GF10" s="2194">
        <v>50</v>
      </c>
      <c r="GG10" s="2194">
        <v>65</v>
      </c>
      <c r="GH10" s="2194">
        <v>91</v>
      </c>
      <c r="GI10" s="2194">
        <v>130</v>
      </c>
      <c r="GJ10" s="2194">
        <v>190</v>
      </c>
      <c r="GK10" s="2194">
        <v>265</v>
      </c>
      <c r="GL10" s="2194">
        <v>345</v>
      </c>
      <c r="GM10" s="2194">
        <v>520</v>
      </c>
      <c r="GN10" s="280">
        <v>780</v>
      </c>
      <c r="GO10" s="280">
        <v>1100</v>
      </c>
      <c r="GP10" s="280">
        <v>1450</v>
      </c>
      <c r="GQ10" s="280">
        <v>2120</v>
      </c>
      <c r="GR10" s="2194">
        <v>3040</v>
      </c>
      <c r="GU10" s="2174"/>
      <c r="GX10" s="2193">
        <v>38.4</v>
      </c>
      <c r="GY10" s="2194">
        <v>9.91</v>
      </c>
      <c r="GZ10" s="2194">
        <v>14.9</v>
      </c>
      <c r="HA10" s="2194">
        <v>22.3</v>
      </c>
      <c r="HB10" s="2194">
        <v>33.4</v>
      </c>
      <c r="HC10" s="2194">
        <v>42</v>
      </c>
      <c r="HD10" s="2194">
        <v>69.7</v>
      </c>
      <c r="HE10" s="2194">
        <v>85.6</v>
      </c>
      <c r="HF10" s="2194">
        <v>114</v>
      </c>
      <c r="HG10" s="2194">
        <v>164</v>
      </c>
      <c r="HH10" s="2194">
        <v>246</v>
      </c>
      <c r="HI10" s="280">
        <v>341</v>
      </c>
      <c r="HJ10" s="280">
        <v>531</v>
      </c>
      <c r="HK10" s="280">
        <v>697</v>
      </c>
      <c r="HL10" s="2194">
        <v>900</v>
      </c>
      <c r="HO10" s="2187">
        <v>38.4</v>
      </c>
      <c r="HP10" s="2187">
        <v>42.5</v>
      </c>
      <c r="HS10" s="2193">
        <v>38.4</v>
      </c>
      <c r="HT10" s="2194">
        <v>9.91</v>
      </c>
      <c r="HU10" s="2194">
        <v>14.9</v>
      </c>
      <c r="HV10" s="2194">
        <v>22.3</v>
      </c>
      <c r="HW10" s="2194">
        <v>33.4</v>
      </c>
      <c r="HX10" s="2194">
        <v>42</v>
      </c>
      <c r="HY10" s="2194">
        <v>69.7</v>
      </c>
      <c r="HZ10" s="2194">
        <v>85.6</v>
      </c>
      <c r="IA10" s="2194">
        <v>114</v>
      </c>
      <c r="IB10" s="2194">
        <v>164</v>
      </c>
      <c r="IC10" s="2194">
        <v>246</v>
      </c>
      <c r="ID10" s="280">
        <v>341</v>
      </c>
      <c r="IE10" s="280">
        <v>531</v>
      </c>
      <c r="IF10" s="280">
        <v>697</v>
      </c>
      <c r="IG10" s="2194">
        <v>900</v>
      </c>
    </row>
    <row r="11" spans="1:285" ht="21.95" customHeight="1">
      <c r="C11" s="283" t="s">
        <v>658</v>
      </c>
      <c r="D11" s="3620">
        <f>'E Gear B'!E147</f>
        <v>25.17</v>
      </c>
      <c r="E11" s="3620" t="str">
        <f>"3AH"&amp;'E Gear B'!F147</f>
        <v>3AH825</v>
      </c>
      <c r="F11" s="3620">
        <f>VLOOKUP(E11,'E Gear B'!C56:F66,2,0)</f>
        <v>203682</v>
      </c>
      <c r="G11" s="3620">
        <f>VLOOKUP(E11,'E Gear B'!C56:F66,3,0)</f>
        <v>33600</v>
      </c>
      <c r="H11" s="3620">
        <f>VLOOKUP(E11,'E Gear B'!C56:F66,4,0)</f>
        <v>1400</v>
      </c>
      <c r="I11" s="281"/>
      <c r="J11" s="281"/>
      <c r="S11" s="286"/>
      <c r="T11" s="286"/>
      <c r="AA11" s="2276" t="str">
        <f>CQ143</f>
        <v>Right</v>
      </c>
      <c r="AB11" s="2276" t="str">
        <f>+CQ332</f>
        <v>Right</v>
      </c>
      <c r="AC11" s="2176" t="str">
        <f>IF(AK40&lt;=112,AL80,"Right")</f>
        <v>Right</v>
      </c>
      <c r="AD11" s="2176" t="str">
        <f>IF(CB40&lt;=130,CC80,"Right")</f>
        <v>Right</v>
      </c>
      <c r="AF11" s="2174"/>
      <c r="AG11" s="2174"/>
      <c r="AJ11" s="2193">
        <v>28</v>
      </c>
      <c r="AK11" s="2194">
        <v>18</v>
      </c>
      <c r="AL11" s="2194">
        <v>27</v>
      </c>
      <c r="AM11" s="2194">
        <v>38</v>
      </c>
      <c r="AN11" s="2194">
        <v>52</v>
      </c>
      <c r="AO11" s="2194">
        <v>72</v>
      </c>
      <c r="AP11" s="2194">
        <v>100</v>
      </c>
      <c r="AQ11" s="2194">
        <v>150</v>
      </c>
      <c r="AR11" s="2194">
        <v>230</v>
      </c>
      <c r="AS11" s="2194">
        <v>285</v>
      </c>
      <c r="AT11" s="2194">
        <v>420</v>
      </c>
      <c r="AU11" s="280">
        <v>640</v>
      </c>
      <c r="AV11" s="280">
        <v>910</v>
      </c>
      <c r="AW11" s="280">
        <v>1190</v>
      </c>
      <c r="AX11" s="280">
        <v>1770</v>
      </c>
      <c r="AY11" s="2194">
        <v>2550</v>
      </c>
      <c r="BB11" s="2187">
        <v>28</v>
      </c>
      <c r="BC11" s="2187">
        <v>31.5</v>
      </c>
      <c r="BF11" s="2193">
        <v>28</v>
      </c>
      <c r="BG11" s="2194">
        <v>18</v>
      </c>
      <c r="BH11" s="2194">
        <v>27</v>
      </c>
      <c r="BI11" s="2194">
        <v>38</v>
      </c>
      <c r="BJ11" s="2194">
        <v>52</v>
      </c>
      <c r="BK11" s="2194">
        <v>72</v>
      </c>
      <c r="BL11" s="2194">
        <v>100</v>
      </c>
      <c r="BM11" s="2194">
        <v>150</v>
      </c>
      <c r="BN11" s="2194">
        <v>230</v>
      </c>
      <c r="BO11" s="2194">
        <v>285</v>
      </c>
      <c r="BP11" s="2194">
        <v>420</v>
      </c>
      <c r="BQ11" s="280">
        <v>640</v>
      </c>
      <c r="BR11" s="280">
        <v>910</v>
      </c>
      <c r="BS11" s="280">
        <v>1190</v>
      </c>
      <c r="BT11" s="280">
        <v>1770</v>
      </c>
      <c r="BU11" s="2194">
        <v>2550</v>
      </c>
      <c r="BX11" s="2174"/>
      <c r="CA11" s="2193">
        <v>47.1</v>
      </c>
      <c r="CB11" s="2194">
        <v>8.35</v>
      </c>
      <c r="CC11" s="2194">
        <v>13.3</v>
      </c>
      <c r="CD11" s="2194">
        <v>20.6</v>
      </c>
      <c r="CE11" s="2194">
        <v>24.6</v>
      </c>
      <c r="CF11" s="2194">
        <v>39</v>
      </c>
      <c r="CG11" s="2194">
        <v>58</v>
      </c>
      <c r="CH11" s="2194">
        <v>73.5</v>
      </c>
      <c r="CI11" s="2194">
        <v>102</v>
      </c>
      <c r="CJ11" s="2194">
        <v>133</v>
      </c>
      <c r="CK11" s="2194">
        <v>190</v>
      </c>
      <c r="CL11" s="280">
        <v>283</v>
      </c>
      <c r="CM11" s="280">
        <v>434</v>
      </c>
      <c r="CN11" s="280">
        <v>606</v>
      </c>
      <c r="CO11" s="2194">
        <v>0</v>
      </c>
      <c r="CR11" s="2187">
        <v>47.1</v>
      </c>
      <c r="CS11" s="2187">
        <v>52.1</v>
      </c>
      <c r="CV11" s="2193">
        <v>47.1</v>
      </c>
      <c r="CW11" s="2194">
        <v>8.35</v>
      </c>
      <c r="CX11" s="2194">
        <v>13.3</v>
      </c>
      <c r="CY11" s="2194">
        <v>20.6</v>
      </c>
      <c r="CZ11" s="2194">
        <v>24.6</v>
      </c>
      <c r="DA11" s="2194">
        <v>39</v>
      </c>
      <c r="DB11" s="2194">
        <v>58</v>
      </c>
      <c r="DC11" s="2194">
        <v>73.5</v>
      </c>
      <c r="DD11" s="2194">
        <v>102</v>
      </c>
      <c r="DE11" s="2194">
        <v>133</v>
      </c>
      <c r="DF11" s="2194">
        <v>190</v>
      </c>
      <c r="DG11" s="280">
        <v>283</v>
      </c>
      <c r="DH11" s="280">
        <v>434</v>
      </c>
      <c r="DI11" s="280">
        <v>606</v>
      </c>
      <c r="DJ11" s="2194">
        <v>0</v>
      </c>
      <c r="DX11" s="1"/>
      <c r="DZ11" s="283" t="s">
        <v>658</v>
      </c>
      <c r="EA11" s="3620">
        <f>'E Gear B'!EB148</f>
        <v>28.22</v>
      </c>
      <c r="EB11" s="3620" t="str">
        <f>"3AH"&amp;'E Gear B'!EC148</f>
        <v>3AH775</v>
      </c>
      <c r="EC11" s="3620">
        <f>VLOOKUP(EB11,'E Gear B'!DZ56:EC66,2,0)</f>
        <v>195532</v>
      </c>
      <c r="ED11" s="3620">
        <f>VLOOKUP(EB11,'E Gear B'!DZ56:EC66,3,0)</f>
        <v>29400</v>
      </c>
      <c r="EE11" s="3620">
        <f>VLOOKUP(EB11,'E Gear B'!DZ56:EC66,4,0)</f>
        <v>1100</v>
      </c>
      <c r="EF11" s="281"/>
      <c r="EG11" s="281"/>
      <c r="EP11" s="286"/>
      <c r="EQ11" s="286"/>
      <c r="EX11" s="3618" t="str">
        <f>HN143</f>
        <v>Right</v>
      </c>
      <c r="EY11" s="3618" t="str">
        <f>+HN331</f>
        <v>Right</v>
      </c>
      <c r="EZ11" s="2176" t="str">
        <f>FN51</f>
        <v>Right</v>
      </c>
      <c r="FA11" s="2176" t="str">
        <f>HE51</f>
        <v>Right</v>
      </c>
      <c r="FC11" s="2174"/>
      <c r="FD11" s="2174"/>
      <c r="FG11" s="2193">
        <v>25</v>
      </c>
      <c r="FH11" s="2194">
        <v>20</v>
      </c>
      <c r="FI11" s="2194">
        <v>30</v>
      </c>
      <c r="FJ11" s="2194">
        <v>42</v>
      </c>
      <c r="FK11" s="2194">
        <v>57</v>
      </c>
      <c r="FL11" s="2194">
        <v>80</v>
      </c>
      <c r="FM11" s="2194">
        <v>110</v>
      </c>
      <c r="FN11" s="2194">
        <v>165</v>
      </c>
      <c r="FO11" s="2194">
        <v>255</v>
      </c>
      <c r="FP11" s="2194">
        <v>315</v>
      </c>
      <c r="FQ11" s="2194">
        <v>460</v>
      </c>
      <c r="FR11" s="280">
        <v>730</v>
      </c>
      <c r="FS11" s="280">
        <v>1040</v>
      </c>
      <c r="FT11" s="280">
        <v>1350</v>
      </c>
      <c r="FU11" s="280">
        <v>2010</v>
      </c>
      <c r="FV11" s="2194">
        <v>2900</v>
      </c>
      <c r="FY11" s="2187">
        <v>25</v>
      </c>
      <c r="FZ11" s="2187">
        <v>28</v>
      </c>
      <c r="GC11" s="2193">
        <v>25</v>
      </c>
      <c r="GD11" s="2194">
        <v>20</v>
      </c>
      <c r="GE11" s="2194">
        <v>30</v>
      </c>
      <c r="GF11" s="2194">
        <v>42</v>
      </c>
      <c r="GG11" s="2194">
        <v>57</v>
      </c>
      <c r="GH11" s="2194">
        <v>80</v>
      </c>
      <c r="GI11" s="2194">
        <v>110</v>
      </c>
      <c r="GJ11" s="2194">
        <v>165</v>
      </c>
      <c r="GK11" s="2194">
        <v>255</v>
      </c>
      <c r="GL11" s="2194">
        <v>315</v>
      </c>
      <c r="GM11" s="2194">
        <v>460</v>
      </c>
      <c r="GN11" s="280">
        <v>730</v>
      </c>
      <c r="GO11" s="280">
        <v>1040</v>
      </c>
      <c r="GP11" s="280">
        <v>1350</v>
      </c>
      <c r="GQ11" s="280">
        <v>2010</v>
      </c>
      <c r="GR11" s="2194">
        <v>2900</v>
      </c>
      <c r="GU11" s="2174"/>
      <c r="GX11" s="2193">
        <v>42.5</v>
      </c>
      <c r="GY11" s="2194">
        <v>8.89</v>
      </c>
      <c r="GZ11" s="2194">
        <v>13.3</v>
      </c>
      <c r="HA11" s="2194">
        <v>20.6</v>
      </c>
      <c r="HB11" s="2194">
        <v>29.4</v>
      </c>
      <c r="HC11" s="2194">
        <v>38</v>
      </c>
      <c r="HD11" s="2194">
        <v>60.9</v>
      </c>
      <c r="HE11" s="2194">
        <v>76.3</v>
      </c>
      <c r="HF11" s="2194">
        <v>102</v>
      </c>
      <c r="HG11" s="2194">
        <v>152</v>
      </c>
      <c r="HH11" s="2194">
        <v>220</v>
      </c>
      <c r="HI11" s="280">
        <v>309</v>
      </c>
      <c r="HJ11" s="280">
        <v>472</v>
      </c>
      <c r="HK11" s="280">
        <v>622</v>
      </c>
      <c r="HL11" s="2194">
        <v>812</v>
      </c>
      <c r="HO11" s="2187">
        <v>42.5</v>
      </c>
      <c r="HP11" s="2187">
        <v>47.1</v>
      </c>
      <c r="HS11" s="2193">
        <v>42.5</v>
      </c>
      <c r="HT11" s="2194">
        <v>8.89</v>
      </c>
      <c r="HU11" s="2194">
        <v>13.3</v>
      </c>
      <c r="HV11" s="2194">
        <v>20.6</v>
      </c>
      <c r="HW11" s="2194">
        <v>29.4</v>
      </c>
      <c r="HX11" s="2194">
        <v>38</v>
      </c>
      <c r="HY11" s="2194">
        <v>60.9</v>
      </c>
      <c r="HZ11" s="2194">
        <v>76.3</v>
      </c>
      <c r="IA11" s="2194">
        <v>102</v>
      </c>
      <c r="IB11" s="2194">
        <v>152</v>
      </c>
      <c r="IC11" s="2194">
        <v>220</v>
      </c>
      <c r="ID11" s="280">
        <v>309</v>
      </c>
      <c r="IE11" s="280">
        <v>472</v>
      </c>
      <c r="IF11" s="280">
        <v>622</v>
      </c>
      <c r="IG11" s="2194">
        <v>812</v>
      </c>
    </row>
    <row r="12" spans="1:285" ht="21.95" customHeight="1">
      <c r="C12" s="283" t="s">
        <v>662</v>
      </c>
      <c r="D12" s="3620">
        <f>'E Gear B'!E148</f>
        <v>21.09</v>
      </c>
      <c r="E12" s="3620" t="str">
        <f>"3AH"&amp;'E Gear B'!F148</f>
        <v>3AH950</v>
      </c>
      <c r="F12" s="3620">
        <f>VLOOKUP(E12,'E Gear B'!C56:F66,2,0)</f>
        <v>321637</v>
      </c>
      <c r="G12" s="3620">
        <f>VLOOKUP(E12,'E Gear B'!C56:F66,3,0)</f>
        <v>36750</v>
      </c>
      <c r="H12" s="3620">
        <f>VLOOKUP(E12,'E Gear B'!C56:F66,4,0)</f>
        <v>2200</v>
      </c>
      <c r="I12" s="281"/>
      <c r="J12" s="281"/>
      <c r="S12" s="286"/>
      <c r="T12" s="286"/>
      <c r="AA12" s="2276" t="str">
        <f>CQ144</f>
        <v>Right</v>
      </c>
      <c r="AB12" s="2276" t="str">
        <f>+CQ333</f>
        <v>Right</v>
      </c>
      <c r="AC12" s="2176" t="str">
        <f>IF(AK40&lt;=112,AN80,"Right")</f>
        <v>Right</v>
      </c>
      <c r="AD12" s="2176" t="str">
        <f>IF(CB40&lt;=130,CE80,"Right")</f>
        <v>Right</v>
      </c>
      <c r="AF12" s="2174"/>
      <c r="AG12" s="2174"/>
      <c r="AJ12" s="2193">
        <v>31.5</v>
      </c>
      <c r="AK12" s="2194">
        <v>16</v>
      </c>
      <c r="AL12" s="2194">
        <v>22</v>
      </c>
      <c r="AM12" s="2194">
        <v>33</v>
      </c>
      <c r="AN12" s="2194">
        <v>46</v>
      </c>
      <c r="AO12" s="2194">
        <v>63</v>
      </c>
      <c r="AP12" s="2194">
        <v>87</v>
      </c>
      <c r="AQ12" s="2194">
        <v>130</v>
      </c>
      <c r="AR12" s="2194">
        <v>200</v>
      </c>
      <c r="AS12" s="2194">
        <v>255</v>
      </c>
      <c r="AT12" s="2194">
        <v>370</v>
      </c>
      <c r="AU12" s="280">
        <v>580</v>
      </c>
      <c r="AV12" s="280">
        <v>820</v>
      </c>
      <c r="AW12" s="280">
        <v>1070</v>
      </c>
      <c r="AX12" s="280">
        <v>1600</v>
      </c>
      <c r="AY12" s="2194">
        <v>2310</v>
      </c>
      <c r="BB12" s="2187">
        <v>31.5</v>
      </c>
      <c r="BC12" s="2187">
        <v>35.5</v>
      </c>
      <c r="BF12" s="2193">
        <v>31.5</v>
      </c>
      <c r="BG12" s="2194">
        <v>16</v>
      </c>
      <c r="BH12" s="2194">
        <v>22</v>
      </c>
      <c r="BI12" s="2194">
        <v>33</v>
      </c>
      <c r="BJ12" s="2194">
        <v>46</v>
      </c>
      <c r="BK12" s="2194">
        <v>63</v>
      </c>
      <c r="BL12" s="2194">
        <v>87</v>
      </c>
      <c r="BM12" s="2194">
        <v>130</v>
      </c>
      <c r="BN12" s="2194">
        <v>200</v>
      </c>
      <c r="BO12" s="2194">
        <v>255</v>
      </c>
      <c r="BP12" s="2194">
        <v>370</v>
      </c>
      <c r="BQ12" s="280">
        <v>580</v>
      </c>
      <c r="BR12" s="280">
        <v>820</v>
      </c>
      <c r="BS12" s="280">
        <v>1070</v>
      </c>
      <c r="BT12" s="280">
        <v>1600</v>
      </c>
      <c r="BU12" s="2194">
        <v>2310</v>
      </c>
      <c r="BX12" s="2174"/>
      <c r="CA12" s="2193">
        <v>52.1</v>
      </c>
      <c r="CB12" s="2194">
        <v>7.38</v>
      </c>
      <c r="CC12" s="2194">
        <v>11.1</v>
      </c>
      <c r="CD12" s="2194">
        <v>15.9</v>
      </c>
      <c r="CE12" s="2194">
        <v>22.2</v>
      </c>
      <c r="CF12" s="2194">
        <v>36.299999999999997</v>
      </c>
      <c r="CG12" s="2194">
        <v>51.9</v>
      </c>
      <c r="CH12" s="2194">
        <v>66.599999999999994</v>
      </c>
      <c r="CI12" s="2194">
        <v>92.3</v>
      </c>
      <c r="CJ12" s="2194">
        <v>119</v>
      </c>
      <c r="CK12" s="2194">
        <v>171</v>
      </c>
      <c r="CL12" s="280">
        <v>264</v>
      </c>
      <c r="CM12" s="280">
        <v>387</v>
      </c>
      <c r="CN12" s="280">
        <v>551</v>
      </c>
      <c r="CO12" s="2194">
        <v>0</v>
      </c>
      <c r="CR12" s="2187">
        <v>52.1</v>
      </c>
      <c r="CS12" s="2187">
        <v>57.7</v>
      </c>
      <c r="CV12" s="2193">
        <v>52.1</v>
      </c>
      <c r="CW12" s="2194">
        <v>7.38</v>
      </c>
      <c r="CX12" s="2194">
        <v>11.1</v>
      </c>
      <c r="CY12" s="2194">
        <v>15.9</v>
      </c>
      <c r="CZ12" s="2194">
        <v>22.2</v>
      </c>
      <c r="DA12" s="2194">
        <v>36.299999999999997</v>
      </c>
      <c r="DB12" s="2194">
        <v>51.9</v>
      </c>
      <c r="DC12" s="2194">
        <v>66.599999999999994</v>
      </c>
      <c r="DD12" s="2194">
        <v>92.3</v>
      </c>
      <c r="DE12" s="2194">
        <v>119</v>
      </c>
      <c r="DF12" s="2194">
        <v>171</v>
      </c>
      <c r="DG12" s="280">
        <v>264</v>
      </c>
      <c r="DH12" s="280">
        <v>387</v>
      </c>
      <c r="DI12" s="280">
        <v>551</v>
      </c>
      <c r="DJ12" s="2194">
        <v>0</v>
      </c>
      <c r="DX12" s="1"/>
      <c r="DZ12" s="283" t="s">
        <v>662</v>
      </c>
      <c r="EA12" s="3620">
        <f>'E Gear B'!EB149</f>
        <v>21.98</v>
      </c>
      <c r="EB12" s="3620" t="str">
        <f>"3AH"&amp;'E Gear B'!EC149</f>
        <v>3AH825</v>
      </c>
      <c r="EC12" s="3620">
        <f>VLOOKUP(EB12,'E Gear B'!DZ56:EC66,2,0)</f>
        <v>203682</v>
      </c>
      <c r="ED12" s="3620">
        <f>VLOOKUP(EB12,'E Gear B'!DZ56:EC66,3,0)</f>
        <v>33600</v>
      </c>
      <c r="EE12" s="3620">
        <f>VLOOKUP(EB12,'E Gear B'!DZ56:EC66,4,0)</f>
        <v>1400</v>
      </c>
      <c r="EF12" s="281"/>
      <c r="EG12" s="281"/>
      <c r="EP12" s="286"/>
      <c r="EQ12" s="286"/>
      <c r="EX12" s="3618" t="str">
        <f>HN144</f>
        <v>Right</v>
      </c>
      <c r="EY12" s="3618" t="str">
        <f>+HN332</f>
        <v>Right</v>
      </c>
      <c r="EZ12" s="2176" t="str">
        <f>IF(FH41&lt;=112,FI81,"Right")</f>
        <v>Right</v>
      </c>
      <c r="FA12" s="2176" t="str">
        <f>IF(GY41&lt;=130,GZ81,"Right")</f>
        <v>Right</v>
      </c>
      <c r="FC12" s="2174"/>
      <c r="FD12" s="2174"/>
      <c r="FG12" s="2193">
        <v>28</v>
      </c>
      <c r="FH12" s="2194">
        <v>18</v>
      </c>
      <c r="FI12" s="2194">
        <v>27</v>
      </c>
      <c r="FJ12" s="2194">
        <v>38</v>
      </c>
      <c r="FK12" s="2194">
        <v>52</v>
      </c>
      <c r="FL12" s="2194">
        <v>72</v>
      </c>
      <c r="FM12" s="2194">
        <v>100</v>
      </c>
      <c r="FN12" s="2194">
        <v>150</v>
      </c>
      <c r="FO12" s="2194">
        <v>230</v>
      </c>
      <c r="FP12" s="2194">
        <v>285</v>
      </c>
      <c r="FQ12" s="2194">
        <v>420</v>
      </c>
      <c r="FR12" s="280">
        <v>640</v>
      </c>
      <c r="FS12" s="280">
        <v>910</v>
      </c>
      <c r="FT12" s="280">
        <v>1190</v>
      </c>
      <c r="FU12" s="280">
        <v>1770</v>
      </c>
      <c r="FV12" s="2194">
        <v>2550</v>
      </c>
      <c r="FY12" s="2187">
        <v>28</v>
      </c>
      <c r="FZ12" s="2187">
        <v>31.5</v>
      </c>
      <c r="GC12" s="2193">
        <v>28</v>
      </c>
      <c r="GD12" s="2194">
        <v>18</v>
      </c>
      <c r="GE12" s="2194">
        <v>27</v>
      </c>
      <c r="GF12" s="2194">
        <v>38</v>
      </c>
      <c r="GG12" s="2194">
        <v>52</v>
      </c>
      <c r="GH12" s="2194">
        <v>72</v>
      </c>
      <c r="GI12" s="2194">
        <v>100</v>
      </c>
      <c r="GJ12" s="2194">
        <v>150</v>
      </c>
      <c r="GK12" s="2194">
        <v>230</v>
      </c>
      <c r="GL12" s="2194">
        <v>285</v>
      </c>
      <c r="GM12" s="2194">
        <v>420</v>
      </c>
      <c r="GN12" s="280">
        <v>640</v>
      </c>
      <c r="GO12" s="280">
        <v>910</v>
      </c>
      <c r="GP12" s="280">
        <v>1190</v>
      </c>
      <c r="GQ12" s="280">
        <v>1770</v>
      </c>
      <c r="GR12" s="2194">
        <v>2550</v>
      </c>
      <c r="GU12" s="2174"/>
      <c r="GX12" s="2193">
        <v>47.1</v>
      </c>
      <c r="GY12" s="2194">
        <v>8.35</v>
      </c>
      <c r="GZ12" s="2194">
        <v>13.3</v>
      </c>
      <c r="HA12" s="2194">
        <v>20.6</v>
      </c>
      <c r="HB12" s="2194">
        <v>24.6</v>
      </c>
      <c r="HC12" s="2194">
        <v>39</v>
      </c>
      <c r="HD12" s="2194">
        <v>58</v>
      </c>
      <c r="HE12" s="2194">
        <v>73.5</v>
      </c>
      <c r="HF12" s="2194">
        <v>102</v>
      </c>
      <c r="HG12" s="2194">
        <v>133</v>
      </c>
      <c r="HH12" s="2194">
        <v>190</v>
      </c>
      <c r="HI12" s="280">
        <v>283</v>
      </c>
      <c r="HJ12" s="280">
        <v>434</v>
      </c>
      <c r="HK12" s="280">
        <v>606</v>
      </c>
      <c r="HL12" s="2194">
        <v>0</v>
      </c>
      <c r="HO12" s="2187">
        <v>47.1</v>
      </c>
      <c r="HP12" s="2187">
        <v>52.1</v>
      </c>
      <c r="HS12" s="2193">
        <v>47.1</v>
      </c>
      <c r="HT12" s="2194">
        <v>8.35</v>
      </c>
      <c r="HU12" s="2194">
        <v>13.3</v>
      </c>
      <c r="HV12" s="2194">
        <v>20.6</v>
      </c>
      <c r="HW12" s="2194">
        <v>24.6</v>
      </c>
      <c r="HX12" s="2194">
        <v>39</v>
      </c>
      <c r="HY12" s="2194">
        <v>58</v>
      </c>
      <c r="HZ12" s="2194">
        <v>73.5</v>
      </c>
      <c r="IA12" s="2194">
        <v>102</v>
      </c>
      <c r="IB12" s="2194">
        <v>133</v>
      </c>
      <c r="IC12" s="2194">
        <v>190</v>
      </c>
      <c r="ID12" s="280">
        <v>283</v>
      </c>
      <c r="IE12" s="280">
        <v>434</v>
      </c>
      <c r="IF12" s="280">
        <v>606</v>
      </c>
      <c r="IG12" s="2194">
        <v>0</v>
      </c>
    </row>
    <row r="13" spans="1:285" ht="21.95" customHeight="1">
      <c r="B13" s="3621">
        <f>E5/C13-1</f>
        <v>7.3325330132052891E-2</v>
      </c>
      <c r="C13" s="3622">
        <f>'E Gear B'!AF139</f>
        <v>190.4</v>
      </c>
      <c r="D13" s="3622">
        <f>VLOOKUP(C3,C9:H12,2,0)</f>
        <v>23.76</v>
      </c>
      <c r="E13" s="3622" t="str">
        <f>VLOOKUP(C3,C9:H12,3,0)</f>
        <v>3AH775</v>
      </c>
      <c r="F13" s="3622">
        <f>VLOOKUP(C3,C9:H12,4,0)</f>
        <v>195532</v>
      </c>
      <c r="G13" s="3622">
        <f>VLOOKUP(C3,C9:H12,5,0)</f>
        <v>29400</v>
      </c>
      <c r="H13" s="3622">
        <f>VLOOKUP(C3,C9:H12,6,0)</f>
        <v>1100</v>
      </c>
      <c r="I13" s="281"/>
      <c r="J13" s="281"/>
      <c r="S13" s="286"/>
      <c r="T13" s="286"/>
      <c r="AA13" s="2276" t="str">
        <f>CQ145</f>
        <v>Right</v>
      </c>
      <c r="AB13" s="2276" t="str">
        <f>+CQ334</f>
        <v>Right</v>
      </c>
      <c r="AC13" s="2176" t="str">
        <f>IF(BG40&lt;=112,BH72,"Right")</f>
        <v>Right</v>
      </c>
      <c r="AD13" s="2176" t="str">
        <f>IF(CW40&lt;=130,CX72,"Right")</f>
        <v>Right</v>
      </c>
      <c r="AF13" s="2174"/>
      <c r="AG13" s="2174"/>
      <c r="AJ13" s="2193">
        <v>35.5</v>
      </c>
      <c r="AK13" s="2194">
        <v>15</v>
      </c>
      <c r="AL13" s="2194">
        <v>22</v>
      </c>
      <c r="AM13" s="2194">
        <v>30</v>
      </c>
      <c r="AN13" s="2194">
        <v>41</v>
      </c>
      <c r="AO13" s="2194">
        <v>58</v>
      </c>
      <c r="AP13" s="2194">
        <v>82</v>
      </c>
      <c r="AQ13" s="2194">
        <v>120</v>
      </c>
      <c r="AR13" s="2194">
        <v>185</v>
      </c>
      <c r="AS13" s="2194">
        <v>230</v>
      </c>
      <c r="AT13" s="2194">
        <v>340</v>
      </c>
      <c r="AU13" s="280">
        <v>510</v>
      </c>
      <c r="AV13" s="280">
        <v>720</v>
      </c>
      <c r="AW13" s="280">
        <v>950</v>
      </c>
      <c r="AX13" s="280">
        <v>1410</v>
      </c>
      <c r="AY13" s="2194">
        <v>2030</v>
      </c>
      <c r="BB13" s="2187">
        <v>35.5</v>
      </c>
      <c r="BC13" s="2187">
        <v>40</v>
      </c>
      <c r="BF13" s="2193">
        <v>35.5</v>
      </c>
      <c r="BG13" s="2194">
        <v>15</v>
      </c>
      <c r="BH13" s="2194">
        <v>22</v>
      </c>
      <c r="BI13" s="2194">
        <v>30</v>
      </c>
      <c r="BJ13" s="2194">
        <v>41</v>
      </c>
      <c r="BK13" s="2194">
        <v>58</v>
      </c>
      <c r="BL13" s="2194">
        <v>82</v>
      </c>
      <c r="BM13" s="2194">
        <v>120</v>
      </c>
      <c r="BN13" s="2194">
        <v>185</v>
      </c>
      <c r="BO13" s="2194">
        <v>230</v>
      </c>
      <c r="BP13" s="2194">
        <v>340</v>
      </c>
      <c r="BQ13" s="280">
        <v>510</v>
      </c>
      <c r="BR13" s="280">
        <v>720</v>
      </c>
      <c r="BS13" s="280">
        <v>950</v>
      </c>
      <c r="BT13" s="280">
        <v>1410</v>
      </c>
      <c r="BU13" s="2194">
        <v>2030</v>
      </c>
      <c r="BX13" s="2174"/>
      <c r="CA13" s="2193">
        <v>57.7</v>
      </c>
      <c r="CB13" s="2194">
        <v>6.59</v>
      </c>
      <c r="CC13" s="2194">
        <v>10.5</v>
      </c>
      <c r="CD13" s="2194">
        <v>14.2</v>
      </c>
      <c r="CE13" s="2194">
        <v>20.6</v>
      </c>
      <c r="CF13" s="2194">
        <v>32.9</v>
      </c>
      <c r="CG13" s="2194">
        <v>47.2</v>
      </c>
      <c r="CH13" s="2194">
        <v>61.5</v>
      </c>
      <c r="CI13" s="2194">
        <v>85.9</v>
      </c>
      <c r="CJ13" s="2194">
        <v>106</v>
      </c>
      <c r="CK13" s="2194">
        <v>160</v>
      </c>
      <c r="CL13" s="280">
        <v>231</v>
      </c>
      <c r="CM13" s="280">
        <v>359</v>
      </c>
      <c r="CN13" s="280">
        <v>503</v>
      </c>
      <c r="CO13" s="2194">
        <v>0</v>
      </c>
      <c r="CR13" s="2187">
        <v>57.7</v>
      </c>
      <c r="CS13" s="2187">
        <v>63.8</v>
      </c>
      <c r="CV13" s="2193">
        <v>57.7</v>
      </c>
      <c r="CW13" s="2194">
        <v>6.59</v>
      </c>
      <c r="CX13" s="2194">
        <v>10.5</v>
      </c>
      <c r="CY13" s="2194">
        <v>14.2</v>
      </c>
      <c r="CZ13" s="2194">
        <v>20.6</v>
      </c>
      <c r="DA13" s="2194">
        <v>32.9</v>
      </c>
      <c r="DB13" s="2194">
        <v>47.2</v>
      </c>
      <c r="DC13" s="2194">
        <v>61.5</v>
      </c>
      <c r="DD13" s="2194">
        <v>85.9</v>
      </c>
      <c r="DE13" s="2194">
        <v>106</v>
      </c>
      <c r="DF13" s="2194">
        <v>160</v>
      </c>
      <c r="DG13" s="280">
        <v>231</v>
      </c>
      <c r="DH13" s="280">
        <v>359</v>
      </c>
      <c r="DI13" s="280">
        <v>503</v>
      </c>
      <c r="DJ13" s="2194">
        <v>0</v>
      </c>
      <c r="DX13" s="1"/>
      <c r="DY13" s="3621">
        <f>EB5/DZ13-1</f>
        <v>3.5877381938691055E-2</v>
      </c>
      <c r="DZ13" s="3623">
        <f>'E Gear B'!FC140</f>
        <v>120.7</v>
      </c>
      <c r="EA13" s="3622">
        <f>VLOOKUP(DZ3,DZ9:EE12,2,0)</f>
        <v>22.48</v>
      </c>
      <c r="EB13" s="3622" t="str">
        <f>VLOOKUP(DZ3,DZ9:EE12,3,0)</f>
        <v>3AH650</v>
      </c>
      <c r="EC13" s="3622">
        <f>VLOOKUP(DZ3,DZ9:EE12,4,0)</f>
        <v>108150</v>
      </c>
      <c r="ED13" s="3622">
        <f>VLOOKUP(DZ3,DZ9:EE12,5,0)</f>
        <v>26250</v>
      </c>
      <c r="EE13" s="3622">
        <f>VLOOKUP(DZ3,DZ9:EE12,6,0)</f>
        <v>700</v>
      </c>
      <c r="EF13" s="281"/>
      <c r="EG13" s="281"/>
      <c r="EP13" s="286"/>
      <c r="EQ13" s="286"/>
      <c r="EX13" s="3618" t="str">
        <f>HN145</f>
        <v>Right</v>
      </c>
      <c r="EY13" s="3618" t="str">
        <f>+HN333</f>
        <v>Right</v>
      </c>
      <c r="EZ13" s="2176" t="str">
        <f>IF(FH41&lt;=112,FK81,"Right")</f>
        <v>Right</v>
      </c>
      <c r="FA13" s="2176" t="str">
        <f>IF(GY41&lt;=130,HB81,"Right")</f>
        <v>Right</v>
      </c>
      <c r="FC13" s="2174"/>
      <c r="FD13" s="2174"/>
      <c r="FG13" s="2193">
        <v>31.5</v>
      </c>
      <c r="FH13" s="2194">
        <v>16</v>
      </c>
      <c r="FI13" s="2194">
        <v>22</v>
      </c>
      <c r="FJ13" s="2194">
        <v>33</v>
      </c>
      <c r="FK13" s="2194">
        <v>46</v>
      </c>
      <c r="FL13" s="2194">
        <v>63</v>
      </c>
      <c r="FM13" s="2194">
        <v>87</v>
      </c>
      <c r="FN13" s="2194">
        <v>130</v>
      </c>
      <c r="FO13" s="2194">
        <v>200</v>
      </c>
      <c r="FP13" s="2194">
        <v>255</v>
      </c>
      <c r="FQ13" s="2194">
        <v>370</v>
      </c>
      <c r="FR13" s="280">
        <v>580</v>
      </c>
      <c r="FS13" s="280">
        <v>820</v>
      </c>
      <c r="FT13" s="280">
        <v>1070</v>
      </c>
      <c r="FU13" s="280">
        <v>1600</v>
      </c>
      <c r="FV13" s="2194">
        <v>2310</v>
      </c>
      <c r="FY13" s="2187">
        <v>31.5</v>
      </c>
      <c r="FZ13" s="2187">
        <v>35.5</v>
      </c>
      <c r="GC13" s="2193">
        <v>31.5</v>
      </c>
      <c r="GD13" s="2194">
        <v>16</v>
      </c>
      <c r="GE13" s="2194">
        <v>22</v>
      </c>
      <c r="GF13" s="2194">
        <v>33</v>
      </c>
      <c r="GG13" s="2194">
        <v>46</v>
      </c>
      <c r="GH13" s="2194">
        <v>63</v>
      </c>
      <c r="GI13" s="2194">
        <v>87</v>
      </c>
      <c r="GJ13" s="2194">
        <v>130</v>
      </c>
      <c r="GK13" s="2194">
        <v>200</v>
      </c>
      <c r="GL13" s="2194">
        <v>255</v>
      </c>
      <c r="GM13" s="2194">
        <v>370</v>
      </c>
      <c r="GN13" s="280">
        <v>580</v>
      </c>
      <c r="GO13" s="280">
        <v>820</v>
      </c>
      <c r="GP13" s="280">
        <v>1070</v>
      </c>
      <c r="GQ13" s="280">
        <v>1600</v>
      </c>
      <c r="GR13" s="2194">
        <v>2310</v>
      </c>
      <c r="GU13" s="2174"/>
      <c r="GX13" s="2193">
        <v>52.1</v>
      </c>
      <c r="GY13" s="2194">
        <v>7.38</v>
      </c>
      <c r="GZ13" s="2194">
        <v>11.1</v>
      </c>
      <c r="HA13" s="2194">
        <v>15.9</v>
      </c>
      <c r="HB13" s="2194">
        <v>22.2</v>
      </c>
      <c r="HC13" s="2194">
        <v>36.299999999999997</v>
      </c>
      <c r="HD13" s="2194">
        <v>51.9</v>
      </c>
      <c r="HE13" s="2194">
        <v>66.599999999999994</v>
      </c>
      <c r="HF13" s="2194">
        <v>92.3</v>
      </c>
      <c r="HG13" s="2194">
        <v>119</v>
      </c>
      <c r="HH13" s="2194">
        <v>171</v>
      </c>
      <c r="HI13" s="280">
        <v>264</v>
      </c>
      <c r="HJ13" s="280">
        <v>387</v>
      </c>
      <c r="HK13" s="280">
        <v>551</v>
      </c>
      <c r="HL13" s="2194">
        <v>0</v>
      </c>
      <c r="HO13" s="2187">
        <v>52.1</v>
      </c>
      <c r="HP13" s="2187">
        <v>57.7</v>
      </c>
      <c r="HS13" s="2193">
        <v>52.1</v>
      </c>
      <c r="HT13" s="2194">
        <v>7.38</v>
      </c>
      <c r="HU13" s="2194">
        <v>11.1</v>
      </c>
      <c r="HV13" s="2194">
        <v>15.9</v>
      </c>
      <c r="HW13" s="2194">
        <v>22.2</v>
      </c>
      <c r="HX13" s="2194">
        <v>36.299999999999997</v>
      </c>
      <c r="HY13" s="2194">
        <v>51.9</v>
      </c>
      <c r="HZ13" s="2194">
        <v>66.599999999999994</v>
      </c>
      <c r="IA13" s="2194">
        <v>92.3</v>
      </c>
      <c r="IB13" s="2194">
        <v>119</v>
      </c>
      <c r="IC13" s="2194">
        <v>171</v>
      </c>
      <c r="ID13" s="280">
        <v>264</v>
      </c>
      <c r="IE13" s="280">
        <v>387</v>
      </c>
      <c r="IF13" s="280">
        <v>551</v>
      </c>
      <c r="IG13" s="2194">
        <v>0</v>
      </c>
    </row>
    <row r="14" spans="1:285" ht="21.95" customHeight="1">
      <c r="S14" s="286"/>
      <c r="T14" s="286"/>
      <c r="AA14" s="2176" t="str">
        <f>F149</f>
        <v>Right</v>
      </c>
      <c r="AB14" s="2176" t="str">
        <f>F338</f>
        <v>Right</v>
      </c>
      <c r="AC14" s="2176" t="str">
        <f>IF(BG40&lt;=112,BH73,"Right")</f>
        <v>Right</v>
      </c>
      <c r="AD14" s="2176" t="str">
        <f>IF(CW40&lt;=130,CX73,"Right")</f>
        <v>Right</v>
      </c>
      <c r="AF14" s="2174"/>
      <c r="AG14" s="2174"/>
      <c r="AJ14" s="2193">
        <v>40</v>
      </c>
      <c r="AK14" s="2195">
        <v>14</v>
      </c>
      <c r="AL14" s="2195">
        <v>21</v>
      </c>
      <c r="AM14" s="2195">
        <v>28</v>
      </c>
      <c r="AN14" s="2195">
        <v>37</v>
      </c>
      <c r="AO14" s="2195">
        <v>52</v>
      </c>
      <c r="AP14" s="2195">
        <v>72</v>
      </c>
      <c r="AQ14" s="2195">
        <v>105</v>
      </c>
      <c r="AR14" s="2195">
        <v>165</v>
      </c>
      <c r="AS14" s="2195">
        <v>205</v>
      </c>
      <c r="AT14" s="2195">
        <v>300</v>
      </c>
      <c r="AU14" s="280">
        <v>465</v>
      </c>
      <c r="AV14" s="280">
        <v>660</v>
      </c>
      <c r="AW14" s="280">
        <v>860</v>
      </c>
      <c r="AX14" s="280">
        <v>1280</v>
      </c>
      <c r="AY14" s="2195">
        <v>1850</v>
      </c>
      <c r="BB14" s="2187">
        <v>40</v>
      </c>
      <c r="BC14" s="2187">
        <v>45</v>
      </c>
      <c r="BF14" s="2193">
        <v>40</v>
      </c>
      <c r="BG14" s="2195">
        <v>14</v>
      </c>
      <c r="BH14" s="2195">
        <v>21</v>
      </c>
      <c r="BI14" s="2195">
        <v>28</v>
      </c>
      <c r="BJ14" s="2195">
        <v>37</v>
      </c>
      <c r="BK14" s="2195">
        <v>52</v>
      </c>
      <c r="BL14" s="2195">
        <v>72</v>
      </c>
      <c r="BM14" s="2195">
        <v>105</v>
      </c>
      <c r="BN14" s="2195">
        <v>165</v>
      </c>
      <c r="BO14" s="2195">
        <v>205</v>
      </c>
      <c r="BP14" s="2195">
        <v>300</v>
      </c>
      <c r="BQ14" s="280">
        <v>465</v>
      </c>
      <c r="BR14" s="280">
        <v>660</v>
      </c>
      <c r="BS14" s="280">
        <v>860</v>
      </c>
      <c r="BT14" s="280">
        <v>1280</v>
      </c>
      <c r="BU14" s="2195">
        <v>1850</v>
      </c>
      <c r="BX14" s="2174"/>
      <c r="CA14" s="2193">
        <v>63.8</v>
      </c>
      <c r="CB14" s="2195">
        <v>5.61</v>
      </c>
      <c r="CC14" s="2195">
        <v>9.0299999999999994</v>
      </c>
      <c r="CD14" s="2195">
        <v>11.8</v>
      </c>
      <c r="CE14" s="2195">
        <v>18.399999999999999</v>
      </c>
      <c r="CF14" s="2195">
        <v>29.8</v>
      </c>
      <c r="CG14" s="2195">
        <v>42.6</v>
      </c>
      <c r="CH14" s="2195">
        <v>54.7</v>
      </c>
      <c r="CI14" s="2195">
        <v>77.400000000000006</v>
      </c>
      <c r="CJ14" s="2195">
        <v>99.2</v>
      </c>
      <c r="CK14" s="2195">
        <v>144</v>
      </c>
      <c r="CL14" s="280">
        <v>210</v>
      </c>
      <c r="CM14" s="280">
        <v>320</v>
      </c>
      <c r="CN14" s="280">
        <v>448</v>
      </c>
      <c r="CO14" s="2195">
        <v>0</v>
      </c>
      <c r="CR14" s="2187">
        <v>63.8</v>
      </c>
      <c r="CS14" s="2187">
        <v>70.599999999999994</v>
      </c>
      <c r="CV14" s="2193">
        <v>63.8</v>
      </c>
      <c r="CW14" s="2195">
        <v>5.61</v>
      </c>
      <c r="CX14" s="2195">
        <v>9.0299999999999994</v>
      </c>
      <c r="CY14" s="2195">
        <v>11.8</v>
      </c>
      <c r="CZ14" s="2195">
        <v>18.399999999999999</v>
      </c>
      <c r="DA14" s="2195">
        <v>29.8</v>
      </c>
      <c r="DB14" s="2195">
        <v>42.6</v>
      </c>
      <c r="DC14" s="2195">
        <v>54.7</v>
      </c>
      <c r="DD14" s="2195">
        <v>77.400000000000006</v>
      </c>
      <c r="DE14" s="2195">
        <v>99.2</v>
      </c>
      <c r="DF14" s="2195">
        <v>144</v>
      </c>
      <c r="DG14" s="280">
        <v>210</v>
      </c>
      <c r="DH14" s="280">
        <v>320</v>
      </c>
      <c r="DI14" s="280">
        <v>448</v>
      </c>
      <c r="DJ14" s="2195">
        <v>0</v>
      </c>
      <c r="DX14" s="1"/>
      <c r="EP14" s="286"/>
      <c r="EQ14" s="286"/>
      <c r="EX14" s="3618" t="str">
        <f>HN146</f>
        <v>Right</v>
      </c>
      <c r="EY14" s="3618" t="str">
        <f>+HN334</f>
        <v>Right</v>
      </c>
      <c r="EZ14" s="2176" t="str">
        <f>IF(GD41&lt;=112,GE73,"Right")</f>
        <v>Right</v>
      </c>
      <c r="FA14" s="2176" t="str">
        <f>IF(HT41&lt;=130,HU73,"Right")</f>
        <v>Right</v>
      </c>
      <c r="FC14" s="2174"/>
      <c r="FD14" s="2174"/>
      <c r="FG14" s="2193">
        <v>35.5</v>
      </c>
      <c r="FH14" s="2194">
        <v>15</v>
      </c>
      <c r="FI14" s="2194">
        <v>22</v>
      </c>
      <c r="FJ14" s="2194">
        <v>30</v>
      </c>
      <c r="FK14" s="2194">
        <v>41</v>
      </c>
      <c r="FL14" s="2194">
        <v>58</v>
      </c>
      <c r="FM14" s="2194">
        <v>82</v>
      </c>
      <c r="FN14" s="2194">
        <v>120</v>
      </c>
      <c r="FO14" s="2194">
        <v>185</v>
      </c>
      <c r="FP14" s="2194">
        <v>230</v>
      </c>
      <c r="FQ14" s="2194">
        <v>340</v>
      </c>
      <c r="FR14" s="280">
        <v>510</v>
      </c>
      <c r="FS14" s="280">
        <v>720</v>
      </c>
      <c r="FT14" s="280">
        <v>950</v>
      </c>
      <c r="FU14" s="280">
        <v>1410</v>
      </c>
      <c r="FV14" s="2194">
        <v>2030</v>
      </c>
      <c r="FY14" s="2187">
        <v>35.5</v>
      </c>
      <c r="FZ14" s="2187">
        <v>40</v>
      </c>
      <c r="GC14" s="2193">
        <v>35.5</v>
      </c>
      <c r="GD14" s="2194">
        <v>15</v>
      </c>
      <c r="GE14" s="2194">
        <v>22</v>
      </c>
      <c r="GF14" s="2194">
        <v>30</v>
      </c>
      <c r="GG14" s="2194">
        <v>41</v>
      </c>
      <c r="GH14" s="2194">
        <v>58</v>
      </c>
      <c r="GI14" s="2194">
        <v>82</v>
      </c>
      <c r="GJ14" s="2194">
        <v>120</v>
      </c>
      <c r="GK14" s="2194">
        <v>185</v>
      </c>
      <c r="GL14" s="2194">
        <v>230</v>
      </c>
      <c r="GM14" s="2194">
        <v>340</v>
      </c>
      <c r="GN14" s="280">
        <v>510</v>
      </c>
      <c r="GO14" s="280">
        <v>720</v>
      </c>
      <c r="GP14" s="280">
        <v>950</v>
      </c>
      <c r="GQ14" s="280">
        <v>1410</v>
      </c>
      <c r="GR14" s="2194">
        <v>2030</v>
      </c>
      <c r="GU14" s="2174"/>
      <c r="GX14" s="2193">
        <v>57.7</v>
      </c>
      <c r="GY14" s="2194">
        <v>6.59</v>
      </c>
      <c r="GZ14" s="2194">
        <v>10.5</v>
      </c>
      <c r="HA14" s="2194">
        <v>14.2</v>
      </c>
      <c r="HB14" s="2194">
        <v>20.6</v>
      </c>
      <c r="HC14" s="2194">
        <v>32.9</v>
      </c>
      <c r="HD14" s="2194">
        <v>47.2</v>
      </c>
      <c r="HE14" s="2194">
        <v>61.5</v>
      </c>
      <c r="HF14" s="2194">
        <v>85.9</v>
      </c>
      <c r="HG14" s="2194">
        <v>106</v>
      </c>
      <c r="HH14" s="2194">
        <v>160</v>
      </c>
      <c r="HI14" s="280">
        <v>231</v>
      </c>
      <c r="HJ14" s="280">
        <v>359</v>
      </c>
      <c r="HK14" s="280">
        <v>503</v>
      </c>
      <c r="HL14" s="2194">
        <v>0</v>
      </c>
      <c r="HO14" s="2187">
        <v>57.7</v>
      </c>
      <c r="HP14" s="2187">
        <v>63.8</v>
      </c>
      <c r="HS14" s="2193">
        <v>57.7</v>
      </c>
      <c r="HT14" s="2194">
        <v>6.59</v>
      </c>
      <c r="HU14" s="2194">
        <v>10.5</v>
      </c>
      <c r="HV14" s="2194">
        <v>14.2</v>
      </c>
      <c r="HW14" s="2194">
        <v>20.6</v>
      </c>
      <c r="HX14" s="2194">
        <v>32.9</v>
      </c>
      <c r="HY14" s="2194">
        <v>47.2</v>
      </c>
      <c r="HZ14" s="2194">
        <v>61.5</v>
      </c>
      <c r="IA14" s="2194">
        <v>85.9</v>
      </c>
      <c r="IB14" s="2194">
        <v>106</v>
      </c>
      <c r="IC14" s="2194">
        <v>160</v>
      </c>
      <c r="ID14" s="280">
        <v>231</v>
      </c>
      <c r="IE14" s="280">
        <v>359</v>
      </c>
      <c r="IF14" s="280">
        <v>503</v>
      </c>
      <c r="IG14" s="2194">
        <v>0</v>
      </c>
    </row>
    <row r="15" spans="1:285" ht="21.95" customHeight="1">
      <c r="C15" s="777" t="s">
        <v>2259</v>
      </c>
      <c r="D15" s="778" t="s">
        <v>2175</v>
      </c>
      <c r="E15" s="778" t="s">
        <v>2176</v>
      </c>
      <c r="F15" s="779" t="s">
        <v>2173</v>
      </c>
      <c r="G15" s="779" t="s">
        <v>1682</v>
      </c>
      <c r="H15" s="779" t="s">
        <v>2174</v>
      </c>
      <c r="I15" s="3624" t="str">
        <f>'E Gear B'!H149</f>
        <v>Right</v>
      </c>
      <c r="J15" s="281"/>
      <c r="S15" s="286"/>
      <c r="T15" s="286"/>
      <c r="AA15" s="2176" t="str">
        <f>H149</f>
        <v>Right</v>
      </c>
      <c r="AB15" s="2176" t="str">
        <f>H338</f>
        <v>Right</v>
      </c>
      <c r="AC15" s="2176" t="str">
        <f>IF(BG40&lt;=112,BH80,"Right")</f>
        <v>Right</v>
      </c>
      <c r="AD15" s="2176" t="str">
        <f>IF(CW40&lt;=130,CX80,"Right")</f>
        <v>Right</v>
      </c>
      <c r="AF15" s="2174"/>
      <c r="AG15" s="2174"/>
      <c r="AJ15" s="2193">
        <v>45</v>
      </c>
      <c r="AK15" s="2195">
        <v>12</v>
      </c>
      <c r="AL15" s="2195">
        <v>17</v>
      </c>
      <c r="AM15" s="2195">
        <v>25</v>
      </c>
      <c r="AN15" s="2195">
        <v>33</v>
      </c>
      <c r="AO15" s="2195">
        <v>46</v>
      </c>
      <c r="AP15" s="2195">
        <v>64</v>
      </c>
      <c r="AQ15" s="2195">
        <v>95</v>
      </c>
      <c r="AR15" s="2195">
        <v>150</v>
      </c>
      <c r="AS15" s="2195">
        <v>180</v>
      </c>
      <c r="AT15" s="2195">
        <v>265</v>
      </c>
      <c r="AU15" s="280">
        <v>455</v>
      </c>
      <c r="AV15" s="280">
        <v>640</v>
      </c>
      <c r="AW15" s="280">
        <v>760</v>
      </c>
      <c r="AX15" s="280">
        <v>1140</v>
      </c>
      <c r="AY15" s="2195">
        <v>1650</v>
      </c>
      <c r="BB15" s="2187">
        <v>45</v>
      </c>
      <c r="BC15" s="2187">
        <v>50</v>
      </c>
      <c r="BF15" s="2193">
        <v>45</v>
      </c>
      <c r="BG15" s="2195">
        <v>12</v>
      </c>
      <c r="BH15" s="2195">
        <v>17</v>
      </c>
      <c r="BI15" s="2195">
        <v>25</v>
      </c>
      <c r="BJ15" s="2195">
        <v>33</v>
      </c>
      <c r="BK15" s="2195">
        <v>46</v>
      </c>
      <c r="BL15" s="2195">
        <v>64</v>
      </c>
      <c r="BM15" s="2195">
        <v>95</v>
      </c>
      <c r="BN15" s="2195">
        <v>150</v>
      </c>
      <c r="BO15" s="2195">
        <v>180</v>
      </c>
      <c r="BP15" s="2195">
        <v>265</v>
      </c>
      <c r="BQ15" s="280">
        <v>455</v>
      </c>
      <c r="BR15" s="280">
        <v>640</v>
      </c>
      <c r="BS15" s="280">
        <v>760</v>
      </c>
      <c r="BT15" s="280">
        <v>1140</v>
      </c>
      <c r="BU15" s="2195">
        <v>1650</v>
      </c>
      <c r="BX15" s="2174"/>
      <c r="CA15" s="2193">
        <v>70.599999999999994</v>
      </c>
      <c r="CB15" s="2195">
        <v>5.16</v>
      </c>
      <c r="CC15" s="2195">
        <v>8.2100000000000009</v>
      </c>
      <c r="CD15" s="2195">
        <v>11.6</v>
      </c>
      <c r="CE15" s="2195">
        <v>14.7</v>
      </c>
      <c r="CF15" s="2195">
        <v>23.3</v>
      </c>
      <c r="CG15" s="2195">
        <v>31.4</v>
      </c>
      <c r="CH15" s="2195">
        <v>47.7</v>
      </c>
      <c r="CI15" s="2195">
        <v>61.1</v>
      </c>
      <c r="CJ15" s="2195">
        <v>92.2</v>
      </c>
      <c r="CK15" s="2195">
        <v>130</v>
      </c>
      <c r="CL15" s="280">
        <v>182</v>
      </c>
      <c r="CM15" s="280">
        <v>294</v>
      </c>
      <c r="CN15" s="280">
        <v>410</v>
      </c>
      <c r="CO15" s="2195">
        <v>0</v>
      </c>
      <c r="CR15" s="2187">
        <v>70.599999999999994</v>
      </c>
      <c r="CS15" s="2187">
        <v>78.2</v>
      </c>
      <c r="CV15" s="2193">
        <v>70.599999999999994</v>
      </c>
      <c r="CW15" s="2195">
        <v>5.16</v>
      </c>
      <c r="CX15" s="2195">
        <v>8.2100000000000009</v>
      </c>
      <c r="CY15" s="2195">
        <v>11.6</v>
      </c>
      <c r="CZ15" s="2195">
        <v>14.7</v>
      </c>
      <c r="DA15" s="2195">
        <v>23.3</v>
      </c>
      <c r="DB15" s="2195">
        <v>31.4</v>
      </c>
      <c r="DC15" s="2195">
        <v>47.7</v>
      </c>
      <c r="DD15" s="2195">
        <v>61.1</v>
      </c>
      <c r="DE15" s="2195">
        <v>92.2</v>
      </c>
      <c r="DF15" s="2195">
        <v>130</v>
      </c>
      <c r="DG15" s="280">
        <v>182</v>
      </c>
      <c r="DH15" s="280">
        <v>294</v>
      </c>
      <c r="DI15" s="280">
        <v>410</v>
      </c>
      <c r="DJ15" s="2195">
        <v>0</v>
      </c>
      <c r="DX15" s="1"/>
      <c r="DZ15" s="777" t="s">
        <v>2259</v>
      </c>
      <c r="EA15" s="778" t="s">
        <v>2175</v>
      </c>
      <c r="EB15" s="778" t="s">
        <v>2176</v>
      </c>
      <c r="EC15" s="779" t="s">
        <v>2173</v>
      </c>
      <c r="ED15" s="779" t="s">
        <v>1682</v>
      </c>
      <c r="EE15" s="779" t="s">
        <v>2174</v>
      </c>
      <c r="EF15" s="3624" t="str">
        <f>'E Gear B'!EE150</f>
        <v>Right</v>
      </c>
      <c r="EG15" s="281"/>
      <c r="EP15" s="286"/>
      <c r="EQ15" s="286"/>
      <c r="EX15" s="2176" t="str">
        <f>EC150</f>
        <v>Right</v>
      </c>
      <c r="EY15" s="2176" t="str">
        <f>EC338</f>
        <v>Right</v>
      </c>
      <c r="EZ15" s="2176" t="str">
        <f>IF(GD41&lt;=112,GE74,"Right")</f>
        <v>Right</v>
      </c>
      <c r="FA15" s="2176" t="str">
        <f>IF(HT41&lt;=130,HU74,"Right")</f>
        <v>Right</v>
      </c>
      <c r="FC15" s="2174"/>
      <c r="FD15" s="2174"/>
      <c r="FG15" s="2193">
        <v>40</v>
      </c>
      <c r="FH15" s="2195">
        <v>14</v>
      </c>
      <c r="FI15" s="2195">
        <v>21</v>
      </c>
      <c r="FJ15" s="2195">
        <v>28</v>
      </c>
      <c r="FK15" s="2195">
        <v>37</v>
      </c>
      <c r="FL15" s="2195">
        <v>52</v>
      </c>
      <c r="FM15" s="2195">
        <v>72</v>
      </c>
      <c r="FN15" s="2195">
        <v>105</v>
      </c>
      <c r="FO15" s="2195">
        <v>165</v>
      </c>
      <c r="FP15" s="2195">
        <v>205</v>
      </c>
      <c r="FQ15" s="2195">
        <v>300</v>
      </c>
      <c r="FR15" s="280">
        <v>465</v>
      </c>
      <c r="FS15" s="280">
        <v>660</v>
      </c>
      <c r="FT15" s="280">
        <v>860</v>
      </c>
      <c r="FU15" s="280">
        <v>1280</v>
      </c>
      <c r="FV15" s="2195">
        <v>1850</v>
      </c>
      <c r="FY15" s="2187">
        <v>40</v>
      </c>
      <c r="FZ15" s="2187">
        <v>45</v>
      </c>
      <c r="GC15" s="2193">
        <v>40</v>
      </c>
      <c r="GD15" s="2195">
        <v>14</v>
      </c>
      <c r="GE15" s="2195">
        <v>21</v>
      </c>
      <c r="GF15" s="2195">
        <v>28</v>
      </c>
      <c r="GG15" s="2195">
        <v>37</v>
      </c>
      <c r="GH15" s="2195">
        <v>52</v>
      </c>
      <c r="GI15" s="2195">
        <v>72</v>
      </c>
      <c r="GJ15" s="2195">
        <v>105</v>
      </c>
      <c r="GK15" s="2195">
        <v>165</v>
      </c>
      <c r="GL15" s="2195">
        <v>205</v>
      </c>
      <c r="GM15" s="2195">
        <v>300</v>
      </c>
      <c r="GN15" s="280">
        <v>465</v>
      </c>
      <c r="GO15" s="280">
        <v>660</v>
      </c>
      <c r="GP15" s="280">
        <v>860</v>
      </c>
      <c r="GQ15" s="280">
        <v>1280</v>
      </c>
      <c r="GR15" s="2195">
        <v>1850</v>
      </c>
      <c r="GU15" s="2174"/>
      <c r="GX15" s="2193">
        <v>63.8</v>
      </c>
      <c r="GY15" s="2195">
        <v>5.61</v>
      </c>
      <c r="GZ15" s="2195">
        <v>9.0299999999999994</v>
      </c>
      <c r="HA15" s="2195">
        <v>11.8</v>
      </c>
      <c r="HB15" s="2195">
        <v>18.399999999999999</v>
      </c>
      <c r="HC15" s="2195">
        <v>29.8</v>
      </c>
      <c r="HD15" s="2195">
        <v>42.6</v>
      </c>
      <c r="HE15" s="2195">
        <v>54.7</v>
      </c>
      <c r="HF15" s="2195">
        <v>77.400000000000006</v>
      </c>
      <c r="HG15" s="2195">
        <v>99.2</v>
      </c>
      <c r="HH15" s="2195">
        <v>144</v>
      </c>
      <c r="HI15" s="280">
        <v>210</v>
      </c>
      <c r="HJ15" s="280">
        <v>320</v>
      </c>
      <c r="HK15" s="280">
        <v>448</v>
      </c>
      <c r="HL15" s="2195">
        <v>0</v>
      </c>
      <c r="HO15" s="2187">
        <v>63.8</v>
      </c>
      <c r="HP15" s="2187">
        <v>70.599999999999994</v>
      </c>
      <c r="HS15" s="2193">
        <v>63.8</v>
      </c>
      <c r="HT15" s="2195">
        <v>5.61</v>
      </c>
      <c r="HU15" s="2195">
        <v>9.0299999999999994</v>
      </c>
      <c r="HV15" s="2195">
        <v>11.8</v>
      </c>
      <c r="HW15" s="2195">
        <v>18.399999999999999</v>
      </c>
      <c r="HX15" s="2195">
        <v>29.8</v>
      </c>
      <c r="HY15" s="2195">
        <v>42.6</v>
      </c>
      <c r="HZ15" s="2195">
        <v>54.7</v>
      </c>
      <c r="IA15" s="2195">
        <v>77.400000000000006</v>
      </c>
      <c r="IB15" s="2195">
        <v>99.2</v>
      </c>
      <c r="IC15" s="2195">
        <v>144</v>
      </c>
      <c r="ID15" s="280">
        <v>210</v>
      </c>
      <c r="IE15" s="280">
        <v>320</v>
      </c>
      <c r="IF15" s="280">
        <v>448</v>
      </c>
      <c r="IG15" s="2195">
        <v>0</v>
      </c>
    </row>
    <row r="16" spans="1:285" s="286" customFormat="1" ht="21.95" customHeight="1">
      <c r="B16" s="8"/>
      <c r="C16" s="283" t="s">
        <v>651</v>
      </c>
      <c r="D16" s="3620">
        <f>'E Gear B'!G145</f>
        <v>30.79</v>
      </c>
      <c r="E16" s="3620" t="str">
        <f>"3AH"&amp;'E Gear B'!H145</f>
        <v>3AH775</v>
      </c>
      <c r="F16" s="3620">
        <f>VLOOKUP(E16,'E Gear B'!C56:F66,2,0)</f>
        <v>195532</v>
      </c>
      <c r="G16" s="3620">
        <f>VLOOKUP(E16,'E Gear B'!C56:F66,3,0)</f>
        <v>29400</v>
      </c>
      <c r="H16" s="3620">
        <f>VLOOKUP(E16,'E Gear B'!C56:F66,4,0)</f>
        <v>1100</v>
      </c>
      <c r="I16" s="281"/>
      <c r="J16" s="281"/>
      <c r="K16" s="277"/>
      <c r="L16" s="277"/>
      <c r="M16" s="277"/>
      <c r="N16" s="277"/>
      <c r="O16" s="277"/>
      <c r="AA16" s="2176" t="str">
        <f>+AA15</f>
        <v>Right</v>
      </c>
      <c r="AB16" s="2176" t="str">
        <f>+AB15</f>
        <v>Right</v>
      </c>
      <c r="AC16" s="2176" t="str">
        <f>IF(BG40&lt;=112,BJ80,"Right")</f>
        <v>Right</v>
      </c>
      <c r="AD16" s="2176" t="str">
        <f>IF(CW40&lt;=130,CZ80,"Right")</f>
        <v>Right</v>
      </c>
      <c r="AF16" s="2174"/>
      <c r="AG16" s="2174"/>
      <c r="AJ16" s="773">
        <v>50</v>
      </c>
      <c r="AK16" s="2196">
        <v>11</v>
      </c>
      <c r="AL16" s="2196">
        <v>15</v>
      </c>
      <c r="AM16" s="2196">
        <v>22</v>
      </c>
      <c r="AN16" s="2196">
        <v>31</v>
      </c>
      <c r="AO16" s="2196">
        <v>43</v>
      </c>
      <c r="AP16" s="2196">
        <v>60</v>
      </c>
      <c r="AQ16" s="2196">
        <v>87</v>
      </c>
      <c r="AR16" s="2196">
        <v>135</v>
      </c>
      <c r="AS16" s="2196">
        <v>165</v>
      </c>
      <c r="AT16" s="2196">
        <v>240</v>
      </c>
      <c r="AU16" s="275">
        <v>365</v>
      </c>
      <c r="AV16" s="275">
        <v>520</v>
      </c>
      <c r="AW16" s="275">
        <v>690</v>
      </c>
      <c r="AX16" s="275">
        <v>1020</v>
      </c>
      <c r="AY16" s="2196">
        <v>1480</v>
      </c>
      <c r="BB16" s="2187">
        <v>50</v>
      </c>
      <c r="BC16" s="2187">
        <v>56</v>
      </c>
      <c r="BF16" s="773">
        <v>50</v>
      </c>
      <c r="BG16" s="2196">
        <v>11</v>
      </c>
      <c r="BH16" s="2196">
        <v>15</v>
      </c>
      <c r="BI16" s="2196">
        <v>22</v>
      </c>
      <c r="BJ16" s="2196">
        <v>31</v>
      </c>
      <c r="BK16" s="2196">
        <v>43</v>
      </c>
      <c r="BL16" s="2196">
        <v>60</v>
      </c>
      <c r="BM16" s="2196">
        <v>87</v>
      </c>
      <c r="BN16" s="2196">
        <v>135</v>
      </c>
      <c r="BO16" s="2196">
        <v>165</v>
      </c>
      <c r="BP16" s="2196">
        <v>240</v>
      </c>
      <c r="BQ16" s="275">
        <v>365</v>
      </c>
      <c r="BR16" s="275">
        <v>520</v>
      </c>
      <c r="BS16" s="275">
        <v>690</v>
      </c>
      <c r="BT16" s="275">
        <v>1020</v>
      </c>
      <c r="BU16" s="2196">
        <v>1480</v>
      </c>
      <c r="BX16" s="2174"/>
      <c r="CA16" s="773">
        <v>78.2</v>
      </c>
      <c r="CB16" s="2196">
        <v>4.5599999999999996</v>
      </c>
      <c r="CC16" s="2196">
        <v>7.17</v>
      </c>
      <c r="CD16" s="2196">
        <v>10.9</v>
      </c>
      <c r="CE16" s="2196">
        <v>15.1</v>
      </c>
      <c r="CF16" s="2196">
        <v>22.7</v>
      </c>
      <c r="CG16" s="2196">
        <v>33.5</v>
      </c>
      <c r="CH16" s="2196">
        <v>45.7</v>
      </c>
      <c r="CI16" s="2196">
        <v>65.099999999999994</v>
      </c>
      <c r="CJ16" s="2196">
        <v>79.099999999999994</v>
      </c>
      <c r="CK16" s="2196">
        <v>118</v>
      </c>
      <c r="CL16" s="275">
        <v>171</v>
      </c>
      <c r="CM16" s="275">
        <v>259</v>
      </c>
      <c r="CN16" s="275">
        <v>368</v>
      </c>
      <c r="CO16" s="2196">
        <v>0</v>
      </c>
      <c r="CR16" s="2187">
        <v>78.2</v>
      </c>
      <c r="CS16" s="2187">
        <v>86.5</v>
      </c>
      <c r="CV16" s="773">
        <v>78.2</v>
      </c>
      <c r="CW16" s="2196">
        <v>4.5599999999999996</v>
      </c>
      <c r="CX16" s="2196">
        <v>7.17</v>
      </c>
      <c r="CY16" s="2196">
        <v>10.9</v>
      </c>
      <c r="CZ16" s="2196">
        <v>15.1</v>
      </c>
      <c r="DA16" s="2196">
        <v>22.7</v>
      </c>
      <c r="DB16" s="2196">
        <v>33.5</v>
      </c>
      <c r="DC16" s="2196">
        <v>45.7</v>
      </c>
      <c r="DD16" s="2196">
        <v>65.099999999999994</v>
      </c>
      <c r="DE16" s="2196">
        <v>79.099999999999994</v>
      </c>
      <c r="DF16" s="2196">
        <v>118</v>
      </c>
      <c r="DG16" s="275">
        <v>171</v>
      </c>
      <c r="DH16" s="275">
        <v>259</v>
      </c>
      <c r="DI16" s="275">
        <v>368</v>
      </c>
      <c r="DJ16" s="2196">
        <v>0</v>
      </c>
      <c r="DQ16" s="2171"/>
      <c r="DR16" s="2171"/>
      <c r="DX16" s="1"/>
      <c r="DY16" s="8"/>
      <c r="DZ16" s="283" t="s">
        <v>651</v>
      </c>
      <c r="EA16" s="3620">
        <f>'E Gear B'!ED146</f>
        <v>29.21</v>
      </c>
      <c r="EB16" s="3620" t="str">
        <f>"3AH"&amp;'E Gear B'!EE146</f>
        <v>3AH650</v>
      </c>
      <c r="EC16" s="3620">
        <f>VLOOKUP(EB16,'E Gear B'!DZ56:EC66,2,0)</f>
        <v>108150</v>
      </c>
      <c r="ED16" s="3620">
        <f>VLOOKUP(EB16,'E Gear B'!DZ56:EC66,3,0)</f>
        <v>26250</v>
      </c>
      <c r="EE16" s="3620">
        <f>VLOOKUP(EB16,'E Gear B'!DZ56:EC66,4,0)</f>
        <v>700</v>
      </c>
      <c r="EF16" s="281"/>
      <c r="EG16" s="281"/>
      <c r="EH16" s="277"/>
      <c r="EI16" s="277"/>
      <c r="EJ16" s="277"/>
      <c r="EK16" s="277"/>
      <c r="EL16" s="277"/>
      <c r="EM16" s="277"/>
      <c r="EN16" s="277"/>
      <c r="EO16" s="277"/>
      <c r="ER16" s="277"/>
      <c r="ES16" s="277"/>
      <c r="ET16" s="277"/>
      <c r="EU16" s="277"/>
      <c r="EV16" s="277"/>
      <c r="EW16" s="277"/>
      <c r="EX16" s="2176" t="str">
        <f>EE150</f>
        <v>Right</v>
      </c>
      <c r="EY16" s="2176" t="str">
        <f>EE338</f>
        <v>Right</v>
      </c>
      <c r="EZ16" s="2176" t="str">
        <f>IF(GD41&lt;=112,GE81,"Right")</f>
        <v>Right</v>
      </c>
      <c r="FA16" s="2176" t="str">
        <f>IF(HT41&lt;=130,HU81,"Right")</f>
        <v>Right</v>
      </c>
      <c r="FB16" s="277"/>
      <c r="FC16" s="2174"/>
      <c r="FD16" s="2174"/>
      <c r="FE16" s="277"/>
      <c r="FF16" s="277"/>
      <c r="FG16" s="2193">
        <v>45</v>
      </c>
      <c r="FH16" s="2195">
        <v>12</v>
      </c>
      <c r="FI16" s="2195">
        <v>17</v>
      </c>
      <c r="FJ16" s="2195">
        <v>25</v>
      </c>
      <c r="FK16" s="2195">
        <v>33</v>
      </c>
      <c r="FL16" s="2195">
        <v>46</v>
      </c>
      <c r="FM16" s="2195">
        <v>64</v>
      </c>
      <c r="FN16" s="2195">
        <v>95</v>
      </c>
      <c r="FO16" s="2195">
        <v>150</v>
      </c>
      <c r="FP16" s="2195">
        <v>180</v>
      </c>
      <c r="FQ16" s="2195">
        <v>265</v>
      </c>
      <c r="FR16" s="280">
        <v>455</v>
      </c>
      <c r="FS16" s="280">
        <v>640</v>
      </c>
      <c r="FT16" s="280">
        <v>760</v>
      </c>
      <c r="FU16" s="280">
        <v>1140</v>
      </c>
      <c r="FV16" s="2195">
        <v>1650</v>
      </c>
      <c r="FW16" s="277"/>
      <c r="FX16" s="277"/>
      <c r="FY16" s="2187">
        <v>45</v>
      </c>
      <c r="FZ16" s="2187">
        <v>50</v>
      </c>
      <c r="GA16" s="277"/>
      <c r="GB16" s="277"/>
      <c r="GC16" s="2193">
        <v>45</v>
      </c>
      <c r="GD16" s="2195">
        <v>12</v>
      </c>
      <c r="GE16" s="2195">
        <v>17</v>
      </c>
      <c r="GF16" s="2195">
        <v>25</v>
      </c>
      <c r="GG16" s="2195">
        <v>33</v>
      </c>
      <c r="GH16" s="2195">
        <v>46</v>
      </c>
      <c r="GI16" s="2195">
        <v>64</v>
      </c>
      <c r="GJ16" s="2195">
        <v>95</v>
      </c>
      <c r="GK16" s="2195">
        <v>150</v>
      </c>
      <c r="GL16" s="2195">
        <v>180</v>
      </c>
      <c r="GM16" s="2195">
        <v>265</v>
      </c>
      <c r="GN16" s="280">
        <v>455</v>
      </c>
      <c r="GO16" s="280">
        <v>640</v>
      </c>
      <c r="GP16" s="280">
        <v>760</v>
      </c>
      <c r="GQ16" s="280">
        <v>1140</v>
      </c>
      <c r="GR16" s="2195">
        <v>1650</v>
      </c>
      <c r="GS16" s="277"/>
      <c r="GT16" s="277"/>
      <c r="GU16" s="2174"/>
      <c r="GV16" s="277"/>
      <c r="GW16" s="277"/>
      <c r="GX16" s="2193">
        <v>70.599999999999994</v>
      </c>
      <c r="GY16" s="2195">
        <v>5.16</v>
      </c>
      <c r="GZ16" s="2195">
        <v>8.2100000000000009</v>
      </c>
      <c r="HA16" s="2195">
        <v>11.6</v>
      </c>
      <c r="HB16" s="2195">
        <v>14.7</v>
      </c>
      <c r="HC16" s="2195">
        <v>23.3</v>
      </c>
      <c r="HD16" s="2195">
        <v>31.4</v>
      </c>
      <c r="HE16" s="2195">
        <v>47.7</v>
      </c>
      <c r="HF16" s="2195">
        <v>61.1</v>
      </c>
      <c r="HG16" s="2195">
        <v>92.2</v>
      </c>
      <c r="HH16" s="2195">
        <v>130</v>
      </c>
      <c r="HI16" s="280">
        <v>182</v>
      </c>
      <c r="HJ16" s="280">
        <v>294</v>
      </c>
      <c r="HK16" s="280">
        <v>410</v>
      </c>
      <c r="HL16" s="2195">
        <v>0</v>
      </c>
      <c r="HM16" s="277"/>
      <c r="HN16" s="277"/>
      <c r="HO16" s="2187">
        <v>70.599999999999994</v>
      </c>
      <c r="HP16" s="2187">
        <v>78.2</v>
      </c>
      <c r="HQ16" s="277"/>
      <c r="HR16" s="277"/>
      <c r="HS16" s="2193">
        <v>70.599999999999994</v>
      </c>
      <c r="HT16" s="2195">
        <v>5.16</v>
      </c>
      <c r="HU16" s="2195">
        <v>8.2100000000000009</v>
      </c>
      <c r="HV16" s="2195">
        <v>11.6</v>
      </c>
      <c r="HW16" s="2195">
        <v>14.7</v>
      </c>
      <c r="HX16" s="2195">
        <v>23.3</v>
      </c>
      <c r="HY16" s="2195">
        <v>31.4</v>
      </c>
      <c r="HZ16" s="2195">
        <v>47.7</v>
      </c>
      <c r="IA16" s="2195">
        <v>61.1</v>
      </c>
      <c r="IB16" s="2195">
        <v>92.2</v>
      </c>
      <c r="IC16" s="2195">
        <v>130</v>
      </c>
      <c r="ID16" s="280">
        <v>182</v>
      </c>
      <c r="IE16" s="280">
        <v>294</v>
      </c>
      <c r="IF16" s="280">
        <v>410</v>
      </c>
      <c r="IG16" s="2195">
        <v>0</v>
      </c>
      <c r="IH16" s="277"/>
      <c r="II16" s="277"/>
      <c r="IJ16" s="277"/>
      <c r="IK16" s="277"/>
      <c r="IL16" s="277"/>
      <c r="IN16" s="2171"/>
      <c r="IO16" s="2171"/>
    </row>
    <row r="17" spans="2:246" ht="21.95" customHeight="1">
      <c r="C17" s="283" t="s">
        <v>654</v>
      </c>
      <c r="D17" s="3620">
        <f>'E Gear B'!G146</f>
        <v>21.68</v>
      </c>
      <c r="E17" s="3620" t="str">
        <f>"3AH"&amp;'E Gear B'!H146</f>
        <v>3AH775</v>
      </c>
      <c r="F17" s="3620">
        <f>VLOOKUP(E17,'E Gear B'!C56:F66,2,0)</f>
        <v>195532</v>
      </c>
      <c r="G17" s="3620">
        <f>VLOOKUP(E17,'E Gear B'!C56:F66,3,0)</f>
        <v>29400</v>
      </c>
      <c r="H17" s="3620">
        <f>VLOOKUP(E17,'E Gear B'!C56:F66,4,0)</f>
        <v>1100</v>
      </c>
      <c r="I17" s="281"/>
      <c r="J17" s="281"/>
      <c r="L17" s="286"/>
      <c r="M17" s="286"/>
      <c r="N17" s="286"/>
      <c r="O17" s="286"/>
      <c r="S17" s="286"/>
      <c r="T17" s="286"/>
      <c r="AA17" s="2176" t="str">
        <f>IF(AA6="Right",IF(AA7="Right",IF(AA8="Right",IF(AA9="Right",IF(AA10="Right",IF(AA11="Right",IF(AA12="Right",IF(AA13="Right",IF(AA14="Right",IF(AA15="Right",IF(AA16="Right","Right","Wrong")))))))))))</f>
        <v>Right</v>
      </c>
      <c r="AB17" s="2176" t="str">
        <f>IF(AB6="Right",IF(AB7="Right",IF(AB8="Right",IF(AB9="Right",IF(AB10="Right",IF(AB11="Right",IF(AB12="Right",IF(AB13="Right",IF(AB14="Right",IF(AB15="Right",IF(AB16="Right","Right","Wrong")))))))))))</f>
        <v>Right</v>
      </c>
      <c r="AC17" s="2176" t="str">
        <f t="shared" ref="AC17" si="0">IF(AC6="Right",IF(AC7="Right",IF(AC8="Right",IF(AC9="Right",IF(AC10="Right",IF(AC11="Right",IF(AC12="Right",IF(AC13="Right",IF(AC14="Right",IF(AC15="Right",IF(AC16="Right","Right","Wrong")))))))))))</f>
        <v>Right</v>
      </c>
      <c r="AD17" s="2176" t="str">
        <f>IF(AD6="Right",IF(AD7="Right",IF(AD8="Right",IF(AD9="Right",IF(AD10="Right",IF(AD11="Right",IF(AD12="Right",IF(AD13="Right",IF(AD14="Right",IF(AD15="Right",IF(AD16="Right","Right","Wrong")))))))))))</f>
        <v>Right</v>
      </c>
      <c r="AF17" s="2174"/>
      <c r="AG17" s="2174"/>
      <c r="AJ17" s="2193">
        <v>56</v>
      </c>
      <c r="AK17" s="2195">
        <v>9.5</v>
      </c>
      <c r="AL17" s="2195">
        <v>14</v>
      </c>
      <c r="AM17" s="2195">
        <v>19</v>
      </c>
      <c r="AN17" s="2195">
        <v>27</v>
      </c>
      <c r="AO17" s="2195">
        <v>38</v>
      </c>
      <c r="AP17" s="2195">
        <v>53</v>
      </c>
      <c r="AQ17" s="2195">
        <v>77</v>
      </c>
      <c r="AR17" s="2195">
        <v>120</v>
      </c>
      <c r="AS17" s="2195">
        <v>145</v>
      </c>
      <c r="AT17" s="2195">
        <v>215</v>
      </c>
      <c r="AU17" s="280">
        <v>340</v>
      </c>
      <c r="AV17" s="280">
        <v>485</v>
      </c>
      <c r="AW17" s="280">
        <v>640</v>
      </c>
      <c r="AX17" s="280">
        <v>930</v>
      </c>
      <c r="AY17" s="2195">
        <v>1330</v>
      </c>
      <c r="BB17" s="2187">
        <v>56</v>
      </c>
      <c r="BC17" s="2187">
        <v>63</v>
      </c>
      <c r="BF17" s="2193">
        <v>56</v>
      </c>
      <c r="BG17" s="2195">
        <v>9.5</v>
      </c>
      <c r="BH17" s="2195">
        <v>14</v>
      </c>
      <c r="BI17" s="2195">
        <v>19</v>
      </c>
      <c r="BJ17" s="2195">
        <v>27</v>
      </c>
      <c r="BK17" s="2195">
        <v>38</v>
      </c>
      <c r="BL17" s="2195">
        <v>53</v>
      </c>
      <c r="BM17" s="2195">
        <v>77</v>
      </c>
      <c r="BN17" s="2195">
        <v>120</v>
      </c>
      <c r="BO17" s="2195">
        <v>145</v>
      </c>
      <c r="BP17" s="2195">
        <v>215</v>
      </c>
      <c r="BQ17" s="280">
        <v>340</v>
      </c>
      <c r="BR17" s="280">
        <v>485</v>
      </c>
      <c r="BS17" s="280">
        <v>640</v>
      </c>
      <c r="BT17" s="280">
        <v>930</v>
      </c>
      <c r="BU17" s="2195">
        <v>1330</v>
      </c>
      <c r="BX17" s="2174"/>
      <c r="CA17" s="2193">
        <v>86.5</v>
      </c>
      <c r="CB17" s="2195">
        <v>4.2699999999999996</v>
      </c>
      <c r="CC17" s="2195">
        <v>6.41</v>
      </c>
      <c r="CD17" s="2195">
        <v>9.86</v>
      </c>
      <c r="CE17" s="2195">
        <v>11.8</v>
      </c>
      <c r="CF17" s="2195">
        <v>18.899999999999999</v>
      </c>
      <c r="CG17" s="2195">
        <v>25.5</v>
      </c>
      <c r="CH17" s="2195">
        <v>38.9</v>
      </c>
      <c r="CI17" s="2195">
        <v>48.5</v>
      </c>
      <c r="CJ17" s="2195">
        <v>79.3</v>
      </c>
      <c r="CK17" s="2195">
        <v>103</v>
      </c>
      <c r="CL17" s="280">
        <v>152</v>
      </c>
      <c r="CM17" s="280">
        <v>211</v>
      </c>
      <c r="CN17" s="280">
        <v>313</v>
      </c>
      <c r="CO17" s="2195">
        <v>0</v>
      </c>
      <c r="CR17" s="2187">
        <v>86.5</v>
      </c>
      <c r="CS17" s="2187">
        <v>95.7</v>
      </c>
      <c r="CV17" s="2193">
        <v>86.5</v>
      </c>
      <c r="CW17" s="2195">
        <v>4.2699999999999996</v>
      </c>
      <c r="CX17" s="2195">
        <v>6.41</v>
      </c>
      <c r="CY17" s="2195">
        <v>9.86</v>
      </c>
      <c r="CZ17" s="2195">
        <v>11.8</v>
      </c>
      <c r="DA17" s="2195">
        <v>18.899999999999999</v>
      </c>
      <c r="DB17" s="2195">
        <v>25.5</v>
      </c>
      <c r="DC17" s="2195">
        <v>38.9</v>
      </c>
      <c r="DD17" s="2195">
        <v>48.5</v>
      </c>
      <c r="DE17" s="2195">
        <v>79.3</v>
      </c>
      <c r="DF17" s="2195">
        <v>103</v>
      </c>
      <c r="DG17" s="280">
        <v>152</v>
      </c>
      <c r="DH17" s="280">
        <v>211</v>
      </c>
      <c r="DI17" s="280">
        <v>313</v>
      </c>
      <c r="DJ17" s="2195">
        <v>0</v>
      </c>
      <c r="DX17" s="286"/>
      <c r="DZ17" s="283" t="s">
        <v>654</v>
      </c>
      <c r="EA17" s="3620">
        <f>'E Gear B'!ED147</f>
        <v>21.09</v>
      </c>
      <c r="EB17" s="3620" t="str">
        <f>"3AH"&amp;'E Gear B'!EE147</f>
        <v>3AH650</v>
      </c>
      <c r="EC17" s="3620">
        <f>VLOOKUP(EB17,'E Gear B'!DZ56:EC66,2,0)</f>
        <v>108150</v>
      </c>
      <c r="ED17" s="3620">
        <f>VLOOKUP(EB17,'E Gear B'!DZ56:EC66,3,0)</f>
        <v>26250</v>
      </c>
      <c r="EE17" s="3620">
        <f>VLOOKUP(EB17,'E Gear B'!DZ56:EC66,4,0)</f>
        <v>700</v>
      </c>
      <c r="EF17" s="281"/>
      <c r="EG17" s="281"/>
      <c r="EI17" s="286"/>
      <c r="EJ17" s="286"/>
      <c r="EK17" s="286"/>
      <c r="EL17" s="286"/>
      <c r="EM17" s="286"/>
      <c r="EN17" s="286"/>
      <c r="EO17" s="286"/>
      <c r="EP17" s="286"/>
      <c r="EQ17" s="286"/>
      <c r="ER17" s="286"/>
      <c r="ES17" s="286"/>
      <c r="ET17" s="286"/>
      <c r="EU17" s="286"/>
      <c r="EV17" s="286"/>
      <c r="EW17" s="286"/>
      <c r="EX17" s="2176" t="str">
        <f>+EX16</f>
        <v>Right</v>
      </c>
      <c r="EY17" s="2176" t="str">
        <f>+EY16</f>
        <v>Right</v>
      </c>
      <c r="EZ17" s="2176" t="str">
        <f>IF(GD41&lt;=112,GG81,"Right")</f>
        <v>Right</v>
      </c>
      <c r="FA17" s="2176" t="str">
        <f>IF(HT41&lt;=130,HW81,"Right")</f>
        <v>Right</v>
      </c>
      <c r="FB17" s="286"/>
      <c r="FC17" s="2174"/>
      <c r="FD17" s="2174"/>
      <c r="FE17" s="286"/>
      <c r="FF17" s="286"/>
      <c r="FG17" s="773">
        <v>50</v>
      </c>
      <c r="FH17" s="2196">
        <v>11</v>
      </c>
      <c r="FI17" s="2196">
        <v>15</v>
      </c>
      <c r="FJ17" s="2196">
        <v>22</v>
      </c>
      <c r="FK17" s="2196">
        <v>31</v>
      </c>
      <c r="FL17" s="2196">
        <v>43</v>
      </c>
      <c r="FM17" s="2196">
        <v>60</v>
      </c>
      <c r="FN17" s="2196">
        <v>87</v>
      </c>
      <c r="FO17" s="2196">
        <v>135</v>
      </c>
      <c r="FP17" s="2196">
        <v>165</v>
      </c>
      <c r="FQ17" s="2196">
        <v>240</v>
      </c>
      <c r="FR17" s="275">
        <v>365</v>
      </c>
      <c r="FS17" s="275">
        <v>520</v>
      </c>
      <c r="FT17" s="275">
        <v>690</v>
      </c>
      <c r="FU17" s="275">
        <v>1020</v>
      </c>
      <c r="FV17" s="2196">
        <v>1480</v>
      </c>
      <c r="FW17" s="286"/>
      <c r="FX17" s="286"/>
      <c r="FY17" s="2187">
        <v>50</v>
      </c>
      <c r="FZ17" s="2187">
        <v>56</v>
      </c>
      <c r="GA17" s="286"/>
      <c r="GB17" s="286"/>
      <c r="GC17" s="773">
        <v>50</v>
      </c>
      <c r="GD17" s="2196">
        <v>11</v>
      </c>
      <c r="GE17" s="2196">
        <v>15</v>
      </c>
      <c r="GF17" s="2196">
        <v>22</v>
      </c>
      <c r="GG17" s="2196">
        <v>31</v>
      </c>
      <c r="GH17" s="2196">
        <v>43</v>
      </c>
      <c r="GI17" s="2196">
        <v>60</v>
      </c>
      <c r="GJ17" s="2196">
        <v>87</v>
      </c>
      <c r="GK17" s="2196">
        <v>135</v>
      </c>
      <c r="GL17" s="2196">
        <v>165</v>
      </c>
      <c r="GM17" s="2196">
        <v>240</v>
      </c>
      <c r="GN17" s="275">
        <v>365</v>
      </c>
      <c r="GO17" s="275">
        <v>520</v>
      </c>
      <c r="GP17" s="275">
        <v>690</v>
      </c>
      <c r="GQ17" s="275">
        <v>1020</v>
      </c>
      <c r="GR17" s="2196">
        <v>1480</v>
      </c>
      <c r="GS17" s="286"/>
      <c r="GT17" s="286"/>
      <c r="GU17" s="2174"/>
      <c r="GV17" s="286"/>
      <c r="GW17" s="286"/>
      <c r="GX17" s="773">
        <v>78.2</v>
      </c>
      <c r="GY17" s="2196">
        <v>4.5599999999999996</v>
      </c>
      <c r="GZ17" s="2196">
        <v>7.17</v>
      </c>
      <c r="HA17" s="2196">
        <v>10.9</v>
      </c>
      <c r="HB17" s="2196">
        <v>15.1</v>
      </c>
      <c r="HC17" s="2196">
        <v>22.7</v>
      </c>
      <c r="HD17" s="2196">
        <v>33.5</v>
      </c>
      <c r="HE17" s="2196">
        <v>45.7</v>
      </c>
      <c r="HF17" s="2196">
        <v>65.099999999999994</v>
      </c>
      <c r="HG17" s="2196">
        <v>79.099999999999994</v>
      </c>
      <c r="HH17" s="2196">
        <v>118</v>
      </c>
      <c r="HI17" s="275">
        <v>171</v>
      </c>
      <c r="HJ17" s="275">
        <v>259</v>
      </c>
      <c r="HK17" s="275">
        <v>368</v>
      </c>
      <c r="HL17" s="2196">
        <v>0</v>
      </c>
      <c r="HM17" s="286"/>
      <c r="HN17" s="286"/>
      <c r="HO17" s="2187">
        <v>78.2</v>
      </c>
      <c r="HP17" s="2187">
        <v>86.5</v>
      </c>
      <c r="HQ17" s="286"/>
      <c r="HR17" s="286"/>
      <c r="HS17" s="773">
        <v>78.2</v>
      </c>
      <c r="HT17" s="2196">
        <v>4.5599999999999996</v>
      </c>
      <c r="HU17" s="2196">
        <v>7.17</v>
      </c>
      <c r="HV17" s="2196">
        <v>10.9</v>
      </c>
      <c r="HW17" s="2196">
        <v>15.1</v>
      </c>
      <c r="HX17" s="2196">
        <v>22.7</v>
      </c>
      <c r="HY17" s="2196">
        <v>33.5</v>
      </c>
      <c r="HZ17" s="2196">
        <v>45.7</v>
      </c>
      <c r="IA17" s="2196">
        <v>65.099999999999994</v>
      </c>
      <c r="IB17" s="2196">
        <v>79.099999999999994</v>
      </c>
      <c r="IC17" s="2196">
        <v>118</v>
      </c>
      <c r="ID17" s="275">
        <v>171</v>
      </c>
      <c r="IE17" s="275">
        <v>259</v>
      </c>
      <c r="IF17" s="275">
        <v>368</v>
      </c>
      <c r="IG17" s="2196">
        <v>0</v>
      </c>
      <c r="IH17" s="286"/>
      <c r="II17" s="286"/>
      <c r="IJ17" s="286"/>
      <c r="IK17" s="286"/>
      <c r="IL17" s="286"/>
    </row>
    <row r="18" spans="2:246" ht="21.95" customHeight="1">
      <c r="B18" s="286"/>
      <c r="C18" s="283" t="s">
        <v>658</v>
      </c>
      <c r="D18" s="3620">
        <f>'E Gear B'!G147</f>
        <v>23.25</v>
      </c>
      <c r="E18" s="3620" t="str">
        <f>"3AH"&amp;'E Gear B'!H147</f>
        <v>3AH825</v>
      </c>
      <c r="F18" s="3620">
        <f>VLOOKUP(E18,'E Gear B'!C56:F66,2,0)</f>
        <v>203682</v>
      </c>
      <c r="G18" s="3620">
        <f>VLOOKUP(E18,'E Gear B'!C56:F66,3,0)</f>
        <v>33600</v>
      </c>
      <c r="H18" s="3620">
        <f>VLOOKUP(E18,'E Gear B'!C56:F66,4,0)</f>
        <v>1400</v>
      </c>
      <c r="I18" s="281"/>
      <c r="J18" s="281"/>
      <c r="S18" s="286"/>
      <c r="T18" s="286"/>
      <c r="AF18" s="2174"/>
      <c r="AG18" s="2174"/>
      <c r="AJ18" s="2193">
        <v>63</v>
      </c>
      <c r="AK18" s="2195">
        <v>7.5</v>
      </c>
      <c r="AL18" s="2195">
        <v>11</v>
      </c>
      <c r="AM18" s="2195">
        <v>16</v>
      </c>
      <c r="AN18" s="2195">
        <v>24</v>
      </c>
      <c r="AO18" s="2195">
        <v>30</v>
      </c>
      <c r="AP18" s="2195">
        <v>43</v>
      </c>
      <c r="AQ18" s="2195">
        <v>69</v>
      </c>
      <c r="AR18" s="2195">
        <v>105</v>
      </c>
      <c r="AS18" s="2195">
        <v>130</v>
      </c>
      <c r="AT18" s="2195">
        <v>190</v>
      </c>
      <c r="AU18" s="280">
        <v>300</v>
      </c>
      <c r="AV18" s="280">
        <v>430</v>
      </c>
      <c r="AW18" s="280">
        <v>560</v>
      </c>
      <c r="AX18" s="280">
        <v>820</v>
      </c>
      <c r="AY18" s="2195">
        <v>1180</v>
      </c>
      <c r="BB18" s="2187">
        <v>63</v>
      </c>
      <c r="BC18" s="2187">
        <v>71</v>
      </c>
      <c r="BF18" s="2193">
        <v>63</v>
      </c>
      <c r="BG18" s="2195">
        <v>7.5</v>
      </c>
      <c r="BH18" s="2195">
        <v>11</v>
      </c>
      <c r="BI18" s="2195">
        <v>16</v>
      </c>
      <c r="BJ18" s="2195">
        <v>24</v>
      </c>
      <c r="BK18" s="2195">
        <v>30</v>
      </c>
      <c r="BL18" s="2195">
        <v>43</v>
      </c>
      <c r="BM18" s="2195">
        <v>69</v>
      </c>
      <c r="BN18" s="2195">
        <v>105</v>
      </c>
      <c r="BO18" s="2195">
        <v>130</v>
      </c>
      <c r="BP18" s="2195">
        <v>190</v>
      </c>
      <c r="BQ18" s="280">
        <v>300</v>
      </c>
      <c r="BR18" s="280">
        <v>430</v>
      </c>
      <c r="BS18" s="280">
        <v>560</v>
      </c>
      <c r="BT18" s="280">
        <v>820</v>
      </c>
      <c r="BU18" s="2195">
        <v>1180</v>
      </c>
      <c r="BX18" s="2174"/>
      <c r="CA18" s="773">
        <v>95.7</v>
      </c>
      <c r="CB18" s="2196">
        <v>3.86</v>
      </c>
      <c r="CC18" s="2196">
        <v>5.51</v>
      </c>
      <c r="CD18" s="2196">
        <v>8.0500000000000007</v>
      </c>
      <c r="CE18" s="2196">
        <v>10.7</v>
      </c>
      <c r="CF18" s="2196">
        <v>17.399999999999999</v>
      </c>
      <c r="CG18" s="2196">
        <v>23.8</v>
      </c>
      <c r="CH18" s="2196">
        <v>36</v>
      </c>
      <c r="CI18" s="2196">
        <v>46.4</v>
      </c>
      <c r="CJ18" s="2196">
        <v>70.2</v>
      </c>
      <c r="CK18" s="2196">
        <v>95.6</v>
      </c>
      <c r="CL18" s="275">
        <v>134</v>
      </c>
      <c r="CM18" s="275">
        <v>186</v>
      </c>
      <c r="CN18" s="275">
        <v>281</v>
      </c>
      <c r="CO18" s="2196">
        <v>0</v>
      </c>
      <c r="CR18" s="2187">
        <v>95.7</v>
      </c>
      <c r="CS18" s="2187">
        <v>106</v>
      </c>
      <c r="CV18" s="740">
        <v>95.7</v>
      </c>
      <c r="CW18" s="740">
        <v>3.86</v>
      </c>
      <c r="CX18" s="277">
        <v>5.51</v>
      </c>
      <c r="CY18" s="2193">
        <v>8.0500000000000007</v>
      </c>
      <c r="CZ18" s="2195">
        <v>10.7</v>
      </c>
      <c r="DA18" s="2195">
        <v>17.399999999999999</v>
      </c>
      <c r="DB18" s="2195">
        <v>23.8</v>
      </c>
      <c r="DC18" s="2195">
        <v>36</v>
      </c>
      <c r="DD18" s="2195">
        <v>46.4</v>
      </c>
      <c r="DE18" s="2195">
        <v>70.2</v>
      </c>
      <c r="DF18" s="2195">
        <v>95.6</v>
      </c>
      <c r="DG18" s="2195">
        <v>134</v>
      </c>
      <c r="DH18" s="2195">
        <v>186</v>
      </c>
      <c r="DI18" s="2195">
        <v>281</v>
      </c>
      <c r="DJ18" s="280">
        <v>0</v>
      </c>
      <c r="DX18" s="1"/>
      <c r="DY18" s="286"/>
      <c r="DZ18" s="283" t="s">
        <v>658</v>
      </c>
      <c r="EA18" s="3620">
        <f>'E Gear B'!ED148</f>
        <v>26.52</v>
      </c>
      <c r="EB18" s="3620" t="str">
        <f>"3AH"&amp;'E Gear B'!EE148</f>
        <v>3AH775</v>
      </c>
      <c r="EC18" s="3620">
        <f>VLOOKUP(EB18,'E Gear B'!DZ56:EC66,2,0)</f>
        <v>195532</v>
      </c>
      <c r="ED18" s="3620">
        <f>VLOOKUP(EB18,'E Gear B'!DZ56:EC66,3,0)</f>
        <v>29400</v>
      </c>
      <c r="EE18" s="3620">
        <f>VLOOKUP(EB18,'E Gear B'!DZ56:EC66,4,0)</f>
        <v>1100</v>
      </c>
      <c r="EF18" s="281"/>
      <c r="EG18" s="281"/>
      <c r="EP18" s="286"/>
      <c r="EQ18" s="286"/>
      <c r="EX18" s="2176" t="str">
        <f>IF(EX7="Right",IF(EX8="Right",IF(EX9="Right",IF(EX10="Right",IF(EX11="Right",IF(EX12="Right",IF(EX13="Right",IF(EX14="Right",IF(EX15="Right",IF(EX16="Right",IF(EX17="Right","Right","Wrong")))))))))))</f>
        <v>Right</v>
      </c>
      <c r="EY18" s="2176" t="str">
        <f>IF(EY7="Right",IF(EY8="Right",IF(EY9="Right",IF(EY10="Right",IF(EY11="Right",IF(EY12="Right",IF(EY13="Right",IF(EY14="Right",IF(EY15="Right",IF(EY16="Right",IF(EY17="Right","Right","Wrong")))))))))))</f>
        <v>Right</v>
      </c>
      <c r="EZ18" s="2176" t="str">
        <f>IF(EZ7="Right",IF(EZ8="Right",IF(EZ9="Right",IF(EZ10="Right",IF(EZ11="Right",IF(EZ12="Right",IF(EZ13="Right",IF(EZ14="Right",IF(EZ15="Right",IF(EZ16="Right",IF(EZ17="Right","Right","Wrong")))))))))))</f>
        <v>Right</v>
      </c>
      <c r="FA18" s="2176" t="str">
        <f>IF(FA7="Right",IF(FA8="Right",IF(FA9="Right",IF(FA10="Right",IF(FA11="Right",IF(FA12="Right",IF(FA13="Right",IF(FA14="Right",IF(FA15="Right",IF(FA16="Right",IF(FA17="Right","Right","Wrong")))))))))))</f>
        <v>Right</v>
      </c>
      <c r="FC18" s="2174"/>
      <c r="FD18" s="2174"/>
      <c r="FG18" s="2193">
        <v>56</v>
      </c>
      <c r="FH18" s="2195">
        <v>9.5</v>
      </c>
      <c r="FI18" s="2195">
        <v>14</v>
      </c>
      <c r="FJ18" s="2195">
        <v>19</v>
      </c>
      <c r="FK18" s="2195">
        <v>27</v>
      </c>
      <c r="FL18" s="2195">
        <v>38</v>
      </c>
      <c r="FM18" s="2195">
        <v>53</v>
      </c>
      <c r="FN18" s="2195">
        <v>77</v>
      </c>
      <c r="FO18" s="2195">
        <v>120</v>
      </c>
      <c r="FP18" s="2195">
        <v>145</v>
      </c>
      <c r="FQ18" s="2195">
        <v>215</v>
      </c>
      <c r="FR18" s="280">
        <v>340</v>
      </c>
      <c r="FS18" s="280">
        <v>485</v>
      </c>
      <c r="FT18" s="280">
        <v>640</v>
      </c>
      <c r="FU18" s="280">
        <v>930</v>
      </c>
      <c r="FV18" s="2195">
        <v>1330</v>
      </c>
      <c r="FY18" s="2187">
        <v>56</v>
      </c>
      <c r="FZ18" s="2187">
        <v>63</v>
      </c>
      <c r="GC18" s="2193">
        <v>56</v>
      </c>
      <c r="GD18" s="2195">
        <v>9.5</v>
      </c>
      <c r="GE18" s="2195">
        <v>14</v>
      </c>
      <c r="GF18" s="2195">
        <v>19</v>
      </c>
      <c r="GG18" s="2195">
        <v>27</v>
      </c>
      <c r="GH18" s="2195">
        <v>38</v>
      </c>
      <c r="GI18" s="2195">
        <v>53</v>
      </c>
      <c r="GJ18" s="2195">
        <v>77</v>
      </c>
      <c r="GK18" s="2195">
        <v>120</v>
      </c>
      <c r="GL18" s="2195">
        <v>145</v>
      </c>
      <c r="GM18" s="2195">
        <v>215</v>
      </c>
      <c r="GN18" s="280">
        <v>340</v>
      </c>
      <c r="GO18" s="280">
        <v>485</v>
      </c>
      <c r="GP18" s="280">
        <v>640</v>
      </c>
      <c r="GQ18" s="280">
        <v>930</v>
      </c>
      <c r="GR18" s="2195">
        <v>1330</v>
      </c>
      <c r="GU18" s="2174"/>
      <c r="GX18" s="2193">
        <v>86.5</v>
      </c>
      <c r="GY18" s="2195">
        <v>4.2699999999999996</v>
      </c>
      <c r="GZ18" s="2195">
        <v>6.41</v>
      </c>
      <c r="HA18" s="2195">
        <v>9.86</v>
      </c>
      <c r="HB18" s="2195">
        <v>11.8</v>
      </c>
      <c r="HC18" s="2195">
        <v>18.899999999999999</v>
      </c>
      <c r="HD18" s="2195">
        <v>25.5</v>
      </c>
      <c r="HE18" s="2195">
        <v>38.9</v>
      </c>
      <c r="HF18" s="2195">
        <v>48.5</v>
      </c>
      <c r="HG18" s="2195">
        <v>79.3</v>
      </c>
      <c r="HH18" s="2195">
        <v>103</v>
      </c>
      <c r="HI18" s="280">
        <v>152</v>
      </c>
      <c r="HJ18" s="280">
        <v>211</v>
      </c>
      <c r="HK18" s="280">
        <v>313</v>
      </c>
      <c r="HL18" s="2195">
        <v>0</v>
      </c>
      <c r="HO18" s="2187">
        <v>86.5</v>
      </c>
      <c r="HP18" s="2187">
        <v>95.7</v>
      </c>
      <c r="HS18" s="2193">
        <v>86.5</v>
      </c>
      <c r="HT18" s="2195">
        <v>4.2699999999999996</v>
      </c>
      <c r="HU18" s="2195">
        <v>6.41</v>
      </c>
      <c r="HV18" s="2195">
        <v>9.86</v>
      </c>
      <c r="HW18" s="2195">
        <v>11.8</v>
      </c>
      <c r="HX18" s="2195">
        <v>18.899999999999999</v>
      </c>
      <c r="HY18" s="2195">
        <v>25.5</v>
      </c>
      <c r="HZ18" s="2195">
        <v>38.9</v>
      </c>
      <c r="IA18" s="2195">
        <v>48.5</v>
      </c>
      <c r="IB18" s="2195">
        <v>79.3</v>
      </c>
      <c r="IC18" s="2195">
        <v>103</v>
      </c>
      <c r="ID18" s="280">
        <v>152</v>
      </c>
      <c r="IE18" s="280">
        <v>211</v>
      </c>
      <c r="IF18" s="280">
        <v>313</v>
      </c>
      <c r="IG18" s="2195">
        <v>0</v>
      </c>
    </row>
    <row r="19" spans="2:246" ht="21.95" customHeight="1">
      <c r="C19" s="283" t="s">
        <v>662</v>
      </c>
      <c r="D19" s="3620">
        <f>'E Gear B'!G148</f>
        <v>25.54</v>
      </c>
      <c r="E19" s="3620" t="str">
        <f>"3AH"&amp;'E Gear B'!H148</f>
        <v>3AH1100</v>
      </c>
      <c r="F19" s="3620">
        <f>VLOOKUP(E19,'E Gear B'!C56:F66,2,0)</f>
        <v>412631</v>
      </c>
      <c r="G19" s="3620">
        <f>VLOOKUP(E19,'E Gear B'!C56:F66,3,0)</f>
        <v>42000</v>
      </c>
      <c r="H19" s="3620">
        <f>VLOOKUP(E19,'E Gear B'!C56:F66,4,0)</f>
        <v>2600</v>
      </c>
      <c r="I19" s="281"/>
      <c r="J19" s="281"/>
      <c r="S19" s="286"/>
      <c r="T19" s="286"/>
      <c r="Z19" s="2176" t="str">
        <f>'E Data'!$N$19</f>
        <v>A</v>
      </c>
      <c r="AA19" s="277" t="s">
        <v>227</v>
      </c>
      <c r="AB19" s="2176" t="str">
        <f>IF(Z19="A",AA17,IF(Z19="B",AB17))</f>
        <v>Right</v>
      </c>
      <c r="AF19" s="2174"/>
      <c r="AG19" s="2174"/>
      <c r="AJ19" s="2193">
        <v>71</v>
      </c>
      <c r="AK19" s="2195">
        <v>6.5</v>
      </c>
      <c r="AL19" s="2195">
        <v>10</v>
      </c>
      <c r="AM19" s="2195">
        <v>14</v>
      </c>
      <c r="AN19" s="2195">
        <v>22</v>
      </c>
      <c r="AO19" s="2195">
        <v>27</v>
      </c>
      <c r="AP19" s="2195">
        <v>39</v>
      </c>
      <c r="AQ19" s="2195">
        <v>61</v>
      </c>
      <c r="AR19" s="2195">
        <v>92</v>
      </c>
      <c r="AS19" s="2195">
        <v>115</v>
      </c>
      <c r="AT19" s="2195">
        <v>170</v>
      </c>
      <c r="AU19" s="280">
        <v>270</v>
      </c>
      <c r="AV19" s="280">
        <v>380</v>
      </c>
      <c r="AW19" s="280">
        <v>500</v>
      </c>
      <c r="AX19" s="280">
        <v>730</v>
      </c>
      <c r="AY19" s="2195">
        <v>1050</v>
      </c>
      <c r="BB19" s="2187">
        <v>71</v>
      </c>
      <c r="BC19" s="2187">
        <v>80</v>
      </c>
      <c r="BF19" s="2193">
        <v>71</v>
      </c>
      <c r="BG19" s="2195">
        <v>6.5</v>
      </c>
      <c r="BH19" s="2195">
        <v>10</v>
      </c>
      <c r="BI19" s="2195">
        <v>14</v>
      </c>
      <c r="BJ19" s="2195">
        <v>22</v>
      </c>
      <c r="BK19" s="2195">
        <v>27</v>
      </c>
      <c r="BL19" s="2195">
        <v>39</v>
      </c>
      <c r="BM19" s="2195">
        <v>61</v>
      </c>
      <c r="BN19" s="2195">
        <v>92</v>
      </c>
      <c r="BO19" s="2195">
        <v>115</v>
      </c>
      <c r="BP19" s="2195">
        <v>170</v>
      </c>
      <c r="BQ19" s="280">
        <v>270</v>
      </c>
      <c r="BR19" s="280">
        <v>380</v>
      </c>
      <c r="BS19" s="280">
        <v>500</v>
      </c>
      <c r="BT19" s="280">
        <v>730</v>
      </c>
      <c r="BU19" s="2195">
        <v>1050</v>
      </c>
      <c r="BV19" s="2252" t="s">
        <v>2763</v>
      </c>
      <c r="BX19" s="2174"/>
      <c r="CA19" s="2193">
        <v>106</v>
      </c>
      <c r="CB19" s="2195">
        <v>3.49</v>
      </c>
      <c r="CC19" s="2195">
        <v>5.13</v>
      </c>
      <c r="CD19" s="2195">
        <v>7.18</v>
      </c>
      <c r="CE19" s="2195">
        <v>9.6999999999999993</v>
      </c>
      <c r="CF19" s="2195">
        <v>15.5</v>
      </c>
      <c r="CG19" s="2195">
        <v>21.4</v>
      </c>
      <c r="CH19" s="2195">
        <v>32.5</v>
      </c>
      <c r="CI19" s="2195">
        <v>40.700000000000003</v>
      </c>
      <c r="CJ19" s="2195">
        <v>63.2</v>
      </c>
      <c r="CK19" s="2195">
        <v>85</v>
      </c>
      <c r="CL19" s="280">
        <v>124</v>
      </c>
      <c r="CM19" s="280">
        <v>172</v>
      </c>
      <c r="CN19" s="280">
        <v>258</v>
      </c>
      <c r="CO19" s="2195">
        <v>0</v>
      </c>
      <c r="CR19" s="2187">
        <v>106</v>
      </c>
      <c r="CS19" s="2187">
        <v>117</v>
      </c>
      <c r="CV19" s="2193">
        <v>106</v>
      </c>
      <c r="CW19" s="2195">
        <v>3.49</v>
      </c>
      <c r="CX19" s="2195">
        <v>5.13</v>
      </c>
      <c r="CY19" s="2195">
        <v>7.18</v>
      </c>
      <c r="CZ19" s="2195">
        <v>9.6999999999999993</v>
      </c>
      <c r="DA19" s="2195">
        <v>15.5</v>
      </c>
      <c r="DB19" s="2195">
        <v>21.4</v>
      </c>
      <c r="DC19" s="2195">
        <v>32.5</v>
      </c>
      <c r="DD19" s="2195">
        <v>40.700000000000003</v>
      </c>
      <c r="DE19" s="2195">
        <v>63.2</v>
      </c>
      <c r="DF19" s="2195">
        <v>85</v>
      </c>
      <c r="DG19" s="280">
        <v>124</v>
      </c>
      <c r="DH19" s="280">
        <v>172</v>
      </c>
      <c r="DI19" s="280">
        <v>258</v>
      </c>
      <c r="DJ19" s="2195">
        <v>0</v>
      </c>
      <c r="DX19" s="1"/>
      <c r="DZ19" s="283" t="s">
        <v>662</v>
      </c>
      <c r="EA19" s="3620">
        <f>'E Gear B'!ED149</f>
        <v>20.69</v>
      </c>
      <c r="EB19" s="3620" t="str">
        <f>"3AH"&amp;'E Gear B'!EE149</f>
        <v>3AH825</v>
      </c>
      <c r="EC19" s="3620">
        <f>VLOOKUP(EB19,'E Gear B'!DZ56:EC66,2,0)</f>
        <v>203682</v>
      </c>
      <c r="ED19" s="3620">
        <f>VLOOKUP(EB19,'E Gear B'!DZ56:EC66,3,0)</f>
        <v>33600</v>
      </c>
      <c r="EE19" s="3620">
        <f>VLOOKUP(EB19,'E Gear B'!DZ56:EC66,4,0)</f>
        <v>1400</v>
      </c>
      <c r="EF19" s="281"/>
      <c r="EG19" s="281"/>
      <c r="EH19" s="286"/>
      <c r="EP19" s="286"/>
      <c r="EQ19" s="286"/>
      <c r="FC19" s="2174"/>
      <c r="FD19" s="2174"/>
      <c r="FG19" s="2193">
        <v>63</v>
      </c>
      <c r="FH19" s="2195">
        <v>7.5</v>
      </c>
      <c r="FI19" s="2195">
        <v>11</v>
      </c>
      <c r="FJ19" s="2195">
        <v>16</v>
      </c>
      <c r="FK19" s="2195">
        <v>24</v>
      </c>
      <c r="FL19" s="2195">
        <v>30</v>
      </c>
      <c r="FM19" s="2195">
        <v>43</v>
      </c>
      <c r="FN19" s="2195">
        <v>69</v>
      </c>
      <c r="FO19" s="2195">
        <v>105</v>
      </c>
      <c r="FP19" s="2195">
        <v>130</v>
      </c>
      <c r="FQ19" s="2195">
        <v>190</v>
      </c>
      <c r="FR19" s="280">
        <v>300</v>
      </c>
      <c r="FS19" s="280">
        <v>430</v>
      </c>
      <c r="FT19" s="280">
        <v>560</v>
      </c>
      <c r="FU19" s="280">
        <v>820</v>
      </c>
      <c r="FV19" s="2195">
        <v>1180</v>
      </c>
      <c r="FY19" s="2187">
        <v>63</v>
      </c>
      <c r="FZ19" s="2187">
        <v>71</v>
      </c>
      <c r="GC19" s="2193">
        <v>63</v>
      </c>
      <c r="GD19" s="2195">
        <v>7.5</v>
      </c>
      <c r="GE19" s="2195">
        <v>11</v>
      </c>
      <c r="GF19" s="2195">
        <v>16</v>
      </c>
      <c r="GG19" s="2195">
        <v>24</v>
      </c>
      <c r="GH19" s="2195">
        <v>30</v>
      </c>
      <c r="GI19" s="2195">
        <v>43</v>
      </c>
      <c r="GJ19" s="2195">
        <v>69</v>
      </c>
      <c r="GK19" s="2195">
        <v>105</v>
      </c>
      <c r="GL19" s="2195">
        <v>130</v>
      </c>
      <c r="GM19" s="2195">
        <v>190</v>
      </c>
      <c r="GN19" s="280">
        <v>300</v>
      </c>
      <c r="GO19" s="280">
        <v>430</v>
      </c>
      <c r="GP19" s="280">
        <v>560</v>
      </c>
      <c r="GQ19" s="280">
        <v>820</v>
      </c>
      <c r="GR19" s="2195">
        <v>1180</v>
      </c>
      <c r="GU19" s="2174"/>
      <c r="GX19" s="773">
        <v>95.7</v>
      </c>
      <c r="GY19" s="2196">
        <v>3.86</v>
      </c>
      <c r="GZ19" s="2196">
        <v>5.51</v>
      </c>
      <c r="HA19" s="2196">
        <v>8.0500000000000007</v>
      </c>
      <c r="HB19" s="2196">
        <v>10.7</v>
      </c>
      <c r="HC19" s="2196">
        <v>17.399999999999999</v>
      </c>
      <c r="HD19" s="2196">
        <v>23.8</v>
      </c>
      <c r="HE19" s="2196">
        <v>36</v>
      </c>
      <c r="HF19" s="2196">
        <v>46.4</v>
      </c>
      <c r="HG19" s="2196">
        <v>70.2</v>
      </c>
      <c r="HH19" s="2196">
        <v>95.6</v>
      </c>
      <c r="HI19" s="275">
        <v>134</v>
      </c>
      <c r="HJ19" s="275">
        <v>186</v>
      </c>
      <c r="HK19" s="275">
        <v>281</v>
      </c>
      <c r="HL19" s="2196">
        <v>0</v>
      </c>
      <c r="HO19" s="2187">
        <v>95.7</v>
      </c>
      <c r="HP19" s="2187">
        <v>106</v>
      </c>
      <c r="HS19" s="740">
        <v>95.7</v>
      </c>
      <c r="HT19" s="740">
        <v>3.86</v>
      </c>
      <c r="HU19" s="277">
        <v>5.51</v>
      </c>
      <c r="HV19" s="2193">
        <v>8.0500000000000007</v>
      </c>
      <c r="HW19" s="2195">
        <v>10.7</v>
      </c>
      <c r="HX19" s="2195">
        <v>17.399999999999999</v>
      </c>
      <c r="HY19" s="2195">
        <v>23.8</v>
      </c>
      <c r="HZ19" s="2195">
        <v>36</v>
      </c>
      <c r="IA19" s="2195">
        <v>46.4</v>
      </c>
      <c r="IB19" s="2195">
        <v>70.2</v>
      </c>
      <c r="IC19" s="2195">
        <v>95.6</v>
      </c>
      <c r="ID19" s="2195">
        <v>134</v>
      </c>
      <c r="IE19" s="2195">
        <v>186</v>
      </c>
      <c r="IF19" s="2195">
        <v>281</v>
      </c>
      <c r="IG19" s="280">
        <v>0</v>
      </c>
    </row>
    <row r="20" spans="2:246" ht="21.95" customHeight="1">
      <c r="B20" s="3625">
        <f>1-E5/C20</f>
        <v>1.0022075971792499E-2</v>
      </c>
      <c r="C20" s="3622">
        <f>'E Gear B'!CN139</f>
        <v>206.43</v>
      </c>
      <c r="D20" s="3622">
        <f>VLOOKUP(C3,C16:H19,2,0)</f>
        <v>21.68</v>
      </c>
      <c r="E20" s="3622" t="str">
        <f>VLOOKUP(C3,C16:H19,3,0)</f>
        <v>3AH775</v>
      </c>
      <c r="F20" s="3622">
        <f>VLOOKUP(C3,C16:H19,4,0)</f>
        <v>195532</v>
      </c>
      <c r="G20" s="3622">
        <f>VLOOKUP(C3,C16:H19,5,0)</f>
        <v>29400</v>
      </c>
      <c r="H20" s="3622">
        <f>VLOOKUP(C3,C16:H19,6,0)</f>
        <v>1100</v>
      </c>
      <c r="I20" s="281"/>
      <c r="J20" s="281"/>
      <c r="K20" s="286"/>
      <c r="S20" s="286"/>
      <c r="T20" s="286"/>
      <c r="AA20" s="277" t="s">
        <v>660</v>
      </c>
      <c r="AB20" s="2176" t="str">
        <f>AC17</f>
        <v>Right</v>
      </c>
      <c r="AF20" s="2174"/>
      <c r="AG20" s="2174"/>
      <c r="AJ20" s="2193">
        <v>80</v>
      </c>
      <c r="AK20" s="2195">
        <v>6</v>
      </c>
      <c r="AL20" s="2195">
        <v>9</v>
      </c>
      <c r="AM20" s="2195">
        <v>13</v>
      </c>
      <c r="AN20" s="2195">
        <v>19</v>
      </c>
      <c r="AO20" s="2195">
        <v>24</v>
      </c>
      <c r="AP20" s="2195">
        <v>34</v>
      </c>
      <c r="AQ20" s="2195">
        <v>54</v>
      </c>
      <c r="AR20" s="2195">
        <v>82</v>
      </c>
      <c r="AS20" s="2195">
        <v>100</v>
      </c>
      <c r="AT20" s="2195">
        <v>150</v>
      </c>
      <c r="AU20" s="280">
        <v>240</v>
      </c>
      <c r="AV20" s="280">
        <v>340</v>
      </c>
      <c r="AW20" s="280">
        <v>450</v>
      </c>
      <c r="AX20" s="280">
        <v>650</v>
      </c>
      <c r="AY20" s="2195">
        <v>940</v>
      </c>
      <c r="BB20" s="2187">
        <v>80</v>
      </c>
      <c r="BC20" s="2187">
        <v>90</v>
      </c>
      <c r="BF20" s="2193">
        <v>80</v>
      </c>
      <c r="BG20" s="2195">
        <v>6</v>
      </c>
      <c r="BH20" s="2195">
        <v>9</v>
      </c>
      <c r="BI20" s="2195">
        <v>13</v>
      </c>
      <c r="BJ20" s="2195">
        <v>19</v>
      </c>
      <c r="BK20" s="2195">
        <v>24</v>
      </c>
      <c r="BL20" s="2195">
        <v>34</v>
      </c>
      <c r="BM20" s="2195">
        <v>54</v>
      </c>
      <c r="BN20" s="2195">
        <v>82</v>
      </c>
      <c r="BO20" s="2195">
        <v>100</v>
      </c>
      <c r="BP20" s="2195">
        <v>150</v>
      </c>
      <c r="BQ20" s="280">
        <v>240</v>
      </c>
      <c r="BR20" s="280">
        <v>340</v>
      </c>
      <c r="BS20" s="280">
        <v>450</v>
      </c>
      <c r="BT20" s="280">
        <v>650</v>
      </c>
      <c r="BU20" s="2195">
        <v>940</v>
      </c>
      <c r="BX20" s="2174"/>
      <c r="CA20" s="2193">
        <v>117</v>
      </c>
      <c r="CB20" s="2195">
        <v>3.14</v>
      </c>
      <c r="CC20" s="2195">
        <v>4.4800000000000004</v>
      </c>
      <c r="CD20" s="2195">
        <v>6.58</v>
      </c>
      <c r="CE20" s="2195">
        <v>8.74</v>
      </c>
      <c r="CF20" s="2195">
        <v>14</v>
      </c>
      <c r="CG20" s="2195">
        <v>18.899999999999999</v>
      </c>
      <c r="CH20" s="2195">
        <v>29.3</v>
      </c>
      <c r="CI20" s="2195">
        <v>36.299999999999997</v>
      </c>
      <c r="CJ20" s="2195">
        <v>58.1</v>
      </c>
      <c r="CK20" s="2195">
        <v>76.599999999999994</v>
      </c>
      <c r="CL20" s="280">
        <v>113</v>
      </c>
      <c r="CM20" s="280">
        <v>0</v>
      </c>
      <c r="CN20" s="280">
        <v>0</v>
      </c>
      <c r="CO20" s="2195">
        <v>0</v>
      </c>
      <c r="CR20" s="2187">
        <v>117</v>
      </c>
      <c r="CS20" s="2187">
        <v>130</v>
      </c>
      <c r="CV20" s="2193">
        <v>117</v>
      </c>
      <c r="CW20" s="2195">
        <v>3.14</v>
      </c>
      <c r="CX20" s="2195">
        <v>4.4800000000000004</v>
      </c>
      <c r="CY20" s="2195">
        <v>6.58</v>
      </c>
      <c r="CZ20" s="2195">
        <v>8.74</v>
      </c>
      <c r="DA20" s="2195">
        <v>14</v>
      </c>
      <c r="DB20" s="2195">
        <v>18.899999999999999</v>
      </c>
      <c r="DC20" s="2195">
        <v>29.3</v>
      </c>
      <c r="DD20" s="2195">
        <v>36.299999999999997</v>
      </c>
      <c r="DE20" s="2195">
        <v>58.1</v>
      </c>
      <c r="DF20" s="2195">
        <v>76.599999999999994</v>
      </c>
      <c r="DG20" s="280">
        <v>113</v>
      </c>
      <c r="DH20" s="280">
        <v>0</v>
      </c>
      <c r="DI20" s="280">
        <v>0</v>
      </c>
      <c r="DJ20" s="2195">
        <v>0</v>
      </c>
      <c r="DX20" s="1"/>
      <c r="DY20" s="3625">
        <f>1-EB5/DZ20</f>
        <v>3.674576271186436E-2</v>
      </c>
      <c r="DZ20" s="3623">
        <f>'E Gear B'!HK140</f>
        <v>129.80000000000001</v>
      </c>
      <c r="EA20" s="3622">
        <f>VLOOKUP(DZ3,DZ16:EE19,2,0)</f>
        <v>21.09</v>
      </c>
      <c r="EB20" s="3622" t="str">
        <f>VLOOKUP(DZ3,DZ16:EE19,3,0)</f>
        <v>3AH650</v>
      </c>
      <c r="EC20" s="3622">
        <f>VLOOKUP(DZ3,DZ16:EE19,4,0)</f>
        <v>108150</v>
      </c>
      <c r="ED20" s="3622">
        <f>VLOOKUP(DZ3,DZ16:EE19,5,0)</f>
        <v>26250</v>
      </c>
      <c r="EE20" s="3622">
        <f>VLOOKUP(DZ3,DZ16:EE19,6,0)</f>
        <v>700</v>
      </c>
      <c r="EF20" s="281"/>
      <c r="EG20" s="281"/>
      <c r="EP20" s="286"/>
      <c r="EQ20" s="286"/>
      <c r="EW20" s="2176" t="str">
        <f>'E Data'!$N$19</f>
        <v>A</v>
      </c>
      <c r="EX20" s="277" t="s">
        <v>227</v>
      </c>
      <c r="EY20" s="2176" t="str">
        <f>IF(EW20="A",EX18,IF(EW20="B",EY18))</f>
        <v>Right</v>
      </c>
      <c r="FC20" s="2174"/>
      <c r="FD20" s="2174"/>
      <c r="FG20" s="2193">
        <v>71</v>
      </c>
      <c r="FH20" s="2195">
        <v>6.5</v>
      </c>
      <c r="FI20" s="2195">
        <v>10</v>
      </c>
      <c r="FJ20" s="2195">
        <v>14</v>
      </c>
      <c r="FK20" s="2195">
        <v>22</v>
      </c>
      <c r="FL20" s="2195">
        <v>27</v>
      </c>
      <c r="FM20" s="2195">
        <v>39</v>
      </c>
      <c r="FN20" s="2195">
        <v>61</v>
      </c>
      <c r="FO20" s="2195">
        <v>92</v>
      </c>
      <c r="FP20" s="2195">
        <v>115</v>
      </c>
      <c r="FQ20" s="2195">
        <v>170</v>
      </c>
      <c r="FR20" s="280">
        <v>270</v>
      </c>
      <c r="FS20" s="280">
        <v>380</v>
      </c>
      <c r="FT20" s="280">
        <v>500</v>
      </c>
      <c r="FU20" s="280">
        <v>730</v>
      </c>
      <c r="FV20" s="2195">
        <v>1050</v>
      </c>
      <c r="FY20" s="2187">
        <v>71</v>
      </c>
      <c r="FZ20" s="2187">
        <v>80</v>
      </c>
      <c r="GC20" s="2193">
        <v>71</v>
      </c>
      <c r="GD20" s="2195">
        <v>6.5</v>
      </c>
      <c r="GE20" s="2195">
        <v>10</v>
      </c>
      <c r="GF20" s="2195">
        <v>14</v>
      </c>
      <c r="GG20" s="2195">
        <v>22</v>
      </c>
      <c r="GH20" s="2195">
        <v>27</v>
      </c>
      <c r="GI20" s="2195">
        <v>39</v>
      </c>
      <c r="GJ20" s="2195">
        <v>61</v>
      </c>
      <c r="GK20" s="2195">
        <v>92</v>
      </c>
      <c r="GL20" s="2195">
        <v>115</v>
      </c>
      <c r="GM20" s="2195">
        <v>170</v>
      </c>
      <c r="GN20" s="280">
        <v>270</v>
      </c>
      <c r="GO20" s="280">
        <v>380</v>
      </c>
      <c r="GP20" s="280">
        <v>500</v>
      </c>
      <c r="GQ20" s="280">
        <v>730</v>
      </c>
      <c r="GR20" s="2195">
        <v>1050</v>
      </c>
      <c r="GU20" s="2174"/>
      <c r="GX20" s="2193">
        <v>106</v>
      </c>
      <c r="GY20" s="2195">
        <v>3.49</v>
      </c>
      <c r="GZ20" s="2195">
        <v>5.13</v>
      </c>
      <c r="HA20" s="2195">
        <v>7.18</v>
      </c>
      <c r="HB20" s="2195">
        <v>9.6999999999999993</v>
      </c>
      <c r="HC20" s="2195">
        <v>15.5</v>
      </c>
      <c r="HD20" s="2195">
        <v>21.4</v>
      </c>
      <c r="HE20" s="2195">
        <v>32.5</v>
      </c>
      <c r="HF20" s="2195">
        <v>40.700000000000003</v>
      </c>
      <c r="HG20" s="2195">
        <v>63.2</v>
      </c>
      <c r="HH20" s="2195">
        <v>85</v>
      </c>
      <c r="HI20" s="280">
        <v>124</v>
      </c>
      <c r="HJ20" s="280">
        <v>172</v>
      </c>
      <c r="HK20" s="280">
        <v>258</v>
      </c>
      <c r="HL20" s="2195">
        <v>0</v>
      </c>
      <c r="HO20" s="2187">
        <v>106</v>
      </c>
      <c r="HP20" s="2187">
        <v>117</v>
      </c>
      <c r="HS20" s="2193">
        <v>106</v>
      </c>
      <c r="HT20" s="2195">
        <v>3.49</v>
      </c>
      <c r="HU20" s="2195">
        <v>5.13</v>
      </c>
      <c r="HV20" s="2195">
        <v>7.18</v>
      </c>
      <c r="HW20" s="2195">
        <v>9.6999999999999993</v>
      </c>
      <c r="HX20" s="2195">
        <v>15.5</v>
      </c>
      <c r="HY20" s="2195">
        <v>21.4</v>
      </c>
      <c r="HZ20" s="2195">
        <v>32.5</v>
      </c>
      <c r="IA20" s="2195">
        <v>40.700000000000003</v>
      </c>
      <c r="IB20" s="2195">
        <v>63.2</v>
      </c>
      <c r="IC20" s="2195">
        <v>85</v>
      </c>
      <c r="ID20" s="280">
        <v>124</v>
      </c>
      <c r="IE20" s="280">
        <v>172</v>
      </c>
      <c r="IF20" s="280">
        <v>258</v>
      </c>
      <c r="IG20" s="2195">
        <v>0</v>
      </c>
    </row>
    <row r="21" spans="2:246" ht="21.95" customHeight="1">
      <c r="S21" s="286"/>
      <c r="T21" s="286"/>
      <c r="AA21" s="277" t="s">
        <v>656</v>
      </c>
      <c r="AB21" s="2176" t="str">
        <f>AD17</f>
        <v>Right</v>
      </c>
      <c r="AF21" s="2174"/>
      <c r="AG21" s="2174"/>
      <c r="AJ21" s="2193">
        <v>90</v>
      </c>
      <c r="AK21" s="2195">
        <v>5.5</v>
      </c>
      <c r="AL21" s="2195">
        <v>8</v>
      </c>
      <c r="AM21" s="2195">
        <v>11</v>
      </c>
      <c r="AN21" s="2195">
        <v>17</v>
      </c>
      <c r="AO21" s="2195">
        <v>22</v>
      </c>
      <c r="AP21" s="2195">
        <v>31</v>
      </c>
      <c r="AQ21" s="2195">
        <v>49</v>
      </c>
      <c r="AR21" s="2195">
        <v>74</v>
      </c>
      <c r="AS21" s="2195">
        <v>92</v>
      </c>
      <c r="AT21" s="2195">
        <v>135</v>
      </c>
      <c r="AU21" s="280">
        <v>210</v>
      </c>
      <c r="AV21" s="280">
        <v>300</v>
      </c>
      <c r="AW21" s="280">
        <v>395</v>
      </c>
      <c r="AX21" s="280">
        <v>570</v>
      </c>
      <c r="AY21" s="2195">
        <v>820</v>
      </c>
      <c r="BB21" s="2187">
        <v>90</v>
      </c>
      <c r="BC21" s="2187">
        <v>100</v>
      </c>
      <c r="BF21" s="2193">
        <v>90</v>
      </c>
      <c r="BG21" s="2195">
        <v>5.5</v>
      </c>
      <c r="BH21" s="2195">
        <v>8</v>
      </c>
      <c r="BI21" s="2195">
        <v>11</v>
      </c>
      <c r="BJ21" s="2195">
        <v>17</v>
      </c>
      <c r="BK21" s="2195">
        <v>22</v>
      </c>
      <c r="BL21" s="2195">
        <v>31</v>
      </c>
      <c r="BM21" s="2195">
        <v>49</v>
      </c>
      <c r="BN21" s="2195">
        <v>74</v>
      </c>
      <c r="BO21" s="2195">
        <v>92</v>
      </c>
      <c r="BP21" s="2195">
        <v>135</v>
      </c>
      <c r="BQ21" s="280">
        <v>210</v>
      </c>
      <c r="BR21" s="280">
        <v>300</v>
      </c>
      <c r="BS21" s="280">
        <v>395</v>
      </c>
      <c r="BT21" s="280">
        <v>570</v>
      </c>
      <c r="BU21" s="2195">
        <v>820</v>
      </c>
      <c r="BX21" s="2174"/>
      <c r="CA21" s="2193">
        <v>130</v>
      </c>
      <c r="CB21" s="2195">
        <v>2.4900000000000002</v>
      </c>
      <c r="CC21" s="2195">
        <v>4.01</v>
      </c>
      <c r="CD21" s="2195">
        <v>5.52</v>
      </c>
      <c r="CE21" s="2195">
        <v>8.5399999999999991</v>
      </c>
      <c r="CF21" s="2195">
        <v>11.1</v>
      </c>
      <c r="CG21" s="2195">
        <v>16.399999999999999</v>
      </c>
      <c r="CH21" s="2195">
        <v>21</v>
      </c>
      <c r="CI21" s="2195">
        <v>30.3</v>
      </c>
      <c r="CJ21" s="2195">
        <v>41.1</v>
      </c>
      <c r="CK21" s="2195">
        <v>66</v>
      </c>
      <c r="CL21" s="280">
        <v>86.9</v>
      </c>
      <c r="CM21" s="280">
        <v>0</v>
      </c>
      <c r="CN21" s="280">
        <v>0</v>
      </c>
      <c r="CO21" s="2195">
        <v>0</v>
      </c>
      <c r="CR21" s="2187">
        <v>130</v>
      </c>
      <c r="CS21" s="2198">
        <v>144</v>
      </c>
      <c r="CV21" s="2193">
        <v>130</v>
      </c>
      <c r="CW21" s="2195">
        <v>2.4900000000000002</v>
      </c>
      <c r="CX21" s="2195">
        <v>4.01</v>
      </c>
      <c r="CY21" s="2195">
        <v>5.52</v>
      </c>
      <c r="CZ21" s="2195">
        <v>8.5399999999999991</v>
      </c>
      <c r="DA21" s="2195">
        <v>11.1</v>
      </c>
      <c r="DB21" s="2195">
        <v>16.399999999999999</v>
      </c>
      <c r="DC21" s="2195">
        <v>21</v>
      </c>
      <c r="DD21" s="2195">
        <v>30.3</v>
      </c>
      <c r="DE21" s="2195">
        <v>41.1</v>
      </c>
      <c r="DF21" s="2195">
        <v>66</v>
      </c>
      <c r="DG21" s="280">
        <v>86.9</v>
      </c>
      <c r="DH21" s="280">
        <v>0</v>
      </c>
      <c r="DI21" s="280">
        <v>0</v>
      </c>
      <c r="DJ21" s="2195">
        <v>0</v>
      </c>
      <c r="DX21" s="1"/>
      <c r="EP21" s="286"/>
      <c r="EQ21" s="286"/>
      <c r="EX21" s="277" t="s">
        <v>660</v>
      </c>
      <c r="EY21" s="2176" t="str">
        <f>EZ18</f>
        <v>Right</v>
      </c>
      <c r="FC21" s="2174"/>
      <c r="FD21" s="2174"/>
      <c r="FG21" s="2193">
        <v>80</v>
      </c>
      <c r="FH21" s="2195">
        <v>6</v>
      </c>
      <c r="FI21" s="2195">
        <v>9</v>
      </c>
      <c r="FJ21" s="2195">
        <v>13</v>
      </c>
      <c r="FK21" s="2195">
        <v>19</v>
      </c>
      <c r="FL21" s="2195">
        <v>24</v>
      </c>
      <c r="FM21" s="2195">
        <v>34</v>
      </c>
      <c r="FN21" s="2195">
        <v>54</v>
      </c>
      <c r="FO21" s="2195">
        <v>82</v>
      </c>
      <c r="FP21" s="2195">
        <v>100</v>
      </c>
      <c r="FQ21" s="2195">
        <v>150</v>
      </c>
      <c r="FR21" s="280">
        <v>240</v>
      </c>
      <c r="FS21" s="280">
        <v>340</v>
      </c>
      <c r="FT21" s="280">
        <v>450</v>
      </c>
      <c r="FU21" s="280">
        <v>650</v>
      </c>
      <c r="FV21" s="2195">
        <v>940</v>
      </c>
      <c r="FY21" s="2187">
        <v>80</v>
      </c>
      <c r="FZ21" s="2187">
        <v>90</v>
      </c>
      <c r="GC21" s="2193">
        <v>80</v>
      </c>
      <c r="GD21" s="2195">
        <v>6</v>
      </c>
      <c r="GE21" s="2195">
        <v>9</v>
      </c>
      <c r="GF21" s="2195">
        <v>13</v>
      </c>
      <c r="GG21" s="2195">
        <v>19</v>
      </c>
      <c r="GH21" s="2195">
        <v>24</v>
      </c>
      <c r="GI21" s="2195">
        <v>34</v>
      </c>
      <c r="GJ21" s="2195">
        <v>54</v>
      </c>
      <c r="GK21" s="2195">
        <v>82</v>
      </c>
      <c r="GL21" s="2195">
        <v>100</v>
      </c>
      <c r="GM21" s="2195">
        <v>150</v>
      </c>
      <c r="GN21" s="280">
        <v>240</v>
      </c>
      <c r="GO21" s="280">
        <v>340</v>
      </c>
      <c r="GP21" s="280">
        <v>450</v>
      </c>
      <c r="GQ21" s="280">
        <v>650</v>
      </c>
      <c r="GR21" s="2195">
        <v>940</v>
      </c>
      <c r="GU21" s="2174"/>
      <c r="GX21" s="2193">
        <v>117</v>
      </c>
      <c r="GY21" s="2195">
        <v>3.14</v>
      </c>
      <c r="GZ21" s="2195">
        <v>4.4800000000000004</v>
      </c>
      <c r="HA21" s="2195">
        <v>6.58</v>
      </c>
      <c r="HB21" s="2195">
        <v>8.74</v>
      </c>
      <c r="HC21" s="2195">
        <v>14</v>
      </c>
      <c r="HD21" s="2195">
        <v>18.899999999999999</v>
      </c>
      <c r="HE21" s="2195">
        <v>29.3</v>
      </c>
      <c r="HF21" s="2195">
        <v>36.299999999999997</v>
      </c>
      <c r="HG21" s="2195">
        <v>58.1</v>
      </c>
      <c r="HH21" s="2195">
        <v>76.599999999999994</v>
      </c>
      <c r="HI21" s="280">
        <v>113</v>
      </c>
      <c r="HJ21" s="280">
        <v>0</v>
      </c>
      <c r="HK21" s="280">
        <v>0</v>
      </c>
      <c r="HL21" s="2195">
        <v>0</v>
      </c>
      <c r="HO21" s="2187">
        <v>117</v>
      </c>
      <c r="HP21" s="2187">
        <v>130</v>
      </c>
      <c r="HS21" s="2193">
        <v>117</v>
      </c>
      <c r="HT21" s="2195">
        <v>3.14</v>
      </c>
      <c r="HU21" s="2195">
        <v>4.4800000000000004</v>
      </c>
      <c r="HV21" s="2195">
        <v>6.58</v>
      </c>
      <c r="HW21" s="2195">
        <v>8.74</v>
      </c>
      <c r="HX21" s="2195">
        <v>14</v>
      </c>
      <c r="HY21" s="2195">
        <v>18.899999999999999</v>
      </c>
      <c r="HZ21" s="2195">
        <v>29.3</v>
      </c>
      <c r="IA21" s="2195">
        <v>36.299999999999997</v>
      </c>
      <c r="IB21" s="2195">
        <v>58.1</v>
      </c>
      <c r="IC21" s="2195">
        <v>76.599999999999994</v>
      </c>
      <c r="ID21" s="280">
        <v>113</v>
      </c>
      <c r="IE21" s="280">
        <v>0</v>
      </c>
      <c r="IF21" s="280">
        <v>0</v>
      </c>
      <c r="IG21" s="2195">
        <v>0</v>
      </c>
    </row>
    <row r="22" spans="2:246" ht="21.95" customHeight="1">
      <c r="C22" s="777" t="s">
        <v>2177</v>
      </c>
      <c r="D22" s="778" t="s">
        <v>2178</v>
      </c>
      <c r="E22" s="778" t="s">
        <v>2179</v>
      </c>
      <c r="F22" s="779" t="s">
        <v>2173</v>
      </c>
      <c r="G22" s="778" t="s">
        <v>2180</v>
      </c>
      <c r="H22" s="779" t="s">
        <v>2174</v>
      </c>
      <c r="I22" s="3619" t="str">
        <f>'E Gear B'!CK46</f>
        <v>Right</v>
      </c>
      <c r="J22" s="281"/>
      <c r="S22" s="286"/>
      <c r="T22" s="286"/>
      <c r="AF22" s="2174"/>
      <c r="AG22" s="2174"/>
      <c r="AJ22" s="2193">
        <v>100</v>
      </c>
      <c r="AK22" s="2195">
        <v>0</v>
      </c>
      <c r="AL22" s="2195">
        <v>6.5</v>
      </c>
      <c r="AM22" s="2195">
        <v>11</v>
      </c>
      <c r="AN22" s="2195">
        <v>16</v>
      </c>
      <c r="AO22" s="2195">
        <v>21</v>
      </c>
      <c r="AP22" s="2195">
        <v>30</v>
      </c>
      <c r="AQ22" s="2195">
        <v>40</v>
      </c>
      <c r="AR22" s="2195">
        <v>63</v>
      </c>
      <c r="AS22" s="2195">
        <v>86</v>
      </c>
      <c r="AT22" s="2195">
        <v>115</v>
      </c>
      <c r="AU22" s="280">
        <v>190</v>
      </c>
      <c r="AV22" s="280">
        <v>270</v>
      </c>
      <c r="AW22" s="280">
        <v>360</v>
      </c>
      <c r="AX22" s="280">
        <v>520</v>
      </c>
      <c r="AY22" s="2195">
        <v>750</v>
      </c>
      <c r="BB22" s="2187">
        <v>100</v>
      </c>
      <c r="BC22" s="2187">
        <v>112</v>
      </c>
      <c r="BF22" s="2193">
        <v>100</v>
      </c>
      <c r="BG22" s="2195">
        <v>0</v>
      </c>
      <c r="BH22" s="2195">
        <v>6.5</v>
      </c>
      <c r="BI22" s="2195">
        <v>11</v>
      </c>
      <c r="BJ22" s="2195">
        <v>16</v>
      </c>
      <c r="BK22" s="2195">
        <v>21</v>
      </c>
      <c r="BL22" s="2195">
        <v>30</v>
      </c>
      <c r="BM22" s="2195">
        <v>40</v>
      </c>
      <c r="BN22" s="2195">
        <v>63</v>
      </c>
      <c r="BO22" s="2195">
        <v>86</v>
      </c>
      <c r="BP22" s="2195">
        <v>115</v>
      </c>
      <c r="BQ22" s="280">
        <v>190</v>
      </c>
      <c r="BR22" s="280">
        <v>270</v>
      </c>
      <c r="BS22" s="280">
        <v>360</v>
      </c>
      <c r="BT22" s="280">
        <v>520</v>
      </c>
      <c r="BU22" s="2195">
        <v>750</v>
      </c>
      <c r="BX22" s="2174"/>
      <c r="CA22" s="2199">
        <v>144</v>
      </c>
      <c r="CB22" s="2200">
        <v>2.6</v>
      </c>
      <c r="CC22" s="2200">
        <v>4.0999999999999996</v>
      </c>
      <c r="CD22" s="2200">
        <v>6</v>
      </c>
      <c r="CE22" s="2200">
        <v>7.3</v>
      </c>
      <c r="CF22" s="2200">
        <v>10.1</v>
      </c>
      <c r="CG22" s="2200">
        <v>17.399999999999999</v>
      </c>
      <c r="CH22" s="2200">
        <v>22.3</v>
      </c>
      <c r="CI22" s="2200">
        <v>30.7</v>
      </c>
      <c r="CJ22" s="2200">
        <v>38.700000000000003</v>
      </c>
      <c r="CK22" s="2200">
        <v>47.4</v>
      </c>
      <c r="CL22" s="2201">
        <v>74.7</v>
      </c>
      <c r="CM22" s="2201">
        <v>131</v>
      </c>
      <c r="CN22" s="2201">
        <v>186</v>
      </c>
      <c r="CO22" s="2200">
        <v>251</v>
      </c>
      <c r="CR22" s="2198">
        <v>144</v>
      </c>
      <c r="CS22" s="2187">
        <v>159</v>
      </c>
      <c r="CV22" s="2199">
        <v>144</v>
      </c>
      <c r="CW22" s="2200">
        <v>2.6</v>
      </c>
      <c r="CX22" s="2200">
        <v>4.0999999999999996</v>
      </c>
      <c r="CY22" s="2200">
        <v>6</v>
      </c>
      <c r="CZ22" s="2200">
        <v>7.3</v>
      </c>
      <c r="DA22" s="2200">
        <v>10.1</v>
      </c>
      <c r="DB22" s="2200">
        <v>17.399999999999999</v>
      </c>
      <c r="DC22" s="2200">
        <v>22.3</v>
      </c>
      <c r="DD22" s="2200">
        <v>30.7</v>
      </c>
      <c r="DE22" s="2200">
        <v>38.700000000000003</v>
      </c>
      <c r="DF22" s="2200">
        <v>47.4</v>
      </c>
      <c r="DG22" s="2201">
        <v>74.7</v>
      </c>
      <c r="DH22" s="2201">
        <v>131</v>
      </c>
      <c r="DI22" s="2201">
        <v>186</v>
      </c>
      <c r="DJ22" s="2200">
        <v>251</v>
      </c>
      <c r="DX22" s="1"/>
      <c r="DZ22" s="777" t="s">
        <v>2177</v>
      </c>
      <c r="EA22" s="778" t="s">
        <v>2178</v>
      </c>
      <c r="EB22" s="778" t="s">
        <v>2179</v>
      </c>
      <c r="EC22" s="779" t="s">
        <v>2173</v>
      </c>
      <c r="ED22" s="778" t="s">
        <v>2180</v>
      </c>
      <c r="EE22" s="779" t="s">
        <v>2174</v>
      </c>
      <c r="EF22" s="3619" t="str">
        <f>'E Gear B'!HH47</f>
        <v>Right</v>
      </c>
      <c r="EG22" s="281"/>
      <c r="EP22" s="286"/>
      <c r="EQ22" s="286"/>
      <c r="EX22" s="277" t="s">
        <v>656</v>
      </c>
      <c r="EY22" s="2176" t="str">
        <f>FA18</f>
        <v>Right</v>
      </c>
      <c r="FC22" s="2174"/>
      <c r="FD22" s="2174"/>
      <c r="FG22" s="2193">
        <v>90</v>
      </c>
      <c r="FH22" s="2195">
        <v>5.5</v>
      </c>
      <c r="FI22" s="2195">
        <v>8</v>
      </c>
      <c r="FJ22" s="2195">
        <v>11</v>
      </c>
      <c r="FK22" s="2195">
        <v>17</v>
      </c>
      <c r="FL22" s="2195">
        <v>22</v>
      </c>
      <c r="FM22" s="2195">
        <v>31</v>
      </c>
      <c r="FN22" s="2195">
        <v>49</v>
      </c>
      <c r="FO22" s="2195">
        <v>74</v>
      </c>
      <c r="FP22" s="2195">
        <v>92</v>
      </c>
      <c r="FQ22" s="2195">
        <v>135</v>
      </c>
      <c r="FR22" s="280">
        <v>210</v>
      </c>
      <c r="FS22" s="280">
        <v>300</v>
      </c>
      <c r="FT22" s="280">
        <v>395</v>
      </c>
      <c r="FU22" s="280">
        <v>570</v>
      </c>
      <c r="FV22" s="2195">
        <v>820</v>
      </c>
      <c r="FY22" s="2187">
        <v>90</v>
      </c>
      <c r="FZ22" s="2187">
        <v>100</v>
      </c>
      <c r="GC22" s="2193">
        <v>90</v>
      </c>
      <c r="GD22" s="2195">
        <v>5.5</v>
      </c>
      <c r="GE22" s="2195">
        <v>8</v>
      </c>
      <c r="GF22" s="2195">
        <v>11</v>
      </c>
      <c r="GG22" s="2195">
        <v>17</v>
      </c>
      <c r="GH22" s="2195">
        <v>22</v>
      </c>
      <c r="GI22" s="2195">
        <v>31</v>
      </c>
      <c r="GJ22" s="2195">
        <v>49</v>
      </c>
      <c r="GK22" s="2195">
        <v>74</v>
      </c>
      <c r="GL22" s="2195">
        <v>92</v>
      </c>
      <c r="GM22" s="2195">
        <v>135</v>
      </c>
      <c r="GN22" s="280">
        <v>210</v>
      </c>
      <c r="GO22" s="280">
        <v>300</v>
      </c>
      <c r="GP22" s="280">
        <v>395</v>
      </c>
      <c r="GQ22" s="280">
        <v>570</v>
      </c>
      <c r="GR22" s="2195">
        <v>820</v>
      </c>
      <c r="GU22" s="2174"/>
      <c r="GX22" s="2193">
        <v>130</v>
      </c>
      <c r="GY22" s="2195">
        <v>2.4900000000000002</v>
      </c>
      <c r="GZ22" s="2195">
        <v>4.01</v>
      </c>
      <c r="HA22" s="2195">
        <v>5.52</v>
      </c>
      <c r="HB22" s="2195">
        <v>8.5399999999999991</v>
      </c>
      <c r="HC22" s="2195">
        <v>11.1</v>
      </c>
      <c r="HD22" s="2195">
        <v>16.399999999999999</v>
      </c>
      <c r="HE22" s="2195">
        <v>21</v>
      </c>
      <c r="HF22" s="2195">
        <v>30.3</v>
      </c>
      <c r="HG22" s="2195">
        <v>41.1</v>
      </c>
      <c r="HH22" s="2195">
        <v>66</v>
      </c>
      <c r="HI22" s="280">
        <v>86.9</v>
      </c>
      <c r="HJ22" s="280">
        <v>0</v>
      </c>
      <c r="HK22" s="280">
        <v>0</v>
      </c>
      <c r="HL22" s="2195">
        <v>0</v>
      </c>
      <c r="HO22" s="2187">
        <v>130</v>
      </c>
      <c r="HP22" s="2198">
        <v>144</v>
      </c>
      <c r="HS22" s="2193">
        <v>130</v>
      </c>
      <c r="HT22" s="2195">
        <v>2.4900000000000002</v>
      </c>
      <c r="HU22" s="2195">
        <v>4.01</v>
      </c>
      <c r="HV22" s="2195">
        <v>5.52</v>
      </c>
      <c r="HW22" s="2195">
        <v>8.5399999999999991</v>
      </c>
      <c r="HX22" s="2195">
        <v>11.1</v>
      </c>
      <c r="HY22" s="2195">
        <v>16.399999999999999</v>
      </c>
      <c r="HZ22" s="2195">
        <v>21</v>
      </c>
      <c r="IA22" s="2195">
        <v>30.3</v>
      </c>
      <c r="IB22" s="2195">
        <v>41.1</v>
      </c>
      <c r="IC22" s="2195">
        <v>66</v>
      </c>
      <c r="ID22" s="280">
        <v>86.9</v>
      </c>
      <c r="IE22" s="280">
        <v>0</v>
      </c>
      <c r="IF22" s="280">
        <v>0</v>
      </c>
      <c r="IG22" s="2195">
        <v>0</v>
      </c>
    </row>
    <row r="23" spans="2:246" ht="21.95" customHeight="1">
      <c r="B23" s="3625">
        <f>E5/C23-1</f>
        <v>4.8005860805860889E-2</v>
      </c>
      <c r="C23" s="3623">
        <f>'E Gear B'!CJ49</f>
        <v>195</v>
      </c>
      <c r="D23" s="3620">
        <f>'E Gear B'!CK49</f>
        <v>22.7</v>
      </c>
      <c r="E23" s="3620" t="str">
        <f>'E Gear B'!CL49</f>
        <v>PCD4 315</v>
      </c>
      <c r="F23" s="3620">
        <f>'E Gear B'!CN49</f>
        <v>305000</v>
      </c>
      <c r="G23" s="3620">
        <f>G13</f>
        <v>29400</v>
      </c>
      <c r="H23" s="3620">
        <f>'E Gear B'!CP49</f>
        <v>1220</v>
      </c>
      <c r="I23" s="281"/>
      <c r="J23" s="281"/>
      <c r="S23" s="286"/>
      <c r="T23" s="286"/>
      <c r="Z23" s="277" t="s">
        <v>714</v>
      </c>
      <c r="AA23" s="3626" t="str">
        <f>MH!J283</f>
        <v>Elite</v>
      </c>
      <c r="AB23" s="2176" t="e">
        <f>VLOOKUP(AA23,AA19:AB21,2,0)</f>
        <v>#N/A</v>
      </c>
      <c r="AF23" s="2174"/>
      <c r="AG23" s="2174"/>
      <c r="AJ23" s="773">
        <v>112</v>
      </c>
      <c r="AK23" s="2196">
        <v>0</v>
      </c>
      <c r="AL23" s="2196">
        <v>0</v>
      </c>
      <c r="AM23" s="2196">
        <v>10</v>
      </c>
      <c r="AN23" s="2196">
        <v>14</v>
      </c>
      <c r="AO23" s="2196">
        <v>19</v>
      </c>
      <c r="AP23" s="2196">
        <v>27</v>
      </c>
      <c r="AQ23" s="2196">
        <v>36</v>
      </c>
      <c r="AR23" s="2196">
        <v>57</v>
      </c>
      <c r="AS23" s="2196">
        <v>78</v>
      </c>
      <c r="AT23" s="2196">
        <v>105</v>
      </c>
      <c r="AU23" s="275">
        <v>170</v>
      </c>
      <c r="AV23" s="275">
        <v>245</v>
      </c>
      <c r="AW23" s="275">
        <v>325</v>
      </c>
      <c r="AX23" s="275">
        <v>470</v>
      </c>
      <c r="AY23" s="2196">
        <v>670</v>
      </c>
      <c r="BB23" s="2187">
        <v>112</v>
      </c>
      <c r="BC23" s="2198">
        <v>125</v>
      </c>
      <c r="BF23" s="2193">
        <v>112</v>
      </c>
      <c r="BG23" s="2195">
        <v>0</v>
      </c>
      <c r="BH23" s="2195">
        <v>0</v>
      </c>
      <c r="BI23" s="2195">
        <v>10</v>
      </c>
      <c r="BJ23" s="2195">
        <v>14</v>
      </c>
      <c r="BK23" s="2195">
        <v>19</v>
      </c>
      <c r="BL23" s="2195">
        <v>27</v>
      </c>
      <c r="BM23" s="2195">
        <v>36</v>
      </c>
      <c r="BN23" s="2195">
        <v>57</v>
      </c>
      <c r="BO23" s="2195">
        <v>78</v>
      </c>
      <c r="BP23" s="2195">
        <v>105</v>
      </c>
      <c r="BQ23" s="280">
        <v>170</v>
      </c>
      <c r="BR23" s="280">
        <v>245</v>
      </c>
      <c r="BS23" s="280">
        <v>325</v>
      </c>
      <c r="BT23" s="280">
        <v>470</v>
      </c>
      <c r="BU23" s="2195">
        <v>670</v>
      </c>
      <c r="BX23" s="2174"/>
      <c r="CA23" s="2193">
        <v>159</v>
      </c>
      <c r="CB23" s="2195">
        <v>2.2999999999999998</v>
      </c>
      <c r="CC23" s="2195">
        <v>3.7</v>
      </c>
      <c r="CD23" s="2195">
        <v>5.4</v>
      </c>
      <c r="CE23" s="2195">
        <v>6.9</v>
      </c>
      <c r="CF23" s="2195">
        <v>9.5</v>
      </c>
      <c r="CG23" s="2195">
        <v>15.8</v>
      </c>
      <c r="CH23" s="2195">
        <v>20.7</v>
      </c>
      <c r="CI23" s="2195">
        <v>27.8</v>
      </c>
      <c r="CJ23" s="2195">
        <v>35.9</v>
      </c>
      <c r="CK23" s="2195">
        <v>44.1</v>
      </c>
      <c r="CL23" s="280">
        <v>70</v>
      </c>
      <c r="CM23" s="280">
        <v>121</v>
      </c>
      <c r="CN23" s="280">
        <v>257</v>
      </c>
      <c r="CO23" s="2195">
        <v>342</v>
      </c>
      <c r="CR23" s="2187">
        <v>159</v>
      </c>
      <c r="CS23" s="2187">
        <v>176</v>
      </c>
      <c r="CV23" s="2193">
        <v>159</v>
      </c>
      <c r="CW23" s="2195">
        <v>2.2999999999999998</v>
      </c>
      <c r="CX23" s="2195">
        <v>3.7</v>
      </c>
      <c r="CY23" s="2195">
        <v>5.4</v>
      </c>
      <c r="CZ23" s="2195">
        <v>6.9</v>
      </c>
      <c r="DA23" s="2195">
        <v>9.5</v>
      </c>
      <c r="DB23" s="2195">
        <v>15.8</v>
      </c>
      <c r="DC23" s="2195">
        <v>20.7</v>
      </c>
      <c r="DD23" s="2195">
        <v>27.8</v>
      </c>
      <c r="DE23" s="2195">
        <v>35.9</v>
      </c>
      <c r="DF23" s="2195">
        <v>44.1</v>
      </c>
      <c r="DG23" s="280">
        <v>70</v>
      </c>
      <c r="DH23" s="280">
        <v>121</v>
      </c>
      <c r="DI23" s="280">
        <v>257</v>
      </c>
      <c r="DJ23" s="2195">
        <v>342</v>
      </c>
      <c r="DX23" s="1"/>
      <c r="DY23" s="3625">
        <f>EB5/DZ23-1</f>
        <v>6.8635897435897597E-2</v>
      </c>
      <c r="DZ23" s="3623">
        <f>'E Gear B'!HG50</f>
        <v>117</v>
      </c>
      <c r="EA23" s="3620">
        <f>'E Gear B'!HH50</f>
        <v>29.3</v>
      </c>
      <c r="EB23" s="3620" t="str">
        <f>'E Gear B'!HI50</f>
        <v>PCD3 280</v>
      </c>
      <c r="EC23" s="3620">
        <f>'E Gear B'!HK50</f>
        <v>225000</v>
      </c>
      <c r="ED23" s="3620">
        <f>ED11</f>
        <v>29400</v>
      </c>
      <c r="EE23" s="3620">
        <f>'E Gear B'!HM50</f>
        <v>900</v>
      </c>
      <c r="EF23" s="281"/>
      <c r="EG23" s="281"/>
      <c r="EP23" s="286"/>
      <c r="EQ23" s="286"/>
      <c r="FC23" s="2174"/>
      <c r="FD23" s="2174"/>
      <c r="FG23" s="2193">
        <v>100</v>
      </c>
      <c r="FH23" s="2195">
        <v>0</v>
      </c>
      <c r="FI23" s="2195">
        <v>6.5</v>
      </c>
      <c r="FJ23" s="2195">
        <v>11</v>
      </c>
      <c r="FK23" s="2195">
        <v>16</v>
      </c>
      <c r="FL23" s="2195">
        <v>21</v>
      </c>
      <c r="FM23" s="2195">
        <v>30</v>
      </c>
      <c r="FN23" s="2195">
        <v>40</v>
      </c>
      <c r="FO23" s="2195">
        <v>63</v>
      </c>
      <c r="FP23" s="2195">
        <v>86</v>
      </c>
      <c r="FQ23" s="2195">
        <v>115</v>
      </c>
      <c r="FR23" s="280">
        <v>190</v>
      </c>
      <c r="FS23" s="280">
        <v>270</v>
      </c>
      <c r="FT23" s="280">
        <v>360</v>
      </c>
      <c r="FU23" s="280">
        <v>520</v>
      </c>
      <c r="FV23" s="2195">
        <v>750</v>
      </c>
      <c r="FY23" s="2187">
        <v>100</v>
      </c>
      <c r="FZ23" s="2187">
        <v>112</v>
      </c>
      <c r="GC23" s="2193">
        <v>100</v>
      </c>
      <c r="GD23" s="2195">
        <v>0</v>
      </c>
      <c r="GE23" s="2195">
        <v>6.5</v>
      </c>
      <c r="GF23" s="2195">
        <v>11</v>
      </c>
      <c r="GG23" s="2195">
        <v>16</v>
      </c>
      <c r="GH23" s="2195">
        <v>21</v>
      </c>
      <c r="GI23" s="2195">
        <v>30</v>
      </c>
      <c r="GJ23" s="2195">
        <v>40</v>
      </c>
      <c r="GK23" s="2195">
        <v>63</v>
      </c>
      <c r="GL23" s="2195">
        <v>86</v>
      </c>
      <c r="GM23" s="2195">
        <v>115</v>
      </c>
      <c r="GN23" s="280">
        <v>190</v>
      </c>
      <c r="GO23" s="280">
        <v>270</v>
      </c>
      <c r="GP23" s="280">
        <v>360</v>
      </c>
      <c r="GQ23" s="280">
        <v>520</v>
      </c>
      <c r="GR23" s="2195">
        <v>750</v>
      </c>
      <c r="GU23" s="2174"/>
      <c r="GX23" s="2199">
        <v>144</v>
      </c>
      <c r="GY23" s="2200">
        <v>2.6</v>
      </c>
      <c r="GZ23" s="2200">
        <v>4.0999999999999996</v>
      </c>
      <c r="HA23" s="2200">
        <v>6</v>
      </c>
      <c r="HB23" s="2200">
        <v>7.3</v>
      </c>
      <c r="HC23" s="2200">
        <v>10.1</v>
      </c>
      <c r="HD23" s="2200">
        <v>17.399999999999999</v>
      </c>
      <c r="HE23" s="2200">
        <v>22.3</v>
      </c>
      <c r="HF23" s="2200">
        <v>30.7</v>
      </c>
      <c r="HG23" s="2200">
        <v>38.700000000000003</v>
      </c>
      <c r="HH23" s="2200">
        <v>47.4</v>
      </c>
      <c r="HI23" s="2201">
        <v>74.7</v>
      </c>
      <c r="HJ23" s="2201">
        <v>131</v>
      </c>
      <c r="HK23" s="2201">
        <v>186</v>
      </c>
      <c r="HL23" s="2200">
        <v>251</v>
      </c>
      <c r="HO23" s="2198">
        <v>144</v>
      </c>
      <c r="HP23" s="2187">
        <v>159</v>
      </c>
      <c r="HS23" s="2199">
        <v>144</v>
      </c>
      <c r="HT23" s="2200">
        <v>2.6</v>
      </c>
      <c r="HU23" s="2200">
        <v>4.0999999999999996</v>
      </c>
      <c r="HV23" s="2200">
        <v>6</v>
      </c>
      <c r="HW23" s="2200">
        <v>7.3</v>
      </c>
      <c r="HX23" s="2200">
        <v>10.1</v>
      </c>
      <c r="HY23" s="2200">
        <v>17.399999999999999</v>
      </c>
      <c r="HZ23" s="2200">
        <v>22.3</v>
      </c>
      <c r="IA23" s="2200">
        <v>30.7</v>
      </c>
      <c r="IB23" s="2200">
        <v>38.700000000000003</v>
      </c>
      <c r="IC23" s="2200">
        <v>47.4</v>
      </c>
      <c r="ID23" s="2201">
        <v>74.7</v>
      </c>
      <c r="IE23" s="2201">
        <v>131</v>
      </c>
      <c r="IF23" s="2201">
        <v>186</v>
      </c>
      <c r="IG23" s="2200">
        <v>251</v>
      </c>
    </row>
    <row r="24" spans="2:246" ht="21.95" customHeight="1">
      <c r="B24" s="3625">
        <f>1-E5/C24</f>
        <v>4.948305647840523E-2</v>
      </c>
      <c r="C24" s="3623">
        <f>'E Gear B'!CJ50</f>
        <v>215</v>
      </c>
      <c r="D24" s="3620">
        <f>'E Gear B'!CK50</f>
        <v>20.399999999999999</v>
      </c>
      <c r="E24" s="3620" t="str">
        <f>'E Gear B'!CL50</f>
        <v>PCD4 315</v>
      </c>
      <c r="F24" s="3620">
        <f>'E Gear B'!CN50</f>
        <v>305000</v>
      </c>
      <c r="G24" s="3620">
        <f>G20</f>
        <v>29400</v>
      </c>
      <c r="H24" s="3620">
        <f>'E Gear B'!CP50</f>
        <v>1220</v>
      </c>
      <c r="I24" s="281"/>
      <c r="J24" s="281"/>
      <c r="S24" s="286"/>
      <c r="T24" s="286"/>
      <c r="AB24" s="14" t="e">
        <f>+AB23</f>
        <v>#N/A</v>
      </c>
      <c r="AF24" s="2174"/>
      <c r="AG24" s="2174"/>
      <c r="AJ24" s="2199">
        <v>125</v>
      </c>
      <c r="AK24" s="2200">
        <v>0</v>
      </c>
      <c r="AL24" s="2200">
        <v>0</v>
      </c>
      <c r="AM24" s="2200">
        <v>0</v>
      </c>
      <c r="AN24" s="2200">
        <v>12</v>
      </c>
      <c r="AO24" s="2200">
        <v>17</v>
      </c>
      <c r="AP24" s="2200">
        <v>23</v>
      </c>
      <c r="AQ24" s="2200">
        <v>34</v>
      </c>
      <c r="AR24" s="2200">
        <v>53</v>
      </c>
      <c r="AS24" s="2200">
        <v>64</v>
      </c>
      <c r="AT24" s="2200">
        <v>95</v>
      </c>
      <c r="AU24" s="2201">
        <v>155</v>
      </c>
      <c r="AV24" s="2201">
        <v>210</v>
      </c>
      <c r="AW24" s="2201">
        <v>285</v>
      </c>
      <c r="AX24" s="2201">
        <v>420</v>
      </c>
      <c r="AY24" s="2200">
        <v>570</v>
      </c>
      <c r="BB24" s="2198">
        <v>125</v>
      </c>
      <c r="BC24" s="2187">
        <v>140</v>
      </c>
      <c r="BF24" s="2199">
        <v>125</v>
      </c>
      <c r="BG24" s="2200">
        <v>0</v>
      </c>
      <c r="BH24" s="2200">
        <v>0</v>
      </c>
      <c r="BI24" s="2200">
        <v>0</v>
      </c>
      <c r="BJ24" s="2200">
        <v>12</v>
      </c>
      <c r="BK24" s="2200">
        <v>17</v>
      </c>
      <c r="BL24" s="2200">
        <v>23</v>
      </c>
      <c r="BM24" s="2200">
        <v>34</v>
      </c>
      <c r="BN24" s="2200">
        <v>53</v>
      </c>
      <c r="BO24" s="2200">
        <v>64</v>
      </c>
      <c r="BP24" s="2200">
        <v>95</v>
      </c>
      <c r="BQ24" s="2201">
        <v>155</v>
      </c>
      <c r="BR24" s="2201">
        <v>210</v>
      </c>
      <c r="BS24" s="2201">
        <v>285</v>
      </c>
      <c r="BT24" s="2201">
        <v>420</v>
      </c>
      <c r="BU24" s="2200">
        <v>570</v>
      </c>
      <c r="BX24" s="2174"/>
      <c r="CA24" s="2193">
        <v>176</v>
      </c>
      <c r="CB24" s="2195">
        <v>2.1</v>
      </c>
      <c r="CC24" s="2195">
        <v>3.3</v>
      </c>
      <c r="CD24" s="2195">
        <v>4.8</v>
      </c>
      <c r="CE24" s="2195">
        <v>6.2</v>
      </c>
      <c r="CF24" s="2195">
        <v>8.8000000000000007</v>
      </c>
      <c r="CG24" s="2195">
        <v>14.2</v>
      </c>
      <c r="CH24" s="2195">
        <v>18.7</v>
      </c>
      <c r="CI24" s="2195">
        <v>25.1</v>
      </c>
      <c r="CJ24" s="2195">
        <v>32.1</v>
      </c>
      <c r="CK24" s="2195">
        <v>41.1</v>
      </c>
      <c r="CL24" s="280">
        <v>65.3</v>
      </c>
      <c r="CM24" s="280">
        <v>109</v>
      </c>
      <c r="CN24" s="280">
        <v>153</v>
      </c>
      <c r="CO24" s="2195">
        <v>200</v>
      </c>
      <c r="CR24" s="2187">
        <v>176</v>
      </c>
      <c r="CS24" s="2187">
        <v>195</v>
      </c>
      <c r="CV24" s="2193">
        <v>176</v>
      </c>
      <c r="CW24" s="2195">
        <v>2.1</v>
      </c>
      <c r="CX24" s="2195">
        <v>3.3</v>
      </c>
      <c r="CY24" s="2195">
        <v>4.8</v>
      </c>
      <c r="CZ24" s="2195">
        <v>6.2</v>
      </c>
      <c r="DA24" s="2195">
        <v>8.8000000000000007</v>
      </c>
      <c r="DB24" s="2195">
        <v>14.2</v>
      </c>
      <c r="DC24" s="2195">
        <v>18.7</v>
      </c>
      <c r="DD24" s="2195">
        <v>25.1</v>
      </c>
      <c r="DE24" s="2195">
        <v>32.1</v>
      </c>
      <c r="DF24" s="2195">
        <v>41.1</v>
      </c>
      <c r="DG24" s="280">
        <v>65.3</v>
      </c>
      <c r="DH24" s="280">
        <v>109</v>
      </c>
      <c r="DI24" s="280">
        <v>153</v>
      </c>
      <c r="DJ24" s="2195">
        <v>200</v>
      </c>
      <c r="DX24" s="1"/>
      <c r="DY24" s="3625">
        <f>1-EB5/DZ24</f>
        <v>3.8227692307692185E-2</v>
      </c>
      <c r="DZ24" s="3623">
        <f>'E Gear B'!HG51</f>
        <v>130</v>
      </c>
      <c r="EA24" s="3620">
        <f>'E Gear B'!HH51</f>
        <v>21</v>
      </c>
      <c r="EB24" s="3620" t="str">
        <f>'E Gear B'!HI51</f>
        <v>PCD3 280</v>
      </c>
      <c r="EC24" s="3620">
        <f>'E Gear B'!HK51</f>
        <v>225000</v>
      </c>
      <c r="ED24" s="3620">
        <f>ED18</f>
        <v>29400</v>
      </c>
      <c r="EE24" s="3620">
        <f>'E Gear B'!HM51</f>
        <v>900</v>
      </c>
      <c r="EF24" s="281"/>
      <c r="EG24" s="281"/>
      <c r="EP24" s="286"/>
      <c r="EQ24" s="286"/>
      <c r="EW24" s="277" t="s">
        <v>714</v>
      </c>
      <c r="EX24" s="3626" t="str">
        <f>AH!J283</f>
        <v>Elite</v>
      </c>
      <c r="EY24" s="2176" t="e">
        <f>VLOOKUP(EX24,EX20:EY22,2,0)</f>
        <v>#N/A</v>
      </c>
      <c r="FC24" s="2174"/>
      <c r="FD24" s="2174"/>
      <c r="FG24" s="773">
        <v>112</v>
      </c>
      <c r="FH24" s="2196">
        <v>0</v>
      </c>
      <c r="FI24" s="2196">
        <v>0</v>
      </c>
      <c r="FJ24" s="2196">
        <v>10</v>
      </c>
      <c r="FK24" s="2196">
        <v>14</v>
      </c>
      <c r="FL24" s="2196">
        <v>19</v>
      </c>
      <c r="FM24" s="2196">
        <v>27</v>
      </c>
      <c r="FN24" s="2196">
        <v>36</v>
      </c>
      <c r="FO24" s="2196">
        <v>57</v>
      </c>
      <c r="FP24" s="2196">
        <v>78</v>
      </c>
      <c r="FQ24" s="2196">
        <v>105</v>
      </c>
      <c r="FR24" s="275">
        <v>170</v>
      </c>
      <c r="FS24" s="275">
        <v>245</v>
      </c>
      <c r="FT24" s="275">
        <v>325</v>
      </c>
      <c r="FU24" s="275">
        <v>470</v>
      </c>
      <c r="FV24" s="2196">
        <v>670</v>
      </c>
      <c r="FY24" s="2187">
        <v>112</v>
      </c>
      <c r="FZ24" s="2198">
        <v>125</v>
      </c>
      <c r="GC24" s="2193">
        <v>112</v>
      </c>
      <c r="GD24" s="2195">
        <v>0</v>
      </c>
      <c r="GE24" s="2195">
        <v>0</v>
      </c>
      <c r="GF24" s="2195">
        <v>10</v>
      </c>
      <c r="GG24" s="2195">
        <v>14</v>
      </c>
      <c r="GH24" s="2195">
        <v>19</v>
      </c>
      <c r="GI24" s="2195">
        <v>27</v>
      </c>
      <c r="GJ24" s="2195">
        <v>36</v>
      </c>
      <c r="GK24" s="2195">
        <v>57</v>
      </c>
      <c r="GL24" s="2195">
        <v>78</v>
      </c>
      <c r="GM24" s="2195">
        <v>105</v>
      </c>
      <c r="GN24" s="280">
        <v>170</v>
      </c>
      <c r="GO24" s="280">
        <v>245</v>
      </c>
      <c r="GP24" s="280">
        <v>325</v>
      </c>
      <c r="GQ24" s="280">
        <v>470</v>
      </c>
      <c r="GR24" s="2195">
        <v>670</v>
      </c>
      <c r="GU24" s="2174"/>
      <c r="GX24" s="2193">
        <v>159</v>
      </c>
      <c r="GY24" s="2195">
        <v>2.2999999999999998</v>
      </c>
      <c r="GZ24" s="2195">
        <v>3.7</v>
      </c>
      <c r="HA24" s="2195">
        <v>5.4</v>
      </c>
      <c r="HB24" s="2195">
        <v>6.9</v>
      </c>
      <c r="HC24" s="2195">
        <v>9.5</v>
      </c>
      <c r="HD24" s="2195">
        <v>15.8</v>
      </c>
      <c r="HE24" s="2195">
        <v>20.7</v>
      </c>
      <c r="HF24" s="2195">
        <v>27.8</v>
      </c>
      <c r="HG24" s="2195">
        <v>35.9</v>
      </c>
      <c r="HH24" s="2195">
        <v>44.1</v>
      </c>
      <c r="HI24" s="280">
        <v>70</v>
      </c>
      <c r="HJ24" s="280">
        <v>121</v>
      </c>
      <c r="HK24" s="280">
        <v>257</v>
      </c>
      <c r="HL24" s="2195">
        <v>342</v>
      </c>
      <c r="HO24" s="2187">
        <v>159</v>
      </c>
      <c r="HP24" s="2187">
        <v>176</v>
      </c>
      <c r="HS24" s="2193">
        <v>159</v>
      </c>
      <c r="HT24" s="2195">
        <v>2.2999999999999998</v>
      </c>
      <c r="HU24" s="2195">
        <v>3.7</v>
      </c>
      <c r="HV24" s="2195">
        <v>5.4</v>
      </c>
      <c r="HW24" s="2195">
        <v>6.9</v>
      </c>
      <c r="HX24" s="2195">
        <v>9.5</v>
      </c>
      <c r="HY24" s="2195">
        <v>15.8</v>
      </c>
      <c r="HZ24" s="2195">
        <v>20.7</v>
      </c>
      <c r="IA24" s="2195">
        <v>27.8</v>
      </c>
      <c r="IB24" s="2195">
        <v>35.9</v>
      </c>
      <c r="IC24" s="2195">
        <v>44.1</v>
      </c>
      <c r="ID24" s="280">
        <v>70</v>
      </c>
      <c r="IE24" s="280">
        <v>121</v>
      </c>
      <c r="IF24" s="280">
        <v>257</v>
      </c>
      <c r="IG24" s="2195">
        <v>342</v>
      </c>
    </row>
    <row r="25" spans="2:246" ht="21.95" customHeight="1">
      <c r="B25" s="1"/>
      <c r="C25" s="281"/>
      <c r="D25" s="281"/>
      <c r="E25" s="281"/>
      <c r="F25" s="281"/>
      <c r="G25" s="281"/>
      <c r="H25" s="281"/>
      <c r="I25" s="281"/>
      <c r="J25" s="281"/>
      <c r="S25" s="286"/>
      <c r="T25" s="286"/>
      <c r="AF25" s="2174"/>
      <c r="AG25" s="2174"/>
      <c r="AJ25" s="2193">
        <v>140</v>
      </c>
      <c r="AK25" s="2195">
        <v>0</v>
      </c>
      <c r="AL25" s="2195">
        <v>0</v>
      </c>
      <c r="AM25" s="2195">
        <v>0</v>
      </c>
      <c r="AN25" s="2195">
        <v>11</v>
      </c>
      <c r="AO25" s="2195">
        <v>16</v>
      </c>
      <c r="AP25" s="2195">
        <v>21</v>
      </c>
      <c r="AQ25" s="2195">
        <v>31</v>
      </c>
      <c r="AR25" s="2195">
        <v>47</v>
      </c>
      <c r="AS25" s="2195">
        <v>58</v>
      </c>
      <c r="AT25" s="2195">
        <v>85</v>
      </c>
      <c r="AU25" s="280">
        <v>135</v>
      </c>
      <c r="AV25" s="280">
        <v>190</v>
      </c>
      <c r="AW25" s="280">
        <v>250</v>
      </c>
      <c r="AX25" s="280">
        <v>365</v>
      </c>
      <c r="AY25" s="2195">
        <v>520</v>
      </c>
      <c r="BB25" s="2187">
        <v>140</v>
      </c>
      <c r="BC25" s="2187">
        <v>160</v>
      </c>
      <c r="BF25" s="2193">
        <v>140</v>
      </c>
      <c r="BG25" s="2195">
        <v>0</v>
      </c>
      <c r="BH25" s="2195">
        <v>0</v>
      </c>
      <c r="BI25" s="2195">
        <v>0</v>
      </c>
      <c r="BJ25" s="2195">
        <v>11</v>
      </c>
      <c r="BK25" s="2195">
        <v>16</v>
      </c>
      <c r="BL25" s="2195">
        <v>21</v>
      </c>
      <c r="BM25" s="2195">
        <v>31</v>
      </c>
      <c r="BN25" s="2195">
        <v>47</v>
      </c>
      <c r="BO25" s="2195">
        <v>58</v>
      </c>
      <c r="BP25" s="2195">
        <v>85</v>
      </c>
      <c r="BQ25" s="280">
        <v>135</v>
      </c>
      <c r="BR25" s="280">
        <v>190</v>
      </c>
      <c r="BS25" s="280">
        <v>250</v>
      </c>
      <c r="BT25" s="280">
        <v>365</v>
      </c>
      <c r="BU25" s="2195">
        <v>520</v>
      </c>
      <c r="BX25" s="2174"/>
      <c r="CA25" s="2193">
        <v>195</v>
      </c>
      <c r="CB25" s="2195">
        <v>1.8</v>
      </c>
      <c r="CC25" s="2195">
        <v>3</v>
      </c>
      <c r="CD25" s="2195">
        <v>4.3</v>
      </c>
      <c r="CE25" s="2195">
        <v>5.7</v>
      </c>
      <c r="CF25" s="2195">
        <v>7.9</v>
      </c>
      <c r="CG25" s="2195">
        <v>12.8</v>
      </c>
      <c r="CH25" s="2195">
        <v>17</v>
      </c>
      <c r="CI25" s="2195">
        <v>22.7</v>
      </c>
      <c r="CJ25" s="2195">
        <v>28.7</v>
      </c>
      <c r="CK25" s="2195">
        <v>36.6</v>
      </c>
      <c r="CL25" s="280">
        <v>58.7</v>
      </c>
      <c r="CM25" s="280">
        <v>99</v>
      </c>
      <c r="CN25" s="280">
        <v>140</v>
      </c>
      <c r="CO25" s="2195">
        <v>184</v>
      </c>
      <c r="CR25" s="2187">
        <v>195</v>
      </c>
      <c r="CS25" s="2187">
        <v>215</v>
      </c>
      <c r="CV25" s="2193">
        <v>195</v>
      </c>
      <c r="CW25" s="2195">
        <v>1.8</v>
      </c>
      <c r="CX25" s="2195">
        <v>3</v>
      </c>
      <c r="CY25" s="2195">
        <v>4.3</v>
      </c>
      <c r="CZ25" s="2195">
        <v>5.7</v>
      </c>
      <c r="DA25" s="2195">
        <v>7.9</v>
      </c>
      <c r="DB25" s="2195">
        <v>12.8</v>
      </c>
      <c r="DC25" s="2195">
        <v>17</v>
      </c>
      <c r="DD25" s="2195">
        <v>22.7</v>
      </c>
      <c r="DE25" s="2195">
        <v>28.7</v>
      </c>
      <c r="DF25" s="2195">
        <v>36.6</v>
      </c>
      <c r="DG25" s="280">
        <v>58.7</v>
      </c>
      <c r="DH25" s="280">
        <v>99</v>
      </c>
      <c r="DI25" s="280">
        <v>140</v>
      </c>
      <c r="DJ25" s="2195">
        <v>184</v>
      </c>
      <c r="DX25" s="1"/>
      <c r="DY25" s="1"/>
      <c r="DZ25" s="281"/>
      <c r="EA25" s="281"/>
      <c r="EB25" s="281"/>
      <c r="EC25" s="281"/>
      <c r="ED25" s="281"/>
      <c r="EE25" s="281"/>
      <c r="EF25" s="281"/>
      <c r="EG25" s="281"/>
      <c r="EP25" s="286"/>
      <c r="EQ25" s="286"/>
      <c r="EY25" s="14" t="e">
        <f>+EY24</f>
        <v>#N/A</v>
      </c>
      <c r="FC25" s="2174"/>
      <c r="FD25" s="2174"/>
      <c r="FG25" s="2199">
        <v>125</v>
      </c>
      <c r="FH25" s="2200">
        <v>0</v>
      </c>
      <c r="FI25" s="2200">
        <v>0</v>
      </c>
      <c r="FJ25" s="2200">
        <v>0</v>
      </c>
      <c r="FK25" s="2200">
        <v>12</v>
      </c>
      <c r="FL25" s="2200">
        <v>17</v>
      </c>
      <c r="FM25" s="2200">
        <v>23</v>
      </c>
      <c r="FN25" s="2200">
        <v>34</v>
      </c>
      <c r="FO25" s="2200">
        <v>53</v>
      </c>
      <c r="FP25" s="2200">
        <v>64</v>
      </c>
      <c r="FQ25" s="2200">
        <v>95</v>
      </c>
      <c r="FR25" s="2201">
        <v>155</v>
      </c>
      <c r="FS25" s="2201">
        <v>210</v>
      </c>
      <c r="FT25" s="2201">
        <v>285</v>
      </c>
      <c r="FU25" s="2201">
        <v>420</v>
      </c>
      <c r="FV25" s="2200">
        <v>570</v>
      </c>
      <c r="FY25" s="2198">
        <v>125</v>
      </c>
      <c r="FZ25" s="2187">
        <v>140</v>
      </c>
      <c r="GC25" s="2199">
        <v>125</v>
      </c>
      <c r="GD25" s="2200">
        <v>0</v>
      </c>
      <c r="GE25" s="2200">
        <v>0</v>
      </c>
      <c r="GF25" s="2200">
        <v>0</v>
      </c>
      <c r="GG25" s="2200">
        <v>12</v>
      </c>
      <c r="GH25" s="2200">
        <v>17</v>
      </c>
      <c r="GI25" s="2200">
        <v>23</v>
      </c>
      <c r="GJ25" s="2200">
        <v>34</v>
      </c>
      <c r="GK25" s="2200">
        <v>53</v>
      </c>
      <c r="GL25" s="2200">
        <v>64</v>
      </c>
      <c r="GM25" s="2200">
        <v>95</v>
      </c>
      <c r="GN25" s="2201">
        <v>155</v>
      </c>
      <c r="GO25" s="2201">
        <v>210</v>
      </c>
      <c r="GP25" s="2201">
        <v>285</v>
      </c>
      <c r="GQ25" s="2201">
        <v>420</v>
      </c>
      <c r="GR25" s="2200">
        <v>570</v>
      </c>
      <c r="GU25" s="2174"/>
      <c r="GX25" s="2193">
        <v>176</v>
      </c>
      <c r="GY25" s="2195">
        <v>2.1</v>
      </c>
      <c r="GZ25" s="2195">
        <v>3.3</v>
      </c>
      <c r="HA25" s="2195">
        <v>4.8</v>
      </c>
      <c r="HB25" s="2195">
        <v>6.2</v>
      </c>
      <c r="HC25" s="2195">
        <v>8.8000000000000007</v>
      </c>
      <c r="HD25" s="2195">
        <v>14.2</v>
      </c>
      <c r="HE25" s="2195">
        <v>18.7</v>
      </c>
      <c r="HF25" s="2195">
        <v>25.1</v>
      </c>
      <c r="HG25" s="2195">
        <v>32.1</v>
      </c>
      <c r="HH25" s="2195">
        <v>41.1</v>
      </c>
      <c r="HI25" s="280">
        <v>65.3</v>
      </c>
      <c r="HJ25" s="280">
        <v>109</v>
      </c>
      <c r="HK25" s="280">
        <v>153</v>
      </c>
      <c r="HL25" s="2195">
        <v>200</v>
      </c>
      <c r="HO25" s="2187">
        <v>176</v>
      </c>
      <c r="HP25" s="2187">
        <v>195</v>
      </c>
      <c r="HS25" s="2193">
        <v>176</v>
      </c>
      <c r="HT25" s="2195">
        <v>2.1</v>
      </c>
      <c r="HU25" s="2195">
        <v>3.3</v>
      </c>
      <c r="HV25" s="2195">
        <v>4.8</v>
      </c>
      <c r="HW25" s="2195">
        <v>6.2</v>
      </c>
      <c r="HX25" s="2195">
        <v>8.8000000000000007</v>
      </c>
      <c r="HY25" s="2195">
        <v>14.2</v>
      </c>
      <c r="HZ25" s="2195">
        <v>18.7</v>
      </c>
      <c r="IA25" s="2195">
        <v>25.1</v>
      </c>
      <c r="IB25" s="2195">
        <v>32.1</v>
      </c>
      <c r="IC25" s="2195">
        <v>41.1</v>
      </c>
      <c r="ID25" s="280">
        <v>65.3</v>
      </c>
      <c r="IE25" s="280">
        <v>109</v>
      </c>
      <c r="IF25" s="280">
        <v>153</v>
      </c>
      <c r="IG25" s="2195">
        <v>200</v>
      </c>
    </row>
    <row r="26" spans="2:246" ht="21.95" customHeight="1">
      <c r="B26" s="1"/>
      <c r="C26" s="777" t="s">
        <v>2181</v>
      </c>
      <c r="D26" s="778" t="s">
        <v>2178</v>
      </c>
      <c r="E26" s="778" t="s">
        <v>2179</v>
      </c>
      <c r="F26" s="779" t="s">
        <v>2173</v>
      </c>
      <c r="G26" s="778" t="s">
        <v>2180</v>
      </c>
      <c r="H26" s="779" t="s">
        <v>2174</v>
      </c>
      <c r="I26" s="3619" t="str">
        <f>'E Gear B'!AT46</f>
        <v>Right</v>
      </c>
      <c r="J26" s="281"/>
      <c r="S26" s="286"/>
      <c r="T26" s="286"/>
      <c r="AF26" s="2174"/>
      <c r="AG26" s="2174"/>
      <c r="AJ26" s="2193">
        <v>160</v>
      </c>
      <c r="AK26" s="2195">
        <v>0</v>
      </c>
      <c r="AL26" s="2195">
        <v>0</v>
      </c>
      <c r="AM26" s="2195">
        <v>0</v>
      </c>
      <c r="AN26" s="2195">
        <v>9.5</v>
      </c>
      <c r="AO26" s="2195">
        <v>14</v>
      </c>
      <c r="AP26" s="2195">
        <v>18</v>
      </c>
      <c r="AQ26" s="2195">
        <v>27</v>
      </c>
      <c r="AR26" s="2195">
        <v>42</v>
      </c>
      <c r="AS26" s="2195">
        <v>51</v>
      </c>
      <c r="AT26" s="2195">
        <v>75</v>
      </c>
      <c r="AU26" s="280">
        <v>120</v>
      </c>
      <c r="AV26" s="280">
        <v>170</v>
      </c>
      <c r="AW26" s="280">
        <v>225</v>
      </c>
      <c r="AX26" s="280">
        <v>330</v>
      </c>
      <c r="AY26" s="2195">
        <v>470</v>
      </c>
      <c r="BB26" s="2187">
        <v>160</v>
      </c>
      <c r="BC26" s="2187">
        <v>180</v>
      </c>
      <c r="BF26" s="2193">
        <v>160</v>
      </c>
      <c r="BG26" s="2195">
        <v>0</v>
      </c>
      <c r="BH26" s="2195">
        <v>0</v>
      </c>
      <c r="BI26" s="2195">
        <v>0</v>
      </c>
      <c r="BJ26" s="2195">
        <v>9.5</v>
      </c>
      <c r="BK26" s="2195">
        <v>14</v>
      </c>
      <c r="BL26" s="2195">
        <v>18</v>
      </c>
      <c r="BM26" s="2195">
        <v>27</v>
      </c>
      <c r="BN26" s="2195">
        <v>42</v>
      </c>
      <c r="BO26" s="2195">
        <v>51</v>
      </c>
      <c r="BP26" s="2195">
        <v>75</v>
      </c>
      <c r="BQ26" s="280">
        <v>120</v>
      </c>
      <c r="BR26" s="280">
        <v>170</v>
      </c>
      <c r="BS26" s="280">
        <v>225</v>
      </c>
      <c r="BT26" s="280">
        <v>330</v>
      </c>
      <c r="BU26" s="2195">
        <v>470</v>
      </c>
      <c r="BX26" s="2174"/>
      <c r="CA26" s="2193">
        <v>215</v>
      </c>
      <c r="CB26" s="2195">
        <v>1.6</v>
      </c>
      <c r="CC26" s="2195">
        <v>2.6</v>
      </c>
      <c r="CD26" s="2195">
        <v>3.8</v>
      </c>
      <c r="CE26" s="2195">
        <v>5.0999999999999996</v>
      </c>
      <c r="CF26" s="2195">
        <v>7.3</v>
      </c>
      <c r="CG26" s="2195">
        <v>11.5</v>
      </c>
      <c r="CH26" s="2195">
        <v>15.4</v>
      </c>
      <c r="CI26" s="2195">
        <v>20.399999999999999</v>
      </c>
      <c r="CJ26" s="2195">
        <v>26.1</v>
      </c>
      <c r="CK26" s="2195">
        <v>33.700000000000003</v>
      </c>
      <c r="CL26" s="280">
        <v>53.3</v>
      </c>
      <c r="CM26" s="280">
        <v>90</v>
      </c>
      <c r="CN26" s="280">
        <v>128</v>
      </c>
      <c r="CO26" s="2195">
        <v>166</v>
      </c>
      <c r="CR26" s="2187">
        <v>215</v>
      </c>
      <c r="CS26" s="2187">
        <v>238</v>
      </c>
      <c r="CV26" s="2193">
        <v>215</v>
      </c>
      <c r="CW26" s="2195">
        <v>1.6</v>
      </c>
      <c r="CX26" s="2195">
        <v>2.6</v>
      </c>
      <c r="CY26" s="2195">
        <v>3.8</v>
      </c>
      <c r="CZ26" s="2195">
        <v>5.0999999999999996</v>
      </c>
      <c r="DA26" s="2195">
        <v>7.3</v>
      </c>
      <c r="DB26" s="2195">
        <v>11.5</v>
      </c>
      <c r="DC26" s="2195">
        <v>15.4</v>
      </c>
      <c r="DD26" s="2195">
        <v>20.399999999999999</v>
      </c>
      <c r="DE26" s="2195">
        <v>26.1</v>
      </c>
      <c r="DF26" s="2195">
        <v>33.700000000000003</v>
      </c>
      <c r="DG26" s="280">
        <v>53.3</v>
      </c>
      <c r="DH26" s="280">
        <v>90</v>
      </c>
      <c r="DI26" s="280">
        <v>128</v>
      </c>
      <c r="DJ26" s="2195">
        <v>166</v>
      </c>
      <c r="DX26" s="1"/>
      <c r="DY26" s="1"/>
      <c r="DZ26" s="777" t="s">
        <v>2181</v>
      </c>
      <c r="EA26" s="778" t="s">
        <v>2178</v>
      </c>
      <c r="EB26" s="778" t="s">
        <v>2179</v>
      </c>
      <c r="EC26" s="779" t="s">
        <v>2173</v>
      </c>
      <c r="ED26" s="778" t="s">
        <v>2180</v>
      </c>
      <c r="EE26" s="779" t="s">
        <v>2174</v>
      </c>
      <c r="EF26" s="3619" t="str">
        <f>'E Gear B'!FQ47</f>
        <v>Right</v>
      </c>
      <c r="EG26" s="281"/>
      <c r="EP26" s="286"/>
      <c r="EQ26" s="286"/>
      <c r="FC26" s="2174"/>
      <c r="FD26" s="2174"/>
      <c r="FG26" s="2193">
        <v>140</v>
      </c>
      <c r="FH26" s="2195">
        <v>0</v>
      </c>
      <c r="FI26" s="2195">
        <v>0</v>
      </c>
      <c r="FJ26" s="2195">
        <v>0</v>
      </c>
      <c r="FK26" s="2195">
        <v>11</v>
      </c>
      <c r="FL26" s="2195">
        <v>16</v>
      </c>
      <c r="FM26" s="2195">
        <v>21</v>
      </c>
      <c r="FN26" s="2195">
        <v>31</v>
      </c>
      <c r="FO26" s="2195">
        <v>47</v>
      </c>
      <c r="FP26" s="2195">
        <v>58</v>
      </c>
      <c r="FQ26" s="2195">
        <v>85</v>
      </c>
      <c r="FR26" s="280">
        <v>135</v>
      </c>
      <c r="FS26" s="280">
        <v>190</v>
      </c>
      <c r="FT26" s="280">
        <v>250</v>
      </c>
      <c r="FU26" s="280">
        <v>365</v>
      </c>
      <c r="FV26" s="2195">
        <v>520</v>
      </c>
      <c r="FY26" s="2187">
        <v>140</v>
      </c>
      <c r="FZ26" s="2187">
        <v>160</v>
      </c>
      <c r="GC26" s="2193">
        <v>140</v>
      </c>
      <c r="GD26" s="2195">
        <v>0</v>
      </c>
      <c r="GE26" s="2195">
        <v>0</v>
      </c>
      <c r="GF26" s="2195">
        <v>0</v>
      </c>
      <c r="GG26" s="2195">
        <v>11</v>
      </c>
      <c r="GH26" s="2195">
        <v>16</v>
      </c>
      <c r="GI26" s="2195">
        <v>21</v>
      </c>
      <c r="GJ26" s="2195">
        <v>31</v>
      </c>
      <c r="GK26" s="2195">
        <v>47</v>
      </c>
      <c r="GL26" s="2195">
        <v>58</v>
      </c>
      <c r="GM26" s="2195">
        <v>85</v>
      </c>
      <c r="GN26" s="280">
        <v>135</v>
      </c>
      <c r="GO26" s="280">
        <v>190</v>
      </c>
      <c r="GP26" s="280">
        <v>250</v>
      </c>
      <c r="GQ26" s="280">
        <v>365</v>
      </c>
      <c r="GR26" s="2195">
        <v>520</v>
      </c>
      <c r="GU26" s="2174"/>
      <c r="GX26" s="2193">
        <v>195</v>
      </c>
      <c r="GY26" s="2195">
        <v>1.8</v>
      </c>
      <c r="GZ26" s="2195">
        <v>3</v>
      </c>
      <c r="HA26" s="2195">
        <v>4.3</v>
      </c>
      <c r="HB26" s="2195">
        <v>5.7</v>
      </c>
      <c r="HC26" s="2195">
        <v>7.9</v>
      </c>
      <c r="HD26" s="2195">
        <v>12.8</v>
      </c>
      <c r="HE26" s="2195">
        <v>17</v>
      </c>
      <c r="HF26" s="2195">
        <v>22.7</v>
      </c>
      <c r="HG26" s="2195">
        <v>28.7</v>
      </c>
      <c r="HH26" s="2195">
        <v>36.6</v>
      </c>
      <c r="HI26" s="280">
        <v>58.7</v>
      </c>
      <c r="HJ26" s="280">
        <v>99</v>
      </c>
      <c r="HK26" s="280">
        <v>140</v>
      </c>
      <c r="HL26" s="2195">
        <v>184</v>
      </c>
      <c r="HO26" s="2187">
        <v>195</v>
      </c>
      <c r="HP26" s="2187">
        <v>215</v>
      </c>
      <c r="HS26" s="2193">
        <v>195</v>
      </c>
      <c r="HT26" s="2195">
        <v>1.8</v>
      </c>
      <c r="HU26" s="2195">
        <v>3</v>
      </c>
      <c r="HV26" s="2195">
        <v>4.3</v>
      </c>
      <c r="HW26" s="2195">
        <v>5.7</v>
      </c>
      <c r="HX26" s="2195">
        <v>7.9</v>
      </c>
      <c r="HY26" s="2195">
        <v>12.8</v>
      </c>
      <c r="HZ26" s="2195">
        <v>17</v>
      </c>
      <c r="IA26" s="2195">
        <v>22.7</v>
      </c>
      <c r="IB26" s="2195">
        <v>28.7</v>
      </c>
      <c r="IC26" s="2195">
        <v>36.6</v>
      </c>
      <c r="ID26" s="280">
        <v>58.7</v>
      </c>
      <c r="IE26" s="280">
        <v>99</v>
      </c>
      <c r="IF26" s="280">
        <v>140</v>
      </c>
      <c r="IG26" s="2195">
        <v>184</v>
      </c>
    </row>
    <row r="27" spans="2:246" ht="21.95" customHeight="1">
      <c r="B27" s="3625">
        <f>E5/C27-1</f>
        <v>2.1805714285714428E-2</v>
      </c>
      <c r="C27" s="3623">
        <f>'E Gear B'!AS49</f>
        <v>200</v>
      </c>
      <c r="D27" s="3620">
        <f>'E Gear B'!AT49</f>
        <v>22</v>
      </c>
      <c r="E27" s="3620" t="str">
        <f>'E Gear B'!AU49</f>
        <v>SDN 315</v>
      </c>
      <c r="F27" s="3620">
        <f>'E Gear B'!AW49</f>
        <v>256500</v>
      </c>
      <c r="G27" s="3620">
        <f>G13</f>
        <v>29400</v>
      </c>
      <c r="H27" s="3620">
        <f>'E Gear B'!AY49</f>
        <v>1026</v>
      </c>
      <c r="I27" s="281"/>
      <c r="J27" s="281"/>
      <c r="S27" s="286"/>
      <c r="T27" s="286"/>
      <c r="AF27" s="2174"/>
      <c r="AG27" s="2174"/>
      <c r="AJ27" s="2203">
        <v>180</v>
      </c>
      <c r="AK27" s="2195">
        <v>0</v>
      </c>
      <c r="AL27" s="2195">
        <v>0</v>
      </c>
      <c r="AM27" s="2195">
        <v>0</v>
      </c>
      <c r="AN27" s="2195">
        <v>8.5</v>
      </c>
      <c r="AO27" s="2195">
        <v>12</v>
      </c>
      <c r="AP27" s="2195">
        <v>17</v>
      </c>
      <c r="AQ27" s="2195">
        <v>25</v>
      </c>
      <c r="AR27" s="2195">
        <v>38</v>
      </c>
      <c r="AS27" s="2195">
        <v>46</v>
      </c>
      <c r="AT27" s="2195">
        <v>68</v>
      </c>
      <c r="AU27" s="280">
        <v>105</v>
      </c>
      <c r="AV27" s="280">
        <v>150</v>
      </c>
      <c r="AW27" s="280">
        <v>200</v>
      </c>
      <c r="AX27" s="280">
        <v>290</v>
      </c>
      <c r="AY27" s="2195">
        <v>420</v>
      </c>
      <c r="BB27" s="2187">
        <v>180</v>
      </c>
      <c r="BC27" s="2187">
        <v>200</v>
      </c>
      <c r="BF27" s="2203">
        <v>180</v>
      </c>
      <c r="BG27" s="2195">
        <v>0</v>
      </c>
      <c r="BH27" s="2195">
        <v>0</v>
      </c>
      <c r="BI27" s="2195">
        <v>0</v>
      </c>
      <c r="BJ27" s="2195">
        <v>8.5</v>
      </c>
      <c r="BK27" s="2195">
        <v>12</v>
      </c>
      <c r="BL27" s="2195">
        <v>17</v>
      </c>
      <c r="BM27" s="2195">
        <v>25</v>
      </c>
      <c r="BN27" s="2195">
        <v>38</v>
      </c>
      <c r="BO27" s="2195">
        <v>46</v>
      </c>
      <c r="BP27" s="2195">
        <v>68</v>
      </c>
      <c r="BQ27" s="280">
        <v>105</v>
      </c>
      <c r="BR27" s="280">
        <v>150</v>
      </c>
      <c r="BS27" s="280">
        <v>200</v>
      </c>
      <c r="BT27" s="280">
        <v>290</v>
      </c>
      <c r="BU27" s="2195">
        <v>420</v>
      </c>
      <c r="BX27" s="2174"/>
      <c r="CA27" s="2193">
        <v>238</v>
      </c>
      <c r="CB27" s="2195">
        <v>1.5</v>
      </c>
      <c r="CC27" s="2195">
        <v>2.4</v>
      </c>
      <c r="CD27" s="2195">
        <v>3.4</v>
      </c>
      <c r="CE27" s="2195">
        <v>4.5</v>
      </c>
      <c r="CF27" s="2195">
        <v>6.5</v>
      </c>
      <c r="CG27" s="2195">
        <v>10.5</v>
      </c>
      <c r="CH27" s="2195">
        <v>13.8</v>
      </c>
      <c r="CI27" s="2195">
        <v>18.600000000000001</v>
      </c>
      <c r="CJ27" s="2195">
        <v>23.7</v>
      </c>
      <c r="CK27" s="2195">
        <v>29.5</v>
      </c>
      <c r="CL27" s="280">
        <v>48.2</v>
      </c>
      <c r="CM27" s="280">
        <v>81</v>
      </c>
      <c r="CN27" s="280">
        <v>115</v>
      </c>
      <c r="CO27" s="2195">
        <v>150</v>
      </c>
      <c r="CR27" s="2187">
        <v>238</v>
      </c>
      <c r="CS27" s="2187">
        <v>264</v>
      </c>
      <c r="CV27" s="2193">
        <v>238</v>
      </c>
      <c r="CW27" s="2195">
        <v>1.5</v>
      </c>
      <c r="CX27" s="2195">
        <v>2.4</v>
      </c>
      <c r="CY27" s="2195">
        <v>3.4</v>
      </c>
      <c r="CZ27" s="2195">
        <v>4.5</v>
      </c>
      <c r="DA27" s="2195">
        <v>6.5</v>
      </c>
      <c r="DB27" s="2195">
        <v>10.5</v>
      </c>
      <c r="DC27" s="2195">
        <v>13.8</v>
      </c>
      <c r="DD27" s="2195">
        <v>18.600000000000001</v>
      </c>
      <c r="DE27" s="2195">
        <v>23.7</v>
      </c>
      <c r="DF27" s="2195">
        <v>29.5</v>
      </c>
      <c r="DG27" s="280">
        <v>48.2</v>
      </c>
      <c r="DH27" s="280">
        <v>81</v>
      </c>
      <c r="DI27" s="280">
        <v>115</v>
      </c>
      <c r="DJ27" s="2195">
        <v>150</v>
      </c>
      <c r="DX27" s="1"/>
      <c r="DY27" s="3625">
        <f>EB5/DZ27-1</f>
        <v>2.4320000000010999E-4</v>
      </c>
      <c r="DZ27" s="3623">
        <f>'E Gear B'!FP50</f>
        <v>125</v>
      </c>
      <c r="EA27" s="3620">
        <f>'E Gear B'!FQ50</f>
        <v>23</v>
      </c>
      <c r="EB27" s="3620" t="str">
        <f>'E Gear B'!FR50</f>
        <v>SDN 280</v>
      </c>
      <c r="EC27" s="3620">
        <f>'E Gear B'!FT50</f>
        <v>189750</v>
      </c>
      <c r="ED27" s="3620">
        <f>ED11</f>
        <v>29400</v>
      </c>
      <c r="EE27" s="3620">
        <f>'E Gear B'!FV50</f>
        <v>759</v>
      </c>
      <c r="EF27" s="281"/>
      <c r="EG27" s="281"/>
      <c r="EP27" s="286"/>
      <c r="EQ27" s="286"/>
      <c r="FC27" s="2174"/>
      <c r="FD27" s="2174"/>
      <c r="FG27" s="2193">
        <v>160</v>
      </c>
      <c r="FH27" s="2195">
        <v>0</v>
      </c>
      <c r="FI27" s="2195">
        <v>0</v>
      </c>
      <c r="FJ27" s="2195">
        <v>0</v>
      </c>
      <c r="FK27" s="2195">
        <v>9.5</v>
      </c>
      <c r="FL27" s="2195">
        <v>14</v>
      </c>
      <c r="FM27" s="2195">
        <v>18</v>
      </c>
      <c r="FN27" s="2195">
        <v>27</v>
      </c>
      <c r="FO27" s="2195">
        <v>42</v>
      </c>
      <c r="FP27" s="2195">
        <v>51</v>
      </c>
      <c r="FQ27" s="2195">
        <v>75</v>
      </c>
      <c r="FR27" s="280">
        <v>120</v>
      </c>
      <c r="FS27" s="280">
        <v>170</v>
      </c>
      <c r="FT27" s="280">
        <v>225</v>
      </c>
      <c r="FU27" s="280">
        <v>330</v>
      </c>
      <c r="FV27" s="2195">
        <v>470</v>
      </c>
      <c r="FY27" s="2187">
        <v>160</v>
      </c>
      <c r="FZ27" s="2187">
        <v>180</v>
      </c>
      <c r="GC27" s="2193">
        <v>160</v>
      </c>
      <c r="GD27" s="2195">
        <v>0</v>
      </c>
      <c r="GE27" s="2195">
        <v>0</v>
      </c>
      <c r="GF27" s="2195">
        <v>0</v>
      </c>
      <c r="GG27" s="2195">
        <v>9.5</v>
      </c>
      <c r="GH27" s="2195">
        <v>14</v>
      </c>
      <c r="GI27" s="2195">
        <v>18</v>
      </c>
      <c r="GJ27" s="2195">
        <v>27</v>
      </c>
      <c r="GK27" s="2195">
        <v>42</v>
      </c>
      <c r="GL27" s="2195">
        <v>51</v>
      </c>
      <c r="GM27" s="2195">
        <v>75</v>
      </c>
      <c r="GN27" s="280">
        <v>120</v>
      </c>
      <c r="GO27" s="280">
        <v>170</v>
      </c>
      <c r="GP27" s="280">
        <v>225</v>
      </c>
      <c r="GQ27" s="280">
        <v>330</v>
      </c>
      <c r="GR27" s="2195">
        <v>470</v>
      </c>
      <c r="GU27" s="2174"/>
      <c r="GX27" s="2193">
        <v>215</v>
      </c>
      <c r="GY27" s="2195">
        <v>1.6</v>
      </c>
      <c r="GZ27" s="2195">
        <v>2.6</v>
      </c>
      <c r="HA27" s="2195">
        <v>3.8</v>
      </c>
      <c r="HB27" s="2195">
        <v>5.0999999999999996</v>
      </c>
      <c r="HC27" s="2195">
        <v>7.3</v>
      </c>
      <c r="HD27" s="2195">
        <v>11.5</v>
      </c>
      <c r="HE27" s="2195">
        <v>15.4</v>
      </c>
      <c r="HF27" s="2195">
        <v>20.399999999999999</v>
      </c>
      <c r="HG27" s="2195">
        <v>26.1</v>
      </c>
      <c r="HH27" s="2195">
        <v>33.700000000000003</v>
      </c>
      <c r="HI27" s="280">
        <v>53.3</v>
      </c>
      <c r="HJ27" s="280">
        <v>90</v>
      </c>
      <c r="HK27" s="280">
        <v>128</v>
      </c>
      <c r="HL27" s="2195">
        <v>166</v>
      </c>
      <c r="HO27" s="2187">
        <v>215</v>
      </c>
      <c r="HP27" s="2187">
        <v>238</v>
      </c>
      <c r="HS27" s="2193">
        <v>215</v>
      </c>
      <c r="HT27" s="2195">
        <v>1.6</v>
      </c>
      <c r="HU27" s="2195">
        <v>2.6</v>
      </c>
      <c r="HV27" s="2195">
        <v>3.8</v>
      </c>
      <c r="HW27" s="2195">
        <v>5.0999999999999996</v>
      </c>
      <c r="HX27" s="2195">
        <v>7.3</v>
      </c>
      <c r="HY27" s="2195">
        <v>11.5</v>
      </c>
      <c r="HZ27" s="2195">
        <v>15.4</v>
      </c>
      <c r="IA27" s="2195">
        <v>20.399999999999999</v>
      </c>
      <c r="IB27" s="2195">
        <v>26.1</v>
      </c>
      <c r="IC27" s="2195">
        <v>33.700000000000003</v>
      </c>
      <c r="ID27" s="280">
        <v>53.3</v>
      </c>
      <c r="IE27" s="280">
        <v>90</v>
      </c>
      <c r="IF27" s="280">
        <v>128</v>
      </c>
      <c r="IG27" s="2195">
        <v>166</v>
      </c>
    </row>
    <row r="28" spans="2:246" ht="21.95" customHeight="1">
      <c r="B28" s="3625">
        <f>1-E5/C28</f>
        <v>8.7673469387754999E-2</v>
      </c>
      <c r="C28" s="3623">
        <f>'E Gear B'!AS50</f>
        <v>224</v>
      </c>
      <c r="D28" s="3620">
        <f>'E Gear B'!AT50</f>
        <v>20</v>
      </c>
      <c r="E28" s="3620" t="str">
        <f>'E Gear B'!AU50</f>
        <v>SDN 315</v>
      </c>
      <c r="F28" s="3620">
        <f>'E Gear B'!AW50</f>
        <v>256500</v>
      </c>
      <c r="G28" s="3620">
        <f>G20</f>
        <v>29400</v>
      </c>
      <c r="H28" s="3620">
        <f>'E Gear B'!AY50</f>
        <v>1026</v>
      </c>
      <c r="I28" s="281"/>
      <c r="J28" s="281"/>
      <c r="S28" s="286"/>
      <c r="T28" s="286"/>
      <c r="AF28" s="2174"/>
      <c r="AG28" s="2174"/>
      <c r="AJ28" s="2203">
        <v>200</v>
      </c>
      <c r="AK28" s="2195">
        <v>0</v>
      </c>
      <c r="AL28" s="2195">
        <v>0</v>
      </c>
      <c r="AM28" s="2195">
        <v>0</v>
      </c>
      <c r="AN28" s="2195">
        <v>8</v>
      </c>
      <c r="AO28" s="2195">
        <v>10</v>
      </c>
      <c r="AP28" s="2195">
        <v>14</v>
      </c>
      <c r="AQ28" s="2195">
        <v>22</v>
      </c>
      <c r="AR28" s="2195">
        <v>34</v>
      </c>
      <c r="AS28" s="2195">
        <v>41</v>
      </c>
      <c r="AT28" s="2195">
        <v>61</v>
      </c>
      <c r="AU28" s="280">
        <v>96</v>
      </c>
      <c r="AV28" s="280">
        <v>135</v>
      </c>
      <c r="AW28" s="280">
        <v>180</v>
      </c>
      <c r="AX28" s="280">
        <v>260</v>
      </c>
      <c r="AY28" s="2195">
        <v>375</v>
      </c>
      <c r="BB28" s="2187">
        <v>200</v>
      </c>
      <c r="BC28" s="2187">
        <v>224</v>
      </c>
      <c r="BF28" s="2203">
        <v>200</v>
      </c>
      <c r="BG28" s="2195">
        <v>0</v>
      </c>
      <c r="BH28" s="2195">
        <v>0</v>
      </c>
      <c r="BI28" s="2195">
        <v>0</v>
      </c>
      <c r="BJ28" s="2195">
        <v>8</v>
      </c>
      <c r="BK28" s="2195">
        <v>10</v>
      </c>
      <c r="BL28" s="2195">
        <v>14</v>
      </c>
      <c r="BM28" s="2195">
        <v>22</v>
      </c>
      <c r="BN28" s="2195">
        <v>34</v>
      </c>
      <c r="BO28" s="2195">
        <v>41</v>
      </c>
      <c r="BP28" s="2195">
        <v>61</v>
      </c>
      <c r="BQ28" s="280">
        <v>96</v>
      </c>
      <c r="BR28" s="280">
        <v>135</v>
      </c>
      <c r="BS28" s="280">
        <v>180</v>
      </c>
      <c r="BT28" s="280">
        <v>260</v>
      </c>
      <c r="BU28" s="2195">
        <v>375</v>
      </c>
      <c r="BX28" s="2174"/>
      <c r="CA28" s="2193">
        <v>264</v>
      </c>
      <c r="CB28" s="2195">
        <v>1.39</v>
      </c>
      <c r="CC28" s="2195">
        <v>2.2000000000000002</v>
      </c>
      <c r="CD28" s="2195">
        <v>3</v>
      </c>
      <c r="CE28" s="2195">
        <v>4.2</v>
      </c>
      <c r="CF28" s="2195">
        <v>5.8</v>
      </c>
      <c r="CG28" s="2195">
        <v>9.5</v>
      </c>
      <c r="CH28" s="2195">
        <v>12.6</v>
      </c>
      <c r="CI28" s="2195">
        <v>16.8</v>
      </c>
      <c r="CJ28" s="2195">
        <v>21.2</v>
      </c>
      <c r="CK28" s="2195">
        <v>27.1</v>
      </c>
      <c r="CL28" s="280">
        <v>43.2</v>
      </c>
      <c r="CM28" s="280">
        <v>69</v>
      </c>
      <c r="CN28" s="280">
        <v>101</v>
      </c>
      <c r="CO28" s="2195">
        <v>133</v>
      </c>
      <c r="CR28" s="2187">
        <v>264</v>
      </c>
      <c r="CS28" s="2187">
        <v>292</v>
      </c>
      <c r="CV28" s="2193">
        <v>264</v>
      </c>
      <c r="CW28" s="2195">
        <v>1.39</v>
      </c>
      <c r="CX28" s="2195">
        <v>2.2000000000000002</v>
      </c>
      <c r="CY28" s="2195">
        <v>3</v>
      </c>
      <c r="CZ28" s="2195">
        <v>4.2</v>
      </c>
      <c r="DA28" s="2195">
        <v>5.8</v>
      </c>
      <c r="DB28" s="2195">
        <v>9.5</v>
      </c>
      <c r="DC28" s="2195">
        <v>12.6</v>
      </c>
      <c r="DD28" s="2195">
        <v>16.8</v>
      </c>
      <c r="DE28" s="2195">
        <v>21.2</v>
      </c>
      <c r="DF28" s="2195">
        <v>27.1</v>
      </c>
      <c r="DG28" s="280">
        <v>43.2</v>
      </c>
      <c r="DH28" s="280">
        <v>69</v>
      </c>
      <c r="DI28" s="280">
        <v>101</v>
      </c>
      <c r="DJ28" s="2195">
        <v>133</v>
      </c>
      <c r="DX28" s="1"/>
      <c r="DY28" s="3625">
        <f>1-EB5/DZ28</f>
        <v>0.10692571428571418</v>
      </c>
      <c r="DZ28" s="3623">
        <f>'E Gear B'!FP51</f>
        <v>140</v>
      </c>
      <c r="EA28" s="3620">
        <f>'E Gear B'!FQ51</f>
        <v>21</v>
      </c>
      <c r="EB28" s="3620" t="str">
        <f>'E Gear B'!FR51</f>
        <v>SDN 280</v>
      </c>
      <c r="EC28" s="3620">
        <f>'E Gear B'!FT51</f>
        <v>189750</v>
      </c>
      <c r="ED28" s="3620">
        <f>ED18</f>
        <v>29400</v>
      </c>
      <c r="EE28" s="3620">
        <f>'E Gear B'!FV51</f>
        <v>759</v>
      </c>
      <c r="EF28" s="281"/>
      <c r="EG28" s="281"/>
      <c r="EP28" s="286"/>
      <c r="EQ28" s="286"/>
      <c r="FC28" s="2174"/>
      <c r="FD28" s="2174"/>
      <c r="FG28" s="2203">
        <v>180</v>
      </c>
      <c r="FH28" s="2195">
        <v>0</v>
      </c>
      <c r="FI28" s="2195">
        <v>0</v>
      </c>
      <c r="FJ28" s="2195">
        <v>0</v>
      </c>
      <c r="FK28" s="2195">
        <v>8.5</v>
      </c>
      <c r="FL28" s="2195">
        <v>12</v>
      </c>
      <c r="FM28" s="2195">
        <v>17</v>
      </c>
      <c r="FN28" s="2195">
        <v>25</v>
      </c>
      <c r="FO28" s="2195">
        <v>38</v>
      </c>
      <c r="FP28" s="2195">
        <v>46</v>
      </c>
      <c r="FQ28" s="2195">
        <v>68</v>
      </c>
      <c r="FR28" s="280">
        <v>105</v>
      </c>
      <c r="FS28" s="280">
        <v>150</v>
      </c>
      <c r="FT28" s="280">
        <v>200</v>
      </c>
      <c r="FU28" s="280">
        <v>290</v>
      </c>
      <c r="FV28" s="2195">
        <v>420</v>
      </c>
      <c r="FY28" s="2187">
        <v>180</v>
      </c>
      <c r="FZ28" s="2187">
        <v>200</v>
      </c>
      <c r="GC28" s="2203">
        <v>180</v>
      </c>
      <c r="GD28" s="2195">
        <v>0</v>
      </c>
      <c r="GE28" s="2195">
        <v>0</v>
      </c>
      <c r="GF28" s="2195">
        <v>0</v>
      </c>
      <c r="GG28" s="2195">
        <v>8.5</v>
      </c>
      <c r="GH28" s="2195">
        <v>12</v>
      </c>
      <c r="GI28" s="2195">
        <v>17</v>
      </c>
      <c r="GJ28" s="2195">
        <v>25</v>
      </c>
      <c r="GK28" s="2195">
        <v>38</v>
      </c>
      <c r="GL28" s="2195">
        <v>46</v>
      </c>
      <c r="GM28" s="2195">
        <v>68</v>
      </c>
      <c r="GN28" s="280">
        <v>105</v>
      </c>
      <c r="GO28" s="280">
        <v>150</v>
      </c>
      <c r="GP28" s="280">
        <v>200</v>
      </c>
      <c r="GQ28" s="280">
        <v>290</v>
      </c>
      <c r="GR28" s="2195">
        <v>420</v>
      </c>
      <c r="GU28" s="2174"/>
      <c r="GX28" s="2193">
        <v>238</v>
      </c>
      <c r="GY28" s="2195">
        <v>1.5</v>
      </c>
      <c r="GZ28" s="2195">
        <v>2.4</v>
      </c>
      <c r="HA28" s="2195">
        <v>3.4</v>
      </c>
      <c r="HB28" s="2195">
        <v>4.5</v>
      </c>
      <c r="HC28" s="2195">
        <v>6.5</v>
      </c>
      <c r="HD28" s="2195">
        <v>10.5</v>
      </c>
      <c r="HE28" s="2195">
        <v>13.8</v>
      </c>
      <c r="HF28" s="2195">
        <v>18.600000000000001</v>
      </c>
      <c r="HG28" s="2195">
        <v>23.7</v>
      </c>
      <c r="HH28" s="2195">
        <v>29.5</v>
      </c>
      <c r="HI28" s="280">
        <v>48.2</v>
      </c>
      <c r="HJ28" s="280">
        <v>81</v>
      </c>
      <c r="HK28" s="280">
        <v>115</v>
      </c>
      <c r="HL28" s="2195">
        <v>150</v>
      </c>
      <c r="HO28" s="2187">
        <v>238</v>
      </c>
      <c r="HP28" s="2187">
        <v>264</v>
      </c>
      <c r="HS28" s="2193">
        <v>238</v>
      </c>
      <c r="HT28" s="2195">
        <v>1.5</v>
      </c>
      <c r="HU28" s="2195">
        <v>2.4</v>
      </c>
      <c r="HV28" s="2195">
        <v>3.4</v>
      </c>
      <c r="HW28" s="2195">
        <v>4.5</v>
      </c>
      <c r="HX28" s="2195">
        <v>6.5</v>
      </c>
      <c r="HY28" s="2195">
        <v>10.5</v>
      </c>
      <c r="HZ28" s="2195">
        <v>13.8</v>
      </c>
      <c r="IA28" s="2195">
        <v>18.600000000000001</v>
      </c>
      <c r="IB28" s="2195">
        <v>23.7</v>
      </c>
      <c r="IC28" s="2195">
        <v>29.5</v>
      </c>
      <c r="ID28" s="280">
        <v>48.2</v>
      </c>
      <c r="IE28" s="280">
        <v>81</v>
      </c>
      <c r="IF28" s="280">
        <v>115</v>
      </c>
      <c r="IG28" s="2195">
        <v>150</v>
      </c>
    </row>
    <row r="29" spans="2:246" ht="21.95" customHeight="1">
      <c r="S29" s="286"/>
      <c r="T29" s="286"/>
      <c r="AF29" s="2174"/>
      <c r="AG29" s="2174"/>
      <c r="AJ29" s="2203">
        <v>224</v>
      </c>
      <c r="AK29" s="2195">
        <v>0</v>
      </c>
      <c r="AL29" s="2195">
        <v>0</v>
      </c>
      <c r="AM29" s="2195">
        <v>0</v>
      </c>
      <c r="AN29" s="2195">
        <v>7</v>
      </c>
      <c r="AO29" s="2195">
        <v>9</v>
      </c>
      <c r="AP29" s="2195">
        <v>13</v>
      </c>
      <c r="AQ29" s="2195">
        <v>20</v>
      </c>
      <c r="AR29" s="2195">
        <v>30</v>
      </c>
      <c r="AS29" s="2195">
        <v>37</v>
      </c>
      <c r="AT29" s="2195">
        <v>54</v>
      </c>
      <c r="AU29" s="280">
        <v>86</v>
      </c>
      <c r="AV29" s="280">
        <v>120</v>
      </c>
      <c r="AW29" s="280">
        <v>160</v>
      </c>
      <c r="AX29" s="280">
        <v>235</v>
      </c>
      <c r="AY29" s="2195">
        <v>340</v>
      </c>
      <c r="BB29" s="2187">
        <v>224</v>
      </c>
      <c r="BC29" s="2187">
        <v>250</v>
      </c>
      <c r="BF29" s="2203">
        <v>224</v>
      </c>
      <c r="BG29" s="2195">
        <v>0</v>
      </c>
      <c r="BH29" s="2195">
        <v>0</v>
      </c>
      <c r="BI29" s="2195">
        <v>0</v>
      </c>
      <c r="BJ29" s="2195">
        <v>7</v>
      </c>
      <c r="BK29" s="2195">
        <v>9</v>
      </c>
      <c r="BL29" s="2195">
        <v>13</v>
      </c>
      <c r="BM29" s="2195">
        <v>20</v>
      </c>
      <c r="BN29" s="2195">
        <v>30</v>
      </c>
      <c r="BO29" s="2195">
        <v>37</v>
      </c>
      <c r="BP29" s="2195">
        <v>54</v>
      </c>
      <c r="BQ29" s="280">
        <v>86</v>
      </c>
      <c r="BR29" s="280">
        <v>120</v>
      </c>
      <c r="BS29" s="280">
        <v>160</v>
      </c>
      <c r="BT29" s="280">
        <v>235</v>
      </c>
      <c r="BU29" s="2195">
        <v>340</v>
      </c>
      <c r="BX29" s="2174"/>
      <c r="CA29" s="2193">
        <v>292</v>
      </c>
      <c r="CB29" s="2195">
        <v>1.25</v>
      </c>
      <c r="CC29" s="2195">
        <v>1.98</v>
      </c>
      <c r="CD29" s="2195">
        <v>2.78</v>
      </c>
      <c r="CE29" s="2195">
        <v>3.8</v>
      </c>
      <c r="CF29" s="2195">
        <v>5.3</v>
      </c>
      <c r="CG29" s="2195">
        <v>8.6</v>
      </c>
      <c r="CH29" s="2195">
        <v>11.5</v>
      </c>
      <c r="CI29" s="2195">
        <v>15.2</v>
      </c>
      <c r="CJ29" s="2195">
        <v>19.8</v>
      </c>
      <c r="CK29" s="2195">
        <v>24.6</v>
      </c>
      <c r="CL29" s="280">
        <v>39.4</v>
      </c>
      <c r="CM29" s="280">
        <v>64</v>
      </c>
      <c r="CN29" s="280">
        <v>93</v>
      </c>
      <c r="CO29" s="2195">
        <v>119</v>
      </c>
      <c r="CR29" s="2187">
        <v>292</v>
      </c>
      <c r="CS29" s="2187">
        <v>323</v>
      </c>
      <c r="CV29" s="2193">
        <v>292</v>
      </c>
      <c r="CW29" s="2195">
        <v>1.25</v>
      </c>
      <c r="CX29" s="2195">
        <v>1.98</v>
      </c>
      <c r="CY29" s="2195">
        <v>2.78</v>
      </c>
      <c r="CZ29" s="2195">
        <v>3.8</v>
      </c>
      <c r="DA29" s="2195">
        <v>5.3</v>
      </c>
      <c r="DB29" s="2195">
        <v>8.6</v>
      </c>
      <c r="DC29" s="2195">
        <v>11.5</v>
      </c>
      <c r="DD29" s="2195">
        <v>15.2</v>
      </c>
      <c r="DE29" s="2195">
        <v>19.8</v>
      </c>
      <c r="DF29" s="2195">
        <v>24.6</v>
      </c>
      <c r="DG29" s="280">
        <v>39.4</v>
      </c>
      <c r="DH29" s="280">
        <v>64</v>
      </c>
      <c r="DI29" s="280">
        <v>93</v>
      </c>
      <c r="DJ29" s="2195">
        <v>119</v>
      </c>
      <c r="DX29" s="1"/>
      <c r="EP29" s="286"/>
      <c r="EQ29" s="286"/>
      <c r="FC29" s="2174"/>
      <c r="FD29" s="2174"/>
      <c r="FG29" s="2203">
        <v>200</v>
      </c>
      <c r="FH29" s="2195">
        <v>0</v>
      </c>
      <c r="FI29" s="2195">
        <v>0</v>
      </c>
      <c r="FJ29" s="2195">
        <v>0</v>
      </c>
      <c r="FK29" s="2195">
        <v>8</v>
      </c>
      <c r="FL29" s="2195">
        <v>10</v>
      </c>
      <c r="FM29" s="2195">
        <v>14</v>
      </c>
      <c r="FN29" s="2195">
        <v>22</v>
      </c>
      <c r="FO29" s="2195">
        <v>34</v>
      </c>
      <c r="FP29" s="2195">
        <v>41</v>
      </c>
      <c r="FQ29" s="2195">
        <v>61</v>
      </c>
      <c r="FR29" s="280">
        <v>96</v>
      </c>
      <c r="FS29" s="280">
        <v>135</v>
      </c>
      <c r="FT29" s="280">
        <v>180</v>
      </c>
      <c r="FU29" s="280">
        <v>260</v>
      </c>
      <c r="FV29" s="2195">
        <v>375</v>
      </c>
      <c r="FY29" s="2187">
        <v>200</v>
      </c>
      <c r="FZ29" s="2187">
        <v>224</v>
      </c>
      <c r="GC29" s="2203">
        <v>200</v>
      </c>
      <c r="GD29" s="2195">
        <v>0</v>
      </c>
      <c r="GE29" s="2195">
        <v>0</v>
      </c>
      <c r="GF29" s="2195">
        <v>0</v>
      </c>
      <c r="GG29" s="2195">
        <v>8</v>
      </c>
      <c r="GH29" s="2195">
        <v>10</v>
      </c>
      <c r="GI29" s="2195">
        <v>14</v>
      </c>
      <c r="GJ29" s="2195">
        <v>22</v>
      </c>
      <c r="GK29" s="2195">
        <v>34</v>
      </c>
      <c r="GL29" s="2195">
        <v>41</v>
      </c>
      <c r="GM29" s="2195">
        <v>61</v>
      </c>
      <c r="GN29" s="280">
        <v>96</v>
      </c>
      <c r="GO29" s="280">
        <v>135</v>
      </c>
      <c r="GP29" s="280">
        <v>180</v>
      </c>
      <c r="GQ29" s="280">
        <v>260</v>
      </c>
      <c r="GR29" s="2195">
        <v>375</v>
      </c>
      <c r="GU29" s="2174"/>
      <c r="GX29" s="2193">
        <v>264</v>
      </c>
      <c r="GY29" s="2195">
        <v>1.39</v>
      </c>
      <c r="GZ29" s="2195">
        <v>2.2000000000000002</v>
      </c>
      <c r="HA29" s="2195">
        <v>3</v>
      </c>
      <c r="HB29" s="2195">
        <v>4.2</v>
      </c>
      <c r="HC29" s="2195">
        <v>5.8</v>
      </c>
      <c r="HD29" s="2195">
        <v>9.5</v>
      </c>
      <c r="HE29" s="2195">
        <v>12.6</v>
      </c>
      <c r="HF29" s="2195">
        <v>16.8</v>
      </c>
      <c r="HG29" s="2195">
        <v>21.2</v>
      </c>
      <c r="HH29" s="2195">
        <v>27.1</v>
      </c>
      <c r="HI29" s="280">
        <v>43.2</v>
      </c>
      <c r="HJ29" s="280">
        <v>69</v>
      </c>
      <c r="HK29" s="280">
        <v>101</v>
      </c>
      <c r="HL29" s="2195">
        <v>133</v>
      </c>
      <c r="HO29" s="2187">
        <v>264</v>
      </c>
      <c r="HP29" s="2187">
        <v>292</v>
      </c>
      <c r="HS29" s="2193">
        <v>264</v>
      </c>
      <c r="HT29" s="2195">
        <v>1.39</v>
      </c>
      <c r="HU29" s="2195">
        <v>2.2000000000000002</v>
      </c>
      <c r="HV29" s="2195">
        <v>3</v>
      </c>
      <c r="HW29" s="2195">
        <v>4.2</v>
      </c>
      <c r="HX29" s="2195">
        <v>5.8</v>
      </c>
      <c r="HY29" s="2195">
        <v>9.5</v>
      </c>
      <c r="HZ29" s="2195">
        <v>12.6</v>
      </c>
      <c r="IA29" s="2195">
        <v>16.8</v>
      </c>
      <c r="IB29" s="2195">
        <v>21.2</v>
      </c>
      <c r="IC29" s="2195">
        <v>27.1</v>
      </c>
      <c r="ID29" s="280">
        <v>43.2</v>
      </c>
      <c r="IE29" s="280">
        <v>69</v>
      </c>
      <c r="IF29" s="280">
        <v>101</v>
      </c>
      <c r="IG29" s="2195">
        <v>133</v>
      </c>
    </row>
    <row r="30" spans="2:246" ht="21.95" customHeight="1">
      <c r="C30" s="762"/>
      <c r="D30" s="281"/>
      <c r="E30" s="281"/>
      <c r="F30" s="281"/>
      <c r="G30" s="281"/>
      <c r="H30" s="281"/>
      <c r="I30" s="281"/>
      <c r="S30" s="286"/>
      <c r="T30" s="286"/>
      <c r="AF30" s="2174"/>
      <c r="AG30" s="2174"/>
      <c r="AJ30" s="2203">
        <v>250</v>
      </c>
      <c r="AK30" s="2195">
        <v>0</v>
      </c>
      <c r="AL30" s="2195">
        <v>0</v>
      </c>
      <c r="AM30" s="2195">
        <v>0</v>
      </c>
      <c r="AN30" s="2195">
        <v>6</v>
      </c>
      <c r="AO30" s="2195">
        <v>8.5</v>
      </c>
      <c r="AP30" s="2195">
        <v>12</v>
      </c>
      <c r="AQ30" s="2195">
        <v>17</v>
      </c>
      <c r="AR30" s="2195">
        <v>27</v>
      </c>
      <c r="AS30" s="2195">
        <v>32</v>
      </c>
      <c r="AT30" s="2195">
        <v>48</v>
      </c>
      <c r="AU30" s="280">
        <v>77</v>
      </c>
      <c r="AV30" s="280">
        <v>110</v>
      </c>
      <c r="AW30" s="280">
        <v>145</v>
      </c>
      <c r="AX30" s="280">
        <v>210</v>
      </c>
      <c r="AY30" s="2195">
        <v>300</v>
      </c>
      <c r="BB30" s="2187">
        <v>250</v>
      </c>
      <c r="BC30" s="2186">
        <v>280</v>
      </c>
      <c r="BF30" s="2203">
        <v>250</v>
      </c>
      <c r="BG30" s="2195">
        <v>0</v>
      </c>
      <c r="BH30" s="2195">
        <v>0</v>
      </c>
      <c r="BI30" s="2195">
        <v>0</v>
      </c>
      <c r="BJ30" s="2195">
        <v>6</v>
      </c>
      <c r="BK30" s="2195">
        <v>8.5</v>
      </c>
      <c r="BL30" s="2195">
        <v>12</v>
      </c>
      <c r="BM30" s="2195">
        <v>17</v>
      </c>
      <c r="BN30" s="2195">
        <v>27</v>
      </c>
      <c r="BO30" s="2195">
        <v>32</v>
      </c>
      <c r="BP30" s="2195">
        <v>48</v>
      </c>
      <c r="BQ30" s="280">
        <v>77</v>
      </c>
      <c r="BR30" s="280">
        <v>110</v>
      </c>
      <c r="BS30" s="280">
        <v>145</v>
      </c>
      <c r="BT30" s="280">
        <v>210</v>
      </c>
      <c r="BU30" s="2195">
        <v>300</v>
      </c>
      <c r="BX30" s="2174"/>
      <c r="CA30" s="2193">
        <v>323</v>
      </c>
      <c r="CB30" s="2195">
        <v>1.1200000000000001</v>
      </c>
      <c r="CC30" s="2195">
        <v>1.78</v>
      </c>
      <c r="CD30" s="2195">
        <v>2.46</v>
      </c>
      <c r="CE30" s="2195">
        <v>3.4</v>
      </c>
      <c r="CF30" s="2195">
        <v>4.8</v>
      </c>
      <c r="CG30" s="2195">
        <v>6</v>
      </c>
      <c r="CH30" s="2195">
        <v>10.5</v>
      </c>
      <c r="CI30" s="2195">
        <v>14.1</v>
      </c>
      <c r="CJ30" s="2195">
        <v>18</v>
      </c>
      <c r="CK30" s="2195">
        <v>22.4</v>
      </c>
      <c r="CL30" s="280">
        <v>36</v>
      </c>
      <c r="CM30" s="280">
        <v>60</v>
      </c>
      <c r="CN30" s="280">
        <v>84</v>
      </c>
      <c r="CO30" s="2195">
        <v>113</v>
      </c>
      <c r="CR30" s="2187">
        <v>323</v>
      </c>
      <c r="CS30" s="2186">
        <v>358</v>
      </c>
      <c r="CV30" s="2193">
        <v>323</v>
      </c>
      <c r="CW30" s="2195">
        <v>1.1200000000000001</v>
      </c>
      <c r="CX30" s="2195">
        <v>1.78</v>
      </c>
      <c r="CY30" s="2195">
        <v>2.46</v>
      </c>
      <c r="CZ30" s="2195">
        <v>3.4</v>
      </c>
      <c r="DA30" s="2195">
        <v>4.8</v>
      </c>
      <c r="DB30" s="2195">
        <v>6</v>
      </c>
      <c r="DC30" s="2195">
        <v>10.5</v>
      </c>
      <c r="DD30" s="2195">
        <v>14.1</v>
      </c>
      <c r="DE30" s="2195">
        <v>18</v>
      </c>
      <c r="DF30" s="2195">
        <v>22.4</v>
      </c>
      <c r="DG30" s="280">
        <v>36</v>
      </c>
      <c r="DH30" s="280">
        <v>60</v>
      </c>
      <c r="DI30" s="280">
        <v>84</v>
      </c>
      <c r="DJ30" s="2195">
        <v>113</v>
      </c>
      <c r="DX30" s="1"/>
      <c r="EP30" s="286"/>
      <c r="EQ30" s="286"/>
      <c r="FC30" s="2174"/>
      <c r="FD30" s="2174"/>
      <c r="FG30" s="2203">
        <v>224</v>
      </c>
      <c r="FH30" s="2195">
        <v>0</v>
      </c>
      <c r="FI30" s="2195">
        <v>0</v>
      </c>
      <c r="FJ30" s="2195">
        <v>0</v>
      </c>
      <c r="FK30" s="2195">
        <v>7</v>
      </c>
      <c r="FL30" s="2195">
        <v>9</v>
      </c>
      <c r="FM30" s="2195">
        <v>13</v>
      </c>
      <c r="FN30" s="2195">
        <v>20</v>
      </c>
      <c r="FO30" s="2195">
        <v>30</v>
      </c>
      <c r="FP30" s="2195">
        <v>37</v>
      </c>
      <c r="FQ30" s="2195">
        <v>54</v>
      </c>
      <c r="FR30" s="280">
        <v>86</v>
      </c>
      <c r="FS30" s="280">
        <v>120</v>
      </c>
      <c r="FT30" s="280">
        <v>160</v>
      </c>
      <c r="FU30" s="280">
        <v>235</v>
      </c>
      <c r="FV30" s="2195">
        <v>340</v>
      </c>
      <c r="FY30" s="2187">
        <v>224</v>
      </c>
      <c r="FZ30" s="2187">
        <v>250</v>
      </c>
      <c r="GC30" s="2203">
        <v>224</v>
      </c>
      <c r="GD30" s="2195">
        <v>0</v>
      </c>
      <c r="GE30" s="2195">
        <v>0</v>
      </c>
      <c r="GF30" s="2195">
        <v>0</v>
      </c>
      <c r="GG30" s="2195">
        <v>7</v>
      </c>
      <c r="GH30" s="2195">
        <v>9</v>
      </c>
      <c r="GI30" s="2195">
        <v>13</v>
      </c>
      <c r="GJ30" s="2195">
        <v>20</v>
      </c>
      <c r="GK30" s="2195">
        <v>30</v>
      </c>
      <c r="GL30" s="2195">
        <v>37</v>
      </c>
      <c r="GM30" s="2195">
        <v>54</v>
      </c>
      <c r="GN30" s="280">
        <v>86</v>
      </c>
      <c r="GO30" s="280">
        <v>120</v>
      </c>
      <c r="GP30" s="280">
        <v>160</v>
      </c>
      <c r="GQ30" s="280">
        <v>235</v>
      </c>
      <c r="GR30" s="2195">
        <v>340</v>
      </c>
      <c r="GU30" s="2174"/>
      <c r="GX30" s="2193">
        <v>292</v>
      </c>
      <c r="GY30" s="2195">
        <v>1.25</v>
      </c>
      <c r="GZ30" s="2195">
        <v>1.98</v>
      </c>
      <c r="HA30" s="2195">
        <v>2.78</v>
      </c>
      <c r="HB30" s="2195">
        <v>3.8</v>
      </c>
      <c r="HC30" s="2195">
        <v>5.3</v>
      </c>
      <c r="HD30" s="2195">
        <v>8.6</v>
      </c>
      <c r="HE30" s="2195">
        <v>11.5</v>
      </c>
      <c r="HF30" s="2195">
        <v>15.2</v>
      </c>
      <c r="HG30" s="2195">
        <v>19.8</v>
      </c>
      <c r="HH30" s="2195">
        <v>24.6</v>
      </c>
      <c r="HI30" s="280">
        <v>39.4</v>
      </c>
      <c r="HJ30" s="280">
        <v>64</v>
      </c>
      <c r="HK30" s="280">
        <v>93</v>
      </c>
      <c r="HL30" s="2195">
        <v>119</v>
      </c>
      <c r="HO30" s="2187">
        <v>292</v>
      </c>
      <c r="HP30" s="2187">
        <v>323</v>
      </c>
      <c r="HS30" s="2193">
        <v>292</v>
      </c>
      <c r="HT30" s="2195">
        <v>1.25</v>
      </c>
      <c r="HU30" s="2195">
        <v>1.98</v>
      </c>
      <c r="HV30" s="2195">
        <v>2.78</v>
      </c>
      <c r="HW30" s="2195">
        <v>3.8</v>
      </c>
      <c r="HX30" s="2195">
        <v>5.3</v>
      </c>
      <c r="HY30" s="2195">
        <v>8.6</v>
      </c>
      <c r="HZ30" s="2195">
        <v>11.5</v>
      </c>
      <c r="IA30" s="2195">
        <v>15.2</v>
      </c>
      <c r="IB30" s="2195">
        <v>19.8</v>
      </c>
      <c r="IC30" s="2195">
        <v>24.6</v>
      </c>
      <c r="ID30" s="280">
        <v>39.4</v>
      </c>
      <c r="IE30" s="280">
        <v>64</v>
      </c>
      <c r="IF30" s="280">
        <v>93</v>
      </c>
      <c r="IG30" s="2195">
        <v>119</v>
      </c>
    </row>
    <row r="31" spans="2:246" ht="21.95" customHeight="1">
      <c r="C31" s="777" t="s">
        <v>2260</v>
      </c>
      <c r="D31" s="778" t="s">
        <v>2171</v>
      </c>
      <c r="E31" s="779" t="s">
        <v>2172</v>
      </c>
      <c r="F31" s="779" t="s">
        <v>2173</v>
      </c>
      <c r="G31" s="779" t="s">
        <v>1682</v>
      </c>
      <c r="H31" s="779" t="s">
        <v>2174</v>
      </c>
      <c r="I31" s="3619" t="str">
        <f>AG335</f>
        <v>Right</v>
      </c>
      <c r="S31" s="286"/>
      <c r="T31" s="286"/>
      <c r="AF31" s="2174"/>
      <c r="AG31" s="2174"/>
      <c r="AJ31" s="2204">
        <v>280</v>
      </c>
      <c r="AK31" s="280">
        <v>0</v>
      </c>
      <c r="AL31" s="280">
        <v>0</v>
      </c>
      <c r="AM31" s="280">
        <v>0</v>
      </c>
      <c r="AN31" s="280">
        <v>5.5</v>
      </c>
      <c r="AO31" s="280">
        <v>7.5</v>
      </c>
      <c r="AP31" s="280">
        <v>10</v>
      </c>
      <c r="AQ31" s="280">
        <v>15</v>
      </c>
      <c r="AR31" s="280">
        <v>24</v>
      </c>
      <c r="AS31" s="280">
        <v>29</v>
      </c>
      <c r="AT31" s="280">
        <v>43</v>
      </c>
      <c r="AU31" s="280">
        <v>67</v>
      </c>
      <c r="AV31" s="280">
        <v>95</v>
      </c>
      <c r="AW31" s="280">
        <v>125</v>
      </c>
      <c r="AX31" s="280">
        <v>185</v>
      </c>
      <c r="AY31" s="280">
        <v>265</v>
      </c>
      <c r="BB31" s="2186">
        <v>280</v>
      </c>
      <c r="BC31" s="2186">
        <v>315</v>
      </c>
      <c r="BF31" s="2204">
        <v>280</v>
      </c>
      <c r="BG31" s="280">
        <v>0</v>
      </c>
      <c r="BH31" s="280">
        <v>0</v>
      </c>
      <c r="BI31" s="280">
        <v>0</v>
      </c>
      <c r="BJ31" s="280">
        <v>5.5</v>
      </c>
      <c r="BK31" s="280">
        <v>7.5</v>
      </c>
      <c r="BL31" s="280">
        <v>10</v>
      </c>
      <c r="BM31" s="280">
        <v>15</v>
      </c>
      <c r="BN31" s="280">
        <v>24</v>
      </c>
      <c r="BO31" s="280">
        <v>29</v>
      </c>
      <c r="BP31" s="280">
        <v>43</v>
      </c>
      <c r="BQ31" s="280">
        <v>67</v>
      </c>
      <c r="BR31" s="280">
        <v>95</v>
      </c>
      <c r="BS31" s="280">
        <v>125</v>
      </c>
      <c r="BT31" s="280">
        <v>185</v>
      </c>
      <c r="BU31" s="280">
        <v>265</v>
      </c>
      <c r="BX31" s="2174"/>
      <c r="CA31" s="2193">
        <v>358</v>
      </c>
      <c r="CB31" s="280">
        <v>1.01</v>
      </c>
      <c r="CC31" s="280">
        <v>1.6</v>
      </c>
      <c r="CD31" s="280">
        <v>2.23</v>
      </c>
      <c r="CE31" s="280">
        <v>3.1</v>
      </c>
      <c r="CF31" s="280">
        <v>4.4000000000000004</v>
      </c>
      <c r="CG31" s="280">
        <v>5.46</v>
      </c>
      <c r="CH31" s="280">
        <v>9.5</v>
      </c>
      <c r="CI31" s="280">
        <v>12.7</v>
      </c>
      <c r="CJ31" s="280">
        <v>16.3</v>
      </c>
      <c r="CK31" s="280">
        <v>20.399999999999999</v>
      </c>
      <c r="CL31" s="280">
        <v>32.5</v>
      </c>
      <c r="CM31" s="280">
        <v>55</v>
      </c>
      <c r="CN31" s="280">
        <v>71</v>
      </c>
      <c r="CO31" s="280">
        <v>99</v>
      </c>
      <c r="CR31" s="2186">
        <v>358</v>
      </c>
      <c r="CS31" s="2186">
        <v>396</v>
      </c>
      <c r="CV31" s="2193">
        <v>358</v>
      </c>
      <c r="CW31" s="280">
        <v>1.01</v>
      </c>
      <c r="CX31" s="280">
        <v>1.6</v>
      </c>
      <c r="CY31" s="280">
        <v>2.23</v>
      </c>
      <c r="CZ31" s="280">
        <v>3.1</v>
      </c>
      <c r="DA31" s="280">
        <v>4.4000000000000004</v>
      </c>
      <c r="DB31" s="280">
        <v>5.46</v>
      </c>
      <c r="DC31" s="280">
        <v>9.5</v>
      </c>
      <c r="DD31" s="280">
        <v>12.7</v>
      </c>
      <c r="DE31" s="280">
        <v>16.3</v>
      </c>
      <c r="DF31" s="280">
        <v>20.399999999999999</v>
      </c>
      <c r="DG31" s="280">
        <v>32.5</v>
      </c>
      <c r="DH31" s="280">
        <v>55</v>
      </c>
      <c r="DI31" s="280">
        <v>71</v>
      </c>
      <c r="DJ31" s="280">
        <v>99</v>
      </c>
      <c r="DX31" s="1"/>
      <c r="DZ31" s="777" t="s">
        <v>2260</v>
      </c>
      <c r="EA31" s="778" t="s">
        <v>2171</v>
      </c>
      <c r="EB31" s="779" t="s">
        <v>2172</v>
      </c>
      <c r="EC31" s="779" t="s">
        <v>2173</v>
      </c>
      <c r="ED31" s="779" t="s">
        <v>1682</v>
      </c>
      <c r="EE31" s="779" t="s">
        <v>2174</v>
      </c>
      <c r="EF31" s="3619" t="str">
        <f>FD335</f>
        <v>Right</v>
      </c>
      <c r="EP31" s="286"/>
      <c r="EQ31" s="286"/>
      <c r="FC31" s="2174"/>
      <c r="FD31" s="2174"/>
      <c r="FG31" s="2203">
        <v>250</v>
      </c>
      <c r="FH31" s="2195">
        <v>0</v>
      </c>
      <c r="FI31" s="2195">
        <v>0</v>
      </c>
      <c r="FJ31" s="2195">
        <v>0</v>
      </c>
      <c r="FK31" s="2195">
        <v>6</v>
      </c>
      <c r="FL31" s="2195">
        <v>8.5</v>
      </c>
      <c r="FM31" s="2195">
        <v>12</v>
      </c>
      <c r="FN31" s="2195">
        <v>17</v>
      </c>
      <c r="FO31" s="2195">
        <v>27</v>
      </c>
      <c r="FP31" s="2195">
        <v>32</v>
      </c>
      <c r="FQ31" s="2195">
        <v>48</v>
      </c>
      <c r="FR31" s="280">
        <v>77</v>
      </c>
      <c r="FS31" s="280">
        <v>110</v>
      </c>
      <c r="FT31" s="280">
        <v>145</v>
      </c>
      <c r="FU31" s="280">
        <v>210</v>
      </c>
      <c r="FV31" s="2195">
        <v>300</v>
      </c>
      <c r="FY31" s="2187">
        <v>250</v>
      </c>
      <c r="FZ31" s="2186">
        <v>280</v>
      </c>
      <c r="GC31" s="2203">
        <v>250</v>
      </c>
      <c r="GD31" s="2195">
        <v>0</v>
      </c>
      <c r="GE31" s="2195">
        <v>0</v>
      </c>
      <c r="GF31" s="2195">
        <v>0</v>
      </c>
      <c r="GG31" s="2195">
        <v>6</v>
      </c>
      <c r="GH31" s="2195">
        <v>8.5</v>
      </c>
      <c r="GI31" s="2195">
        <v>12</v>
      </c>
      <c r="GJ31" s="2195">
        <v>17</v>
      </c>
      <c r="GK31" s="2195">
        <v>27</v>
      </c>
      <c r="GL31" s="2195">
        <v>32</v>
      </c>
      <c r="GM31" s="2195">
        <v>48</v>
      </c>
      <c r="GN31" s="280">
        <v>77</v>
      </c>
      <c r="GO31" s="280">
        <v>110</v>
      </c>
      <c r="GP31" s="280">
        <v>145</v>
      </c>
      <c r="GQ31" s="280">
        <v>210</v>
      </c>
      <c r="GR31" s="2195">
        <v>300</v>
      </c>
      <c r="GU31" s="2174"/>
      <c r="GX31" s="2193">
        <v>323</v>
      </c>
      <c r="GY31" s="2195">
        <v>1.1200000000000001</v>
      </c>
      <c r="GZ31" s="2195">
        <v>1.78</v>
      </c>
      <c r="HA31" s="2195">
        <v>2.46</v>
      </c>
      <c r="HB31" s="2195">
        <v>3.4</v>
      </c>
      <c r="HC31" s="2195">
        <v>4.8</v>
      </c>
      <c r="HD31" s="2195">
        <v>6</v>
      </c>
      <c r="HE31" s="2195">
        <v>10.5</v>
      </c>
      <c r="HF31" s="2195">
        <v>14.1</v>
      </c>
      <c r="HG31" s="2195">
        <v>18</v>
      </c>
      <c r="HH31" s="2195">
        <v>22.4</v>
      </c>
      <c r="HI31" s="280">
        <v>36</v>
      </c>
      <c r="HJ31" s="280">
        <v>60</v>
      </c>
      <c r="HK31" s="280">
        <v>84</v>
      </c>
      <c r="HL31" s="2195">
        <v>113</v>
      </c>
      <c r="HO31" s="2187">
        <v>323</v>
      </c>
      <c r="HP31" s="2186">
        <v>358</v>
      </c>
      <c r="HS31" s="2193">
        <v>323</v>
      </c>
      <c r="HT31" s="2195">
        <v>1.1200000000000001</v>
      </c>
      <c r="HU31" s="2195">
        <v>1.78</v>
      </c>
      <c r="HV31" s="2195">
        <v>2.46</v>
      </c>
      <c r="HW31" s="2195">
        <v>3.4</v>
      </c>
      <c r="HX31" s="2195">
        <v>4.8</v>
      </c>
      <c r="HY31" s="2195">
        <v>6</v>
      </c>
      <c r="HZ31" s="2195">
        <v>10.5</v>
      </c>
      <c r="IA31" s="2195">
        <v>14.1</v>
      </c>
      <c r="IB31" s="2195">
        <v>18</v>
      </c>
      <c r="IC31" s="2195">
        <v>22.4</v>
      </c>
      <c r="ID31" s="280">
        <v>36</v>
      </c>
      <c r="IE31" s="280">
        <v>60</v>
      </c>
      <c r="IF31" s="280">
        <v>84</v>
      </c>
      <c r="IG31" s="2195">
        <v>113</v>
      </c>
    </row>
    <row r="32" spans="2:246" ht="21.95" customHeight="1">
      <c r="C32" s="283" t="s">
        <v>651</v>
      </c>
      <c r="D32" s="3620">
        <f>E334</f>
        <v>0</v>
      </c>
      <c r="E32" s="284">
        <v>0</v>
      </c>
      <c r="F32" s="284">
        <v>0</v>
      </c>
      <c r="G32" s="284">
        <v>0</v>
      </c>
      <c r="H32" s="284">
        <v>0</v>
      </c>
      <c r="I32" s="281"/>
      <c r="S32" s="286"/>
      <c r="T32" s="286"/>
      <c r="AF32" s="2174"/>
      <c r="AG32" s="2174"/>
      <c r="AJ32" s="2204">
        <v>315</v>
      </c>
      <c r="AK32" s="280">
        <v>0</v>
      </c>
      <c r="AL32" s="280">
        <v>0</v>
      </c>
      <c r="AM32" s="280">
        <v>0</v>
      </c>
      <c r="AN32" s="280">
        <v>5</v>
      </c>
      <c r="AO32" s="280">
        <v>6.5</v>
      </c>
      <c r="AP32" s="280">
        <v>9</v>
      </c>
      <c r="AQ32" s="280">
        <v>14</v>
      </c>
      <c r="AR32" s="280">
        <v>21</v>
      </c>
      <c r="AS32" s="280">
        <v>25</v>
      </c>
      <c r="AT32" s="280">
        <v>37</v>
      </c>
      <c r="AU32" s="280">
        <v>60</v>
      </c>
      <c r="AV32" s="280">
        <v>86</v>
      </c>
      <c r="AW32" s="280">
        <v>115</v>
      </c>
      <c r="AX32" s="280">
        <v>165</v>
      </c>
      <c r="AY32" s="280">
        <v>235</v>
      </c>
      <c r="BB32" s="2186">
        <v>315</v>
      </c>
      <c r="BC32" s="2186">
        <v>355</v>
      </c>
      <c r="BF32" s="2204">
        <v>315</v>
      </c>
      <c r="BG32" s="280">
        <v>0</v>
      </c>
      <c r="BH32" s="280">
        <v>0</v>
      </c>
      <c r="BI32" s="280">
        <v>0</v>
      </c>
      <c r="BJ32" s="280">
        <v>5</v>
      </c>
      <c r="BK32" s="280">
        <v>6.5</v>
      </c>
      <c r="BL32" s="280">
        <v>9</v>
      </c>
      <c r="BM32" s="280">
        <v>14</v>
      </c>
      <c r="BN32" s="280">
        <v>21</v>
      </c>
      <c r="BO32" s="280">
        <v>25</v>
      </c>
      <c r="BP32" s="280">
        <v>37</v>
      </c>
      <c r="BQ32" s="280">
        <v>60</v>
      </c>
      <c r="BR32" s="280">
        <v>86</v>
      </c>
      <c r="BS32" s="280">
        <v>115</v>
      </c>
      <c r="BT32" s="280">
        <v>165</v>
      </c>
      <c r="BU32" s="280">
        <v>235</v>
      </c>
      <c r="BX32" s="2174"/>
      <c r="CA32" s="2193">
        <v>396</v>
      </c>
      <c r="CB32" s="280">
        <v>0.9</v>
      </c>
      <c r="CC32" s="280">
        <v>1.4</v>
      </c>
      <c r="CD32" s="280">
        <v>2</v>
      </c>
      <c r="CE32" s="280">
        <v>2.8</v>
      </c>
      <c r="CF32" s="280">
        <v>3.9</v>
      </c>
      <c r="CG32" s="280">
        <v>4.92</v>
      </c>
      <c r="CH32" s="280">
        <v>8.5</v>
      </c>
      <c r="CI32" s="280">
        <v>11.5</v>
      </c>
      <c r="CJ32" s="280">
        <v>14.7</v>
      </c>
      <c r="CK32" s="280">
        <v>18.3</v>
      </c>
      <c r="CL32" s="280">
        <v>29.4</v>
      </c>
      <c r="CM32" s="280">
        <v>48</v>
      </c>
      <c r="CN32" s="280">
        <v>67</v>
      </c>
      <c r="CO32" s="280">
        <v>91</v>
      </c>
      <c r="CR32" s="2186">
        <v>396</v>
      </c>
      <c r="CS32" s="2186">
        <v>438</v>
      </c>
      <c r="CV32" s="2193">
        <v>396</v>
      </c>
      <c r="CW32" s="280">
        <v>0.9</v>
      </c>
      <c r="CX32" s="280">
        <v>1.4</v>
      </c>
      <c r="CY32" s="280">
        <v>2</v>
      </c>
      <c r="CZ32" s="280">
        <v>2.8</v>
      </c>
      <c r="DA32" s="280">
        <v>3.9</v>
      </c>
      <c r="DB32" s="280">
        <v>4.92</v>
      </c>
      <c r="DC32" s="280">
        <v>8.5</v>
      </c>
      <c r="DD32" s="280">
        <v>11.5</v>
      </c>
      <c r="DE32" s="280">
        <v>14.7</v>
      </c>
      <c r="DF32" s="280">
        <v>18.3</v>
      </c>
      <c r="DG32" s="280">
        <v>29.4</v>
      </c>
      <c r="DH32" s="280">
        <v>48</v>
      </c>
      <c r="DI32" s="280">
        <v>67</v>
      </c>
      <c r="DJ32" s="280">
        <v>91</v>
      </c>
      <c r="DX32" s="1"/>
      <c r="DZ32" s="283" t="s">
        <v>651</v>
      </c>
      <c r="EA32" s="3620">
        <f>EB334</f>
        <v>0</v>
      </c>
      <c r="EB32" s="284">
        <v>0</v>
      </c>
      <c r="EC32" s="284">
        <v>0</v>
      </c>
      <c r="ED32" s="284">
        <v>0</v>
      </c>
      <c r="EE32" s="284">
        <v>0</v>
      </c>
      <c r="EF32" s="281"/>
      <c r="EP32" s="286"/>
      <c r="EQ32" s="286"/>
      <c r="FC32" s="2174"/>
      <c r="FD32" s="2174"/>
      <c r="FG32" s="2204">
        <v>280</v>
      </c>
      <c r="FH32" s="280">
        <v>0</v>
      </c>
      <c r="FI32" s="280">
        <v>0</v>
      </c>
      <c r="FJ32" s="280">
        <v>0</v>
      </c>
      <c r="FK32" s="280">
        <v>5.5</v>
      </c>
      <c r="FL32" s="280">
        <v>7.5</v>
      </c>
      <c r="FM32" s="280">
        <v>10</v>
      </c>
      <c r="FN32" s="280">
        <v>15</v>
      </c>
      <c r="FO32" s="280">
        <v>24</v>
      </c>
      <c r="FP32" s="280">
        <v>29</v>
      </c>
      <c r="FQ32" s="280">
        <v>43</v>
      </c>
      <c r="FR32" s="280">
        <v>67</v>
      </c>
      <c r="FS32" s="280">
        <v>95</v>
      </c>
      <c r="FT32" s="280">
        <v>125</v>
      </c>
      <c r="FU32" s="280">
        <v>185</v>
      </c>
      <c r="FV32" s="280">
        <v>265</v>
      </c>
      <c r="FY32" s="2186">
        <v>280</v>
      </c>
      <c r="FZ32" s="2186">
        <v>315</v>
      </c>
      <c r="GC32" s="2204">
        <v>280</v>
      </c>
      <c r="GD32" s="280">
        <v>0</v>
      </c>
      <c r="GE32" s="280">
        <v>0</v>
      </c>
      <c r="GF32" s="280">
        <v>0</v>
      </c>
      <c r="GG32" s="280">
        <v>5.5</v>
      </c>
      <c r="GH32" s="280">
        <v>7.5</v>
      </c>
      <c r="GI32" s="280">
        <v>10</v>
      </c>
      <c r="GJ32" s="280">
        <v>15</v>
      </c>
      <c r="GK32" s="280">
        <v>24</v>
      </c>
      <c r="GL32" s="280">
        <v>29</v>
      </c>
      <c r="GM32" s="280">
        <v>43</v>
      </c>
      <c r="GN32" s="280">
        <v>67</v>
      </c>
      <c r="GO32" s="280">
        <v>95</v>
      </c>
      <c r="GP32" s="280">
        <v>125</v>
      </c>
      <c r="GQ32" s="280">
        <v>185</v>
      </c>
      <c r="GR32" s="280">
        <v>265</v>
      </c>
      <c r="GU32" s="2174"/>
      <c r="GX32" s="2193">
        <v>358</v>
      </c>
      <c r="GY32" s="280">
        <v>1.01</v>
      </c>
      <c r="GZ32" s="280">
        <v>1.6</v>
      </c>
      <c r="HA32" s="280">
        <v>2.23</v>
      </c>
      <c r="HB32" s="280">
        <v>3.1</v>
      </c>
      <c r="HC32" s="280">
        <v>4.4000000000000004</v>
      </c>
      <c r="HD32" s="280">
        <v>5.46</v>
      </c>
      <c r="HE32" s="280">
        <v>9.5</v>
      </c>
      <c r="HF32" s="280">
        <v>12.7</v>
      </c>
      <c r="HG32" s="280">
        <v>16.3</v>
      </c>
      <c r="HH32" s="280">
        <v>20.399999999999999</v>
      </c>
      <c r="HI32" s="280">
        <v>32.5</v>
      </c>
      <c r="HJ32" s="280">
        <v>55</v>
      </c>
      <c r="HK32" s="280">
        <v>71</v>
      </c>
      <c r="HL32" s="280">
        <v>99</v>
      </c>
      <c r="HO32" s="2186">
        <v>358</v>
      </c>
      <c r="HP32" s="2186">
        <v>396</v>
      </c>
      <c r="HS32" s="2193">
        <v>358</v>
      </c>
      <c r="HT32" s="280">
        <v>1.01</v>
      </c>
      <c r="HU32" s="280">
        <v>1.6</v>
      </c>
      <c r="HV32" s="280">
        <v>2.23</v>
      </c>
      <c r="HW32" s="280">
        <v>3.1</v>
      </c>
      <c r="HX32" s="280">
        <v>4.4000000000000004</v>
      </c>
      <c r="HY32" s="280">
        <v>5.46</v>
      </c>
      <c r="HZ32" s="280">
        <v>9.5</v>
      </c>
      <c r="IA32" s="280">
        <v>12.7</v>
      </c>
      <c r="IB32" s="280">
        <v>16.3</v>
      </c>
      <c r="IC32" s="280">
        <v>20.399999999999999</v>
      </c>
      <c r="ID32" s="280">
        <v>32.5</v>
      </c>
      <c r="IE32" s="280">
        <v>55</v>
      </c>
      <c r="IF32" s="280">
        <v>71</v>
      </c>
      <c r="IG32" s="280">
        <v>99</v>
      </c>
    </row>
    <row r="33" spans="2:241" ht="21.95" customHeight="1">
      <c r="C33" s="283" t="s">
        <v>654</v>
      </c>
      <c r="D33" s="3620">
        <f t="shared" ref="D33:D35" si="1">E335</f>
        <v>20.86</v>
      </c>
      <c r="E33" s="3620" t="str">
        <f t="shared" ref="E33:E34" si="2">"3AH"&amp;F335</f>
        <v>3AH825</v>
      </c>
      <c r="F33" s="3620">
        <f>VLOOKUP(E33,'E Gear B'!C56:F66,2,0)</f>
        <v>203682</v>
      </c>
      <c r="G33" s="3620">
        <f>VLOOKUP(E33,'E Gear B'!C56:F66,3,0)</f>
        <v>33600</v>
      </c>
      <c r="H33" s="3620">
        <f>VLOOKUP(E33,'E Gear B'!C56:F66,4,0)</f>
        <v>1400</v>
      </c>
      <c r="I33" s="281"/>
      <c r="O33" s="2252" t="s">
        <v>2262</v>
      </c>
      <c r="S33" s="286"/>
      <c r="T33" s="286"/>
      <c r="AF33" s="2174"/>
      <c r="AG33" s="2174"/>
      <c r="AJ33" s="2204">
        <v>355</v>
      </c>
      <c r="AK33" s="280">
        <v>0</v>
      </c>
      <c r="AL33" s="280">
        <v>0</v>
      </c>
      <c r="AM33" s="280">
        <v>0</v>
      </c>
      <c r="AN33" s="280">
        <v>4.5</v>
      </c>
      <c r="AO33" s="280">
        <v>6</v>
      </c>
      <c r="AP33" s="280">
        <v>8.5</v>
      </c>
      <c r="AQ33" s="280">
        <v>12</v>
      </c>
      <c r="AR33" s="280">
        <v>19</v>
      </c>
      <c r="AS33" s="280">
        <v>23</v>
      </c>
      <c r="AT33" s="280">
        <v>34</v>
      </c>
      <c r="AU33" s="280">
        <v>53</v>
      </c>
      <c r="AV33" s="280">
        <v>75</v>
      </c>
      <c r="AW33" s="280">
        <v>99</v>
      </c>
      <c r="AX33" s="280">
        <v>145</v>
      </c>
      <c r="AY33" s="280">
        <v>205</v>
      </c>
      <c r="BB33" s="2186">
        <v>355</v>
      </c>
      <c r="BC33" s="2186">
        <v>400</v>
      </c>
      <c r="BF33" s="2204">
        <v>355</v>
      </c>
      <c r="BG33" s="280">
        <v>0</v>
      </c>
      <c r="BH33" s="280">
        <v>0</v>
      </c>
      <c r="BI33" s="280">
        <v>0</v>
      </c>
      <c r="BJ33" s="280">
        <v>4.5</v>
      </c>
      <c r="BK33" s="280">
        <v>6</v>
      </c>
      <c r="BL33" s="280">
        <v>8.5</v>
      </c>
      <c r="BM33" s="280">
        <v>12</v>
      </c>
      <c r="BN33" s="280">
        <v>19</v>
      </c>
      <c r="BO33" s="280">
        <v>23</v>
      </c>
      <c r="BP33" s="280">
        <v>34</v>
      </c>
      <c r="BQ33" s="280">
        <v>53</v>
      </c>
      <c r="BR33" s="280">
        <v>75</v>
      </c>
      <c r="BS33" s="280">
        <v>99</v>
      </c>
      <c r="BT33" s="280">
        <v>145</v>
      </c>
      <c r="BU33" s="280">
        <v>205</v>
      </c>
      <c r="BX33" s="2174"/>
      <c r="CA33" s="2193">
        <v>438</v>
      </c>
      <c r="CB33" s="280">
        <v>0.82</v>
      </c>
      <c r="CC33" s="280">
        <v>1.3</v>
      </c>
      <c r="CD33" s="280">
        <v>1.79</v>
      </c>
      <c r="CE33" s="280">
        <v>2.1</v>
      </c>
      <c r="CF33" s="280">
        <v>2.5</v>
      </c>
      <c r="CG33" s="280">
        <v>3</v>
      </c>
      <c r="CH33" s="280">
        <v>5</v>
      </c>
      <c r="CI33" s="280">
        <v>7</v>
      </c>
      <c r="CJ33" s="280">
        <v>8.8000000000000007</v>
      </c>
      <c r="CK33" s="280">
        <v>12.3</v>
      </c>
      <c r="CL33" s="280">
        <v>17</v>
      </c>
      <c r="CM33" s="280">
        <v>45</v>
      </c>
      <c r="CN33" s="280">
        <v>63</v>
      </c>
      <c r="CO33" s="280">
        <v>81</v>
      </c>
      <c r="CR33" s="2186">
        <v>438</v>
      </c>
      <c r="CS33" s="2186">
        <v>485</v>
      </c>
      <c r="CV33" s="2193">
        <v>438</v>
      </c>
      <c r="CW33" s="280">
        <v>0.82</v>
      </c>
      <c r="CX33" s="280">
        <v>1.3</v>
      </c>
      <c r="CY33" s="280">
        <v>1.79</v>
      </c>
      <c r="CZ33" s="280">
        <v>2.1</v>
      </c>
      <c r="DA33" s="280">
        <v>2.5</v>
      </c>
      <c r="DB33" s="280">
        <v>3</v>
      </c>
      <c r="DC33" s="280">
        <v>5</v>
      </c>
      <c r="DD33" s="280">
        <v>7</v>
      </c>
      <c r="DE33" s="280">
        <v>8.8000000000000007</v>
      </c>
      <c r="DF33" s="280">
        <v>12.3</v>
      </c>
      <c r="DG33" s="280">
        <v>17</v>
      </c>
      <c r="DH33" s="280">
        <v>45</v>
      </c>
      <c r="DI33" s="280">
        <v>63</v>
      </c>
      <c r="DJ33" s="280">
        <v>81</v>
      </c>
      <c r="DX33" s="1"/>
      <c r="DZ33" s="283" t="s">
        <v>654</v>
      </c>
      <c r="EA33" s="3620">
        <f>EB335</f>
        <v>22.09</v>
      </c>
      <c r="EB33" s="3620" t="str">
        <f t="shared" ref="EB33:EB34" si="3">"3AH"&amp;EC335</f>
        <v>3AH775</v>
      </c>
      <c r="EC33" s="3620">
        <f>VLOOKUP(EB33,'E Gear B'!DZ56:EC66,2,0)</f>
        <v>195532</v>
      </c>
      <c r="ED33" s="3620">
        <f>VLOOKUP(EB33,'E Gear B'!DZ56:EC66,3,0)</f>
        <v>29400</v>
      </c>
      <c r="EE33" s="3620">
        <f>VLOOKUP(EB33,'E Gear B'!DZ56:EC66,4,0)</f>
        <v>1100</v>
      </c>
      <c r="EF33" s="281"/>
      <c r="EP33" s="286"/>
      <c r="EQ33" s="286"/>
      <c r="FC33" s="2174"/>
      <c r="FD33" s="2174"/>
      <c r="FG33" s="2204">
        <v>315</v>
      </c>
      <c r="FH33" s="280">
        <v>0</v>
      </c>
      <c r="FI33" s="280">
        <v>0</v>
      </c>
      <c r="FJ33" s="280">
        <v>0</v>
      </c>
      <c r="FK33" s="280">
        <v>5</v>
      </c>
      <c r="FL33" s="280">
        <v>6.5</v>
      </c>
      <c r="FM33" s="280">
        <v>9</v>
      </c>
      <c r="FN33" s="280">
        <v>14</v>
      </c>
      <c r="FO33" s="280">
        <v>21</v>
      </c>
      <c r="FP33" s="280">
        <v>25</v>
      </c>
      <c r="FQ33" s="280">
        <v>37</v>
      </c>
      <c r="FR33" s="280">
        <v>60</v>
      </c>
      <c r="FS33" s="280">
        <v>86</v>
      </c>
      <c r="FT33" s="280">
        <v>115</v>
      </c>
      <c r="FU33" s="280">
        <v>165</v>
      </c>
      <c r="FV33" s="280">
        <v>235</v>
      </c>
      <c r="FY33" s="2186">
        <v>315</v>
      </c>
      <c r="FZ33" s="2186">
        <v>355</v>
      </c>
      <c r="GC33" s="2204">
        <v>315</v>
      </c>
      <c r="GD33" s="280">
        <v>0</v>
      </c>
      <c r="GE33" s="280">
        <v>0</v>
      </c>
      <c r="GF33" s="280">
        <v>0</v>
      </c>
      <c r="GG33" s="280">
        <v>5</v>
      </c>
      <c r="GH33" s="280">
        <v>6.5</v>
      </c>
      <c r="GI33" s="280">
        <v>9</v>
      </c>
      <c r="GJ33" s="280">
        <v>14</v>
      </c>
      <c r="GK33" s="280">
        <v>21</v>
      </c>
      <c r="GL33" s="280">
        <v>25</v>
      </c>
      <c r="GM33" s="280">
        <v>37</v>
      </c>
      <c r="GN33" s="280">
        <v>60</v>
      </c>
      <c r="GO33" s="280">
        <v>86</v>
      </c>
      <c r="GP33" s="280">
        <v>115</v>
      </c>
      <c r="GQ33" s="280">
        <v>165</v>
      </c>
      <c r="GR33" s="280">
        <v>235</v>
      </c>
      <c r="GU33" s="2174"/>
      <c r="GX33" s="2193">
        <v>396</v>
      </c>
      <c r="GY33" s="280">
        <v>0.9</v>
      </c>
      <c r="GZ33" s="280">
        <v>1.4</v>
      </c>
      <c r="HA33" s="280">
        <v>2</v>
      </c>
      <c r="HB33" s="280">
        <v>2.8</v>
      </c>
      <c r="HC33" s="280">
        <v>3.9</v>
      </c>
      <c r="HD33" s="280">
        <v>4.92</v>
      </c>
      <c r="HE33" s="280">
        <v>8.5</v>
      </c>
      <c r="HF33" s="280">
        <v>11.5</v>
      </c>
      <c r="HG33" s="280">
        <v>14.7</v>
      </c>
      <c r="HH33" s="280">
        <v>18.3</v>
      </c>
      <c r="HI33" s="280">
        <v>29.4</v>
      </c>
      <c r="HJ33" s="280">
        <v>48</v>
      </c>
      <c r="HK33" s="280">
        <v>67</v>
      </c>
      <c r="HL33" s="280">
        <v>91</v>
      </c>
      <c r="HO33" s="2186">
        <v>396</v>
      </c>
      <c r="HP33" s="2186">
        <v>438</v>
      </c>
      <c r="HS33" s="2193">
        <v>396</v>
      </c>
      <c r="HT33" s="280">
        <v>0.9</v>
      </c>
      <c r="HU33" s="280">
        <v>1.4</v>
      </c>
      <c r="HV33" s="280">
        <v>2</v>
      </c>
      <c r="HW33" s="280">
        <v>2.8</v>
      </c>
      <c r="HX33" s="280">
        <v>3.9</v>
      </c>
      <c r="HY33" s="280">
        <v>4.92</v>
      </c>
      <c r="HZ33" s="280">
        <v>8.5</v>
      </c>
      <c r="IA33" s="280">
        <v>11.5</v>
      </c>
      <c r="IB33" s="280">
        <v>14.7</v>
      </c>
      <c r="IC33" s="280">
        <v>18.3</v>
      </c>
      <c r="ID33" s="280">
        <v>29.4</v>
      </c>
      <c r="IE33" s="280">
        <v>48</v>
      </c>
      <c r="IF33" s="280">
        <v>67</v>
      </c>
      <c r="IG33" s="280">
        <v>91</v>
      </c>
    </row>
    <row r="34" spans="2:241" ht="21.95" customHeight="1">
      <c r="C34" s="283" t="s">
        <v>658</v>
      </c>
      <c r="D34" s="3620">
        <f t="shared" si="1"/>
        <v>21.47</v>
      </c>
      <c r="E34" s="3620" t="str">
        <f t="shared" si="2"/>
        <v>3AH950</v>
      </c>
      <c r="F34" s="3620">
        <f>VLOOKUP(E34,'E Gear B'!C56:F66,2,0)</f>
        <v>321637</v>
      </c>
      <c r="G34" s="3620">
        <f>VLOOKUP(E34,'E Gear B'!C56:F66,3,0)</f>
        <v>36750</v>
      </c>
      <c r="H34" s="3620">
        <f>VLOOKUP(E34,'E Gear B'!C56:F66,4,0)</f>
        <v>2200</v>
      </c>
      <c r="I34" s="281"/>
      <c r="S34" s="286"/>
      <c r="T34" s="286"/>
      <c r="AF34" s="2174"/>
      <c r="AG34" s="2174"/>
      <c r="AJ34" s="2204">
        <v>400</v>
      </c>
      <c r="AK34" s="280">
        <v>0</v>
      </c>
      <c r="AL34" s="280">
        <v>0</v>
      </c>
      <c r="AM34" s="280">
        <v>0</v>
      </c>
      <c r="AN34" s="280">
        <v>4</v>
      </c>
      <c r="AO34" s="280">
        <v>5</v>
      </c>
      <c r="AP34" s="280">
        <v>7.5</v>
      </c>
      <c r="AQ34" s="280">
        <v>11</v>
      </c>
      <c r="AR34" s="280">
        <v>17</v>
      </c>
      <c r="AS34" s="280">
        <v>20</v>
      </c>
      <c r="AT34" s="280">
        <v>30</v>
      </c>
      <c r="AU34" s="280">
        <v>48</v>
      </c>
      <c r="AV34" s="280">
        <v>68</v>
      </c>
      <c r="AW34" s="280">
        <v>90</v>
      </c>
      <c r="AX34" s="280">
        <v>130</v>
      </c>
      <c r="AY34" s="280">
        <v>190</v>
      </c>
      <c r="BB34" s="2186">
        <v>400</v>
      </c>
      <c r="BC34" s="2186">
        <v>450</v>
      </c>
      <c r="BF34" s="2204">
        <v>400</v>
      </c>
      <c r="BG34" s="280">
        <v>0</v>
      </c>
      <c r="BH34" s="280">
        <v>0</v>
      </c>
      <c r="BI34" s="280">
        <v>0</v>
      </c>
      <c r="BJ34" s="280">
        <v>4</v>
      </c>
      <c r="BK34" s="280">
        <v>5</v>
      </c>
      <c r="BL34" s="280">
        <v>7.5</v>
      </c>
      <c r="BM34" s="280">
        <v>11</v>
      </c>
      <c r="BN34" s="280">
        <v>17</v>
      </c>
      <c r="BO34" s="280">
        <v>20</v>
      </c>
      <c r="BP34" s="280">
        <v>30</v>
      </c>
      <c r="BQ34" s="280">
        <v>48</v>
      </c>
      <c r="BR34" s="280">
        <v>68</v>
      </c>
      <c r="BS34" s="280">
        <v>90</v>
      </c>
      <c r="BT34" s="280">
        <v>130</v>
      </c>
      <c r="BU34" s="280">
        <v>190</v>
      </c>
      <c r="BX34" s="2174"/>
      <c r="CA34" s="2193">
        <v>485</v>
      </c>
      <c r="CB34" s="280">
        <v>0.73</v>
      </c>
      <c r="CC34" s="280">
        <v>1.17</v>
      </c>
      <c r="CD34" s="280">
        <v>1.6</v>
      </c>
      <c r="CE34" s="280">
        <v>2</v>
      </c>
      <c r="CF34" s="280">
        <v>2.4</v>
      </c>
      <c r="CG34" s="280">
        <v>2.82</v>
      </c>
      <c r="CH34" s="280">
        <v>4.5999999999999996</v>
      </c>
      <c r="CI34" s="280">
        <v>6.4</v>
      </c>
      <c r="CJ34" s="280">
        <v>7.8</v>
      </c>
      <c r="CK34" s="280">
        <v>11.2</v>
      </c>
      <c r="CL34" s="280">
        <v>15.4</v>
      </c>
      <c r="CM34" s="280">
        <v>40</v>
      </c>
      <c r="CN34" s="280">
        <v>57</v>
      </c>
      <c r="CO34" s="280">
        <v>0</v>
      </c>
      <c r="CR34" s="2186">
        <v>485</v>
      </c>
      <c r="CS34" s="2186">
        <v>536</v>
      </c>
      <c r="CV34" s="2193">
        <v>485</v>
      </c>
      <c r="CW34" s="280">
        <v>0.73</v>
      </c>
      <c r="CX34" s="280">
        <v>1.17</v>
      </c>
      <c r="CY34" s="280">
        <v>1.6</v>
      </c>
      <c r="CZ34" s="280">
        <v>2</v>
      </c>
      <c r="DA34" s="280">
        <v>2.4</v>
      </c>
      <c r="DB34" s="280">
        <v>2.82</v>
      </c>
      <c r="DC34" s="280">
        <v>4.5999999999999996</v>
      </c>
      <c r="DD34" s="280">
        <v>6.4</v>
      </c>
      <c r="DE34" s="280">
        <v>7.8</v>
      </c>
      <c r="DF34" s="280">
        <v>11.2</v>
      </c>
      <c r="DG34" s="280">
        <v>15.4</v>
      </c>
      <c r="DH34" s="280">
        <v>40</v>
      </c>
      <c r="DI34" s="280">
        <v>57</v>
      </c>
      <c r="DJ34" s="280">
        <v>0</v>
      </c>
      <c r="DX34" s="1"/>
      <c r="DZ34" s="283" t="s">
        <v>658</v>
      </c>
      <c r="EA34" s="3620">
        <f t="shared" ref="EA34" si="4">EB336</f>
        <v>22.47</v>
      </c>
      <c r="EB34" s="3620" t="str">
        <f t="shared" si="3"/>
        <v>3AH825</v>
      </c>
      <c r="EC34" s="3620">
        <f>VLOOKUP(EB34,'E Gear B'!DZ56:EC66,2,0)</f>
        <v>203682</v>
      </c>
      <c r="ED34" s="3620">
        <f>VLOOKUP(EB34,'E Gear B'!DZ56:EC66,3,0)</f>
        <v>33600</v>
      </c>
      <c r="EE34" s="3620">
        <f>VLOOKUP(EB34,'E Gear B'!DZ56:EC66,4,0)</f>
        <v>1400</v>
      </c>
      <c r="EF34" s="281"/>
      <c r="EP34" s="286"/>
      <c r="EQ34" s="286"/>
      <c r="FC34" s="2174"/>
      <c r="FD34" s="2174"/>
      <c r="FG34" s="2204">
        <v>355</v>
      </c>
      <c r="FH34" s="280">
        <v>0</v>
      </c>
      <c r="FI34" s="280">
        <v>0</v>
      </c>
      <c r="FJ34" s="280">
        <v>0</v>
      </c>
      <c r="FK34" s="280">
        <v>4.5</v>
      </c>
      <c r="FL34" s="280">
        <v>6</v>
      </c>
      <c r="FM34" s="280">
        <v>8.5</v>
      </c>
      <c r="FN34" s="280">
        <v>12</v>
      </c>
      <c r="FO34" s="280">
        <v>19</v>
      </c>
      <c r="FP34" s="280">
        <v>23</v>
      </c>
      <c r="FQ34" s="280">
        <v>34</v>
      </c>
      <c r="FR34" s="280">
        <v>53</v>
      </c>
      <c r="FS34" s="280">
        <v>75</v>
      </c>
      <c r="FT34" s="280">
        <v>99</v>
      </c>
      <c r="FU34" s="280">
        <v>145</v>
      </c>
      <c r="FV34" s="280">
        <v>205</v>
      </c>
      <c r="FY34" s="2186">
        <v>355</v>
      </c>
      <c r="FZ34" s="2186">
        <v>400</v>
      </c>
      <c r="GC34" s="2204">
        <v>355</v>
      </c>
      <c r="GD34" s="280">
        <v>0</v>
      </c>
      <c r="GE34" s="280">
        <v>0</v>
      </c>
      <c r="GF34" s="280">
        <v>0</v>
      </c>
      <c r="GG34" s="280">
        <v>4.5</v>
      </c>
      <c r="GH34" s="280">
        <v>6</v>
      </c>
      <c r="GI34" s="280">
        <v>8.5</v>
      </c>
      <c r="GJ34" s="280">
        <v>12</v>
      </c>
      <c r="GK34" s="280">
        <v>19</v>
      </c>
      <c r="GL34" s="280">
        <v>23</v>
      </c>
      <c r="GM34" s="280">
        <v>34</v>
      </c>
      <c r="GN34" s="280">
        <v>53</v>
      </c>
      <c r="GO34" s="280">
        <v>75</v>
      </c>
      <c r="GP34" s="280">
        <v>99</v>
      </c>
      <c r="GQ34" s="280">
        <v>145</v>
      </c>
      <c r="GR34" s="280">
        <v>205</v>
      </c>
      <c r="GU34" s="2174"/>
      <c r="GX34" s="2193">
        <v>438</v>
      </c>
      <c r="GY34" s="280">
        <v>0.82</v>
      </c>
      <c r="GZ34" s="280">
        <v>1.3</v>
      </c>
      <c r="HA34" s="280">
        <v>1.79</v>
      </c>
      <c r="HB34" s="280">
        <v>2.1</v>
      </c>
      <c r="HC34" s="280">
        <v>2.5</v>
      </c>
      <c r="HD34" s="280">
        <v>3</v>
      </c>
      <c r="HE34" s="280">
        <v>5</v>
      </c>
      <c r="HF34" s="280">
        <v>7</v>
      </c>
      <c r="HG34" s="280">
        <v>8.8000000000000007</v>
      </c>
      <c r="HH34" s="280">
        <v>12.3</v>
      </c>
      <c r="HI34" s="280">
        <v>17</v>
      </c>
      <c r="HJ34" s="280">
        <v>45</v>
      </c>
      <c r="HK34" s="280">
        <v>63</v>
      </c>
      <c r="HL34" s="280">
        <v>81</v>
      </c>
      <c r="HO34" s="2186">
        <v>438</v>
      </c>
      <c r="HP34" s="2186">
        <v>485</v>
      </c>
      <c r="HS34" s="2193">
        <v>438</v>
      </c>
      <c r="HT34" s="280">
        <v>0.82</v>
      </c>
      <c r="HU34" s="280">
        <v>1.3</v>
      </c>
      <c r="HV34" s="280">
        <v>1.79</v>
      </c>
      <c r="HW34" s="280">
        <v>2.1</v>
      </c>
      <c r="HX34" s="280">
        <v>2.5</v>
      </c>
      <c r="HY34" s="280">
        <v>3</v>
      </c>
      <c r="HZ34" s="280">
        <v>5</v>
      </c>
      <c r="IA34" s="280">
        <v>7</v>
      </c>
      <c r="IB34" s="280">
        <v>8.8000000000000007</v>
      </c>
      <c r="IC34" s="280">
        <v>12.3</v>
      </c>
      <c r="ID34" s="280">
        <v>17</v>
      </c>
      <c r="IE34" s="280">
        <v>45</v>
      </c>
      <c r="IF34" s="280">
        <v>63</v>
      </c>
      <c r="IG34" s="280">
        <v>81</v>
      </c>
    </row>
    <row r="35" spans="2:241" ht="21.95" customHeight="1">
      <c r="C35" s="283" t="s">
        <v>662</v>
      </c>
      <c r="D35" s="3620">
        <f t="shared" si="1"/>
        <v>22</v>
      </c>
      <c r="E35" s="3620" t="str">
        <f>"3AH"&amp;F337</f>
        <v>3AH1100</v>
      </c>
      <c r="F35" s="3620">
        <f>VLOOKUP(E35,'E Gear B'!C56:F66,2,0)</f>
        <v>412631</v>
      </c>
      <c r="G35" s="3620">
        <f>VLOOKUP(E35,'E Gear B'!C56:F66,3,0)</f>
        <v>42000</v>
      </c>
      <c r="H35" s="3620">
        <f>VLOOKUP(E35,'E Gear B'!C56:F66,4,0)</f>
        <v>2600</v>
      </c>
      <c r="I35" s="281"/>
      <c r="S35" s="286"/>
      <c r="T35" s="286"/>
      <c r="AF35" s="2174"/>
      <c r="AG35" s="2174"/>
      <c r="AJ35" s="2204">
        <v>450</v>
      </c>
      <c r="AK35" s="280">
        <v>0</v>
      </c>
      <c r="AL35" s="280">
        <v>0</v>
      </c>
      <c r="AM35" s="280">
        <v>0</v>
      </c>
      <c r="AN35" s="280">
        <v>3.5</v>
      </c>
      <c r="AO35" s="280">
        <v>5</v>
      </c>
      <c r="AP35" s="280">
        <v>6.5</v>
      </c>
      <c r="AQ35" s="280">
        <v>9</v>
      </c>
      <c r="AR35" s="280">
        <v>14</v>
      </c>
      <c r="AS35" s="280">
        <v>19</v>
      </c>
      <c r="AT35" s="280">
        <v>26</v>
      </c>
      <c r="AU35" s="280">
        <v>43</v>
      </c>
      <c r="AV35" s="280">
        <v>60</v>
      </c>
      <c r="AW35" s="280">
        <v>81</v>
      </c>
      <c r="AX35" s="280">
        <v>115</v>
      </c>
      <c r="AY35" s="280">
        <v>170</v>
      </c>
      <c r="BB35" s="2186">
        <v>450</v>
      </c>
      <c r="BC35" s="2186">
        <v>500</v>
      </c>
      <c r="BF35" s="2204">
        <v>450</v>
      </c>
      <c r="BG35" s="280">
        <v>0</v>
      </c>
      <c r="BH35" s="280">
        <v>0</v>
      </c>
      <c r="BI35" s="280">
        <v>0</v>
      </c>
      <c r="BJ35" s="280">
        <v>3.5</v>
      </c>
      <c r="BK35" s="280">
        <v>5</v>
      </c>
      <c r="BL35" s="280">
        <v>6.5</v>
      </c>
      <c r="BM35" s="280">
        <v>9</v>
      </c>
      <c r="BN35" s="280">
        <v>14</v>
      </c>
      <c r="BO35" s="280">
        <v>19</v>
      </c>
      <c r="BP35" s="280">
        <v>26</v>
      </c>
      <c r="BQ35" s="280">
        <v>43</v>
      </c>
      <c r="BR35" s="280">
        <v>60</v>
      </c>
      <c r="BS35" s="280">
        <v>81</v>
      </c>
      <c r="BT35" s="280">
        <v>115</v>
      </c>
      <c r="BU35" s="280">
        <v>170</v>
      </c>
      <c r="BX35" s="2174"/>
      <c r="CA35" s="2193">
        <v>536</v>
      </c>
      <c r="CB35" s="280">
        <v>0.6</v>
      </c>
      <c r="CC35" s="280">
        <v>1.05</v>
      </c>
      <c r="CD35" s="280">
        <v>1.43</v>
      </c>
      <c r="CE35" s="280">
        <v>1.6</v>
      </c>
      <c r="CF35" s="280">
        <v>2</v>
      </c>
      <c r="CG35" s="280">
        <v>2.66</v>
      </c>
      <c r="CH35" s="280">
        <v>4.2</v>
      </c>
      <c r="CI35" s="280">
        <v>5.6</v>
      </c>
      <c r="CJ35" s="280">
        <v>7.2</v>
      </c>
      <c r="CK35" s="280">
        <v>10</v>
      </c>
      <c r="CL35" s="280">
        <v>14</v>
      </c>
      <c r="CM35" s="280">
        <v>34</v>
      </c>
      <c r="CN35" s="280">
        <v>51.3</v>
      </c>
      <c r="CO35" s="280">
        <v>0</v>
      </c>
      <c r="CR35" s="2186">
        <v>536</v>
      </c>
      <c r="CS35" s="2186">
        <v>594</v>
      </c>
      <c r="CV35" s="2193">
        <v>536</v>
      </c>
      <c r="CW35" s="280">
        <v>0.6</v>
      </c>
      <c r="CX35" s="280">
        <v>1.05</v>
      </c>
      <c r="CY35" s="280">
        <v>1.43</v>
      </c>
      <c r="CZ35" s="280">
        <v>1.6</v>
      </c>
      <c r="DA35" s="280">
        <v>2</v>
      </c>
      <c r="DB35" s="280">
        <v>2.66</v>
      </c>
      <c r="DC35" s="280">
        <v>4.2</v>
      </c>
      <c r="DD35" s="280">
        <v>5.6</v>
      </c>
      <c r="DE35" s="280">
        <v>7.2</v>
      </c>
      <c r="DF35" s="280">
        <v>10</v>
      </c>
      <c r="DG35" s="280">
        <v>14</v>
      </c>
      <c r="DH35" s="280">
        <v>34</v>
      </c>
      <c r="DI35" s="280">
        <v>51.3</v>
      </c>
      <c r="DJ35" s="280">
        <v>0</v>
      </c>
      <c r="DX35" s="1"/>
      <c r="DZ35" s="283" t="s">
        <v>662</v>
      </c>
      <c r="EA35" s="3620">
        <f t="shared" ref="EA35" si="5">EB337</f>
        <v>25.46</v>
      </c>
      <c r="EB35" s="3620" t="str">
        <f>"3AH"&amp;EC337</f>
        <v>3AH950</v>
      </c>
      <c r="EC35" s="3620">
        <f>VLOOKUP(EB35,'E Gear B'!DZ56:EC66,2,0)</f>
        <v>321637</v>
      </c>
      <c r="ED35" s="3620">
        <f>VLOOKUP(EB35,'E Gear B'!DZ56:EC66,3,0)</f>
        <v>36750</v>
      </c>
      <c r="EE35" s="3620">
        <f>VLOOKUP(EB35,'E Gear B'!DZ56:EC66,4,0)</f>
        <v>2200</v>
      </c>
      <c r="EF35" s="281"/>
      <c r="EP35" s="286"/>
      <c r="EQ35" s="286"/>
      <c r="FC35" s="2174"/>
      <c r="FD35" s="2174"/>
      <c r="FG35" s="2204">
        <v>400</v>
      </c>
      <c r="FH35" s="280">
        <v>0</v>
      </c>
      <c r="FI35" s="280">
        <v>0</v>
      </c>
      <c r="FJ35" s="280">
        <v>0</v>
      </c>
      <c r="FK35" s="280">
        <v>4</v>
      </c>
      <c r="FL35" s="280">
        <v>5</v>
      </c>
      <c r="FM35" s="280">
        <v>7.5</v>
      </c>
      <c r="FN35" s="280">
        <v>11</v>
      </c>
      <c r="FO35" s="280">
        <v>17</v>
      </c>
      <c r="FP35" s="280">
        <v>20</v>
      </c>
      <c r="FQ35" s="280">
        <v>30</v>
      </c>
      <c r="FR35" s="280">
        <v>48</v>
      </c>
      <c r="FS35" s="280">
        <v>68</v>
      </c>
      <c r="FT35" s="280">
        <v>90</v>
      </c>
      <c r="FU35" s="280">
        <v>130</v>
      </c>
      <c r="FV35" s="280">
        <v>190</v>
      </c>
      <c r="FY35" s="2186">
        <v>400</v>
      </c>
      <c r="FZ35" s="2186">
        <v>450</v>
      </c>
      <c r="GC35" s="2204">
        <v>400</v>
      </c>
      <c r="GD35" s="280">
        <v>0</v>
      </c>
      <c r="GE35" s="280">
        <v>0</v>
      </c>
      <c r="GF35" s="280">
        <v>0</v>
      </c>
      <c r="GG35" s="280">
        <v>4</v>
      </c>
      <c r="GH35" s="280">
        <v>5</v>
      </c>
      <c r="GI35" s="280">
        <v>7.5</v>
      </c>
      <c r="GJ35" s="280">
        <v>11</v>
      </c>
      <c r="GK35" s="280">
        <v>17</v>
      </c>
      <c r="GL35" s="280">
        <v>20</v>
      </c>
      <c r="GM35" s="280">
        <v>30</v>
      </c>
      <c r="GN35" s="280">
        <v>48</v>
      </c>
      <c r="GO35" s="280">
        <v>68</v>
      </c>
      <c r="GP35" s="280">
        <v>90</v>
      </c>
      <c r="GQ35" s="280">
        <v>130</v>
      </c>
      <c r="GR35" s="280">
        <v>190</v>
      </c>
      <c r="GU35" s="2174"/>
      <c r="GX35" s="2193">
        <v>485</v>
      </c>
      <c r="GY35" s="280">
        <v>0.73</v>
      </c>
      <c r="GZ35" s="280">
        <v>1.17</v>
      </c>
      <c r="HA35" s="280">
        <v>1.6</v>
      </c>
      <c r="HB35" s="280">
        <v>2</v>
      </c>
      <c r="HC35" s="280">
        <v>2.4</v>
      </c>
      <c r="HD35" s="280">
        <v>2.82</v>
      </c>
      <c r="HE35" s="280">
        <v>4.5999999999999996</v>
      </c>
      <c r="HF35" s="280">
        <v>6.4</v>
      </c>
      <c r="HG35" s="280">
        <v>7.8</v>
      </c>
      <c r="HH35" s="280">
        <v>11.2</v>
      </c>
      <c r="HI35" s="280">
        <v>15.4</v>
      </c>
      <c r="HJ35" s="280">
        <v>40</v>
      </c>
      <c r="HK35" s="280">
        <v>57</v>
      </c>
      <c r="HL35" s="280">
        <v>0</v>
      </c>
      <c r="HO35" s="2186">
        <v>485</v>
      </c>
      <c r="HP35" s="2186">
        <v>536</v>
      </c>
      <c r="HS35" s="2193">
        <v>485</v>
      </c>
      <c r="HT35" s="280">
        <v>0.73</v>
      </c>
      <c r="HU35" s="280">
        <v>1.17</v>
      </c>
      <c r="HV35" s="280">
        <v>1.6</v>
      </c>
      <c r="HW35" s="280">
        <v>2</v>
      </c>
      <c r="HX35" s="280">
        <v>2.4</v>
      </c>
      <c r="HY35" s="280">
        <v>2.82</v>
      </c>
      <c r="HZ35" s="280">
        <v>4.5999999999999996</v>
      </c>
      <c r="IA35" s="280">
        <v>6.4</v>
      </c>
      <c r="IB35" s="280">
        <v>7.8</v>
      </c>
      <c r="IC35" s="280">
        <v>11.2</v>
      </c>
      <c r="ID35" s="280">
        <v>15.4</v>
      </c>
      <c r="IE35" s="280">
        <v>40</v>
      </c>
      <c r="IF35" s="280">
        <v>57</v>
      </c>
      <c r="IG35" s="280">
        <v>0</v>
      </c>
    </row>
    <row r="36" spans="2:241" ht="21.95" customHeight="1">
      <c r="B36" s="3625">
        <f>E5/C36-1</f>
        <v>7.3325330132052891E-2</v>
      </c>
      <c r="C36" s="3622">
        <f>AF328</f>
        <v>190.4</v>
      </c>
      <c r="D36" s="3622">
        <f>VLOOKUP(C3,C32:H35,2,0)</f>
        <v>20.86</v>
      </c>
      <c r="E36" s="3622" t="str">
        <f>VLOOKUP(C3,C32:H35,3,0)</f>
        <v>3AH825</v>
      </c>
      <c r="F36" s="3622">
        <f>VLOOKUP(C3,C32:H35,4,0)</f>
        <v>203682</v>
      </c>
      <c r="G36" s="3622">
        <f>VLOOKUP(C3,C32:H35,5,0)</f>
        <v>33600</v>
      </c>
      <c r="H36" s="3622">
        <f>VLOOKUP(C3,C32:H35,6,0)</f>
        <v>1400</v>
      </c>
      <c r="I36" s="281"/>
      <c r="S36" s="286"/>
      <c r="T36" s="286"/>
      <c r="AF36" s="2174"/>
      <c r="AG36" s="2174"/>
      <c r="AJ36" s="2204">
        <v>500</v>
      </c>
      <c r="AK36" s="280">
        <v>0</v>
      </c>
      <c r="AL36" s="280">
        <v>0</v>
      </c>
      <c r="AM36" s="280">
        <v>0</v>
      </c>
      <c r="AN36" s="280">
        <v>0</v>
      </c>
      <c r="AO36" s="280">
        <v>4.5</v>
      </c>
      <c r="AP36" s="280">
        <v>6</v>
      </c>
      <c r="AQ36" s="280">
        <v>8</v>
      </c>
      <c r="AR36" s="280">
        <v>13</v>
      </c>
      <c r="AS36" s="280">
        <v>17</v>
      </c>
      <c r="AT36" s="280">
        <v>23</v>
      </c>
      <c r="AU36" s="280">
        <v>38</v>
      </c>
      <c r="AV36" s="280">
        <v>54</v>
      </c>
      <c r="AW36" s="280">
        <v>72</v>
      </c>
      <c r="AX36" s="280">
        <v>105</v>
      </c>
      <c r="AY36" s="280">
        <v>150</v>
      </c>
      <c r="BB36" s="2186">
        <v>500</v>
      </c>
      <c r="BC36" s="2186">
        <v>560</v>
      </c>
      <c r="BF36" s="2204">
        <v>500</v>
      </c>
      <c r="BG36" s="280">
        <v>0</v>
      </c>
      <c r="BH36" s="280">
        <v>0</v>
      </c>
      <c r="BI36" s="280">
        <v>0</v>
      </c>
      <c r="BJ36" s="280">
        <v>0</v>
      </c>
      <c r="BK36" s="280">
        <v>4.5</v>
      </c>
      <c r="BL36" s="280">
        <v>6</v>
      </c>
      <c r="BM36" s="280">
        <v>8</v>
      </c>
      <c r="BN36" s="280">
        <v>13</v>
      </c>
      <c r="BO36" s="280">
        <v>17</v>
      </c>
      <c r="BP36" s="280">
        <v>23</v>
      </c>
      <c r="BQ36" s="280">
        <v>38</v>
      </c>
      <c r="BR36" s="280">
        <v>54</v>
      </c>
      <c r="BS36" s="280">
        <v>72</v>
      </c>
      <c r="BT36" s="280">
        <v>105</v>
      </c>
      <c r="BU36" s="280">
        <v>150</v>
      </c>
      <c r="BX36" s="2174"/>
      <c r="CA36" s="2193">
        <v>594</v>
      </c>
      <c r="CB36" s="280">
        <v>0.6</v>
      </c>
      <c r="CC36" s="280">
        <v>0.94</v>
      </c>
      <c r="CD36" s="280">
        <v>1.28</v>
      </c>
      <c r="CE36" s="280">
        <v>1.4</v>
      </c>
      <c r="CF36" s="280">
        <v>1.6</v>
      </c>
      <c r="CG36" s="280">
        <v>2.6</v>
      </c>
      <c r="CH36" s="280">
        <v>3.8</v>
      </c>
      <c r="CI36" s="280">
        <v>5</v>
      </c>
      <c r="CJ36" s="280">
        <v>6.6</v>
      </c>
      <c r="CK36" s="280">
        <v>9</v>
      </c>
      <c r="CL36" s="280">
        <v>12.6</v>
      </c>
      <c r="CM36" s="280">
        <v>32</v>
      </c>
      <c r="CN36" s="280">
        <v>45.3</v>
      </c>
      <c r="CO36" s="280">
        <v>0</v>
      </c>
      <c r="CR36" s="2186">
        <v>594</v>
      </c>
      <c r="CS36" s="2186">
        <v>657</v>
      </c>
      <c r="CV36" s="2193">
        <v>594</v>
      </c>
      <c r="CW36" s="280">
        <v>0.6</v>
      </c>
      <c r="CX36" s="280">
        <v>0.94</v>
      </c>
      <c r="CY36" s="280">
        <v>1.28</v>
      </c>
      <c r="CZ36" s="280">
        <v>1.4</v>
      </c>
      <c r="DA36" s="280">
        <v>1.6</v>
      </c>
      <c r="DB36" s="280">
        <v>2.6</v>
      </c>
      <c r="DC36" s="280">
        <v>3.8</v>
      </c>
      <c r="DD36" s="280">
        <v>5</v>
      </c>
      <c r="DE36" s="280">
        <v>6.6</v>
      </c>
      <c r="DF36" s="280">
        <v>9</v>
      </c>
      <c r="DG36" s="280">
        <v>12.6</v>
      </c>
      <c r="DH36" s="280">
        <v>32</v>
      </c>
      <c r="DI36" s="280">
        <v>45.3</v>
      </c>
      <c r="DJ36" s="280">
        <v>0</v>
      </c>
      <c r="DX36" s="1"/>
      <c r="DY36" s="3625">
        <f>EB5/DZ36-1</f>
        <v>3.5877381938691055E-2</v>
      </c>
      <c r="DZ36" s="3622">
        <f>FC328</f>
        <v>120.7</v>
      </c>
      <c r="EA36" s="3622">
        <f>VLOOKUP(DZ3,DZ32:EE35,2,0)</f>
        <v>22.09</v>
      </c>
      <c r="EB36" s="3622" t="str">
        <f>VLOOKUP(DZ3,DZ32:EE35,3,0)</f>
        <v>3AH775</v>
      </c>
      <c r="EC36" s="3622">
        <f>VLOOKUP(DZ3,DZ32:EE35,4,0)</f>
        <v>195532</v>
      </c>
      <c r="ED36" s="3622">
        <f>VLOOKUP(DZ3,DZ32:EE35,5,0)</f>
        <v>29400</v>
      </c>
      <c r="EE36" s="3622">
        <f>VLOOKUP(DZ3,DZ32:EE35,6,0)</f>
        <v>1100</v>
      </c>
      <c r="EF36" s="281"/>
      <c r="EP36" s="286"/>
      <c r="EQ36" s="286"/>
      <c r="FC36" s="2174"/>
      <c r="FD36" s="2174"/>
      <c r="FG36" s="2204">
        <v>450</v>
      </c>
      <c r="FH36" s="280">
        <v>0</v>
      </c>
      <c r="FI36" s="280">
        <v>0</v>
      </c>
      <c r="FJ36" s="280">
        <v>0</v>
      </c>
      <c r="FK36" s="280">
        <v>3.5</v>
      </c>
      <c r="FL36" s="280">
        <v>5</v>
      </c>
      <c r="FM36" s="280">
        <v>6.5</v>
      </c>
      <c r="FN36" s="280">
        <v>9</v>
      </c>
      <c r="FO36" s="280">
        <v>14</v>
      </c>
      <c r="FP36" s="280">
        <v>19</v>
      </c>
      <c r="FQ36" s="280">
        <v>26</v>
      </c>
      <c r="FR36" s="280">
        <v>43</v>
      </c>
      <c r="FS36" s="280">
        <v>60</v>
      </c>
      <c r="FT36" s="280">
        <v>81</v>
      </c>
      <c r="FU36" s="280">
        <v>115</v>
      </c>
      <c r="FV36" s="280">
        <v>170</v>
      </c>
      <c r="FY36" s="2186">
        <v>450</v>
      </c>
      <c r="FZ36" s="2186">
        <v>500</v>
      </c>
      <c r="GC36" s="2204">
        <v>450</v>
      </c>
      <c r="GD36" s="280">
        <v>0</v>
      </c>
      <c r="GE36" s="280">
        <v>0</v>
      </c>
      <c r="GF36" s="280">
        <v>0</v>
      </c>
      <c r="GG36" s="280">
        <v>3.5</v>
      </c>
      <c r="GH36" s="280">
        <v>5</v>
      </c>
      <c r="GI36" s="280">
        <v>6.5</v>
      </c>
      <c r="GJ36" s="280">
        <v>9</v>
      </c>
      <c r="GK36" s="280">
        <v>14</v>
      </c>
      <c r="GL36" s="280">
        <v>19</v>
      </c>
      <c r="GM36" s="280">
        <v>26</v>
      </c>
      <c r="GN36" s="280">
        <v>43</v>
      </c>
      <c r="GO36" s="280">
        <v>60</v>
      </c>
      <c r="GP36" s="280">
        <v>81</v>
      </c>
      <c r="GQ36" s="280">
        <v>115</v>
      </c>
      <c r="GR36" s="280">
        <v>170</v>
      </c>
      <c r="GU36" s="2174"/>
      <c r="GX36" s="2193">
        <v>536</v>
      </c>
      <c r="GY36" s="280">
        <v>0.6</v>
      </c>
      <c r="GZ36" s="280">
        <v>1.05</v>
      </c>
      <c r="HA36" s="280">
        <v>1.43</v>
      </c>
      <c r="HB36" s="280">
        <v>1.6</v>
      </c>
      <c r="HC36" s="280">
        <v>2</v>
      </c>
      <c r="HD36" s="280">
        <v>2.66</v>
      </c>
      <c r="HE36" s="280">
        <v>4.2</v>
      </c>
      <c r="HF36" s="280">
        <v>5.6</v>
      </c>
      <c r="HG36" s="280">
        <v>7.2</v>
      </c>
      <c r="HH36" s="280">
        <v>10</v>
      </c>
      <c r="HI36" s="280">
        <v>14</v>
      </c>
      <c r="HJ36" s="280">
        <v>34</v>
      </c>
      <c r="HK36" s="280">
        <v>51.3</v>
      </c>
      <c r="HL36" s="280">
        <v>0</v>
      </c>
      <c r="HO36" s="2186">
        <v>536</v>
      </c>
      <c r="HP36" s="2186">
        <v>594</v>
      </c>
      <c r="HS36" s="2193">
        <v>536</v>
      </c>
      <c r="HT36" s="280">
        <v>0.6</v>
      </c>
      <c r="HU36" s="280">
        <v>1.05</v>
      </c>
      <c r="HV36" s="280">
        <v>1.43</v>
      </c>
      <c r="HW36" s="280">
        <v>1.6</v>
      </c>
      <c r="HX36" s="280">
        <v>2</v>
      </c>
      <c r="HY36" s="280">
        <v>2.66</v>
      </c>
      <c r="HZ36" s="280">
        <v>4.2</v>
      </c>
      <c r="IA36" s="280">
        <v>5.6</v>
      </c>
      <c r="IB36" s="280">
        <v>7.2</v>
      </c>
      <c r="IC36" s="280">
        <v>10</v>
      </c>
      <c r="ID36" s="280">
        <v>14</v>
      </c>
      <c r="IE36" s="280">
        <v>34</v>
      </c>
      <c r="IF36" s="280">
        <v>51.3</v>
      </c>
      <c r="IG36" s="280">
        <v>0</v>
      </c>
    </row>
    <row r="37" spans="2:241" ht="21.95" customHeight="1">
      <c r="S37" s="286"/>
      <c r="T37" s="286"/>
      <c r="AF37" s="2174"/>
      <c r="AG37" s="2174"/>
      <c r="AJ37" s="2204">
        <v>560</v>
      </c>
      <c r="AK37" s="280">
        <v>0</v>
      </c>
      <c r="AL37" s="280">
        <v>0</v>
      </c>
      <c r="AM37" s="280">
        <v>0</v>
      </c>
      <c r="AN37" s="280">
        <v>0</v>
      </c>
      <c r="AO37" s="280">
        <v>0</v>
      </c>
      <c r="AP37" s="280">
        <v>5.5</v>
      </c>
      <c r="AQ37" s="280">
        <v>7</v>
      </c>
      <c r="AR37" s="280">
        <v>11</v>
      </c>
      <c r="AS37" s="280">
        <v>16</v>
      </c>
      <c r="AT37" s="280">
        <v>21</v>
      </c>
      <c r="AU37" s="280">
        <v>35</v>
      </c>
      <c r="AV37" s="280">
        <v>49</v>
      </c>
      <c r="AW37" s="280">
        <v>65</v>
      </c>
      <c r="AX37" s="280">
        <v>94</v>
      </c>
      <c r="AY37" s="280">
        <v>135</v>
      </c>
      <c r="BB37" s="2186">
        <v>560</v>
      </c>
      <c r="BC37" s="2186">
        <v>630</v>
      </c>
      <c r="BF37" s="2204">
        <v>560</v>
      </c>
      <c r="BG37" s="280">
        <v>0</v>
      </c>
      <c r="BH37" s="280">
        <v>0</v>
      </c>
      <c r="BI37" s="280">
        <v>0</v>
      </c>
      <c r="BJ37" s="280">
        <v>0</v>
      </c>
      <c r="BK37" s="280">
        <v>0</v>
      </c>
      <c r="BL37" s="280">
        <v>5.5</v>
      </c>
      <c r="BM37" s="280">
        <v>7</v>
      </c>
      <c r="BN37" s="280">
        <v>11</v>
      </c>
      <c r="BO37" s="280">
        <v>16</v>
      </c>
      <c r="BP37" s="280">
        <v>21</v>
      </c>
      <c r="BQ37" s="280">
        <v>35</v>
      </c>
      <c r="BR37" s="280">
        <v>49</v>
      </c>
      <c r="BS37" s="280">
        <v>65</v>
      </c>
      <c r="BT37" s="280">
        <v>94</v>
      </c>
      <c r="BU37" s="280">
        <v>135</v>
      </c>
      <c r="BX37" s="2174"/>
      <c r="CA37" s="773">
        <v>657</v>
      </c>
      <c r="CB37" s="2195">
        <v>0.5</v>
      </c>
      <c r="CC37" s="2195">
        <v>0.85</v>
      </c>
      <c r="CD37" s="2195">
        <v>1.1399999999999999</v>
      </c>
      <c r="CE37" s="2195">
        <v>1.3</v>
      </c>
      <c r="CF37" s="2195">
        <v>1.6</v>
      </c>
      <c r="CG37" s="2195">
        <v>2.4</v>
      </c>
      <c r="CH37" s="2195">
        <v>3.6</v>
      </c>
      <c r="CI37" s="2195">
        <v>4.7</v>
      </c>
      <c r="CJ37" s="2195">
        <v>6.1</v>
      </c>
      <c r="CK37" s="2195">
        <v>8.5</v>
      </c>
      <c r="CL37" s="280">
        <v>11.8</v>
      </c>
      <c r="CM37" s="280">
        <v>31</v>
      </c>
      <c r="CN37" s="280">
        <v>45</v>
      </c>
      <c r="CO37" s="2195">
        <v>0</v>
      </c>
      <c r="CR37" s="2186">
        <v>657</v>
      </c>
      <c r="CS37" s="2186">
        <v>657</v>
      </c>
      <c r="CV37" s="773">
        <v>657</v>
      </c>
      <c r="CW37" s="2195">
        <v>0.5</v>
      </c>
      <c r="CX37" s="2195">
        <v>0.85</v>
      </c>
      <c r="CY37" s="2195">
        <v>1.1399999999999999</v>
      </c>
      <c r="CZ37" s="2195">
        <v>1.3</v>
      </c>
      <c r="DA37" s="2195">
        <v>1.6</v>
      </c>
      <c r="DB37" s="2195">
        <v>2.4</v>
      </c>
      <c r="DC37" s="2195">
        <v>3.6</v>
      </c>
      <c r="DD37" s="2195">
        <v>4.7</v>
      </c>
      <c r="DE37" s="2195">
        <v>6.1</v>
      </c>
      <c r="DF37" s="2195">
        <v>8.5</v>
      </c>
      <c r="DG37" s="280">
        <v>11.8</v>
      </c>
      <c r="DH37" s="280">
        <v>31</v>
      </c>
      <c r="DI37" s="280">
        <v>45</v>
      </c>
      <c r="DJ37" s="2195">
        <v>0</v>
      </c>
      <c r="DX37" s="1"/>
      <c r="EP37" s="286"/>
      <c r="EQ37" s="286"/>
      <c r="FC37" s="2174"/>
      <c r="FD37" s="2174"/>
      <c r="FG37" s="2204">
        <v>500</v>
      </c>
      <c r="FH37" s="280">
        <v>0</v>
      </c>
      <c r="FI37" s="280">
        <v>0</v>
      </c>
      <c r="FJ37" s="280">
        <v>0</v>
      </c>
      <c r="FK37" s="280">
        <v>0</v>
      </c>
      <c r="FL37" s="280">
        <v>4.5</v>
      </c>
      <c r="FM37" s="280">
        <v>6</v>
      </c>
      <c r="FN37" s="280">
        <v>8</v>
      </c>
      <c r="FO37" s="280">
        <v>13</v>
      </c>
      <c r="FP37" s="280">
        <v>17</v>
      </c>
      <c r="FQ37" s="280">
        <v>23</v>
      </c>
      <c r="FR37" s="280">
        <v>38</v>
      </c>
      <c r="FS37" s="280">
        <v>54</v>
      </c>
      <c r="FT37" s="280">
        <v>72</v>
      </c>
      <c r="FU37" s="280">
        <v>105</v>
      </c>
      <c r="FV37" s="280">
        <v>150</v>
      </c>
      <c r="FY37" s="2186">
        <v>500</v>
      </c>
      <c r="FZ37" s="2186">
        <v>560</v>
      </c>
      <c r="GC37" s="2204">
        <v>500</v>
      </c>
      <c r="GD37" s="280">
        <v>0</v>
      </c>
      <c r="GE37" s="280">
        <v>0</v>
      </c>
      <c r="GF37" s="280">
        <v>0</v>
      </c>
      <c r="GG37" s="280">
        <v>0</v>
      </c>
      <c r="GH37" s="280">
        <v>4.5</v>
      </c>
      <c r="GI37" s="280">
        <v>6</v>
      </c>
      <c r="GJ37" s="280">
        <v>8</v>
      </c>
      <c r="GK37" s="280">
        <v>13</v>
      </c>
      <c r="GL37" s="280">
        <v>17</v>
      </c>
      <c r="GM37" s="280">
        <v>23</v>
      </c>
      <c r="GN37" s="280">
        <v>38</v>
      </c>
      <c r="GO37" s="280">
        <v>54</v>
      </c>
      <c r="GP37" s="280">
        <v>72</v>
      </c>
      <c r="GQ37" s="280">
        <v>105</v>
      </c>
      <c r="GR37" s="280">
        <v>150</v>
      </c>
      <c r="GU37" s="2174"/>
      <c r="GX37" s="2193">
        <v>594</v>
      </c>
      <c r="GY37" s="280">
        <v>0.6</v>
      </c>
      <c r="GZ37" s="280">
        <v>0.94</v>
      </c>
      <c r="HA37" s="280">
        <v>1.28</v>
      </c>
      <c r="HB37" s="280">
        <v>1.4</v>
      </c>
      <c r="HC37" s="280">
        <v>1.6</v>
      </c>
      <c r="HD37" s="280">
        <v>2.6</v>
      </c>
      <c r="HE37" s="280">
        <v>3.8</v>
      </c>
      <c r="HF37" s="280">
        <v>5</v>
      </c>
      <c r="HG37" s="280">
        <v>6.6</v>
      </c>
      <c r="HH37" s="280">
        <v>9</v>
      </c>
      <c r="HI37" s="280">
        <v>12.6</v>
      </c>
      <c r="HJ37" s="280">
        <v>32</v>
      </c>
      <c r="HK37" s="280">
        <v>45.3</v>
      </c>
      <c r="HL37" s="280">
        <v>0</v>
      </c>
      <c r="HO37" s="2186">
        <v>594</v>
      </c>
      <c r="HP37" s="2186">
        <v>657</v>
      </c>
      <c r="HS37" s="2193">
        <v>594</v>
      </c>
      <c r="HT37" s="280">
        <v>0.6</v>
      </c>
      <c r="HU37" s="280">
        <v>0.94</v>
      </c>
      <c r="HV37" s="280">
        <v>1.28</v>
      </c>
      <c r="HW37" s="280">
        <v>1.4</v>
      </c>
      <c r="HX37" s="280">
        <v>1.6</v>
      </c>
      <c r="HY37" s="280">
        <v>2.6</v>
      </c>
      <c r="HZ37" s="280">
        <v>3.8</v>
      </c>
      <c r="IA37" s="280">
        <v>5</v>
      </c>
      <c r="IB37" s="280">
        <v>6.6</v>
      </c>
      <c r="IC37" s="280">
        <v>9</v>
      </c>
      <c r="ID37" s="280">
        <v>12.6</v>
      </c>
      <c r="IE37" s="280">
        <v>32</v>
      </c>
      <c r="IF37" s="280">
        <v>45.3</v>
      </c>
      <c r="IG37" s="280">
        <v>0</v>
      </c>
    </row>
    <row r="38" spans="2:241" ht="21.95" customHeight="1">
      <c r="C38" s="777" t="s">
        <v>2260</v>
      </c>
      <c r="D38" s="778" t="s">
        <v>2175</v>
      </c>
      <c r="E38" s="778" t="s">
        <v>2176</v>
      </c>
      <c r="F38" s="779" t="s">
        <v>2173</v>
      </c>
      <c r="G38" s="779" t="s">
        <v>1682</v>
      </c>
      <c r="H38" s="779" t="s">
        <v>2174</v>
      </c>
      <c r="I38" s="3624" t="str">
        <f>CO335</f>
        <v>Right</v>
      </c>
      <c r="L38" s="2252" t="s">
        <v>2261</v>
      </c>
      <c r="S38" s="286"/>
      <c r="T38" s="286"/>
      <c r="AF38" s="2174"/>
      <c r="AG38" s="2174"/>
      <c r="AJ38" s="2193">
        <v>630</v>
      </c>
      <c r="AK38" s="2195">
        <v>0</v>
      </c>
      <c r="AL38" s="2195">
        <v>0</v>
      </c>
      <c r="AM38" s="2195">
        <v>0</v>
      </c>
      <c r="AN38" s="2195">
        <v>0</v>
      </c>
      <c r="AO38" s="2195">
        <v>0</v>
      </c>
      <c r="AP38" s="2195">
        <v>0</v>
      </c>
      <c r="AQ38" s="2195">
        <v>6.5</v>
      </c>
      <c r="AR38" s="2195">
        <v>10</v>
      </c>
      <c r="AS38" s="2195">
        <v>14</v>
      </c>
      <c r="AT38" s="2195">
        <v>18</v>
      </c>
      <c r="AU38" s="280">
        <v>30</v>
      </c>
      <c r="AV38" s="280">
        <v>43</v>
      </c>
      <c r="AW38" s="280">
        <v>57</v>
      </c>
      <c r="AX38" s="280">
        <v>83</v>
      </c>
      <c r="AY38" s="2195">
        <v>120</v>
      </c>
      <c r="BB38" s="2186">
        <v>630</v>
      </c>
      <c r="BC38" s="2187">
        <v>630</v>
      </c>
      <c r="BF38" s="2193">
        <v>630</v>
      </c>
      <c r="BG38" s="2195">
        <v>0</v>
      </c>
      <c r="BH38" s="2195">
        <v>0</v>
      </c>
      <c r="BI38" s="2195">
        <v>0</v>
      </c>
      <c r="BJ38" s="2195">
        <v>0</v>
      </c>
      <c r="BK38" s="2195">
        <v>0</v>
      </c>
      <c r="BL38" s="2195">
        <v>0</v>
      </c>
      <c r="BM38" s="2195">
        <v>6.5</v>
      </c>
      <c r="BN38" s="2195">
        <v>10</v>
      </c>
      <c r="BO38" s="2195">
        <v>14</v>
      </c>
      <c r="BP38" s="2195">
        <v>18</v>
      </c>
      <c r="BQ38" s="280">
        <v>30</v>
      </c>
      <c r="BR38" s="280">
        <v>43</v>
      </c>
      <c r="BS38" s="280">
        <v>57</v>
      </c>
      <c r="BT38" s="280">
        <v>83</v>
      </c>
      <c r="BU38" s="2195">
        <v>120</v>
      </c>
      <c r="BX38" s="2174"/>
      <c r="CR38" s="2205"/>
      <c r="CS38" s="2206"/>
      <c r="DX38" s="1"/>
      <c r="DZ38" s="777" t="s">
        <v>2260</v>
      </c>
      <c r="EA38" s="778" t="s">
        <v>2175</v>
      </c>
      <c r="EB38" s="778" t="s">
        <v>2176</v>
      </c>
      <c r="EC38" s="779" t="s">
        <v>2173</v>
      </c>
      <c r="ED38" s="779" t="s">
        <v>1682</v>
      </c>
      <c r="EE38" s="779" t="s">
        <v>2174</v>
      </c>
      <c r="EF38" s="3624" t="str">
        <f>HL335</f>
        <v>Right</v>
      </c>
      <c r="EP38" s="286"/>
      <c r="EQ38" s="286"/>
      <c r="FC38" s="2174"/>
      <c r="FD38" s="2174"/>
      <c r="FG38" s="2204">
        <v>560</v>
      </c>
      <c r="FH38" s="280">
        <v>0</v>
      </c>
      <c r="FI38" s="280">
        <v>0</v>
      </c>
      <c r="FJ38" s="280">
        <v>0</v>
      </c>
      <c r="FK38" s="280">
        <v>0</v>
      </c>
      <c r="FL38" s="280">
        <v>0</v>
      </c>
      <c r="FM38" s="280">
        <v>5.5</v>
      </c>
      <c r="FN38" s="280">
        <v>7</v>
      </c>
      <c r="FO38" s="280">
        <v>11</v>
      </c>
      <c r="FP38" s="280">
        <v>16</v>
      </c>
      <c r="FQ38" s="280">
        <v>21</v>
      </c>
      <c r="FR38" s="280">
        <v>35</v>
      </c>
      <c r="FS38" s="280">
        <v>49</v>
      </c>
      <c r="FT38" s="280">
        <v>65</v>
      </c>
      <c r="FU38" s="280">
        <v>94</v>
      </c>
      <c r="FV38" s="280">
        <v>135</v>
      </c>
      <c r="FY38" s="2186">
        <v>560</v>
      </c>
      <c r="FZ38" s="2186">
        <v>630</v>
      </c>
      <c r="GC38" s="2204">
        <v>560</v>
      </c>
      <c r="GD38" s="280">
        <v>0</v>
      </c>
      <c r="GE38" s="280">
        <v>0</v>
      </c>
      <c r="GF38" s="280">
        <v>0</v>
      </c>
      <c r="GG38" s="280">
        <v>0</v>
      </c>
      <c r="GH38" s="280">
        <v>0</v>
      </c>
      <c r="GI38" s="280">
        <v>5.5</v>
      </c>
      <c r="GJ38" s="280">
        <v>7</v>
      </c>
      <c r="GK38" s="280">
        <v>11</v>
      </c>
      <c r="GL38" s="280">
        <v>16</v>
      </c>
      <c r="GM38" s="280">
        <v>21</v>
      </c>
      <c r="GN38" s="280">
        <v>35</v>
      </c>
      <c r="GO38" s="280">
        <v>49</v>
      </c>
      <c r="GP38" s="280">
        <v>65</v>
      </c>
      <c r="GQ38" s="280">
        <v>94</v>
      </c>
      <c r="GR38" s="280">
        <v>135</v>
      </c>
      <c r="GU38" s="2174"/>
      <c r="GX38" s="773">
        <v>657</v>
      </c>
      <c r="GY38" s="2195">
        <v>0.5</v>
      </c>
      <c r="GZ38" s="2195">
        <v>0.85</v>
      </c>
      <c r="HA38" s="2195">
        <v>1.1399999999999999</v>
      </c>
      <c r="HB38" s="2195">
        <v>1.3</v>
      </c>
      <c r="HC38" s="2195">
        <v>1.6</v>
      </c>
      <c r="HD38" s="2195">
        <v>2.4</v>
      </c>
      <c r="HE38" s="2195">
        <v>3.6</v>
      </c>
      <c r="HF38" s="2195">
        <v>4.7</v>
      </c>
      <c r="HG38" s="2195">
        <v>6.1</v>
      </c>
      <c r="HH38" s="2195">
        <v>8.5</v>
      </c>
      <c r="HI38" s="280">
        <v>11.8</v>
      </c>
      <c r="HJ38" s="280">
        <v>31</v>
      </c>
      <c r="HK38" s="280">
        <v>45</v>
      </c>
      <c r="HL38" s="2195">
        <v>0</v>
      </c>
      <c r="HO38" s="2186">
        <v>657</v>
      </c>
      <c r="HP38" s="2186">
        <v>657</v>
      </c>
      <c r="HS38" s="773">
        <v>657</v>
      </c>
      <c r="HT38" s="2195">
        <v>0.5</v>
      </c>
      <c r="HU38" s="2195">
        <v>0.85</v>
      </c>
      <c r="HV38" s="2195">
        <v>1.1399999999999999</v>
      </c>
      <c r="HW38" s="2195">
        <v>1.3</v>
      </c>
      <c r="HX38" s="2195">
        <v>1.6</v>
      </c>
      <c r="HY38" s="2195">
        <v>2.4</v>
      </c>
      <c r="HZ38" s="2195">
        <v>3.6</v>
      </c>
      <c r="IA38" s="2195">
        <v>4.7</v>
      </c>
      <c r="IB38" s="2195">
        <v>6.1</v>
      </c>
      <c r="IC38" s="2195">
        <v>8.5</v>
      </c>
      <c r="ID38" s="280">
        <v>11.8</v>
      </c>
      <c r="IE38" s="280">
        <v>31</v>
      </c>
      <c r="IF38" s="280">
        <v>45</v>
      </c>
      <c r="IG38" s="2195">
        <v>0</v>
      </c>
    </row>
    <row r="39" spans="2:241" ht="21.95" customHeight="1">
      <c r="B39" s="8"/>
      <c r="C39" s="283" t="s">
        <v>651</v>
      </c>
      <c r="D39" s="3620">
        <f>G334</f>
        <v>0</v>
      </c>
      <c r="E39" s="285">
        <v>0</v>
      </c>
      <c r="F39" s="285">
        <v>0</v>
      </c>
      <c r="G39" s="285">
        <v>0</v>
      </c>
      <c r="H39" s="285">
        <v>0</v>
      </c>
      <c r="I39" s="281"/>
      <c r="S39" s="286"/>
      <c r="T39" s="286"/>
      <c r="AF39" s="2174"/>
      <c r="AG39" s="2174"/>
      <c r="AJ39" s="2177"/>
      <c r="AK39" s="2178"/>
      <c r="AL39" s="2178"/>
      <c r="AM39" s="2178"/>
      <c r="AN39" s="2178"/>
      <c r="AO39" s="2178"/>
      <c r="AP39" s="2178"/>
      <c r="AQ39" s="2178"/>
      <c r="AR39" s="2178"/>
      <c r="AS39" s="2178"/>
      <c r="AT39" s="2178"/>
      <c r="AU39" s="2178"/>
      <c r="AV39" s="2179"/>
      <c r="BB39" s="2205"/>
      <c r="BC39" s="2206"/>
      <c r="BF39" s="2177"/>
      <c r="BG39" s="2178"/>
      <c r="BH39" s="2178"/>
      <c r="BI39" s="2178"/>
      <c r="BJ39" s="2178"/>
      <c r="BK39" s="2178"/>
      <c r="BL39" s="2178"/>
      <c r="BM39" s="2178"/>
      <c r="BN39" s="2178"/>
      <c r="BO39" s="2178"/>
      <c r="BP39" s="2178"/>
      <c r="BQ39" s="2178"/>
      <c r="BR39" s="2179"/>
      <c r="BX39" s="2174"/>
      <c r="CA39" s="2180"/>
      <c r="CB39" s="2207"/>
      <c r="CC39" s="2207"/>
      <c r="CD39" s="2207"/>
      <c r="CE39" s="2207"/>
      <c r="CF39" s="2207"/>
      <c r="CG39" s="2207"/>
      <c r="CH39" s="2207"/>
      <c r="CI39" s="2207"/>
      <c r="CJ39" s="2207"/>
      <c r="CK39" s="2207"/>
      <c r="CL39" s="2207"/>
      <c r="CR39" s="2186">
        <f>VLOOKUP(CN41,CR4:CR37,1)</f>
        <v>195</v>
      </c>
      <c r="CS39" s="2186">
        <f>VLOOKUP(CR39,CR4:CS37,2,0)</f>
        <v>215</v>
      </c>
      <c r="CV39" s="2180"/>
      <c r="CW39" s="2207"/>
      <c r="CX39" s="2207"/>
      <c r="CY39" s="2207"/>
      <c r="CZ39" s="2207"/>
      <c r="DA39" s="2207"/>
      <c r="DB39" s="2207"/>
      <c r="DC39" s="2207"/>
      <c r="DD39" s="2207"/>
      <c r="DE39" s="2207"/>
      <c r="DF39" s="2207"/>
      <c r="DG39" s="2207"/>
      <c r="DX39" s="1"/>
      <c r="DY39" s="8"/>
      <c r="DZ39" s="283" t="s">
        <v>651</v>
      </c>
      <c r="EA39" s="3620">
        <f>ED334</f>
        <v>0</v>
      </c>
      <c r="EB39" s="285">
        <v>0</v>
      </c>
      <c r="EC39" s="285">
        <v>0</v>
      </c>
      <c r="ED39" s="285">
        <v>0</v>
      </c>
      <c r="EE39" s="285">
        <v>0</v>
      </c>
      <c r="EF39" s="281"/>
      <c r="EP39" s="286"/>
      <c r="EQ39" s="286"/>
      <c r="FC39" s="2174"/>
      <c r="FD39" s="2174"/>
      <c r="FG39" s="2193">
        <v>630</v>
      </c>
      <c r="FH39" s="2195">
        <v>0</v>
      </c>
      <c r="FI39" s="2195">
        <v>0</v>
      </c>
      <c r="FJ39" s="2195">
        <v>0</v>
      </c>
      <c r="FK39" s="2195">
        <v>0</v>
      </c>
      <c r="FL39" s="2195">
        <v>0</v>
      </c>
      <c r="FM39" s="2195">
        <v>0</v>
      </c>
      <c r="FN39" s="2195">
        <v>6.5</v>
      </c>
      <c r="FO39" s="2195">
        <v>10</v>
      </c>
      <c r="FP39" s="2195">
        <v>14</v>
      </c>
      <c r="FQ39" s="2195">
        <v>18</v>
      </c>
      <c r="FR39" s="280">
        <v>30</v>
      </c>
      <c r="FS39" s="280">
        <v>43</v>
      </c>
      <c r="FT39" s="280">
        <v>57</v>
      </c>
      <c r="FU39" s="280">
        <v>83</v>
      </c>
      <c r="FV39" s="2195">
        <v>120</v>
      </c>
      <c r="FY39" s="2186">
        <v>630</v>
      </c>
      <c r="FZ39" s="2187">
        <v>630</v>
      </c>
      <c r="GC39" s="2193">
        <v>630</v>
      </c>
      <c r="GD39" s="2195">
        <v>0</v>
      </c>
      <c r="GE39" s="2195">
        <v>0</v>
      </c>
      <c r="GF39" s="2195">
        <v>0</v>
      </c>
      <c r="GG39" s="2195">
        <v>0</v>
      </c>
      <c r="GH39" s="2195">
        <v>0</v>
      </c>
      <c r="GI39" s="2195">
        <v>0</v>
      </c>
      <c r="GJ39" s="2195">
        <v>6.5</v>
      </c>
      <c r="GK39" s="2195">
        <v>10</v>
      </c>
      <c r="GL39" s="2195">
        <v>14</v>
      </c>
      <c r="GM39" s="2195">
        <v>18</v>
      </c>
      <c r="GN39" s="280">
        <v>30</v>
      </c>
      <c r="GO39" s="280">
        <v>43</v>
      </c>
      <c r="GP39" s="280">
        <v>57</v>
      </c>
      <c r="GQ39" s="280">
        <v>83</v>
      </c>
      <c r="GR39" s="2195">
        <v>120</v>
      </c>
      <c r="GU39" s="2174"/>
      <c r="HO39" s="2205"/>
      <c r="HP39" s="2206"/>
    </row>
    <row r="40" spans="2:241" ht="21.95" customHeight="1">
      <c r="C40" s="283" t="s">
        <v>654</v>
      </c>
      <c r="D40" s="3620">
        <f t="shared" ref="D40:D42" si="6">G335</f>
        <v>27.18</v>
      </c>
      <c r="E40" s="3620" t="str">
        <f t="shared" ref="E40:E42" si="7">"3AH"&amp;H335</f>
        <v>3AH950</v>
      </c>
      <c r="F40" s="3620">
        <f>VLOOKUP(E40,'E Gear B'!C56:F66,2,0)</f>
        <v>321637</v>
      </c>
      <c r="G40" s="3620">
        <f>VLOOKUP(E40,'E Gear B'!C56:F66,3,0)</f>
        <v>36750</v>
      </c>
      <c r="H40" s="3620">
        <f>VLOOKUP(E40,'E Gear B'!C56:F66,4,0)</f>
        <v>2200</v>
      </c>
      <c r="I40" s="281"/>
      <c r="S40" s="286"/>
      <c r="T40" s="286"/>
      <c r="AF40" s="2174"/>
      <c r="AG40" s="2174"/>
      <c r="AJ40" s="2208" t="s">
        <v>682</v>
      </c>
      <c r="AK40" s="3629">
        <f>+BC40</f>
        <v>224</v>
      </c>
      <c r="AL40" s="2178"/>
      <c r="AM40" s="2179"/>
      <c r="AN40" s="2179"/>
      <c r="AO40" s="277"/>
      <c r="AP40" s="2179"/>
      <c r="AQ40" s="2209" t="s">
        <v>2182</v>
      </c>
      <c r="AR40" s="3627">
        <f>AM62</f>
        <v>315</v>
      </c>
      <c r="AS40" s="3628" t="str">
        <f>AJ72</f>
        <v>Right</v>
      </c>
      <c r="AW40" s="277" t="s">
        <v>2183</v>
      </c>
      <c r="AX40" s="2176">
        <f>'E Gear B'!E4</f>
        <v>19.915970774546171</v>
      </c>
      <c r="BB40" s="2186">
        <f>VLOOKUP(AX41,BB4:BB38,1)</f>
        <v>200</v>
      </c>
      <c r="BC40" s="2186">
        <f>VLOOKUP(BB40,BB4:BC38,2,0)</f>
        <v>224</v>
      </c>
      <c r="BF40" s="2208" t="s">
        <v>682</v>
      </c>
      <c r="BG40" s="3629">
        <f>+BB40</f>
        <v>200</v>
      </c>
      <c r="BH40" s="2178"/>
      <c r="BI40" s="2179"/>
      <c r="BJ40" s="2179"/>
      <c r="BK40" s="2210"/>
      <c r="BL40" s="2209" t="s">
        <v>2182</v>
      </c>
      <c r="BM40" s="3627">
        <f>BI62</f>
        <v>315</v>
      </c>
      <c r="BN40" s="3628" t="str">
        <f>BF72</f>
        <v>Right</v>
      </c>
      <c r="BX40" s="2174"/>
      <c r="CA40" s="2208" t="s">
        <v>682</v>
      </c>
      <c r="CB40" s="3629">
        <f>+CS39</f>
        <v>215</v>
      </c>
      <c r="CC40" s="2207"/>
      <c r="CH40" s="2209" t="s">
        <v>2182</v>
      </c>
      <c r="CI40" s="3627">
        <f>CD62</f>
        <v>315</v>
      </c>
      <c r="CJ40" s="2176" t="str">
        <f>CA72</f>
        <v>Right</v>
      </c>
      <c r="CM40" s="277" t="s">
        <v>2183</v>
      </c>
      <c r="CN40" s="2176">
        <f>'E Gear B'!E4</f>
        <v>19.915970774546171</v>
      </c>
      <c r="CR40" s="2176"/>
      <c r="CS40" s="2176"/>
      <c r="CV40" s="2208" t="s">
        <v>682</v>
      </c>
      <c r="CW40" s="3629">
        <f>+CR39</f>
        <v>195</v>
      </c>
      <c r="CX40" s="2207"/>
      <c r="DC40" s="2209" t="s">
        <v>2182</v>
      </c>
      <c r="DD40" s="3627">
        <f>CY62</f>
        <v>315</v>
      </c>
      <c r="DE40" s="2176" t="str">
        <f>CV72</f>
        <v>Right</v>
      </c>
      <c r="DX40" s="1"/>
      <c r="DZ40" s="283" t="s">
        <v>654</v>
      </c>
      <c r="EA40" s="3620">
        <f>ED335</f>
        <v>20.74</v>
      </c>
      <c r="EB40" s="3620" t="str">
        <f t="shared" ref="EB40:EB42" si="8">"3AH"&amp;EE335</f>
        <v>3AH775</v>
      </c>
      <c r="EC40" s="3620">
        <f>VLOOKUP(EB40,'E Gear B'!DZ56:EC66,2,0)</f>
        <v>195532</v>
      </c>
      <c r="ED40" s="3620">
        <f>VLOOKUP(EB40,'E Gear B'!DZ56:EC66,3,0)</f>
        <v>29400</v>
      </c>
      <c r="EE40" s="3620">
        <f>VLOOKUP(EB40,'E Gear B'!DZ56:EC66,4,0)</f>
        <v>1100</v>
      </c>
      <c r="EF40" s="281"/>
      <c r="EP40" s="286"/>
      <c r="EQ40" s="286"/>
      <c r="FC40" s="2174"/>
      <c r="FD40" s="2174"/>
      <c r="FG40" s="2177"/>
      <c r="FH40" s="2178"/>
      <c r="FI40" s="2178"/>
      <c r="FJ40" s="2178"/>
      <c r="FK40" s="2178"/>
      <c r="FL40" s="2178"/>
      <c r="FM40" s="2178"/>
      <c r="FN40" s="2178"/>
      <c r="FO40" s="2178"/>
      <c r="FP40" s="2178"/>
      <c r="FQ40" s="2178"/>
      <c r="FR40" s="2178"/>
      <c r="FS40" s="2179"/>
      <c r="FY40" s="2205"/>
      <c r="FZ40" s="2206"/>
      <c r="GC40" s="2177"/>
      <c r="GD40" s="2178"/>
      <c r="GE40" s="2178"/>
      <c r="GF40" s="2178"/>
      <c r="GG40" s="2178"/>
      <c r="GH40" s="2178"/>
      <c r="GI40" s="2178"/>
      <c r="GJ40" s="2178"/>
      <c r="GK40" s="2178"/>
      <c r="GL40" s="2178"/>
      <c r="GM40" s="2178"/>
      <c r="GN40" s="2178"/>
      <c r="GO40" s="2179"/>
      <c r="GU40" s="2174"/>
      <c r="GX40" s="2180"/>
      <c r="GY40" s="2207"/>
      <c r="GZ40" s="2207"/>
      <c r="HA40" s="2207"/>
      <c r="HB40" s="2207"/>
      <c r="HC40" s="2207"/>
      <c r="HD40" s="2207"/>
      <c r="HE40" s="2207"/>
      <c r="HF40" s="2207"/>
      <c r="HG40" s="2207"/>
      <c r="HH40" s="2207"/>
      <c r="HI40" s="2207"/>
      <c r="HO40" s="2186">
        <f>VLOOKUP(HK42,HO5:HO38,1)</f>
        <v>117</v>
      </c>
      <c r="HP40" s="2186">
        <f>VLOOKUP(HO40,HO5:HP38,2,0)</f>
        <v>130</v>
      </c>
      <c r="HS40" s="2180"/>
      <c r="HT40" s="2207"/>
      <c r="HU40" s="2207"/>
      <c r="HV40" s="2207"/>
      <c r="HW40" s="2207"/>
      <c r="HX40" s="2207"/>
      <c r="HY40" s="2207"/>
      <c r="HZ40" s="2207"/>
      <c r="IA40" s="2207"/>
      <c r="IB40" s="2207"/>
      <c r="IC40" s="2207"/>
      <c r="ID40" s="2207"/>
    </row>
    <row r="41" spans="2:241" ht="21.95" customHeight="1">
      <c r="B41" s="286"/>
      <c r="C41" s="283" t="s">
        <v>658</v>
      </c>
      <c r="D41" s="3620">
        <f t="shared" si="6"/>
        <v>26.07</v>
      </c>
      <c r="E41" s="3620" t="str">
        <f t="shared" si="7"/>
        <v>3AH1100</v>
      </c>
      <c r="F41" s="3620">
        <f>VLOOKUP(E41,'E Gear B'!C56:F66,2,0)</f>
        <v>412631</v>
      </c>
      <c r="G41" s="3620">
        <f>VLOOKUP(E41,'E Gear B'!C56:F66,3,0)</f>
        <v>42000</v>
      </c>
      <c r="H41" s="3620">
        <f>VLOOKUP(E41,'E Gear B'!C56:F66,4,0)</f>
        <v>2600</v>
      </c>
      <c r="I41" s="281"/>
      <c r="S41" s="286"/>
      <c r="T41" s="286"/>
      <c r="AF41" s="2174"/>
      <c r="AG41" s="2174"/>
      <c r="AJ41" s="2208" t="s">
        <v>737</v>
      </c>
      <c r="AK41" s="2186">
        <f>+AX40</f>
        <v>19.915970774546171</v>
      </c>
      <c r="AL41" s="2178"/>
      <c r="AM41" s="2179"/>
      <c r="AN41" s="2179"/>
      <c r="AO41" s="277"/>
      <c r="AP41" s="2179"/>
      <c r="AQ41" s="2179" t="s">
        <v>737</v>
      </c>
      <c r="AR41" s="3627">
        <f>AL62</f>
        <v>20</v>
      </c>
      <c r="AS41" s="3628" t="str">
        <f>AJ73</f>
        <v>Right</v>
      </c>
      <c r="AW41" s="277" t="s">
        <v>2184</v>
      </c>
      <c r="AX41" s="2176">
        <f>'E Gear B'!E5</f>
        <v>204.36114285714288</v>
      </c>
      <c r="BB41" s="2176"/>
      <c r="BC41" s="2176"/>
      <c r="BF41" s="2208" t="s">
        <v>737</v>
      </c>
      <c r="BG41" s="2186">
        <f>+AX40</f>
        <v>19.915970774546171</v>
      </c>
      <c r="BH41" s="2178"/>
      <c r="BI41" s="2179"/>
      <c r="BJ41" s="2179"/>
      <c r="BK41" s="2210"/>
      <c r="BL41" s="2209" t="s">
        <v>737</v>
      </c>
      <c r="BM41" s="3627">
        <f>BH62</f>
        <v>22</v>
      </c>
      <c r="BN41" s="3628" t="str">
        <f>BF73</f>
        <v>Right</v>
      </c>
      <c r="BX41" s="2174"/>
      <c r="CA41" s="2208" t="s">
        <v>737</v>
      </c>
      <c r="CB41" s="2186">
        <f>+CN40</f>
        <v>19.915970774546171</v>
      </c>
      <c r="CC41" s="2207"/>
      <c r="CH41" s="2209" t="s">
        <v>737</v>
      </c>
      <c r="CI41" s="3627">
        <f>CC62</f>
        <v>20.399999999999999</v>
      </c>
      <c r="CJ41" s="2176" t="str">
        <f>CA73</f>
        <v>Right</v>
      </c>
      <c r="CM41" s="277" t="s">
        <v>2184</v>
      </c>
      <c r="CN41" s="2176">
        <f>'E Gear B'!E5</f>
        <v>204.36114285714288</v>
      </c>
      <c r="CR41" s="2176"/>
      <c r="CS41" s="2176"/>
      <c r="CV41" s="2208" t="s">
        <v>737</v>
      </c>
      <c r="CW41" s="2186">
        <f>+CN40</f>
        <v>19.915970774546171</v>
      </c>
      <c r="CX41" s="2207"/>
      <c r="DC41" s="2209" t="s">
        <v>737</v>
      </c>
      <c r="DD41" s="3627">
        <f>CX62</f>
        <v>22.7</v>
      </c>
      <c r="DE41" s="2176" t="str">
        <f>CV73</f>
        <v>Right</v>
      </c>
      <c r="DX41" s="1"/>
      <c r="DY41" s="286"/>
      <c r="DZ41" s="283" t="s">
        <v>658</v>
      </c>
      <c r="EA41" s="3620">
        <f t="shared" ref="EA41:EA42" si="9">ED336</f>
        <v>21.2</v>
      </c>
      <c r="EB41" s="3620" t="str">
        <f t="shared" si="8"/>
        <v>3AH825</v>
      </c>
      <c r="EC41" s="3620">
        <f>VLOOKUP(EB41,'E Gear B'!DZ56:EC66,2,0)</f>
        <v>203682</v>
      </c>
      <c r="ED41" s="3620">
        <f>VLOOKUP(EB41,'E Gear B'!DZ56:EC66,3,0)</f>
        <v>33600</v>
      </c>
      <c r="EE41" s="3620">
        <f>VLOOKUP(EB41,'E Gear B'!DZ56:EC66,4,0)</f>
        <v>1400</v>
      </c>
      <c r="EF41" s="281"/>
      <c r="EP41" s="286"/>
      <c r="EQ41" s="286"/>
      <c r="FC41" s="2174"/>
      <c r="FD41" s="2174"/>
      <c r="FG41" s="2208" t="s">
        <v>682</v>
      </c>
      <c r="FH41" s="3629">
        <f>+FZ41</f>
        <v>140</v>
      </c>
      <c r="FI41" s="2178"/>
      <c r="FJ41" s="2179"/>
      <c r="FK41" s="2179"/>
      <c r="FM41" s="2179"/>
      <c r="FN41" s="2209" t="s">
        <v>2182</v>
      </c>
      <c r="FO41" s="3627">
        <f>FJ63</f>
        <v>280</v>
      </c>
      <c r="FP41" s="3628" t="str">
        <f>FG73</f>
        <v>Right</v>
      </c>
      <c r="FT41" s="277" t="s">
        <v>2183</v>
      </c>
      <c r="FU41" s="3630">
        <f>'E Gear B'!EB4</f>
        <v>19.968225884687833</v>
      </c>
      <c r="FY41" s="2186">
        <f>VLOOKUP(FU42,FY5:FY39,1)</f>
        <v>125</v>
      </c>
      <c r="FZ41" s="2186">
        <f>VLOOKUP(FY41,FY5:FZ39,2,0)</f>
        <v>140</v>
      </c>
      <c r="GC41" s="2208" t="s">
        <v>682</v>
      </c>
      <c r="GD41" s="3629">
        <f>+FY41</f>
        <v>125</v>
      </c>
      <c r="GE41" s="2178"/>
      <c r="GF41" s="2179"/>
      <c r="GG41" s="2179"/>
      <c r="GH41" s="2210"/>
      <c r="GI41" s="2209" t="s">
        <v>2182</v>
      </c>
      <c r="GJ41" s="3627">
        <f>GF63</f>
        <v>280</v>
      </c>
      <c r="GK41" s="3628" t="str">
        <f>GC73</f>
        <v>Right</v>
      </c>
      <c r="GU41" s="2174"/>
      <c r="GX41" s="2208" t="s">
        <v>682</v>
      </c>
      <c r="GY41" s="3629">
        <f>+HP40</f>
        <v>130</v>
      </c>
      <c r="GZ41" s="2207"/>
      <c r="HE41" s="2209" t="s">
        <v>2182</v>
      </c>
      <c r="HF41" s="3627">
        <f>HA63</f>
        <v>280</v>
      </c>
      <c r="HG41" s="2176" t="str">
        <f>GX73</f>
        <v>Right</v>
      </c>
      <c r="HJ41" s="277" t="s">
        <v>2183</v>
      </c>
      <c r="HK41" s="3630">
        <f>'E Gear B'!EB4</f>
        <v>19.968225884687833</v>
      </c>
      <c r="HO41" s="2176"/>
      <c r="HP41" s="2176"/>
      <c r="HS41" s="2208" t="s">
        <v>682</v>
      </c>
      <c r="HT41" s="3629">
        <f>+HO40</f>
        <v>117</v>
      </c>
      <c r="HU41" s="2207"/>
      <c r="HZ41" s="2209" t="s">
        <v>2182</v>
      </c>
      <c r="IA41" s="3627">
        <f>HV63</f>
        <v>280</v>
      </c>
      <c r="IB41" s="2176" t="str">
        <f>HS73</f>
        <v>Right</v>
      </c>
    </row>
    <row r="42" spans="2:241" ht="21.95" customHeight="1">
      <c r="C42" s="283" t="s">
        <v>662</v>
      </c>
      <c r="D42" s="3620">
        <f t="shared" si="6"/>
        <v>29.23</v>
      </c>
      <c r="E42" s="3620" t="str">
        <f t="shared" si="7"/>
        <v>3AH1250</v>
      </c>
      <c r="F42" s="3620">
        <f>VLOOKUP(E42,'E Gear B'!C56:F66,2,0)</f>
        <v>504000</v>
      </c>
      <c r="G42" s="3620">
        <f>VLOOKUP(E42,'E Gear B'!C56:F66,3,0)</f>
        <v>52500</v>
      </c>
      <c r="H42" s="3620">
        <f>VLOOKUP(E42,'E Gear B'!C56:F66,4,0)</f>
        <v>3300</v>
      </c>
      <c r="I42" s="281"/>
      <c r="S42" s="286"/>
      <c r="T42" s="286"/>
      <c r="AF42" s="2174"/>
      <c r="AG42" s="2174"/>
      <c r="AJ42" s="2177"/>
      <c r="AK42" s="2178"/>
      <c r="AL42" s="2178"/>
      <c r="AM42" s="2214" t="s">
        <v>707</v>
      </c>
      <c r="AN42" s="2178"/>
      <c r="AO42" s="2178"/>
      <c r="AP42" s="2178"/>
      <c r="AQ42" s="2178"/>
      <c r="AR42" s="2178"/>
      <c r="AS42" s="2178"/>
      <c r="AT42" s="2178"/>
      <c r="AU42" s="2178"/>
      <c r="AV42" s="2179"/>
      <c r="BB42" s="2176"/>
      <c r="BC42" s="2176"/>
      <c r="BF42" s="2177"/>
      <c r="BG42" s="2178"/>
      <c r="BH42" s="2178"/>
      <c r="BI42" s="2214" t="s">
        <v>707</v>
      </c>
      <c r="BJ42" s="2178"/>
      <c r="BK42" s="2178"/>
      <c r="BL42" s="2178"/>
      <c r="BM42" s="2178"/>
      <c r="BN42" s="2178"/>
      <c r="BO42" s="2178"/>
      <c r="BP42" s="2215"/>
      <c r="BQ42" s="2178"/>
      <c r="BR42" s="2179"/>
      <c r="BX42" s="2174"/>
      <c r="CA42" s="2180"/>
      <c r="CB42" s="2207"/>
      <c r="CC42" s="2207"/>
      <c r="CD42" s="2214" t="s">
        <v>707</v>
      </c>
      <c r="CE42" s="2207"/>
      <c r="CF42" s="2207"/>
      <c r="CG42" s="2207"/>
      <c r="CH42" s="2207"/>
      <c r="CI42" s="2207"/>
      <c r="CJ42" s="2207"/>
      <c r="CK42" s="2207"/>
      <c r="CL42" s="2207"/>
      <c r="CR42" s="2176"/>
      <c r="CS42" s="2176"/>
      <c r="CV42" s="2180"/>
      <c r="CW42" s="2207"/>
      <c r="CX42" s="2207"/>
      <c r="CY42" s="2214" t="s">
        <v>707</v>
      </c>
      <c r="CZ42" s="2207"/>
      <c r="DA42" s="2207"/>
      <c r="DB42" s="2207"/>
      <c r="DC42" s="2207"/>
      <c r="DD42" s="2207"/>
      <c r="DE42" s="2207"/>
      <c r="DF42" s="2207"/>
      <c r="DG42" s="2207"/>
      <c r="DX42" s="1"/>
      <c r="DZ42" s="283" t="s">
        <v>662</v>
      </c>
      <c r="EA42" s="3620">
        <f t="shared" si="9"/>
        <v>23.38</v>
      </c>
      <c r="EB42" s="3620" t="str">
        <f t="shared" si="8"/>
        <v>3AH950</v>
      </c>
      <c r="EC42" s="3620">
        <f>VLOOKUP(EB42,'E Gear B'!DZ56:EC66,2,0)</f>
        <v>321637</v>
      </c>
      <c r="ED42" s="3620">
        <f>VLOOKUP(EB42,'E Gear B'!DZ56:EC66,3,0)</f>
        <v>36750</v>
      </c>
      <c r="EE42" s="3620">
        <f>VLOOKUP(EB42,'E Gear B'!DZ56:EC66,4,0)</f>
        <v>2200</v>
      </c>
      <c r="EF42" s="281"/>
      <c r="EP42" s="286"/>
      <c r="EQ42" s="286"/>
      <c r="FC42" s="2174"/>
      <c r="FD42" s="2174"/>
      <c r="FG42" s="2208" t="s">
        <v>737</v>
      </c>
      <c r="FH42" s="2186">
        <f>+FU41</f>
        <v>19.968225884687833</v>
      </c>
      <c r="FI42" s="2178"/>
      <c r="FJ42" s="2179"/>
      <c r="FK42" s="2179"/>
      <c r="FM42" s="2179"/>
      <c r="FN42" s="2179" t="s">
        <v>737</v>
      </c>
      <c r="FO42" s="3627">
        <f>FI63</f>
        <v>21</v>
      </c>
      <c r="FP42" s="3628" t="str">
        <f>FG74</f>
        <v>Right</v>
      </c>
      <c r="FT42" s="277" t="s">
        <v>2184</v>
      </c>
      <c r="FU42" s="2176">
        <f>'E Gear B'!EB5</f>
        <v>125.03040000000001</v>
      </c>
      <c r="FY42" s="2176"/>
      <c r="FZ42" s="2176"/>
      <c r="GC42" s="2208" t="s">
        <v>737</v>
      </c>
      <c r="GD42" s="2186">
        <f>+FU41</f>
        <v>19.968225884687833</v>
      </c>
      <c r="GE42" s="2178"/>
      <c r="GF42" s="2179"/>
      <c r="GG42" s="2179"/>
      <c r="GH42" s="2210"/>
      <c r="GI42" s="2209" t="s">
        <v>737</v>
      </c>
      <c r="GJ42" s="3627">
        <f>GE63</f>
        <v>23</v>
      </c>
      <c r="GK42" s="3628" t="str">
        <f>GC74</f>
        <v>Right</v>
      </c>
      <c r="GU42" s="2174"/>
      <c r="GX42" s="2208" t="s">
        <v>737</v>
      </c>
      <c r="GY42" s="2186">
        <f>+HK41</f>
        <v>19.968225884687833</v>
      </c>
      <c r="GZ42" s="2207"/>
      <c r="HE42" s="2209" t="s">
        <v>737</v>
      </c>
      <c r="HF42" s="3627">
        <f>GZ63</f>
        <v>21</v>
      </c>
      <c r="HG42" s="2176" t="str">
        <f>GX74</f>
        <v>Right</v>
      </c>
      <c r="HJ42" s="277" t="s">
        <v>2184</v>
      </c>
      <c r="HK42" s="3630">
        <f>'E Gear B'!EB5</f>
        <v>125.03040000000001</v>
      </c>
      <c r="HO42" s="2176"/>
      <c r="HP42" s="2176"/>
      <c r="HS42" s="2208" t="s">
        <v>737</v>
      </c>
      <c r="HT42" s="2186">
        <f>+HK41</f>
        <v>19.968225884687833</v>
      </c>
      <c r="HU42" s="2207"/>
      <c r="HZ42" s="2209" t="s">
        <v>737</v>
      </c>
      <c r="IA42" s="3627">
        <f>HU63</f>
        <v>29.3</v>
      </c>
      <c r="IB42" s="2176" t="str">
        <f>HS74</f>
        <v>Right</v>
      </c>
    </row>
    <row r="43" spans="2:241" ht="21.95" customHeight="1">
      <c r="B43" s="3625">
        <f>1-E5/C43</f>
        <v>1.0022075971792499E-2</v>
      </c>
      <c r="C43" s="3622">
        <f>CN328</f>
        <v>206.43</v>
      </c>
      <c r="D43" s="3622">
        <f>VLOOKUP(C3,C39:H42,2,0)</f>
        <v>27.18</v>
      </c>
      <c r="E43" s="3622" t="str">
        <f>VLOOKUP(C3,C39:H42,3,0)</f>
        <v>3AH950</v>
      </c>
      <c r="F43" s="3622">
        <f>VLOOKUP(C3,C39:H42,4,0)</f>
        <v>321637</v>
      </c>
      <c r="G43" s="3622">
        <f>VLOOKUP(C3,C39:H42,5,0)</f>
        <v>36750</v>
      </c>
      <c r="H43" s="3622">
        <f>VLOOKUP(C3,C39:H42,6,0)</f>
        <v>2200</v>
      </c>
      <c r="I43" s="281"/>
      <c r="S43" s="286"/>
      <c r="T43" s="286"/>
      <c r="AF43" s="2174"/>
      <c r="AG43" s="2174"/>
      <c r="AJ43" s="2208" t="s">
        <v>707</v>
      </c>
      <c r="AK43" s="2214">
        <v>0</v>
      </c>
      <c r="AL43" s="2186">
        <f t="shared" ref="AL43" si="10">+AK44</f>
        <v>0</v>
      </c>
      <c r="AM43" s="2214">
        <v>160</v>
      </c>
      <c r="AN43" s="2178"/>
      <c r="AO43" s="2179"/>
      <c r="AP43" s="2179"/>
      <c r="AQ43" s="2179"/>
      <c r="AR43" s="2179"/>
      <c r="AS43" s="2179"/>
      <c r="AT43" s="2179"/>
      <c r="AU43" s="2179"/>
      <c r="AV43" s="2179"/>
      <c r="BB43" s="2176"/>
      <c r="BC43" s="2176"/>
      <c r="BF43" s="2208" t="s">
        <v>707</v>
      </c>
      <c r="BG43" s="2214">
        <v>0</v>
      </c>
      <c r="BH43" s="2186">
        <f t="shared" ref="BH43" si="11">+BG44</f>
        <v>0</v>
      </c>
      <c r="BI43" s="2214">
        <v>160</v>
      </c>
      <c r="BJ43" s="2178"/>
      <c r="BK43" s="2179"/>
      <c r="BL43" s="2179"/>
      <c r="BM43" s="2179"/>
      <c r="BN43" s="2179"/>
      <c r="BO43" s="2179"/>
      <c r="BP43" s="2179"/>
      <c r="BQ43" s="2179"/>
      <c r="BR43" s="2179"/>
      <c r="BX43" s="2174"/>
      <c r="CA43" s="2208" t="s">
        <v>707</v>
      </c>
      <c r="CB43" s="2214">
        <v>0</v>
      </c>
      <c r="CC43" s="2186">
        <f t="shared" ref="CC43:CC56" si="12">+CB44</f>
        <v>1.6</v>
      </c>
      <c r="CD43" s="2214">
        <v>140</v>
      </c>
      <c r="CE43" s="2207"/>
      <c r="CR43" s="2176"/>
      <c r="CS43" s="2176"/>
      <c r="CV43" s="2208" t="s">
        <v>707</v>
      </c>
      <c r="CW43" s="2214">
        <v>0</v>
      </c>
      <c r="CX43" s="2186">
        <f t="shared" ref="CX43:CX56" si="13">+CW44</f>
        <v>1.8</v>
      </c>
      <c r="CY43" s="2214">
        <v>140</v>
      </c>
      <c r="CZ43" s="2207"/>
      <c r="DX43" s="1"/>
      <c r="DY43" s="3625">
        <f>1-EB5/DZ43</f>
        <v>3.674576271186436E-2</v>
      </c>
      <c r="DZ43" s="3622">
        <f>HK328</f>
        <v>129.80000000000001</v>
      </c>
      <c r="EA43" s="3622">
        <f>VLOOKUP(DZ3,DZ39:EE42,2,0)</f>
        <v>20.74</v>
      </c>
      <c r="EB43" s="3622" t="str">
        <f>VLOOKUP(DZ3,DZ39:EE42,3,0)</f>
        <v>3AH775</v>
      </c>
      <c r="EC43" s="3622">
        <f>VLOOKUP(DZ3,DZ39:EE42,4,0)</f>
        <v>195532</v>
      </c>
      <c r="ED43" s="3622">
        <f>VLOOKUP(DZ3,DZ39:EE42,5,0)</f>
        <v>29400</v>
      </c>
      <c r="EE43" s="3622">
        <f>VLOOKUP(DZ3,DZ39:EE42,6,0)</f>
        <v>1100</v>
      </c>
      <c r="EF43" s="281"/>
      <c r="EP43" s="286"/>
      <c r="EQ43" s="286"/>
      <c r="FC43" s="2174"/>
      <c r="FD43" s="2174"/>
      <c r="FG43" s="2177"/>
      <c r="FH43" s="2178"/>
      <c r="FI43" s="2178"/>
      <c r="FJ43" s="2214" t="s">
        <v>707</v>
      </c>
      <c r="FK43" s="2178"/>
      <c r="FL43" s="2178"/>
      <c r="FM43" s="2178"/>
      <c r="FN43" s="2178"/>
      <c r="FO43" s="2178"/>
      <c r="FP43" s="2178"/>
      <c r="FQ43" s="2178"/>
      <c r="FR43" s="2178"/>
      <c r="FS43" s="2179"/>
      <c r="FY43" s="2176"/>
      <c r="FZ43" s="2176"/>
      <c r="GC43" s="2177"/>
      <c r="GD43" s="2178"/>
      <c r="GE43" s="2178"/>
      <c r="GF43" s="2214" t="s">
        <v>707</v>
      </c>
      <c r="GG43" s="2178"/>
      <c r="GH43" s="2178"/>
      <c r="GI43" s="2178"/>
      <c r="GJ43" s="2178"/>
      <c r="GK43" s="2178"/>
      <c r="GL43" s="2178"/>
      <c r="GM43" s="2215"/>
      <c r="GN43" s="2178"/>
      <c r="GO43" s="2179"/>
      <c r="GU43" s="2174"/>
      <c r="GX43" s="2180"/>
      <c r="GY43" s="2207"/>
      <c r="GZ43" s="2207"/>
      <c r="HA43" s="2214" t="s">
        <v>707</v>
      </c>
      <c r="HB43" s="2207"/>
      <c r="HC43" s="2207"/>
      <c r="HD43" s="2207"/>
      <c r="HE43" s="2207"/>
      <c r="HF43" s="2207"/>
      <c r="HG43" s="2207"/>
      <c r="HH43" s="2207"/>
      <c r="HI43" s="2207"/>
      <c r="HO43" s="2176"/>
      <c r="HP43" s="2176"/>
      <c r="HS43" s="2180"/>
      <c r="HT43" s="2207"/>
      <c r="HU43" s="2207"/>
      <c r="HV43" s="2214" t="s">
        <v>707</v>
      </c>
      <c r="HW43" s="2207"/>
      <c r="HX43" s="2207"/>
      <c r="HY43" s="2207"/>
      <c r="HZ43" s="2207"/>
      <c r="IA43" s="2207"/>
      <c r="IB43" s="2207"/>
      <c r="IC43" s="2207"/>
      <c r="ID43" s="2207"/>
    </row>
    <row r="44" spans="2:241" ht="21.95" customHeight="1">
      <c r="S44" s="286"/>
      <c r="T44" s="286"/>
      <c r="AF44" s="2174"/>
      <c r="AG44" s="2174"/>
      <c r="AJ44" s="2208">
        <v>160</v>
      </c>
      <c r="AK44" s="2186">
        <f>VLOOKUP(AK40,AJ5:AY38,2,0)</f>
        <v>0</v>
      </c>
      <c r="AL44" s="2186">
        <f>+AK45</f>
        <v>0</v>
      </c>
      <c r="AM44" s="2214">
        <v>180</v>
      </c>
      <c r="AN44" s="2178"/>
      <c r="AO44" s="2179"/>
      <c r="AP44" s="2179"/>
      <c r="AQ44" s="2179"/>
      <c r="AR44" s="2216" t="s">
        <v>507</v>
      </c>
      <c r="AS44" s="2210"/>
      <c r="BB44" s="2176"/>
      <c r="BC44" s="2176"/>
      <c r="BF44" s="2208">
        <v>160</v>
      </c>
      <c r="BG44" s="2186">
        <f>VLOOKUP(BG40,BF5:BU38,2,0)</f>
        <v>0</v>
      </c>
      <c r="BH44" s="2186">
        <f>+BG45</f>
        <v>0</v>
      </c>
      <c r="BI44" s="2214">
        <v>180</v>
      </c>
      <c r="BJ44" s="2178"/>
      <c r="BK44" s="2179"/>
      <c r="BL44" s="2179"/>
      <c r="BM44" s="2216" t="s">
        <v>512</v>
      </c>
      <c r="BN44" s="2179"/>
      <c r="BO44" s="2179"/>
      <c r="BP44" s="2179"/>
      <c r="BQ44" s="2179"/>
      <c r="BR44" s="2179"/>
      <c r="BX44" s="2174"/>
      <c r="CA44" s="2208">
        <v>140</v>
      </c>
      <c r="CB44" s="2186">
        <f>VLOOKUP(CB40,CA5:CP38,2,0)</f>
        <v>1.6</v>
      </c>
      <c r="CC44" s="2186">
        <f t="shared" si="12"/>
        <v>2.6</v>
      </c>
      <c r="CD44" s="2214">
        <v>160</v>
      </c>
      <c r="CE44" s="2207"/>
      <c r="CI44" s="2216" t="s">
        <v>507</v>
      </c>
      <c r="CR44" s="2176"/>
      <c r="CS44" s="2176"/>
      <c r="CV44" s="2208">
        <v>140</v>
      </c>
      <c r="CW44" s="2186">
        <f>VLOOKUP(CW40,CV5:DK38,2,0)</f>
        <v>1.8</v>
      </c>
      <c r="CX44" s="2186">
        <f t="shared" si="13"/>
        <v>3</v>
      </c>
      <c r="CY44" s="2214">
        <v>160</v>
      </c>
      <c r="CZ44" s="2207"/>
      <c r="DD44" s="2216" t="s">
        <v>512</v>
      </c>
      <c r="DX44" s="1"/>
      <c r="EP44" s="286"/>
      <c r="EQ44" s="286"/>
      <c r="FC44" s="2174"/>
      <c r="FD44" s="2174"/>
      <c r="FG44" s="2208" t="s">
        <v>707</v>
      </c>
      <c r="FH44" s="2214">
        <v>0</v>
      </c>
      <c r="FI44" s="2186">
        <f t="shared" ref="FI44" si="14">+FH45</f>
        <v>0</v>
      </c>
      <c r="FJ44" s="2214">
        <v>160</v>
      </c>
      <c r="FK44" s="2178"/>
      <c r="FL44" s="2179"/>
      <c r="FM44" s="2179"/>
      <c r="FN44" s="2179"/>
      <c r="FO44" s="2179"/>
      <c r="FP44" s="2179"/>
      <c r="FQ44" s="2179"/>
      <c r="FR44" s="2179"/>
      <c r="FS44" s="2179"/>
      <c r="FY44" s="2176"/>
      <c r="FZ44" s="2176"/>
      <c r="GC44" s="2208" t="s">
        <v>707</v>
      </c>
      <c r="GD44" s="2214">
        <v>0</v>
      </c>
      <c r="GE44" s="2186">
        <f t="shared" ref="GE44" si="15">+GD45</f>
        <v>0</v>
      </c>
      <c r="GF44" s="2214">
        <v>160</v>
      </c>
      <c r="GG44" s="2178"/>
      <c r="GH44" s="2179"/>
      <c r="GI44" s="2179"/>
      <c r="GJ44" s="2179"/>
      <c r="GK44" s="2179"/>
      <c r="GL44" s="2179"/>
      <c r="GM44" s="2179"/>
      <c r="GN44" s="2179"/>
      <c r="GO44" s="2179"/>
      <c r="GU44" s="2174"/>
      <c r="GX44" s="2208" t="s">
        <v>707</v>
      </c>
      <c r="GY44" s="2214">
        <v>0</v>
      </c>
      <c r="GZ44" s="2186">
        <f t="shared" ref="GZ44:GZ57" si="16">+GY45</f>
        <v>2.4900000000000002</v>
      </c>
      <c r="HA44" s="2214">
        <v>140</v>
      </c>
      <c r="HB44" s="2207"/>
      <c r="HO44" s="2176"/>
      <c r="HP44" s="2176"/>
      <c r="HS44" s="2208" t="s">
        <v>707</v>
      </c>
      <c r="HT44" s="2214">
        <v>0</v>
      </c>
      <c r="HU44" s="2186">
        <f t="shared" ref="HU44:HU57" si="17">+HT45</f>
        <v>3.14</v>
      </c>
      <c r="HV44" s="2214">
        <v>140</v>
      </c>
      <c r="HW44" s="2207"/>
    </row>
    <row r="45" spans="2:241" ht="21.95" customHeight="1" thickBot="1">
      <c r="S45" s="286"/>
      <c r="T45" s="286"/>
      <c r="AF45" s="2174"/>
      <c r="AG45" s="2174"/>
      <c r="AJ45" s="2208">
        <v>180</v>
      </c>
      <c r="AK45" s="2186">
        <f>VLOOKUP(AK40,AJ5:AY38,3,0)</f>
        <v>0</v>
      </c>
      <c r="AL45" s="2186">
        <f t="shared" ref="AL45:AL58" si="18">+AK46</f>
        <v>0</v>
      </c>
      <c r="AM45" s="2214">
        <v>200</v>
      </c>
      <c r="AN45" s="2178"/>
      <c r="AO45" s="2179"/>
      <c r="AP45" s="2179"/>
      <c r="AQ45" s="2179"/>
      <c r="AR45" s="2179"/>
      <c r="BB45" s="2176"/>
      <c r="BC45" s="2176"/>
      <c r="BF45" s="2208">
        <v>180</v>
      </c>
      <c r="BG45" s="2186">
        <f>VLOOKUP(BG40,BF5:BU38,3,0)</f>
        <v>0</v>
      </c>
      <c r="BH45" s="2186">
        <f t="shared" ref="BH45" si="19">+BG46</f>
        <v>0</v>
      </c>
      <c r="BI45" s="2214">
        <v>200</v>
      </c>
      <c r="BJ45" s="2178"/>
      <c r="BK45" s="2179"/>
      <c r="BL45" s="2179"/>
      <c r="BM45" s="2179"/>
      <c r="BN45" s="2179"/>
      <c r="BO45" s="2179"/>
      <c r="BP45" s="2179"/>
      <c r="BQ45" s="2179"/>
      <c r="BR45" s="2179"/>
      <c r="BX45" s="2174"/>
      <c r="CA45" s="2208">
        <v>160</v>
      </c>
      <c r="CB45" s="2186">
        <f>VLOOKUP(CB40,CA5:CP38,3,0)</f>
        <v>2.6</v>
      </c>
      <c r="CC45" s="2186">
        <f t="shared" si="12"/>
        <v>3.8</v>
      </c>
      <c r="CD45" s="2214">
        <v>180</v>
      </c>
      <c r="CE45" s="2207"/>
      <c r="CR45" s="2176"/>
      <c r="CS45" s="2176"/>
      <c r="CV45" s="2208">
        <v>160</v>
      </c>
      <c r="CW45" s="2186">
        <f>VLOOKUP(CW40,CV5:DK38,3,0)</f>
        <v>3</v>
      </c>
      <c r="CX45" s="2186">
        <f t="shared" si="13"/>
        <v>4.3</v>
      </c>
      <c r="CY45" s="2214">
        <v>180</v>
      </c>
      <c r="CZ45" s="2207"/>
      <c r="DX45" s="1"/>
      <c r="EP45" s="286"/>
      <c r="EQ45" s="286"/>
      <c r="FC45" s="2174"/>
      <c r="FD45" s="2174"/>
      <c r="FG45" s="2208">
        <v>160</v>
      </c>
      <c r="FH45" s="2186">
        <f>VLOOKUP(FH41,FG6:FV39,2,0)</f>
        <v>0</v>
      </c>
      <c r="FI45" s="2186">
        <f>+FH46</f>
        <v>0</v>
      </c>
      <c r="FJ45" s="2214">
        <v>180</v>
      </c>
      <c r="FK45" s="2178"/>
      <c r="FL45" s="2179"/>
      <c r="FM45" s="2179"/>
      <c r="FN45" s="2179"/>
      <c r="FO45" s="2216" t="s">
        <v>507</v>
      </c>
      <c r="FP45" s="2210"/>
      <c r="FY45" s="2176"/>
      <c r="FZ45" s="2176"/>
      <c r="GC45" s="2208">
        <v>160</v>
      </c>
      <c r="GD45" s="2186">
        <f>VLOOKUP(GD41,GC6:GR39,2,0)</f>
        <v>0</v>
      </c>
      <c r="GE45" s="2186">
        <f>+GD46</f>
        <v>0</v>
      </c>
      <c r="GF45" s="2214">
        <v>180</v>
      </c>
      <c r="GG45" s="2178"/>
      <c r="GH45" s="2179"/>
      <c r="GI45" s="2179"/>
      <c r="GJ45" s="2216" t="s">
        <v>512</v>
      </c>
      <c r="GK45" s="2179"/>
      <c r="GL45" s="2179"/>
      <c r="GM45" s="2179"/>
      <c r="GN45" s="2179"/>
      <c r="GO45" s="2179"/>
      <c r="GU45" s="2174"/>
      <c r="GX45" s="2208">
        <v>140</v>
      </c>
      <c r="GY45" s="2186">
        <f>VLOOKUP(GY41,GX6:HM39,2,0)</f>
        <v>2.4900000000000002</v>
      </c>
      <c r="GZ45" s="2186">
        <f t="shared" si="16"/>
        <v>4.01</v>
      </c>
      <c r="HA45" s="2214">
        <v>160</v>
      </c>
      <c r="HB45" s="2207"/>
      <c r="HF45" s="2216" t="s">
        <v>507</v>
      </c>
      <c r="HO45" s="2176"/>
      <c r="HP45" s="2176"/>
      <c r="HS45" s="2208">
        <v>140</v>
      </c>
      <c r="HT45" s="2186">
        <f>VLOOKUP(HT41,HS6:IH39,2,0)</f>
        <v>3.14</v>
      </c>
      <c r="HU45" s="2186">
        <f t="shared" si="17"/>
        <v>4.4800000000000004</v>
      </c>
      <c r="HV45" s="2214">
        <v>160</v>
      </c>
      <c r="HW45" s="2207"/>
      <c r="IA45" s="2216" t="s">
        <v>512</v>
      </c>
    </row>
    <row r="46" spans="2:241" ht="21.95" customHeight="1" thickBot="1">
      <c r="S46" s="286"/>
      <c r="T46" s="286"/>
      <c r="AF46" s="2174"/>
      <c r="AG46" s="2174"/>
      <c r="AJ46" s="2208">
        <v>200</v>
      </c>
      <c r="AK46" s="2186">
        <f>VLOOKUP(AK40,AJ5:AY38,4,0)</f>
        <v>0</v>
      </c>
      <c r="AL46" s="2186">
        <f>+AK47</f>
        <v>7</v>
      </c>
      <c r="AM46" s="2214">
        <v>225</v>
      </c>
      <c r="AN46" s="2178"/>
      <c r="AO46" s="2179"/>
      <c r="AP46" s="2179"/>
      <c r="AQ46" s="2179"/>
      <c r="AR46" s="2179"/>
      <c r="AT46" s="2217" t="str">
        <f>IF(AQ50="Right",IF(AQ49="Right","Right","Wrong"),"Wrong")</f>
        <v>Right</v>
      </c>
      <c r="BB46" s="2176"/>
      <c r="BC46" s="2176"/>
      <c r="BF46" s="2208">
        <v>200</v>
      </c>
      <c r="BG46" s="2186">
        <f>VLOOKUP(BG40,BF5:BU38,4,0)</f>
        <v>0</v>
      </c>
      <c r="BH46" s="2186">
        <f>+BG47</f>
        <v>8</v>
      </c>
      <c r="BI46" s="2214">
        <v>225</v>
      </c>
      <c r="BJ46" s="2178"/>
      <c r="BK46" s="2179"/>
      <c r="BL46" s="2179"/>
      <c r="BM46" s="2179"/>
      <c r="BN46" s="2179"/>
      <c r="BO46" s="2179"/>
      <c r="BP46" s="2179"/>
      <c r="BQ46" s="2179"/>
      <c r="BR46" s="2179"/>
      <c r="BX46" s="2174"/>
      <c r="CA46" s="2208">
        <v>180</v>
      </c>
      <c r="CB46" s="2186">
        <f>VLOOKUP(CB40,CA5:CP38,4,0)</f>
        <v>3.8</v>
      </c>
      <c r="CC46" s="2186">
        <f t="shared" si="12"/>
        <v>5.0999999999999996</v>
      </c>
      <c r="CD46" s="2214">
        <v>200</v>
      </c>
      <c r="CE46" s="2207"/>
      <c r="CK46" s="2217" t="str">
        <f>IF(CH49="Right",IF(CH50="Right","Right","Wrong"),"Wrong")</f>
        <v>Right</v>
      </c>
      <c r="CR46" s="2176"/>
      <c r="CS46" s="2176"/>
      <c r="CV46" s="2208">
        <v>180</v>
      </c>
      <c r="CW46" s="2186">
        <f>VLOOKUP(CW40,CV5:DK38,4,0)</f>
        <v>4.3</v>
      </c>
      <c r="CX46" s="2186">
        <f t="shared" si="13"/>
        <v>5.7</v>
      </c>
      <c r="CY46" s="2214">
        <v>200</v>
      </c>
      <c r="CZ46" s="2207"/>
      <c r="DX46" s="1"/>
      <c r="EP46" s="286"/>
      <c r="EQ46" s="286"/>
      <c r="FC46" s="2174"/>
      <c r="FD46" s="2174"/>
      <c r="FG46" s="2208">
        <v>180</v>
      </c>
      <c r="FH46" s="2186">
        <f>VLOOKUP(FH41,FG6:FV39,3,0)</f>
        <v>0</v>
      </c>
      <c r="FI46" s="2186">
        <f t="shared" ref="FI46" si="20">+FH47</f>
        <v>0</v>
      </c>
      <c r="FJ46" s="2214">
        <v>200</v>
      </c>
      <c r="FK46" s="2178"/>
      <c r="FL46" s="2179"/>
      <c r="FM46" s="2179"/>
      <c r="FN46" s="2179"/>
      <c r="FO46" s="2179"/>
      <c r="FY46" s="2176"/>
      <c r="FZ46" s="2176"/>
      <c r="GC46" s="2208">
        <v>180</v>
      </c>
      <c r="GD46" s="2186">
        <f>VLOOKUP(GD41,GC6:GR39,3,0)</f>
        <v>0</v>
      </c>
      <c r="GE46" s="2186">
        <f t="shared" ref="GE46" si="21">+GD47</f>
        <v>0</v>
      </c>
      <c r="GF46" s="2214">
        <v>200</v>
      </c>
      <c r="GG46" s="2178"/>
      <c r="GH46" s="2179"/>
      <c r="GI46" s="2179"/>
      <c r="GJ46" s="2179"/>
      <c r="GK46" s="2179"/>
      <c r="GL46" s="2179"/>
      <c r="GM46" s="2179"/>
      <c r="GN46" s="2179"/>
      <c r="GO46" s="2179"/>
      <c r="GU46" s="2174"/>
      <c r="GX46" s="2208">
        <v>160</v>
      </c>
      <c r="GY46" s="2186">
        <f>VLOOKUP(GY41,GX6:HM39,3,0)</f>
        <v>4.01</v>
      </c>
      <c r="GZ46" s="2186">
        <f t="shared" si="16"/>
        <v>5.52</v>
      </c>
      <c r="HA46" s="2214">
        <v>180</v>
      </c>
      <c r="HB46" s="2207"/>
      <c r="HO46" s="2176"/>
      <c r="HP46" s="2176"/>
      <c r="HS46" s="2208">
        <v>160</v>
      </c>
      <c r="HT46" s="2186">
        <f>VLOOKUP(HT41,HS6:IH39,3,0)</f>
        <v>4.4800000000000004</v>
      </c>
      <c r="HU46" s="2186">
        <f t="shared" si="17"/>
        <v>6.58</v>
      </c>
      <c r="HV46" s="2214">
        <v>180</v>
      </c>
      <c r="HW46" s="2207"/>
    </row>
    <row r="47" spans="2:241" ht="21.95" customHeight="1" thickBot="1">
      <c r="S47" s="286"/>
      <c r="T47" s="286"/>
      <c r="AF47" s="2174"/>
      <c r="AG47" s="2174"/>
      <c r="AJ47" s="2208">
        <v>225</v>
      </c>
      <c r="AK47" s="2186">
        <f>VLOOKUP(AK40,AJ5:AY38,5,0)</f>
        <v>7</v>
      </c>
      <c r="AL47" s="2186">
        <f t="shared" si="18"/>
        <v>9</v>
      </c>
      <c r="AM47" s="2214">
        <v>250</v>
      </c>
      <c r="AN47" s="2178"/>
      <c r="AO47" s="2179"/>
      <c r="AP47" s="2179"/>
      <c r="AQ47" s="2179"/>
      <c r="AR47" s="2179"/>
      <c r="BB47" s="2176"/>
      <c r="BC47" s="2176"/>
      <c r="BF47" s="2208">
        <v>225</v>
      </c>
      <c r="BG47" s="2186">
        <f>VLOOKUP(BG40,BF5:BU38,5,0)</f>
        <v>8</v>
      </c>
      <c r="BH47" s="2186">
        <f t="shared" ref="BH47" si="22">+BG48</f>
        <v>10</v>
      </c>
      <c r="BI47" s="2214">
        <v>250</v>
      </c>
      <c r="BJ47" s="2178"/>
      <c r="BK47" s="2179"/>
      <c r="BL47" s="2179"/>
      <c r="BM47" s="2179"/>
      <c r="BN47" s="2179"/>
      <c r="BO47" s="2179"/>
      <c r="BP47" s="2179"/>
      <c r="BQ47" s="2179"/>
      <c r="BR47" s="2179"/>
      <c r="BX47" s="2174"/>
      <c r="CA47" s="2208">
        <v>200</v>
      </c>
      <c r="CB47" s="2186">
        <f>VLOOKUP(CB40,CA5:CP38,5,0)</f>
        <v>5.0999999999999996</v>
      </c>
      <c r="CC47" s="2186">
        <f t="shared" si="12"/>
        <v>7.3</v>
      </c>
      <c r="CD47" s="2214">
        <v>225</v>
      </c>
      <c r="CE47" s="2207"/>
      <c r="CR47" s="2176"/>
      <c r="CS47" s="2176"/>
      <c r="CV47" s="2208">
        <v>200</v>
      </c>
      <c r="CW47" s="2186">
        <f>VLOOKUP(CW40,CV5:DK38,5,0)</f>
        <v>5.7</v>
      </c>
      <c r="CX47" s="2186">
        <f t="shared" si="13"/>
        <v>7.9</v>
      </c>
      <c r="CY47" s="2214">
        <v>225</v>
      </c>
      <c r="CZ47" s="2207"/>
      <c r="DX47" s="1"/>
      <c r="EP47" s="286"/>
      <c r="EQ47" s="286"/>
      <c r="FC47" s="2174"/>
      <c r="FD47" s="2174"/>
      <c r="FG47" s="2208">
        <v>200</v>
      </c>
      <c r="FH47" s="2186">
        <f>VLOOKUP(FH41,FG6:FV39,4,0)</f>
        <v>0</v>
      </c>
      <c r="FI47" s="2186">
        <f>+FH48</f>
        <v>11</v>
      </c>
      <c r="FJ47" s="2214">
        <v>225</v>
      </c>
      <c r="FK47" s="2178"/>
      <c r="FL47" s="2179"/>
      <c r="FM47" s="2179"/>
      <c r="FN47" s="2179"/>
      <c r="FO47" s="2179"/>
      <c r="FQ47" s="2217" t="str">
        <f>IF(FN51="Right",IF(FN50="Right","Right","Wrong"),"Wrong")</f>
        <v>Right</v>
      </c>
      <c r="FY47" s="2176"/>
      <c r="FZ47" s="2176"/>
      <c r="GC47" s="2208">
        <v>200</v>
      </c>
      <c r="GD47" s="2186">
        <f>VLOOKUP(GD41,GC6:GR39,4,0)</f>
        <v>0</v>
      </c>
      <c r="GE47" s="2186">
        <f>+GD48</f>
        <v>12</v>
      </c>
      <c r="GF47" s="2214">
        <v>225</v>
      </c>
      <c r="GG47" s="2178"/>
      <c r="GH47" s="2179"/>
      <c r="GI47" s="2179"/>
      <c r="GJ47" s="2179"/>
      <c r="GK47" s="2179"/>
      <c r="GL47" s="2179"/>
      <c r="GM47" s="2179"/>
      <c r="GN47" s="2179"/>
      <c r="GO47" s="2179"/>
      <c r="GU47" s="2174"/>
      <c r="GX47" s="2208">
        <v>180</v>
      </c>
      <c r="GY47" s="2186">
        <f>VLOOKUP(GY41,GX6:HM39,4,0)</f>
        <v>5.52</v>
      </c>
      <c r="GZ47" s="2186">
        <f t="shared" si="16"/>
        <v>8.5399999999999991</v>
      </c>
      <c r="HA47" s="2214">
        <v>200</v>
      </c>
      <c r="HB47" s="2207"/>
      <c r="HH47" s="2217" t="str">
        <f>IF(HE50="Right",IF(HE51="Right","Right","Wrong"),"Wrong")</f>
        <v>Right</v>
      </c>
      <c r="HO47" s="2176"/>
      <c r="HP47" s="2176"/>
      <c r="HS47" s="2208">
        <v>180</v>
      </c>
      <c r="HT47" s="2186">
        <f>VLOOKUP(HT41,HS6:IH39,4,0)</f>
        <v>6.58</v>
      </c>
      <c r="HU47" s="2186">
        <f t="shared" si="17"/>
        <v>8.74</v>
      </c>
      <c r="HV47" s="2214">
        <v>200</v>
      </c>
      <c r="HW47" s="2207"/>
    </row>
    <row r="48" spans="2:241" ht="21.95" customHeight="1">
      <c r="S48" s="286"/>
      <c r="T48" s="286"/>
      <c r="AF48" s="2174"/>
      <c r="AG48" s="2174"/>
      <c r="AJ48" s="2208">
        <v>250</v>
      </c>
      <c r="AK48" s="2186">
        <f>VLOOKUP(AK40,AJ5:AY38,6,0)</f>
        <v>9</v>
      </c>
      <c r="AL48" s="2186">
        <f>+AK49</f>
        <v>13</v>
      </c>
      <c r="AM48" s="2214">
        <v>280</v>
      </c>
      <c r="AN48" s="2178"/>
      <c r="AO48" s="2179"/>
      <c r="AP48" s="2179"/>
      <c r="AQ48" s="2179"/>
      <c r="AR48" s="280" t="s">
        <v>714</v>
      </c>
      <c r="AS48" s="280" t="s">
        <v>682</v>
      </c>
      <c r="AT48" s="280" t="s">
        <v>737</v>
      </c>
      <c r="AU48" s="280" t="s">
        <v>2185</v>
      </c>
      <c r="AW48" s="277" t="s">
        <v>274</v>
      </c>
      <c r="AX48" s="277" t="s">
        <v>675</v>
      </c>
      <c r="AY48" s="277" t="s">
        <v>2186</v>
      </c>
      <c r="BB48" s="2176"/>
      <c r="BC48" s="2176"/>
      <c r="BF48" s="2208">
        <v>250</v>
      </c>
      <c r="BG48" s="2186">
        <f>VLOOKUP(BG40,BF5:BU38,6,0)</f>
        <v>10</v>
      </c>
      <c r="BH48" s="2186">
        <f>+BG49</f>
        <v>14</v>
      </c>
      <c r="BI48" s="2214">
        <v>280</v>
      </c>
      <c r="BJ48" s="2178"/>
      <c r="BK48" s="2179"/>
      <c r="BL48" s="2179"/>
      <c r="BM48" s="2179"/>
      <c r="BN48" s="2179"/>
      <c r="BO48" s="2179"/>
      <c r="BP48" s="2179"/>
      <c r="BQ48" s="2179"/>
      <c r="BR48" s="2179"/>
      <c r="BX48" s="2174"/>
      <c r="CA48" s="2208">
        <v>225</v>
      </c>
      <c r="CB48" s="2186">
        <f>VLOOKUP(CB40,CA5:CP38,6,0)</f>
        <v>7.3</v>
      </c>
      <c r="CC48" s="2186">
        <f t="shared" si="12"/>
        <v>11.5</v>
      </c>
      <c r="CD48" s="2214">
        <v>250</v>
      </c>
      <c r="CE48" s="2207"/>
      <c r="CI48" s="280" t="s">
        <v>714</v>
      </c>
      <c r="CJ48" s="280" t="s">
        <v>682</v>
      </c>
      <c r="CK48" s="280" t="s">
        <v>737</v>
      </c>
      <c r="CL48" s="280" t="s">
        <v>2185</v>
      </c>
      <c r="CN48" s="277" t="s">
        <v>274</v>
      </c>
      <c r="CO48" s="277" t="s">
        <v>675</v>
      </c>
      <c r="CP48" s="277" t="s">
        <v>2186</v>
      </c>
      <c r="CR48" s="2176"/>
      <c r="CS48" s="2176"/>
      <c r="CV48" s="2208">
        <v>225</v>
      </c>
      <c r="CW48" s="2186">
        <f>VLOOKUP(CW40,CV5:DK38,6,0)</f>
        <v>7.9</v>
      </c>
      <c r="CX48" s="2186">
        <f t="shared" si="13"/>
        <v>12.8</v>
      </c>
      <c r="CY48" s="2214">
        <v>250</v>
      </c>
      <c r="CZ48" s="2207"/>
      <c r="DX48" s="1"/>
      <c r="EP48" s="286"/>
      <c r="EQ48" s="286"/>
      <c r="FC48" s="2174"/>
      <c r="FD48" s="2174"/>
      <c r="FG48" s="2208">
        <v>225</v>
      </c>
      <c r="FH48" s="2186">
        <f>VLOOKUP(FH41,FG6:FV39,5,0)</f>
        <v>11</v>
      </c>
      <c r="FI48" s="2186">
        <f t="shared" ref="FI48" si="23">+FH49</f>
        <v>16</v>
      </c>
      <c r="FJ48" s="2214">
        <v>250</v>
      </c>
      <c r="FK48" s="2178"/>
      <c r="FL48" s="2179"/>
      <c r="FM48" s="2179"/>
      <c r="FN48" s="2179"/>
      <c r="FO48" s="2179"/>
      <c r="FY48" s="2176"/>
      <c r="FZ48" s="2176"/>
      <c r="GC48" s="2208">
        <v>225</v>
      </c>
      <c r="GD48" s="2186">
        <f>VLOOKUP(GD41,GC6:GR39,5,0)</f>
        <v>12</v>
      </c>
      <c r="GE48" s="2186">
        <f t="shared" ref="GE48" si="24">+GD49</f>
        <v>17</v>
      </c>
      <c r="GF48" s="2214">
        <v>250</v>
      </c>
      <c r="GG48" s="2178"/>
      <c r="GH48" s="2179"/>
      <c r="GI48" s="2179"/>
      <c r="GJ48" s="2179"/>
      <c r="GK48" s="2179"/>
      <c r="GL48" s="2179"/>
      <c r="GM48" s="2179"/>
      <c r="GN48" s="2179"/>
      <c r="GO48" s="2179"/>
      <c r="GU48" s="2174"/>
      <c r="GX48" s="2208">
        <v>200</v>
      </c>
      <c r="GY48" s="2186">
        <f>VLOOKUP(GY41,GX6:HM39,5,0)</f>
        <v>8.5399999999999991</v>
      </c>
      <c r="GZ48" s="2186">
        <f t="shared" si="16"/>
        <v>11.1</v>
      </c>
      <c r="HA48" s="2214">
        <v>225</v>
      </c>
      <c r="HB48" s="2207"/>
      <c r="HO48" s="2176"/>
      <c r="HP48" s="2176"/>
      <c r="HS48" s="2208">
        <v>200</v>
      </c>
      <c r="HT48" s="2186">
        <f>VLOOKUP(HT41,HS6:IH39,5,0)</f>
        <v>8.74</v>
      </c>
      <c r="HU48" s="2186">
        <f t="shared" si="17"/>
        <v>14</v>
      </c>
      <c r="HV48" s="2214">
        <v>225</v>
      </c>
      <c r="HW48" s="2207"/>
    </row>
    <row r="49" spans="3:238" ht="21.95" customHeight="1">
      <c r="S49" s="286"/>
      <c r="T49" s="286"/>
      <c r="AF49" s="2174"/>
      <c r="AG49" s="2174"/>
      <c r="AJ49" s="2208">
        <v>280</v>
      </c>
      <c r="AK49" s="2186">
        <f>VLOOKUP(AK40,AJ5:AY38,7,0)</f>
        <v>13</v>
      </c>
      <c r="AL49" s="2186">
        <f>+AK50</f>
        <v>20</v>
      </c>
      <c r="AM49" s="2214">
        <v>315</v>
      </c>
      <c r="AN49" s="2178"/>
      <c r="AO49" s="2179"/>
      <c r="AP49" s="2179"/>
      <c r="AQ49" s="2176" t="str">
        <f>BN72</f>
        <v>Right</v>
      </c>
      <c r="AR49" s="2218" t="s">
        <v>2187</v>
      </c>
      <c r="AS49" s="2186">
        <f>+BB40</f>
        <v>200</v>
      </c>
      <c r="AT49" s="2186">
        <f>+BM41</f>
        <v>22</v>
      </c>
      <c r="AU49" s="2186" t="str">
        <f>AT52&amp;AU52</f>
        <v>SDN 315</v>
      </c>
      <c r="AW49" s="2176">
        <f>VLOOKUP(AU49,'E Gear B'!C101:F128,2,0)</f>
        <v>256500</v>
      </c>
      <c r="AX49" s="2176">
        <f>VLOOKUP(AU49,'E Gear B'!C101:F128,3,0)</f>
        <v>42000</v>
      </c>
      <c r="AY49" s="2176">
        <f>VLOOKUP(AU49,'E Gear B'!C101:F128,4,0)</f>
        <v>1026</v>
      </c>
      <c r="BB49" s="2176"/>
      <c r="BC49" s="2176"/>
      <c r="BF49" s="2208">
        <v>280</v>
      </c>
      <c r="BG49" s="2186">
        <f>VLOOKUP(BG40,BF5:BU38,7,0)</f>
        <v>14</v>
      </c>
      <c r="BH49" s="2186">
        <f>+BG50</f>
        <v>22</v>
      </c>
      <c r="BI49" s="2214">
        <v>315</v>
      </c>
      <c r="BJ49" s="2178"/>
      <c r="BK49" s="2179"/>
      <c r="BL49" s="2179"/>
      <c r="BM49" s="2179"/>
      <c r="BN49" s="2179"/>
      <c r="BO49" s="2179"/>
      <c r="BP49" s="2179"/>
      <c r="BQ49" s="2179"/>
      <c r="BR49" s="2179"/>
      <c r="BX49" s="2174"/>
      <c r="CA49" s="2208">
        <v>250</v>
      </c>
      <c r="CB49" s="2186">
        <f>VLOOKUP(CB40,CA5:CP38,7,0)</f>
        <v>11.5</v>
      </c>
      <c r="CC49" s="2186">
        <f t="shared" si="12"/>
        <v>15.4</v>
      </c>
      <c r="CD49" s="2214">
        <v>280</v>
      </c>
      <c r="CE49" s="2207"/>
      <c r="CH49" s="2176" t="str">
        <f>DD72</f>
        <v>Right</v>
      </c>
      <c r="CI49" s="2218" t="s">
        <v>2187</v>
      </c>
      <c r="CJ49" s="2186">
        <f>+CR39</f>
        <v>195</v>
      </c>
      <c r="CK49" s="2186">
        <f>+DD41</f>
        <v>22.7</v>
      </c>
      <c r="CL49" s="2186" t="str">
        <f>CK52&amp;CL52</f>
        <v>PCD4 315</v>
      </c>
      <c r="CN49" s="2176">
        <f>VLOOKUP(CL49,'E Gear B'!C69:F98,2,0)</f>
        <v>305000</v>
      </c>
      <c r="CO49" s="2176">
        <f>VLOOKUP(CL49,'E Gear B'!C69:F98,3,0)</f>
        <v>57750</v>
      </c>
      <c r="CP49" s="2176">
        <f>VLOOKUP(CL49,'E Gear B'!C69:F98,4,0)</f>
        <v>1220</v>
      </c>
      <c r="CR49" s="2176"/>
      <c r="CS49" s="2176"/>
      <c r="CV49" s="2208">
        <v>250</v>
      </c>
      <c r="CW49" s="2186">
        <f>VLOOKUP(CW40,CV5:DK38,7,0)</f>
        <v>12.8</v>
      </c>
      <c r="CX49" s="2186">
        <f t="shared" si="13"/>
        <v>17</v>
      </c>
      <c r="CY49" s="2214">
        <v>280</v>
      </c>
      <c r="CZ49" s="2207"/>
      <c r="DX49" s="1"/>
      <c r="EP49" s="286"/>
      <c r="EQ49" s="286"/>
      <c r="FC49" s="2174"/>
      <c r="FD49" s="2174"/>
      <c r="FG49" s="2208">
        <v>250</v>
      </c>
      <c r="FH49" s="2186">
        <f>VLOOKUP(FH41,FG6:FV39,6,0)</f>
        <v>16</v>
      </c>
      <c r="FI49" s="2186">
        <f>+FH50</f>
        <v>21</v>
      </c>
      <c r="FJ49" s="2214">
        <v>280</v>
      </c>
      <c r="FK49" s="2178"/>
      <c r="FL49" s="2179"/>
      <c r="FM49" s="2179"/>
      <c r="FN49" s="2179"/>
      <c r="FO49" s="280" t="s">
        <v>714</v>
      </c>
      <c r="FP49" s="280" t="s">
        <v>682</v>
      </c>
      <c r="FQ49" s="280" t="s">
        <v>737</v>
      </c>
      <c r="FR49" s="280" t="s">
        <v>2185</v>
      </c>
      <c r="FT49" s="277" t="s">
        <v>274</v>
      </c>
      <c r="FU49" s="277" t="s">
        <v>675</v>
      </c>
      <c r="FV49" s="277" t="s">
        <v>2186</v>
      </c>
      <c r="FY49" s="2176"/>
      <c r="FZ49" s="2176"/>
      <c r="GC49" s="2208">
        <v>250</v>
      </c>
      <c r="GD49" s="2186">
        <f>VLOOKUP(GD41,GC6:GR39,6,0)</f>
        <v>17</v>
      </c>
      <c r="GE49" s="2186">
        <f>+GD50</f>
        <v>23</v>
      </c>
      <c r="GF49" s="2214">
        <v>280</v>
      </c>
      <c r="GG49" s="2178"/>
      <c r="GH49" s="2179"/>
      <c r="GI49" s="2179"/>
      <c r="GJ49" s="2179"/>
      <c r="GK49" s="2179"/>
      <c r="GL49" s="2179"/>
      <c r="GM49" s="2179"/>
      <c r="GN49" s="2179"/>
      <c r="GO49" s="2179"/>
      <c r="GU49" s="2174"/>
      <c r="GX49" s="2208">
        <v>225</v>
      </c>
      <c r="GY49" s="2186">
        <f>VLOOKUP(GY41,GX6:HM39,6,0)</f>
        <v>11.1</v>
      </c>
      <c r="GZ49" s="2186">
        <f t="shared" si="16"/>
        <v>16.399999999999999</v>
      </c>
      <c r="HA49" s="2214">
        <v>250</v>
      </c>
      <c r="HB49" s="2207"/>
      <c r="HF49" s="280" t="s">
        <v>714</v>
      </c>
      <c r="HG49" s="280" t="s">
        <v>682</v>
      </c>
      <c r="HH49" s="280" t="s">
        <v>737</v>
      </c>
      <c r="HI49" s="280" t="s">
        <v>2185</v>
      </c>
      <c r="HK49" s="277" t="s">
        <v>274</v>
      </c>
      <c r="HL49" s="277" t="s">
        <v>675</v>
      </c>
      <c r="HM49" s="277" t="s">
        <v>2186</v>
      </c>
      <c r="HO49" s="2176"/>
      <c r="HP49" s="2176"/>
      <c r="HS49" s="2208">
        <v>225</v>
      </c>
      <c r="HT49" s="2186">
        <f>VLOOKUP(HT41,HS6:IH39,6,0)</f>
        <v>14</v>
      </c>
      <c r="HU49" s="2186">
        <f t="shared" si="17"/>
        <v>18.899999999999999</v>
      </c>
      <c r="HV49" s="2214">
        <v>250</v>
      </c>
      <c r="HW49" s="2207"/>
    </row>
    <row r="50" spans="3:238" ht="21.95" customHeight="1">
      <c r="S50" s="286"/>
      <c r="T50" s="286"/>
      <c r="AF50" s="2174"/>
      <c r="AG50" s="2174"/>
      <c r="AJ50" s="2208">
        <v>315</v>
      </c>
      <c r="AK50" s="2186">
        <f>VLOOKUP(AK40,AJ5:AY38,8,0)</f>
        <v>20</v>
      </c>
      <c r="AL50" s="2186">
        <f t="shared" si="18"/>
        <v>30</v>
      </c>
      <c r="AM50" s="2214">
        <v>355</v>
      </c>
      <c r="AN50" s="2178"/>
      <c r="AO50" s="2179"/>
      <c r="AP50" s="2179"/>
      <c r="AQ50" s="2176" t="str">
        <f>AR72</f>
        <v>Right</v>
      </c>
      <c r="AR50" s="2218" t="s">
        <v>2188</v>
      </c>
      <c r="AS50" s="2186">
        <f>+BC40</f>
        <v>224</v>
      </c>
      <c r="AT50" s="2186">
        <f>+AR41</f>
        <v>20</v>
      </c>
      <c r="AU50" s="2186" t="str">
        <f>AT53&amp;AU53</f>
        <v>SDN 315</v>
      </c>
      <c r="AW50" s="2176">
        <f>VLOOKUP(AU50,'E Gear B'!C101:F128,2,0)</f>
        <v>256500</v>
      </c>
      <c r="AX50" s="2176">
        <f>VLOOKUP(AU50,'E Gear B'!C101:F128,3,0)</f>
        <v>42000</v>
      </c>
      <c r="AY50" s="2176">
        <f>VLOOKUP(AU50,'E Gear B'!C101:F128,4,0)</f>
        <v>1026</v>
      </c>
      <c r="BB50" s="2176"/>
      <c r="BC50" s="2176"/>
      <c r="BF50" s="2208">
        <v>315</v>
      </c>
      <c r="BG50" s="2186">
        <f>VLOOKUP(BG40,BF5:BU38,8,0)</f>
        <v>22</v>
      </c>
      <c r="BH50" s="2186">
        <f t="shared" ref="BH50:BH58" si="25">+BG51</f>
        <v>34</v>
      </c>
      <c r="BI50" s="2214">
        <v>355</v>
      </c>
      <c r="BJ50" s="2178"/>
      <c r="BK50" s="2179"/>
      <c r="BL50" s="2179"/>
      <c r="BM50" s="2179"/>
      <c r="BN50" s="2179"/>
      <c r="BO50" s="2179"/>
      <c r="BP50" s="2179"/>
      <c r="BQ50" s="2179"/>
      <c r="BR50" s="2179"/>
      <c r="BX50" s="2174"/>
      <c r="CA50" s="2208">
        <v>280</v>
      </c>
      <c r="CB50" s="2186">
        <f>VLOOKUP(CB40,CA5:CP38,8,0)</f>
        <v>15.4</v>
      </c>
      <c r="CC50" s="2186">
        <f t="shared" si="12"/>
        <v>20.399999999999999</v>
      </c>
      <c r="CD50" s="2214">
        <v>315</v>
      </c>
      <c r="CE50" s="2207"/>
      <c r="CH50" s="2176" t="str">
        <f>CI72</f>
        <v>Right</v>
      </c>
      <c r="CI50" s="2218" t="s">
        <v>2188</v>
      </c>
      <c r="CJ50" s="2186">
        <f>+CS39</f>
        <v>215</v>
      </c>
      <c r="CK50" s="2186">
        <f>+CI41</f>
        <v>20.399999999999999</v>
      </c>
      <c r="CL50" s="2186" t="str">
        <f>CK53&amp;CL53</f>
        <v>PCD4 315</v>
      </c>
      <c r="CN50" s="2176">
        <f>VLOOKUP(CL50,'E Gear B'!C69:F98,2,0)</f>
        <v>305000</v>
      </c>
      <c r="CO50" s="2176">
        <f>VLOOKUP(CL50,'E Gear B'!C69:F98,3,0)</f>
        <v>57750</v>
      </c>
      <c r="CP50" s="2176">
        <f>VLOOKUP(CL50,'E Gear B'!C69:F98,4,0)</f>
        <v>1220</v>
      </c>
      <c r="CR50" s="2176"/>
      <c r="CS50" s="2176"/>
      <c r="CV50" s="2208">
        <v>280</v>
      </c>
      <c r="CW50" s="2186">
        <f>VLOOKUP(CW40,CV5:DK38,8,0)</f>
        <v>17</v>
      </c>
      <c r="CX50" s="2186">
        <f t="shared" si="13"/>
        <v>22.7</v>
      </c>
      <c r="CY50" s="2214">
        <v>315</v>
      </c>
      <c r="CZ50" s="2207"/>
      <c r="DX50" s="1"/>
      <c r="EP50" s="286"/>
      <c r="EQ50" s="286"/>
      <c r="FC50" s="2174"/>
      <c r="FD50" s="2174"/>
      <c r="FG50" s="2208">
        <v>280</v>
      </c>
      <c r="FH50" s="2186">
        <f>VLOOKUP(FH41,FG6:FV39,7,0)</f>
        <v>21</v>
      </c>
      <c r="FI50" s="2186">
        <f>+FH51</f>
        <v>31</v>
      </c>
      <c r="FJ50" s="2214">
        <v>315</v>
      </c>
      <c r="FK50" s="2178"/>
      <c r="FL50" s="2179"/>
      <c r="FM50" s="2179"/>
      <c r="FN50" s="2176" t="str">
        <f>GK73</f>
        <v>Right</v>
      </c>
      <c r="FO50" s="2218" t="s">
        <v>2187</v>
      </c>
      <c r="FP50" s="2186">
        <f>+FY41</f>
        <v>125</v>
      </c>
      <c r="FQ50" s="2186">
        <f>+GJ42</f>
        <v>23</v>
      </c>
      <c r="FR50" s="2186" t="str">
        <f>FQ53&amp;FR53</f>
        <v>SDN 280</v>
      </c>
      <c r="FT50" s="2176">
        <f>VLOOKUP(FR50,'E Gear B'!DZ101:EC128,2,0)</f>
        <v>189750</v>
      </c>
      <c r="FU50" s="2176">
        <f>VLOOKUP(FR50,'E Gear B'!DZ101:EC128,3,0)</f>
        <v>36750</v>
      </c>
      <c r="FV50" s="2176">
        <f>VLOOKUP(FR50,'E Gear B'!DZ101:EC128,4,0)</f>
        <v>759</v>
      </c>
      <c r="FY50" s="2176"/>
      <c r="FZ50" s="2176"/>
      <c r="GC50" s="2208">
        <v>280</v>
      </c>
      <c r="GD50" s="2186">
        <f>VLOOKUP(GD41,GC6:GR39,7,0)</f>
        <v>23</v>
      </c>
      <c r="GE50" s="2186">
        <f>+GD51</f>
        <v>34</v>
      </c>
      <c r="GF50" s="2214">
        <v>315</v>
      </c>
      <c r="GG50" s="2178"/>
      <c r="GH50" s="2179"/>
      <c r="GI50" s="2179"/>
      <c r="GJ50" s="2179"/>
      <c r="GK50" s="2179"/>
      <c r="GL50" s="2179"/>
      <c r="GM50" s="2179"/>
      <c r="GN50" s="2179"/>
      <c r="GO50" s="2179"/>
      <c r="GU50" s="2174"/>
      <c r="GX50" s="2208">
        <v>250</v>
      </c>
      <c r="GY50" s="2186">
        <f>VLOOKUP(GY41,GX6:HM39,7,0)</f>
        <v>16.399999999999999</v>
      </c>
      <c r="GZ50" s="2186">
        <f t="shared" si="16"/>
        <v>21</v>
      </c>
      <c r="HA50" s="2214">
        <v>280</v>
      </c>
      <c r="HB50" s="2207"/>
      <c r="HE50" s="2176" t="str">
        <f>IA73</f>
        <v>Right</v>
      </c>
      <c r="HF50" s="2218" t="s">
        <v>2187</v>
      </c>
      <c r="HG50" s="2186">
        <f>+HO40</f>
        <v>117</v>
      </c>
      <c r="HH50" s="2186">
        <f>+IA42</f>
        <v>29.3</v>
      </c>
      <c r="HI50" s="2186" t="str">
        <f>HH53&amp;HI53</f>
        <v>PCD3 280</v>
      </c>
      <c r="HK50" s="2176">
        <f>VLOOKUP(HI50,'E Gear B'!DZ69:EC98,2,0)</f>
        <v>225000</v>
      </c>
      <c r="HL50" s="2176">
        <f>VLOOKUP(HI50,'E Gear B'!DZ69:EC98,3,0)</f>
        <v>52500</v>
      </c>
      <c r="HM50" s="2176">
        <f>VLOOKUP(HI50,'E Gear B'!DZ69:EC98,4,0)</f>
        <v>900</v>
      </c>
      <c r="HO50" s="2176"/>
      <c r="HP50" s="2176"/>
      <c r="HS50" s="2208">
        <v>250</v>
      </c>
      <c r="HT50" s="2186">
        <f>VLOOKUP(HT41,HS6:IH39,7,0)</f>
        <v>18.899999999999999</v>
      </c>
      <c r="HU50" s="2186">
        <f t="shared" si="17"/>
        <v>29.3</v>
      </c>
      <c r="HV50" s="2214">
        <v>280</v>
      </c>
      <c r="HW50" s="2207"/>
    </row>
    <row r="51" spans="3:238" ht="21.95" customHeight="1">
      <c r="S51" s="286"/>
      <c r="T51" s="286"/>
      <c r="AF51" s="2174"/>
      <c r="AG51" s="2174"/>
      <c r="AJ51" s="2208">
        <v>355</v>
      </c>
      <c r="AK51" s="2186">
        <f>VLOOKUP(AK40,AJ5:AY38,9,0)</f>
        <v>30</v>
      </c>
      <c r="AL51" s="2186">
        <f t="shared" si="18"/>
        <v>37</v>
      </c>
      <c r="AM51" s="2214">
        <v>400</v>
      </c>
      <c r="AN51" s="2178"/>
      <c r="AO51" s="2179"/>
      <c r="AP51" s="2179"/>
      <c r="AQ51" s="2179"/>
      <c r="AR51" s="2179"/>
      <c r="AS51" s="2179"/>
      <c r="AT51" s="2179"/>
      <c r="AU51" s="2179"/>
      <c r="AV51" s="2179"/>
      <c r="BB51" s="2176"/>
      <c r="BC51" s="2176"/>
      <c r="BF51" s="2208">
        <v>355</v>
      </c>
      <c r="BG51" s="2186">
        <f>VLOOKUP(BG40,BF5:BU38,9,0)</f>
        <v>34</v>
      </c>
      <c r="BH51" s="2186">
        <f t="shared" si="25"/>
        <v>41</v>
      </c>
      <c r="BI51" s="2214">
        <v>400</v>
      </c>
      <c r="BJ51" s="2178"/>
      <c r="BK51" s="2179"/>
      <c r="BL51" s="2179"/>
      <c r="BM51" s="2179"/>
      <c r="BN51" s="2179"/>
      <c r="BO51" s="2179"/>
      <c r="BP51" s="2179"/>
      <c r="BQ51" s="2179"/>
      <c r="BR51" s="2179"/>
      <c r="BX51" s="2174"/>
      <c r="CA51" s="2208">
        <v>315</v>
      </c>
      <c r="CB51" s="2186">
        <f>VLOOKUP(CB40,CA5:CP38,9,0)</f>
        <v>20.399999999999999</v>
      </c>
      <c r="CC51" s="2186">
        <f t="shared" si="12"/>
        <v>26.1</v>
      </c>
      <c r="CD51" s="2214">
        <v>355</v>
      </c>
      <c r="CE51" s="2207"/>
      <c r="CR51" s="2176"/>
      <c r="CS51" s="2176"/>
      <c r="CV51" s="2208">
        <v>315</v>
      </c>
      <c r="CW51" s="2186">
        <f>VLOOKUP(CW40,CV5:DK38,9,0)</f>
        <v>22.7</v>
      </c>
      <c r="CX51" s="2186">
        <f t="shared" si="13"/>
        <v>28.7</v>
      </c>
      <c r="CY51" s="2214">
        <v>355</v>
      </c>
      <c r="CZ51" s="2207"/>
      <c r="DX51" s="1"/>
      <c r="EP51" s="286"/>
      <c r="EQ51" s="286"/>
      <c r="FC51" s="2174"/>
      <c r="FD51" s="2174"/>
      <c r="FG51" s="2208">
        <v>315</v>
      </c>
      <c r="FH51" s="2186">
        <f>VLOOKUP(FH41,FG6:FV39,8,0)</f>
        <v>31</v>
      </c>
      <c r="FI51" s="2186">
        <f t="shared" ref="FI51:FI59" si="26">+FH52</f>
        <v>47</v>
      </c>
      <c r="FJ51" s="2214">
        <v>355</v>
      </c>
      <c r="FK51" s="2178"/>
      <c r="FL51" s="2179"/>
      <c r="FM51" s="2179"/>
      <c r="FN51" s="2176" t="str">
        <f>FO73</f>
        <v>Right</v>
      </c>
      <c r="FO51" s="2218" t="s">
        <v>2188</v>
      </c>
      <c r="FP51" s="2186">
        <f>+FZ41</f>
        <v>140</v>
      </c>
      <c r="FQ51" s="2186">
        <f>+FO42</f>
        <v>21</v>
      </c>
      <c r="FR51" s="2186" t="str">
        <f>FQ54&amp;FR54</f>
        <v>SDN 280</v>
      </c>
      <c r="FT51" s="2176">
        <f>VLOOKUP(FR51,'E Gear B'!DZ101:EC128,2,0)</f>
        <v>189750</v>
      </c>
      <c r="FU51" s="2176">
        <f>VLOOKUP(FR51,'E Gear B'!DZ101:EC128,3,0)</f>
        <v>36750</v>
      </c>
      <c r="FV51" s="2176">
        <f>VLOOKUP(FR51,'E Gear B'!DZ101:EC128,4,0)</f>
        <v>759</v>
      </c>
      <c r="FY51" s="2176"/>
      <c r="FZ51" s="2176"/>
      <c r="GC51" s="2208">
        <v>315</v>
      </c>
      <c r="GD51" s="2186">
        <f>VLOOKUP(GD41,GC6:GR39,8,0)</f>
        <v>34</v>
      </c>
      <c r="GE51" s="2186">
        <f t="shared" ref="GE51:GE59" si="27">+GD52</f>
        <v>53</v>
      </c>
      <c r="GF51" s="2214">
        <v>355</v>
      </c>
      <c r="GG51" s="2178"/>
      <c r="GH51" s="2179"/>
      <c r="GI51" s="2179"/>
      <c r="GJ51" s="2179"/>
      <c r="GK51" s="2179"/>
      <c r="GL51" s="2179"/>
      <c r="GM51" s="2179"/>
      <c r="GN51" s="2179"/>
      <c r="GO51" s="2179"/>
      <c r="GU51" s="2174"/>
      <c r="GX51" s="2208">
        <v>280</v>
      </c>
      <c r="GY51" s="2186">
        <f>VLOOKUP(GY41,GX6:HM39,8,0)</f>
        <v>21</v>
      </c>
      <c r="GZ51" s="2186">
        <f t="shared" si="16"/>
        <v>30.3</v>
      </c>
      <c r="HA51" s="2214">
        <v>315</v>
      </c>
      <c r="HB51" s="2207"/>
      <c r="HE51" s="2176" t="str">
        <f>HF73</f>
        <v>Right</v>
      </c>
      <c r="HF51" s="2218" t="s">
        <v>2188</v>
      </c>
      <c r="HG51" s="2186">
        <f>+HP40</f>
        <v>130</v>
      </c>
      <c r="HH51" s="2186">
        <f>+HF42</f>
        <v>21</v>
      </c>
      <c r="HI51" s="2186" t="str">
        <f>HH54&amp;HI54</f>
        <v>PCD3 280</v>
      </c>
      <c r="HK51" s="2176">
        <f>VLOOKUP(HI51,'E Gear B'!DZ69:EC98,2,0)</f>
        <v>225000</v>
      </c>
      <c r="HL51" s="2176">
        <f>VLOOKUP(HI51,'E Gear B'!DZ69:EC98,3,0)</f>
        <v>52500</v>
      </c>
      <c r="HM51" s="2176">
        <f>VLOOKUP(HI51,'E Gear B'!DZ69:EC98,4,0)</f>
        <v>900</v>
      </c>
      <c r="HO51" s="2176"/>
      <c r="HP51" s="2176"/>
      <c r="HS51" s="2208">
        <v>280</v>
      </c>
      <c r="HT51" s="2186">
        <f>VLOOKUP(HT41,HS6:IH39,8,0)</f>
        <v>29.3</v>
      </c>
      <c r="HU51" s="2186">
        <f t="shared" si="17"/>
        <v>36.299999999999997</v>
      </c>
      <c r="HV51" s="2214">
        <v>315</v>
      </c>
      <c r="HW51" s="2207"/>
    </row>
    <row r="52" spans="3:238" ht="21.95" customHeight="1">
      <c r="S52" s="286"/>
      <c r="T52" s="286"/>
      <c r="AF52" s="2174"/>
      <c r="AG52" s="2174"/>
      <c r="AJ52" s="2208">
        <v>400</v>
      </c>
      <c r="AK52" s="2186">
        <f>VLOOKUP(AK40,AJ5:AY38,10,0)</f>
        <v>37</v>
      </c>
      <c r="AL52" s="2186">
        <f t="shared" si="18"/>
        <v>54</v>
      </c>
      <c r="AM52" s="2214">
        <v>450</v>
      </c>
      <c r="AN52" s="2178"/>
      <c r="AO52" s="2179"/>
      <c r="AP52" s="2179"/>
      <c r="AQ52" s="2179"/>
      <c r="AR52" s="2179"/>
      <c r="AS52" s="2179"/>
      <c r="AT52" s="2186" t="str">
        <f>IF(AS49&lt;120,"SCN ","SDN ")</f>
        <v xml:space="preserve">SDN </v>
      </c>
      <c r="AU52" s="2186">
        <f>+BM40</f>
        <v>315</v>
      </c>
      <c r="BB52" s="2176"/>
      <c r="BC52" s="2176"/>
      <c r="BF52" s="2208">
        <v>400</v>
      </c>
      <c r="BG52" s="2186">
        <f>VLOOKUP(BG40,BF5:BU38,10,0)</f>
        <v>41</v>
      </c>
      <c r="BH52" s="2186">
        <f t="shared" si="25"/>
        <v>61</v>
      </c>
      <c r="BI52" s="2214">
        <v>450</v>
      </c>
      <c r="BJ52" s="2178"/>
      <c r="BK52" s="2179"/>
      <c r="BL52" s="2179"/>
      <c r="BM52" s="2179"/>
      <c r="BN52" s="2179"/>
      <c r="BO52" s="2179"/>
      <c r="BP52" s="2179"/>
      <c r="BQ52" s="2179"/>
      <c r="BR52" s="2179"/>
      <c r="BX52" s="2174"/>
      <c r="CA52" s="2208">
        <v>355</v>
      </c>
      <c r="CB52" s="2186">
        <f>VLOOKUP(CB40,CA5:CP38,10,0)</f>
        <v>26.1</v>
      </c>
      <c r="CC52" s="2186">
        <f t="shared" si="12"/>
        <v>33.700000000000003</v>
      </c>
      <c r="CD52" s="2214">
        <v>400</v>
      </c>
      <c r="CE52" s="2207"/>
      <c r="CK52" s="2186" t="str">
        <f>IF(CJ49&lt;140,"PCD3 ","PCD4 ")</f>
        <v xml:space="preserve">PCD4 </v>
      </c>
      <c r="CL52" s="2186">
        <f>+DD40</f>
        <v>315</v>
      </c>
      <c r="CR52" s="2176"/>
      <c r="CS52" s="2176"/>
      <c r="CV52" s="2208">
        <v>355</v>
      </c>
      <c r="CW52" s="2186">
        <f>VLOOKUP(CW40,CV5:DK38,10,0)</f>
        <v>28.7</v>
      </c>
      <c r="CX52" s="2186">
        <f t="shared" si="13"/>
        <v>36.6</v>
      </c>
      <c r="CY52" s="2214">
        <v>400</v>
      </c>
      <c r="CZ52" s="2207"/>
      <c r="DX52" s="1"/>
      <c r="EP52" s="286"/>
      <c r="EQ52" s="286"/>
      <c r="FC52" s="2174"/>
      <c r="FD52" s="2174"/>
      <c r="FG52" s="2208">
        <v>355</v>
      </c>
      <c r="FH52" s="2186">
        <f>VLOOKUP(FH41,FG6:FV39,9,0)</f>
        <v>47</v>
      </c>
      <c r="FI52" s="2186">
        <f t="shared" si="26"/>
        <v>58</v>
      </c>
      <c r="FJ52" s="2214">
        <v>400</v>
      </c>
      <c r="FK52" s="2178"/>
      <c r="FL52" s="2179"/>
      <c r="FM52" s="2179"/>
      <c r="FN52" s="2179"/>
      <c r="FO52" s="2179"/>
      <c r="FP52" s="2179"/>
      <c r="FQ52" s="2179"/>
      <c r="FR52" s="2179"/>
      <c r="FS52" s="2179"/>
      <c r="FY52" s="2176"/>
      <c r="FZ52" s="2176"/>
      <c r="GC52" s="2208">
        <v>355</v>
      </c>
      <c r="GD52" s="2186">
        <f>VLOOKUP(GD41,GC6:GR39,9,0)</f>
        <v>53</v>
      </c>
      <c r="GE52" s="2186">
        <f t="shared" si="27"/>
        <v>64</v>
      </c>
      <c r="GF52" s="2214">
        <v>400</v>
      </c>
      <c r="GG52" s="2178"/>
      <c r="GH52" s="2179"/>
      <c r="GI52" s="2179"/>
      <c r="GJ52" s="2179"/>
      <c r="GK52" s="2179"/>
      <c r="GL52" s="2179"/>
      <c r="GM52" s="2179"/>
      <c r="GN52" s="2179"/>
      <c r="GO52" s="2179"/>
      <c r="GU52" s="2174"/>
      <c r="GX52" s="2208">
        <v>315</v>
      </c>
      <c r="GY52" s="2186">
        <f>VLOOKUP(GY41,GX6:HM39,9,0)</f>
        <v>30.3</v>
      </c>
      <c r="GZ52" s="2186">
        <f t="shared" si="16"/>
        <v>41.1</v>
      </c>
      <c r="HA52" s="2214">
        <v>355</v>
      </c>
      <c r="HB52" s="2207"/>
      <c r="HO52" s="2176"/>
      <c r="HP52" s="2176"/>
      <c r="HS52" s="2208">
        <v>315</v>
      </c>
      <c r="HT52" s="2186">
        <f>VLOOKUP(HT41,HS6:IH39,9,0)</f>
        <v>36.299999999999997</v>
      </c>
      <c r="HU52" s="2186">
        <f t="shared" si="17"/>
        <v>58.1</v>
      </c>
      <c r="HV52" s="2214">
        <v>355</v>
      </c>
      <c r="HW52" s="2207"/>
    </row>
    <row r="53" spans="3:238" ht="21.95" customHeight="1">
      <c r="S53" s="286"/>
      <c r="T53" s="286"/>
      <c r="AF53" s="2174"/>
      <c r="AG53" s="2174"/>
      <c r="AJ53" s="2208">
        <v>450</v>
      </c>
      <c r="AK53" s="2186">
        <f>VLOOKUP(AK40,AJ5:AY38,11,0)</f>
        <v>54</v>
      </c>
      <c r="AL53" s="2186">
        <f t="shared" si="18"/>
        <v>86</v>
      </c>
      <c r="AM53" s="2214">
        <v>500</v>
      </c>
      <c r="AN53" s="2178"/>
      <c r="AO53" s="2179"/>
      <c r="AP53" s="2179"/>
      <c r="AQ53" s="2179"/>
      <c r="AR53" s="2179"/>
      <c r="AS53" s="2179"/>
      <c r="AT53" s="2186" t="str">
        <f>IF(AS50&lt;120,"SCN ","SDN ")</f>
        <v xml:space="preserve">SDN </v>
      </c>
      <c r="AU53" s="2186">
        <f>+AR40</f>
        <v>315</v>
      </c>
      <c r="BB53" s="2176"/>
      <c r="BC53" s="2176"/>
      <c r="BF53" s="2208">
        <v>450</v>
      </c>
      <c r="BG53" s="2186">
        <f>VLOOKUP(BG40,BF5:BU38,11,0)</f>
        <v>61</v>
      </c>
      <c r="BH53" s="2186">
        <f t="shared" si="25"/>
        <v>96</v>
      </c>
      <c r="BI53" s="2214">
        <v>500</v>
      </c>
      <c r="BJ53" s="2178"/>
      <c r="BK53" s="2179"/>
      <c r="BL53" s="2179"/>
      <c r="BM53" s="2179"/>
      <c r="BN53" s="2179"/>
      <c r="BO53" s="2179"/>
      <c r="BP53" s="2179"/>
      <c r="BQ53" s="2179"/>
      <c r="BR53" s="2179"/>
      <c r="BX53" s="2174"/>
      <c r="CA53" s="2208">
        <v>400</v>
      </c>
      <c r="CB53" s="2186">
        <f>VLOOKUP(CB40,CA5:CP38,11,0)</f>
        <v>33.700000000000003</v>
      </c>
      <c r="CC53" s="2186">
        <f t="shared" si="12"/>
        <v>53.3</v>
      </c>
      <c r="CD53" s="2214">
        <v>450</v>
      </c>
      <c r="CE53" s="2207"/>
      <c r="CK53" s="2186" t="str">
        <f>IF(CJ50&lt;140,"PCD3 ","PCD4 ")</f>
        <v xml:space="preserve">PCD4 </v>
      </c>
      <c r="CL53" s="2186">
        <f>+CI40</f>
        <v>315</v>
      </c>
      <c r="CR53" s="2176"/>
      <c r="CS53" s="2176"/>
      <c r="CV53" s="2208">
        <v>400</v>
      </c>
      <c r="CW53" s="2186">
        <f>VLOOKUP(CW40,CV5:DK38,11,0)</f>
        <v>36.6</v>
      </c>
      <c r="CX53" s="2186">
        <f t="shared" si="13"/>
        <v>58.7</v>
      </c>
      <c r="CY53" s="2214">
        <v>450</v>
      </c>
      <c r="CZ53" s="2207"/>
      <c r="DX53" s="1"/>
      <c r="EP53" s="286"/>
      <c r="EQ53" s="286"/>
      <c r="FC53" s="2174"/>
      <c r="FD53" s="2174"/>
      <c r="FG53" s="2208">
        <v>400</v>
      </c>
      <c r="FH53" s="2186">
        <f>VLOOKUP(FH41,FG6:FV39,10,0)</f>
        <v>58</v>
      </c>
      <c r="FI53" s="2186">
        <f t="shared" si="26"/>
        <v>85</v>
      </c>
      <c r="FJ53" s="2214">
        <v>450</v>
      </c>
      <c r="FK53" s="2178"/>
      <c r="FL53" s="2179"/>
      <c r="FM53" s="2179"/>
      <c r="FN53" s="2179"/>
      <c r="FO53" s="2179"/>
      <c r="FP53" s="2179"/>
      <c r="FQ53" s="2186" t="str">
        <f>IF(FP50&lt;120,"SCN ","SDN ")</f>
        <v xml:space="preserve">SDN </v>
      </c>
      <c r="FR53" s="2186">
        <f>+GJ41</f>
        <v>280</v>
      </c>
      <c r="FY53" s="2176"/>
      <c r="FZ53" s="2176"/>
      <c r="GC53" s="2208">
        <v>400</v>
      </c>
      <c r="GD53" s="2186">
        <f>VLOOKUP(GD41,GC6:GR39,10,0)</f>
        <v>64</v>
      </c>
      <c r="GE53" s="2186">
        <f t="shared" si="27"/>
        <v>95</v>
      </c>
      <c r="GF53" s="2214">
        <v>450</v>
      </c>
      <c r="GG53" s="2178"/>
      <c r="GH53" s="2179"/>
      <c r="GI53" s="2179"/>
      <c r="GJ53" s="2179"/>
      <c r="GK53" s="2179"/>
      <c r="GL53" s="2179"/>
      <c r="GM53" s="2179"/>
      <c r="GN53" s="2179"/>
      <c r="GO53" s="2179"/>
      <c r="GU53" s="2174"/>
      <c r="GX53" s="2208">
        <v>355</v>
      </c>
      <c r="GY53" s="2186">
        <f>VLOOKUP(GY41,GX6:HM39,10,0)</f>
        <v>41.1</v>
      </c>
      <c r="GZ53" s="2186">
        <f t="shared" si="16"/>
        <v>66</v>
      </c>
      <c r="HA53" s="2214">
        <v>400</v>
      </c>
      <c r="HB53" s="2207"/>
      <c r="HH53" s="2186" t="str">
        <f>IF(HG50&lt;140,"PCD3 ","PCD4 ")</f>
        <v xml:space="preserve">PCD3 </v>
      </c>
      <c r="HI53" s="2186">
        <f>+IA41</f>
        <v>280</v>
      </c>
      <c r="HO53" s="2176"/>
      <c r="HP53" s="2176"/>
      <c r="HS53" s="2208">
        <v>355</v>
      </c>
      <c r="HT53" s="2186">
        <f>VLOOKUP(HT41,HS6:IH39,10,0)</f>
        <v>58.1</v>
      </c>
      <c r="HU53" s="2186">
        <f t="shared" si="17"/>
        <v>76.599999999999994</v>
      </c>
      <c r="HV53" s="2214">
        <v>400</v>
      </c>
      <c r="HW53" s="2207"/>
    </row>
    <row r="54" spans="3:238" ht="21.95" customHeight="1">
      <c r="S54" s="286"/>
      <c r="T54" s="286"/>
      <c r="AF54" s="2174"/>
      <c r="AG54" s="2174"/>
      <c r="AJ54" s="2208">
        <v>500</v>
      </c>
      <c r="AK54" s="2186">
        <f>VLOOKUP(AK40,AJ5:AY38,12,0)</f>
        <v>86</v>
      </c>
      <c r="AL54" s="2186">
        <f t="shared" si="18"/>
        <v>120</v>
      </c>
      <c r="AM54" s="2214">
        <v>560</v>
      </c>
      <c r="AO54" s="277"/>
      <c r="BB54" s="2176"/>
      <c r="BC54" s="2176"/>
      <c r="BF54" s="2208">
        <v>500</v>
      </c>
      <c r="BG54" s="2186">
        <f>VLOOKUP(BG40,BF5:BU38,12,0)</f>
        <v>96</v>
      </c>
      <c r="BH54" s="2186">
        <f t="shared" si="25"/>
        <v>135</v>
      </c>
      <c r="BI54" s="2214">
        <v>560</v>
      </c>
      <c r="BJ54" s="277"/>
      <c r="BX54" s="2174"/>
      <c r="CA54" s="2208">
        <v>450</v>
      </c>
      <c r="CB54" s="2186">
        <f>VLOOKUP(CB40,CA5:CP38,12,0)</f>
        <v>53.3</v>
      </c>
      <c r="CC54" s="2186">
        <f t="shared" si="12"/>
        <v>90</v>
      </c>
      <c r="CD54" s="2214">
        <v>500</v>
      </c>
      <c r="CR54" s="2176"/>
      <c r="CS54" s="2176"/>
      <c r="CV54" s="2208">
        <v>450</v>
      </c>
      <c r="CW54" s="2186">
        <f>VLOOKUP(CW40,CV5:DK38,12,0)</f>
        <v>58.7</v>
      </c>
      <c r="CX54" s="2186">
        <f t="shared" si="13"/>
        <v>99</v>
      </c>
      <c r="CY54" s="2214">
        <v>500</v>
      </c>
      <c r="DX54" s="1"/>
      <c r="EP54" s="286"/>
      <c r="EQ54" s="286"/>
      <c r="FC54" s="2174"/>
      <c r="FD54" s="2174"/>
      <c r="FG54" s="2208">
        <v>450</v>
      </c>
      <c r="FH54" s="2186">
        <f>VLOOKUP(FH41,FG6:FV39,11,0)</f>
        <v>85</v>
      </c>
      <c r="FI54" s="2186">
        <f t="shared" si="26"/>
        <v>135</v>
      </c>
      <c r="FJ54" s="2214">
        <v>500</v>
      </c>
      <c r="FK54" s="2178"/>
      <c r="FL54" s="2179"/>
      <c r="FM54" s="2179"/>
      <c r="FN54" s="2179"/>
      <c r="FO54" s="2179"/>
      <c r="FP54" s="2179"/>
      <c r="FQ54" s="2186" t="str">
        <f>IF(FP51&lt;120,"SCN ","SDN ")</f>
        <v xml:space="preserve">SDN </v>
      </c>
      <c r="FR54" s="2186">
        <f>+FO41</f>
        <v>280</v>
      </c>
      <c r="FY54" s="2176"/>
      <c r="FZ54" s="2176"/>
      <c r="GC54" s="2208">
        <v>450</v>
      </c>
      <c r="GD54" s="2186">
        <f>VLOOKUP(GD41,GC6:GR39,11,0)</f>
        <v>95</v>
      </c>
      <c r="GE54" s="2186">
        <f t="shared" si="27"/>
        <v>155</v>
      </c>
      <c r="GF54" s="2214">
        <v>500</v>
      </c>
      <c r="GG54" s="2178"/>
      <c r="GH54" s="2179"/>
      <c r="GI54" s="2179"/>
      <c r="GJ54" s="2179"/>
      <c r="GK54" s="2179"/>
      <c r="GL54" s="2179"/>
      <c r="GM54" s="2179"/>
      <c r="GN54" s="2179"/>
      <c r="GO54" s="2179"/>
      <c r="GU54" s="2174"/>
      <c r="GX54" s="2208">
        <v>400</v>
      </c>
      <c r="GY54" s="2186">
        <f>VLOOKUP(GY41,GX6:HM39,11,0)</f>
        <v>66</v>
      </c>
      <c r="GZ54" s="2186">
        <f t="shared" si="16"/>
        <v>86.9</v>
      </c>
      <c r="HA54" s="2214">
        <v>450</v>
      </c>
      <c r="HB54" s="2207"/>
      <c r="HH54" s="2186" t="str">
        <f>IF(HG51&lt;140,"PCD3 ","PCD4 ")</f>
        <v xml:space="preserve">PCD3 </v>
      </c>
      <c r="HI54" s="2186">
        <f>+HF41</f>
        <v>280</v>
      </c>
      <c r="HO54" s="2176"/>
      <c r="HP54" s="2176"/>
      <c r="HS54" s="2208">
        <v>400</v>
      </c>
      <c r="HT54" s="2186">
        <f>VLOOKUP(HT41,HS6:IH39,11,0)</f>
        <v>76.599999999999994</v>
      </c>
      <c r="HU54" s="2186">
        <f t="shared" si="17"/>
        <v>113</v>
      </c>
      <c r="HV54" s="2214">
        <v>450</v>
      </c>
      <c r="HW54" s="2207"/>
    </row>
    <row r="55" spans="3:238" ht="21.95" customHeight="1">
      <c r="C55" s="729" t="s">
        <v>673</v>
      </c>
      <c r="D55" s="729" t="s">
        <v>674</v>
      </c>
      <c r="E55" s="729" t="s">
        <v>675</v>
      </c>
      <c r="F55" s="730" t="s">
        <v>676</v>
      </c>
      <c r="G55" s="729" t="s">
        <v>670</v>
      </c>
      <c r="I55" s="2209"/>
      <c r="S55" s="286"/>
      <c r="T55" s="286"/>
      <c r="AF55" s="2174"/>
      <c r="AG55" s="2174"/>
      <c r="AJ55" s="2208">
        <v>560</v>
      </c>
      <c r="AK55" s="2186">
        <f>VLOOKUP(AK40,AJ5:AY38,13,0)</f>
        <v>120</v>
      </c>
      <c r="AL55" s="2186">
        <f t="shared" si="18"/>
        <v>160</v>
      </c>
      <c r="AM55" s="2214">
        <v>630</v>
      </c>
      <c r="AO55" s="277"/>
      <c r="BB55" s="2176"/>
      <c r="BC55" s="2176"/>
      <c r="BF55" s="2208">
        <v>560</v>
      </c>
      <c r="BG55" s="2186">
        <f>VLOOKUP(BG40,BF5:BU38,13,0)</f>
        <v>135</v>
      </c>
      <c r="BH55" s="2186">
        <f t="shared" si="25"/>
        <v>180</v>
      </c>
      <c r="BI55" s="2214">
        <v>630</v>
      </c>
      <c r="BJ55" s="277"/>
      <c r="BX55" s="2174"/>
      <c r="CA55" s="2208">
        <v>500</v>
      </c>
      <c r="CB55" s="2186">
        <f>VLOOKUP(CB40,CA5:CP38,13,0)</f>
        <v>90</v>
      </c>
      <c r="CC55" s="2186">
        <f t="shared" si="12"/>
        <v>128</v>
      </c>
      <c r="CD55" s="2214">
        <v>560</v>
      </c>
      <c r="CR55" s="2176"/>
      <c r="CS55" s="2176"/>
      <c r="CV55" s="2208">
        <v>500</v>
      </c>
      <c r="CW55" s="2186">
        <f>VLOOKUP(CW40,CV5:DK38,13,0)</f>
        <v>99</v>
      </c>
      <c r="CX55" s="2186">
        <f t="shared" si="13"/>
        <v>140</v>
      </c>
      <c r="CY55" s="2214">
        <v>560</v>
      </c>
      <c r="DX55" s="1"/>
      <c r="DZ55" s="729" t="s">
        <v>673</v>
      </c>
      <c r="EA55" s="729" t="s">
        <v>674</v>
      </c>
      <c r="EB55" s="729" t="s">
        <v>675</v>
      </c>
      <c r="EC55" s="730" t="s">
        <v>676</v>
      </c>
      <c r="ED55" s="729" t="s">
        <v>670</v>
      </c>
      <c r="EF55" s="2209"/>
      <c r="EP55" s="286"/>
      <c r="EQ55" s="286"/>
      <c r="FC55" s="2174"/>
      <c r="FD55" s="2174"/>
      <c r="FG55" s="2208">
        <v>500</v>
      </c>
      <c r="FH55" s="2186">
        <f>VLOOKUP(FH41,FG6:FV39,12,0)</f>
        <v>135</v>
      </c>
      <c r="FI55" s="2186">
        <f t="shared" si="26"/>
        <v>190</v>
      </c>
      <c r="FJ55" s="2214">
        <v>560</v>
      </c>
      <c r="FY55" s="2176"/>
      <c r="FZ55" s="2176"/>
      <c r="GC55" s="2208">
        <v>500</v>
      </c>
      <c r="GD55" s="2186">
        <f>VLOOKUP(GD41,GC6:GR39,12,0)</f>
        <v>155</v>
      </c>
      <c r="GE55" s="2186">
        <f t="shared" si="27"/>
        <v>210</v>
      </c>
      <c r="GF55" s="2214">
        <v>560</v>
      </c>
      <c r="GU55" s="2174"/>
      <c r="GX55" s="2208">
        <v>450</v>
      </c>
      <c r="GY55" s="2186">
        <f>VLOOKUP(GY41,GX6:HM39,12,0)</f>
        <v>86.9</v>
      </c>
      <c r="GZ55" s="2186">
        <f t="shared" si="16"/>
        <v>0</v>
      </c>
      <c r="HA55" s="2214">
        <v>500</v>
      </c>
      <c r="HO55" s="2176"/>
      <c r="HP55" s="2176"/>
      <c r="HS55" s="2208">
        <v>450</v>
      </c>
      <c r="HT55" s="2186">
        <f>VLOOKUP(HT41,HS6:IH39,12,0)</f>
        <v>113</v>
      </c>
      <c r="HU55" s="2186">
        <f t="shared" si="17"/>
        <v>0</v>
      </c>
      <c r="HV55" s="2214">
        <v>500</v>
      </c>
    </row>
    <row r="56" spans="3:238" ht="21.95" customHeight="1">
      <c r="C56" s="735" t="s">
        <v>677</v>
      </c>
      <c r="D56" s="734">
        <v>46500</v>
      </c>
      <c r="E56" s="734">
        <v>15750</v>
      </c>
      <c r="F56" s="735">
        <v>330</v>
      </c>
      <c r="G56" s="736">
        <v>475</v>
      </c>
      <c r="I56" s="2209"/>
      <c r="S56" s="286"/>
      <c r="T56" s="286"/>
      <c r="AF56" s="2174"/>
      <c r="AG56" s="2174"/>
      <c r="AJ56" s="2208">
        <v>630</v>
      </c>
      <c r="AK56" s="2186">
        <f>VLOOKUP(AK40,AJ5:AY38,14,0)</f>
        <v>160</v>
      </c>
      <c r="AL56" s="2186">
        <f t="shared" si="18"/>
        <v>235</v>
      </c>
      <c r="AM56" s="2214">
        <v>710</v>
      </c>
      <c r="AO56" s="277"/>
      <c r="BB56" s="2176"/>
      <c r="BC56" s="2176"/>
      <c r="BF56" s="2208">
        <v>630</v>
      </c>
      <c r="BG56" s="2186">
        <f>VLOOKUP(BG40,BF5:BU38,14,0)</f>
        <v>180</v>
      </c>
      <c r="BH56" s="2186">
        <f t="shared" si="25"/>
        <v>260</v>
      </c>
      <c r="BI56" s="2214">
        <v>710</v>
      </c>
      <c r="BJ56" s="277"/>
      <c r="BX56" s="2174"/>
      <c r="CA56" s="2208">
        <v>560</v>
      </c>
      <c r="CB56" s="2186">
        <f>VLOOKUP(CB40,CA5:CP38,14,0)</f>
        <v>128</v>
      </c>
      <c r="CC56" s="2186">
        <f t="shared" si="12"/>
        <v>166</v>
      </c>
      <c r="CD56" s="2214">
        <v>630</v>
      </c>
      <c r="CR56" s="2176"/>
      <c r="CS56" s="2176"/>
      <c r="CV56" s="2208">
        <v>560</v>
      </c>
      <c r="CW56" s="2186">
        <f>VLOOKUP(CW40,CV5:DK38,14,0)</f>
        <v>140</v>
      </c>
      <c r="CX56" s="2186">
        <f t="shared" si="13"/>
        <v>184</v>
      </c>
      <c r="CY56" s="2214">
        <v>630</v>
      </c>
      <c r="DX56" s="1"/>
      <c r="DZ56" s="735" t="s">
        <v>677</v>
      </c>
      <c r="EA56" s="734">
        <v>46500</v>
      </c>
      <c r="EB56" s="734">
        <v>15750</v>
      </c>
      <c r="EC56" s="735">
        <v>330</v>
      </c>
      <c r="ED56" s="736">
        <v>475</v>
      </c>
      <c r="EF56" s="2209"/>
      <c r="EP56" s="286"/>
      <c r="EQ56" s="286"/>
      <c r="FC56" s="2174"/>
      <c r="FD56" s="2174"/>
      <c r="FG56" s="2208">
        <v>560</v>
      </c>
      <c r="FH56" s="2186">
        <f>VLOOKUP(FH41,FG6:FV39,13,0)</f>
        <v>190</v>
      </c>
      <c r="FI56" s="2186">
        <f t="shared" si="26"/>
        <v>250</v>
      </c>
      <c r="FJ56" s="2214">
        <v>630</v>
      </c>
      <c r="FY56" s="2176"/>
      <c r="FZ56" s="2176"/>
      <c r="GC56" s="2208">
        <v>560</v>
      </c>
      <c r="GD56" s="2186">
        <f>VLOOKUP(GD41,GC6:GR39,13,0)</f>
        <v>210</v>
      </c>
      <c r="GE56" s="2186">
        <f t="shared" si="27"/>
        <v>285</v>
      </c>
      <c r="GF56" s="2214">
        <v>630</v>
      </c>
      <c r="GU56" s="2174"/>
      <c r="GX56" s="2208">
        <v>500</v>
      </c>
      <c r="GY56" s="2186">
        <f>VLOOKUP(GY41,GX6:HM39,13,0)</f>
        <v>0</v>
      </c>
      <c r="GZ56" s="2186">
        <f t="shared" si="16"/>
        <v>0</v>
      </c>
      <c r="HA56" s="2214">
        <v>560</v>
      </c>
      <c r="HO56" s="2176"/>
      <c r="HP56" s="2176"/>
      <c r="HS56" s="2208">
        <v>500</v>
      </c>
      <c r="HT56" s="2186">
        <f>VLOOKUP(HT41,HS6:IH39,13,0)</f>
        <v>0</v>
      </c>
      <c r="HU56" s="2186">
        <f t="shared" si="17"/>
        <v>0</v>
      </c>
      <c r="HV56" s="2214">
        <v>560</v>
      </c>
    </row>
    <row r="57" spans="3:238" ht="21.95" customHeight="1">
      <c r="C57" s="735" t="s">
        <v>678</v>
      </c>
      <c r="D57" s="734">
        <v>70660</v>
      </c>
      <c r="E57" s="734">
        <v>15750</v>
      </c>
      <c r="F57" s="735">
        <v>450</v>
      </c>
      <c r="G57" s="736">
        <v>475</v>
      </c>
      <c r="S57" s="286"/>
      <c r="T57" s="286"/>
      <c r="AF57" s="2174"/>
      <c r="AG57" s="2174"/>
      <c r="AJ57" s="2208">
        <v>710</v>
      </c>
      <c r="AK57" s="2186">
        <f>VLOOKUP(AK40,AJ5:AY38,15,0)</f>
        <v>235</v>
      </c>
      <c r="AL57" s="2186">
        <f t="shared" si="18"/>
        <v>340</v>
      </c>
      <c r="AM57" s="2214">
        <v>800</v>
      </c>
      <c r="AO57" s="277"/>
      <c r="BB57" s="2176"/>
      <c r="BC57" s="2176"/>
      <c r="BF57" s="2208">
        <v>710</v>
      </c>
      <c r="BG57" s="2186">
        <f>VLOOKUP(BG40,BF5:BU38,15,0)</f>
        <v>260</v>
      </c>
      <c r="BH57" s="2186">
        <f t="shared" si="25"/>
        <v>375</v>
      </c>
      <c r="BI57" s="2214">
        <v>800</v>
      </c>
      <c r="BJ57" s="277"/>
      <c r="BX57" s="2174"/>
      <c r="CA57" s="2208">
        <v>630</v>
      </c>
      <c r="CB57" s="2186">
        <f>VLOOKUP(CB40,CA5:CP38,15,0)</f>
        <v>166</v>
      </c>
      <c r="CC57" s="2214"/>
      <c r="CD57" s="2214"/>
      <c r="CR57" s="2176"/>
      <c r="CS57" s="2176"/>
      <c r="CV57" s="2208">
        <v>630</v>
      </c>
      <c r="CW57" s="2186">
        <f>VLOOKUP(CW40,CV5:DK38,15,0)</f>
        <v>184</v>
      </c>
      <c r="CX57" s="2214"/>
      <c r="CY57" s="2214"/>
      <c r="DX57" s="1"/>
      <c r="DZ57" s="735" t="s">
        <v>678</v>
      </c>
      <c r="EA57" s="734">
        <v>70660</v>
      </c>
      <c r="EB57" s="734">
        <v>15750</v>
      </c>
      <c r="EC57" s="735">
        <v>450</v>
      </c>
      <c r="ED57" s="736">
        <v>475</v>
      </c>
      <c r="EP57" s="286"/>
      <c r="EQ57" s="286"/>
      <c r="FC57" s="2174"/>
      <c r="FD57" s="2174"/>
      <c r="FG57" s="2208">
        <v>630</v>
      </c>
      <c r="FH57" s="2186">
        <f>VLOOKUP(FH41,FG6:FV39,14,0)</f>
        <v>250</v>
      </c>
      <c r="FI57" s="2186">
        <f t="shared" si="26"/>
        <v>365</v>
      </c>
      <c r="FJ57" s="2214">
        <v>710</v>
      </c>
      <c r="FY57" s="2176"/>
      <c r="FZ57" s="2176"/>
      <c r="GC57" s="2208">
        <v>630</v>
      </c>
      <c r="GD57" s="2186">
        <f>VLOOKUP(GD41,GC6:GR39,14,0)</f>
        <v>285</v>
      </c>
      <c r="GE57" s="2186">
        <f t="shared" si="27"/>
        <v>420</v>
      </c>
      <c r="GF57" s="2214">
        <v>710</v>
      </c>
      <c r="GU57" s="2174"/>
      <c r="GX57" s="2208">
        <v>560</v>
      </c>
      <c r="GY57" s="2186">
        <f>VLOOKUP(GY41,GX6:HM39,14,0)</f>
        <v>0</v>
      </c>
      <c r="GZ57" s="2186">
        <f t="shared" si="16"/>
        <v>0</v>
      </c>
      <c r="HA57" s="2214">
        <v>630</v>
      </c>
      <c r="HO57" s="2176"/>
      <c r="HP57" s="2176"/>
      <c r="HS57" s="2208">
        <v>560</v>
      </c>
      <c r="HT57" s="2186">
        <f>VLOOKUP(HT41,HS6:IH39,14,0)</f>
        <v>0</v>
      </c>
      <c r="HU57" s="2186">
        <f t="shared" si="17"/>
        <v>0</v>
      </c>
      <c r="HV57" s="2214">
        <v>630</v>
      </c>
    </row>
    <row r="58" spans="3:238" ht="21.95" customHeight="1">
      <c r="C58" s="735" t="s">
        <v>680</v>
      </c>
      <c r="D58" s="734">
        <v>92292</v>
      </c>
      <c r="E58" s="734">
        <v>23100</v>
      </c>
      <c r="F58" s="735">
        <v>550</v>
      </c>
      <c r="G58" s="736">
        <v>550</v>
      </c>
      <c r="S58" s="286"/>
      <c r="T58" s="286"/>
      <c r="AF58" s="2174"/>
      <c r="AG58" s="2174"/>
      <c r="AJ58" s="2208">
        <v>800</v>
      </c>
      <c r="AK58" s="2186">
        <f>VLOOKUP(AK40,AJ5:AY38,16,0)</f>
        <v>340</v>
      </c>
      <c r="AL58" s="2186">
        <f t="shared" si="18"/>
        <v>0</v>
      </c>
      <c r="AM58" s="2179"/>
      <c r="AN58" s="2178"/>
      <c r="AO58" s="2179"/>
      <c r="AP58" s="2179"/>
      <c r="AQ58" s="2179"/>
      <c r="AR58" s="2179"/>
      <c r="AS58" s="2179"/>
      <c r="AT58" s="2179"/>
      <c r="AU58" s="2179"/>
      <c r="AV58" s="2179"/>
      <c r="BB58" s="2176"/>
      <c r="BC58" s="2176"/>
      <c r="BF58" s="2208">
        <v>800</v>
      </c>
      <c r="BG58" s="2186">
        <f>VLOOKUP(BG40,BF5:BU38,16,0)</f>
        <v>375</v>
      </c>
      <c r="BH58" s="2186">
        <f t="shared" si="25"/>
        <v>0</v>
      </c>
      <c r="BI58" s="2179"/>
      <c r="BJ58" s="2178"/>
      <c r="BK58" s="2179"/>
      <c r="BL58" s="2179"/>
      <c r="BM58" s="2179"/>
      <c r="BN58" s="2179"/>
      <c r="BO58" s="2179"/>
      <c r="BP58" s="2179"/>
      <c r="BQ58" s="2179"/>
      <c r="BR58" s="2179"/>
      <c r="BX58" s="2174"/>
      <c r="CA58" s="2208"/>
      <c r="CB58" s="2214"/>
      <c r="CC58" s="2214"/>
      <c r="CE58" s="2207"/>
      <c r="CR58" s="2176"/>
      <c r="CS58" s="2176"/>
      <c r="CV58" s="2208"/>
      <c r="CW58" s="2214"/>
      <c r="CX58" s="2214"/>
      <c r="CZ58" s="2207"/>
      <c r="DX58" s="1"/>
      <c r="DZ58" s="735" t="s">
        <v>680</v>
      </c>
      <c r="EA58" s="734">
        <v>92292</v>
      </c>
      <c r="EB58" s="734">
        <v>23100</v>
      </c>
      <c r="EC58" s="735">
        <v>550</v>
      </c>
      <c r="ED58" s="736">
        <v>550</v>
      </c>
      <c r="EP58" s="286"/>
      <c r="EQ58" s="286"/>
      <c r="FC58" s="2174"/>
      <c r="FD58" s="2174"/>
      <c r="FG58" s="2208">
        <v>710</v>
      </c>
      <c r="FH58" s="2186">
        <f>VLOOKUP(FH41,FG6:FV39,15,0)</f>
        <v>365</v>
      </c>
      <c r="FI58" s="2186">
        <f t="shared" si="26"/>
        <v>520</v>
      </c>
      <c r="FJ58" s="2214">
        <v>800</v>
      </c>
      <c r="FY58" s="2176"/>
      <c r="FZ58" s="2176"/>
      <c r="GC58" s="2208">
        <v>710</v>
      </c>
      <c r="GD58" s="2186">
        <f>VLOOKUP(GD41,GC6:GR39,15,0)</f>
        <v>420</v>
      </c>
      <c r="GE58" s="2186">
        <f t="shared" si="27"/>
        <v>570</v>
      </c>
      <c r="GF58" s="2214">
        <v>800</v>
      </c>
      <c r="GU58" s="2174"/>
      <c r="GX58" s="2208">
        <v>630</v>
      </c>
      <c r="GY58" s="2186">
        <f>VLOOKUP(GY41,GX6:HM39,15,0)</f>
        <v>0</v>
      </c>
      <c r="GZ58" s="2214"/>
      <c r="HA58" s="2214"/>
      <c r="HO58" s="2176"/>
      <c r="HP58" s="2176"/>
      <c r="HS58" s="2208">
        <v>630</v>
      </c>
      <c r="HT58" s="2186">
        <f>VLOOKUP(HT41,HS6:IH39,15,0)</f>
        <v>0</v>
      </c>
      <c r="HU58" s="2214"/>
      <c r="HV58" s="2214"/>
    </row>
    <row r="59" spans="3:238" ht="21.95" customHeight="1">
      <c r="C59" s="735" t="s">
        <v>681</v>
      </c>
      <c r="D59" s="734">
        <v>108150</v>
      </c>
      <c r="E59" s="734">
        <v>26250</v>
      </c>
      <c r="F59" s="735">
        <v>700</v>
      </c>
      <c r="G59" s="736">
        <v>650</v>
      </c>
      <c r="S59" s="286"/>
      <c r="T59" s="286"/>
      <c r="AF59" s="2174"/>
      <c r="AG59" s="2174"/>
      <c r="AJ59" s="2208"/>
      <c r="AK59" s="2214"/>
      <c r="AL59" s="2214"/>
      <c r="AM59" s="2214"/>
      <c r="AN59" s="2178"/>
      <c r="AO59" s="2179"/>
      <c r="AP59" s="2179"/>
      <c r="AQ59" s="2179"/>
      <c r="AR59" s="2179"/>
      <c r="AS59" s="2179"/>
      <c r="AT59" s="2179"/>
      <c r="AU59" s="2179"/>
      <c r="AV59" s="2179"/>
      <c r="BB59" s="2176"/>
      <c r="BC59" s="2176"/>
      <c r="BF59" s="2208"/>
      <c r="BG59" s="2214"/>
      <c r="BH59" s="2214"/>
      <c r="BI59" s="2214"/>
      <c r="BJ59" s="2178"/>
      <c r="BK59" s="2179"/>
      <c r="BL59" s="2179"/>
      <c r="BM59" s="2179"/>
      <c r="BN59" s="2179"/>
      <c r="BO59" s="2179"/>
      <c r="BP59" s="2179"/>
      <c r="BQ59" s="2179"/>
      <c r="BR59" s="2179"/>
      <c r="BX59" s="2174"/>
      <c r="CA59" s="2208"/>
      <c r="CB59" s="2214"/>
      <c r="CC59" s="2214"/>
      <c r="CD59" s="2214"/>
      <c r="CE59" s="2207"/>
      <c r="CR59" s="2176"/>
      <c r="CS59" s="2176"/>
      <c r="CV59" s="2208"/>
      <c r="CW59" s="2214"/>
      <c r="CX59" s="2214"/>
      <c r="CY59" s="2214"/>
      <c r="CZ59" s="2207"/>
      <c r="DX59" s="1"/>
      <c r="DZ59" s="735" t="s">
        <v>681</v>
      </c>
      <c r="EA59" s="734">
        <v>108150</v>
      </c>
      <c r="EB59" s="734">
        <v>26250</v>
      </c>
      <c r="EC59" s="735">
        <v>700</v>
      </c>
      <c r="ED59" s="736">
        <v>650</v>
      </c>
      <c r="EP59" s="286"/>
      <c r="EQ59" s="286"/>
      <c r="FC59" s="2174"/>
      <c r="FD59" s="2174"/>
      <c r="FG59" s="2208">
        <v>800</v>
      </c>
      <c r="FH59" s="2186">
        <f>VLOOKUP(FH41,FG6:FV39,16,0)</f>
        <v>520</v>
      </c>
      <c r="FI59" s="2186">
        <f t="shared" si="26"/>
        <v>0</v>
      </c>
      <c r="FJ59" s="2179"/>
      <c r="FK59" s="2178"/>
      <c r="FL59" s="2179"/>
      <c r="FM59" s="2179"/>
      <c r="FN59" s="2179"/>
      <c r="FO59" s="2179"/>
      <c r="FP59" s="2179"/>
      <c r="FQ59" s="2179"/>
      <c r="FR59" s="2179"/>
      <c r="FS59" s="2179"/>
      <c r="FY59" s="2176"/>
      <c r="FZ59" s="2176"/>
      <c r="GC59" s="2208">
        <v>800</v>
      </c>
      <c r="GD59" s="2186">
        <f>VLOOKUP(GD41,GC6:GR39,16,0)</f>
        <v>570</v>
      </c>
      <c r="GE59" s="2186">
        <f t="shared" si="27"/>
        <v>0</v>
      </c>
      <c r="GF59" s="2179"/>
      <c r="GG59" s="2178"/>
      <c r="GH59" s="2179"/>
      <c r="GI59" s="2179"/>
      <c r="GJ59" s="2179"/>
      <c r="GK59" s="2179"/>
      <c r="GL59" s="2179"/>
      <c r="GM59" s="2179"/>
      <c r="GN59" s="2179"/>
      <c r="GO59" s="2179"/>
      <c r="GU59" s="2174"/>
      <c r="GX59" s="2208"/>
      <c r="GY59" s="2214"/>
      <c r="GZ59" s="2214"/>
      <c r="HB59" s="2207"/>
      <c r="HO59" s="2176"/>
      <c r="HP59" s="2176"/>
      <c r="HS59" s="2208"/>
      <c r="HT59" s="2214"/>
      <c r="HU59" s="2214"/>
      <c r="HW59" s="2207"/>
    </row>
    <row r="60" spans="3:238" ht="21.95" customHeight="1">
      <c r="C60" s="735" t="s">
        <v>683</v>
      </c>
      <c r="D60" s="734">
        <v>195532</v>
      </c>
      <c r="E60" s="734">
        <v>29400</v>
      </c>
      <c r="F60" s="735">
        <v>1100</v>
      </c>
      <c r="G60" s="736">
        <v>775</v>
      </c>
      <c r="S60" s="286"/>
      <c r="T60" s="286"/>
      <c r="AF60" s="2174"/>
      <c r="AG60" s="2174"/>
      <c r="AJ60" s="2208"/>
      <c r="AK60" s="2186">
        <f>VLOOKUP(AK41,AK43:AK58,1)</f>
        <v>13</v>
      </c>
      <c r="AL60" s="2186">
        <f>VLOOKUP(AK60,AK43:AL58,2,0)</f>
        <v>20</v>
      </c>
      <c r="AM60" s="2214"/>
      <c r="AN60" s="2178"/>
      <c r="AO60" s="2179"/>
      <c r="AP60" s="2179"/>
      <c r="AQ60" s="2179"/>
      <c r="AR60" s="2179"/>
      <c r="AS60" s="2179"/>
      <c r="AT60" s="2179"/>
      <c r="AU60" s="2179"/>
      <c r="AV60" s="2179"/>
      <c r="BB60" s="2176"/>
      <c r="BC60" s="2176"/>
      <c r="BF60" s="2208"/>
      <c r="BG60" s="2186">
        <f>VLOOKUP(BG41,BG43:BG58,1)</f>
        <v>14</v>
      </c>
      <c r="BH60" s="2186">
        <f>VLOOKUP(BG60,BG43:BH58,2,0)</f>
        <v>22</v>
      </c>
      <c r="BI60" s="2214"/>
      <c r="BJ60" s="2178"/>
      <c r="BK60" s="2179"/>
      <c r="BL60" s="2179"/>
      <c r="BM60" s="2179"/>
      <c r="BN60" s="2179"/>
      <c r="BO60" s="2179"/>
      <c r="BP60" s="2179"/>
      <c r="BQ60" s="2179"/>
      <c r="BR60" s="2179"/>
      <c r="BX60" s="2174"/>
      <c r="CA60" s="2208"/>
      <c r="CB60" s="2186">
        <f>VLOOKUP(CB41,CB43:CB58,1)</f>
        <v>15.4</v>
      </c>
      <c r="CC60" s="2186">
        <f>VLOOKUP(CB60,CB43:CC58,2,0)</f>
        <v>20.399999999999999</v>
      </c>
      <c r="CD60" s="2214"/>
      <c r="CE60" s="2207"/>
      <c r="CR60" s="2176"/>
      <c r="CS60" s="2176"/>
      <c r="CV60" s="2208"/>
      <c r="CW60" s="2186">
        <f>VLOOKUP(CW41,CW43:CW58,1)</f>
        <v>17</v>
      </c>
      <c r="CX60" s="2186">
        <f>VLOOKUP(CW60,CW43:CX58,2,0)</f>
        <v>22.7</v>
      </c>
      <c r="CY60" s="2214"/>
      <c r="CZ60" s="2207"/>
      <c r="DX60" s="1"/>
      <c r="DZ60" s="735" t="s">
        <v>683</v>
      </c>
      <c r="EA60" s="734">
        <v>195532</v>
      </c>
      <c r="EB60" s="734">
        <v>29400</v>
      </c>
      <c r="EC60" s="735">
        <v>1100</v>
      </c>
      <c r="ED60" s="736">
        <v>775</v>
      </c>
      <c r="EP60" s="286"/>
      <c r="EQ60" s="286"/>
      <c r="FC60" s="2174"/>
      <c r="FD60" s="2174"/>
      <c r="FG60" s="2208"/>
      <c r="FH60" s="2214"/>
      <c r="FI60" s="2214"/>
      <c r="FJ60" s="2214"/>
      <c r="FK60" s="2178"/>
      <c r="FL60" s="2179"/>
      <c r="FM60" s="2179"/>
      <c r="FN60" s="2179"/>
      <c r="FO60" s="2179"/>
      <c r="FP60" s="2179"/>
      <c r="FQ60" s="2179"/>
      <c r="FR60" s="2179"/>
      <c r="FS60" s="2179"/>
      <c r="FY60" s="2176"/>
      <c r="FZ60" s="2176"/>
      <c r="GC60" s="2208"/>
      <c r="GD60" s="2214"/>
      <c r="GE60" s="2214"/>
      <c r="GF60" s="2214"/>
      <c r="GG60" s="2178"/>
      <c r="GH60" s="2179"/>
      <c r="GI60" s="2179"/>
      <c r="GJ60" s="2179"/>
      <c r="GK60" s="2179"/>
      <c r="GL60" s="2179"/>
      <c r="GM60" s="2179"/>
      <c r="GN60" s="2179"/>
      <c r="GO60" s="2179"/>
      <c r="GU60" s="2174"/>
      <c r="GX60" s="2208"/>
      <c r="GY60" s="2214"/>
      <c r="GZ60" s="2214"/>
      <c r="HA60" s="2214"/>
      <c r="HB60" s="2207"/>
      <c r="HO60" s="2176"/>
      <c r="HP60" s="2176"/>
      <c r="HS60" s="2208"/>
      <c r="HT60" s="2214"/>
      <c r="HU60" s="2214"/>
      <c r="HV60" s="2214"/>
      <c r="HW60" s="2207"/>
    </row>
    <row r="61" spans="3:238" ht="21.95" customHeight="1" thickBot="1">
      <c r="C61" s="735" t="s">
        <v>684</v>
      </c>
      <c r="D61" s="734">
        <v>203682</v>
      </c>
      <c r="E61" s="734">
        <v>33600</v>
      </c>
      <c r="F61" s="735">
        <v>1400</v>
      </c>
      <c r="G61" s="736">
        <v>825</v>
      </c>
      <c r="S61" s="286"/>
      <c r="T61" s="286"/>
      <c r="AF61" s="2174"/>
      <c r="AG61" s="2174"/>
      <c r="AJ61" s="2208"/>
      <c r="AK61" s="2186">
        <f>IFERROR(VLOOKUP(AK41,AK43:AK58,1,0),0)</f>
        <v>0</v>
      </c>
      <c r="AL61" s="3631">
        <f>IF(AK61&gt;0,AK61,AL60)</f>
        <v>20</v>
      </c>
      <c r="AM61" s="3631">
        <f>VLOOKUP(AL61,AL43:AM58,2,0)</f>
        <v>315</v>
      </c>
      <c r="AN61" s="2178"/>
      <c r="AO61" s="2179"/>
      <c r="AP61" s="2179"/>
      <c r="AQ61" s="2179"/>
      <c r="AR61" s="2179"/>
      <c r="AS61" s="2179"/>
      <c r="AT61" s="2179"/>
      <c r="AU61" s="2179"/>
      <c r="AV61" s="2179"/>
      <c r="BB61" s="2176"/>
      <c r="BC61" s="2176"/>
      <c r="BF61" s="2208"/>
      <c r="BG61" s="2186">
        <f>IFERROR(VLOOKUP(BG41,BG43:BG58,1,0),0)</f>
        <v>0</v>
      </c>
      <c r="BH61" s="3631">
        <f>IF(BG61&gt;0,BG61,BH60)</f>
        <v>22</v>
      </c>
      <c r="BI61" s="3631">
        <f>VLOOKUP(BH61,BH43:BI58,2,0)</f>
        <v>315</v>
      </c>
      <c r="BJ61" s="2178"/>
      <c r="BK61" s="2179"/>
      <c r="BL61" s="2179"/>
      <c r="BM61" s="2179"/>
      <c r="BN61" s="2179"/>
      <c r="BO61" s="2179"/>
      <c r="BP61" s="2179"/>
      <c r="BQ61" s="2179"/>
      <c r="BR61" s="2179"/>
      <c r="BX61" s="2174"/>
      <c r="CA61" s="2208"/>
      <c r="CB61" s="2186">
        <f>IFERROR(VLOOKUP(CB41,CB43:CB58,1,0),0)</f>
        <v>0</v>
      </c>
      <c r="CC61" s="3631">
        <f>IF(CB61&gt;0,CB61,CC60)</f>
        <v>20.399999999999999</v>
      </c>
      <c r="CD61" s="3631">
        <f>VLOOKUP(CC61,CC43:CD58,2,0)</f>
        <v>315</v>
      </c>
      <c r="CE61" s="2207"/>
      <c r="CR61" s="2176"/>
      <c r="CS61" s="2176"/>
      <c r="CV61" s="2208"/>
      <c r="CW61" s="2186">
        <f>IFERROR(VLOOKUP(CW41,CW43:CW58,1,0),0)</f>
        <v>0</v>
      </c>
      <c r="CX61" s="3631">
        <f>IF(CW61&gt;0,CW61,CX60)</f>
        <v>22.7</v>
      </c>
      <c r="CY61" s="3631">
        <f>VLOOKUP(CX61,CX43:CY58,2,0)</f>
        <v>315</v>
      </c>
      <c r="CZ61" s="2207"/>
      <c r="DX61" s="1"/>
      <c r="DZ61" s="735" t="s">
        <v>684</v>
      </c>
      <c r="EA61" s="734">
        <v>203682</v>
      </c>
      <c r="EB61" s="734">
        <v>33600</v>
      </c>
      <c r="EC61" s="735">
        <v>1400</v>
      </c>
      <c r="ED61" s="736">
        <v>825</v>
      </c>
      <c r="EP61" s="286"/>
      <c r="EQ61" s="286"/>
      <c r="FC61" s="2174"/>
      <c r="FD61" s="2174"/>
      <c r="FG61" s="2208"/>
      <c r="FH61" s="2186">
        <f>VLOOKUP(FH42,FH44:FH59,1)</f>
        <v>16</v>
      </c>
      <c r="FI61" s="2186">
        <f>VLOOKUP(FH61,FH44:FI59,2,0)</f>
        <v>21</v>
      </c>
      <c r="FJ61" s="2214"/>
      <c r="FK61" s="2178"/>
      <c r="FL61" s="2179"/>
      <c r="FM61" s="2179"/>
      <c r="FN61" s="2179"/>
      <c r="FO61" s="2179"/>
      <c r="FP61" s="2179"/>
      <c r="FQ61" s="2179"/>
      <c r="FR61" s="2179"/>
      <c r="FS61" s="2179"/>
      <c r="FY61" s="2176"/>
      <c r="FZ61" s="2176"/>
      <c r="GC61" s="2208"/>
      <c r="GD61" s="2186">
        <f>VLOOKUP(GD42,GD44:GD59,1)</f>
        <v>17</v>
      </c>
      <c r="GE61" s="2186">
        <f>VLOOKUP(GD61,GD44:GE59,2,0)</f>
        <v>23</v>
      </c>
      <c r="GF61" s="2214"/>
      <c r="GG61" s="2178"/>
      <c r="GH61" s="2179"/>
      <c r="GI61" s="2179"/>
      <c r="GJ61" s="2179"/>
      <c r="GK61" s="2179"/>
      <c r="GL61" s="2179"/>
      <c r="GM61" s="2179"/>
      <c r="GN61" s="2179"/>
      <c r="GO61" s="2179"/>
      <c r="GU61" s="2174"/>
      <c r="GX61" s="2208"/>
      <c r="GY61" s="2186">
        <f>VLOOKUP(GY42,GY44:GY59,1)</f>
        <v>16.399999999999999</v>
      </c>
      <c r="GZ61" s="2186">
        <f>VLOOKUP(GY61,GY44:GZ59,2,0)</f>
        <v>21</v>
      </c>
      <c r="HA61" s="2214"/>
      <c r="HB61" s="2207"/>
      <c r="HO61" s="2176"/>
      <c r="HP61" s="2176"/>
      <c r="HS61" s="2208"/>
      <c r="HT61" s="2186">
        <f>VLOOKUP(HT42,HT44:HT59,1)</f>
        <v>18.899999999999999</v>
      </c>
      <c r="HU61" s="2186">
        <f>VLOOKUP(HT61,HT44:HU59,2,0)</f>
        <v>29.3</v>
      </c>
      <c r="HV61" s="2214"/>
      <c r="HW61" s="2207"/>
    </row>
    <row r="62" spans="3:238" ht="21.95" customHeight="1" thickBot="1">
      <c r="C62" s="735" t="s">
        <v>686</v>
      </c>
      <c r="D62" s="734">
        <v>321637</v>
      </c>
      <c r="E62" s="734">
        <v>36750</v>
      </c>
      <c r="F62" s="735">
        <v>2200</v>
      </c>
      <c r="G62" s="736">
        <v>950</v>
      </c>
      <c r="S62" s="286"/>
      <c r="T62" s="286"/>
      <c r="AF62" s="2174"/>
      <c r="AG62" s="2174"/>
      <c r="AJ62" s="2220" t="s">
        <v>714</v>
      </c>
      <c r="AK62" s="2221"/>
      <c r="AL62" s="3632">
        <f>AL61</f>
        <v>20</v>
      </c>
      <c r="AM62" s="3633">
        <f>AM61</f>
        <v>315</v>
      </c>
      <c r="AN62" s="2178"/>
      <c r="AO62" s="2178"/>
      <c r="AP62" s="2178"/>
      <c r="AQ62" s="2178"/>
      <c r="AR62" s="2178"/>
      <c r="AS62" s="2178"/>
      <c r="AT62" s="2178"/>
      <c r="AU62" s="2178"/>
      <c r="AV62" s="2179"/>
      <c r="BB62" s="2176"/>
      <c r="BC62" s="2176"/>
      <c r="BF62" s="2220" t="s">
        <v>714</v>
      </c>
      <c r="BG62" s="2221"/>
      <c r="BH62" s="3632">
        <f>BH61</f>
        <v>22</v>
      </c>
      <c r="BI62" s="3633">
        <f>BI61</f>
        <v>315</v>
      </c>
      <c r="BJ62" s="2178"/>
      <c r="BK62" s="2178"/>
      <c r="BL62" s="2178"/>
      <c r="BM62" s="2178"/>
      <c r="BN62" s="2178"/>
      <c r="BO62" s="2178"/>
      <c r="BP62" s="2178"/>
      <c r="BQ62" s="2178"/>
      <c r="BR62" s="2179"/>
      <c r="BX62" s="2174"/>
      <c r="CA62" s="2223" t="s">
        <v>714</v>
      </c>
      <c r="CB62" s="2224"/>
      <c r="CC62" s="3634">
        <f>CC61</f>
        <v>20.399999999999999</v>
      </c>
      <c r="CD62" s="3635">
        <f>CD61</f>
        <v>315</v>
      </c>
      <c r="CE62" s="2207"/>
      <c r="CF62" s="2207"/>
      <c r="CG62" s="2207"/>
      <c r="CH62" s="2207"/>
      <c r="CI62" s="2207"/>
      <c r="CJ62" s="2207"/>
      <c r="CK62" s="2207"/>
      <c r="CL62" s="2207"/>
      <c r="CR62" s="2176"/>
      <c r="CS62" s="2176"/>
      <c r="CV62" s="2223" t="s">
        <v>714</v>
      </c>
      <c r="CW62" s="2224"/>
      <c r="CX62" s="3634">
        <f>CX61</f>
        <v>22.7</v>
      </c>
      <c r="CY62" s="3635">
        <f>CY61</f>
        <v>315</v>
      </c>
      <c r="CZ62" s="2207"/>
      <c r="DA62" s="2207"/>
      <c r="DB62" s="2207"/>
      <c r="DC62" s="2207"/>
      <c r="DD62" s="2207"/>
      <c r="DE62" s="2207"/>
      <c r="DF62" s="2207"/>
      <c r="DG62" s="2207"/>
      <c r="DX62" s="1"/>
      <c r="DZ62" s="735" t="s">
        <v>686</v>
      </c>
      <c r="EA62" s="734">
        <v>321637</v>
      </c>
      <c r="EB62" s="734">
        <v>36750</v>
      </c>
      <c r="EC62" s="735">
        <v>2200</v>
      </c>
      <c r="ED62" s="736">
        <v>950</v>
      </c>
      <c r="EP62" s="286"/>
      <c r="EQ62" s="286"/>
      <c r="FC62" s="2174"/>
      <c r="FD62" s="2174"/>
      <c r="FG62" s="2208"/>
      <c r="FH62" s="2186">
        <f>IFERROR(VLOOKUP(FH42,FH44:FH59,1,0),0)</f>
        <v>0</v>
      </c>
      <c r="FI62" s="3631">
        <f>IF(FH62&gt;0,FH62,FI61)</f>
        <v>21</v>
      </c>
      <c r="FJ62" s="3631">
        <f>VLOOKUP(FI62,FI44:FJ59,2,0)</f>
        <v>280</v>
      </c>
      <c r="FK62" s="2178"/>
      <c r="FL62" s="2179"/>
      <c r="FM62" s="2179"/>
      <c r="FN62" s="2179"/>
      <c r="FO62" s="2179"/>
      <c r="FP62" s="2179"/>
      <c r="FQ62" s="2179"/>
      <c r="FR62" s="2179"/>
      <c r="FS62" s="2179"/>
      <c r="FY62" s="2176"/>
      <c r="FZ62" s="2176"/>
      <c r="GC62" s="2208"/>
      <c r="GD62" s="2186">
        <f>IFERROR(VLOOKUP(GD42,GD44:GD59,1,0),0)</f>
        <v>0</v>
      </c>
      <c r="GE62" s="3631">
        <f>IF(GD62&gt;0,GD62,GE61)</f>
        <v>23</v>
      </c>
      <c r="GF62" s="3631">
        <f>VLOOKUP(GE62,GE44:GF59,2,0)</f>
        <v>280</v>
      </c>
      <c r="GG62" s="2178"/>
      <c r="GH62" s="2179"/>
      <c r="GI62" s="2179"/>
      <c r="GJ62" s="2179"/>
      <c r="GK62" s="2179"/>
      <c r="GL62" s="2179"/>
      <c r="GM62" s="2179"/>
      <c r="GN62" s="2179"/>
      <c r="GO62" s="2179"/>
      <c r="GU62" s="2174"/>
      <c r="GX62" s="2208"/>
      <c r="GY62" s="2186">
        <f>IFERROR(VLOOKUP(GY42,GY44:GY59,1,0),0)</f>
        <v>0</v>
      </c>
      <c r="GZ62" s="3631">
        <f>IF(GY62&gt;0,GY62,GZ61)</f>
        <v>21</v>
      </c>
      <c r="HA62" s="3631">
        <f>VLOOKUP(GZ62,GZ44:HA59,2,0)</f>
        <v>280</v>
      </c>
      <c r="HB62" s="2207"/>
      <c r="HO62" s="2176"/>
      <c r="HP62" s="2176"/>
      <c r="HS62" s="2208"/>
      <c r="HT62" s="2186">
        <f>IFERROR(VLOOKUP(HT42,HT44:HT59,1,0),0)</f>
        <v>0</v>
      </c>
      <c r="HU62" s="3631">
        <f>IF(HT62&gt;0,HT62,HU61)</f>
        <v>29.3</v>
      </c>
      <c r="HV62" s="3631">
        <f>VLOOKUP(HU62,HU44:HV59,2,0)</f>
        <v>280</v>
      </c>
      <c r="HW62" s="2207"/>
    </row>
    <row r="63" spans="3:238" ht="21.95" customHeight="1" thickBot="1">
      <c r="C63" s="735" t="s">
        <v>687</v>
      </c>
      <c r="D63" s="734">
        <v>412631</v>
      </c>
      <c r="E63" s="734">
        <v>42000</v>
      </c>
      <c r="F63" s="735">
        <v>2600</v>
      </c>
      <c r="G63" s="736">
        <v>1100</v>
      </c>
      <c r="S63" s="286"/>
      <c r="T63" s="286"/>
      <c r="AF63" s="2174"/>
      <c r="AG63" s="2174"/>
      <c r="AJ63" s="2177"/>
      <c r="AK63" s="2178"/>
      <c r="AL63" s="2178"/>
      <c r="AM63" s="2178"/>
      <c r="AN63" s="2178"/>
      <c r="AO63" s="2178"/>
      <c r="AP63" s="2178"/>
      <c r="AQ63" s="2178"/>
      <c r="AR63" s="2178"/>
      <c r="AS63" s="2178"/>
      <c r="AT63" s="2178"/>
      <c r="AU63" s="2178"/>
      <c r="AV63" s="2179"/>
      <c r="BB63" s="2176"/>
      <c r="BC63" s="2176"/>
      <c r="BF63" s="2177"/>
      <c r="BG63" s="2178"/>
      <c r="BH63" s="2178"/>
      <c r="BI63" s="2178"/>
      <c r="BJ63" s="2178"/>
      <c r="BK63" s="2178"/>
      <c r="BL63" s="2178"/>
      <c r="BM63" s="2178"/>
      <c r="BN63" s="2178"/>
      <c r="BO63" s="2178"/>
      <c r="BP63" s="2178"/>
      <c r="BQ63" s="2178"/>
      <c r="BR63" s="2179"/>
      <c r="BX63" s="2174"/>
      <c r="CA63" s="2180"/>
      <c r="CB63" s="2207"/>
      <c r="CC63" s="2207"/>
      <c r="CD63" s="2207"/>
      <c r="CE63" s="2207"/>
      <c r="CF63" s="2207"/>
      <c r="CG63" s="2207"/>
      <c r="CH63" s="2207"/>
      <c r="CI63" s="2207"/>
      <c r="CJ63" s="2207"/>
      <c r="CK63" s="2207"/>
      <c r="CL63" s="2207"/>
      <c r="CR63" s="2176"/>
      <c r="CS63" s="2176"/>
      <c r="CV63" s="2180"/>
      <c r="CW63" s="2207"/>
      <c r="CX63" s="2207"/>
      <c r="CY63" s="2207"/>
      <c r="CZ63" s="2207"/>
      <c r="DA63" s="2207"/>
      <c r="DB63" s="2207"/>
      <c r="DC63" s="2207"/>
      <c r="DD63" s="2207"/>
      <c r="DE63" s="2207"/>
      <c r="DF63" s="2207"/>
      <c r="DG63" s="2207"/>
      <c r="DX63" s="1"/>
      <c r="DZ63" s="735" t="s">
        <v>687</v>
      </c>
      <c r="EA63" s="734">
        <v>412631</v>
      </c>
      <c r="EB63" s="734">
        <v>42000</v>
      </c>
      <c r="EC63" s="735">
        <v>2600</v>
      </c>
      <c r="ED63" s="736">
        <v>1100</v>
      </c>
      <c r="EP63" s="286"/>
      <c r="EQ63" s="286"/>
      <c r="FC63" s="2174"/>
      <c r="FD63" s="2174"/>
      <c r="FG63" s="2220" t="s">
        <v>714</v>
      </c>
      <c r="FH63" s="2221"/>
      <c r="FI63" s="3632">
        <f>FI62</f>
        <v>21</v>
      </c>
      <c r="FJ63" s="3633">
        <f>FJ62</f>
        <v>280</v>
      </c>
      <c r="FK63" s="2178"/>
      <c r="FL63" s="2178"/>
      <c r="FM63" s="2178"/>
      <c r="FN63" s="2178"/>
      <c r="FO63" s="2178"/>
      <c r="FP63" s="2178"/>
      <c r="FQ63" s="2178"/>
      <c r="FR63" s="2178"/>
      <c r="FS63" s="2179"/>
      <c r="FY63" s="2176"/>
      <c r="FZ63" s="2176"/>
      <c r="GC63" s="2220" t="s">
        <v>714</v>
      </c>
      <c r="GD63" s="2221"/>
      <c r="GE63" s="3632">
        <f>GE62</f>
        <v>23</v>
      </c>
      <c r="GF63" s="3633">
        <f>GF62</f>
        <v>280</v>
      </c>
      <c r="GG63" s="2178"/>
      <c r="GH63" s="2178"/>
      <c r="GI63" s="2178"/>
      <c r="GJ63" s="2178"/>
      <c r="GK63" s="2178"/>
      <c r="GL63" s="2178"/>
      <c r="GM63" s="2178"/>
      <c r="GN63" s="2178"/>
      <c r="GO63" s="2179"/>
      <c r="GU63" s="2174"/>
      <c r="GX63" s="2223" t="s">
        <v>714</v>
      </c>
      <c r="GY63" s="2224"/>
      <c r="GZ63" s="3634">
        <f>GZ62</f>
        <v>21</v>
      </c>
      <c r="HA63" s="3635">
        <f>HA62</f>
        <v>280</v>
      </c>
      <c r="HB63" s="2207"/>
      <c r="HC63" s="2207"/>
      <c r="HD63" s="2207"/>
      <c r="HE63" s="2207"/>
      <c r="HF63" s="2207"/>
      <c r="HG63" s="2207"/>
      <c r="HH63" s="2207"/>
      <c r="HI63" s="2207"/>
      <c r="HO63" s="2176"/>
      <c r="HP63" s="2176"/>
      <c r="HS63" s="2223" t="s">
        <v>714</v>
      </c>
      <c r="HT63" s="2224"/>
      <c r="HU63" s="3634">
        <f>HU62</f>
        <v>29.3</v>
      </c>
      <c r="HV63" s="3635">
        <f>HV62</f>
        <v>280</v>
      </c>
      <c r="HW63" s="2207"/>
      <c r="HX63" s="2207"/>
      <c r="HY63" s="2207"/>
      <c r="HZ63" s="2207"/>
      <c r="IA63" s="2207"/>
      <c r="IB63" s="2207"/>
      <c r="IC63" s="2207"/>
      <c r="ID63" s="2207"/>
    </row>
    <row r="64" spans="3:238" ht="21.95" customHeight="1">
      <c r="C64" s="735" t="s">
        <v>690</v>
      </c>
      <c r="D64" s="734">
        <v>504000</v>
      </c>
      <c r="E64" s="734">
        <v>52500</v>
      </c>
      <c r="F64" s="735">
        <v>3300</v>
      </c>
      <c r="G64" s="736">
        <v>1250</v>
      </c>
      <c r="S64" s="286"/>
      <c r="T64" s="286"/>
      <c r="AF64" s="2174"/>
      <c r="AG64" s="2174"/>
      <c r="AJ64" s="2226" t="s">
        <v>736</v>
      </c>
      <c r="AK64" s="311">
        <v>160</v>
      </c>
      <c r="AL64" s="311">
        <v>180</v>
      </c>
      <c r="AM64" s="311">
        <v>200</v>
      </c>
      <c r="AN64" s="311">
        <v>225</v>
      </c>
      <c r="AO64" s="311">
        <v>250</v>
      </c>
      <c r="AP64" s="311">
        <v>280</v>
      </c>
      <c r="AQ64" s="311">
        <v>315</v>
      </c>
      <c r="AR64" s="311">
        <v>355</v>
      </c>
      <c r="AS64" s="311">
        <v>400</v>
      </c>
      <c r="AT64" s="311">
        <v>450</v>
      </c>
      <c r="AU64" s="311">
        <v>500</v>
      </c>
      <c r="AV64" s="311">
        <v>560</v>
      </c>
      <c r="AW64" s="311">
        <v>630</v>
      </c>
      <c r="AX64" s="311">
        <v>710</v>
      </c>
      <c r="AY64" s="311">
        <v>800</v>
      </c>
      <c r="BB64" s="2176"/>
      <c r="BC64" s="2176"/>
      <c r="BF64" s="2226" t="s">
        <v>736</v>
      </c>
      <c r="BG64" s="311">
        <v>160</v>
      </c>
      <c r="BH64" s="311">
        <v>180</v>
      </c>
      <c r="BI64" s="311">
        <v>200</v>
      </c>
      <c r="BJ64" s="311">
        <v>225</v>
      </c>
      <c r="BK64" s="311">
        <v>250</v>
      </c>
      <c r="BL64" s="311">
        <v>280</v>
      </c>
      <c r="BM64" s="311">
        <v>315</v>
      </c>
      <c r="BN64" s="311">
        <v>355</v>
      </c>
      <c r="BO64" s="311">
        <v>400</v>
      </c>
      <c r="BP64" s="311">
        <v>450</v>
      </c>
      <c r="BQ64" s="311">
        <v>500</v>
      </c>
      <c r="BR64" s="311">
        <v>560</v>
      </c>
      <c r="BS64" s="311">
        <v>630</v>
      </c>
      <c r="BT64" s="311">
        <v>710</v>
      </c>
      <c r="BU64" s="311">
        <v>800</v>
      </c>
      <c r="BX64" s="2174"/>
      <c r="CA64" s="2226" t="s">
        <v>736</v>
      </c>
      <c r="CB64" s="2227">
        <v>140</v>
      </c>
      <c r="CC64" s="2227">
        <v>160</v>
      </c>
      <c r="CD64" s="2227">
        <v>180</v>
      </c>
      <c r="CE64" s="2227">
        <v>200</v>
      </c>
      <c r="CF64" s="2227">
        <v>225</v>
      </c>
      <c r="CG64" s="2227">
        <v>250</v>
      </c>
      <c r="CH64" s="2227">
        <v>280</v>
      </c>
      <c r="CI64" s="2227">
        <v>315</v>
      </c>
      <c r="CJ64" s="2227">
        <v>355</v>
      </c>
      <c r="CK64" s="2227">
        <v>400</v>
      </c>
      <c r="CL64" s="2227">
        <v>450</v>
      </c>
      <c r="CM64" s="2227">
        <v>500</v>
      </c>
      <c r="CN64" s="2227">
        <v>560</v>
      </c>
      <c r="CO64" s="2227">
        <v>630</v>
      </c>
      <c r="CP64" s="2227"/>
      <c r="CR64" s="2176"/>
      <c r="CS64" s="2176"/>
      <c r="CV64" s="2226" t="s">
        <v>736</v>
      </c>
      <c r="CW64" s="2227">
        <v>140</v>
      </c>
      <c r="CX64" s="2227">
        <v>160</v>
      </c>
      <c r="CY64" s="2227">
        <v>180</v>
      </c>
      <c r="CZ64" s="2227">
        <v>200</v>
      </c>
      <c r="DA64" s="2227">
        <v>225</v>
      </c>
      <c r="DB64" s="2227">
        <v>250</v>
      </c>
      <c r="DC64" s="2227">
        <v>280</v>
      </c>
      <c r="DD64" s="2227">
        <v>315</v>
      </c>
      <c r="DE64" s="2227">
        <v>355</v>
      </c>
      <c r="DF64" s="2227">
        <v>400</v>
      </c>
      <c r="DG64" s="2227">
        <v>450</v>
      </c>
      <c r="DH64" s="2227">
        <v>500</v>
      </c>
      <c r="DI64" s="2227">
        <v>560</v>
      </c>
      <c r="DJ64" s="2227">
        <v>630</v>
      </c>
      <c r="DK64" s="2227"/>
      <c r="DX64" s="1"/>
      <c r="DZ64" s="735" t="s">
        <v>690</v>
      </c>
      <c r="EA64" s="734">
        <v>504000</v>
      </c>
      <c r="EB64" s="734">
        <v>52500</v>
      </c>
      <c r="EC64" s="735">
        <v>3300</v>
      </c>
      <c r="ED64" s="736">
        <v>1250</v>
      </c>
      <c r="EP64" s="286"/>
      <c r="EQ64" s="286"/>
      <c r="FC64" s="2174"/>
      <c r="FD64" s="2174"/>
      <c r="FG64" s="2177"/>
      <c r="FH64" s="2178"/>
      <c r="FI64" s="2178"/>
      <c r="FJ64" s="2178"/>
      <c r="FK64" s="2178"/>
      <c r="FL64" s="2178"/>
      <c r="FM64" s="2178"/>
      <c r="FN64" s="2178"/>
      <c r="FO64" s="2178"/>
      <c r="FP64" s="2178"/>
      <c r="FQ64" s="2178"/>
      <c r="FR64" s="2178"/>
      <c r="FS64" s="2179"/>
      <c r="FY64" s="2176"/>
      <c r="FZ64" s="2176"/>
      <c r="GC64" s="2177"/>
      <c r="GD64" s="2178"/>
      <c r="GE64" s="2178"/>
      <c r="GF64" s="2178"/>
      <c r="GG64" s="2178"/>
      <c r="GH64" s="2178"/>
      <c r="GI64" s="2178"/>
      <c r="GJ64" s="2178"/>
      <c r="GK64" s="2178"/>
      <c r="GL64" s="2178"/>
      <c r="GM64" s="2178"/>
      <c r="GN64" s="2178"/>
      <c r="GO64" s="2179"/>
      <c r="GU64" s="2174"/>
      <c r="GX64" s="2180"/>
      <c r="GY64" s="2207"/>
      <c r="GZ64" s="2207"/>
      <c r="HA64" s="2207"/>
      <c r="HB64" s="2207"/>
      <c r="HC64" s="2207"/>
      <c r="HD64" s="2207"/>
      <c r="HE64" s="2207"/>
      <c r="HF64" s="2207"/>
      <c r="HG64" s="2207"/>
      <c r="HH64" s="2207"/>
      <c r="HI64" s="2207"/>
      <c r="HO64" s="2176"/>
      <c r="HP64" s="2176"/>
      <c r="HS64" s="2180"/>
      <c r="HT64" s="2207"/>
      <c r="HU64" s="2207"/>
      <c r="HV64" s="2207"/>
      <c r="HW64" s="2207"/>
      <c r="HX64" s="2207"/>
      <c r="HY64" s="2207"/>
      <c r="HZ64" s="2207"/>
      <c r="IA64" s="2207"/>
      <c r="IB64" s="2207"/>
      <c r="IC64" s="2207"/>
      <c r="ID64" s="2207"/>
    </row>
    <row r="65" spans="3:246" ht="21.95" customHeight="1">
      <c r="C65" s="735" t="s">
        <v>692</v>
      </c>
      <c r="D65" s="734">
        <v>693000</v>
      </c>
      <c r="E65" s="734">
        <v>57750</v>
      </c>
      <c r="F65" s="735">
        <v>4250</v>
      </c>
      <c r="G65" s="736">
        <v>1450</v>
      </c>
      <c r="S65" s="286"/>
      <c r="T65" s="286"/>
      <c r="AF65" s="2174"/>
      <c r="AG65" s="2174"/>
      <c r="AJ65" s="3636">
        <f>AK40</f>
        <v>224</v>
      </c>
      <c r="AK65" s="3637">
        <f>VLOOKUP(AJ65,AJ5:AY38,2,0)</f>
        <v>0</v>
      </c>
      <c r="AL65" s="3637">
        <f>VLOOKUP(AJ65,AJ5:AY38,3,0)</f>
        <v>0</v>
      </c>
      <c r="AM65" s="3637">
        <f>VLOOKUP(AJ65,AJ5:AY38,4,0)</f>
        <v>0</v>
      </c>
      <c r="AN65" s="3637">
        <f>VLOOKUP(AJ65,AJ5:AY38,5,0)</f>
        <v>7</v>
      </c>
      <c r="AO65" s="3637">
        <f>VLOOKUP(AJ65,AJ5:AY38,6,0)</f>
        <v>9</v>
      </c>
      <c r="AP65" s="3637">
        <f>VLOOKUP(AJ65,AJ5:AY38,7,0)</f>
        <v>13</v>
      </c>
      <c r="AQ65" s="3637">
        <f>VLOOKUP(AJ65,AJ5:AY38,8,0)</f>
        <v>20</v>
      </c>
      <c r="AR65" s="3637">
        <f>VLOOKUP(AJ65,AJ5:AY38,9,0)</f>
        <v>30</v>
      </c>
      <c r="AS65" s="3637">
        <f>VLOOKUP(AJ65,AJ5:AY38,10,0)</f>
        <v>37</v>
      </c>
      <c r="AT65" s="3637">
        <f>VLOOKUP(AJ65,AJ5:AY38,11,0)</f>
        <v>54</v>
      </c>
      <c r="AU65" s="3637">
        <f>VLOOKUP(AJ65,AJ5:AY38,12,0)</f>
        <v>86</v>
      </c>
      <c r="AV65" s="3637">
        <f>VLOOKUP(AJ65,AJ5:AY38,13,0)</f>
        <v>120</v>
      </c>
      <c r="AW65" s="3637">
        <f>VLOOKUP(AJ65,AJ5:AY38,14,0)</f>
        <v>160</v>
      </c>
      <c r="AX65" s="3637">
        <f>VLOOKUP(AJ65,AJ5:AY38,15,0)</f>
        <v>235</v>
      </c>
      <c r="AY65" s="3637">
        <f>VLOOKUP(AJ65,AJ5:AY38,16,0)</f>
        <v>340</v>
      </c>
      <c r="BB65" s="2176"/>
      <c r="BC65" s="2176"/>
      <c r="BF65" s="3636">
        <f>BG40</f>
        <v>200</v>
      </c>
      <c r="BG65" s="3637">
        <f>VLOOKUP(BF65,BF5:BU38,2,0)</f>
        <v>0</v>
      </c>
      <c r="BH65" s="3637">
        <f>VLOOKUP(BF65,BF5:BU38,3,0)</f>
        <v>0</v>
      </c>
      <c r="BI65" s="3637">
        <f>VLOOKUP(BF65,BF5:BU38,4,0)</f>
        <v>0</v>
      </c>
      <c r="BJ65" s="3637">
        <f>VLOOKUP(BF65,BF5:BU38,5,0)</f>
        <v>8</v>
      </c>
      <c r="BK65" s="3637">
        <f>VLOOKUP(BF65,BF5:BU38,6,0)</f>
        <v>10</v>
      </c>
      <c r="BL65" s="3637">
        <f>VLOOKUP(BF65,BF5:BU38,7,0)</f>
        <v>14</v>
      </c>
      <c r="BM65" s="3637">
        <f>VLOOKUP(BF65,BF5:BU38,8,0)</f>
        <v>22</v>
      </c>
      <c r="BN65" s="3637">
        <f>VLOOKUP(BF65,BF5:BU38,9,0)</f>
        <v>34</v>
      </c>
      <c r="BO65" s="3637">
        <f>VLOOKUP(BF65,BF5:BU38,10,0)</f>
        <v>41</v>
      </c>
      <c r="BP65" s="3637">
        <f>VLOOKUP(BF65,BF5:BU38,11,0)</f>
        <v>61</v>
      </c>
      <c r="BQ65" s="3637">
        <f>VLOOKUP(BF65,BF5:BU38,12,0)</f>
        <v>96</v>
      </c>
      <c r="BR65" s="3637">
        <f>VLOOKUP(BF65,BF5:BU38,13,0)</f>
        <v>135</v>
      </c>
      <c r="BS65" s="3637">
        <f>VLOOKUP(BF65,BF5:BU38,14,0)</f>
        <v>180</v>
      </c>
      <c r="BT65" s="3637">
        <f>VLOOKUP(BF65,BF5:BU38,15,0)</f>
        <v>260</v>
      </c>
      <c r="BU65" s="3637">
        <f>VLOOKUP(BF65,BF5:BU38,16,0)</f>
        <v>375</v>
      </c>
      <c r="BX65" s="2174"/>
      <c r="CA65" s="3636">
        <f>CB40</f>
        <v>215</v>
      </c>
      <c r="CB65" s="3638">
        <f>VLOOKUP(CA65,CA5:CP38,2,0)</f>
        <v>1.6</v>
      </c>
      <c r="CC65" s="3638">
        <f>VLOOKUP(CA65,CA5:CP38,3,0)</f>
        <v>2.6</v>
      </c>
      <c r="CD65" s="3638">
        <f>VLOOKUP(CA65,CA5:CP38,4,0)</f>
        <v>3.8</v>
      </c>
      <c r="CE65" s="3638">
        <f>VLOOKUP(CA65,CA5:CP38,5,0)</f>
        <v>5.0999999999999996</v>
      </c>
      <c r="CF65" s="3638">
        <f>VLOOKUP(CA65,CA5:CP38,6,0)</f>
        <v>7.3</v>
      </c>
      <c r="CG65" s="3638">
        <f>VLOOKUP(CA65,CA5:CP38,7,0)</f>
        <v>11.5</v>
      </c>
      <c r="CH65" s="3638">
        <f>VLOOKUP(CA65,CA5:CP38,8,0)</f>
        <v>15.4</v>
      </c>
      <c r="CI65" s="3638">
        <f>VLOOKUP(CA65,CA5:CP38,9,0)</f>
        <v>20.399999999999999</v>
      </c>
      <c r="CJ65" s="3638">
        <f>VLOOKUP(CA65,CA5:CP38,10,0)</f>
        <v>26.1</v>
      </c>
      <c r="CK65" s="3638">
        <f>VLOOKUP(CA65,CA5:CP38,11,0)</f>
        <v>33.700000000000003</v>
      </c>
      <c r="CL65" s="3638">
        <f>VLOOKUP(CA65,CA5:CP38,12,0)</f>
        <v>53.3</v>
      </c>
      <c r="CM65" s="3638">
        <f>VLOOKUP(CA65,CA5:CP38,13,0)</f>
        <v>90</v>
      </c>
      <c r="CN65" s="3638">
        <f>VLOOKUP(CA65,CA5:CP38,14,0)</f>
        <v>128</v>
      </c>
      <c r="CO65" s="3638">
        <f>VLOOKUP(CA65,CA5:CP38,15,0)</f>
        <v>166</v>
      </c>
      <c r="CP65" s="2227"/>
      <c r="CR65" s="2176"/>
      <c r="CS65" s="2176"/>
      <c r="CV65" s="3636">
        <f>CW40</f>
        <v>195</v>
      </c>
      <c r="CW65" s="3638">
        <f>VLOOKUP(CV65,CV5:DK38,2,0)</f>
        <v>1.8</v>
      </c>
      <c r="CX65" s="3638">
        <f>VLOOKUP(CV65,CV5:DK38,3,0)</f>
        <v>3</v>
      </c>
      <c r="CY65" s="3638">
        <f>VLOOKUP(CV65,CV5:DK38,4,0)</f>
        <v>4.3</v>
      </c>
      <c r="CZ65" s="3638">
        <f>VLOOKUP(CV65,CV5:DK38,5,0)</f>
        <v>5.7</v>
      </c>
      <c r="DA65" s="3638">
        <f>VLOOKUP(CV65,CV5:DK38,6,0)</f>
        <v>7.9</v>
      </c>
      <c r="DB65" s="3638">
        <f>VLOOKUP(CV65,CV5:DK38,7,0)</f>
        <v>12.8</v>
      </c>
      <c r="DC65" s="3638">
        <f>VLOOKUP(CV65,CV5:DK38,8,0)</f>
        <v>17</v>
      </c>
      <c r="DD65" s="3638">
        <f>VLOOKUP(CV65,CV5:DK38,9,0)</f>
        <v>22.7</v>
      </c>
      <c r="DE65" s="3638">
        <f>VLOOKUP(CV65,CV5:DK38,10,0)</f>
        <v>28.7</v>
      </c>
      <c r="DF65" s="3638">
        <f>VLOOKUP(CV65,CV5:DK38,11,0)</f>
        <v>36.6</v>
      </c>
      <c r="DG65" s="3638">
        <f>VLOOKUP(CV65,CV5:DK38,12,0)</f>
        <v>58.7</v>
      </c>
      <c r="DH65" s="3638">
        <f>VLOOKUP(CV65,CV5:DK38,13,0)</f>
        <v>99</v>
      </c>
      <c r="DI65" s="3638">
        <f>VLOOKUP(CV65,CV5:DK38,14,0)</f>
        <v>140</v>
      </c>
      <c r="DJ65" s="3638">
        <f>VLOOKUP(CV65,CV5:DK38,15,0)</f>
        <v>184</v>
      </c>
      <c r="DK65" s="2227"/>
      <c r="DX65" s="1"/>
      <c r="DZ65" s="735" t="s">
        <v>692</v>
      </c>
      <c r="EA65" s="734">
        <v>693000</v>
      </c>
      <c r="EB65" s="734">
        <v>57750</v>
      </c>
      <c r="EC65" s="735">
        <v>4250</v>
      </c>
      <c r="ED65" s="736">
        <v>1450</v>
      </c>
      <c r="EP65" s="286"/>
      <c r="EQ65" s="286"/>
      <c r="FC65" s="2174"/>
      <c r="FD65" s="2174"/>
      <c r="FG65" s="2226" t="s">
        <v>736</v>
      </c>
      <c r="FH65" s="311">
        <v>160</v>
      </c>
      <c r="FI65" s="311">
        <v>180</v>
      </c>
      <c r="FJ65" s="311">
        <v>200</v>
      </c>
      <c r="FK65" s="311">
        <v>225</v>
      </c>
      <c r="FL65" s="311">
        <v>250</v>
      </c>
      <c r="FM65" s="311">
        <v>280</v>
      </c>
      <c r="FN65" s="311">
        <v>315</v>
      </c>
      <c r="FO65" s="311">
        <v>355</v>
      </c>
      <c r="FP65" s="311">
        <v>400</v>
      </c>
      <c r="FQ65" s="311">
        <v>450</v>
      </c>
      <c r="FR65" s="311">
        <v>500</v>
      </c>
      <c r="FS65" s="311">
        <v>560</v>
      </c>
      <c r="FT65" s="311">
        <v>630</v>
      </c>
      <c r="FU65" s="311">
        <v>710</v>
      </c>
      <c r="FV65" s="311">
        <v>800</v>
      </c>
      <c r="FY65" s="2176"/>
      <c r="FZ65" s="2176"/>
      <c r="GC65" s="2226" t="s">
        <v>736</v>
      </c>
      <c r="GD65" s="311">
        <v>160</v>
      </c>
      <c r="GE65" s="311">
        <v>180</v>
      </c>
      <c r="GF65" s="311">
        <v>200</v>
      </c>
      <c r="GG65" s="311">
        <v>225</v>
      </c>
      <c r="GH65" s="311">
        <v>250</v>
      </c>
      <c r="GI65" s="311">
        <v>280</v>
      </c>
      <c r="GJ65" s="311">
        <v>315</v>
      </c>
      <c r="GK65" s="311">
        <v>355</v>
      </c>
      <c r="GL65" s="311">
        <v>400</v>
      </c>
      <c r="GM65" s="311">
        <v>450</v>
      </c>
      <c r="GN65" s="311">
        <v>500</v>
      </c>
      <c r="GO65" s="311">
        <v>560</v>
      </c>
      <c r="GP65" s="311">
        <v>630</v>
      </c>
      <c r="GQ65" s="311">
        <v>710</v>
      </c>
      <c r="GR65" s="311">
        <v>800</v>
      </c>
      <c r="GU65" s="2174"/>
      <c r="GX65" s="2226" t="s">
        <v>736</v>
      </c>
      <c r="GY65" s="2227">
        <v>140</v>
      </c>
      <c r="GZ65" s="2227">
        <v>160</v>
      </c>
      <c r="HA65" s="2227">
        <v>180</v>
      </c>
      <c r="HB65" s="2227">
        <v>200</v>
      </c>
      <c r="HC65" s="2227">
        <v>225</v>
      </c>
      <c r="HD65" s="2227">
        <v>250</v>
      </c>
      <c r="HE65" s="2227">
        <v>280</v>
      </c>
      <c r="HF65" s="2227">
        <v>315</v>
      </c>
      <c r="HG65" s="2227">
        <v>355</v>
      </c>
      <c r="HH65" s="2227">
        <v>400</v>
      </c>
      <c r="HI65" s="2227">
        <v>450</v>
      </c>
      <c r="HJ65" s="2227">
        <v>500</v>
      </c>
      <c r="HK65" s="2227">
        <v>560</v>
      </c>
      <c r="HL65" s="2227">
        <v>630</v>
      </c>
      <c r="HM65" s="2227"/>
      <c r="HO65" s="2176"/>
      <c r="HP65" s="2176"/>
      <c r="HS65" s="2226" t="s">
        <v>736</v>
      </c>
      <c r="HT65" s="2227">
        <v>140</v>
      </c>
      <c r="HU65" s="2227">
        <v>160</v>
      </c>
      <c r="HV65" s="2227">
        <v>180</v>
      </c>
      <c r="HW65" s="2227">
        <v>200</v>
      </c>
      <c r="HX65" s="2227">
        <v>225</v>
      </c>
      <c r="HY65" s="2227">
        <v>250</v>
      </c>
      <c r="HZ65" s="2227">
        <v>280</v>
      </c>
      <c r="IA65" s="2227">
        <v>315</v>
      </c>
      <c r="IB65" s="2227">
        <v>355</v>
      </c>
      <c r="IC65" s="2227">
        <v>400</v>
      </c>
      <c r="ID65" s="2227">
        <v>450</v>
      </c>
      <c r="IE65" s="2227">
        <v>500</v>
      </c>
      <c r="IF65" s="2227">
        <v>560</v>
      </c>
      <c r="IG65" s="2227">
        <v>630</v>
      </c>
      <c r="IH65" s="2227"/>
    </row>
    <row r="66" spans="3:246" ht="21.95" customHeight="1">
      <c r="C66" s="735" t="s">
        <v>694</v>
      </c>
      <c r="D66" s="734">
        <v>945000</v>
      </c>
      <c r="E66" s="734">
        <v>73500</v>
      </c>
      <c r="F66" s="735">
        <v>4900</v>
      </c>
      <c r="G66" s="736">
        <v>1650</v>
      </c>
      <c r="S66" s="286"/>
      <c r="T66" s="286"/>
      <c r="AF66" s="2174"/>
      <c r="AG66" s="2174"/>
      <c r="AJ66" s="2228"/>
      <c r="AK66" s="2179"/>
      <c r="AL66" s="2179"/>
      <c r="AM66" s="2179"/>
      <c r="AN66" s="2179"/>
      <c r="AO66" s="2179"/>
      <c r="AP66" s="2179"/>
      <c r="AQ66" s="2179"/>
      <c r="AR66" s="2179"/>
      <c r="AS66" s="2179"/>
      <c r="AV66" s="2179"/>
      <c r="AX66" s="2179"/>
      <c r="AY66" s="2179"/>
      <c r="BB66" s="2176"/>
      <c r="BC66" s="2176"/>
      <c r="BF66" s="2228"/>
      <c r="BG66" s="2179"/>
      <c r="BH66" s="2179"/>
      <c r="BI66" s="2179"/>
      <c r="BJ66" s="2179"/>
      <c r="BK66" s="2179"/>
      <c r="BL66" s="2179"/>
      <c r="BM66" s="2179"/>
      <c r="BN66" s="2179"/>
      <c r="BO66" s="2179"/>
      <c r="BR66" s="2179"/>
      <c r="BT66" s="2179"/>
      <c r="BU66" s="2179"/>
      <c r="BX66" s="2174"/>
      <c r="CA66" s="1"/>
      <c r="CR66" s="2176"/>
      <c r="CS66" s="2176"/>
      <c r="CV66" s="1"/>
      <c r="DX66" s="1"/>
      <c r="DZ66" s="735" t="s">
        <v>694</v>
      </c>
      <c r="EA66" s="734">
        <v>945000</v>
      </c>
      <c r="EB66" s="734">
        <v>73500</v>
      </c>
      <c r="EC66" s="735">
        <v>4900</v>
      </c>
      <c r="ED66" s="736">
        <v>1650</v>
      </c>
      <c r="EP66" s="286"/>
      <c r="EQ66" s="286"/>
      <c r="FC66" s="2174"/>
      <c r="FD66" s="2174"/>
      <c r="FG66" s="3636">
        <f>FH41</f>
        <v>140</v>
      </c>
      <c r="FH66" s="3637">
        <f>VLOOKUP(FG66,FG6:FV39,2,0)</f>
        <v>0</v>
      </c>
      <c r="FI66" s="3637">
        <f>VLOOKUP(FG66,FG6:FV39,3,0)</f>
        <v>0</v>
      </c>
      <c r="FJ66" s="3637">
        <f>VLOOKUP(FG66,FG6:FV39,4,0)</f>
        <v>0</v>
      </c>
      <c r="FK66" s="3637">
        <f>VLOOKUP(FG66,FG6:FV39,5,0)</f>
        <v>11</v>
      </c>
      <c r="FL66" s="3637">
        <f>VLOOKUP(FG66,FG6:FV39,6,0)</f>
        <v>16</v>
      </c>
      <c r="FM66" s="3637">
        <f>VLOOKUP(FG66,FG6:FV39,7,0)</f>
        <v>21</v>
      </c>
      <c r="FN66" s="3637">
        <f>VLOOKUP(FG66,FG6:FV39,8,0)</f>
        <v>31</v>
      </c>
      <c r="FO66" s="3637">
        <f>VLOOKUP(FG66,FG6:FV39,9,0)</f>
        <v>47</v>
      </c>
      <c r="FP66" s="3637">
        <f>VLOOKUP(FG66,FG6:FV39,10,0)</f>
        <v>58</v>
      </c>
      <c r="FQ66" s="3637">
        <f>VLOOKUP(FG66,FG6:FV39,11,0)</f>
        <v>85</v>
      </c>
      <c r="FR66" s="3637">
        <f>VLOOKUP(FG66,FG6:FV39,12,0)</f>
        <v>135</v>
      </c>
      <c r="FS66" s="3637">
        <f>VLOOKUP(FG66,FG6:FV39,13,0)</f>
        <v>190</v>
      </c>
      <c r="FT66" s="3637">
        <f>VLOOKUP(FG66,FG6:FV39,14,0)</f>
        <v>250</v>
      </c>
      <c r="FU66" s="3637">
        <f>VLOOKUP(FG66,FG6:FV39,15,0)</f>
        <v>365</v>
      </c>
      <c r="FV66" s="3637">
        <f>VLOOKUP(FG66,FG6:FV39,16,0)</f>
        <v>520</v>
      </c>
      <c r="FY66" s="2176"/>
      <c r="FZ66" s="2176"/>
      <c r="GC66" s="3636">
        <f>GD41</f>
        <v>125</v>
      </c>
      <c r="GD66" s="3637">
        <f>VLOOKUP(GC66,GC6:GR39,2,0)</f>
        <v>0</v>
      </c>
      <c r="GE66" s="3637">
        <f>VLOOKUP(GC66,GC6:GR39,3,0)</f>
        <v>0</v>
      </c>
      <c r="GF66" s="3637">
        <f>VLOOKUP(GC66,GC6:GR39,4,0)</f>
        <v>0</v>
      </c>
      <c r="GG66" s="3637">
        <f>VLOOKUP(GC66,GC6:GR39,5,0)</f>
        <v>12</v>
      </c>
      <c r="GH66" s="3637">
        <f>VLOOKUP(GC66,GC6:GR39,6,0)</f>
        <v>17</v>
      </c>
      <c r="GI66" s="3637">
        <f>VLOOKUP(GC66,GC6:GR39,7,0)</f>
        <v>23</v>
      </c>
      <c r="GJ66" s="3637">
        <f>VLOOKUP(GC66,GC6:GR39,8,0)</f>
        <v>34</v>
      </c>
      <c r="GK66" s="3637">
        <f>VLOOKUP(GC66,GC6:GR39,9,0)</f>
        <v>53</v>
      </c>
      <c r="GL66" s="3637">
        <f>VLOOKUP(GC66,GC6:GR39,10,0)</f>
        <v>64</v>
      </c>
      <c r="GM66" s="3637">
        <f>VLOOKUP(GC66,GC6:GR39,11,0)</f>
        <v>95</v>
      </c>
      <c r="GN66" s="3637">
        <f>VLOOKUP(GC66,GC6:GR39,12,0)</f>
        <v>155</v>
      </c>
      <c r="GO66" s="3637">
        <f>VLOOKUP(GC66,GC6:GR39,13,0)</f>
        <v>210</v>
      </c>
      <c r="GP66" s="3637">
        <f>VLOOKUP(GC66,GC6:GR39,14,0)</f>
        <v>285</v>
      </c>
      <c r="GQ66" s="3637">
        <f>VLOOKUP(GC66,GC6:GR39,15,0)</f>
        <v>420</v>
      </c>
      <c r="GR66" s="3637">
        <f>VLOOKUP(GC66,GC6:GR39,16,0)</f>
        <v>570</v>
      </c>
      <c r="GU66" s="2174"/>
      <c r="GX66" s="3636">
        <f>GY41</f>
        <v>130</v>
      </c>
      <c r="GY66" s="3638">
        <f>VLOOKUP(GX66,GX6:HM39,2,0)</f>
        <v>2.4900000000000002</v>
      </c>
      <c r="GZ66" s="3638">
        <f>VLOOKUP(GX66,GX6:HM39,3,0)</f>
        <v>4.01</v>
      </c>
      <c r="HA66" s="3638">
        <f>VLOOKUP(GX66,GX6:HM39,4,0)</f>
        <v>5.52</v>
      </c>
      <c r="HB66" s="3638">
        <f>VLOOKUP(GX66,GX6:HM39,5,0)</f>
        <v>8.5399999999999991</v>
      </c>
      <c r="HC66" s="3638">
        <f>VLOOKUP(GX66,GX6:HM39,6,0)</f>
        <v>11.1</v>
      </c>
      <c r="HD66" s="3638">
        <f>VLOOKUP(GX66,GX6:HM39,7,0)</f>
        <v>16.399999999999999</v>
      </c>
      <c r="HE66" s="3638">
        <f>VLOOKUP(GX66,GX6:HM39,8,0)</f>
        <v>21</v>
      </c>
      <c r="HF66" s="3638">
        <f>VLOOKUP(GX66,GX6:HM39,9,0)</f>
        <v>30.3</v>
      </c>
      <c r="HG66" s="3638">
        <f>VLOOKUP(GX66,GX6:HM39,10,0)</f>
        <v>41.1</v>
      </c>
      <c r="HH66" s="3638">
        <f>VLOOKUP(GX66,GX6:HM39,11,0)</f>
        <v>66</v>
      </c>
      <c r="HI66" s="3638">
        <f>VLOOKUP(GX66,GX6:HM39,12,0)</f>
        <v>86.9</v>
      </c>
      <c r="HJ66" s="3638">
        <f>VLOOKUP(GX66,GX6:HM39,13,0)</f>
        <v>0</v>
      </c>
      <c r="HK66" s="3638">
        <f>VLOOKUP(GX66,GX6:HM39,14,0)</f>
        <v>0</v>
      </c>
      <c r="HL66" s="3638">
        <f>VLOOKUP(GX66,GX6:HM39,15,0)</f>
        <v>0</v>
      </c>
      <c r="HM66" s="2227"/>
      <c r="HO66" s="2176"/>
      <c r="HP66" s="2176"/>
      <c r="HS66" s="3636">
        <f>HT41</f>
        <v>117</v>
      </c>
      <c r="HT66" s="3638">
        <f>VLOOKUP(HS66,HS6:IH39,2,0)</f>
        <v>3.14</v>
      </c>
      <c r="HU66" s="3638">
        <f>VLOOKUP(HS66,HS6:IH39,3,0)</f>
        <v>4.4800000000000004</v>
      </c>
      <c r="HV66" s="3638">
        <f>VLOOKUP(HS66,HS6:IH39,4,0)</f>
        <v>6.58</v>
      </c>
      <c r="HW66" s="3638">
        <f>VLOOKUP(HS66,HS6:IH39,5,0)</f>
        <v>8.74</v>
      </c>
      <c r="HX66" s="3638">
        <f>VLOOKUP(HS66,HS6:IH39,6,0)</f>
        <v>14</v>
      </c>
      <c r="HY66" s="3638">
        <f>VLOOKUP(HS66,HS6:IH39,7,0)</f>
        <v>18.899999999999999</v>
      </c>
      <c r="HZ66" s="3638">
        <f>VLOOKUP(HS66,HS6:IH39,8,0)</f>
        <v>29.3</v>
      </c>
      <c r="IA66" s="3638">
        <f>VLOOKUP(HS66,HS6:IH39,9,0)</f>
        <v>36.299999999999997</v>
      </c>
      <c r="IB66" s="3638">
        <f>VLOOKUP(HS66,HS6:IH39,10,0)</f>
        <v>58.1</v>
      </c>
      <c r="IC66" s="3638">
        <f>VLOOKUP(HS66,HS6:IH39,11,0)</f>
        <v>76.599999999999994</v>
      </c>
      <c r="ID66" s="3638">
        <f>VLOOKUP(HS66,HS6:IH39,12,0)</f>
        <v>113</v>
      </c>
      <c r="IE66" s="3638">
        <f>VLOOKUP(HS66,HS6:IH39,13,0)</f>
        <v>0</v>
      </c>
      <c r="IF66" s="3638">
        <f>VLOOKUP(HS66,HS6:IH39,14,0)</f>
        <v>0</v>
      </c>
      <c r="IG66" s="3638">
        <f>VLOOKUP(HS66,HS6:IH39,15,0)</f>
        <v>0</v>
      </c>
      <c r="IH66" s="2227"/>
    </row>
    <row r="67" spans="3:246" ht="21.95" customHeight="1">
      <c r="G67" s="748" t="s">
        <v>670</v>
      </c>
      <c r="S67" s="286"/>
      <c r="T67" s="286"/>
      <c r="AF67" s="2174"/>
      <c r="AG67" s="2174"/>
      <c r="AJ67" s="2226">
        <v>0</v>
      </c>
      <c r="AK67" s="3637">
        <f>AK65</f>
        <v>0</v>
      </c>
      <c r="AL67" s="3637">
        <f>AL65</f>
        <v>0</v>
      </c>
      <c r="AM67" s="3637">
        <f t="shared" ref="AM67:AT67" si="28">AM65</f>
        <v>0</v>
      </c>
      <c r="AN67" s="3637">
        <f t="shared" si="28"/>
        <v>7</v>
      </c>
      <c r="AO67" s="3637">
        <f t="shared" si="28"/>
        <v>9</v>
      </c>
      <c r="AP67" s="3637">
        <f t="shared" si="28"/>
        <v>13</v>
      </c>
      <c r="AQ67" s="3637">
        <f t="shared" si="28"/>
        <v>20</v>
      </c>
      <c r="AR67" s="3637">
        <f>AR65</f>
        <v>30</v>
      </c>
      <c r="AS67" s="3637">
        <f>AS65</f>
        <v>37</v>
      </c>
      <c r="AT67" s="3637">
        <f t="shared" si="28"/>
        <v>54</v>
      </c>
      <c r="AU67" s="3637">
        <f>AU65</f>
        <v>86</v>
      </c>
      <c r="AV67" s="3637">
        <f>AV65</f>
        <v>120</v>
      </c>
      <c r="AW67" s="3637">
        <f>AW65</f>
        <v>160</v>
      </c>
      <c r="AX67" s="3637">
        <f>AX65</f>
        <v>235</v>
      </c>
      <c r="AY67" s="3637">
        <f>AY65</f>
        <v>340</v>
      </c>
      <c r="BB67" s="2176"/>
      <c r="BC67" s="2176"/>
      <c r="BF67" s="2226">
        <v>0</v>
      </c>
      <c r="BG67" s="3637">
        <f>BG65</f>
        <v>0</v>
      </c>
      <c r="BH67" s="3637">
        <f>BH65</f>
        <v>0</v>
      </c>
      <c r="BI67" s="3637">
        <f t="shared" ref="BI67:BM67" si="29">BI65</f>
        <v>0</v>
      </c>
      <c r="BJ67" s="3637">
        <f t="shared" si="29"/>
        <v>8</v>
      </c>
      <c r="BK67" s="3637">
        <f t="shared" si="29"/>
        <v>10</v>
      </c>
      <c r="BL67" s="3637">
        <f t="shared" si="29"/>
        <v>14</v>
      </c>
      <c r="BM67" s="3637">
        <f t="shared" si="29"/>
        <v>22</v>
      </c>
      <c r="BN67" s="3637">
        <f>BN65</f>
        <v>34</v>
      </c>
      <c r="BO67" s="3637">
        <f>BO65</f>
        <v>41</v>
      </c>
      <c r="BP67" s="3637">
        <f t="shared" ref="BP67" si="30">BP65</f>
        <v>61</v>
      </c>
      <c r="BQ67" s="3637">
        <f>BQ65</f>
        <v>96</v>
      </c>
      <c r="BR67" s="3637">
        <f>BR65</f>
        <v>135</v>
      </c>
      <c r="BS67" s="3637">
        <f>BS65</f>
        <v>180</v>
      </c>
      <c r="BT67" s="3637">
        <f>BT65</f>
        <v>260</v>
      </c>
      <c r="BU67" s="3637">
        <f>BU65</f>
        <v>375</v>
      </c>
      <c r="BX67" s="2174"/>
      <c r="CA67" s="2226">
        <v>0</v>
      </c>
      <c r="CB67" s="3638">
        <f t="shared" ref="CB67:CO67" si="31">CB65</f>
        <v>1.6</v>
      </c>
      <c r="CC67" s="3638">
        <f t="shared" si="31"/>
        <v>2.6</v>
      </c>
      <c r="CD67" s="3638">
        <f t="shared" si="31"/>
        <v>3.8</v>
      </c>
      <c r="CE67" s="3638">
        <f t="shared" si="31"/>
        <v>5.0999999999999996</v>
      </c>
      <c r="CF67" s="3638">
        <f t="shared" si="31"/>
        <v>7.3</v>
      </c>
      <c r="CG67" s="3638">
        <f t="shared" si="31"/>
        <v>11.5</v>
      </c>
      <c r="CH67" s="3638">
        <f t="shared" si="31"/>
        <v>15.4</v>
      </c>
      <c r="CI67" s="3638">
        <f t="shared" si="31"/>
        <v>20.399999999999999</v>
      </c>
      <c r="CJ67" s="3638">
        <f t="shared" si="31"/>
        <v>26.1</v>
      </c>
      <c r="CK67" s="3638">
        <f t="shared" si="31"/>
        <v>33.700000000000003</v>
      </c>
      <c r="CL67" s="3638">
        <f t="shared" si="31"/>
        <v>53.3</v>
      </c>
      <c r="CM67" s="3638">
        <f t="shared" si="31"/>
        <v>90</v>
      </c>
      <c r="CN67" s="3638">
        <f t="shared" si="31"/>
        <v>128</v>
      </c>
      <c r="CO67" s="3638">
        <f t="shared" si="31"/>
        <v>166</v>
      </c>
      <c r="CP67" s="2227"/>
      <c r="CR67" s="2176"/>
      <c r="CS67" s="2176"/>
      <c r="CV67" s="2226">
        <v>0</v>
      </c>
      <c r="CW67" s="3638">
        <f t="shared" ref="CW67:DJ67" si="32">CW65</f>
        <v>1.8</v>
      </c>
      <c r="CX67" s="3638">
        <f t="shared" si="32"/>
        <v>3</v>
      </c>
      <c r="CY67" s="3638">
        <f t="shared" si="32"/>
        <v>4.3</v>
      </c>
      <c r="CZ67" s="3638">
        <f t="shared" si="32"/>
        <v>5.7</v>
      </c>
      <c r="DA67" s="3638">
        <f t="shared" si="32"/>
        <v>7.9</v>
      </c>
      <c r="DB67" s="3638">
        <f t="shared" si="32"/>
        <v>12.8</v>
      </c>
      <c r="DC67" s="3638">
        <f t="shared" si="32"/>
        <v>17</v>
      </c>
      <c r="DD67" s="3638">
        <f t="shared" si="32"/>
        <v>22.7</v>
      </c>
      <c r="DE67" s="3638">
        <f t="shared" si="32"/>
        <v>28.7</v>
      </c>
      <c r="DF67" s="3638">
        <f t="shared" si="32"/>
        <v>36.6</v>
      </c>
      <c r="DG67" s="3638">
        <f t="shared" si="32"/>
        <v>58.7</v>
      </c>
      <c r="DH67" s="3638">
        <f t="shared" si="32"/>
        <v>99</v>
      </c>
      <c r="DI67" s="3638">
        <f t="shared" si="32"/>
        <v>140</v>
      </c>
      <c r="DJ67" s="3638">
        <f t="shared" si="32"/>
        <v>184</v>
      </c>
      <c r="DK67" s="2227"/>
      <c r="DX67" s="1"/>
      <c r="ED67" s="748" t="s">
        <v>670</v>
      </c>
      <c r="EP67" s="286"/>
      <c r="EQ67" s="286"/>
      <c r="FC67" s="2174"/>
      <c r="FD67" s="2174"/>
      <c r="FG67" s="2228"/>
      <c r="FH67" s="2179"/>
      <c r="FI67" s="2179"/>
      <c r="FJ67" s="2179"/>
      <c r="FK67" s="2179"/>
      <c r="FL67" s="2179"/>
      <c r="FM67" s="2179"/>
      <c r="FN67" s="2179"/>
      <c r="FO67" s="2179"/>
      <c r="FP67" s="2179"/>
      <c r="FS67" s="2179"/>
      <c r="FU67" s="2179"/>
      <c r="FV67" s="2179"/>
      <c r="FY67" s="2176"/>
      <c r="FZ67" s="2176"/>
      <c r="GC67" s="2228"/>
      <c r="GD67" s="2179"/>
      <c r="GE67" s="2179"/>
      <c r="GF67" s="2179"/>
      <c r="GG67" s="2179"/>
      <c r="GH67" s="2179"/>
      <c r="GI67" s="2179"/>
      <c r="GJ67" s="2179"/>
      <c r="GK67" s="2179"/>
      <c r="GL67" s="2179"/>
      <c r="GO67" s="2179"/>
      <c r="GQ67" s="2179"/>
      <c r="GR67" s="2179"/>
      <c r="GU67" s="2174"/>
      <c r="GX67" s="1"/>
      <c r="HO67" s="2176"/>
      <c r="HP67" s="2176"/>
      <c r="HS67" s="1"/>
    </row>
    <row r="68" spans="3:246" ht="21.95" customHeight="1">
      <c r="C68" s="749" t="s">
        <v>698</v>
      </c>
      <c r="D68" s="3639">
        <f>MH!L293</f>
        <v>250</v>
      </c>
      <c r="E68" s="751" t="s">
        <v>675</v>
      </c>
      <c r="F68" s="278" t="s">
        <v>695</v>
      </c>
      <c r="G68" s="729"/>
      <c r="S68" s="286"/>
      <c r="T68" s="286"/>
      <c r="AF68" s="2174"/>
      <c r="AG68" s="2174"/>
      <c r="AJ68" s="3636">
        <f>AK67</f>
        <v>0</v>
      </c>
      <c r="AK68" s="3637">
        <f>AL67</f>
        <v>0</v>
      </c>
      <c r="AL68" s="3637">
        <f>AM67</f>
        <v>0</v>
      </c>
      <c r="AM68" s="3637">
        <f t="shared" ref="AM68:AP68" si="33">AN67</f>
        <v>7</v>
      </c>
      <c r="AN68" s="3637">
        <f t="shared" si="33"/>
        <v>9</v>
      </c>
      <c r="AO68" s="3637">
        <f t="shared" si="33"/>
        <v>13</v>
      </c>
      <c r="AP68" s="3637">
        <f t="shared" si="33"/>
        <v>20</v>
      </c>
      <c r="AQ68" s="3637">
        <f>AR67</f>
        <v>30</v>
      </c>
      <c r="AR68" s="3637">
        <f>AS67</f>
        <v>37</v>
      </c>
      <c r="AS68" s="3637">
        <f t="shared" ref="AS68:AX68" si="34">AT67</f>
        <v>54</v>
      </c>
      <c r="AT68" s="3637">
        <f t="shared" si="34"/>
        <v>86</v>
      </c>
      <c r="AU68" s="3637">
        <f t="shared" si="34"/>
        <v>120</v>
      </c>
      <c r="AV68" s="3637">
        <f t="shared" si="34"/>
        <v>160</v>
      </c>
      <c r="AW68" s="3637">
        <f t="shared" si="34"/>
        <v>235</v>
      </c>
      <c r="AX68" s="3637">
        <f t="shared" si="34"/>
        <v>340</v>
      </c>
      <c r="AY68" s="3637">
        <f>+AX68</f>
        <v>340</v>
      </c>
      <c r="BB68" s="2176"/>
      <c r="BC68" s="2176"/>
      <c r="BF68" s="3636">
        <f>BG67</f>
        <v>0</v>
      </c>
      <c r="BG68" s="3637">
        <f>BH67</f>
        <v>0</v>
      </c>
      <c r="BH68" s="3637">
        <f>BI67</f>
        <v>0</v>
      </c>
      <c r="BI68" s="3637">
        <f t="shared" ref="BI68:BL68" si="35">BJ67</f>
        <v>8</v>
      </c>
      <c r="BJ68" s="3637">
        <f t="shared" si="35"/>
        <v>10</v>
      </c>
      <c r="BK68" s="3637">
        <f t="shared" si="35"/>
        <v>14</v>
      </c>
      <c r="BL68" s="3637">
        <f t="shared" si="35"/>
        <v>22</v>
      </c>
      <c r="BM68" s="3637">
        <f>BN67</f>
        <v>34</v>
      </c>
      <c r="BN68" s="3637">
        <f>BO67</f>
        <v>41</v>
      </c>
      <c r="BO68" s="3637">
        <f t="shared" ref="BO68:BT68" si="36">BP67</f>
        <v>61</v>
      </c>
      <c r="BP68" s="3637">
        <f t="shared" si="36"/>
        <v>96</v>
      </c>
      <c r="BQ68" s="3637">
        <f t="shared" si="36"/>
        <v>135</v>
      </c>
      <c r="BR68" s="3637">
        <f t="shared" si="36"/>
        <v>180</v>
      </c>
      <c r="BS68" s="3637">
        <f t="shared" si="36"/>
        <v>260</v>
      </c>
      <c r="BT68" s="3637">
        <f t="shared" si="36"/>
        <v>375</v>
      </c>
      <c r="BU68" s="3637">
        <f>+BT68</f>
        <v>375</v>
      </c>
      <c r="BX68" s="2174"/>
      <c r="CA68" s="3636">
        <f t="shared" ref="CA68:CO68" si="37">CB67</f>
        <v>1.6</v>
      </c>
      <c r="CB68" s="3638">
        <f t="shared" si="37"/>
        <v>2.6</v>
      </c>
      <c r="CC68" s="3638">
        <f t="shared" si="37"/>
        <v>3.8</v>
      </c>
      <c r="CD68" s="3638">
        <f t="shared" si="37"/>
        <v>5.0999999999999996</v>
      </c>
      <c r="CE68" s="3638">
        <f t="shared" si="37"/>
        <v>7.3</v>
      </c>
      <c r="CF68" s="3638">
        <f t="shared" si="37"/>
        <v>11.5</v>
      </c>
      <c r="CG68" s="3638">
        <f t="shared" si="37"/>
        <v>15.4</v>
      </c>
      <c r="CH68" s="3638">
        <f t="shared" si="37"/>
        <v>20.399999999999999</v>
      </c>
      <c r="CI68" s="3638">
        <f t="shared" si="37"/>
        <v>26.1</v>
      </c>
      <c r="CJ68" s="3638">
        <f t="shared" si="37"/>
        <v>33.700000000000003</v>
      </c>
      <c r="CK68" s="3638">
        <f t="shared" si="37"/>
        <v>53.3</v>
      </c>
      <c r="CL68" s="3638">
        <f t="shared" si="37"/>
        <v>90</v>
      </c>
      <c r="CM68" s="3638">
        <f t="shared" si="37"/>
        <v>128</v>
      </c>
      <c r="CN68" s="3638">
        <f t="shared" si="37"/>
        <v>166</v>
      </c>
      <c r="CO68" s="3638">
        <f t="shared" si="37"/>
        <v>0</v>
      </c>
      <c r="CP68" s="2227"/>
      <c r="CR68" s="2176"/>
      <c r="CS68" s="2176"/>
      <c r="CV68" s="3636">
        <f t="shared" ref="CV68:DJ68" si="38">CW67</f>
        <v>1.8</v>
      </c>
      <c r="CW68" s="3638">
        <f t="shared" si="38"/>
        <v>3</v>
      </c>
      <c r="CX68" s="3638">
        <f t="shared" si="38"/>
        <v>4.3</v>
      </c>
      <c r="CY68" s="3638">
        <f t="shared" si="38"/>
        <v>5.7</v>
      </c>
      <c r="CZ68" s="3638">
        <f t="shared" si="38"/>
        <v>7.9</v>
      </c>
      <c r="DA68" s="3638">
        <f t="shared" si="38"/>
        <v>12.8</v>
      </c>
      <c r="DB68" s="3638">
        <f t="shared" si="38"/>
        <v>17</v>
      </c>
      <c r="DC68" s="3638">
        <f t="shared" si="38"/>
        <v>22.7</v>
      </c>
      <c r="DD68" s="3638">
        <f t="shared" si="38"/>
        <v>28.7</v>
      </c>
      <c r="DE68" s="3638">
        <f t="shared" si="38"/>
        <v>36.6</v>
      </c>
      <c r="DF68" s="3638">
        <f t="shared" si="38"/>
        <v>58.7</v>
      </c>
      <c r="DG68" s="3638">
        <f t="shared" si="38"/>
        <v>99</v>
      </c>
      <c r="DH68" s="3638">
        <f t="shared" si="38"/>
        <v>140</v>
      </c>
      <c r="DI68" s="3638">
        <f t="shared" si="38"/>
        <v>184</v>
      </c>
      <c r="DJ68" s="3638">
        <f t="shared" si="38"/>
        <v>0</v>
      </c>
      <c r="DK68" s="2227"/>
      <c r="DX68" s="1"/>
      <c r="DZ68" s="749" t="s">
        <v>698</v>
      </c>
      <c r="EA68" s="3639">
        <f>AH!L293</f>
        <v>250</v>
      </c>
      <c r="EB68" s="751" t="s">
        <v>675</v>
      </c>
      <c r="EC68" s="278" t="s">
        <v>695</v>
      </c>
      <c r="ED68" s="729"/>
      <c r="EP68" s="286"/>
      <c r="EQ68" s="286"/>
      <c r="FC68" s="2174"/>
      <c r="FD68" s="2174"/>
      <c r="FG68" s="2226">
        <v>0</v>
      </c>
      <c r="FH68" s="3637">
        <f>FH66</f>
        <v>0</v>
      </c>
      <c r="FI68" s="3637">
        <f>FI66</f>
        <v>0</v>
      </c>
      <c r="FJ68" s="3637">
        <f t="shared" ref="FJ68:FN68" si="39">FJ66</f>
        <v>0</v>
      </c>
      <c r="FK68" s="3637">
        <f t="shared" si="39"/>
        <v>11</v>
      </c>
      <c r="FL68" s="3637">
        <f t="shared" si="39"/>
        <v>16</v>
      </c>
      <c r="FM68" s="3637">
        <f t="shared" si="39"/>
        <v>21</v>
      </c>
      <c r="FN68" s="3637">
        <f t="shared" si="39"/>
        <v>31</v>
      </c>
      <c r="FO68" s="3637">
        <f>FO66</f>
        <v>47</v>
      </c>
      <c r="FP68" s="3637">
        <f>FP66</f>
        <v>58</v>
      </c>
      <c r="FQ68" s="3637">
        <f t="shared" ref="FQ68" si="40">FQ66</f>
        <v>85</v>
      </c>
      <c r="FR68" s="3637">
        <f>FR66</f>
        <v>135</v>
      </c>
      <c r="FS68" s="3637">
        <f>FS66</f>
        <v>190</v>
      </c>
      <c r="FT68" s="3637">
        <f>FT66</f>
        <v>250</v>
      </c>
      <c r="FU68" s="3637">
        <f>FU66</f>
        <v>365</v>
      </c>
      <c r="FV68" s="3637">
        <f>FV66</f>
        <v>520</v>
      </c>
      <c r="FY68" s="2176"/>
      <c r="FZ68" s="2176"/>
      <c r="GC68" s="2226">
        <v>0</v>
      </c>
      <c r="GD68" s="3637">
        <f>GD66</f>
        <v>0</v>
      </c>
      <c r="GE68" s="3637">
        <f>GE66</f>
        <v>0</v>
      </c>
      <c r="GF68" s="3637">
        <f t="shared" ref="GF68:GJ68" si="41">GF66</f>
        <v>0</v>
      </c>
      <c r="GG68" s="3637">
        <f t="shared" si="41"/>
        <v>12</v>
      </c>
      <c r="GH68" s="3637">
        <f t="shared" si="41"/>
        <v>17</v>
      </c>
      <c r="GI68" s="3637">
        <f t="shared" si="41"/>
        <v>23</v>
      </c>
      <c r="GJ68" s="3637">
        <f t="shared" si="41"/>
        <v>34</v>
      </c>
      <c r="GK68" s="3637">
        <f>GK66</f>
        <v>53</v>
      </c>
      <c r="GL68" s="3637">
        <f>GL66</f>
        <v>64</v>
      </c>
      <c r="GM68" s="3637">
        <f t="shared" ref="GM68" si="42">GM66</f>
        <v>95</v>
      </c>
      <c r="GN68" s="3637">
        <f>GN66</f>
        <v>155</v>
      </c>
      <c r="GO68" s="3637">
        <f>GO66</f>
        <v>210</v>
      </c>
      <c r="GP68" s="3637">
        <f>GP66</f>
        <v>285</v>
      </c>
      <c r="GQ68" s="3637">
        <f>GQ66</f>
        <v>420</v>
      </c>
      <c r="GR68" s="3637">
        <f>GR66</f>
        <v>570</v>
      </c>
      <c r="GU68" s="2174"/>
      <c r="GX68" s="2226">
        <v>0</v>
      </c>
      <c r="GY68" s="3638">
        <f t="shared" ref="GY68:HL68" si="43">GY66</f>
        <v>2.4900000000000002</v>
      </c>
      <c r="GZ68" s="3638">
        <f t="shared" si="43"/>
        <v>4.01</v>
      </c>
      <c r="HA68" s="3638">
        <f t="shared" si="43"/>
        <v>5.52</v>
      </c>
      <c r="HB68" s="3638">
        <f t="shared" si="43"/>
        <v>8.5399999999999991</v>
      </c>
      <c r="HC68" s="3638">
        <f t="shared" si="43"/>
        <v>11.1</v>
      </c>
      <c r="HD68" s="3638">
        <f t="shared" si="43"/>
        <v>16.399999999999999</v>
      </c>
      <c r="HE68" s="3638">
        <f t="shared" si="43"/>
        <v>21</v>
      </c>
      <c r="HF68" s="3638">
        <f t="shared" si="43"/>
        <v>30.3</v>
      </c>
      <c r="HG68" s="3638">
        <f t="shared" si="43"/>
        <v>41.1</v>
      </c>
      <c r="HH68" s="3638">
        <f t="shared" si="43"/>
        <v>66</v>
      </c>
      <c r="HI68" s="3638">
        <f t="shared" si="43"/>
        <v>86.9</v>
      </c>
      <c r="HJ68" s="3638">
        <f t="shared" si="43"/>
        <v>0</v>
      </c>
      <c r="HK68" s="3638">
        <f t="shared" si="43"/>
        <v>0</v>
      </c>
      <c r="HL68" s="3638">
        <f t="shared" si="43"/>
        <v>0</v>
      </c>
      <c r="HM68" s="2227"/>
      <c r="HO68" s="2176"/>
      <c r="HP68" s="2176"/>
      <c r="HS68" s="2226">
        <v>0</v>
      </c>
      <c r="HT68" s="3638">
        <f t="shared" ref="HT68:IG68" si="44">HT66</f>
        <v>3.14</v>
      </c>
      <c r="HU68" s="3638">
        <f t="shared" si="44"/>
        <v>4.4800000000000004</v>
      </c>
      <c r="HV68" s="3638">
        <f t="shared" si="44"/>
        <v>6.58</v>
      </c>
      <c r="HW68" s="3638">
        <f t="shared" si="44"/>
        <v>8.74</v>
      </c>
      <c r="HX68" s="3638">
        <f t="shared" si="44"/>
        <v>14</v>
      </c>
      <c r="HY68" s="3638">
        <f t="shared" si="44"/>
        <v>18.899999999999999</v>
      </c>
      <c r="HZ68" s="3638">
        <f t="shared" si="44"/>
        <v>29.3</v>
      </c>
      <c r="IA68" s="3638">
        <f t="shared" si="44"/>
        <v>36.299999999999997</v>
      </c>
      <c r="IB68" s="3638">
        <f t="shared" si="44"/>
        <v>58.1</v>
      </c>
      <c r="IC68" s="3638">
        <f t="shared" si="44"/>
        <v>76.599999999999994</v>
      </c>
      <c r="ID68" s="3638">
        <f t="shared" si="44"/>
        <v>113</v>
      </c>
      <c r="IE68" s="3638">
        <f t="shared" si="44"/>
        <v>0</v>
      </c>
      <c r="IF68" s="3638">
        <f t="shared" si="44"/>
        <v>0</v>
      </c>
      <c r="IG68" s="3638">
        <f t="shared" si="44"/>
        <v>0</v>
      </c>
      <c r="IH68" s="2227"/>
    </row>
    <row r="69" spans="3:246" ht="21.95" customHeight="1">
      <c r="C69" s="735"/>
      <c r="D69" s="735"/>
      <c r="E69" s="734"/>
      <c r="F69" s="275"/>
      <c r="G69" s="735"/>
      <c r="S69" s="286"/>
      <c r="T69" s="286"/>
      <c r="AF69" s="2174"/>
      <c r="AG69" s="2174"/>
      <c r="AJ69" s="2226">
        <v>160</v>
      </c>
      <c r="AK69" s="311">
        <v>180</v>
      </c>
      <c r="AL69" s="311">
        <v>200</v>
      </c>
      <c r="AM69" s="311">
        <v>225</v>
      </c>
      <c r="AN69" s="311">
        <v>250</v>
      </c>
      <c r="AO69" s="311">
        <v>280</v>
      </c>
      <c r="AP69" s="311">
        <v>315</v>
      </c>
      <c r="AQ69" s="311">
        <v>355</v>
      </c>
      <c r="AR69" s="311">
        <v>400</v>
      </c>
      <c r="AS69" s="311">
        <v>450</v>
      </c>
      <c r="AT69" s="311">
        <v>500</v>
      </c>
      <c r="AU69" s="311">
        <v>560</v>
      </c>
      <c r="AV69" s="311">
        <v>630</v>
      </c>
      <c r="AW69" s="311">
        <v>710</v>
      </c>
      <c r="AX69" s="311">
        <v>800</v>
      </c>
      <c r="AY69" s="2179"/>
      <c r="BB69" s="2176"/>
      <c r="BC69" s="2176"/>
      <c r="BF69" s="2226">
        <v>160</v>
      </c>
      <c r="BG69" s="311">
        <v>180</v>
      </c>
      <c r="BH69" s="311">
        <v>200</v>
      </c>
      <c r="BI69" s="311">
        <v>225</v>
      </c>
      <c r="BJ69" s="311">
        <v>250</v>
      </c>
      <c r="BK69" s="311">
        <v>280</v>
      </c>
      <c r="BL69" s="311">
        <v>315</v>
      </c>
      <c r="BM69" s="311">
        <v>355</v>
      </c>
      <c r="BN69" s="311">
        <v>400</v>
      </c>
      <c r="BO69" s="311">
        <v>450</v>
      </c>
      <c r="BP69" s="311">
        <v>500</v>
      </c>
      <c r="BQ69" s="311">
        <v>560</v>
      </c>
      <c r="BR69" s="311">
        <v>630</v>
      </c>
      <c r="BS69" s="311">
        <v>710</v>
      </c>
      <c r="BT69" s="311">
        <v>800</v>
      </c>
      <c r="BU69" s="2179"/>
      <c r="BX69" s="2174"/>
      <c r="CA69" s="2226">
        <v>140</v>
      </c>
      <c r="CB69" s="2227">
        <v>160</v>
      </c>
      <c r="CC69" s="2227">
        <v>180</v>
      </c>
      <c r="CD69" s="2227">
        <v>200</v>
      </c>
      <c r="CE69" s="2227">
        <v>225</v>
      </c>
      <c r="CF69" s="2227">
        <v>250</v>
      </c>
      <c r="CG69" s="2227">
        <v>280</v>
      </c>
      <c r="CH69" s="2227">
        <v>315</v>
      </c>
      <c r="CI69" s="2227">
        <v>355</v>
      </c>
      <c r="CJ69" s="2227">
        <v>400</v>
      </c>
      <c r="CK69" s="2227">
        <v>450</v>
      </c>
      <c r="CL69" s="2227">
        <v>500</v>
      </c>
      <c r="CM69" s="2227">
        <v>560</v>
      </c>
      <c r="CN69" s="2227">
        <v>630</v>
      </c>
      <c r="CO69" s="2227"/>
      <c r="CR69" s="2176"/>
      <c r="CS69" s="2176"/>
      <c r="CV69" s="2226">
        <v>140</v>
      </c>
      <c r="CW69" s="2227">
        <v>160</v>
      </c>
      <c r="CX69" s="2227">
        <v>180</v>
      </c>
      <c r="CY69" s="2227">
        <v>200</v>
      </c>
      <c r="CZ69" s="2227">
        <v>225</v>
      </c>
      <c r="DA69" s="2227">
        <v>250</v>
      </c>
      <c r="DB69" s="2227">
        <v>280</v>
      </c>
      <c r="DC69" s="2227">
        <v>315</v>
      </c>
      <c r="DD69" s="2227">
        <v>355</v>
      </c>
      <c r="DE69" s="2227">
        <v>400</v>
      </c>
      <c r="DF69" s="2227">
        <v>450</v>
      </c>
      <c r="DG69" s="2227">
        <v>500</v>
      </c>
      <c r="DH69" s="2227">
        <v>560</v>
      </c>
      <c r="DI69" s="2227">
        <v>630</v>
      </c>
      <c r="DJ69" s="2227"/>
      <c r="DX69" s="1"/>
      <c r="DZ69" s="735"/>
      <c r="EA69" s="735"/>
      <c r="EB69" s="734"/>
      <c r="EC69" s="275"/>
      <c r="ED69" s="735"/>
      <c r="EP69" s="286"/>
      <c r="EQ69" s="286"/>
      <c r="FC69" s="2174"/>
      <c r="FD69" s="2174"/>
      <c r="FG69" s="3636">
        <f>FH68</f>
        <v>0</v>
      </c>
      <c r="FH69" s="3637">
        <f>FI68</f>
        <v>0</v>
      </c>
      <c r="FI69" s="3637">
        <f>FJ68</f>
        <v>0</v>
      </c>
      <c r="FJ69" s="3637">
        <f t="shared" ref="FJ69" si="45">FK68</f>
        <v>11</v>
      </c>
      <c r="FK69" s="3637">
        <f t="shared" ref="FK69" si="46">FL68</f>
        <v>16</v>
      </c>
      <c r="FL69" s="3637">
        <f t="shared" ref="FL69" si="47">FM68</f>
        <v>21</v>
      </c>
      <c r="FM69" s="3637">
        <f t="shared" ref="FM69" si="48">FN68</f>
        <v>31</v>
      </c>
      <c r="FN69" s="3637">
        <f>FO68</f>
        <v>47</v>
      </c>
      <c r="FO69" s="3637">
        <f>FP68</f>
        <v>58</v>
      </c>
      <c r="FP69" s="3637">
        <f t="shared" ref="FP69" si="49">FQ68</f>
        <v>85</v>
      </c>
      <c r="FQ69" s="3637">
        <f t="shared" ref="FQ69" si="50">FR68</f>
        <v>135</v>
      </c>
      <c r="FR69" s="3637">
        <f t="shared" ref="FR69" si="51">FS68</f>
        <v>190</v>
      </c>
      <c r="FS69" s="3637">
        <f t="shared" ref="FS69" si="52">FT68</f>
        <v>250</v>
      </c>
      <c r="FT69" s="3637">
        <f t="shared" ref="FT69" si="53">FU68</f>
        <v>365</v>
      </c>
      <c r="FU69" s="3637">
        <f t="shared" ref="FU69" si="54">FV68</f>
        <v>520</v>
      </c>
      <c r="FV69" s="3637">
        <f>+FU69</f>
        <v>520</v>
      </c>
      <c r="FY69" s="2176"/>
      <c r="FZ69" s="2176"/>
      <c r="GC69" s="3636">
        <f>GD68</f>
        <v>0</v>
      </c>
      <c r="GD69" s="3637">
        <f>GE68</f>
        <v>0</v>
      </c>
      <c r="GE69" s="3637">
        <f>GF68</f>
        <v>0</v>
      </c>
      <c r="GF69" s="3637">
        <f t="shared" ref="GF69" si="55">GG68</f>
        <v>12</v>
      </c>
      <c r="GG69" s="3637">
        <f t="shared" ref="GG69" si="56">GH68</f>
        <v>17</v>
      </c>
      <c r="GH69" s="3637">
        <f t="shared" ref="GH69" si="57">GI68</f>
        <v>23</v>
      </c>
      <c r="GI69" s="3637">
        <f t="shared" ref="GI69" si="58">GJ68</f>
        <v>34</v>
      </c>
      <c r="GJ69" s="3637">
        <f>GK68</f>
        <v>53</v>
      </c>
      <c r="GK69" s="3637">
        <f>GL68</f>
        <v>64</v>
      </c>
      <c r="GL69" s="3637">
        <f t="shared" ref="GL69" si="59">GM68</f>
        <v>95</v>
      </c>
      <c r="GM69" s="3637">
        <f t="shared" ref="GM69" si="60">GN68</f>
        <v>155</v>
      </c>
      <c r="GN69" s="3637">
        <f t="shared" ref="GN69" si="61">GO68</f>
        <v>210</v>
      </c>
      <c r="GO69" s="3637">
        <f t="shared" ref="GO69" si="62">GP68</f>
        <v>285</v>
      </c>
      <c r="GP69" s="3637">
        <f t="shared" ref="GP69" si="63">GQ68</f>
        <v>420</v>
      </c>
      <c r="GQ69" s="3637">
        <f t="shared" ref="GQ69" si="64">GR68</f>
        <v>570</v>
      </c>
      <c r="GR69" s="3637">
        <f>+GQ69</f>
        <v>570</v>
      </c>
      <c r="GU69" s="2174"/>
      <c r="GX69" s="3636">
        <f t="shared" ref="GX69" si="65">GY68</f>
        <v>2.4900000000000002</v>
      </c>
      <c r="GY69" s="3638">
        <f t="shared" ref="GY69" si="66">GZ68</f>
        <v>4.01</v>
      </c>
      <c r="GZ69" s="3638">
        <f t="shared" ref="GZ69" si="67">HA68</f>
        <v>5.52</v>
      </c>
      <c r="HA69" s="3638">
        <f t="shared" ref="HA69" si="68">HB68</f>
        <v>8.5399999999999991</v>
      </c>
      <c r="HB69" s="3638">
        <f t="shared" ref="HB69" si="69">HC68</f>
        <v>11.1</v>
      </c>
      <c r="HC69" s="3638">
        <f t="shared" ref="HC69" si="70">HD68</f>
        <v>16.399999999999999</v>
      </c>
      <c r="HD69" s="3638">
        <f t="shared" ref="HD69" si="71">HE68</f>
        <v>21</v>
      </c>
      <c r="HE69" s="3638">
        <f t="shared" ref="HE69" si="72">HF68</f>
        <v>30.3</v>
      </c>
      <c r="HF69" s="3638">
        <f t="shared" ref="HF69" si="73">HG68</f>
        <v>41.1</v>
      </c>
      <c r="HG69" s="3638">
        <f t="shared" ref="HG69" si="74">HH68</f>
        <v>66</v>
      </c>
      <c r="HH69" s="3638">
        <f t="shared" ref="HH69" si="75">HI68</f>
        <v>86.9</v>
      </c>
      <c r="HI69" s="3638">
        <f t="shared" ref="HI69" si="76">HJ68</f>
        <v>0</v>
      </c>
      <c r="HJ69" s="3638">
        <f t="shared" ref="HJ69" si="77">HK68</f>
        <v>0</v>
      </c>
      <c r="HK69" s="3638">
        <f t="shared" ref="HK69" si="78">HL68</f>
        <v>0</v>
      </c>
      <c r="HL69" s="3638">
        <f t="shared" ref="HL69" si="79">HM68</f>
        <v>0</v>
      </c>
      <c r="HM69" s="2227"/>
      <c r="HO69" s="2176"/>
      <c r="HP69" s="2176"/>
      <c r="HS69" s="3636">
        <f t="shared" ref="HS69" si="80">HT68</f>
        <v>3.14</v>
      </c>
      <c r="HT69" s="3638">
        <f t="shared" ref="HT69" si="81">HU68</f>
        <v>4.4800000000000004</v>
      </c>
      <c r="HU69" s="3638">
        <f t="shared" ref="HU69" si="82">HV68</f>
        <v>6.58</v>
      </c>
      <c r="HV69" s="3638">
        <f t="shared" ref="HV69" si="83">HW68</f>
        <v>8.74</v>
      </c>
      <c r="HW69" s="3638">
        <f t="shared" ref="HW69" si="84">HX68</f>
        <v>14</v>
      </c>
      <c r="HX69" s="3638">
        <f t="shared" ref="HX69" si="85">HY68</f>
        <v>18.899999999999999</v>
      </c>
      <c r="HY69" s="3638">
        <f t="shared" ref="HY69" si="86">HZ68</f>
        <v>29.3</v>
      </c>
      <c r="HZ69" s="3638">
        <f t="shared" ref="HZ69" si="87">IA68</f>
        <v>36.299999999999997</v>
      </c>
      <c r="IA69" s="3638">
        <f t="shared" ref="IA69" si="88">IB68</f>
        <v>58.1</v>
      </c>
      <c r="IB69" s="3638">
        <f t="shared" ref="IB69" si="89">IC68</f>
        <v>76.599999999999994</v>
      </c>
      <c r="IC69" s="3638">
        <f t="shared" ref="IC69" si="90">ID68</f>
        <v>113</v>
      </c>
      <c r="ID69" s="3638">
        <f t="shared" ref="ID69" si="91">IE68</f>
        <v>0</v>
      </c>
      <c r="IE69" s="3638">
        <f t="shared" ref="IE69" si="92">IF68</f>
        <v>0</v>
      </c>
      <c r="IF69" s="3638">
        <f t="shared" ref="IF69" si="93">IG68</f>
        <v>0</v>
      </c>
      <c r="IG69" s="3638">
        <f t="shared" ref="IG69" si="94">IH68</f>
        <v>0</v>
      </c>
      <c r="IH69" s="2227"/>
    </row>
    <row r="70" spans="3:246" ht="21.95" customHeight="1">
      <c r="C70" s="735" t="s">
        <v>699</v>
      </c>
      <c r="D70" s="3643">
        <f>F70*D68</f>
        <v>74750</v>
      </c>
      <c r="E70" s="734">
        <v>23100</v>
      </c>
      <c r="F70" s="2186">
        <f>290+9</f>
        <v>299</v>
      </c>
      <c r="G70" s="748" t="s">
        <v>670</v>
      </c>
      <c r="H70" s="277">
        <v>290</v>
      </c>
      <c r="I70" s="277">
        <v>9</v>
      </c>
      <c r="S70" s="286"/>
      <c r="T70" s="286"/>
      <c r="AF70" s="2174"/>
      <c r="AG70" s="2174"/>
      <c r="AJ70" s="3640">
        <f>HLOOKUP(AK41,AJ67:AY67,1)</f>
        <v>13</v>
      </c>
      <c r="AK70" s="3640">
        <f>HLOOKUP(AJ70,AJ67:AY68,2,0)</f>
        <v>20</v>
      </c>
      <c r="AL70" s="2179"/>
      <c r="AM70" s="2179"/>
      <c r="AN70" s="2179"/>
      <c r="AO70" s="2179"/>
      <c r="AP70" s="2179"/>
      <c r="AQ70" s="2179"/>
      <c r="AR70" s="2179"/>
      <c r="AS70" s="2179"/>
      <c r="AT70" s="2179"/>
      <c r="AU70" s="2179"/>
      <c r="AV70" s="2179"/>
      <c r="BB70" s="2176"/>
      <c r="BC70" s="2176"/>
      <c r="BF70" s="3640">
        <f>HLOOKUP(BG41,BF67:BU67,1)</f>
        <v>14</v>
      </c>
      <c r="BG70" s="3640">
        <f>HLOOKUP(BF70,BF67:BU68,2,0)</f>
        <v>22</v>
      </c>
      <c r="BH70" s="2179"/>
      <c r="BI70" s="2179"/>
      <c r="BJ70" s="2179"/>
      <c r="BK70" s="2179"/>
      <c r="BL70" s="2179"/>
      <c r="BM70" s="2179"/>
      <c r="BN70" s="2179"/>
      <c r="BO70" s="2179"/>
      <c r="BP70" s="2179"/>
      <c r="BQ70" s="2179"/>
      <c r="BR70" s="2179"/>
      <c r="BX70" s="2174"/>
      <c r="CA70" s="3641">
        <f>HLOOKUP(CB41,CA67:CP67,1)</f>
        <v>15.4</v>
      </c>
      <c r="CB70" s="3641">
        <f>HLOOKUP(CA70,CA67:CP68,2,0)</f>
        <v>20.399999999999999</v>
      </c>
      <c r="CR70" s="2176"/>
      <c r="CS70" s="2176"/>
      <c r="CV70" s="3641">
        <f>HLOOKUP(CW41,CV67:DK67,1)</f>
        <v>17</v>
      </c>
      <c r="CW70" s="3641">
        <f>HLOOKUP(CV70,CV67:DK68,2,0)</f>
        <v>22.7</v>
      </c>
      <c r="DX70" s="1"/>
      <c r="DZ70" s="735" t="s">
        <v>699</v>
      </c>
      <c r="EA70" s="3643">
        <f>EC70*EA68</f>
        <v>74750</v>
      </c>
      <c r="EB70" s="734">
        <v>23100</v>
      </c>
      <c r="EC70" s="2186">
        <f>290+9</f>
        <v>299</v>
      </c>
      <c r="ED70" s="748" t="s">
        <v>670</v>
      </c>
      <c r="EE70" s="277">
        <v>290</v>
      </c>
      <c r="EF70" s="277">
        <v>9</v>
      </c>
      <c r="EP70" s="286"/>
      <c r="EQ70" s="286"/>
      <c r="FC70" s="2174"/>
      <c r="FD70" s="2174"/>
      <c r="FG70" s="2226">
        <v>160</v>
      </c>
      <c r="FH70" s="311">
        <v>180</v>
      </c>
      <c r="FI70" s="311">
        <v>200</v>
      </c>
      <c r="FJ70" s="311">
        <v>225</v>
      </c>
      <c r="FK70" s="311">
        <v>250</v>
      </c>
      <c r="FL70" s="311">
        <v>280</v>
      </c>
      <c r="FM70" s="311">
        <v>315</v>
      </c>
      <c r="FN70" s="311">
        <v>355</v>
      </c>
      <c r="FO70" s="311">
        <v>400</v>
      </c>
      <c r="FP70" s="311">
        <v>450</v>
      </c>
      <c r="FQ70" s="311">
        <v>500</v>
      </c>
      <c r="FR70" s="311">
        <v>560</v>
      </c>
      <c r="FS70" s="311">
        <v>630</v>
      </c>
      <c r="FT70" s="311">
        <v>710</v>
      </c>
      <c r="FU70" s="311">
        <v>800</v>
      </c>
      <c r="FV70" s="2179"/>
      <c r="FY70" s="2176"/>
      <c r="FZ70" s="2176"/>
      <c r="GC70" s="2226">
        <v>160</v>
      </c>
      <c r="GD70" s="311">
        <v>180</v>
      </c>
      <c r="GE70" s="311">
        <v>200</v>
      </c>
      <c r="GF70" s="311">
        <v>225</v>
      </c>
      <c r="GG70" s="311">
        <v>250</v>
      </c>
      <c r="GH70" s="311">
        <v>280</v>
      </c>
      <c r="GI70" s="311">
        <v>315</v>
      </c>
      <c r="GJ70" s="311">
        <v>355</v>
      </c>
      <c r="GK70" s="311">
        <v>400</v>
      </c>
      <c r="GL70" s="311">
        <v>450</v>
      </c>
      <c r="GM70" s="311">
        <v>500</v>
      </c>
      <c r="GN70" s="311">
        <v>560</v>
      </c>
      <c r="GO70" s="311">
        <v>630</v>
      </c>
      <c r="GP70" s="311">
        <v>710</v>
      </c>
      <c r="GQ70" s="311">
        <v>800</v>
      </c>
      <c r="GR70" s="2179"/>
      <c r="GU70" s="2174"/>
      <c r="GX70" s="2226">
        <v>140</v>
      </c>
      <c r="GY70" s="2227">
        <v>160</v>
      </c>
      <c r="GZ70" s="2227">
        <v>180</v>
      </c>
      <c r="HA70" s="2227">
        <v>200</v>
      </c>
      <c r="HB70" s="2227">
        <v>225</v>
      </c>
      <c r="HC70" s="2227">
        <v>250</v>
      </c>
      <c r="HD70" s="2227">
        <v>280</v>
      </c>
      <c r="HE70" s="2227">
        <v>315</v>
      </c>
      <c r="HF70" s="2227">
        <v>355</v>
      </c>
      <c r="HG70" s="2227">
        <v>400</v>
      </c>
      <c r="HH70" s="2227">
        <v>450</v>
      </c>
      <c r="HI70" s="2227">
        <v>500</v>
      </c>
      <c r="HJ70" s="2227">
        <v>560</v>
      </c>
      <c r="HK70" s="2227">
        <v>630</v>
      </c>
      <c r="HL70" s="2227"/>
      <c r="HO70" s="2176"/>
      <c r="HP70" s="2176"/>
      <c r="HS70" s="2226">
        <v>140</v>
      </c>
      <c r="HT70" s="2227">
        <v>160</v>
      </c>
      <c r="HU70" s="2227">
        <v>180</v>
      </c>
      <c r="HV70" s="2227">
        <v>200</v>
      </c>
      <c r="HW70" s="2227">
        <v>225</v>
      </c>
      <c r="HX70" s="2227">
        <v>250</v>
      </c>
      <c r="HY70" s="2227">
        <v>280</v>
      </c>
      <c r="HZ70" s="2227">
        <v>315</v>
      </c>
      <c r="IA70" s="2227">
        <v>355</v>
      </c>
      <c r="IB70" s="2227">
        <v>400</v>
      </c>
      <c r="IC70" s="2227">
        <v>450</v>
      </c>
      <c r="ID70" s="2227">
        <v>500</v>
      </c>
      <c r="IE70" s="2227">
        <v>560</v>
      </c>
      <c r="IF70" s="2227">
        <v>630</v>
      </c>
      <c r="IG70" s="2227"/>
    </row>
    <row r="71" spans="3:246" ht="21.95" customHeight="1">
      <c r="C71" s="735" t="s">
        <v>700</v>
      </c>
      <c r="D71" s="3643">
        <f>F71*D68</f>
        <v>80750</v>
      </c>
      <c r="E71" s="734">
        <v>26250</v>
      </c>
      <c r="F71" s="2186">
        <f>310+13</f>
        <v>323</v>
      </c>
      <c r="G71" s="748"/>
      <c r="H71" s="277">
        <v>310</v>
      </c>
      <c r="I71" s="277">
        <v>13</v>
      </c>
      <c r="S71" s="286"/>
      <c r="T71" s="286"/>
      <c r="AF71" s="2174"/>
      <c r="AG71" s="2174"/>
      <c r="AJ71" s="3640">
        <f>IFERROR(HLOOKUP(AK41,AJ67:AY67,1,0),0)</f>
        <v>0</v>
      </c>
      <c r="AL71" s="2179"/>
      <c r="AM71" s="2179"/>
      <c r="AN71" s="2179"/>
      <c r="AO71" s="2179"/>
      <c r="AP71" s="2179"/>
      <c r="AQ71" s="2179"/>
      <c r="AR71" s="2179"/>
      <c r="AS71" s="2179"/>
      <c r="AT71" s="2179"/>
      <c r="AU71" s="2179"/>
      <c r="AV71" s="2179"/>
      <c r="BB71" s="2176"/>
      <c r="BC71" s="2176"/>
      <c r="BF71" s="3640">
        <f>IFERROR(HLOOKUP(BG41,BF67:BU67,1,0),0)</f>
        <v>0</v>
      </c>
      <c r="BH71" s="2179"/>
      <c r="BI71" s="2179"/>
      <c r="BJ71" s="2179"/>
      <c r="BK71" s="2179"/>
      <c r="BL71" s="2179"/>
      <c r="BM71" s="2179"/>
      <c r="BN71" s="2179"/>
      <c r="BO71" s="2179"/>
      <c r="BP71" s="2179"/>
      <c r="BQ71" s="2179"/>
      <c r="BR71" s="2179"/>
      <c r="BX71" s="2174"/>
      <c r="CA71" s="3641">
        <f>IFERROR(HLOOKUP(CB41,CA67:CP67,1,0),0)</f>
        <v>0</v>
      </c>
      <c r="CR71" s="2176"/>
      <c r="CS71" s="2176"/>
      <c r="CV71" s="3641">
        <f>IFERROR(HLOOKUP(CW41,CV67:DK67,1,0),0)</f>
        <v>0</v>
      </c>
      <c r="DX71" s="1"/>
      <c r="DZ71" s="735" t="s">
        <v>700</v>
      </c>
      <c r="EA71" s="3643">
        <f>EC71*EA68</f>
        <v>80750</v>
      </c>
      <c r="EB71" s="734">
        <v>26250</v>
      </c>
      <c r="EC71" s="2186">
        <f>310+13</f>
        <v>323</v>
      </c>
      <c r="ED71" s="748"/>
      <c r="EE71" s="277">
        <v>310</v>
      </c>
      <c r="EF71" s="277">
        <v>13</v>
      </c>
      <c r="EP71" s="286"/>
      <c r="EQ71" s="286"/>
      <c r="FC71" s="2174"/>
      <c r="FD71" s="2174"/>
      <c r="FG71" s="3640">
        <f>HLOOKUP(FH42,FG68:FV68,1)</f>
        <v>16</v>
      </c>
      <c r="FH71" s="3640">
        <f>HLOOKUP(FG71,FG68:FV69,2,0)</f>
        <v>21</v>
      </c>
      <c r="FI71" s="2179"/>
      <c r="FJ71" s="2179"/>
      <c r="FK71" s="2179"/>
      <c r="FL71" s="2179"/>
      <c r="FM71" s="2179"/>
      <c r="FN71" s="2179"/>
      <c r="FO71" s="2179"/>
      <c r="FP71" s="2179"/>
      <c r="FQ71" s="2179"/>
      <c r="FR71" s="2179"/>
      <c r="FS71" s="2179"/>
      <c r="FY71" s="2176"/>
      <c r="FZ71" s="2176"/>
      <c r="GC71" s="3640">
        <f>HLOOKUP(GD42,GC68:GR68,1)</f>
        <v>17</v>
      </c>
      <c r="GD71" s="3640">
        <f>HLOOKUP(GC71,GC68:GR69,2,0)</f>
        <v>23</v>
      </c>
      <c r="GE71" s="2179"/>
      <c r="GF71" s="2179"/>
      <c r="GG71" s="2179"/>
      <c r="GH71" s="2179"/>
      <c r="GI71" s="2179"/>
      <c r="GJ71" s="2179"/>
      <c r="GK71" s="2179"/>
      <c r="GL71" s="2179"/>
      <c r="GM71" s="2179"/>
      <c r="GN71" s="2179"/>
      <c r="GO71" s="2179"/>
      <c r="GU71" s="2174"/>
      <c r="GX71" s="3641">
        <f>HLOOKUP(GY42,GX68:HM68,1)</f>
        <v>16.399999999999999</v>
      </c>
      <c r="GY71" s="3641">
        <f>HLOOKUP(GX71,GX68:HM69,2,0)</f>
        <v>21</v>
      </c>
      <c r="HO71" s="2176"/>
      <c r="HP71" s="2176"/>
      <c r="HS71" s="3641">
        <f>HLOOKUP(HT42,HS68:IH68,1)</f>
        <v>18.899999999999999</v>
      </c>
      <c r="HT71" s="3641">
        <f>HLOOKUP(HS71,HS68:IH69,2,0)</f>
        <v>29.3</v>
      </c>
    </row>
    <row r="72" spans="3:246" ht="21.95" customHeight="1">
      <c r="C72" s="735" t="s">
        <v>701</v>
      </c>
      <c r="D72" s="3643">
        <f>F72*D68</f>
        <v>86750</v>
      </c>
      <c r="E72" s="734">
        <v>29400</v>
      </c>
      <c r="F72" s="2186">
        <f>330+17</f>
        <v>347</v>
      </c>
      <c r="G72" s="748"/>
      <c r="H72" s="277">
        <v>330</v>
      </c>
      <c r="I72" s="277">
        <v>17</v>
      </c>
      <c r="S72" s="286"/>
      <c r="T72" s="286"/>
      <c r="AF72" s="2174"/>
      <c r="AG72" s="2174"/>
      <c r="AJ72" s="3640" t="str">
        <f>IF(AK72=AM62,"Right","Wrong")</f>
        <v>Right</v>
      </c>
      <c r="AK72" s="3640">
        <f>HLOOKUP(AK73,AJ68:AX69,2,0)</f>
        <v>315</v>
      </c>
      <c r="AL72" s="3641" t="str">
        <f>IF(AM62=AN81,"Right","Wrong")</f>
        <v>Wrong</v>
      </c>
      <c r="AN72" s="2176" t="str">
        <f>IF(AN80="Right",IF(AL72="Right","Right","Wrong"),"Wrong")</f>
        <v>Wrong</v>
      </c>
      <c r="AO72" s="277"/>
      <c r="AP72" s="2176" t="str">
        <f>IF(AN73="Right",IF(AN72="Right","Right","Wrong"),"Wrong")</f>
        <v>Wrong</v>
      </c>
      <c r="AR72" s="2176" t="str">
        <f>IF(AK40&gt;112,AP73,AP72)</f>
        <v>Right</v>
      </c>
      <c r="BB72" s="2176"/>
      <c r="BC72" s="2176"/>
      <c r="BF72" s="3640" t="str">
        <f>IF(BG72=BI62,"Right","Wrong")</f>
        <v>Right</v>
      </c>
      <c r="BG72" s="3640">
        <f>HLOOKUP(BG73,BF68:BT69,2,0)</f>
        <v>315</v>
      </c>
      <c r="BH72" s="3641" t="str">
        <f>IF(BI62=BJ81,"Right","Wrong")</f>
        <v>Wrong</v>
      </c>
      <c r="BI72" s="277"/>
      <c r="BJ72" s="2176" t="str">
        <f>IF(BJ80="Right",IF(BH72="Right","Right","Wrong"),"Wrong")</f>
        <v>Wrong</v>
      </c>
      <c r="BL72" s="2176" t="str">
        <f>IF(BJ73="Right",IF(BJ72="Right","Right","Wrong"),"Wrong")</f>
        <v>Wrong</v>
      </c>
      <c r="BN72" s="2176" t="str">
        <f>IF(BG40&gt;112,BL73,BL72)</f>
        <v>Right</v>
      </c>
      <c r="BX72" s="2174"/>
      <c r="CA72" s="3641" t="str">
        <f>IF(CB72=CD62,"Right","Wrong")</f>
        <v>Right</v>
      </c>
      <c r="CB72" s="3641">
        <f>HLOOKUP(CB73,CA68:CO69,2,0)</f>
        <v>315</v>
      </c>
      <c r="CC72" s="3641" t="str">
        <f>IF(CD62=CE81,"Right","Wrong")</f>
        <v>Wrong</v>
      </c>
      <c r="CE72" s="2176" t="str">
        <f>IF(CE80="Right",IF(CC72="Right","Right","Wrong"),"Wrong")</f>
        <v>Wrong</v>
      </c>
      <c r="CG72" s="2176" t="str">
        <f>IF(CE73="Right",IF(CE72="Right","Right","Wrong"),"Wrong")</f>
        <v>Wrong</v>
      </c>
      <c r="CI72" s="2176" t="str">
        <f>IF(CB40&gt;130,CG73,CG72)</f>
        <v>Right</v>
      </c>
      <c r="CR72" s="2176"/>
      <c r="CS72" s="2176"/>
      <c r="CV72" s="3641" t="str">
        <f>IF(CW72=CY62,"Right","Wrong")</f>
        <v>Right</v>
      </c>
      <c r="CW72" s="3641">
        <f>HLOOKUP(CW73,CV68:DJ69,2,0)</f>
        <v>315</v>
      </c>
      <c r="CX72" s="3641" t="str">
        <f>IF(CY62=CZ81,"Right","Wrong")</f>
        <v>Wrong</v>
      </c>
      <c r="CZ72" s="2176" t="str">
        <f>IF(CZ80="Right",IF(CX72="Right","Right","Wrong"),"Wrong")</f>
        <v>Wrong</v>
      </c>
      <c r="DB72" s="2176" t="str">
        <f>IF(CZ73="Right",IF(CZ72="Right","Right","Wrong"),"Wrong")</f>
        <v>Wrong</v>
      </c>
      <c r="DD72" s="2176" t="str">
        <f>IF(CW40&gt;130,DB73,DB72)</f>
        <v>Right</v>
      </c>
      <c r="DX72" s="1"/>
      <c r="DZ72" s="735" t="s">
        <v>701</v>
      </c>
      <c r="EA72" s="3643">
        <f>EC72*EA68</f>
        <v>86750</v>
      </c>
      <c r="EB72" s="734">
        <v>29400</v>
      </c>
      <c r="EC72" s="2186">
        <f>330+17</f>
        <v>347</v>
      </c>
      <c r="ED72" s="748"/>
      <c r="EE72" s="277">
        <v>330</v>
      </c>
      <c r="EF72" s="277">
        <v>17</v>
      </c>
      <c r="EP72" s="286"/>
      <c r="EQ72" s="286"/>
      <c r="FC72" s="2174"/>
      <c r="FD72" s="2174"/>
      <c r="FG72" s="3640">
        <f>IFERROR(HLOOKUP(FH42,FG68:FV68,1,0),0)</f>
        <v>0</v>
      </c>
      <c r="FI72" s="2179"/>
      <c r="FJ72" s="2179"/>
      <c r="FK72" s="2179"/>
      <c r="FL72" s="2179"/>
      <c r="FM72" s="2179"/>
      <c r="FN72" s="2179"/>
      <c r="FO72" s="2179"/>
      <c r="FP72" s="2179"/>
      <c r="FQ72" s="2179"/>
      <c r="FR72" s="2179"/>
      <c r="FS72" s="2179"/>
      <c r="FY72" s="2176"/>
      <c r="FZ72" s="2176"/>
      <c r="GC72" s="3640">
        <f>IFERROR(HLOOKUP(GD42,GC68:GR68,1,0),0)</f>
        <v>0</v>
      </c>
      <c r="GE72" s="2179"/>
      <c r="GF72" s="2179"/>
      <c r="GG72" s="2179"/>
      <c r="GH72" s="2179"/>
      <c r="GI72" s="2179"/>
      <c r="GJ72" s="2179"/>
      <c r="GK72" s="2179"/>
      <c r="GL72" s="2179"/>
      <c r="GM72" s="2179"/>
      <c r="GN72" s="2179"/>
      <c r="GO72" s="2179"/>
      <c r="GU72" s="2174"/>
      <c r="GX72" s="3641">
        <f>IFERROR(HLOOKUP(GY42,GX68:HM68,1,0),0)</f>
        <v>0</v>
      </c>
      <c r="HO72" s="2176"/>
      <c r="HP72" s="2176"/>
      <c r="HS72" s="3641">
        <f>IFERROR(HLOOKUP(HT42,HS68:IH68,1,0),0)</f>
        <v>0</v>
      </c>
    </row>
    <row r="73" spans="3:246" ht="21.95" customHeight="1">
      <c r="C73" s="735" t="s">
        <v>702</v>
      </c>
      <c r="D73" s="3643">
        <f>F73*D68</f>
        <v>100000</v>
      </c>
      <c r="E73" s="734">
        <v>33600</v>
      </c>
      <c r="F73" s="2186">
        <f>380+20</f>
        <v>400</v>
      </c>
      <c r="G73" s="748"/>
      <c r="H73" s="277">
        <v>380</v>
      </c>
      <c r="I73" s="277">
        <v>20</v>
      </c>
      <c r="S73" s="286"/>
      <c r="T73" s="286"/>
      <c r="AF73" s="2174"/>
      <c r="AG73" s="2174"/>
      <c r="AJ73" s="3642" t="str">
        <f>IF(AK73=AL62,"Right","Wrong")</f>
        <v>Right</v>
      </c>
      <c r="AK73" s="3640">
        <f>IF(AJ71&gt;0,AJ71,AK70)</f>
        <v>20</v>
      </c>
      <c r="AL73" s="3641" t="str">
        <f>IF(AL81=AL62,"Right","Wrong")</f>
        <v>Wrong</v>
      </c>
      <c r="AN73" s="2176" t="str">
        <f>IF(AL80="Right",IF(AL73="Right","Right","Wrong"),"Wrong")</f>
        <v>Wrong</v>
      </c>
      <c r="AO73" s="277"/>
      <c r="AP73" s="2176" t="str">
        <f>IF(AJ73="Right",IF(AJ72="Right","Right","Wrong"),"Wrong")</f>
        <v>Right</v>
      </c>
      <c r="BB73" s="2176"/>
      <c r="BC73" s="2176"/>
      <c r="BF73" s="3642" t="str">
        <f>IF(BG73=BH62,"Right","Wrong")</f>
        <v>Right</v>
      </c>
      <c r="BG73" s="3640">
        <f>IF(BF71&gt;0,BF71,BG70)</f>
        <v>22</v>
      </c>
      <c r="BH73" s="3641" t="str">
        <f>IF(BH81=BH62,"Right","Wrong")</f>
        <v>Wrong</v>
      </c>
      <c r="BI73" s="277"/>
      <c r="BJ73" s="2176" t="str">
        <f>IF(BH80="Right",IF(BH73="Right","Right","Wrong"),"Wrong")</f>
        <v>Wrong</v>
      </c>
      <c r="BL73" s="2176" t="str">
        <f>IF(BF73="Right",IF(BF72="Right","Right","Wrong"),"Wrong")</f>
        <v>Right</v>
      </c>
      <c r="BX73" s="2174"/>
      <c r="CA73" s="3641" t="str">
        <f>IF(CB73=CC62,"Right","Wrong")</f>
        <v>Right</v>
      </c>
      <c r="CB73" s="3641">
        <f>IF(CA71&gt;0,CA71,CB70)</f>
        <v>20.399999999999999</v>
      </c>
      <c r="CC73" s="3641" t="str">
        <f>IF(CC81=CC62,"Right","Wrong")</f>
        <v>Wrong</v>
      </c>
      <c r="CE73" s="2176" t="str">
        <f>IF(CC80="Right",IF(CC73="Right","Right","Wrong"),"Wrong")</f>
        <v>Wrong</v>
      </c>
      <c r="CG73" s="2176" t="str">
        <f>IF(CA73="Right",IF(CA72="Right","Right","Wrong"),"Wrong")</f>
        <v>Right</v>
      </c>
      <c r="CR73" s="2176"/>
      <c r="CS73" s="2176"/>
      <c r="CV73" s="3641" t="str">
        <f>IF(CW73=CX62,"Right","Wrong")</f>
        <v>Right</v>
      </c>
      <c r="CW73" s="3641">
        <f>IF(CV71&gt;0,CV71,CW70)</f>
        <v>22.7</v>
      </c>
      <c r="CX73" s="3641" t="str">
        <f>IF(CX81=CX62,"Right","Wrong")</f>
        <v>Wrong</v>
      </c>
      <c r="CZ73" s="2176" t="str">
        <f>IF(CX80="Right",IF(CX73="Right","Right","Wrong"),"Wrong")</f>
        <v>Wrong</v>
      </c>
      <c r="DB73" s="2176" t="str">
        <f>IF(CV73="Right",IF(CV72="Right","Right","Wrong"),"Wrong")</f>
        <v>Right</v>
      </c>
      <c r="DX73" s="1"/>
      <c r="DZ73" s="735" t="s">
        <v>702</v>
      </c>
      <c r="EA73" s="3643">
        <f>EC73*EA68</f>
        <v>100000</v>
      </c>
      <c r="EB73" s="734">
        <v>33600</v>
      </c>
      <c r="EC73" s="2186">
        <f>380+20</f>
        <v>400</v>
      </c>
      <c r="ED73" s="748"/>
      <c r="EE73" s="277">
        <v>380</v>
      </c>
      <c r="EF73" s="277">
        <v>20</v>
      </c>
      <c r="EP73" s="286"/>
      <c r="EQ73" s="286"/>
      <c r="FC73" s="2174"/>
      <c r="FD73" s="2174"/>
      <c r="FG73" s="3640" t="str">
        <f>IF(FH73=FJ63,"Right","Wrong")</f>
        <v>Right</v>
      </c>
      <c r="FH73" s="3640">
        <f>HLOOKUP(FH74,FG69:FU70,2,0)</f>
        <v>280</v>
      </c>
      <c r="FI73" s="3641" t="str">
        <f>IF(FJ63=FK82,"Right","Wrong")</f>
        <v>Wrong</v>
      </c>
      <c r="FK73" s="2176" t="str">
        <f>IF(FK81="Right",IF(FI73="Right","Right","Wrong"),"Wrong")</f>
        <v>Wrong</v>
      </c>
      <c r="FM73" s="2176" t="str">
        <f>IF(FK74="Right",IF(FK73="Right","Right","Wrong"),"Wrong")</f>
        <v>Wrong</v>
      </c>
      <c r="FO73" s="2176" t="str">
        <f>IF(FH41&gt;112,FM74,FM73)</f>
        <v>Right</v>
      </c>
      <c r="FY73" s="2176"/>
      <c r="FZ73" s="2176"/>
      <c r="GC73" s="3640" t="str">
        <f>IF(GD73=GF63,"Right","Wrong")</f>
        <v>Right</v>
      </c>
      <c r="GD73" s="3640">
        <f>HLOOKUP(GD74,GC69:GQ70,2,0)</f>
        <v>280</v>
      </c>
      <c r="GE73" s="3641" t="str">
        <f>IF(GF63=GG82,"Right","Wrong")</f>
        <v>Wrong</v>
      </c>
      <c r="GG73" s="2176" t="str">
        <f>IF(GG81="Right",IF(GE73="Right","Right","Wrong"),"Wrong")</f>
        <v>Wrong</v>
      </c>
      <c r="GI73" s="2176" t="str">
        <f>IF(GG74="Right",IF(GG73="Right","Right","Wrong"),"Wrong")</f>
        <v>Wrong</v>
      </c>
      <c r="GK73" s="2176" t="str">
        <f>IF(GD41&gt;112,GI74,GI73)</f>
        <v>Right</v>
      </c>
      <c r="GU73" s="2174"/>
      <c r="GX73" s="3641" t="str">
        <f>IF(GY73=HA63,"Right","Wrong")</f>
        <v>Right</v>
      </c>
      <c r="GY73" s="3641">
        <f>HLOOKUP(GY74,GX69:HL70,2,0)</f>
        <v>280</v>
      </c>
      <c r="GZ73" s="3641" t="str">
        <f>IF(HA63=HB82,"Right","Wrong")</f>
        <v>Right</v>
      </c>
      <c r="HB73" s="2176" t="str">
        <f>IF(HB81="Right",IF(GZ73="Right","Right","Wrong"),"Wrong")</f>
        <v>Right</v>
      </c>
      <c r="HD73" s="2176" t="str">
        <f>IF(HB74="Right",IF(HB73="Right","Right","Wrong"),"Wrong")</f>
        <v>Right</v>
      </c>
      <c r="HF73" s="2176" t="str">
        <f>IF(GY41&gt;130,HD74,HD73)</f>
        <v>Right</v>
      </c>
      <c r="HO73" s="2176"/>
      <c r="HP73" s="2176"/>
      <c r="HS73" s="3641" t="str">
        <f>IF(HT73=HV63,"Right","Wrong")</f>
        <v>Right</v>
      </c>
      <c r="HT73" s="3641">
        <f>HLOOKUP(HT74,HS69:IG70,2,0)</f>
        <v>280</v>
      </c>
      <c r="HU73" s="3641" t="str">
        <f>IF(HV63=HW82,"Right","Wrong")</f>
        <v>Right</v>
      </c>
      <c r="HW73" s="2176" t="str">
        <f>IF(HW81="Right",IF(HU73="Right","Right","Wrong"),"Wrong")</f>
        <v>Right</v>
      </c>
      <c r="HY73" s="2176" t="str">
        <f>IF(HW74="Right",IF(HW73="Right","Right","Wrong"),"Wrong")</f>
        <v>Right</v>
      </c>
      <c r="IA73" s="2176" t="str">
        <f>IF(HT41&gt;130,HY74,HY73)</f>
        <v>Right</v>
      </c>
    </row>
    <row r="74" spans="3:246" ht="21.95" customHeight="1">
      <c r="C74" s="735" t="s">
        <v>703</v>
      </c>
      <c r="D74" s="3643">
        <f>F74*D68</f>
        <v>129250</v>
      </c>
      <c r="E74" s="734">
        <v>36750</v>
      </c>
      <c r="F74" s="2186">
        <f>490+27</f>
        <v>517</v>
      </c>
      <c r="G74" s="748"/>
      <c r="H74" s="277">
        <v>490</v>
      </c>
      <c r="I74" s="277">
        <v>27</v>
      </c>
      <c r="S74" s="286"/>
      <c r="T74" s="286"/>
      <c r="AF74" s="2174"/>
      <c r="AG74" s="2174"/>
      <c r="AJ74" s="1"/>
      <c r="AO74" s="277"/>
      <c r="BB74" s="2176"/>
      <c r="BC74" s="2176"/>
      <c r="BF74" s="1"/>
      <c r="BI74" s="277"/>
      <c r="BJ74" s="277"/>
      <c r="BX74" s="2174"/>
      <c r="CA74" s="1"/>
      <c r="CR74" s="2176"/>
      <c r="CS74" s="2176"/>
      <c r="CV74" s="1"/>
      <c r="DX74" s="1"/>
      <c r="DZ74" s="735" t="s">
        <v>703</v>
      </c>
      <c r="EA74" s="3643">
        <f>EC74*EA68</f>
        <v>129250</v>
      </c>
      <c r="EB74" s="734">
        <v>36750</v>
      </c>
      <c r="EC74" s="2186">
        <f>490+27</f>
        <v>517</v>
      </c>
      <c r="ED74" s="748"/>
      <c r="EE74" s="277">
        <v>490</v>
      </c>
      <c r="EF74" s="277">
        <v>27</v>
      </c>
      <c r="EP74" s="286"/>
      <c r="EQ74" s="286"/>
      <c r="FC74" s="2174"/>
      <c r="FD74" s="2174"/>
      <c r="FG74" s="3642" t="str">
        <f>IF(FH74=FI63,"Right","Wrong")</f>
        <v>Right</v>
      </c>
      <c r="FH74" s="3640">
        <f>IF(FG72&gt;0,FG72,FH71)</f>
        <v>21</v>
      </c>
      <c r="FI74" s="3641" t="str">
        <f>IF(FI82=FI63,"Right","Wrong")</f>
        <v>Wrong</v>
      </c>
      <c r="FK74" s="2176" t="str">
        <f>IF(FI81="Right",IF(FI74="Right","Right","Wrong"),"Wrong")</f>
        <v>Wrong</v>
      </c>
      <c r="FM74" s="2176" t="str">
        <f>IF(FG74="Right",IF(FG73="Right","Right","Wrong"),"Wrong")</f>
        <v>Right</v>
      </c>
      <c r="FY74" s="2176"/>
      <c r="FZ74" s="2176"/>
      <c r="GC74" s="3642" t="str">
        <f>IF(GD74=GE63,"Right","Wrong")</f>
        <v>Right</v>
      </c>
      <c r="GD74" s="3640">
        <f>IF(GC72&gt;0,GC72,GD71)</f>
        <v>23</v>
      </c>
      <c r="GE74" s="3641" t="str">
        <f>IF(GE82=GE63,"Right","Wrong")</f>
        <v>Wrong</v>
      </c>
      <c r="GG74" s="2176" t="str">
        <f>IF(GE81="Right",IF(GE74="Right","Right","Wrong"),"Wrong")</f>
        <v>Wrong</v>
      </c>
      <c r="GI74" s="2176" t="str">
        <f>IF(GC74="Right",IF(GC73="Right","Right","Wrong"),"Wrong")</f>
        <v>Right</v>
      </c>
      <c r="GU74" s="2174"/>
      <c r="GX74" s="3641" t="str">
        <f>IF(GY74=GZ63,"Right","Wrong")</f>
        <v>Right</v>
      </c>
      <c r="GY74" s="3641">
        <f>IF(GX72&gt;0,GX72,GY71)</f>
        <v>21</v>
      </c>
      <c r="GZ74" s="3641" t="str">
        <f>IF(GZ82=GZ63,"Right","Wrong")</f>
        <v>Right</v>
      </c>
      <c r="HB74" s="2176" t="str">
        <f>IF(GZ81="Right",IF(GZ74="Right","Right","Wrong"),"Wrong")</f>
        <v>Right</v>
      </c>
      <c r="HD74" s="2176" t="str">
        <f>IF(GX74="Right",IF(GX73="Right","Right","Wrong"),"Wrong")</f>
        <v>Right</v>
      </c>
      <c r="HO74" s="2176"/>
      <c r="HP74" s="2176"/>
      <c r="HS74" s="3641" t="str">
        <f>IF(HT74=HU63,"Right","Wrong")</f>
        <v>Right</v>
      </c>
      <c r="HT74" s="3641">
        <f>IF(HS72&gt;0,HS72,HT71)</f>
        <v>29.3</v>
      </c>
      <c r="HU74" s="3641" t="str">
        <f>IF(HU82=HU63,"Right","Wrong")</f>
        <v>Right</v>
      </c>
      <c r="HW74" s="2176" t="str">
        <f>IF(HU81="Right",IF(HU74="Right","Right","Wrong"),"Wrong")</f>
        <v>Right</v>
      </c>
      <c r="HY74" s="2176" t="str">
        <f>IF(HS74="Right",IF(HS73="Right","Right","Wrong"),"Wrong")</f>
        <v>Right</v>
      </c>
    </row>
    <row r="75" spans="3:246" ht="21.95" customHeight="1">
      <c r="C75" s="735" t="s">
        <v>704</v>
      </c>
      <c r="D75" s="3643">
        <f>F75*D68</f>
        <v>166250</v>
      </c>
      <c r="E75" s="734">
        <v>42000</v>
      </c>
      <c r="F75" s="2186">
        <f>630+35</f>
        <v>665</v>
      </c>
      <c r="G75" s="748"/>
      <c r="H75" s="277">
        <v>630</v>
      </c>
      <c r="I75" s="277">
        <v>35</v>
      </c>
      <c r="S75" s="286"/>
      <c r="T75" s="286"/>
      <c r="AF75" s="2174"/>
      <c r="AG75" s="2174"/>
      <c r="AJ75" s="1"/>
      <c r="AO75" s="277"/>
      <c r="BB75" s="2176"/>
      <c r="BC75" s="2176"/>
      <c r="BI75" s="277"/>
      <c r="BJ75" s="277"/>
      <c r="BX75" s="2174"/>
      <c r="CA75" s="1"/>
      <c r="CR75" s="2176"/>
      <c r="CS75" s="2176"/>
      <c r="CW75" s="2231"/>
      <c r="CX75" s="2231"/>
      <c r="CY75" s="2231"/>
      <c r="CZ75" s="2231"/>
      <c r="DA75" s="2231"/>
      <c r="DB75" s="2231"/>
      <c r="DX75" s="1"/>
      <c r="DZ75" s="735" t="s">
        <v>704</v>
      </c>
      <c r="EA75" s="3643">
        <f>EC75*EA68</f>
        <v>166250</v>
      </c>
      <c r="EB75" s="734">
        <v>42000</v>
      </c>
      <c r="EC75" s="2186">
        <f>630+35</f>
        <v>665</v>
      </c>
      <c r="ED75" s="748"/>
      <c r="EE75" s="277">
        <v>630</v>
      </c>
      <c r="EF75" s="277">
        <v>35</v>
      </c>
      <c r="EP75" s="286"/>
      <c r="EQ75" s="286"/>
      <c r="FC75" s="2174"/>
      <c r="FD75" s="2174"/>
      <c r="FG75" s="1"/>
      <c r="FY75" s="2176"/>
      <c r="FZ75" s="2176"/>
      <c r="GC75" s="1"/>
      <c r="GU75" s="2174"/>
      <c r="GX75" s="1"/>
      <c r="HO75" s="2176"/>
      <c r="HP75" s="2176"/>
      <c r="HS75" s="1"/>
    </row>
    <row r="76" spans="3:246" ht="21.95" customHeight="1">
      <c r="C76" s="735" t="s">
        <v>705</v>
      </c>
      <c r="D76" s="3643">
        <f>F76*D68</f>
        <v>225000</v>
      </c>
      <c r="E76" s="734">
        <v>52500</v>
      </c>
      <c r="F76" s="2186">
        <f>850+50</f>
        <v>900</v>
      </c>
      <c r="G76" s="748"/>
      <c r="H76" s="277">
        <v>850</v>
      </c>
      <c r="I76" s="277">
        <v>50</v>
      </c>
      <c r="S76" s="286"/>
      <c r="T76" s="286"/>
      <c r="AF76" s="2174"/>
      <c r="AG76" s="2174"/>
      <c r="AH76" s="2232"/>
      <c r="AI76" s="2232"/>
      <c r="AJ76" s="2233"/>
      <c r="AK76" s="2232"/>
      <c r="AL76" s="2232"/>
      <c r="AM76" s="2232"/>
      <c r="AN76" s="2232"/>
      <c r="AO76" s="2232"/>
      <c r="AP76" s="2232"/>
      <c r="AQ76" s="2232"/>
      <c r="AR76" s="2232"/>
      <c r="AS76" s="2232"/>
      <c r="AT76" s="2232"/>
      <c r="AU76" s="2232"/>
      <c r="AV76" s="2232"/>
      <c r="AW76" s="2232"/>
      <c r="AX76" s="2232"/>
      <c r="AY76" s="2232"/>
      <c r="AZ76" s="2232"/>
      <c r="BA76" s="2232"/>
      <c r="BB76" s="2232"/>
      <c r="BC76" s="2232"/>
      <c r="BD76" s="2232"/>
      <c r="BE76" s="2232"/>
      <c r="BF76" s="2232"/>
      <c r="BG76" s="2232"/>
      <c r="BH76" s="2232"/>
      <c r="BI76" s="2232"/>
      <c r="BJ76" s="2232"/>
      <c r="BK76" s="2232"/>
      <c r="BL76" s="2232"/>
      <c r="BM76" s="2232"/>
      <c r="BN76" s="2232"/>
      <c r="BO76" s="2232"/>
      <c r="BP76" s="2232"/>
      <c r="BQ76" s="2232"/>
      <c r="BR76" s="2232"/>
      <c r="BS76" s="2232"/>
      <c r="BT76" s="2232"/>
      <c r="BU76" s="2232"/>
      <c r="BV76" s="2232"/>
      <c r="BW76" s="2232"/>
      <c r="BX76" s="2232"/>
      <c r="BY76" s="2232"/>
      <c r="BZ76" s="2232"/>
      <c r="CA76" s="2233"/>
      <c r="CB76" s="2232"/>
      <c r="CC76" s="2232"/>
      <c r="CD76" s="2232"/>
      <c r="CE76" s="2232"/>
      <c r="CF76" s="2232"/>
      <c r="CG76" s="2232"/>
      <c r="CH76" s="2232"/>
      <c r="CI76" s="2232"/>
      <c r="CJ76" s="2232"/>
      <c r="CK76" s="2232"/>
      <c r="CL76" s="2232"/>
      <c r="CM76" s="2232"/>
      <c r="CN76" s="2232"/>
      <c r="CO76" s="2232"/>
      <c r="CP76" s="2232"/>
      <c r="CQ76" s="2232"/>
      <c r="CR76" s="2232"/>
      <c r="CS76" s="2232"/>
      <c r="CT76" s="2232"/>
      <c r="CU76" s="2232"/>
      <c r="CV76" s="2232"/>
      <c r="CW76" s="2234"/>
      <c r="CX76" s="2234"/>
      <c r="CY76" s="2234"/>
      <c r="CZ76" s="2234"/>
      <c r="DA76" s="2234"/>
      <c r="DB76" s="2234"/>
      <c r="DC76" s="2234"/>
      <c r="DD76" s="2234"/>
      <c r="DE76" s="2234"/>
      <c r="DF76" s="2234"/>
      <c r="DG76" s="2234"/>
      <c r="DH76" s="2234"/>
      <c r="DI76" s="2234"/>
      <c r="DJ76" s="2232"/>
      <c r="DK76" s="2232"/>
      <c r="DL76" s="2232"/>
      <c r="DM76" s="2232"/>
      <c r="DN76" s="2232"/>
      <c r="DO76" s="2232"/>
      <c r="DP76" s="2232"/>
      <c r="DT76" s="2232"/>
      <c r="DU76" s="2232"/>
      <c r="DV76" s="2232"/>
      <c r="DW76" s="2232"/>
      <c r="DX76" s="1"/>
      <c r="DZ76" s="735" t="s">
        <v>705</v>
      </c>
      <c r="EA76" s="3643">
        <f>EC76*EA68</f>
        <v>225000</v>
      </c>
      <c r="EB76" s="734">
        <v>52500</v>
      </c>
      <c r="EC76" s="2186">
        <f>850+50</f>
        <v>900</v>
      </c>
      <c r="ED76" s="748"/>
      <c r="EE76" s="277">
        <v>850</v>
      </c>
      <c r="EF76" s="277">
        <v>50</v>
      </c>
      <c r="EP76" s="286"/>
      <c r="EQ76" s="286"/>
      <c r="FC76" s="2174"/>
      <c r="FD76" s="2174"/>
      <c r="FG76" s="1"/>
      <c r="FY76" s="2176"/>
      <c r="FZ76" s="2176"/>
      <c r="GU76" s="2174"/>
      <c r="GX76" s="1"/>
      <c r="HO76" s="2176"/>
      <c r="HP76" s="2176"/>
      <c r="HT76" s="2231"/>
      <c r="HU76" s="2231"/>
      <c r="HV76" s="2231"/>
      <c r="HW76" s="2231"/>
      <c r="HX76" s="2231"/>
      <c r="HY76" s="2231"/>
    </row>
    <row r="77" spans="3:246" ht="21.95" customHeight="1">
      <c r="C77" s="735" t="s">
        <v>708</v>
      </c>
      <c r="D77" s="3643">
        <f>F77*D68</f>
        <v>305000</v>
      </c>
      <c r="E77" s="734">
        <v>57750</v>
      </c>
      <c r="F77" s="2186">
        <f>1150+70</f>
        <v>1220</v>
      </c>
      <c r="G77" s="748"/>
      <c r="H77" s="277">
        <v>1150</v>
      </c>
      <c r="I77" s="277">
        <v>70</v>
      </c>
      <c r="S77" s="286"/>
      <c r="T77" s="286"/>
      <c r="AF77" s="2174"/>
      <c r="AG77" s="2174"/>
      <c r="AJ77" s="1"/>
      <c r="AO77" s="277"/>
      <c r="BB77" s="2176"/>
      <c r="BC77" s="2176"/>
      <c r="BI77" s="277"/>
      <c r="BJ77" s="277"/>
      <c r="BX77" s="2174"/>
      <c r="CF77" s="2231"/>
      <c r="CG77" s="2231"/>
      <c r="CH77" s="2231"/>
      <c r="CI77" s="2231"/>
      <c r="CJ77" s="2231"/>
      <c r="CK77" s="2231"/>
      <c r="CL77" s="2231"/>
      <c r="CM77" s="2231"/>
      <c r="CN77" s="2231"/>
      <c r="CO77" s="2231"/>
      <c r="CP77" s="2231"/>
      <c r="CQ77" s="2231"/>
      <c r="CR77" s="2235"/>
      <c r="CS77" s="2235"/>
      <c r="DH77" s="2231"/>
      <c r="DI77" s="2231"/>
      <c r="DX77" s="1"/>
      <c r="DZ77" s="735" t="s">
        <v>708</v>
      </c>
      <c r="EA77" s="3643">
        <f>EC77*EA68</f>
        <v>305000</v>
      </c>
      <c r="EB77" s="734">
        <v>57750</v>
      </c>
      <c r="EC77" s="2186">
        <f>1150+70</f>
        <v>1220</v>
      </c>
      <c r="ED77" s="748"/>
      <c r="EE77" s="277">
        <v>1150</v>
      </c>
      <c r="EF77" s="277">
        <v>70</v>
      </c>
      <c r="EP77" s="286"/>
      <c r="EQ77" s="286"/>
      <c r="FC77" s="2174"/>
      <c r="FD77" s="2174"/>
      <c r="FE77" s="2232"/>
      <c r="FF77" s="2232"/>
      <c r="FG77" s="2233"/>
      <c r="FH77" s="2232"/>
      <c r="FI77" s="2232"/>
      <c r="FJ77" s="2232"/>
      <c r="FK77" s="2232"/>
      <c r="FL77" s="2232"/>
      <c r="FM77" s="2232"/>
      <c r="FN77" s="2232"/>
      <c r="FO77" s="2232"/>
      <c r="FP77" s="2232"/>
      <c r="FQ77" s="2232"/>
      <c r="FR77" s="2232"/>
      <c r="FS77" s="2232"/>
      <c r="FT77" s="2232"/>
      <c r="FU77" s="2232"/>
      <c r="FV77" s="2232"/>
      <c r="FW77" s="2232"/>
      <c r="FX77" s="2232"/>
      <c r="FY77" s="2232"/>
      <c r="FZ77" s="2232"/>
      <c r="GA77" s="2232"/>
      <c r="GB77" s="2232"/>
      <c r="GC77" s="2232"/>
      <c r="GD77" s="2232"/>
      <c r="GE77" s="2232"/>
      <c r="GF77" s="2232"/>
      <c r="GG77" s="2232"/>
      <c r="GH77" s="2232"/>
      <c r="GI77" s="2232"/>
      <c r="GJ77" s="2232"/>
      <c r="GK77" s="2232"/>
      <c r="GL77" s="2232"/>
      <c r="GM77" s="2232"/>
      <c r="GN77" s="2232"/>
      <c r="GO77" s="2232"/>
      <c r="GP77" s="2232"/>
      <c r="GQ77" s="2232"/>
      <c r="GR77" s="2232"/>
      <c r="GS77" s="2232"/>
      <c r="GT77" s="2232"/>
      <c r="GU77" s="2232"/>
      <c r="GV77" s="2232"/>
      <c r="GW77" s="2232"/>
      <c r="GX77" s="2233"/>
      <c r="GY77" s="2232"/>
      <c r="GZ77" s="2232"/>
      <c r="HA77" s="2232"/>
      <c r="HB77" s="2232"/>
      <c r="HC77" s="2232"/>
      <c r="HD77" s="2232"/>
      <c r="HE77" s="2232"/>
      <c r="HF77" s="2232"/>
      <c r="HG77" s="2232"/>
      <c r="HH77" s="2232"/>
      <c r="HI77" s="2232"/>
      <c r="HJ77" s="2232"/>
      <c r="HK77" s="2232"/>
      <c r="HL77" s="2232"/>
      <c r="HM77" s="2232"/>
      <c r="HN77" s="2232"/>
      <c r="HO77" s="2232"/>
      <c r="HP77" s="2232"/>
      <c r="HQ77" s="2232"/>
      <c r="HR77" s="2232"/>
      <c r="HS77" s="2232"/>
      <c r="HT77" s="2234"/>
      <c r="HU77" s="2234"/>
      <c r="HV77" s="2234"/>
      <c r="HW77" s="2234"/>
      <c r="HX77" s="2234"/>
      <c r="HY77" s="2234"/>
      <c r="HZ77" s="2234"/>
      <c r="IA77" s="2234"/>
      <c r="IB77" s="2234"/>
      <c r="IC77" s="2234"/>
      <c r="ID77" s="2234"/>
      <c r="IE77" s="2234"/>
      <c r="IF77" s="2234"/>
      <c r="IG77" s="2232"/>
      <c r="IH77" s="2232"/>
      <c r="II77" s="2232"/>
      <c r="IJ77" s="2232"/>
      <c r="IK77" s="2232"/>
      <c r="IL77" s="2232"/>
    </row>
    <row r="78" spans="3:246" ht="21.95" customHeight="1">
      <c r="C78" s="735" t="s">
        <v>709</v>
      </c>
      <c r="D78" s="3643">
        <f>F78*D68</f>
        <v>406250</v>
      </c>
      <c r="E78" s="734">
        <v>73500</v>
      </c>
      <c r="F78" s="2186">
        <f>1525+100</f>
        <v>1625</v>
      </c>
      <c r="G78" s="748"/>
      <c r="H78" s="277">
        <v>1525</v>
      </c>
      <c r="I78" s="277">
        <v>100</v>
      </c>
      <c r="S78" s="286"/>
      <c r="T78" s="286"/>
      <c r="AF78" s="2174"/>
      <c r="AG78" s="2174"/>
      <c r="AJ78" s="1"/>
      <c r="AO78" s="277"/>
      <c r="BB78" s="2176"/>
      <c r="BC78" s="2176"/>
      <c r="BI78" s="277"/>
      <c r="BJ78" s="277"/>
      <c r="BX78" s="2174"/>
      <c r="CA78" s="1"/>
      <c r="CR78" s="2176"/>
      <c r="CS78" s="2176"/>
      <c r="CW78" s="2231"/>
      <c r="CX78" s="2231"/>
      <c r="CY78" s="2231"/>
      <c r="CZ78" s="2231"/>
      <c r="DA78" s="2231"/>
      <c r="DB78" s="2231"/>
      <c r="DC78" s="2231"/>
      <c r="DD78" s="2231"/>
      <c r="DE78" s="2231"/>
      <c r="DF78" s="2231"/>
      <c r="DG78" s="2231"/>
      <c r="DH78" s="2231"/>
      <c r="DI78" s="2231"/>
      <c r="DX78" s="1"/>
      <c r="DZ78" s="735" t="s">
        <v>709</v>
      </c>
      <c r="EA78" s="3643">
        <f>EC78*EA68</f>
        <v>406250</v>
      </c>
      <c r="EB78" s="734">
        <v>73500</v>
      </c>
      <c r="EC78" s="2186">
        <f>1525+100</f>
        <v>1625</v>
      </c>
      <c r="ED78" s="748"/>
      <c r="EE78" s="277">
        <v>1525</v>
      </c>
      <c r="EF78" s="277">
        <v>100</v>
      </c>
      <c r="EP78" s="286"/>
      <c r="EQ78" s="286"/>
      <c r="FC78" s="2174"/>
      <c r="FD78" s="2174"/>
      <c r="FG78" s="1"/>
      <c r="FY78" s="2176"/>
      <c r="FZ78" s="2176"/>
      <c r="GU78" s="2174"/>
      <c r="HC78" s="2231"/>
      <c r="HD78" s="2231"/>
      <c r="HE78" s="2231"/>
      <c r="HF78" s="2231"/>
      <c r="HG78" s="2231"/>
      <c r="HH78" s="2231"/>
      <c r="HI78" s="2231"/>
      <c r="HJ78" s="2231"/>
      <c r="HK78" s="2231"/>
      <c r="HL78" s="2231"/>
      <c r="HM78" s="2231"/>
      <c r="HN78" s="2231"/>
      <c r="HO78" s="2235"/>
      <c r="HP78" s="2235"/>
      <c r="IE78" s="2231"/>
      <c r="IF78" s="2231"/>
    </row>
    <row r="79" spans="3:246" ht="21.95" customHeight="1">
      <c r="C79" s="735" t="s">
        <v>710</v>
      </c>
      <c r="D79" s="3643">
        <f>F79*D68</f>
        <v>555000</v>
      </c>
      <c r="E79" s="3644">
        <f>+E78*1.05</f>
        <v>77175</v>
      </c>
      <c r="F79" s="2186">
        <f>2080+140</f>
        <v>2220</v>
      </c>
      <c r="G79" s="748"/>
      <c r="H79" s="277">
        <v>2080</v>
      </c>
      <c r="I79" s="277">
        <v>140</v>
      </c>
      <c r="S79" s="286"/>
      <c r="T79" s="286"/>
      <c r="AF79" s="2174"/>
      <c r="AG79" s="2174"/>
      <c r="AJ79" s="1"/>
      <c r="AO79" s="277"/>
      <c r="BB79" s="2176"/>
      <c r="BC79" s="2176"/>
      <c r="BI79" s="277"/>
      <c r="BJ79" s="277"/>
      <c r="BX79" s="2174"/>
      <c r="CA79" s="1"/>
      <c r="CR79" s="2176"/>
      <c r="CS79" s="2176"/>
      <c r="DX79" s="1"/>
      <c r="DZ79" s="735" t="s">
        <v>710</v>
      </c>
      <c r="EA79" s="3643">
        <f>EC79*EA68</f>
        <v>555000</v>
      </c>
      <c r="EB79" s="3644">
        <f>+EB78*1.05</f>
        <v>77175</v>
      </c>
      <c r="EC79" s="2186">
        <f>2080+140</f>
        <v>2220</v>
      </c>
      <c r="ED79" s="748"/>
      <c r="EE79" s="277">
        <v>2080</v>
      </c>
      <c r="EF79" s="277">
        <v>140</v>
      </c>
      <c r="EP79" s="286"/>
      <c r="EQ79" s="286"/>
      <c r="FC79" s="2174"/>
      <c r="FD79" s="2174"/>
      <c r="FF79" s="286"/>
      <c r="FG79" s="2236"/>
      <c r="FH79" s="286"/>
      <c r="FI79" s="286"/>
      <c r="FJ79" s="286"/>
      <c r="FK79" s="286"/>
      <c r="FL79" s="286"/>
      <c r="FM79" s="286"/>
      <c r="FN79" s="286"/>
      <c r="FO79" s="286"/>
      <c r="FP79" s="286"/>
      <c r="FQ79" s="286"/>
      <c r="FR79" s="286"/>
      <c r="FS79" s="286"/>
      <c r="FT79" s="286"/>
      <c r="FU79" s="286"/>
      <c r="FV79" s="286"/>
      <c r="FY79" s="2176"/>
      <c r="FZ79" s="2176"/>
      <c r="GU79" s="2174"/>
      <c r="GX79" s="1"/>
      <c r="HO79" s="2176"/>
      <c r="HP79" s="2176"/>
      <c r="HT79" s="2231"/>
      <c r="HU79" s="2231"/>
      <c r="HV79" s="2231"/>
      <c r="HW79" s="2231"/>
      <c r="HX79" s="2231"/>
      <c r="HY79" s="2231"/>
      <c r="HZ79" s="2231"/>
      <c r="IA79" s="2231"/>
      <c r="IB79" s="2231"/>
      <c r="IC79" s="2231"/>
      <c r="ID79" s="2231"/>
      <c r="IE79" s="2231"/>
      <c r="IF79" s="2231"/>
    </row>
    <row r="80" spans="3:246" ht="21.95" customHeight="1">
      <c r="C80" s="735" t="s">
        <v>711</v>
      </c>
      <c r="D80" s="3643">
        <f>F80*D68</f>
        <v>761250</v>
      </c>
      <c r="E80" s="3644">
        <f>+E79*1.05</f>
        <v>81033.75</v>
      </c>
      <c r="F80" s="2186">
        <f>2840+205</f>
        <v>3045</v>
      </c>
      <c r="G80" s="748"/>
      <c r="H80" s="277">
        <v>2840</v>
      </c>
      <c r="I80" s="277">
        <v>205</v>
      </c>
      <c r="S80" s="286"/>
      <c r="T80" s="286"/>
      <c r="AF80" s="2174"/>
      <c r="AG80" s="2174"/>
      <c r="AJ80" s="2179"/>
      <c r="AK80" s="2179"/>
      <c r="AL80" s="3641" t="str">
        <f>IF(AK73=AL81,"Right","Wrong")</f>
        <v>Wrong</v>
      </c>
      <c r="AM80" s="2179"/>
      <c r="AN80" s="3641" t="str">
        <f>IF(AK72=AN81,"Right","Wrong")</f>
        <v>Wrong</v>
      </c>
      <c r="AO80" s="2179"/>
      <c r="AP80" s="2179"/>
      <c r="AQ80" s="2179"/>
      <c r="AR80" s="2179"/>
      <c r="AS80" s="2179"/>
      <c r="AT80" s="2179"/>
      <c r="AW80" s="286"/>
      <c r="BB80" s="2176"/>
      <c r="BC80" s="2176"/>
      <c r="BF80" s="2179"/>
      <c r="BG80" s="2179"/>
      <c r="BH80" s="3641" t="str">
        <f>IF(BG73=BH81,"Right","Wrong")</f>
        <v>Wrong</v>
      </c>
      <c r="BI80" s="2179"/>
      <c r="BJ80" s="3641" t="str">
        <f>IF(BG72=BJ81,"Right","Wrong")</f>
        <v>Wrong</v>
      </c>
      <c r="BK80" s="2179"/>
      <c r="BL80" s="2179"/>
      <c r="BM80" s="2179"/>
      <c r="BN80" s="2179"/>
      <c r="BO80" s="2179"/>
      <c r="BP80" s="2179"/>
      <c r="BS80" s="286"/>
      <c r="BX80" s="2174"/>
      <c r="CA80" s="2179"/>
      <c r="CB80" s="2179"/>
      <c r="CC80" s="3641" t="str">
        <f>IF(CB73=CC81,"Right","Wrong")</f>
        <v>Wrong</v>
      </c>
      <c r="CD80" s="2179"/>
      <c r="CE80" s="3641" t="str">
        <f>IF(CB72=CE81,"Right","Wrong")</f>
        <v>Wrong</v>
      </c>
      <c r="CF80" s="2179"/>
      <c r="CG80" s="2179"/>
      <c r="CH80" s="2179"/>
      <c r="CI80" s="2179"/>
      <c r="CJ80" s="2179"/>
      <c r="CK80" s="2179"/>
      <c r="CN80" s="286"/>
      <c r="CR80" s="2176"/>
      <c r="CS80" s="2176"/>
      <c r="CV80" s="2179"/>
      <c r="CW80" s="2179"/>
      <c r="CX80" s="3641" t="str">
        <f>IF(CW73=CX81,"Right","Wrong")</f>
        <v>Wrong</v>
      </c>
      <c r="CY80" s="2179"/>
      <c r="CZ80" s="3641" t="str">
        <f>IF(CW72=CZ81,"Right","Wrong")</f>
        <v>Wrong</v>
      </c>
      <c r="DA80" s="2179"/>
      <c r="DB80" s="2179"/>
      <c r="DC80" s="2179"/>
      <c r="DD80" s="2179"/>
      <c r="DE80" s="2179"/>
      <c r="DF80" s="2179"/>
      <c r="DI80" s="286"/>
      <c r="DX80" s="1"/>
      <c r="DZ80" s="735" t="s">
        <v>711</v>
      </c>
      <c r="EA80" s="3643">
        <f>EC80*EA68</f>
        <v>761250</v>
      </c>
      <c r="EB80" s="3644">
        <f>+EB79*1.05</f>
        <v>81033.75</v>
      </c>
      <c r="EC80" s="2186">
        <f>2840+205</f>
        <v>3045</v>
      </c>
      <c r="ED80" s="748"/>
      <c r="EE80" s="277">
        <v>2840</v>
      </c>
      <c r="EF80" s="277">
        <v>205</v>
      </c>
      <c r="EP80" s="286"/>
      <c r="EQ80" s="286"/>
      <c r="FC80" s="2174"/>
      <c r="FD80" s="2174"/>
      <c r="FF80" s="286"/>
      <c r="FG80" s="2236"/>
      <c r="FH80" s="286"/>
      <c r="FI80" s="286"/>
      <c r="FJ80" s="286"/>
      <c r="FK80" s="286"/>
      <c r="FL80" s="286"/>
      <c r="FM80" s="286"/>
      <c r="FN80" s="286"/>
      <c r="FO80" s="286"/>
      <c r="FP80" s="286"/>
      <c r="FQ80" s="286"/>
      <c r="FR80" s="286"/>
      <c r="FS80" s="286"/>
      <c r="FT80" s="286"/>
      <c r="FU80" s="286"/>
      <c r="FV80" s="286"/>
      <c r="FY80" s="2176"/>
      <c r="FZ80" s="2176"/>
      <c r="GU80" s="2174"/>
      <c r="GX80" s="1"/>
      <c r="HO80" s="2176"/>
      <c r="HP80" s="2176"/>
    </row>
    <row r="81" spans="3:242" ht="21.95" customHeight="1">
      <c r="C81" s="735" t="s">
        <v>712</v>
      </c>
      <c r="D81" s="3643">
        <f>F81*D68</f>
        <v>1048750</v>
      </c>
      <c r="E81" s="3644">
        <f>+E80*1.05</f>
        <v>85085.4375</v>
      </c>
      <c r="F81" s="2186">
        <f>3780+415</f>
        <v>4195</v>
      </c>
      <c r="G81" s="748"/>
      <c r="H81" s="277">
        <v>3780</v>
      </c>
      <c r="I81" s="277">
        <v>415</v>
      </c>
      <c r="S81" s="286"/>
      <c r="T81" s="286"/>
      <c r="AF81" s="2174"/>
      <c r="AG81" s="2174"/>
      <c r="AJ81" s="2254" t="s">
        <v>729</v>
      </c>
      <c r="AK81" s="277" t="s">
        <v>737</v>
      </c>
      <c r="AL81" s="3646">
        <f>IF(AX82&gt;0,AX82,AX103)</f>
        <v>0</v>
      </c>
      <c r="AM81" s="277" t="s">
        <v>2185</v>
      </c>
      <c r="AN81" s="3646">
        <f>IF(AX83&gt;0,AX83,AX104)</f>
        <v>0</v>
      </c>
      <c r="AO81" s="2179"/>
      <c r="AP81" s="2179"/>
      <c r="AQ81" s="2179"/>
      <c r="AR81" s="2179"/>
      <c r="AS81" s="2179"/>
      <c r="AT81" s="2179"/>
      <c r="AV81" s="277" t="s">
        <v>737</v>
      </c>
      <c r="AW81" s="277" t="s">
        <v>682</v>
      </c>
      <c r="AX81" s="2210"/>
      <c r="AY81" s="2179"/>
      <c r="BB81" s="2176"/>
      <c r="BC81" s="2176"/>
      <c r="BF81" s="2254" t="s">
        <v>729</v>
      </c>
      <c r="BG81" s="277" t="s">
        <v>737</v>
      </c>
      <c r="BH81" s="3646">
        <f>IF(BT82&gt;0,BT82,BT103)</f>
        <v>0</v>
      </c>
      <c r="BI81" s="277" t="s">
        <v>2185</v>
      </c>
      <c r="BJ81" s="3646">
        <f>IF(BT83&gt;0,BT83,BT104)</f>
        <v>0</v>
      </c>
      <c r="BK81" s="2179"/>
      <c r="BL81" s="2179"/>
      <c r="BM81" s="2179"/>
      <c r="BN81" s="2179"/>
      <c r="BO81" s="2179"/>
      <c r="BP81" s="2179"/>
      <c r="BR81" s="277" t="s">
        <v>737</v>
      </c>
      <c r="BS81" s="277" t="s">
        <v>682</v>
      </c>
      <c r="BT81" s="2210"/>
      <c r="BU81" s="2179"/>
      <c r="BX81" s="2174"/>
      <c r="CA81" s="2254" t="s">
        <v>729</v>
      </c>
      <c r="CB81" s="277" t="s">
        <v>737</v>
      </c>
      <c r="CC81" s="3646">
        <f>IF(CO82&gt;0,CO82,CO103)</f>
        <v>0</v>
      </c>
      <c r="CD81" s="277" t="s">
        <v>2185</v>
      </c>
      <c r="CE81" s="3646">
        <f>IF(CO83&gt;0,CO83,CO104)</f>
        <v>0</v>
      </c>
      <c r="CF81" s="2179"/>
      <c r="CG81" s="2179"/>
      <c r="CH81" s="2179"/>
      <c r="CI81" s="2179"/>
      <c r="CJ81" s="2179"/>
      <c r="CK81" s="2179"/>
      <c r="CM81" s="277" t="s">
        <v>737</v>
      </c>
      <c r="CN81" s="277" t="s">
        <v>682</v>
      </c>
      <c r="CO81" s="2210"/>
      <c r="CP81" s="2179"/>
      <c r="CQ81" s="2231"/>
      <c r="CR81" s="2235"/>
      <c r="CS81" s="2176"/>
      <c r="CV81" s="2254" t="s">
        <v>729</v>
      </c>
      <c r="CW81" s="277" t="s">
        <v>737</v>
      </c>
      <c r="CX81" s="3646">
        <f>IF(DJ82&gt;0,DJ82,DJ103)</f>
        <v>0</v>
      </c>
      <c r="CY81" s="277" t="s">
        <v>2185</v>
      </c>
      <c r="CZ81" s="3646">
        <f>IF(DJ83&gt;0,DJ83,DJ104)</f>
        <v>0</v>
      </c>
      <c r="DA81" s="2179"/>
      <c r="DB81" s="2179"/>
      <c r="DC81" s="2179"/>
      <c r="DD81" s="2179"/>
      <c r="DE81" s="2179"/>
      <c r="DF81" s="2179"/>
      <c r="DH81" s="277" t="s">
        <v>737</v>
      </c>
      <c r="DI81" s="277" t="s">
        <v>682</v>
      </c>
      <c r="DJ81" s="2210"/>
      <c r="DK81" s="2179"/>
      <c r="DX81" s="1"/>
      <c r="DZ81" s="735" t="s">
        <v>712</v>
      </c>
      <c r="EA81" s="3643">
        <f>EC81*EA68</f>
        <v>1048750</v>
      </c>
      <c r="EB81" s="3644">
        <f>+EB80*1.05</f>
        <v>85085.4375</v>
      </c>
      <c r="EC81" s="2186">
        <f>3780+415</f>
        <v>4195</v>
      </c>
      <c r="ED81" s="748"/>
      <c r="EE81" s="277">
        <v>3780</v>
      </c>
      <c r="EF81" s="277">
        <v>415</v>
      </c>
      <c r="EP81" s="286"/>
      <c r="EQ81" s="286"/>
      <c r="FC81" s="2174"/>
      <c r="FD81" s="2174"/>
      <c r="FG81" s="2179"/>
      <c r="FH81" s="2179"/>
      <c r="FI81" s="3641" t="str">
        <f>IF(FH74=FI82,"Right","Wrong")</f>
        <v>Wrong</v>
      </c>
      <c r="FJ81" s="2179"/>
      <c r="FK81" s="3641" t="str">
        <f>IF(FH73=FK82,"Right","Wrong")</f>
        <v>Wrong</v>
      </c>
      <c r="FL81" s="2179"/>
      <c r="FM81" s="2179"/>
      <c r="FN81" s="2179"/>
      <c r="FO81" s="2179"/>
      <c r="FP81" s="2179"/>
      <c r="FQ81" s="2179"/>
      <c r="FT81" s="286"/>
      <c r="FY81" s="2176"/>
      <c r="FZ81" s="2176"/>
      <c r="GC81" s="2179"/>
      <c r="GD81" s="2179"/>
      <c r="GE81" s="3641" t="str">
        <f>IF(GD74=GE82,"Right","Wrong")</f>
        <v>Wrong</v>
      </c>
      <c r="GF81" s="2179"/>
      <c r="GG81" s="3641" t="str">
        <f>IF(GD73=GG82,"Right","Wrong")</f>
        <v>Wrong</v>
      </c>
      <c r="GH81" s="2179"/>
      <c r="GI81" s="2179"/>
      <c r="GJ81" s="2179"/>
      <c r="GK81" s="2179"/>
      <c r="GL81" s="2179"/>
      <c r="GM81" s="2179"/>
      <c r="GP81" s="286"/>
      <c r="GU81" s="2174"/>
      <c r="GX81" s="2179"/>
      <c r="GY81" s="2179"/>
      <c r="GZ81" s="3641" t="str">
        <f>IF(GY74=GZ82,"Right","Wrong")</f>
        <v>Right</v>
      </c>
      <c r="HA81" s="2179"/>
      <c r="HB81" s="3641" t="str">
        <f>IF(GY73=HB82,"Right","Wrong")</f>
        <v>Right</v>
      </c>
      <c r="HC81" s="2179"/>
      <c r="HD81" s="2179"/>
      <c r="HE81" s="2179"/>
      <c r="HF81" s="2179"/>
      <c r="HG81" s="2179"/>
      <c r="HH81" s="2179"/>
      <c r="HK81" s="286"/>
      <c r="HO81" s="2176"/>
      <c r="HP81" s="2176"/>
      <c r="HS81" s="2179"/>
      <c r="HT81" s="2179"/>
      <c r="HU81" s="3641" t="str">
        <f>IF(HT74=HU82,"Right","Wrong")</f>
        <v>Right</v>
      </c>
      <c r="HV81" s="2179"/>
      <c r="HW81" s="3641" t="str">
        <f>IF(HT73=HW82,"Right","Wrong")</f>
        <v>Right</v>
      </c>
      <c r="HX81" s="2179"/>
      <c r="HY81" s="2179"/>
      <c r="HZ81" s="2179"/>
      <c r="IA81" s="2179"/>
      <c r="IB81" s="2179"/>
      <c r="IC81" s="2179"/>
      <c r="IF81" s="286"/>
    </row>
    <row r="82" spans="3:242" ht="21.95" customHeight="1" thickBot="1">
      <c r="C82" s="280" t="s">
        <v>713</v>
      </c>
      <c r="D82" s="3643">
        <f>F82*D68</f>
        <v>1412500</v>
      </c>
      <c r="E82" s="3645">
        <f>+E81*10.5</f>
        <v>893397.09375</v>
      </c>
      <c r="F82" s="2186">
        <f>5100+550</f>
        <v>5650</v>
      </c>
      <c r="G82" s="280"/>
      <c r="H82" s="277">
        <v>5100</v>
      </c>
      <c r="I82" s="277">
        <v>550</v>
      </c>
      <c r="S82" s="286"/>
      <c r="T82" s="286"/>
      <c r="AF82" s="2174"/>
      <c r="AG82" s="2174"/>
      <c r="AJ82" s="2179"/>
      <c r="AK82" s="2179"/>
      <c r="AL82" s="2179"/>
      <c r="AM82" s="2179"/>
      <c r="AN82" s="2179"/>
      <c r="AO82" s="2179"/>
      <c r="AP82" s="2179"/>
      <c r="AQ82" s="2179"/>
      <c r="AR82" s="2179"/>
      <c r="AS82" s="182"/>
      <c r="AT82" s="2179"/>
      <c r="AV82" s="3647">
        <f>AK41</f>
        <v>19.915970774546171</v>
      </c>
      <c r="AW82" s="3648">
        <f>AK40</f>
        <v>224</v>
      </c>
      <c r="AX82" s="3631">
        <f>IFERROR(AW100,0)</f>
        <v>0</v>
      </c>
      <c r="AY82" s="3628" t="str">
        <f>IF(AL81&gt;AV82,"Right","Wrong")</f>
        <v>Wrong</v>
      </c>
      <c r="BB82" s="2176"/>
      <c r="BC82" s="2176"/>
      <c r="BF82" s="2179"/>
      <c r="BG82" s="2179"/>
      <c r="BH82" s="2179"/>
      <c r="BI82" s="2179"/>
      <c r="BJ82" s="2179"/>
      <c r="BK82" s="2179"/>
      <c r="BL82" s="2179"/>
      <c r="BM82" s="2179"/>
      <c r="BN82" s="2179"/>
      <c r="BO82" s="182"/>
      <c r="BP82" s="2179"/>
      <c r="BR82" s="3647">
        <f>BG41</f>
        <v>19.915970774546171</v>
      </c>
      <c r="BS82" s="3648">
        <f>BG40</f>
        <v>200</v>
      </c>
      <c r="BT82" s="3631">
        <f>IFERROR(BS100,0)</f>
        <v>0</v>
      </c>
      <c r="BU82" s="3628" t="str">
        <f>IF(BH81&gt;BR82,"Right","Wrong")</f>
        <v>Wrong</v>
      </c>
      <c r="BX82" s="2174"/>
      <c r="CA82" s="2179"/>
      <c r="CB82" s="2179"/>
      <c r="CC82" s="2179"/>
      <c r="CD82" s="2179"/>
      <c r="CE82" s="2179"/>
      <c r="CF82" s="2179"/>
      <c r="CG82" s="2179"/>
      <c r="CH82" s="2179"/>
      <c r="CI82" s="2179"/>
      <c r="CJ82" s="182"/>
      <c r="CK82" s="2179"/>
      <c r="CM82" s="3647">
        <f>CB41</f>
        <v>19.915970774546171</v>
      </c>
      <c r="CN82" s="3648">
        <f>CB40</f>
        <v>215</v>
      </c>
      <c r="CO82" s="3631">
        <f>IFERROR(CN100,0)</f>
        <v>0</v>
      </c>
      <c r="CP82" s="3628" t="str">
        <f>IF(CC81&gt;CM82,"Right","Wrong")</f>
        <v>Wrong</v>
      </c>
      <c r="CR82" s="2176"/>
      <c r="CS82" s="2176"/>
      <c r="CV82" s="2179"/>
      <c r="CW82" s="2179"/>
      <c r="CX82" s="2179"/>
      <c r="CY82" s="2179"/>
      <c r="CZ82" s="2179"/>
      <c r="DA82" s="2179"/>
      <c r="DB82" s="2179"/>
      <c r="DC82" s="2179"/>
      <c r="DD82" s="2179"/>
      <c r="DE82" s="182"/>
      <c r="DF82" s="2179"/>
      <c r="DH82" s="3647">
        <f>CW41</f>
        <v>19.915970774546171</v>
      </c>
      <c r="DI82" s="3648">
        <f>CW40</f>
        <v>195</v>
      </c>
      <c r="DJ82" s="3631">
        <f>IFERROR(DI100,0)</f>
        <v>0</v>
      </c>
      <c r="DK82" s="3628" t="str">
        <f>IF(CX81&gt;DH82,"Right","Wrong")</f>
        <v>Wrong</v>
      </c>
      <c r="DX82" s="1"/>
      <c r="DZ82" s="280" t="s">
        <v>713</v>
      </c>
      <c r="EA82" s="3643">
        <f>EC82*EA68</f>
        <v>1412500</v>
      </c>
      <c r="EB82" s="3645">
        <f>+EB81*10.5</f>
        <v>893397.09375</v>
      </c>
      <c r="EC82" s="2186">
        <f>5100+550</f>
        <v>5650</v>
      </c>
      <c r="ED82" s="280"/>
      <c r="EE82" s="277">
        <v>5100</v>
      </c>
      <c r="EF82" s="277">
        <v>550</v>
      </c>
      <c r="EP82" s="286"/>
      <c r="EQ82" s="286"/>
      <c r="FC82" s="2174"/>
      <c r="FD82" s="2174"/>
      <c r="FG82" s="2254" t="s">
        <v>729</v>
      </c>
      <c r="FH82" s="277" t="s">
        <v>737</v>
      </c>
      <c r="FI82" s="3646">
        <f>IF(FU83&gt;0,FU83,FU104)</f>
        <v>0</v>
      </c>
      <c r="FJ82" s="277" t="s">
        <v>2185</v>
      </c>
      <c r="FK82" s="3646">
        <f>IF(FU84&gt;0,FU84,FU105)</f>
        <v>0</v>
      </c>
      <c r="FL82" s="2179"/>
      <c r="FM82" s="2179"/>
      <c r="FN82" s="2179"/>
      <c r="FO82" s="2179"/>
      <c r="FP82" s="2179"/>
      <c r="FQ82" s="2179"/>
      <c r="FS82" s="277" t="s">
        <v>737</v>
      </c>
      <c r="FT82" s="277" t="s">
        <v>682</v>
      </c>
      <c r="FU82" s="2210"/>
      <c r="FV82" s="2179"/>
      <c r="FY82" s="2176"/>
      <c r="FZ82" s="2176"/>
      <c r="GC82" s="2254" t="s">
        <v>729</v>
      </c>
      <c r="GD82" s="277" t="s">
        <v>737</v>
      </c>
      <c r="GE82" s="3646">
        <f>IF(GQ83&gt;0,GQ83,GQ104)</f>
        <v>0</v>
      </c>
      <c r="GF82" s="277" t="s">
        <v>2185</v>
      </c>
      <c r="GG82" s="3646">
        <f>IF(GQ84&gt;0,GQ84,GQ105)</f>
        <v>0</v>
      </c>
      <c r="GH82" s="2179"/>
      <c r="GI82" s="2179"/>
      <c r="GJ82" s="2179"/>
      <c r="GK82" s="2179"/>
      <c r="GL82" s="2179"/>
      <c r="GM82" s="2179"/>
      <c r="GO82" s="277" t="s">
        <v>737</v>
      </c>
      <c r="GP82" s="277" t="s">
        <v>682</v>
      </c>
      <c r="GQ82" s="2210"/>
      <c r="GR82" s="2179"/>
      <c r="GU82" s="2174"/>
      <c r="GX82" s="2254" t="s">
        <v>729</v>
      </c>
      <c r="GY82" s="277" t="s">
        <v>737</v>
      </c>
      <c r="GZ82" s="3646">
        <f>IF(HL83&gt;0,HL83,HL104)</f>
        <v>21</v>
      </c>
      <c r="HA82" s="277" t="s">
        <v>2185</v>
      </c>
      <c r="HB82" s="3646">
        <f>IF(HL84&gt;0,HL84,HL105)</f>
        <v>280</v>
      </c>
      <c r="HC82" s="2179"/>
      <c r="HD82" s="2179"/>
      <c r="HE82" s="2179"/>
      <c r="HF82" s="2179"/>
      <c r="HG82" s="2179"/>
      <c r="HH82" s="2179"/>
      <c r="HJ82" s="277" t="s">
        <v>737</v>
      </c>
      <c r="HK82" s="277" t="s">
        <v>682</v>
      </c>
      <c r="HL82" s="2210"/>
      <c r="HM82" s="2179"/>
      <c r="HN82" s="2231"/>
      <c r="HO82" s="2235"/>
      <c r="HP82" s="2176"/>
      <c r="HS82" s="2254" t="s">
        <v>729</v>
      </c>
      <c r="HT82" s="277" t="s">
        <v>737</v>
      </c>
      <c r="HU82" s="3646">
        <f>IF(IG83&gt;0,IG83,IG104)</f>
        <v>29.3</v>
      </c>
      <c r="HV82" s="277" t="s">
        <v>2185</v>
      </c>
      <c r="HW82" s="3646">
        <f>IF(IG84&gt;0,IG84,IG105)</f>
        <v>280</v>
      </c>
      <c r="HX82" s="2179"/>
      <c r="HY82" s="2179"/>
      <c r="HZ82" s="2179"/>
      <c r="IA82" s="2179"/>
      <c r="IB82" s="2179"/>
      <c r="IC82" s="2179"/>
      <c r="IE82" s="277" t="s">
        <v>737</v>
      </c>
      <c r="IF82" s="277" t="s">
        <v>682</v>
      </c>
      <c r="IG82" s="2210"/>
      <c r="IH82" s="2179"/>
    </row>
    <row r="83" spans="3:242" ht="21.95" customHeight="1" thickBot="1">
      <c r="C83" s="280" t="s">
        <v>2189</v>
      </c>
      <c r="D83" s="3643">
        <f>F83*D68</f>
        <v>1931250</v>
      </c>
      <c r="E83" s="3645">
        <f>+E82*1.05</f>
        <v>938066.94843750005</v>
      </c>
      <c r="F83" s="2186">
        <f>6900+825</f>
        <v>7725</v>
      </c>
      <c r="G83" s="280"/>
      <c r="H83" s="277">
        <v>6900</v>
      </c>
      <c r="I83" s="277">
        <v>825</v>
      </c>
      <c r="S83" s="286"/>
      <c r="T83" s="286"/>
      <c r="AF83" s="2174"/>
      <c r="AG83" s="2174"/>
      <c r="AJ83" s="2258" t="s">
        <v>730</v>
      </c>
      <c r="AK83" s="245">
        <v>14</v>
      </c>
      <c r="AL83" s="245">
        <v>16</v>
      </c>
      <c r="AM83" s="245">
        <v>18</v>
      </c>
      <c r="AN83" s="245">
        <v>20</v>
      </c>
      <c r="AO83" s="245">
        <v>22.4</v>
      </c>
      <c r="AP83" s="245">
        <v>25</v>
      </c>
      <c r="AQ83" s="245">
        <v>28</v>
      </c>
      <c r="AR83" s="245">
        <v>31.5</v>
      </c>
      <c r="AS83" s="6">
        <v>35.5</v>
      </c>
      <c r="AT83" s="2179"/>
      <c r="AV83" s="990"/>
      <c r="AW83" s="2237"/>
      <c r="AX83" s="3631">
        <f>IFERROR(AX100,0)</f>
        <v>0</v>
      </c>
      <c r="AY83" s="2179"/>
      <c r="BB83" s="2176"/>
      <c r="BC83" s="2259"/>
      <c r="BD83" s="108"/>
      <c r="BE83" s="108"/>
      <c r="BF83" s="2258" t="s">
        <v>730</v>
      </c>
      <c r="BG83" s="245">
        <v>14</v>
      </c>
      <c r="BH83" s="245">
        <v>16</v>
      </c>
      <c r="BI83" s="245">
        <v>18</v>
      </c>
      <c r="BJ83" s="245">
        <v>20</v>
      </c>
      <c r="BK83" s="245">
        <v>22.4</v>
      </c>
      <c r="BL83" s="245">
        <v>25</v>
      </c>
      <c r="BM83" s="245">
        <v>28</v>
      </c>
      <c r="BN83" s="245">
        <v>31.5</v>
      </c>
      <c r="BO83" s="6">
        <v>35.5</v>
      </c>
      <c r="BP83" s="2179"/>
      <c r="BR83" s="990"/>
      <c r="BS83" s="2237"/>
      <c r="BT83" s="3631">
        <f>IFERROR(BT100,0)</f>
        <v>0</v>
      </c>
      <c r="BU83" s="2179"/>
      <c r="BX83" s="2174"/>
      <c r="CA83" s="2260" t="s">
        <v>730</v>
      </c>
      <c r="CB83" s="2261">
        <v>25.6</v>
      </c>
      <c r="CC83" s="2261">
        <v>28.4</v>
      </c>
      <c r="CD83" s="2261">
        <v>31.4</v>
      </c>
      <c r="CE83" s="2261">
        <v>34.700000000000003</v>
      </c>
      <c r="CF83" s="2261">
        <v>38.4</v>
      </c>
      <c r="CG83" s="2261">
        <v>42.5</v>
      </c>
      <c r="CH83" s="2261">
        <v>47.1</v>
      </c>
      <c r="CI83" s="2262">
        <v>52.1</v>
      </c>
      <c r="CJ83" s="2179"/>
      <c r="CK83" s="2179"/>
      <c r="CM83" s="990"/>
      <c r="CN83" s="2237"/>
      <c r="CO83" s="3631">
        <f>IFERROR(CO100,0)</f>
        <v>0</v>
      </c>
      <c r="CP83" s="2179"/>
      <c r="CR83" s="2176"/>
      <c r="CS83" s="2176"/>
      <c r="CV83" s="2260" t="s">
        <v>730</v>
      </c>
      <c r="CW83" s="2261">
        <v>25.6</v>
      </c>
      <c r="CX83" s="2261">
        <v>28.4</v>
      </c>
      <c r="CY83" s="2261">
        <v>31.4</v>
      </c>
      <c r="CZ83" s="2261">
        <v>34.700000000000003</v>
      </c>
      <c r="DA83" s="2261">
        <v>38.4</v>
      </c>
      <c r="DB83" s="2261">
        <v>42.5</v>
      </c>
      <c r="DC83" s="2261">
        <v>47.1</v>
      </c>
      <c r="DD83" s="2262">
        <v>52.1</v>
      </c>
      <c r="DE83" s="2179"/>
      <c r="DF83" s="2179"/>
      <c r="DH83" s="990"/>
      <c r="DI83" s="2237"/>
      <c r="DJ83" s="3631">
        <f>IFERROR(DJ100,0)</f>
        <v>0</v>
      </c>
      <c r="DK83" s="2179"/>
      <c r="DX83" s="1"/>
      <c r="DZ83" s="280" t="s">
        <v>2189</v>
      </c>
      <c r="EA83" s="3643">
        <f>EC83*EA68</f>
        <v>1931250</v>
      </c>
      <c r="EB83" s="3645">
        <f>+EB82*1.05</f>
        <v>938066.94843750005</v>
      </c>
      <c r="EC83" s="2186">
        <f>6900+825</f>
        <v>7725</v>
      </c>
      <c r="ED83" s="280"/>
      <c r="EE83" s="277">
        <v>6900</v>
      </c>
      <c r="EF83" s="277">
        <v>825</v>
      </c>
      <c r="EP83" s="286"/>
      <c r="EQ83" s="286"/>
      <c r="FC83" s="2174"/>
      <c r="FD83" s="2174"/>
      <c r="FG83" s="2179"/>
      <c r="FH83" s="2179"/>
      <c r="FI83" s="2179"/>
      <c r="FJ83" s="2179"/>
      <c r="FK83" s="2179"/>
      <c r="FL83" s="2179"/>
      <c r="FM83" s="2179"/>
      <c r="FN83" s="2179"/>
      <c r="FO83" s="2179"/>
      <c r="FP83" s="182"/>
      <c r="FQ83" s="2179"/>
      <c r="FS83" s="3647">
        <f>FH42</f>
        <v>19.968225884687833</v>
      </c>
      <c r="FT83" s="3648">
        <f>FH41</f>
        <v>140</v>
      </c>
      <c r="FU83" s="3631">
        <f>IFERROR(FT101,0)</f>
        <v>0</v>
      </c>
      <c r="FV83" s="3628" t="str">
        <f>IF(FI82&gt;FS83,"Right","Wrong")</f>
        <v>Wrong</v>
      </c>
      <c r="FY83" s="2176"/>
      <c r="FZ83" s="2176"/>
      <c r="GC83" s="2179"/>
      <c r="GD83" s="2179"/>
      <c r="GE83" s="2179"/>
      <c r="GF83" s="2179"/>
      <c r="GG83" s="2179"/>
      <c r="GH83" s="2179"/>
      <c r="GI83" s="2179"/>
      <c r="GJ83" s="2179"/>
      <c r="GK83" s="2179"/>
      <c r="GL83" s="182"/>
      <c r="GM83" s="2179"/>
      <c r="GO83" s="3647">
        <f>GD42</f>
        <v>19.968225884687833</v>
      </c>
      <c r="GP83" s="3648">
        <f>GD41</f>
        <v>125</v>
      </c>
      <c r="GQ83" s="3631">
        <f>IFERROR(GP101,0)</f>
        <v>0</v>
      </c>
      <c r="GR83" s="3628" t="str">
        <f>IF(GE82&gt;GO83,"Right","Wrong")</f>
        <v>Wrong</v>
      </c>
      <c r="GU83" s="2174"/>
      <c r="GX83" s="2179"/>
      <c r="GY83" s="2179"/>
      <c r="GZ83" s="2179"/>
      <c r="HA83" s="2179"/>
      <c r="HB83" s="2179"/>
      <c r="HC83" s="2179"/>
      <c r="HD83" s="2179"/>
      <c r="HE83" s="2179"/>
      <c r="HF83" s="2179"/>
      <c r="HG83" s="182"/>
      <c r="HH83" s="2179"/>
      <c r="HJ83" s="3647">
        <f>GY42</f>
        <v>19.968225884687833</v>
      </c>
      <c r="HK83" s="3648">
        <f>GY41</f>
        <v>130</v>
      </c>
      <c r="HL83" s="3631">
        <f>IFERROR(HK101,0)</f>
        <v>0</v>
      </c>
      <c r="HM83" s="3628" t="str">
        <f>IF(GZ82&gt;HJ83,"Right","Wrong")</f>
        <v>Right</v>
      </c>
      <c r="HO83" s="2176"/>
      <c r="HP83" s="2176"/>
      <c r="HS83" s="2179"/>
      <c r="HT83" s="2179"/>
      <c r="HU83" s="2179"/>
      <c r="HV83" s="2179"/>
      <c r="HW83" s="2179"/>
      <c r="HX83" s="2179"/>
      <c r="HY83" s="2179"/>
      <c r="HZ83" s="2179"/>
      <c r="IA83" s="2179"/>
      <c r="IB83" s="182"/>
      <c r="IC83" s="2179"/>
      <c r="IE83" s="3647">
        <f>HT42</f>
        <v>19.968225884687833</v>
      </c>
      <c r="IF83" s="3648">
        <f>HT41</f>
        <v>117</v>
      </c>
      <c r="IG83" s="3631">
        <f>IFERROR(IF101,0)</f>
        <v>0</v>
      </c>
      <c r="IH83" s="3628" t="str">
        <f>IF(HU82&gt;IE83,"Right","Wrong")</f>
        <v>Right</v>
      </c>
    </row>
    <row r="84" spans="3:242" ht="21.95" customHeight="1" thickBot="1">
      <c r="C84" s="280" t="s">
        <v>2190</v>
      </c>
      <c r="D84" s="280"/>
      <c r="E84" s="280"/>
      <c r="F84" s="280"/>
      <c r="G84" s="280"/>
      <c r="S84" s="286"/>
      <c r="T84" s="286"/>
      <c r="AF84" s="2174"/>
      <c r="AG84" s="2174"/>
      <c r="AJ84" s="7">
        <v>160</v>
      </c>
      <c r="AK84" s="29">
        <v>34</v>
      </c>
      <c r="AL84" s="29">
        <v>32</v>
      </c>
      <c r="AM84" s="29">
        <v>30</v>
      </c>
      <c r="AN84" s="29">
        <v>27</v>
      </c>
      <c r="AO84" s="29">
        <v>24</v>
      </c>
      <c r="AP84" s="29">
        <v>20</v>
      </c>
      <c r="AQ84" s="280">
        <v>18</v>
      </c>
      <c r="AR84" s="280">
        <v>16</v>
      </c>
      <c r="AS84" s="990">
        <v>15</v>
      </c>
      <c r="AT84" s="2179"/>
      <c r="AV84" s="990">
        <v>0</v>
      </c>
      <c r="AW84" s="3649" t="e">
        <f>+AV85</f>
        <v>#N/A</v>
      </c>
      <c r="AX84" s="2263">
        <v>160</v>
      </c>
      <c r="AY84" s="2179"/>
      <c r="BB84" s="2176"/>
      <c r="BC84" s="2176"/>
      <c r="BF84" s="7">
        <v>160</v>
      </c>
      <c r="BG84" s="29">
        <v>34</v>
      </c>
      <c r="BH84" s="29">
        <v>32</v>
      </c>
      <c r="BI84" s="29">
        <v>30</v>
      </c>
      <c r="BJ84" s="29">
        <v>27</v>
      </c>
      <c r="BK84" s="29">
        <v>24</v>
      </c>
      <c r="BL84" s="29">
        <v>20</v>
      </c>
      <c r="BM84" s="280">
        <v>18</v>
      </c>
      <c r="BN84" s="280">
        <v>16</v>
      </c>
      <c r="BO84" s="990">
        <v>15</v>
      </c>
      <c r="BP84" s="2179"/>
      <c r="BR84" s="990">
        <v>0</v>
      </c>
      <c r="BS84" s="3649" t="e">
        <f>+BR85</f>
        <v>#N/A</v>
      </c>
      <c r="BT84" s="2263">
        <v>160</v>
      </c>
      <c r="BU84" s="2179"/>
      <c r="BX84" s="2174"/>
      <c r="CA84" s="2264">
        <v>140</v>
      </c>
      <c r="CB84" s="2265">
        <v>14.8</v>
      </c>
      <c r="CC84" s="2265">
        <v>14</v>
      </c>
      <c r="CD84" s="2265">
        <v>11.5</v>
      </c>
      <c r="CE84" s="2265">
        <v>11.1</v>
      </c>
      <c r="CF84" s="2265">
        <v>9.91</v>
      </c>
      <c r="CG84" s="2265">
        <v>8.89</v>
      </c>
      <c r="CH84" s="2238">
        <v>8.35</v>
      </c>
      <c r="CI84" s="2239">
        <v>7.38</v>
      </c>
      <c r="CJ84" s="2179"/>
      <c r="CK84" s="2179"/>
      <c r="CM84" s="990">
        <v>0</v>
      </c>
      <c r="CN84" s="3649" t="e">
        <f t="shared" ref="CN84:CN96" si="95">+CM85</f>
        <v>#N/A</v>
      </c>
      <c r="CO84" s="2263">
        <v>140</v>
      </c>
      <c r="CP84" s="2179"/>
      <c r="CR84" s="2176"/>
      <c r="CS84" s="2176"/>
      <c r="CV84" s="2264">
        <v>140</v>
      </c>
      <c r="CW84" s="2265">
        <v>14.8</v>
      </c>
      <c r="CX84" s="2265">
        <v>14</v>
      </c>
      <c r="CY84" s="2265">
        <v>11.5</v>
      </c>
      <c r="CZ84" s="2265">
        <v>11.1</v>
      </c>
      <c r="DA84" s="2265">
        <v>9.91</v>
      </c>
      <c r="DB84" s="2265">
        <v>8.89</v>
      </c>
      <c r="DC84" s="2238">
        <v>8.35</v>
      </c>
      <c r="DD84" s="2239">
        <v>7.38</v>
      </c>
      <c r="DE84" s="2179"/>
      <c r="DF84" s="2179"/>
      <c r="DH84" s="990">
        <v>0</v>
      </c>
      <c r="DI84" s="3649" t="e">
        <f t="shared" ref="DI84:DI96" si="96">+DH85</f>
        <v>#N/A</v>
      </c>
      <c r="DJ84" s="2263">
        <v>140</v>
      </c>
      <c r="DK84" s="2179"/>
      <c r="DX84" s="1"/>
      <c r="DZ84" s="280" t="s">
        <v>2190</v>
      </c>
      <c r="EA84" s="280"/>
      <c r="EB84" s="280"/>
      <c r="EC84" s="280"/>
      <c r="ED84" s="280"/>
      <c r="EP84" s="286"/>
      <c r="EQ84" s="286"/>
      <c r="FC84" s="2174"/>
      <c r="FD84" s="2174"/>
      <c r="FG84" s="2258" t="s">
        <v>730</v>
      </c>
      <c r="FH84" s="245">
        <v>14</v>
      </c>
      <c r="FI84" s="245">
        <v>16</v>
      </c>
      <c r="FJ84" s="245">
        <v>18</v>
      </c>
      <c r="FK84" s="245">
        <v>20</v>
      </c>
      <c r="FL84" s="245">
        <v>22.4</v>
      </c>
      <c r="FM84" s="245">
        <v>25</v>
      </c>
      <c r="FN84" s="245">
        <v>28</v>
      </c>
      <c r="FO84" s="245">
        <v>31.5</v>
      </c>
      <c r="FP84" s="6">
        <v>35.5</v>
      </c>
      <c r="FQ84" s="2179"/>
      <c r="FS84" s="990"/>
      <c r="FT84" s="2237"/>
      <c r="FU84" s="3631">
        <f>IFERROR(FU101,0)</f>
        <v>0</v>
      </c>
      <c r="FV84" s="2179"/>
      <c r="FY84" s="2176"/>
      <c r="FZ84" s="2259"/>
      <c r="GA84" s="108"/>
      <c r="GB84" s="108"/>
      <c r="GC84" s="2258" t="s">
        <v>730</v>
      </c>
      <c r="GD84" s="245">
        <v>14</v>
      </c>
      <c r="GE84" s="245">
        <v>16</v>
      </c>
      <c r="GF84" s="245">
        <v>18</v>
      </c>
      <c r="GG84" s="245">
        <v>20</v>
      </c>
      <c r="GH84" s="245">
        <v>22.4</v>
      </c>
      <c r="GI84" s="245">
        <v>25</v>
      </c>
      <c r="GJ84" s="245">
        <v>28</v>
      </c>
      <c r="GK84" s="245">
        <v>31.5</v>
      </c>
      <c r="GL84" s="6">
        <v>35.5</v>
      </c>
      <c r="GM84" s="2179"/>
      <c r="GO84" s="990"/>
      <c r="GP84" s="2237"/>
      <c r="GQ84" s="3631">
        <f>IFERROR(GQ101,0)</f>
        <v>0</v>
      </c>
      <c r="GR84" s="2179"/>
      <c r="GU84" s="2174"/>
      <c r="GX84" s="2260" t="s">
        <v>730</v>
      </c>
      <c r="GY84" s="2261">
        <v>25.6</v>
      </c>
      <c r="GZ84" s="2261">
        <v>28.4</v>
      </c>
      <c r="HA84" s="2261">
        <v>31.4</v>
      </c>
      <c r="HB84" s="2261">
        <v>34.700000000000003</v>
      </c>
      <c r="HC84" s="2261">
        <v>38.4</v>
      </c>
      <c r="HD84" s="2261">
        <v>42.5</v>
      </c>
      <c r="HE84" s="2261">
        <v>47.1</v>
      </c>
      <c r="HF84" s="2262">
        <v>52.1</v>
      </c>
      <c r="HG84" s="2179"/>
      <c r="HH84" s="2179"/>
      <c r="HJ84" s="990"/>
      <c r="HK84" s="2237"/>
      <c r="HL84" s="3631">
        <f>IFERROR(HL101,0)</f>
        <v>0</v>
      </c>
      <c r="HM84" s="2179"/>
      <c r="HO84" s="2176"/>
      <c r="HP84" s="2176"/>
      <c r="HS84" s="2260" t="s">
        <v>730</v>
      </c>
      <c r="HT84" s="2261">
        <v>25.6</v>
      </c>
      <c r="HU84" s="2261">
        <v>28.4</v>
      </c>
      <c r="HV84" s="2261">
        <v>31.4</v>
      </c>
      <c r="HW84" s="2261">
        <v>34.700000000000003</v>
      </c>
      <c r="HX84" s="2261">
        <v>38.4</v>
      </c>
      <c r="HY84" s="2261">
        <v>42.5</v>
      </c>
      <c r="HZ84" s="2261">
        <v>47.1</v>
      </c>
      <c r="IA84" s="2262">
        <v>52.1</v>
      </c>
      <c r="IB84" s="2179"/>
      <c r="IC84" s="2179"/>
      <c r="IE84" s="990"/>
      <c r="IF84" s="2237"/>
      <c r="IG84" s="3631">
        <f>IFERROR(IG101,0)</f>
        <v>0</v>
      </c>
      <c r="IH84" s="2179"/>
    </row>
    <row r="85" spans="3:242" ht="21.95" customHeight="1">
      <c r="C85" s="280" t="s">
        <v>2191</v>
      </c>
      <c r="D85" s="3643">
        <f>F85*D68</f>
        <v>74750</v>
      </c>
      <c r="E85" s="734">
        <v>23100</v>
      </c>
      <c r="F85" s="2186">
        <f>290+9</f>
        <v>299</v>
      </c>
      <c r="G85" s="280"/>
      <c r="H85" s="277">
        <v>295</v>
      </c>
      <c r="I85" s="277">
        <v>9</v>
      </c>
      <c r="S85" s="286"/>
      <c r="T85" s="286"/>
      <c r="AF85" s="2174"/>
      <c r="AG85" s="2174"/>
      <c r="AJ85" s="7">
        <v>180</v>
      </c>
      <c r="AK85" s="29">
        <v>47</v>
      </c>
      <c r="AL85" s="29">
        <v>44</v>
      </c>
      <c r="AM85" s="29">
        <v>42</v>
      </c>
      <c r="AN85" s="29">
        <v>39</v>
      </c>
      <c r="AO85" s="29">
        <v>35</v>
      </c>
      <c r="AP85" s="29">
        <v>30</v>
      </c>
      <c r="AQ85" s="280">
        <v>27</v>
      </c>
      <c r="AR85" s="280">
        <v>22</v>
      </c>
      <c r="AS85" s="990">
        <v>22</v>
      </c>
      <c r="AT85" s="2179"/>
      <c r="AV85" s="3649" t="e">
        <f>HLOOKUP(AW82,AK83:AS96,2,0)</f>
        <v>#N/A</v>
      </c>
      <c r="AW85" s="3649" t="e">
        <f t="shared" ref="AW85:AW96" si="97">+AV86</f>
        <v>#N/A</v>
      </c>
      <c r="AX85" s="735">
        <v>180</v>
      </c>
      <c r="AY85" s="2179"/>
      <c r="BB85" s="2176"/>
      <c r="BC85" s="2176"/>
      <c r="BF85" s="7">
        <v>180</v>
      </c>
      <c r="BG85" s="29">
        <v>47</v>
      </c>
      <c r="BH85" s="29">
        <v>44</v>
      </c>
      <c r="BI85" s="29">
        <v>42</v>
      </c>
      <c r="BJ85" s="29">
        <v>39</v>
      </c>
      <c r="BK85" s="29">
        <v>35</v>
      </c>
      <c r="BL85" s="29">
        <v>30</v>
      </c>
      <c r="BM85" s="280">
        <v>27</v>
      </c>
      <c r="BN85" s="280">
        <v>22</v>
      </c>
      <c r="BO85" s="990">
        <v>22</v>
      </c>
      <c r="BP85" s="2179"/>
      <c r="BR85" s="3649" t="e">
        <f>HLOOKUP(BS82,BG83:BO96,2,0)</f>
        <v>#N/A</v>
      </c>
      <c r="BS85" s="3649" t="e">
        <f t="shared" ref="BS85:BS96" si="98">+BR86</f>
        <v>#N/A</v>
      </c>
      <c r="BT85" s="735">
        <v>180</v>
      </c>
      <c r="BU85" s="2179"/>
      <c r="BX85" s="2174"/>
      <c r="CA85" s="2266">
        <v>160</v>
      </c>
      <c r="CB85" s="29">
        <v>22.8</v>
      </c>
      <c r="CC85" s="29">
        <v>19.899999999999999</v>
      </c>
      <c r="CD85" s="29">
        <v>17.7</v>
      </c>
      <c r="CE85" s="29">
        <v>16.399999999999999</v>
      </c>
      <c r="CF85" s="29">
        <v>14.9</v>
      </c>
      <c r="CG85" s="29">
        <v>13.3</v>
      </c>
      <c r="CH85" s="280">
        <v>13.3</v>
      </c>
      <c r="CI85" s="2240">
        <v>11.1</v>
      </c>
      <c r="CJ85" s="2179"/>
      <c r="CK85" s="2179"/>
      <c r="CM85" s="3649" t="e">
        <f>HLOOKUP(CN82,CB83:CI96,2,0)</f>
        <v>#N/A</v>
      </c>
      <c r="CN85" s="3649" t="e">
        <f t="shared" si="95"/>
        <v>#N/A</v>
      </c>
      <c r="CO85" s="735">
        <v>160</v>
      </c>
      <c r="CP85" s="2179"/>
      <c r="CR85" s="2176"/>
      <c r="CS85" s="2176"/>
      <c r="CV85" s="2266">
        <v>160</v>
      </c>
      <c r="CW85" s="29">
        <v>22.8</v>
      </c>
      <c r="CX85" s="29">
        <v>19.899999999999999</v>
      </c>
      <c r="CY85" s="29">
        <v>17.7</v>
      </c>
      <c r="CZ85" s="29">
        <v>16.399999999999999</v>
      </c>
      <c r="DA85" s="29">
        <v>14.9</v>
      </c>
      <c r="DB85" s="29">
        <v>13.3</v>
      </c>
      <c r="DC85" s="280">
        <v>13.3</v>
      </c>
      <c r="DD85" s="2240">
        <v>11.1</v>
      </c>
      <c r="DE85" s="2179"/>
      <c r="DF85" s="2179"/>
      <c r="DH85" s="3649" t="e">
        <f>HLOOKUP(DI82,CW83:DD96,2,0)</f>
        <v>#N/A</v>
      </c>
      <c r="DI85" s="3649" t="e">
        <f t="shared" si="96"/>
        <v>#N/A</v>
      </c>
      <c r="DJ85" s="735">
        <v>160</v>
      </c>
      <c r="DK85" s="2179"/>
      <c r="DX85" s="1"/>
      <c r="DZ85" s="280" t="s">
        <v>2191</v>
      </c>
      <c r="EA85" s="3643">
        <f>EC85*EA68</f>
        <v>74750</v>
      </c>
      <c r="EB85" s="734">
        <v>23100</v>
      </c>
      <c r="EC85" s="2186">
        <f>290+9</f>
        <v>299</v>
      </c>
      <c r="ED85" s="280"/>
      <c r="EE85" s="277">
        <v>295</v>
      </c>
      <c r="EF85" s="277">
        <v>9</v>
      </c>
      <c r="EP85" s="286"/>
      <c r="EQ85" s="286"/>
      <c r="FC85" s="2174"/>
      <c r="FD85" s="2174"/>
      <c r="FF85" s="277">
        <v>1</v>
      </c>
      <c r="FG85" s="7">
        <v>160</v>
      </c>
      <c r="FH85" s="29">
        <v>34</v>
      </c>
      <c r="FI85" s="29">
        <v>32</v>
      </c>
      <c r="FJ85" s="29">
        <v>30</v>
      </c>
      <c r="FK85" s="29">
        <v>27</v>
      </c>
      <c r="FL85" s="29">
        <v>24</v>
      </c>
      <c r="FM85" s="29">
        <v>20</v>
      </c>
      <c r="FN85" s="280">
        <v>18</v>
      </c>
      <c r="FO85" s="280">
        <v>16</v>
      </c>
      <c r="FP85" s="990">
        <v>15</v>
      </c>
      <c r="FQ85" s="2179"/>
      <c r="FS85" s="990">
        <v>0</v>
      </c>
      <c r="FT85" s="3649" t="e">
        <f>+FS86</f>
        <v>#N/A</v>
      </c>
      <c r="FU85" s="2263">
        <v>160</v>
      </c>
      <c r="FV85" s="2179"/>
      <c r="FY85" s="2176"/>
      <c r="FZ85" s="2176"/>
      <c r="GC85" s="7">
        <v>160</v>
      </c>
      <c r="GD85" s="29">
        <v>34</v>
      </c>
      <c r="GE85" s="29">
        <v>32</v>
      </c>
      <c r="GF85" s="29">
        <v>30</v>
      </c>
      <c r="GG85" s="29">
        <v>27</v>
      </c>
      <c r="GH85" s="29">
        <v>24</v>
      </c>
      <c r="GI85" s="29">
        <v>20</v>
      </c>
      <c r="GJ85" s="280">
        <v>18</v>
      </c>
      <c r="GK85" s="280">
        <v>16</v>
      </c>
      <c r="GL85" s="990">
        <v>15</v>
      </c>
      <c r="GM85" s="2179"/>
      <c r="GO85" s="990">
        <v>0</v>
      </c>
      <c r="GP85" s="3649" t="e">
        <f>+GO86</f>
        <v>#N/A</v>
      </c>
      <c r="GQ85" s="2263">
        <v>160</v>
      </c>
      <c r="GR85" s="2179"/>
      <c r="GU85" s="2174"/>
      <c r="GX85" s="2264">
        <v>140</v>
      </c>
      <c r="GY85" s="2265">
        <v>14.8</v>
      </c>
      <c r="GZ85" s="2265">
        <v>14</v>
      </c>
      <c r="HA85" s="2265">
        <v>11.5</v>
      </c>
      <c r="HB85" s="2265">
        <v>11.1</v>
      </c>
      <c r="HC85" s="2265">
        <v>9.91</v>
      </c>
      <c r="HD85" s="2265">
        <v>8.89</v>
      </c>
      <c r="HE85" s="2238">
        <v>8.35</v>
      </c>
      <c r="HF85" s="2239">
        <v>7.38</v>
      </c>
      <c r="HG85" s="2179"/>
      <c r="HH85" s="2179"/>
      <c r="HJ85" s="990">
        <v>0</v>
      </c>
      <c r="HK85" s="3649" t="e">
        <f t="shared" ref="HK85:HK97" si="99">+HJ86</f>
        <v>#N/A</v>
      </c>
      <c r="HL85" s="2263">
        <v>140</v>
      </c>
      <c r="HM85" s="2179"/>
      <c r="HO85" s="2176"/>
      <c r="HP85" s="2176"/>
      <c r="HS85" s="2264">
        <v>140</v>
      </c>
      <c r="HT85" s="2265">
        <v>14.8</v>
      </c>
      <c r="HU85" s="2265">
        <v>14</v>
      </c>
      <c r="HV85" s="2265">
        <v>11.5</v>
      </c>
      <c r="HW85" s="2265">
        <v>11.1</v>
      </c>
      <c r="HX85" s="2265">
        <v>9.91</v>
      </c>
      <c r="HY85" s="2265">
        <v>8.89</v>
      </c>
      <c r="HZ85" s="2238">
        <v>8.35</v>
      </c>
      <c r="IA85" s="2239">
        <v>7.38</v>
      </c>
      <c r="IB85" s="2179"/>
      <c r="IC85" s="2179"/>
      <c r="IE85" s="990">
        <v>0</v>
      </c>
      <c r="IF85" s="3649" t="e">
        <f t="shared" ref="IF85:IF97" si="100">+IE86</f>
        <v>#N/A</v>
      </c>
      <c r="IG85" s="2263">
        <v>140</v>
      </c>
      <c r="IH85" s="2179"/>
    </row>
    <row r="86" spans="3:242" ht="21.95" customHeight="1">
      <c r="C86" s="280" t="s">
        <v>2192</v>
      </c>
      <c r="D86" s="3643">
        <f>F86*D68</f>
        <v>80750</v>
      </c>
      <c r="E86" s="734">
        <v>26250</v>
      </c>
      <c r="F86" s="2186">
        <f>310+13</f>
        <v>323</v>
      </c>
      <c r="G86" s="280"/>
      <c r="H86" s="277">
        <v>320</v>
      </c>
      <c r="I86" s="277">
        <v>13</v>
      </c>
      <c r="S86" s="286"/>
      <c r="T86" s="286"/>
      <c r="AF86" s="2174"/>
      <c r="AG86" s="2174"/>
      <c r="AJ86" s="7">
        <v>200</v>
      </c>
      <c r="AK86" s="29">
        <v>73</v>
      </c>
      <c r="AL86" s="29">
        <v>66</v>
      </c>
      <c r="AM86" s="29">
        <v>60</v>
      </c>
      <c r="AN86" s="29">
        <v>54</v>
      </c>
      <c r="AO86" s="29">
        <v>50</v>
      </c>
      <c r="AP86" s="29">
        <v>42</v>
      </c>
      <c r="AQ86" s="280">
        <v>38</v>
      </c>
      <c r="AR86" s="280">
        <v>33</v>
      </c>
      <c r="AS86" s="990">
        <v>30</v>
      </c>
      <c r="AT86" s="2179"/>
      <c r="AV86" s="3649" t="e">
        <f>HLOOKUP(AW82,AK83:AS96,3,0)</f>
        <v>#N/A</v>
      </c>
      <c r="AW86" s="3649" t="e">
        <f t="shared" si="97"/>
        <v>#N/A</v>
      </c>
      <c r="AX86" s="735">
        <v>200</v>
      </c>
      <c r="AY86" s="2179"/>
      <c r="BB86" s="2176"/>
      <c r="BC86" s="2176"/>
      <c r="BF86" s="7">
        <v>200</v>
      </c>
      <c r="BG86" s="29">
        <v>73</v>
      </c>
      <c r="BH86" s="29">
        <v>66</v>
      </c>
      <c r="BI86" s="29">
        <v>60</v>
      </c>
      <c r="BJ86" s="29">
        <v>54</v>
      </c>
      <c r="BK86" s="29">
        <v>50</v>
      </c>
      <c r="BL86" s="29">
        <v>42</v>
      </c>
      <c r="BM86" s="280">
        <v>38</v>
      </c>
      <c r="BN86" s="280">
        <v>33</v>
      </c>
      <c r="BO86" s="990">
        <v>30</v>
      </c>
      <c r="BP86" s="2179"/>
      <c r="BR86" s="3649" t="e">
        <f>HLOOKUP(BS82,BG83:BO96,3,0)</f>
        <v>#N/A</v>
      </c>
      <c r="BS86" s="3649" t="e">
        <f t="shared" si="98"/>
        <v>#N/A</v>
      </c>
      <c r="BT86" s="735">
        <v>200</v>
      </c>
      <c r="BU86" s="2179"/>
      <c r="BX86" s="2174"/>
      <c r="CA86" s="2266">
        <v>180</v>
      </c>
      <c r="CB86" s="29">
        <v>33.200000000000003</v>
      </c>
      <c r="CC86" s="29">
        <v>30.3</v>
      </c>
      <c r="CD86" s="29">
        <v>27.5</v>
      </c>
      <c r="CE86" s="29">
        <v>25.4</v>
      </c>
      <c r="CF86" s="29">
        <v>22.3</v>
      </c>
      <c r="CG86" s="29">
        <v>20.6</v>
      </c>
      <c r="CH86" s="280">
        <v>20.6</v>
      </c>
      <c r="CI86" s="2240">
        <v>15.9</v>
      </c>
      <c r="CJ86" s="2179"/>
      <c r="CK86" s="2179"/>
      <c r="CM86" s="3649" t="e">
        <f>HLOOKUP(CN82,CB83:CI96,3,0)</f>
        <v>#N/A</v>
      </c>
      <c r="CN86" s="3649" t="e">
        <f t="shared" si="95"/>
        <v>#N/A</v>
      </c>
      <c r="CO86" s="735">
        <v>180</v>
      </c>
      <c r="CP86" s="2179"/>
      <c r="CR86" s="2176"/>
      <c r="CS86" s="2176"/>
      <c r="CV86" s="2266">
        <v>180</v>
      </c>
      <c r="CW86" s="29">
        <v>33.200000000000003</v>
      </c>
      <c r="CX86" s="29">
        <v>30.3</v>
      </c>
      <c r="CY86" s="29">
        <v>27.5</v>
      </c>
      <c r="CZ86" s="29">
        <v>25.4</v>
      </c>
      <c r="DA86" s="29">
        <v>22.3</v>
      </c>
      <c r="DB86" s="29">
        <v>20.6</v>
      </c>
      <c r="DC86" s="280">
        <v>20.6</v>
      </c>
      <c r="DD86" s="2240">
        <v>15.9</v>
      </c>
      <c r="DE86" s="2179"/>
      <c r="DF86" s="2179"/>
      <c r="DH86" s="3649" t="e">
        <f>HLOOKUP(DI82,CW83:DD96,3,0)</f>
        <v>#N/A</v>
      </c>
      <c r="DI86" s="3649" t="e">
        <f t="shared" si="96"/>
        <v>#N/A</v>
      </c>
      <c r="DJ86" s="735">
        <v>180</v>
      </c>
      <c r="DK86" s="2179"/>
      <c r="DX86" s="1"/>
      <c r="DZ86" s="280" t="s">
        <v>2192</v>
      </c>
      <c r="EA86" s="3643">
        <f>EC86*EA68</f>
        <v>80750</v>
      </c>
      <c r="EB86" s="734">
        <v>26250</v>
      </c>
      <c r="EC86" s="2186">
        <f>310+13</f>
        <v>323</v>
      </c>
      <c r="ED86" s="280"/>
      <c r="EE86" s="277">
        <v>320</v>
      </c>
      <c r="EF86" s="277">
        <v>13</v>
      </c>
      <c r="EP86" s="286"/>
      <c r="EQ86" s="286"/>
      <c r="FC86" s="2174"/>
      <c r="FD86" s="2174"/>
      <c r="FF86" s="277">
        <v>2</v>
      </c>
      <c r="FG86" s="7">
        <v>180</v>
      </c>
      <c r="FH86" s="29">
        <v>47</v>
      </c>
      <c r="FI86" s="29">
        <v>44</v>
      </c>
      <c r="FJ86" s="29">
        <v>42</v>
      </c>
      <c r="FK86" s="29">
        <v>39</v>
      </c>
      <c r="FL86" s="29">
        <v>35</v>
      </c>
      <c r="FM86" s="29">
        <v>30</v>
      </c>
      <c r="FN86" s="280">
        <v>27</v>
      </c>
      <c r="FO86" s="280">
        <v>22</v>
      </c>
      <c r="FP86" s="990">
        <v>22</v>
      </c>
      <c r="FQ86" s="2179"/>
      <c r="FS86" s="3649" t="e">
        <f>HLOOKUP(FT83,FH84:FP97,2,0)</f>
        <v>#N/A</v>
      </c>
      <c r="FT86" s="3649" t="e">
        <f t="shared" ref="FT86:FT96" si="101">+FS87</f>
        <v>#N/A</v>
      </c>
      <c r="FU86" s="735">
        <v>180</v>
      </c>
      <c r="FV86" s="2179"/>
      <c r="FY86" s="2176"/>
      <c r="FZ86" s="2176"/>
      <c r="GC86" s="7">
        <v>180</v>
      </c>
      <c r="GD86" s="29">
        <v>47</v>
      </c>
      <c r="GE86" s="29">
        <v>44</v>
      </c>
      <c r="GF86" s="29">
        <v>42</v>
      </c>
      <c r="GG86" s="29">
        <v>39</v>
      </c>
      <c r="GH86" s="29">
        <v>35</v>
      </c>
      <c r="GI86" s="29">
        <v>30</v>
      </c>
      <c r="GJ86" s="280">
        <v>27</v>
      </c>
      <c r="GK86" s="280">
        <v>22</v>
      </c>
      <c r="GL86" s="990">
        <v>22</v>
      </c>
      <c r="GM86" s="2179"/>
      <c r="GO86" s="3649" t="e">
        <f>HLOOKUP(GP83,GD84:GL97,2,0)</f>
        <v>#N/A</v>
      </c>
      <c r="GP86" s="3649" t="e">
        <f t="shared" ref="GP86:GP97" si="102">+GO87</f>
        <v>#N/A</v>
      </c>
      <c r="GQ86" s="735">
        <v>180</v>
      </c>
      <c r="GR86" s="2179"/>
      <c r="GU86" s="2174"/>
      <c r="GX86" s="2266">
        <v>160</v>
      </c>
      <c r="GY86" s="29">
        <v>22.8</v>
      </c>
      <c r="GZ86" s="29">
        <v>19.899999999999999</v>
      </c>
      <c r="HA86" s="29">
        <v>17.7</v>
      </c>
      <c r="HB86" s="29">
        <v>16.399999999999999</v>
      </c>
      <c r="HC86" s="29">
        <v>14.9</v>
      </c>
      <c r="HD86" s="29">
        <v>13.3</v>
      </c>
      <c r="HE86" s="280">
        <v>13.3</v>
      </c>
      <c r="HF86" s="2240">
        <v>11.1</v>
      </c>
      <c r="HG86" s="2179"/>
      <c r="HH86" s="2179"/>
      <c r="HJ86" s="3649" t="e">
        <f>HLOOKUP(HK83,GY84:HF97,2,0)</f>
        <v>#N/A</v>
      </c>
      <c r="HK86" s="3649" t="e">
        <f t="shared" si="99"/>
        <v>#N/A</v>
      </c>
      <c r="HL86" s="735">
        <v>160</v>
      </c>
      <c r="HM86" s="2179"/>
      <c r="HO86" s="2176"/>
      <c r="HP86" s="2176"/>
      <c r="HS86" s="2266">
        <v>160</v>
      </c>
      <c r="HT86" s="29">
        <v>22.8</v>
      </c>
      <c r="HU86" s="29">
        <v>19.899999999999999</v>
      </c>
      <c r="HV86" s="29">
        <v>17.7</v>
      </c>
      <c r="HW86" s="29">
        <v>16.399999999999999</v>
      </c>
      <c r="HX86" s="29">
        <v>14.9</v>
      </c>
      <c r="HY86" s="29">
        <v>13.3</v>
      </c>
      <c r="HZ86" s="280">
        <v>13.3</v>
      </c>
      <c r="IA86" s="2240">
        <v>11.1</v>
      </c>
      <c r="IB86" s="2179"/>
      <c r="IC86" s="2179"/>
      <c r="IE86" s="3649" t="e">
        <f>HLOOKUP(IF83,HT84:IA97,2,0)</f>
        <v>#N/A</v>
      </c>
      <c r="IF86" s="3649" t="e">
        <f t="shared" si="100"/>
        <v>#N/A</v>
      </c>
      <c r="IG86" s="735">
        <v>160</v>
      </c>
      <c r="IH86" s="2179"/>
    </row>
    <row r="87" spans="3:242" ht="21.95" customHeight="1">
      <c r="C87" s="280" t="s">
        <v>2193</v>
      </c>
      <c r="D87" s="3643">
        <f>F87*D68</f>
        <v>86750</v>
      </c>
      <c r="E87" s="734">
        <v>29400</v>
      </c>
      <c r="F87" s="2186">
        <f>330+17</f>
        <v>347</v>
      </c>
      <c r="G87" s="280"/>
      <c r="H87" s="277">
        <v>345</v>
      </c>
      <c r="I87" s="277">
        <v>17</v>
      </c>
      <c r="S87" s="286"/>
      <c r="T87" s="286"/>
      <c r="AF87" s="2174"/>
      <c r="AG87" s="2174"/>
      <c r="AJ87" s="7">
        <v>225</v>
      </c>
      <c r="AK87" s="29">
        <v>95</v>
      </c>
      <c r="AL87" s="29">
        <v>88</v>
      </c>
      <c r="AM87" s="29">
        <v>80</v>
      </c>
      <c r="AN87" s="29">
        <v>70</v>
      </c>
      <c r="AO87" s="29">
        <v>65</v>
      </c>
      <c r="AP87" s="29">
        <v>57</v>
      </c>
      <c r="AQ87" s="280">
        <v>52</v>
      </c>
      <c r="AR87" s="280">
        <v>46</v>
      </c>
      <c r="AS87" s="990">
        <v>41</v>
      </c>
      <c r="AT87" s="2179"/>
      <c r="AV87" s="3649" t="e">
        <f>HLOOKUP(AW82,AK83:AS96,4,0)</f>
        <v>#N/A</v>
      </c>
      <c r="AW87" s="3649" t="e">
        <f t="shared" si="97"/>
        <v>#N/A</v>
      </c>
      <c r="AX87" s="735">
        <v>225</v>
      </c>
      <c r="AY87" s="2179"/>
      <c r="BB87" s="2176"/>
      <c r="BC87" s="2176"/>
      <c r="BF87" s="7">
        <v>225</v>
      </c>
      <c r="BG87" s="29">
        <v>95</v>
      </c>
      <c r="BH87" s="29">
        <v>88</v>
      </c>
      <c r="BI87" s="29">
        <v>80</v>
      </c>
      <c r="BJ87" s="29">
        <v>70</v>
      </c>
      <c r="BK87" s="29">
        <v>65</v>
      </c>
      <c r="BL87" s="29">
        <v>57</v>
      </c>
      <c r="BM87" s="280">
        <v>52</v>
      </c>
      <c r="BN87" s="280">
        <v>46</v>
      </c>
      <c r="BO87" s="990">
        <v>41</v>
      </c>
      <c r="BP87" s="2179"/>
      <c r="BR87" s="3649" t="e">
        <f>HLOOKUP(BS82,BG83:BO96,4,0)</f>
        <v>#N/A</v>
      </c>
      <c r="BS87" s="3649" t="e">
        <f t="shared" si="98"/>
        <v>#N/A</v>
      </c>
      <c r="BT87" s="735">
        <v>225</v>
      </c>
      <c r="BU87" s="2179"/>
      <c r="BX87" s="2174"/>
      <c r="CA87" s="2266">
        <v>200</v>
      </c>
      <c r="CB87" s="29">
        <v>48.1</v>
      </c>
      <c r="CC87" s="29">
        <v>44.5</v>
      </c>
      <c r="CD87" s="29">
        <v>40</v>
      </c>
      <c r="CE87" s="29">
        <v>35.299999999999997</v>
      </c>
      <c r="CF87" s="29">
        <v>33.4</v>
      </c>
      <c r="CG87" s="29">
        <v>29.4</v>
      </c>
      <c r="CH87" s="280">
        <v>24.6</v>
      </c>
      <c r="CI87" s="2240">
        <v>22.2</v>
      </c>
      <c r="CJ87" s="2179"/>
      <c r="CK87" s="2179"/>
      <c r="CM87" s="3649" t="e">
        <f>HLOOKUP(CN82,CB83:CI96,4,0)</f>
        <v>#N/A</v>
      </c>
      <c r="CN87" s="3649" t="e">
        <f t="shared" si="95"/>
        <v>#N/A</v>
      </c>
      <c r="CO87" s="735">
        <v>200</v>
      </c>
      <c r="CP87" s="2179"/>
      <c r="CR87" s="2176"/>
      <c r="CS87" s="2176"/>
      <c r="CV87" s="2266">
        <v>200</v>
      </c>
      <c r="CW87" s="29">
        <v>48.1</v>
      </c>
      <c r="CX87" s="29">
        <v>44.5</v>
      </c>
      <c r="CY87" s="29">
        <v>40</v>
      </c>
      <c r="CZ87" s="29">
        <v>35.299999999999997</v>
      </c>
      <c r="DA87" s="29">
        <v>33.4</v>
      </c>
      <c r="DB87" s="29">
        <v>29.4</v>
      </c>
      <c r="DC87" s="280">
        <v>24.6</v>
      </c>
      <c r="DD87" s="2240">
        <v>22.2</v>
      </c>
      <c r="DE87" s="2179"/>
      <c r="DF87" s="2179"/>
      <c r="DH87" s="3649" t="e">
        <f>HLOOKUP(DI82,CW83:DD96,4,0)</f>
        <v>#N/A</v>
      </c>
      <c r="DI87" s="3649" t="e">
        <f t="shared" si="96"/>
        <v>#N/A</v>
      </c>
      <c r="DJ87" s="735">
        <v>200</v>
      </c>
      <c r="DK87" s="2179"/>
      <c r="DX87" s="1"/>
      <c r="DZ87" s="280" t="s">
        <v>2193</v>
      </c>
      <c r="EA87" s="3643">
        <f>EC87*EA68</f>
        <v>86750</v>
      </c>
      <c r="EB87" s="734">
        <v>29400</v>
      </c>
      <c r="EC87" s="2186">
        <f>330+17</f>
        <v>347</v>
      </c>
      <c r="ED87" s="280"/>
      <c r="EE87" s="277">
        <v>345</v>
      </c>
      <c r="EF87" s="277">
        <v>17</v>
      </c>
      <c r="EP87" s="286"/>
      <c r="EQ87" s="286"/>
      <c r="FC87" s="2174"/>
      <c r="FD87" s="2174"/>
      <c r="FF87" s="277">
        <v>3</v>
      </c>
      <c r="FG87" s="7">
        <v>200</v>
      </c>
      <c r="FH87" s="29">
        <v>73</v>
      </c>
      <c r="FI87" s="29">
        <v>66</v>
      </c>
      <c r="FJ87" s="29">
        <v>60</v>
      </c>
      <c r="FK87" s="29">
        <v>54</v>
      </c>
      <c r="FL87" s="29">
        <v>50</v>
      </c>
      <c r="FM87" s="29">
        <v>42</v>
      </c>
      <c r="FN87" s="280">
        <v>38</v>
      </c>
      <c r="FO87" s="280">
        <v>33</v>
      </c>
      <c r="FP87" s="990">
        <v>30</v>
      </c>
      <c r="FQ87" s="2179"/>
      <c r="FS87" s="3649" t="e">
        <f>HLOOKUP(FT83,FH84:FP97,3,0)</f>
        <v>#N/A</v>
      </c>
      <c r="FT87" s="3649" t="e">
        <f t="shared" si="101"/>
        <v>#N/A</v>
      </c>
      <c r="FU87" s="735">
        <v>200</v>
      </c>
      <c r="FV87" s="2179"/>
      <c r="FY87" s="2176"/>
      <c r="FZ87" s="2176"/>
      <c r="GC87" s="7">
        <v>200</v>
      </c>
      <c r="GD87" s="29">
        <v>73</v>
      </c>
      <c r="GE87" s="29">
        <v>66</v>
      </c>
      <c r="GF87" s="29">
        <v>60</v>
      </c>
      <c r="GG87" s="29">
        <v>54</v>
      </c>
      <c r="GH87" s="29">
        <v>50</v>
      </c>
      <c r="GI87" s="29">
        <v>42</v>
      </c>
      <c r="GJ87" s="280">
        <v>38</v>
      </c>
      <c r="GK87" s="280">
        <v>33</v>
      </c>
      <c r="GL87" s="990">
        <v>30</v>
      </c>
      <c r="GM87" s="2179"/>
      <c r="GO87" s="3649" t="e">
        <f>HLOOKUP(GP83,GD84:GL97,3,0)</f>
        <v>#N/A</v>
      </c>
      <c r="GP87" s="3649" t="e">
        <f t="shared" si="102"/>
        <v>#N/A</v>
      </c>
      <c r="GQ87" s="735">
        <v>200</v>
      </c>
      <c r="GR87" s="2179"/>
      <c r="GU87" s="2174"/>
      <c r="GX87" s="2266">
        <v>180</v>
      </c>
      <c r="GY87" s="29">
        <v>33.200000000000003</v>
      </c>
      <c r="GZ87" s="29">
        <v>30.3</v>
      </c>
      <c r="HA87" s="29">
        <v>27.5</v>
      </c>
      <c r="HB87" s="29">
        <v>25.4</v>
      </c>
      <c r="HC87" s="29">
        <v>22.3</v>
      </c>
      <c r="HD87" s="29">
        <v>20.6</v>
      </c>
      <c r="HE87" s="280">
        <v>20.6</v>
      </c>
      <c r="HF87" s="2240">
        <v>15.9</v>
      </c>
      <c r="HG87" s="2179"/>
      <c r="HH87" s="2179"/>
      <c r="HJ87" s="3649" t="e">
        <f>HLOOKUP(HK83,GY84:HF97,3,0)</f>
        <v>#N/A</v>
      </c>
      <c r="HK87" s="3649" t="e">
        <f t="shared" si="99"/>
        <v>#N/A</v>
      </c>
      <c r="HL87" s="735">
        <v>180</v>
      </c>
      <c r="HM87" s="2179"/>
      <c r="HO87" s="2176"/>
      <c r="HP87" s="2176"/>
      <c r="HS87" s="2266">
        <v>180</v>
      </c>
      <c r="HT87" s="29">
        <v>33.200000000000003</v>
      </c>
      <c r="HU87" s="29">
        <v>30.3</v>
      </c>
      <c r="HV87" s="29">
        <v>27.5</v>
      </c>
      <c r="HW87" s="29">
        <v>25.4</v>
      </c>
      <c r="HX87" s="29">
        <v>22.3</v>
      </c>
      <c r="HY87" s="29">
        <v>20.6</v>
      </c>
      <c r="HZ87" s="280">
        <v>20.6</v>
      </c>
      <c r="IA87" s="2240">
        <v>15.9</v>
      </c>
      <c r="IB87" s="2179"/>
      <c r="IC87" s="2179"/>
      <c r="IE87" s="3649" t="e">
        <f>HLOOKUP(IF83,HT84:IA97,3,0)</f>
        <v>#N/A</v>
      </c>
      <c r="IF87" s="3649" t="e">
        <f t="shared" si="100"/>
        <v>#N/A</v>
      </c>
      <c r="IG87" s="735">
        <v>180</v>
      </c>
      <c r="IH87" s="2179"/>
    </row>
    <row r="88" spans="3:242" ht="21.95" customHeight="1">
      <c r="C88" s="280" t="s">
        <v>2194</v>
      </c>
      <c r="D88" s="3643">
        <f>F88*D68</f>
        <v>100000</v>
      </c>
      <c r="E88" s="734">
        <v>33600</v>
      </c>
      <c r="F88" s="2186">
        <f>380+20</f>
        <v>400</v>
      </c>
      <c r="G88" s="280"/>
      <c r="H88" s="277">
        <v>400</v>
      </c>
      <c r="I88" s="277">
        <v>20</v>
      </c>
      <c r="S88" s="286"/>
      <c r="T88" s="286"/>
      <c r="AF88" s="2174"/>
      <c r="AG88" s="2174"/>
      <c r="AJ88" s="7">
        <v>250</v>
      </c>
      <c r="AK88" s="29">
        <v>135</v>
      </c>
      <c r="AL88" s="29">
        <v>120</v>
      </c>
      <c r="AM88" s="29">
        <v>105</v>
      </c>
      <c r="AN88" s="29">
        <v>98</v>
      </c>
      <c r="AO88" s="29">
        <v>91</v>
      </c>
      <c r="AP88" s="29">
        <v>80</v>
      </c>
      <c r="AQ88" s="280">
        <v>72</v>
      </c>
      <c r="AR88" s="280">
        <v>63</v>
      </c>
      <c r="AS88" s="990">
        <v>58</v>
      </c>
      <c r="AT88" s="2179"/>
      <c r="AV88" s="3649" t="e">
        <f>HLOOKUP(AW82,AK83:AS96,5,0)</f>
        <v>#N/A</v>
      </c>
      <c r="AW88" s="3649" t="e">
        <f t="shared" si="97"/>
        <v>#N/A</v>
      </c>
      <c r="AX88" s="735">
        <v>250</v>
      </c>
      <c r="AY88" s="2179"/>
      <c r="BB88" s="2176"/>
      <c r="BC88" s="2176"/>
      <c r="BF88" s="7">
        <v>250</v>
      </c>
      <c r="BG88" s="29">
        <v>135</v>
      </c>
      <c r="BH88" s="29">
        <v>120</v>
      </c>
      <c r="BI88" s="29">
        <v>105</v>
      </c>
      <c r="BJ88" s="29">
        <v>98</v>
      </c>
      <c r="BK88" s="29">
        <v>91</v>
      </c>
      <c r="BL88" s="29">
        <v>80</v>
      </c>
      <c r="BM88" s="280">
        <v>72</v>
      </c>
      <c r="BN88" s="280">
        <v>63</v>
      </c>
      <c r="BO88" s="990">
        <v>58</v>
      </c>
      <c r="BP88" s="2179"/>
      <c r="BR88" s="3649" t="e">
        <f>HLOOKUP(BS82,BG83:BO96,5,0)</f>
        <v>#N/A</v>
      </c>
      <c r="BS88" s="3649" t="e">
        <f t="shared" si="98"/>
        <v>#N/A</v>
      </c>
      <c r="BT88" s="735">
        <v>250</v>
      </c>
      <c r="BU88" s="2179"/>
      <c r="BX88" s="2174"/>
      <c r="CA88" s="2266">
        <v>225</v>
      </c>
      <c r="CB88" s="29">
        <v>63</v>
      </c>
      <c r="CC88" s="29">
        <v>58.2</v>
      </c>
      <c r="CD88" s="29">
        <v>51.5</v>
      </c>
      <c r="CE88" s="29">
        <v>46.6</v>
      </c>
      <c r="CF88" s="29">
        <v>42</v>
      </c>
      <c r="CG88" s="29">
        <v>38</v>
      </c>
      <c r="CH88" s="280">
        <v>39</v>
      </c>
      <c r="CI88" s="2240">
        <v>36.299999999999997</v>
      </c>
      <c r="CJ88" s="2179"/>
      <c r="CK88" s="2179"/>
      <c r="CM88" s="3649" t="e">
        <f>HLOOKUP(CN82,CB83:CI96,5,0)</f>
        <v>#N/A</v>
      </c>
      <c r="CN88" s="3649" t="e">
        <f t="shared" si="95"/>
        <v>#N/A</v>
      </c>
      <c r="CO88" s="735">
        <v>225</v>
      </c>
      <c r="CP88" s="2179"/>
      <c r="CR88" s="2176"/>
      <c r="CS88" s="2176"/>
      <c r="CV88" s="2266">
        <v>225</v>
      </c>
      <c r="CW88" s="29">
        <v>63</v>
      </c>
      <c r="CX88" s="29">
        <v>58.2</v>
      </c>
      <c r="CY88" s="29">
        <v>51.5</v>
      </c>
      <c r="CZ88" s="29">
        <v>46.6</v>
      </c>
      <c r="DA88" s="29">
        <v>42</v>
      </c>
      <c r="DB88" s="29">
        <v>38</v>
      </c>
      <c r="DC88" s="280">
        <v>39</v>
      </c>
      <c r="DD88" s="2240">
        <v>36.299999999999997</v>
      </c>
      <c r="DE88" s="2179"/>
      <c r="DF88" s="2179"/>
      <c r="DH88" s="3649" t="e">
        <f>HLOOKUP(DI82,CW83:DD96,5,0)</f>
        <v>#N/A</v>
      </c>
      <c r="DI88" s="3649" t="e">
        <f t="shared" si="96"/>
        <v>#N/A</v>
      </c>
      <c r="DJ88" s="735">
        <v>225</v>
      </c>
      <c r="DK88" s="2179"/>
      <c r="DX88" s="1"/>
      <c r="DZ88" s="280" t="s">
        <v>2194</v>
      </c>
      <c r="EA88" s="3643">
        <f>EC88*EA68</f>
        <v>100000</v>
      </c>
      <c r="EB88" s="734">
        <v>33600</v>
      </c>
      <c r="EC88" s="2186">
        <f>380+20</f>
        <v>400</v>
      </c>
      <c r="ED88" s="280"/>
      <c r="EE88" s="277">
        <v>400</v>
      </c>
      <c r="EF88" s="277">
        <v>20</v>
      </c>
      <c r="EP88" s="286"/>
      <c r="EQ88" s="286"/>
      <c r="FC88" s="2174"/>
      <c r="FD88" s="2174"/>
      <c r="FF88" s="277">
        <v>4</v>
      </c>
      <c r="FG88" s="7">
        <v>225</v>
      </c>
      <c r="FH88" s="29">
        <v>95</v>
      </c>
      <c r="FI88" s="29">
        <v>88</v>
      </c>
      <c r="FJ88" s="29">
        <v>80</v>
      </c>
      <c r="FK88" s="29">
        <v>70</v>
      </c>
      <c r="FL88" s="29">
        <v>65</v>
      </c>
      <c r="FM88" s="29">
        <v>57</v>
      </c>
      <c r="FN88" s="280">
        <v>52</v>
      </c>
      <c r="FO88" s="280">
        <v>46</v>
      </c>
      <c r="FP88" s="990">
        <v>41</v>
      </c>
      <c r="FQ88" s="2179"/>
      <c r="FS88" s="3649" t="e">
        <f>HLOOKUP(FT83,FH84:FP97,4,0)</f>
        <v>#N/A</v>
      </c>
      <c r="FT88" s="3649" t="e">
        <f t="shared" si="101"/>
        <v>#N/A</v>
      </c>
      <c r="FU88" s="735">
        <v>225</v>
      </c>
      <c r="FV88" s="2179"/>
      <c r="FY88" s="2176"/>
      <c r="FZ88" s="2176"/>
      <c r="GC88" s="7">
        <v>225</v>
      </c>
      <c r="GD88" s="29">
        <v>95</v>
      </c>
      <c r="GE88" s="29">
        <v>88</v>
      </c>
      <c r="GF88" s="29">
        <v>80</v>
      </c>
      <c r="GG88" s="29">
        <v>70</v>
      </c>
      <c r="GH88" s="29">
        <v>65</v>
      </c>
      <c r="GI88" s="29">
        <v>57</v>
      </c>
      <c r="GJ88" s="280">
        <v>52</v>
      </c>
      <c r="GK88" s="280">
        <v>46</v>
      </c>
      <c r="GL88" s="990">
        <v>41</v>
      </c>
      <c r="GM88" s="2179"/>
      <c r="GO88" s="3649" t="e">
        <f>HLOOKUP(GP83,GD84:GL97,4,0)</f>
        <v>#N/A</v>
      </c>
      <c r="GP88" s="3649" t="e">
        <f t="shared" si="102"/>
        <v>#N/A</v>
      </c>
      <c r="GQ88" s="735">
        <v>225</v>
      </c>
      <c r="GR88" s="2179"/>
      <c r="GU88" s="2174"/>
      <c r="GX88" s="2266">
        <v>200</v>
      </c>
      <c r="GY88" s="29">
        <v>48.1</v>
      </c>
      <c r="GZ88" s="29">
        <v>44.5</v>
      </c>
      <c r="HA88" s="29">
        <v>40</v>
      </c>
      <c r="HB88" s="29">
        <v>35.299999999999997</v>
      </c>
      <c r="HC88" s="29">
        <v>33.4</v>
      </c>
      <c r="HD88" s="29">
        <v>29.4</v>
      </c>
      <c r="HE88" s="280">
        <v>24.6</v>
      </c>
      <c r="HF88" s="2240">
        <v>22.2</v>
      </c>
      <c r="HG88" s="2179"/>
      <c r="HH88" s="2179"/>
      <c r="HJ88" s="3649" t="e">
        <f>HLOOKUP(HK83,GY84:HF97,4,0)</f>
        <v>#N/A</v>
      </c>
      <c r="HK88" s="3649" t="e">
        <f t="shared" si="99"/>
        <v>#N/A</v>
      </c>
      <c r="HL88" s="735">
        <v>200</v>
      </c>
      <c r="HM88" s="2179"/>
      <c r="HO88" s="2176"/>
      <c r="HP88" s="2176"/>
      <c r="HS88" s="2266">
        <v>200</v>
      </c>
      <c r="HT88" s="29">
        <v>48.1</v>
      </c>
      <c r="HU88" s="29">
        <v>44.5</v>
      </c>
      <c r="HV88" s="29">
        <v>40</v>
      </c>
      <c r="HW88" s="29">
        <v>35.299999999999997</v>
      </c>
      <c r="HX88" s="29">
        <v>33.4</v>
      </c>
      <c r="HY88" s="29">
        <v>29.4</v>
      </c>
      <c r="HZ88" s="280">
        <v>24.6</v>
      </c>
      <c r="IA88" s="2240">
        <v>22.2</v>
      </c>
      <c r="IB88" s="2179"/>
      <c r="IC88" s="2179"/>
      <c r="IE88" s="3649" t="e">
        <f>HLOOKUP(IF83,HT84:IA97,4,0)</f>
        <v>#N/A</v>
      </c>
      <c r="IF88" s="3649" t="e">
        <f t="shared" si="100"/>
        <v>#N/A</v>
      </c>
      <c r="IG88" s="735">
        <v>200</v>
      </c>
      <c r="IH88" s="2179"/>
    </row>
    <row r="89" spans="3:242" ht="21.95" customHeight="1">
      <c r="C89" s="280" t="s">
        <v>2195</v>
      </c>
      <c r="D89" s="3643">
        <f>F89*D68</f>
        <v>129250</v>
      </c>
      <c r="E89" s="734">
        <v>36750</v>
      </c>
      <c r="F89" s="2186">
        <f>490+27</f>
        <v>517</v>
      </c>
      <c r="G89" s="280"/>
      <c r="H89" s="277">
        <v>520</v>
      </c>
      <c r="I89" s="277">
        <v>27</v>
      </c>
      <c r="S89" s="286"/>
      <c r="T89" s="286"/>
      <c r="AF89" s="2174"/>
      <c r="AG89" s="2174"/>
      <c r="AJ89" s="7">
        <v>280</v>
      </c>
      <c r="AK89" s="29">
        <v>190</v>
      </c>
      <c r="AL89" s="29">
        <v>170</v>
      </c>
      <c r="AM89" s="29">
        <v>150</v>
      </c>
      <c r="AN89" s="29">
        <v>140</v>
      </c>
      <c r="AO89" s="29">
        <v>130</v>
      </c>
      <c r="AP89" s="29">
        <v>110</v>
      </c>
      <c r="AQ89" s="280">
        <v>100</v>
      </c>
      <c r="AR89" s="280">
        <v>87</v>
      </c>
      <c r="AS89" s="990">
        <v>82</v>
      </c>
      <c r="AT89" s="2179"/>
      <c r="AV89" s="3649" t="e">
        <f>HLOOKUP(AW82,AK83:AS96,6,0)</f>
        <v>#N/A</v>
      </c>
      <c r="AW89" s="3649" t="e">
        <f t="shared" si="97"/>
        <v>#N/A</v>
      </c>
      <c r="AX89" s="735">
        <v>280</v>
      </c>
      <c r="AY89" s="2179"/>
      <c r="BB89" s="2176"/>
      <c r="BC89" s="2176"/>
      <c r="BF89" s="7">
        <v>280</v>
      </c>
      <c r="BG89" s="29">
        <v>190</v>
      </c>
      <c r="BH89" s="29">
        <v>170</v>
      </c>
      <c r="BI89" s="29">
        <v>150</v>
      </c>
      <c r="BJ89" s="29">
        <v>140</v>
      </c>
      <c r="BK89" s="29">
        <v>130</v>
      </c>
      <c r="BL89" s="29">
        <v>110</v>
      </c>
      <c r="BM89" s="280">
        <v>100</v>
      </c>
      <c r="BN89" s="280">
        <v>87</v>
      </c>
      <c r="BO89" s="990">
        <v>82</v>
      </c>
      <c r="BP89" s="2179"/>
      <c r="BR89" s="3649" t="e">
        <f>HLOOKUP(BS82,BG83:BO96,6,0)</f>
        <v>#N/A</v>
      </c>
      <c r="BS89" s="3649" t="e">
        <f t="shared" si="98"/>
        <v>#N/A</v>
      </c>
      <c r="BT89" s="735">
        <v>280</v>
      </c>
      <c r="BU89" s="2179"/>
      <c r="BX89" s="2174"/>
      <c r="CA89" s="2266">
        <v>250</v>
      </c>
      <c r="CB89" s="29">
        <v>93.5</v>
      </c>
      <c r="CC89" s="29">
        <v>85</v>
      </c>
      <c r="CD89" s="29">
        <v>82.2</v>
      </c>
      <c r="CE89" s="29">
        <v>71.599999999999994</v>
      </c>
      <c r="CF89" s="29">
        <v>69.7</v>
      </c>
      <c r="CG89" s="29">
        <v>60.9</v>
      </c>
      <c r="CH89" s="280">
        <v>58</v>
      </c>
      <c r="CI89" s="2240">
        <v>51.9</v>
      </c>
      <c r="CJ89" s="2179"/>
      <c r="CK89" s="2179"/>
      <c r="CM89" s="3649" t="e">
        <f>HLOOKUP(CN82,CB83:CI96,6,0)</f>
        <v>#N/A</v>
      </c>
      <c r="CN89" s="3649" t="e">
        <f t="shared" si="95"/>
        <v>#N/A</v>
      </c>
      <c r="CO89" s="735">
        <v>250</v>
      </c>
      <c r="CP89" s="2179"/>
      <c r="CR89" s="2176"/>
      <c r="CS89" s="2176"/>
      <c r="CV89" s="2266">
        <v>250</v>
      </c>
      <c r="CW89" s="29">
        <v>93.5</v>
      </c>
      <c r="CX89" s="29">
        <v>85</v>
      </c>
      <c r="CY89" s="29">
        <v>82.2</v>
      </c>
      <c r="CZ89" s="29">
        <v>71.599999999999994</v>
      </c>
      <c r="DA89" s="29">
        <v>69.7</v>
      </c>
      <c r="DB89" s="29">
        <v>60.9</v>
      </c>
      <c r="DC89" s="280">
        <v>58</v>
      </c>
      <c r="DD89" s="2240">
        <v>51.9</v>
      </c>
      <c r="DE89" s="2179"/>
      <c r="DF89" s="2179"/>
      <c r="DH89" s="3649" t="e">
        <f>HLOOKUP(DI82,CW83:DD96,6,0)</f>
        <v>#N/A</v>
      </c>
      <c r="DI89" s="3649" t="e">
        <f t="shared" si="96"/>
        <v>#N/A</v>
      </c>
      <c r="DJ89" s="735">
        <v>250</v>
      </c>
      <c r="DK89" s="2179"/>
      <c r="DX89" s="1"/>
      <c r="DZ89" s="280" t="s">
        <v>2195</v>
      </c>
      <c r="EA89" s="3643">
        <f>EC89*EA68</f>
        <v>129250</v>
      </c>
      <c r="EB89" s="734">
        <v>36750</v>
      </c>
      <c r="EC89" s="2186">
        <f>490+27</f>
        <v>517</v>
      </c>
      <c r="ED89" s="280"/>
      <c r="EE89" s="277">
        <v>520</v>
      </c>
      <c r="EF89" s="277">
        <v>27</v>
      </c>
      <c r="EP89" s="286"/>
      <c r="EQ89" s="286"/>
      <c r="FC89" s="2174"/>
      <c r="FD89" s="2174"/>
      <c r="FF89" s="277">
        <v>5</v>
      </c>
      <c r="FG89" s="7">
        <v>250</v>
      </c>
      <c r="FH89" s="29">
        <v>135</v>
      </c>
      <c r="FI89" s="29">
        <v>120</v>
      </c>
      <c r="FJ89" s="29">
        <v>105</v>
      </c>
      <c r="FK89" s="29">
        <v>98</v>
      </c>
      <c r="FL89" s="29">
        <v>91</v>
      </c>
      <c r="FM89" s="29">
        <v>80</v>
      </c>
      <c r="FN89" s="280">
        <v>72</v>
      </c>
      <c r="FO89" s="280">
        <v>63</v>
      </c>
      <c r="FP89" s="990">
        <v>58</v>
      </c>
      <c r="FQ89" s="2179"/>
      <c r="FS89" s="3649" t="e">
        <f>HLOOKUP(FT83,FH84:FP97,5,0)</f>
        <v>#N/A</v>
      </c>
      <c r="FT89" s="3649" t="e">
        <f t="shared" si="101"/>
        <v>#N/A</v>
      </c>
      <c r="FU89" s="735">
        <v>250</v>
      </c>
      <c r="FV89" s="2179"/>
      <c r="FY89" s="2176"/>
      <c r="FZ89" s="2176"/>
      <c r="GC89" s="7">
        <v>250</v>
      </c>
      <c r="GD89" s="29">
        <v>135</v>
      </c>
      <c r="GE89" s="29">
        <v>120</v>
      </c>
      <c r="GF89" s="29">
        <v>105</v>
      </c>
      <c r="GG89" s="29">
        <v>98</v>
      </c>
      <c r="GH89" s="29">
        <v>91</v>
      </c>
      <c r="GI89" s="29">
        <v>80</v>
      </c>
      <c r="GJ89" s="280">
        <v>72</v>
      </c>
      <c r="GK89" s="280">
        <v>63</v>
      </c>
      <c r="GL89" s="990">
        <v>58</v>
      </c>
      <c r="GM89" s="2179"/>
      <c r="GO89" s="3649" t="e">
        <f>HLOOKUP(GP83,GD84:GL97,5,0)</f>
        <v>#N/A</v>
      </c>
      <c r="GP89" s="3649" t="e">
        <f t="shared" si="102"/>
        <v>#N/A</v>
      </c>
      <c r="GQ89" s="735">
        <v>250</v>
      </c>
      <c r="GR89" s="2179"/>
      <c r="GU89" s="2174"/>
      <c r="GX89" s="2266">
        <v>225</v>
      </c>
      <c r="GY89" s="29">
        <v>63</v>
      </c>
      <c r="GZ89" s="29">
        <v>58.2</v>
      </c>
      <c r="HA89" s="29">
        <v>51.5</v>
      </c>
      <c r="HB89" s="29">
        <v>46.6</v>
      </c>
      <c r="HC89" s="29">
        <v>42</v>
      </c>
      <c r="HD89" s="29">
        <v>38</v>
      </c>
      <c r="HE89" s="280">
        <v>39</v>
      </c>
      <c r="HF89" s="2240">
        <v>36.299999999999997</v>
      </c>
      <c r="HG89" s="2179"/>
      <c r="HH89" s="2179"/>
      <c r="HJ89" s="3649" t="e">
        <f>HLOOKUP(HK83,GY84:HF97,5,0)</f>
        <v>#N/A</v>
      </c>
      <c r="HK89" s="3649" t="e">
        <f t="shared" si="99"/>
        <v>#N/A</v>
      </c>
      <c r="HL89" s="735">
        <v>225</v>
      </c>
      <c r="HM89" s="2179"/>
      <c r="HO89" s="2176"/>
      <c r="HP89" s="2176"/>
      <c r="HS89" s="2266">
        <v>225</v>
      </c>
      <c r="HT89" s="29">
        <v>63</v>
      </c>
      <c r="HU89" s="29">
        <v>58.2</v>
      </c>
      <c r="HV89" s="29">
        <v>51.5</v>
      </c>
      <c r="HW89" s="29">
        <v>46.6</v>
      </c>
      <c r="HX89" s="29">
        <v>42</v>
      </c>
      <c r="HY89" s="29">
        <v>38</v>
      </c>
      <c r="HZ89" s="280">
        <v>39</v>
      </c>
      <c r="IA89" s="2240">
        <v>36.299999999999997</v>
      </c>
      <c r="IB89" s="2179"/>
      <c r="IC89" s="2179"/>
      <c r="IE89" s="3649" t="e">
        <f>HLOOKUP(IF83,HT84:IA97,5,0)</f>
        <v>#N/A</v>
      </c>
      <c r="IF89" s="3649" t="e">
        <f t="shared" si="100"/>
        <v>#N/A</v>
      </c>
      <c r="IG89" s="735">
        <v>225</v>
      </c>
      <c r="IH89" s="2179"/>
    </row>
    <row r="90" spans="3:242" ht="21.95" customHeight="1">
      <c r="C90" s="280" t="s">
        <v>2196</v>
      </c>
      <c r="D90" s="3643">
        <f>F90*D68</f>
        <v>166250</v>
      </c>
      <c r="E90" s="734">
        <v>42000</v>
      </c>
      <c r="F90" s="2186">
        <f>630+35</f>
        <v>665</v>
      </c>
      <c r="G90" s="280"/>
      <c r="H90" s="277">
        <v>670</v>
      </c>
      <c r="I90" s="277">
        <v>35</v>
      </c>
      <c r="S90" s="286"/>
      <c r="T90" s="286"/>
      <c r="AF90" s="2174"/>
      <c r="AG90" s="2174"/>
      <c r="AJ90" s="7">
        <v>315</v>
      </c>
      <c r="AK90" s="29">
        <v>270</v>
      </c>
      <c r="AL90" s="29">
        <v>250</v>
      </c>
      <c r="AM90" s="29">
        <v>220</v>
      </c>
      <c r="AN90" s="29">
        <v>200</v>
      </c>
      <c r="AO90" s="29">
        <v>190</v>
      </c>
      <c r="AP90" s="29">
        <v>165</v>
      </c>
      <c r="AQ90" s="280">
        <v>150</v>
      </c>
      <c r="AR90" s="280">
        <v>130</v>
      </c>
      <c r="AS90" s="990">
        <v>120</v>
      </c>
      <c r="AT90" s="2179"/>
      <c r="AV90" s="3649" t="e">
        <f>HLOOKUP(AW82,AK83:AS96,7,0)</f>
        <v>#N/A</v>
      </c>
      <c r="AW90" s="3649" t="e">
        <f t="shared" si="97"/>
        <v>#N/A</v>
      </c>
      <c r="AX90" s="735">
        <v>315</v>
      </c>
      <c r="AY90" s="2179"/>
      <c r="BB90" s="2176"/>
      <c r="BC90" s="2176"/>
      <c r="BF90" s="7">
        <v>315</v>
      </c>
      <c r="BG90" s="29">
        <v>270</v>
      </c>
      <c r="BH90" s="29">
        <v>250</v>
      </c>
      <c r="BI90" s="29">
        <v>220</v>
      </c>
      <c r="BJ90" s="29">
        <v>200</v>
      </c>
      <c r="BK90" s="29">
        <v>190</v>
      </c>
      <c r="BL90" s="29">
        <v>165</v>
      </c>
      <c r="BM90" s="280">
        <v>150</v>
      </c>
      <c r="BN90" s="280">
        <v>130</v>
      </c>
      <c r="BO90" s="990">
        <v>120</v>
      </c>
      <c r="BP90" s="2179"/>
      <c r="BR90" s="3649" t="e">
        <f>HLOOKUP(BS82,BG83:BO96,7,0)</f>
        <v>#N/A</v>
      </c>
      <c r="BS90" s="3649" t="e">
        <f t="shared" si="98"/>
        <v>#N/A</v>
      </c>
      <c r="BT90" s="735">
        <v>315</v>
      </c>
      <c r="BU90" s="2179"/>
      <c r="BX90" s="2174"/>
      <c r="CA90" s="2266">
        <v>280</v>
      </c>
      <c r="CB90" s="29">
        <v>128</v>
      </c>
      <c r="CC90" s="29">
        <v>116</v>
      </c>
      <c r="CD90" s="29">
        <v>105</v>
      </c>
      <c r="CE90" s="29">
        <v>93.4</v>
      </c>
      <c r="CF90" s="29">
        <v>85.6</v>
      </c>
      <c r="CG90" s="29">
        <v>76.3</v>
      </c>
      <c r="CH90" s="280">
        <v>73.5</v>
      </c>
      <c r="CI90" s="2240">
        <v>66.599999999999994</v>
      </c>
      <c r="CJ90" s="2179"/>
      <c r="CK90" s="2179"/>
      <c r="CM90" s="3649" t="e">
        <f>HLOOKUP(CN82,CB83:CI96,7,0)</f>
        <v>#N/A</v>
      </c>
      <c r="CN90" s="3649" t="e">
        <f t="shared" si="95"/>
        <v>#N/A</v>
      </c>
      <c r="CO90" s="735">
        <v>280</v>
      </c>
      <c r="CP90" s="2179"/>
      <c r="CR90" s="2176"/>
      <c r="CS90" s="2176"/>
      <c r="CV90" s="2266">
        <v>280</v>
      </c>
      <c r="CW90" s="29">
        <v>128</v>
      </c>
      <c r="CX90" s="29">
        <v>116</v>
      </c>
      <c r="CY90" s="29">
        <v>105</v>
      </c>
      <c r="CZ90" s="29">
        <v>93.4</v>
      </c>
      <c r="DA90" s="29">
        <v>85.6</v>
      </c>
      <c r="DB90" s="29">
        <v>76.3</v>
      </c>
      <c r="DC90" s="280">
        <v>73.5</v>
      </c>
      <c r="DD90" s="2240">
        <v>66.599999999999994</v>
      </c>
      <c r="DE90" s="2179"/>
      <c r="DF90" s="2179"/>
      <c r="DH90" s="3649" t="e">
        <f>HLOOKUP(DI82,CW83:DD96,7,0)</f>
        <v>#N/A</v>
      </c>
      <c r="DI90" s="3649" t="e">
        <f t="shared" si="96"/>
        <v>#N/A</v>
      </c>
      <c r="DJ90" s="735">
        <v>280</v>
      </c>
      <c r="DK90" s="2179"/>
      <c r="DX90" s="1"/>
      <c r="DZ90" s="280" t="s">
        <v>2196</v>
      </c>
      <c r="EA90" s="3643">
        <f>EC90*EA68</f>
        <v>166250</v>
      </c>
      <c r="EB90" s="734">
        <v>42000</v>
      </c>
      <c r="EC90" s="2186">
        <f>630+35</f>
        <v>665</v>
      </c>
      <c r="ED90" s="280"/>
      <c r="EE90" s="277">
        <v>670</v>
      </c>
      <c r="EF90" s="277">
        <v>35</v>
      </c>
      <c r="EP90" s="286"/>
      <c r="EQ90" s="286"/>
      <c r="FC90" s="2174"/>
      <c r="FD90" s="2174"/>
      <c r="FF90" s="277">
        <v>6</v>
      </c>
      <c r="FG90" s="7">
        <v>280</v>
      </c>
      <c r="FH90" s="29">
        <v>190</v>
      </c>
      <c r="FI90" s="29">
        <v>170</v>
      </c>
      <c r="FJ90" s="29">
        <v>150</v>
      </c>
      <c r="FK90" s="29">
        <v>140</v>
      </c>
      <c r="FL90" s="29">
        <v>130</v>
      </c>
      <c r="FM90" s="29">
        <v>110</v>
      </c>
      <c r="FN90" s="280">
        <v>100</v>
      </c>
      <c r="FO90" s="280">
        <v>87</v>
      </c>
      <c r="FP90" s="990">
        <v>82</v>
      </c>
      <c r="FQ90" s="2179"/>
      <c r="FS90" s="3649" t="e">
        <f>HLOOKUP(FT83,FH84:FP97,6,0)</f>
        <v>#N/A</v>
      </c>
      <c r="FT90" s="3649" t="e">
        <f t="shared" si="101"/>
        <v>#N/A</v>
      </c>
      <c r="FU90" s="735">
        <v>280</v>
      </c>
      <c r="FV90" s="2179"/>
      <c r="FY90" s="2176"/>
      <c r="FZ90" s="2176"/>
      <c r="GC90" s="7">
        <v>280</v>
      </c>
      <c r="GD90" s="29">
        <v>190</v>
      </c>
      <c r="GE90" s="29">
        <v>170</v>
      </c>
      <c r="GF90" s="29">
        <v>150</v>
      </c>
      <c r="GG90" s="29">
        <v>140</v>
      </c>
      <c r="GH90" s="29">
        <v>130</v>
      </c>
      <c r="GI90" s="29">
        <v>110</v>
      </c>
      <c r="GJ90" s="280">
        <v>100</v>
      </c>
      <c r="GK90" s="280">
        <v>87</v>
      </c>
      <c r="GL90" s="990">
        <v>82</v>
      </c>
      <c r="GM90" s="2179"/>
      <c r="GO90" s="3649" t="e">
        <f>HLOOKUP(GP83,GD84:GL97,6,0)</f>
        <v>#N/A</v>
      </c>
      <c r="GP90" s="3649" t="e">
        <f t="shared" si="102"/>
        <v>#N/A</v>
      </c>
      <c r="GQ90" s="735">
        <v>280</v>
      </c>
      <c r="GR90" s="2179"/>
      <c r="GU90" s="2174"/>
      <c r="GX90" s="2266">
        <v>250</v>
      </c>
      <c r="GY90" s="29">
        <v>93.5</v>
      </c>
      <c r="GZ90" s="29">
        <v>85</v>
      </c>
      <c r="HA90" s="29">
        <v>82.2</v>
      </c>
      <c r="HB90" s="29">
        <v>71.599999999999994</v>
      </c>
      <c r="HC90" s="29">
        <v>69.7</v>
      </c>
      <c r="HD90" s="29">
        <v>60.9</v>
      </c>
      <c r="HE90" s="280">
        <v>58</v>
      </c>
      <c r="HF90" s="2240">
        <v>51.9</v>
      </c>
      <c r="HG90" s="2179"/>
      <c r="HH90" s="2179"/>
      <c r="HJ90" s="3649" t="e">
        <f>HLOOKUP(HK83,GY84:HF97,6,0)</f>
        <v>#N/A</v>
      </c>
      <c r="HK90" s="3649" t="e">
        <f t="shared" si="99"/>
        <v>#N/A</v>
      </c>
      <c r="HL90" s="735">
        <v>250</v>
      </c>
      <c r="HM90" s="2179"/>
      <c r="HO90" s="2176"/>
      <c r="HP90" s="2176"/>
      <c r="HS90" s="2266">
        <v>250</v>
      </c>
      <c r="HT90" s="29">
        <v>93.5</v>
      </c>
      <c r="HU90" s="29">
        <v>85</v>
      </c>
      <c r="HV90" s="29">
        <v>82.2</v>
      </c>
      <c r="HW90" s="29">
        <v>71.599999999999994</v>
      </c>
      <c r="HX90" s="29">
        <v>69.7</v>
      </c>
      <c r="HY90" s="29">
        <v>60.9</v>
      </c>
      <c r="HZ90" s="280">
        <v>58</v>
      </c>
      <c r="IA90" s="2240">
        <v>51.9</v>
      </c>
      <c r="IB90" s="2179"/>
      <c r="IC90" s="2179"/>
      <c r="IE90" s="3649" t="e">
        <f>HLOOKUP(IF83,HT84:IA97,6,0)</f>
        <v>#N/A</v>
      </c>
      <c r="IF90" s="3649" t="e">
        <f t="shared" si="100"/>
        <v>#N/A</v>
      </c>
      <c r="IG90" s="735">
        <v>250</v>
      </c>
      <c r="IH90" s="2179"/>
    </row>
    <row r="91" spans="3:242" ht="21.95" customHeight="1">
      <c r="C91" s="280" t="s">
        <v>2197</v>
      </c>
      <c r="D91" s="3643">
        <f>F91*D68</f>
        <v>225000</v>
      </c>
      <c r="E91" s="734">
        <v>52500</v>
      </c>
      <c r="F91" s="2186">
        <f>850+50</f>
        <v>900</v>
      </c>
      <c r="G91" s="280"/>
      <c r="H91" s="277">
        <v>900</v>
      </c>
      <c r="I91" s="277">
        <v>50</v>
      </c>
      <c r="S91" s="286"/>
      <c r="T91" s="286"/>
      <c r="AF91" s="2174"/>
      <c r="AG91" s="2174"/>
      <c r="AJ91" s="7">
        <v>355</v>
      </c>
      <c r="AK91" s="29">
        <v>390</v>
      </c>
      <c r="AL91" s="29">
        <v>350</v>
      </c>
      <c r="AM91" s="29">
        <v>320</v>
      </c>
      <c r="AN91" s="29">
        <v>290</v>
      </c>
      <c r="AO91" s="29">
        <v>265</v>
      </c>
      <c r="AP91" s="29">
        <v>255</v>
      </c>
      <c r="AQ91" s="280">
        <v>230</v>
      </c>
      <c r="AR91" s="280">
        <v>200</v>
      </c>
      <c r="AS91" s="990">
        <v>185</v>
      </c>
      <c r="AT91" s="2179"/>
      <c r="AV91" s="3649" t="e">
        <f>HLOOKUP(AW82,AK83:AS96,8,0)</f>
        <v>#N/A</v>
      </c>
      <c r="AW91" s="3649" t="e">
        <f t="shared" si="97"/>
        <v>#N/A</v>
      </c>
      <c r="AX91" s="735">
        <v>355</v>
      </c>
      <c r="AY91" s="2179"/>
      <c r="BB91" s="2176"/>
      <c r="BC91" s="2176"/>
      <c r="BF91" s="7">
        <v>355</v>
      </c>
      <c r="BG91" s="29">
        <v>390</v>
      </c>
      <c r="BH91" s="29">
        <v>350</v>
      </c>
      <c r="BI91" s="29">
        <v>320</v>
      </c>
      <c r="BJ91" s="29">
        <v>290</v>
      </c>
      <c r="BK91" s="29">
        <v>265</v>
      </c>
      <c r="BL91" s="29">
        <v>255</v>
      </c>
      <c r="BM91" s="280">
        <v>230</v>
      </c>
      <c r="BN91" s="280">
        <v>200</v>
      </c>
      <c r="BO91" s="990">
        <v>185</v>
      </c>
      <c r="BP91" s="2179"/>
      <c r="BR91" s="3649" t="e">
        <f>HLOOKUP(BS82,BG83:BO96,8,0)</f>
        <v>#N/A</v>
      </c>
      <c r="BS91" s="3649" t="e">
        <f t="shared" si="98"/>
        <v>#N/A</v>
      </c>
      <c r="BT91" s="735">
        <v>355</v>
      </c>
      <c r="BU91" s="2179"/>
      <c r="BX91" s="2174"/>
      <c r="CA91" s="2266">
        <v>315</v>
      </c>
      <c r="CB91" s="29">
        <v>174</v>
      </c>
      <c r="CC91" s="29">
        <v>152</v>
      </c>
      <c r="CD91" s="29">
        <v>141</v>
      </c>
      <c r="CE91" s="29">
        <v>126</v>
      </c>
      <c r="CF91" s="29">
        <v>114</v>
      </c>
      <c r="CG91" s="29">
        <v>102</v>
      </c>
      <c r="CH91" s="280">
        <v>102</v>
      </c>
      <c r="CI91" s="2240">
        <v>92.3</v>
      </c>
      <c r="CJ91" s="2179"/>
      <c r="CK91" s="2179"/>
      <c r="CM91" s="3649" t="e">
        <f>HLOOKUP(CN82,CB83:CI96,8,0)</f>
        <v>#N/A</v>
      </c>
      <c r="CN91" s="3649" t="e">
        <f t="shared" si="95"/>
        <v>#N/A</v>
      </c>
      <c r="CO91" s="735">
        <v>315</v>
      </c>
      <c r="CP91" s="2179"/>
      <c r="CR91" s="2176"/>
      <c r="CS91" s="2176"/>
      <c r="CV91" s="2266">
        <v>315</v>
      </c>
      <c r="CW91" s="29">
        <v>174</v>
      </c>
      <c r="CX91" s="29">
        <v>152</v>
      </c>
      <c r="CY91" s="29">
        <v>141</v>
      </c>
      <c r="CZ91" s="29">
        <v>126</v>
      </c>
      <c r="DA91" s="29">
        <v>114</v>
      </c>
      <c r="DB91" s="29">
        <v>102</v>
      </c>
      <c r="DC91" s="280">
        <v>102</v>
      </c>
      <c r="DD91" s="2240">
        <v>92.3</v>
      </c>
      <c r="DE91" s="2179"/>
      <c r="DF91" s="2179"/>
      <c r="DH91" s="3649" t="e">
        <f>HLOOKUP(DI82,CW83:DD96,8,0)</f>
        <v>#N/A</v>
      </c>
      <c r="DI91" s="3649" t="e">
        <f t="shared" si="96"/>
        <v>#N/A</v>
      </c>
      <c r="DJ91" s="735">
        <v>315</v>
      </c>
      <c r="DK91" s="2179"/>
      <c r="DX91" s="1"/>
      <c r="DZ91" s="280" t="s">
        <v>2197</v>
      </c>
      <c r="EA91" s="3643">
        <f>EC91*EA68</f>
        <v>225000</v>
      </c>
      <c r="EB91" s="734">
        <v>52500</v>
      </c>
      <c r="EC91" s="2186">
        <f>850+50</f>
        <v>900</v>
      </c>
      <c r="ED91" s="280"/>
      <c r="EE91" s="277">
        <v>900</v>
      </c>
      <c r="EF91" s="277">
        <v>50</v>
      </c>
      <c r="EP91" s="286"/>
      <c r="EQ91" s="286"/>
      <c r="FC91" s="2174"/>
      <c r="FD91" s="2174"/>
      <c r="FF91" s="277">
        <v>7</v>
      </c>
      <c r="FG91" s="7">
        <v>315</v>
      </c>
      <c r="FH91" s="29">
        <v>270</v>
      </c>
      <c r="FI91" s="29">
        <v>250</v>
      </c>
      <c r="FJ91" s="29">
        <v>220</v>
      </c>
      <c r="FK91" s="29">
        <v>200</v>
      </c>
      <c r="FL91" s="29">
        <v>190</v>
      </c>
      <c r="FM91" s="29">
        <v>165</v>
      </c>
      <c r="FN91" s="280">
        <v>150</v>
      </c>
      <c r="FO91" s="280">
        <v>130</v>
      </c>
      <c r="FP91" s="990">
        <v>120</v>
      </c>
      <c r="FQ91" s="2179"/>
      <c r="FS91" s="3649" t="e">
        <f>HLOOKUP(FT83,FH84:FP97,7,0)</f>
        <v>#N/A</v>
      </c>
      <c r="FT91" s="3649" t="e">
        <f t="shared" si="101"/>
        <v>#N/A</v>
      </c>
      <c r="FU91" s="735">
        <v>315</v>
      </c>
      <c r="FV91" s="2179"/>
      <c r="FY91" s="2176"/>
      <c r="FZ91" s="2176"/>
      <c r="GC91" s="7">
        <v>315</v>
      </c>
      <c r="GD91" s="29">
        <v>270</v>
      </c>
      <c r="GE91" s="29">
        <v>250</v>
      </c>
      <c r="GF91" s="29">
        <v>220</v>
      </c>
      <c r="GG91" s="29">
        <v>200</v>
      </c>
      <c r="GH91" s="29">
        <v>190</v>
      </c>
      <c r="GI91" s="29">
        <v>165</v>
      </c>
      <c r="GJ91" s="280">
        <v>150</v>
      </c>
      <c r="GK91" s="280">
        <v>130</v>
      </c>
      <c r="GL91" s="990">
        <v>120</v>
      </c>
      <c r="GM91" s="2179"/>
      <c r="GO91" s="3649" t="e">
        <f>HLOOKUP(GP83,GD84:GL97,7,0)</f>
        <v>#N/A</v>
      </c>
      <c r="GP91" s="3649" t="e">
        <f t="shared" si="102"/>
        <v>#N/A</v>
      </c>
      <c r="GQ91" s="735">
        <v>315</v>
      </c>
      <c r="GR91" s="2179"/>
      <c r="GU91" s="2174"/>
      <c r="GX91" s="2266">
        <v>280</v>
      </c>
      <c r="GY91" s="29">
        <v>128</v>
      </c>
      <c r="GZ91" s="29">
        <v>116</v>
      </c>
      <c r="HA91" s="29">
        <v>105</v>
      </c>
      <c r="HB91" s="29">
        <v>93.4</v>
      </c>
      <c r="HC91" s="29">
        <v>85.6</v>
      </c>
      <c r="HD91" s="29">
        <v>76.3</v>
      </c>
      <c r="HE91" s="280">
        <v>73.5</v>
      </c>
      <c r="HF91" s="2240">
        <v>66.599999999999994</v>
      </c>
      <c r="HG91" s="2179"/>
      <c r="HH91" s="2179"/>
      <c r="HJ91" s="3649" t="e">
        <f>HLOOKUP(HK83,GY84:HF97,7,0)</f>
        <v>#N/A</v>
      </c>
      <c r="HK91" s="3649" t="e">
        <f t="shared" si="99"/>
        <v>#N/A</v>
      </c>
      <c r="HL91" s="735">
        <v>280</v>
      </c>
      <c r="HM91" s="2179"/>
      <c r="HO91" s="2176"/>
      <c r="HP91" s="2176"/>
      <c r="HS91" s="2266">
        <v>280</v>
      </c>
      <c r="HT91" s="29">
        <v>128</v>
      </c>
      <c r="HU91" s="29">
        <v>116</v>
      </c>
      <c r="HV91" s="29">
        <v>105</v>
      </c>
      <c r="HW91" s="29">
        <v>93.4</v>
      </c>
      <c r="HX91" s="29">
        <v>85.6</v>
      </c>
      <c r="HY91" s="29">
        <v>76.3</v>
      </c>
      <c r="HZ91" s="280">
        <v>73.5</v>
      </c>
      <c r="IA91" s="2240">
        <v>66.599999999999994</v>
      </c>
      <c r="IB91" s="2179"/>
      <c r="IC91" s="2179"/>
      <c r="IE91" s="3649" t="e">
        <f>HLOOKUP(IF83,HT84:IA97,7,0)</f>
        <v>#N/A</v>
      </c>
      <c r="IF91" s="3649" t="e">
        <f t="shared" si="100"/>
        <v>#N/A</v>
      </c>
      <c r="IG91" s="735">
        <v>280</v>
      </c>
      <c r="IH91" s="2179"/>
    </row>
    <row r="92" spans="3:242" ht="21.95" customHeight="1">
      <c r="C92" s="280" t="s">
        <v>2198</v>
      </c>
      <c r="D92" s="3643">
        <f>F92*D68</f>
        <v>305000</v>
      </c>
      <c r="E92" s="734">
        <v>57750</v>
      </c>
      <c r="F92" s="2186">
        <f>1150+70</f>
        <v>1220</v>
      </c>
      <c r="G92" s="280"/>
      <c r="H92" s="277">
        <v>1215</v>
      </c>
      <c r="I92" s="277">
        <v>70</v>
      </c>
      <c r="S92" s="286"/>
      <c r="T92" s="286"/>
      <c r="AF92" s="2174"/>
      <c r="AG92" s="2174"/>
      <c r="AJ92" s="7">
        <v>400</v>
      </c>
      <c r="AK92" s="29">
        <v>500</v>
      </c>
      <c r="AL92" s="29">
        <v>460</v>
      </c>
      <c r="AM92" s="29">
        <v>420</v>
      </c>
      <c r="AN92" s="29">
        <v>380</v>
      </c>
      <c r="AO92" s="29">
        <v>345</v>
      </c>
      <c r="AP92" s="29">
        <v>315</v>
      </c>
      <c r="AQ92" s="280">
        <v>285</v>
      </c>
      <c r="AR92" s="280">
        <v>255</v>
      </c>
      <c r="AS92" s="990">
        <v>230</v>
      </c>
      <c r="AT92" s="2179"/>
      <c r="AV92" s="3649" t="e">
        <f>HLOOKUP(AW82,AK83:AS96,9,0)</f>
        <v>#N/A</v>
      </c>
      <c r="AW92" s="3649" t="e">
        <f t="shared" si="97"/>
        <v>#N/A</v>
      </c>
      <c r="AX92" s="735">
        <v>400</v>
      </c>
      <c r="AY92" s="2179"/>
      <c r="BB92" s="2176"/>
      <c r="BC92" s="2176"/>
      <c r="BF92" s="7">
        <v>400</v>
      </c>
      <c r="BG92" s="29">
        <v>500</v>
      </c>
      <c r="BH92" s="29">
        <v>460</v>
      </c>
      <c r="BI92" s="29">
        <v>420</v>
      </c>
      <c r="BJ92" s="29">
        <v>380</v>
      </c>
      <c r="BK92" s="29">
        <v>345</v>
      </c>
      <c r="BL92" s="29">
        <v>315</v>
      </c>
      <c r="BM92" s="280">
        <v>285</v>
      </c>
      <c r="BN92" s="280">
        <v>255</v>
      </c>
      <c r="BO92" s="990">
        <v>230</v>
      </c>
      <c r="BP92" s="2179"/>
      <c r="BR92" s="3649" t="e">
        <f>HLOOKUP(BS82,BG83:BO96,9,0)</f>
        <v>#N/A</v>
      </c>
      <c r="BS92" s="3649" t="e">
        <f t="shared" si="98"/>
        <v>#N/A</v>
      </c>
      <c r="BT92" s="735">
        <v>400</v>
      </c>
      <c r="BU92" s="2179"/>
      <c r="BX92" s="2174"/>
      <c r="CA92" s="2266">
        <v>355</v>
      </c>
      <c r="CB92" s="29">
        <v>248</v>
      </c>
      <c r="CC92" s="29">
        <v>221</v>
      </c>
      <c r="CD92" s="29">
        <v>203</v>
      </c>
      <c r="CE92" s="29">
        <v>186</v>
      </c>
      <c r="CF92" s="29">
        <v>164</v>
      </c>
      <c r="CG92" s="29">
        <v>152</v>
      </c>
      <c r="CH92" s="280">
        <v>133</v>
      </c>
      <c r="CI92" s="2240">
        <v>119</v>
      </c>
      <c r="CJ92" s="2179"/>
      <c r="CK92" s="2179"/>
      <c r="CM92" s="3649" t="e">
        <f>HLOOKUP(CN82,CB83:CI96,9,0)</f>
        <v>#N/A</v>
      </c>
      <c r="CN92" s="3649" t="e">
        <f t="shared" si="95"/>
        <v>#N/A</v>
      </c>
      <c r="CO92" s="735">
        <v>355</v>
      </c>
      <c r="CP92" s="2179"/>
      <c r="CR92" s="2176"/>
      <c r="CS92" s="2176"/>
      <c r="CV92" s="2266">
        <v>355</v>
      </c>
      <c r="CW92" s="29">
        <v>248</v>
      </c>
      <c r="CX92" s="29">
        <v>221</v>
      </c>
      <c r="CY92" s="29">
        <v>203</v>
      </c>
      <c r="CZ92" s="29">
        <v>186</v>
      </c>
      <c r="DA92" s="29">
        <v>164</v>
      </c>
      <c r="DB92" s="29">
        <v>152</v>
      </c>
      <c r="DC92" s="280">
        <v>133</v>
      </c>
      <c r="DD92" s="2240">
        <v>119</v>
      </c>
      <c r="DE92" s="2179"/>
      <c r="DF92" s="2179"/>
      <c r="DH92" s="3649" t="e">
        <f>HLOOKUP(DI82,CW83:DD96,9,0)</f>
        <v>#N/A</v>
      </c>
      <c r="DI92" s="3649" t="e">
        <f t="shared" si="96"/>
        <v>#N/A</v>
      </c>
      <c r="DJ92" s="735">
        <v>355</v>
      </c>
      <c r="DK92" s="2179"/>
      <c r="DX92" s="1"/>
      <c r="DZ92" s="280" t="s">
        <v>2198</v>
      </c>
      <c r="EA92" s="3643">
        <f>EC92*EA68</f>
        <v>305000</v>
      </c>
      <c r="EB92" s="734">
        <v>57750</v>
      </c>
      <c r="EC92" s="2186">
        <f>1150+70</f>
        <v>1220</v>
      </c>
      <c r="ED92" s="280"/>
      <c r="EE92" s="277">
        <v>1215</v>
      </c>
      <c r="EF92" s="277">
        <v>70</v>
      </c>
      <c r="EP92" s="286"/>
      <c r="EQ92" s="286"/>
      <c r="FC92" s="2174"/>
      <c r="FD92" s="2174"/>
      <c r="FF92" s="277">
        <v>8</v>
      </c>
      <c r="FG92" s="7">
        <v>355</v>
      </c>
      <c r="FH92" s="29">
        <v>390</v>
      </c>
      <c r="FI92" s="29">
        <v>350</v>
      </c>
      <c r="FJ92" s="29">
        <v>320</v>
      </c>
      <c r="FK92" s="29">
        <v>290</v>
      </c>
      <c r="FL92" s="29">
        <v>265</v>
      </c>
      <c r="FM92" s="29">
        <v>255</v>
      </c>
      <c r="FN92" s="280">
        <v>230</v>
      </c>
      <c r="FO92" s="280">
        <v>200</v>
      </c>
      <c r="FP92" s="990">
        <v>185</v>
      </c>
      <c r="FQ92" s="2179"/>
      <c r="FS92" s="3649" t="e">
        <f>HLOOKUP(FT83,FH84:FP97,8,0)</f>
        <v>#N/A</v>
      </c>
      <c r="FT92" s="3649" t="e">
        <f t="shared" si="101"/>
        <v>#N/A</v>
      </c>
      <c r="FU92" s="735">
        <v>355</v>
      </c>
      <c r="FV92" s="2179"/>
      <c r="FY92" s="2176"/>
      <c r="FZ92" s="2176"/>
      <c r="GC92" s="7">
        <v>355</v>
      </c>
      <c r="GD92" s="29">
        <v>390</v>
      </c>
      <c r="GE92" s="29">
        <v>350</v>
      </c>
      <c r="GF92" s="29">
        <v>320</v>
      </c>
      <c r="GG92" s="29">
        <v>290</v>
      </c>
      <c r="GH92" s="29">
        <v>265</v>
      </c>
      <c r="GI92" s="29">
        <v>255</v>
      </c>
      <c r="GJ92" s="280">
        <v>230</v>
      </c>
      <c r="GK92" s="280">
        <v>200</v>
      </c>
      <c r="GL92" s="990">
        <v>185</v>
      </c>
      <c r="GM92" s="2179"/>
      <c r="GO92" s="3649" t="e">
        <f>HLOOKUP(GP83,GD84:GL97,8,0)</f>
        <v>#N/A</v>
      </c>
      <c r="GP92" s="3649" t="e">
        <f t="shared" si="102"/>
        <v>#N/A</v>
      </c>
      <c r="GQ92" s="735">
        <v>355</v>
      </c>
      <c r="GR92" s="2179"/>
      <c r="GU92" s="2174"/>
      <c r="GX92" s="2266">
        <v>315</v>
      </c>
      <c r="GY92" s="29">
        <v>174</v>
      </c>
      <c r="GZ92" s="29">
        <v>152</v>
      </c>
      <c r="HA92" s="29">
        <v>141</v>
      </c>
      <c r="HB92" s="29">
        <v>126</v>
      </c>
      <c r="HC92" s="29">
        <v>114</v>
      </c>
      <c r="HD92" s="29">
        <v>102</v>
      </c>
      <c r="HE92" s="280">
        <v>102</v>
      </c>
      <c r="HF92" s="2240">
        <v>92.3</v>
      </c>
      <c r="HG92" s="2179"/>
      <c r="HH92" s="2179"/>
      <c r="HJ92" s="3649" t="e">
        <f>HLOOKUP(HK83,GY84:HF97,8,0)</f>
        <v>#N/A</v>
      </c>
      <c r="HK92" s="3649" t="e">
        <f t="shared" si="99"/>
        <v>#N/A</v>
      </c>
      <c r="HL92" s="735">
        <v>315</v>
      </c>
      <c r="HM92" s="2179"/>
      <c r="HO92" s="2176"/>
      <c r="HP92" s="2176"/>
      <c r="HS92" s="2266">
        <v>315</v>
      </c>
      <c r="HT92" s="29">
        <v>174</v>
      </c>
      <c r="HU92" s="29">
        <v>152</v>
      </c>
      <c r="HV92" s="29">
        <v>141</v>
      </c>
      <c r="HW92" s="29">
        <v>126</v>
      </c>
      <c r="HX92" s="29">
        <v>114</v>
      </c>
      <c r="HY92" s="29">
        <v>102</v>
      </c>
      <c r="HZ92" s="280">
        <v>102</v>
      </c>
      <c r="IA92" s="2240">
        <v>92.3</v>
      </c>
      <c r="IB92" s="2179"/>
      <c r="IC92" s="2179"/>
      <c r="IE92" s="3649" t="e">
        <f>HLOOKUP(IF83,HT84:IA97,8,0)</f>
        <v>#N/A</v>
      </c>
      <c r="IF92" s="3649" t="e">
        <f t="shared" si="100"/>
        <v>#N/A</v>
      </c>
      <c r="IG92" s="735">
        <v>315</v>
      </c>
      <c r="IH92" s="2179"/>
    </row>
    <row r="93" spans="3:242" ht="21.95" customHeight="1">
      <c r="C93" s="280" t="s">
        <v>2199</v>
      </c>
      <c r="D93" s="3643">
        <f>F93*D68</f>
        <v>406250</v>
      </c>
      <c r="E93" s="734">
        <v>73500</v>
      </c>
      <c r="F93" s="2186">
        <f>1525+100</f>
        <v>1625</v>
      </c>
      <c r="G93" s="280"/>
      <c r="H93" s="277">
        <v>1605</v>
      </c>
      <c r="I93" s="277">
        <v>100</v>
      </c>
      <c r="S93" s="286"/>
      <c r="T93" s="286"/>
      <c r="AF93" s="2174"/>
      <c r="AG93" s="2174"/>
      <c r="AJ93" s="7">
        <v>450</v>
      </c>
      <c r="AK93" s="29">
        <v>700</v>
      </c>
      <c r="AL93" s="29">
        <v>640</v>
      </c>
      <c r="AM93" s="29">
        <v>590</v>
      </c>
      <c r="AN93" s="29">
        <v>550</v>
      </c>
      <c r="AO93" s="29">
        <v>520</v>
      </c>
      <c r="AP93" s="29">
        <v>460</v>
      </c>
      <c r="AQ93" s="280">
        <v>420</v>
      </c>
      <c r="AR93" s="280">
        <v>370</v>
      </c>
      <c r="AS93" s="990">
        <v>340</v>
      </c>
      <c r="AT93" s="2179"/>
      <c r="AV93" s="3649" t="e">
        <f>HLOOKUP(AW82,AK83:AS96,10,0)</f>
        <v>#N/A</v>
      </c>
      <c r="AW93" s="3649" t="e">
        <f t="shared" si="97"/>
        <v>#N/A</v>
      </c>
      <c r="AX93" s="735">
        <v>450</v>
      </c>
      <c r="AY93" s="2179"/>
      <c r="BB93" s="2176"/>
      <c r="BC93" s="2176"/>
      <c r="BF93" s="7">
        <v>450</v>
      </c>
      <c r="BG93" s="29">
        <v>700</v>
      </c>
      <c r="BH93" s="29">
        <v>640</v>
      </c>
      <c r="BI93" s="29">
        <v>590</v>
      </c>
      <c r="BJ93" s="29">
        <v>550</v>
      </c>
      <c r="BK93" s="29">
        <v>520</v>
      </c>
      <c r="BL93" s="29">
        <v>460</v>
      </c>
      <c r="BM93" s="280">
        <v>420</v>
      </c>
      <c r="BN93" s="280">
        <v>370</v>
      </c>
      <c r="BO93" s="990">
        <v>340</v>
      </c>
      <c r="BP93" s="2179"/>
      <c r="BR93" s="3649" t="e">
        <f>HLOOKUP(BS82,BG83:BO96,10,0)</f>
        <v>#N/A</v>
      </c>
      <c r="BS93" s="3649" t="e">
        <f t="shared" si="98"/>
        <v>#N/A</v>
      </c>
      <c r="BT93" s="735">
        <v>450</v>
      </c>
      <c r="BU93" s="2179"/>
      <c r="BX93" s="2174"/>
      <c r="CA93" s="2266">
        <v>400</v>
      </c>
      <c r="CB93" s="29">
        <v>368</v>
      </c>
      <c r="CC93" s="29">
        <v>330</v>
      </c>
      <c r="CD93" s="29">
        <v>297</v>
      </c>
      <c r="CE93" s="29">
        <v>272</v>
      </c>
      <c r="CF93" s="29">
        <v>246</v>
      </c>
      <c r="CG93" s="29">
        <v>220</v>
      </c>
      <c r="CH93" s="280">
        <v>190</v>
      </c>
      <c r="CI93" s="2240">
        <v>171</v>
      </c>
      <c r="CJ93" s="2179"/>
      <c r="CK93" s="2179"/>
      <c r="CM93" s="3649" t="e">
        <f>HLOOKUP(CN82,CB83:CI96,10,0)</f>
        <v>#N/A</v>
      </c>
      <c r="CN93" s="3649" t="e">
        <f t="shared" si="95"/>
        <v>#N/A</v>
      </c>
      <c r="CO93" s="735">
        <v>400</v>
      </c>
      <c r="CP93" s="2179"/>
      <c r="CR93" s="2176"/>
      <c r="CS93" s="2176"/>
      <c r="CV93" s="2266">
        <v>400</v>
      </c>
      <c r="CW93" s="29">
        <v>368</v>
      </c>
      <c r="CX93" s="29">
        <v>330</v>
      </c>
      <c r="CY93" s="29">
        <v>297</v>
      </c>
      <c r="CZ93" s="29">
        <v>272</v>
      </c>
      <c r="DA93" s="29">
        <v>246</v>
      </c>
      <c r="DB93" s="29">
        <v>220</v>
      </c>
      <c r="DC93" s="280">
        <v>190</v>
      </c>
      <c r="DD93" s="2240">
        <v>171</v>
      </c>
      <c r="DE93" s="2179"/>
      <c r="DF93" s="2179"/>
      <c r="DH93" s="3649" t="e">
        <f>HLOOKUP(DI82,CW83:DD96,10,0)</f>
        <v>#N/A</v>
      </c>
      <c r="DI93" s="3649" t="e">
        <f t="shared" si="96"/>
        <v>#N/A</v>
      </c>
      <c r="DJ93" s="735">
        <v>400</v>
      </c>
      <c r="DK93" s="2179"/>
      <c r="DX93" s="1"/>
      <c r="DZ93" s="280" t="s">
        <v>2199</v>
      </c>
      <c r="EA93" s="3643">
        <f>EC93*EA68</f>
        <v>406250</v>
      </c>
      <c r="EB93" s="734">
        <v>73500</v>
      </c>
      <c r="EC93" s="2186">
        <f>1525+100</f>
        <v>1625</v>
      </c>
      <c r="ED93" s="280"/>
      <c r="EE93" s="277">
        <v>1605</v>
      </c>
      <c r="EF93" s="277">
        <v>100</v>
      </c>
      <c r="EP93" s="286"/>
      <c r="EQ93" s="286"/>
      <c r="FC93" s="2174"/>
      <c r="FD93" s="2174"/>
      <c r="FF93" s="277">
        <v>9</v>
      </c>
      <c r="FG93" s="7">
        <v>400</v>
      </c>
      <c r="FH93" s="29">
        <v>500</v>
      </c>
      <c r="FI93" s="29">
        <v>460</v>
      </c>
      <c r="FJ93" s="29">
        <v>420</v>
      </c>
      <c r="FK93" s="29">
        <v>380</v>
      </c>
      <c r="FL93" s="29">
        <v>345</v>
      </c>
      <c r="FM93" s="29">
        <v>315</v>
      </c>
      <c r="FN93" s="280">
        <v>285</v>
      </c>
      <c r="FO93" s="280">
        <v>255</v>
      </c>
      <c r="FP93" s="990">
        <v>230</v>
      </c>
      <c r="FQ93" s="2179"/>
      <c r="FS93" s="3649" t="e">
        <f>HLOOKUP(FT83,FH84:FP97,9,0)</f>
        <v>#N/A</v>
      </c>
      <c r="FT93" s="3649" t="e">
        <f t="shared" si="101"/>
        <v>#N/A</v>
      </c>
      <c r="FU93" s="735">
        <v>400</v>
      </c>
      <c r="FV93" s="2179"/>
      <c r="FY93" s="2176"/>
      <c r="FZ93" s="2176"/>
      <c r="GC93" s="7">
        <v>400</v>
      </c>
      <c r="GD93" s="29">
        <v>500</v>
      </c>
      <c r="GE93" s="29">
        <v>460</v>
      </c>
      <c r="GF93" s="29">
        <v>420</v>
      </c>
      <c r="GG93" s="29">
        <v>380</v>
      </c>
      <c r="GH93" s="29">
        <v>345</v>
      </c>
      <c r="GI93" s="29">
        <v>315</v>
      </c>
      <c r="GJ93" s="280">
        <v>285</v>
      </c>
      <c r="GK93" s="280">
        <v>255</v>
      </c>
      <c r="GL93" s="990">
        <v>230</v>
      </c>
      <c r="GM93" s="2179"/>
      <c r="GO93" s="3649" t="e">
        <f>HLOOKUP(GP83,GD84:GL97,9,0)</f>
        <v>#N/A</v>
      </c>
      <c r="GP93" s="3649" t="e">
        <f t="shared" si="102"/>
        <v>#N/A</v>
      </c>
      <c r="GQ93" s="735">
        <v>400</v>
      </c>
      <c r="GR93" s="2179"/>
      <c r="GU93" s="2174"/>
      <c r="GX93" s="2266">
        <v>355</v>
      </c>
      <c r="GY93" s="29">
        <v>248</v>
      </c>
      <c r="GZ93" s="29">
        <v>221</v>
      </c>
      <c r="HA93" s="29">
        <v>203</v>
      </c>
      <c r="HB93" s="29">
        <v>186</v>
      </c>
      <c r="HC93" s="29">
        <v>164</v>
      </c>
      <c r="HD93" s="29">
        <v>152</v>
      </c>
      <c r="HE93" s="280">
        <v>133</v>
      </c>
      <c r="HF93" s="2240">
        <v>119</v>
      </c>
      <c r="HG93" s="2179"/>
      <c r="HH93" s="2179"/>
      <c r="HJ93" s="3649" t="e">
        <f>HLOOKUP(HK83,GY84:HF97,9,0)</f>
        <v>#N/A</v>
      </c>
      <c r="HK93" s="3649" t="e">
        <f t="shared" si="99"/>
        <v>#N/A</v>
      </c>
      <c r="HL93" s="735">
        <v>355</v>
      </c>
      <c r="HM93" s="2179"/>
      <c r="HO93" s="2176"/>
      <c r="HP93" s="2176"/>
      <c r="HS93" s="2266">
        <v>355</v>
      </c>
      <c r="HT93" s="29">
        <v>248</v>
      </c>
      <c r="HU93" s="29">
        <v>221</v>
      </c>
      <c r="HV93" s="29">
        <v>203</v>
      </c>
      <c r="HW93" s="29">
        <v>186</v>
      </c>
      <c r="HX93" s="29">
        <v>164</v>
      </c>
      <c r="HY93" s="29">
        <v>152</v>
      </c>
      <c r="HZ93" s="280">
        <v>133</v>
      </c>
      <c r="IA93" s="2240">
        <v>119</v>
      </c>
      <c r="IB93" s="2179"/>
      <c r="IC93" s="2179"/>
      <c r="IE93" s="3649" t="e">
        <f>HLOOKUP(IF83,HT84:IA97,9,0)</f>
        <v>#N/A</v>
      </c>
      <c r="IF93" s="3649" t="e">
        <f t="shared" si="100"/>
        <v>#N/A</v>
      </c>
      <c r="IG93" s="735">
        <v>355</v>
      </c>
      <c r="IH93" s="2179"/>
    </row>
    <row r="94" spans="3:242" ht="21.95" customHeight="1">
      <c r="C94" s="280" t="s">
        <v>2200</v>
      </c>
      <c r="D94" s="3643">
        <f>F94*D68</f>
        <v>555000</v>
      </c>
      <c r="E94" s="3644">
        <f>+E93*1.05</f>
        <v>77175</v>
      </c>
      <c r="F94" s="2186">
        <f>2080+140</f>
        <v>2220</v>
      </c>
      <c r="G94" s="280"/>
      <c r="H94" s="277">
        <v>2180</v>
      </c>
      <c r="I94" s="277">
        <v>140</v>
      </c>
      <c r="S94" s="286"/>
      <c r="T94" s="286"/>
      <c r="AF94" s="2174"/>
      <c r="AG94" s="2174"/>
      <c r="AJ94" s="7">
        <v>500</v>
      </c>
      <c r="AK94" s="29">
        <v>1250</v>
      </c>
      <c r="AL94" s="29">
        <v>1120</v>
      </c>
      <c r="AM94" s="29">
        <v>1000</v>
      </c>
      <c r="AN94" s="29">
        <v>880</v>
      </c>
      <c r="AO94" s="29">
        <v>780</v>
      </c>
      <c r="AP94" s="29">
        <v>730</v>
      </c>
      <c r="AQ94" s="280">
        <v>640</v>
      </c>
      <c r="AR94" s="280">
        <v>580</v>
      </c>
      <c r="AS94" s="990">
        <v>510</v>
      </c>
      <c r="AT94" s="2179"/>
      <c r="AV94" s="3649" t="e">
        <f>HLOOKUP(AW82,AK83:AS96,11,0)</f>
        <v>#N/A</v>
      </c>
      <c r="AW94" s="3649" t="e">
        <f t="shared" si="97"/>
        <v>#N/A</v>
      </c>
      <c r="AX94" s="735">
        <v>500</v>
      </c>
      <c r="AY94" s="2179"/>
      <c r="BB94" s="2176"/>
      <c r="BC94" s="2176"/>
      <c r="BF94" s="7">
        <v>500</v>
      </c>
      <c r="BG94" s="29">
        <v>1250</v>
      </c>
      <c r="BH94" s="29">
        <v>1120</v>
      </c>
      <c r="BI94" s="29">
        <v>1000</v>
      </c>
      <c r="BJ94" s="29">
        <v>880</v>
      </c>
      <c r="BK94" s="29">
        <v>780</v>
      </c>
      <c r="BL94" s="29">
        <v>730</v>
      </c>
      <c r="BM94" s="280">
        <v>640</v>
      </c>
      <c r="BN94" s="280">
        <v>580</v>
      </c>
      <c r="BO94" s="990">
        <v>510</v>
      </c>
      <c r="BP94" s="2179"/>
      <c r="BR94" s="3649" t="e">
        <f>HLOOKUP(BS82,BG83:BO96,11,0)</f>
        <v>#N/A</v>
      </c>
      <c r="BS94" s="3649" t="e">
        <f t="shared" si="98"/>
        <v>#N/A</v>
      </c>
      <c r="BT94" s="735">
        <v>500</v>
      </c>
      <c r="BU94" s="2179"/>
      <c r="BX94" s="2174"/>
      <c r="CA94" s="2266">
        <v>450</v>
      </c>
      <c r="CB94" s="29">
        <v>513</v>
      </c>
      <c r="CC94" s="29">
        <v>471</v>
      </c>
      <c r="CD94" s="29">
        <v>415</v>
      </c>
      <c r="CE94" s="29">
        <v>383</v>
      </c>
      <c r="CF94" s="29">
        <v>341</v>
      </c>
      <c r="CG94" s="29">
        <v>309</v>
      </c>
      <c r="CH94" s="280">
        <v>283</v>
      </c>
      <c r="CI94" s="2240">
        <v>264</v>
      </c>
      <c r="CJ94" s="2179"/>
      <c r="CK94" s="2179"/>
      <c r="CM94" s="3649" t="e">
        <f>HLOOKUP(CN82,CB83:CI96,11,0)</f>
        <v>#N/A</v>
      </c>
      <c r="CN94" s="3649" t="e">
        <f t="shared" si="95"/>
        <v>#N/A</v>
      </c>
      <c r="CO94" s="735">
        <v>450</v>
      </c>
      <c r="CP94" s="2179"/>
      <c r="CR94" s="2176"/>
      <c r="CS94" s="2176"/>
      <c r="CV94" s="2266">
        <v>450</v>
      </c>
      <c r="CW94" s="29">
        <v>513</v>
      </c>
      <c r="CX94" s="29">
        <v>471</v>
      </c>
      <c r="CY94" s="29">
        <v>415</v>
      </c>
      <c r="CZ94" s="29">
        <v>383</v>
      </c>
      <c r="DA94" s="29">
        <v>341</v>
      </c>
      <c r="DB94" s="29">
        <v>309</v>
      </c>
      <c r="DC94" s="280">
        <v>283</v>
      </c>
      <c r="DD94" s="2240">
        <v>264</v>
      </c>
      <c r="DE94" s="2179"/>
      <c r="DF94" s="2179"/>
      <c r="DH94" s="3649" t="e">
        <f>HLOOKUP(DI82,CW83:DD96,11,0)</f>
        <v>#N/A</v>
      </c>
      <c r="DI94" s="3649" t="e">
        <f t="shared" si="96"/>
        <v>#N/A</v>
      </c>
      <c r="DJ94" s="735">
        <v>450</v>
      </c>
      <c r="DK94" s="2179"/>
      <c r="DX94" s="1"/>
      <c r="DZ94" s="280" t="s">
        <v>2200</v>
      </c>
      <c r="EA94" s="3643">
        <f>EC94*EA68</f>
        <v>555000</v>
      </c>
      <c r="EB94" s="3644">
        <f>+EB93*1.05</f>
        <v>77175</v>
      </c>
      <c r="EC94" s="2186">
        <f>2080+140</f>
        <v>2220</v>
      </c>
      <c r="ED94" s="280"/>
      <c r="EE94" s="277">
        <v>2180</v>
      </c>
      <c r="EF94" s="277">
        <v>140</v>
      </c>
      <c r="EP94" s="286"/>
      <c r="EQ94" s="286"/>
      <c r="FC94" s="2174"/>
      <c r="FD94" s="2174"/>
      <c r="FF94" s="277">
        <v>10</v>
      </c>
      <c r="FG94" s="7">
        <v>450</v>
      </c>
      <c r="FH94" s="29">
        <v>700</v>
      </c>
      <c r="FI94" s="29">
        <v>640</v>
      </c>
      <c r="FJ94" s="29">
        <v>590</v>
      </c>
      <c r="FK94" s="29">
        <v>550</v>
      </c>
      <c r="FL94" s="29">
        <v>520</v>
      </c>
      <c r="FM94" s="29">
        <v>460</v>
      </c>
      <c r="FN94" s="280">
        <v>420</v>
      </c>
      <c r="FO94" s="280">
        <v>370</v>
      </c>
      <c r="FP94" s="990">
        <v>340</v>
      </c>
      <c r="FQ94" s="2179"/>
      <c r="FS94" s="3649" t="e">
        <f>HLOOKUP(FT83,FH84:FP97,10,0)</f>
        <v>#N/A</v>
      </c>
      <c r="FT94" s="3649" t="e">
        <f t="shared" si="101"/>
        <v>#N/A</v>
      </c>
      <c r="FU94" s="735">
        <v>450</v>
      </c>
      <c r="FV94" s="2179"/>
      <c r="FY94" s="2176"/>
      <c r="FZ94" s="2176"/>
      <c r="GC94" s="7">
        <v>450</v>
      </c>
      <c r="GD94" s="29">
        <v>700</v>
      </c>
      <c r="GE94" s="29">
        <v>640</v>
      </c>
      <c r="GF94" s="29">
        <v>590</v>
      </c>
      <c r="GG94" s="29">
        <v>550</v>
      </c>
      <c r="GH94" s="29">
        <v>520</v>
      </c>
      <c r="GI94" s="29">
        <v>460</v>
      </c>
      <c r="GJ94" s="280">
        <v>420</v>
      </c>
      <c r="GK94" s="280">
        <v>370</v>
      </c>
      <c r="GL94" s="990">
        <v>340</v>
      </c>
      <c r="GM94" s="2179"/>
      <c r="GO94" s="3649" t="e">
        <f>HLOOKUP(GP83,GD84:GL97,10,0)</f>
        <v>#N/A</v>
      </c>
      <c r="GP94" s="3649" t="e">
        <f t="shared" si="102"/>
        <v>#N/A</v>
      </c>
      <c r="GQ94" s="735">
        <v>450</v>
      </c>
      <c r="GR94" s="2179"/>
      <c r="GU94" s="2174"/>
      <c r="GX94" s="2266">
        <v>400</v>
      </c>
      <c r="GY94" s="29">
        <v>368</v>
      </c>
      <c r="GZ94" s="29">
        <v>330</v>
      </c>
      <c r="HA94" s="29">
        <v>297</v>
      </c>
      <c r="HB94" s="29">
        <v>272</v>
      </c>
      <c r="HC94" s="29">
        <v>246</v>
      </c>
      <c r="HD94" s="29">
        <v>220</v>
      </c>
      <c r="HE94" s="280">
        <v>190</v>
      </c>
      <c r="HF94" s="2240">
        <v>171</v>
      </c>
      <c r="HG94" s="2179"/>
      <c r="HH94" s="2179"/>
      <c r="HJ94" s="3649" t="e">
        <f>HLOOKUP(HK83,GY84:HF97,10,0)</f>
        <v>#N/A</v>
      </c>
      <c r="HK94" s="3649" t="e">
        <f t="shared" si="99"/>
        <v>#N/A</v>
      </c>
      <c r="HL94" s="735">
        <v>400</v>
      </c>
      <c r="HM94" s="2179"/>
      <c r="HO94" s="2176"/>
      <c r="HP94" s="2176"/>
      <c r="HS94" s="2266">
        <v>400</v>
      </c>
      <c r="HT94" s="29">
        <v>368</v>
      </c>
      <c r="HU94" s="29">
        <v>330</v>
      </c>
      <c r="HV94" s="29">
        <v>297</v>
      </c>
      <c r="HW94" s="29">
        <v>272</v>
      </c>
      <c r="HX94" s="29">
        <v>246</v>
      </c>
      <c r="HY94" s="29">
        <v>220</v>
      </c>
      <c r="HZ94" s="280">
        <v>190</v>
      </c>
      <c r="IA94" s="2240">
        <v>171</v>
      </c>
      <c r="IB94" s="2179"/>
      <c r="IC94" s="2179"/>
      <c r="IE94" s="3649" t="e">
        <f>HLOOKUP(IF83,HT84:IA97,10,0)</f>
        <v>#N/A</v>
      </c>
      <c r="IF94" s="3649" t="e">
        <f t="shared" si="100"/>
        <v>#N/A</v>
      </c>
      <c r="IG94" s="735">
        <v>400</v>
      </c>
      <c r="IH94" s="2179"/>
    </row>
    <row r="95" spans="3:242" ht="21.95" customHeight="1">
      <c r="C95" s="280" t="s">
        <v>2201</v>
      </c>
      <c r="D95" s="3643">
        <f>F95*D68</f>
        <v>761250</v>
      </c>
      <c r="E95" s="3644">
        <f>+E94*1.05</f>
        <v>81033.75</v>
      </c>
      <c r="F95" s="2186">
        <f>2840+205</f>
        <v>3045</v>
      </c>
      <c r="G95" s="280"/>
      <c r="H95" s="277">
        <v>2965</v>
      </c>
      <c r="I95" s="277">
        <v>205</v>
      </c>
      <c r="S95" s="286"/>
      <c r="T95" s="286"/>
      <c r="AF95" s="2174"/>
      <c r="AG95" s="2174"/>
      <c r="AJ95" s="7">
        <v>560</v>
      </c>
      <c r="AK95" s="29">
        <v>1770</v>
      </c>
      <c r="AL95" s="29">
        <v>1580</v>
      </c>
      <c r="AM95" s="29">
        <v>1410</v>
      </c>
      <c r="AN95" s="29">
        <v>1240</v>
      </c>
      <c r="AO95" s="29">
        <v>1100</v>
      </c>
      <c r="AP95" s="29">
        <v>1040</v>
      </c>
      <c r="AQ95" s="280">
        <v>910</v>
      </c>
      <c r="AR95" s="280">
        <v>820</v>
      </c>
      <c r="AS95" s="990">
        <v>720</v>
      </c>
      <c r="AT95" s="2179"/>
      <c r="AV95" s="3649" t="e">
        <f>HLOOKUP(AW82,AK83:AS96,12,0)</f>
        <v>#N/A</v>
      </c>
      <c r="AW95" s="3649" t="e">
        <f t="shared" si="97"/>
        <v>#N/A</v>
      </c>
      <c r="AX95" s="735">
        <v>560</v>
      </c>
      <c r="AY95" s="2179"/>
      <c r="BB95" s="2176"/>
      <c r="BC95" s="2176"/>
      <c r="BF95" s="7">
        <v>560</v>
      </c>
      <c r="BG95" s="29">
        <v>1770</v>
      </c>
      <c r="BH95" s="29">
        <v>1580</v>
      </c>
      <c r="BI95" s="29">
        <v>1410</v>
      </c>
      <c r="BJ95" s="29">
        <v>1240</v>
      </c>
      <c r="BK95" s="29">
        <v>1100</v>
      </c>
      <c r="BL95" s="29">
        <v>1040</v>
      </c>
      <c r="BM95" s="280">
        <v>910</v>
      </c>
      <c r="BN95" s="280">
        <v>820</v>
      </c>
      <c r="BO95" s="990">
        <v>720</v>
      </c>
      <c r="BP95" s="2179"/>
      <c r="BR95" s="3649" t="e">
        <f>HLOOKUP(BS82,BG83:BO96,12,0)</f>
        <v>#N/A</v>
      </c>
      <c r="BS95" s="3649" t="e">
        <f t="shared" si="98"/>
        <v>#N/A</v>
      </c>
      <c r="BT95" s="735">
        <v>560</v>
      </c>
      <c r="BU95" s="2179"/>
      <c r="BX95" s="2174"/>
      <c r="CA95" s="2266">
        <v>500</v>
      </c>
      <c r="CB95" s="29">
        <v>782</v>
      </c>
      <c r="CC95" s="29">
        <v>705</v>
      </c>
      <c r="CD95" s="29">
        <v>648</v>
      </c>
      <c r="CE95" s="29">
        <v>571</v>
      </c>
      <c r="CF95" s="29">
        <v>531</v>
      </c>
      <c r="CG95" s="29">
        <v>472</v>
      </c>
      <c r="CH95" s="280">
        <v>434</v>
      </c>
      <c r="CI95" s="2240">
        <v>387</v>
      </c>
      <c r="CJ95" s="2179"/>
      <c r="CK95" s="2179"/>
      <c r="CM95" s="3649" t="e">
        <f>HLOOKUP(CN82,CB83:CI96,12,0)</f>
        <v>#N/A</v>
      </c>
      <c r="CN95" s="3649" t="e">
        <f t="shared" si="95"/>
        <v>#N/A</v>
      </c>
      <c r="CO95" s="735">
        <v>500</v>
      </c>
      <c r="CP95" s="2179"/>
      <c r="CR95" s="2176"/>
      <c r="CS95" s="2176"/>
      <c r="CV95" s="2266">
        <v>500</v>
      </c>
      <c r="CW95" s="29">
        <v>782</v>
      </c>
      <c r="CX95" s="29">
        <v>705</v>
      </c>
      <c r="CY95" s="29">
        <v>648</v>
      </c>
      <c r="CZ95" s="29">
        <v>571</v>
      </c>
      <c r="DA95" s="29">
        <v>531</v>
      </c>
      <c r="DB95" s="29">
        <v>472</v>
      </c>
      <c r="DC95" s="280">
        <v>434</v>
      </c>
      <c r="DD95" s="2240">
        <v>387</v>
      </c>
      <c r="DE95" s="2179"/>
      <c r="DF95" s="2179"/>
      <c r="DH95" s="3649" t="e">
        <f>HLOOKUP(DI82,CW83:DD96,12,0)</f>
        <v>#N/A</v>
      </c>
      <c r="DI95" s="3649" t="e">
        <f t="shared" si="96"/>
        <v>#N/A</v>
      </c>
      <c r="DJ95" s="735">
        <v>500</v>
      </c>
      <c r="DK95" s="2179"/>
      <c r="DX95" s="1"/>
      <c r="DZ95" s="280" t="s">
        <v>2201</v>
      </c>
      <c r="EA95" s="3643">
        <f>EC95*EA68</f>
        <v>761250</v>
      </c>
      <c r="EB95" s="3644">
        <f>+EB94*1.05</f>
        <v>81033.75</v>
      </c>
      <c r="EC95" s="2186">
        <f>2840+205</f>
        <v>3045</v>
      </c>
      <c r="ED95" s="280"/>
      <c r="EE95" s="277">
        <v>2965</v>
      </c>
      <c r="EF95" s="277">
        <v>205</v>
      </c>
      <c r="EP95" s="286"/>
      <c r="EQ95" s="286"/>
      <c r="FC95" s="2174"/>
      <c r="FD95" s="2174"/>
      <c r="FF95" s="277">
        <v>11</v>
      </c>
      <c r="FG95" s="7">
        <v>500</v>
      </c>
      <c r="FH95" s="29">
        <v>1250</v>
      </c>
      <c r="FI95" s="29">
        <v>1120</v>
      </c>
      <c r="FJ95" s="29">
        <v>1000</v>
      </c>
      <c r="FK95" s="29">
        <v>880</v>
      </c>
      <c r="FL95" s="29">
        <v>780</v>
      </c>
      <c r="FM95" s="29">
        <v>730</v>
      </c>
      <c r="FN95" s="280">
        <v>640</v>
      </c>
      <c r="FO95" s="280">
        <v>580</v>
      </c>
      <c r="FP95" s="990">
        <v>510</v>
      </c>
      <c r="FQ95" s="2179"/>
      <c r="FS95" s="3649" t="e">
        <f>HLOOKUP(FT83,FH84:FP97,11,0)</f>
        <v>#N/A</v>
      </c>
      <c r="FT95" s="3649" t="e">
        <f t="shared" si="101"/>
        <v>#N/A</v>
      </c>
      <c r="FU95" s="735">
        <v>500</v>
      </c>
      <c r="FV95" s="2179"/>
      <c r="FY95" s="2176"/>
      <c r="FZ95" s="2176"/>
      <c r="GC95" s="7">
        <v>500</v>
      </c>
      <c r="GD95" s="29">
        <v>1250</v>
      </c>
      <c r="GE95" s="29">
        <v>1120</v>
      </c>
      <c r="GF95" s="29">
        <v>1000</v>
      </c>
      <c r="GG95" s="29">
        <v>880</v>
      </c>
      <c r="GH95" s="29">
        <v>780</v>
      </c>
      <c r="GI95" s="29">
        <v>730</v>
      </c>
      <c r="GJ95" s="280">
        <v>640</v>
      </c>
      <c r="GK95" s="280">
        <v>580</v>
      </c>
      <c r="GL95" s="990">
        <v>510</v>
      </c>
      <c r="GM95" s="2179"/>
      <c r="GO95" s="3649" t="e">
        <f>HLOOKUP(GP83,GD84:GL97,11,0)</f>
        <v>#N/A</v>
      </c>
      <c r="GP95" s="3649" t="e">
        <f t="shared" si="102"/>
        <v>#N/A</v>
      </c>
      <c r="GQ95" s="735">
        <v>500</v>
      </c>
      <c r="GR95" s="2179"/>
      <c r="GU95" s="2174"/>
      <c r="GX95" s="2266">
        <v>450</v>
      </c>
      <c r="GY95" s="29">
        <v>513</v>
      </c>
      <c r="GZ95" s="29">
        <v>471</v>
      </c>
      <c r="HA95" s="29">
        <v>415</v>
      </c>
      <c r="HB95" s="29">
        <v>383</v>
      </c>
      <c r="HC95" s="29">
        <v>341</v>
      </c>
      <c r="HD95" s="29">
        <v>309</v>
      </c>
      <c r="HE95" s="280">
        <v>283</v>
      </c>
      <c r="HF95" s="2240">
        <v>264</v>
      </c>
      <c r="HG95" s="2179"/>
      <c r="HH95" s="2179"/>
      <c r="HJ95" s="3649" t="e">
        <f>HLOOKUP(HK83,GY84:HF97,11,0)</f>
        <v>#N/A</v>
      </c>
      <c r="HK95" s="3649" t="e">
        <f t="shared" si="99"/>
        <v>#N/A</v>
      </c>
      <c r="HL95" s="735">
        <v>450</v>
      </c>
      <c r="HM95" s="2179"/>
      <c r="HO95" s="2176"/>
      <c r="HP95" s="2176"/>
      <c r="HS95" s="2266">
        <v>450</v>
      </c>
      <c r="HT95" s="29">
        <v>513</v>
      </c>
      <c r="HU95" s="29">
        <v>471</v>
      </c>
      <c r="HV95" s="29">
        <v>415</v>
      </c>
      <c r="HW95" s="29">
        <v>383</v>
      </c>
      <c r="HX95" s="29">
        <v>341</v>
      </c>
      <c r="HY95" s="29">
        <v>309</v>
      </c>
      <c r="HZ95" s="280">
        <v>283</v>
      </c>
      <c r="IA95" s="2240">
        <v>264</v>
      </c>
      <c r="IB95" s="2179"/>
      <c r="IC95" s="2179"/>
      <c r="IE95" s="3649" t="e">
        <f>HLOOKUP(IF83,HT84:IA97,11,0)</f>
        <v>#N/A</v>
      </c>
      <c r="IF95" s="3649" t="e">
        <f t="shared" si="100"/>
        <v>#N/A</v>
      </c>
      <c r="IG95" s="735">
        <v>450</v>
      </c>
      <c r="IH95" s="2179"/>
    </row>
    <row r="96" spans="3:242" ht="21.95" customHeight="1" thickBot="1">
      <c r="C96" s="280" t="s">
        <v>2202</v>
      </c>
      <c r="D96" s="3643">
        <f>F96*D68</f>
        <v>1048750</v>
      </c>
      <c r="E96" s="3644">
        <f>+E95*1.05</f>
        <v>85085.4375</v>
      </c>
      <c r="F96" s="2186">
        <f>3780+415</f>
        <v>4195</v>
      </c>
      <c r="G96" s="280"/>
      <c r="H96" s="277">
        <v>3930</v>
      </c>
      <c r="I96" s="277">
        <v>415</v>
      </c>
      <c r="S96" s="286"/>
      <c r="T96" s="286"/>
      <c r="AF96" s="2174"/>
      <c r="AG96" s="2174"/>
      <c r="AJ96" s="7">
        <v>630</v>
      </c>
      <c r="AK96" s="29">
        <v>2340</v>
      </c>
      <c r="AL96" s="29">
        <v>2090</v>
      </c>
      <c r="AM96" s="29">
        <v>1860</v>
      </c>
      <c r="AN96" s="29">
        <v>1640</v>
      </c>
      <c r="AO96" s="29">
        <v>1450</v>
      </c>
      <c r="AP96" s="29">
        <v>1350</v>
      </c>
      <c r="AQ96" s="280">
        <v>1190</v>
      </c>
      <c r="AR96" s="280">
        <v>1070</v>
      </c>
      <c r="AS96" s="990">
        <v>950</v>
      </c>
      <c r="AT96" s="2179"/>
      <c r="AV96" s="3649" t="e">
        <f>HLOOKUP(AW82,AK83:AS96,13,0)</f>
        <v>#N/A</v>
      </c>
      <c r="AW96" s="3649" t="e">
        <f t="shared" si="97"/>
        <v>#N/A</v>
      </c>
      <c r="AX96" s="735">
        <v>630</v>
      </c>
      <c r="AY96" s="2179"/>
      <c r="BB96" s="2176"/>
      <c r="BC96" s="2176"/>
      <c r="BF96" s="7">
        <v>630</v>
      </c>
      <c r="BG96" s="29">
        <v>2340</v>
      </c>
      <c r="BH96" s="29">
        <v>2090</v>
      </c>
      <c r="BI96" s="29">
        <v>1860</v>
      </c>
      <c r="BJ96" s="29">
        <v>1640</v>
      </c>
      <c r="BK96" s="29">
        <v>1450</v>
      </c>
      <c r="BL96" s="29">
        <v>1350</v>
      </c>
      <c r="BM96" s="280">
        <v>1190</v>
      </c>
      <c r="BN96" s="280">
        <v>1070</v>
      </c>
      <c r="BO96" s="990">
        <v>950</v>
      </c>
      <c r="BP96" s="2179"/>
      <c r="BR96" s="3649" t="e">
        <f>HLOOKUP(BS82,BG83:BO96,13,0)</f>
        <v>#N/A</v>
      </c>
      <c r="BS96" s="3649" t="e">
        <f t="shared" si="98"/>
        <v>#N/A</v>
      </c>
      <c r="BT96" s="735">
        <v>630</v>
      </c>
      <c r="BU96" s="2179"/>
      <c r="BX96" s="2174"/>
      <c r="CA96" s="2267">
        <v>560</v>
      </c>
      <c r="CB96" s="1395">
        <v>1035</v>
      </c>
      <c r="CC96" s="1395">
        <v>940</v>
      </c>
      <c r="CD96" s="1395">
        <v>852</v>
      </c>
      <c r="CE96" s="1395">
        <v>756</v>
      </c>
      <c r="CF96" s="1395">
        <v>697</v>
      </c>
      <c r="CG96" s="1395">
        <v>622</v>
      </c>
      <c r="CH96" s="2241">
        <v>606</v>
      </c>
      <c r="CI96" s="2242">
        <v>551</v>
      </c>
      <c r="CJ96" s="2179"/>
      <c r="CK96" s="2179"/>
      <c r="CM96" s="3649" t="e">
        <f>HLOOKUP(CN82,CB83:CI96,13,0)</f>
        <v>#N/A</v>
      </c>
      <c r="CN96" s="3649" t="e">
        <f t="shared" si="95"/>
        <v>#N/A</v>
      </c>
      <c r="CO96" s="735">
        <v>560</v>
      </c>
      <c r="CP96" s="2179"/>
      <c r="CR96" s="2176"/>
      <c r="CS96" s="2176"/>
      <c r="CV96" s="2267">
        <v>560</v>
      </c>
      <c r="CW96" s="1395">
        <v>1035</v>
      </c>
      <c r="CX96" s="1395">
        <v>940</v>
      </c>
      <c r="CY96" s="1395">
        <v>852</v>
      </c>
      <c r="CZ96" s="1395">
        <v>756</v>
      </c>
      <c r="DA96" s="1395">
        <v>697</v>
      </c>
      <c r="DB96" s="1395">
        <v>622</v>
      </c>
      <c r="DC96" s="2241">
        <v>606</v>
      </c>
      <c r="DD96" s="2242">
        <v>551</v>
      </c>
      <c r="DE96" s="2179"/>
      <c r="DF96" s="2179"/>
      <c r="DH96" s="3649" t="e">
        <f>HLOOKUP(DI82,CW83:DD96,13,0)</f>
        <v>#N/A</v>
      </c>
      <c r="DI96" s="3649" t="e">
        <f t="shared" si="96"/>
        <v>#N/A</v>
      </c>
      <c r="DJ96" s="735">
        <v>560</v>
      </c>
      <c r="DK96" s="2179"/>
      <c r="DX96" s="1"/>
      <c r="DZ96" s="280" t="s">
        <v>2202</v>
      </c>
      <c r="EA96" s="3643">
        <f>EC96*EA68</f>
        <v>1048750</v>
      </c>
      <c r="EB96" s="3644">
        <f>+EB95*1.05</f>
        <v>85085.4375</v>
      </c>
      <c r="EC96" s="2186">
        <f>3780+415</f>
        <v>4195</v>
      </c>
      <c r="ED96" s="280"/>
      <c r="EE96" s="277">
        <v>3930</v>
      </c>
      <c r="EF96" s="277">
        <v>415</v>
      </c>
      <c r="EP96" s="286"/>
      <c r="EQ96" s="286"/>
      <c r="FC96" s="2174"/>
      <c r="FD96" s="2174"/>
      <c r="FF96" s="277">
        <v>12</v>
      </c>
      <c r="FG96" s="7">
        <v>560</v>
      </c>
      <c r="FH96" s="29">
        <v>1770</v>
      </c>
      <c r="FI96" s="29">
        <v>1580</v>
      </c>
      <c r="FJ96" s="29">
        <v>1410</v>
      </c>
      <c r="FK96" s="29">
        <v>1240</v>
      </c>
      <c r="FL96" s="29">
        <v>1100</v>
      </c>
      <c r="FM96" s="29">
        <v>1040</v>
      </c>
      <c r="FN96" s="280">
        <v>910</v>
      </c>
      <c r="FO96" s="280">
        <v>820</v>
      </c>
      <c r="FP96" s="990">
        <v>720</v>
      </c>
      <c r="FQ96" s="2179"/>
      <c r="FS96" s="3649" t="e">
        <f>HLOOKUP(FT83,FH84:FP97,12,0)</f>
        <v>#N/A</v>
      </c>
      <c r="FT96" s="3649" t="e">
        <f t="shared" si="101"/>
        <v>#N/A</v>
      </c>
      <c r="FU96" s="735">
        <v>560</v>
      </c>
      <c r="FV96" s="2179"/>
      <c r="FY96" s="2176"/>
      <c r="FZ96" s="2176"/>
      <c r="GC96" s="7">
        <v>560</v>
      </c>
      <c r="GD96" s="29">
        <v>1770</v>
      </c>
      <c r="GE96" s="29">
        <v>1580</v>
      </c>
      <c r="GF96" s="29">
        <v>1410</v>
      </c>
      <c r="GG96" s="29">
        <v>1240</v>
      </c>
      <c r="GH96" s="29">
        <v>1100</v>
      </c>
      <c r="GI96" s="29">
        <v>1040</v>
      </c>
      <c r="GJ96" s="280">
        <v>910</v>
      </c>
      <c r="GK96" s="280">
        <v>820</v>
      </c>
      <c r="GL96" s="990">
        <v>720</v>
      </c>
      <c r="GM96" s="2179"/>
      <c r="GO96" s="3649" t="e">
        <f>HLOOKUP(GP83,GD84:GL97,12,0)</f>
        <v>#N/A</v>
      </c>
      <c r="GP96" s="3649" t="e">
        <f t="shared" si="102"/>
        <v>#N/A</v>
      </c>
      <c r="GQ96" s="735">
        <v>560</v>
      </c>
      <c r="GR96" s="2179"/>
      <c r="GU96" s="2174"/>
      <c r="GX96" s="2266">
        <v>500</v>
      </c>
      <c r="GY96" s="29">
        <v>782</v>
      </c>
      <c r="GZ96" s="29">
        <v>705</v>
      </c>
      <c r="HA96" s="29">
        <v>648</v>
      </c>
      <c r="HB96" s="29">
        <v>571</v>
      </c>
      <c r="HC96" s="29">
        <v>531</v>
      </c>
      <c r="HD96" s="29">
        <v>472</v>
      </c>
      <c r="HE96" s="280">
        <v>434</v>
      </c>
      <c r="HF96" s="2240">
        <v>387</v>
      </c>
      <c r="HG96" s="2179"/>
      <c r="HH96" s="2179"/>
      <c r="HJ96" s="3649" t="e">
        <f>HLOOKUP(HK83,GY84:HF97,12,0)</f>
        <v>#N/A</v>
      </c>
      <c r="HK96" s="3649" t="e">
        <f t="shared" si="99"/>
        <v>#N/A</v>
      </c>
      <c r="HL96" s="735">
        <v>500</v>
      </c>
      <c r="HM96" s="2179"/>
      <c r="HO96" s="2176"/>
      <c r="HP96" s="2176"/>
      <c r="HS96" s="2266">
        <v>500</v>
      </c>
      <c r="HT96" s="29">
        <v>782</v>
      </c>
      <c r="HU96" s="29">
        <v>705</v>
      </c>
      <c r="HV96" s="29">
        <v>648</v>
      </c>
      <c r="HW96" s="29">
        <v>571</v>
      </c>
      <c r="HX96" s="29">
        <v>531</v>
      </c>
      <c r="HY96" s="29">
        <v>472</v>
      </c>
      <c r="HZ96" s="280">
        <v>434</v>
      </c>
      <c r="IA96" s="2240">
        <v>387</v>
      </c>
      <c r="IB96" s="2179"/>
      <c r="IC96" s="2179"/>
      <c r="IE96" s="3649" t="e">
        <f>HLOOKUP(IF83,HT84:IA97,12,0)</f>
        <v>#N/A</v>
      </c>
      <c r="IF96" s="3649" t="e">
        <f t="shared" si="100"/>
        <v>#N/A</v>
      </c>
      <c r="IG96" s="735">
        <v>500</v>
      </c>
      <c r="IH96" s="2179"/>
    </row>
    <row r="97" spans="3:242" ht="21.95" customHeight="1" thickBot="1">
      <c r="C97" s="280" t="s">
        <v>2203</v>
      </c>
      <c r="D97" s="3643">
        <f>F97*D68</f>
        <v>1412500</v>
      </c>
      <c r="E97" s="2186">
        <f>+E96*10.5</f>
        <v>893397.09375</v>
      </c>
      <c r="F97" s="2186">
        <f>5100+550</f>
        <v>5650</v>
      </c>
      <c r="G97" s="280"/>
      <c r="H97" s="277">
        <v>5275</v>
      </c>
      <c r="I97" s="277">
        <v>550</v>
      </c>
      <c r="S97" s="286"/>
      <c r="T97" s="286"/>
      <c r="AF97" s="2174"/>
      <c r="AG97" s="2174"/>
      <c r="AJ97" s="20"/>
      <c r="AK97" s="20"/>
      <c r="AL97" s="20"/>
      <c r="AM97" s="20"/>
      <c r="AN97" s="20"/>
      <c r="AO97" s="20"/>
      <c r="AP97" s="20"/>
      <c r="AQ97" s="2179"/>
      <c r="AR97" s="2179"/>
      <c r="AS97" s="2179"/>
      <c r="AT97" s="2179"/>
      <c r="AV97" s="3649" t="e">
        <f>HLOOKUP(AW82,AK83:AS96,14,0)</f>
        <v>#N/A</v>
      </c>
      <c r="AW97" s="3650" t="e">
        <f>+AV97</f>
        <v>#N/A</v>
      </c>
      <c r="AX97" s="735"/>
      <c r="AY97" s="2179"/>
      <c r="BB97" s="2176"/>
      <c r="BC97" s="2176"/>
      <c r="BF97" s="20"/>
      <c r="BG97" s="20"/>
      <c r="BH97" s="20"/>
      <c r="BI97" s="20"/>
      <c r="BJ97" s="20"/>
      <c r="BK97" s="20"/>
      <c r="BL97" s="20"/>
      <c r="BM97" s="2179"/>
      <c r="BN97" s="2179"/>
      <c r="BO97" s="2179"/>
      <c r="BP97" s="2179"/>
      <c r="BR97" s="3649" t="e">
        <f>HLOOKUP(BS82,BG83:BO96,14,0)</f>
        <v>#N/A</v>
      </c>
      <c r="BS97" s="3650" t="e">
        <f>+BR97</f>
        <v>#N/A</v>
      </c>
      <c r="BT97" s="735"/>
      <c r="BU97" s="2179"/>
      <c r="BX97" s="2174"/>
      <c r="CA97" s="20"/>
      <c r="CB97" s="20"/>
      <c r="CC97" s="20"/>
      <c r="CD97" s="20"/>
      <c r="CE97" s="20"/>
      <c r="CF97" s="20"/>
      <c r="CG97" s="20"/>
      <c r="CH97" s="2179"/>
      <c r="CI97" s="2179"/>
      <c r="CJ97" s="2179"/>
      <c r="CK97" s="2179"/>
      <c r="CM97" s="3649" t="e">
        <f>HLOOKUP(CN82,CB83:CI96,14,0)</f>
        <v>#N/A</v>
      </c>
      <c r="CN97" s="3650" t="e">
        <f>+CM97</f>
        <v>#N/A</v>
      </c>
      <c r="CO97" s="735"/>
      <c r="CP97" s="2179"/>
      <c r="CR97" s="2176"/>
      <c r="CS97" s="2176"/>
      <c r="CV97" s="20"/>
      <c r="CW97" s="20"/>
      <c r="CX97" s="20"/>
      <c r="CY97" s="20"/>
      <c r="CZ97" s="20"/>
      <c r="DA97" s="20"/>
      <c r="DB97" s="20"/>
      <c r="DC97" s="2179"/>
      <c r="DD97" s="2179"/>
      <c r="DE97" s="2179"/>
      <c r="DF97" s="2179"/>
      <c r="DH97" s="3649" t="e">
        <f>HLOOKUP(DI82,CW83:DD96,14,0)</f>
        <v>#N/A</v>
      </c>
      <c r="DI97" s="3650" t="e">
        <f>+DH97</f>
        <v>#N/A</v>
      </c>
      <c r="DJ97" s="735"/>
      <c r="DK97" s="2179"/>
      <c r="DX97" s="1"/>
      <c r="DZ97" s="280" t="s">
        <v>2203</v>
      </c>
      <c r="EA97" s="3643">
        <f>EC97*EA68</f>
        <v>1412500</v>
      </c>
      <c r="EB97" s="2186">
        <f>+EB96*10.5</f>
        <v>893397.09375</v>
      </c>
      <c r="EC97" s="2186">
        <f>5100+550</f>
        <v>5650</v>
      </c>
      <c r="ED97" s="280"/>
      <c r="EE97" s="277">
        <v>5275</v>
      </c>
      <c r="EF97" s="277">
        <v>550</v>
      </c>
      <c r="EP97" s="286"/>
      <c r="EQ97" s="286"/>
      <c r="FC97" s="2174"/>
      <c r="FD97" s="2174"/>
      <c r="FF97" s="277">
        <v>13</v>
      </c>
      <c r="FG97" s="7">
        <v>630</v>
      </c>
      <c r="FH97" s="29">
        <v>2340</v>
      </c>
      <c r="FI97" s="29">
        <v>2090</v>
      </c>
      <c r="FJ97" s="29">
        <v>1860</v>
      </c>
      <c r="FK97" s="29">
        <v>1640</v>
      </c>
      <c r="FL97" s="29">
        <v>1450</v>
      </c>
      <c r="FM97" s="29">
        <v>1350</v>
      </c>
      <c r="FN97" s="280">
        <v>1190</v>
      </c>
      <c r="FO97" s="280">
        <v>1070</v>
      </c>
      <c r="FP97" s="990">
        <v>950</v>
      </c>
      <c r="FQ97" s="2179"/>
      <c r="FS97" s="3649" t="e">
        <f>HLOOKUP(FT83,FH84:FP97,13,0)</f>
        <v>#N/A</v>
      </c>
      <c r="FT97" s="3649" t="e">
        <f>+FS98</f>
        <v>#N/A</v>
      </c>
      <c r="FU97" s="735">
        <v>630</v>
      </c>
      <c r="FV97" s="2179"/>
      <c r="FY97" s="2176"/>
      <c r="FZ97" s="2176"/>
      <c r="GC97" s="7">
        <v>630</v>
      </c>
      <c r="GD97" s="29">
        <v>2340</v>
      </c>
      <c r="GE97" s="29">
        <v>2090</v>
      </c>
      <c r="GF97" s="29">
        <v>1860</v>
      </c>
      <c r="GG97" s="29">
        <v>1640</v>
      </c>
      <c r="GH97" s="29">
        <v>1450</v>
      </c>
      <c r="GI97" s="29">
        <v>1350</v>
      </c>
      <c r="GJ97" s="280">
        <v>1190</v>
      </c>
      <c r="GK97" s="280">
        <v>1070</v>
      </c>
      <c r="GL97" s="990">
        <v>950</v>
      </c>
      <c r="GM97" s="2179"/>
      <c r="GO97" s="3649" t="e">
        <f>HLOOKUP(GP83,GD84:GL97,13,0)</f>
        <v>#N/A</v>
      </c>
      <c r="GP97" s="3649" t="e">
        <f t="shared" si="102"/>
        <v>#N/A</v>
      </c>
      <c r="GQ97" s="735">
        <v>630</v>
      </c>
      <c r="GR97" s="2179"/>
      <c r="GU97" s="2174"/>
      <c r="GX97" s="2267">
        <v>560</v>
      </c>
      <c r="GY97" s="1395">
        <v>1035</v>
      </c>
      <c r="GZ97" s="1395">
        <v>940</v>
      </c>
      <c r="HA97" s="1395">
        <v>852</v>
      </c>
      <c r="HB97" s="1395">
        <v>756</v>
      </c>
      <c r="HC97" s="1395">
        <v>697</v>
      </c>
      <c r="HD97" s="1395">
        <v>622</v>
      </c>
      <c r="HE97" s="2241">
        <v>606</v>
      </c>
      <c r="HF97" s="2242">
        <v>551</v>
      </c>
      <c r="HG97" s="2179"/>
      <c r="HH97" s="2179"/>
      <c r="HJ97" s="3649" t="e">
        <f>HLOOKUP(HK83,GY84:HF97,13,0)</f>
        <v>#N/A</v>
      </c>
      <c r="HK97" s="3649" t="e">
        <f t="shared" si="99"/>
        <v>#N/A</v>
      </c>
      <c r="HL97" s="735">
        <v>560</v>
      </c>
      <c r="HM97" s="2179"/>
      <c r="HO97" s="2176"/>
      <c r="HP97" s="2176"/>
      <c r="HS97" s="2267">
        <v>560</v>
      </c>
      <c r="HT97" s="1395">
        <v>1035</v>
      </c>
      <c r="HU97" s="1395">
        <v>940</v>
      </c>
      <c r="HV97" s="1395">
        <v>852</v>
      </c>
      <c r="HW97" s="1395">
        <v>756</v>
      </c>
      <c r="HX97" s="1395">
        <v>697</v>
      </c>
      <c r="HY97" s="1395">
        <v>622</v>
      </c>
      <c r="HZ97" s="2241">
        <v>606</v>
      </c>
      <c r="IA97" s="2242">
        <v>551</v>
      </c>
      <c r="IB97" s="2179"/>
      <c r="IC97" s="2179"/>
      <c r="IE97" s="3649" t="e">
        <f>HLOOKUP(IF83,HT84:IA97,13,0)</f>
        <v>#N/A</v>
      </c>
      <c r="IF97" s="3649" t="e">
        <f t="shared" si="100"/>
        <v>#N/A</v>
      </c>
      <c r="IG97" s="735">
        <v>560</v>
      </c>
      <c r="IH97" s="2179"/>
    </row>
    <row r="98" spans="3:242" ht="21.95" customHeight="1">
      <c r="C98" s="735" t="s">
        <v>2204</v>
      </c>
      <c r="D98" s="3643">
        <f>F98*D68</f>
        <v>1931250</v>
      </c>
      <c r="E98" s="2186">
        <f>+E97*1.05</f>
        <v>938066.94843750005</v>
      </c>
      <c r="F98" s="2186">
        <f>6900+825</f>
        <v>7725</v>
      </c>
      <c r="G98" s="748"/>
      <c r="H98" s="277">
        <v>7100</v>
      </c>
      <c r="I98" s="277">
        <v>825</v>
      </c>
      <c r="S98" s="286"/>
      <c r="T98" s="286"/>
      <c r="AF98" s="2174"/>
      <c r="AG98" s="2174"/>
      <c r="AJ98" s="20"/>
      <c r="AK98" s="20"/>
      <c r="AL98" s="20"/>
      <c r="AM98" s="20"/>
      <c r="AN98" s="20"/>
      <c r="AO98" s="20"/>
      <c r="AP98" s="20"/>
      <c r="AQ98" s="2179"/>
      <c r="AR98" s="2179"/>
      <c r="AS98" s="2179"/>
      <c r="AT98" s="2179"/>
      <c r="AV98" s="2237"/>
      <c r="AW98" s="990"/>
      <c r="AX98" s="990"/>
      <c r="AY98" s="2179"/>
      <c r="BB98" s="2176"/>
      <c r="BC98" s="2176"/>
      <c r="BF98" s="20"/>
      <c r="BG98" s="20"/>
      <c r="BH98" s="20"/>
      <c r="BI98" s="20"/>
      <c r="BJ98" s="20"/>
      <c r="BK98" s="20"/>
      <c r="BL98" s="20"/>
      <c r="BM98" s="2179"/>
      <c r="BN98" s="2179"/>
      <c r="BO98" s="2179"/>
      <c r="BP98" s="2179"/>
      <c r="BR98" s="2237"/>
      <c r="BS98" s="990"/>
      <c r="BT98" s="990"/>
      <c r="BU98" s="2179"/>
      <c r="BX98" s="2174"/>
      <c r="CA98" s="20"/>
      <c r="CB98" s="20"/>
      <c r="CC98" s="20"/>
      <c r="CD98" s="20"/>
      <c r="CE98" s="20"/>
      <c r="CF98" s="20"/>
      <c r="CG98" s="20"/>
      <c r="CH98" s="2179"/>
      <c r="CI98" s="2179"/>
      <c r="CJ98" s="2179"/>
      <c r="CK98" s="2179"/>
      <c r="CM98" s="2237"/>
      <c r="CN98" s="990"/>
      <c r="CO98" s="990"/>
      <c r="CP98" s="2179"/>
      <c r="CR98" s="2176"/>
      <c r="CS98" s="2176"/>
      <c r="CV98" s="20"/>
      <c r="CW98" s="20"/>
      <c r="CX98" s="20"/>
      <c r="CY98" s="20"/>
      <c r="CZ98" s="20"/>
      <c r="DA98" s="20"/>
      <c r="DB98" s="20"/>
      <c r="DC98" s="2179"/>
      <c r="DD98" s="2179"/>
      <c r="DE98" s="2179"/>
      <c r="DF98" s="2179"/>
      <c r="DH98" s="2237"/>
      <c r="DI98" s="990"/>
      <c r="DJ98" s="990"/>
      <c r="DK98" s="2179"/>
      <c r="DX98" s="1"/>
      <c r="DZ98" s="735" t="s">
        <v>2204</v>
      </c>
      <c r="EA98" s="3643">
        <f>EC98*EA68</f>
        <v>1931250</v>
      </c>
      <c r="EB98" s="2186">
        <f>+EB97*1.05</f>
        <v>938066.94843750005</v>
      </c>
      <c r="EC98" s="2186">
        <f>6900+825</f>
        <v>7725</v>
      </c>
      <c r="ED98" s="748"/>
      <c r="EE98" s="277">
        <v>7100</v>
      </c>
      <c r="EF98" s="277">
        <v>825</v>
      </c>
      <c r="EP98" s="286"/>
      <c r="EQ98" s="286"/>
      <c r="FC98" s="2174"/>
      <c r="FD98" s="2174"/>
      <c r="FG98" s="20"/>
      <c r="FH98" s="20"/>
      <c r="FI98" s="20"/>
      <c r="FJ98" s="20"/>
      <c r="FK98" s="20"/>
      <c r="FL98" s="20"/>
      <c r="FM98" s="20"/>
      <c r="FN98" s="2179"/>
      <c r="FO98" s="2179"/>
      <c r="FP98" s="2179"/>
      <c r="FQ98" s="2179"/>
      <c r="FS98" s="3649" t="e">
        <f>HLOOKUP(FT83,FH84:FP97,14,0)</f>
        <v>#N/A</v>
      </c>
      <c r="FT98" s="3650" t="e">
        <f>+FS98</f>
        <v>#N/A</v>
      </c>
      <c r="FU98" s="735"/>
      <c r="FV98" s="2179"/>
      <c r="FY98" s="2176"/>
      <c r="FZ98" s="2176"/>
      <c r="GC98" s="20"/>
      <c r="GD98" s="20"/>
      <c r="GE98" s="20"/>
      <c r="GF98" s="20"/>
      <c r="GG98" s="20"/>
      <c r="GH98" s="20"/>
      <c r="GI98" s="20"/>
      <c r="GJ98" s="2179"/>
      <c r="GK98" s="2179"/>
      <c r="GL98" s="2179"/>
      <c r="GM98" s="2179"/>
      <c r="GO98" s="3649" t="e">
        <f>HLOOKUP(GP83,GD84:GL97,14,0)</f>
        <v>#N/A</v>
      </c>
      <c r="GP98" s="3650" t="e">
        <f>+GO98</f>
        <v>#N/A</v>
      </c>
      <c r="GQ98" s="735"/>
      <c r="GR98" s="2179"/>
      <c r="GU98" s="2174"/>
      <c r="GX98" s="20"/>
      <c r="GY98" s="20"/>
      <c r="GZ98" s="20"/>
      <c r="HA98" s="20"/>
      <c r="HB98" s="20"/>
      <c r="HC98" s="20"/>
      <c r="HD98" s="20"/>
      <c r="HE98" s="2179"/>
      <c r="HF98" s="2179"/>
      <c r="HG98" s="2179"/>
      <c r="HH98" s="2179"/>
      <c r="HJ98" s="3649" t="e">
        <f>HLOOKUP(HK83,GY84:HF97,14,0)</f>
        <v>#N/A</v>
      </c>
      <c r="HK98" s="3650" t="e">
        <f>+HJ98</f>
        <v>#N/A</v>
      </c>
      <c r="HL98" s="735"/>
      <c r="HM98" s="2179"/>
      <c r="HO98" s="2176"/>
      <c r="HP98" s="2176"/>
      <c r="HS98" s="20"/>
      <c r="HT98" s="20"/>
      <c r="HU98" s="20"/>
      <c r="HV98" s="20"/>
      <c r="HW98" s="20"/>
      <c r="HX98" s="20"/>
      <c r="HY98" s="20"/>
      <c r="HZ98" s="2179"/>
      <c r="IA98" s="2179"/>
      <c r="IB98" s="2179"/>
      <c r="IC98" s="2179"/>
      <c r="IE98" s="3649" t="e">
        <f>HLOOKUP(IF83,HT84:IA97,14,0)</f>
        <v>#N/A</v>
      </c>
      <c r="IF98" s="3650" t="e">
        <f>+IE98</f>
        <v>#N/A</v>
      </c>
      <c r="IG98" s="735"/>
      <c r="IH98" s="2179"/>
    </row>
    <row r="99" spans="3:242" ht="21.95" customHeight="1">
      <c r="G99" s="775"/>
      <c r="S99" s="286"/>
      <c r="T99" s="286"/>
      <c r="AF99" s="2174"/>
      <c r="AG99" s="2174"/>
      <c r="AJ99" s="2179"/>
      <c r="AK99" s="2179"/>
      <c r="AL99" s="2179"/>
      <c r="AM99" s="2179"/>
      <c r="AN99" s="2179"/>
      <c r="AO99" s="2179"/>
      <c r="AP99" s="2179"/>
      <c r="AQ99" s="2179"/>
      <c r="AR99" s="2179"/>
      <c r="AS99" s="2179"/>
      <c r="AT99" s="2179"/>
      <c r="AV99" s="3649">
        <f>VLOOKUP(AV82,AV84:AV97,1)</f>
        <v>0</v>
      </c>
      <c r="AW99" s="3651">
        <f>IFERROR(VLOOKUP(AV82,AV84:AV97,1,0),0)</f>
        <v>0</v>
      </c>
      <c r="AX99" s="990"/>
      <c r="AY99" s="2179"/>
      <c r="BB99" s="2176"/>
      <c r="BC99" s="2176"/>
      <c r="BF99" s="2179"/>
      <c r="BG99" s="2179"/>
      <c r="BH99" s="2179"/>
      <c r="BI99" s="2179"/>
      <c r="BJ99" s="2179"/>
      <c r="BK99" s="2179"/>
      <c r="BL99" s="2179"/>
      <c r="BM99" s="2179"/>
      <c r="BN99" s="2179"/>
      <c r="BO99" s="2179"/>
      <c r="BP99" s="2179"/>
      <c r="BR99" s="3649">
        <f>VLOOKUP(BR82,BR84:BR97,1)</f>
        <v>0</v>
      </c>
      <c r="BS99" s="3651">
        <f>IFERROR(VLOOKUP(BR82,BR84:BR97,1,0),0)</f>
        <v>0</v>
      </c>
      <c r="BT99" s="990"/>
      <c r="BU99" s="2179"/>
      <c r="BX99" s="2174"/>
      <c r="CA99" s="2179"/>
      <c r="CB99" s="2179"/>
      <c r="CC99" s="2179"/>
      <c r="CD99" s="2179"/>
      <c r="CE99" s="2179"/>
      <c r="CF99" s="2179"/>
      <c r="CG99" s="2179"/>
      <c r="CH99" s="2179"/>
      <c r="CI99" s="2179"/>
      <c r="CJ99" s="2179"/>
      <c r="CK99" s="2179"/>
      <c r="CM99" s="3649">
        <f>VLOOKUP(CM82,CM84:CM97,1)</f>
        <v>0</v>
      </c>
      <c r="CN99" s="3651">
        <f>IFERROR(VLOOKUP(CM82,CM84:CM97,1,0),0)</f>
        <v>0</v>
      </c>
      <c r="CO99" s="990"/>
      <c r="CP99" s="2179"/>
      <c r="CR99" s="2176"/>
      <c r="CS99" s="2176"/>
      <c r="CV99" s="2179"/>
      <c r="CW99" s="2179"/>
      <c r="CX99" s="2179"/>
      <c r="CY99" s="2179"/>
      <c r="CZ99" s="2179"/>
      <c r="DA99" s="2179"/>
      <c r="DB99" s="2179"/>
      <c r="DC99" s="2179"/>
      <c r="DD99" s="2179"/>
      <c r="DE99" s="2179"/>
      <c r="DF99" s="2179"/>
      <c r="DH99" s="3649">
        <f>VLOOKUP(DH82,DH84:DH97,1)</f>
        <v>0</v>
      </c>
      <c r="DI99" s="3651">
        <f>IFERROR(VLOOKUP(DH82,DH84:DH97,1,0),0)</f>
        <v>0</v>
      </c>
      <c r="DJ99" s="990"/>
      <c r="DK99" s="2179"/>
      <c r="DX99" s="1"/>
      <c r="ED99" s="775"/>
      <c r="EP99" s="286"/>
      <c r="EQ99" s="286"/>
      <c r="FC99" s="2174"/>
      <c r="FD99" s="2174"/>
      <c r="FG99" s="20"/>
      <c r="FH99" s="20">
        <v>1</v>
      </c>
      <c r="FI99" s="20">
        <v>2</v>
      </c>
      <c r="FJ99" s="20">
        <v>3</v>
      </c>
      <c r="FK99" s="20">
        <v>4</v>
      </c>
      <c r="FL99" s="20">
        <v>5</v>
      </c>
      <c r="FM99" s="20">
        <v>6</v>
      </c>
      <c r="FN99" s="20">
        <v>7</v>
      </c>
      <c r="FO99" s="20">
        <v>8</v>
      </c>
      <c r="FP99" s="20">
        <v>9</v>
      </c>
      <c r="FQ99" s="2179"/>
      <c r="FS99" s="2237"/>
      <c r="FT99" s="990"/>
      <c r="FU99" s="990"/>
      <c r="FV99" s="2179"/>
      <c r="FY99" s="2176"/>
      <c r="FZ99" s="2176"/>
      <c r="GC99" s="20"/>
      <c r="GD99" s="20"/>
      <c r="GE99" s="20"/>
      <c r="GF99" s="20"/>
      <c r="GG99" s="20"/>
      <c r="GH99" s="20"/>
      <c r="GI99" s="20"/>
      <c r="GJ99" s="2179"/>
      <c r="GK99" s="2179"/>
      <c r="GL99" s="2179"/>
      <c r="GM99" s="2179"/>
      <c r="GO99" s="2237"/>
      <c r="GP99" s="990"/>
      <c r="GQ99" s="990"/>
      <c r="GR99" s="2179"/>
      <c r="GU99" s="2174"/>
      <c r="GX99" s="20"/>
      <c r="GY99" s="20"/>
      <c r="GZ99" s="20"/>
      <c r="HA99" s="20"/>
      <c r="HB99" s="20"/>
      <c r="HC99" s="20"/>
      <c r="HD99" s="20"/>
      <c r="HE99" s="2179"/>
      <c r="HF99" s="2179"/>
      <c r="HG99" s="2179"/>
      <c r="HH99" s="2179"/>
      <c r="HJ99" s="2237"/>
      <c r="HK99" s="990"/>
      <c r="HL99" s="990"/>
      <c r="HM99" s="2179"/>
      <c r="HO99" s="2176"/>
      <c r="HP99" s="2176"/>
      <c r="HS99" s="20"/>
      <c r="HT99" s="20"/>
      <c r="HU99" s="20"/>
      <c r="HV99" s="20"/>
      <c r="HW99" s="20"/>
      <c r="HX99" s="20"/>
      <c r="HY99" s="20"/>
      <c r="HZ99" s="2179"/>
      <c r="IA99" s="2179"/>
      <c r="IB99" s="2179"/>
      <c r="IC99" s="2179"/>
      <c r="IE99" s="2237"/>
      <c r="IF99" s="990"/>
      <c r="IG99" s="990"/>
      <c r="IH99" s="2179"/>
    </row>
    <row r="100" spans="3:242" ht="21.95" customHeight="1">
      <c r="C100" s="749" t="s">
        <v>2205</v>
      </c>
      <c r="D100" s="3639">
        <f>MH!L293</f>
        <v>250</v>
      </c>
      <c r="E100" s="751" t="s">
        <v>675</v>
      </c>
      <c r="F100" s="278" t="s">
        <v>695</v>
      </c>
      <c r="G100" s="776"/>
      <c r="S100" s="286"/>
      <c r="T100" s="286"/>
      <c r="AF100" s="2174"/>
      <c r="AG100" s="2174"/>
      <c r="AJ100" s="2179"/>
      <c r="AK100" s="2179"/>
      <c r="AL100" s="2179"/>
      <c r="AM100" s="2179"/>
      <c r="AN100" s="2179"/>
      <c r="AO100" s="2179"/>
      <c r="AP100" s="2179"/>
      <c r="AQ100" s="2179"/>
      <c r="AR100" s="2179"/>
      <c r="AS100" s="2179"/>
      <c r="AT100" s="2179"/>
      <c r="AV100" s="3649" t="e">
        <f>VLOOKUP(AV99,AV84:AW97,2,0)</f>
        <v>#N/A</v>
      </c>
      <c r="AW100" s="3652" t="e">
        <f>IF(AW99&gt;0,AW99,AV100)</f>
        <v>#N/A</v>
      </c>
      <c r="AX100" s="3649" t="e">
        <f>VLOOKUP(AW100,AW84:AX96,2,0)</f>
        <v>#N/A</v>
      </c>
      <c r="AY100" s="2179"/>
      <c r="BB100" s="2176"/>
      <c r="BC100" s="2176"/>
      <c r="BF100" s="2179"/>
      <c r="BG100" s="2179"/>
      <c r="BH100" s="2179"/>
      <c r="BI100" s="2179"/>
      <c r="BJ100" s="2179"/>
      <c r="BK100" s="2179"/>
      <c r="BL100" s="2179"/>
      <c r="BM100" s="2179"/>
      <c r="BN100" s="2179"/>
      <c r="BO100" s="2179"/>
      <c r="BP100" s="2179"/>
      <c r="BR100" s="3649" t="e">
        <f>VLOOKUP(BR99,BR84:BS97,2,0)</f>
        <v>#N/A</v>
      </c>
      <c r="BS100" s="3652" t="e">
        <f>IF(BS99&gt;0,BS99,BR100)</f>
        <v>#N/A</v>
      </c>
      <c r="BT100" s="3649" t="e">
        <f>VLOOKUP(BS100,BS84:BT96,2,0)</f>
        <v>#N/A</v>
      </c>
      <c r="BU100" s="2179"/>
      <c r="BX100" s="2174"/>
      <c r="CA100" s="2179"/>
      <c r="CB100" s="2179"/>
      <c r="CC100" s="2179"/>
      <c r="CD100" s="2179"/>
      <c r="CE100" s="2179"/>
      <c r="CF100" s="2179"/>
      <c r="CG100" s="2179"/>
      <c r="CH100" s="2179"/>
      <c r="CI100" s="2179"/>
      <c r="CJ100" s="2179"/>
      <c r="CK100" s="2179"/>
      <c r="CM100" s="3649" t="e">
        <f>VLOOKUP(CM99,CM84:CN97,2,0)</f>
        <v>#N/A</v>
      </c>
      <c r="CN100" s="3652" t="e">
        <f>IF(CN99&gt;0,CN99,CM100)</f>
        <v>#N/A</v>
      </c>
      <c r="CO100" s="3649" t="e">
        <f>VLOOKUP(CN100,CN84:CO96,2,0)</f>
        <v>#N/A</v>
      </c>
      <c r="CP100" s="2179"/>
      <c r="CR100" s="2176"/>
      <c r="CS100" s="2176"/>
      <c r="CV100" s="2179"/>
      <c r="CW100" s="2179"/>
      <c r="CX100" s="2179"/>
      <c r="CY100" s="2179"/>
      <c r="CZ100" s="2179"/>
      <c r="DA100" s="2179"/>
      <c r="DB100" s="2179"/>
      <c r="DC100" s="2179"/>
      <c r="DD100" s="2179"/>
      <c r="DE100" s="2179"/>
      <c r="DF100" s="2179"/>
      <c r="DH100" s="3649" t="e">
        <f>VLOOKUP(DH99,DH84:DI97,2,0)</f>
        <v>#N/A</v>
      </c>
      <c r="DI100" s="3652" t="e">
        <f>IF(DI99&gt;0,DI99,DH100)</f>
        <v>#N/A</v>
      </c>
      <c r="DJ100" s="3649" t="e">
        <f>VLOOKUP(DI100,DI84:DJ96,2,0)</f>
        <v>#N/A</v>
      </c>
      <c r="DK100" s="2179"/>
      <c r="DX100" s="1"/>
      <c r="DZ100" s="749" t="s">
        <v>2205</v>
      </c>
      <c r="EA100" s="3639">
        <f>AH!L293</f>
        <v>250</v>
      </c>
      <c r="EB100" s="751" t="s">
        <v>675</v>
      </c>
      <c r="EC100" s="278" t="s">
        <v>695</v>
      </c>
      <c r="ED100" s="776"/>
      <c r="EP100" s="286"/>
      <c r="EQ100" s="286"/>
      <c r="FC100" s="2174"/>
      <c r="FD100" s="2174"/>
      <c r="FG100" s="2179"/>
      <c r="FH100" s="2179"/>
      <c r="FI100" s="2179"/>
      <c r="FJ100" s="2179"/>
      <c r="FK100" s="2179"/>
      <c r="FL100" s="2179"/>
      <c r="FM100" s="2179"/>
      <c r="FN100" s="2179"/>
      <c r="FO100" s="2179"/>
      <c r="FP100" s="2179"/>
      <c r="FQ100" s="2179"/>
      <c r="FS100" s="3649">
        <f>VLOOKUP(FS83,FS85:FS98,1)</f>
        <v>0</v>
      </c>
      <c r="FT100" s="3651">
        <f>IFERROR(VLOOKUP(FS83,FS85:FS98,1,0),0)</f>
        <v>0</v>
      </c>
      <c r="FU100" s="990"/>
      <c r="FV100" s="2179"/>
      <c r="FY100" s="2176"/>
      <c r="FZ100" s="2176"/>
      <c r="GC100" s="2179"/>
      <c r="GD100" s="2179"/>
      <c r="GE100" s="2179"/>
      <c r="GF100" s="2179"/>
      <c r="GG100" s="2179"/>
      <c r="GH100" s="2179"/>
      <c r="GI100" s="2179"/>
      <c r="GJ100" s="2179"/>
      <c r="GK100" s="2179"/>
      <c r="GL100" s="2179"/>
      <c r="GM100" s="2179"/>
      <c r="GO100" s="3649">
        <f>VLOOKUP(GO83,GO85:GO98,1)</f>
        <v>0</v>
      </c>
      <c r="GP100" s="3651">
        <f>IFERROR(VLOOKUP(GO83,GO85:GO98,1,0),0)</f>
        <v>0</v>
      </c>
      <c r="GQ100" s="990"/>
      <c r="GR100" s="2179"/>
      <c r="GU100" s="2174"/>
      <c r="GX100" s="2179"/>
      <c r="GY100" s="2179"/>
      <c r="GZ100" s="2179"/>
      <c r="HA100" s="2179"/>
      <c r="HB100" s="2179"/>
      <c r="HC100" s="2179"/>
      <c r="HD100" s="2179"/>
      <c r="HE100" s="2179"/>
      <c r="HF100" s="2179"/>
      <c r="HG100" s="2179"/>
      <c r="HH100" s="2179"/>
      <c r="HJ100" s="3649">
        <f>VLOOKUP(HJ83,HJ85:HJ98,1)</f>
        <v>0</v>
      </c>
      <c r="HK100" s="3651">
        <f>IFERROR(VLOOKUP(HJ83,HJ85:HJ98,1,0),0)</f>
        <v>0</v>
      </c>
      <c r="HL100" s="990"/>
      <c r="HM100" s="2179"/>
      <c r="HO100" s="2176"/>
      <c r="HP100" s="2176"/>
      <c r="HS100" s="2179"/>
      <c r="HT100" s="2179"/>
      <c r="HU100" s="2179"/>
      <c r="HV100" s="2179"/>
      <c r="HW100" s="2179"/>
      <c r="HX100" s="2179"/>
      <c r="HY100" s="2179"/>
      <c r="HZ100" s="2179"/>
      <c r="IA100" s="2179"/>
      <c r="IB100" s="2179"/>
      <c r="IC100" s="2179"/>
      <c r="IE100" s="3649">
        <f>VLOOKUP(IE83,IE85:IE98,1)</f>
        <v>0</v>
      </c>
      <c r="IF100" s="3651">
        <f>IFERROR(VLOOKUP(IE83,IE85:IE98,1,0),0)</f>
        <v>0</v>
      </c>
      <c r="IG100" s="990"/>
      <c r="IH100" s="2179"/>
    </row>
    <row r="101" spans="3:242" ht="21.95" customHeight="1">
      <c r="C101" s="735" t="s">
        <v>696</v>
      </c>
      <c r="D101" s="3643">
        <f>F101*D100</f>
        <v>42000</v>
      </c>
      <c r="E101" s="735">
        <v>15750</v>
      </c>
      <c r="F101" s="2186">
        <f>160+8</f>
        <v>168</v>
      </c>
      <c r="G101" s="748"/>
      <c r="H101" s="277">
        <v>160</v>
      </c>
      <c r="I101" s="277">
        <v>8</v>
      </c>
      <c r="S101" s="286"/>
      <c r="T101" s="286"/>
      <c r="AF101" s="2174"/>
      <c r="AG101" s="2174"/>
      <c r="AJ101" s="2179"/>
      <c r="AK101" s="2179"/>
      <c r="AL101" s="2179"/>
      <c r="AM101" s="2179"/>
      <c r="AN101" s="2179"/>
      <c r="AO101" s="2179"/>
      <c r="AP101" s="2179"/>
      <c r="AQ101" s="2179"/>
      <c r="AR101" s="2179"/>
      <c r="AS101" s="2179"/>
      <c r="AT101" s="2179"/>
      <c r="AV101" s="2179"/>
      <c r="AW101" s="2179"/>
      <c r="AX101" s="2179"/>
      <c r="AY101" s="2179"/>
      <c r="BB101" s="2176"/>
      <c r="BC101" s="2176"/>
      <c r="BF101" s="2179"/>
      <c r="BG101" s="2179"/>
      <c r="BH101" s="2179"/>
      <c r="BI101" s="2179"/>
      <c r="BJ101" s="2179"/>
      <c r="BK101" s="2179"/>
      <c r="BL101" s="2179"/>
      <c r="BM101" s="2179"/>
      <c r="BN101" s="2179"/>
      <c r="BO101" s="2179"/>
      <c r="BP101" s="2179"/>
      <c r="BR101" s="2179"/>
      <c r="BS101" s="2179"/>
      <c r="BT101" s="2179"/>
      <c r="BU101" s="2179"/>
      <c r="BX101" s="2174"/>
      <c r="CA101" s="2179"/>
      <c r="CB101" s="2179"/>
      <c r="CC101" s="2179"/>
      <c r="CD101" s="2179"/>
      <c r="CE101" s="2179"/>
      <c r="CF101" s="2179"/>
      <c r="CG101" s="2179"/>
      <c r="CH101" s="2179"/>
      <c r="CI101" s="2179"/>
      <c r="CJ101" s="2179"/>
      <c r="CK101" s="2179"/>
      <c r="CM101" s="2179"/>
      <c r="CN101" s="2179"/>
      <c r="CO101" s="2179"/>
      <c r="CP101" s="2179"/>
      <c r="CR101" s="2176"/>
      <c r="CS101" s="2176"/>
      <c r="CV101" s="2179"/>
      <c r="CW101" s="2179"/>
      <c r="CX101" s="2179"/>
      <c r="CY101" s="2179"/>
      <c r="CZ101" s="2179"/>
      <c r="DA101" s="2179"/>
      <c r="DB101" s="2179"/>
      <c r="DC101" s="2179"/>
      <c r="DD101" s="2179"/>
      <c r="DE101" s="2179"/>
      <c r="DF101" s="2179"/>
      <c r="DH101" s="2179"/>
      <c r="DI101" s="2179"/>
      <c r="DJ101" s="2179"/>
      <c r="DK101" s="2179"/>
      <c r="DX101" s="1"/>
      <c r="DZ101" s="735" t="s">
        <v>696</v>
      </c>
      <c r="EA101" s="3643">
        <f>EC101*EA100</f>
        <v>42000</v>
      </c>
      <c r="EB101" s="735">
        <v>15750</v>
      </c>
      <c r="EC101" s="2186">
        <f>160+8</f>
        <v>168</v>
      </c>
      <c r="ED101" s="748"/>
      <c r="EE101" s="277">
        <v>160</v>
      </c>
      <c r="EF101" s="277">
        <v>8</v>
      </c>
      <c r="EP101" s="286"/>
      <c r="EQ101" s="286"/>
      <c r="FC101" s="2174"/>
      <c r="FD101" s="2174"/>
      <c r="FG101" s="2179"/>
      <c r="FH101" s="2179"/>
      <c r="FI101" s="2179"/>
      <c r="FJ101" s="2179"/>
      <c r="FK101" s="2179"/>
      <c r="FL101" s="2179"/>
      <c r="FM101" s="2179"/>
      <c r="FN101" s="2179"/>
      <c r="FO101" s="2179"/>
      <c r="FP101" s="2179"/>
      <c r="FQ101" s="2179"/>
      <c r="FS101" s="3649" t="e">
        <f>VLOOKUP(FS100,FS85:FT98,2,0)</f>
        <v>#N/A</v>
      </c>
      <c r="FT101" s="3652" t="e">
        <f>IF(FT100&gt;0,FT100,FS101)</f>
        <v>#N/A</v>
      </c>
      <c r="FU101" s="3649" t="e">
        <f>VLOOKUP(FT101,FT85:FU97,2,0)</f>
        <v>#N/A</v>
      </c>
      <c r="FV101" s="2179"/>
      <c r="FY101" s="2176"/>
      <c r="FZ101" s="2176"/>
      <c r="GC101" s="2179"/>
      <c r="GD101" s="2179"/>
      <c r="GE101" s="2179"/>
      <c r="GF101" s="2179"/>
      <c r="GG101" s="2179"/>
      <c r="GH101" s="2179"/>
      <c r="GI101" s="2179"/>
      <c r="GJ101" s="2179"/>
      <c r="GK101" s="2179"/>
      <c r="GL101" s="2179"/>
      <c r="GM101" s="2179"/>
      <c r="GO101" s="3649" t="e">
        <f>VLOOKUP(GO100,GO85:GP98,2,0)</f>
        <v>#N/A</v>
      </c>
      <c r="GP101" s="3652" t="e">
        <f>IF(GP100&gt;0,GP100,GO101)</f>
        <v>#N/A</v>
      </c>
      <c r="GQ101" s="3649" t="e">
        <f>VLOOKUP(GP101,GP85:GQ97,2,0)</f>
        <v>#N/A</v>
      </c>
      <c r="GR101" s="2179"/>
      <c r="GU101" s="2174"/>
      <c r="GX101" s="2179"/>
      <c r="GY101" s="2179"/>
      <c r="GZ101" s="2179"/>
      <c r="HA101" s="2179"/>
      <c r="HB101" s="2179"/>
      <c r="HC101" s="2179"/>
      <c r="HD101" s="2179"/>
      <c r="HE101" s="2179"/>
      <c r="HF101" s="2179"/>
      <c r="HG101" s="2179"/>
      <c r="HH101" s="2179"/>
      <c r="HJ101" s="3649" t="e">
        <f>VLOOKUP(HJ100,HJ85:HK98,2,0)</f>
        <v>#N/A</v>
      </c>
      <c r="HK101" s="3652" t="e">
        <f>IF(HK100&gt;0,HK100,HJ101)</f>
        <v>#N/A</v>
      </c>
      <c r="HL101" s="3649" t="e">
        <f>VLOOKUP(HK101,HK85:HL97,2,0)</f>
        <v>#N/A</v>
      </c>
      <c r="HM101" s="2179"/>
      <c r="HO101" s="2176"/>
      <c r="HP101" s="2176"/>
      <c r="HS101" s="2179"/>
      <c r="HT101" s="2179"/>
      <c r="HU101" s="2179"/>
      <c r="HV101" s="2179"/>
      <c r="HW101" s="2179"/>
      <c r="HX101" s="2179"/>
      <c r="HY101" s="2179"/>
      <c r="HZ101" s="2179"/>
      <c r="IA101" s="2179"/>
      <c r="IB101" s="2179"/>
      <c r="IC101" s="2179"/>
      <c r="IE101" s="3649" t="e">
        <f>VLOOKUP(IE100,IE85:IF98,2,0)</f>
        <v>#N/A</v>
      </c>
      <c r="IF101" s="3652" t="e">
        <f>IF(IF100&gt;0,IF100,IE101)</f>
        <v>#N/A</v>
      </c>
      <c r="IG101" s="3649" t="e">
        <f>VLOOKUP(IF101,IF85:IG97,2,0)</f>
        <v>#N/A</v>
      </c>
      <c r="IH101" s="2179"/>
    </row>
    <row r="102" spans="3:242" ht="21.95" customHeight="1">
      <c r="C102" s="735" t="s">
        <v>697</v>
      </c>
      <c r="D102" s="3643">
        <f>F102*D100</f>
        <v>56250</v>
      </c>
      <c r="E102" s="735">
        <v>23100</v>
      </c>
      <c r="F102" s="2186">
        <f>215+10</f>
        <v>225</v>
      </c>
      <c r="G102" s="748"/>
      <c r="H102" s="277">
        <v>215</v>
      </c>
      <c r="I102" s="277">
        <v>10</v>
      </c>
      <c r="S102" s="286"/>
      <c r="T102" s="286"/>
      <c r="AF102" s="2174"/>
      <c r="AG102" s="2174"/>
      <c r="AJ102" s="2179"/>
      <c r="AK102" s="2179"/>
      <c r="AL102" s="2179"/>
      <c r="AM102" s="2179"/>
      <c r="AN102" s="2179"/>
      <c r="AO102" s="2179"/>
      <c r="AP102" s="2179"/>
      <c r="AQ102" s="2179"/>
      <c r="AR102" s="2179"/>
      <c r="AS102" s="2179"/>
      <c r="AT102" s="2179"/>
      <c r="AV102" s="2179"/>
      <c r="AW102" s="2179"/>
      <c r="AX102" s="2179"/>
      <c r="AY102" s="2179"/>
      <c r="BB102" s="2176"/>
      <c r="BC102" s="2176"/>
      <c r="BF102" s="2179"/>
      <c r="BG102" s="2179"/>
      <c r="BH102" s="2179"/>
      <c r="BI102" s="2179"/>
      <c r="BJ102" s="2179"/>
      <c r="BK102" s="2179"/>
      <c r="BL102" s="2179"/>
      <c r="BM102" s="2179"/>
      <c r="BN102" s="2179"/>
      <c r="BO102" s="2179"/>
      <c r="BP102" s="2179"/>
      <c r="BR102" s="2179"/>
      <c r="BS102" s="2179"/>
      <c r="BT102" s="2179"/>
      <c r="BU102" s="2179"/>
      <c r="BX102" s="2174"/>
      <c r="CA102" s="2179"/>
      <c r="CB102" s="2179"/>
      <c r="CC102" s="2179"/>
      <c r="CD102" s="2179"/>
      <c r="CE102" s="2179"/>
      <c r="CF102" s="2179"/>
      <c r="CG102" s="2179"/>
      <c r="CH102" s="2179"/>
      <c r="CI102" s="2179"/>
      <c r="CJ102" s="2179"/>
      <c r="CK102" s="2179"/>
      <c r="CM102" s="2179"/>
      <c r="CN102" s="2179"/>
      <c r="CO102" s="2179"/>
      <c r="CP102" s="2179"/>
      <c r="CR102" s="2176"/>
      <c r="CS102" s="2176"/>
      <c r="CV102" s="2179"/>
      <c r="CW102" s="2179"/>
      <c r="CX102" s="2179"/>
      <c r="CY102" s="2179"/>
      <c r="CZ102" s="2179"/>
      <c r="DA102" s="2179"/>
      <c r="DB102" s="2179"/>
      <c r="DC102" s="2179"/>
      <c r="DD102" s="2179"/>
      <c r="DE102" s="2179"/>
      <c r="DF102" s="2179"/>
      <c r="DH102" s="2179"/>
      <c r="DI102" s="2179"/>
      <c r="DJ102" s="2179"/>
      <c r="DK102" s="2179"/>
      <c r="DX102" s="1"/>
      <c r="DZ102" s="735" t="s">
        <v>697</v>
      </c>
      <c r="EA102" s="3643">
        <f>EC102*EA100</f>
        <v>56250</v>
      </c>
      <c r="EB102" s="735">
        <v>23100</v>
      </c>
      <c r="EC102" s="2186">
        <f>215+10</f>
        <v>225</v>
      </c>
      <c r="ED102" s="748"/>
      <c r="EE102" s="277">
        <v>215</v>
      </c>
      <c r="EF102" s="277">
        <v>10</v>
      </c>
      <c r="EP102" s="286"/>
      <c r="EQ102" s="286"/>
      <c r="FC102" s="2174"/>
      <c r="FD102" s="2174"/>
      <c r="FG102" s="2179"/>
      <c r="FH102" s="2179"/>
      <c r="FI102" s="2179"/>
      <c r="FJ102" s="2179"/>
      <c r="FK102" s="2179"/>
      <c r="FL102" s="2179"/>
      <c r="FM102" s="2179"/>
      <c r="FN102" s="2179"/>
      <c r="FO102" s="2179"/>
      <c r="FP102" s="2179"/>
      <c r="FQ102" s="2179"/>
      <c r="FS102" s="2179"/>
      <c r="FT102" s="2179"/>
      <c r="FU102" s="2179"/>
      <c r="FV102" s="2179"/>
      <c r="FY102" s="2176"/>
      <c r="FZ102" s="2176"/>
      <c r="GC102" s="2179"/>
      <c r="GD102" s="2179"/>
      <c r="GE102" s="2179"/>
      <c r="GF102" s="2179"/>
      <c r="GG102" s="2179"/>
      <c r="GH102" s="2179"/>
      <c r="GI102" s="2179"/>
      <c r="GJ102" s="2179"/>
      <c r="GK102" s="2179"/>
      <c r="GL102" s="2179"/>
      <c r="GM102" s="2179"/>
      <c r="GO102" s="2179"/>
      <c r="GP102" s="2179"/>
      <c r="GQ102" s="2179"/>
      <c r="GR102" s="2179"/>
      <c r="GU102" s="2174"/>
      <c r="GX102" s="2179"/>
      <c r="GY102" s="2179"/>
      <c r="GZ102" s="2179"/>
      <c r="HA102" s="2179"/>
      <c r="HB102" s="2179"/>
      <c r="HC102" s="2179"/>
      <c r="HD102" s="2179"/>
      <c r="HE102" s="2179"/>
      <c r="HF102" s="2179"/>
      <c r="HG102" s="2179"/>
      <c r="HH102" s="2179"/>
      <c r="HJ102" s="2179"/>
      <c r="HK102" s="2179"/>
      <c r="HL102" s="2179"/>
      <c r="HM102" s="2179"/>
      <c r="HO102" s="2176"/>
      <c r="HP102" s="2176"/>
      <c r="HS102" s="2179"/>
      <c r="HT102" s="2179"/>
      <c r="HU102" s="2179"/>
      <c r="HV102" s="2179"/>
      <c r="HW102" s="2179"/>
      <c r="HX102" s="2179"/>
      <c r="HY102" s="2179"/>
      <c r="HZ102" s="2179"/>
      <c r="IA102" s="2179"/>
      <c r="IB102" s="2179"/>
      <c r="IC102" s="2179"/>
      <c r="IE102" s="2179"/>
      <c r="IF102" s="2179"/>
      <c r="IG102" s="2179"/>
      <c r="IH102" s="2179"/>
    </row>
    <row r="103" spans="3:242" ht="21.95" customHeight="1" thickBot="1">
      <c r="C103" s="735" t="s">
        <v>2206</v>
      </c>
      <c r="D103" s="3643">
        <f>F103*D100</f>
        <v>77250</v>
      </c>
      <c r="E103" s="735">
        <v>26250</v>
      </c>
      <c r="F103" s="2186">
        <f>295+14</f>
        <v>309</v>
      </c>
      <c r="G103" s="748"/>
      <c r="H103" s="277">
        <v>295</v>
      </c>
      <c r="I103" s="277">
        <v>14</v>
      </c>
      <c r="S103" s="286"/>
      <c r="T103" s="286"/>
      <c r="AF103" s="2174"/>
      <c r="AG103" s="2174"/>
      <c r="AJ103" s="2179"/>
      <c r="AK103" s="2179"/>
      <c r="AL103" s="2179"/>
      <c r="AM103" s="2179"/>
      <c r="AN103" s="2179"/>
      <c r="AO103" s="2179"/>
      <c r="AP103" s="2179"/>
      <c r="AQ103" s="2179"/>
      <c r="AR103" s="2179"/>
      <c r="AS103" s="2179"/>
      <c r="AT103" s="2179"/>
      <c r="AV103" s="3647">
        <f>AV82</f>
        <v>19.915970774546171</v>
      </c>
      <c r="AW103" s="3653">
        <f>AW82</f>
        <v>224</v>
      </c>
      <c r="AX103" s="3631">
        <f>IFERROR(AW121,0)</f>
        <v>0</v>
      </c>
      <c r="AY103" s="2179"/>
      <c r="BB103" s="2176"/>
      <c r="BC103" s="2176"/>
      <c r="BF103" s="2179"/>
      <c r="BG103" s="2179"/>
      <c r="BH103" s="2179"/>
      <c r="BI103" s="2179"/>
      <c r="BJ103" s="2179"/>
      <c r="BK103" s="2179"/>
      <c r="BL103" s="2179"/>
      <c r="BM103" s="2179"/>
      <c r="BN103" s="2179"/>
      <c r="BO103" s="2179"/>
      <c r="BP103" s="2179"/>
      <c r="BR103" s="3647">
        <f>BR82</f>
        <v>19.915970774546171</v>
      </c>
      <c r="BS103" s="3653">
        <f>BS82</f>
        <v>200</v>
      </c>
      <c r="BT103" s="3631">
        <f>IFERROR(BS121,0)</f>
        <v>0</v>
      </c>
      <c r="BU103" s="2179"/>
      <c r="BX103" s="2174"/>
      <c r="CA103" s="2179"/>
      <c r="CB103" s="2179"/>
      <c r="CC103" s="2179"/>
      <c r="CD103" s="2179"/>
      <c r="CE103" s="2179"/>
      <c r="CF103" s="2179"/>
      <c r="CG103" s="2179"/>
      <c r="CH103" s="2179"/>
      <c r="CI103" s="2179"/>
      <c r="CJ103" s="2179"/>
      <c r="CK103" s="2179"/>
      <c r="CM103" s="3647">
        <f>CM82</f>
        <v>19.915970774546171</v>
      </c>
      <c r="CN103" s="3653">
        <f>CN82</f>
        <v>215</v>
      </c>
      <c r="CO103" s="3631">
        <f>IFERROR(CN121,0)</f>
        <v>0</v>
      </c>
      <c r="CP103" s="2179"/>
      <c r="CR103" s="2176"/>
      <c r="CS103" s="2176"/>
      <c r="CV103" s="2179"/>
      <c r="CW103" s="2179"/>
      <c r="CX103" s="2179"/>
      <c r="CY103" s="2179"/>
      <c r="CZ103" s="2179"/>
      <c r="DA103" s="2179"/>
      <c r="DB103" s="2179"/>
      <c r="DC103" s="2179"/>
      <c r="DD103" s="2179"/>
      <c r="DE103" s="2179"/>
      <c r="DF103" s="2179"/>
      <c r="DH103" s="3647">
        <f>DH82</f>
        <v>19.915970774546171</v>
      </c>
      <c r="DI103" s="3653">
        <f>DI82</f>
        <v>195</v>
      </c>
      <c r="DJ103" s="3631">
        <f>IFERROR(DI121,0)</f>
        <v>0</v>
      </c>
      <c r="DK103" s="2179"/>
      <c r="DX103" s="1"/>
      <c r="DZ103" s="735" t="s">
        <v>2206</v>
      </c>
      <c r="EA103" s="3643">
        <f>EC103*EA100</f>
        <v>77250</v>
      </c>
      <c r="EB103" s="735">
        <v>26250</v>
      </c>
      <c r="EC103" s="2186">
        <f>295+14</f>
        <v>309</v>
      </c>
      <c r="ED103" s="748"/>
      <c r="EE103" s="277">
        <v>295</v>
      </c>
      <c r="EF103" s="277">
        <v>14</v>
      </c>
      <c r="EP103" s="286"/>
      <c r="EQ103" s="286"/>
      <c r="FC103" s="2174"/>
      <c r="FD103" s="2174"/>
      <c r="FG103" s="2179"/>
      <c r="FH103" s="2179"/>
      <c r="FI103" s="2179"/>
      <c r="FJ103" s="2179"/>
      <c r="FK103" s="2179"/>
      <c r="FL103" s="2179"/>
      <c r="FM103" s="2179"/>
      <c r="FN103" s="2179"/>
      <c r="FO103" s="2179"/>
      <c r="FP103" s="2179"/>
      <c r="FQ103" s="2179"/>
      <c r="FS103" s="2179"/>
      <c r="FT103" s="2179"/>
      <c r="FU103" s="2179"/>
      <c r="FV103" s="2179"/>
      <c r="FY103" s="2176"/>
      <c r="FZ103" s="2176"/>
      <c r="GC103" s="2179"/>
      <c r="GD103" s="2179"/>
      <c r="GE103" s="2179"/>
      <c r="GF103" s="2179"/>
      <c r="GG103" s="2179"/>
      <c r="GH103" s="2179"/>
      <c r="GI103" s="2179"/>
      <c r="GJ103" s="2179"/>
      <c r="GK103" s="2179"/>
      <c r="GL103" s="2179"/>
      <c r="GM103" s="2179"/>
      <c r="GO103" s="2179"/>
      <c r="GP103" s="2179"/>
      <c r="GQ103" s="2179"/>
      <c r="GR103" s="2179"/>
      <c r="GU103" s="2174"/>
      <c r="GX103" s="2179"/>
      <c r="GY103" s="2179"/>
      <c r="GZ103" s="2179"/>
      <c r="HA103" s="2179"/>
      <c r="HB103" s="2179"/>
      <c r="HC103" s="2179"/>
      <c r="HD103" s="2179"/>
      <c r="HE103" s="2179"/>
      <c r="HF103" s="2179"/>
      <c r="HG103" s="2179"/>
      <c r="HH103" s="2179"/>
      <c r="HJ103" s="2179"/>
      <c r="HK103" s="2179"/>
      <c r="HL103" s="2179"/>
      <c r="HM103" s="2179"/>
      <c r="HO103" s="2176"/>
      <c r="HP103" s="2176"/>
      <c r="HS103" s="2179"/>
      <c r="HT103" s="2179"/>
      <c r="HU103" s="2179"/>
      <c r="HV103" s="2179"/>
      <c r="HW103" s="2179"/>
      <c r="HX103" s="2179"/>
      <c r="HY103" s="2179"/>
      <c r="HZ103" s="2179"/>
      <c r="IA103" s="2179"/>
      <c r="IB103" s="2179"/>
      <c r="IC103" s="2179"/>
      <c r="IE103" s="2179"/>
      <c r="IF103" s="2179"/>
      <c r="IG103" s="2179"/>
      <c r="IH103" s="2179"/>
    </row>
    <row r="104" spans="3:242" ht="21.95" customHeight="1" thickBot="1">
      <c r="C104" s="735" t="s">
        <v>2207</v>
      </c>
      <c r="D104" s="3643">
        <f>F104*D100</f>
        <v>106750</v>
      </c>
      <c r="E104" s="735">
        <v>29400</v>
      </c>
      <c r="F104" s="2186">
        <f>405+22</f>
        <v>427</v>
      </c>
      <c r="G104" s="748"/>
      <c r="H104" s="277">
        <v>405</v>
      </c>
      <c r="I104" s="277">
        <v>22</v>
      </c>
      <c r="S104" s="286"/>
      <c r="T104" s="286"/>
      <c r="AF104" s="2174"/>
      <c r="AG104" s="2174"/>
      <c r="AJ104" s="2258" t="s">
        <v>730</v>
      </c>
      <c r="AK104" s="2271">
        <v>40</v>
      </c>
      <c r="AL104" s="2271">
        <v>45</v>
      </c>
      <c r="AM104" s="2271">
        <v>50</v>
      </c>
      <c r="AN104" s="2271">
        <v>56</v>
      </c>
      <c r="AO104" s="2271">
        <v>63</v>
      </c>
      <c r="AP104" s="2271">
        <v>71</v>
      </c>
      <c r="AQ104" s="2271">
        <v>80</v>
      </c>
      <c r="AR104" s="2271">
        <v>90</v>
      </c>
      <c r="AS104" s="2271">
        <v>100</v>
      </c>
      <c r="AT104" s="6">
        <v>112</v>
      </c>
      <c r="AV104" s="990"/>
      <c r="AW104" s="990"/>
      <c r="AX104" s="3631">
        <f>IFERROR(AX121,0)</f>
        <v>0</v>
      </c>
      <c r="AY104" s="2179"/>
      <c r="BB104" s="2176"/>
      <c r="BC104" s="2176"/>
      <c r="BF104" s="2258" t="s">
        <v>730</v>
      </c>
      <c r="BG104" s="2271">
        <v>40</v>
      </c>
      <c r="BH104" s="2271">
        <v>45</v>
      </c>
      <c r="BI104" s="2271">
        <v>50</v>
      </c>
      <c r="BJ104" s="2271">
        <v>56</v>
      </c>
      <c r="BK104" s="2271">
        <v>63</v>
      </c>
      <c r="BL104" s="2271">
        <v>71</v>
      </c>
      <c r="BM104" s="2271">
        <v>80</v>
      </c>
      <c r="BN104" s="2271">
        <v>90</v>
      </c>
      <c r="BO104" s="2271">
        <v>100</v>
      </c>
      <c r="BP104" s="6">
        <v>112</v>
      </c>
      <c r="BR104" s="990"/>
      <c r="BS104" s="990"/>
      <c r="BT104" s="3631">
        <f>IFERROR(BT121,0)</f>
        <v>0</v>
      </c>
      <c r="BU104" s="2179"/>
      <c r="BX104" s="2174"/>
      <c r="CA104" s="2260" t="s">
        <v>730</v>
      </c>
      <c r="CB104" s="2272">
        <v>57.7</v>
      </c>
      <c r="CC104" s="2272">
        <v>63.8</v>
      </c>
      <c r="CD104" s="2272">
        <v>70.599999999999994</v>
      </c>
      <c r="CE104" s="2272">
        <v>78.2</v>
      </c>
      <c r="CF104" s="2272">
        <v>86.5</v>
      </c>
      <c r="CG104" s="2272">
        <v>95.7</v>
      </c>
      <c r="CH104" s="2272">
        <v>106</v>
      </c>
      <c r="CI104" s="2272">
        <v>117</v>
      </c>
      <c r="CJ104" s="2273">
        <v>130</v>
      </c>
      <c r="CK104" s="2179"/>
      <c r="CM104" s="990"/>
      <c r="CN104" s="990"/>
      <c r="CO104" s="3631">
        <f>IFERROR(CO121,0)</f>
        <v>0</v>
      </c>
      <c r="CP104" s="2179"/>
      <c r="CR104" s="2176"/>
      <c r="CS104" s="2176"/>
      <c r="CV104" s="2260" t="s">
        <v>730</v>
      </c>
      <c r="CW104" s="2272">
        <v>57.7</v>
      </c>
      <c r="CX104" s="2272">
        <v>63.8</v>
      </c>
      <c r="CY104" s="2272">
        <v>70.599999999999994</v>
      </c>
      <c r="CZ104" s="2272">
        <v>78.2</v>
      </c>
      <c r="DA104" s="2272">
        <v>86.5</v>
      </c>
      <c r="DB104" s="2272">
        <v>95.7</v>
      </c>
      <c r="DC104" s="2272">
        <v>106</v>
      </c>
      <c r="DD104" s="2272">
        <v>117</v>
      </c>
      <c r="DE104" s="2273">
        <v>130</v>
      </c>
      <c r="DF104" s="2179"/>
      <c r="DH104" s="990"/>
      <c r="DI104" s="990"/>
      <c r="DJ104" s="3631">
        <f>IFERROR(DJ121,0)</f>
        <v>0</v>
      </c>
      <c r="DK104" s="2179"/>
      <c r="DX104" s="1"/>
      <c r="DZ104" s="735" t="s">
        <v>2207</v>
      </c>
      <c r="EA104" s="3643">
        <f>EC104*EA100</f>
        <v>106750</v>
      </c>
      <c r="EB104" s="735">
        <v>29400</v>
      </c>
      <c r="EC104" s="2186">
        <f>405+22</f>
        <v>427</v>
      </c>
      <c r="ED104" s="748"/>
      <c r="EE104" s="277">
        <v>405</v>
      </c>
      <c r="EF104" s="277">
        <v>22</v>
      </c>
      <c r="EP104" s="286"/>
      <c r="EQ104" s="286"/>
      <c r="FC104" s="2174"/>
      <c r="FD104" s="2174"/>
      <c r="FG104" s="2179"/>
      <c r="FH104" s="2179"/>
      <c r="FI104" s="2179"/>
      <c r="FJ104" s="2179"/>
      <c r="FK104" s="2179"/>
      <c r="FL104" s="2179"/>
      <c r="FM104" s="2179"/>
      <c r="FN104" s="2179"/>
      <c r="FO104" s="2179"/>
      <c r="FP104" s="2179"/>
      <c r="FQ104" s="2179"/>
      <c r="FS104" s="3647">
        <f>FS83</f>
        <v>19.968225884687833</v>
      </c>
      <c r="FT104" s="3653">
        <f>FT83</f>
        <v>140</v>
      </c>
      <c r="FU104" s="3631">
        <f>IFERROR(FT122,0)</f>
        <v>0</v>
      </c>
      <c r="FV104" s="2179"/>
      <c r="FY104" s="2176"/>
      <c r="FZ104" s="2176"/>
      <c r="GC104" s="2179"/>
      <c r="GD104" s="2179"/>
      <c r="GE104" s="2179"/>
      <c r="GF104" s="2179"/>
      <c r="GG104" s="2179"/>
      <c r="GH104" s="2179"/>
      <c r="GI104" s="2179"/>
      <c r="GJ104" s="2179"/>
      <c r="GK104" s="2179"/>
      <c r="GL104" s="2179"/>
      <c r="GM104" s="2179"/>
      <c r="GO104" s="3647">
        <f>GO83</f>
        <v>19.968225884687833</v>
      </c>
      <c r="GP104" s="3653">
        <f>GP83</f>
        <v>125</v>
      </c>
      <c r="GQ104" s="3631">
        <f>IFERROR(GP122,0)</f>
        <v>0</v>
      </c>
      <c r="GR104" s="2179"/>
      <c r="GU104" s="2174"/>
      <c r="GX104" s="2179"/>
      <c r="GY104" s="2179"/>
      <c r="GZ104" s="2179"/>
      <c r="HA104" s="2179"/>
      <c r="HB104" s="2179"/>
      <c r="HC104" s="2179"/>
      <c r="HD104" s="2179"/>
      <c r="HE104" s="2179"/>
      <c r="HF104" s="2179"/>
      <c r="HG104" s="2179"/>
      <c r="HH104" s="2179"/>
      <c r="HJ104" s="3647">
        <f>HJ83</f>
        <v>19.968225884687833</v>
      </c>
      <c r="HK104" s="3653">
        <f>HK83</f>
        <v>130</v>
      </c>
      <c r="HL104" s="3631">
        <f>IFERROR(HK122,0)</f>
        <v>21</v>
      </c>
      <c r="HM104" s="2179"/>
      <c r="HO104" s="2176"/>
      <c r="HP104" s="2176"/>
      <c r="HS104" s="2179"/>
      <c r="HT104" s="2179"/>
      <c r="HU104" s="2179"/>
      <c r="HV104" s="2179"/>
      <c r="HW104" s="2179"/>
      <c r="HX104" s="2179"/>
      <c r="HY104" s="2179"/>
      <c r="HZ104" s="2179"/>
      <c r="IA104" s="2179"/>
      <c r="IB104" s="2179"/>
      <c r="IC104" s="2179"/>
      <c r="IE104" s="3647">
        <f>IE83</f>
        <v>19.968225884687833</v>
      </c>
      <c r="IF104" s="3653">
        <f>IF83</f>
        <v>117</v>
      </c>
      <c r="IG104" s="3631">
        <f>IFERROR(IF122,0)</f>
        <v>29.3</v>
      </c>
      <c r="IH104" s="2179"/>
    </row>
    <row r="105" spans="3:242" ht="21.95" customHeight="1" thickBot="1">
      <c r="C105" s="735" t="s">
        <v>2208</v>
      </c>
      <c r="D105" s="3643">
        <f>F105*D100</f>
        <v>142000</v>
      </c>
      <c r="E105" s="735">
        <v>33600</v>
      </c>
      <c r="F105" s="2186">
        <f>540+28</f>
        <v>568</v>
      </c>
      <c r="G105" s="748"/>
      <c r="H105" s="277">
        <v>540</v>
      </c>
      <c r="I105" s="277">
        <v>28</v>
      </c>
      <c r="S105" s="286"/>
      <c r="T105" s="286"/>
      <c r="AF105" s="2174"/>
      <c r="AG105" s="2174"/>
      <c r="AJ105" s="7">
        <v>160</v>
      </c>
      <c r="AK105" s="280">
        <v>14</v>
      </c>
      <c r="AL105" s="280">
        <v>12</v>
      </c>
      <c r="AM105" s="280">
        <v>11</v>
      </c>
      <c r="AN105" s="280">
        <v>9.5</v>
      </c>
      <c r="AO105" s="280">
        <v>7.5</v>
      </c>
      <c r="AP105" s="280">
        <v>6.5</v>
      </c>
      <c r="AQ105" s="280">
        <v>6</v>
      </c>
      <c r="AR105" s="280">
        <v>5.5</v>
      </c>
      <c r="AS105" s="280">
        <v>0</v>
      </c>
      <c r="AT105" s="990">
        <v>0</v>
      </c>
      <c r="AV105" s="990">
        <v>0</v>
      </c>
      <c r="AW105" s="3654" t="e">
        <f t="shared" ref="AW105:AW117" si="103">+AV106</f>
        <v>#N/A</v>
      </c>
      <c r="AX105" s="2264">
        <v>160</v>
      </c>
      <c r="AY105" s="2179"/>
      <c r="BB105" s="2176"/>
      <c r="BC105" s="2176"/>
      <c r="BF105" s="7">
        <v>160</v>
      </c>
      <c r="BG105" s="280">
        <v>14</v>
      </c>
      <c r="BH105" s="280">
        <v>12</v>
      </c>
      <c r="BI105" s="280">
        <v>11</v>
      </c>
      <c r="BJ105" s="280">
        <v>9.5</v>
      </c>
      <c r="BK105" s="280">
        <v>7.5</v>
      </c>
      <c r="BL105" s="280">
        <v>6.5</v>
      </c>
      <c r="BM105" s="280">
        <v>6</v>
      </c>
      <c r="BN105" s="280">
        <v>5.5</v>
      </c>
      <c r="BO105" s="280">
        <v>0</v>
      </c>
      <c r="BP105" s="990">
        <v>0</v>
      </c>
      <c r="BR105" s="990">
        <v>0</v>
      </c>
      <c r="BS105" s="3654" t="e">
        <f>+BR106</f>
        <v>#N/A</v>
      </c>
      <c r="BT105" s="2264">
        <v>160</v>
      </c>
      <c r="BU105" s="2179"/>
      <c r="BX105" s="2174"/>
      <c r="CA105" s="2264">
        <v>140</v>
      </c>
      <c r="CB105" s="2238">
        <v>6.59</v>
      </c>
      <c r="CC105" s="2238">
        <v>5.61</v>
      </c>
      <c r="CD105" s="2238">
        <v>5.16</v>
      </c>
      <c r="CE105" s="2238">
        <v>4.5599999999999996</v>
      </c>
      <c r="CF105" s="2238">
        <v>4.2699999999999996</v>
      </c>
      <c r="CG105" s="2238">
        <v>3.86</v>
      </c>
      <c r="CH105" s="2238">
        <v>3.49</v>
      </c>
      <c r="CI105" s="2238">
        <v>3.14</v>
      </c>
      <c r="CJ105" s="2239">
        <v>2.4900000000000002</v>
      </c>
      <c r="CK105" s="2179"/>
      <c r="CM105" s="990">
        <v>0</v>
      </c>
      <c r="CN105" s="3654" t="e">
        <f t="shared" ref="CN105:CN117" si="104">+CM106</f>
        <v>#N/A</v>
      </c>
      <c r="CO105" s="735">
        <v>140</v>
      </c>
      <c r="CP105" s="2179"/>
      <c r="CR105" s="2176"/>
      <c r="CS105" s="2176"/>
      <c r="CV105" s="2264">
        <v>140</v>
      </c>
      <c r="CW105" s="2238">
        <v>6.59</v>
      </c>
      <c r="CX105" s="2238">
        <v>5.61</v>
      </c>
      <c r="CY105" s="2238">
        <v>5.16</v>
      </c>
      <c r="CZ105" s="2238">
        <v>4.5599999999999996</v>
      </c>
      <c r="DA105" s="2238">
        <v>4.2699999999999996</v>
      </c>
      <c r="DB105" s="2238">
        <v>3.86</v>
      </c>
      <c r="DC105" s="2238">
        <v>3.49</v>
      </c>
      <c r="DD105" s="2238">
        <v>3.14</v>
      </c>
      <c r="DE105" s="2239">
        <v>2.4900000000000002</v>
      </c>
      <c r="DF105" s="2179"/>
      <c r="DH105" s="990">
        <v>0</v>
      </c>
      <c r="DI105" s="3654" t="e">
        <f t="shared" ref="DI105:DI117" si="105">+DH106</f>
        <v>#N/A</v>
      </c>
      <c r="DJ105" s="735">
        <v>140</v>
      </c>
      <c r="DK105" s="2179"/>
      <c r="DX105" s="1"/>
      <c r="DZ105" s="735" t="s">
        <v>2208</v>
      </c>
      <c r="EA105" s="3643">
        <f>EC105*EA100</f>
        <v>142000</v>
      </c>
      <c r="EB105" s="735">
        <v>33600</v>
      </c>
      <c r="EC105" s="2186">
        <f>540+28</f>
        <v>568</v>
      </c>
      <c r="ED105" s="748"/>
      <c r="EE105" s="277">
        <v>540</v>
      </c>
      <c r="EF105" s="277">
        <v>28</v>
      </c>
      <c r="EP105" s="286"/>
      <c r="EQ105" s="286"/>
      <c r="FC105" s="2174"/>
      <c r="FD105" s="2174"/>
      <c r="FG105" s="2258" t="s">
        <v>730</v>
      </c>
      <c r="FH105" s="2271">
        <v>40</v>
      </c>
      <c r="FI105" s="2271">
        <v>45</v>
      </c>
      <c r="FJ105" s="2271">
        <v>50</v>
      </c>
      <c r="FK105" s="2271">
        <v>56</v>
      </c>
      <c r="FL105" s="2271">
        <v>63</v>
      </c>
      <c r="FM105" s="2271">
        <v>71</v>
      </c>
      <c r="FN105" s="2271">
        <v>80</v>
      </c>
      <c r="FO105" s="2271">
        <v>90</v>
      </c>
      <c r="FP105" s="2271">
        <v>100</v>
      </c>
      <c r="FQ105" s="6">
        <v>112</v>
      </c>
      <c r="FS105" s="990"/>
      <c r="FT105" s="990"/>
      <c r="FU105" s="3631">
        <f>IFERROR(FU122,0)</f>
        <v>0</v>
      </c>
      <c r="FV105" s="2179"/>
      <c r="FY105" s="2176"/>
      <c r="FZ105" s="2176"/>
      <c r="GC105" s="2258" t="s">
        <v>730</v>
      </c>
      <c r="GD105" s="2271">
        <v>40</v>
      </c>
      <c r="GE105" s="2271">
        <v>45</v>
      </c>
      <c r="GF105" s="2271">
        <v>50</v>
      </c>
      <c r="GG105" s="2271">
        <v>56</v>
      </c>
      <c r="GH105" s="2271">
        <v>63</v>
      </c>
      <c r="GI105" s="2271">
        <v>71</v>
      </c>
      <c r="GJ105" s="2271">
        <v>80</v>
      </c>
      <c r="GK105" s="2271">
        <v>90</v>
      </c>
      <c r="GL105" s="2271">
        <v>100</v>
      </c>
      <c r="GM105" s="6">
        <v>112</v>
      </c>
      <c r="GO105" s="990"/>
      <c r="GP105" s="990"/>
      <c r="GQ105" s="3631">
        <f>IFERROR(GQ122,0)</f>
        <v>0</v>
      </c>
      <c r="GR105" s="2179"/>
      <c r="GU105" s="2174"/>
      <c r="GX105" s="2260" t="s">
        <v>730</v>
      </c>
      <c r="GY105" s="2272">
        <v>57.7</v>
      </c>
      <c r="GZ105" s="2272">
        <v>63.8</v>
      </c>
      <c r="HA105" s="2272">
        <v>70.599999999999994</v>
      </c>
      <c r="HB105" s="2272">
        <v>78.2</v>
      </c>
      <c r="HC105" s="2272">
        <v>86.5</v>
      </c>
      <c r="HD105" s="2272">
        <v>95.7</v>
      </c>
      <c r="HE105" s="2272">
        <v>106</v>
      </c>
      <c r="HF105" s="2272">
        <v>117</v>
      </c>
      <c r="HG105" s="2273">
        <v>130</v>
      </c>
      <c r="HH105" s="2179"/>
      <c r="HJ105" s="990"/>
      <c r="HK105" s="990"/>
      <c r="HL105" s="3631">
        <f>IFERROR(HL122,0)</f>
        <v>280</v>
      </c>
      <c r="HM105" s="2179"/>
      <c r="HO105" s="2176"/>
      <c r="HP105" s="2176"/>
      <c r="HS105" s="2260" t="s">
        <v>730</v>
      </c>
      <c r="HT105" s="2272">
        <v>57.7</v>
      </c>
      <c r="HU105" s="2272">
        <v>63.8</v>
      </c>
      <c r="HV105" s="2272">
        <v>70.599999999999994</v>
      </c>
      <c r="HW105" s="2272">
        <v>78.2</v>
      </c>
      <c r="HX105" s="2272">
        <v>86.5</v>
      </c>
      <c r="HY105" s="2272">
        <v>95.7</v>
      </c>
      <c r="HZ105" s="2272">
        <v>106</v>
      </c>
      <c r="IA105" s="2272">
        <v>117</v>
      </c>
      <c r="IB105" s="2273">
        <v>130</v>
      </c>
      <c r="IC105" s="2179"/>
      <c r="IE105" s="990"/>
      <c r="IF105" s="990"/>
      <c r="IG105" s="3631">
        <f>IFERROR(IG122,0)</f>
        <v>280</v>
      </c>
      <c r="IH105" s="2179"/>
    </row>
    <row r="106" spans="3:242" ht="21.95" customHeight="1">
      <c r="C106" s="735" t="s">
        <v>2209</v>
      </c>
      <c r="D106" s="3643">
        <f>F106*D100</f>
        <v>189750</v>
      </c>
      <c r="E106" s="735">
        <v>36750</v>
      </c>
      <c r="F106" s="2186">
        <f>720+39</f>
        <v>759</v>
      </c>
      <c r="G106" s="748"/>
      <c r="H106" s="277">
        <v>720</v>
      </c>
      <c r="I106" s="277">
        <v>39</v>
      </c>
      <c r="S106" s="286"/>
      <c r="T106" s="286"/>
      <c r="AF106" s="2174"/>
      <c r="AG106" s="2174"/>
      <c r="AJ106" s="7">
        <v>180</v>
      </c>
      <c r="AK106" s="280">
        <v>21</v>
      </c>
      <c r="AL106" s="280">
        <v>17</v>
      </c>
      <c r="AM106" s="280">
        <v>15</v>
      </c>
      <c r="AN106" s="280">
        <v>14</v>
      </c>
      <c r="AO106" s="280">
        <v>11</v>
      </c>
      <c r="AP106" s="280">
        <v>10</v>
      </c>
      <c r="AQ106" s="280">
        <v>9</v>
      </c>
      <c r="AR106" s="280">
        <v>8</v>
      </c>
      <c r="AS106" s="280">
        <v>6.5</v>
      </c>
      <c r="AT106" s="990">
        <v>0</v>
      </c>
      <c r="AV106" s="3649" t="e">
        <f>HLOOKUP(AW103,AK104:AT117,2,0)</f>
        <v>#N/A</v>
      </c>
      <c r="AW106" s="3654" t="e">
        <f>+AV107</f>
        <v>#N/A</v>
      </c>
      <c r="AX106" s="2266">
        <v>180</v>
      </c>
      <c r="AY106" s="2179"/>
      <c r="BB106" s="2176"/>
      <c r="BC106" s="2176"/>
      <c r="BF106" s="7">
        <v>180</v>
      </c>
      <c r="BG106" s="280">
        <v>21</v>
      </c>
      <c r="BH106" s="280">
        <v>17</v>
      </c>
      <c r="BI106" s="280">
        <v>15</v>
      </c>
      <c r="BJ106" s="280">
        <v>14</v>
      </c>
      <c r="BK106" s="280">
        <v>11</v>
      </c>
      <c r="BL106" s="280">
        <v>10</v>
      </c>
      <c r="BM106" s="280">
        <v>9</v>
      </c>
      <c r="BN106" s="280">
        <v>8</v>
      </c>
      <c r="BO106" s="280">
        <v>6.5</v>
      </c>
      <c r="BP106" s="990">
        <v>0</v>
      </c>
      <c r="BR106" s="3649" t="e">
        <f>HLOOKUP(BS103,BG104:BP117,2,0)</f>
        <v>#N/A</v>
      </c>
      <c r="BS106" s="3654" t="e">
        <f t="shared" ref="BS106:BS117" si="106">+BR107</f>
        <v>#N/A</v>
      </c>
      <c r="BT106" s="2266">
        <v>180</v>
      </c>
      <c r="BU106" s="2179"/>
      <c r="BX106" s="2174"/>
      <c r="CA106" s="2266">
        <v>160</v>
      </c>
      <c r="CB106" s="280">
        <v>10.5</v>
      </c>
      <c r="CC106" s="280">
        <v>9.0299999999999994</v>
      </c>
      <c r="CD106" s="280">
        <v>8.2100000000000009</v>
      </c>
      <c r="CE106" s="280">
        <v>7.17</v>
      </c>
      <c r="CF106" s="280">
        <v>6.41</v>
      </c>
      <c r="CG106" s="280">
        <v>5.51</v>
      </c>
      <c r="CH106" s="280">
        <v>5.13</v>
      </c>
      <c r="CI106" s="280">
        <v>4.4800000000000004</v>
      </c>
      <c r="CJ106" s="2240">
        <v>4.01</v>
      </c>
      <c r="CK106" s="2179"/>
      <c r="CM106" s="3649" t="e">
        <f>HLOOKUP(CN103,CB104:CJ117,2,0)</f>
        <v>#N/A</v>
      </c>
      <c r="CN106" s="3654" t="e">
        <f t="shared" si="104"/>
        <v>#N/A</v>
      </c>
      <c r="CO106" s="735">
        <v>160</v>
      </c>
      <c r="CP106" s="2179"/>
      <c r="CR106" s="2176"/>
      <c r="CS106" s="2176"/>
      <c r="CV106" s="2266">
        <v>160</v>
      </c>
      <c r="CW106" s="280">
        <v>10.5</v>
      </c>
      <c r="CX106" s="280">
        <v>9.0299999999999994</v>
      </c>
      <c r="CY106" s="280">
        <v>8.2100000000000009</v>
      </c>
      <c r="CZ106" s="280">
        <v>7.17</v>
      </c>
      <c r="DA106" s="280">
        <v>6.41</v>
      </c>
      <c r="DB106" s="280">
        <v>5.51</v>
      </c>
      <c r="DC106" s="280">
        <v>5.13</v>
      </c>
      <c r="DD106" s="280">
        <v>4.4800000000000004</v>
      </c>
      <c r="DE106" s="2240">
        <v>4.01</v>
      </c>
      <c r="DF106" s="2179"/>
      <c r="DH106" s="3649" t="e">
        <f>HLOOKUP(DI103,CW104:DE117,2,0)</f>
        <v>#N/A</v>
      </c>
      <c r="DI106" s="3654" t="e">
        <f t="shared" si="105"/>
        <v>#N/A</v>
      </c>
      <c r="DJ106" s="735">
        <v>160</v>
      </c>
      <c r="DK106" s="2179"/>
      <c r="DX106" s="1"/>
      <c r="DZ106" s="735" t="s">
        <v>2209</v>
      </c>
      <c r="EA106" s="3643">
        <f>EC106*EA100</f>
        <v>189750</v>
      </c>
      <c r="EB106" s="735">
        <v>36750</v>
      </c>
      <c r="EC106" s="2186">
        <f>720+39</f>
        <v>759</v>
      </c>
      <c r="ED106" s="748"/>
      <c r="EE106" s="277">
        <v>720</v>
      </c>
      <c r="EF106" s="277">
        <v>39</v>
      </c>
      <c r="EP106" s="286"/>
      <c r="EQ106" s="286"/>
      <c r="FC106" s="2174"/>
      <c r="FD106" s="2174"/>
      <c r="FG106" s="7">
        <v>160</v>
      </c>
      <c r="FH106" s="280">
        <v>14</v>
      </c>
      <c r="FI106" s="280">
        <v>12</v>
      </c>
      <c r="FJ106" s="280">
        <v>11</v>
      </c>
      <c r="FK106" s="280">
        <v>9.5</v>
      </c>
      <c r="FL106" s="280">
        <v>7.5</v>
      </c>
      <c r="FM106" s="280">
        <v>6.5</v>
      </c>
      <c r="FN106" s="280">
        <v>6</v>
      </c>
      <c r="FO106" s="280">
        <v>5.5</v>
      </c>
      <c r="FP106" s="280">
        <v>0</v>
      </c>
      <c r="FQ106" s="990">
        <v>0</v>
      </c>
      <c r="FS106" s="990">
        <v>0</v>
      </c>
      <c r="FT106" s="3654" t="e">
        <f t="shared" ref="FT106:FT117" si="107">+FS107</f>
        <v>#N/A</v>
      </c>
      <c r="FU106" s="2264">
        <v>160</v>
      </c>
      <c r="FV106" s="2179"/>
      <c r="FY106" s="2176"/>
      <c r="FZ106" s="2176"/>
      <c r="GC106" s="7">
        <v>160</v>
      </c>
      <c r="GD106" s="280">
        <v>14</v>
      </c>
      <c r="GE106" s="280">
        <v>12</v>
      </c>
      <c r="GF106" s="280">
        <v>11</v>
      </c>
      <c r="GG106" s="280">
        <v>9.5</v>
      </c>
      <c r="GH106" s="280">
        <v>7.5</v>
      </c>
      <c r="GI106" s="280">
        <v>6.5</v>
      </c>
      <c r="GJ106" s="280">
        <v>6</v>
      </c>
      <c r="GK106" s="280">
        <v>5.5</v>
      </c>
      <c r="GL106" s="280">
        <v>0</v>
      </c>
      <c r="GM106" s="990">
        <v>0</v>
      </c>
      <c r="GO106" s="990">
        <v>0</v>
      </c>
      <c r="GP106" s="3654" t="e">
        <f t="shared" ref="GP106:GP118" si="108">+GO107</f>
        <v>#N/A</v>
      </c>
      <c r="GQ106" s="2264">
        <v>160</v>
      </c>
      <c r="GR106" s="2179"/>
      <c r="GU106" s="2174"/>
      <c r="GX106" s="2264">
        <v>140</v>
      </c>
      <c r="GY106" s="2238">
        <v>6.59</v>
      </c>
      <c r="GZ106" s="2238">
        <v>5.61</v>
      </c>
      <c r="HA106" s="2238">
        <v>5.16</v>
      </c>
      <c r="HB106" s="2238">
        <v>4.5599999999999996</v>
      </c>
      <c r="HC106" s="2238">
        <v>4.2699999999999996</v>
      </c>
      <c r="HD106" s="2238">
        <v>3.86</v>
      </c>
      <c r="HE106" s="2238">
        <v>3.49</v>
      </c>
      <c r="HF106" s="2238">
        <v>3.14</v>
      </c>
      <c r="HG106" s="2239">
        <v>2.4900000000000002</v>
      </c>
      <c r="HH106" s="2179"/>
      <c r="HJ106" s="990">
        <v>0</v>
      </c>
      <c r="HK106" s="3654">
        <f t="shared" ref="HK106:HK118" si="109">+HJ107</f>
        <v>2.4900000000000002</v>
      </c>
      <c r="HL106" s="735">
        <v>140</v>
      </c>
      <c r="HM106" s="2179"/>
      <c r="HO106" s="2176"/>
      <c r="HP106" s="2176"/>
      <c r="HS106" s="2264">
        <v>140</v>
      </c>
      <c r="HT106" s="2238">
        <v>6.59</v>
      </c>
      <c r="HU106" s="2238">
        <v>5.61</v>
      </c>
      <c r="HV106" s="2238">
        <v>5.16</v>
      </c>
      <c r="HW106" s="2238">
        <v>4.5599999999999996</v>
      </c>
      <c r="HX106" s="2238">
        <v>4.2699999999999996</v>
      </c>
      <c r="HY106" s="2238">
        <v>3.86</v>
      </c>
      <c r="HZ106" s="2238">
        <v>3.49</v>
      </c>
      <c r="IA106" s="2238">
        <v>3.14</v>
      </c>
      <c r="IB106" s="2239">
        <v>2.4900000000000002</v>
      </c>
      <c r="IC106" s="2179"/>
      <c r="IE106" s="990">
        <v>0</v>
      </c>
      <c r="IF106" s="3654">
        <f t="shared" ref="IF106:IF118" si="110">+IE107</f>
        <v>3.14</v>
      </c>
      <c r="IG106" s="735">
        <v>140</v>
      </c>
      <c r="IH106" s="2179"/>
    </row>
    <row r="107" spans="3:242" ht="21.95" customHeight="1">
      <c r="C107" s="735" t="s">
        <v>2210</v>
      </c>
      <c r="D107" s="3643">
        <f>F107*D100</f>
        <v>256500</v>
      </c>
      <c r="E107" s="735">
        <v>42000</v>
      </c>
      <c r="F107" s="2186">
        <f>970+56</f>
        <v>1026</v>
      </c>
      <c r="G107" s="748"/>
      <c r="H107" s="277">
        <v>970</v>
      </c>
      <c r="I107" s="277">
        <v>56</v>
      </c>
      <c r="S107" s="286"/>
      <c r="T107" s="286"/>
      <c r="AF107" s="2174"/>
      <c r="AG107" s="2174"/>
      <c r="AJ107" s="7">
        <v>200</v>
      </c>
      <c r="AK107" s="280">
        <v>28</v>
      </c>
      <c r="AL107" s="280">
        <v>25</v>
      </c>
      <c r="AM107" s="280">
        <v>22</v>
      </c>
      <c r="AN107" s="280">
        <v>19</v>
      </c>
      <c r="AO107" s="280">
        <v>16</v>
      </c>
      <c r="AP107" s="280">
        <v>14</v>
      </c>
      <c r="AQ107" s="280">
        <v>13</v>
      </c>
      <c r="AR107" s="280">
        <v>11</v>
      </c>
      <c r="AS107" s="280">
        <v>11</v>
      </c>
      <c r="AT107" s="990">
        <v>10</v>
      </c>
      <c r="AV107" s="3649" t="e">
        <f>HLOOKUP(AW103,AK104:AT117,3,0)</f>
        <v>#N/A</v>
      </c>
      <c r="AW107" s="3654" t="e">
        <f t="shared" si="103"/>
        <v>#N/A</v>
      </c>
      <c r="AX107" s="2266">
        <v>200</v>
      </c>
      <c r="AY107" s="2179"/>
      <c r="BB107" s="2176"/>
      <c r="BC107" s="2176"/>
      <c r="BF107" s="7">
        <v>200</v>
      </c>
      <c r="BG107" s="280">
        <v>28</v>
      </c>
      <c r="BH107" s="280">
        <v>25</v>
      </c>
      <c r="BI107" s="280">
        <v>22</v>
      </c>
      <c r="BJ107" s="280">
        <v>19</v>
      </c>
      <c r="BK107" s="280">
        <v>16</v>
      </c>
      <c r="BL107" s="280">
        <v>14</v>
      </c>
      <c r="BM107" s="280">
        <v>13</v>
      </c>
      <c r="BN107" s="280">
        <v>11</v>
      </c>
      <c r="BO107" s="280">
        <v>11</v>
      </c>
      <c r="BP107" s="990">
        <v>10</v>
      </c>
      <c r="BR107" s="3649" t="e">
        <f>HLOOKUP(BS103,BG104:BP117,3,0)</f>
        <v>#N/A</v>
      </c>
      <c r="BS107" s="3654" t="e">
        <f t="shared" si="106"/>
        <v>#N/A</v>
      </c>
      <c r="BT107" s="2266">
        <v>200</v>
      </c>
      <c r="BU107" s="2179"/>
      <c r="BX107" s="2174"/>
      <c r="CA107" s="2266">
        <v>180</v>
      </c>
      <c r="CB107" s="280">
        <v>14.2</v>
      </c>
      <c r="CC107" s="280">
        <v>11.8</v>
      </c>
      <c r="CD107" s="280">
        <v>11.6</v>
      </c>
      <c r="CE107" s="280">
        <v>10.9</v>
      </c>
      <c r="CF107" s="280">
        <v>9.86</v>
      </c>
      <c r="CG107" s="280">
        <v>8.0500000000000007</v>
      </c>
      <c r="CH107" s="280">
        <v>7.18</v>
      </c>
      <c r="CI107" s="280">
        <v>6.58</v>
      </c>
      <c r="CJ107" s="2240">
        <v>5.52</v>
      </c>
      <c r="CK107" s="2179"/>
      <c r="CM107" s="3649" t="e">
        <f>HLOOKUP(CN103,CB104:CJ117,3,0)</f>
        <v>#N/A</v>
      </c>
      <c r="CN107" s="3654" t="e">
        <f t="shared" si="104"/>
        <v>#N/A</v>
      </c>
      <c r="CO107" s="735">
        <v>180</v>
      </c>
      <c r="CP107" s="2179"/>
      <c r="CR107" s="2176"/>
      <c r="CS107" s="2176"/>
      <c r="CV107" s="2266">
        <v>180</v>
      </c>
      <c r="CW107" s="280">
        <v>14.2</v>
      </c>
      <c r="CX107" s="280">
        <v>11.8</v>
      </c>
      <c r="CY107" s="280">
        <v>11.6</v>
      </c>
      <c r="CZ107" s="280">
        <v>10.9</v>
      </c>
      <c r="DA107" s="280">
        <v>9.86</v>
      </c>
      <c r="DB107" s="280">
        <v>8.0500000000000007</v>
      </c>
      <c r="DC107" s="280">
        <v>7.18</v>
      </c>
      <c r="DD107" s="280">
        <v>6.58</v>
      </c>
      <c r="DE107" s="2240">
        <v>5.52</v>
      </c>
      <c r="DF107" s="2179"/>
      <c r="DH107" s="3649" t="e">
        <f>HLOOKUP(DI103,CW104:DE117,3,0)</f>
        <v>#N/A</v>
      </c>
      <c r="DI107" s="3654" t="e">
        <f t="shared" si="105"/>
        <v>#N/A</v>
      </c>
      <c r="DJ107" s="735">
        <v>180</v>
      </c>
      <c r="DK107" s="2179"/>
      <c r="DX107" s="1"/>
      <c r="DZ107" s="735" t="s">
        <v>2210</v>
      </c>
      <c r="EA107" s="3643">
        <f>EC107*EA100</f>
        <v>256500</v>
      </c>
      <c r="EB107" s="735">
        <v>42000</v>
      </c>
      <c r="EC107" s="2186">
        <f>970+56</f>
        <v>1026</v>
      </c>
      <c r="ED107" s="748"/>
      <c r="EE107" s="277">
        <v>970</v>
      </c>
      <c r="EF107" s="277">
        <v>56</v>
      </c>
      <c r="EP107" s="286"/>
      <c r="EQ107" s="286"/>
      <c r="FC107" s="2174"/>
      <c r="FD107" s="2174"/>
      <c r="FG107" s="7">
        <v>180</v>
      </c>
      <c r="FH107" s="280">
        <v>21</v>
      </c>
      <c r="FI107" s="280">
        <v>17</v>
      </c>
      <c r="FJ107" s="280">
        <v>15</v>
      </c>
      <c r="FK107" s="280">
        <v>14</v>
      </c>
      <c r="FL107" s="280">
        <v>11</v>
      </c>
      <c r="FM107" s="280">
        <v>10</v>
      </c>
      <c r="FN107" s="280">
        <v>9</v>
      </c>
      <c r="FO107" s="280">
        <v>8</v>
      </c>
      <c r="FP107" s="280">
        <v>6.5</v>
      </c>
      <c r="FQ107" s="990">
        <v>0</v>
      </c>
      <c r="FS107" s="3649" t="e">
        <f>HLOOKUP(FT104,FH105:FQ118,2,0)</f>
        <v>#N/A</v>
      </c>
      <c r="FT107" s="3654" t="e">
        <f t="shared" si="107"/>
        <v>#N/A</v>
      </c>
      <c r="FU107" s="2266">
        <v>180</v>
      </c>
      <c r="FV107" s="2179"/>
      <c r="FY107" s="2176"/>
      <c r="FZ107" s="2176"/>
      <c r="GC107" s="7">
        <v>180</v>
      </c>
      <c r="GD107" s="280">
        <v>21</v>
      </c>
      <c r="GE107" s="280">
        <v>17</v>
      </c>
      <c r="GF107" s="280">
        <v>15</v>
      </c>
      <c r="GG107" s="280">
        <v>14</v>
      </c>
      <c r="GH107" s="280">
        <v>11</v>
      </c>
      <c r="GI107" s="280">
        <v>10</v>
      </c>
      <c r="GJ107" s="280">
        <v>9</v>
      </c>
      <c r="GK107" s="280">
        <v>8</v>
      </c>
      <c r="GL107" s="280">
        <v>6.5</v>
      </c>
      <c r="GM107" s="990">
        <v>0</v>
      </c>
      <c r="GO107" s="3649" t="e">
        <f>HLOOKUP(GP104,GD105:GM118,2,0)</f>
        <v>#N/A</v>
      </c>
      <c r="GP107" s="3654" t="e">
        <f t="shared" si="108"/>
        <v>#N/A</v>
      </c>
      <c r="GQ107" s="2266">
        <v>180</v>
      </c>
      <c r="GR107" s="2179"/>
      <c r="GU107" s="2174"/>
      <c r="GX107" s="2266">
        <v>160</v>
      </c>
      <c r="GY107" s="280">
        <v>10.5</v>
      </c>
      <c r="GZ107" s="280">
        <v>9.0299999999999994</v>
      </c>
      <c r="HA107" s="280">
        <v>8.2100000000000009</v>
      </c>
      <c r="HB107" s="280">
        <v>7.17</v>
      </c>
      <c r="HC107" s="280">
        <v>6.41</v>
      </c>
      <c r="HD107" s="280">
        <v>5.51</v>
      </c>
      <c r="HE107" s="280">
        <v>5.13</v>
      </c>
      <c r="HF107" s="280">
        <v>4.4800000000000004</v>
      </c>
      <c r="HG107" s="2240">
        <v>4.01</v>
      </c>
      <c r="HH107" s="2179"/>
      <c r="HJ107" s="3649">
        <f>HLOOKUP(HK104,GY105:HG118,2,0)</f>
        <v>2.4900000000000002</v>
      </c>
      <c r="HK107" s="3654">
        <f t="shared" si="109"/>
        <v>4.01</v>
      </c>
      <c r="HL107" s="735">
        <v>160</v>
      </c>
      <c r="HM107" s="2179"/>
      <c r="HO107" s="2176"/>
      <c r="HP107" s="2176"/>
      <c r="HS107" s="2266">
        <v>160</v>
      </c>
      <c r="HT107" s="280">
        <v>10.5</v>
      </c>
      <c r="HU107" s="280">
        <v>9.0299999999999994</v>
      </c>
      <c r="HV107" s="280">
        <v>8.2100000000000009</v>
      </c>
      <c r="HW107" s="280">
        <v>7.17</v>
      </c>
      <c r="HX107" s="280">
        <v>6.41</v>
      </c>
      <c r="HY107" s="280">
        <v>5.51</v>
      </c>
      <c r="HZ107" s="280">
        <v>5.13</v>
      </c>
      <c r="IA107" s="280">
        <v>4.4800000000000004</v>
      </c>
      <c r="IB107" s="2240">
        <v>4.01</v>
      </c>
      <c r="IC107" s="2179"/>
      <c r="IE107" s="3649">
        <f>HLOOKUP(IF104,HT105:IB118,2,0)</f>
        <v>3.14</v>
      </c>
      <c r="IF107" s="3654">
        <f t="shared" si="110"/>
        <v>4.4800000000000004</v>
      </c>
      <c r="IG107" s="735">
        <v>160</v>
      </c>
      <c r="IH107" s="2179"/>
    </row>
    <row r="108" spans="3:242" ht="21.95" customHeight="1">
      <c r="C108" s="735" t="s">
        <v>2211</v>
      </c>
      <c r="D108" s="3643">
        <f>F108*D100</f>
        <v>345000</v>
      </c>
      <c r="E108" s="735">
        <v>52500</v>
      </c>
      <c r="F108" s="2186">
        <f>1300+80</f>
        <v>1380</v>
      </c>
      <c r="G108" s="748"/>
      <c r="H108" s="277">
        <v>1300</v>
      </c>
      <c r="I108" s="277">
        <v>80</v>
      </c>
      <c r="S108" s="286"/>
      <c r="T108" s="286"/>
      <c r="AF108" s="2174"/>
      <c r="AG108" s="2174"/>
      <c r="AJ108" s="7">
        <v>225</v>
      </c>
      <c r="AK108" s="280">
        <v>37</v>
      </c>
      <c r="AL108" s="280">
        <v>33</v>
      </c>
      <c r="AM108" s="280">
        <v>31</v>
      </c>
      <c r="AN108" s="280">
        <v>27</v>
      </c>
      <c r="AO108" s="280">
        <v>24</v>
      </c>
      <c r="AP108" s="280">
        <v>22</v>
      </c>
      <c r="AQ108" s="280">
        <v>19</v>
      </c>
      <c r="AR108" s="280">
        <v>17</v>
      </c>
      <c r="AS108" s="280">
        <v>16</v>
      </c>
      <c r="AT108" s="990">
        <v>14</v>
      </c>
      <c r="AV108" s="3649" t="e">
        <f>HLOOKUP(AW103,AK104:AT117,4,0)</f>
        <v>#N/A</v>
      </c>
      <c r="AW108" s="3654" t="e">
        <f t="shared" si="103"/>
        <v>#N/A</v>
      </c>
      <c r="AX108" s="2266">
        <v>225</v>
      </c>
      <c r="AY108" s="2179"/>
      <c r="BB108" s="2176"/>
      <c r="BC108" s="2176"/>
      <c r="BF108" s="7">
        <v>225</v>
      </c>
      <c r="BG108" s="280">
        <v>37</v>
      </c>
      <c r="BH108" s="280">
        <v>33</v>
      </c>
      <c r="BI108" s="280">
        <v>31</v>
      </c>
      <c r="BJ108" s="280">
        <v>27</v>
      </c>
      <c r="BK108" s="280">
        <v>24</v>
      </c>
      <c r="BL108" s="280">
        <v>22</v>
      </c>
      <c r="BM108" s="280">
        <v>19</v>
      </c>
      <c r="BN108" s="280">
        <v>17</v>
      </c>
      <c r="BO108" s="280">
        <v>16</v>
      </c>
      <c r="BP108" s="990">
        <v>14</v>
      </c>
      <c r="BR108" s="3649" t="e">
        <f>HLOOKUP(BS103,BG104:BP117,4,0)</f>
        <v>#N/A</v>
      </c>
      <c r="BS108" s="3654" t="e">
        <f t="shared" si="106"/>
        <v>#N/A</v>
      </c>
      <c r="BT108" s="2266">
        <v>225</v>
      </c>
      <c r="BU108" s="2179"/>
      <c r="BX108" s="2174"/>
      <c r="CA108" s="2266">
        <v>200</v>
      </c>
      <c r="CB108" s="280">
        <v>20.6</v>
      </c>
      <c r="CC108" s="280">
        <v>18.399999999999999</v>
      </c>
      <c r="CD108" s="280">
        <v>14.7</v>
      </c>
      <c r="CE108" s="280">
        <v>15.1</v>
      </c>
      <c r="CF108" s="280">
        <v>11.8</v>
      </c>
      <c r="CG108" s="280">
        <v>10.7</v>
      </c>
      <c r="CH108" s="280">
        <v>9.6999999999999993</v>
      </c>
      <c r="CI108" s="280">
        <v>8.74</v>
      </c>
      <c r="CJ108" s="2240">
        <v>8.5399999999999991</v>
      </c>
      <c r="CK108" s="2179"/>
      <c r="CM108" s="3649" t="e">
        <f>HLOOKUP(CN103,CB104:CJ117,4,0)</f>
        <v>#N/A</v>
      </c>
      <c r="CN108" s="3654" t="e">
        <f t="shared" si="104"/>
        <v>#N/A</v>
      </c>
      <c r="CO108" s="735">
        <v>200</v>
      </c>
      <c r="CP108" s="2179"/>
      <c r="CR108" s="2176"/>
      <c r="CS108" s="2176"/>
      <c r="CV108" s="2266">
        <v>200</v>
      </c>
      <c r="CW108" s="280">
        <v>20.6</v>
      </c>
      <c r="CX108" s="280">
        <v>18.399999999999999</v>
      </c>
      <c r="CY108" s="280">
        <v>14.7</v>
      </c>
      <c r="CZ108" s="280">
        <v>15.1</v>
      </c>
      <c r="DA108" s="280">
        <v>11.8</v>
      </c>
      <c r="DB108" s="280">
        <v>10.7</v>
      </c>
      <c r="DC108" s="280">
        <v>9.6999999999999993</v>
      </c>
      <c r="DD108" s="280">
        <v>8.74</v>
      </c>
      <c r="DE108" s="2240">
        <v>8.5399999999999991</v>
      </c>
      <c r="DF108" s="2179"/>
      <c r="DH108" s="3649" t="e">
        <f>HLOOKUP(DI103,CW104:DE117,4,0)</f>
        <v>#N/A</v>
      </c>
      <c r="DI108" s="3654" t="e">
        <f t="shared" si="105"/>
        <v>#N/A</v>
      </c>
      <c r="DJ108" s="735">
        <v>200</v>
      </c>
      <c r="DK108" s="2179"/>
      <c r="DX108" s="1"/>
      <c r="DZ108" s="735" t="s">
        <v>2211</v>
      </c>
      <c r="EA108" s="3643">
        <f>EC108*EA100</f>
        <v>345000</v>
      </c>
      <c r="EB108" s="735">
        <v>52500</v>
      </c>
      <c r="EC108" s="2186">
        <f>1300+80</f>
        <v>1380</v>
      </c>
      <c r="ED108" s="748"/>
      <c r="EE108" s="277">
        <v>1300</v>
      </c>
      <c r="EF108" s="277">
        <v>80</v>
      </c>
      <c r="EP108" s="286"/>
      <c r="EQ108" s="286"/>
      <c r="FC108" s="2174"/>
      <c r="FD108" s="2174"/>
      <c r="FG108" s="7">
        <v>200</v>
      </c>
      <c r="FH108" s="280">
        <v>28</v>
      </c>
      <c r="FI108" s="280">
        <v>25</v>
      </c>
      <c r="FJ108" s="280">
        <v>22</v>
      </c>
      <c r="FK108" s="280">
        <v>19</v>
      </c>
      <c r="FL108" s="280">
        <v>16</v>
      </c>
      <c r="FM108" s="280">
        <v>14</v>
      </c>
      <c r="FN108" s="280">
        <v>13</v>
      </c>
      <c r="FO108" s="280">
        <v>11</v>
      </c>
      <c r="FP108" s="280">
        <v>11</v>
      </c>
      <c r="FQ108" s="990">
        <v>10</v>
      </c>
      <c r="FS108" s="3649" t="e">
        <f>HLOOKUP(FT104,FH105:FQ118,3,0)</f>
        <v>#N/A</v>
      </c>
      <c r="FT108" s="3654" t="e">
        <f t="shared" si="107"/>
        <v>#N/A</v>
      </c>
      <c r="FU108" s="2266">
        <v>200</v>
      </c>
      <c r="FV108" s="2179"/>
      <c r="FY108" s="2176"/>
      <c r="FZ108" s="2176"/>
      <c r="GC108" s="7">
        <v>200</v>
      </c>
      <c r="GD108" s="280">
        <v>28</v>
      </c>
      <c r="GE108" s="280">
        <v>25</v>
      </c>
      <c r="GF108" s="280">
        <v>22</v>
      </c>
      <c r="GG108" s="280">
        <v>19</v>
      </c>
      <c r="GH108" s="280">
        <v>16</v>
      </c>
      <c r="GI108" s="280">
        <v>14</v>
      </c>
      <c r="GJ108" s="280">
        <v>13</v>
      </c>
      <c r="GK108" s="280">
        <v>11</v>
      </c>
      <c r="GL108" s="280">
        <v>11</v>
      </c>
      <c r="GM108" s="990">
        <v>10</v>
      </c>
      <c r="GO108" s="3649" t="e">
        <f>HLOOKUP(GP104,GD105:GM118,3,0)</f>
        <v>#N/A</v>
      </c>
      <c r="GP108" s="3654" t="e">
        <f t="shared" si="108"/>
        <v>#N/A</v>
      </c>
      <c r="GQ108" s="2266">
        <v>200</v>
      </c>
      <c r="GR108" s="2179"/>
      <c r="GU108" s="2174"/>
      <c r="GX108" s="2266">
        <v>180</v>
      </c>
      <c r="GY108" s="280">
        <v>14.2</v>
      </c>
      <c r="GZ108" s="280">
        <v>11.8</v>
      </c>
      <c r="HA108" s="280">
        <v>11.6</v>
      </c>
      <c r="HB108" s="280">
        <v>10.9</v>
      </c>
      <c r="HC108" s="280">
        <v>9.86</v>
      </c>
      <c r="HD108" s="280">
        <v>8.0500000000000007</v>
      </c>
      <c r="HE108" s="280">
        <v>7.18</v>
      </c>
      <c r="HF108" s="280">
        <v>6.58</v>
      </c>
      <c r="HG108" s="2240">
        <v>5.52</v>
      </c>
      <c r="HH108" s="2179"/>
      <c r="HJ108" s="3649">
        <f>HLOOKUP(HK104,GY105:HG118,3,0)</f>
        <v>4.01</v>
      </c>
      <c r="HK108" s="3654">
        <f t="shared" si="109"/>
        <v>5.52</v>
      </c>
      <c r="HL108" s="735">
        <v>180</v>
      </c>
      <c r="HM108" s="2179"/>
      <c r="HO108" s="2176"/>
      <c r="HP108" s="2176"/>
      <c r="HS108" s="2266">
        <v>180</v>
      </c>
      <c r="HT108" s="280">
        <v>14.2</v>
      </c>
      <c r="HU108" s="280">
        <v>11.8</v>
      </c>
      <c r="HV108" s="280">
        <v>11.6</v>
      </c>
      <c r="HW108" s="280">
        <v>10.9</v>
      </c>
      <c r="HX108" s="280">
        <v>9.86</v>
      </c>
      <c r="HY108" s="280">
        <v>8.0500000000000007</v>
      </c>
      <c r="HZ108" s="280">
        <v>7.18</v>
      </c>
      <c r="IA108" s="280">
        <v>6.58</v>
      </c>
      <c r="IB108" s="2240">
        <v>5.52</v>
      </c>
      <c r="IC108" s="2179"/>
      <c r="IE108" s="3649">
        <f>HLOOKUP(IF104,HT105:IB118,3,0)</f>
        <v>4.4800000000000004</v>
      </c>
      <c r="IF108" s="3654">
        <f t="shared" si="110"/>
        <v>6.58</v>
      </c>
      <c r="IG108" s="735">
        <v>180</v>
      </c>
      <c r="IH108" s="2179"/>
    </row>
    <row r="109" spans="3:242" ht="21.95" customHeight="1">
      <c r="C109" s="735" t="s">
        <v>2212</v>
      </c>
      <c r="D109" s="3643">
        <f>F109*D100</f>
        <v>471250</v>
      </c>
      <c r="E109" s="735">
        <v>57750</v>
      </c>
      <c r="F109" s="2186">
        <f>1770+115</f>
        <v>1885</v>
      </c>
      <c r="G109" s="748"/>
      <c r="H109" s="277">
        <v>1770</v>
      </c>
      <c r="I109" s="277">
        <v>115</v>
      </c>
      <c r="S109" s="286"/>
      <c r="T109" s="286"/>
      <c r="AF109" s="2174"/>
      <c r="AG109" s="2174"/>
      <c r="AJ109" s="7">
        <v>250</v>
      </c>
      <c r="AK109" s="280">
        <v>52</v>
      </c>
      <c r="AL109" s="280">
        <v>46</v>
      </c>
      <c r="AM109" s="280">
        <v>43</v>
      </c>
      <c r="AN109" s="280">
        <v>38</v>
      </c>
      <c r="AO109" s="280">
        <v>30</v>
      </c>
      <c r="AP109" s="280">
        <v>27</v>
      </c>
      <c r="AQ109" s="280">
        <v>24</v>
      </c>
      <c r="AR109" s="280">
        <v>22</v>
      </c>
      <c r="AS109" s="280">
        <v>21</v>
      </c>
      <c r="AT109" s="990">
        <v>19</v>
      </c>
      <c r="AV109" s="3649" t="e">
        <f>HLOOKUP(AW103,AK104:AT117,5,0)</f>
        <v>#N/A</v>
      </c>
      <c r="AW109" s="3654" t="e">
        <f t="shared" si="103"/>
        <v>#N/A</v>
      </c>
      <c r="AX109" s="2266">
        <v>250</v>
      </c>
      <c r="AY109" s="2179"/>
      <c r="BB109" s="2176"/>
      <c r="BC109" s="2176"/>
      <c r="BF109" s="7">
        <v>250</v>
      </c>
      <c r="BG109" s="280">
        <v>52</v>
      </c>
      <c r="BH109" s="280">
        <v>46</v>
      </c>
      <c r="BI109" s="280">
        <v>43</v>
      </c>
      <c r="BJ109" s="280">
        <v>38</v>
      </c>
      <c r="BK109" s="280">
        <v>30</v>
      </c>
      <c r="BL109" s="280">
        <v>27</v>
      </c>
      <c r="BM109" s="280">
        <v>24</v>
      </c>
      <c r="BN109" s="280">
        <v>22</v>
      </c>
      <c r="BO109" s="280">
        <v>21</v>
      </c>
      <c r="BP109" s="990">
        <v>19</v>
      </c>
      <c r="BR109" s="3649" t="e">
        <f>HLOOKUP(BS103,BG104:BP117,5,0)</f>
        <v>#N/A</v>
      </c>
      <c r="BS109" s="3654" t="e">
        <f t="shared" si="106"/>
        <v>#N/A</v>
      </c>
      <c r="BT109" s="2266">
        <v>250</v>
      </c>
      <c r="BU109" s="2179"/>
      <c r="BX109" s="2174"/>
      <c r="CA109" s="2266">
        <v>225</v>
      </c>
      <c r="CB109" s="280">
        <v>32.9</v>
      </c>
      <c r="CC109" s="280">
        <v>29.8</v>
      </c>
      <c r="CD109" s="280">
        <v>23.3</v>
      </c>
      <c r="CE109" s="280">
        <v>22.7</v>
      </c>
      <c r="CF109" s="280">
        <v>18.899999999999999</v>
      </c>
      <c r="CG109" s="280">
        <v>17.399999999999999</v>
      </c>
      <c r="CH109" s="280">
        <v>15.5</v>
      </c>
      <c r="CI109" s="280">
        <v>14</v>
      </c>
      <c r="CJ109" s="2240">
        <v>11.1</v>
      </c>
      <c r="CK109" s="2179"/>
      <c r="CM109" s="3649" t="e">
        <f>HLOOKUP(CN103,CB104:CJ117,5,0)</f>
        <v>#N/A</v>
      </c>
      <c r="CN109" s="3654" t="e">
        <f t="shared" si="104"/>
        <v>#N/A</v>
      </c>
      <c r="CO109" s="735">
        <v>225</v>
      </c>
      <c r="CP109" s="2179"/>
      <c r="CR109" s="2176"/>
      <c r="CS109" s="2176"/>
      <c r="CV109" s="2266">
        <v>225</v>
      </c>
      <c r="CW109" s="280">
        <v>32.9</v>
      </c>
      <c r="CX109" s="280">
        <v>29.8</v>
      </c>
      <c r="CY109" s="280">
        <v>23.3</v>
      </c>
      <c r="CZ109" s="280">
        <v>22.7</v>
      </c>
      <c r="DA109" s="280">
        <v>18.899999999999999</v>
      </c>
      <c r="DB109" s="280">
        <v>17.399999999999999</v>
      </c>
      <c r="DC109" s="280">
        <v>15.5</v>
      </c>
      <c r="DD109" s="280">
        <v>14</v>
      </c>
      <c r="DE109" s="2240">
        <v>11.1</v>
      </c>
      <c r="DF109" s="2179"/>
      <c r="DH109" s="3649" t="e">
        <f>HLOOKUP(DI103,CW104:DE117,5,0)</f>
        <v>#N/A</v>
      </c>
      <c r="DI109" s="3654" t="e">
        <f t="shared" si="105"/>
        <v>#N/A</v>
      </c>
      <c r="DJ109" s="735">
        <v>225</v>
      </c>
      <c r="DK109" s="2179"/>
      <c r="DX109" s="1"/>
      <c r="DZ109" s="735" t="s">
        <v>2212</v>
      </c>
      <c r="EA109" s="3643">
        <f>EC109*EA100</f>
        <v>471250</v>
      </c>
      <c r="EB109" s="735">
        <v>57750</v>
      </c>
      <c r="EC109" s="2186">
        <f>1770+115</f>
        <v>1885</v>
      </c>
      <c r="ED109" s="748"/>
      <c r="EE109" s="277">
        <v>1770</v>
      </c>
      <c r="EF109" s="277">
        <v>115</v>
      </c>
      <c r="EP109" s="286"/>
      <c r="EQ109" s="286"/>
      <c r="FC109" s="2174"/>
      <c r="FD109" s="2174"/>
      <c r="FG109" s="7">
        <v>225</v>
      </c>
      <c r="FH109" s="280">
        <v>37</v>
      </c>
      <c r="FI109" s="280">
        <v>33</v>
      </c>
      <c r="FJ109" s="280">
        <v>31</v>
      </c>
      <c r="FK109" s="280">
        <v>27</v>
      </c>
      <c r="FL109" s="280">
        <v>24</v>
      </c>
      <c r="FM109" s="280">
        <v>22</v>
      </c>
      <c r="FN109" s="280">
        <v>19</v>
      </c>
      <c r="FO109" s="280">
        <v>17</v>
      </c>
      <c r="FP109" s="280">
        <v>16</v>
      </c>
      <c r="FQ109" s="990">
        <v>14</v>
      </c>
      <c r="FS109" s="3649" t="e">
        <f>HLOOKUP(FT104,FH105:FQ118,4,0)</f>
        <v>#N/A</v>
      </c>
      <c r="FT109" s="3654" t="e">
        <f t="shared" si="107"/>
        <v>#N/A</v>
      </c>
      <c r="FU109" s="2266">
        <v>225</v>
      </c>
      <c r="FV109" s="2179"/>
      <c r="FY109" s="2176"/>
      <c r="FZ109" s="2176"/>
      <c r="GC109" s="7">
        <v>225</v>
      </c>
      <c r="GD109" s="280">
        <v>37</v>
      </c>
      <c r="GE109" s="280">
        <v>33</v>
      </c>
      <c r="GF109" s="280">
        <v>31</v>
      </c>
      <c r="GG109" s="280">
        <v>27</v>
      </c>
      <c r="GH109" s="280">
        <v>24</v>
      </c>
      <c r="GI109" s="280">
        <v>22</v>
      </c>
      <c r="GJ109" s="280">
        <v>19</v>
      </c>
      <c r="GK109" s="280">
        <v>17</v>
      </c>
      <c r="GL109" s="280">
        <v>16</v>
      </c>
      <c r="GM109" s="990">
        <v>14</v>
      </c>
      <c r="GO109" s="3649" t="e">
        <f>HLOOKUP(GP104,GD105:GM118,4,0)</f>
        <v>#N/A</v>
      </c>
      <c r="GP109" s="3654" t="e">
        <f t="shared" si="108"/>
        <v>#N/A</v>
      </c>
      <c r="GQ109" s="2266">
        <v>225</v>
      </c>
      <c r="GR109" s="2179"/>
      <c r="GU109" s="2174"/>
      <c r="GX109" s="2266">
        <v>200</v>
      </c>
      <c r="GY109" s="280">
        <v>20.6</v>
      </c>
      <c r="GZ109" s="280">
        <v>18.399999999999999</v>
      </c>
      <c r="HA109" s="280">
        <v>14.7</v>
      </c>
      <c r="HB109" s="280">
        <v>15.1</v>
      </c>
      <c r="HC109" s="280">
        <v>11.8</v>
      </c>
      <c r="HD109" s="280">
        <v>10.7</v>
      </c>
      <c r="HE109" s="280">
        <v>9.6999999999999993</v>
      </c>
      <c r="HF109" s="280">
        <v>8.74</v>
      </c>
      <c r="HG109" s="2240">
        <v>8.5399999999999991</v>
      </c>
      <c r="HH109" s="2179"/>
      <c r="HJ109" s="3649">
        <f>HLOOKUP(HK104,GY105:HG118,4,0)</f>
        <v>5.52</v>
      </c>
      <c r="HK109" s="3654">
        <f t="shared" si="109"/>
        <v>8.5399999999999991</v>
      </c>
      <c r="HL109" s="735">
        <v>200</v>
      </c>
      <c r="HM109" s="2179"/>
      <c r="HO109" s="2176"/>
      <c r="HP109" s="2176"/>
      <c r="HS109" s="2266">
        <v>200</v>
      </c>
      <c r="HT109" s="280">
        <v>20.6</v>
      </c>
      <c r="HU109" s="280">
        <v>18.399999999999999</v>
      </c>
      <c r="HV109" s="280">
        <v>14.7</v>
      </c>
      <c r="HW109" s="280">
        <v>15.1</v>
      </c>
      <c r="HX109" s="280">
        <v>11.8</v>
      </c>
      <c r="HY109" s="280">
        <v>10.7</v>
      </c>
      <c r="HZ109" s="280">
        <v>9.6999999999999993</v>
      </c>
      <c r="IA109" s="280">
        <v>8.74</v>
      </c>
      <c r="IB109" s="2240">
        <v>8.5399999999999991</v>
      </c>
      <c r="IC109" s="2179"/>
      <c r="IE109" s="3649">
        <f>HLOOKUP(IF104,HT105:IB118,4,0)</f>
        <v>6.58</v>
      </c>
      <c r="IF109" s="3654">
        <f t="shared" si="110"/>
        <v>8.74</v>
      </c>
      <c r="IG109" s="735">
        <v>200</v>
      </c>
      <c r="IH109" s="2179"/>
    </row>
    <row r="110" spans="3:242" ht="21.95" customHeight="1">
      <c r="C110" s="735" t="s">
        <v>2213</v>
      </c>
      <c r="D110" s="3643">
        <f>F110*D100</f>
        <v>628750</v>
      </c>
      <c r="E110" s="735">
        <v>73500</v>
      </c>
      <c r="F110" s="2186">
        <f>2350+165</f>
        <v>2515</v>
      </c>
      <c r="G110" s="748"/>
      <c r="H110" s="277">
        <v>2350</v>
      </c>
      <c r="I110" s="277">
        <v>165</v>
      </c>
      <c r="S110" s="286"/>
      <c r="T110" s="286"/>
      <c r="AF110" s="2174"/>
      <c r="AG110" s="2174"/>
      <c r="AJ110" s="7">
        <v>280</v>
      </c>
      <c r="AK110" s="280">
        <v>72</v>
      </c>
      <c r="AL110" s="280">
        <v>64</v>
      </c>
      <c r="AM110" s="280">
        <v>60</v>
      </c>
      <c r="AN110" s="280">
        <v>53</v>
      </c>
      <c r="AO110" s="280">
        <v>43</v>
      </c>
      <c r="AP110" s="280">
        <v>39</v>
      </c>
      <c r="AQ110" s="280">
        <v>34</v>
      </c>
      <c r="AR110" s="280">
        <v>31</v>
      </c>
      <c r="AS110" s="280">
        <v>30</v>
      </c>
      <c r="AT110" s="990">
        <v>27</v>
      </c>
      <c r="AV110" s="3649" t="e">
        <f>HLOOKUP(AW103,AK104:AT117,6,0)</f>
        <v>#N/A</v>
      </c>
      <c r="AW110" s="3654" t="e">
        <f t="shared" si="103"/>
        <v>#N/A</v>
      </c>
      <c r="AX110" s="2266">
        <v>280</v>
      </c>
      <c r="AY110" s="2179"/>
      <c r="BB110" s="2176"/>
      <c r="BC110" s="2176"/>
      <c r="BF110" s="7">
        <v>280</v>
      </c>
      <c r="BG110" s="280">
        <v>72</v>
      </c>
      <c r="BH110" s="280">
        <v>64</v>
      </c>
      <c r="BI110" s="280">
        <v>60</v>
      </c>
      <c r="BJ110" s="280">
        <v>53</v>
      </c>
      <c r="BK110" s="280">
        <v>43</v>
      </c>
      <c r="BL110" s="280">
        <v>39</v>
      </c>
      <c r="BM110" s="280">
        <v>34</v>
      </c>
      <c r="BN110" s="280">
        <v>31</v>
      </c>
      <c r="BO110" s="280">
        <v>30</v>
      </c>
      <c r="BP110" s="990">
        <v>27</v>
      </c>
      <c r="BR110" s="3649" t="e">
        <f>HLOOKUP(BS103,BG104:BP117,6,0)</f>
        <v>#N/A</v>
      </c>
      <c r="BS110" s="3654" t="e">
        <f t="shared" si="106"/>
        <v>#N/A</v>
      </c>
      <c r="BT110" s="2266">
        <v>280</v>
      </c>
      <c r="BU110" s="2179"/>
      <c r="BX110" s="2174"/>
      <c r="CA110" s="2266">
        <v>250</v>
      </c>
      <c r="CB110" s="280">
        <v>47.2</v>
      </c>
      <c r="CC110" s="280">
        <v>42.6</v>
      </c>
      <c r="CD110" s="280">
        <v>31.4</v>
      </c>
      <c r="CE110" s="280">
        <v>33.5</v>
      </c>
      <c r="CF110" s="280">
        <v>25.5</v>
      </c>
      <c r="CG110" s="280">
        <v>23.8</v>
      </c>
      <c r="CH110" s="280">
        <v>21.4</v>
      </c>
      <c r="CI110" s="280">
        <v>18.899999999999999</v>
      </c>
      <c r="CJ110" s="2240">
        <v>16.399999999999999</v>
      </c>
      <c r="CK110" s="2179"/>
      <c r="CM110" s="3649" t="e">
        <f>HLOOKUP(CN103,CB104:CJ117,6,0)</f>
        <v>#N/A</v>
      </c>
      <c r="CN110" s="3654" t="e">
        <f t="shared" si="104"/>
        <v>#N/A</v>
      </c>
      <c r="CO110" s="735">
        <v>250</v>
      </c>
      <c r="CP110" s="2179"/>
      <c r="CR110" s="2176"/>
      <c r="CS110" s="2176"/>
      <c r="CV110" s="2266">
        <v>250</v>
      </c>
      <c r="CW110" s="280">
        <v>47.2</v>
      </c>
      <c r="CX110" s="280">
        <v>42.6</v>
      </c>
      <c r="CY110" s="280">
        <v>31.4</v>
      </c>
      <c r="CZ110" s="280">
        <v>33.5</v>
      </c>
      <c r="DA110" s="280">
        <v>25.5</v>
      </c>
      <c r="DB110" s="280">
        <v>23.8</v>
      </c>
      <c r="DC110" s="280">
        <v>21.4</v>
      </c>
      <c r="DD110" s="280">
        <v>18.899999999999999</v>
      </c>
      <c r="DE110" s="2240">
        <v>16.399999999999999</v>
      </c>
      <c r="DF110" s="2179"/>
      <c r="DH110" s="3649" t="e">
        <f>HLOOKUP(DI103,CW104:DE117,6,0)</f>
        <v>#N/A</v>
      </c>
      <c r="DI110" s="3654" t="e">
        <f t="shared" si="105"/>
        <v>#N/A</v>
      </c>
      <c r="DJ110" s="735">
        <v>250</v>
      </c>
      <c r="DK110" s="2179"/>
      <c r="DX110" s="1"/>
      <c r="DZ110" s="735" t="s">
        <v>2213</v>
      </c>
      <c r="EA110" s="3643">
        <f>EC110*EA100</f>
        <v>628750</v>
      </c>
      <c r="EB110" s="735">
        <v>73500</v>
      </c>
      <c r="EC110" s="2186">
        <f>2350+165</f>
        <v>2515</v>
      </c>
      <c r="ED110" s="748"/>
      <c r="EE110" s="277">
        <v>2350</v>
      </c>
      <c r="EF110" s="277">
        <v>165</v>
      </c>
      <c r="EP110" s="286"/>
      <c r="EQ110" s="286"/>
      <c r="FC110" s="2174"/>
      <c r="FD110" s="2174"/>
      <c r="FG110" s="7">
        <v>250</v>
      </c>
      <c r="FH110" s="280">
        <v>52</v>
      </c>
      <c r="FI110" s="280">
        <v>46</v>
      </c>
      <c r="FJ110" s="280">
        <v>43</v>
      </c>
      <c r="FK110" s="280">
        <v>38</v>
      </c>
      <c r="FL110" s="280">
        <v>30</v>
      </c>
      <c r="FM110" s="280">
        <v>27</v>
      </c>
      <c r="FN110" s="280">
        <v>24</v>
      </c>
      <c r="FO110" s="280">
        <v>22</v>
      </c>
      <c r="FP110" s="280">
        <v>21</v>
      </c>
      <c r="FQ110" s="990">
        <v>19</v>
      </c>
      <c r="FS110" s="3649" t="e">
        <f>HLOOKUP(FT104,FH105:FQ118,5,0)</f>
        <v>#N/A</v>
      </c>
      <c r="FT110" s="3654" t="e">
        <f t="shared" si="107"/>
        <v>#N/A</v>
      </c>
      <c r="FU110" s="2266">
        <v>250</v>
      </c>
      <c r="FV110" s="2179"/>
      <c r="FY110" s="2176"/>
      <c r="FZ110" s="2176"/>
      <c r="GC110" s="7">
        <v>250</v>
      </c>
      <c r="GD110" s="280">
        <v>52</v>
      </c>
      <c r="GE110" s="280">
        <v>46</v>
      </c>
      <c r="GF110" s="280">
        <v>43</v>
      </c>
      <c r="GG110" s="280">
        <v>38</v>
      </c>
      <c r="GH110" s="280">
        <v>30</v>
      </c>
      <c r="GI110" s="280">
        <v>27</v>
      </c>
      <c r="GJ110" s="280">
        <v>24</v>
      </c>
      <c r="GK110" s="280">
        <v>22</v>
      </c>
      <c r="GL110" s="280">
        <v>21</v>
      </c>
      <c r="GM110" s="990">
        <v>19</v>
      </c>
      <c r="GO110" s="3649" t="e">
        <f>HLOOKUP(GP104,GD105:GM118,5,0)</f>
        <v>#N/A</v>
      </c>
      <c r="GP110" s="3654" t="e">
        <f t="shared" si="108"/>
        <v>#N/A</v>
      </c>
      <c r="GQ110" s="2266">
        <v>250</v>
      </c>
      <c r="GR110" s="2179"/>
      <c r="GU110" s="2174"/>
      <c r="GX110" s="2266">
        <v>225</v>
      </c>
      <c r="GY110" s="280">
        <v>32.9</v>
      </c>
      <c r="GZ110" s="280">
        <v>29.8</v>
      </c>
      <c r="HA110" s="280">
        <v>23.3</v>
      </c>
      <c r="HB110" s="280">
        <v>22.7</v>
      </c>
      <c r="HC110" s="280">
        <v>18.899999999999999</v>
      </c>
      <c r="HD110" s="280">
        <v>17.399999999999999</v>
      </c>
      <c r="HE110" s="280">
        <v>15.5</v>
      </c>
      <c r="HF110" s="280">
        <v>14</v>
      </c>
      <c r="HG110" s="2240">
        <v>11.1</v>
      </c>
      <c r="HH110" s="2179"/>
      <c r="HJ110" s="3649">
        <f>HLOOKUP(HK104,GY105:HG118,5,0)</f>
        <v>8.5399999999999991</v>
      </c>
      <c r="HK110" s="3654">
        <f t="shared" si="109"/>
        <v>11.1</v>
      </c>
      <c r="HL110" s="735">
        <v>225</v>
      </c>
      <c r="HM110" s="2179"/>
      <c r="HO110" s="2176"/>
      <c r="HP110" s="2176"/>
      <c r="HS110" s="2266">
        <v>225</v>
      </c>
      <c r="HT110" s="280">
        <v>32.9</v>
      </c>
      <c r="HU110" s="280">
        <v>29.8</v>
      </c>
      <c r="HV110" s="280">
        <v>23.3</v>
      </c>
      <c r="HW110" s="280">
        <v>22.7</v>
      </c>
      <c r="HX110" s="280">
        <v>18.899999999999999</v>
      </c>
      <c r="HY110" s="280">
        <v>17.399999999999999</v>
      </c>
      <c r="HZ110" s="280">
        <v>15.5</v>
      </c>
      <c r="IA110" s="280">
        <v>14</v>
      </c>
      <c r="IB110" s="2240">
        <v>11.1</v>
      </c>
      <c r="IC110" s="2179"/>
      <c r="IE110" s="3649">
        <f>HLOOKUP(IF104,HT105:IB118,5,0)</f>
        <v>8.74</v>
      </c>
      <c r="IF110" s="3654">
        <f t="shared" si="110"/>
        <v>14</v>
      </c>
      <c r="IG110" s="735">
        <v>225</v>
      </c>
      <c r="IH110" s="2179"/>
    </row>
    <row r="111" spans="3:242" ht="21.95" customHeight="1">
      <c r="C111" s="735" t="s">
        <v>2214</v>
      </c>
      <c r="D111" s="3643">
        <f>F111*D100</f>
        <v>1017500</v>
      </c>
      <c r="E111" s="280">
        <v>77175</v>
      </c>
      <c r="F111" s="2186">
        <f>3850+220</f>
        <v>4070</v>
      </c>
      <c r="G111" s="748"/>
      <c r="H111" s="277">
        <v>3850</v>
      </c>
      <c r="I111" s="277">
        <v>220</v>
      </c>
      <c r="S111" s="286"/>
      <c r="T111" s="286"/>
      <c r="AF111" s="2174"/>
      <c r="AG111" s="2174"/>
      <c r="AJ111" s="7">
        <v>315</v>
      </c>
      <c r="AK111" s="280">
        <v>105</v>
      </c>
      <c r="AL111" s="280">
        <v>95</v>
      </c>
      <c r="AM111" s="280">
        <v>87</v>
      </c>
      <c r="AN111" s="280">
        <v>77</v>
      </c>
      <c r="AO111" s="280">
        <v>69</v>
      </c>
      <c r="AP111" s="280">
        <v>61</v>
      </c>
      <c r="AQ111" s="280">
        <v>54</v>
      </c>
      <c r="AR111" s="280">
        <v>49</v>
      </c>
      <c r="AS111" s="280">
        <v>40</v>
      </c>
      <c r="AT111" s="990">
        <v>36</v>
      </c>
      <c r="AV111" s="3649" t="e">
        <f>HLOOKUP(AW103,AK104:AT117,7,0)</f>
        <v>#N/A</v>
      </c>
      <c r="AW111" s="3654" t="e">
        <f t="shared" si="103"/>
        <v>#N/A</v>
      </c>
      <c r="AX111" s="2266">
        <v>315</v>
      </c>
      <c r="AY111" s="2179"/>
      <c r="BB111" s="2176"/>
      <c r="BC111" s="2176"/>
      <c r="BF111" s="7">
        <v>315</v>
      </c>
      <c r="BG111" s="280">
        <v>105</v>
      </c>
      <c r="BH111" s="280">
        <v>95</v>
      </c>
      <c r="BI111" s="280">
        <v>87</v>
      </c>
      <c r="BJ111" s="280">
        <v>77</v>
      </c>
      <c r="BK111" s="280">
        <v>69</v>
      </c>
      <c r="BL111" s="280">
        <v>61</v>
      </c>
      <c r="BM111" s="280">
        <v>54</v>
      </c>
      <c r="BN111" s="280">
        <v>49</v>
      </c>
      <c r="BO111" s="280">
        <v>40</v>
      </c>
      <c r="BP111" s="990">
        <v>36</v>
      </c>
      <c r="BR111" s="3649" t="e">
        <f>HLOOKUP(BS103,BG104:BP117,7,0)</f>
        <v>#N/A</v>
      </c>
      <c r="BS111" s="3654" t="e">
        <f t="shared" si="106"/>
        <v>#N/A</v>
      </c>
      <c r="BT111" s="2266">
        <v>315</v>
      </c>
      <c r="BU111" s="2179"/>
      <c r="BX111" s="2174"/>
      <c r="CA111" s="2266">
        <v>280</v>
      </c>
      <c r="CB111" s="280">
        <v>61.5</v>
      </c>
      <c r="CC111" s="280">
        <v>54.7</v>
      </c>
      <c r="CD111" s="280">
        <v>47.7</v>
      </c>
      <c r="CE111" s="280">
        <v>45.7</v>
      </c>
      <c r="CF111" s="280">
        <v>38.9</v>
      </c>
      <c r="CG111" s="280">
        <v>36</v>
      </c>
      <c r="CH111" s="280">
        <v>32.5</v>
      </c>
      <c r="CI111" s="280">
        <v>29.3</v>
      </c>
      <c r="CJ111" s="2240">
        <v>21</v>
      </c>
      <c r="CK111" s="2179"/>
      <c r="CM111" s="3649" t="e">
        <f>HLOOKUP(CN103,CB104:CJ117,7,0)</f>
        <v>#N/A</v>
      </c>
      <c r="CN111" s="3654" t="e">
        <f t="shared" si="104"/>
        <v>#N/A</v>
      </c>
      <c r="CO111" s="735">
        <v>280</v>
      </c>
      <c r="CP111" s="2179"/>
      <c r="CR111" s="2176"/>
      <c r="CS111" s="2176"/>
      <c r="CV111" s="2266">
        <v>280</v>
      </c>
      <c r="CW111" s="280">
        <v>61.5</v>
      </c>
      <c r="CX111" s="280">
        <v>54.7</v>
      </c>
      <c r="CY111" s="280">
        <v>47.7</v>
      </c>
      <c r="CZ111" s="280">
        <v>45.7</v>
      </c>
      <c r="DA111" s="280">
        <v>38.9</v>
      </c>
      <c r="DB111" s="280">
        <v>36</v>
      </c>
      <c r="DC111" s="280">
        <v>32.5</v>
      </c>
      <c r="DD111" s="280">
        <v>29.3</v>
      </c>
      <c r="DE111" s="2240">
        <v>21</v>
      </c>
      <c r="DF111" s="2179"/>
      <c r="DH111" s="3649" t="e">
        <f>HLOOKUP(DI103,CW104:DE117,7,0)</f>
        <v>#N/A</v>
      </c>
      <c r="DI111" s="3654" t="e">
        <f t="shared" si="105"/>
        <v>#N/A</v>
      </c>
      <c r="DJ111" s="735">
        <v>280</v>
      </c>
      <c r="DK111" s="2179"/>
      <c r="DX111" s="1"/>
      <c r="DZ111" s="735" t="s">
        <v>2214</v>
      </c>
      <c r="EA111" s="3643">
        <f>EC111*EA100</f>
        <v>1017500</v>
      </c>
      <c r="EB111" s="280">
        <v>77175</v>
      </c>
      <c r="EC111" s="2186">
        <f>3850+220</f>
        <v>4070</v>
      </c>
      <c r="ED111" s="748"/>
      <c r="EE111" s="277">
        <v>3850</v>
      </c>
      <c r="EF111" s="277">
        <v>220</v>
      </c>
      <c r="EP111" s="286"/>
      <c r="EQ111" s="286"/>
      <c r="FC111" s="2174"/>
      <c r="FD111" s="2174"/>
      <c r="FG111" s="7">
        <v>280</v>
      </c>
      <c r="FH111" s="280">
        <v>72</v>
      </c>
      <c r="FI111" s="280">
        <v>64</v>
      </c>
      <c r="FJ111" s="280">
        <v>60</v>
      </c>
      <c r="FK111" s="280">
        <v>53</v>
      </c>
      <c r="FL111" s="280">
        <v>43</v>
      </c>
      <c r="FM111" s="280">
        <v>39</v>
      </c>
      <c r="FN111" s="280">
        <v>34</v>
      </c>
      <c r="FO111" s="280">
        <v>31</v>
      </c>
      <c r="FP111" s="280">
        <v>30</v>
      </c>
      <c r="FQ111" s="990">
        <v>27</v>
      </c>
      <c r="FS111" s="3649" t="e">
        <f>HLOOKUP(FT104,FH105:FQ118,6,0)</f>
        <v>#N/A</v>
      </c>
      <c r="FT111" s="3654" t="e">
        <f t="shared" si="107"/>
        <v>#N/A</v>
      </c>
      <c r="FU111" s="2266">
        <v>280</v>
      </c>
      <c r="FV111" s="2179"/>
      <c r="FY111" s="2176"/>
      <c r="FZ111" s="2176"/>
      <c r="GC111" s="7">
        <v>280</v>
      </c>
      <c r="GD111" s="280">
        <v>72</v>
      </c>
      <c r="GE111" s="280">
        <v>64</v>
      </c>
      <c r="GF111" s="280">
        <v>60</v>
      </c>
      <c r="GG111" s="280">
        <v>53</v>
      </c>
      <c r="GH111" s="280">
        <v>43</v>
      </c>
      <c r="GI111" s="280">
        <v>39</v>
      </c>
      <c r="GJ111" s="280">
        <v>34</v>
      </c>
      <c r="GK111" s="280">
        <v>31</v>
      </c>
      <c r="GL111" s="280">
        <v>30</v>
      </c>
      <c r="GM111" s="990">
        <v>27</v>
      </c>
      <c r="GO111" s="3649" t="e">
        <f>HLOOKUP(GP104,GD105:GM118,6,0)</f>
        <v>#N/A</v>
      </c>
      <c r="GP111" s="3654" t="e">
        <f t="shared" si="108"/>
        <v>#N/A</v>
      </c>
      <c r="GQ111" s="2266">
        <v>280</v>
      </c>
      <c r="GR111" s="2179"/>
      <c r="GU111" s="2174"/>
      <c r="GX111" s="2266">
        <v>250</v>
      </c>
      <c r="GY111" s="280">
        <v>47.2</v>
      </c>
      <c r="GZ111" s="280">
        <v>42.6</v>
      </c>
      <c r="HA111" s="280">
        <v>31.4</v>
      </c>
      <c r="HB111" s="280">
        <v>33.5</v>
      </c>
      <c r="HC111" s="280">
        <v>25.5</v>
      </c>
      <c r="HD111" s="280">
        <v>23.8</v>
      </c>
      <c r="HE111" s="280">
        <v>21.4</v>
      </c>
      <c r="HF111" s="280">
        <v>18.899999999999999</v>
      </c>
      <c r="HG111" s="2240">
        <v>16.399999999999999</v>
      </c>
      <c r="HH111" s="2179"/>
      <c r="HJ111" s="3649">
        <f>HLOOKUP(HK104,GY105:HG118,6,0)</f>
        <v>11.1</v>
      </c>
      <c r="HK111" s="3654">
        <f t="shared" si="109"/>
        <v>16.399999999999999</v>
      </c>
      <c r="HL111" s="735">
        <v>250</v>
      </c>
      <c r="HM111" s="2179"/>
      <c r="HO111" s="2176"/>
      <c r="HP111" s="2176"/>
      <c r="HS111" s="2266">
        <v>250</v>
      </c>
      <c r="HT111" s="280">
        <v>47.2</v>
      </c>
      <c r="HU111" s="280">
        <v>42.6</v>
      </c>
      <c r="HV111" s="280">
        <v>31.4</v>
      </c>
      <c r="HW111" s="280">
        <v>33.5</v>
      </c>
      <c r="HX111" s="280">
        <v>25.5</v>
      </c>
      <c r="HY111" s="280">
        <v>23.8</v>
      </c>
      <c r="HZ111" s="280">
        <v>21.4</v>
      </c>
      <c r="IA111" s="280">
        <v>18.899999999999999</v>
      </c>
      <c r="IB111" s="2240">
        <v>16.399999999999999</v>
      </c>
      <c r="IC111" s="2179"/>
      <c r="IE111" s="3649">
        <f>HLOOKUP(IF104,HT105:IB118,6,0)</f>
        <v>14</v>
      </c>
      <c r="IF111" s="3654">
        <f t="shared" si="110"/>
        <v>18.899999999999999</v>
      </c>
      <c r="IG111" s="735">
        <v>250</v>
      </c>
      <c r="IH111" s="2179"/>
    </row>
    <row r="112" spans="3:242" ht="21.95" customHeight="1">
      <c r="C112" s="735" t="s">
        <v>2215</v>
      </c>
      <c r="D112" s="3643">
        <f>F112*D100</f>
        <v>1402500</v>
      </c>
      <c r="E112" s="280">
        <v>81040</v>
      </c>
      <c r="F112" s="2186">
        <f>5300+310</f>
        <v>5610</v>
      </c>
      <c r="G112" s="748"/>
      <c r="H112" s="277">
        <v>5300</v>
      </c>
      <c r="I112" s="277">
        <v>310</v>
      </c>
      <c r="S112" s="286"/>
      <c r="T112" s="286"/>
      <c r="AF112" s="2174"/>
      <c r="AG112" s="2174"/>
      <c r="AJ112" s="7">
        <v>355</v>
      </c>
      <c r="AK112" s="280">
        <v>165</v>
      </c>
      <c r="AL112" s="280">
        <v>150</v>
      </c>
      <c r="AM112" s="280">
        <v>135</v>
      </c>
      <c r="AN112" s="280">
        <v>120</v>
      </c>
      <c r="AO112" s="280">
        <v>105</v>
      </c>
      <c r="AP112" s="280">
        <v>92</v>
      </c>
      <c r="AQ112" s="280">
        <v>82</v>
      </c>
      <c r="AR112" s="280">
        <v>74</v>
      </c>
      <c r="AS112" s="280">
        <v>63</v>
      </c>
      <c r="AT112" s="990">
        <v>57</v>
      </c>
      <c r="AV112" s="3649" t="e">
        <f>HLOOKUP(AW103,AK104:AT117,8,0)</f>
        <v>#N/A</v>
      </c>
      <c r="AW112" s="3654" t="e">
        <f t="shared" si="103"/>
        <v>#N/A</v>
      </c>
      <c r="AX112" s="2266">
        <v>355</v>
      </c>
      <c r="AY112" s="2179"/>
      <c r="BB112" s="2176"/>
      <c r="BC112" s="2176"/>
      <c r="BF112" s="7">
        <v>355</v>
      </c>
      <c r="BG112" s="280">
        <v>165</v>
      </c>
      <c r="BH112" s="280">
        <v>150</v>
      </c>
      <c r="BI112" s="280">
        <v>135</v>
      </c>
      <c r="BJ112" s="280">
        <v>120</v>
      </c>
      <c r="BK112" s="280">
        <v>105</v>
      </c>
      <c r="BL112" s="280">
        <v>92</v>
      </c>
      <c r="BM112" s="280">
        <v>82</v>
      </c>
      <c r="BN112" s="280">
        <v>74</v>
      </c>
      <c r="BO112" s="280">
        <v>63</v>
      </c>
      <c r="BP112" s="990">
        <v>57</v>
      </c>
      <c r="BR112" s="3649" t="e">
        <f>HLOOKUP(BS103,BG104:BP117,8,0)</f>
        <v>#N/A</v>
      </c>
      <c r="BS112" s="3654" t="e">
        <f t="shared" si="106"/>
        <v>#N/A</v>
      </c>
      <c r="BT112" s="2266">
        <v>355</v>
      </c>
      <c r="BU112" s="2179"/>
      <c r="BX112" s="2174"/>
      <c r="CA112" s="2266">
        <v>315</v>
      </c>
      <c r="CB112" s="280">
        <v>85.9</v>
      </c>
      <c r="CC112" s="280">
        <v>77.400000000000006</v>
      </c>
      <c r="CD112" s="280">
        <v>61.1</v>
      </c>
      <c r="CE112" s="280">
        <v>65.099999999999994</v>
      </c>
      <c r="CF112" s="280">
        <v>48.5</v>
      </c>
      <c r="CG112" s="280">
        <v>46.4</v>
      </c>
      <c r="CH112" s="280">
        <v>40.700000000000003</v>
      </c>
      <c r="CI112" s="280">
        <v>36.299999999999997</v>
      </c>
      <c r="CJ112" s="2240">
        <v>30.3</v>
      </c>
      <c r="CK112" s="2179"/>
      <c r="CM112" s="3649" t="e">
        <f>HLOOKUP(CN103,CB104:CJ117,8,0)</f>
        <v>#N/A</v>
      </c>
      <c r="CN112" s="3654" t="e">
        <f t="shared" si="104"/>
        <v>#N/A</v>
      </c>
      <c r="CO112" s="735">
        <v>315</v>
      </c>
      <c r="CP112" s="2179"/>
      <c r="CR112" s="2176"/>
      <c r="CS112" s="2176"/>
      <c r="CV112" s="2266">
        <v>315</v>
      </c>
      <c r="CW112" s="280">
        <v>85.9</v>
      </c>
      <c r="CX112" s="280">
        <v>77.400000000000006</v>
      </c>
      <c r="CY112" s="280">
        <v>61.1</v>
      </c>
      <c r="CZ112" s="280">
        <v>65.099999999999994</v>
      </c>
      <c r="DA112" s="280">
        <v>48.5</v>
      </c>
      <c r="DB112" s="280">
        <v>46.4</v>
      </c>
      <c r="DC112" s="280">
        <v>40.700000000000003</v>
      </c>
      <c r="DD112" s="280">
        <v>36.299999999999997</v>
      </c>
      <c r="DE112" s="2240">
        <v>30.3</v>
      </c>
      <c r="DF112" s="2179"/>
      <c r="DH112" s="3649" t="e">
        <f>HLOOKUP(DI103,CW104:DE117,8,0)</f>
        <v>#N/A</v>
      </c>
      <c r="DI112" s="3654" t="e">
        <f t="shared" si="105"/>
        <v>#N/A</v>
      </c>
      <c r="DJ112" s="735">
        <v>315</v>
      </c>
      <c r="DK112" s="2179"/>
      <c r="DX112" s="1"/>
      <c r="DZ112" s="735" t="s">
        <v>2215</v>
      </c>
      <c r="EA112" s="3643">
        <f>EC112*EA100</f>
        <v>1402500</v>
      </c>
      <c r="EB112" s="280">
        <v>81040</v>
      </c>
      <c r="EC112" s="2186">
        <f>5300+310</f>
        <v>5610</v>
      </c>
      <c r="ED112" s="748"/>
      <c r="EE112" s="277">
        <v>5300</v>
      </c>
      <c r="EF112" s="277">
        <v>310</v>
      </c>
      <c r="EP112" s="286"/>
      <c r="EQ112" s="286"/>
      <c r="FC112" s="2174"/>
      <c r="FD112" s="2174"/>
      <c r="FG112" s="7">
        <v>315</v>
      </c>
      <c r="FH112" s="280">
        <v>105</v>
      </c>
      <c r="FI112" s="280">
        <v>95</v>
      </c>
      <c r="FJ112" s="280">
        <v>87</v>
      </c>
      <c r="FK112" s="280">
        <v>77</v>
      </c>
      <c r="FL112" s="280">
        <v>69</v>
      </c>
      <c r="FM112" s="280">
        <v>61</v>
      </c>
      <c r="FN112" s="280">
        <v>54</v>
      </c>
      <c r="FO112" s="280">
        <v>49</v>
      </c>
      <c r="FP112" s="280">
        <v>40</v>
      </c>
      <c r="FQ112" s="990">
        <v>36</v>
      </c>
      <c r="FS112" s="3649" t="e">
        <f>HLOOKUP(FT104,FH105:FQ118,7,0)</f>
        <v>#N/A</v>
      </c>
      <c r="FT112" s="3654" t="e">
        <f t="shared" si="107"/>
        <v>#N/A</v>
      </c>
      <c r="FU112" s="2266">
        <v>315</v>
      </c>
      <c r="FV112" s="2179"/>
      <c r="FY112" s="2176"/>
      <c r="FZ112" s="2176"/>
      <c r="GC112" s="7">
        <v>315</v>
      </c>
      <c r="GD112" s="280">
        <v>105</v>
      </c>
      <c r="GE112" s="280">
        <v>95</v>
      </c>
      <c r="GF112" s="280">
        <v>87</v>
      </c>
      <c r="GG112" s="280">
        <v>77</v>
      </c>
      <c r="GH112" s="280">
        <v>69</v>
      </c>
      <c r="GI112" s="280">
        <v>61</v>
      </c>
      <c r="GJ112" s="280">
        <v>54</v>
      </c>
      <c r="GK112" s="280">
        <v>49</v>
      </c>
      <c r="GL112" s="280">
        <v>40</v>
      </c>
      <c r="GM112" s="990">
        <v>36</v>
      </c>
      <c r="GO112" s="3649" t="e">
        <f>HLOOKUP(GP104,GD105:GM118,7,0)</f>
        <v>#N/A</v>
      </c>
      <c r="GP112" s="3654" t="e">
        <f t="shared" si="108"/>
        <v>#N/A</v>
      </c>
      <c r="GQ112" s="2266">
        <v>315</v>
      </c>
      <c r="GR112" s="2179"/>
      <c r="GU112" s="2174"/>
      <c r="GX112" s="2266">
        <v>280</v>
      </c>
      <c r="GY112" s="280">
        <v>61.5</v>
      </c>
      <c r="GZ112" s="280">
        <v>54.7</v>
      </c>
      <c r="HA112" s="280">
        <v>47.7</v>
      </c>
      <c r="HB112" s="280">
        <v>45.7</v>
      </c>
      <c r="HC112" s="280">
        <v>38.9</v>
      </c>
      <c r="HD112" s="280">
        <v>36</v>
      </c>
      <c r="HE112" s="280">
        <v>32.5</v>
      </c>
      <c r="HF112" s="280">
        <v>29.3</v>
      </c>
      <c r="HG112" s="2240">
        <v>21</v>
      </c>
      <c r="HH112" s="2179"/>
      <c r="HJ112" s="3649">
        <f>HLOOKUP(HK104,GY105:HG118,7,0)</f>
        <v>16.399999999999999</v>
      </c>
      <c r="HK112" s="3654">
        <f t="shared" si="109"/>
        <v>21</v>
      </c>
      <c r="HL112" s="735">
        <v>280</v>
      </c>
      <c r="HM112" s="2179"/>
      <c r="HO112" s="2176"/>
      <c r="HP112" s="2176"/>
      <c r="HS112" s="2266">
        <v>280</v>
      </c>
      <c r="HT112" s="280">
        <v>61.5</v>
      </c>
      <c r="HU112" s="280">
        <v>54.7</v>
      </c>
      <c r="HV112" s="280">
        <v>47.7</v>
      </c>
      <c r="HW112" s="280">
        <v>45.7</v>
      </c>
      <c r="HX112" s="280">
        <v>38.9</v>
      </c>
      <c r="HY112" s="280">
        <v>36</v>
      </c>
      <c r="HZ112" s="280">
        <v>32.5</v>
      </c>
      <c r="IA112" s="280">
        <v>29.3</v>
      </c>
      <c r="IB112" s="2240">
        <v>21</v>
      </c>
      <c r="IC112" s="2179"/>
      <c r="IE112" s="3649">
        <f>HLOOKUP(IF104,HT105:IB118,7,0)</f>
        <v>18.899999999999999</v>
      </c>
      <c r="IF112" s="3654">
        <f t="shared" si="110"/>
        <v>29.3</v>
      </c>
      <c r="IG112" s="735">
        <v>280</v>
      </c>
      <c r="IH112" s="2179"/>
    </row>
    <row r="113" spans="3:242" ht="21.95" customHeight="1">
      <c r="C113" s="735" t="s">
        <v>2216</v>
      </c>
      <c r="D113" s="3643">
        <f>F113*D100</f>
        <v>1925000</v>
      </c>
      <c r="E113" s="280">
        <v>85090</v>
      </c>
      <c r="F113" s="2186">
        <f>7250+450</f>
        <v>7700</v>
      </c>
      <c r="G113" s="748"/>
      <c r="H113" s="277">
        <v>7250</v>
      </c>
      <c r="I113" s="277">
        <v>450</v>
      </c>
      <c r="S113" s="286"/>
      <c r="T113" s="286"/>
      <c r="AF113" s="2174"/>
      <c r="AG113" s="2174"/>
      <c r="AJ113" s="7">
        <v>400</v>
      </c>
      <c r="AK113" s="280">
        <v>205</v>
      </c>
      <c r="AL113" s="280">
        <v>180</v>
      </c>
      <c r="AM113" s="280">
        <v>165</v>
      </c>
      <c r="AN113" s="280">
        <v>145</v>
      </c>
      <c r="AO113" s="280">
        <v>130</v>
      </c>
      <c r="AP113" s="280">
        <v>115</v>
      </c>
      <c r="AQ113" s="280">
        <v>100</v>
      </c>
      <c r="AR113" s="280">
        <v>92</v>
      </c>
      <c r="AS113" s="280">
        <v>86</v>
      </c>
      <c r="AT113" s="990">
        <v>78</v>
      </c>
      <c r="AV113" s="3649" t="e">
        <f>HLOOKUP(AW103,AK104:AT117,9,0)</f>
        <v>#N/A</v>
      </c>
      <c r="AW113" s="3654" t="e">
        <f t="shared" si="103"/>
        <v>#N/A</v>
      </c>
      <c r="AX113" s="2266">
        <v>400</v>
      </c>
      <c r="AY113" s="2179"/>
      <c r="BB113" s="2176"/>
      <c r="BC113" s="2176"/>
      <c r="BF113" s="7">
        <v>400</v>
      </c>
      <c r="BG113" s="280">
        <v>205</v>
      </c>
      <c r="BH113" s="280">
        <v>180</v>
      </c>
      <c r="BI113" s="280">
        <v>165</v>
      </c>
      <c r="BJ113" s="280">
        <v>145</v>
      </c>
      <c r="BK113" s="280">
        <v>130</v>
      </c>
      <c r="BL113" s="280">
        <v>115</v>
      </c>
      <c r="BM113" s="280">
        <v>100</v>
      </c>
      <c r="BN113" s="280">
        <v>92</v>
      </c>
      <c r="BO113" s="280">
        <v>86</v>
      </c>
      <c r="BP113" s="990">
        <v>78</v>
      </c>
      <c r="BR113" s="3649" t="e">
        <f>HLOOKUP(BS103,BG104:BP117,9,0)</f>
        <v>#N/A</v>
      </c>
      <c r="BS113" s="3654" t="e">
        <f t="shared" si="106"/>
        <v>#N/A</v>
      </c>
      <c r="BT113" s="2266">
        <v>400</v>
      </c>
      <c r="BU113" s="2179"/>
      <c r="BX113" s="2174"/>
      <c r="CA113" s="2266">
        <v>355</v>
      </c>
      <c r="CB113" s="280">
        <v>106</v>
      </c>
      <c r="CC113" s="280">
        <v>99.2</v>
      </c>
      <c r="CD113" s="280">
        <v>92.2</v>
      </c>
      <c r="CE113" s="280">
        <v>79.099999999999994</v>
      </c>
      <c r="CF113" s="280">
        <v>79.3</v>
      </c>
      <c r="CG113" s="280">
        <v>70.2</v>
      </c>
      <c r="CH113" s="280">
        <v>63.2</v>
      </c>
      <c r="CI113" s="280">
        <v>58.1</v>
      </c>
      <c r="CJ113" s="2240">
        <v>41.1</v>
      </c>
      <c r="CK113" s="2179"/>
      <c r="CM113" s="3649" t="e">
        <f>HLOOKUP(CN103,CB104:CJ117,9,0)</f>
        <v>#N/A</v>
      </c>
      <c r="CN113" s="3654" t="e">
        <f t="shared" si="104"/>
        <v>#N/A</v>
      </c>
      <c r="CO113" s="735">
        <v>355</v>
      </c>
      <c r="CP113" s="2179"/>
      <c r="CR113" s="2176"/>
      <c r="CS113" s="2176"/>
      <c r="CV113" s="2266">
        <v>355</v>
      </c>
      <c r="CW113" s="280">
        <v>106</v>
      </c>
      <c r="CX113" s="280">
        <v>99.2</v>
      </c>
      <c r="CY113" s="280">
        <v>92.2</v>
      </c>
      <c r="CZ113" s="280">
        <v>79.099999999999994</v>
      </c>
      <c r="DA113" s="280">
        <v>79.3</v>
      </c>
      <c r="DB113" s="280">
        <v>70.2</v>
      </c>
      <c r="DC113" s="280">
        <v>63.2</v>
      </c>
      <c r="DD113" s="280">
        <v>58.1</v>
      </c>
      <c r="DE113" s="2240">
        <v>41.1</v>
      </c>
      <c r="DF113" s="2179"/>
      <c r="DH113" s="3649" t="e">
        <f>HLOOKUP(DI103,CW104:DE117,9,0)</f>
        <v>#N/A</v>
      </c>
      <c r="DI113" s="3654" t="e">
        <f t="shared" si="105"/>
        <v>#N/A</v>
      </c>
      <c r="DJ113" s="735">
        <v>355</v>
      </c>
      <c r="DK113" s="2179"/>
      <c r="DX113" s="1"/>
      <c r="DZ113" s="735" t="s">
        <v>2216</v>
      </c>
      <c r="EA113" s="3643">
        <f>EC113*EA100</f>
        <v>1925000</v>
      </c>
      <c r="EB113" s="280">
        <v>85090</v>
      </c>
      <c r="EC113" s="2186">
        <f>7250+450</f>
        <v>7700</v>
      </c>
      <c r="ED113" s="748"/>
      <c r="EE113" s="277">
        <v>7250</v>
      </c>
      <c r="EF113" s="277">
        <v>450</v>
      </c>
      <c r="EP113" s="286"/>
      <c r="EQ113" s="286"/>
      <c r="FC113" s="2174"/>
      <c r="FD113" s="2174"/>
      <c r="FG113" s="7">
        <v>355</v>
      </c>
      <c r="FH113" s="280">
        <v>165</v>
      </c>
      <c r="FI113" s="280">
        <v>150</v>
      </c>
      <c r="FJ113" s="280">
        <v>135</v>
      </c>
      <c r="FK113" s="280">
        <v>120</v>
      </c>
      <c r="FL113" s="280">
        <v>105</v>
      </c>
      <c r="FM113" s="280">
        <v>92</v>
      </c>
      <c r="FN113" s="280">
        <v>82</v>
      </c>
      <c r="FO113" s="280">
        <v>74</v>
      </c>
      <c r="FP113" s="280">
        <v>63</v>
      </c>
      <c r="FQ113" s="990">
        <v>57</v>
      </c>
      <c r="FS113" s="3649" t="e">
        <f>HLOOKUP(FT104,FH105:FQ118,8,0)</f>
        <v>#N/A</v>
      </c>
      <c r="FT113" s="3654" t="e">
        <f t="shared" si="107"/>
        <v>#N/A</v>
      </c>
      <c r="FU113" s="2266">
        <v>355</v>
      </c>
      <c r="FV113" s="2179"/>
      <c r="FY113" s="2176"/>
      <c r="FZ113" s="2176"/>
      <c r="GC113" s="7">
        <v>355</v>
      </c>
      <c r="GD113" s="280">
        <v>165</v>
      </c>
      <c r="GE113" s="280">
        <v>150</v>
      </c>
      <c r="GF113" s="280">
        <v>135</v>
      </c>
      <c r="GG113" s="280">
        <v>120</v>
      </c>
      <c r="GH113" s="280">
        <v>105</v>
      </c>
      <c r="GI113" s="280">
        <v>92</v>
      </c>
      <c r="GJ113" s="280">
        <v>82</v>
      </c>
      <c r="GK113" s="280">
        <v>74</v>
      </c>
      <c r="GL113" s="280">
        <v>63</v>
      </c>
      <c r="GM113" s="990">
        <v>57</v>
      </c>
      <c r="GO113" s="3649" t="e">
        <f>HLOOKUP(GP104,GD105:GM118,8,0)</f>
        <v>#N/A</v>
      </c>
      <c r="GP113" s="3654" t="e">
        <f t="shared" si="108"/>
        <v>#N/A</v>
      </c>
      <c r="GQ113" s="2266">
        <v>355</v>
      </c>
      <c r="GR113" s="2179"/>
      <c r="GU113" s="2174"/>
      <c r="GX113" s="2266">
        <v>315</v>
      </c>
      <c r="GY113" s="280">
        <v>85.9</v>
      </c>
      <c r="GZ113" s="280">
        <v>77.400000000000006</v>
      </c>
      <c r="HA113" s="280">
        <v>61.1</v>
      </c>
      <c r="HB113" s="280">
        <v>65.099999999999994</v>
      </c>
      <c r="HC113" s="280">
        <v>48.5</v>
      </c>
      <c r="HD113" s="280">
        <v>46.4</v>
      </c>
      <c r="HE113" s="280">
        <v>40.700000000000003</v>
      </c>
      <c r="HF113" s="280">
        <v>36.299999999999997</v>
      </c>
      <c r="HG113" s="2240">
        <v>30.3</v>
      </c>
      <c r="HH113" s="2179"/>
      <c r="HJ113" s="3649">
        <f>HLOOKUP(HK104,GY105:HG118,8,0)</f>
        <v>21</v>
      </c>
      <c r="HK113" s="3654">
        <f t="shared" si="109"/>
        <v>30.3</v>
      </c>
      <c r="HL113" s="735">
        <v>315</v>
      </c>
      <c r="HM113" s="2179"/>
      <c r="HO113" s="2176"/>
      <c r="HP113" s="2176"/>
      <c r="HS113" s="2266">
        <v>315</v>
      </c>
      <c r="HT113" s="280">
        <v>85.9</v>
      </c>
      <c r="HU113" s="280">
        <v>77.400000000000006</v>
      </c>
      <c r="HV113" s="280">
        <v>61.1</v>
      </c>
      <c r="HW113" s="280">
        <v>65.099999999999994</v>
      </c>
      <c r="HX113" s="280">
        <v>48.5</v>
      </c>
      <c r="HY113" s="280">
        <v>46.4</v>
      </c>
      <c r="HZ113" s="280">
        <v>40.700000000000003</v>
      </c>
      <c r="IA113" s="280">
        <v>36.299999999999997</v>
      </c>
      <c r="IB113" s="2240">
        <v>30.3</v>
      </c>
      <c r="IC113" s="2179"/>
      <c r="IE113" s="3649">
        <f>HLOOKUP(IF104,HT105:IB118,8,0)</f>
        <v>29.3</v>
      </c>
      <c r="IF113" s="3654">
        <f t="shared" si="110"/>
        <v>36.299999999999997</v>
      </c>
      <c r="IG113" s="735">
        <v>315</v>
      </c>
      <c r="IH113" s="2179"/>
    </row>
    <row r="114" spans="3:242" ht="21.95" customHeight="1">
      <c r="C114" s="735" t="s">
        <v>2217</v>
      </c>
      <c r="D114" s="3643">
        <f>F114*D100</f>
        <v>2692500</v>
      </c>
      <c r="E114" s="280">
        <v>89340</v>
      </c>
      <c r="F114" s="2186">
        <f>10100+670</f>
        <v>10770</v>
      </c>
      <c r="G114" s="748"/>
      <c r="H114" s="277">
        <v>10100</v>
      </c>
      <c r="I114" s="277">
        <v>670</v>
      </c>
      <c r="S114" s="286"/>
      <c r="T114" s="286"/>
      <c r="AF114" s="2174"/>
      <c r="AG114" s="2174"/>
      <c r="AJ114" s="7">
        <v>450</v>
      </c>
      <c r="AK114" s="280">
        <v>300</v>
      </c>
      <c r="AL114" s="280">
        <v>265</v>
      </c>
      <c r="AM114" s="280">
        <v>240</v>
      </c>
      <c r="AN114" s="280">
        <v>215</v>
      </c>
      <c r="AO114" s="280">
        <v>190</v>
      </c>
      <c r="AP114" s="280">
        <v>170</v>
      </c>
      <c r="AQ114" s="280">
        <v>150</v>
      </c>
      <c r="AR114" s="280">
        <v>135</v>
      </c>
      <c r="AS114" s="280">
        <v>115</v>
      </c>
      <c r="AT114" s="990">
        <v>105</v>
      </c>
      <c r="AV114" s="3649" t="e">
        <f>HLOOKUP(AW103,AK104:AT117,10,0)</f>
        <v>#N/A</v>
      </c>
      <c r="AW114" s="3654" t="e">
        <f t="shared" si="103"/>
        <v>#N/A</v>
      </c>
      <c r="AX114" s="2266">
        <v>450</v>
      </c>
      <c r="AY114" s="2179"/>
      <c r="BB114" s="2176"/>
      <c r="BC114" s="2176"/>
      <c r="BF114" s="7">
        <v>450</v>
      </c>
      <c r="BG114" s="280">
        <v>300</v>
      </c>
      <c r="BH114" s="280">
        <v>265</v>
      </c>
      <c r="BI114" s="280">
        <v>240</v>
      </c>
      <c r="BJ114" s="280">
        <v>215</v>
      </c>
      <c r="BK114" s="280">
        <v>190</v>
      </c>
      <c r="BL114" s="280">
        <v>170</v>
      </c>
      <c r="BM114" s="280">
        <v>150</v>
      </c>
      <c r="BN114" s="280">
        <v>135</v>
      </c>
      <c r="BO114" s="280">
        <v>115</v>
      </c>
      <c r="BP114" s="990">
        <v>105</v>
      </c>
      <c r="BR114" s="3649" t="e">
        <f>HLOOKUP(BS103,BG104:BP117,10,0)</f>
        <v>#N/A</v>
      </c>
      <c r="BS114" s="3654" t="e">
        <f t="shared" si="106"/>
        <v>#N/A</v>
      </c>
      <c r="BT114" s="2266">
        <v>450</v>
      </c>
      <c r="BU114" s="2179"/>
      <c r="BX114" s="2174"/>
      <c r="CA114" s="2266">
        <v>400</v>
      </c>
      <c r="CB114" s="280">
        <v>160</v>
      </c>
      <c r="CC114" s="280">
        <v>144</v>
      </c>
      <c r="CD114" s="280">
        <v>130</v>
      </c>
      <c r="CE114" s="280">
        <v>118</v>
      </c>
      <c r="CF114" s="280">
        <v>103</v>
      </c>
      <c r="CG114" s="280">
        <v>95.6</v>
      </c>
      <c r="CH114" s="280">
        <v>85</v>
      </c>
      <c r="CI114" s="280">
        <v>76.599999999999994</v>
      </c>
      <c r="CJ114" s="2240">
        <v>66</v>
      </c>
      <c r="CK114" s="2179"/>
      <c r="CM114" s="3649" t="e">
        <f>HLOOKUP(CN103,CB104:CJ117,10,0)</f>
        <v>#N/A</v>
      </c>
      <c r="CN114" s="3654" t="e">
        <f t="shared" si="104"/>
        <v>#N/A</v>
      </c>
      <c r="CO114" s="735">
        <v>400</v>
      </c>
      <c r="CP114" s="2179"/>
      <c r="CR114" s="2176"/>
      <c r="CS114" s="2176"/>
      <c r="CV114" s="2266">
        <v>400</v>
      </c>
      <c r="CW114" s="280">
        <v>160</v>
      </c>
      <c r="CX114" s="280">
        <v>144</v>
      </c>
      <c r="CY114" s="280">
        <v>130</v>
      </c>
      <c r="CZ114" s="280">
        <v>118</v>
      </c>
      <c r="DA114" s="280">
        <v>103</v>
      </c>
      <c r="DB114" s="280">
        <v>95.6</v>
      </c>
      <c r="DC114" s="280">
        <v>85</v>
      </c>
      <c r="DD114" s="280">
        <v>76.599999999999994</v>
      </c>
      <c r="DE114" s="2240">
        <v>66</v>
      </c>
      <c r="DF114" s="2179"/>
      <c r="DH114" s="3649" t="e">
        <f>HLOOKUP(DI103,CW104:DE117,10,0)</f>
        <v>#N/A</v>
      </c>
      <c r="DI114" s="3654" t="e">
        <f t="shared" si="105"/>
        <v>#N/A</v>
      </c>
      <c r="DJ114" s="735">
        <v>400</v>
      </c>
      <c r="DK114" s="2179"/>
      <c r="DX114" s="1"/>
      <c r="DZ114" s="735" t="s">
        <v>2217</v>
      </c>
      <c r="EA114" s="3643">
        <f>EC114*EA100</f>
        <v>2692500</v>
      </c>
      <c r="EB114" s="280">
        <v>89340</v>
      </c>
      <c r="EC114" s="2186">
        <f>10100+670</f>
        <v>10770</v>
      </c>
      <c r="ED114" s="748"/>
      <c r="EE114" s="277">
        <v>10100</v>
      </c>
      <c r="EF114" s="277">
        <v>670</v>
      </c>
      <c r="EP114" s="286"/>
      <c r="EQ114" s="286"/>
      <c r="FC114" s="2174"/>
      <c r="FD114" s="2174"/>
      <c r="FG114" s="7">
        <v>400</v>
      </c>
      <c r="FH114" s="280">
        <v>205</v>
      </c>
      <c r="FI114" s="280">
        <v>180</v>
      </c>
      <c r="FJ114" s="280">
        <v>165</v>
      </c>
      <c r="FK114" s="280">
        <v>145</v>
      </c>
      <c r="FL114" s="280">
        <v>130</v>
      </c>
      <c r="FM114" s="280">
        <v>115</v>
      </c>
      <c r="FN114" s="280">
        <v>100</v>
      </c>
      <c r="FO114" s="280">
        <v>92</v>
      </c>
      <c r="FP114" s="280">
        <v>86</v>
      </c>
      <c r="FQ114" s="990">
        <v>78</v>
      </c>
      <c r="FS114" s="3649" t="e">
        <f>HLOOKUP(FT104,FH105:FQ118,9,0)</f>
        <v>#N/A</v>
      </c>
      <c r="FT114" s="3654" t="e">
        <f t="shared" si="107"/>
        <v>#N/A</v>
      </c>
      <c r="FU114" s="2266">
        <v>400</v>
      </c>
      <c r="FV114" s="2179"/>
      <c r="FY114" s="2176"/>
      <c r="FZ114" s="2176"/>
      <c r="GC114" s="7">
        <v>400</v>
      </c>
      <c r="GD114" s="280">
        <v>205</v>
      </c>
      <c r="GE114" s="280">
        <v>180</v>
      </c>
      <c r="GF114" s="280">
        <v>165</v>
      </c>
      <c r="GG114" s="280">
        <v>145</v>
      </c>
      <c r="GH114" s="280">
        <v>130</v>
      </c>
      <c r="GI114" s="280">
        <v>115</v>
      </c>
      <c r="GJ114" s="280">
        <v>100</v>
      </c>
      <c r="GK114" s="280">
        <v>92</v>
      </c>
      <c r="GL114" s="280">
        <v>86</v>
      </c>
      <c r="GM114" s="990">
        <v>78</v>
      </c>
      <c r="GO114" s="3649" t="e">
        <f>HLOOKUP(GP104,GD105:GM118,9,0)</f>
        <v>#N/A</v>
      </c>
      <c r="GP114" s="3654" t="e">
        <f t="shared" si="108"/>
        <v>#N/A</v>
      </c>
      <c r="GQ114" s="2266">
        <v>400</v>
      </c>
      <c r="GR114" s="2179"/>
      <c r="GU114" s="2174"/>
      <c r="GX114" s="2266">
        <v>355</v>
      </c>
      <c r="GY114" s="280">
        <v>106</v>
      </c>
      <c r="GZ114" s="280">
        <v>99.2</v>
      </c>
      <c r="HA114" s="280">
        <v>92.2</v>
      </c>
      <c r="HB114" s="280">
        <v>79.099999999999994</v>
      </c>
      <c r="HC114" s="280">
        <v>79.3</v>
      </c>
      <c r="HD114" s="280">
        <v>70.2</v>
      </c>
      <c r="HE114" s="280">
        <v>63.2</v>
      </c>
      <c r="HF114" s="280">
        <v>58.1</v>
      </c>
      <c r="HG114" s="2240">
        <v>41.1</v>
      </c>
      <c r="HH114" s="2179"/>
      <c r="HJ114" s="3649">
        <f>HLOOKUP(HK104,GY105:HG118,9,0)</f>
        <v>30.3</v>
      </c>
      <c r="HK114" s="3654">
        <f t="shared" si="109"/>
        <v>41.1</v>
      </c>
      <c r="HL114" s="735">
        <v>355</v>
      </c>
      <c r="HM114" s="2179"/>
      <c r="HO114" s="2176"/>
      <c r="HP114" s="2176"/>
      <c r="HS114" s="2266">
        <v>355</v>
      </c>
      <c r="HT114" s="280">
        <v>106</v>
      </c>
      <c r="HU114" s="280">
        <v>99.2</v>
      </c>
      <c r="HV114" s="280">
        <v>92.2</v>
      </c>
      <c r="HW114" s="280">
        <v>79.099999999999994</v>
      </c>
      <c r="HX114" s="280">
        <v>79.3</v>
      </c>
      <c r="HY114" s="280">
        <v>70.2</v>
      </c>
      <c r="HZ114" s="280">
        <v>63.2</v>
      </c>
      <c r="IA114" s="280">
        <v>58.1</v>
      </c>
      <c r="IB114" s="2240">
        <v>41.1</v>
      </c>
      <c r="IC114" s="2179"/>
      <c r="IE114" s="3649">
        <f>HLOOKUP(IF104,HT105:IB118,9,0)</f>
        <v>36.299999999999997</v>
      </c>
      <c r="IF114" s="3654">
        <f t="shared" si="110"/>
        <v>58.1</v>
      </c>
      <c r="IG114" s="735">
        <v>355</v>
      </c>
      <c r="IH114" s="2179"/>
    </row>
    <row r="115" spans="3:242" ht="21.95" customHeight="1">
      <c r="C115" s="280" t="s">
        <v>2218</v>
      </c>
      <c r="D115" s="2186">
        <f>F115*D100</f>
        <v>3750000</v>
      </c>
      <c r="E115" s="2274">
        <v>93800</v>
      </c>
      <c r="F115" s="2186">
        <f>14100+900</f>
        <v>15000</v>
      </c>
      <c r="G115" s="280"/>
      <c r="H115" s="277">
        <v>14100</v>
      </c>
      <c r="I115" s="277">
        <v>900</v>
      </c>
      <c r="S115" s="286"/>
      <c r="T115" s="286"/>
      <c r="AF115" s="2174"/>
      <c r="AG115" s="2174"/>
      <c r="AJ115" s="7">
        <v>500</v>
      </c>
      <c r="AK115" s="280">
        <v>465</v>
      </c>
      <c r="AL115" s="280">
        <v>455</v>
      </c>
      <c r="AM115" s="280">
        <v>365</v>
      </c>
      <c r="AN115" s="280">
        <v>340</v>
      </c>
      <c r="AO115" s="280">
        <v>300</v>
      </c>
      <c r="AP115" s="280">
        <v>270</v>
      </c>
      <c r="AQ115" s="280">
        <v>240</v>
      </c>
      <c r="AR115" s="280">
        <v>210</v>
      </c>
      <c r="AS115" s="280">
        <v>190</v>
      </c>
      <c r="AT115" s="990">
        <v>170</v>
      </c>
      <c r="AV115" s="3649" t="e">
        <f>HLOOKUP(AW103,AK104:AT117,11,0)</f>
        <v>#N/A</v>
      </c>
      <c r="AW115" s="3654" t="e">
        <f t="shared" si="103"/>
        <v>#N/A</v>
      </c>
      <c r="AX115" s="2266">
        <v>500</v>
      </c>
      <c r="AY115" s="2179"/>
      <c r="BB115" s="2176"/>
      <c r="BC115" s="2176"/>
      <c r="BF115" s="7">
        <v>500</v>
      </c>
      <c r="BG115" s="280">
        <v>465</v>
      </c>
      <c r="BH115" s="280">
        <v>455</v>
      </c>
      <c r="BI115" s="280">
        <v>365</v>
      </c>
      <c r="BJ115" s="280">
        <v>340</v>
      </c>
      <c r="BK115" s="280">
        <v>300</v>
      </c>
      <c r="BL115" s="280">
        <v>270</v>
      </c>
      <c r="BM115" s="280">
        <v>240</v>
      </c>
      <c r="BN115" s="280">
        <v>210</v>
      </c>
      <c r="BO115" s="280">
        <v>190</v>
      </c>
      <c r="BP115" s="990">
        <v>170</v>
      </c>
      <c r="BR115" s="3649" t="e">
        <f>HLOOKUP(BS103,BG104:BP117,11,0)</f>
        <v>#N/A</v>
      </c>
      <c r="BS115" s="3654" t="e">
        <f t="shared" si="106"/>
        <v>#N/A</v>
      </c>
      <c r="BT115" s="2266">
        <v>500</v>
      </c>
      <c r="BU115" s="2179"/>
      <c r="BX115" s="2174"/>
      <c r="CA115" s="2266">
        <v>450</v>
      </c>
      <c r="CB115" s="280">
        <v>231</v>
      </c>
      <c r="CC115" s="280">
        <v>210</v>
      </c>
      <c r="CD115" s="280">
        <v>182</v>
      </c>
      <c r="CE115" s="280">
        <v>171</v>
      </c>
      <c r="CF115" s="280">
        <v>152</v>
      </c>
      <c r="CG115" s="280">
        <v>134</v>
      </c>
      <c r="CH115" s="280">
        <v>124</v>
      </c>
      <c r="CI115" s="280">
        <v>113</v>
      </c>
      <c r="CJ115" s="2240">
        <v>86.9</v>
      </c>
      <c r="CK115" s="2179"/>
      <c r="CM115" s="3649" t="e">
        <f>HLOOKUP(CN103,CB104:CJ117,11,0)</f>
        <v>#N/A</v>
      </c>
      <c r="CN115" s="3654" t="e">
        <f t="shared" si="104"/>
        <v>#N/A</v>
      </c>
      <c r="CO115" s="735">
        <v>450</v>
      </c>
      <c r="CP115" s="2179"/>
      <c r="CR115" s="2176"/>
      <c r="CS115" s="2176"/>
      <c r="CV115" s="2266">
        <v>450</v>
      </c>
      <c r="CW115" s="280">
        <v>231</v>
      </c>
      <c r="CX115" s="280">
        <v>210</v>
      </c>
      <c r="CY115" s="280">
        <v>182</v>
      </c>
      <c r="CZ115" s="280">
        <v>171</v>
      </c>
      <c r="DA115" s="280">
        <v>152</v>
      </c>
      <c r="DB115" s="280">
        <v>134</v>
      </c>
      <c r="DC115" s="280">
        <v>124</v>
      </c>
      <c r="DD115" s="280">
        <v>113</v>
      </c>
      <c r="DE115" s="2240">
        <v>86.9</v>
      </c>
      <c r="DF115" s="2179"/>
      <c r="DH115" s="3649" t="e">
        <f>HLOOKUP(DI103,CW104:DE117,11,0)</f>
        <v>#N/A</v>
      </c>
      <c r="DI115" s="3654" t="e">
        <f t="shared" si="105"/>
        <v>#N/A</v>
      </c>
      <c r="DJ115" s="735">
        <v>450</v>
      </c>
      <c r="DK115" s="2179"/>
      <c r="DX115" s="1"/>
      <c r="DZ115" s="280" t="s">
        <v>2218</v>
      </c>
      <c r="EA115" s="2186">
        <f>EC115*EA100</f>
        <v>3750000</v>
      </c>
      <c r="EB115" s="2274">
        <v>93800</v>
      </c>
      <c r="EC115" s="2186">
        <f>14100+900</f>
        <v>15000</v>
      </c>
      <c r="ED115" s="280"/>
      <c r="EE115" s="277">
        <v>14100</v>
      </c>
      <c r="EF115" s="277">
        <v>900</v>
      </c>
      <c r="EP115" s="286"/>
      <c r="EQ115" s="286"/>
      <c r="FC115" s="2174"/>
      <c r="FD115" s="2174"/>
      <c r="FG115" s="7">
        <v>450</v>
      </c>
      <c r="FH115" s="280">
        <v>300</v>
      </c>
      <c r="FI115" s="280">
        <v>265</v>
      </c>
      <c r="FJ115" s="280">
        <v>240</v>
      </c>
      <c r="FK115" s="280">
        <v>215</v>
      </c>
      <c r="FL115" s="280">
        <v>190</v>
      </c>
      <c r="FM115" s="280">
        <v>170</v>
      </c>
      <c r="FN115" s="280">
        <v>150</v>
      </c>
      <c r="FO115" s="280">
        <v>135</v>
      </c>
      <c r="FP115" s="280">
        <v>115</v>
      </c>
      <c r="FQ115" s="990">
        <v>105</v>
      </c>
      <c r="FS115" s="3649" t="e">
        <f>HLOOKUP(FT104,FH105:FQ118,10,0)</f>
        <v>#N/A</v>
      </c>
      <c r="FT115" s="3654" t="e">
        <f t="shared" si="107"/>
        <v>#N/A</v>
      </c>
      <c r="FU115" s="2266">
        <v>450</v>
      </c>
      <c r="FV115" s="2179"/>
      <c r="FY115" s="2176"/>
      <c r="FZ115" s="2176"/>
      <c r="GC115" s="7">
        <v>450</v>
      </c>
      <c r="GD115" s="280">
        <v>300</v>
      </c>
      <c r="GE115" s="280">
        <v>265</v>
      </c>
      <c r="GF115" s="280">
        <v>240</v>
      </c>
      <c r="GG115" s="280">
        <v>215</v>
      </c>
      <c r="GH115" s="280">
        <v>190</v>
      </c>
      <c r="GI115" s="280">
        <v>170</v>
      </c>
      <c r="GJ115" s="280">
        <v>150</v>
      </c>
      <c r="GK115" s="280">
        <v>135</v>
      </c>
      <c r="GL115" s="280">
        <v>115</v>
      </c>
      <c r="GM115" s="990">
        <v>105</v>
      </c>
      <c r="GO115" s="3649" t="e">
        <f>HLOOKUP(GP104,GD105:GM118,10,0)</f>
        <v>#N/A</v>
      </c>
      <c r="GP115" s="3654" t="e">
        <f t="shared" si="108"/>
        <v>#N/A</v>
      </c>
      <c r="GQ115" s="2266">
        <v>450</v>
      </c>
      <c r="GR115" s="2179"/>
      <c r="GU115" s="2174"/>
      <c r="GX115" s="2266">
        <v>400</v>
      </c>
      <c r="GY115" s="280">
        <v>160</v>
      </c>
      <c r="GZ115" s="280">
        <v>144</v>
      </c>
      <c r="HA115" s="280">
        <v>130</v>
      </c>
      <c r="HB115" s="280">
        <v>118</v>
      </c>
      <c r="HC115" s="280">
        <v>103</v>
      </c>
      <c r="HD115" s="280">
        <v>95.6</v>
      </c>
      <c r="HE115" s="280">
        <v>85</v>
      </c>
      <c r="HF115" s="280">
        <v>76.599999999999994</v>
      </c>
      <c r="HG115" s="2240">
        <v>66</v>
      </c>
      <c r="HH115" s="2179"/>
      <c r="HJ115" s="3649">
        <f>HLOOKUP(HK104,GY105:HG118,10,0)</f>
        <v>41.1</v>
      </c>
      <c r="HK115" s="3654">
        <f t="shared" si="109"/>
        <v>66</v>
      </c>
      <c r="HL115" s="735">
        <v>400</v>
      </c>
      <c r="HM115" s="2179"/>
      <c r="HO115" s="2176"/>
      <c r="HP115" s="2176"/>
      <c r="HS115" s="2266">
        <v>400</v>
      </c>
      <c r="HT115" s="280">
        <v>160</v>
      </c>
      <c r="HU115" s="280">
        <v>144</v>
      </c>
      <c r="HV115" s="280">
        <v>130</v>
      </c>
      <c r="HW115" s="280">
        <v>118</v>
      </c>
      <c r="HX115" s="280">
        <v>103</v>
      </c>
      <c r="HY115" s="280">
        <v>95.6</v>
      </c>
      <c r="HZ115" s="280">
        <v>85</v>
      </c>
      <c r="IA115" s="280">
        <v>76.599999999999994</v>
      </c>
      <c r="IB115" s="2240">
        <v>66</v>
      </c>
      <c r="IC115" s="2179"/>
      <c r="IE115" s="3649">
        <f>HLOOKUP(IF104,HT105:IB118,10,0)</f>
        <v>58.1</v>
      </c>
      <c r="IF115" s="3654">
        <f t="shared" si="110"/>
        <v>76.599999999999994</v>
      </c>
      <c r="IG115" s="735">
        <v>400</v>
      </c>
      <c r="IH115" s="2179"/>
    </row>
    <row r="116" spans="3:242" ht="21.95" customHeight="1">
      <c r="C116" s="280" t="s">
        <v>2219</v>
      </c>
      <c r="D116" s="280"/>
      <c r="E116" s="280"/>
      <c r="F116" s="280"/>
      <c r="G116" s="280"/>
      <c r="S116" s="286"/>
      <c r="T116" s="286"/>
      <c r="AF116" s="2174"/>
      <c r="AG116" s="2174"/>
      <c r="AJ116" s="7">
        <v>560</v>
      </c>
      <c r="AK116" s="280">
        <v>660</v>
      </c>
      <c r="AL116" s="280">
        <v>640</v>
      </c>
      <c r="AM116" s="280">
        <v>520</v>
      </c>
      <c r="AN116" s="280">
        <v>485</v>
      </c>
      <c r="AO116" s="280">
        <v>430</v>
      </c>
      <c r="AP116" s="280">
        <v>380</v>
      </c>
      <c r="AQ116" s="280">
        <v>340</v>
      </c>
      <c r="AR116" s="280">
        <v>300</v>
      </c>
      <c r="AS116" s="280">
        <v>270</v>
      </c>
      <c r="AT116" s="990">
        <v>245</v>
      </c>
      <c r="AV116" s="3649" t="e">
        <f>HLOOKUP(AW103,AK104:AT117,12,0)</f>
        <v>#N/A</v>
      </c>
      <c r="AW116" s="3654" t="e">
        <f t="shared" si="103"/>
        <v>#N/A</v>
      </c>
      <c r="AX116" s="2266">
        <v>560</v>
      </c>
      <c r="AY116" s="2179"/>
      <c r="BB116" s="2176"/>
      <c r="BC116" s="2176"/>
      <c r="BF116" s="7">
        <v>560</v>
      </c>
      <c r="BG116" s="280">
        <v>660</v>
      </c>
      <c r="BH116" s="280">
        <v>640</v>
      </c>
      <c r="BI116" s="280">
        <v>520</v>
      </c>
      <c r="BJ116" s="280">
        <v>485</v>
      </c>
      <c r="BK116" s="280">
        <v>430</v>
      </c>
      <c r="BL116" s="280">
        <v>380</v>
      </c>
      <c r="BM116" s="280">
        <v>340</v>
      </c>
      <c r="BN116" s="280">
        <v>300</v>
      </c>
      <c r="BO116" s="280">
        <v>270</v>
      </c>
      <c r="BP116" s="990">
        <v>245</v>
      </c>
      <c r="BR116" s="3649" t="e">
        <f>HLOOKUP(BS103,BG104:BP117,12,0)</f>
        <v>#N/A</v>
      </c>
      <c r="BS116" s="3654" t="e">
        <f t="shared" si="106"/>
        <v>#N/A</v>
      </c>
      <c r="BT116" s="2266">
        <v>560</v>
      </c>
      <c r="BU116" s="2179"/>
      <c r="BX116" s="2174"/>
      <c r="CA116" s="2266">
        <v>500</v>
      </c>
      <c r="CB116" s="280">
        <v>359</v>
      </c>
      <c r="CC116" s="280">
        <v>320</v>
      </c>
      <c r="CD116" s="280">
        <v>294</v>
      </c>
      <c r="CE116" s="280">
        <v>259</v>
      </c>
      <c r="CF116" s="280">
        <v>211</v>
      </c>
      <c r="CG116" s="280">
        <v>186</v>
      </c>
      <c r="CH116" s="280">
        <v>172</v>
      </c>
      <c r="CI116" s="280"/>
      <c r="CJ116" s="2240"/>
      <c r="CK116" s="2179"/>
      <c r="CM116" s="3649" t="e">
        <f>HLOOKUP(CN103,CB104:CJ117,12,0)</f>
        <v>#N/A</v>
      </c>
      <c r="CN116" s="3654" t="e">
        <f t="shared" si="104"/>
        <v>#N/A</v>
      </c>
      <c r="CO116" s="735">
        <v>500</v>
      </c>
      <c r="CP116" s="2179"/>
      <c r="CR116" s="2176"/>
      <c r="CS116" s="2176"/>
      <c r="CV116" s="2266">
        <v>500</v>
      </c>
      <c r="CW116" s="280">
        <v>359</v>
      </c>
      <c r="CX116" s="280">
        <v>320</v>
      </c>
      <c r="CY116" s="280">
        <v>294</v>
      </c>
      <c r="CZ116" s="280">
        <v>259</v>
      </c>
      <c r="DA116" s="280">
        <v>211</v>
      </c>
      <c r="DB116" s="280">
        <v>186</v>
      </c>
      <c r="DC116" s="280">
        <v>172</v>
      </c>
      <c r="DD116" s="280"/>
      <c r="DE116" s="2240"/>
      <c r="DF116" s="2179"/>
      <c r="DH116" s="3649" t="e">
        <f>HLOOKUP(DI103,CW104:DE117,12,0)</f>
        <v>#N/A</v>
      </c>
      <c r="DI116" s="3654" t="e">
        <f t="shared" si="105"/>
        <v>#N/A</v>
      </c>
      <c r="DJ116" s="735">
        <v>500</v>
      </c>
      <c r="DK116" s="2179"/>
      <c r="DX116" s="1"/>
      <c r="DZ116" s="280" t="s">
        <v>2219</v>
      </c>
      <c r="EA116" s="280"/>
      <c r="EB116" s="280"/>
      <c r="EC116" s="280"/>
      <c r="ED116" s="280"/>
      <c r="EP116" s="286"/>
      <c r="EQ116" s="286"/>
      <c r="FC116" s="2174"/>
      <c r="FD116" s="2174"/>
      <c r="FG116" s="7">
        <v>500</v>
      </c>
      <c r="FH116" s="280">
        <v>465</v>
      </c>
      <c r="FI116" s="280">
        <v>455</v>
      </c>
      <c r="FJ116" s="280">
        <v>365</v>
      </c>
      <c r="FK116" s="280">
        <v>340</v>
      </c>
      <c r="FL116" s="280">
        <v>300</v>
      </c>
      <c r="FM116" s="280">
        <v>270</v>
      </c>
      <c r="FN116" s="280">
        <v>240</v>
      </c>
      <c r="FO116" s="280">
        <v>210</v>
      </c>
      <c r="FP116" s="280">
        <v>190</v>
      </c>
      <c r="FQ116" s="990">
        <v>170</v>
      </c>
      <c r="FS116" s="3649" t="e">
        <f>HLOOKUP(FT104,FH105:FQ118,11,0)</f>
        <v>#N/A</v>
      </c>
      <c r="FT116" s="3654" t="e">
        <f t="shared" si="107"/>
        <v>#N/A</v>
      </c>
      <c r="FU116" s="2266">
        <v>500</v>
      </c>
      <c r="FV116" s="2179"/>
      <c r="FY116" s="2176"/>
      <c r="FZ116" s="2176"/>
      <c r="GC116" s="7">
        <v>500</v>
      </c>
      <c r="GD116" s="280">
        <v>465</v>
      </c>
      <c r="GE116" s="280">
        <v>455</v>
      </c>
      <c r="GF116" s="280">
        <v>365</v>
      </c>
      <c r="GG116" s="280">
        <v>340</v>
      </c>
      <c r="GH116" s="280">
        <v>300</v>
      </c>
      <c r="GI116" s="280">
        <v>270</v>
      </c>
      <c r="GJ116" s="280">
        <v>240</v>
      </c>
      <c r="GK116" s="280">
        <v>210</v>
      </c>
      <c r="GL116" s="280">
        <v>190</v>
      </c>
      <c r="GM116" s="990">
        <v>170</v>
      </c>
      <c r="GO116" s="3649" t="e">
        <f>HLOOKUP(GP104,GD105:GM118,11,0)</f>
        <v>#N/A</v>
      </c>
      <c r="GP116" s="3654" t="e">
        <f t="shared" si="108"/>
        <v>#N/A</v>
      </c>
      <c r="GQ116" s="2266">
        <v>500</v>
      </c>
      <c r="GR116" s="2179"/>
      <c r="GU116" s="2174"/>
      <c r="GX116" s="2266">
        <v>450</v>
      </c>
      <c r="GY116" s="280">
        <v>231</v>
      </c>
      <c r="GZ116" s="280">
        <v>210</v>
      </c>
      <c r="HA116" s="280">
        <v>182</v>
      </c>
      <c r="HB116" s="280">
        <v>171</v>
      </c>
      <c r="HC116" s="280">
        <v>152</v>
      </c>
      <c r="HD116" s="280">
        <v>134</v>
      </c>
      <c r="HE116" s="280">
        <v>124</v>
      </c>
      <c r="HF116" s="280">
        <v>113</v>
      </c>
      <c r="HG116" s="2240">
        <v>86.9</v>
      </c>
      <c r="HH116" s="2179"/>
      <c r="HJ116" s="3649">
        <f>HLOOKUP(HK104,GY105:HG118,11,0)</f>
        <v>66</v>
      </c>
      <c r="HK116" s="3654">
        <f t="shared" si="109"/>
        <v>86.9</v>
      </c>
      <c r="HL116" s="735">
        <v>450</v>
      </c>
      <c r="HM116" s="2179"/>
      <c r="HO116" s="2176"/>
      <c r="HP116" s="2176"/>
      <c r="HS116" s="2266">
        <v>450</v>
      </c>
      <c r="HT116" s="280">
        <v>231</v>
      </c>
      <c r="HU116" s="280">
        <v>210</v>
      </c>
      <c r="HV116" s="280">
        <v>182</v>
      </c>
      <c r="HW116" s="280">
        <v>171</v>
      </c>
      <c r="HX116" s="280">
        <v>152</v>
      </c>
      <c r="HY116" s="280">
        <v>134</v>
      </c>
      <c r="HZ116" s="280">
        <v>124</v>
      </c>
      <c r="IA116" s="280">
        <v>113</v>
      </c>
      <c r="IB116" s="2240">
        <v>86.9</v>
      </c>
      <c r="IC116" s="2179"/>
      <c r="IE116" s="3649">
        <f>HLOOKUP(IF104,HT105:IB118,11,0)</f>
        <v>76.599999999999994</v>
      </c>
      <c r="IF116" s="3654">
        <f t="shared" si="110"/>
        <v>113</v>
      </c>
      <c r="IG116" s="735">
        <v>450</v>
      </c>
      <c r="IH116" s="2179"/>
    </row>
    <row r="117" spans="3:242" ht="21.95" customHeight="1" thickBot="1">
      <c r="C117" s="280" t="s">
        <v>2220</v>
      </c>
      <c r="D117" s="2186">
        <f>F117*D100</f>
        <v>106750</v>
      </c>
      <c r="E117" s="280">
        <v>29400</v>
      </c>
      <c r="F117" s="2186">
        <f>405+22</f>
        <v>427</v>
      </c>
      <c r="G117" s="280"/>
      <c r="H117" s="277">
        <v>405</v>
      </c>
      <c r="I117" s="277">
        <v>22</v>
      </c>
      <c r="S117" s="286"/>
      <c r="T117" s="286"/>
      <c r="AF117" s="2174"/>
      <c r="AG117" s="2174"/>
      <c r="AJ117" s="7">
        <v>630</v>
      </c>
      <c r="AK117" s="280">
        <v>860</v>
      </c>
      <c r="AL117" s="280">
        <v>760</v>
      </c>
      <c r="AM117" s="280">
        <v>690</v>
      </c>
      <c r="AN117" s="280">
        <v>640</v>
      </c>
      <c r="AO117" s="280">
        <v>560</v>
      </c>
      <c r="AP117" s="280">
        <v>500</v>
      </c>
      <c r="AQ117" s="280">
        <v>450</v>
      </c>
      <c r="AR117" s="280">
        <v>395</v>
      </c>
      <c r="AS117" s="280">
        <v>360</v>
      </c>
      <c r="AT117" s="990">
        <v>325</v>
      </c>
      <c r="AV117" s="3649" t="e">
        <f>HLOOKUP(AW103,AK104:AT117,13,0)</f>
        <v>#N/A</v>
      </c>
      <c r="AW117" s="3654" t="e">
        <f t="shared" si="103"/>
        <v>#N/A</v>
      </c>
      <c r="AX117" s="2267">
        <v>630</v>
      </c>
      <c r="AY117" s="2179"/>
      <c r="BB117" s="2176"/>
      <c r="BC117" s="2176"/>
      <c r="BF117" s="7">
        <v>630</v>
      </c>
      <c r="BG117" s="280">
        <v>860</v>
      </c>
      <c r="BH117" s="280">
        <v>760</v>
      </c>
      <c r="BI117" s="280">
        <v>690</v>
      </c>
      <c r="BJ117" s="280">
        <v>640</v>
      </c>
      <c r="BK117" s="280">
        <v>560</v>
      </c>
      <c r="BL117" s="280">
        <v>500</v>
      </c>
      <c r="BM117" s="280">
        <v>450</v>
      </c>
      <c r="BN117" s="280">
        <v>395</v>
      </c>
      <c r="BO117" s="280">
        <v>360</v>
      </c>
      <c r="BP117" s="990">
        <v>325</v>
      </c>
      <c r="BR117" s="3649" t="e">
        <f>HLOOKUP(BS103,BG104:BP117,13,0)</f>
        <v>#N/A</v>
      </c>
      <c r="BS117" s="3654" t="e">
        <f t="shared" si="106"/>
        <v>#N/A</v>
      </c>
      <c r="BT117" s="2267">
        <v>630</v>
      </c>
      <c r="BU117" s="2179"/>
      <c r="BX117" s="2174"/>
      <c r="CA117" s="2267">
        <v>560</v>
      </c>
      <c r="CB117" s="2241">
        <v>503</v>
      </c>
      <c r="CC117" s="2241">
        <v>448</v>
      </c>
      <c r="CD117" s="2241">
        <v>410</v>
      </c>
      <c r="CE117" s="2241">
        <v>368</v>
      </c>
      <c r="CF117" s="2241">
        <v>313</v>
      </c>
      <c r="CG117" s="2241">
        <v>281</v>
      </c>
      <c r="CH117" s="2241">
        <v>258</v>
      </c>
      <c r="CI117" s="2241"/>
      <c r="CJ117" s="2242"/>
      <c r="CK117" s="2179"/>
      <c r="CM117" s="3649" t="e">
        <f>HLOOKUP(CN103,CB104:CJ117,13,0)</f>
        <v>#N/A</v>
      </c>
      <c r="CN117" s="3654" t="e">
        <f t="shared" si="104"/>
        <v>#N/A</v>
      </c>
      <c r="CO117" s="735">
        <v>560</v>
      </c>
      <c r="CP117" s="2179"/>
      <c r="CR117" s="2176"/>
      <c r="CS117" s="2176"/>
      <c r="CV117" s="2267">
        <v>560</v>
      </c>
      <c r="CW117" s="2241">
        <v>503</v>
      </c>
      <c r="CX117" s="2241">
        <v>448</v>
      </c>
      <c r="CY117" s="2241">
        <v>410</v>
      </c>
      <c r="CZ117" s="2241">
        <v>368</v>
      </c>
      <c r="DA117" s="2241">
        <v>313</v>
      </c>
      <c r="DB117" s="2241">
        <v>281</v>
      </c>
      <c r="DC117" s="2241">
        <v>258</v>
      </c>
      <c r="DD117" s="2241"/>
      <c r="DE117" s="2242"/>
      <c r="DF117" s="2179"/>
      <c r="DH117" s="3649" t="e">
        <f>HLOOKUP(DI103,CW104:DE117,13,0)</f>
        <v>#N/A</v>
      </c>
      <c r="DI117" s="3654" t="e">
        <f t="shared" si="105"/>
        <v>#N/A</v>
      </c>
      <c r="DJ117" s="735">
        <v>560</v>
      </c>
      <c r="DK117" s="2179"/>
      <c r="DX117" s="1"/>
      <c r="DZ117" s="280" t="s">
        <v>2220</v>
      </c>
      <c r="EA117" s="2186">
        <f>EC117*EA100</f>
        <v>106750</v>
      </c>
      <c r="EB117" s="280">
        <v>29400</v>
      </c>
      <c r="EC117" s="2186">
        <f>405+22</f>
        <v>427</v>
      </c>
      <c r="ED117" s="280"/>
      <c r="EE117" s="277">
        <v>405</v>
      </c>
      <c r="EF117" s="277">
        <v>22</v>
      </c>
      <c r="EP117" s="286"/>
      <c r="EQ117" s="286"/>
      <c r="FC117" s="2174"/>
      <c r="FD117" s="2174"/>
      <c r="FG117" s="7">
        <v>560</v>
      </c>
      <c r="FH117" s="280">
        <v>660</v>
      </c>
      <c r="FI117" s="280">
        <v>640</v>
      </c>
      <c r="FJ117" s="280">
        <v>520</v>
      </c>
      <c r="FK117" s="280">
        <v>485</v>
      </c>
      <c r="FL117" s="280">
        <v>430</v>
      </c>
      <c r="FM117" s="280">
        <v>380</v>
      </c>
      <c r="FN117" s="280">
        <v>340</v>
      </c>
      <c r="FO117" s="280">
        <v>300</v>
      </c>
      <c r="FP117" s="280">
        <v>270</v>
      </c>
      <c r="FQ117" s="990">
        <v>245</v>
      </c>
      <c r="FS117" s="3649" t="e">
        <f>HLOOKUP(FT104,FH105:FQ118,12,0)</f>
        <v>#N/A</v>
      </c>
      <c r="FT117" s="3654" t="e">
        <f t="shared" si="107"/>
        <v>#N/A</v>
      </c>
      <c r="FU117" s="2266">
        <v>560</v>
      </c>
      <c r="FV117" s="2179"/>
      <c r="FY117" s="2176"/>
      <c r="FZ117" s="2176"/>
      <c r="GC117" s="7">
        <v>560</v>
      </c>
      <c r="GD117" s="280">
        <v>660</v>
      </c>
      <c r="GE117" s="280">
        <v>640</v>
      </c>
      <c r="GF117" s="280">
        <v>520</v>
      </c>
      <c r="GG117" s="280">
        <v>485</v>
      </c>
      <c r="GH117" s="280">
        <v>430</v>
      </c>
      <c r="GI117" s="280">
        <v>380</v>
      </c>
      <c r="GJ117" s="280">
        <v>340</v>
      </c>
      <c r="GK117" s="280">
        <v>300</v>
      </c>
      <c r="GL117" s="280">
        <v>270</v>
      </c>
      <c r="GM117" s="990">
        <v>245</v>
      </c>
      <c r="GO117" s="3649" t="e">
        <f>HLOOKUP(GP104,GD105:GM118,12,0)</f>
        <v>#N/A</v>
      </c>
      <c r="GP117" s="3654" t="e">
        <f t="shared" si="108"/>
        <v>#N/A</v>
      </c>
      <c r="GQ117" s="2266">
        <v>560</v>
      </c>
      <c r="GR117" s="2179"/>
      <c r="GU117" s="2174"/>
      <c r="GX117" s="2266">
        <v>500</v>
      </c>
      <c r="GY117" s="280">
        <v>359</v>
      </c>
      <c r="GZ117" s="280">
        <v>320</v>
      </c>
      <c r="HA117" s="280">
        <v>294</v>
      </c>
      <c r="HB117" s="280">
        <v>259</v>
      </c>
      <c r="HC117" s="280">
        <v>211</v>
      </c>
      <c r="HD117" s="280">
        <v>186</v>
      </c>
      <c r="HE117" s="280">
        <v>172</v>
      </c>
      <c r="HF117" s="280"/>
      <c r="HG117" s="2240"/>
      <c r="HH117" s="2179"/>
      <c r="HJ117" s="3649">
        <f>HLOOKUP(HK104,GY105:HG118,12,0)</f>
        <v>86.9</v>
      </c>
      <c r="HK117" s="3654">
        <f t="shared" si="109"/>
        <v>0</v>
      </c>
      <c r="HL117" s="735">
        <v>500</v>
      </c>
      <c r="HM117" s="2179"/>
      <c r="HO117" s="2176"/>
      <c r="HP117" s="2176"/>
      <c r="HS117" s="2266">
        <v>500</v>
      </c>
      <c r="HT117" s="280">
        <v>359</v>
      </c>
      <c r="HU117" s="280">
        <v>320</v>
      </c>
      <c r="HV117" s="280">
        <v>294</v>
      </c>
      <c r="HW117" s="280">
        <v>259</v>
      </c>
      <c r="HX117" s="280">
        <v>211</v>
      </c>
      <c r="HY117" s="280">
        <v>186</v>
      </c>
      <c r="HZ117" s="280">
        <v>172</v>
      </c>
      <c r="IA117" s="280"/>
      <c r="IB117" s="2240"/>
      <c r="IC117" s="2179"/>
      <c r="IE117" s="3649">
        <f>HLOOKUP(IF104,HT105:IB118,12,0)</f>
        <v>113</v>
      </c>
      <c r="IF117" s="3654">
        <f t="shared" si="110"/>
        <v>0</v>
      </c>
      <c r="IG117" s="735">
        <v>500</v>
      </c>
      <c r="IH117" s="2179"/>
    </row>
    <row r="118" spans="3:242" ht="21.95" customHeight="1" thickBot="1">
      <c r="C118" s="280" t="s">
        <v>2221</v>
      </c>
      <c r="D118" s="2186">
        <f>F118*D100</f>
        <v>142000</v>
      </c>
      <c r="E118" s="280">
        <v>33600</v>
      </c>
      <c r="F118" s="2186">
        <f>540+28</f>
        <v>568</v>
      </c>
      <c r="G118" s="280"/>
      <c r="H118" s="277">
        <v>540</v>
      </c>
      <c r="I118" s="277">
        <v>28</v>
      </c>
      <c r="S118" s="286"/>
      <c r="T118" s="286"/>
      <c r="AF118" s="2174"/>
      <c r="AG118" s="2174"/>
      <c r="AJ118" s="2210"/>
      <c r="AK118" s="2179"/>
      <c r="AL118" s="2179"/>
      <c r="AM118" s="2179"/>
      <c r="AN118" s="2179"/>
      <c r="AO118" s="2179"/>
      <c r="AP118" s="2179"/>
      <c r="AQ118" s="2179"/>
      <c r="AR118" s="2179"/>
      <c r="AS118" s="2179"/>
      <c r="AT118" s="2179"/>
      <c r="AV118" s="3649" t="e">
        <f>HLOOKUP(AW103,AK104:AT117,14,0)</f>
        <v>#N/A</v>
      </c>
      <c r="AW118" s="3655" t="e">
        <f>+AV118</f>
        <v>#N/A</v>
      </c>
      <c r="AX118" s="735"/>
      <c r="AY118" s="2179"/>
      <c r="BB118" s="2176"/>
      <c r="BC118" s="2176"/>
      <c r="BF118" s="2210"/>
      <c r="BG118" s="2179"/>
      <c r="BH118" s="2179"/>
      <c r="BI118" s="2179"/>
      <c r="BJ118" s="2179"/>
      <c r="BK118" s="2179"/>
      <c r="BL118" s="2179"/>
      <c r="BM118" s="2179"/>
      <c r="BN118" s="2179"/>
      <c r="BO118" s="2179"/>
      <c r="BP118" s="2179"/>
      <c r="BR118" s="3649" t="e">
        <f>HLOOKUP(BS103,BG104:BP117,14,0)</f>
        <v>#N/A</v>
      </c>
      <c r="BS118" s="3655" t="e">
        <f>+BR118</f>
        <v>#N/A</v>
      </c>
      <c r="BT118" s="735"/>
      <c r="BU118" s="2179"/>
      <c r="BX118" s="2174"/>
      <c r="CA118" s="2210"/>
      <c r="CB118" s="2179"/>
      <c r="CC118" s="2179"/>
      <c r="CD118" s="2179"/>
      <c r="CE118" s="2179"/>
      <c r="CF118" s="2179"/>
      <c r="CG118" s="2179"/>
      <c r="CH118" s="2179"/>
      <c r="CI118" s="2179"/>
      <c r="CJ118" s="2179"/>
      <c r="CK118" s="2179"/>
      <c r="CM118" s="3649" t="e">
        <f>HLOOKUP(CN103,CB104:CJ117,14,0)</f>
        <v>#N/A</v>
      </c>
      <c r="CN118" s="3655" t="e">
        <f>+CM118</f>
        <v>#N/A</v>
      </c>
      <c r="CO118" s="735"/>
      <c r="CP118" s="2179"/>
      <c r="CR118" s="2176"/>
      <c r="CS118" s="2176"/>
      <c r="CV118" s="2210"/>
      <c r="CW118" s="2179"/>
      <c r="CX118" s="2179"/>
      <c r="CY118" s="2179"/>
      <c r="CZ118" s="2179"/>
      <c r="DA118" s="2179"/>
      <c r="DB118" s="2179"/>
      <c r="DC118" s="2179"/>
      <c r="DD118" s="2179"/>
      <c r="DE118" s="2179"/>
      <c r="DF118" s="2179"/>
      <c r="DH118" s="3649" t="e">
        <f>HLOOKUP(DI103,CW104:DE117,14,0)</f>
        <v>#N/A</v>
      </c>
      <c r="DI118" s="3655" t="e">
        <f>+DH118</f>
        <v>#N/A</v>
      </c>
      <c r="DJ118" s="735"/>
      <c r="DK118" s="2179"/>
      <c r="DX118" s="1"/>
      <c r="DZ118" s="280" t="s">
        <v>2221</v>
      </c>
      <c r="EA118" s="2186">
        <f>EC118*EA100</f>
        <v>142000</v>
      </c>
      <c r="EB118" s="280">
        <v>33600</v>
      </c>
      <c r="EC118" s="2186">
        <f>540+28</f>
        <v>568</v>
      </c>
      <c r="ED118" s="280"/>
      <c r="EE118" s="277">
        <v>540</v>
      </c>
      <c r="EF118" s="277">
        <v>28</v>
      </c>
      <c r="EP118" s="286"/>
      <c r="EQ118" s="286"/>
      <c r="FC118" s="2174"/>
      <c r="FD118" s="2174"/>
      <c r="FG118" s="7">
        <v>630</v>
      </c>
      <c r="FH118" s="280">
        <v>860</v>
      </c>
      <c r="FI118" s="280">
        <v>760</v>
      </c>
      <c r="FJ118" s="280">
        <v>690</v>
      </c>
      <c r="FK118" s="280">
        <v>640</v>
      </c>
      <c r="FL118" s="280">
        <v>560</v>
      </c>
      <c r="FM118" s="280">
        <v>500</v>
      </c>
      <c r="FN118" s="280">
        <v>450</v>
      </c>
      <c r="FO118" s="280">
        <v>395</v>
      </c>
      <c r="FP118" s="280">
        <v>360</v>
      </c>
      <c r="FQ118" s="990">
        <v>325</v>
      </c>
      <c r="FS118" s="3649" t="e">
        <f>HLOOKUP(FT104,FH105:FQ118,13,0)</f>
        <v>#N/A</v>
      </c>
      <c r="FT118" s="3654" t="e">
        <f>+FS119</f>
        <v>#N/A</v>
      </c>
      <c r="FU118" s="2267">
        <v>630</v>
      </c>
      <c r="FV118" s="2179"/>
      <c r="FY118" s="2176"/>
      <c r="FZ118" s="2176"/>
      <c r="GC118" s="7">
        <v>630</v>
      </c>
      <c r="GD118" s="280">
        <v>860</v>
      </c>
      <c r="GE118" s="280">
        <v>760</v>
      </c>
      <c r="GF118" s="280">
        <v>690</v>
      </c>
      <c r="GG118" s="280">
        <v>640</v>
      </c>
      <c r="GH118" s="280">
        <v>560</v>
      </c>
      <c r="GI118" s="280">
        <v>500</v>
      </c>
      <c r="GJ118" s="280">
        <v>450</v>
      </c>
      <c r="GK118" s="280">
        <v>395</v>
      </c>
      <c r="GL118" s="280">
        <v>360</v>
      </c>
      <c r="GM118" s="990">
        <v>325</v>
      </c>
      <c r="GO118" s="3649" t="e">
        <f>HLOOKUP(GP104,GD105:GM118,13,0)</f>
        <v>#N/A</v>
      </c>
      <c r="GP118" s="3654" t="e">
        <f t="shared" si="108"/>
        <v>#N/A</v>
      </c>
      <c r="GQ118" s="2267">
        <v>630</v>
      </c>
      <c r="GR118" s="2179"/>
      <c r="GU118" s="2174"/>
      <c r="GX118" s="2267">
        <v>560</v>
      </c>
      <c r="GY118" s="2241">
        <v>503</v>
      </c>
      <c r="GZ118" s="2241">
        <v>448</v>
      </c>
      <c r="HA118" s="2241">
        <v>410</v>
      </c>
      <c r="HB118" s="2241">
        <v>368</v>
      </c>
      <c r="HC118" s="2241">
        <v>313</v>
      </c>
      <c r="HD118" s="2241">
        <v>281</v>
      </c>
      <c r="HE118" s="2241">
        <v>258</v>
      </c>
      <c r="HF118" s="2241"/>
      <c r="HG118" s="2242"/>
      <c r="HH118" s="2179"/>
      <c r="HJ118" s="3649">
        <f>HLOOKUP(HK104,GY105:HG118,13,0)</f>
        <v>0</v>
      </c>
      <c r="HK118" s="3654">
        <f t="shared" si="109"/>
        <v>0</v>
      </c>
      <c r="HL118" s="735">
        <v>560</v>
      </c>
      <c r="HM118" s="2179"/>
      <c r="HO118" s="2176"/>
      <c r="HP118" s="2176"/>
      <c r="HS118" s="2267">
        <v>560</v>
      </c>
      <c r="HT118" s="2241">
        <v>503</v>
      </c>
      <c r="HU118" s="2241">
        <v>448</v>
      </c>
      <c r="HV118" s="2241">
        <v>410</v>
      </c>
      <c r="HW118" s="2241">
        <v>368</v>
      </c>
      <c r="HX118" s="2241">
        <v>313</v>
      </c>
      <c r="HY118" s="2241">
        <v>281</v>
      </c>
      <c r="HZ118" s="2241">
        <v>258</v>
      </c>
      <c r="IA118" s="2241"/>
      <c r="IB118" s="2242"/>
      <c r="IC118" s="2179"/>
      <c r="IE118" s="3649">
        <f>HLOOKUP(IF104,HT105:IB118,13,0)</f>
        <v>0</v>
      </c>
      <c r="IF118" s="3654">
        <f t="shared" si="110"/>
        <v>0</v>
      </c>
      <c r="IG118" s="735">
        <v>560</v>
      </c>
      <c r="IH118" s="2179"/>
    </row>
    <row r="119" spans="3:242" ht="21.95" customHeight="1">
      <c r="C119" s="280" t="s">
        <v>2222</v>
      </c>
      <c r="D119" s="2186">
        <f>F119*D100</f>
        <v>189750</v>
      </c>
      <c r="E119" s="280">
        <v>36750</v>
      </c>
      <c r="F119" s="2186">
        <f>720+39</f>
        <v>759</v>
      </c>
      <c r="G119" s="280"/>
      <c r="H119" s="277">
        <v>720</v>
      </c>
      <c r="I119" s="277">
        <v>39</v>
      </c>
      <c r="S119" s="286"/>
      <c r="T119" s="286"/>
      <c r="AF119" s="2174"/>
      <c r="AG119" s="2174"/>
      <c r="AJ119" s="2179"/>
      <c r="AK119" s="2179"/>
      <c r="AL119" s="2179"/>
      <c r="AM119" s="2179"/>
      <c r="AN119" s="2179"/>
      <c r="AO119" s="2179"/>
      <c r="AP119" s="2179"/>
      <c r="AQ119" s="2179"/>
      <c r="AR119" s="2179"/>
      <c r="AS119" s="2179"/>
      <c r="AT119" s="2179"/>
      <c r="AV119" s="2237"/>
      <c r="AW119" s="990"/>
      <c r="AX119" s="2244"/>
      <c r="AY119" s="2179"/>
      <c r="BB119" s="2176"/>
      <c r="BC119" s="2176"/>
      <c r="BF119" s="2179"/>
      <c r="BG119" s="2179"/>
      <c r="BH119" s="2179"/>
      <c r="BI119" s="2179"/>
      <c r="BJ119" s="2179"/>
      <c r="BK119" s="2179"/>
      <c r="BL119" s="2179"/>
      <c r="BM119" s="2179"/>
      <c r="BN119" s="2179"/>
      <c r="BO119" s="2179"/>
      <c r="BP119" s="2179"/>
      <c r="BR119" s="2237"/>
      <c r="BS119" s="990"/>
      <c r="BT119" s="2244"/>
      <c r="BU119" s="2179"/>
      <c r="BX119" s="2174"/>
      <c r="CA119" s="2179"/>
      <c r="CB119" s="2179"/>
      <c r="CC119" s="2179"/>
      <c r="CD119" s="2179"/>
      <c r="CE119" s="2179"/>
      <c r="CF119" s="2179"/>
      <c r="CG119" s="2179"/>
      <c r="CH119" s="2179"/>
      <c r="CI119" s="2179"/>
      <c r="CJ119" s="2179"/>
      <c r="CK119" s="2179"/>
      <c r="CM119" s="2237"/>
      <c r="CN119" s="990"/>
      <c r="CO119" s="2244"/>
      <c r="CP119" s="2179"/>
      <c r="CR119" s="2176"/>
      <c r="CS119" s="2176"/>
      <c r="CV119" s="2179"/>
      <c r="CW119" s="2179"/>
      <c r="CX119" s="2179"/>
      <c r="CY119" s="2179"/>
      <c r="CZ119" s="2179"/>
      <c r="DA119" s="2179"/>
      <c r="DB119" s="2179"/>
      <c r="DC119" s="2179"/>
      <c r="DD119" s="2179"/>
      <c r="DE119" s="2179"/>
      <c r="DF119" s="2179"/>
      <c r="DH119" s="2237"/>
      <c r="DI119" s="990"/>
      <c r="DJ119" s="2244"/>
      <c r="DK119" s="2179"/>
      <c r="DX119" s="1"/>
      <c r="DZ119" s="280" t="s">
        <v>2222</v>
      </c>
      <c r="EA119" s="2186">
        <f>EC119*EA100</f>
        <v>189750</v>
      </c>
      <c r="EB119" s="280">
        <v>36750</v>
      </c>
      <c r="EC119" s="2186">
        <f>720+39</f>
        <v>759</v>
      </c>
      <c r="ED119" s="280"/>
      <c r="EE119" s="277">
        <v>720</v>
      </c>
      <c r="EF119" s="277">
        <v>39</v>
      </c>
      <c r="EP119" s="286"/>
      <c r="EQ119" s="286"/>
      <c r="FC119" s="2174"/>
      <c r="FD119" s="2174"/>
      <c r="FG119" s="2210"/>
      <c r="FH119" s="2179"/>
      <c r="FI119" s="2179"/>
      <c r="FJ119" s="2179"/>
      <c r="FK119" s="2179"/>
      <c r="FL119" s="2179"/>
      <c r="FM119" s="2179"/>
      <c r="FN119" s="2179"/>
      <c r="FO119" s="2179"/>
      <c r="FP119" s="2179"/>
      <c r="FQ119" s="2179"/>
      <c r="FS119" s="3649" t="e">
        <f>HLOOKUP(FT104,FH105:FQ118,14,0)</f>
        <v>#N/A</v>
      </c>
      <c r="FT119" s="3655" t="e">
        <f>+FS119</f>
        <v>#N/A</v>
      </c>
      <c r="FU119" s="735"/>
      <c r="FV119" s="2179"/>
      <c r="FY119" s="2176"/>
      <c r="FZ119" s="2176"/>
      <c r="GC119" s="2210"/>
      <c r="GD119" s="2179"/>
      <c r="GE119" s="2179"/>
      <c r="GF119" s="2179"/>
      <c r="GG119" s="2179"/>
      <c r="GH119" s="2179"/>
      <c r="GI119" s="2179"/>
      <c r="GJ119" s="2179"/>
      <c r="GK119" s="2179"/>
      <c r="GL119" s="2179"/>
      <c r="GM119" s="2179"/>
      <c r="GO119" s="3649" t="e">
        <f>HLOOKUP(GP104,GD105:GM118,14,0)</f>
        <v>#N/A</v>
      </c>
      <c r="GP119" s="3655" t="e">
        <f>+GO119</f>
        <v>#N/A</v>
      </c>
      <c r="GQ119" s="735"/>
      <c r="GR119" s="2179"/>
      <c r="GU119" s="2174"/>
      <c r="GX119" s="2210"/>
      <c r="GY119" s="2179"/>
      <c r="GZ119" s="2179"/>
      <c r="HA119" s="2179"/>
      <c r="HB119" s="2179"/>
      <c r="HC119" s="2179"/>
      <c r="HD119" s="2179"/>
      <c r="HE119" s="2179"/>
      <c r="HF119" s="2179"/>
      <c r="HG119" s="2179"/>
      <c r="HH119" s="2179"/>
      <c r="HJ119" s="3649">
        <f>HLOOKUP(HK104,GY105:HG118,14,0)</f>
        <v>0</v>
      </c>
      <c r="HK119" s="3655">
        <f>+HJ119</f>
        <v>0</v>
      </c>
      <c r="HL119" s="735"/>
      <c r="HM119" s="2179"/>
      <c r="HO119" s="2176"/>
      <c r="HP119" s="2176"/>
      <c r="HS119" s="2210"/>
      <c r="HT119" s="2179"/>
      <c r="HU119" s="2179"/>
      <c r="HV119" s="2179"/>
      <c r="HW119" s="2179"/>
      <c r="HX119" s="2179"/>
      <c r="HY119" s="2179"/>
      <c r="HZ119" s="2179"/>
      <c r="IA119" s="2179"/>
      <c r="IB119" s="2179"/>
      <c r="IC119" s="2179"/>
      <c r="IE119" s="3649">
        <f>HLOOKUP(IF104,HT105:IB118,14,0)</f>
        <v>0</v>
      </c>
      <c r="IF119" s="3655">
        <f>+IE119</f>
        <v>0</v>
      </c>
      <c r="IG119" s="735"/>
      <c r="IH119" s="2179"/>
    </row>
    <row r="120" spans="3:242" ht="21.95" customHeight="1">
      <c r="C120" s="280" t="s">
        <v>2223</v>
      </c>
      <c r="D120" s="2186">
        <f>F120*D100</f>
        <v>256500</v>
      </c>
      <c r="E120" s="280">
        <v>42000</v>
      </c>
      <c r="F120" s="2186">
        <f>970+56</f>
        <v>1026</v>
      </c>
      <c r="G120" s="280"/>
      <c r="H120" s="277">
        <v>970</v>
      </c>
      <c r="I120" s="277">
        <v>56</v>
      </c>
      <c r="S120" s="286"/>
      <c r="T120" s="286"/>
      <c r="AF120" s="2174"/>
      <c r="AG120" s="2174"/>
      <c r="AJ120" s="2179"/>
      <c r="AK120" s="2179"/>
      <c r="AL120" s="2179"/>
      <c r="AM120" s="2179"/>
      <c r="AN120" s="2179"/>
      <c r="AO120" s="2179"/>
      <c r="AP120" s="2179"/>
      <c r="AQ120" s="2179"/>
      <c r="AR120" s="2179"/>
      <c r="AS120" s="2179"/>
      <c r="AT120" s="2179"/>
      <c r="AV120" s="3654">
        <f>VLOOKUP(AV103,AV105:AV118,1)</f>
        <v>0</v>
      </c>
      <c r="AW120" s="3649">
        <f>IFERROR(VLOOKUP(AV103,AV105:AV118,1,0),0)</f>
        <v>0</v>
      </c>
      <c r="AX120" s="990"/>
      <c r="AY120" s="2179"/>
      <c r="BB120" s="2176"/>
      <c r="BC120" s="2176"/>
      <c r="BF120" s="2179"/>
      <c r="BG120" s="2179"/>
      <c r="BH120" s="2179"/>
      <c r="BI120" s="2179"/>
      <c r="BJ120" s="2179"/>
      <c r="BK120" s="2179"/>
      <c r="BL120" s="2179"/>
      <c r="BM120" s="2179"/>
      <c r="BN120" s="2179"/>
      <c r="BO120" s="2179"/>
      <c r="BP120" s="2179"/>
      <c r="BR120" s="3654">
        <f>VLOOKUP(BR103,BR105:BR118,1)</f>
        <v>0</v>
      </c>
      <c r="BS120" s="3649">
        <f>IFERROR(VLOOKUP(BR103,BR105:BR118,1,0),0)</f>
        <v>0</v>
      </c>
      <c r="BT120" s="990"/>
      <c r="BU120" s="2179"/>
      <c r="BX120" s="2174"/>
      <c r="CA120" s="2179"/>
      <c r="CB120" s="2179"/>
      <c r="CC120" s="2179"/>
      <c r="CD120" s="2179"/>
      <c r="CE120" s="2179"/>
      <c r="CF120" s="2179"/>
      <c r="CG120" s="2179"/>
      <c r="CH120" s="2179"/>
      <c r="CI120" s="2179"/>
      <c r="CJ120" s="2179"/>
      <c r="CK120" s="2179"/>
      <c r="CM120" s="3654">
        <f>VLOOKUP(CM103,CM105:CM118,1)</f>
        <v>0</v>
      </c>
      <c r="CN120" s="3649">
        <f>IFERROR(VLOOKUP(CM103,CM105:CM118,1,0),0)</f>
        <v>0</v>
      </c>
      <c r="CO120" s="990"/>
      <c r="CP120" s="2179"/>
      <c r="CR120" s="2176"/>
      <c r="CS120" s="2176"/>
      <c r="CV120" s="2179"/>
      <c r="CW120" s="2179"/>
      <c r="CX120" s="2179"/>
      <c r="CY120" s="2179"/>
      <c r="CZ120" s="2179"/>
      <c r="DA120" s="2179"/>
      <c r="DB120" s="2179"/>
      <c r="DC120" s="2179"/>
      <c r="DD120" s="2179"/>
      <c r="DE120" s="2179"/>
      <c r="DF120" s="2179"/>
      <c r="DH120" s="3654">
        <f>VLOOKUP(DH103,DH105:DH118,1)</f>
        <v>0</v>
      </c>
      <c r="DI120" s="3649">
        <f>IFERROR(VLOOKUP(DH103,DH105:DH118,1,0),0)</f>
        <v>0</v>
      </c>
      <c r="DJ120" s="990"/>
      <c r="DK120" s="2179"/>
      <c r="DX120" s="1"/>
      <c r="DZ120" s="280" t="s">
        <v>2223</v>
      </c>
      <c r="EA120" s="2186">
        <f>EC120*EA100</f>
        <v>256500</v>
      </c>
      <c r="EB120" s="280">
        <v>42000</v>
      </c>
      <c r="EC120" s="2186">
        <f>970+56</f>
        <v>1026</v>
      </c>
      <c r="ED120" s="280"/>
      <c r="EE120" s="277">
        <v>970</v>
      </c>
      <c r="EF120" s="277">
        <v>56</v>
      </c>
      <c r="EP120" s="286"/>
      <c r="EQ120" s="286"/>
      <c r="FC120" s="2174"/>
      <c r="FD120" s="2174"/>
      <c r="FG120" s="2179"/>
      <c r="FH120" s="2179"/>
      <c r="FI120" s="2179"/>
      <c r="FJ120" s="2179"/>
      <c r="FK120" s="2179"/>
      <c r="FL120" s="2179"/>
      <c r="FM120" s="2179"/>
      <c r="FN120" s="2179"/>
      <c r="FO120" s="2179"/>
      <c r="FP120" s="2179"/>
      <c r="FQ120" s="2179"/>
      <c r="FS120" s="2237"/>
      <c r="FT120" s="990"/>
      <c r="FU120" s="2244"/>
      <c r="FV120" s="2179"/>
      <c r="FY120" s="2176"/>
      <c r="FZ120" s="2176"/>
      <c r="GC120" s="2179"/>
      <c r="GD120" s="2179"/>
      <c r="GE120" s="2179"/>
      <c r="GF120" s="2179"/>
      <c r="GG120" s="2179"/>
      <c r="GH120" s="2179"/>
      <c r="GI120" s="2179"/>
      <c r="GJ120" s="2179"/>
      <c r="GK120" s="2179"/>
      <c r="GL120" s="2179"/>
      <c r="GM120" s="2179"/>
      <c r="GO120" s="2237"/>
      <c r="GP120" s="990"/>
      <c r="GQ120" s="2244"/>
      <c r="GR120" s="2179"/>
      <c r="GU120" s="2174"/>
      <c r="GX120" s="2179"/>
      <c r="GY120" s="2179"/>
      <c r="GZ120" s="2179"/>
      <c r="HA120" s="2179"/>
      <c r="HB120" s="2179"/>
      <c r="HC120" s="2179"/>
      <c r="HD120" s="2179"/>
      <c r="HE120" s="2179"/>
      <c r="HF120" s="2179"/>
      <c r="HG120" s="2179"/>
      <c r="HH120" s="2179"/>
      <c r="HJ120" s="2237"/>
      <c r="HK120" s="990"/>
      <c r="HL120" s="2244"/>
      <c r="HM120" s="2179"/>
      <c r="HO120" s="2176"/>
      <c r="HP120" s="2176"/>
      <c r="HS120" s="2179"/>
      <c r="HT120" s="2179"/>
      <c r="HU120" s="2179"/>
      <c r="HV120" s="2179"/>
      <c r="HW120" s="2179"/>
      <c r="HX120" s="2179"/>
      <c r="HY120" s="2179"/>
      <c r="HZ120" s="2179"/>
      <c r="IA120" s="2179"/>
      <c r="IB120" s="2179"/>
      <c r="IC120" s="2179"/>
      <c r="IE120" s="2237"/>
      <c r="IF120" s="990"/>
      <c r="IG120" s="2244"/>
      <c r="IH120" s="2179"/>
    </row>
    <row r="121" spans="3:242" ht="21.95" customHeight="1">
      <c r="C121" s="280" t="s">
        <v>2224</v>
      </c>
      <c r="D121" s="2186">
        <f>F121*D100</f>
        <v>345000</v>
      </c>
      <c r="E121" s="280">
        <v>52500</v>
      </c>
      <c r="F121" s="2186">
        <f>1300+80</f>
        <v>1380</v>
      </c>
      <c r="G121" s="280"/>
      <c r="H121" s="277">
        <v>1300</v>
      </c>
      <c r="I121" s="277">
        <v>80</v>
      </c>
      <c r="S121" s="286"/>
      <c r="T121" s="286"/>
      <c r="AF121" s="2174"/>
      <c r="AG121" s="2174"/>
      <c r="AJ121" s="2179"/>
      <c r="AK121" s="2179"/>
      <c r="AL121" s="2179"/>
      <c r="AM121" s="2179"/>
      <c r="AN121" s="2179"/>
      <c r="AO121" s="2179"/>
      <c r="AP121" s="2179"/>
      <c r="AQ121" s="2179"/>
      <c r="AR121" s="2179"/>
      <c r="AS121" s="2179"/>
      <c r="AT121" s="2179"/>
      <c r="AV121" s="3654" t="e">
        <f>VLOOKUP(AV120,AV105:AW118,2,0)</f>
        <v>#N/A</v>
      </c>
      <c r="AW121" s="3652" t="e">
        <f>IF(AW120&gt;0,AW120,AV121)</f>
        <v>#N/A</v>
      </c>
      <c r="AX121" s="3649" t="e">
        <f>VLOOKUP(AW121,AW105:AX117,2,0)</f>
        <v>#N/A</v>
      </c>
      <c r="AY121" s="2179"/>
      <c r="BB121" s="2176"/>
      <c r="BC121" s="2176"/>
      <c r="BF121" s="2179"/>
      <c r="BG121" s="2179"/>
      <c r="BH121" s="2179"/>
      <c r="BI121" s="2179"/>
      <c r="BJ121" s="2179"/>
      <c r="BK121" s="2179"/>
      <c r="BL121" s="2179"/>
      <c r="BM121" s="2179"/>
      <c r="BN121" s="2179"/>
      <c r="BO121" s="2179"/>
      <c r="BP121" s="2179"/>
      <c r="BR121" s="3654" t="e">
        <f>VLOOKUP(BR120,BR105:BS118,2,0)</f>
        <v>#N/A</v>
      </c>
      <c r="BS121" s="3652" t="e">
        <f>IF(BS120&gt;0,BS120,BR121)</f>
        <v>#N/A</v>
      </c>
      <c r="BT121" s="3649" t="e">
        <f>VLOOKUP(BS121,BS105:BT117,2,0)</f>
        <v>#N/A</v>
      </c>
      <c r="BU121" s="2179"/>
      <c r="BX121" s="2174"/>
      <c r="CA121" s="2179"/>
      <c r="CB121" s="2179"/>
      <c r="CC121" s="2179"/>
      <c r="CD121" s="2179"/>
      <c r="CE121" s="2179"/>
      <c r="CF121" s="2179"/>
      <c r="CG121" s="2179"/>
      <c r="CH121" s="2179"/>
      <c r="CI121" s="2179"/>
      <c r="CJ121" s="2179"/>
      <c r="CK121" s="2179"/>
      <c r="CM121" s="3654" t="e">
        <f>VLOOKUP(CM120,CM105:CN118,2,0)</f>
        <v>#N/A</v>
      </c>
      <c r="CN121" s="3652" t="e">
        <f>IF(CN120&gt;0,CN120,CM121)</f>
        <v>#N/A</v>
      </c>
      <c r="CO121" s="3649" t="e">
        <f>VLOOKUP(CN121,CN105:CO117,2,0)</f>
        <v>#N/A</v>
      </c>
      <c r="CP121" s="2179"/>
      <c r="CR121" s="2176"/>
      <c r="CS121" s="2176"/>
      <c r="CV121" s="2179"/>
      <c r="CW121" s="2179"/>
      <c r="CX121" s="2179"/>
      <c r="CY121" s="2179"/>
      <c r="CZ121" s="2179"/>
      <c r="DA121" s="2179"/>
      <c r="DB121" s="2179"/>
      <c r="DC121" s="2179"/>
      <c r="DD121" s="2179"/>
      <c r="DE121" s="2179"/>
      <c r="DF121" s="2179"/>
      <c r="DH121" s="3654" t="e">
        <f>VLOOKUP(DH120,DH105:DI118,2,0)</f>
        <v>#N/A</v>
      </c>
      <c r="DI121" s="3652" t="e">
        <f>IF(DI120&gt;0,DI120,DH121)</f>
        <v>#N/A</v>
      </c>
      <c r="DJ121" s="3649" t="e">
        <f>VLOOKUP(DI121,DI105:DJ117,2,0)</f>
        <v>#N/A</v>
      </c>
      <c r="DK121" s="2179"/>
      <c r="DX121" s="1"/>
      <c r="DZ121" s="280" t="s">
        <v>2224</v>
      </c>
      <c r="EA121" s="2186">
        <f>EC121*EA100</f>
        <v>345000</v>
      </c>
      <c r="EB121" s="280">
        <v>52500</v>
      </c>
      <c r="EC121" s="2186">
        <f>1300+80</f>
        <v>1380</v>
      </c>
      <c r="ED121" s="280"/>
      <c r="EE121" s="277">
        <v>1300</v>
      </c>
      <c r="EF121" s="277">
        <v>80</v>
      </c>
      <c r="EP121" s="286"/>
      <c r="EQ121" s="286"/>
      <c r="FC121" s="2174"/>
      <c r="FD121" s="2174"/>
      <c r="FG121" s="2179"/>
      <c r="FH121" s="2179"/>
      <c r="FI121" s="2179"/>
      <c r="FJ121" s="2179"/>
      <c r="FK121" s="2179"/>
      <c r="FL121" s="2179"/>
      <c r="FM121" s="2179"/>
      <c r="FN121" s="2179"/>
      <c r="FO121" s="2179"/>
      <c r="FP121" s="2179"/>
      <c r="FQ121" s="2179"/>
      <c r="FS121" s="3654">
        <f>VLOOKUP(FS104,FS106:FS119,1)</f>
        <v>0</v>
      </c>
      <c r="FT121" s="3649">
        <f>IFERROR(VLOOKUP(FS104,FS106:FS119,1,0),0)</f>
        <v>0</v>
      </c>
      <c r="FU121" s="990"/>
      <c r="FV121" s="2179"/>
      <c r="FY121" s="2176"/>
      <c r="FZ121" s="2176"/>
      <c r="GC121" s="2179"/>
      <c r="GD121" s="2179"/>
      <c r="GE121" s="2179"/>
      <c r="GF121" s="2179"/>
      <c r="GG121" s="2179"/>
      <c r="GH121" s="2179"/>
      <c r="GI121" s="2179"/>
      <c r="GJ121" s="2179"/>
      <c r="GK121" s="2179"/>
      <c r="GL121" s="2179"/>
      <c r="GM121" s="2179"/>
      <c r="GO121" s="3654">
        <f>VLOOKUP(GO104,GO106:GO119,1)</f>
        <v>0</v>
      </c>
      <c r="GP121" s="3649">
        <f>IFERROR(VLOOKUP(GO104,GO106:GO119,1,0),0)</f>
        <v>0</v>
      </c>
      <c r="GQ121" s="990"/>
      <c r="GR121" s="2179"/>
      <c r="GU121" s="2174"/>
      <c r="GX121" s="2179"/>
      <c r="GY121" s="2179"/>
      <c r="GZ121" s="2179"/>
      <c r="HA121" s="2179"/>
      <c r="HB121" s="2179"/>
      <c r="HC121" s="2179"/>
      <c r="HD121" s="2179"/>
      <c r="HE121" s="2179"/>
      <c r="HF121" s="2179"/>
      <c r="HG121" s="2179"/>
      <c r="HH121" s="2179"/>
      <c r="HJ121" s="3654">
        <f>VLOOKUP(HJ104,HJ106:HJ119,1)</f>
        <v>16.399999999999999</v>
      </c>
      <c r="HK121" s="3649">
        <f>IFERROR(VLOOKUP(HJ104,HJ106:HJ119,1,0),0)</f>
        <v>0</v>
      </c>
      <c r="HL121" s="990"/>
      <c r="HM121" s="2179"/>
      <c r="HO121" s="2176"/>
      <c r="HP121" s="2176"/>
      <c r="HS121" s="2179"/>
      <c r="HT121" s="2179"/>
      <c r="HU121" s="2179"/>
      <c r="HV121" s="2179"/>
      <c r="HW121" s="2179"/>
      <c r="HX121" s="2179"/>
      <c r="HY121" s="2179"/>
      <c r="HZ121" s="2179"/>
      <c r="IA121" s="2179"/>
      <c r="IB121" s="2179"/>
      <c r="IC121" s="2179"/>
      <c r="IE121" s="3654">
        <f>VLOOKUP(IE104,IE106:IE119,1)</f>
        <v>18.899999999999999</v>
      </c>
      <c r="IF121" s="3649">
        <f>IFERROR(VLOOKUP(IE104,IE106:IE119,1,0),0)</f>
        <v>0</v>
      </c>
      <c r="IG121" s="990"/>
      <c r="IH121" s="2179"/>
    </row>
    <row r="122" spans="3:242" ht="21.95" customHeight="1">
      <c r="C122" s="280" t="s">
        <v>2225</v>
      </c>
      <c r="D122" s="2186">
        <f>F122*D100</f>
        <v>471250</v>
      </c>
      <c r="E122" s="280">
        <v>57750</v>
      </c>
      <c r="F122" s="2186">
        <f>1770+115</f>
        <v>1885</v>
      </c>
      <c r="G122" s="280"/>
      <c r="H122" s="277">
        <v>1770</v>
      </c>
      <c r="I122" s="277">
        <v>115</v>
      </c>
      <c r="S122" s="286"/>
      <c r="T122" s="286"/>
      <c r="AF122" s="2174"/>
      <c r="AG122" s="2174"/>
      <c r="AJ122" s="1"/>
      <c r="AO122" s="277"/>
      <c r="BB122" s="2176"/>
      <c r="BC122" s="2176"/>
      <c r="BI122" s="277"/>
      <c r="BJ122" s="277"/>
      <c r="BX122" s="2174"/>
      <c r="CR122" s="2176"/>
      <c r="CS122" s="2176"/>
      <c r="CV122" s="286"/>
      <c r="CW122" s="286"/>
      <c r="DX122" s="1"/>
      <c r="DZ122" s="280" t="s">
        <v>2225</v>
      </c>
      <c r="EA122" s="2186">
        <f>EC122*EA100</f>
        <v>471250</v>
      </c>
      <c r="EB122" s="280">
        <v>57750</v>
      </c>
      <c r="EC122" s="2186">
        <f>1770+115</f>
        <v>1885</v>
      </c>
      <c r="ED122" s="280"/>
      <c r="EE122" s="277">
        <v>1770</v>
      </c>
      <c r="EF122" s="277">
        <v>115</v>
      </c>
      <c r="EP122" s="286"/>
      <c r="EQ122" s="286"/>
      <c r="FC122" s="2174"/>
      <c r="FD122" s="2174"/>
      <c r="FG122" s="2179"/>
      <c r="FH122" s="2179"/>
      <c r="FI122" s="2179"/>
      <c r="FJ122" s="2179"/>
      <c r="FK122" s="2179"/>
      <c r="FL122" s="2179"/>
      <c r="FM122" s="2179"/>
      <c r="FN122" s="2179"/>
      <c r="FO122" s="2179"/>
      <c r="FP122" s="2179"/>
      <c r="FQ122" s="2179"/>
      <c r="FS122" s="3654" t="e">
        <f>VLOOKUP(FS121,FS106:FT119,2,0)</f>
        <v>#N/A</v>
      </c>
      <c r="FT122" s="3652" t="e">
        <f>IF(FT121&gt;0,FT121,FS122)</f>
        <v>#N/A</v>
      </c>
      <c r="FU122" s="3649" t="e">
        <f>VLOOKUP(FT122,FT106:FU118,2,0)</f>
        <v>#N/A</v>
      </c>
      <c r="FV122" s="2179"/>
      <c r="FY122" s="2176"/>
      <c r="FZ122" s="2176"/>
      <c r="GC122" s="2179"/>
      <c r="GD122" s="2179"/>
      <c r="GE122" s="2179"/>
      <c r="GF122" s="2179"/>
      <c r="GG122" s="2179"/>
      <c r="GH122" s="2179"/>
      <c r="GI122" s="2179"/>
      <c r="GJ122" s="2179"/>
      <c r="GK122" s="2179"/>
      <c r="GL122" s="2179"/>
      <c r="GM122" s="2179"/>
      <c r="GO122" s="3654" t="e">
        <f>VLOOKUP(GO121,GO106:GP119,2,0)</f>
        <v>#N/A</v>
      </c>
      <c r="GP122" s="3652" t="e">
        <f>IF(GP121&gt;0,GP121,GO122)</f>
        <v>#N/A</v>
      </c>
      <c r="GQ122" s="3649" t="e">
        <f>VLOOKUP(GP122,GP106:GQ118,2,0)</f>
        <v>#N/A</v>
      </c>
      <c r="GR122" s="2179"/>
      <c r="GU122" s="2174"/>
      <c r="GX122" s="2179"/>
      <c r="GY122" s="2179"/>
      <c r="GZ122" s="2179"/>
      <c r="HA122" s="2179"/>
      <c r="HB122" s="2179"/>
      <c r="HC122" s="2179"/>
      <c r="HD122" s="2179"/>
      <c r="HE122" s="2179"/>
      <c r="HF122" s="2179"/>
      <c r="HG122" s="2179"/>
      <c r="HH122" s="2179"/>
      <c r="HJ122" s="3654">
        <f>VLOOKUP(HJ121,HJ106:HK119,2,0)</f>
        <v>21</v>
      </c>
      <c r="HK122" s="3652">
        <f>IF(HK121&gt;0,HK121,HJ122)</f>
        <v>21</v>
      </c>
      <c r="HL122" s="3649">
        <f>VLOOKUP(HK122,HK106:HL118,2,0)</f>
        <v>280</v>
      </c>
      <c r="HM122" s="2179"/>
      <c r="HO122" s="2176"/>
      <c r="HP122" s="2176"/>
      <c r="HS122" s="2179"/>
      <c r="HT122" s="2179"/>
      <c r="HU122" s="2179"/>
      <c r="HV122" s="2179"/>
      <c r="HW122" s="2179"/>
      <c r="HX122" s="2179"/>
      <c r="HY122" s="2179"/>
      <c r="HZ122" s="2179"/>
      <c r="IA122" s="2179"/>
      <c r="IB122" s="2179"/>
      <c r="IC122" s="2179"/>
      <c r="IE122" s="3654">
        <f>VLOOKUP(IE121,IE106:IF119,2,0)</f>
        <v>29.3</v>
      </c>
      <c r="IF122" s="3652">
        <f>IF(IF121&gt;0,IF121,IE122)</f>
        <v>29.3</v>
      </c>
      <c r="IG122" s="3649">
        <f>VLOOKUP(IF122,IF106:IG118,2,0)</f>
        <v>280</v>
      </c>
      <c r="IH122" s="2179"/>
    </row>
    <row r="123" spans="3:242" ht="21.95" customHeight="1">
      <c r="C123" s="280" t="s">
        <v>2226</v>
      </c>
      <c r="D123" s="2186">
        <f>F123*D100</f>
        <v>628750</v>
      </c>
      <c r="E123" s="280">
        <v>73500</v>
      </c>
      <c r="F123" s="2186">
        <f>2350+165</f>
        <v>2515</v>
      </c>
      <c r="G123" s="280"/>
      <c r="H123" s="277">
        <v>2350</v>
      </c>
      <c r="I123" s="277">
        <v>165</v>
      </c>
      <c r="S123" s="286"/>
      <c r="T123" s="286"/>
      <c r="AF123" s="2174"/>
      <c r="AG123" s="2174"/>
      <c r="AJ123" s="1"/>
      <c r="AO123" s="277"/>
      <c r="BB123" s="2176"/>
      <c r="BC123" s="2176"/>
      <c r="BI123" s="277"/>
      <c r="BJ123" s="277"/>
      <c r="BX123" s="2174"/>
      <c r="CR123" s="2176"/>
      <c r="CS123" s="2176"/>
      <c r="CV123" s="286"/>
      <c r="CW123" s="286"/>
      <c r="DX123" s="1"/>
      <c r="DZ123" s="280" t="s">
        <v>2226</v>
      </c>
      <c r="EA123" s="2186">
        <f>EC123*EA100</f>
        <v>628750</v>
      </c>
      <c r="EB123" s="280">
        <v>73500</v>
      </c>
      <c r="EC123" s="2186">
        <f>2350+165</f>
        <v>2515</v>
      </c>
      <c r="ED123" s="280"/>
      <c r="EE123" s="277">
        <v>2350</v>
      </c>
      <c r="EF123" s="277">
        <v>165</v>
      </c>
      <c r="EP123" s="286"/>
      <c r="EQ123" s="286"/>
      <c r="FC123" s="2174"/>
      <c r="FD123" s="2174"/>
      <c r="FG123" s="1"/>
      <c r="FY123" s="2176"/>
      <c r="FZ123" s="2176"/>
      <c r="GU123" s="2174"/>
      <c r="HO123" s="2176"/>
      <c r="HP123" s="2176"/>
      <c r="HS123" s="286"/>
      <c r="HT123" s="286"/>
    </row>
    <row r="124" spans="3:242" ht="21.95" customHeight="1">
      <c r="C124" s="280" t="s">
        <v>2227</v>
      </c>
      <c r="D124" s="2186">
        <f>F124*D100</f>
        <v>1017500</v>
      </c>
      <c r="E124" s="280">
        <v>77175</v>
      </c>
      <c r="F124" s="2186">
        <f>3850+220</f>
        <v>4070</v>
      </c>
      <c r="G124" s="280"/>
      <c r="H124" s="277">
        <v>3850</v>
      </c>
      <c r="I124" s="277">
        <v>220</v>
      </c>
      <c r="S124" s="286"/>
      <c r="T124" s="286"/>
      <c r="AF124" s="2174"/>
      <c r="AG124" s="2174"/>
      <c r="AJ124" s="1"/>
      <c r="AO124" s="277"/>
      <c r="BB124" s="2176"/>
      <c r="BC124" s="2176"/>
      <c r="BI124" s="277"/>
      <c r="BJ124" s="277"/>
      <c r="BX124" s="2174"/>
      <c r="CR124" s="2176"/>
      <c r="CS124" s="2176"/>
      <c r="DX124" s="1"/>
      <c r="DZ124" s="280" t="s">
        <v>2227</v>
      </c>
      <c r="EA124" s="2186">
        <f>EC124*EA100</f>
        <v>1017500</v>
      </c>
      <c r="EB124" s="280">
        <v>77175</v>
      </c>
      <c r="EC124" s="2186">
        <f>3850+220</f>
        <v>4070</v>
      </c>
      <c r="ED124" s="280"/>
      <c r="EE124" s="277">
        <v>3850</v>
      </c>
      <c r="EF124" s="277">
        <v>220</v>
      </c>
      <c r="EP124" s="286"/>
      <c r="EQ124" s="286"/>
      <c r="FC124" s="2174"/>
      <c r="FD124" s="2174"/>
      <c r="FG124" s="1"/>
      <c r="FY124" s="2176"/>
      <c r="FZ124" s="2176"/>
      <c r="GU124" s="2174"/>
      <c r="HO124" s="2176"/>
      <c r="HP124" s="2176"/>
      <c r="HS124" s="286"/>
      <c r="HT124" s="286"/>
    </row>
    <row r="125" spans="3:242" ht="21.95" customHeight="1">
      <c r="C125" s="280" t="s">
        <v>2228</v>
      </c>
      <c r="D125" s="2186">
        <f>F125*D100</f>
        <v>1402500</v>
      </c>
      <c r="E125" s="280">
        <v>81040</v>
      </c>
      <c r="F125" s="2186">
        <f>5300+310</f>
        <v>5610</v>
      </c>
      <c r="G125" s="280"/>
      <c r="H125" s="277">
        <v>5300</v>
      </c>
      <c r="I125" s="277">
        <v>310</v>
      </c>
      <c r="S125" s="286"/>
      <c r="T125" s="286"/>
      <c r="AF125" s="2174"/>
      <c r="AG125" s="2174"/>
      <c r="AJ125" s="1"/>
      <c r="AO125" s="277"/>
      <c r="BB125" s="2176"/>
      <c r="BC125" s="2176"/>
      <c r="BI125" s="277"/>
      <c r="BJ125" s="277"/>
      <c r="BX125" s="2174"/>
      <c r="CR125" s="2176"/>
      <c r="CS125" s="2176"/>
      <c r="DX125" s="1"/>
      <c r="DZ125" s="280" t="s">
        <v>2228</v>
      </c>
      <c r="EA125" s="2186">
        <f>EC125*EA100</f>
        <v>1402500</v>
      </c>
      <c r="EB125" s="280">
        <v>81040</v>
      </c>
      <c r="EC125" s="2186">
        <f>5300+310</f>
        <v>5610</v>
      </c>
      <c r="ED125" s="280"/>
      <c r="EE125" s="277">
        <v>5300</v>
      </c>
      <c r="EF125" s="277">
        <v>310</v>
      </c>
      <c r="EP125" s="286"/>
      <c r="EQ125" s="286"/>
      <c r="FC125" s="2174"/>
      <c r="FD125" s="2174"/>
      <c r="FG125" s="1"/>
      <c r="FY125" s="2176"/>
      <c r="FZ125" s="2176"/>
      <c r="GU125" s="2174"/>
      <c r="HO125" s="2176"/>
      <c r="HP125" s="2176"/>
    </row>
    <row r="126" spans="3:242" ht="21.95" customHeight="1">
      <c r="C126" s="280" t="s">
        <v>2229</v>
      </c>
      <c r="D126" s="2186">
        <f>F126*D100</f>
        <v>1925000</v>
      </c>
      <c r="E126" s="280">
        <v>85090</v>
      </c>
      <c r="F126" s="2186">
        <f>7250+450</f>
        <v>7700</v>
      </c>
      <c r="G126" s="280"/>
      <c r="H126" s="277">
        <v>7250</v>
      </c>
      <c r="I126" s="277">
        <v>450</v>
      </c>
      <c r="S126" s="286"/>
      <c r="T126" s="286"/>
      <c r="AF126" s="2174"/>
      <c r="AG126" s="2174"/>
      <c r="AJ126" s="1"/>
      <c r="AO126" s="277"/>
      <c r="BB126" s="2176"/>
      <c r="BC126" s="2176"/>
      <c r="BI126" s="277"/>
      <c r="BJ126" s="277"/>
      <c r="BX126" s="2174"/>
      <c r="CR126" s="2176"/>
      <c r="CS126" s="2176"/>
      <c r="DX126" s="1"/>
      <c r="DZ126" s="280" t="s">
        <v>2229</v>
      </c>
      <c r="EA126" s="2186">
        <f>EC126*EA100</f>
        <v>1925000</v>
      </c>
      <c r="EB126" s="280">
        <v>85090</v>
      </c>
      <c r="EC126" s="2186">
        <f>7250+450</f>
        <v>7700</v>
      </c>
      <c r="ED126" s="280"/>
      <c r="EE126" s="277">
        <v>7250</v>
      </c>
      <c r="EF126" s="277">
        <v>450</v>
      </c>
      <c r="EP126" s="286"/>
      <c r="EQ126" s="286"/>
      <c r="FC126" s="2174"/>
      <c r="FD126" s="2174"/>
      <c r="FG126" s="1"/>
      <c r="FY126" s="2176"/>
      <c r="FZ126" s="2176"/>
      <c r="GU126" s="2174"/>
      <c r="HO126" s="2176"/>
      <c r="HP126" s="2176"/>
    </row>
    <row r="127" spans="3:242" ht="21.95" customHeight="1">
      <c r="C127" s="280" t="s">
        <v>2230</v>
      </c>
      <c r="D127" s="2186">
        <f>F127*D100</f>
        <v>2692500</v>
      </c>
      <c r="E127" s="280">
        <v>89340</v>
      </c>
      <c r="F127" s="2186">
        <f>10100+670</f>
        <v>10770</v>
      </c>
      <c r="G127" s="280"/>
      <c r="H127" s="277">
        <v>10100</v>
      </c>
      <c r="I127" s="277">
        <v>670</v>
      </c>
      <c r="S127" s="286"/>
      <c r="T127" s="286"/>
      <c r="AF127" s="2174"/>
      <c r="AG127" s="2174"/>
      <c r="AJ127" s="1"/>
      <c r="AO127" s="277"/>
      <c r="BB127" s="2176"/>
      <c r="BC127" s="2176"/>
      <c r="BI127" s="277"/>
      <c r="BJ127" s="277"/>
      <c r="BX127" s="2174"/>
      <c r="CR127" s="2176"/>
      <c r="CS127" s="2176"/>
      <c r="DX127" s="1"/>
      <c r="DZ127" s="280" t="s">
        <v>2230</v>
      </c>
      <c r="EA127" s="2186">
        <f>EC127*EA100</f>
        <v>2692500</v>
      </c>
      <c r="EB127" s="280">
        <v>89340</v>
      </c>
      <c r="EC127" s="2186">
        <f>10100+670</f>
        <v>10770</v>
      </c>
      <c r="ED127" s="280"/>
      <c r="EE127" s="277">
        <v>10100</v>
      </c>
      <c r="EF127" s="277">
        <v>670</v>
      </c>
      <c r="EP127" s="286"/>
      <c r="EQ127" s="286"/>
      <c r="FC127" s="2174"/>
      <c r="FD127" s="2174"/>
      <c r="FG127" s="1"/>
      <c r="FY127" s="2176"/>
      <c r="FZ127" s="2176"/>
      <c r="GU127" s="2174"/>
      <c r="HO127" s="2176"/>
      <c r="HP127" s="2176"/>
    </row>
    <row r="128" spans="3:242" ht="21.95" customHeight="1">
      <c r="C128" s="735" t="s">
        <v>2231</v>
      </c>
      <c r="D128" s="3643">
        <f>F128*D100</f>
        <v>3750000</v>
      </c>
      <c r="E128" s="2274">
        <v>93800</v>
      </c>
      <c r="F128" s="2186">
        <f>14100+900</f>
        <v>15000</v>
      </c>
      <c r="G128" s="748"/>
      <c r="H128" s="277">
        <v>14100</v>
      </c>
      <c r="I128" s="277">
        <v>900</v>
      </c>
      <c r="S128" s="286"/>
      <c r="T128" s="286"/>
      <c r="AF128" s="2174"/>
      <c r="AG128" s="2174"/>
      <c r="AJ128" s="1"/>
      <c r="AO128" s="277"/>
      <c r="BB128" s="2176"/>
      <c r="BC128" s="2176"/>
      <c r="BI128" s="277"/>
      <c r="BJ128" s="277"/>
      <c r="BX128" s="2174"/>
      <c r="CR128" s="2176"/>
      <c r="CS128" s="2176"/>
      <c r="DX128" s="1"/>
      <c r="DZ128" s="735" t="s">
        <v>2231</v>
      </c>
      <c r="EA128" s="3643">
        <f>EC128*EA100</f>
        <v>3750000</v>
      </c>
      <c r="EB128" s="2274">
        <v>93800</v>
      </c>
      <c r="EC128" s="2186">
        <f>14100+900</f>
        <v>15000</v>
      </c>
      <c r="ED128" s="748"/>
      <c r="EE128" s="277">
        <v>14100</v>
      </c>
      <c r="EF128" s="277">
        <v>900</v>
      </c>
      <c r="EP128" s="286"/>
      <c r="EQ128" s="286"/>
      <c r="FC128" s="2174"/>
      <c r="FD128" s="2174"/>
      <c r="FG128" s="1"/>
      <c r="FY128" s="2176"/>
      <c r="FZ128" s="2176"/>
      <c r="GU128" s="2174"/>
      <c r="HO128" s="2176"/>
      <c r="HP128" s="2176"/>
    </row>
    <row r="129" spans="1:249" s="286" customFormat="1" ht="21.95" customHeight="1">
      <c r="AF129" s="2174"/>
      <c r="AG129" s="2174"/>
      <c r="AJ129" s="2236"/>
      <c r="BB129" s="2176"/>
      <c r="BC129" s="2176"/>
      <c r="BX129" s="2174"/>
      <c r="CR129" s="2176"/>
      <c r="CS129" s="2176"/>
      <c r="DQ129" s="2171"/>
      <c r="DR129" s="2171"/>
      <c r="DX129" s="1"/>
      <c r="DY129" s="277"/>
      <c r="DZ129" s="277"/>
      <c r="EA129" s="277"/>
      <c r="EB129" s="277"/>
      <c r="EC129" s="277"/>
      <c r="ED129" s="277"/>
      <c r="EE129" s="277"/>
      <c r="EF129" s="277"/>
      <c r="EG129" s="277"/>
      <c r="EH129" s="277"/>
      <c r="EI129" s="277"/>
      <c r="EJ129" s="277"/>
      <c r="EK129" s="277"/>
      <c r="EL129" s="277"/>
      <c r="EM129" s="277"/>
      <c r="EN129" s="277"/>
      <c r="EO129" s="277"/>
      <c r="ER129" s="277"/>
      <c r="ES129" s="277"/>
      <c r="ET129" s="277"/>
      <c r="EU129" s="277"/>
      <c r="EV129" s="277"/>
      <c r="EW129" s="277"/>
      <c r="EX129" s="277"/>
      <c r="EY129" s="277"/>
      <c r="EZ129" s="277"/>
      <c r="FA129" s="277"/>
      <c r="FB129" s="277"/>
      <c r="FC129" s="2174"/>
      <c r="FD129" s="2174"/>
      <c r="FE129" s="277"/>
      <c r="FF129" s="277"/>
      <c r="FG129" s="1"/>
      <c r="FH129" s="277"/>
      <c r="FI129" s="277"/>
      <c r="FJ129" s="277"/>
      <c r="FK129" s="277"/>
      <c r="FL129" s="277"/>
      <c r="FM129" s="277"/>
      <c r="FN129" s="277"/>
      <c r="FO129" s="277"/>
      <c r="FP129" s="277"/>
      <c r="FQ129" s="277"/>
      <c r="FR129" s="277"/>
      <c r="FS129" s="277"/>
      <c r="FT129" s="277"/>
      <c r="FU129" s="277"/>
      <c r="FV129" s="277"/>
      <c r="FW129" s="277"/>
      <c r="FX129" s="277"/>
      <c r="FY129" s="2176"/>
      <c r="FZ129" s="2176"/>
      <c r="GA129" s="277"/>
      <c r="GB129" s="277"/>
      <c r="GC129" s="277"/>
      <c r="GD129" s="277"/>
      <c r="GE129" s="277"/>
      <c r="GF129" s="277"/>
      <c r="GG129" s="277"/>
      <c r="GH129" s="277"/>
      <c r="GI129" s="277"/>
      <c r="GJ129" s="277"/>
      <c r="GK129" s="277"/>
      <c r="GL129" s="277"/>
      <c r="GM129" s="277"/>
      <c r="GN129" s="277"/>
      <c r="GO129" s="277"/>
      <c r="GP129" s="277"/>
      <c r="GQ129" s="277"/>
      <c r="GR129" s="277"/>
      <c r="GS129" s="277"/>
      <c r="GT129" s="277"/>
      <c r="GU129" s="2174"/>
      <c r="GV129" s="277"/>
      <c r="GW129" s="277"/>
      <c r="GX129" s="277"/>
      <c r="GY129" s="277"/>
      <c r="GZ129" s="277"/>
      <c r="HA129" s="277"/>
      <c r="HB129" s="277"/>
      <c r="HC129" s="277"/>
      <c r="HD129" s="277"/>
      <c r="HE129" s="277"/>
      <c r="HF129" s="277"/>
      <c r="HG129" s="277"/>
      <c r="HH129" s="277"/>
      <c r="HI129" s="277"/>
      <c r="HJ129" s="277"/>
      <c r="HK129" s="277"/>
      <c r="HL129" s="277"/>
      <c r="HM129" s="277"/>
      <c r="HN129" s="277"/>
      <c r="HO129" s="2176"/>
      <c r="HP129" s="2176"/>
      <c r="HQ129" s="277"/>
      <c r="HR129" s="277"/>
      <c r="HS129" s="277"/>
      <c r="HT129" s="277"/>
      <c r="HU129" s="277"/>
      <c r="HV129" s="277"/>
      <c r="HW129" s="277"/>
      <c r="HX129" s="277"/>
      <c r="HY129" s="277"/>
      <c r="HZ129" s="277"/>
      <c r="IA129" s="277"/>
      <c r="IB129" s="277"/>
      <c r="IC129" s="277"/>
      <c r="ID129" s="277"/>
      <c r="IE129" s="277"/>
      <c r="IF129" s="277"/>
      <c r="IG129" s="277"/>
      <c r="IH129" s="277"/>
      <c r="II129" s="277"/>
      <c r="IJ129" s="277"/>
      <c r="IK129" s="277"/>
      <c r="IL129" s="277"/>
      <c r="IN129" s="2171"/>
      <c r="IO129" s="2171"/>
    </row>
    <row r="130" spans="1:249" s="286" customFormat="1" ht="21.95" customHeight="1">
      <c r="AF130" s="2174"/>
      <c r="AG130" s="2174"/>
      <c r="AJ130" s="2236"/>
      <c r="BB130" s="2176"/>
      <c r="BC130" s="2176"/>
      <c r="BX130" s="2174"/>
      <c r="CR130" s="2176"/>
      <c r="CS130" s="2176"/>
      <c r="DQ130" s="2171"/>
      <c r="DR130" s="2171"/>
      <c r="FC130" s="2174"/>
      <c r="FD130" s="2174"/>
      <c r="FG130" s="2236"/>
      <c r="FY130" s="2176"/>
      <c r="FZ130" s="2176"/>
      <c r="GU130" s="2174"/>
      <c r="HO130" s="2176"/>
      <c r="HP130" s="2176"/>
      <c r="IN130" s="2171"/>
      <c r="IO130" s="2171"/>
    </row>
    <row r="131" spans="1:249" s="2174" customFormat="1" ht="21.95" customHeight="1">
      <c r="AJ131" s="2247"/>
      <c r="DQ131" s="2171"/>
      <c r="DR131" s="2171"/>
      <c r="DS131" s="286"/>
      <c r="FG131" s="2247"/>
      <c r="IN131" s="2171"/>
      <c r="IO131" s="2171"/>
    </row>
    <row r="132" spans="1:249" s="2174" customFormat="1" ht="21.95" customHeight="1">
      <c r="A132" s="2247"/>
      <c r="DQ132" s="2171"/>
      <c r="DR132" s="2171"/>
      <c r="DS132" s="286"/>
      <c r="DX132" s="2247"/>
      <c r="IN132" s="2171"/>
      <c r="IO132" s="2171"/>
    </row>
    <row r="133" spans="1:249" ht="21.95" customHeight="1">
      <c r="S133" s="286"/>
      <c r="T133" s="286"/>
      <c r="AO133" s="286"/>
      <c r="BF133" s="2176"/>
      <c r="BG133" s="2176"/>
      <c r="BI133" s="286"/>
      <c r="BJ133" s="286"/>
    </row>
    <row r="134" spans="1:249" ht="21.95" customHeight="1">
      <c r="S134" s="286"/>
      <c r="T134" s="286"/>
      <c r="AO134" s="286"/>
      <c r="BF134" s="2176"/>
      <c r="BG134" s="2176"/>
      <c r="BI134" s="286"/>
      <c r="BJ134" s="286"/>
      <c r="DX134" s="1"/>
      <c r="EP134" s="286"/>
      <c r="EQ134" s="286"/>
      <c r="FL134" s="286"/>
      <c r="GC134" s="2176"/>
      <c r="GD134" s="2176"/>
      <c r="GF134" s="286"/>
      <c r="GG134" s="286"/>
    </row>
    <row r="135" spans="1:249" ht="21.95" customHeight="1">
      <c r="S135" s="286"/>
      <c r="T135" s="286"/>
      <c r="AO135" s="286"/>
      <c r="BF135" s="2176"/>
      <c r="BG135" s="2176"/>
      <c r="BI135" s="286"/>
      <c r="BJ135" s="286"/>
      <c r="DX135" s="1"/>
      <c r="EP135" s="286"/>
      <c r="EQ135" s="286"/>
      <c r="FL135" s="286"/>
      <c r="GC135" s="2176"/>
      <c r="GD135" s="2176"/>
      <c r="GF135" s="286"/>
      <c r="GG135" s="286"/>
    </row>
    <row r="136" spans="1:249" ht="21.95" customHeight="1">
      <c r="A136" s="2275"/>
      <c r="B136" s="2250"/>
      <c r="C136" s="2250"/>
      <c r="D136" s="2250"/>
      <c r="E136" s="2250"/>
      <c r="F136" s="2250"/>
      <c r="G136" s="2250"/>
      <c r="H136" s="2250"/>
      <c r="I136" s="2250"/>
      <c r="J136" s="2250"/>
      <c r="K136" s="2250"/>
      <c r="L136" s="2250"/>
      <c r="M136" s="2250"/>
      <c r="N136" s="2250"/>
      <c r="O136" s="2250"/>
      <c r="P136" s="2250"/>
      <c r="Q136" s="2250"/>
      <c r="R136" s="2250"/>
      <c r="S136" s="2250"/>
      <c r="T136" s="2250"/>
      <c r="U136" s="2250"/>
      <c r="V136" s="2250"/>
      <c r="W136" s="2250"/>
      <c r="X136" s="2250"/>
      <c r="Y136" s="2250"/>
      <c r="Z136" s="2250"/>
      <c r="AA136" s="2250"/>
      <c r="AB136" s="2250"/>
      <c r="AC136" s="2250"/>
      <c r="AD136" s="2250"/>
      <c r="AE136" s="2250"/>
      <c r="AF136" s="2250"/>
      <c r="AG136" s="2250"/>
      <c r="AH136" s="2250"/>
      <c r="AI136" s="2250"/>
      <c r="AJ136" s="2250"/>
      <c r="AK136" s="2250"/>
      <c r="AL136" s="2250"/>
      <c r="AM136" s="2250"/>
      <c r="AN136" s="2250"/>
      <c r="AO136" s="2250"/>
      <c r="AP136" s="2250"/>
      <c r="AQ136" s="2250"/>
      <c r="AR136" s="2250"/>
      <c r="AS136" s="2250"/>
      <c r="AT136" s="2250"/>
      <c r="AU136" s="2250"/>
      <c r="AV136" s="2250"/>
      <c r="AW136" s="2250"/>
      <c r="AX136" s="2250"/>
      <c r="AY136" s="2250"/>
      <c r="AZ136" s="2250"/>
      <c r="BA136" s="2250"/>
      <c r="BB136" s="2250"/>
      <c r="BC136" s="2250"/>
      <c r="BD136" s="2250"/>
      <c r="BE136" s="2250"/>
      <c r="BF136" s="2276"/>
      <c r="BG136" s="2276"/>
      <c r="BH136" s="2250"/>
      <c r="BI136" s="2250"/>
      <c r="BJ136" s="2250"/>
      <c r="BK136" s="2250"/>
      <c r="BL136" s="2250"/>
      <c r="BM136" s="2250"/>
      <c r="BN136" s="2250"/>
      <c r="BO136" s="2250"/>
      <c r="BP136" s="2250"/>
      <c r="BQ136" s="2250"/>
      <c r="BR136" s="2250"/>
      <c r="BS136" s="2250"/>
      <c r="BT136" s="2250"/>
      <c r="BU136" s="2250"/>
      <c r="BV136" s="2250"/>
      <c r="BW136" s="2250"/>
      <c r="BX136" s="2250"/>
      <c r="BY136" s="2250"/>
      <c r="BZ136" s="2250"/>
      <c r="CA136" s="2250"/>
      <c r="CB136" s="2250"/>
      <c r="CC136" s="2250"/>
      <c r="CD136" s="2250"/>
      <c r="CE136" s="2250"/>
      <c r="CF136" s="2250"/>
      <c r="CG136" s="2250"/>
      <c r="CH136" s="2250"/>
      <c r="CI136" s="2250"/>
      <c r="CJ136" s="2250"/>
      <c r="CK136" s="2250"/>
      <c r="CL136" s="2250"/>
      <c r="CM136" s="2250"/>
      <c r="CN136" s="2250"/>
      <c r="CO136" s="2250"/>
      <c r="CP136" s="2250"/>
      <c r="CQ136" s="2250"/>
      <c r="CR136" s="2250"/>
      <c r="CS136" s="2250"/>
      <c r="CT136" s="2250"/>
      <c r="CU136" s="2250"/>
      <c r="CV136" s="2250"/>
      <c r="CW136" s="2250"/>
      <c r="CX136" s="2250"/>
      <c r="CY136" s="2250"/>
      <c r="CZ136" s="2250"/>
      <c r="DA136" s="2250"/>
      <c r="DB136" s="2250"/>
      <c r="DC136" s="2250"/>
      <c r="DD136" s="2250"/>
      <c r="DE136" s="2250"/>
      <c r="DF136" s="2250"/>
      <c r="DG136" s="2250"/>
      <c r="DH136" s="2250"/>
      <c r="DI136" s="2250"/>
      <c r="DJ136" s="2250"/>
      <c r="DK136" s="2250"/>
      <c r="DL136" s="2250"/>
      <c r="DM136" s="2250"/>
      <c r="DN136" s="2250"/>
      <c r="DO136" s="2250"/>
      <c r="DP136" s="2250"/>
      <c r="DQ136" s="2277"/>
      <c r="DR136" s="2277"/>
      <c r="DS136" s="2278"/>
      <c r="DT136" s="2250"/>
      <c r="DU136" s="2250"/>
      <c r="DV136" s="2250"/>
      <c r="DW136" s="2250"/>
      <c r="DX136" s="1"/>
      <c r="EP136" s="286"/>
      <c r="EQ136" s="286"/>
      <c r="FL136" s="286"/>
      <c r="GC136" s="2176"/>
      <c r="GD136" s="2176"/>
      <c r="GF136" s="286"/>
      <c r="GG136" s="286"/>
    </row>
    <row r="137" spans="1:249" ht="21.95" customHeight="1" thickBot="1">
      <c r="A137" s="2275"/>
      <c r="B137" s="2250"/>
      <c r="C137" s="2250"/>
      <c r="D137" s="2250"/>
      <c r="E137" s="2250"/>
      <c r="F137" s="2250"/>
      <c r="G137" s="2250"/>
      <c r="H137" s="2250"/>
      <c r="I137" s="2250"/>
      <c r="J137" s="2250"/>
      <c r="K137" s="2250"/>
      <c r="L137" s="2250"/>
      <c r="M137" s="2250"/>
      <c r="N137" s="2250"/>
      <c r="O137" s="2250"/>
      <c r="P137" s="2250"/>
      <c r="Q137" s="2250"/>
      <c r="R137" s="2250"/>
      <c r="S137" s="2250"/>
      <c r="T137" s="2250"/>
      <c r="U137" s="2250"/>
      <c r="V137" s="2250"/>
      <c r="W137" s="2250"/>
      <c r="X137" s="2250"/>
      <c r="Y137" s="2250"/>
      <c r="Z137" s="2250"/>
      <c r="AA137" s="2250"/>
      <c r="AB137" s="2250"/>
      <c r="AC137" s="2250"/>
      <c r="AD137" s="2250"/>
      <c r="AE137" s="2250"/>
      <c r="AF137" s="2250"/>
      <c r="AG137" s="2250"/>
      <c r="AH137" s="2250"/>
      <c r="AI137" s="2250"/>
      <c r="AJ137" s="2250"/>
      <c r="AK137" s="2250"/>
      <c r="AL137" s="2250"/>
      <c r="AM137" s="2250"/>
      <c r="AN137" s="2250"/>
      <c r="AO137" s="2250"/>
      <c r="AP137" s="2250"/>
      <c r="AQ137" s="2250"/>
      <c r="AR137" s="2250"/>
      <c r="AS137" s="2250"/>
      <c r="AT137" s="2250"/>
      <c r="AU137" s="2250"/>
      <c r="AV137" s="2250"/>
      <c r="AW137" s="2250"/>
      <c r="AX137" s="2250"/>
      <c r="AY137" s="2250"/>
      <c r="AZ137" s="2250"/>
      <c r="BA137" s="2250"/>
      <c r="BB137" s="2250"/>
      <c r="BC137" s="2250"/>
      <c r="BD137" s="2250"/>
      <c r="BE137" s="2250"/>
      <c r="BF137" s="2276"/>
      <c r="BG137" s="2276"/>
      <c r="BH137" s="2250"/>
      <c r="BI137" s="2275"/>
      <c r="BJ137" s="2250"/>
      <c r="BK137" s="2250"/>
      <c r="BL137" s="2250"/>
      <c r="BM137" s="2250"/>
      <c r="BN137" s="2250"/>
      <c r="BO137" s="2250"/>
      <c r="BP137" s="2250"/>
      <c r="BQ137" s="2250"/>
      <c r="BR137" s="2250"/>
      <c r="BS137" s="2250"/>
      <c r="BT137" s="2250"/>
      <c r="BU137" s="2250"/>
      <c r="BV137" s="2250"/>
      <c r="BW137" s="2250"/>
      <c r="BX137" s="2250"/>
      <c r="BY137" s="2250"/>
      <c r="BZ137" s="2250"/>
      <c r="CA137" s="2250"/>
      <c r="CB137" s="2250"/>
      <c r="CC137" s="2250"/>
      <c r="CD137" s="2250"/>
      <c r="CE137" s="2250"/>
      <c r="CF137" s="2250"/>
      <c r="CG137" s="2250"/>
      <c r="CH137" s="2250"/>
      <c r="CI137" s="2250"/>
      <c r="CJ137" s="2250"/>
      <c r="CK137" s="2250"/>
      <c r="CL137" s="2250"/>
      <c r="CM137" s="2250"/>
      <c r="CN137" s="2250"/>
      <c r="CO137" s="2250"/>
      <c r="CP137" s="2250"/>
      <c r="CQ137" s="2250"/>
      <c r="CR137" s="2250"/>
      <c r="CS137" s="2250"/>
      <c r="CT137" s="2250"/>
      <c r="CU137" s="2250"/>
      <c r="CV137" s="2250"/>
      <c r="CW137" s="2250"/>
      <c r="CX137" s="2250"/>
      <c r="CY137" s="2250"/>
      <c r="CZ137" s="2250"/>
      <c r="DA137" s="2250"/>
      <c r="DB137" s="2250"/>
      <c r="DC137" s="2250"/>
      <c r="DD137" s="2250"/>
      <c r="DE137" s="2250"/>
      <c r="DF137" s="2250"/>
      <c r="DG137" s="2250"/>
      <c r="DH137" s="2250"/>
      <c r="DI137" s="2250"/>
      <c r="DJ137" s="2250"/>
      <c r="DK137" s="2250"/>
      <c r="DL137" s="2250"/>
      <c r="DM137" s="2250"/>
      <c r="DN137" s="2250"/>
      <c r="DO137" s="2250"/>
      <c r="DP137" s="2250"/>
      <c r="DQ137" s="2277"/>
      <c r="DR137" s="2277"/>
      <c r="DS137" s="2278"/>
      <c r="DT137" s="2250"/>
      <c r="DU137" s="2250"/>
      <c r="DV137" s="2250"/>
      <c r="DW137" s="2250"/>
      <c r="DX137" s="2275"/>
      <c r="DY137" s="2250"/>
      <c r="DZ137" s="2250"/>
      <c r="EA137" s="2250"/>
      <c r="EB137" s="2250"/>
      <c r="EC137" s="2250"/>
      <c r="ED137" s="2250"/>
      <c r="EE137" s="2250"/>
      <c r="EF137" s="2250"/>
      <c r="EG137" s="2250"/>
      <c r="EH137" s="2250"/>
      <c r="EI137" s="2250"/>
      <c r="EJ137" s="2250"/>
      <c r="EK137" s="2250"/>
      <c r="EL137" s="2250"/>
      <c r="EM137" s="2250"/>
      <c r="EN137" s="2250"/>
      <c r="EO137" s="2250"/>
      <c r="EP137" s="2250"/>
      <c r="EQ137" s="2250"/>
      <c r="ER137" s="2250"/>
      <c r="ES137" s="2250"/>
      <c r="ET137" s="2250"/>
      <c r="EU137" s="2250"/>
      <c r="EV137" s="2250"/>
      <c r="EW137" s="2250"/>
      <c r="EX137" s="2250"/>
      <c r="EY137" s="2250"/>
      <c r="EZ137" s="2250"/>
      <c r="FA137" s="2250"/>
      <c r="FB137" s="2250"/>
      <c r="FC137" s="2250"/>
      <c r="FD137" s="2250"/>
      <c r="FE137" s="2250"/>
      <c r="FF137" s="2250"/>
      <c r="FG137" s="2250"/>
      <c r="FH137" s="2250"/>
      <c r="FI137" s="2250"/>
      <c r="FJ137" s="2250"/>
      <c r="FK137" s="2250"/>
      <c r="FL137" s="2250"/>
      <c r="FM137" s="2250"/>
      <c r="FN137" s="2250"/>
      <c r="FO137" s="2250"/>
      <c r="FP137" s="2250"/>
      <c r="FQ137" s="2250"/>
      <c r="FR137" s="2250"/>
      <c r="FS137" s="2250"/>
      <c r="FT137" s="2250"/>
      <c r="FU137" s="2250"/>
      <c r="FV137" s="2250"/>
      <c r="FW137" s="2250"/>
      <c r="FX137" s="2250"/>
      <c r="FY137" s="2250"/>
      <c r="FZ137" s="2250"/>
      <c r="GA137" s="2250"/>
      <c r="GB137" s="2250"/>
      <c r="GC137" s="2276"/>
      <c r="GD137" s="2276"/>
      <c r="GE137" s="2250"/>
      <c r="GF137" s="2250"/>
      <c r="GG137" s="2250"/>
      <c r="GH137" s="2250"/>
      <c r="GI137" s="2250"/>
      <c r="GJ137" s="2250"/>
      <c r="GK137" s="2250"/>
      <c r="GL137" s="2250"/>
      <c r="GM137" s="2250"/>
      <c r="GN137" s="2250"/>
      <c r="GO137" s="2250"/>
      <c r="GP137" s="2250"/>
      <c r="GQ137" s="2250"/>
      <c r="GR137" s="2250"/>
      <c r="GS137" s="2250"/>
      <c r="GT137" s="2250"/>
      <c r="GU137" s="2250"/>
      <c r="GV137" s="2250"/>
      <c r="GW137" s="2250"/>
      <c r="GX137" s="2250"/>
      <c r="GY137" s="2250"/>
      <c r="GZ137" s="2250"/>
      <c r="HA137" s="2250"/>
      <c r="HB137" s="2250"/>
      <c r="HC137" s="2250"/>
      <c r="HD137" s="2250"/>
      <c r="HE137" s="2250"/>
      <c r="HF137" s="2250"/>
      <c r="HG137" s="2250"/>
      <c r="HH137" s="2250"/>
      <c r="HI137" s="2250"/>
      <c r="HJ137" s="2250"/>
      <c r="HK137" s="2250"/>
      <c r="HL137" s="2250"/>
      <c r="HM137" s="2250"/>
      <c r="HN137" s="2250"/>
      <c r="HO137" s="2250"/>
      <c r="HP137" s="2250"/>
      <c r="HQ137" s="2250"/>
      <c r="HR137" s="2250"/>
      <c r="HS137" s="2250"/>
      <c r="HT137" s="2250"/>
      <c r="HU137" s="2250"/>
      <c r="HV137" s="2250"/>
      <c r="HW137" s="2250"/>
      <c r="HX137" s="2250"/>
      <c r="HY137" s="2250"/>
      <c r="HZ137" s="2250"/>
      <c r="IA137" s="2250"/>
      <c r="IB137" s="2250"/>
      <c r="IC137" s="2250"/>
      <c r="ID137" s="2250"/>
      <c r="IE137" s="2250"/>
      <c r="IF137" s="2250"/>
      <c r="IG137" s="2250"/>
      <c r="IH137" s="2250"/>
      <c r="II137" s="2250"/>
      <c r="IJ137" s="2250"/>
      <c r="IK137" s="2250"/>
      <c r="IL137" s="2250"/>
    </row>
    <row r="138" spans="1:249" ht="21.95" customHeight="1" thickBot="1">
      <c r="A138" s="2275"/>
      <c r="B138" s="2250"/>
      <c r="C138" s="2250"/>
      <c r="D138" s="2250"/>
      <c r="E138" s="2250"/>
      <c r="F138" s="2250"/>
      <c r="G138" s="2250"/>
      <c r="H138" s="2250"/>
      <c r="I138" s="2250"/>
      <c r="J138" s="2250"/>
      <c r="K138" s="2250"/>
      <c r="L138" s="2250"/>
      <c r="M138" s="2250"/>
      <c r="N138" s="2250"/>
      <c r="O138" s="2250"/>
      <c r="P138" s="2250"/>
      <c r="Q138" s="2250"/>
      <c r="R138" s="2250"/>
      <c r="S138" s="2250"/>
      <c r="T138" s="2250"/>
      <c r="U138" s="2250"/>
      <c r="V138" s="2250"/>
      <c r="W138" s="2250"/>
      <c r="X138" s="2250"/>
      <c r="Y138" s="2250"/>
      <c r="Z138" s="2250"/>
      <c r="AB138" s="2250"/>
      <c r="AC138" s="2250"/>
      <c r="AD138" s="4682" t="s">
        <v>2232</v>
      </c>
      <c r="AE138" s="4683"/>
      <c r="AF138" s="4684">
        <f>+E141</f>
        <v>19.915970774546171</v>
      </c>
      <c r="AG138" s="4685"/>
      <c r="AH138" s="2250"/>
      <c r="AI138" s="2250"/>
      <c r="AJ138" s="2250"/>
      <c r="AK138" s="2250"/>
      <c r="AL138" s="2279" t="s">
        <v>2233</v>
      </c>
      <c r="AM138" s="2280" t="s">
        <v>648</v>
      </c>
      <c r="AN138" s="2281" t="s">
        <v>706</v>
      </c>
      <c r="AO138" s="2282" t="s">
        <v>707</v>
      </c>
      <c r="AP138" s="3667" t="str">
        <f>IF(AP140="Right",IF(AP141="Right",IF(AP142="Right",IF(AP139="Right","Right","Wrong"),"Wrong"),"Wrong"),"Wrong")</f>
        <v>Right</v>
      </c>
      <c r="AQ138" s="2250"/>
      <c r="AR138" s="3666" t="str">
        <f>IF(AR140="Right",IF(AR141="Right",IF(AR142="Right",IF(AR139="Right","Right","Wrong"),"Wrong"),"Wrong"),"Wrong")</f>
        <v>Right</v>
      </c>
      <c r="AS138" s="2285" t="s">
        <v>648</v>
      </c>
      <c r="AT138" s="2281" t="s">
        <v>706</v>
      </c>
      <c r="AU138" s="2282" t="s">
        <v>707</v>
      </c>
      <c r="AV138" s="3656" t="str">
        <f>IF(AV140="Right",IF(AV141="Right",IF(AV142="Right",IF(AV139="Right","Right","Wrong"),"Wrong"),"Wrong"),"Wrong")</f>
        <v>Right</v>
      </c>
      <c r="AW138" s="2250"/>
      <c r="AX138" s="3657" t="str">
        <f>HYPERLINK("Z:\Marketing Common\Dhrumil\Selection\Anupam_Gear_Box.pdf","Anupam Gear Box")</f>
        <v>Anupam Gear Box</v>
      </c>
      <c r="AY138" s="2250"/>
      <c r="AZ138" s="2250"/>
      <c r="BA138" s="2250"/>
      <c r="BB138" s="2250"/>
      <c r="BC138" s="2250"/>
      <c r="BD138" s="2250"/>
      <c r="BE138" s="2250"/>
      <c r="BF138" s="2276"/>
      <c r="BG138" s="2276"/>
      <c r="BH138" s="2250"/>
      <c r="BI138" s="2275"/>
      <c r="BJ138" s="2250"/>
      <c r="BK138" s="2250"/>
      <c r="BL138" s="2250"/>
      <c r="BM138" s="2250"/>
      <c r="BN138" s="2250"/>
      <c r="BO138" s="2250"/>
      <c r="BP138" s="2250"/>
      <c r="BQ138" s="2250"/>
      <c r="BR138" s="2250"/>
      <c r="BS138" s="2250"/>
      <c r="BT138" s="2250"/>
      <c r="BU138" s="2250"/>
      <c r="BV138" s="2250"/>
      <c r="BW138" s="2250"/>
      <c r="BX138" s="2250"/>
      <c r="BY138" s="2250"/>
      <c r="BZ138" s="2250"/>
      <c r="CA138" s="2250"/>
      <c r="CB138" s="2250"/>
      <c r="CC138" s="2250"/>
      <c r="CD138" s="2250"/>
      <c r="CE138" s="2250"/>
      <c r="CF138" s="2250"/>
      <c r="CG138" s="2250"/>
      <c r="CH138" s="2250"/>
      <c r="CI138" s="2250"/>
      <c r="CJ138" s="2250"/>
      <c r="CK138" s="2250"/>
      <c r="CL138" s="4682" t="s">
        <v>2232</v>
      </c>
      <c r="CM138" s="4683"/>
      <c r="CN138" s="4684">
        <f>+E141</f>
        <v>19.915970774546171</v>
      </c>
      <c r="CO138" s="4685"/>
      <c r="CP138" s="2250"/>
      <c r="CQ138" s="2250"/>
      <c r="CR138" s="2250"/>
      <c r="CS138" s="2250"/>
      <c r="CT138" s="2279" t="s">
        <v>2233</v>
      </c>
      <c r="CU138" s="2280" t="s">
        <v>648</v>
      </c>
      <c r="CV138" s="2281" t="s">
        <v>706</v>
      </c>
      <c r="CW138" s="2282" t="s">
        <v>707</v>
      </c>
      <c r="CX138" s="3667" t="str">
        <f>IF(CX140="Right",IF(CX141="Right",IF(CX142="Right",IF(CX139="Right","Right","Wrong"),"Wrong"),"Wrong"),"Wrong")</f>
        <v>Right</v>
      </c>
      <c r="CY138" s="2250"/>
      <c r="CZ138" s="3666" t="str">
        <f>IF(CZ140="Right",IF(CZ141="Right",IF(CZ142="Right",IF(CZ139="Right","Right","Wrong"),"Wrong"),"Wrong"),"Wrong")</f>
        <v>Right</v>
      </c>
      <c r="DA138" s="2285" t="s">
        <v>648</v>
      </c>
      <c r="DB138" s="2281" t="s">
        <v>706</v>
      </c>
      <c r="DC138" s="2282" t="s">
        <v>707</v>
      </c>
      <c r="DD138" s="3656" t="str">
        <f>IF(DD140="Right",IF(DD141="Right",IF(DD142="Right",IF(DD139="Right","Right","Wrong"),"Wrong"),"Wrong"),"Wrong")</f>
        <v>Right</v>
      </c>
      <c r="DE138" s="2250"/>
      <c r="DF138" s="3657" t="str">
        <f>HYPERLINK("Z:\Marketing Common\Dhrumil\Selection\Anupam_Gear_Box.pdf","Anupam Gear Box")</f>
        <v>Anupam Gear Box</v>
      </c>
      <c r="DG138" s="2250"/>
      <c r="DH138" s="2250"/>
      <c r="DI138" s="2250"/>
      <c r="DJ138" s="2250"/>
      <c r="DK138" s="2250"/>
      <c r="DL138" s="2250"/>
      <c r="DM138" s="2250"/>
      <c r="DN138" s="2250"/>
      <c r="DO138" s="2250"/>
      <c r="DP138" s="2250"/>
      <c r="DQ138" s="2277"/>
      <c r="DR138" s="2277"/>
      <c r="DS138" s="2278"/>
      <c r="DT138" s="2250"/>
      <c r="DU138" s="2250"/>
      <c r="DV138" s="2250"/>
      <c r="DW138" s="2250"/>
      <c r="DX138" s="2275"/>
      <c r="DY138" s="2250"/>
      <c r="DZ138" s="2250"/>
      <c r="EA138" s="2250"/>
      <c r="EB138" s="2250"/>
      <c r="EC138" s="2250"/>
      <c r="ED138" s="2250"/>
      <c r="EE138" s="2250"/>
      <c r="EF138" s="2250"/>
      <c r="EG138" s="2250"/>
      <c r="EH138" s="2250"/>
      <c r="EI138" s="2250"/>
      <c r="EJ138" s="2250"/>
      <c r="EK138" s="2250"/>
      <c r="EL138" s="2250"/>
      <c r="EM138" s="2250"/>
      <c r="EN138" s="2250"/>
      <c r="EO138" s="2250"/>
      <c r="EP138" s="2250"/>
      <c r="EQ138" s="2250"/>
      <c r="ER138" s="2250"/>
      <c r="ES138" s="2250"/>
      <c r="ET138" s="2250"/>
      <c r="EU138" s="2250"/>
      <c r="EV138" s="2250"/>
      <c r="EW138" s="2250"/>
      <c r="EX138" s="2250"/>
      <c r="EY138" s="2250"/>
      <c r="EZ138" s="2250"/>
      <c r="FA138" s="2250"/>
      <c r="FB138" s="2250"/>
      <c r="FC138" s="2250"/>
      <c r="FD138" s="2250"/>
      <c r="FE138" s="2250"/>
      <c r="FF138" s="2250"/>
      <c r="FG138" s="2250"/>
      <c r="FH138" s="2250"/>
      <c r="FI138" s="2250"/>
      <c r="FJ138" s="2250"/>
      <c r="FK138" s="2250"/>
      <c r="FL138" s="2250"/>
      <c r="FM138" s="2250"/>
      <c r="FN138" s="2250"/>
      <c r="FO138" s="2250"/>
      <c r="FP138" s="2250"/>
      <c r="FQ138" s="2250"/>
      <c r="FR138" s="2250"/>
      <c r="FS138" s="2250"/>
      <c r="FT138" s="2250"/>
      <c r="FU138" s="2250"/>
      <c r="FV138" s="2250"/>
      <c r="FW138" s="2250"/>
      <c r="FX138" s="2250"/>
      <c r="FY138" s="2250"/>
      <c r="FZ138" s="2250"/>
      <c r="GA138" s="2250"/>
      <c r="GB138" s="2250"/>
      <c r="GC138" s="2276"/>
      <c r="GD138" s="2276"/>
      <c r="GE138" s="2250"/>
      <c r="GF138" s="2275"/>
      <c r="GG138" s="2250"/>
      <c r="GH138" s="2250"/>
      <c r="GI138" s="2250"/>
      <c r="GJ138" s="2250"/>
      <c r="GK138" s="2250"/>
      <c r="GL138" s="2250"/>
      <c r="GM138" s="2250"/>
      <c r="GN138" s="2250"/>
      <c r="GO138" s="2250"/>
      <c r="GP138" s="2250"/>
      <c r="GQ138" s="2250"/>
      <c r="GR138" s="2250"/>
      <c r="GS138" s="2250"/>
      <c r="GT138" s="2250"/>
      <c r="GU138" s="2250"/>
      <c r="GV138" s="2250"/>
      <c r="GW138" s="2250"/>
      <c r="GX138" s="2250"/>
      <c r="GY138" s="2250"/>
      <c r="GZ138" s="2250"/>
      <c r="HA138" s="2250"/>
      <c r="HB138" s="2250"/>
      <c r="HC138" s="2250"/>
      <c r="HD138" s="2250"/>
      <c r="HE138" s="2250"/>
      <c r="HF138" s="2250"/>
      <c r="HG138" s="2250"/>
      <c r="HH138" s="2250"/>
      <c r="HI138" s="2250"/>
      <c r="HJ138" s="2250"/>
      <c r="HK138" s="2250"/>
      <c r="HL138" s="2250"/>
      <c r="HM138" s="2250"/>
      <c r="HN138" s="2250"/>
      <c r="HO138" s="2250"/>
      <c r="HP138" s="2250"/>
      <c r="HQ138" s="2250"/>
      <c r="HR138" s="2250"/>
      <c r="HS138" s="2250"/>
      <c r="HT138" s="2250"/>
      <c r="HU138" s="2250"/>
      <c r="HV138" s="2250"/>
      <c r="HW138" s="2250"/>
      <c r="HX138" s="2250"/>
      <c r="HY138" s="2250"/>
      <c r="HZ138" s="2250"/>
      <c r="IA138" s="2250"/>
      <c r="IB138" s="2250"/>
      <c r="IC138" s="2250"/>
      <c r="ID138" s="2250"/>
      <c r="IE138" s="2250"/>
      <c r="IF138" s="2250"/>
      <c r="IG138" s="2250"/>
      <c r="IH138" s="2250"/>
      <c r="II138" s="2250"/>
      <c r="IJ138" s="2250"/>
      <c r="IK138" s="2250"/>
      <c r="IL138" s="2250"/>
    </row>
    <row r="139" spans="1:249" ht="21.95" customHeight="1" thickBot="1">
      <c r="A139" s="2275"/>
      <c r="B139" s="2250"/>
      <c r="C139" s="2250"/>
      <c r="D139" s="2250"/>
      <c r="E139" s="2250"/>
      <c r="F139" s="2250"/>
      <c r="G139" s="2250"/>
      <c r="H139" s="2250"/>
      <c r="I139" s="2250"/>
      <c r="J139" s="2250"/>
      <c r="K139" s="2250"/>
      <c r="L139" s="2250"/>
      <c r="M139" s="2250"/>
      <c r="N139" s="2250"/>
      <c r="O139" s="2250"/>
      <c r="P139" s="2250"/>
      <c r="Q139" s="2250"/>
      <c r="R139" s="2250"/>
      <c r="S139" s="2250"/>
      <c r="T139" s="2250"/>
      <c r="U139" s="2250"/>
      <c r="V139" s="2250"/>
      <c r="W139" s="2250"/>
      <c r="X139" s="2250"/>
      <c r="Y139" s="2250"/>
      <c r="Z139" s="2250"/>
      <c r="AB139" s="2250"/>
      <c r="AC139" s="2250"/>
      <c r="AD139" s="4694" t="s">
        <v>2234</v>
      </c>
      <c r="AE139" s="4695"/>
      <c r="AF139" s="4692">
        <f>BF182</f>
        <v>190.4</v>
      </c>
      <c r="AG139" s="4693"/>
      <c r="AH139" s="2250"/>
      <c r="AI139" s="2250"/>
      <c r="AJ139" s="2250"/>
      <c r="AK139" s="2250"/>
      <c r="AL139" s="2250"/>
      <c r="AM139" s="2288" t="s">
        <v>651</v>
      </c>
      <c r="AN139" s="3658">
        <f>D200</f>
        <v>20.89</v>
      </c>
      <c r="AO139" s="3659">
        <f>E200</f>
        <v>650</v>
      </c>
      <c r="AP139" s="2276" t="str">
        <f>IF(B210="Right",IF(B211="Right","Right","Wrong"),"Wrong")</f>
        <v>Right</v>
      </c>
      <c r="AQ139" s="2250"/>
      <c r="AR139" s="3618" t="str">
        <f>IF(AN139=AT139,IF(AN139=AN144,IF(AO139=AU139,IF(AO139=AO144,"Right","Wrong"),"Wrong")))</f>
        <v>Right</v>
      </c>
      <c r="AS139" s="2288" t="s">
        <v>651</v>
      </c>
      <c r="AT139" s="3658">
        <f>C239</f>
        <v>20.89</v>
      </c>
      <c r="AU139" s="3659">
        <f>+C240</f>
        <v>650</v>
      </c>
      <c r="AV139" s="3618" t="str">
        <f>IF(AN139=AT139,IF(AO139=AU139,IF(AN144=AT139,IF(AO144=AU139,"Right","Wrong"),"Wrong"),"Wrong"),"Wrong")</f>
        <v>Right</v>
      </c>
      <c r="AW139" s="2250"/>
      <c r="AX139" s="2250"/>
      <c r="AY139" s="2250"/>
      <c r="AZ139" s="2250"/>
      <c r="BA139" s="2250"/>
      <c r="BB139" s="2250"/>
      <c r="BC139" s="2250"/>
      <c r="BD139" s="2250"/>
      <c r="BE139" s="2250"/>
      <c r="BF139" s="2276"/>
      <c r="BG139" s="2276"/>
      <c r="BH139" s="2250"/>
      <c r="BI139" s="2275"/>
      <c r="BJ139" s="2250"/>
      <c r="BK139" s="2250"/>
      <c r="BL139" s="2250"/>
      <c r="BM139" s="2250"/>
      <c r="BN139" s="2250"/>
      <c r="BO139" s="2250"/>
      <c r="BP139" s="2250"/>
      <c r="BQ139" s="2250"/>
      <c r="BR139" s="2250"/>
      <c r="BS139" s="2250"/>
      <c r="BT139" s="2250"/>
      <c r="BU139" s="2250"/>
      <c r="BV139" s="2250"/>
      <c r="BW139" s="2250"/>
      <c r="BX139" s="2250"/>
      <c r="BY139" s="2250"/>
      <c r="BZ139" s="2250"/>
      <c r="CA139" s="2250"/>
      <c r="CB139" s="2250"/>
      <c r="CC139" s="2250"/>
      <c r="CD139" s="2250"/>
      <c r="CE139" s="2250"/>
      <c r="CF139" s="2250"/>
      <c r="CG139" s="2250"/>
      <c r="CH139" s="2250"/>
      <c r="CI139" s="2250"/>
      <c r="CJ139" s="2250"/>
      <c r="CK139" s="2250"/>
      <c r="CL139" s="4694" t="s">
        <v>2234</v>
      </c>
      <c r="CM139" s="4695"/>
      <c r="CN139" s="4692">
        <f>BG182</f>
        <v>206.43</v>
      </c>
      <c r="CO139" s="4693"/>
      <c r="CP139" s="2250"/>
      <c r="CQ139" s="2250"/>
      <c r="CR139" s="2250"/>
      <c r="CS139" s="2250"/>
      <c r="CT139" s="2250"/>
      <c r="CU139" s="2288" t="s">
        <v>651</v>
      </c>
      <c r="CV139" s="3658">
        <f>BL200</f>
        <v>30.79</v>
      </c>
      <c r="CW139" s="3659">
        <f>BM200</f>
        <v>775</v>
      </c>
      <c r="CX139" s="2276" t="str">
        <f>IF(BJ210="Right",IF(BJ211="Right","Right","Wrong"),"Wrong")</f>
        <v>Right</v>
      </c>
      <c r="CY139" s="2250"/>
      <c r="CZ139" s="3618" t="str">
        <f>IF(CV139=DB139,IF(CV139=CV144,IF(CW139=DC139,IF(CW139=CW144,"Right","Wrong"),"Wrong")))</f>
        <v>Right</v>
      </c>
      <c r="DA139" s="2288" t="s">
        <v>651</v>
      </c>
      <c r="DB139" s="3658">
        <f>BK239</f>
        <v>30.79</v>
      </c>
      <c r="DC139" s="3659">
        <f>+BK240</f>
        <v>775</v>
      </c>
      <c r="DD139" s="3618" t="str">
        <f>IF(CV139=DB139,IF(CW139=DC139,IF(CV144=DB139,IF(CW144=DC139,"Right","Wrong"),"Wrong"),"Wrong"),"Wrong")</f>
        <v>Right</v>
      </c>
      <c r="DE139" s="2250"/>
      <c r="DF139" s="2250"/>
      <c r="DG139" s="2250"/>
      <c r="DH139" s="2250"/>
      <c r="DI139" s="2250"/>
      <c r="DJ139" s="2250"/>
      <c r="DK139" s="2250"/>
      <c r="DL139" s="2250"/>
      <c r="DM139" s="2250"/>
      <c r="DN139" s="2250"/>
      <c r="DO139" s="2250"/>
      <c r="DP139" s="2250"/>
      <c r="DQ139" s="2277"/>
      <c r="DR139" s="2277"/>
      <c r="DS139" s="2278"/>
      <c r="DT139" s="2250"/>
      <c r="DU139" s="2250"/>
      <c r="DV139" s="2250"/>
      <c r="DW139" s="2250"/>
      <c r="DX139" s="2275"/>
      <c r="DY139" s="2250"/>
      <c r="DZ139" s="2250"/>
      <c r="EA139" s="2250"/>
      <c r="EB139" s="2250"/>
      <c r="EC139" s="2250"/>
      <c r="ED139" s="2250"/>
      <c r="EE139" s="2250"/>
      <c r="EF139" s="2250"/>
      <c r="EG139" s="2250"/>
      <c r="EH139" s="2250"/>
      <c r="EI139" s="2250"/>
      <c r="EJ139" s="2250"/>
      <c r="EK139" s="2250"/>
      <c r="EL139" s="2250"/>
      <c r="EM139" s="2250"/>
      <c r="EN139" s="2250"/>
      <c r="EO139" s="2250"/>
      <c r="EP139" s="2250"/>
      <c r="EQ139" s="2250"/>
      <c r="ER139" s="2250"/>
      <c r="ES139" s="2250"/>
      <c r="ET139" s="2250"/>
      <c r="EU139" s="2250"/>
      <c r="EV139" s="2250"/>
      <c r="EW139" s="2250"/>
      <c r="EX139" s="2250"/>
      <c r="EY139" s="2250"/>
      <c r="EZ139" s="2250"/>
      <c r="FA139" s="4682" t="s">
        <v>2232</v>
      </c>
      <c r="FB139" s="4683"/>
      <c r="FC139" s="4684">
        <f>+EB142</f>
        <v>19.968225884687833</v>
      </c>
      <c r="FD139" s="4685"/>
      <c r="FE139" s="2250"/>
      <c r="FF139" s="2250"/>
      <c r="FG139" s="2250"/>
      <c r="FH139" s="2250"/>
      <c r="FI139" s="2279" t="s">
        <v>2233</v>
      </c>
      <c r="FJ139" s="2280" t="s">
        <v>648</v>
      </c>
      <c r="FK139" s="2281" t="s">
        <v>706</v>
      </c>
      <c r="FL139" s="2282" t="s">
        <v>707</v>
      </c>
      <c r="FM139" s="3667" t="str">
        <f>IF(FM141="Right",IF(FM142="Right",IF(FM143="Right",IF(FM140="Right","Right","Wrong"),"Wrong"),"Wrong"),"Wrong")</f>
        <v>Right</v>
      </c>
      <c r="FN139" s="2250"/>
      <c r="FO139" s="3666" t="str">
        <f>IF(FO141="Right",IF(FO142="Right",IF(FO143="Right",IF(FO140="Right","Right","Wrong"),"Wrong"),"Wrong"),"Wrong")</f>
        <v>Right</v>
      </c>
      <c r="FP139" s="2285" t="s">
        <v>648</v>
      </c>
      <c r="FQ139" s="2281" t="s">
        <v>706</v>
      </c>
      <c r="FR139" s="2282" t="s">
        <v>707</v>
      </c>
      <c r="FS139" s="3656" t="str">
        <f>IF(FS141="Right",IF(FS142="Right",IF(FS143="Right",IF(FS140="Right","Right","Wrong"),"Wrong"),"Wrong"),"Wrong")</f>
        <v>Right</v>
      </c>
      <c r="FT139" s="2250"/>
      <c r="FU139" s="3657" t="str">
        <f>HYPERLINK("Z:\Marketing Common\Dhrumil\Selection\Anupam_Gear_Box.pdf","Anupam Gear Box")</f>
        <v>Anupam Gear Box</v>
      </c>
      <c r="FV139" s="2250"/>
      <c r="FW139" s="2250"/>
      <c r="FX139" s="2250"/>
      <c r="FY139" s="2250"/>
      <c r="FZ139" s="2250"/>
      <c r="GA139" s="2250"/>
      <c r="GB139" s="2250"/>
      <c r="GC139" s="2276"/>
      <c r="GD139" s="2276"/>
      <c r="GE139" s="2250"/>
      <c r="GF139" s="2275"/>
      <c r="GG139" s="2250"/>
      <c r="GH139" s="2250"/>
      <c r="GI139" s="2250"/>
      <c r="GJ139" s="2250"/>
      <c r="GK139" s="2250"/>
      <c r="GL139" s="2250"/>
      <c r="GM139" s="2250"/>
      <c r="GN139" s="2250"/>
      <c r="GO139" s="2250"/>
      <c r="GP139" s="2250"/>
      <c r="GQ139" s="2250"/>
      <c r="GR139" s="2250"/>
      <c r="GS139" s="2250"/>
      <c r="GT139" s="2250"/>
      <c r="GU139" s="2250"/>
      <c r="GV139" s="2250"/>
      <c r="GW139" s="2250"/>
      <c r="GX139" s="2250"/>
      <c r="GY139" s="2250"/>
      <c r="GZ139" s="2250"/>
      <c r="HA139" s="2250"/>
      <c r="HB139" s="2250"/>
      <c r="HC139" s="2250"/>
      <c r="HD139" s="2250"/>
      <c r="HE139" s="2250"/>
      <c r="HF139" s="2250"/>
      <c r="HG139" s="2250"/>
      <c r="HH139" s="2250"/>
      <c r="HI139" s="4682" t="s">
        <v>2232</v>
      </c>
      <c r="HJ139" s="4683"/>
      <c r="HK139" s="4684">
        <f>+EB142</f>
        <v>19.968225884687833</v>
      </c>
      <c r="HL139" s="4685"/>
      <c r="HM139" s="2250"/>
      <c r="HN139" s="2250"/>
      <c r="HO139" s="2250"/>
      <c r="HP139" s="2250"/>
      <c r="HQ139" s="2279" t="s">
        <v>2233</v>
      </c>
      <c r="HR139" s="2280" t="s">
        <v>648</v>
      </c>
      <c r="HS139" s="2281" t="s">
        <v>706</v>
      </c>
      <c r="HT139" s="2282" t="s">
        <v>707</v>
      </c>
      <c r="HU139" s="3667" t="str">
        <f>IF(HU141="Right",IF(HU142="Right",IF(HU143="Right",IF(HU140="Right","Right","Wrong"),"Wrong"),"Wrong"),"Wrong")</f>
        <v>Right</v>
      </c>
      <c r="HV139" s="2250"/>
      <c r="HW139" s="3666" t="str">
        <f>IF(HW141="Right",IF(HW142="Right",IF(HW143="Right",IF(HW140="Right","Right","Wrong"),"Wrong"),"Wrong"),"Wrong")</f>
        <v>Right</v>
      </c>
      <c r="HX139" s="2285" t="s">
        <v>648</v>
      </c>
      <c r="HY139" s="2281" t="s">
        <v>706</v>
      </c>
      <c r="HZ139" s="2282" t="s">
        <v>707</v>
      </c>
      <c r="IA139" s="3656" t="str">
        <f>IF(IA141="Right",IF(IA142="Right",IF(IA143="Right",IF(IA140="Right","Right","Wrong"),"Wrong"),"Wrong"),"Wrong")</f>
        <v>Right</v>
      </c>
      <c r="IB139" s="2250"/>
      <c r="IC139" s="3657" t="str">
        <f>HYPERLINK("Z:\Marketing Common\Dhrumil\Selection\Anupam_Gear_Box.pdf","Anupam Gear Box")</f>
        <v>Anupam Gear Box</v>
      </c>
      <c r="ID139" s="2250"/>
      <c r="IE139" s="2250"/>
      <c r="IF139" s="2250"/>
      <c r="IG139" s="2250"/>
      <c r="IH139" s="2250"/>
      <c r="II139" s="2250"/>
      <c r="IJ139" s="2250"/>
      <c r="IK139" s="2250"/>
      <c r="IL139" s="2250"/>
    </row>
    <row r="140" spans="1:249" ht="21.95" customHeight="1" thickBot="1">
      <c r="A140" s="2275"/>
      <c r="B140" s="2250"/>
      <c r="C140" s="2250"/>
      <c r="D140" s="2250"/>
      <c r="E140" s="2250"/>
      <c r="F140" s="2250"/>
      <c r="G140" s="2250"/>
      <c r="H140" s="2250"/>
      <c r="I140" s="2250"/>
      <c r="J140" s="2250"/>
      <c r="K140" s="2250"/>
      <c r="L140" s="2250"/>
      <c r="M140" s="2250"/>
      <c r="N140" s="2250"/>
      <c r="O140" s="2250"/>
      <c r="P140" s="2250"/>
      <c r="Q140" s="2250"/>
      <c r="R140" s="2250"/>
      <c r="S140" s="2250"/>
      <c r="T140" s="2250"/>
      <c r="U140" s="2250"/>
      <c r="V140" s="2250"/>
      <c r="W140" s="2250"/>
      <c r="X140" s="2250"/>
      <c r="Y140" s="2250"/>
      <c r="Z140" s="2250"/>
      <c r="AB140" s="2250"/>
      <c r="AC140" s="2250"/>
      <c r="AD140" s="4686"/>
      <c r="AE140" s="4687"/>
      <c r="AF140" s="4688"/>
      <c r="AG140" s="4689"/>
      <c r="AH140" s="2250"/>
      <c r="AI140" s="2250"/>
      <c r="AJ140" s="2250"/>
      <c r="AK140" s="2250"/>
      <c r="AL140" s="2250"/>
      <c r="AM140" s="2291" t="s">
        <v>654</v>
      </c>
      <c r="AN140" s="3660">
        <f>R200</f>
        <v>23.76</v>
      </c>
      <c r="AO140" s="3661">
        <f>S200</f>
        <v>775</v>
      </c>
      <c r="AP140" s="2276" t="str">
        <f>IF(P210="Right",IF(P211="Right","Right","Wrong"),"Wrong")</f>
        <v>Right</v>
      </c>
      <c r="AQ140" s="2250"/>
      <c r="AR140" s="3618" t="str">
        <f>IF(AN140=AT140,IF(AN140=AN145,IF(AO140=AU140,IF(AO140=AO145,"Right","Wrong"),"Wrong"),"Wrong"),"Wrong")</f>
        <v>Right</v>
      </c>
      <c r="AS140" s="2291" t="s">
        <v>654</v>
      </c>
      <c r="AT140" s="3660">
        <f>C261</f>
        <v>23.76</v>
      </c>
      <c r="AU140" s="3661">
        <f>+C262</f>
        <v>775</v>
      </c>
      <c r="AV140" s="3618" t="str">
        <f>IF(AN140=AT140,IF(AO140=AU140,IF(AN145=AT140,IF(AO145=AU140,"Right","Wrong"),"Wrong"),"Wrong"),"Wrong")</f>
        <v>Right</v>
      </c>
      <c r="AW140" s="2250"/>
      <c r="AX140" s="2250"/>
      <c r="AY140" s="2250"/>
      <c r="AZ140" s="2250"/>
      <c r="BA140" s="2250"/>
      <c r="BB140" s="2250"/>
      <c r="BC140" s="2250"/>
      <c r="BD140" s="2250"/>
      <c r="BE140" s="2250"/>
      <c r="BF140" s="2276"/>
      <c r="BG140" s="2276"/>
      <c r="BH140" s="2250"/>
      <c r="BI140" s="2275"/>
      <c r="BJ140" s="2250"/>
      <c r="BK140" s="2250"/>
      <c r="BL140" s="2250"/>
      <c r="BM140" s="2250"/>
      <c r="BN140" s="2250"/>
      <c r="BO140" s="2250"/>
      <c r="BP140" s="2250"/>
      <c r="BQ140" s="2250"/>
      <c r="BR140" s="2250"/>
      <c r="BS140" s="2250"/>
      <c r="BT140" s="2250"/>
      <c r="BU140" s="2250"/>
      <c r="BV140" s="2250"/>
      <c r="BW140" s="2250"/>
      <c r="BX140" s="2250"/>
      <c r="BY140" s="2250"/>
      <c r="BZ140" s="2250"/>
      <c r="CA140" s="2250"/>
      <c r="CB140" s="2250"/>
      <c r="CC140" s="2250"/>
      <c r="CD140" s="2250"/>
      <c r="CE140" s="2250"/>
      <c r="CF140" s="2250"/>
      <c r="CG140" s="2250"/>
      <c r="CH140" s="2250"/>
      <c r="CI140" s="2250"/>
      <c r="CJ140" s="2250"/>
      <c r="CK140" s="2250"/>
      <c r="CL140" s="4686"/>
      <c r="CM140" s="4687"/>
      <c r="CN140" s="4688"/>
      <c r="CO140" s="4689"/>
      <c r="CP140" s="2250"/>
      <c r="CQ140" s="2250"/>
      <c r="CR140" s="2250"/>
      <c r="CS140" s="2250"/>
      <c r="CT140" s="2250"/>
      <c r="CU140" s="2291" t="s">
        <v>654</v>
      </c>
      <c r="CV140" s="3660">
        <f>BZ200</f>
        <v>21.68</v>
      </c>
      <c r="CW140" s="3661">
        <f>CA200</f>
        <v>775</v>
      </c>
      <c r="CX140" s="2276" t="str">
        <f>IF(BX210="Right",IF(BX211="Right","Right","Wrong"),"Wrong")</f>
        <v>Right</v>
      </c>
      <c r="CY140" s="2250"/>
      <c r="CZ140" s="3618" t="str">
        <f>IF(CV140=DB140,IF(CV140=CV145,IF(CW140=DC140,IF(CW140=CW145,"Right","Wrong"),"Wrong"),"Wrong"),"Wrong")</f>
        <v>Right</v>
      </c>
      <c r="DA140" s="2291" t="s">
        <v>654</v>
      </c>
      <c r="DB140" s="3660">
        <f>BK261</f>
        <v>21.68</v>
      </c>
      <c r="DC140" s="3661">
        <f>+BK262</f>
        <v>775</v>
      </c>
      <c r="DD140" s="3618" t="str">
        <f>IF(CV140=DB140,IF(CW140=DC140,IF(CV145=DB140,IF(CW145=DC140,"Right","Wrong"),"Wrong"),"Wrong"),"Wrong")</f>
        <v>Right</v>
      </c>
      <c r="DE140" s="2250"/>
      <c r="DF140" s="2250"/>
      <c r="DG140" s="2250"/>
      <c r="DH140" s="2250"/>
      <c r="DI140" s="2250"/>
      <c r="DJ140" s="2250"/>
      <c r="DK140" s="2250"/>
      <c r="DL140" s="2250"/>
      <c r="DM140" s="2250"/>
      <c r="DN140" s="2250"/>
      <c r="DO140" s="2250"/>
      <c r="DP140" s="2250"/>
      <c r="DQ140" s="2277"/>
      <c r="DR140" s="2277"/>
      <c r="DS140" s="2278"/>
      <c r="DT140" s="2250"/>
      <c r="DU140" s="2250"/>
      <c r="DV140" s="2250"/>
      <c r="DW140" s="2250"/>
      <c r="DX140" s="2275"/>
      <c r="DY140" s="2250"/>
      <c r="DZ140" s="2250"/>
      <c r="EA140" s="2250"/>
      <c r="EB140" s="2250"/>
      <c r="EC140" s="2250"/>
      <c r="ED140" s="2250"/>
      <c r="EE140" s="2250"/>
      <c r="EF140" s="2250"/>
      <c r="EG140" s="2250"/>
      <c r="EH140" s="2250"/>
      <c r="EI140" s="2250"/>
      <c r="EJ140" s="2250"/>
      <c r="EK140" s="2250"/>
      <c r="EL140" s="2250"/>
      <c r="EM140" s="2250"/>
      <c r="EN140" s="2250"/>
      <c r="EO140" s="2250"/>
      <c r="EP140" s="2250"/>
      <c r="EQ140" s="2250"/>
      <c r="ER140" s="2250"/>
      <c r="ES140" s="2250"/>
      <c r="ET140" s="2250"/>
      <c r="EU140" s="2250"/>
      <c r="EV140" s="2250"/>
      <c r="EW140" s="2250"/>
      <c r="EX140" s="2250"/>
      <c r="EY140" s="2250"/>
      <c r="EZ140" s="2250"/>
      <c r="FA140" s="4694" t="s">
        <v>2234</v>
      </c>
      <c r="FB140" s="4695"/>
      <c r="FC140" s="4692">
        <f>GC183</f>
        <v>120.7</v>
      </c>
      <c r="FD140" s="4693"/>
      <c r="FE140" s="2250"/>
      <c r="FF140" s="2250"/>
      <c r="FG140" s="2250"/>
      <c r="FH140" s="2250"/>
      <c r="FI140" s="2250"/>
      <c r="FJ140" s="2288" t="s">
        <v>651</v>
      </c>
      <c r="FK140" s="3658">
        <f>EA201</f>
        <v>31.19</v>
      </c>
      <c r="FL140" s="3659">
        <f>EB201</f>
        <v>650</v>
      </c>
      <c r="FM140" s="2276" t="str">
        <f>IF(DY211="Right",IF(DY212="Right","Right","Wrong"),"Wrong")</f>
        <v>Right</v>
      </c>
      <c r="FN140" s="2250"/>
      <c r="FO140" s="3618" t="str">
        <f>IF(FK140=FQ140,IF(FK140=FK145,IF(FL140=FR140,IF(FL140=FL145,"Right","Wrong"),"Wrong")))</f>
        <v>Right</v>
      </c>
      <c r="FP140" s="2288" t="s">
        <v>651</v>
      </c>
      <c r="FQ140" s="3658">
        <f>DZ240</f>
        <v>31.19</v>
      </c>
      <c r="FR140" s="3659">
        <f>+DZ241</f>
        <v>650</v>
      </c>
      <c r="FS140" s="3618" t="str">
        <f>IF(FK140=FQ140,IF(FL140=FR140,IF(FK145=FQ140,IF(FL145=FR140,"Right","Wrong"),"Wrong"),"Wrong"),"Wrong")</f>
        <v>Right</v>
      </c>
      <c r="FT140" s="2250"/>
      <c r="FU140" s="2250"/>
      <c r="FV140" s="2250"/>
      <c r="FW140" s="2250"/>
      <c r="FX140" s="2250"/>
      <c r="FY140" s="2250"/>
      <c r="FZ140" s="2250"/>
      <c r="GA140" s="2250"/>
      <c r="GB140" s="2250"/>
      <c r="GC140" s="2276"/>
      <c r="GD140" s="2276"/>
      <c r="GE140" s="2250"/>
      <c r="GF140" s="2275"/>
      <c r="GG140" s="2250"/>
      <c r="GH140" s="2250"/>
      <c r="GI140" s="2250"/>
      <c r="GJ140" s="2250"/>
      <c r="GK140" s="2250"/>
      <c r="GL140" s="2250"/>
      <c r="GM140" s="2250"/>
      <c r="GN140" s="2250"/>
      <c r="GO140" s="2250"/>
      <c r="GP140" s="2250"/>
      <c r="GQ140" s="2250"/>
      <c r="GR140" s="2250"/>
      <c r="GS140" s="2250"/>
      <c r="GT140" s="2250"/>
      <c r="GU140" s="2250"/>
      <c r="GV140" s="2250"/>
      <c r="GW140" s="2250"/>
      <c r="GX140" s="2250"/>
      <c r="GY140" s="2250"/>
      <c r="GZ140" s="2250"/>
      <c r="HA140" s="2250"/>
      <c r="HB140" s="2250"/>
      <c r="HC140" s="2250"/>
      <c r="HD140" s="2250"/>
      <c r="HE140" s="2250"/>
      <c r="HF140" s="2250"/>
      <c r="HG140" s="2250"/>
      <c r="HH140" s="2250"/>
      <c r="HI140" s="4694" t="s">
        <v>2234</v>
      </c>
      <c r="HJ140" s="4695"/>
      <c r="HK140" s="4692">
        <f>GD183</f>
        <v>129.80000000000001</v>
      </c>
      <c r="HL140" s="4693"/>
      <c r="HM140" s="2250"/>
      <c r="HN140" s="2250"/>
      <c r="HO140" s="2250"/>
      <c r="HP140" s="2250"/>
      <c r="HQ140" s="2250"/>
      <c r="HR140" s="2288" t="s">
        <v>651</v>
      </c>
      <c r="HS140" s="3658">
        <f>GI201</f>
        <v>29.21</v>
      </c>
      <c r="HT140" s="3659">
        <f>GJ201</f>
        <v>650</v>
      </c>
      <c r="HU140" s="2276" t="str">
        <f>IF(GG211="Right",IF(GG212="Right","Right","Wrong"),"Wrong")</f>
        <v>Right</v>
      </c>
      <c r="HV140" s="2250"/>
      <c r="HW140" s="3618" t="str">
        <f>IF(HS140=HY140,IF(HS140=HS145,IF(HT140=HZ140,IF(HT140=HT145,"Right","Wrong"),"Wrong")))</f>
        <v>Right</v>
      </c>
      <c r="HX140" s="2288" t="s">
        <v>651</v>
      </c>
      <c r="HY140" s="3658">
        <f>GH240</f>
        <v>29.21</v>
      </c>
      <c r="HZ140" s="3659">
        <f>+GH241</f>
        <v>650</v>
      </c>
      <c r="IA140" s="3618" t="str">
        <f>IF(HS140=HY140,IF(HT140=HZ140,IF(HS145=HY140,IF(HT145=HZ140,"Right","Wrong"),"Wrong"),"Wrong"),"Wrong")</f>
        <v>Right</v>
      </c>
      <c r="IB140" s="2250"/>
      <c r="IC140" s="2250"/>
      <c r="ID140" s="2250"/>
      <c r="IE140" s="2250"/>
      <c r="IF140" s="2250"/>
      <c r="IG140" s="2250"/>
      <c r="IH140" s="2250"/>
      <c r="II140" s="2250"/>
      <c r="IJ140" s="2250"/>
      <c r="IK140" s="2250"/>
      <c r="IL140" s="2250"/>
    </row>
    <row r="141" spans="1:249" ht="21.95" customHeight="1" thickBot="1">
      <c r="A141" s="2275"/>
      <c r="B141" s="2250"/>
      <c r="C141" s="2250"/>
      <c r="D141" s="2294" t="s">
        <v>2232</v>
      </c>
      <c r="E141" s="3665">
        <f>'E Gear B'!E4</f>
        <v>19.915970774546171</v>
      </c>
      <c r="F141" s="2250"/>
      <c r="G141" s="2250"/>
      <c r="H141" s="2250"/>
      <c r="I141" s="2250"/>
      <c r="J141" s="2250"/>
      <c r="K141" s="2250"/>
      <c r="L141" s="2250"/>
      <c r="M141" s="2250"/>
      <c r="N141" s="2250"/>
      <c r="O141" s="2250"/>
      <c r="P141" s="2250"/>
      <c r="Q141" s="2250"/>
      <c r="R141" s="2250"/>
      <c r="S141" s="2250"/>
      <c r="T141" s="2250"/>
      <c r="U141" s="2250"/>
      <c r="V141" s="2250"/>
      <c r="W141" s="2250"/>
      <c r="X141" s="2250"/>
      <c r="Y141" s="2250"/>
      <c r="Z141" s="2250"/>
      <c r="AB141" s="2250"/>
      <c r="AC141" s="2250"/>
      <c r="AD141" s="4690" t="s">
        <v>646</v>
      </c>
      <c r="AE141" s="4691"/>
      <c r="AF141" s="2296" t="s">
        <v>706</v>
      </c>
      <c r="AG141" s="2297" t="s">
        <v>2185</v>
      </c>
      <c r="AH141" s="2250"/>
      <c r="AI141" s="3672" t="str">
        <f>HYPERLINK("Z:\Marketing Common\Dhrumil\Selection\Anupam_Gear_Box.pdf","Anupam Gear Box")</f>
        <v>Anupam Gear Box</v>
      </c>
      <c r="AJ141" s="2250"/>
      <c r="AK141" s="2250"/>
      <c r="AL141" s="2250"/>
      <c r="AM141" s="2291" t="s">
        <v>658</v>
      </c>
      <c r="AN141" s="3660">
        <f>AF200</f>
        <v>25.17</v>
      </c>
      <c r="AO141" s="3661">
        <f>AG200</f>
        <v>825</v>
      </c>
      <c r="AP141" s="2276" t="str">
        <f>IF(AD210="Right",IF(AD211="Right","Right","Wrong"),"Wrong")</f>
        <v>Right</v>
      </c>
      <c r="AQ141" s="2250"/>
      <c r="AR141" s="3618" t="str">
        <f>IF(AN141=AT141,IF(AN141=AN146,IF(AO141=AU141,IF(AO141=AO146,"Right","Wrong"),"Wrong"),"Wrong"),"Wrong")</f>
        <v>Right</v>
      </c>
      <c r="AS141" s="2291" t="s">
        <v>658</v>
      </c>
      <c r="AT141" s="3660">
        <f>C283</f>
        <v>25.17</v>
      </c>
      <c r="AU141" s="3661">
        <f>+C284</f>
        <v>825</v>
      </c>
      <c r="AV141" s="3618" t="str">
        <f>IF(AN141=AT141,IF(AO141=AU141,IF(AN146=AT141,IF(AO146=AU141,"Right","Wrong"),"Wrong"),"Wrong"),"Wrong")</f>
        <v>Right</v>
      </c>
      <c r="AW141" s="2250"/>
      <c r="AX141" s="2250"/>
      <c r="AY141" s="2250"/>
      <c r="AZ141" s="2250"/>
      <c r="BA141" s="2250"/>
      <c r="BB141" s="2250"/>
      <c r="BC141" s="2250"/>
      <c r="BD141" s="2250"/>
      <c r="BE141" s="2250"/>
      <c r="BF141" s="2276"/>
      <c r="BG141" s="2276"/>
      <c r="BH141" s="2250"/>
      <c r="BI141" s="2275"/>
      <c r="BJ141" s="2250"/>
      <c r="BK141" s="2250"/>
      <c r="BL141" s="2250"/>
      <c r="BM141" s="2250"/>
      <c r="BN141" s="2250"/>
      <c r="BO141" s="2250"/>
      <c r="BP141" s="2250"/>
      <c r="BQ141" s="2250"/>
      <c r="BR141" s="2250"/>
      <c r="BS141" s="2250"/>
      <c r="BT141" s="2250"/>
      <c r="BU141" s="2250"/>
      <c r="BV141" s="2250"/>
      <c r="BW141" s="2250"/>
      <c r="BX141" s="2250"/>
      <c r="BY141" s="2250"/>
      <c r="BZ141" s="2250"/>
      <c r="CA141" s="2250"/>
      <c r="CB141" s="2250"/>
      <c r="CC141" s="2250"/>
      <c r="CD141" s="2250"/>
      <c r="CE141" s="2250"/>
      <c r="CF141" s="2250"/>
      <c r="CG141" s="2250"/>
      <c r="CH141" s="2250"/>
      <c r="CI141" s="2250"/>
      <c r="CJ141" s="2250"/>
      <c r="CK141" s="2250"/>
      <c r="CL141" s="4690" t="s">
        <v>646</v>
      </c>
      <c r="CM141" s="4691"/>
      <c r="CN141" s="2296" t="s">
        <v>706</v>
      </c>
      <c r="CO141" s="2297" t="s">
        <v>2185</v>
      </c>
      <c r="CP141" s="2250"/>
      <c r="CQ141" s="3672" t="str">
        <f>HYPERLINK("Z:\Marketing Common\Dhrumil\Selection\Anupam_Gear_Box.pdf","Anupam Gear Box")</f>
        <v>Anupam Gear Box</v>
      </c>
      <c r="CR141" s="2250"/>
      <c r="CS141" s="2250"/>
      <c r="CT141" s="2250"/>
      <c r="CU141" s="2291" t="s">
        <v>658</v>
      </c>
      <c r="CV141" s="3660">
        <f>CN200</f>
        <v>23.25</v>
      </c>
      <c r="CW141" s="3661">
        <f>CO200</f>
        <v>825</v>
      </c>
      <c r="CX141" s="2276" t="str">
        <f>IF(CL210="Right",IF(CL211="Right","Right","Wrong"),"Wrong")</f>
        <v>Right</v>
      </c>
      <c r="CY141" s="2250"/>
      <c r="CZ141" s="3618" t="str">
        <f>IF(CV141=DB141,IF(CV141=CV146,IF(CW141=DC141,IF(CW141=CW146,"Right","Wrong"),"Wrong"),"Wrong"),"Wrong")</f>
        <v>Right</v>
      </c>
      <c r="DA141" s="2291" t="s">
        <v>658</v>
      </c>
      <c r="DB141" s="3660">
        <f>BK283</f>
        <v>23.25</v>
      </c>
      <c r="DC141" s="3661">
        <f>+BK284</f>
        <v>825</v>
      </c>
      <c r="DD141" s="3618" t="str">
        <f>IF(CV141=DB141,IF(CW141=DC141,IF(CV146=DB141,IF(CW146=DC141,"Right","Wrong"),"Wrong"),"Wrong"),"Wrong")</f>
        <v>Right</v>
      </c>
      <c r="DE141" s="2250"/>
      <c r="DF141" s="2250"/>
      <c r="DG141" s="2250"/>
      <c r="DH141" s="2250"/>
      <c r="DI141" s="2250"/>
      <c r="DJ141" s="2250"/>
      <c r="DK141" s="2250"/>
      <c r="DL141" s="2250"/>
      <c r="DM141" s="2250"/>
      <c r="DN141" s="2250"/>
      <c r="DO141" s="2250"/>
      <c r="DP141" s="2250"/>
      <c r="DQ141" s="2277"/>
      <c r="DR141" s="2277"/>
      <c r="DS141" s="2278"/>
      <c r="DT141" s="2250"/>
      <c r="DU141" s="2250"/>
      <c r="DV141" s="2250"/>
      <c r="DW141" s="2250"/>
      <c r="DX141" s="2275"/>
      <c r="DY141" s="2250"/>
      <c r="DZ141" s="2250"/>
      <c r="EA141" s="2250"/>
      <c r="EB141" s="2250"/>
      <c r="EC141" s="2250"/>
      <c r="ED141" s="2250"/>
      <c r="EE141" s="2250"/>
      <c r="EF141" s="2250"/>
      <c r="EG141" s="2250"/>
      <c r="EH141" s="2250"/>
      <c r="EI141" s="2250"/>
      <c r="EJ141" s="2250"/>
      <c r="EK141" s="2250"/>
      <c r="EL141" s="2250"/>
      <c r="EM141" s="2250"/>
      <c r="EN141" s="2250"/>
      <c r="EO141" s="2250"/>
      <c r="EP141" s="2250"/>
      <c r="EQ141" s="2250"/>
      <c r="ER141" s="2250"/>
      <c r="ES141" s="2250"/>
      <c r="ET141" s="2250"/>
      <c r="EU141" s="2250"/>
      <c r="EV141" s="2250"/>
      <c r="EW141" s="2250"/>
      <c r="EX141" s="2250"/>
      <c r="EY141" s="2250"/>
      <c r="EZ141" s="2250"/>
      <c r="FA141" s="4686"/>
      <c r="FB141" s="4687"/>
      <c r="FC141" s="4688"/>
      <c r="FD141" s="4689"/>
      <c r="FE141" s="2250"/>
      <c r="FF141" s="2250"/>
      <c r="FG141" s="2250"/>
      <c r="FH141" s="2250"/>
      <c r="FI141" s="2250"/>
      <c r="FJ141" s="2291" t="s">
        <v>654</v>
      </c>
      <c r="FK141" s="3660">
        <f>EO201</f>
        <v>22.48</v>
      </c>
      <c r="FL141" s="3661">
        <f>EP201</f>
        <v>650</v>
      </c>
      <c r="FM141" s="2276" t="str">
        <f>IF(EM211="Right",IF(EM212="Right","Right","Wrong"),"Wrong")</f>
        <v>Right</v>
      </c>
      <c r="FN141" s="2250"/>
      <c r="FO141" s="3618" t="str">
        <f>IF(FK141=FQ141,IF(FK141=FK146,IF(FL141=FR141,IF(FL141=FL146,"Right","Wrong"),"Wrong"),"Wrong"),"Wrong")</f>
        <v>Right</v>
      </c>
      <c r="FP141" s="2291" t="s">
        <v>654</v>
      </c>
      <c r="FQ141" s="3660">
        <f>DZ262</f>
        <v>22.48</v>
      </c>
      <c r="FR141" s="3661">
        <f>+DZ263</f>
        <v>650</v>
      </c>
      <c r="FS141" s="3618" t="str">
        <f>IF(FK141=FQ141,IF(FL141=FR141,IF(FK146=FQ141,IF(FL146=FR141,"Right","Wrong"),"Wrong"),"Wrong"),"Wrong")</f>
        <v>Right</v>
      </c>
      <c r="FT141" s="2250"/>
      <c r="FU141" s="2250"/>
      <c r="FV141" s="2250"/>
      <c r="FW141" s="2250"/>
      <c r="FX141" s="2250"/>
      <c r="FY141" s="2250"/>
      <c r="FZ141" s="2250"/>
      <c r="GA141" s="2250"/>
      <c r="GB141" s="2250"/>
      <c r="GC141" s="2276"/>
      <c r="GD141" s="2276"/>
      <c r="GE141" s="2250"/>
      <c r="GF141" s="2275"/>
      <c r="GG141" s="2250"/>
      <c r="GH141" s="2250"/>
      <c r="GI141" s="2250"/>
      <c r="GJ141" s="2250"/>
      <c r="GK141" s="2250"/>
      <c r="GL141" s="2250"/>
      <c r="GM141" s="2250"/>
      <c r="GN141" s="2250"/>
      <c r="GO141" s="2250"/>
      <c r="GP141" s="2250"/>
      <c r="GQ141" s="2250"/>
      <c r="GR141" s="2250"/>
      <c r="GS141" s="2250"/>
      <c r="GT141" s="2250"/>
      <c r="GU141" s="2250"/>
      <c r="GV141" s="2250"/>
      <c r="GW141" s="2250"/>
      <c r="GX141" s="2250"/>
      <c r="GY141" s="2250"/>
      <c r="GZ141" s="2250"/>
      <c r="HA141" s="2250"/>
      <c r="HB141" s="2250"/>
      <c r="HC141" s="2250"/>
      <c r="HD141" s="2250"/>
      <c r="HE141" s="2250"/>
      <c r="HF141" s="2250"/>
      <c r="HG141" s="2250"/>
      <c r="HH141" s="2250"/>
      <c r="HI141" s="4686"/>
      <c r="HJ141" s="4687"/>
      <c r="HK141" s="4688"/>
      <c r="HL141" s="4689"/>
      <c r="HM141" s="2250"/>
      <c r="HN141" s="2250"/>
      <c r="HO141" s="2250"/>
      <c r="HP141" s="2250"/>
      <c r="HQ141" s="2250"/>
      <c r="HR141" s="2291" t="s">
        <v>654</v>
      </c>
      <c r="HS141" s="3660">
        <f>GW201</f>
        <v>21.09</v>
      </c>
      <c r="HT141" s="3661">
        <f>GX201</f>
        <v>650</v>
      </c>
      <c r="HU141" s="2276" t="str">
        <f>IF(GU211="Right",IF(GU212="Right","Right","Wrong"),"Wrong")</f>
        <v>Right</v>
      </c>
      <c r="HV141" s="2250"/>
      <c r="HW141" s="3618" t="str">
        <f>IF(HS141=HY141,IF(HS141=HS146,IF(HT141=HZ141,IF(HT141=HT146,"Right","Wrong"),"Wrong"),"Wrong"),"Wrong")</f>
        <v>Right</v>
      </c>
      <c r="HX141" s="2291" t="s">
        <v>654</v>
      </c>
      <c r="HY141" s="3660">
        <f>GH262</f>
        <v>21.09</v>
      </c>
      <c r="HZ141" s="3661">
        <f>+GH263</f>
        <v>650</v>
      </c>
      <c r="IA141" s="3618" t="str">
        <f>IF(HS141=HY141,IF(HT141=HZ141,IF(HS146=HY141,IF(HT146=HZ141,"Right","Wrong"),"Wrong"),"Wrong"),"Wrong")</f>
        <v>Right</v>
      </c>
      <c r="IB141" s="2250"/>
      <c r="IC141" s="2250"/>
      <c r="ID141" s="2250"/>
      <c r="IE141" s="2250"/>
      <c r="IF141" s="2250"/>
      <c r="IG141" s="2250"/>
      <c r="IH141" s="2250"/>
      <c r="II141" s="2250"/>
      <c r="IJ141" s="2250"/>
      <c r="IK141" s="2250"/>
      <c r="IL141" s="2250"/>
    </row>
    <row r="142" spans="1:249" ht="21.95" customHeight="1" thickBot="1">
      <c r="A142" s="2275"/>
      <c r="B142" s="2250"/>
      <c r="C142" s="2250"/>
      <c r="D142" s="2294" t="s">
        <v>2234</v>
      </c>
      <c r="E142" s="3665">
        <f>'E Gear B'!E5</f>
        <v>204.36114285714288</v>
      </c>
      <c r="F142" s="2250"/>
      <c r="G142" s="2250"/>
      <c r="H142" s="2250"/>
      <c r="I142" s="2250"/>
      <c r="J142" s="2250"/>
      <c r="K142" s="2250"/>
      <c r="L142" s="2250"/>
      <c r="M142" s="2250"/>
      <c r="N142" s="2250"/>
      <c r="O142" s="2250"/>
      <c r="P142" s="2250"/>
      <c r="Q142" s="2250"/>
      <c r="R142" s="2250"/>
      <c r="S142" s="2250"/>
      <c r="T142" s="2250"/>
      <c r="U142" s="2250"/>
      <c r="V142" s="2250"/>
      <c r="W142" s="2250"/>
      <c r="X142" s="2250"/>
      <c r="Y142" s="2250"/>
      <c r="Z142" s="2250"/>
      <c r="AA142" s="2250"/>
      <c r="AB142" s="2250"/>
      <c r="AD142" s="4673" t="s">
        <v>732</v>
      </c>
      <c r="AE142" s="4674"/>
      <c r="AF142" s="3669">
        <f t="shared" ref="AF142:AG145" si="111">+AN139</f>
        <v>20.89</v>
      </c>
      <c r="AG142" s="3674">
        <f t="shared" si="111"/>
        <v>650</v>
      </c>
      <c r="AH142" s="2250"/>
      <c r="AI142" s="3673" t="str">
        <f>IF(AT144="Right",IF(AR139="Right","Right","Wrong"),"Wrong")</f>
        <v>Right</v>
      </c>
      <c r="AJ142" s="2250"/>
      <c r="AK142" s="2250"/>
      <c r="AL142" s="2250"/>
      <c r="AM142" s="2301" t="s">
        <v>662</v>
      </c>
      <c r="AN142" s="3662">
        <f>AT200</f>
        <v>21.09</v>
      </c>
      <c r="AO142" s="3663">
        <f>AU200</f>
        <v>950</v>
      </c>
      <c r="AP142" s="2276" t="str">
        <f>IF(AR210="Right",IF(AR211="Right","Right","Wrong"),"Wrong")</f>
        <v>Right</v>
      </c>
      <c r="AQ142" s="2250"/>
      <c r="AR142" s="3618" t="str">
        <f>IF(AN142=AT142,IF(AN142=AN147,IF(AO142=AU142,IF(AO142=AO147,"Right","Wrong"),"Wrong"),"Wrong"),"Wrong")</f>
        <v>Right</v>
      </c>
      <c r="AS142" s="2304" t="s">
        <v>662</v>
      </c>
      <c r="AT142" s="3662">
        <f>C305</f>
        <v>21.09</v>
      </c>
      <c r="AU142" s="3664">
        <f>+C306</f>
        <v>950</v>
      </c>
      <c r="AV142" s="3618" t="str">
        <f>IF(AN142=AT142,IF(AO142=AU142,IF(AN147=AT142,IF(AO147=AU142,"Right","Wrong"),"Wrong"),"Wrong"),"Wrong")</f>
        <v>Right</v>
      </c>
      <c r="AW142" s="2250"/>
      <c r="AX142" s="2250"/>
      <c r="AY142" s="2250"/>
      <c r="AZ142" s="2250"/>
      <c r="BA142" s="2250"/>
      <c r="BB142" s="2250"/>
      <c r="BC142" s="2250"/>
      <c r="BD142" s="2250"/>
      <c r="BE142" s="2250"/>
      <c r="BF142" s="2276"/>
      <c r="BG142" s="2276"/>
      <c r="BH142" s="2250"/>
      <c r="BI142" s="2275"/>
      <c r="BJ142" s="2250"/>
      <c r="BK142" s="2250"/>
      <c r="BL142" s="2250"/>
      <c r="BM142" s="2250"/>
      <c r="BN142" s="2250"/>
      <c r="BO142" s="2250"/>
      <c r="BP142" s="2250"/>
      <c r="BQ142" s="2250"/>
      <c r="BR142" s="2250"/>
      <c r="BS142" s="2250"/>
      <c r="BT142" s="2250"/>
      <c r="BU142" s="2250"/>
      <c r="BV142" s="2250"/>
      <c r="BW142" s="2250"/>
      <c r="BX142" s="2250"/>
      <c r="BY142" s="2250"/>
      <c r="BZ142" s="2250"/>
      <c r="CA142" s="2250"/>
      <c r="CB142" s="2250"/>
      <c r="CC142" s="2250"/>
      <c r="CD142" s="2250"/>
      <c r="CE142" s="2250"/>
      <c r="CF142" s="2250"/>
      <c r="CG142" s="2250"/>
      <c r="CH142" s="2250"/>
      <c r="CI142" s="2250"/>
      <c r="CJ142" s="2250"/>
      <c r="CL142" s="4673" t="s">
        <v>732</v>
      </c>
      <c r="CM142" s="4674"/>
      <c r="CN142" s="3669">
        <f t="shared" ref="CN142:CO145" si="112">+CV139</f>
        <v>30.79</v>
      </c>
      <c r="CO142" s="3674">
        <f t="shared" si="112"/>
        <v>775</v>
      </c>
      <c r="CP142" s="2250"/>
      <c r="CQ142" s="3673" t="str">
        <f>IF(DB144="Right",IF(CZ139="Right","Right","Wrong"),"Wrong")</f>
        <v>Right</v>
      </c>
      <c r="CR142" s="2250"/>
      <c r="CS142" s="2250"/>
      <c r="CT142" s="2250"/>
      <c r="CU142" s="2301" t="s">
        <v>662</v>
      </c>
      <c r="CV142" s="3662">
        <f>DB200</f>
        <v>25.54</v>
      </c>
      <c r="CW142" s="3663">
        <f>DC200</f>
        <v>1100</v>
      </c>
      <c r="CX142" s="2276" t="str">
        <f>IF(CZ210="Right",IF(CZ211="Right","Right","Wrong"),"Wrong")</f>
        <v>Right</v>
      </c>
      <c r="CY142" s="2250"/>
      <c r="CZ142" s="3618" t="str">
        <f>IF(CV142=DB142,IF(CV142=CV147,IF(CW142=DC142,IF(CW142=CW147,"Right","Wrong"),"Wrong"),"Wrong"),"Wrong")</f>
        <v>Right</v>
      </c>
      <c r="DA142" s="2304" t="s">
        <v>662</v>
      </c>
      <c r="DB142" s="3662">
        <f>BK305</f>
        <v>25.54</v>
      </c>
      <c r="DC142" s="3664">
        <f>+BK306</f>
        <v>1100</v>
      </c>
      <c r="DD142" s="3618" t="str">
        <f>IF(CV142=DB142,IF(CW142=DC142,IF(CV147=DB142,IF(CW147=DC142,"Right","Wrong"),"Wrong"),"Wrong"),"Wrong")</f>
        <v>Right</v>
      </c>
      <c r="DE142" s="2250"/>
      <c r="DF142" s="2250"/>
      <c r="DG142" s="2250"/>
      <c r="DH142" s="2250"/>
      <c r="DI142" s="2250"/>
      <c r="DJ142" s="2250"/>
      <c r="DK142" s="2250"/>
      <c r="DL142" s="2250"/>
      <c r="DM142" s="2250"/>
      <c r="DN142" s="2250"/>
      <c r="DO142" s="2250"/>
      <c r="DP142" s="2250"/>
      <c r="DQ142" s="2277"/>
      <c r="DR142" s="2277"/>
      <c r="DS142" s="2278"/>
      <c r="DT142" s="2250"/>
      <c r="DU142" s="2250"/>
      <c r="DV142" s="2250"/>
      <c r="DW142" s="2250"/>
      <c r="DX142" s="2275"/>
      <c r="DY142" s="2250"/>
      <c r="DZ142" s="2250"/>
      <c r="EA142" s="2294" t="s">
        <v>2232</v>
      </c>
      <c r="EB142" s="3666">
        <f>'E Gear B'!EB4</f>
        <v>19.968225884687833</v>
      </c>
      <c r="EC142" s="2250"/>
      <c r="ED142" s="2250"/>
      <c r="EE142" s="2250"/>
      <c r="EF142" s="2250"/>
      <c r="EG142" s="2250"/>
      <c r="EH142" s="2250"/>
      <c r="EI142" s="2250"/>
      <c r="EJ142" s="2250"/>
      <c r="EK142" s="2250"/>
      <c r="EL142" s="2250"/>
      <c r="EM142" s="2250"/>
      <c r="EN142" s="2250"/>
      <c r="EO142" s="2250"/>
      <c r="EP142" s="2250"/>
      <c r="EQ142" s="2250"/>
      <c r="ER142" s="2250"/>
      <c r="ES142" s="2250"/>
      <c r="ET142" s="2250"/>
      <c r="EU142" s="2250"/>
      <c r="EV142" s="2250"/>
      <c r="EW142" s="2250"/>
      <c r="EX142" s="2250"/>
      <c r="EY142" s="2250"/>
      <c r="EZ142" s="2250"/>
      <c r="FA142" s="4690" t="s">
        <v>646</v>
      </c>
      <c r="FB142" s="4691"/>
      <c r="FC142" s="2296" t="s">
        <v>706</v>
      </c>
      <c r="FD142" s="2297" t="s">
        <v>2185</v>
      </c>
      <c r="FE142" s="2250"/>
      <c r="FF142" s="3672" t="str">
        <f>HYPERLINK("Z:\Marketing Common\Dhrumil\Selection\Anupam_Gear_Box.pdf","Anupam Gear Box")</f>
        <v>Anupam Gear Box</v>
      </c>
      <c r="FG142" s="2250"/>
      <c r="FH142" s="2250"/>
      <c r="FI142" s="2250"/>
      <c r="FJ142" s="2291" t="s">
        <v>658</v>
      </c>
      <c r="FK142" s="3660">
        <f>FC201</f>
        <v>28.22</v>
      </c>
      <c r="FL142" s="3661">
        <f>FD201</f>
        <v>775</v>
      </c>
      <c r="FM142" s="2276" t="str">
        <f>IF(FA211="Right",IF(FA212="Right","Right","Wrong"),"Wrong")</f>
        <v>Right</v>
      </c>
      <c r="FN142" s="2250"/>
      <c r="FO142" s="3618" t="str">
        <f>IF(FK142=FQ142,IF(FK142=FK147,IF(FL142=FR142,IF(FL142=FL147,"Right","Wrong"),"Wrong"),"Wrong"),"Wrong")</f>
        <v>Right</v>
      </c>
      <c r="FP142" s="2291" t="s">
        <v>658</v>
      </c>
      <c r="FQ142" s="3660">
        <f>DZ284</f>
        <v>28.22</v>
      </c>
      <c r="FR142" s="3661">
        <f>+DZ285</f>
        <v>775</v>
      </c>
      <c r="FS142" s="3618" t="str">
        <f>IF(FK142=FQ142,IF(FL142=FR142,IF(FK147=FQ142,IF(FL147=FR142,"Right","Wrong"),"Wrong"),"Wrong"),"Wrong")</f>
        <v>Right</v>
      </c>
      <c r="FT142" s="2250"/>
      <c r="FU142" s="2250"/>
      <c r="FV142" s="2250"/>
      <c r="FW142" s="2250"/>
      <c r="FX142" s="2250"/>
      <c r="FY142" s="2250"/>
      <c r="FZ142" s="2250"/>
      <c r="GA142" s="2250"/>
      <c r="GB142" s="2250"/>
      <c r="GC142" s="2276"/>
      <c r="GD142" s="2276"/>
      <c r="GE142" s="2250"/>
      <c r="GF142" s="2275"/>
      <c r="GG142" s="2250"/>
      <c r="GH142" s="2250"/>
      <c r="GI142" s="2250"/>
      <c r="GJ142" s="2250"/>
      <c r="GK142" s="2250"/>
      <c r="GL142" s="2250"/>
      <c r="GM142" s="2250"/>
      <c r="GN142" s="2250"/>
      <c r="GO142" s="2250"/>
      <c r="GP142" s="2250"/>
      <c r="GQ142" s="2250"/>
      <c r="GR142" s="2250"/>
      <c r="GS142" s="2250"/>
      <c r="GT142" s="2250"/>
      <c r="GU142" s="2250"/>
      <c r="GV142" s="2250"/>
      <c r="GW142" s="2250"/>
      <c r="GX142" s="2250"/>
      <c r="GY142" s="2250"/>
      <c r="GZ142" s="2250"/>
      <c r="HA142" s="2250"/>
      <c r="HB142" s="2250"/>
      <c r="HC142" s="2250"/>
      <c r="HD142" s="2250"/>
      <c r="HE142" s="2250"/>
      <c r="HF142" s="2250"/>
      <c r="HG142" s="2250"/>
      <c r="HH142" s="2250"/>
      <c r="HI142" s="4690" t="s">
        <v>646</v>
      </c>
      <c r="HJ142" s="4691"/>
      <c r="HK142" s="2296" t="s">
        <v>706</v>
      </c>
      <c r="HL142" s="2297" t="s">
        <v>2185</v>
      </c>
      <c r="HM142" s="2250"/>
      <c r="HN142" s="3672" t="str">
        <f>HYPERLINK("Z:\Marketing Common\Dhrumil\Selection\Anupam_Gear_Box.pdf","Anupam Gear Box")</f>
        <v>Anupam Gear Box</v>
      </c>
      <c r="HO142" s="2250"/>
      <c r="HP142" s="2250"/>
      <c r="HQ142" s="2250"/>
      <c r="HR142" s="2291" t="s">
        <v>658</v>
      </c>
      <c r="HS142" s="3660">
        <f>HK201</f>
        <v>26.52</v>
      </c>
      <c r="HT142" s="3661">
        <f>HL201</f>
        <v>775</v>
      </c>
      <c r="HU142" s="2276" t="str">
        <f>IF(HI211="Right",IF(HI212="Right","Right","Wrong"),"Wrong")</f>
        <v>Right</v>
      </c>
      <c r="HV142" s="2250"/>
      <c r="HW142" s="3618" t="str">
        <f>IF(HS142=HY142,IF(HS142=HS147,IF(HT142=HZ142,IF(HT142=HT147,"Right","Wrong"),"Wrong"),"Wrong"),"Wrong")</f>
        <v>Right</v>
      </c>
      <c r="HX142" s="2291" t="s">
        <v>658</v>
      </c>
      <c r="HY142" s="3660">
        <f>GH284</f>
        <v>26.52</v>
      </c>
      <c r="HZ142" s="3661">
        <f>+GH285</f>
        <v>775</v>
      </c>
      <c r="IA142" s="3618" t="str">
        <f>IF(HS142=HY142,IF(HT142=HZ142,IF(HS147=HY142,IF(HT147=HZ142,"Right","Wrong"),"Wrong"),"Wrong"),"Wrong")</f>
        <v>Right</v>
      </c>
      <c r="IB142" s="2250"/>
      <c r="IC142" s="2250"/>
      <c r="ID142" s="2250"/>
      <c r="IE142" s="2250"/>
      <c r="IF142" s="2250"/>
      <c r="IG142" s="2250"/>
      <c r="IH142" s="2250"/>
      <c r="II142" s="2250"/>
      <c r="IJ142" s="2250"/>
      <c r="IK142" s="2250"/>
      <c r="IL142" s="2250"/>
    </row>
    <row r="143" spans="1:249" ht="21.95" customHeight="1" thickBot="1">
      <c r="A143" s="2275"/>
      <c r="B143" s="2250"/>
      <c r="C143" s="2250"/>
      <c r="D143" s="2250"/>
      <c r="E143" s="2250"/>
      <c r="F143" s="2250"/>
      <c r="G143" s="2250"/>
      <c r="H143" s="2250"/>
      <c r="I143" s="2250"/>
      <c r="J143" s="2250"/>
      <c r="K143" s="2250"/>
      <c r="L143" s="2250"/>
      <c r="M143" s="2250"/>
      <c r="N143" s="2250"/>
      <c r="O143" s="2250"/>
      <c r="P143" s="2250"/>
      <c r="Q143" s="2250"/>
      <c r="R143" s="2250"/>
      <c r="S143" s="2250"/>
      <c r="T143" s="2250"/>
      <c r="U143" s="2250"/>
      <c r="V143" s="2250"/>
      <c r="W143" s="2250"/>
      <c r="X143" s="2250"/>
      <c r="Y143" s="2250"/>
      <c r="Z143" s="2250"/>
      <c r="AA143" s="2250"/>
      <c r="AB143" s="2250"/>
      <c r="AD143" s="4675" t="s">
        <v>733</v>
      </c>
      <c r="AE143" s="4676"/>
      <c r="AF143" s="3670">
        <f t="shared" si="111"/>
        <v>23.76</v>
      </c>
      <c r="AG143" s="3675">
        <f t="shared" si="111"/>
        <v>775</v>
      </c>
      <c r="AH143" s="2250"/>
      <c r="AI143" s="3673" t="str">
        <f>IF(AT145="Right",IF(AR140="Right","Right","Wrong"),"Wrong")</f>
        <v>Right</v>
      </c>
      <c r="AJ143" s="2250"/>
      <c r="AK143" s="2250"/>
      <c r="AL143" s="2279" t="s">
        <v>2235</v>
      </c>
      <c r="AM143" s="2280" t="s">
        <v>648</v>
      </c>
      <c r="AN143" s="2281" t="s">
        <v>706</v>
      </c>
      <c r="AO143" s="2282" t="s">
        <v>707</v>
      </c>
      <c r="AP143" s="3667" t="str">
        <f>IF(AP145="Right",IF(AP146="Right",IF(AP147="Right",IF(AP144="Right","Right","Wrong"),"Wrong"),"Wrong"),"Wrong")</f>
        <v>Right</v>
      </c>
      <c r="AQ143" s="2250"/>
      <c r="AR143" s="2250"/>
      <c r="AS143" s="2250"/>
      <c r="AT143" s="3666" t="str">
        <f>IF(AT145="Right",IF(AT146="Right",IF(AT147="Right",IF(AT144="Right","Right","Wrong"),"Wrong"),"Wrong"),"Wrong")</f>
        <v>Right</v>
      </c>
      <c r="AU143" s="2250"/>
      <c r="AV143" s="2250"/>
      <c r="AW143" s="2250"/>
      <c r="AX143" s="2250"/>
      <c r="AY143" s="2250"/>
      <c r="AZ143" s="2250"/>
      <c r="BA143" s="2250"/>
      <c r="BB143" s="2250"/>
      <c r="BC143" s="2250"/>
      <c r="BD143" s="2250"/>
      <c r="BE143" s="2250"/>
      <c r="BF143" s="2276"/>
      <c r="BG143" s="2276"/>
      <c r="BH143" s="2250"/>
      <c r="BI143" s="2275"/>
      <c r="BJ143" s="2250"/>
      <c r="BK143" s="2250"/>
      <c r="BL143" s="2250"/>
      <c r="BM143" s="2250"/>
      <c r="BN143" s="2250"/>
      <c r="BO143" s="2250"/>
      <c r="BP143" s="2250"/>
      <c r="BQ143" s="2250"/>
      <c r="BR143" s="2250"/>
      <c r="BS143" s="2250"/>
      <c r="BT143" s="2250"/>
      <c r="BU143" s="2250"/>
      <c r="BV143" s="2250"/>
      <c r="BW143" s="2250"/>
      <c r="BX143" s="2250"/>
      <c r="BY143" s="2250"/>
      <c r="BZ143" s="2250"/>
      <c r="CA143" s="2250"/>
      <c r="CB143" s="2250"/>
      <c r="CC143" s="2250"/>
      <c r="CD143" s="2250"/>
      <c r="CE143" s="2250"/>
      <c r="CF143" s="2250"/>
      <c r="CG143" s="2250"/>
      <c r="CH143" s="2250"/>
      <c r="CI143" s="2250"/>
      <c r="CJ143" s="2250"/>
      <c r="CL143" s="4675" t="s">
        <v>733</v>
      </c>
      <c r="CM143" s="4676"/>
      <c r="CN143" s="3670">
        <f t="shared" si="112"/>
        <v>21.68</v>
      </c>
      <c r="CO143" s="3675">
        <f t="shared" si="112"/>
        <v>775</v>
      </c>
      <c r="CP143" s="2250"/>
      <c r="CQ143" s="3673" t="str">
        <f>IF(DB145="Right",IF(CZ140="Right","Right","Wrong"),"Wrong")</f>
        <v>Right</v>
      </c>
      <c r="CR143" s="2250"/>
      <c r="CS143" s="2250"/>
      <c r="CT143" s="2279" t="s">
        <v>2235</v>
      </c>
      <c r="CU143" s="2280" t="s">
        <v>648</v>
      </c>
      <c r="CV143" s="2281" t="s">
        <v>706</v>
      </c>
      <c r="CW143" s="2282" t="s">
        <v>707</v>
      </c>
      <c r="CX143" s="3667" t="str">
        <f>IF(CX145="Right",IF(CX146="Right",IF(CX147="Right",IF(CX144="Right","Right","Wrong"),"Wrong"),"Wrong"),"Wrong")</f>
        <v>Right</v>
      </c>
      <c r="CY143" s="2250"/>
      <c r="CZ143" s="2250"/>
      <c r="DA143" s="2250"/>
      <c r="DB143" s="3666" t="str">
        <f>IF(DB145="Right",IF(DB146="Right",IF(DB147="Right",IF(DB144="Right","Right","Wrong"),"Wrong"),"Wrong"),"Wrong")</f>
        <v>Right</v>
      </c>
      <c r="DC143" s="2250"/>
      <c r="DD143" s="2250"/>
      <c r="DE143" s="2250"/>
      <c r="DF143" s="2250"/>
      <c r="DG143" s="2250"/>
      <c r="DH143" s="2250"/>
      <c r="DI143" s="2250"/>
      <c r="DJ143" s="2250"/>
      <c r="DK143" s="2250"/>
      <c r="DL143" s="2250"/>
      <c r="DM143" s="2250"/>
      <c r="DN143" s="2250"/>
      <c r="DO143" s="2250"/>
      <c r="DP143" s="2250"/>
      <c r="DQ143" s="2277"/>
      <c r="DR143" s="2277"/>
      <c r="DS143" s="2278"/>
      <c r="DT143" s="2250"/>
      <c r="DU143" s="2250"/>
      <c r="DV143" s="2250"/>
      <c r="DW143" s="2250"/>
      <c r="DX143" s="2275"/>
      <c r="DY143" s="2250"/>
      <c r="DZ143" s="2250"/>
      <c r="EA143" s="2294" t="s">
        <v>2234</v>
      </c>
      <c r="EB143" s="3666">
        <f>'E Gear B'!EB5</f>
        <v>125.03040000000001</v>
      </c>
      <c r="EC143" s="2250"/>
      <c r="ED143" s="2250"/>
      <c r="EE143" s="2250"/>
      <c r="EF143" s="2250"/>
      <c r="EG143" s="2250"/>
      <c r="EH143" s="2250"/>
      <c r="EI143" s="2250"/>
      <c r="EJ143" s="2250"/>
      <c r="EK143" s="2250"/>
      <c r="EL143" s="2250"/>
      <c r="EM143" s="2250"/>
      <c r="EN143" s="2250"/>
      <c r="EO143" s="2250"/>
      <c r="EP143" s="2250"/>
      <c r="EQ143" s="2250"/>
      <c r="ER143" s="2250"/>
      <c r="ES143" s="2250"/>
      <c r="ET143" s="2250"/>
      <c r="EU143" s="2250"/>
      <c r="EV143" s="2250"/>
      <c r="EW143" s="2250"/>
      <c r="EX143" s="2250"/>
      <c r="EY143" s="2250"/>
      <c r="EZ143" s="2250"/>
      <c r="FA143" s="4673" t="s">
        <v>732</v>
      </c>
      <c r="FB143" s="4674"/>
      <c r="FC143" s="3669">
        <f t="shared" ref="FC143:FC146" si="113">+FK140</f>
        <v>31.19</v>
      </c>
      <c r="FD143" s="3674">
        <f t="shared" ref="FD143:FD146" si="114">+FL140</f>
        <v>650</v>
      </c>
      <c r="FE143" s="2250"/>
      <c r="FF143" s="3673" t="str">
        <f>IF(FQ145="Right",IF(FO140="Right","Right","Wrong"),"Wrong")</f>
        <v>Right</v>
      </c>
      <c r="FG143" s="2250"/>
      <c r="FH143" s="2250"/>
      <c r="FI143" s="2250"/>
      <c r="FJ143" s="2301" t="s">
        <v>662</v>
      </c>
      <c r="FK143" s="3662">
        <f>FQ201</f>
        <v>21.98</v>
      </c>
      <c r="FL143" s="3663">
        <f>FR201</f>
        <v>825</v>
      </c>
      <c r="FM143" s="2276" t="str">
        <f>IF(FO211="Right",IF(FO212="Right","Right","Wrong"),"Wrong")</f>
        <v>Right</v>
      </c>
      <c r="FN143" s="2250"/>
      <c r="FO143" s="3618" t="str">
        <f>IF(FK143=FQ143,IF(FK143=FK148,IF(FL143=FR143,IF(FL143=FL148,"Right","Wrong"),"Wrong"),"Wrong"),"Wrong")</f>
        <v>Right</v>
      </c>
      <c r="FP143" s="2304" t="s">
        <v>662</v>
      </c>
      <c r="FQ143" s="3662">
        <f>DZ306</f>
        <v>21.98</v>
      </c>
      <c r="FR143" s="3664">
        <f>+DZ307</f>
        <v>825</v>
      </c>
      <c r="FS143" s="3618" t="str">
        <f>IF(FK143=FQ143,IF(FL143=FR143,IF(FK148=FQ143,IF(FL148=FR143,"Right","Wrong"),"Wrong"),"Wrong"),"Wrong")</f>
        <v>Right</v>
      </c>
      <c r="FT143" s="2250"/>
      <c r="FU143" s="2250"/>
      <c r="FV143" s="2250"/>
      <c r="FW143" s="2250"/>
      <c r="FX143" s="2250"/>
      <c r="FY143" s="2250"/>
      <c r="FZ143" s="2250"/>
      <c r="GA143" s="2250"/>
      <c r="GB143" s="2250"/>
      <c r="GC143" s="2276"/>
      <c r="GD143" s="2276"/>
      <c r="GE143" s="2250"/>
      <c r="GF143" s="2275"/>
      <c r="GG143" s="2250"/>
      <c r="GH143" s="2250"/>
      <c r="GI143" s="2250"/>
      <c r="GJ143" s="2250"/>
      <c r="GK143" s="2250"/>
      <c r="GL143" s="2250"/>
      <c r="GM143" s="2250"/>
      <c r="GN143" s="2250"/>
      <c r="GO143" s="2250"/>
      <c r="GP143" s="2250"/>
      <c r="GQ143" s="2250"/>
      <c r="GR143" s="2250"/>
      <c r="GS143" s="2250"/>
      <c r="GT143" s="2250"/>
      <c r="GU143" s="2250"/>
      <c r="GV143" s="2250"/>
      <c r="GW143" s="2250"/>
      <c r="GX143" s="2250"/>
      <c r="GY143" s="2250"/>
      <c r="GZ143" s="2250"/>
      <c r="HA143" s="2250"/>
      <c r="HB143" s="2250"/>
      <c r="HC143" s="2250"/>
      <c r="HD143" s="2250"/>
      <c r="HE143" s="2250"/>
      <c r="HF143" s="2250"/>
      <c r="HG143" s="2250"/>
      <c r="HH143" s="2250"/>
      <c r="HI143" s="4673" t="s">
        <v>732</v>
      </c>
      <c r="HJ143" s="4674"/>
      <c r="HK143" s="3669">
        <f t="shared" ref="HK143:HK146" si="115">+HS140</f>
        <v>29.21</v>
      </c>
      <c r="HL143" s="3674">
        <f t="shared" ref="HL143:HL146" si="116">+HT140</f>
        <v>650</v>
      </c>
      <c r="HM143" s="2250"/>
      <c r="HN143" s="3673" t="str">
        <f>IF(HY145="Right",IF(HW140="Right","Right","Wrong"),"Wrong")</f>
        <v>Right</v>
      </c>
      <c r="HO143" s="2250"/>
      <c r="HP143" s="2250"/>
      <c r="HQ143" s="2250"/>
      <c r="HR143" s="2301" t="s">
        <v>662</v>
      </c>
      <c r="HS143" s="3662">
        <f>HY201</f>
        <v>20.69</v>
      </c>
      <c r="HT143" s="3663">
        <f>HZ201</f>
        <v>825</v>
      </c>
      <c r="HU143" s="2276" t="str">
        <f>IF(HW211="Right",IF(HW212="Right","Right","Wrong"),"Wrong")</f>
        <v>Right</v>
      </c>
      <c r="HV143" s="2250"/>
      <c r="HW143" s="3618" t="str">
        <f>IF(HS143=HY143,IF(HS143=HS148,IF(HT143=HZ143,IF(HT143=HT148,"Right","Wrong"),"Wrong"),"Wrong"),"Wrong")</f>
        <v>Right</v>
      </c>
      <c r="HX143" s="2304" t="s">
        <v>662</v>
      </c>
      <c r="HY143" s="3662">
        <f>GH306</f>
        <v>20.69</v>
      </c>
      <c r="HZ143" s="3664">
        <f>+GH307</f>
        <v>825</v>
      </c>
      <c r="IA143" s="3618" t="str">
        <f>IF(HS143=HY143,IF(HT143=HZ143,IF(HS148=HY143,IF(HT148=HZ143,"Right","Wrong"),"Wrong"),"Wrong"),"Wrong")</f>
        <v>Right</v>
      </c>
      <c r="IB143" s="2250"/>
      <c r="IC143" s="2250"/>
      <c r="ID143" s="2250"/>
      <c r="IE143" s="2250"/>
      <c r="IF143" s="2250"/>
      <c r="IG143" s="2250"/>
      <c r="IH143" s="2250"/>
      <c r="II143" s="2250"/>
      <c r="IJ143" s="2250"/>
      <c r="IK143" s="2250"/>
      <c r="IL143" s="2250"/>
    </row>
    <row r="144" spans="1:249" ht="21.95" customHeight="1" thickBot="1">
      <c r="A144" s="2275"/>
      <c r="B144" s="2250"/>
      <c r="C144" s="2250"/>
      <c r="D144" s="2309" t="s">
        <v>646</v>
      </c>
      <c r="E144" s="2310" t="s">
        <v>2171</v>
      </c>
      <c r="F144" s="2311" t="s">
        <v>2172</v>
      </c>
      <c r="G144" s="2312" t="s">
        <v>2175</v>
      </c>
      <c r="H144" s="2313" t="s">
        <v>2176</v>
      </c>
      <c r="I144" s="2250"/>
      <c r="J144" s="2250"/>
      <c r="K144" s="2250"/>
      <c r="L144" s="2250"/>
      <c r="M144" s="2250"/>
      <c r="N144" s="2250"/>
      <c r="O144" s="2250"/>
      <c r="P144" s="2250"/>
      <c r="Q144" s="2250"/>
      <c r="R144" s="2250"/>
      <c r="S144" s="2250"/>
      <c r="T144" s="2250"/>
      <c r="U144" s="2250"/>
      <c r="V144" s="2250"/>
      <c r="W144" s="2250"/>
      <c r="X144" s="2250"/>
      <c r="Y144" s="2250"/>
      <c r="Z144" s="2250"/>
      <c r="AA144" s="2250"/>
      <c r="AB144" s="2250"/>
      <c r="AD144" s="4675" t="s">
        <v>734</v>
      </c>
      <c r="AE144" s="4676"/>
      <c r="AF144" s="3670">
        <f t="shared" si="111"/>
        <v>25.17</v>
      </c>
      <c r="AG144" s="3675">
        <f t="shared" si="111"/>
        <v>825</v>
      </c>
      <c r="AH144" s="2250"/>
      <c r="AI144" s="3673" t="str">
        <f>IF(AT146="Right",IF(AR141="Right","Right","Wrong"),"Wrong")</f>
        <v>Right</v>
      </c>
      <c r="AJ144" s="2250"/>
      <c r="AK144" s="2250"/>
      <c r="AL144" s="2250"/>
      <c r="AM144" s="2288" t="s">
        <v>651</v>
      </c>
      <c r="AN144" s="3658">
        <f>AH237</f>
        <v>20.89</v>
      </c>
      <c r="AO144" s="3659">
        <f>AI237</f>
        <v>650</v>
      </c>
      <c r="AP144" s="2276" t="str">
        <f>E237</f>
        <v>Right</v>
      </c>
      <c r="AQ144" s="2250"/>
      <c r="AR144" s="2250"/>
      <c r="AS144" s="2250"/>
      <c r="AT144" s="3678" t="str">
        <f>IF(AP139="Right",IF(AV139="Right",IF(AP144="Right","Right","Wrong"),"Wrong"),"Wrong")</f>
        <v>Right</v>
      </c>
      <c r="AU144" s="2250"/>
      <c r="AV144" s="2250"/>
      <c r="AW144" s="2250"/>
      <c r="AX144" s="2250"/>
      <c r="AY144" s="2250"/>
      <c r="AZ144" s="2250"/>
      <c r="BA144" s="2250"/>
      <c r="BB144" s="2250"/>
      <c r="BC144" s="2250"/>
      <c r="BD144" s="2250"/>
      <c r="BE144" s="2250"/>
      <c r="BF144" s="2276"/>
      <c r="BG144" s="2276"/>
      <c r="BH144" s="2250"/>
      <c r="BI144" s="2275"/>
      <c r="BJ144" s="2250"/>
      <c r="BK144" s="2250"/>
      <c r="BL144" s="2250"/>
      <c r="BM144" s="2250"/>
      <c r="BN144" s="2250"/>
      <c r="BO144" s="2250"/>
      <c r="BP144" s="2250"/>
      <c r="BQ144" s="2250"/>
      <c r="BR144" s="2250"/>
      <c r="BS144" s="2250"/>
      <c r="BT144" s="2250"/>
      <c r="BU144" s="2250"/>
      <c r="BV144" s="2250"/>
      <c r="BW144" s="2250"/>
      <c r="BX144" s="2250"/>
      <c r="BY144" s="2250"/>
      <c r="BZ144" s="2250"/>
      <c r="CA144" s="2250"/>
      <c r="CB144" s="2250"/>
      <c r="CC144" s="2250"/>
      <c r="CD144" s="2250"/>
      <c r="CE144" s="2250"/>
      <c r="CF144" s="2250"/>
      <c r="CG144" s="2250"/>
      <c r="CH144" s="2250"/>
      <c r="CI144" s="2250"/>
      <c r="CJ144" s="2250"/>
      <c r="CL144" s="4675" t="s">
        <v>734</v>
      </c>
      <c r="CM144" s="4676"/>
      <c r="CN144" s="3670">
        <f t="shared" si="112"/>
        <v>23.25</v>
      </c>
      <c r="CO144" s="3675">
        <f t="shared" si="112"/>
        <v>825</v>
      </c>
      <c r="CP144" s="2250"/>
      <c r="CQ144" s="3673" t="str">
        <f>IF(DB146="Right",IF(CZ141="Right","Right","Wrong"),"Wrong")</f>
        <v>Right</v>
      </c>
      <c r="CR144" s="2250"/>
      <c r="CS144" s="2250"/>
      <c r="CT144" s="2250"/>
      <c r="CU144" s="2288" t="s">
        <v>651</v>
      </c>
      <c r="CV144" s="3658">
        <f>CP237</f>
        <v>30.79</v>
      </c>
      <c r="CW144" s="3659">
        <f>CQ237</f>
        <v>775</v>
      </c>
      <c r="CX144" s="2276" t="str">
        <f>BM237</f>
        <v>Right</v>
      </c>
      <c r="CY144" s="2250"/>
      <c r="CZ144" s="2250"/>
      <c r="DA144" s="2250"/>
      <c r="DB144" s="3678" t="str">
        <f>IF(CX139="Right",IF(DD139="Right",IF(CX144="Right","Right","Wrong"),"Wrong"),"Wrong")</f>
        <v>Right</v>
      </c>
      <c r="DC144" s="2250"/>
      <c r="DD144" s="2250"/>
      <c r="DE144" s="2250"/>
      <c r="DF144" s="2250"/>
      <c r="DG144" s="2250"/>
      <c r="DH144" s="2250"/>
      <c r="DI144" s="2250"/>
      <c r="DJ144" s="2250"/>
      <c r="DK144" s="2250"/>
      <c r="DL144" s="2250"/>
      <c r="DM144" s="2250"/>
      <c r="DN144" s="2250"/>
      <c r="DO144" s="2250"/>
      <c r="DP144" s="2250"/>
      <c r="DQ144" s="2277"/>
      <c r="DR144" s="2277"/>
      <c r="DS144" s="2278"/>
      <c r="DT144" s="2250"/>
      <c r="DU144" s="2250"/>
      <c r="DV144" s="2250"/>
      <c r="DW144" s="2250"/>
      <c r="DX144" s="2275"/>
      <c r="DY144" s="2250"/>
      <c r="DZ144" s="2250"/>
      <c r="EA144" s="2250"/>
      <c r="EB144" s="2250"/>
      <c r="EC144" s="2250"/>
      <c r="ED144" s="2250"/>
      <c r="EE144" s="2250"/>
      <c r="EF144" s="2250"/>
      <c r="EG144" s="2250"/>
      <c r="EH144" s="2250"/>
      <c r="EI144" s="2250"/>
      <c r="EJ144" s="2250"/>
      <c r="EK144" s="2250"/>
      <c r="EL144" s="2250"/>
      <c r="EM144" s="2250"/>
      <c r="EN144" s="2250"/>
      <c r="EO144" s="2250"/>
      <c r="EP144" s="2250"/>
      <c r="EQ144" s="2250"/>
      <c r="ER144" s="2250"/>
      <c r="ES144" s="2250"/>
      <c r="ET144" s="2250"/>
      <c r="EU144" s="2250"/>
      <c r="EV144" s="2250"/>
      <c r="EW144" s="2250"/>
      <c r="EX144" s="2250"/>
      <c r="EY144" s="2250"/>
      <c r="EZ144" s="2250"/>
      <c r="FA144" s="4675" t="s">
        <v>733</v>
      </c>
      <c r="FB144" s="4676"/>
      <c r="FC144" s="3670">
        <f t="shared" si="113"/>
        <v>22.48</v>
      </c>
      <c r="FD144" s="3675">
        <f t="shared" si="114"/>
        <v>650</v>
      </c>
      <c r="FE144" s="2250"/>
      <c r="FF144" s="3673" t="str">
        <f>IF(FQ146="Right",IF(FO141="Right","Right","Wrong"),"Wrong")</f>
        <v>Right</v>
      </c>
      <c r="FG144" s="2250"/>
      <c r="FH144" s="2250"/>
      <c r="FI144" s="2279" t="s">
        <v>2235</v>
      </c>
      <c r="FJ144" s="2280" t="s">
        <v>648</v>
      </c>
      <c r="FK144" s="2281" t="s">
        <v>706</v>
      </c>
      <c r="FL144" s="2282" t="s">
        <v>707</v>
      </c>
      <c r="FM144" s="3667" t="str">
        <f>IF(FM146="Right",IF(FM147="Right",IF(FM148="Right",IF(FM145="Right","Right","Wrong"),"Wrong"),"Wrong"),"Wrong")</f>
        <v>Right</v>
      </c>
      <c r="FN144" s="2250"/>
      <c r="FO144" s="2250"/>
      <c r="FP144" s="2250"/>
      <c r="FQ144" s="3666" t="str">
        <f>IF(FQ146="Right",IF(FQ147="Right",IF(FQ148="Right",IF(FQ145="Right","Right","Wrong"),"Wrong"),"Wrong"),"Wrong")</f>
        <v>Right</v>
      </c>
      <c r="FR144" s="2250"/>
      <c r="FS144" s="2250"/>
      <c r="FT144" s="2250"/>
      <c r="FU144" s="2250"/>
      <c r="FV144" s="2250"/>
      <c r="FW144" s="2250"/>
      <c r="FX144" s="2250"/>
      <c r="FY144" s="2250"/>
      <c r="FZ144" s="2250"/>
      <c r="GA144" s="2250"/>
      <c r="GB144" s="2250"/>
      <c r="GC144" s="2276"/>
      <c r="GD144" s="2276"/>
      <c r="GE144" s="2250"/>
      <c r="GF144" s="2275"/>
      <c r="GG144" s="2250"/>
      <c r="GH144" s="2250"/>
      <c r="GI144" s="2250"/>
      <c r="GJ144" s="2250"/>
      <c r="GK144" s="2250"/>
      <c r="GL144" s="2250"/>
      <c r="GM144" s="2250"/>
      <c r="GN144" s="2250"/>
      <c r="GO144" s="2250"/>
      <c r="GP144" s="2250"/>
      <c r="GQ144" s="2250"/>
      <c r="GR144" s="2250"/>
      <c r="GS144" s="2250"/>
      <c r="GT144" s="2250"/>
      <c r="GU144" s="2250"/>
      <c r="GV144" s="2250"/>
      <c r="GW144" s="2250"/>
      <c r="GX144" s="2250"/>
      <c r="GY144" s="2250"/>
      <c r="GZ144" s="2250"/>
      <c r="HA144" s="2250"/>
      <c r="HB144" s="2250"/>
      <c r="HC144" s="2250"/>
      <c r="HD144" s="2250"/>
      <c r="HE144" s="2250"/>
      <c r="HF144" s="2250"/>
      <c r="HG144" s="2250"/>
      <c r="HH144" s="2250"/>
      <c r="HI144" s="4675" t="s">
        <v>733</v>
      </c>
      <c r="HJ144" s="4676"/>
      <c r="HK144" s="3670">
        <f t="shared" si="115"/>
        <v>21.09</v>
      </c>
      <c r="HL144" s="3675">
        <f t="shared" si="116"/>
        <v>650</v>
      </c>
      <c r="HM144" s="2250"/>
      <c r="HN144" s="3673" t="str">
        <f>IF(HY146="Right",IF(HW141="Right","Right","Wrong"),"Wrong")</f>
        <v>Right</v>
      </c>
      <c r="HO144" s="2250"/>
      <c r="HP144" s="2250"/>
      <c r="HQ144" s="2279" t="s">
        <v>2235</v>
      </c>
      <c r="HR144" s="2280" t="s">
        <v>648</v>
      </c>
      <c r="HS144" s="2281" t="s">
        <v>706</v>
      </c>
      <c r="HT144" s="2282" t="s">
        <v>707</v>
      </c>
      <c r="HU144" s="3667" t="str">
        <f>IF(HU146="Right",IF(HU147="Right",IF(HU148="Right",IF(HU145="Right","Right","Wrong"),"Wrong"),"Wrong"),"Wrong")</f>
        <v>Right</v>
      </c>
      <c r="HV144" s="2250"/>
      <c r="HW144" s="2250"/>
      <c r="HX144" s="2250"/>
      <c r="HY144" s="3666" t="str">
        <f>IF(HY146="Right",IF(HY147="Right",IF(HY148="Right",IF(HY145="Right","Right","Wrong"),"Wrong"),"Wrong"),"Wrong")</f>
        <v>Right</v>
      </c>
      <c r="HZ144" s="2250"/>
      <c r="IA144" s="2250"/>
      <c r="IB144" s="2250"/>
      <c r="IC144" s="2250"/>
      <c r="ID144" s="2250"/>
      <c r="IE144" s="2250"/>
      <c r="IF144" s="2250"/>
      <c r="IG144" s="2250"/>
      <c r="IH144" s="2250"/>
      <c r="II144" s="2250"/>
      <c r="IJ144" s="2250"/>
      <c r="IK144" s="2250"/>
      <c r="IL144" s="2250"/>
    </row>
    <row r="145" spans="1:246" ht="21.95" customHeight="1" thickBot="1">
      <c r="A145" s="2275"/>
      <c r="B145" s="2250"/>
      <c r="C145" s="2250"/>
      <c r="D145" s="2315" t="s">
        <v>732</v>
      </c>
      <c r="E145" s="3681">
        <f>AF142</f>
        <v>20.89</v>
      </c>
      <c r="F145" s="3684">
        <f>AG142</f>
        <v>650</v>
      </c>
      <c r="G145" s="3684">
        <f t="shared" ref="G145:H148" si="117">CN142</f>
        <v>30.79</v>
      </c>
      <c r="H145" s="3675">
        <f t="shared" si="117"/>
        <v>775</v>
      </c>
      <c r="I145" s="2276" t="str">
        <f>AI142</f>
        <v>Right</v>
      </c>
      <c r="J145" s="2276" t="str">
        <f>CQ142</f>
        <v>Right</v>
      </c>
      <c r="K145" s="2250"/>
      <c r="L145" s="2250"/>
      <c r="M145" s="2250"/>
      <c r="N145" s="2250"/>
      <c r="O145" s="2250"/>
      <c r="P145" s="2250"/>
      <c r="Q145" s="2250"/>
      <c r="R145" s="2250"/>
      <c r="S145" s="2250"/>
      <c r="T145" s="2250"/>
      <c r="U145" s="2250"/>
      <c r="V145" s="2250"/>
      <c r="W145" s="2250"/>
      <c r="X145" s="2250"/>
      <c r="Y145" s="2250"/>
      <c r="Z145" s="2250"/>
      <c r="AA145" s="2250"/>
      <c r="AB145" s="2250"/>
      <c r="AD145" s="4677" t="s">
        <v>735</v>
      </c>
      <c r="AE145" s="4678"/>
      <c r="AF145" s="3671">
        <f t="shared" si="111"/>
        <v>21.09</v>
      </c>
      <c r="AG145" s="3676">
        <f t="shared" si="111"/>
        <v>950</v>
      </c>
      <c r="AH145" s="2250"/>
      <c r="AI145" s="3673" t="str">
        <f>IF(AT147="Right",IF(AR142="Right","Right","Wrong"),"Wrong")</f>
        <v>Right</v>
      </c>
      <c r="AJ145" s="2250"/>
      <c r="AK145" s="2250"/>
      <c r="AL145" s="2250"/>
      <c r="AM145" s="2291" t="s">
        <v>654</v>
      </c>
      <c r="AN145" s="3660">
        <f>AH259</f>
        <v>23.76</v>
      </c>
      <c r="AO145" s="3661">
        <f>AI259</f>
        <v>775</v>
      </c>
      <c r="AP145" s="2276" t="str">
        <f>E259</f>
        <v>Right</v>
      </c>
      <c r="AQ145" s="2250"/>
      <c r="AR145" s="2250"/>
      <c r="AS145" s="2250"/>
      <c r="AT145" s="3679" t="str">
        <f>IF(AP140="Right",IF(AV140="Right",IF(AP145="Right","Right","Wrong"),"Wrong"),"Wrong")</f>
        <v>Right</v>
      </c>
      <c r="AU145" s="2250"/>
      <c r="AV145" s="2250"/>
      <c r="AW145" s="2250"/>
      <c r="AX145" s="2250"/>
      <c r="AY145" s="2250"/>
      <c r="AZ145" s="2250"/>
      <c r="BA145" s="2250"/>
      <c r="BB145" s="2250"/>
      <c r="BC145" s="2250"/>
      <c r="BD145" s="2250"/>
      <c r="BE145" s="2250"/>
      <c r="BF145" s="2276"/>
      <c r="BG145" s="2276"/>
      <c r="BH145" s="2250"/>
      <c r="BI145" s="2275"/>
      <c r="BJ145" s="2250"/>
      <c r="BK145" s="2250"/>
      <c r="BL145" s="2250"/>
      <c r="BM145" s="2250"/>
      <c r="BN145" s="2250"/>
      <c r="BO145" s="2250"/>
      <c r="BP145" s="2250"/>
      <c r="BQ145" s="2250"/>
      <c r="BR145" s="2250"/>
      <c r="BS145" s="2250"/>
      <c r="BT145" s="2250"/>
      <c r="BU145" s="2250"/>
      <c r="BV145" s="2250"/>
      <c r="BW145" s="2250"/>
      <c r="BX145" s="2250"/>
      <c r="BY145" s="2250"/>
      <c r="BZ145" s="2250"/>
      <c r="CA145" s="2250"/>
      <c r="CB145" s="2250"/>
      <c r="CC145" s="2250"/>
      <c r="CD145" s="2250"/>
      <c r="CE145" s="2250"/>
      <c r="CF145" s="2250"/>
      <c r="CG145" s="2250"/>
      <c r="CH145" s="2250"/>
      <c r="CI145" s="2250"/>
      <c r="CJ145" s="2250"/>
      <c r="CL145" s="4677" t="s">
        <v>735</v>
      </c>
      <c r="CM145" s="4678"/>
      <c r="CN145" s="3671">
        <f t="shared" si="112"/>
        <v>25.54</v>
      </c>
      <c r="CO145" s="3676">
        <f t="shared" si="112"/>
        <v>1100</v>
      </c>
      <c r="CP145" s="2250"/>
      <c r="CQ145" s="3673" t="str">
        <f>IF(DB147="Right",IF(CZ142="Right","Right","Wrong"),"Wrong")</f>
        <v>Right</v>
      </c>
      <c r="CR145" s="2250"/>
      <c r="CS145" s="2250"/>
      <c r="CT145" s="2250"/>
      <c r="CU145" s="2291" t="s">
        <v>654</v>
      </c>
      <c r="CV145" s="3660">
        <f>CP259</f>
        <v>21.68</v>
      </c>
      <c r="CW145" s="3661">
        <f>CQ259</f>
        <v>775</v>
      </c>
      <c r="CX145" s="2276" t="str">
        <f>BM259</f>
        <v>Right</v>
      </c>
      <c r="CY145" s="2250"/>
      <c r="CZ145" s="2250"/>
      <c r="DA145" s="2250"/>
      <c r="DB145" s="3679" t="str">
        <f>IF(CX140="Right",IF(DD140="Right",IF(CX145="Right","Right","Wrong"),"Wrong"),"Wrong")</f>
        <v>Right</v>
      </c>
      <c r="DC145" s="2250"/>
      <c r="DD145" s="2250"/>
      <c r="DE145" s="2250"/>
      <c r="DF145" s="2250"/>
      <c r="DG145" s="2250"/>
      <c r="DH145" s="2250"/>
      <c r="DI145" s="2250"/>
      <c r="DJ145" s="2250"/>
      <c r="DK145" s="2250"/>
      <c r="DL145" s="2250"/>
      <c r="DM145" s="2250"/>
      <c r="DN145" s="2250"/>
      <c r="DO145" s="2250"/>
      <c r="DP145" s="2250"/>
      <c r="DQ145" s="2277"/>
      <c r="DR145" s="2277"/>
      <c r="DS145" s="2278"/>
      <c r="DT145" s="2250"/>
      <c r="DU145" s="2250"/>
      <c r="DV145" s="2250"/>
      <c r="DW145" s="2250"/>
      <c r="DX145" s="2275"/>
      <c r="DY145" s="2250"/>
      <c r="DZ145" s="2250"/>
      <c r="EA145" s="2309" t="s">
        <v>646</v>
      </c>
      <c r="EB145" s="2310" t="s">
        <v>2171</v>
      </c>
      <c r="EC145" s="2311" t="s">
        <v>2172</v>
      </c>
      <c r="ED145" s="2312" t="s">
        <v>2175</v>
      </c>
      <c r="EE145" s="2313" t="s">
        <v>2176</v>
      </c>
      <c r="EF145" s="2250"/>
      <c r="EG145" s="2250"/>
      <c r="EH145" s="2250"/>
      <c r="EI145" s="2250"/>
      <c r="EJ145" s="2250"/>
      <c r="EK145" s="2250"/>
      <c r="EL145" s="2250"/>
      <c r="EM145" s="2250"/>
      <c r="EN145" s="2250"/>
      <c r="EO145" s="2250"/>
      <c r="EP145" s="2250"/>
      <c r="EQ145" s="2250"/>
      <c r="ER145" s="2250"/>
      <c r="ES145" s="2250"/>
      <c r="ET145" s="2250"/>
      <c r="EU145" s="2250"/>
      <c r="EV145" s="2250"/>
      <c r="EW145" s="2250"/>
      <c r="EX145" s="2250"/>
      <c r="EY145" s="2250"/>
      <c r="EZ145" s="2250"/>
      <c r="FA145" s="4675" t="s">
        <v>734</v>
      </c>
      <c r="FB145" s="4676"/>
      <c r="FC145" s="3670">
        <f t="shared" si="113"/>
        <v>28.22</v>
      </c>
      <c r="FD145" s="3675">
        <f t="shared" si="114"/>
        <v>775</v>
      </c>
      <c r="FE145" s="2250"/>
      <c r="FF145" s="3673" t="str">
        <f>IF(FQ147="Right",IF(FO142="Right","Right","Wrong"),"Wrong")</f>
        <v>Right</v>
      </c>
      <c r="FG145" s="2250"/>
      <c r="FH145" s="2250"/>
      <c r="FI145" s="2250"/>
      <c r="FJ145" s="2288" t="s">
        <v>651</v>
      </c>
      <c r="FK145" s="3658">
        <f>FE238</f>
        <v>31.19</v>
      </c>
      <c r="FL145" s="3659">
        <f>FF238</f>
        <v>650</v>
      </c>
      <c r="FM145" s="2276" t="str">
        <f>EB238</f>
        <v>Right</v>
      </c>
      <c r="FN145" s="2250"/>
      <c r="FO145" s="2250"/>
      <c r="FP145" s="2250"/>
      <c r="FQ145" s="3678" t="str">
        <f>IF(FM140="Right",IF(FS140="Right",IF(FM145="Right","Right","Wrong"),"Wrong"),"Wrong")</f>
        <v>Right</v>
      </c>
      <c r="FR145" s="2250"/>
      <c r="FS145" s="2250"/>
      <c r="FT145" s="2250"/>
      <c r="FU145" s="2250"/>
      <c r="FV145" s="2250"/>
      <c r="FW145" s="2250"/>
      <c r="FX145" s="2250"/>
      <c r="FY145" s="2250"/>
      <c r="FZ145" s="2250"/>
      <c r="GA145" s="2250"/>
      <c r="GB145" s="2250"/>
      <c r="GC145" s="2276"/>
      <c r="GD145" s="2276"/>
      <c r="GE145" s="2250"/>
      <c r="GF145" s="2275"/>
      <c r="GG145" s="2250"/>
      <c r="GH145" s="2250"/>
      <c r="GI145" s="2250"/>
      <c r="GJ145" s="2250"/>
      <c r="GK145" s="2250"/>
      <c r="GL145" s="2250"/>
      <c r="GM145" s="2250"/>
      <c r="GN145" s="2250"/>
      <c r="GO145" s="2250"/>
      <c r="GP145" s="2250"/>
      <c r="GQ145" s="2250"/>
      <c r="GR145" s="2250"/>
      <c r="GS145" s="2250"/>
      <c r="GT145" s="2250"/>
      <c r="GU145" s="2250"/>
      <c r="GV145" s="2250"/>
      <c r="GW145" s="2250"/>
      <c r="GX145" s="2250"/>
      <c r="GY145" s="2250"/>
      <c r="GZ145" s="2250"/>
      <c r="HA145" s="2250"/>
      <c r="HB145" s="2250"/>
      <c r="HC145" s="2250"/>
      <c r="HD145" s="2250"/>
      <c r="HE145" s="2250"/>
      <c r="HF145" s="2250"/>
      <c r="HG145" s="2250"/>
      <c r="HH145" s="2250"/>
      <c r="HI145" s="4675" t="s">
        <v>734</v>
      </c>
      <c r="HJ145" s="4676"/>
      <c r="HK145" s="3670">
        <f t="shared" si="115"/>
        <v>26.52</v>
      </c>
      <c r="HL145" s="3675">
        <f t="shared" si="116"/>
        <v>775</v>
      </c>
      <c r="HM145" s="2250"/>
      <c r="HN145" s="3673" t="str">
        <f>IF(HY147="Right",IF(HW142="Right","Right","Wrong"),"Wrong")</f>
        <v>Right</v>
      </c>
      <c r="HO145" s="2250"/>
      <c r="HP145" s="2250"/>
      <c r="HQ145" s="2250"/>
      <c r="HR145" s="2288" t="s">
        <v>651</v>
      </c>
      <c r="HS145" s="3658">
        <f>HM238</f>
        <v>29.21</v>
      </c>
      <c r="HT145" s="3659">
        <f>HN238</f>
        <v>650</v>
      </c>
      <c r="HU145" s="2276" t="str">
        <f>GJ238</f>
        <v>Right</v>
      </c>
      <c r="HV145" s="2250"/>
      <c r="HW145" s="2250"/>
      <c r="HX145" s="2250"/>
      <c r="HY145" s="3678" t="str">
        <f>IF(HU140="Right",IF(IA140="Right",IF(HU145="Right","Right","Wrong"),"Wrong"),"Wrong")</f>
        <v>Right</v>
      </c>
      <c r="HZ145" s="2250"/>
      <c r="IA145" s="2250"/>
      <c r="IB145" s="2250"/>
      <c r="IC145" s="2250"/>
      <c r="ID145" s="2250"/>
      <c r="IE145" s="2250"/>
      <c r="IF145" s="2250"/>
      <c r="IG145" s="2250"/>
      <c r="IH145" s="2250"/>
      <c r="II145" s="2250"/>
      <c r="IJ145" s="2250"/>
      <c r="IK145" s="2250"/>
      <c r="IL145" s="2250"/>
    </row>
    <row r="146" spans="1:246" ht="21.95" customHeight="1" thickBot="1">
      <c r="A146" s="2275"/>
      <c r="B146" s="2250"/>
      <c r="C146" s="2250"/>
      <c r="D146" s="2321" t="s">
        <v>733</v>
      </c>
      <c r="E146" s="3682">
        <f>+AF143</f>
        <v>23.76</v>
      </c>
      <c r="F146" s="3685">
        <f>AG143</f>
        <v>775</v>
      </c>
      <c r="G146" s="3685">
        <f t="shared" si="117"/>
        <v>21.68</v>
      </c>
      <c r="H146" s="3688">
        <f t="shared" si="117"/>
        <v>775</v>
      </c>
      <c r="I146" s="2276" t="str">
        <f>AI143</f>
        <v>Right</v>
      </c>
      <c r="J146" s="2276" t="str">
        <f>CQ143</f>
        <v>Right</v>
      </c>
      <c r="K146" s="2250"/>
      <c r="L146" s="2250"/>
      <c r="M146" s="2250"/>
      <c r="N146" s="2250"/>
      <c r="O146" s="2250"/>
      <c r="P146" s="2250"/>
      <c r="Q146" s="2250"/>
      <c r="R146" s="2250"/>
      <c r="S146" s="2250"/>
      <c r="T146" s="2250"/>
      <c r="U146" s="2250"/>
      <c r="V146" s="2250"/>
      <c r="W146" s="2250"/>
      <c r="X146" s="2250"/>
      <c r="Y146" s="2250"/>
      <c r="Z146" s="2250"/>
      <c r="AA146" s="2250"/>
      <c r="AB146" s="2250"/>
      <c r="AD146" s="2250"/>
      <c r="AE146" s="2250"/>
      <c r="AF146" s="2250"/>
      <c r="AG146" s="3677" t="str">
        <f>AM149</f>
        <v>Right</v>
      </c>
      <c r="AH146" s="2250"/>
      <c r="AI146" s="2250"/>
      <c r="AJ146" s="2250"/>
      <c r="AK146" s="2250"/>
      <c r="AL146" s="2250"/>
      <c r="AM146" s="2291" t="s">
        <v>658</v>
      </c>
      <c r="AN146" s="3660">
        <f>AH281</f>
        <v>25.17</v>
      </c>
      <c r="AO146" s="3661">
        <f>AI281</f>
        <v>825</v>
      </c>
      <c r="AP146" s="2276" t="str">
        <f>E281</f>
        <v>Right</v>
      </c>
      <c r="AQ146" s="2250"/>
      <c r="AR146" s="2250"/>
      <c r="AS146" s="2250"/>
      <c r="AT146" s="3679" t="str">
        <f>IF(AP141="Right",IF(AV141="Right",IF(AP146="Right","Right","Wrong"),"Wrong"),"Wrong")</f>
        <v>Right</v>
      </c>
      <c r="AU146" s="2250"/>
      <c r="AV146" s="2250"/>
      <c r="AW146" s="2250"/>
      <c r="AX146" s="2250"/>
      <c r="AY146" s="2250"/>
      <c r="AZ146" s="2250"/>
      <c r="BA146" s="2250"/>
      <c r="BB146" s="2250"/>
      <c r="BC146" s="2250"/>
      <c r="BD146" s="2250"/>
      <c r="BE146" s="2250"/>
      <c r="BF146" s="2276"/>
      <c r="BG146" s="2276"/>
      <c r="BH146" s="2250"/>
      <c r="BI146" s="2275"/>
      <c r="BJ146" s="2250"/>
      <c r="BK146" s="2250"/>
      <c r="BL146" s="2250"/>
      <c r="BM146" s="2250"/>
      <c r="BN146" s="2250"/>
      <c r="BO146" s="2250"/>
      <c r="BP146" s="2250"/>
      <c r="BQ146" s="2250"/>
      <c r="BR146" s="2250"/>
      <c r="BS146" s="2250"/>
      <c r="BT146" s="2250"/>
      <c r="BU146" s="2250"/>
      <c r="BV146" s="2250"/>
      <c r="BW146" s="2250"/>
      <c r="BX146" s="2250"/>
      <c r="BY146" s="2250"/>
      <c r="BZ146" s="2250"/>
      <c r="CA146" s="2250"/>
      <c r="CB146" s="2250"/>
      <c r="CC146" s="2250"/>
      <c r="CD146" s="2250"/>
      <c r="CE146" s="2250"/>
      <c r="CF146" s="2250"/>
      <c r="CG146" s="2250"/>
      <c r="CH146" s="2250"/>
      <c r="CI146" s="2250"/>
      <c r="CJ146" s="2250"/>
      <c r="CK146" s="2250"/>
      <c r="CL146" s="2250"/>
      <c r="CM146" s="2250"/>
      <c r="CN146" s="2250"/>
      <c r="CO146" s="3677" t="str">
        <f>CU149</f>
        <v>Right</v>
      </c>
      <c r="CP146" s="2250"/>
      <c r="CQ146" s="2250"/>
      <c r="CR146" s="2250"/>
      <c r="CS146" s="2250"/>
      <c r="CT146" s="2250"/>
      <c r="CU146" s="2291" t="s">
        <v>658</v>
      </c>
      <c r="CV146" s="3660">
        <f>CP281</f>
        <v>23.25</v>
      </c>
      <c r="CW146" s="3661">
        <f>CQ281</f>
        <v>825</v>
      </c>
      <c r="CX146" s="2276" t="str">
        <f>BM281</f>
        <v>Right</v>
      </c>
      <c r="CY146" s="2250"/>
      <c r="CZ146" s="2250"/>
      <c r="DA146" s="2250"/>
      <c r="DB146" s="3679" t="str">
        <f>IF(CX141="Right",IF(DD141="Right",IF(CX146="Right","Right","Wrong"),"Wrong"),"Wrong")</f>
        <v>Right</v>
      </c>
      <c r="DC146" s="2250"/>
      <c r="DD146" s="2250"/>
      <c r="DE146" s="2250"/>
      <c r="DF146" s="2250"/>
      <c r="DG146" s="2250"/>
      <c r="DH146" s="2250"/>
      <c r="DI146" s="2250"/>
      <c r="DJ146" s="2250"/>
      <c r="DK146" s="2250"/>
      <c r="DL146" s="2250"/>
      <c r="DM146" s="2250"/>
      <c r="DN146" s="2250"/>
      <c r="DO146" s="2250"/>
      <c r="DP146" s="2250"/>
      <c r="DQ146" s="2277"/>
      <c r="DR146" s="2277"/>
      <c r="DS146" s="2278"/>
      <c r="DT146" s="2250"/>
      <c r="DU146" s="2250"/>
      <c r="DV146" s="2250"/>
      <c r="DW146" s="2250"/>
      <c r="DX146" s="2275"/>
      <c r="DY146" s="2250"/>
      <c r="DZ146" s="2250"/>
      <c r="EA146" s="2315" t="s">
        <v>732</v>
      </c>
      <c r="EB146" s="3681">
        <f>FC143</f>
        <v>31.19</v>
      </c>
      <c r="EC146" s="3684">
        <f>FD143</f>
        <v>650</v>
      </c>
      <c r="ED146" s="3684">
        <f t="shared" ref="ED146:ED149" si="118">HK143</f>
        <v>29.21</v>
      </c>
      <c r="EE146" s="3675">
        <f t="shared" ref="EE146:EE149" si="119">HL143</f>
        <v>650</v>
      </c>
      <c r="EF146" s="2276" t="str">
        <f>FF143</f>
        <v>Right</v>
      </c>
      <c r="EG146" s="2276" t="str">
        <f>HN143</f>
        <v>Right</v>
      </c>
      <c r="EH146" s="2250"/>
      <c r="EI146" s="2250"/>
      <c r="EJ146" s="2250"/>
      <c r="EK146" s="2250"/>
      <c r="EL146" s="2250"/>
      <c r="EM146" s="2250"/>
      <c r="EN146" s="2250"/>
      <c r="EO146" s="2250"/>
      <c r="EP146" s="2250"/>
      <c r="EQ146" s="2250"/>
      <c r="ER146" s="2250"/>
      <c r="ES146" s="2250"/>
      <c r="ET146" s="2250"/>
      <c r="EU146" s="2250"/>
      <c r="EV146" s="2250"/>
      <c r="EW146" s="2250"/>
      <c r="EX146" s="2250"/>
      <c r="EY146" s="2250"/>
      <c r="EZ146" s="2250"/>
      <c r="FA146" s="4677" t="s">
        <v>735</v>
      </c>
      <c r="FB146" s="4678"/>
      <c r="FC146" s="3671">
        <f t="shared" si="113"/>
        <v>21.98</v>
      </c>
      <c r="FD146" s="3676">
        <f t="shared" si="114"/>
        <v>825</v>
      </c>
      <c r="FE146" s="2250"/>
      <c r="FF146" s="3673" t="str">
        <f>IF(FQ148="Right",IF(FO143="Right","Right","Wrong"),"Wrong")</f>
        <v>Right</v>
      </c>
      <c r="FG146" s="2250"/>
      <c r="FH146" s="2250"/>
      <c r="FI146" s="2250"/>
      <c r="FJ146" s="2291" t="s">
        <v>654</v>
      </c>
      <c r="FK146" s="3660">
        <f>FE260</f>
        <v>22.48</v>
      </c>
      <c r="FL146" s="3661">
        <f>FF260</f>
        <v>650</v>
      </c>
      <c r="FM146" s="2276" t="str">
        <f>EB260</f>
        <v>Right</v>
      </c>
      <c r="FN146" s="2250"/>
      <c r="FO146" s="2250"/>
      <c r="FP146" s="2250"/>
      <c r="FQ146" s="3679" t="str">
        <f>IF(FM141="Right",IF(FS141="Right",IF(FM146="Right","Right","Wrong"),"Wrong"),"Wrong")</f>
        <v>Right</v>
      </c>
      <c r="FR146" s="2250"/>
      <c r="FS146" s="2250"/>
      <c r="FT146" s="2250"/>
      <c r="FU146" s="2250"/>
      <c r="FV146" s="2250"/>
      <c r="FW146" s="2250"/>
      <c r="FX146" s="2250"/>
      <c r="FY146" s="2250"/>
      <c r="FZ146" s="2250"/>
      <c r="GA146" s="2250"/>
      <c r="GB146" s="2250"/>
      <c r="GC146" s="2276"/>
      <c r="GD146" s="2276"/>
      <c r="GE146" s="2250"/>
      <c r="GF146" s="2275"/>
      <c r="GG146" s="2250"/>
      <c r="GH146" s="2250"/>
      <c r="GI146" s="2250"/>
      <c r="GJ146" s="2250"/>
      <c r="GK146" s="2250"/>
      <c r="GL146" s="2250"/>
      <c r="GM146" s="2250"/>
      <c r="GN146" s="2250"/>
      <c r="GO146" s="2250"/>
      <c r="GP146" s="2250"/>
      <c r="GQ146" s="2250"/>
      <c r="GR146" s="2250"/>
      <c r="GS146" s="2250"/>
      <c r="GT146" s="2250"/>
      <c r="GU146" s="2250"/>
      <c r="GV146" s="2250"/>
      <c r="GW146" s="2250"/>
      <c r="GX146" s="2250"/>
      <c r="GY146" s="2250"/>
      <c r="GZ146" s="2250"/>
      <c r="HA146" s="2250"/>
      <c r="HB146" s="2250"/>
      <c r="HC146" s="2250"/>
      <c r="HD146" s="2250"/>
      <c r="HE146" s="2250"/>
      <c r="HF146" s="2250"/>
      <c r="HG146" s="2250"/>
      <c r="HH146" s="2250"/>
      <c r="HI146" s="4677" t="s">
        <v>735</v>
      </c>
      <c r="HJ146" s="4678"/>
      <c r="HK146" s="3671">
        <f t="shared" si="115"/>
        <v>20.69</v>
      </c>
      <c r="HL146" s="3676">
        <f t="shared" si="116"/>
        <v>825</v>
      </c>
      <c r="HM146" s="2250"/>
      <c r="HN146" s="3673" t="str">
        <f>IF(HY148="Right",IF(HW143="Right","Right","Wrong"),"Wrong")</f>
        <v>Right</v>
      </c>
      <c r="HO146" s="2250"/>
      <c r="HP146" s="2250"/>
      <c r="HQ146" s="2250"/>
      <c r="HR146" s="2291" t="s">
        <v>654</v>
      </c>
      <c r="HS146" s="3660">
        <f>HM260</f>
        <v>21.09</v>
      </c>
      <c r="HT146" s="3661">
        <f>HN260</f>
        <v>650</v>
      </c>
      <c r="HU146" s="2276" t="str">
        <f>GJ260</f>
        <v>Right</v>
      </c>
      <c r="HV146" s="2250"/>
      <c r="HW146" s="2250"/>
      <c r="HX146" s="2250"/>
      <c r="HY146" s="3679" t="str">
        <f>IF(HU141="Right",IF(IA141="Right",IF(HU146="Right","Right","Wrong"),"Wrong"),"Wrong")</f>
        <v>Right</v>
      </c>
      <c r="HZ146" s="2250"/>
      <c r="IA146" s="2250"/>
      <c r="IB146" s="2250"/>
      <c r="IC146" s="2250"/>
      <c r="ID146" s="2250"/>
      <c r="IE146" s="2250"/>
      <c r="IF146" s="2250"/>
      <c r="IG146" s="2250"/>
      <c r="IH146" s="2250"/>
      <c r="II146" s="2250"/>
      <c r="IJ146" s="2250"/>
      <c r="IK146" s="2250"/>
      <c r="IL146" s="2250"/>
    </row>
    <row r="147" spans="1:246" ht="21.95" customHeight="1" thickBot="1">
      <c r="A147" s="2275"/>
      <c r="B147" s="2250"/>
      <c r="C147" s="2250"/>
      <c r="D147" s="2321" t="s">
        <v>734</v>
      </c>
      <c r="E147" s="3682">
        <f>+AF144</f>
        <v>25.17</v>
      </c>
      <c r="F147" s="3685">
        <f>AG144</f>
        <v>825</v>
      </c>
      <c r="G147" s="3685">
        <f t="shared" si="117"/>
        <v>23.25</v>
      </c>
      <c r="H147" s="3688">
        <f t="shared" si="117"/>
        <v>825</v>
      </c>
      <c r="I147" s="2276" t="str">
        <f>AI144</f>
        <v>Right</v>
      </c>
      <c r="J147" s="2276" t="str">
        <f>CQ144</f>
        <v>Right</v>
      </c>
      <c r="K147" s="2250"/>
      <c r="L147" s="2250"/>
      <c r="M147" s="2250"/>
      <c r="N147" s="2250"/>
      <c r="O147" s="2250"/>
      <c r="P147" s="2250"/>
      <c r="Q147" s="2250"/>
      <c r="R147" s="2250"/>
      <c r="S147" s="2250"/>
      <c r="T147" s="2250"/>
      <c r="U147" s="2250"/>
      <c r="V147" s="2250"/>
      <c r="W147" s="2250"/>
      <c r="X147" s="2250"/>
      <c r="Y147" s="2250"/>
      <c r="Z147" s="2250"/>
      <c r="AA147" s="2250"/>
      <c r="AB147" s="2250"/>
      <c r="AD147" s="2250"/>
      <c r="AE147" s="2250"/>
      <c r="AF147" s="2250"/>
      <c r="AG147" s="2250"/>
      <c r="AH147" s="2250"/>
      <c r="AI147" s="2250"/>
      <c r="AJ147" s="2250"/>
      <c r="AK147" s="2250"/>
      <c r="AL147" s="2250"/>
      <c r="AM147" s="2304" t="s">
        <v>662</v>
      </c>
      <c r="AN147" s="3668">
        <f>AH303</f>
        <v>21.09</v>
      </c>
      <c r="AO147" s="3664">
        <f>AI303</f>
        <v>950</v>
      </c>
      <c r="AP147" s="2276" t="str">
        <f>E303</f>
        <v>Right</v>
      </c>
      <c r="AQ147" s="2250"/>
      <c r="AR147" s="2250"/>
      <c r="AS147" s="2250"/>
      <c r="AT147" s="3680" t="str">
        <f>IF(AP142="Right",IF(AV142="Right",IF(AP147="Right","Right","Wrong"),"Wrong"),"Wrong")</f>
        <v>Right</v>
      </c>
      <c r="AU147" s="2250"/>
      <c r="AV147" s="2250"/>
      <c r="AW147" s="2250"/>
      <c r="AX147" s="2250"/>
      <c r="AY147" s="2250"/>
      <c r="AZ147" s="2250"/>
      <c r="BA147" s="2250"/>
      <c r="BB147" s="2250"/>
      <c r="BC147" s="2250"/>
      <c r="BD147" s="2250"/>
      <c r="BE147" s="2250"/>
      <c r="BF147" s="2276"/>
      <c r="BG147" s="2276"/>
      <c r="BH147" s="2250"/>
      <c r="BI147" s="2275"/>
      <c r="BJ147" s="2250"/>
      <c r="BK147" s="2250"/>
      <c r="BL147" s="2250"/>
      <c r="BM147" s="2250"/>
      <c r="BN147" s="2250"/>
      <c r="BO147" s="2250"/>
      <c r="BP147" s="2250"/>
      <c r="BQ147" s="2250"/>
      <c r="BR147" s="2250"/>
      <c r="BS147" s="2250"/>
      <c r="BT147" s="2250"/>
      <c r="BU147" s="2250"/>
      <c r="BV147" s="2250"/>
      <c r="BW147" s="2250"/>
      <c r="BX147" s="2250"/>
      <c r="BY147" s="2250"/>
      <c r="BZ147" s="2250"/>
      <c r="CA147" s="2250"/>
      <c r="CB147" s="2250"/>
      <c r="CC147" s="2250"/>
      <c r="CD147" s="2250"/>
      <c r="CE147" s="2250"/>
      <c r="CF147" s="2250"/>
      <c r="CG147" s="2250"/>
      <c r="CH147" s="2250"/>
      <c r="CI147" s="2250"/>
      <c r="CJ147" s="2250"/>
      <c r="CK147" s="2250"/>
      <c r="CL147" s="2250"/>
      <c r="CM147" s="2250"/>
      <c r="CN147" s="2250"/>
      <c r="CO147" s="2250"/>
      <c r="CP147" s="2250"/>
      <c r="CQ147" s="2250"/>
      <c r="CR147" s="2250"/>
      <c r="CS147" s="2250"/>
      <c r="CT147" s="2250"/>
      <c r="CU147" s="2304" t="s">
        <v>662</v>
      </c>
      <c r="CV147" s="3668">
        <f>CP303</f>
        <v>25.54</v>
      </c>
      <c r="CW147" s="3664">
        <f>CQ303</f>
        <v>1100</v>
      </c>
      <c r="CX147" s="2276" t="str">
        <f>BM303</f>
        <v>Right</v>
      </c>
      <c r="CY147" s="2250"/>
      <c r="CZ147" s="2250"/>
      <c r="DA147" s="2250"/>
      <c r="DB147" s="3680" t="str">
        <f>IF(CX142="Right",IF(DD142="Right",IF(CX147="Right","Right","Wrong"),"Wrong"),"Wrong")</f>
        <v>Right</v>
      </c>
      <c r="DC147" s="2250"/>
      <c r="DD147" s="2250"/>
      <c r="DE147" s="2250"/>
      <c r="DF147" s="2250"/>
      <c r="DG147" s="2250"/>
      <c r="DH147" s="2250"/>
      <c r="DI147" s="2250"/>
      <c r="DJ147" s="2250"/>
      <c r="DK147" s="2250"/>
      <c r="DL147" s="2250"/>
      <c r="DM147" s="2250"/>
      <c r="DN147" s="2250"/>
      <c r="DO147" s="2250"/>
      <c r="DP147" s="2250"/>
      <c r="DQ147" s="2277"/>
      <c r="DR147" s="2277"/>
      <c r="DS147" s="2278"/>
      <c r="DT147" s="2250"/>
      <c r="DU147" s="2250"/>
      <c r="DV147" s="2250"/>
      <c r="DW147" s="2250"/>
      <c r="DX147" s="2275"/>
      <c r="DY147" s="2250"/>
      <c r="DZ147" s="2250"/>
      <c r="EA147" s="2321" t="s">
        <v>733</v>
      </c>
      <c r="EB147" s="3682">
        <f>+FC144</f>
        <v>22.48</v>
      </c>
      <c r="EC147" s="3685">
        <f>FD144</f>
        <v>650</v>
      </c>
      <c r="ED147" s="3685">
        <f t="shared" si="118"/>
        <v>21.09</v>
      </c>
      <c r="EE147" s="3688">
        <f t="shared" si="119"/>
        <v>650</v>
      </c>
      <c r="EF147" s="2276" t="str">
        <f>FF144</f>
        <v>Right</v>
      </c>
      <c r="EG147" s="2276" t="str">
        <f>HN144</f>
        <v>Right</v>
      </c>
      <c r="EH147" s="2250"/>
      <c r="EI147" s="2250"/>
      <c r="EJ147" s="2250"/>
      <c r="EK147" s="2250"/>
      <c r="EL147" s="2250"/>
      <c r="EM147" s="2250"/>
      <c r="EN147" s="2250"/>
      <c r="EO147" s="2250"/>
      <c r="EP147" s="2250"/>
      <c r="EQ147" s="2250"/>
      <c r="ER147" s="2250"/>
      <c r="ES147" s="2250"/>
      <c r="ET147" s="2250"/>
      <c r="EU147" s="2250"/>
      <c r="EV147" s="2250"/>
      <c r="EW147" s="2250"/>
      <c r="EX147" s="2250"/>
      <c r="EY147" s="2250"/>
      <c r="EZ147" s="2250"/>
      <c r="FA147" s="2250"/>
      <c r="FB147" s="2250"/>
      <c r="FC147" s="2250"/>
      <c r="FD147" s="3677" t="str">
        <f>FJ150</f>
        <v>Right</v>
      </c>
      <c r="FE147" s="2250"/>
      <c r="FF147" s="2250"/>
      <c r="FG147" s="2250"/>
      <c r="FH147" s="2250"/>
      <c r="FI147" s="2250"/>
      <c r="FJ147" s="2291" t="s">
        <v>658</v>
      </c>
      <c r="FK147" s="3660">
        <f>FE282</f>
        <v>28.22</v>
      </c>
      <c r="FL147" s="3661">
        <f>FF282</f>
        <v>775</v>
      </c>
      <c r="FM147" s="2276" t="str">
        <f>EB282</f>
        <v>Right</v>
      </c>
      <c r="FN147" s="2250"/>
      <c r="FO147" s="2250"/>
      <c r="FP147" s="2250"/>
      <c r="FQ147" s="3679" t="str">
        <f>IF(FM142="Right",IF(FS142="Right",IF(FM147="Right","Right","Wrong"),"Wrong"),"Wrong")</f>
        <v>Right</v>
      </c>
      <c r="FR147" s="2250"/>
      <c r="FS147" s="2250"/>
      <c r="FT147" s="2250"/>
      <c r="FU147" s="2250"/>
      <c r="FV147" s="2250"/>
      <c r="FW147" s="2250"/>
      <c r="FX147" s="2250"/>
      <c r="FY147" s="2250"/>
      <c r="FZ147" s="2250"/>
      <c r="GA147" s="2250"/>
      <c r="GB147" s="2250"/>
      <c r="GC147" s="2276"/>
      <c r="GD147" s="2276"/>
      <c r="GE147" s="2250"/>
      <c r="GF147" s="2275"/>
      <c r="GG147" s="2250"/>
      <c r="GH147" s="2250"/>
      <c r="GI147" s="2250"/>
      <c r="GJ147" s="2250"/>
      <c r="GK147" s="2250"/>
      <c r="GL147" s="2250"/>
      <c r="GM147" s="2250"/>
      <c r="GN147" s="2250"/>
      <c r="GO147" s="2250"/>
      <c r="GP147" s="2250"/>
      <c r="GQ147" s="2250"/>
      <c r="GR147" s="2250"/>
      <c r="GS147" s="2250"/>
      <c r="GT147" s="2250"/>
      <c r="GU147" s="2250"/>
      <c r="GV147" s="2250"/>
      <c r="GW147" s="2250"/>
      <c r="GX147" s="2250"/>
      <c r="GY147" s="2250"/>
      <c r="GZ147" s="2250"/>
      <c r="HA147" s="2250"/>
      <c r="HB147" s="2250"/>
      <c r="HC147" s="2250"/>
      <c r="HD147" s="2250"/>
      <c r="HE147" s="2250"/>
      <c r="HF147" s="2250"/>
      <c r="HG147" s="2250"/>
      <c r="HH147" s="2250"/>
      <c r="HI147" s="2250"/>
      <c r="HJ147" s="2250"/>
      <c r="HK147" s="2250"/>
      <c r="HL147" s="3677" t="str">
        <f>HR150</f>
        <v>Right</v>
      </c>
      <c r="HM147" s="2250"/>
      <c r="HN147" s="2250"/>
      <c r="HO147" s="2250"/>
      <c r="HP147" s="2250"/>
      <c r="HQ147" s="2250"/>
      <c r="HR147" s="2291" t="s">
        <v>658</v>
      </c>
      <c r="HS147" s="3660">
        <f>HM282</f>
        <v>26.52</v>
      </c>
      <c r="HT147" s="3661">
        <f>HN282</f>
        <v>775</v>
      </c>
      <c r="HU147" s="2276" t="str">
        <f>GJ282</f>
        <v>Right</v>
      </c>
      <c r="HV147" s="2250"/>
      <c r="HW147" s="2250"/>
      <c r="HX147" s="2250"/>
      <c r="HY147" s="3679" t="str">
        <f>IF(HU142="Right",IF(IA142="Right",IF(HU147="Right","Right","Wrong"),"Wrong"),"Wrong")</f>
        <v>Right</v>
      </c>
      <c r="HZ147" s="2250"/>
      <c r="IA147" s="2250"/>
      <c r="IB147" s="2250"/>
      <c r="IC147" s="2250"/>
      <c r="ID147" s="2250"/>
      <c r="IE147" s="2250"/>
      <c r="IF147" s="2250"/>
      <c r="IG147" s="2250"/>
      <c r="IH147" s="2250"/>
      <c r="II147" s="2250"/>
      <c r="IJ147" s="2250"/>
      <c r="IK147" s="2250"/>
      <c r="IL147" s="2250"/>
    </row>
    <row r="148" spans="1:246" ht="21.95" customHeight="1" thickBot="1">
      <c r="A148" s="2275"/>
      <c r="B148" s="2250"/>
      <c r="C148" s="2250"/>
      <c r="D148" s="2326" t="s">
        <v>735</v>
      </c>
      <c r="E148" s="3683">
        <f>+AF145</f>
        <v>21.09</v>
      </c>
      <c r="F148" s="3686">
        <f>AG145</f>
        <v>950</v>
      </c>
      <c r="G148" s="3686">
        <f t="shared" si="117"/>
        <v>25.54</v>
      </c>
      <c r="H148" s="3689">
        <f t="shared" si="117"/>
        <v>1100</v>
      </c>
      <c r="I148" s="2276" t="str">
        <f>AI145</f>
        <v>Right</v>
      </c>
      <c r="J148" s="2276" t="str">
        <f>CQ145</f>
        <v>Right</v>
      </c>
      <c r="K148" s="2250"/>
      <c r="L148" s="2250"/>
      <c r="M148" s="2250"/>
      <c r="N148" s="2250"/>
      <c r="O148" s="2250"/>
      <c r="P148" s="2250"/>
      <c r="Q148" s="2250"/>
      <c r="R148" s="2250"/>
      <c r="S148" s="2250"/>
      <c r="T148" s="2250"/>
      <c r="U148" s="2250"/>
      <c r="V148" s="2250"/>
      <c r="W148" s="2250"/>
      <c r="X148" s="2250"/>
      <c r="Y148" s="2250"/>
      <c r="Z148" s="2250"/>
      <c r="AA148" s="2250"/>
      <c r="AB148" s="2250"/>
      <c r="AD148" s="2250"/>
      <c r="AE148" s="2250"/>
      <c r="AF148" s="2250"/>
      <c r="AG148" s="2329"/>
      <c r="AH148" s="2250"/>
      <c r="AI148" s="2250"/>
      <c r="AJ148" s="2250"/>
      <c r="AK148" s="2250"/>
      <c r="AL148" s="2250"/>
      <c r="AM148" s="2250"/>
      <c r="AN148" s="2250"/>
      <c r="AO148" s="2250"/>
      <c r="AP148" s="2250"/>
      <c r="AQ148" s="2250"/>
      <c r="AR148" s="2250"/>
      <c r="AS148" s="2250"/>
      <c r="AT148" s="2250"/>
      <c r="AU148" s="2250"/>
      <c r="AV148" s="2250"/>
      <c r="AW148" s="2250"/>
      <c r="AX148" s="2250"/>
      <c r="AY148" s="2250"/>
      <c r="AZ148" s="2250"/>
      <c r="BA148" s="2250"/>
      <c r="BB148" s="2250"/>
      <c r="BC148" s="2250"/>
      <c r="BD148" s="2250"/>
      <c r="BE148" s="2250"/>
      <c r="BF148" s="2276"/>
      <c r="BG148" s="2276"/>
      <c r="BH148" s="2250"/>
      <c r="BI148" s="2275"/>
      <c r="BJ148" s="2250"/>
      <c r="BK148" s="2250"/>
      <c r="BL148" s="2250"/>
      <c r="BM148" s="2250"/>
      <c r="BN148" s="2250"/>
      <c r="BO148" s="2250"/>
      <c r="BP148" s="2250"/>
      <c r="BQ148" s="2250"/>
      <c r="BR148" s="2250"/>
      <c r="BS148" s="2250"/>
      <c r="BT148" s="2250"/>
      <c r="BU148" s="2250"/>
      <c r="BV148" s="2250"/>
      <c r="BW148" s="2250"/>
      <c r="BX148" s="2250"/>
      <c r="BY148" s="2250"/>
      <c r="BZ148" s="2250"/>
      <c r="CA148" s="2250"/>
      <c r="CB148" s="2250"/>
      <c r="CC148" s="2250"/>
      <c r="CD148" s="2250"/>
      <c r="CE148" s="2250"/>
      <c r="CF148" s="2250"/>
      <c r="CG148" s="2250"/>
      <c r="CH148" s="2250"/>
      <c r="CI148" s="2250"/>
      <c r="CJ148" s="2250"/>
      <c r="CK148" s="2250"/>
      <c r="CL148" s="2250"/>
      <c r="CM148" s="2250"/>
      <c r="CN148" s="2250"/>
      <c r="CO148" s="2329"/>
      <c r="CP148" s="2250"/>
      <c r="CQ148" s="2250"/>
      <c r="CR148" s="2250"/>
      <c r="CS148" s="2250"/>
      <c r="CT148" s="2250"/>
      <c r="CU148" s="2250"/>
      <c r="CV148" s="2250"/>
      <c r="CW148" s="2250"/>
      <c r="CX148" s="2250"/>
      <c r="CY148" s="2250"/>
      <c r="CZ148" s="2250"/>
      <c r="DA148" s="2250"/>
      <c r="DB148" s="2250"/>
      <c r="DC148" s="2250"/>
      <c r="DD148" s="2250"/>
      <c r="DE148" s="2250"/>
      <c r="DF148" s="2250"/>
      <c r="DG148" s="2250"/>
      <c r="DH148" s="2250"/>
      <c r="DI148" s="2250"/>
      <c r="DJ148" s="2250"/>
      <c r="DK148" s="2250"/>
      <c r="DL148" s="2250"/>
      <c r="DM148" s="2250"/>
      <c r="DN148" s="2250"/>
      <c r="DO148" s="2250"/>
      <c r="DP148" s="2250"/>
      <c r="DQ148" s="2277"/>
      <c r="DR148" s="2277"/>
      <c r="DS148" s="2278"/>
      <c r="DT148" s="2250"/>
      <c r="DU148" s="2250"/>
      <c r="DV148" s="2250"/>
      <c r="DW148" s="2250"/>
      <c r="DX148" s="2275"/>
      <c r="DY148" s="2250"/>
      <c r="DZ148" s="2250"/>
      <c r="EA148" s="2321" t="s">
        <v>734</v>
      </c>
      <c r="EB148" s="3682">
        <f>+FC145</f>
        <v>28.22</v>
      </c>
      <c r="EC148" s="3685">
        <f>FD145</f>
        <v>775</v>
      </c>
      <c r="ED148" s="3685">
        <f t="shared" si="118"/>
        <v>26.52</v>
      </c>
      <c r="EE148" s="3688">
        <f t="shared" si="119"/>
        <v>775</v>
      </c>
      <c r="EF148" s="2276" t="str">
        <f>FF145</f>
        <v>Right</v>
      </c>
      <c r="EG148" s="2276" t="str">
        <f>HN145</f>
        <v>Right</v>
      </c>
      <c r="EH148" s="2250"/>
      <c r="EI148" s="2250"/>
      <c r="EJ148" s="2250"/>
      <c r="EK148" s="2250"/>
      <c r="EL148" s="2250"/>
      <c r="EM148" s="2250"/>
      <c r="EN148" s="2250"/>
      <c r="EO148" s="2250"/>
      <c r="EP148" s="2250"/>
      <c r="EQ148" s="2250"/>
      <c r="ER148" s="2250"/>
      <c r="ES148" s="2250"/>
      <c r="ET148" s="2250"/>
      <c r="EU148" s="2250"/>
      <c r="EV148" s="2250"/>
      <c r="EW148" s="2250"/>
      <c r="EX148" s="2250"/>
      <c r="EY148" s="2250"/>
      <c r="EZ148" s="2250"/>
      <c r="FA148" s="2250"/>
      <c r="FB148" s="2250"/>
      <c r="FC148" s="2250"/>
      <c r="FD148" s="2250"/>
      <c r="FE148" s="2250"/>
      <c r="FF148" s="2250"/>
      <c r="FG148" s="2250"/>
      <c r="FH148" s="2250"/>
      <c r="FI148" s="2250"/>
      <c r="FJ148" s="2304" t="s">
        <v>662</v>
      </c>
      <c r="FK148" s="3668">
        <f>FE304</f>
        <v>21.98</v>
      </c>
      <c r="FL148" s="3664">
        <f>FF304</f>
        <v>825</v>
      </c>
      <c r="FM148" s="2276" t="str">
        <f>EB304</f>
        <v>Right</v>
      </c>
      <c r="FN148" s="2250"/>
      <c r="FO148" s="2250"/>
      <c r="FP148" s="2250"/>
      <c r="FQ148" s="3680" t="str">
        <f>IF(FM143="Right",IF(FS143="Right",IF(FM148="Right","Right","Wrong"),"Wrong"),"Wrong")</f>
        <v>Right</v>
      </c>
      <c r="FR148" s="2250"/>
      <c r="FS148" s="2250"/>
      <c r="FT148" s="2250"/>
      <c r="FU148" s="2250"/>
      <c r="FV148" s="2250"/>
      <c r="FW148" s="2250"/>
      <c r="FX148" s="2250"/>
      <c r="FY148" s="2250"/>
      <c r="FZ148" s="2250"/>
      <c r="GA148" s="2250"/>
      <c r="GB148" s="2250"/>
      <c r="GC148" s="2276"/>
      <c r="GD148" s="2276"/>
      <c r="GE148" s="2250"/>
      <c r="GF148" s="2275"/>
      <c r="GG148" s="2250"/>
      <c r="GH148" s="2250"/>
      <c r="GI148" s="2250"/>
      <c r="GJ148" s="2250"/>
      <c r="GK148" s="2250"/>
      <c r="GL148" s="2250"/>
      <c r="GM148" s="2250"/>
      <c r="GN148" s="2250"/>
      <c r="GO148" s="2250"/>
      <c r="GP148" s="2250"/>
      <c r="GQ148" s="2250"/>
      <c r="GR148" s="2250"/>
      <c r="GS148" s="2250"/>
      <c r="GT148" s="2250"/>
      <c r="GU148" s="2250"/>
      <c r="GV148" s="2250"/>
      <c r="GW148" s="2250"/>
      <c r="GX148" s="2250"/>
      <c r="GY148" s="2250"/>
      <c r="GZ148" s="2250"/>
      <c r="HA148" s="2250"/>
      <c r="HB148" s="2250"/>
      <c r="HC148" s="2250"/>
      <c r="HD148" s="2250"/>
      <c r="HE148" s="2250"/>
      <c r="HF148" s="2250"/>
      <c r="HG148" s="2250"/>
      <c r="HH148" s="2250"/>
      <c r="HI148" s="2250"/>
      <c r="HJ148" s="2250"/>
      <c r="HK148" s="2250"/>
      <c r="HL148" s="2250"/>
      <c r="HM148" s="2250"/>
      <c r="HN148" s="2250"/>
      <c r="HO148" s="2250"/>
      <c r="HP148" s="2250"/>
      <c r="HQ148" s="2250"/>
      <c r="HR148" s="2304" t="s">
        <v>662</v>
      </c>
      <c r="HS148" s="3668">
        <f>HM304</f>
        <v>20.69</v>
      </c>
      <c r="HT148" s="3664">
        <f>HN304</f>
        <v>825</v>
      </c>
      <c r="HU148" s="2276" t="str">
        <f>GJ304</f>
        <v>Right</v>
      </c>
      <c r="HV148" s="2250"/>
      <c r="HW148" s="2250"/>
      <c r="HX148" s="2250"/>
      <c r="HY148" s="3680" t="str">
        <f>IF(HU143="Right",IF(IA143="Right",IF(HU148="Right","Right","Wrong"),"Wrong"),"Wrong")</f>
        <v>Right</v>
      </c>
      <c r="HZ148" s="2250"/>
      <c r="IA148" s="2250"/>
      <c r="IB148" s="2250"/>
      <c r="IC148" s="2250"/>
      <c r="ID148" s="2250"/>
      <c r="IE148" s="2250"/>
      <c r="IF148" s="2250"/>
      <c r="IG148" s="2250"/>
      <c r="IH148" s="2250"/>
      <c r="II148" s="2250"/>
      <c r="IJ148" s="2250"/>
      <c r="IK148" s="2250"/>
      <c r="IL148" s="2250"/>
    </row>
    <row r="149" spans="1:246" ht="21.95" customHeight="1" thickBot="1">
      <c r="A149" s="2275"/>
      <c r="B149" s="2250"/>
      <c r="C149" s="2250"/>
      <c r="D149" s="2250"/>
      <c r="E149" s="2250"/>
      <c r="F149" s="3687" t="str">
        <f>AG146</f>
        <v>Right</v>
      </c>
      <c r="G149" s="2250"/>
      <c r="H149" s="3687" t="str">
        <f>CO146</f>
        <v>Right</v>
      </c>
      <c r="I149" s="2250"/>
      <c r="J149" s="2250"/>
      <c r="K149" s="2250"/>
      <c r="L149" s="2250"/>
      <c r="M149" s="2250"/>
      <c r="N149" s="2250"/>
      <c r="O149" s="2250"/>
      <c r="P149" s="2250"/>
      <c r="Q149" s="2250"/>
      <c r="R149" s="2250"/>
      <c r="S149" s="2250"/>
      <c r="T149" s="2250"/>
      <c r="U149" s="2250"/>
      <c r="V149" s="2250"/>
      <c r="W149" s="2250"/>
      <c r="X149" s="2250"/>
      <c r="Y149" s="2250"/>
      <c r="Z149" s="2250"/>
      <c r="AA149" s="2250"/>
      <c r="AB149" s="2250"/>
      <c r="AD149" s="2250"/>
      <c r="AE149" s="2250"/>
      <c r="AF149" s="2250"/>
      <c r="AG149" s="2250"/>
      <c r="AH149" s="2250"/>
      <c r="AI149" s="2250"/>
      <c r="AJ149" s="2250"/>
      <c r="AK149" s="2250"/>
      <c r="AL149" s="2250"/>
      <c r="AM149" s="3690" t="str">
        <f>IF(AN149="Right",IF(AO149="Right",IF(AP149="Right",IF(AQ149="Right","Right","Wrong"),"Wrong"),"Wrong"),"Wrong")</f>
        <v>Right</v>
      </c>
      <c r="AN149" s="2276" t="str">
        <f>IF(AN139=AT139,IF(AN140=AT140,IF(AN141=AT141,IF(AN142=AT142,IF(AN139=AN144,IF(AN140=AN145,IF(AN141=AN146,IF(AN142=AN147,"Right","Wrong"),"Wrong"),"Wrong"),"Wrong"),"Wrong"),"Wrong"),"Wrong"),"Wrong")</f>
        <v>Right</v>
      </c>
      <c r="AO149" s="2276" t="str">
        <f>IF(AO139=AU139,IF(AO140=AU140,IF(AO141=AU141,IF(AO142=AU142,IF(AO139=AO144,IF(AO140=AO145,IF(AO141=AO146,IF(AO142=AO147,"Right","Wrong"),"Wrong"),"Wrong"),"Wrong"),"Wrong"),"Wrong"),"Wrong"),"Wrong")</f>
        <v>Right</v>
      </c>
      <c r="AP149" s="2276" t="str">
        <f>IF(AP138="Right",IF(AP143="Right",IF(AV138="Right","Right","Wrong"),"Wrong"),"Wrong")</f>
        <v>Right</v>
      </c>
      <c r="AQ149" s="2276" t="str">
        <f>IF(AT143="Right",IF(AR138="Right","Right","Wrong"),"Wrong")</f>
        <v>Right</v>
      </c>
      <c r="AR149" s="2250"/>
      <c r="AS149" s="2250"/>
      <c r="AT149" s="2250"/>
      <c r="AU149" s="2250"/>
      <c r="AV149" s="2250"/>
      <c r="AW149" s="2250"/>
      <c r="AX149" s="2250"/>
      <c r="AY149" s="2250"/>
      <c r="AZ149" s="2250"/>
      <c r="BA149" s="2250"/>
      <c r="BB149" s="2250"/>
      <c r="BC149" s="2250"/>
      <c r="BD149" s="2250"/>
      <c r="BE149" s="2250"/>
      <c r="BF149" s="2276"/>
      <c r="BG149" s="2276"/>
      <c r="BH149" s="2250"/>
      <c r="BI149" s="2275"/>
      <c r="BJ149" s="2250"/>
      <c r="BK149" s="2250"/>
      <c r="BL149" s="2250"/>
      <c r="BM149" s="2250"/>
      <c r="BN149" s="2250"/>
      <c r="BO149" s="2250"/>
      <c r="BP149" s="2250"/>
      <c r="BQ149" s="2250"/>
      <c r="BR149" s="2250"/>
      <c r="BS149" s="2250"/>
      <c r="BT149" s="2250"/>
      <c r="BU149" s="2250"/>
      <c r="BV149" s="2250"/>
      <c r="BW149" s="2250"/>
      <c r="BX149" s="2250"/>
      <c r="BY149" s="2250"/>
      <c r="BZ149" s="2250"/>
      <c r="CA149" s="2250"/>
      <c r="CB149" s="2250"/>
      <c r="CC149" s="2250"/>
      <c r="CD149" s="2250"/>
      <c r="CE149" s="2250"/>
      <c r="CF149" s="2250"/>
      <c r="CG149" s="2250"/>
      <c r="CH149" s="2250"/>
      <c r="CI149" s="2250"/>
      <c r="CJ149" s="2250"/>
      <c r="CK149" s="2250"/>
      <c r="CL149" s="2250"/>
      <c r="CM149" s="2250"/>
      <c r="CN149" s="2250"/>
      <c r="CO149" s="2250"/>
      <c r="CP149" s="2250"/>
      <c r="CQ149" s="2250"/>
      <c r="CR149" s="2250"/>
      <c r="CS149" s="2250"/>
      <c r="CT149" s="2250"/>
      <c r="CU149" s="3690" t="str">
        <f>IF(CV149="Right",IF(CW149="Right",IF(CX149="Right",IF(CY149="Right","Right","Wrong"),"Wrong"),"Wrong"),"Wrong")</f>
        <v>Right</v>
      </c>
      <c r="CV149" s="2276" t="str">
        <f>IF(CV139=DB139,IF(CV140=DB140,IF(CV141=DB141,IF(CV142=DB142,IF(CV139=CV144,IF(CV140=CV145,IF(CV141=CV146,IF(CV142=CV147,"Right","Wrong"),"Wrong"),"Wrong"),"Wrong"),"Wrong"),"Wrong"),"Wrong"),"Wrong")</f>
        <v>Right</v>
      </c>
      <c r="CW149" s="2276" t="str">
        <f>IF(CW139=DC139,IF(CW140=DC140,IF(CW141=DC141,IF(CW142=DC142,IF(CW139=CW144,IF(CW140=CW145,IF(CW141=CW146,IF(CW142=CW147,"Right","Wrong"),"Wrong"),"Wrong"),"Wrong"),"Wrong"),"Wrong"),"Wrong"),"Wrong")</f>
        <v>Right</v>
      </c>
      <c r="CX149" s="2276" t="str">
        <f>IF(CX138="Right",IF(CX143="Right",IF(DD138="Right","Right","Wrong"),"Wrong"),"Wrong")</f>
        <v>Right</v>
      </c>
      <c r="CY149" s="2276" t="str">
        <f>IF(DB143="Right",IF(CZ138="Right","Right","Wrong"),"Wrong")</f>
        <v>Right</v>
      </c>
      <c r="CZ149" s="2250"/>
      <c r="DA149" s="2250"/>
      <c r="DB149" s="2250"/>
      <c r="DC149" s="2250"/>
      <c r="DD149" s="2250"/>
      <c r="DE149" s="2250"/>
      <c r="DF149" s="2250"/>
      <c r="DG149" s="2250"/>
      <c r="DH149" s="2250"/>
      <c r="DI149" s="2250"/>
      <c r="DJ149" s="2250"/>
      <c r="DK149" s="2250"/>
      <c r="DL149" s="2250"/>
      <c r="DM149" s="2250"/>
      <c r="DN149" s="2250"/>
      <c r="DO149" s="2250"/>
      <c r="DP149" s="2250"/>
      <c r="DQ149" s="2277"/>
      <c r="DR149" s="2277"/>
      <c r="DS149" s="2278"/>
      <c r="DT149" s="2250"/>
      <c r="DU149" s="2250"/>
      <c r="DV149" s="2250"/>
      <c r="DW149" s="2250"/>
      <c r="DX149" s="2275"/>
      <c r="DY149" s="2250"/>
      <c r="DZ149" s="2250"/>
      <c r="EA149" s="2326" t="s">
        <v>735</v>
      </c>
      <c r="EB149" s="3683">
        <f>+FC146</f>
        <v>21.98</v>
      </c>
      <c r="EC149" s="3686">
        <f>FD146</f>
        <v>825</v>
      </c>
      <c r="ED149" s="3686">
        <f t="shared" si="118"/>
        <v>20.69</v>
      </c>
      <c r="EE149" s="3689">
        <f t="shared" si="119"/>
        <v>825</v>
      </c>
      <c r="EF149" s="2276" t="str">
        <f>FF146</f>
        <v>Right</v>
      </c>
      <c r="EG149" s="2276" t="str">
        <f>HN146</f>
        <v>Right</v>
      </c>
      <c r="EH149" s="2250"/>
      <c r="EI149" s="2250"/>
      <c r="EJ149" s="2250"/>
      <c r="EK149" s="2250"/>
      <c r="EL149" s="2250"/>
      <c r="EM149" s="2250"/>
      <c r="EN149" s="2250"/>
      <c r="EO149" s="2250"/>
      <c r="EP149" s="2250"/>
      <c r="EQ149" s="2250"/>
      <c r="ER149" s="2250"/>
      <c r="ES149" s="2250"/>
      <c r="ET149" s="2250"/>
      <c r="EU149" s="2250"/>
      <c r="EV149" s="2250"/>
      <c r="EW149" s="2250"/>
      <c r="EX149" s="2250"/>
      <c r="EY149" s="2250"/>
      <c r="EZ149" s="2250"/>
      <c r="FA149" s="2250"/>
      <c r="FB149" s="2250"/>
      <c r="FC149" s="2250"/>
      <c r="FD149" s="2329"/>
      <c r="FE149" s="2250"/>
      <c r="FF149" s="2250"/>
      <c r="FG149" s="2250"/>
      <c r="FH149" s="2250"/>
      <c r="FI149" s="2250"/>
      <c r="FJ149" s="2250"/>
      <c r="FK149" s="2250"/>
      <c r="FL149" s="2250"/>
      <c r="FM149" s="2250"/>
      <c r="FN149" s="2250"/>
      <c r="FO149" s="2250"/>
      <c r="FP149" s="2250"/>
      <c r="FQ149" s="2250"/>
      <c r="FR149" s="2250"/>
      <c r="FS149" s="2250"/>
      <c r="FT149" s="2250"/>
      <c r="FU149" s="2250"/>
      <c r="FV149" s="2250"/>
      <c r="FW149" s="2250"/>
      <c r="FX149" s="2250"/>
      <c r="FY149" s="2250"/>
      <c r="FZ149" s="2250"/>
      <c r="GA149" s="2250"/>
      <c r="GB149" s="2250"/>
      <c r="GC149" s="2276"/>
      <c r="GD149" s="2276"/>
      <c r="GE149" s="2250"/>
      <c r="GF149" s="2275"/>
      <c r="GG149" s="2250"/>
      <c r="GH149" s="2250"/>
      <c r="GI149" s="2250"/>
      <c r="GJ149" s="2250"/>
      <c r="GK149" s="2250"/>
      <c r="GL149" s="2250"/>
      <c r="GM149" s="2250"/>
      <c r="GN149" s="2250"/>
      <c r="GO149" s="2250"/>
      <c r="GP149" s="2250"/>
      <c r="GQ149" s="2250"/>
      <c r="GR149" s="2250"/>
      <c r="GS149" s="2250"/>
      <c r="GT149" s="2250"/>
      <c r="GU149" s="2250"/>
      <c r="GV149" s="2250"/>
      <c r="GW149" s="2250"/>
      <c r="GX149" s="2250"/>
      <c r="GY149" s="2250"/>
      <c r="GZ149" s="2250"/>
      <c r="HA149" s="2250"/>
      <c r="HB149" s="2250"/>
      <c r="HC149" s="2250"/>
      <c r="HD149" s="2250"/>
      <c r="HE149" s="2250"/>
      <c r="HF149" s="2250"/>
      <c r="HG149" s="2250"/>
      <c r="HH149" s="2250"/>
      <c r="HI149" s="2250"/>
      <c r="HJ149" s="2250"/>
      <c r="HK149" s="2250"/>
      <c r="HL149" s="2329"/>
      <c r="HM149" s="2250"/>
      <c r="HN149" s="2250"/>
      <c r="HO149" s="2250"/>
      <c r="HP149" s="2250"/>
      <c r="HQ149" s="2250"/>
      <c r="HR149" s="2250"/>
      <c r="HS149" s="2250"/>
      <c r="HT149" s="2250"/>
      <c r="HU149" s="2250"/>
      <c r="HV149" s="2250"/>
      <c r="HW149" s="2250"/>
      <c r="HX149" s="2250"/>
      <c r="HY149" s="2250"/>
      <c r="HZ149" s="2250"/>
      <c r="IA149" s="2250"/>
      <c r="IB149" s="2250"/>
      <c r="IC149" s="2250"/>
      <c r="ID149" s="2250"/>
      <c r="IE149" s="2250"/>
      <c r="IF149" s="2250"/>
      <c r="IG149" s="2250"/>
      <c r="IH149" s="2250"/>
      <c r="II149" s="2250"/>
      <c r="IJ149" s="2250"/>
      <c r="IK149" s="2250"/>
      <c r="IL149" s="2250"/>
    </row>
    <row r="150" spans="1:246" ht="21.95" customHeight="1" thickBot="1">
      <c r="A150" s="2275"/>
      <c r="B150" s="2250"/>
      <c r="C150" s="2250"/>
      <c r="D150" s="2250"/>
      <c r="E150" s="2250"/>
      <c r="F150" s="2250"/>
      <c r="G150" s="2250"/>
      <c r="H150" s="2250"/>
      <c r="I150" s="2250"/>
      <c r="J150" s="2250"/>
      <c r="K150" s="2250"/>
      <c r="L150" s="2332"/>
      <c r="M150" s="2250"/>
      <c r="N150" s="2250"/>
      <c r="O150" s="2250"/>
      <c r="P150" s="2250"/>
      <c r="Q150" s="2250"/>
      <c r="R150" s="2250"/>
      <c r="S150" s="2250"/>
      <c r="T150" s="2250"/>
      <c r="U150" s="2250"/>
      <c r="V150" s="2250"/>
      <c r="W150" s="2250"/>
      <c r="X150" s="2250"/>
      <c r="Y150" s="2250"/>
      <c r="Z150" s="2250"/>
      <c r="AA150" s="2250"/>
      <c r="AB150" s="2250"/>
      <c r="AC150" s="2250"/>
      <c r="AD150" s="2250"/>
      <c r="AE150" s="2250"/>
      <c r="AF150" s="2250"/>
      <c r="AG150" s="2250"/>
      <c r="AH150" s="2250"/>
      <c r="AI150" s="2250"/>
      <c r="AJ150" s="2250"/>
      <c r="AK150" s="2250"/>
      <c r="AL150" s="2250"/>
      <c r="AM150" s="2250"/>
      <c r="AN150" s="2275"/>
      <c r="AO150" s="2275"/>
      <c r="AP150" s="2250"/>
      <c r="AQ150" s="2250"/>
      <c r="AR150" s="2250"/>
      <c r="AS150" s="2250"/>
      <c r="AT150" s="2250"/>
      <c r="AU150" s="2250"/>
      <c r="AV150" s="2250"/>
      <c r="AW150" s="2250"/>
      <c r="AX150" s="2250"/>
      <c r="AY150" s="2250"/>
      <c r="AZ150" s="2250"/>
      <c r="BA150" s="2250"/>
      <c r="BB150" s="2250"/>
      <c r="BC150" s="2250"/>
      <c r="BD150" s="2250"/>
      <c r="BE150" s="2250"/>
      <c r="BF150" s="2276"/>
      <c r="BG150" s="2276"/>
      <c r="BH150" s="2250"/>
      <c r="BI150" s="2275"/>
      <c r="BJ150" s="2250"/>
      <c r="BK150" s="2250"/>
      <c r="BL150" s="2250"/>
      <c r="BM150" s="2250"/>
      <c r="BN150" s="2250"/>
      <c r="BO150" s="2250"/>
      <c r="BP150" s="2250"/>
      <c r="BQ150" s="2250"/>
      <c r="BR150" s="2250"/>
      <c r="BS150" s="2250"/>
      <c r="BT150" s="2250"/>
      <c r="BU150" s="2250"/>
      <c r="BV150" s="2250"/>
      <c r="BW150" s="2250"/>
      <c r="BX150" s="2250"/>
      <c r="BY150" s="2250"/>
      <c r="BZ150" s="2250"/>
      <c r="CA150" s="2250"/>
      <c r="CB150" s="2250"/>
      <c r="CC150" s="2250"/>
      <c r="CD150" s="2250"/>
      <c r="CE150" s="2250"/>
      <c r="CF150" s="2250"/>
      <c r="CG150" s="2250"/>
      <c r="CH150" s="2250"/>
      <c r="CI150" s="2250"/>
      <c r="CJ150" s="2250"/>
      <c r="CK150" s="2250"/>
      <c r="CL150" s="2250"/>
      <c r="CM150" s="2250"/>
      <c r="CN150" s="2250"/>
      <c r="CO150" s="2250"/>
      <c r="CP150" s="2250"/>
      <c r="CQ150" s="2250"/>
      <c r="CR150" s="2250"/>
      <c r="CS150" s="2250"/>
      <c r="CT150" s="2250"/>
      <c r="CU150" s="2250"/>
      <c r="CV150" s="2275"/>
      <c r="CW150" s="2275"/>
      <c r="CX150" s="2250"/>
      <c r="CY150" s="2250"/>
      <c r="CZ150" s="2250"/>
      <c r="DA150" s="2250"/>
      <c r="DB150" s="2250"/>
      <c r="DC150" s="2250"/>
      <c r="DD150" s="2250"/>
      <c r="DE150" s="2250"/>
      <c r="DF150" s="2250"/>
      <c r="DG150" s="2250"/>
      <c r="DH150" s="2250"/>
      <c r="DI150" s="2250"/>
      <c r="DJ150" s="2250"/>
      <c r="DK150" s="2250"/>
      <c r="DL150" s="2250"/>
      <c r="DM150" s="2250"/>
      <c r="DN150" s="2250"/>
      <c r="DO150" s="2250"/>
      <c r="DP150" s="2250"/>
      <c r="DQ150" s="2277"/>
      <c r="DR150" s="2277"/>
      <c r="DS150" s="2278"/>
      <c r="DT150" s="2250"/>
      <c r="DU150" s="2250"/>
      <c r="DV150" s="2250"/>
      <c r="DW150" s="2250"/>
      <c r="DX150" s="2275"/>
      <c r="DY150" s="2250"/>
      <c r="DZ150" s="2250"/>
      <c r="EA150" s="2250"/>
      <c r="EB150" s="2250"/>
      <c r="EC150" s="3687" t="str">
        <f>FD147</f>
        <v>Right</v>
      </c>
      <c r="ED150" s="2250"/>
      <c r="EE150" s="3687" t="str">
        <f>HL147</f>
        <v>Right</v>
      </c>
      <c r="EF150" s="2250"/>
      <c r="EG150" s="2250"/>
      <c r="EH150" s="2250"/>
      <c r="EI150" s="2250"/>
      <c r="EJ150" s="2250"/>
      <c r="EK150" s="2250"/>
      <c r="EL150" s="2250"/>
      <c r="EM150" s="2250"/>
      <c r="EN150" s="2250"/>
      <c r="EO150" s="2250"/>
      <c r="EP150" s="2250"/>
      <c r="EQ150" s="2250"/>
      <c r="ER150" s="2250"/>
      <c r="ES150" s="2250"/>
      <c r="ET150" s="2250"/>
      <c r="EU150" s="2250"/>
      <c r="EV150" s="2250"/>
      <c r="EW150" s="2250"/>
      <c r="EX150" s="2250"/>
      <c r="EY150" s="2250"/>
      <c r="EZ150" s="2250"/>
      <c r="FA150" s="2250"/>
      <c r="FB150" s="2250"/>
      <c r="FC150" s="2250"/>
      <c r="FD150" s="2250"/>
      <c r="FE150" s="2250"/>
      <c r="FF150" s="2250"/>
      <c r="FG150" s="2250"/>
      <c r="FH150" s="2250"/>
      <c r="FI150" s="2250"/>
      <c r="FJ150" s="3690" t="str">
        <f>IF(FK150="Right",IF(FL150="Right",IF(FM150="Right",IF(FN150="Right","Right","Wrong"),"Wrong"),"Wrong"),"Wrong")</f>
        <v>Right</v>
      </c>
      <c r="FK150" s="2276" t="str">
        <f>IF(FK140=FQ140,IF(FK141=FQ141,IF(FK142=FQ142,IF(FK143=FQ143,IF(FK140=FK145,IF(FK141=FK146,IF(FK142=FK147,IF(FK143=FK148,"Right","Wrong"),"Wrong"),"Wrong"),"Wrong"),"Wrong"),"Wrong"),"Wrong"),"Wrong")</f>
        <v>Right</v>
      </c>
      <c r="FL150" s="2276" t="str">
        <f>IF(FL140=FR140,IF(FL141=FR141,IF(FL142=FR142,IF(FL143=FR143,IF(FL140=FL145,IF(FL141=FL146,IF(FL142=FL147,IF(FL143=FL148,"Right","Wrong"),"Wrong"),"Wrong"),"Wrong"),"Wrong"),"Wrong"),"Wrong"),"Wrong")</f>
        <v>Right</v>
      </c>
      <c r="FM150" s="2276" t="str">
        <f>IF(FM139="Right",IF(FM144="Right",IF(FS139="Right","Right","Wrong"),"Wrong"),"Wrong")</f>
        <v>Right</v>
      </c>
      <c r="FN150" s="2276" t="str">
        <f>IF(FQ144="Right",IF(FO139="Right","Right","Wrong"),"Wrong")</f>
        <v>Right</v>
      </c>
      <c r="FO150" s="2250"/>
      <c r="FP150" s="2250"/>
      <c r="FQ150" s="2250"/>
      <c r="FR150" s="2250"/>
      <c r="FS150" s="2250"/>
      <c r="FT150" s="2250"/>
      <c r="FU150" s="2250"/>
      <c r="FV150" s="2250"/>
      <c r="FW150" s="2250"/>
      <c r="FX150" s="2250"/>
      <c r="FY150" s="2250"/>
      <c r="FZ150" s="2250"/>
      <c r="GA150" s="2250"/>
      <c r="GB150" s="2250"/>
      <c r="GC150" s="2276"/>
      <c r="GD150" s="2276"/>
      <c r="GE150" s="2250"/>
      <c r="GF150" s="2275"/>
      <c r="GG150" s="2250"/>
      <c r="GH150" s="2250"/>
      <c r="GI150" s="2250"/>
      <c r="GJ150" s="2250"/>
      <c r="GK150" s="2250"/>
      <c r="GL150" s="2250"/>
      <c r="GM150" s="2250"/>
      <c r="GN150" s="2250"/>
      <c r="GO150" s="2250"/>
      <c r="GP150" s="2250"/>
      <c r="GQ150" s="2250"/>
      <c r="GR150" s="2250"/>
      <c r="GS150" s="2250"/>
      <c r="GT150" s="2250"/>
      <c r="GU150" s="2250"/>
      <c r="GV150" s="2250"/>
      <c r="GW150" s="2250"/>
      <c r="GX150" s="2250"/>
      <c r="GY150" s="2250"/>
      <c r="GZ150" s="2250"/>
      <c r="HA150" s="2250"/>
      <c r="HB150" s="2250"/>
      <c r="HC150" s="2250"/>
      <c r="HD150" s="2250"/>
      <c r="HE150" s="2250"/>
      <c r="HF150" s="2250"/>
      <c r="HG150" s="2250"/>
      <c r="HH150" s="2250"/>
      <c r="HI150" s="2250"/>
      <c r="HJ150" s="2250"/>
      <c r="HK150" s="2250"/>
      <c r="HL150" s="2250"/>
      <c r="HM150" s="2250"/>
      <c r="HN150" s="2250"/>
      <c r="HO150" s="2250"/>
      <c r="HP150" s="2250"/>
      <c r="HQ150" s="2250"/>
      <c r="HR150" s="3690" t="str">
        <f>IF(HS150="Right",IF(HT150="Right",IF(HU150="Right",IF(HV150="Right","Right","Wrong"),"Wrong"),"Wrong"),"Wrong")</f>
        <v>Right</v>
      </c>
      <c r="HS150" s="2276" t="str">
        <f>IF(HS140=HY140,IF(HS141=HY141,IF(HS142=HY142,IF(HS143=HY143,IF(HS140=HS145,IF(HS141=HS146,IF(HS142=HS147,IF(HS143=HS148,"Right","Wrong"),"Wrong"),"Wrong"),"Wrong"),"Wrong"),"Wrong"),"Wrong"),"Wrong")</f>
        <v>Right</v>
      </c>
      <c r="HT150" s="2276" t="str">
        <f>IF(HT140=HZ140,IF(HT141=HZ141,IF(HT142=HZ142,IF(HT143=HZ143,IF(HT140=HT145,IF(HT141=HT146,IF(HT142=HT147,IF(HT143=HT148,"Right","Wrong"),"Wrong"),"Wrong"),"Wrong"),"Wrong"),"Wrong"),"Wrong"),"Wrong")</f>
        <v>Right</v>
      </c>
      <c r="HU150" s="2276" t="str">
        <f>IF(HU139="Right",IF(HU144="Right",IF(IA139="Right","Right","Wrong"),"Wrong"),"Wrong")</f>
        <v>Right</v>
      </c>
      <c r="HV150" s="2276" t="str">
        <f>IF(HY144="Right",IF(HW139="Right","Right","Wrong"),"Wrong")</f>
        <v>Right</v>
      </c>
      <c r="HW150" s="2250"/>
      <c r="HX150" s="2250"/>
      <c r="HY150" s="2250"/>
      <c r="HZ150" s="2250"/>
      <c r="IA150" s="2250"/>
      <c r="IB150" s="2250"/>
      <c r="IC150" s="2250"/>
      <c r="ID150" s="2250"/>
      <c r="IE150" s="2250"/>
      <c r="IF150" s="2250"/>
      <c r="IG150" s="2250"/>
      <c r="IH150" s="2250"/>
      <c r="II150" s="2250"/>
      <c r="IJ150" s="2250"/>
      <c r="IK150" s="2250"/>
      <c r="IL150" s="2250"/>
    </row>
    <row r="151" spans="1:246" ht="21.95" customHeight="1">
      <c r="A151" s="2275"/>
      <c r="B151" s="2250"/>
      <c r="C151" s="2250"/>
      <c r="D151" s="2250"/>
      <c r="E151" s="2250"/>
      <c r="F151" s="2250"/>
      <c r="G151" s="2250"/>
      <c r="H151" s="2250"/>
      <c r="I151" s="2250"/>
      <c r="J151" s="2250"/>
      <c r="K151" s="2250"/>
      <c r="L151" s="2250"/>
      <c r="M151" s="2250"/>
      <c r="N151" s="2250"/>
      <c r="O151" s="2250"/>
      <c r="P151" s="2250"/>
      <c r="Q151" s="2250"/>
      <c r="R151" s="2250"/>
      <c r="S151" s="2250"/>
      <c r="T151" s="2250"/>
      <c r="U151" s="2250"/>
      <c r="V151" s="2250"/>
      <c r="W151" s="2250"/>
      <c r="X151" s="2250"/>
      <c r="Y151" s="2250"/>
      <c r="Z151" s="2250"/>
      <c r="AA151" s="2250"/>
      <c r="AB151" s="2250"/>
      <c r="AC151" s="2250"/>
      <c r="AD151" s="2250"/>
      <c r="AE151" s="2250"/>
      <c r="AF151" s="2250"/>
      <c r="AG151" s="2250"/>
      <c r="AH151" s="2250"/>
      <c r="AI151" s="2250"/>
      <c r="AJ151" s="2250"/>
      <c r="AK151" s="2250"/>
      <c r="AL151" s="2250"/>
      <c r="AM151" s="2250"/>
      <c r="AN151" s="2250"/>
      <c r="AO151" s="2250"/>
      <c r="AP151" s="2250"/>
      <c r="AQ151" s="2250"/>
      <c r="AR151" s="2250"/>
      <c r="AS151" s="2250"/>
      <c r="AT151" s="2250"/>
      <c r="AU151" s="2250"/>
      <c r="AV151" s="2250"/>
      <c r="AW151" s="2250"/>
      <c r="AX151" s="2250"/>
      <c r="AY151" s="2250"/>
      <c r="AZ151" s="2250"/>
      <c r="BA151" s="2250"/>
      <c r="BB151" s="2250"/>
      <c r="BC151" s="2250"/>
      <c r="BD151" s="2250"/>
      <c r="BE151" s="2250"/>
      <c r="BF151" s="2276"/>
      <c r="BG151" s="2276"/>
      <c r="BH151" s="2250"/>
      <c r="BI151" s="2275"/>
      <c r="BJ151" s="2250"/>
      <c r="BK151" s="2250"/>
      <c r="BL151" s="2250"/>
      <c r="BM151" s="2250"/>
      <c r="BN151" s="2250"/>
      <c r="BO151" s="2250"/>
      <c r="BP151" s="2250"/>
      <c r="BQ151" s="2250"/>
      <c r="BR151" s="2250"/>
      <c r="BS151" s="2250"/>
      <c r="BT151" s="2250"/>
      <c r="BU151" s="2250"/>
      <c r="BV151" s="2250"/>
      <c r="BW151" s="2250"/>
      <c r="BX151" s="2250"/>
      <c r="BY151" s="2250"/>
      <c r="BZ151" s="2250"/>
      <c r="CA151" s="2250"/>
      <c r="CB151" s="2250"/>
      <c r="CC151" s="2250"/>
      <c r="CD151" s="2250"/>
      <c r="CE151" s="2250"/>
      <c r="CF151" s="2250"/>
      <c r="CG151" s="2250"/>
      <c r="CH151" s="2250"/>
      <c r="CI151" s="2250"/>
      <c r="CJ151" s="2250"/>
      <c r="CK151" s="2250"/>
      <c r="CL151" s="2250"/>
      <c r="CM151" s="2250"/>
      <c r="CN151" s="2250"/>
      <c r="CO151" s="2250"/>
      <c r="CP151" s="2250"/>
      <c r="CQ151" s="2250"/>
      <c r="CR151" s="2250"/>
      <c r="CS151" s="2250"/>
      <c r="CT151" s="2250"/>
      <c r="CU151" s="2250"/>
      <c r="CV151" s="2250"/>
      <c r="CW151" s="2250"/>
      <c r="CX151" s="2250"/>
      <c r="CY151" s="2250"/>
      <c r="CZ151" s="2250"/>
      <c r="DA151" s="2250"/>
      <c r="DB151" s="2250"/>
      <c r="DC151" s="2250"/>
      <c r="DD151" s="2250"/>
      <c r="DE151" s="2250"/>
      <c r="DF151" s="2250"/>
      <c r="DG151" s="2250"/>
      <c r="DH151" s="2250"/>
      <c r="DI151" s="2250"/>
      <c r="DJ151" s="2250"/>
      <c r="DK151" s="2250"/>
      <c r="DL151" s="2250"/>
      <c r="DM151" s="2250"/>
      <c r="DN151" s="2250"/>
      <c r="DO151" s="2250"/>
      <c r="DP151" s="2250"/>
      <c r="DQ151" s="2277"/>
      <c r="DR151" s="2277"/>
      <c r="DS151" s="2278"/>
      <c r="DT151" s="2250"/>
      <c r="DU151" s="2250"/>
      <c r="DV151" s="2250"/>
      <c r="DW151" s="2250"/>
      <c r="DX151" s="2275"/>
      <c r="DY151" s="2250"/>
      <c r="DZ151" s="2250"/>
      <c r="EA151" s="2250"/>
      <c r="EB151" s="2250"/>
      <c r="EC151" s="2250"/>
      <c r="ED151" s="2250"/>
      <c r="EE151" s="2250"/>
      <c r="EF151" s="2250"/>
      <c r="EG151" s="2250"/>
      <c r="EH151" s="2250"/>
      <c r="EI151" s="2250"/>
      <c r="EJ151" s="2250"/>
      <c r="EK151" s="2250"/>
      <c r="EL151" s="2250"/>
      <c r="EM151" s="2250"/>
      <c r="EN151" s="2250"/>
      <c r="EO151" s="2250"/>
      <c r="EP151" s="2250"/>
      <c r="EQ151" s="2250"/>
      <c r="ER151" s="2250"/>
      <c r="ES151" s="2250"/>
      <c r="ET151" s="2250"/>
      <c r="EU151" s="2250"/>
      <c r="EV151" s="2250"/>
      <c r="EW151" s="2250"/>
      <c r="EX151" s="2250"/>
      <c r="EY151" s="2250"/>
      <c r="EZ151" s="2250"/>
      <c r="FA151" s="2250"/>
      <c r="FB151" s="2250"/>
      <c r="FC151" s="2250"/>
      <c r="FD151" s="2250"/>
      <c r="FE151" s="2250"/>
      <c r="FF151" s="2250"/>
      <c r="FG151" s="2250"/>
      <c r="FH151" s="2250"/>
      <c r="FI151" s="2250"/>
      <c r="FJ151" s="2250"/>
      <c r="FK151" s="2275"/>
      <c r="FL151" s="2275"/>
      <c r="FM151" s="2250"/>
      <c r="FN151" s="2250"/>
      <c r="FO151" s="2250"/>
      <c r="FP151" s="2250"/>
      <c r="FQ151" s="2250"/>
      <c r="FR151" s="2250"/>
      <c r="FS151" s="2250"/>
      <c r="FT151" s="2250"/>
      <c r="FU151" s="2250"/>
      <c r="FV151" s="2250"/>
      <c r="FW151" s="2250"/>
      <c r="FX151" s="2250"/>
      <c r="FY151" s="2250"/>
      <c r="FZ151" s="2250"/>
      <c r="GA151" s="2250"/>
      <c r="GB151" s="2250"/>
      <c r="GC151" s="2276"/>
      <c r="GD151" s="2276"/>
      <c r="GE151" s="2250"/>
      <c r="GF151" s="2275"/>
      <c r="GG151" s="2250"/>
      <c r="GH151" s="2250"/>
      <c r="GI151" s="2250"/>
      <c r="GJ151" s="2250"/>
      <c r="GK151" s="2250"/>
      <c r="GL151" s="2250"/>
      <c r="GM151" s="2250"/>
      <c r="GN151" s="2250"/>
      <c r="GO151" s="2250"/>
      <c r="GP151" s="2250"/>
      <c r="GQ151" s="2250"/>
      <c r="GR151" s="2250"/>
      <c r="GS151" s="2250"/>
      <c r="GT151" s="2250"/>
      <c r="GU151" s="2250"/>
      <c r="GV151" s="2250"/>
      <c r="GW151" s="2250"/>
      <c r="GX151" s="2250"/>
      <c r="GY151" s="2250"/>
      <c r="GZ151" s="2250"/>
      <c r="HA151" s="2250"/>
      <c r="HB151" s="2250"/>
      <c r="HC151" s="2250"/>
      <c r="HD151" s="2250"/>
      <c r="HE151" s="2250"/>
      <c r="HF151" s="2250"/>
      <c r="HG151" s="2250"/>
      <c r="HH151" s="2250"/>
      <c r="HI151" s="2250"/>
      <c r="HJ151" s="2250"/>
      <c r="HK151" s="2250"/>
      <c r="HL151" s="2250"/>
      <c r="HM151" s="2250"/>
      <c r="HN151" s="2250"/>
      <c r="HO151" s="2250"/>
      <c r="HP151" s="2250"/>
      <c r="HQ151" s="2250"/>
      <c r="HR151" s="2250"/>
      <c r="HS151" s="2275"/>
      <c r="HT151" s="2275"/>
      <c r="HU151" s="2250"/>
      <c r="HV151" s="2250"/>
      <c r="HW151" s="2250"/>
      <c r="HX151" s="2250"/>
      <c r="HY151" s="2250"/>
      <c r="HZ151" s="2250"/>
      <c r="IA151" s="2250"/>
      <c r="IB151" s="2250"/>
      <c r="IC151" s="2250"/>
      <c r="ID151" s="2250"/>
      <c r="IE151" s="2250"/>
      <c r="IF151" s="2250"/>
      <c r="IG151" s="2250"/>
      <c r="IH151" s="2250"/>
      <c r="II151" s="2250"/>
      <c r="IJ151" s="2250"/>
      <c r="IK151" s="2250"/>
      <c r="IL151" s="2250"/>
    </row>
    <row r="152" spans="1:246" ht="21.95" customHeight="1">
      <c r="A152" s="2275"/>
      <c r="B152" s="2333" t="s">
        <v>731</v>
      </c>
      <c r="C152" s="4670" t="s">
        <v>732</v>
      </c>
      <c r="D152" s="4670"/>
      <c r="E152" s="2334"/>
      <c r="F152" s="4680"/>
      <c r="G152" s="4672"/>
      <c r="H152" s="4672"/>
      <c r="I152" s="4672"/>
      <c r="J152" s="4672"/>
      <c r="K152" s="4672"/>
      <c r="L152" s="2334"/>
      <c r="M152" s="2334"/>
      <c r="N152" s="2250"/>
      <c r="O152" s="2250"/>
      <c r="P152" s="2333" t="s">
        <v>731</v>
      </c>
      <c r="Q152" s="4670" t="s">
        <v>733</v>
      </c>
      <c r="R152" s="4670"/>
      <c r="S152" s="2334"/>
      <c r="T152" s="4672"/>
      <c r="U152" s="4672"/>
      <c r="V152" s="4672"/>
      <c r="W152" s="4672"/>
      <c r="X152" s="4672"/>
      <c r="Y152" s="4672"/>
      <c r="Z152" s="2334"/>
      <c r="AA152" s="2334"/>
      <c r="AB152" s="2250"/>
      <c r="AC152" s="2250"/>
      <c r="AD152" s="2334"/>
      <c r="AE152" s="4670" t="s">
        <v>734</v>
      </c>
      <c r="AF152" s="4670"/>
      <c r="AG152" s="2334"/>
      <c r="AH152" s="2334"/>
      <c r="AI152" s="2334"/>
      <c r="AJ152" s="2334"/>
      <c r="AK152" s="2334"/>
      <c r="AL152" s="2334"/>
      <c r="AM152" s="2334"/>
      <c r="AN152" s="2334"/>
      <c r="AO152" s="2334"/>
      <c r="AP152" s="2250"/>
      <c r="AQ152" s="2250"/>
      <c r="AR152" s="2335"/>
      <c r="AS152" s="4670" t="s">
        <v>735</v>
      </c>
      <c r="AT152" s="4670"/>
      <c r="AU152" s="2335"/>
      <c r="AV152" s="2335"/>
      <c r="AW152" s="2335"/>
      <c r="AX152" s="2335"/>
      <c r="AY152" s="2335"/>
      <c r="AZ152" s="2335"/>
      <c r="BA152" s="2335"/>
      <c r="BB152" s="2335"/>
      <c r="BC152" s="2335"/>
      <c r="BD152" s="2250"/>
      <c r="BE152" s="2250"/>
      <c r="BF152" s="4679" t="s">
        <v>227</v>
      </c>
      <c r="BG152" s="4679"/>
      <c r="BH152" s="2250"/>
      <c r="BI152" s="2275"/>
      <c r="BJ152" s="2333" t="s">
        <v>731</v>
      </c>
      <c r="BK152" s="4670" t="s">
        <v>732</v>
      </c>
      <c r="BL152" s="4670"/>
      <c r="BM152" s="2334"/>
      <c r="BN152" s="4680"/>
      <c r="BO152" s="4672"/>
      <c r="BP152" s="4672"/>
      <c r="BQ152" s="4672"/>
      <c r="BR152" s="4672"/>
      <c r="BS152" s="4672"/>
      <c r="BT152" s="2334"/>
      <c r="BU152" s="2334"/>
      <c r="BV152" s="2250"/>
      <c r="BW152" s="2250"/>
      <c r="BX152" s="2333" t="s">
        <v>731</v>
      </c>
      <c r="BY152" s="4670" t="s">
        <v>733</v>
      </c>
      <c r="BZ152" s="4670"/>
      <c r="CA152" s="2334"/>
      <c r="CB152" s="4672"/>
      <c r="CC152" s="4672"/>
      <c r="CD152" s="4672"/>
      <c r="CE152" s="4672"/>
      <c r="CF152" s="4672"/>
      <c r="CG152" s="4672"/>
      <c r="CH152" s="2334"/>
      <c r="CI152" s="2334"/>
      <c r="CJ152" s="2250"/>
      <c r="CK152" s="2250"/>
      <c r="CL152" s="2334"/>
      <c r="CM152" s="4670" t="s">
        <v>734</v>
      </c>
      <c r="CN152" s="4670"/>
      <c r="CO152" s="2334"/>
      <c r="CP152" s="2334"/>
      <c r="CQ152" s="2334"/>
      <c r="CR152" s="2334"/>
      <c r="CS152" s="2334"/>
      <c r="CT152" s="2334"/>
      <c r="CU152" s="2334"/>
      <c r="CV152" s="2334"/>
      <c r="CW152" s="2334"/>
      <c r="CX152" s="2250"/>
      <c r="CY152" s="2250"/>
      <c r="CZ152" s="2335"/>
      <c r="DA152" s="4670" t="s">
        <v>735</v>
      </c>
      <c r="DB152" s="4670"/>
      <c r="DC152" s="2335"/>
      <c r="DD152" s="2335"/>
      <c r="DE152" s="2335"/>
      <c r="DF152" s="2335"/>
      <c r="DG152" s="2335"/>
      <c r="DH152" s="2335"/>
      <c r="DI152" s="2335"/>
      <c r="DJ152" s="2335"/>
      <c r="DK152" s="2335"/>
      <c r="DL152" s="2250"/>
      <c r="DM152" s="2250"/>
      <c r="DN152" s="2250"/>
      <c r="DO152" s="2250"/>
      <c r="DP152" s="2250"/>
      <c r="DQ152" s="2277"/>
      <c r="DR152" s="2277"/>
      <c r="DS152" s="2278"/>
      <c r="DT152" s="2250"/>
      <c r="DU152" s="2250"/>
      <c r="DV152" s="2250"/>
      <c r="DW152" s="2250"/>
      <c r="DX152" s="2275"/>
      <c r="DY152" s="2250"/>
      <c r="DZ152" s="2250"/>
      <c r="EA152" s="2250"/>
      <c r="EB152" s="2250"/>
      <c r="EC152" s="2250"/>
      <c r="ED152" s="2250"/>
      <c r="EE152" s="2250"/>
      <c r="EF152" s="2250"/>
      <c r="EG152" s="2250"/>
      <c r="EH152" s="2250"/>
      <c r="EI152" s="2332"/>
      <c r="EJ152" s="2250"/>
      <c r="EK152" s="2250"/>
      <c r="EL152" s="2250"/>
      <c r="EM152" s="2250"/>
      <c r="EN152" s="2250"/>
      <c r="EO152" s="2250"/>
      <c r="EP152" s="2250"/>
      <c r="EQ152" s="2250"/>
      <c r="ER152" s="2250"/>
      <c r="ES152" s="2250"/>
      <c r="ET152" s="2250"/>
      <c r="EU152" s="2250"/>
      <c r="EV152" s="2250"/>
      <c r="EW152" s="2250"/>
      <c r="EX152" s="2250"/>
      <c r="EY152" s="2250"/>
      <c r="EZ152" s="2250"/>
      <c r="FA152" s="2250"/>
      <c r="FB152" s="2250"/>
      <c r="FC152" s="2250"/>
      <c r="FD152" s="2250"/>
      <c r="FE152" s="2250"/>
      <c r="FF152" s="2250"/>
      <c r="FG152" s="2250"/>
      <c r="FH152" s="2250"/>
      <c r="FI152" s="2250"/>
      <c r="FJ152" s="2250"/>
      <c r="FK152" s="2250"/>
      <c r="FL152" s="2250"/>
      <c r="FM152" s="2250"/>
      <c r="FN152" s="2250"/>
      <c r="FO152" s="2250"/>
      <c r="FP152" s="2250"/>
      <c r="FQ152" s="2250"/>
      <c r="FR152" s="2250"/>
      <c r="FS152" s="2250"/>
      <c r="FT152" s="2250"/>
      <c r="FU152" s="2250"/>
      <c r="FV152" s="2250"/>
      <c r="FW152" s="2250"/>
      <c r="FX152" s="2250"/>
      <c r="FY152" s="2250"/>
      <c r="FZ152" s="2250"/>
      <c r="GA152" s="2250"/>
      <c r="GB152" s="2250"/>
      <c r="GC152" s="2276"/>
      <c r="GD152" s="2276"/>
      <c r="GE152" s="2250"/>
      <c r="GF152" s="2275"/>
      <c r="GG152" s="2250"/>
      <c r="GH152" s="2250"/>
      <c r="GI152" s="2250"/>
      <c r="GJ152" s="2250"/>
      <c r="GK152" s="2250"/>
      <c r="GL152" s="2250"/>
      <c r="GM152" s="2250"/>
      <c r="GN152" s="2250"/>
      <c r="GO152" s="2250"/>
      <c r="GP152" s="2250"/>
      <c r="GQ152" s="2250"/>
      <c r="GR152" s="2250"/>
      <c r="GS152" s="2250"/>
      <c r="GT152" s="2250"/>
      <c r="GU152" s="2250"/>
      <c r="GV152" s="2250"/>
      <c r="GW152" s="2250"/>
      <c r="GX152" s="2250"/>
      <c r="GY152" s="2250"/>
      <c r="GZ152" s="2250"/>
      <c r="HA152" s="2250"/>
      <c r="HB152" s="2250"/>
      <c r="HC152" s="2250"/>
      <c r="HD152" s="2250"/>
      <c r="HE152" s="2250"/>
      <c r="HF152" s="2250"/>
      <c r="HG152" s="2250"/>
      <c r="HH152" s="2250"/>
      <c r="HI152" s="2250"/>
      <c r="HJ152" s="2250"/>
      <c r="HK152" s="2250"/>
      <c r="HL152" s="2250"/>
      <c r="HM152" s="2250"/>
      <c r="HN152" s="2250"/>
      <c r="HO152" s="2250"/>
      <c r="HP152" s="2250"/>
      <c r="HQ152" s="2250"/>
      <c r="HR152" s="2250"/>
      <c r="HS152" s="2250"/>
      <c r="HT152" s="2250"/>
      <c r="HU152" s="2250"/>
      <c r="HV152" s="2250"/>
      <c r="HW152" s="2250"/>
      <c r="HX152" s="2250"/>
      <c r="HY152" s="2250"/>
      <c r="HZ152" s="2250"/>
      <c r="IA152" s="2250"/>
      <c r="IB152" s="2250"/>
      <c r="IC152" s="2250"/>
      <c r="ID152" s="2250"/>
      <c r="IE152" s="2250"/>
      <c r="IF152" s="2250"/>
      <c r="IG152" s="2250"/>
      <c r="IH152" s="2250"/>
      <c r="II152" s="2250"/>
      <c r="IJ152" s="2250"/>
      <c r="IK152" s="2250"/>
      <c r="IL152" s="2250"/>
    </row>
    <row r="153" spans="1:246" ht="21.95" customHeight="1">
      <c r="A153" s="2275"/>
      <c r="B153" s="2333" t="s">
        <v>736</v>
      </c>
      <c r="C153" s="2333">
        <v>400</v>
      </c>
      <c r="D153" s="2333">
        <v>475</v>
      </c>
      <c r="E153" s="2333">
        <v>550</v>
      </c>
      <c r="F153" s="2333">
        <v>650</v>
      </c>
      <c r="G153" s="2333">
        <v>775</v>
      </c>
      <c r="H153" s="2333">
        <v>825</v>
      </c>
      <c r="I153" s="2333">
        <v>950</v>
      </c>
      <c r="J153" s="2333">
        <v>1100</v>
      </c>
      <c r="K153" s="2333">
        <v>1250</v>
      </c>
      <c r="L153" s="2333">
        <v>1450</v>
      </c>
      <c r="M153" s="2333">
        <v>1650</v>
      </c>
      <c r="N153" s="2250"/>
      <c r="O153" s="2250"/>
      <c r="P153" s="2333" t="s">
        <v>736</v>
      </c>
      <c r="Q153" s="2333">
        <v>450</v>
      </c>
      <c r="R153" s="2333">
        <v>475</v>
      </c>
      <c r="S153" s="2333">
        <v>550</v>
      </c>
      <c r="T153" s="2333">
        <v>650</v>
      </c>
      <c r="U153" s="2333">
        <v>775</v>
      </c>
      <c r="V153" s="2333">
        <v>825</v>
      </c>
      <c r="W153" s="2333">
        <v>950</v>
      </c>
      <c r="X153" s="2333">
        <v>1100</v>
      </c>
      <c r="Y153" s="2333">
        <v>1250</v>
      </c>
      <c r="Z153" s="2333">
        <v>1450</v>
      </c>
      <c r="AA153" s="2333">
        <v>1650</v>
      </c>
      <c r="AB153" s="2250"/>
      <c r="AC153" s="2250"/>
      <c r="AD153" s="2333" t="s">
        <v>736</v>
      </c>
      <c r="AE153" s="2333">
        <v>400</v>
      </c>
      <c r="AF153" s="2333">
        <v>475</v>
      </c>
      <c r="AG153" s="2333">
        <v>550</v>
      </c>
      <c r="AH153" s="2333">
        <v>650</v>
      </c>
      <c r="AI153" s="2333">
        <v>775</v>
      </c>
      <c r="AJ153" s="2333">
        <v>825</v>
      </c>
      <c r="AK153" s="2333">
        <v>950</v>
      </c>
      <c r="AL153" s="2333">
        <v>1100</v>
      </c>
      <c r="AM153" s="2333">
        <v>1250</v>
      </c>
      <c r="AN153" s="2333">
        <v>1450</v>
      </c>
      <c r="AO153" s="2333">
        <v>1650</v>
      </c>
      <c r="AP153" s="2250"/>
      <c r="AQ153" s="2250"/>
      <c r="AR153" s="2333" t="s">
        <v>736</v>
      </c>
      <c r="AS153" s="2333">
        <v>400</v>
      </c>
      <c r="AT153" s="2333">
        <v>475</v>
      </c>
      <c r="AU153" s="2333">
        <v>550</v>
      </c>
      <c r="AV153" s="2333">
        <v>650</v>
      </c>
      <c r="AW153" s="2333">
        <v>775</v>
      </c>
      <c r="AX153" s="2333">
        <v>825</v>
      </c>
      <c r="AY153" s="2333">
        <v>950</v>
      </c>
      <c r="AZ153" s="2333">
        <v>1100</v>
      </c>
      <c r="BA153" s="2333">
        <v>1250</v>
      </c>
      <c r="BB153" s="2333">
        <v>1450</v>
      </c>
      <c r="BC153" s="2333">
        <v>1650</v>
      </c>
      <c r="BD153" s="2250"/>
      <c r="BE153" s="2250"/>
      <c r="BF153" s="1201" t="s">
        <v>512</v>
      </c>
      <c r="BG153" s="1201" t="s">
        <v>682</v>
      </c>
      <c r="BH153" s="2250"/>
      <c r="BI153" s="2275"/>
      <c r="BJ153" s="2333" t="s">
        <v>736</v>
      </c>
      <c r="BK153" s="2333">
        <v>400</v>
      </c>
      <c r="BL153" s="2333">
        <v>475</v>
      </c>
      <c r="BM153" s="2333">
        <v>550</v>
      </c>
      <c r="BN153" s="2333">
        <v>650</v>
      </c>
      <c r="BO153" s="2333">
        <v>775</v>
      </c>
      <c r="BP153" s="2333">
        <v>825</v>
      </c>
      <c r="BQ153" s="2333">
        <v>950</v>
      </c>
      <c r="BR153" s="2333">
        <v>1100</v>
      </c>
      <c r="BS153" s="2333">
        <v>1250</v>
      </c>
      <c r="BT153" s="2333">
        <v>1450</v>
      </c>
      <c r="BU153" s="2333">
        <v>1650</v>
      </c>
      <c r="BV153" s="2250"/>
      <c r="BW153" s="2250"/>
      <c r="BX153" s="2333" t="s">
        <v>736</v>
      </c>
      <c r="BY153" s="2333">
        <v>450</v>
      </c>
      <c r="BZ153" s="2333">
        <v>475</v>
      </c>
      <c r="CA153" s="2333">
        <v>550</v>
      </c>
      <c r="CB153" s="2333">
        <v>650</v>
      </c>
      <c r="CC153" s="2333">
        <v>775</v>
      </c>
      <c r="CD153" s="2333">
        <v>825</v>
      </c>
      <c r="CE153" s="2333">
        <v>950</v>
      </c>
      <c r="CF153" s="2333">
        <v>1100</v>
      </c>
      <c r="CG153" s="2333">
        <v>1250</v>
      </c>
      <c r="CH153" s="2333">
        <v>1450</v>
      </c>
      <c r="CI153" s="2333">
        <v>1650</v>
      </c>
      <c r="CJ153" s="2250"/>
      <c r="CK153" s="2250"/>
      <c r="CL153" s="2333" t="s">
        <v>736</v>
      </c>
      <c r="CM153" s="2333">
        <v>400</v>
      </c>
      <c r="CN153" s="2333">
        <v>475</v>
      </c>
      <c r="CO153" s="2333">
        <v>550</v>
      </c>
      <c r="CP153" s="2333">
        <v>650</v>
      </c>
      <c r="CQ153" s="2333">
        <v>775</v>
      </c>
      <c r="CR153" s="2333">
        <v>825</v>
      </c>
      <c r="CS153" s="2333">
        <v>950</v>
      </c>
      <c r="CT153" s="2333">
        <v>1100</v>
      </c>
      <c r="CU153" s="2333">
        <v>1250</v>
      </c>
      <c r="CV153" s="2333">
        <v>1450</v>
      </c>
      <c r="CW153" s="2333">
        <v>1650</v>
      </c>
      <c r="CX153" s="2250"/>
      <c r="CY153" s="2250"/>
      <c r="CZ153" s="2333" t="s">
        <v>736</v>
      </c>
      <c r="DA153" s="2333">
        <v>400</v>
      </c>
      <c r="DB153" s="2333">
        <v>475</v>
      </c>
      <c r="DC153" s="2333">
        <v>550</v>
      </c>
      <c r="DD153" s="2333">
        <v>650</v>
      </c>
      <c r="DE153" s="2333">
        <v>775</v>
      </c>
      <c r="DF153" s="2333">
        <v>825</v>
      </c>
      <c r="DG153" s="2333">
        <v>950</v>
      </c>
      <c r="DH153" s="2333">
        <v>1100</v>
      </c>
      <c r="DI153" s="2333">
        <v>1250</v>
      </c>
      <c r="DJ153" s="2333">
        <v>1450</v>
      </c>
      <c r="DK153" s="2333">
        <v>1650</v>
      </c>
      <c r="DL153" s="2250"/>
      <c r="DM153" s="2250"/>
      <c r="DN153" s="2250"/>
      <c r="DO153" s="2250"/>
      <c r="DP153" s="2250"/>
      <c r="DQ153" s="2277"/>
      <c r="DR153" s="2277"/>
      <c r="DS153" s="2278"/>
      <c r="DT153" s="2250"/>
      <c r="DU153" s="2250"/>
      <c r="DV153" s="2250"/>
      <c r="DW153" s="2250"/>
      <c r="DX153" s="2275"/>
      <c r="DY153" s="2333" t="s">
        <v>731</v>
      </c>
      <c r="DZ153" s="4670" t="s">
        <v>732</v>
      </c>
      <c r="EA153" s="4670"/>
      <c r="EB153" s="2334"/>
      <c r="EC153" s="4680"/>
      <c r="ED153" s="4672"/>
      <c r="EE153" s="4672"/>
      <c r="EF153" s="4672"/>
      <c r="EG153" s="4672"/>
      <c r="EH153" s="4672"/>
      <c r="EI153" s="2334"/>
      <c r="EJ153" s="2334"/>
      <c r="EK153" s="2250"/>
      <c r="EL153" s="2250"/>
      <c r="EM153" s="2333" t="s">
        <v>731</v>
      </c>
      <c r="EN153" s="4670" t="s">
        <v>733</v>
      </c>
      <c r="EO153" s="4670"/>
      <c r="EP153" s="2334"/>
      <c r="EQ153" s="4672"/>
      <c r="ER153" s="4672"/>
      <c r="ES153" s="4672"/>
      <c r="ET153" s="4672"/>
      <c r="EU153" s="4672"/>
      <c r="EV153" s="4672"/>
      <c r="EW153" s="2334"/>
      <c r="EX153" s="2334"/>
      <c r="EY153" s="2250"/>
      <c r="EZ153" s="2250"/>
      <c r="FA153" s="2334"/>
      <c r="FB153" s="4670" t="s">
        <v>734</v>
      </c>
      <c r="FC153" s="4670"/>
      <c r="FD153" s="2334"/>
      <c r="FE153" s="2334"/>
      <c r="FF153" s="2334"/>
      <c r="FG153" s="2334"/>
      <c r="FH153" s="2334"/>
      <c r="FI153" s="2334"/>
      <c r="FJ153" s="2334"/>
      <c r="FK153" s="2334"/>
      <c r="FL153" s="2334"/>
      <c r="FM153" s="2250"/>
      <c r="FN153" s="2250"/>
      <c r="FO153" s="2335"/>
      <c r="FP153" s="4670" t="s">
        <v>735</v>
      </c>
      <c r="FQ153" s="4670"/>
      <c r="FR153" s="2335"/>
      <c r="FS153" s="2335"/>
      <c r="FT153" s="2335"/>
      <c r="FU153" s="2335"/>
      <c r="FV153" s="2335"/>
      <c r="FW153" s="2335"/>
      <c r="FX153" s="2335"/>
      <c r="FY153" s="2335"/>
      <c r="FZ153" s="2335"/>
      <c r="GA153" s="2250"/>
      <c r="GB153" s="2250"/>
      <c r="GC153" s="4679" t="s">
        <v>227</v>
      </c>
      <c r="GD153" s="4679"/>
      <c r="GE153" s="2250"/>
      <c r="GF153" s="2275"/>
      <c r="GG153" s="2333" t="s">
        <v>731</v>
      </c>
      <c r="GH153" s="4670" t="s">
        <v>732</v>
      </c>
      <c r="GI153" s="4670"/>
      <c r="GJ153" s="2334"/>
      <c r="GK153" s="4680"/>
      <c r="GL153" s="4672"/>
      <c r="GM153" s="4672"/>
      <c r="GN153" s="4672"/>
      <c r="GO153" s="4672"/>
      <c r="GP153" s="4672"/>
      <c r="GQ153" s="2334"/>
      <c r="GR153" s="2334"/>
      <c r="GS153" s="2250"/>
      <c r="GT153" s="2250"/>
      <c r="GU153" s="2333" t="s">
        <v>731</v>
      </c>
      <c r="GV153" s="4670" t="s">
        <v>733</v>
      </c>
      <c r="GW153" s="4670"/>
      <c r="GX153" s="2334"/>
      <c r="GY153" s="4672"/>
      <c r="GZ153" s="4672"/>
      <c r="HA153" s="4672"/>
      <c r="HB153" s="4672"/>
      <c r="HC153" s="4672"/>
      <c r="HD153" s="4672"/>
      <c r="HE153" s="2334"/>
      <c r="HF153" s="2334"/>
      <c r="HG153" s="2250"/>
      <c r="HH153" s="2250"/>
      <c r="HI153" s="2334"/>
      <c r="HJ153" s="4670" t="s">
        <v>734</v>
      </c>
      <c r="HK153" s="4670"/>
      <c r="HL153" s="2334"/>
      <c r="HM153" s="2334"/>
      <c r="HN153" s="2334"/>
      <c r="HO153" s="2334"/>
      <c r="HP153" s="2334"/>
      <c r="HQ153" s="2334"/>
      <c r="HR153" s="2334"/>
      <c r="HS153" s="2334"/>
      <c r="HT153" s="2334"/>
      <c r="HU153" s="2250"/>
      <c r="HV153" s="2250"/>
      <c r="HW153" s="2335"/>
      <c r="HX153" s="4670" t="s">
        <v>735</v>
      </c>
      <c r="HY153" s="4670"/>
      <c r="HZ153" s="2335"/>
      <c r="IA153" s="2335"/>
      <c r="IB153" s="2335"/>
      <c r="IC153" s="2335"/>
      <c r="ID153" s="2335"/>
      <c r="IE153" s="2335"/>
      <c r="IF153" s="2335"/>
      <c r="IG153" s="2335"/>
      <c r="IH153" s="2335"/>
      <c r="II153" s="2250"/>
      <c r="IJ153" s="2250"/>
      <c r="IK153" s="2250"/>
      <c r="IL153" s="2250"/>
    </row>
    <row r="154" spans="1:246" ht="21.95" customHeight="1">
      <c r="A154" s="2275"/>
      <c r="B154" s="2333">
        <v>223.8</v>
      </c>
      <c r="C154" s="2336">
        <v>3.56</v>
      </c>
      <c r="D154" s="2336">
        <v>5.35</v>
      </c>
      <c r="E154" s="2336">
        <v>10.4</v>
      </c>
      <c r="F154" s="2336">
        <v>17.920000000000002</v>
      </c>
      <c r="G154" s="2336">
        <v>28.51</v>
      </c>
      <c r="H154" s="2336">
        <v>42.48</v>
      </c>
      <c r="I154" s="2336">
        <v>60.5</v>
      </c>
      <c r="J154" s="2336">
        <v>82.97</v>
      </c>
      <c r="K154" s="2336">
        <v>112.77</v>
      </c>
      <c r="L154" s="2336">
        <v>179.01</v>
      </c>
      <c r="M154" s="2336">
        <v>267.23</v>
      </c>
      <c r="N154" s="2250"/>
      <c r="O154" s="2250"/>
      <c r="P154" s="2333">
        <v>223.8</v>
      </c>
      <c r="Q154" s="2336">
        <v>2.57</v>
      </c>
      <c r="R154" s="2336">
        <v>3.76</v>
      </c>
      <c r="S154" s="2336">
        <v>7.43</v>
      </c>
      <c r="T154" s="2336">
        <v>12.48</v>
      </c>
      <c r="U154" s="2336">
        <v>19.21</v>
      </c>
      <c r="V154" s="2336">
        <v>28.02</v>
      </c>
      <c r="W154" s="2336">
        <v>38.909999999999997</v>
      </c>
      <c r="X154" s="2336">
        <v>52.28</v>
      </c>
      <c r="Y154" s="2336">
        <v>76.73</v>
      </c>
      <c r="Z154" s="2336">
        <v>118.22</v>
      </c>
      <c r="AA154" s="2336">
        <v>171.78</v>
      </c>
      <c r="AB154" s="2250"/>
      <c r="AC154" s="2250"/>
      <c r="AD154" s="2333">
        <v>223.8</v>
      </c>
      <c r="AE154" s="2336">
        <v>2.0299999999999998</v>
      </c>
      <c r="AF154" s="2336">
        <v>3.05</v>
      </c>
      <c r="AG154" s="2336">
        <v>5.64</v>
      </c>
      <c r="AH154" s="2336">
        <v>9.3699999999999992</v>
      </c>
      <c r="AI154" s="2336">
        <v>14.45</v>
      </c>
      <c r="AJ154" s="2336">
        <v>20.99</v>
      </c>
      <c r="AK154" s="2336">
        <v>29.12</v>
      </c>
      <c r="AL154" s="2336">
        <v>39.159999999999997</v>
      </c>
      <c r="AM154" s="2336">
        <v>57.45</v>
      </c>
      <c r="AN154" s="2336">
        <v>88.49</v>
      </c>
      <c r="AO154" s="2336">
        <v>158.01</v>
      </c>
      <c r="AP154" s="2250"/>
      <c r="AQ154" s="2250"/>
      <c r="AR154" s="2333">
        <v>223.8</v>
      </c>
      <c r="AS154" s="2336">
        <v>1.19</v>
      </c>
      <c r="AT154" s="2336">
        <v>1.78</v>
      </c>
      <c r="AU154" s="2336">
        <v>3.27</v>
      </c>
      <c r="AV154" s="2336">
        <v>5.45</v>
      </c>
      <c r="AW154" s="2336">
        <v>8.32</v>
      </c>
      <c r="AX154" s="2336">
        <v>12.18</v>
      </c>
      <c r="AY154" s="2336">
        <v>16.93</v>
      </c>
      <c r="AZ154" s="2336">
        <v>22.67</v>
      </c>
      <c r="BA154" s="2336">
        <v>33.369999999999997</v>
      </c>
      <c r="BB154" s="2336">
        <v>51.39</v>
      </c>
      <c r="BC154" s="2336">
        <v>74.650000000000006</v>
      </c>
      <c r="BD154" s="2250"/>
      <c r="BE154" s="2250"/>
      <c r="BF154" s="1201">
        <v>0</v>
      </c>
      <c r="BG154" s="1302">
        <v>24.5</v>
      </c>
      <c r="BH154" s="2250"/>
      <c r="BI154" s="2275"/>
      <c r="BJ154" s="2333">
        <v>223.8</v>
      </c>
      <c r="BK154" s="2336">
        <v>3.56</v>
      </c>
      <c r="BL154" s="2336">
        <v>5.35</v>
      </c>
      <c r="BM154" s="2336">
        <v>10.4</v>
      </c>
      <c r="BN154" s="2336">
        <v>17.920000000000002</v>
      </c>
      <c r="BO154" s="2336">
        <v>28.51</v>
      </c>
      <c r="BP154" s="2336">
        <v>42.48</v>
      </c>
      <c r="BQ154" s="2336">
        <v>60.5</v>
      </c>
      <c r="BR154" s="2336">
        <v>82.97</v>
      </c>
      <c r="BS154" s="2336">
        <v>112.77</v>
      </c>
      <c r="BT154" s="2336">
        <v>179.01</v>
      </c>
      <c r="BU154" s="2336">
        <v>267.23</v>
      </c>
      <c r="BV154" s="2250"/>
      <c r="BW154" s="2250"/>
      <c r="BX154" s="2333">
        <v>223.8</v>
      </c>
      <c r="BY154" s="2336">
        <v>2.57</v>
      </c>
      <c r="BZ154" s="2336">
        <v>3.76</v>
      </c>
      <c r="CA154" s="2336">
        <v>7.43</v>
      </c>
      <c r="CB154" s="2336">
        <v>12.48</v>
      </c>
      <c r="CC154" s="2336">
        <v>19.21</v>
      </c>
      <c r="CD154" s="2336">
        <v>28.02</v>
      </c>
      <c r="CE154" s="2336">
        <v>38.909999999999997</v>
      </c>
      <c r="CF154" s="2336">
        <v>52.28</v>
      </c>
      <c r="CG154" s="2336">
        <v>76.73</v>
      </c>
      <c r="CH154" s="2336">
        <v>118.22</v>
      </c>
      <c r="CI154" s="2336">
        <v>171.78</v>
      </c>
      <c r="CJ154" s="2250"/>
      <c r="CK154" s="2250"/>
      <c r="CL154" s="2333">
        <v>223.8</v>
      </c>
      <c r="CM154" s="2336">
        <v>2.0299999999999998</v>
      </c>
      <c r="CN154" s="2336">
        <v>3.05</v>
      </c>
      <c r="CO154" s="2336">
        <v>5.64</v>
      </c>
      <c r="CP154" s="2336">
        <v>9.3699999999999992</v>
      </c>
      <c r="CQ154" s="2336">
        <v>14.45</v>
      </c>
      <c r="CR154" s="2336">
        <v>20.99</v>
      </c>
      <c r="CS154" s="2336">
        <v>29.12</v>
      </c>
      <c r="CT154" s="2336">
        <v>39.159999999999997</v>
      </c>
      <c r="CU154" s="2336">
        <v>57.45</v>
      </c>
      <c r="CV154" s="2336">
        <v>88.49</v>
      </c>
      <c r="CW154" s="2336">
        <v>158.01</v>
      </c>
      <c r="CX154" s="2250"/>
      <c r="CY154" s="2250"/>
      <c r="CZ154" s="2333">
        <v>223.8</v>
      </c>
      <c r="DA154" s="2336">
        <v>1.19</v>
      </c>
      <c r="DB154" s="2336">
        <v>1.78</v>
      </c>
      <c r="DC154" s="2336">
        <v>3.27</v>
      </c>
      <c r="DD154" s="2336">
        <v>5.45</v>
      </c>
      <c r="DE154" s="2336">
        <v>8.32</v>
      </c>
      <c r="DF154" s="2336">
        <v>12.18</v>
      </c>
      <c r="DG154" s="2336">
        <v>16.93</v>
      </c>
      <c r="DH154" s="2336">
        <v>22.67</v>
      </c>
      <c r="DI154" s="2336">
        <v>33.369999999999997</v>
      </c>
      <c r="DJ154" s="2336">
        <v>51.39</v>
      </c>
      <c r="DK154" s="2336">
        <v>74.650000000000006</v>
      </c>
      <c r="DL154" s="2250"/>
      <c r="DM154" s="2250"/>
      <c r="DN154" s="2250"/>
      <c r="DO154" s="2250"/>
      <c r="DP154" s="2250"/>
      <c r="DQ154" s="2277"/>
      <c r="DR154" s="2277"/>
      <c r="DS154" s="2278"/>
      <c r="DT154" s="2250"/>
      <c r="DU154" s="2250"/>
      <c r="DV154" s="2250"/>
      <c r="DW154" s="2250"/>
      <c r="DX154" s="2275"/>
      <c r="DY154" s="2333" t="s">
        <v>736</v>
      </c>
      <c r="DZ154" s="2333">
        <v>400</v>
      </c>
      <c r="EA154" s="2333">
        <v>475</v>
      </c>
      <c r="EB154" s="2333">
        <v>550</v>
      </c>
      <c r="EC154" s="2333">
        <v>650</v>
      </c>
      <c r="ED154" s="2333">
        <v>775</v>
      </c>
      <c r="EE154" s="2333">
        <v>825</v>
      </c>
      <c r="EF154" s="2333">
        <v>950</v>
      </c>
      <c r="EG154" s="2333">
        <v>1100</v>
      </c>
      <c r="EH154" s="2333">
        <v>1250</v>
      </c>
      <c r="EI154" s="2333">
        <v>1450</v>
      </c>
      <c r="EJ154" s="2333">
        <v>1650</v>
      </c>
      <c r="EK154" s="2250"/>
      <c r="EL154" s="2250"/>
      <c r="EM154" s="2333" t="s">
        <v>736</v>
      </c>
      <c r="EN154" s="2333">
        <v>450</v>
      </c>
      <c r="EO154" s="2333">
        <v>475</v>
      </c>
      <c r="EP154" s="2333">
        <v>550</v>
      </c>
      <c r="EQ154" s="2333">
        <v>650</v>
      </c>
      <c r="ER154" s="2333">
        <v>775</v>
      </c>
      <c r="ES154" s="2333">
        <v>825</v>
      </c>
      <c r="ET154" s="2333">
        <v>950</v>
      </c>
      <c r="EU154" s="2333">
        <v>1100</v>
      </c>
      <c r="EV154" s="2333">
        <v>1250</v>
      </c>
      <c r="EW154" s="2333">
        <v>1450</v>
      </c>
      <c r="EX154" s="2333">
        <v>1650</v>
      </c>
      <c r="EY154" s="2250"/>
      <c r="EZ154" s="2250"/>
      <c r="FA154" s="2333" t="s">
        <v>736</v>
      </c>
      <c r="FB154" s="2333">
        <v>400</v>
      </c>
      <c r="FC154" s="2333">
        <v>475</v>
      </c>
      <c r="FD154" s="2333">
        <v>550</v>
      </c>
      <c r="FE154" s="2333">
        <v>650</v>
      </c>
      <c r="FF154" s="2333">
        <v>775</v>
      </c>
      <c r="FG154" s="2333">
        <v>825</v>
      </c>
      <c r="FH154" s="2333">
        <v>950</v>
      </c>
      <c r="FI154" s="2333">
        <v>1100</v>
      </c>
      <c r="FJ154" s="2333">
        <v>1250</v>
      </c>
      <c r="FK154" s="2333">
        <v>1450</v>
      </c>
      <c r="FL154" s="2333">
        <v>1650</v>
      </c>
      <c r="FM154" s="2250"/>
      <c r="FN154" s="2250"/>
      <c r="FO154" s="2333" t="s">
        <v>736</v>
      </c>
      <c r="FP154" s="2333">
        <v>400</v>
      </c>
      <c r="FQ154" s="2333">
        <v>475</v>
      </c>
      <c r="FR154" s="2333">
        <v>550</v>
      </c>
      <c r="FS154" s="2333">
        <v>650</v>
      </c>
      <c r="FT154" s="2333">
        <v>775</v>
      </c>
      <c r="FU154" s="2333">
        <v>825</v>
      </c>
      <c r="FV154" s="2333">
        <v>950</v>
      </c>
      <c r="FW154" s="2333">
        <v>1100</v>
      </c>
      <c r="FX154" s="2333">
        <v>1250</v>
      </c>
      <c r="FY154" s="2333">
        <v>1450</v>
      </c>
      <c r="FZ154" s="2333">
        <v>1650</v>
      </c>
      <c r="GA154" s="2250"/>
      <c r="GB154" s="2250"/>
      <c r="GC154" s="1201" t="s">
        <v>512</v>
      </c>
      <c r="GD154" s="1201" t="s">
        <v>682</v>
      </c>
      <c r="GE154" s="2250"/>
      <c r="GF154" s="2275"/>
      <c r="GG154" s="2333" t="s">
        <v>736</v>
      </c>
      <c r="GH154" s="2333">
        <v>400</v>
      </c>
      <c r="GI154" s="2333">
        <v>475</v>
      </c>
      <c r="GJ154" s="2333">
        <v>550</v>
      </c>
      <c r="GK154" s="2333">
        <v>650</v>
      </c>
      <c r="GL154" s="2333">
        <v>775</v>
      </c>
      <c r="GM154" s="2333">
        <v>825</v>
      </c>
      <c r="GN154" s="2333">
        <v>950</v>
      </c>
      <c r="GO154" s="2333">
        <v>1100</v>
      </c>
      <c r="GP154" s="2333">
        <v>1250</v>
      </c>
      <c r="GQ154" s="2333">
        <v>1450</v>
      </c>
      <c r="GR154" s="2333">
        <v>1650</v>
      </c>
      <c r="GS154" s="2250"/>
      <c r="GT154" s="2250"/>
      <c r="GU154" s="2333" t="s">
        <v>736</v>
      </c>
      <c r="GV154" s="2333">
        <v>450</v>
      </c>
      <c r="GW154" s="2333">
        <v>475</v>
      </c>
      <c r="GX154" s="2333">
        <v>550</v>
      </c>
      <c r="GY154" s="2333">
        <v>650</v>
      </c>
      <c r="GZ154" s="2333">
        <v>775</v>
      </c>
      <c r="HA154" s="2333">
        <v>825</v>
      </c>
      <c r="HB154" s="2333">
        <v>950</v>
      </c>
      <c r="HC154" s="2333">
        <v>1100</v>
      </c>
      <c r="HD154" s="2333">
        <v>1250</v>
      </c>
      <c r="HE154" s="2333">
        <v>1450</v>
      </c>
      <c r="HF154" s="2333">
        <v>1650</v>
      </c>
      <c r="HG154" s="2250"/>
      <c r="HH154" s="2250"/>
      <c r="HI154" s="2333" t="s">
        <v>736</v>
      </c>
      <c r="HJ154" s="2333">
        <v>400</v>
      </c>
      <c r="HK154" s="2333">
        <v>475</v>
      </c>
      <c r="HL154" s="2333">
        <v>550</v>
      </c>
      <c r="HM154" s="2333">
        <v>650</v>
      </c>
      <c r="HN154" s="2333">
        <v>775</v>
      </c>
      <c r="HO154" s="2333">
        <v>825</v>
      </c>
      <c r="HP154" s="2333">
        <v>950</v>
      </c>
      <c r="HQ154" s="2333">
        <v>1100</v>
      </c>
      <c r="HR154" s="2333">
        <v>1250</v>
      </c>
      <c r="HS154" s="2333">
        <v>1450</v>
      </c>
      <c r="HT154" s="2333">
        <v>1650</v>
      </c>
      <c r="HU154" s="2250"/>
      <c r="HV154" s="2250"/>
      <c r="HW154" s="2333" t="s">
        <v>736</v>
      </c>
      <c r="HX154" s="2333">
        <v>400</v>
      </c>
      <c r="HY154" s="2333">
        <v>475</v>
      </c>
      <c r="HZ154" s="2333">
        <v>550</v>
      </c>
      <c r="IA154" s="2333">
        <v>650</v>
      </c>
      <c r="IB154" s="2333">
        <v>775</v>
      </c>
      <c r="IC154" s="2333">
        <v>825</v>
      </c>
      <c r="ID154" s="2333">
        <v>950</v>
      </c>
      <c r="IE154" s="2333">
        <v>1100</v>
      </c>
      <c r="IF154" s="2333">
        <v>1250</v>
      </c>
      <c r="IG154" s="2333">
        <v>1450</v>
      </c>
      <c r="IH154" s="2333">
        <v>1650</v>
      </c>
      <c r="II154" s="2250"/>
      <c r="IJ154" s="2250"/>
      <c r="IK154" s="2250"/>
      <c r="IL154" s="2250"/>
    </row>
    <row r="155" spans="1:246" ht="21.95" customHeight="1">
      <c r="A155" s="2275"/>
      <c r="B155" s="2333">
        <v>206.43</v>
      </c>
      <c r="C155" s="2336">
        <v>3.86</v>
      </c>
      <c r="D155" s="2336">
        <v>5.74</v>
      </c>
      <c r="E155" s="2336">
        <v>11.19</v>
      </c>
      <c r="F155" s="2336">
        <v>19.41</v>
      </c>
      <c r="G155" s="2336">
        <v>30.79</v>
      </c>
      <c r="H155" s="2336">
        <v>45.94</v>
      </c>
      <c r="I155" s="2336">
        <v>65.349999999999994</v>
      </c>
      <c r="J155" s="2336">
        <v>89.6</v>
      </c>
      <c r="K155" s="2336">
        <v>121.78</v>
      </c>
      <c r="L155" s="2336">
        <v>193.37</v>
      </c>
      <c r="M155" s="2336">
        <v>288.61</v>
      </c>
      <c r="N155" s="2250"/>
      <c r="O155" s="2250"/>
      <c r="P155" s="2333">
        <v>206.43</v>
      </c>
      <c r="Q155" s="2336">
        <v>2.77</v>
      </c>
      <c r="R155" s="2336">
        <v>4.16</v>
      </c>
      <c r="S155" s="2336">
        <v>8.02</v>
      </c>
      <c r="T155" s="2336">
        <v>13.86</v>
      </c>
      <c r="U155" s="2336">
        <v>21.68</v>
      </c>
      <c r="V155" s="2336">
        <v>30.69</v>
      </c>
      <c r="W155" s="2336">
        <v>43.86</v>
      </c>
      <c r="X155" s="2336">
        <v>58.91</v>
      </c>
      <c r="Y155" s="2336">
        <v>86.53</v>
      </c>
      <c r="Z155" s="2336">
        <v>133.27000000000001</v>
      </c>
      <c r="AA155" s="2336">
        <v>193.66</v>
      </c>
      <c r="AB155" s="2250"/>
      <c r="AC155" s="2250"/>
      <c r="AD155" s="2333">
        <v>206.43</v>
      </c>
      <c r="AE155" s="2336">
        <v>2.37</v>
      </c>
      <c r="AF155" s="2336">
        <v>3.39</v>
      </c>
      <c r="AG155" s="2336">
        <v>6.32</v>
      </c>
      <c r="AH155" s="2336">
        <v>10.61</v>
      </c>
      <c r="AI155" s="2336">
        <v>16.25</v>
      </c>
      <c r="AJ155" s="2336">
        <v>23.25</v>
      </c>
      <c r="AK155" s="2336">
        <v>32.840000000000003</v>
      </c>
      <c r="AL155" s="2336">
        <v>44.13</v>
      </c>
      <c r="AM155" s="2336">
        <v>64.790000000000006</v>
      </c>
      <c r="AN155" s="2336">
        <v>99.77</v>
      </c>
      <c r="AO155" s="2336">
        <v>145.03</v>
      </c>
      <c r="AP155" s="2250"/>
      <c r="AQ155" s="2250"/>
      <c r="AR155" s="2333">
        <v>206.43</v>
      </c>
      <c r="AS155" s="2336">
        <v>1.39</v>
      </c>
      <c r="AT155" s="2336">
        <v>1.98</v>
      </c>
      <c r="AU155" s="2336">
        <v>3.66</v>
      </c>
      <c r="AV155" s="2336">
        <v>6.14</v>
      </c>
      <c r="AW155" s="2336">
        <v>9.41</v>
      </c>
      <c r="AX155" s="2336">
        <v>13.37</v>
      </c>
      <c r="AY155" s="2336">
        <v>19.010000000000002</v>
      </c>
      <c r="AZ155" s="2336">
        <v>25.54</v>
      </c>
      <c r="BA155" s="2336">
        <v>37.619999999999997</v>
      </c>
      <c r="BB155" s="2336">
        <v>57.92</v>
      </c>
      <c r="BC155" s="2336">
        <v>84.16</v>
      </c>
      <c r="BD155" s="2250"/>
      <c r="BE155" s="2250"/>
      <c r="BF155" s="1302">
        <v>24.5</v>
      </c>
      <c r="BG155" s="1302">
        <v>29.3</v>
      </c>
      <c r="BH155" s="2250"/>
      <c r="BI155" s="2275"/>
      <c r="BJ155" s="2333">
        <v>206.43</v>
      </c>
      <c r="BK155" s="2336">
        <v>3.86</v>
      </c>
      <c r="BL155" s="2336">
        <v>5.74</v>
      </c>
      <c r="BM155" s="2336">
        <v>11.19</v>
      </c>
      <c r="BN155" s="2336">
        <v>19.41</v>
      </c>
      <c r="BO155" s="2336">
        <v>30.79</v>
      </c>
      <c r="BP155" s="2336">
        <v>45.94</v>
      </c>
      <c r="BQ155" s="2336">
        <v>65.349999999999994</v>
      </c>
      <c r="BR155" s="2336">
        <v>89.6</v>
      </c>
      <c r="BS155" s="2336">
        <v>121.78</v>
      </c>
      <c r="BT155" s="2336">
        <v>193.37</v>
      </c>
      <c r="BU155" s="2336">
        <v>288.61</v>
      </c>
      <c r="BV155" s="2250"/>
      <c r="BW155" s="2250"/>
      <c r="BX155" s="2333">
        <v>206.43</v>
      </c>
      <c r="BY155" s="2336">
        <v>2.77</v>
      </c>
      <c r="BZ155" s="2336">
        <v>4.16</v>
      </c>
      <c r="CA155" s="2336">
        <v>8.02</v>
      </c>
      <c r="CB155" s="2336">
        <v>13.86</v>
      </c>
      <c r="CC155" s="2336">
        <v>21.68</v>
      </c>
      <c r="CD155" s="2336">
        <v>30.69</v>
      </c>
      <c r="CE155" s="2336">
        <v>43.86</v>
      </c>
      <c r="CF155" s="2336">
        <v>58.91</v>
      </c>
      <c r="CG155" s="2336">
        <v>86.53</v>
      </c>
      <c r="CH155" s="2336">
        <v>133.27000000000001</v>
      </c>
      <c r="CI155" s="2336">
        <v>193.66</v>
      </c>
      <c r="CJ155" s="2250"/>
      <c r="CK155" s="2250"/>
      <c r="CL155" s="2333">
        <v>206.43</v>
      </c>
      <c r="CM155" s="2336">
        <v>2.37</v>
      </c>
      <c r="CN155" s="2336">
        <v>3.39</v>
      </c>
      <c r="CO155" s="2336">
        <v>6.32</v>
      </c>
      <c r="CP155" s="2336">
        <v>10.61</v>
      </c>
      <c r="CQ155" s="2336">
        <v>16.25</v>
      </c>
      <c r="CR155" s="2336">
        <v>23.25</v>
      </c>
      <c r="CS155" s="2336">
        <v>32.840000000000003</v>
      </c>
      <c r="CT155" s="2336">
        <v>44.13</v>
      </c>
      <c r="CU155" s="2336">
        <v>64.790000000000006</v>
      </c>
      <c r="CV155" s="2336">
        <v>99.77</v>
      </c>
      <c r="CW155" s="2336">
        <v>145.03</v>
      </c>
      <c r="CX155" s="2250"/>
      <c r="CY155" s="2250"/>
      <c r="CZ155" s="2333">
        <v>206.43</v>
      </c>
      <c r="DA155" s="2336">
        <v>1.39</v>
      </c>
      <c r="DB155" s="2336">
        <v>1.98</v>
      </c>
      <c r="DC155" s="2336">
        <v>3.66</v>
      </c>
      <c r="DD155" s="2336">
        <v>6.14</v>
      </c>
      <c r="DE155" s="2336">
        <v>9.41</v>
      </c>
      <c r="DF155" s="2336">
        <v>13.37</v>
      </c>
      <c r="DG155" s="2336">
        <v>19.010000000000002</v>
      </c>
      <c r="DH155" s="2336">
        <v>25.54</v>
      </c>
      <c r="DI155" s="2336">
        <v>37.619999999999997</v>
      </c>
      <c r="DJ155" s="2336">
        <v>57.92</v>
      </c>
      <c r="DK155" s="2336">
        <v>84.16</v>
      </c>
      <c r="DL155" s="2250"/>
      <c r="DM155" s="2250"/>
      <c r="DN155" s="2250"/>
      <c r="DO155" s="2250"/>
      <c r="DP155" s="2250"/>
      <c r="DQ155" s="2277"/>
      <c r="DR155" s="2277"/>
      <c r="DS155" s="2278"/>
      <c r="DT155" s="2250"/>
      <c r="DU155" s="2250"/>
      <c r="DV155" s="2250"/>
      <c r="DW155" s="2250"/>
      <c r="DX155" s="2275"/>
      <c r="DY155" s="2333">
        <v>223.8</v>
      </c>
      <c r="DZ155" s="2336">
        <v>3.56</v>
      </c>
      <c r="EA155" s="2336">
        <v>5.35</v>
      </c>
      <c r="EB155" s="2336">
        <v>10.4</v>
      </c>
      <c r="EC155" s="2336">
        <v>17.920000000000002</v>
      </c>
      <c r="ED155" s="2336">
        <v>28.51</v>
      </c>
      <c r="EE155" s="2336">
        <v>42.48</v>
      </c>
      <c r="EF155" s="2336">
        <v>60.5</v>
      </c>
      <c r="EG155" s="2336">
        <v>82.97</v>
      </c>
      <c r="EH155" s="2336">
        <v>112.77</v>
      </c>
      <c r="EI155" s="2336">
        <v>179.01</v>
      </c>
      <c r="EJ155" s="2336">
        <v>267.23</v>
      </c>
      <c r="EK155" s="2250"/>
      <c r="EL155" s="2250"/>
      <c r="EM155" s="2333">
        <v>223.8</v>
      </c>
      <c r="EN155" s="2336">
        <v>2.57</v>
      </c>
      <c r="EO155" s="2336">
        <v>3.76</v>
      </c>
      <c r="EP155" s="2336">
        <v>7.43</v>
      </c>
      <c r="EQ155" s="2336">
        <v>12.48</v>
      </c>
      <c r="ER155" s="2336">
        <v>19.21</v>
      </c>
      <c r="ES155" s="2336">
        <v>28.02</v>
      </c>
      <c r="ET155" s="2336">
        <v>38.909999999999997</v>
      </c>
      <c r="EU155" s="2336">
        <v>52.28</v>
      </c>
      <c r="EV155" s="2336">
        <v>76.73</v>
      </c>
      <c r="EW155" s="2336">
        <v>118.22</v>
      </c>
      <c r="EX155" s="2336">
        <v>171.78</v>
      </c>
      <c r="EY155" s="2250"/>
      <c r="EZ155" s="2250"/>
      <c r="FA155" s="2333">
        <v>223.8</v>
      </c>
      <c r="FB155" s="2336">
        <v>2.0299999999999998</v>
      </c>
      <c r="FC155" s="2336">
        <v>3.05</v>
      </c>
      <c r="FD155" s="2336">
        <v>5.64</v>
      </c>
      <c r="FE155" s="2336">
        <v>9.3699999999999992</v>
      </c>
      <c r="FF155" s="2336">
        <v>14.45</v>
      </c>
      <c r="FG155" s="2336">
        <v>20.99</v>
      </c>
      <c r="FH155" s="2336">
        <v>29.12</v>
      </c>
      <c r="FI155" s="2336">
        <v>39.159999999999997</v>
      </c>
      <c r="FJ155" s="2336">
        <v>57.45</v>
      </c>
      <c r="FK155" s="2336">
        <v>88.49</v>
      </c>
      <c r="FL155" s="2336">
        <v>158.01</v>
      </c>
      <c r="FM155" s="2250"/>
      <c r="FN155" s="2250"/>
      <c r="FO155" s="2333">
        <v>223.8</v>
      </c>
      <c r="FP155" s="2336">
        <v>1.19</v>
      </c>
      <c r="FQ155" s="2336">
        <v>1.78</v>
      </c>
      <c r="FR155" s="2336">
        <v>3.27</v>
      </c>
      <c r="FS155" s="2336">
        <v>5.45</v>
      </c>
      <c r="FT155" s="2336">
        <v>8.32</v>
      </c>
      <c r="FU155" s="2336">
        <v>12.18</v>
      </c>
      <c r="FV155" s="2336">
        <v>16.93</v>
      </c>
      <c r="FW155" s="2336">
        <v>22.67</v>
      </c>
      <c r="FX155" s="2336">
        <v>33.369999999999997</v>
      </c>
      <c r="FY155" s="2336">
        <v>51.39</v>
      </c>
      <c r="FZ155" s="2336">
        <v>74.650000000000006</v>
      </c>
      <c r="GA155" s="2250"/>
      <c r="GB155" s="2250"/>
      <c r="GC155" s="1201">
        <v>0</v>
      </c>
      <c r="GD155" s="1302">
        <v>24.5</v>
      </c>
      <c r="GE155" s="2250"/>
      <c r="GF155" s="2275"/>
      <c r="GG155" s="2333">
        <v>223.8</v>
      </c>
      <c r="GH155" s="2336">
        <v>3.56</v>
      </c>
      <c r="GI155" s="2336">
        <v>5.35</v>
      </c>
      <c r="GJ155" s="2336">
        <v>10.4</v>
      </c>
      <c r="GK155" s="2336">
        <v>17.920000000000002</v>
      </c>
      <c r="GL155" s="2336">
        <v>28.51</v>
      </c>
      <c r="GM155" s="2336">
        <v>42.48</v>
      </c>
      <c r="GN155" s="2336">
        <v>60.5</v>
      </c>
      <c r="GO155" s="2336">
        <v>82.97</v>
      </c>
      <c r="GP155" s="2336">
        <v>112.77</v>
      </c>
      <c r="GQ155" s="2336">
        <v>179.01</v>
      </c>
      <c r="GR155" s="2336">
        <v>267.23</v>
      </c>
      <c r="GS155" s="2250"/>
      <c r="GT155" s="2250"/>
      <c r="GU155" s="2333">
        <v>223.8</v>
      </c>
      <c r="GV155" s="2336">
        <v>2.57</v>
      </c>
      <c r="GW155" s="2336">
        <v>3.76</v>
      </c>
      <c r="GX155" s="2336">
        <v>7.43</v>
      </c>
      <c r="GY155" s="2336">
        <v>12.48</v>
      </c>
      <c r="GZ155" s="2336">
        <v>19.21</v>
      </c>
      <c r="HA155" s="2336">
        <v>28.02</v>
      </c>
      <c r="HB155" s="2336">
        <v>38.909999999999997</v>
      </c>
      <c r="HC155" s="2336">
        <v>52.28</v>
      </c>
      <c r="HD155" s="2336">
        <v>76.73</v>
      </c>
      <c r="HE155" s="2336">
        <v>118.22</v>
      </c>
      <c r="HF155" s="2336">
        <v>171.78</v>
      </c>
      <c r="HG155" s="2250"/>
      <c r="HH155" s="2250"/>
      <c r="HI155" s="2333">
        <v>223.8</v>
      </c>
      <c r="HJ155" s="2336">
        <v>2.0299999999999998</v>
      </c>
      <c r="HK155" s="2336">
        <v>3.05</v>
      </c>
      <c r="HL155" s="2336">
        <v>5.64</v>
      </c>
      <c r="HM155" s="2336">
        <v>9.3699999999999992</v>
      </c>
      <c r="HN155" s="2336">
        <v>14.45</v>
      </c>
      <c r="HO155" s="2336">
        <v>20.99</v>
      </c>
      <c r="HP155" s="2336">
        <v>29.12</v>
      </c>
      <c r="HQ155" s="2336">
        <v>39.159999999999997</v>
      </c>
      <c r="HR155" s="2336">
        <v>57.45</v>
      </c>
      <c r="HS155" s="2336">
        <v>88.49</v>
      </c>
      <c r="HT155" s="2336">
        <v>158.01</v>
      </c>
      <c r="HU155" s="2250"/>
      <c r="HV155" s="2250"/>
      <c r="HW155" s="2333">
        <v>223.8</v>
      </c>
      <c r="HX155" s="2336">
        <v>1.19</v>
      </c>
      <c r="HY155" s="2336">
        <v>1.78</v>
      </c>
      <c r="HZ155" s="2336">
        <v>3.27</v>
      </c>
      <c r="IA155" s="2336">
        <v>5.45</v>
      </c>
      <c r="IB155" s="2336">
        <v>8.32</v>
      </c>
      <c r="IC155" s="2336">
        <v>12.18</v>
      </c>
      <c r="ID155" s="2336">
        <v>16.93</v>
      </c>
      <c r="IE155" s="2336">
        <v>22.67</v>
      </c>
      <c r="IF155" s="2336">
        <v>33.369999999999997</v>
      </c>
      <c r="IG155" s="2336">
        <v>51.39</v>
      </c>
      <c r="IH155" s="2336">
        <v>74.650000000000006</v>
      </c>
      <c r="II155" s="2250"/>
      <c r="IJ155" s="2250"/>
      <c r="IK155" s="2250"/>
      <c r="IL155" s="2250"/>
    </row>
    <row r="156" spans="1:246" ht="21.95" customHeight="1">
      <c r="A156" s="2275"/>
      <c r="B156" s="2333">
        <v>190.4</v>
      </c>
      <c r="C156" s="2336">
        <v>4.16</v>
      </c>
      <c r="D156" s="2336">
        <v>6.14</v>
      </c>
      <c r="E156" s="2336">
        <v>12.08</v>
      </c>
      <c r="F156" s="2336">
        <v>20.89</v>
      </c>
      <c r="G156" s="2336">
        <v>33.07</v>
      </c>
      <c r="H156" s="2336">
        <v>49.41</v>
      </c>
      <c r="I156" s="2336">
        <v>70.400000000000006</v>
      </c>
      <c r="J156" s="2336">
        <v>96.53</v>
      </c>
      <c r="K156" s="2336">
        <v>131.09</v>
      </c>
      <c r="L156" s="2336">
        <v>208.12</v>
      </c>
      <c r="M156" s="2336">
        <v>310.69</v>
      </c>
      <c r="N156" s="2250"/>
      <c r="O156" s="2250"/>
      <c r="P156" s="2333">
        <v>190.4</v>
      </c>
      <c r="Q156" s="2336">
        <v>2.97</v>
      </c>
      <c r="R156" s="2336">
        <v>4.46</v>
      </c>
      <c r="S156" s="2336">
        <v>8.61</v>
      </c>
      <c r="T156" s="2336">
        <v>14.95</v>
      </c>
      <c r="U156" s="2336">
        <v>23.76</v>
      </c>
      <c r="V156" s="2336">
        <v>33.659999999999997</v>
      </c>
      <c r="W156" s="2336">
        <v>48.61</v>
      </c>
      <c r="X156" s="2336">
        <v>65.25</v>
      </c>
      <c r="Y156" s="2336">
        <v>94.16</v>
      </c>
      <c r="Z156" s="2336">
        <v>147.62</v>
      </c>
      <c r="AA156" s="2336">
        <v>213.96</v>
      </c>
      <c r="AB156" s="2250"/>
      <c r="AC156" s="2250"/>
      <c r="AD156" s="2333">
        <v>190.4</v>
      </c>
      <c r="AE156" s="2336">
        <v>2.6</v>
      </c>
      <c r="AF156" s="2336">
        <v>3.72</v>
      </c>
      <c r="AG156" s="2336">
        <v>7</v>
      </c>
      <c r="AH156" s="2336">
        <v>11.74</v>
      </c>
      <c r="AI156" s="2336">
        <v>17.95</v>
      </c>
      <c r="AJ156" s="2336">
        <v>25.17</v>
      </c>
      <c r="AK156" s="2336">
        <v>36.340000000000003</v>
      </c>
      <c r="AL156" s="2336">
        <v>48.87</v>
      </c>
      <c r="AM156" s="2336">
        <v>71.78</v>
      </c>
      <c r="AN156" s="2336">
        <v>110.5</v>
      </c>
      <c r="AO156" s="2336">
        <v>160.61000000000001</v>
      </c>
      <c r="AP156" s="2250"/>
      <c r="AQ156" s="2250"/>
      <c r="AR156" s="2333">
        <v>190.4</v>
      </c>
      <c r="AS156" s="2336">
        <v>1.49</v>
      </c>
      <c r="AT156" s="2336">
        <v>2.1800000000000002</v>
      </c>
      <c r="AU156" s="2336">
        <v>4.0599999999999996</v>
      </c>
      <c r="AV156" s="2336">
        <v>6.73</v>
      </c>
      <c r="AW156" s="2336">
        <v>10.4</v>
      </c>
      <c r="AX156" s="2336">
        <v>14.55</v>
      </c>
      <c r="AY156" s="2336">
        <v>21.09</v>
      </c>
      <c r="AZ156" s="2336">
        <v>28.32</v>
      </c>
      <c r="BA156" s="2336">
        <v>41.58</v>
      </c>
      <c r="BB156" s="2336">
        <v>64.06</v>
      </c>
      <c r="BC156" s="2336">
        <v>92.87</v>
      </c>
      <c r="BD156" s="2250"/>
      <c r="BE156" s="2250"/>
      <c r="BF156" s="1302">
        <v>29.3</v>
      </c>
      <c r="BG156" s="1302">
        <v>34.200000000000003</v>
      </c>
      <c r="BH156" s="2250"/>
      <c r="BI156" s="2275"/>
      <c r="BJ156" s="2333">
        <v>190.4</v>
      </c>
      <c r="BK156" s="2336">
        <v>4.16</v>
      </c>
      <c r="BL156" s="2336">
        <v>6.14</v>
      </c>
      <c r="BM156" s="2336">
        <v>12.08</v>
      </c>
      <c r="BN156" s="2336">
        <v>20.89</v>
      </c>
      <c r="BO156" s="2336">
        <v>33.07</v>
      </c>
      <c r="BP156" s="2336">
        <v>49.41</v>
      </c>
      <c r="BQ156" s="2336">
        <v>70.400000000000006</v>
      </c>
      <c r="BR156" s="2336">
        <v>96.53</v>
      </c>
      <c r="BS156" s="2336">
        <v>131.09</v>
      </c>
      <c r="BT156" s="2336">
        <v>208.12</v>
      </c>
      <c r="BU156" s="2336">
        <v>310.69</v>
      </c>
      <c r="BV156" s="2250"/>
      <c r="BW156" s="2250"/>
      <c r="BX156" s="2333">
        <v>190.4</v>
      </c>
      <c r="BY156" s="2336">
        <v>2.97</v>
      </c>
      <c r="BZ156" s="2336">
        <v>4.46</v>
      </c>
      <c r="CA156" s="2336">
        <v>8.61</v>
      </c>
      <c r="CB156" s="2336">
        <v>14.95</v>
      </c>
      <c r="CC156" s="2336">
        <v>23.76</v>
      </c>
      <c r="CD156" s="2336">
        <v>33.659999999999997</v>
      </c>
      <c r="CE156" s="2336">
        <v>48.61</v>
      </c>
      <c r="CF156" s="2336">
        <v>65.25</v>
      </c>
      <c r="CG156" s="2336">
        <v>94.16</v>
      </c>
      <c r="CH156" s="2336">
        <v>147.62</v>
      </c>
      <c r="CI156" s="2336">
        <v>213.96</v>
      </c>
      <c r="CJ156" s="2250"/>
      <c r="CK156" s="2250"/>
      <c r="CL156" s="2333">
        <v>190.4</v>
      </c>
      <c r="CM156" s="2336">
        <v>2.6</v>
      </c>
      <c r="CN156" s="2336">
        <v>3.72</v>
      </c>
      <c r="CO156" s="2336">
        <v>7</v>
      </c>
      <c r="CP156" s="2336">
        <v>11.74</v>
      </c>
      <c r="CQ156" s="2336">
        <v>17.95</v>
      </c>
      <c r="CR156" s="2336">
        <v>25.17</v>
      </c>
      <c r="CS156" s="2336">
        <v>36.340000000000003</v>
      </c>
      <c r="CT156" s="2336">
        <v>48.87</v>
      </c>
      <c r="CU156" s="2336">
        <v>71.78</v>
      </c>
      <c r="CV156" s="2336">
        <v>110.5</v>
      </c>
      <c r="CW156" s="2336">
        <v>160.61000000000001</v>
      </c>
      <c r="CX156" s="2250"/>
      <c r="CY156" s="2250"/>
      <c r="CZ156" s="2333">
        <v>190.4</v>
      </c>
      <c r="DA156" s="2336">
        <v>1.49</v>
      </c>
      <c r="DB156" s="2336">
        <v>2.1800000000000002</v>
      </c>
      <c r="DC156" s="2336">
        <v>4.0599999999999996</v>
      </c>
      <c r="DD156" s="2336">
        <v>6.73</v>
      </c>
      <c r="DE156" s="2336">
        <v>10.4</v>
      </c>
      <c r="DF156" s="2336">
        <v>14.55</v>
      </c>
      <c r="DG156" s="2336">
        <v>21.09</v>
      </c>
      <c r="DH156" s="2336">
        <v>28.32</v>
      </c>
      <c r="DI156" s="2336">
        <v>41.58</v>
      </c>
      <c r="DJ156" s="2336">
        <v>64.06</v>
      </c>
      <c r="DK156" s="2336">
        <v>92.87</v>
      </c>
      <c r="DL156" s="2250"/>
      <c r="DM156" s="2250"/>
      <c r="DN156" s="2250"/>
      <c r="DO156" s="2250"/>
      <c r="DP156" s="2250"/>
      <c r="DQ156" s="2277"/>
      <c r="DR156" s="2277"/>
      <c r="DS156" s="2278"/>
      <c r="DT156" s="2250"/>
      <c r="DU156" s="2250"/>
      <c r="DV156" s="2250"/>
      <c r="DW156" s="2250"/>
      <c r="DX156" s="2275"/>
      <c r="DY156" s="2333">
        <v>206.43</v>
      </c>
      <c r="DZ156" s="2336">
        <v>3.86</v>
      </c>
      <c r="EA156" s="2336">
        <v>5.74</v>
      </c>
      <c r="EB156" s="2336">
        <v>11.19</v>
      </c>
      <c r="EC156" s="2336">
        <v>19.41</v>
      </c>
      <c r="ED156" s="2336">
        <v>30.79</v>
      </c>
      <c r="EE156" s="2336">
        <v>45.94</v>
      </c>
      <c r="EF156" s="2336">
        <v>65.349999999999994</v>
      </c>
      <c r="EG156" s="2336">
        <v>89.6</v>
      </c>
      <c r="EH156" s="2336">
        <v>121.78</v>
      </c>
      <c r="EI156" s="2336">
        <v>193.37</v>
      </c>
      <c r="EJ156" s="2336">
        <v>288.61</v>
      </c>
      <c r="EK156" s="2250"/>
      <c r="EL156" s="2250"/>
      <c r="EM156" s="2333">
        <v>206.43</v>
      </c>
      <c r="EN156" s="2336">
        <v>2.77</v>
      </c>
      <c r="EO156" s="2336">
        <v>4.16</v>
      </c>
      <c r="EP156" s="2336">
        <v>8.02</v>
      </c>
      <c r="EQ156" s="2336">
        <v>13.86</v>
      </c>
      <c r="ER156" s="2336">
        <v>21.68</v>
      </c>
      <c r="ES156" s="2336">
        <v>30.69</v>
      </c>
      <c r="ET156" s="2336">
        <v>43.86</v>
      </c>
      <c r="EU156" s="2336">
        <v>58.91</v>
      </c>
      <c r="EV156" s="2336">
        <v>86.53</v>
      </c>
      <c r="EW156" s="2336">
        <v>133.27000000000001</v>
      </c>
      <c r="EX156" s="2336">
        <v>193.66</v>
      </c>
      <c r="EY156" s="2250"/>
      <c r="EZ156" s="2250"/>
      <c r="FA156" s="2333">
        <v>206.43</v>
      </c>
      <c r="FB156" s="2336">
        <v>2.37</v>
      </c>
      <c r="FC156" s="2336">
        <v>3.39</v>
      </c>
      <c r="FD156" s="2336">
        <v>6.32</v>
      </c>
      <c r="FE156" s="2336">
        <v>10.61</v>
      </c>
      <c r="FF156" s="2336">
        <v>16.25</v>
      </c>
      <c r="FG156" s="2336">
        <v>23.25</v>
      </c>
      <c r="FH156" s="2336">
        <v>32.840000000000003</v>
      </c>
      <c r="FI156" s="2336">
        <v>44.13</v>
      </c>
      <c r="FJ156" s="2336">
        <v>64.790000000000006</v>
      </c>
      <c r="FK156" s="2336">
        <v>99.77</v>
      </c>
      <c r="FL156" s="2336">
        <v>145.03</v>
      </c>
      <c r="FM156" s="2250"/>
      <c r="FN156" s="2250"/>
      <c r="FO156" s="2333">
        <v>206.43</v>
      </c>
      <c r="FP156" s="2336">
        <v>1.39</v>
      </c>
      <c r="FQ156" s="2336">
        <v>1.98</v>
      </c>
      <c r="FR156" s="2336">
        <v>3.66</v>
      </c>
      <c r="FS156" s="2336">
        <v>6.14</v>
      </c>
      <c r="FT156" s="2336">
        <v>9.41</v>
      </c>
      <c r="FU156" s="2336">
        <v>13.37</v>
      </c>
      <c r="FV156" s="2336">
        <v>19.010000000000002</v>
      </c>
      <c r="FW156" s="2336">
        <v>25.54</v>
      </c>
      <c r="FX156" s="2336">
        <v>37.619999999999997</v>
      </c>
      <c r="FY156" s="2336">
        <v>57.92</v>
      </c>
      <c r="FZ156" s="2336">
        <v>84.16</v>
      </c>
      <c r="GA156" s="2250"/>
      <c r="GB156" s="2250"/>
      <c r="GC156" s="1302">
        <v>24.5</v>
      </c>
      <c r="GD156" s="1302">
        <v>29.3</v>
      </c>
      <c r="GE156" s="2250"/>
      <c r="GF156" s="2275"/>
      <c r="GG156" s="2333">
        <v>206.43</v>
      </c>
      <c r="GH156" s="2336">
        <v>3.86</v>
      </c>
      <c r="GI156" s="2336">
        <v>5.74</v>
      </c>
      <c r="GJ156" s="2336">
        <v>11.19</v>
      </c>
      <c r="GK156" s="2336">
        <v>19.41</v>
      </c>
      <c r="GL156" s="2336">
        <v>30.79</v>
      </c>
      <c r="GM156" s="2336">
        <v>45.94</v>
      </c>
      <c r="GN156" s="2336">
        <v>65.349999999999994</v>
      </c>
      <c r="GO156" s="2336">
        <v>89.6</v>
      </c>
      <c r="GP156" s="2336">
        <v>121.78</v>
      </c>
      <c r="GQ156" s="2336">
        <v>193.37</v>
      </c>
      <c r="GR156" s="2336">
        <v>288.61</v>
      </c>
      <c r="GS156" s="2250"/>
      <c r="GT156" s="2250"/>
      <c r="GU156" s="2333">
        <v>206.43</v>
      </c>
      <c r="GV156" s="2336">
        <v>2.77</v>
      </c>
      <c r="GW156" s="2336">
        <v>4.16</v>
      </c>
      <c r="GX156" s="2336">
        <v>8.02</v>
      </c>
      <c r="GY156" s="2336">
        <v>13.86</v>
      </c>
      <c r="GZ156" s="2336">
        <v>21.68</v>
      </c>
      <c r="HA156" s="2336">
        <v>30.69</v>
      </c>
      <c r="HB156" s="2336">
        <v>43.86</v>
      </c>
      <c r="HC156" s="2336">
        <v>58.91</v>
      </c>
      <c r="HD156" s="2336">
        <v>86.53</v>
      </c>
      <c r="HE156" s="2336">
        <v>133.27000000000001</v>
      </c>
      <c r="HF156" s="2336">
        <v>193.66</v>
      </c>
      <c r="HG156" s="2250"/>
      <c r="HH156" s="2250"/>
      <c r="HI156" s="2333">
        <v>206.43</v>
      </c>
      <c r="HJ156" s="2336">
        <v>2.37</v>
      </c>
      <c r="HK156" s="2336">
        <v>3.39</v>
      </c>
      <c r="HL156" s="2336">
        <v>6.32</v>
      </c>
      <c r="HM156" s="2336">
        <v>10.61</v>
      </c>
      <c r="HN156" s="2336">
        <v>16.25</v>
      </c>
      <c r="HO156" s="2336">
        <v>23.25</v>
      </c>
      <c r="HP156" s="2336">
        <v>32.840000000000003</v>
      </c>
      <c r="HQ156" s="2336">
        <v>44.13</v>
      </c>
      <c r="HR156" s="2336">
        <v>64.790000000000006</v>
      </c>
      <c r="HS156" s="2336">
        <v>99.77</v>
      </c>
      <c r="HT156" s="2336">
        <v>145.03</v>
      </c>
      <c r="HU156" s="2250"/>
      <c r="HV156" s="2250"/>
      <c r="HW156" s="2333">
        <v>206.43</v>
      </c>
      <c r="HX156" s="2336">
        <v>1.39</v>
      </c>
      <c r="HY156" s="2336">
        <v>1.98</v>
      </c>
      <c r="HZ156" s="2336">
        <v>3.66</v>
      </c>
      <c r="IA156" s="2336">
        <v>6.14</v>
      </c>
      <c r="IB156" s="2336">
        <v>9.41</v>
      </c>
      <c r="IC156" s="2336">
        <v>13.37</v>
      </c>
      <c r="ID156" s="2336">
        <v>19.010000000000002</v>
      </c>
      <c r="IE156" s="2336">
        <v>25.54</v>
      </c>
      <c r="IF156" s="2336">
        <v>37.619999999999997</v>
      </c>
      <c r="IG156" s="2336">
        <v>57.92</v>
      </c>
      <c r="IH156" s="2336">
        <v>84.16</v>
      </c>
      <c r="II156" s="2250"/>
      <c r="IJ156" s="2250"/>
      <c r="IK156" s="2250"/>
      <c r="IL156" s="2250"/>
    </row>
    <row r="157" spans="1:246" ht="21.95" customHeight="1">
      <c r="A157" s="2275"/>
      <c r="B157" s="2333">
        <v>177.81</v>
      </c>
      <c r="C157" s="2336">
        <v>4.46</v>
      </c>
      <c r="D157" s="2336">
        <v>6.63</v>
      </c>
      <c r="E157" s="2336">
        <v>12.97</v>
      </c>
      <c r="F157" s="2336">
        <v>22.38</v>
      </c>
      <c r="G157" s="2336">
        <v>35.450000000000003</v>
      </c>
      <c r="H157" s="2336">
        <v>52.38</v>
      </c>
      <c r="I157" s="2336">
        <v>75.349999999999994</v>
      </c>
      <c r="J157" s="2336">
        <v>103.37</v>
      </c>
      <c r="K157" s="2336">
        <v>140.5</v>
      </c>
      <c r="L157" s="2336">
        <v>223.07</v>
      </c>
      <c r="M157" s="2336">
        <v>332.97</v>
      </c>
      <c r="N157" s="2250"/>
      <c r="O157" s="2250"/>
      <c r="P157" s="2333">
        <v>177.81</v>
      </c>
      <c r="Q157" s="2336">
        <v>3.17</v>
      </c>
      <c r="R157" s="2336">
        <v>4.75</v>
      </c>
      <c r="S157" s="2336">
        <v>9.31</v>
      </c>
      <c r="T157" s="2336">
        <v>16.04</v>
      </c>
      <c r="U157" s="2336">
        <v>25.54</v>
      </c>
      <c r="V157" s="2336">
        <v>33.659999999999997</v>
      </c>
      <c r="W157" s="2336">
        <v>51.19</v>
      </c>
      <c r="X157" s="2336">
        <v>77.23</v>
      </c>
      <c r="Y157" s="2336">
        <v>100.99</v>
      </c>
      <c r="Z157" s="2336">
        <v>159.31</v>
      </c>
      <c r="AA157" s="2336">
        <v>213.96</v>
      </c>
      <c r="AB157" s="2250"/>
      <c r="AC157" s="2250"/>
      <c r="AD157" s="2333">
        <v>177.81</v>
      </c>
      <c r="AE157" s="2336">
        <v>2.71</v>
      </c>
      <c r="AF157" s="2336">
        <v>4.0599999999999996</v>
      </c>
      <c r="AG157" s="2336">
        <v>7.79</v>
      </c>
      <c r="AH157" s="2336">
        <v>12.42</v>
      </c>
      <c r="AI157" s="2336">
        <v>19.98</v>
      </c>
      <c r="AJ157" s="2336">
        <v>25.28</v>
      </c>
      <c r="AK157" s="2336">
        <v>38.83</v>
      </c>
      <c r="AL157" s="2336">
        <v>54.18</v>
      </c>
      <c r="AM157" s="2336">
        <v>79.459999999999994</v>
      </c>
      <c r="AN157" s="2336">
        <v>120.77</v>
      </c>
      <c r="AO157" s="2336">
        <v>162.19</v>
      </c>
      <c r="AP157" s="2250"/>
      <c r="AQ157" s="2250"/>
      <c r="AR157" s="2333">
        <v>177.81</v>
      </c>
      <c r="AS157" s="2336">
        <v>1.68</v>
      </c>
      <c r="AT157" s="2336">
        <v>2.38</v>
      </c>
      <c r="AU157" s="2336">
        <v>4.55</v>
      </c>
      <c r="AV157" s="2336">
        <v>7.13</v>
      </c>
      <c r="AW157" s="2336">
        <v>11.58</v>
      </c>
      <c r="AX157" s="2336">
        <v>14.65</v>
      </c>
      <c r="AY157" s="2336">
        <v>22.28</v>
      </c>
      <c r="AZ157" s="2336">
        <v>31.39</v>
      </c>
      <c r="BA157" s="2336">
        <v>46.14</v>
      </c>
      <c r="BB157" s="2336">
        <v>69.209999999999994</v>
      </c>
      <c r="BC157" s="2336">
        <v>92.87</v>
      </c>
      <c r="BD157" s="2250"/>
      <c r="BE157" s="2250"/>
      <c r="BF157" s="1302">
        <v>34.200000000000003</v>
      </c>
      <c r="BG157" s="1302">
        <v>38.799999999999997</v>
      </c>
      <c r="BH157" s="2250"/>
      <c r="BI157" s="2275"/>
      <c r="BJ157" s="2333">
        <v>177.81</v>
      </c>
      <c r="BK157" s="2336">
        <v>4.46</v>
      </c>
      <c r="BL157" s="2336">
        <v>6.63</v>
      </c>
      <c r="BM157" s="2336">
        <v>12.97</v>
      </c>
      <c r="BN157" s="2336">
        <v>22.38</v>
      </c>
      <c r="BO157" s="2336">
        <v>35.450000000000003</v>
      </c>
      <c r="BP157" s="2336">
        <v>52.38</v>
      </c>
      <c r="BQ157" s="2336">
        <v>75.349999999999994</v>
      </c>
      <c r="BR157" s="2336">
        <v>103.37</v>
      </c>
      <c r="BS157" s="2336">
        <v>140.5</v>
      </c>
      <c r="BT157" s="2336">
        <v>223.07</v>
      </c>
      <c r="BU157" s="2336">
        <v>332.97</v>
      </c>
      <c r="BV157" s="2250"/>
      <c r="BW157" s="2250"/>
      <c r="BX157" s="2333">
        <v>177.81</v>
      </c>
      <c r="BY157" s="2336">
        <v>3.17</v>
      </c>
      <c r="BZ157" s="2336">
        <v>4.75</v>
      </c>
      <c r="CA157" s="2336">
        <v>9.31</v>
      </c>
      <c r="CB157" s="2336">
        <v>16.04</v>
      </c>
      <c r="CC157" s="2336">
        <v>25.54</v>
      </c>
      <c r="CD157" s="2336">
        <v>33.659999999999997</v>
      </c>
      <c r="CE157" s="2336">
        <v>51.19</v>
      </c>
      <c r="CF157" s="2336">
        <v>77.23</v>
      </c>
      <c r="CG157" s="2336">
        <v>100.99</v>
      </c>
      <c r="CH157" s="2336">
        <v>159.31</v>
      </c>
      <c r="CI157" s="2336">
        <v>213.96</v>
      </c>
      <c r="CJ157" s="2250"/>
      <c r="CK157" s="2250"/>
      <c r="CL157" s="2333">
        <v>177.81</v>
      </c>
      <c r="CM157" s="2336">
        <v>2.71</v>
      </c>
      <c r="CN157" s="2336">
        <v>4.0599999999999996</v>
      </c>
      <c r="CO157" s="2336">
        <v>7.79</v>
      </c>
      <c r="CP157" s="2336">
        <v>12.42</v>
      </c>
      <c r="CQ157" s="2336">
        <v>19.98</v>
      </c>
      <c r="CR157" s="2336">
        <v>25.28</v>
      </c>
      <c r="CS157" s="2336">
        <v>38.83</v>
      </c>
      <c r="CT157" s="2336">
        <v>54.18</v>
      </c>
      <c r="CU157" s="2336">
        <v>79.459999999999994</v>
      </c>
      <c r="CV157" s="2336">
        <v>120.77</v>
      </c>
      <c r="CW157" s="2336">
        <v>162.19</v>
      </c>
      <c r="CX157" s="2250"/>
      <c r="CY157" s="2250"/>
      <c r="CZ157" s="2333">
        <v>177.81</v>
      </c>
      <c r="DA157" s="2336">
        <v>1.68</v>
      </c>
      <c r="DB157" s="2336">
        <v>2.38</v>
      </c>
      <c r="DC157" s="2336">
        <v>4.55</v>
      </c>
      <c r="DD157" s="2336">
        <v>7.13</v>
      </c>
      <c r="DE157" s="2336">
        <v>11.58</v>
      </c>
      <c r="DF157" s="2336">
        <v>14.65</v>
      </c>
      <c r="DG157" s="2336">
        <v>22.28</v>
      </c>
      <c r="DH157" s="2336">
        <v>31.39</v>
      </c>
      <c r="DI157" s="2336">
        <v>46.14</v>
      </c>
      <c r="DJ157" s="2336">
        <v>69.209999999999994</v>
      </c>
      <c r="DK157" s="2336">
        <v>92.87</v>
      </c>
      <c r="DL157" s="2250"/>
      <c r="DM157" s="2250"/>
      <c r="DN157" s="2250"/>
      <c r="DO157" s="2250"/>
      <c r="DP157" s="2250"/>
      <c r="DQ157" s="2277"/>
      <c r="DR157" s="2277"/>
      <c r="DS157" s="2278"/>
      <c r="DT157" s="2250"/>
      <c r="DU157" s="2250"/>
      <c r="DV157" s="2250"/>
      <c r="DW157" s="2250"/>
      <c r="DX157" s="2275"/>
      <c r="DY157" s="2333">
        <v>190.4</v>
      </c>
      <c r="DZ157" s="2336">
        <v>4.16</v>
      </c>
      <c r="EA157" s="2336">
        <v>6.14</v>
      </c>
      <c r="EB157" s="2336">
        <v>12.08</v>
      </c>
      <c r="EC157" s="2336">
        <v>20.89</v>
      </c>
      <c r="ED157" s="2336">
        <v>33.07</v>
      </c>
      <c r="EE157" s="2336">
        <v>49.41</v>
      </c>
      <c r="EF157" s="2336">
        <v>70.400000000000006</v>
      </c>
      <c r="EG157" s="2336">
        <v>96.53</v>
      </c>
      <c r="EH157" s="2336">
        <v>131.09</v>
      </c>
      <c r="EI157" s="2336">
        <v>208.12</v>
      </c>
      <c r="EJ157" s="2336">
        <v>310.69</v>
      </c>
      <c r="EK157" s="2250"/>
      <c r="EL157" s="2250"/>
      <c r="EM157" s="2333">
        <v>190.4</v>
      </c>
      <c r="EN157" s="2336">
        <v>2.97</v>
      </c>
      <c r="EO157" s="2336">
        <v>4.46</v>
      </c>
      <c r="EP157" s="2336">
        <v>8.61</v>
      </c>
      <c r="EQ157" s="2336">
        <v>14.95</v>
      </c>
      <c r="ER157" s="2336">
        <v>23.76</v>
      </c>
      <c r="ES157" s="2336">
        <v>33.659999999999997</v>
      </c>
      <c r="ET157" s="2336">
        <v>48.61</v>
      </c>
      <c r="EU157" s="2336">
        <v>65.25</v>
      </c>
      <c r="EV157" s="2336">
        <v>94.16</v>
      </c>
      <c r="EW157" s="2336">
        <v>147.62</v>
      </c>
      <c r="EX157" s="2336">
        <v>213.96</v>
      </c>
      <c r="EY157" s="2250"/>
      <c r="EZ157" s="2250"/>
      <c r="FA157" s="2333">
        <v>190.4</v>
      </c>
      <c r="FB157" s="2336">
        <v>2.6</v>
      </c>
      <c r="FC157" s="2336">
        <v>3.72</v>
      </c>
      <c r="FD157" s="2336">
        <v>7</v>
      </c>
      <c r="FE157" s="2336">
        <v>11.74</v>
      </c>
      <c r="FF157" s="2336">
        <v>17.95</v>
      </c>
      <c r="FG157" s="2336">
        <v>25.17</v>
      </c>
      <c r="FH157" s="2336">
        <v>36.340000000000003</v>
      </c>
      <c r="FI157" s="2336">
        <v>48.87</v>
      </c>
      <c r="FJ157" s="2336">
        <v>71.78</v>
      </c>
      <c r="FK157" s="2336">
        <v>110.5</v>
      </c>
      <c r="FL157" s="2336">
        <v>160.61000000000001</v>
      </c>
      <c r="FM157" s="2250"/>
      <c r="FN157" s="2250"/>
      <c r="FO157" s="2333">
        <v>190.4</v>
      </c>
      <c r="FP157" s="2336">
        <v>1.49</v>
      </c>
      <c r="FQ157" s="2336">
        <v>2.1800000000000002</v>
      </c>
      <c r="FR157" s="2336">
        <v>4.0599999999999996</v>
      </c>
      <c r="FS157" s="2336">
        <v>6.73</v>
      </c>
      <c r="FT157" s="2336">
        <v>10.4</v>
      </c>
      <c r="FU157" s="2336">
        <v>14.55</v>
      </c>
      <c r="FV157" s="2336">
        <v>21.09</v>
      </c>
      <c r="FW157" s="2336">
        <v>28.32</v>
      </c>
      <c r="FX157" s="2336">
        <v>41.58</v>
      </c>
      <c r="FY157" s="2336">
        <v>64.06</v>
      </c>
      <c r="FZ157" s="2336">
        <v>92.87</v>
      </c>
      <c r="GA157" s="2250"/>
      <c r="GB157" s="2250"/>
      <c r="GC157" s="1302">
        <v>29.3</v>
      </c>
      <c r="GD157" s="1302">
        <v>34.200000000000003</v>
      </c>
      <c r="GE157" s="2250"/>
      <c r="GF157" s="2275"/>
      <c r="GG157" s="2333">
        <v>190.4</v>
      </c>
      <c r="GH157" s="2336">
        <v>4.16</v>
      </c>
      <c r="GI157" s="2336">
        <v>6.14</v>
      </c>
      <c r="GJ157" s="2336">
        <v>12.08</v>
      </c>
      <c r="GK157" s="2336">
        <v>20.89</v>
      </c>
      <c r="GL157" s="2336">
        <v>33.07</v>
      </c>
      <c r="GM157" s="2336">
        <v>49.41</v>
      </c>
      <c r="GN157" s="2336">
        <v>70.400000000000006</v>
      </c>
      <c r="GO157" s="2336">
        <v>96.53</v>
      </c>
      <c r="GP157" s="2336">
        <v>131.09</v>
      </c>
      <c r="GQ157" s="2336">
        <v>208.12</v>
      </c>
      <c r="GR157" s="2336">
        <v>310.69</v>
      </c>
      <c r="GS157" s="2250"/>
      <c r="GT157" s="2250"/>
      <c r="GU157" s="2333">
        <v>190.4</v>
      </c>
      <c r="GV157" s="2336">
        <v>2.97</v>
      </c>
      <c r="GW157" s="2336">
        <v>4.46</v>
      </c>
      <c r="GX157" s="2336">
        <v>8.61</v>
      </c>
      <c r="GY157" s="2336">
        <v>14.95</v>
      </c>
      <c r="GZ157" s="2336">
        <v>23.76</v>
      </c>
      <c r="HA157" s="2336">
        <v>33.659999999999997</v>
      </c>
      <c r="HB157" s="2336">
        <v>48.61</v>
      </c>
      <c r="HC157" s="2336">
        <v>65.25</v>
      </c>
      <c r="HD157" s="2336">
        <v>94.16</v>
      </c>
      <c r="HE157" s="2336">
        <v>147.62</v>
      </c>
      <c r="HF157" s="2336">
        <v>213.96</v>
      </c>
      <c r="HG157" s="2250"/>
      <c r="HH157" s="2250"/>
      <c r="HI157" s="2333">
        <v>190.4</v>
      </c>
      <c r="HJ157" s="2336">
        <v>2.6</v>
      </c>
      <c r="HK157" s="2336">
        <v>3.72</v>
      </c>
      <c r="HL157" s="2336">
        <v>7</v>
      </c>
      <c r="HM157" s="2336">
        <v>11.74</v>
      </c>
      <c r="HN157" s="2336">
        <v>17.95</v>
      </c>
      <c r="HO157" s="2336">
        <v>25.17</v>
      </c>
      <c r="HP157" s="2336">
        <v>36.340000000000003</v>
      </c>
      <c r="HQ157" s="2336">
        <v>48.87</v>
      </c>
      <c r="HR157" s="2336">
        <v>71.78</v>
      </c>
      <c r="HS157" s="2336">
        <v>110.5</v>
      </c>
      <c r="HT157" s="2336">
        <v>160.61000000000001</v>
      </c>
      <c r="HU157" s="2250"/>
      <c r="HV157" s="2250"/>
      <c r="HW157" s="2333">
        <v>190.4</v>
      </c>
      <c r="HX157" s="2336">
        <v>1.49</v>
      </c>
      <c r="HY157" s="2336">
        <v>2.1800000000000002</v>
      </c>
      <c r="HZ157" s="2336">
        <v>4.0599999999999996</v>
      </c>
      <c r="IA157" s="2336">
        <v>6.73</v>
      </c>
      <c r="IB157" s="2336">
        <v>10.4</v>
      </c>
      <c r="IC157" s="2336">
        <v>14.55</v>
      </c>
      <c r="ID157" s="2336">
        <v>21.09</v>
      </c>
      <c r="IE157" s="2336">
        <v>28.32</v>
      </c>
      <c r="IF157" s="2336">
        <v>41.58</v>
      </c>
      <c r="IG157" s="2336">
        <v>64.06</v>
      </c>
      <c r="IH157" s="2336">
        <v>92.87</v>
      </c>
      <c r="II157" s="2250"/>
      <c r="IJ157" s="2250"/>
      <c r="IK157" s="2250"/>
      <c r="IL157" s="2250"/>
    </row>
    <row r="158" spans="1:246" ht="21.95" customHeight="1">
      <c r="A158" s="2275"/>
      <c r="B158" s="2333">
        <v>165.9</v>
      </c>
      <c r="C158" s="2336">
        <v>4.6500000000000004</v>
      </c>
      <c r="D158" s="2336">
        <v>7.03</v>
      </c>
      <c r="E158" s="2336">
        <v>13.76</v>
      </c>
      <c r="F158" s="2336">
        <v>23.76</v>
      </c>
      <c r="G158" s="2336">
        <v>37.619999999999997</v>
      </c>
      <c r="H158" s="2336">
        <v>55.64</v>
      </c>
      <c r="I158" s="2336">
        <v>80</v>
      </c>
      <c r="J158" s="2336">
        <v>109.31</v>
      </c>
      <c r="K158" s="2336">
        <v>149.11000000000001</v>
      </c>
      <c r="L158" s="2336">
        <v>236.83</v>
      </c>
      <c r="M158" s="2336">
        <v>351.98</v>
      </c>
      <c r="N158" s="2250"/>
      <c r="O158" s="2250"/>
      <c r="P158" s="2333">
        <v>165.9</v>
      </c>
      <c r="Q158" s="2336">
        <v>3.37</v>
      </c>
      <c r="R158" s="2336">
        <v>5.05</v>
      </c>
      <c r="S158" s="2336">
        <v>9.9</v>
      </c>
      <c r="T158" s="2336">
        <v>16.440000000000001</v>
      </c>
      <c r="U158" s="2336">
        <v>27.13</v>
      </c>
      <c r="V158" s="2336">
        <v>37.43</v>
      </c>
      <c r="W158" s="2336">
        <v>51.19</v>
      </c>
      <c r="X158" s="2336">
        <v>78.61</v>
      </c>
      <c r="Y158" s="2336">
        <v>107.33</v>
      </c>
      <c r="Z158" s="2336">
        <v>159.31</v>
      </c>
      <c r="AA158" s="2336">
        <v>225.54</v>
      </c>
      <c r="AB158" s="2250"/>
      <c r="AC158" s="2250"/>
      <c r="AD158" s="2333">
        <v>165.9</v>
      </c>
      <c r="AE158" s="2336">
        <v>2.93</v>
      </c>
      <c r="AF158" s="2336">
        <v>4.4000000000000004</v>
      </c>
      <c r="AG158" s="2336">
        <v>8.4700000000000006</v>
      </c>
      <c r="AH158" s="2336">
        <v>12.42</v>
      </c>
      <c r="AI158" s="2336">
        <v>21.9</v>
      </c>
      <c r="AJ158" s="2336">
        <v>28.1</v>
      </c>
      <c r="AK158" s="2336">
        <v>38.83</v>
      </c>
      <c r="AL158" s="2336">
        <v>59.14</v>
      </c>
      <c r="AM158" s="2336">
        <v>86.79</v>
      </c>
      <c r="AN158" s="2336">
        <v>120.77</v>
      </c>
      <c r="AO158" s="2336">
        <v>170.43</v>
      </c>
      <c r="AP158" s="2250"/>
      <c r="AQ158" s="2250"/>
      <c r="AR158" s="2333">
        <v>165.9</v>
      </c>
      <c r="AS158" s="2336">
        <v>1.78</v>
      </c>
      <c r="AT158" s="2336">
        <v>2.67</v>
      </c>
      <c r="AU158" s="2336">
        <v>4.95</v>
      </c>
      <c r="AV158" s="2336">
        <v>7.13</v>
      </c>
      <c r="AW158" s="2336">
        <v>12.67</v>
      </c>
      <c r="AX158" s="2336">
        <v>16.239999999999998</v>
      </c>
      <c r="AY158" s="2336">
        <v>22.28</v>
      </c>
      <c r="AZ158" s="2336">
        <v>34.26</v>
      </c>
      <c r="BA158" s="2336">
        <v>49.7</v>
      </c>
      <c r="BB158" s="2336">
        <v>69.209999999999994</v>
      </c>
      <c r="BC158" s="2336">
        <v>98.02</v>
      </c>
      <c r="BD158" s="2250"/>
      <c r="BE158" s="2250"/>
      <c r="BF158" s="1302">
        <v>38.799999999999997</v>
      </c>
      <c r="BG158" s="1302">
        <v>43.9</v>
      </c>
      <c r="BH158" s="2250"/>
      <c r="BI158" s="2275"/>
      <c r="BJ158" s="2333">
        <v>165.9</v>
      </c>
      <c r="BK158" s="2336">
        <v>4.6500000000000004</v>
      </c>
      <c r="BL158" s="2336">
        <v>7.03</v>
      </c>
      <c r="BM158" s="2336">
        <v>13.76</v>
      </c>
      <c r="BN158" s="2336">
        <v>23.76</v>
      </c>
      <c r="BO158" s="2336">
        <v>37.619999999999997</v>
      </c>
      <c r="BP158" s="2336">
        <v>55.64</v>
      </c>
      <c r="BQ158" s="2336">
        <v>80</v>
      </c>
      <c r="BR158" s="2336">
        <v>109.31</v>
      </c>
      <c r="BS158" s="2336">
        <v>149.11000000000001</v>
      </c>
      <c r="BT158" s="2336">
        <v>236.83</v>
      </c>
      <c r="BU158" s="2336">
        <v>351.98</v>
      </c>
      <c r="BV158" s="2250"/>
      <c r="BW158" s="2250"/>
      <c r="BX158" s="2333">
        <v>165.9</v>
      </c>
      <c r="BY158" s="2336">
        <v>3.37</v>
      </c>
      <c r="BZ158" s="2336">
        <v>5.05</v>
      </c>
      <c r="CA158" s="2336">
        <v>9.9</v>
      </c>
      <c r="CB158" s="2336">
        <v>16.440000000000001</v>
      </c>
      <c r="CC158" s="2336">
        <v>27.13</v>
      </c>
      <c r="CD158" s="2336">
        <v>37.43</v>
      </c>
      <c r="CE158" s="2336">
        <v>51.19</v>
      </c>
      <c r="CF158" s="2336">
        <v>78.61</v>
      </c>
      <c r="CG158" s="2336">
        <v>107.33</v>
      </c>
      <c r="CH158" s="2336">
        <v>159.31</v>
      </c>
      <c r="CI158" s="2336">
        <v>225.54</v>
      </c>
      <c r="CJ158" s="2250"/>
      <c r="CK158" s="2250"/>
      <c r="CL158" s="2333">
        <v>165.9</v>
      </c>
      <c r="CM158" s="2336">
        <v>2.93</v>
      </c>
      <c r="CN158" s="2336">
        <v>4.4000000000000004</v>
      </c>
      <c r="CO158" s="2336">
        <v>8.4700000000000006</v>
      </c>
      <c r="CP158" s="2336">
        <v>12.42</v>
      </c>
      <c r="CQ158" s="2336">
        <v>21.9</v>
      </c>
      <c r="CR158" s="2336">
        <v>28.1</v>
      </c>
      <c r="CS158" s="2336">
        <v>38.83</v>
      </c>
      <c r="CT158" s="2336">
        <v>59.14</v>
      </c>
      <c r="CU158" s="2336">
        <v>86.79</v>
      </c>
      <c r="CV158" s="2336">
        <v>120.77</v>
      </c>
      <c r="CW158" s="2336">
        <v>170.43</v>
      </c>
      <c r="CX158" s="2250"/>
      <c r="CY158" s="2250"/>
      <c r="CZ158" s="2333">
        <v>165.9</v>
      </c>
      <c r="DA158" s="2336">
        <v>1.78</v>
      </c>
      <c r="DB158" s="2336">
        <v>2.67</v>
      </c>
      <c r="DC158" s="2336">
        <v>4.95</v>
      </c>
      <c r="DD158" s="2336">
        <v>7.13</v>
      </c>
      <c r="DE158" s="2336">
        <v>12.67</v>
      </c>
      <c r="DF158" s="2336">
        <v>16.239999999999998</v>
      </c>
      <c r="DG158" s="2336">
        <v>22.28</v>
      </c>
      <c r="DH158" s="2336">
        <v>34.26</v>
      </c>
      <c r="DI158" s="2336">
        <v>49.7</v>
      </c>
      <c r="DJ158" s="2336">
        <v>69.209999999999994</v>
      </c>
      <c r="DK158" s="2336">
        <v>98.02</v>
      </c>
      <c r="DL158" s="2250"/>
      <c r="DM158" s="2250"/>
      <c r="DN158" s="2250"/>
      <c r="DO158" s="2250"/>
      <c r="DP158" s="2250"/>
      <c r="DQ158" s="2277"/>
      <c r="DR158" s="2277"/>
      <c r="DS158" s="2278"/>
      <c r="DT158" s="2250"/>
      <c r="DU158" s="2250"/>
      <c r="DV158" s="2250"/>
      <c r="DW158" s="2250"/>
      <c r="DX158" s="2275"/>
      <c r="DY158" s="2333">
        <v>177.81</v>
      </c>
      <c r="DZ158" s="2336">
        <v>4.46</v>
      </c>
      <c r="EA158" s="2336">
        <v>6.63</v>
      </c>
      <c r="EB158" s="2336">
        <v>12.97</v>
      </c>
      <c r="EC158" s="2336">
        <v>22.38</v>
      </c>
      <c r="ED158" s="2336">
        <v>35.450000000000003</v>
      </c>
      <c r="EE158" s="2336">
        <v>52.38</v>
      </c>
      <c r="EF158" s="2336">
        <v>75.349999999999994</v>
      </c>
      <c r="EG158" s="2336">
        <v>103.37</v>
      </c>
      <c r="EH158" s="2336">
        <v>140.5</v>
      </c>
      <c r="EI158" s="2336">
        <v>223.07</v>
      </c>
      <c r="EJ158" s="2336">
        <v>332.97</v>
      </c>
      <c r="EK158" s="2250"/>
      <c r="EL158" s="2250"/>
      <c r="EM158" s="2333">
        <v>177.81</v>
      </c>
      <c r="EN158" s="2336">
        <v>3.17</v>
      </c>
      <c r="EO158" s="2336">
        <v>4.75</v>
      </c>
      <c r="EP158" s="2336">
        <v>9.31</v>
      </c>
      <c r="EQ158" s="2336">
        <v>16.04</v>
      </c>
      <c r="ER158" s="2336">
        <v>25.54</v>
      </c>
      <c r="ES158" s="2336">
        <v>33.659999999999997</v>
      </c>
      <c r="ET158" s="2336">
        <v>51.19</v>
      </c>
      <c r="EU158" s="2336">
        <v>77.23</v>
      </c>
      <c r="EV158" s="2336">
        <v>100.99</v>
      </c>
      <c r="EW158" s="2336">
        <v>159.31</v>
      </c>
      <c r="EX158" s="2336">
        <v>213.96</v>
      </c>
      <c r="EY158" s="2250"/>
      <c r="EZ158" s="2250"/>
      <c r="FA158" s="2333">
        <v>177.81</v>
      </c>
      <c r="FB158" s="2336">
        <v>2.71</v>
      </c>
      <c r="FC158" s="2336">
        <v>4.0599999999999996</v>
      </c>
      <c r="FD158" s="2336">
        <v>7.79</v>
      </c>
      <c r="FE158" s="2336">
        <v>12.42</v>
      </c>
      <c r="FF158" s="2336">
        <v>19.98</v>
      </c>
      <c r="FG158" s="2336">
        <v>25.28</v>
      </c>
      <c r="FH158" s="2336">
        <v>38.83</v>
      </c>
      <c r="FI158" s="2336">
        <v>54.18</v>
      </c>
      <c r="FJ158" s="2336">
        <v>79.459999999999994</v>
      </c>
      <c r="FK158" s="2336">
        <v>120.77</v>
      </c>
      <c r="FL158" s="2336">
        <v>162.19</v>
      </c>
      <c r="FM158" s="2250"/>
      <c r="FN158" s="2250"/>
      <c r="FO158" s="2333">
        <v>177.81</v>
      </c>
      <c r="FP158" s="2336">
        <v>1.68</v>
      </c>
      <c r="FQ158" s="2336">
        <v>2.38</v>
      </c>
      <c r="FR158" s="2336">
        <v>4.55</v>
      </c>
      <c r="FS158" s="2336">
        <v>7.13</v>
      </c>
      <c r="FT158" s="2336">
        <v>11.58</v>
      </c>
      <c r="FU158" s="2336">
        <v>14.65</v>
      </c>
      <c r="FV158" s="2336">
        <v>22.28</v>
      </c>
      <c r="FW158" s="2336">
        <v>31.39</v>
      </c>
      <c r="FX158" s="2336">
        <v>46.14</v>
      </c>
      <c r="FY158" s="2336">
        <v>69.209999999999994</v>
      </c>
      <c r="FZ158" s="2336">
        <v>92.87</v>
      </c>
      <c r="GA158" s="2250"/>
      <c r="GB158" s="2250"/>
      <c r="GC158" s="1302">
        <v>34.200000000000003</v>
      </c>
      <c r="GD158" s="1302">
        <v>38.799999999999997</v>
      </c>
      <c r="GE158" s="2250"/>
      <c r="GF158" s="2275"/>
      <c r="GG158" s="2333">
        <v>177.81</v>
      </c>
      <c r="GH158" s="2336">
        <v>4.46</v>
      </c>
      <c r="GI158" s="2336">
        <v>6.63</v>
      </c>
      <c r="GJ158" s="2336">
        <v>12.97</v>
      </c>
      <c r="GK158" s="2336">
        <v>22.38</v>
      </c>
      <c r="GL158" s="2336">
        <v>35.450000000000003</v>
      </c>
      <c r="GM158" s="2336">
        <v>52.38</v>
      </c>
      <c r="GN158" s="2336">
        <v>75.349999999999994</v>
      </c>
      <c r="GO158" s="2336">
        <v>103.37</v>
      </c>
      <c r="GP158" s="2336">
        <v>140.5</v>
      </c>
      <c r="GQ158" s="2336">
        <v>223.07</v>
      </c>
      <c r="GR158" s="2336">
        <v>332.97</v>
      </c>
      <c r="GS158" s="2250"/>
      <c r="GT158" s="2250"/>
      <c r="GU158" s="2333">
        <v>177.81</v>
      </c>
      <c r="GV158" s="2336">
        <v>3.17</v>
      </c>
      <c r="GW158" s="2336">
        <v>4.75</v>
      </c>
      <c r="GX158" s="2336">
        <v>9.31</v>
      </c>
      <c r="GY158" s="2336">
        <v>16.04</v>
      </c>
      <c r="GZ158" s="2336">
        <v>25.54</v>
      </c>
      <c r="HA158" s="2336">
        <v>33.659999999999997</v>
      </c>
      <c r="HB158" s="2336">
        <v>51.19</v>
      </c>
      <c r="HC158" s="2336">
        <v>77.23</v>
      </c>
      <c r="HD158" s="2336">
        <v>100.99</v>
      </c>
      <c r="HE158" s="2336">
        <v>159.31</v>
      </c>
      <c r="HF158" s="2336">
        <v>213.96</v>
      </c>
      <c r="HG158" s="2250"/>
      <c r="HH158" s="2250"/>
      <c r="HI158" s="2333">
        <v>177.81</v>
      </c>
      <c r="HJ158" s="2336">
        <v>2.71</v>
      </c>
      <c r="HK158" s="2336">
        <v>4.0599999999999996</v>
      </c>
      <c r="HL158" s="2336">
        <v>7.79</v>
      </c>
      <c r="HM158" s="2336">
        <v>12.42</v>
      </c>
      <c r="HN158" s="2336">
        <v>19.98</v>
      </c>
      <c r="HO158" s="2336">
        <v>25.28</v>
      </c>
      <c r="HP158" s="2336">
        <v>38.83</v>
      </c>
      <c r="HQ158" s="2336">
        <v>54.18</v>
      </c>
      <c r="HR158" s="2336">
        <v>79.459999999999994</v>
      </c>
      <c r="HS158" s="2336">
        <v>120.77</v>
      </c>
      <c r="HT158" s="2336">
        <v>162.19</v>
      </c>
      <c r="HU158" s="2250"/>
      <c r="HV158" s="2250"/>
      <c r="HW158" s="2333">
        <v>177.81</v>
      </c>
      <c r="HX158" s="2336">
        <v>1.68</v>
      </c>
      <c r="HY158" s="2336">
        <v>2.38</v>
      </c>
      <c r="HZ158" s="2336">
        <v>4.55</v>
      </c>
      <c r="IA158" s="2336">
        <v>7.13</v>
      </c>
      <c r="IB158" s="2336">
        <v>11.58</v>
      </c>
      <c r="IC158" s="2336">
        <v>14.65</v>
      </c>
      <c r="ID158" s="2336">
        <v>22.28</v>
      </c>
      <c r="IE158" s="2336">
        <v>31.39</v>
      </c>
      <c r="IF158" s="2336">
        <v>46.14</v>
      </c>
      <c r="IG158" s="2336">
        <v>69.209999999999994</v>
      </c>
      <c r="IH158" s="2336">
        <v>92.87</v>
      </c>
      <c r="II158" s="2250"/>
      <c r="IJ158" s="2250"/>
      <c r="IK158" s="2250"/>
      <c r="IL158" s="2250"/>
    </row>
    <row r="159" spans="1:246" ht="21.95" customHeight="1">
      <c r="A159" s="2275"/>
      <c r="B159" s="2333">
        <v>162.68</v>
      </c>
      <c r="C159" s="2336">
        <v>4.75</v>
      </c>
      <c r="D159" s="2336">
        <v>7.13</v>
      </c>
      <c r="E159" s="2336">
        <v>13.96</v>
      </c>
      <c r="F159" s="2336">
        <v>24.06</v>
      </c>
      <c r="G159" s="2336">
        <v>38.22</v>
      </c>
      <c r="H159" s="2336">
        <v>56.83</v>
      </c>
      <c r="I159" s="2336">
        <v>81.290000000000006</v>
      </c>
      <c r="J159" s="2336">
        <v>111.49</v>
      </c>
      <c r="K159" s="2336">
        <v>151.38999999999999</v>
      </c>
      <c r="L159" s="2336">
        <v>240.5</v>
      </c>
      <c r="M159" s="2336">
        <v>358.91</v>
      </c>
      <c r="N159" s="2250"/>
      <c r="O159" s="2250"/>
      <c r="P159" s="2333">
        <v>162.68</v>
      </c>
      <c r="Q159" s="2336">
        <v>3.47</v>
      </c>
      <c r="R159" s="2336">
        <v>5.15</v>
      </c>
      <c r="S159" s="2336">
        <v>10</v>
      </c>
      <c r="T159" s="2336">
        <v>17.329999999999998</v>
      </c>
      <c r="U159" s="2336">
        <v>27.33</v>
      </c>
      <c r="V159" s="2336">
        <v>38.119999999999997</v>
      </c>
      <c r="W159" s="2336">
        <v>55.35</v>
      </c>
      <c r="X159" s="2336">
        <v>74.260000000000005</v>
      </c>
      <c r="Y159" s="2336">
        <v>109.01</v>
      </c>
      <c r="Z159" s="2336">
        <v>168.02</v>
      </c>
      <c r="AA159" s="2336">
        <v>244.16</v>
      </c>
      <c r="AB159" s="2250"/>
      <c r="AC159" s="2250"/>
      <c r="AD159" s="2333">
        <v>162.68</v>
      </c>
      <c r="AE159" s="2336">
        <v>2.93</v>
      </c>
      <c r="AF159" s="2336">
        <v>4.29</v>
      </c>
      <c r="AG159" s="2336">
        <v>8.01</v>
      </c>
      <c r="AH159" s="2336">
        <v>13.32</v>
      </c>
      <c r="AI159" s="2336">
        <v>20.54</v>
      </c>
      <c r="AJ159" s="2336">
        <v>28.67</v>
      </c>
      <c r="AK159" s="2336">
        <v>41.53</v>
      </c>
      <c r="AL159" s="2336">
        <v>55.76</v>
      </c>
      <c r="AM159" s="2336">
        <v>81.83</v>
      </c>
      <c r="AN159" s="2336">
        <v>125.96</v>
      </c>
      <c r="AO159" s="2336">
        <v>183.18</v>
      </c>
      <c r="AP159" s="2250"/>
      <c r="AQ159" s="2250"/>
      <c r="AR159" s="2333">
        <v>162.68</v>
      </c>
      <c r="AS159" s="2336">
        <v>1.68</v>
      </c>
      <c r="AT159" s="2336">
        <v>2.48</v>
      </c>
      <c r="AU159" s="2336">
        <v>4.6500000000000004</v>
      </c>
      <c r="AV159" s="2336">
        <v>7.72</v>
      </c>
      <c r="AW159" s="2336">
        <v>11.88</v>
      </c>
      <c r="AX159" s="2336">
        <v>16.63</v>
      </c>
      <c r="AY159" s="2336">
        <v>23.96</v>
      </c>
      <c r="AZ159" s="2336">
        <v>32.28</v>
      </c>
      <c r="BA159" s="2336">
        <v>47.33</v>
      </c>
      <c r="BB159" s="2336">
        <v>72.87</v>
      </c>
      <c r="BC159" s="2336">
        <v>105.94</v>
      </c>
      <c r="BD159" s="2250"/>
      <c r="BE159" s="2250"/>
      <c r="BF159" s="1302">
        <v>43.9</v>
      </c>
      <c r="BG159" s="1302">
        <v>48.8</v>
      </c>
      <c r="BH159" s="2250"/>
      <c r="BI159" s="2275"/>
      <c r="BJ159" s="2333">
        <v>162.68</v>
      </c>
      <c r="BK159" s="2336">
        <v>4.75</v>
      </c>
      <c r="BL159" s="2336">
        <v>7.13</v>
      </c>
      <c r="BM159" s="2336">
        <v>13.96</v>
      </c>
      <c r="BN159" s="2336">
        <v>24.06</v>
      </c>
      <c r="BO159" s="2336">
        <v>38.22</v>
      </c>
      <c r="BP159" s="2336">
        <v>56.83</v>
      </c>
      <c r="BQ159" s="2336">
        <v>81.290000000000006</v>
      </c>
      <c r="BR159" s="2336">
        <v>111.49</v>
      </c>
      <c r="BS159" s="2336">
        <v>151.38999999999999</v>
      </c>
      <c r="BT159" s="2336">
        <v>240.5</v>
      </c>
      <c r="BU159" s="2336">
        <v>358.91</v>
      </c>
      <c r="BV159" s="2250"/>
      <c r="BW159" s="2250"/>
      <c r="BX159" s="2333">
        <v>162.68</v>
      </c>
      <c r="BY159" s="2336">
        <v>3.47</v>
      </c>
      <c r="BZ159" s="2336">
        <v>5.15</v>
      </c>
      <c r="CA159" s="2336">
        <v>10</v>
      </c>
      <c r="CB159" s="2336">
        <v>17.329999999999998</v>
      </c>
      <c r="CC159" s="2336">
        <v>27.33</v>
      </c>
      <c r="CD159" s="2336">
        <v>38.119999999999997</v>
      </c>
      <c r="CE159" s="2336">
        <v>55.35</v>
      </c>
      <c r="CF159" s="2336">
        <v>74.260000000000005</v>
      </c>
      <c r="CG159" s="2336">
        <v>109.01</v>
      </c>
      <c r="CH159" s="2336">
        <v>168.02</v>
      </c>
      <c r="CI159" s="2336">
        <v>244.16</v>
      </c>
      <c r="CJ159" s="2250"/>
      <c r="CK159" s="2250"/>
      <c r="CL159" s="2333">
        <v>162.68</v>
      </c>
      <c r="CM159" s="2336">
        <v>2.93</v>
      </c>
      <c r="CN159" s="2336">
        <v>4.29</v>
      </c>
      <c r="CO159" s="2336">
        <v>8.01</v>
      </c>
      <c r="CP159" s="2336">
        <v>13.32</v>
      </c>
      <c r="CQ159" s="2336">
        <v>20.54</v>
      </c>
      <c r="CR159" s="2336">
        <v>28.67</v>
      </c>
      <c r="CS159" s="2336">
        <v>41.53</v>
      </c>
      <c r="CT159" s="2336">
        <v>55.76</v>
      </c>
      <c r="CU159" s="2336">
        <v>81.83</v>
      </c>
      <c r="CV159" s="2336">
        <v>125.96</v>
      </c>
      <c r="CW159" s="2336">
        <v>183.18</v>
      </c>
      <c r="CX159" s="2250"/>
      <c r="CY159" s="2250"/>
      <c r="CZ159" s="2333">
        <v>162.68</v>
      </c>
      <c r="DA159" s="2336">
        <v>1.68</v>
      </c>
      <c r="DB159" s="2336">
        <v>2.48</v>
      </c>
      <c r="DC159" s="2336">
        <v>4.6500000000000004</v>
      </c>
      <c r="DD159" s="2336">
        <v>7.72</v>
      </c>
      <c r="DE159" s="2336">
        <v>11.88</v>
      </c>
      <c r="DF159" s="2336">
        <v>16.63</v>
      </c>
      <c r="DG159" s="2336">
        <v>23.96</v>
      </c>
      <c r="DH159" s="2336">
        <v>32.28</v>
      </c>
      <c r="DI159" s="2336">
        <v>47.33</v>
      </c>
      <c r="DJ159" s="2336">
        <v>72.87</v>
      </c>
      <c r="DK159" s="2336">
        <v>105.94</v>
      </c>
      <c r="DL159" s="2250"/>
      <c r="DM159" s="2250"/>
      <c r="DN159" s="2250"/>
      <c r="DO159" s="2250"/>
      <c r="DP159" s="2250"/>
      <c r="DQ159" s="2277"/>
      <c r="DR159" s="2277"/>
      <c r="DS159" s="2278"/>
      <c r="DT159" s="2250"/>
      <c r="DU159" s="2250"/>
      <c r="DV159" s="2250"/>
      <c r="DW159" s="2250"/>
      <c r="DX159" s="2275"/>
      <c r="DY159" s="2333">
        <v>165.9</v>
      </c>
      <c r="DZ159" s="2336">
        <v>4.6500000000000004</v>
      </c>
      <c r="EA159" s="2336">
        <v>7.03</v>
      </c>
      <c r="EB159" s="2336">
        <v>13.76</v>
      </c>
      <c r="EC159" s="2336">
        <v>23.76</v>
      </c>
      <c r="ED159" s="2336">
        <v>37.619999999999997</v>
      </c>
      <c r="EE159" s="2336">
        <v>55.64</v>
      </c>
      <c r="EF159" s="2336">
        <v>80</v>
      </c>
      <c r="EG159" s="2336">
        <v>109.31</v>
      </c>
      <c r="EH159" s="2336">
        <v>149.11000000000001</v>
      </c>
      <c r="EI159" s="2336">
        <v>236.83</v>
      </c>
      <c r="EJ159" s="2336">
        <v>351.98</v>
      </c>
      <c r="EK159" s="2250"/>
      <c r="EL159" s="2250"/>
      <c r="EM159" s="2333">
        <v>165.9</v>
      </c>
      <c r="EN159" s="2336">
        <v>3.37</v>
      </c>
      <c r="EO159" s="2336">
        <v>5.05</v>
      </c>
      <c r="EP159" s="2336">
        <v>9.9</v>
      </c>
      <c r="EQ159" s="2336">
        <v>16.440000000000001</v>
      </c>
      <c r="ER159" s="2336">
        <v>27.13</v>
      </c>
      <c r="ES159" s="2336">
        <v>37.43</v>
      </c>
      <c r="ET159" s="2336">
        <v>51.19</v>
      </c>
      <c r="EU159" s="2336">
        <v>78.61</v>
      </c>
      <c r="EV159" s="2336">
        <v>107.33</v>
      </c>
      <c r="EW159" s="2336">
        <v>159.31</v>
      </c>
      <c r="EX159" s="2336">
        <v>225.54</v>
      </c>
      <c r="EY159" s="2250"/>
      <c r="EZ159" s="2250"/>
      <c r="FA159" s="2333">
        <v>165.9</v>
      </c>
      <c r="FB159" s="2336">
        <v>2.93</v>
      </c>
      <c r="FC159" s="2336">
        <v>4.4000000000000004</v>
      </c>
      <c r="FD159" s="2336">
        <v>8.4700000000000006</v>
      </c>
      <c r="FE159" s="2336">
        <v>12.42</v>
      </c>
      <c r="FF159" s="2336">
        <v>21.9</v>
      </c>
      <c r="FG159" s="2336">
        <v>28.1</v>
      </c>
      <c r="FH159" s="2336">
        <v>38.83</v>
      </c>
      <c r="FI159" s="2336">
        <v>59.14</v>
      </c>
      <c r="FJ159" s="2336">
        <v>86.79</v>
      </c>
      <c r="FK159" s="2336">
        <v>120.77</v>
      </c>
      <c r="FL159" s="2336">
        <v>170.43</v>
      </c>
      <c r="FM159" s="2250"/>
      <c r="FN159" s="2250"/>
      <c r="FO159" s="2333">
        <v>165.9</v>
      </c>
      <c r="FP159" s="2336">
        <v>1.78</v>
      </c>
      <c r="FQ159" s="2336">
        <v>2.67</v>
      </c>
      <c r="FR159" s="2336">
        <v>4.95</v>
      </c>
      <c r="FS159" s="2336">
        <v>7.13</v>
      </c>
      <c r="FT159" s="2336">
        <v>12.67</v>
      </c>
      <c r="FU159" s="2336">
        <v>16.239999999999998</v>
      </c>
      <c r="FV159" s="2336">
        <v>22.28</v>
      </c>
      <c r="FW159" s="2336">
        <v>34.26</v>
      </c>
      <c r="FX159" s="2336">
        <v>49.7</v>
      </c>
      <c r="FY159" s="2336">
        <v>69.209999999999994</v>
      </c>
      <c r="FZ159" s="2336">
        <v>98.02</v>
      </c>
      <c r="GA159" s="2250"/>
      <c r="GB159" s="2250"/>
      <c r="GC159" s="1302">
        <v>38.799999999999997</v>
      </c>
      <c r="GD159" s="1302">
        <v>43.9</v>
      </c>
      <c r="GE159" s="2250"/>
      <c r="GF159" s="2275"/>
      <c r="GG159" s="2333">
        <v>165.9</v>
      </c>
      <c r="GH159" s="2336">
        <v>4.6500000000000004</v>
      </c>
      <c r="GI159" s="2336">
        <v>7.03</v>
      </c>
      <c r="GJ159" s="2336">
        <v>13.76</v>
      </c>
      <c r="GK159" s="2336">
        <v>23.76</v>
      </c>
      <c r="GL159" s="2336">
        <v>37.619999999999997</v>
      </c>
      <c r="GM159" s="2336">
        <v>55.64</v>
      </c>
      <c r="GN159" s="2336">
        <v>80</v>
      </c>
      <c r="GO159" s="2336">
        <v>109.31</v>
      </c>
      <c r="GP159" s="2336">
        <v>149.11000000000001</v>
      </c>
      <c r="GQ159" s="2336">
        <v>236.83</v>
      </c>
      <c r="GR159" s="2336">
        <v>351.98</v>
      </c>
      <c r="GS159" s="2250"/>
      <c r="GT159" s="2250"/>
      <c r="GU159" s="2333">
        <v>165.9</v>
      </c>
      <c r="GV159" s="2336">
        <v>3.37</v>
      </c>
      <c r="GW159" s="2336">
        <v>5.05</v>
      </c>
      <c r="GX159" s="2336">
        <v>9.9</v>
      </c>
      <c r="GY159" s="2336">
        <v>16.440000000000001</v>
      </c>
      <c r="GZ159" s="2336">
        <v>27.13</v>
      </c>
      <c r="HA159" s="2336">
        <v>37.43</v>
      </c>
      <c r="HB159" s="2336">
        <v>51.19</v>
      </c>
      <c r="HC159" s="2336">
        <v>78.61</v>
      </c>
      <c r="HD159" s="2336">
        <v>107.33</v>
      </c>
      <c r="HE159" s="2336">
        <v>159.31</v>
      </c>
      <c r="HF159" s="2336">
        <v>225.54</v>
      </c>
      <c r="HG159" s="2250"/>
      <c r="HH159" s="2250"/>
      <c r="HI159" s="2333">
        <v>165.9</v>
      </c>
      <c r="HJ159" s="2336">
        <v>2.93</v>
      </c>
      <c r="HK159" s="2336">
        <v>4.4000000000000004</v>
      </c>
      <c r="HL159" s="2336">
        <v>8.4700000000000006</v>
      </c>
      <c r="HM159" s="2336">
        <v>12.42</v>
      </c>
      <c r="HN159" s="2336">
        <v>21.9</v>
      </c>
      <c r="HO159" s="2336">
        <v>28.1</v>
      </c>
      <c r="HP159" s="2336">
        <v>38.83</v>
      </c>
      <c r="HQ159" s="2336">
        <v>59.14</v>
      </c>
      <c r="HR159" s="2336">
        <v>86.79</v>
      </c>
      <c r="HS159" s="2336">
        <v>120.77</v>
      </c>
      <c r="HT159" s="2336">
        <v>170.43</v>
      </c>
      <c r="HU159" s="2250"/>
      <c r="HV159" s="2250"/>
      <c r="HW159" s="2333">
        <v>165.9</v>
      </c>
      <c r="HX159" s="2336">
        <v>1.78</v>
      </c>
      <c r="HY159" s="2336">
        <v>2.67</v>
      </c>
      <c r="HZ159" s="2336">
        <v>4.95</v>
      </c>
      <c r="IA159" s="2336">
        <v>7.13</v>
      </c>
      <c r="IB159" s="2336">
        <v>12.67</v>
      </c>
      <c r="IC159" s="2336">
        <v>16.239999999999998</v>
      </c>
      <c r="ID159" s="2336">
        <v>22.28</v>
      </c>
      <c r="IE159" s="2336">
        <v>34.26</v>
      </c>
      <c r="IF159" s="2336">
        <v>49.7</v>
      </c>
      <c r="IG159" s="2336">
        <v>69.209999999999994</v>
      </c>
      <c r="IH159" s="2336">
        <v>98.02</v>
      </c>
      <c r="II159" s="2250"/>
      <c r="IJ159" s="2250"/>
      <c r="IK159" s="2250"/>
      <c r="IL159" s="2250"/>
    </row>
    <row r="160" spans="1:246" ht="21.95" customHeight="1">
      <c r="A160" s="2275"/>
      <c r="B160" s="2333">
        <v>151.30000000000001</v>
      </c>
      <c r="C160" s="2336">
        <v>5.15</v>
      </c>
      <c r="D160" s="2336">
        <v>7.62</v>
      </c>
      <c r="E160" s="2336">
        <v>14.95</v>
      </c>
      <c r="F160" s="2336">
        <v>25.74</v>
      </c>
      <c r="G160" s="2336">
        <v>40.89</v>
      </c>
      <c r="H160" s="2336">
        <v>58.91</v>
      </c>
      <c r="I160" s="2336">
        <v>87.03</v>
      </c>
      <c r="J160" s="2336">
        <v>119.31</v>
      </c>
      <c r="K160" s="2336">
        <v>162.08000000000001</v>
      </c>
      <c r="L160" s="2336">
        <v>257.33</v>
      </c>
      <c r="M160" s="2336">
        <v>384.16</v>
      </c>
      <c r="N160" s="2250"/>
      <c r="O160" s="2250"/>
      <c r="P160" s="2333">
        <v>151.30000000000001</v>
      </c>
      <c r="Q160" s="2336">
        <v>3.66</v>
      </c>
      <c r="R160" s="2336">
        <v>5.54</v>
      </c>
      <c r="S160" s="2336">
        <v>10.79</v>
      </c>
      <c r="T160" s="2336">
        <v>18.61</v>
      </c>
      <c r="U160" s="2336">
        <v>29.5</v>
      </c>
      <c r="V160" s="2336">
        <v>41.98</v>
      </c>
      <c r="W160" s="2336">
        <v>61.29</v>
      </c>
      <c r="X160" s="2336">
        <v>82.28</v>
      </c>
      <c r="Y160" s="2336">
        <v>116.73</v>
      </c>
      <c r="Z160" s="2336">
        <v>185.45</v>
      </c>
      <c r="AA160" s="2336">
        <v>256.44</v>
      </c>
      <c r="AB160" s="2250"/>
      <c r="AC160" s="2250"/>
      <c r="AD160" s="2333">
        <v>151.30000000000001</v>
      </c>
      <c r="AE160" s="2336">
        <v>3.16</v>
      </c>
      <c r="AF160" s="2336">
        <v>4.74</v>
      </c>
      <c r="AG160" s="2336">
        <v>8.92</v>
      </c>
      <c r="AH160" s="2336">
        <v>14.79</v>
      </c>
      <c r="AI160" s="2336">
        <v>22.69</v>
      </c>
      <c r="AJ160" s="2336">
        <v>31.6</v>
      </c>
      <c r="AK160" s="2336">
        <v>45.94</v>
      </c>
      <c r="AL160" s="2336">
        <v>61.74</v>
      </c>
      <c r="AM160" s="2336">
        <v>90.63</v>
      </c>
      <c r="AN160" s="2336">
        <v>139.5</v>
      </c>
      <c r="AO160" s="2336">
        <v>194.92</v>
      </c>
      <c r="AP160" s="2250"/>
      <c r="AQ160" s="2250"/>
      <c r="AR160" s="2333">
        <v>151.30000000000001</v>
      </c>
      <c r="AS160" s="2336">
        <v>1.88</v>
      </c>
      <c r="AT160" s="2336">
        <v>2.77</v>
      </c>
      <c r="AU160" s="2336">
        <v>5.15</v>
      </c>
      <c r="AV160" s="2336">
        <v>8.51</v>
      </c>
      <c r="AW160" s="2336">
        <v>13.17</v>
      </c>
      <c r="AX160" s="2336">
        <v>18.22</v>
      </c>
      <c r="AY160" s="2336">
        <v>26.53</v>
      </c>
      <c r="AZ160" s="2336">
        <v>35.74</v>
      </c>
      <c r="BA160" s="2336">
        <v>52.48</v>
      </c>
      <c r="BB160" s="2336">
        <v>80.790000000000006</v>
      </c>
      <c r="BC160" s="2336">
        <v>111.68</v>
      </c>
      <c r="BD160" s="2250"/>
      <c r="BE160" s="2250"/>
      <c r="BF160" s="1302">
        <v>48.8</v>
      </c>
      <c r="BG160" s="1302">
        <v>53.7</v>
      </c>
      <c r="BH160" s="2250"/>
      <c r="BI160" s="2275"/>
      <c r="BJ160" s="2333">
        <v>151.30000000000001</v>
      </c>
      <c r="BK160" s="2336">
        <v>5.15</v>
      </c>
      <c r="BL160" s="2336">
        <v>7.62</v>
      </c>
      <c r="BM160" s="2336">
        <v>14.95</v>
      </c>
      <c r="BN160" s="2336">
        <v>25.74</v>
      </c>
      <c r="BO160" s="2336">
        <v>40.89</v>
      </c>
      <c r="BP160" s="2336">
        <v>58.91</v>
      </c>
      <c r="BQ160" s="2336">
        <v>87.03</v>
      </c>
      <c r="BR160" s="2336">
        <v>119.31</v>
      </c>
      <c r="BS160" s="2336">
        <v>162.08000000000001</v>
      </c>
      <c r="BT160" s="2336">
        <v>257.33</v>
      </c>
      <c r="BU160" s="2336">
        <v>384.16</v>
      </c>
      <c r="BV160" s="2250"/>
      <c r="BW160" s="2250"/>
      <c r="BX160" s="2333">
        <v>151.30000000000001</v>
      </c>
      <c r="BY160" s="2336">
        <v>3.66</v>
      </c>
      <c r="BZ160" s="2336">
        <v>5.54</v>
      </c>
      <c r="CA160" s="2336">
        <v>10.79</v>
      </c>
      <c r="CB160" s="2336">
        <v>18.61</v>
      </c>
      <c r="CC160" s="2336">
        <v>29.5</v>
      </c>
      <c r="CD160" s="2336">
        <v>41.98</v>
      </c>
      <c r="CE160" s="2336">
        <v>61.29</v>
      </c>
      <c r="CF160" s="2336">
        <v>82.28</v>
      </c>
      <c r="CG160" s="2336">
        <v>116.73</v>
      </c>
      <c r="CH160" s="2336">
        <v>185.45</v>
      </c>
      <c r="CI160" s="2336">
        <v>256.44</v>
      </c>
      <c r="CJ160" s="2250"/>
      <c r="CK160" s="2250"/>
      <c r="CL160" s="2333">
        <v>151.30000000000001</v>
      </c>
      <c r="CM160" s="2336">
        <v>3.16</v>
      </c>
      <c r="CN160" s="2336">
        <v>4.74</v>
      </c>
      <c r="CO160" s="2336">
        <v>8.92</v>
      </c>
      <c r="CP160" s="2336">
        <v>14.79</v>
      </c>
      <c r="CQ160" s="2336">
        <v>22.69</v>
      </c>
      <c r="CR160" s="2336">
        <v>31.6</v>
      </c>
      <c r="CS160" s="2336">
        <v>45.94</v>
      </c>
      <c r="CT160" s="2336">
        <v>61.74</v>
      </c>
      <c r="CU160" s="2336">
        <v>90.63</v>
      </c>
      <c r="CV160" s="2336">
        <v>139.5</v>
      </c>
      <c r="CW160" s="2336">
        <v>194.92</v>
      </c>
      <c r="CX160" s="2250"/>
      <c r="CY160" s="2250"/>
      <c r="CZ160" s="2333">
        <v>151.30000000000001</v>
      </c>
      <c r="DA160" s="2336">
        <v>1.88</v>
      </c>
      <c r="DB160" s="2336">
        <v>2.77</v>
      </c>
      <c r="DC160" s="2336">
        <v>5.15</v>
      </c>
      <c r="DD160" s="2336">
        <v>8.51</v>
      </c>
      <c r="DE160" s="2336">
        <v>13.17</v>
      </c>
      <c r="DF160" s="2336">
        <v>18.22</v>
      </c>
      <c r="DG160" s="2336">
        <v>26.53</v>
      </c>
      <c r="DH160" s="2336">
        <v>35.74</v>
      </c>
      <c r="DI160" s="2336">
        <v>52.48</v>
      </c>
      <c r="DJ160" s="2336">
        <v>80.790000000000006</v>
      </c>
      <c r="DK160" s="2336">
        <v>111.68</v>
      </c>
      <c r="DL160" s="2250"/>
      <c r="DM160" s="2250"/>
      <c r="DN160" s="2250"/>
      <c r="DO160" s="2250"/>
      <c r="DP160" s="2250"/>
      <c r="DQ160" s="2277"/>
      <c r="DR160" s="2277"/>
      <c r="DS160" s="2278"/>
      <c r="DT160" s="2250"/>
      <c r="DU160" s="2250"/>
      <c r="DV160" s="2250"/>
      <c r="DW160" s="2250"/>
      <c r="DX160" s="2275"/>
      <c r="DY160" s="2333">
        <v>162.68</v>
      </c>
      <c r="DZ160" s="2336">
        <v>4.75</v>
      </c>
      <c r="EA160" s="2336">
        <v>7.13</v>
      </c>
      <c r="EB160" s="2336">
        <v>13.96</v>
      </c>
      <c r="EC160" s="2336">
        <v>24.06</v>
      </c>
      <c r="ED160" s="2336">
        <v>38.22</v>
      </c>
      <c r="EE160" s="2336">
        <v>56.83</v>
      </c>
      <c r="EF160" s="2336">
        <v>81.290000000000006</v>
      </c>
      <c r="EG160" s="2336">
        <v>111.49</v>
      </c>
      <c r="EH160" s="2336">
        <v>151.38999999999999</v>
      </c>
      <c r="EI160" s="2336">
        <v>240.5</v>
      </c>
      <c r="EJ160" s="2336">
        <v>358.91</v>
      </c>
      <c r="EK160" s="2250"/>
      <c r="EL160" s="2250"/>
      <c r="EM160" s="2333">
        <v>162.68</v>
      </c>
      <c r="EN160" s="2336">
        <v>3.47</v>
      </c>
      <c r="EO160" s="2336">
        <v>5.15</v>
      </c>
      <c r="EP160" s="2336">
        <v>10</v>
      </c>
      <c r="EQ160" s="2336">
        <v>17.329999999999998</v>
      </c>
      <c r="ER160" s="2336">
        <v>27.33</v>
      </c>
      <c r="ES160" s="2336">
        <v>38.119999999999997</v>
      </c>
      <c r="ET160" s="2336">
        <v>55.35</v>
      </c>
      <c r="EU160" s="2336">
        <v>74.260000000000005</v>
      </c>
      <c r="EV160" s="2336">
        <v>109.01</v>
      </c>
      <c r="EW160" s="2336">
        <v>168.02</v>
      </c>
      <c r="EX160" s="2336">
        <v>244.16</v>
      </c>
      <c r="EY160" s="2250"/>
      <c r="EZ160" s="2250"/>
      <c r="FA160" s="2333">
        <v>162.68</v>
      </c>
      <c r="FB160" s="2336">
        <v>2.93</v>
      </c>
      <c r="FC160" s="2336">
        <v>4.29</v>
      </c>
      <c r="FD160" s="2336">
        <v>8.01</v>
      </c>
      <c r="FE160" s="2336">
        <v>13.32</v>
      </c>
      <c r="FF160" s="2336">
        <v>20.54</v>
      </c>
      <c r="FG160" s="2336">
        <v>28.67</v>
      </c>
      <c r="FH160" s="2336">
        <v>41.53</v>
      </c>
      <c r="FI160" s="2336">
        <v>55.76</v>
      </c>
      <c r="FJ160" s="2336">
        <v>81.83</v>
      </c>
      <c r="FK160" s="2336">
        <v>125.96</v>
      </c>
      <c r="FL160" s="2336">
        <v>183.18</v>
      </c>
      <c r="FM160" s="2250"/>
      <c r="FN160" s="2250"/>
      <c r="FO160" s="2333">
        <v>162.68</v>
      </c>
      <c r="FP160" s="2336">
        <v>1.68</v>
      </c>
      <c r="FQ160" s="2336">
        <v>2.48</v>
      </c>
      <c r="FR160" s="2336">
        <v>4.6500000000000004</v>
      </c>
      <c r="FS160" s="2336">
        <v>7.72</v>
      </c>
      <c r="FT160" s="2336">
        <v>11.88</v>
      </c>
      <c r="FU160" s="2336">
        <v>16.63</v>
      </c>
      <c r="FV160" s="2336">
        <v>23.96</v>
      </c>
      <c r="FW160" s="2336">
        <v>32.28</v>
      </c>
      <c r="FX160" s="2336">
        <v>47.33</v>
      </c>
      <c r="FY160" s="2336">
        <v>72.87</v>
      </c>
      <c r="FZ160" s="2336">
        <v>105.94</v>
      </c>
      <c r="GA160" s="2250"/>
      <c r="GB160" s="2250"/>
      <c r="GC160" s="1302">
        <v>43.9</v>
      </c>
      <c r="GD160" s="1302">
        <v>48.8</v>
      </c>
      <c r="GE160" s="2250"/>
      <c r="GF160" s="2275"/>
      <c r="GG160" s="2333">
        <v>162.68</v>
      </c>
      <c r="GH160" s="2336">
        <v>4.75</v>
      </c>
      <c r="GI160" s="2336">
        <v>7.13</v>
      </c>
      <c r="GJ160" s="2336">
        <v>13.96</v>
      </c>
      <c r="GK160" s="2336">
        <v>24.06</v>
      </c>
      <c r="GL160" s="2336">
        <v>38.22</v>
      </c>
      <c r="GM160" s="2336">
        <v>56.83</v>
      </c>
      <c r="GN160" s="2336">
        <v>81.290000000000006</v>
      </c>
      <c r="GO160" s="2336">
        <v>111.49</v>
      </c>
      <c r="GP160" s="2336">
        <v>151.38999999999999</v>
      </c>
      <c r="GQ160" s="2336">
        <v>240.5</v>
      </c>
      <c r="GR160" s="2336">
        <v>358.91</v>
      </c>
      <c r="GS160" s="2250"/>
      <c r="GT160" s="2250"/>
      <c r="GU160" s="2333">
        <v>162.68</v>
      </c>
      <c r="GV160" s="2336">
        <v>3.47</v>
      </c>
      <c r="GW160" s="2336">
        <v>5.15</v>
      </c>
      <c r="GX160" s="2336">
        <v>10</v>
      </c>
      <c r="GY160" s="2336">
        <v>17.329999999999998</v>
      </c>
      <c r="GZ160" s="2336">
        <v>27.33</v>
      </c>
      <c r="HA160" s="2336">
        <v>38.119999999999997</v>
      </c>
      <c r="HB160" s="2336">
        <v>55.35</v>
      </c>
      <c r="HC160" s="2336">
        <v>74.260000000000005</v>
      </c>
      <c r="HD160" s="2336">
        <v>109.01</v>
      </c>
      <c r="HE160" s="2336">
        <v>168.02</v>
      </c>
      <c r="HF160" s="2336">
        <v>244.16</v>
      </c>
      <c r="HG160" s="2250"/>
      <c r="HH160" s="2250"/>
      <c r="HI160" s="2333">
        <v>162.68</v>
      </c>
      <c r="HJ160" s="2336">
        <v>2.93</v>
      </c>
      <c r="HK160" s="2336">
        <v>4.29</v>
      </c>
      <c r="HL160" s="2336">
        <v>8.01</v>
      </c>
      <c r="HM160" s="2336">
        <v>13.32</v>
      </c>
      <c r="HN160" s="2336">
        <v>20.54</v>
      </c>
      <c r="HO160" s="2336">
        <v>28.67</v>
      </c>
      <c r="HP160" s="2336">
        <v>41.53</v>
      </c>
      <c r="HQ160" s="2336">
        <v>55.76</v>
      </c>
      <c r="HR160" s="2336">
        <v>81.83</v>
      </c>
      <c r="HS160" s="2336">
        <v>125.96</v>
      </c>
      <c r="HT160" s="2336">
        <v>183.18</v>
      </c>
      <c r="HU160" s="2250"/>
      <c r="HV160" s="2250"/>
      <c r="HW160" s="2333">
        <v>162.68</v>
      </c>
      <c r="HX160" s="2336">
        <v>1.68</v>
      </c>
      <c r="HY160" s="2336">
        <v>2.48</v>
      </c>
      <c r="HZ160" s="2336">
        <v>4.6500000000000004</v>
      </c>
      <c r="IA160" s="2336">
        <v>7.72</v>
      </c>
      <c r="IB160" s="2336">
        <v>11.88</v>
      </c>
      <c r="IC160" s="2336">
        <v>16.63</v>
      </c>
      <c r="ID160" s="2336">
        <v>23.96</v>
      </c>
      <c r="IE160" s="2336">
        <v>32.28</v>
      </c>
      <c r="IF160" s="2336">
        <v>47.33</v>
      </c>
      <c r="IG160" s="2336">
        <v>72.87</v>
      </c>
      <c r="IH160" s="2336">
        <v>105.94</v>
      </c>
      <c r="II160" s="2250"/>
      <c r="IJ160" s="2250"/>
      <c r="IK160" s="2250"/>
      <c r="IL160" s="2250"/>
    </row>
    <row r="161" spans="1:246" ht="21.95" customHeight="1">
      <c r="A161" s="2275"/>
      <c r="B161" s="2333">
        <v>140.1</v>
      </c>
      <c r="C161" s="2336">
        <v>5.45</v>
      </c>
      <c r="D161" s="2336">
        <v>8.2200000000000006</v>
      </c>
      <c r="E161" s="2336">
        <v>15.94</v>
      </c>
      <c r="F161" s="2336">
        <v>27.62</v>
      </c>
      <c r="G161" s="2336">
        <v>43.76</v>
      </c>
      <c r="H161" s="2336">
        <v>63.27</v>
      </c>
      <c r="I161" s="2336">
        <v>93.07</v>
      </c>
      <c r="J161" s="2336">
        <v>126.63</v>
      </c>
      <c r="K161" s="2336">
        <v>173.37</v>
      </c>
      <c r="L161" s="2336">
        <v>275.35000000000002</v>
      </c>
      <c r="M161" s="2336">
        <v>411.09</v>
      </c>
      <c r="N161" s="2250"/>
      <c r="O161" s="2250"/>
      <c r="P161" s="2333">
        <v>140.1</v>
      </c>
      <c r="Q161" s="2336">
        <v>3.96</v>
      </c>
      <c r="R161" s="2336">
        <v>5.84</v>
      </c>
      <c r="S161" s="2336">
        <v>11.49</v>
      </c>
      <c r="T161" s="2336">
        <v>19.899999999999999</v>
      </c>
      <c r="U161" s="2336">
        <v>31.58</v>
      </c>
      <c r="V161" s="2336">
        <v>44.75</v>
      </c>
      <c r="W161" s="2336">
        <v>65.05</v>
      </c>
      <c r="X161" s="2336">
        <v>90.2</v>
      </c>
      <c r="Y161" s="2336">
        <v>124.95</v>
      </c>
      <c r="Z161" s="2336">
        <v>197.72</v>
      </c>
      <c r="AA161" s="2336">
        <v>284.06</v>
      </c>
      <c r="AB161" s="2250"/>
      <c r="AC161" s="2250"/>
      <c r="AD161" s="2333">
        <v>140.1</v>
      </c>
      <c r="AE161" s="2336">
        <v>3.39</v>
      </c>
      <c r="AF161" s="2336">
        <v>5.08</v>
      </c>
      <c r="AG161" s="2336">
        <v>9.48</v>
      </c>
      <c r="AH161" s="2336">
        <v>15.69</v>
      </c>
      <c r="AI161" s="2336">
        <v>24.15</v>
      </c>
      <c r="AJ161" s="2336">
        <v>33.75</v>
      </c>
      <c r="AK161" s="2336">
        <v>48.87</v>
      </c>
      <c r="AL161" s="2336">
        <v>67.61</v>
      </c>
      <c r="AM161" s="2336">
        <v>96.5</v>
      </c>
      <c r="AN161" s="2336">
        <v>148.65</v>
      </c>
      <c r="AO161" s="2336">
        <v>216.03</v>
      </c>
      <c r="AP161" s="2250"/>
      <c r="AQ161" s="2250"/>
      <c r="AR161" s="2333">
        <v>140.1</v>
      </c>
      <c r="AS161" s="2336">
        <v>1.98</v>
      </c>
      <c r="AT161" s="2336">
        <v>2.97</v>
      </c>
      <c r="AU161" s="2336">
        <v>5.45</v>
      </c>
      <c r="AV161" s="2336">
        <v>9.11</v>
      </c>
      <c r="AW161" s="2336">
        <v>13.96</v>
      </c>
      <c r="AX161" s="2336">
        <v>19.5</v>
      </c>
      <c r="AY161" s="2336">
        <v>28.32</v>
      </c>
      <c r="AZ161" s="2336">
        <v>39.11</v>
      </c>
      <c r="BA161" s="2336">
        <v>55.84</v>
      </c>
      <c r="BB161" s="2336">
        <v>85.94</v>
      </c>
      <c r="BC161" s="2336">
        <v>123.76</v>
      </c>
      <c r="BD161" s="2250"/>
      <c r="BE161" s="2250"/>
      <c r="BF161" s="1302">
        <v>53.7</v>
      </c>
      <c r="BG161" s="1302">
        <v>58.1</v>
      </c>
      <c r="BH161" s="2250"/>
      <c r="BI161" s="2275"/>
      <c r="BJ161" s="2333">
        <v>140.1</v>
      </c>
      <c r="BK161" s="2336">
        <v>5.45</v>
      </c>
      <c r="BL161" s="2336">
        <v>8.2200000000000006</v>
      </c>
      <c r="BM161" s="2336">
        <v>15.94</v>
      </c>
      <c r="BN161" s="2336">
        <v>27.62</v>
      </c>
      <c r="BO161" s="2336">
        <v>43.76</v>
      </c>
      <c r="BP161" s="2336">
        <v>63.27</v>
      </c>
      <c r="BQ161" s="2336">
        <v>93.07</v>
      </c>
      <c r="BR161" s="2336">
        <v>126.63</v>
      </c>
      <c r="BS161" s="2336">
        <v>173.37</v>
      </c>
      <c r="BT161" s="2336">
        <v>275.35000000000002</v>
      </c>
      <c r="BU161" s="2336">
        <v>411.09</v>
      </c>
      <c r="BV161" s="2250"/>
      <c r="BW161" s="2250"/>
      <c r="BX161" s="2333">
        <v>140.1</v>
      </c>
      <c r="BY161" s="2336">
        <v>3.96</v>
      </c>
      <c r="BZ161" s="2336">
        <v>5.84</v>
      </c>
      <c r="CA161" s="2336">
        <v>11.49</v>
      </c>
      <c r="CB161" s="2336">
        <v>19.899999999999999</v>
      </c>
      <c r="CC161" s="2336">
        <v>31.58</v>
      </c>
      <c r="CD161" s="2336">
        <v>44.75</v>
      </c>
      <c r="CE161" s="2336">
        <v>65.05</v>
      </c>
      <c r="CF161" s="2336">
        <v>90.2</v>
      </c>
      <c r="CG161" s="2336">
        <v>124.95</v>
      </c>
      <c r="CH161" s="2336">
        <v>197.72</v>
      </c>
      <c r="CI161" s="2336">
        <v>284.06</v>
      </c>
      <c r="CJ161" s="2250"/>
      <c r="CK161" s="2250"/>
      <c r="CL161" s="2333">
        <v>140.1</v>
      </c>
      <c r="CM161" s="2336">
        <v>3.39</v>
      </c>
      <c r="CN161" s="2336">
        <v>5.08</v>
      </c>
      <c r="CO161" s="2336">
        <v>9.48</v>
      </c>
      <c r="CP161" s="2336">
        <v>15.69</v>
      </c>
      <c r="CQ161" s="2336">
        <v>24.15</v>
      </c>
      <c r="CR161" s="2336">
        <v>33.75</v>
      </c>
      <c r="CS161" s="2336">
        <v>48.87</v>
      </c>
      <c r="CT161" s="2336">
        <v>67.61</v>
      </c>
      <c r="CU161" s="2336">
        <v>96.5</v>
      </c>
      <c r="CV161" s="2336">
        <v>148.65</v>
      </c>
      <c r="CW161" s="2336">
        <v>216.03</v>
      </c>
      <c r="CX161" s="2250"/>
      <c r="CY161" s="2250"/>
      <c r="CZ161" s="2333">
        <v>140.1</v>
      </c>
      <c r="DA161" s="2336">
        <v>1.98</v>
      </c>
      <c r="DB161" s="2336">
        <v>2.97</v>
      </c>
      <c r="DC161" s="2336">
        <v>5.45</v>
      </c>
      <c r="DD161" s="2336">
        <v>9.11</v>
      </c>
      <c r="DE161" s="2336">
        <v>13.96</v>
      </c>
      <c r="DF161" s="2336">
        <v>19.5</v>
      </c>
      <c r="DG161" s="2336">
        <v>28.32</v>
      </c>
      <c r="DH161" s="2336">
        <v>39.11</v>
      </c>
      <c r="DI161" s="2336">
        <v>55.84</v>
      </c>
      <c r="DJ161" s="2336">
        <v>85.94</v>
      </c>
      <c r="DK161" s="2336">
        <v>123.76</v>
      </c>
      <c r="DL161" s="2250"/>
      <c r="DM161" s="2250"/>
      <c r="DN161" s="2250"/>
      <c r="DO161" s="2250"/>
      <c r="DP161" s="2250"/>
      <c r="DQ161" s="2277"/>
      <c r="DR161" s="2277"/>
      <c r="DS161" s="2278"/>
      <c r="DT161" s="2250"/>
      <c r="DU161" s="2250"/>
      <c r="DV161" s="2250"/>
      <c r="DW161" s="2250"/>
      <c r="DX161" s="2275"/>
      <c r="DY161" s="2333">
        <v>151.30000000000001</v>
      </c>
      <c r="DZ161" s="2336">
        <v>5.15</v>
      </c>
      <c r="EA161" s="2336">
        <v>7.62</v>
      </c>
      <c r="EB161" s="2336">
        <v>14.95</v>
      </c>
      <c r="EC161" s="2336">
        <v>25.74</v>
      </c>
      <c r="ED161" s="2336">
        <v>40.89</v>
      </c>
      <c r="EE161" s="2336">
        <v>58.91</v>
      </c>
      <c r="EF161" s="2336">
        <v>87.03</v>
      </c>
      <c r="EG161" s="2336">
        <v>119.31</v>
      </c>
      <c r="EH161" s="2336">
        <v>162.08000000000001</v>
      </c>
      <c r="EI161" s="2336">
        <v>257.33</v>
      </c>
      <c r="EJ161" s="2336">
        <v>384.16</v>
      </c>
      <c r="EK161" s="2250"/>
      <c r="EL161" s="2250"/>
      <c r="EM161" s="2333">
        <v>151.30000000000001</v>
      </c>
      <c r="EN161" s="2336">
        <v>3.66</v>
      </c>
      <c r="EO161" s="2336">
        <v>5.54</v>
      </c>
      <c r="EP161" s="2336">
        <v>10.79</v>
      </c>
      <c r="EQ161" s="2336">
        <v>18.61</v>
      </c>
      <c r="ER161" s="2336">
        <v>29.5</v>
      </c>
      <c r="ES161" s="2336">
        <v>41.98</v>
      </c>
      <c r="ET161" s="2336">
        <v>61.29</v>
      </c>
      <c r="EU161" s="2336">
        <v>82.28</v>
      </c>
      <c r="EV161" s="2336">
        <v>116.73</v>
      </c>
      <c r="EW161" s="2336">
        <v>185.45</v>
      </c>
      <c r="EX161" s="2336">
        <v>256.44</v>
      </c>
      <c r="EY161" s="2250"/>
      <c r="EZ161" s="2250"/>
      <c r="FA161" s="2333">
        <v>151.30000000000001</v>
      </c>
      <c r="FB161" s="2336">
        <v>3.16</v>
      </c>
      <c r="FC161" s="2336">
        <v>4.74</v>
      </c>
      <c r="FD161" s="2336">
        <v>8.92</v>
      </c>
      <c r="FE161" s="2336">
        <v>14.79</v>
      </c>
      <c r="FF161" s="2336">
        <v>22.69</v>
      </c>
      <c r="FG161" s="2336">
        <v>31.6</v>
      </c>
      <c r="FH161" s="2336">
        <v>45.94</v>
      </c>
      <c r="FI161" s="2336">
        <v>61.74</v>
      </c>
      <c r="FJ161" s="2336">
        <v>90.63</v>
      </c>
      <c r="FK161" s="2336">
        <v>139.5</v>
      </c>
      <c r="FL161" s="2336">
        <v>194.92</v>
      </c>
      <c r="FM161" s="2250"/>
      <c r="FN161" s="2250"/>
      <c r="FO161" s="2333">
        <v>151.30000000000001</v>
      </c>
      <c r="FP161" s="2336">
        <v>1.88</v>
      </c>
      <c r="FQ161" s="2336">
        <v>2.77</v>
      </c>
      <c r="FR161" s="2336">
        <v>5.15</v>
      </c>
      <c r="FS161" s="2336">
        <v>8.51</v>
      </c>
      <c r="FT161" s="2336">
        <v>13.17</v>
      </c>
      <c r="FU161" s="2336">
        <v>18.22</v>
      </c>
      <c r="FV161" s="2336">
        <v>26.53</v>
      </c>
      <c r="FW161" s="2336">
        <v>35.74</v>
      </c>
      <c r="FX161" s="2336">
        <v>52.48</v>
      </c>
      <c r="FY161" s="2336">
        <v>80.790000000000006</v>
      </c>
      <c r="FZ161" s="2336">
        <v>111.68</v>
      </c>
      <c r="GA161" s="2250"/>
      <c r="GB161" s="2250"/>
      <c r="GC161" s="1302">
        <v>48.8</v>
      </c>
      <c r="GD161" s="1302">
        <v>53.7</v>
      </c>
      <c r="GE161" s="2250"/>
      <c r="GF161" s="2275"/>
      <c r="GG161" s="2333">
        <v>151.30000000000001</v>
      </c>
      <c r="GH161" s="2336">
        <v>5.15</v>
      </c>
      <c r="GI161" s="2336">
        <v>7.62</v>
      </c>
      <c r="GJ161" s="2336">
        <v>14.95</v>
      </c>
      <c r="GK161" s="2336">
        <v>25.74</v>
      </c>
      <c r="GL161" s="2336">
        <v>40.89</v>
      </c>
      <c r="GM161" s="2336">
        <v>58.91</v>
      </c>
      <c r="GN161" s="2336">
        <v>87.03</v>
      </c>
      <c r="GO161" s="2336">
        <v>119.31</v>
      </c>
      <c r="GP161" s="2336">
        <v>162.08000000000001</v>
      </c>
      <c r="GQ161" s="2336">
        <v>257.33</v>
      </c>
      <c r="GR161" s="2336">
        <v>384.16</v>
      </c>
      <c r="GS161" s="2250"/>
      <c r="GT161" s="2250"/>
      <c r="GU161" s="2333">
        <v>151.30000000000001</v>
      </c>
      <c r="GV161" s="2336">
        <v>3.66</v>
      </c>
      <c r="GW161" s="2336">
        <v>5.54</v>
      </c>
      <c r="GX161" s="2336">
        <v>10.79</v>
      </c>
      <c r="GY161" s="2336">
        <v>18.61</v>
      </c>
      <c r="GZ161" s="2336">
        <v>29.5</v>
      </c>
      <c r="HA161" s="2336">
        <v>41.98</v>
      </c>
      <c r="HB161" s="2336">
        <v>61.29</v>
      </c>
      <c r="HC161" s="2336">
        <v>82.28</v>
      </c>
      <c r="HD161" s="2336">
        <v>116.73</v>
      </c>
      <c r="HE161" s="2336">
        <v>185.45</v>
      </c>
      <c r="HF161" s="2336">
        <v>256.44</v>
      </c>
      <c r="HG161" s="2250"/>
      <c r="HH161" s="2250"/>
      <c r="HI161" s="2333">
        <v>151.30000000000001</v>
      </c>
      <c r="HJ161" s="2336">
        <v>3.16</v>
      </c>
      <c r="HK161" s="2336">
        <v>4.74</v>
      </c>
      <c r="HL161" s="2336">
        <v>8.92</v>
      </c>
      <c r="HM161" s="2336">
        <v>14.79</v>
      </c>
      <c r="HN161" s="2336">
        <v>22.69</v>
      </c>
      <c r="HO161" s="2336">
        <v>31.6</v>
      </c>
      <c r="HP161" s="2336">
        <v>45.94</v>
      </c>
      <c r="HQ161" s="2336">
        <v>61.74</v>
      </c>
      <c r="HR161" s="2336">
        <v>90.63</v>
      </c>
      <c r="HS161" s="2336">
        <v>139.5</v>
      </c>
      <c r="HT161" s="2336">
        <v>194.92</v>
      </c>
      <c r="HU161" s="2250"/>
      <c r="HV161" s="2250"/>
      <c r="HW161" s="2333">
        <v>151.30000000000001</v>
      </c>
      <c r="HX161" s="2336">
        <v>1.88</v>
      </c>
      <c r="HY161" s="2336">
        <v>2.77</v>
      </c>
      <c r="HZ161" s="2336">
        <v>5.15</v>
      </c>
      <c r="IA161" s="2336">
        <v>8.51</v>
      </c>
      <c r="IB161" s="2336">
        <v>13.17</v>
      </c>
      <c r="IC161" s="2336">
        <v>18.22</v>
      </c>
      <c r="ID161" s="2336">
        <v>26.53</v>
      </c>
      <c r="IE161" s="2336">
        <v>35.74</v>
      </c>
      <c r="IF161" s="2336">
        <v>52.48</v>
      </c>
      <c r="IG161" s="2336">
        <v>80.790000000000006</v>
      </c>
      <c r="IH161" s="2336">
        <v>111.68</v>
      </c>
      <c r="II161" s="2250"/>
      <c r="IJ161" s="2250"/>
      <c r="IK161" s="2250"/>
      <c r="IL161" s="2250"/>
    </row>
    <row r="162" spans="1:246" ht="21.95" customHeight="1">
      <c r="A162" s="2275"/>
      <c r="B162" s="2333">
        <v>129.80000000000001</v>
      </c>
      <c r="C162" s="2336">
        <v>5.84</v>
      </c>
      <c r="D162" s="2336">
        <v>8.7100000000000009</v>
      </c>
      <c r="E162" s="2336">
        <v>16.93</v>
      </c>
      <c r="F162" s="2336">
        <v>29.21</v>
      </c>
      <c r="G162" s="2336">
        <v>46.44</v>
      </c>
      <c r="H162" s="2336">
        <v>67.72</v>
      </c>
      <c r="I162" s="2336">
        <v>99.5</v>
      </c>
      <c r="J162" s="2336">
        <v>135.44999999999999</v>
      </c>
      <c r="K162" s="2336">
        <v>183.96</v>
      </c>
      <c r="L162" s="2336">
        <v>292.08</v>
      </c>
      <c r="M162" s="2336">
        <v>439.5</v>
      </c>
      <c r="N162" s="2250"/>
      <c r="O162" s="2250"/>
      <c r="P162" s="2333">
        <v>129.80000000000001</v>
      </c>
      <c r="Q162" s="2336">
        <v>4.26</v>
      </c>
      <c r="R162" s="2336">
        <v>6.34</v>
      </c>
      <c r="S162" s="2336">
        <v>12.18</v>
      </c>
      <c r="T162" s="2336">
        <v>21.09</v>
      </c>
      <c r="U162" s="2336">
        <v>33.47</v>
      </c>
      <c r="V162" s="2336">
        <v>47.43</v>
      </c>
      <c r="W162" s="2336">
        <v>69.11</v>
      </c>
      <c r="X162" s="2336">
        <v>95.84</v>
      </c>
      <c r="Y162" s="2336">
        <v>132.57</v>
      </c>
      <c r="Z162" s="2336">
        <v>210.5</v>
      </c>
      <c r="AA162" s="2336">
        <v>300.79000000000002</v>
      </c>
      <c r="AB162" s="2250"/>
      <c r="AC162" s="2250"/>
      <c r="AD162" s="2333">
        <v>129.80000000000001</v>
      </c>
      <c r="AE162" s="2336">
        <v>3.61</v>
      </c>
      <c r="AF162" s="2336">
        <v>5.42</v>
      </c>
      <c r="AG162" s="2336">
        <v>10.38</v>
      </c>
      <c r="AH162" s="2336">
        <v>16.59</v>
      </c>
      <c r="AI162" s="2336">
        <v>26.52</v>
      </c>
      <c r="AJ162" s="2336">
        <v>35.89</v>
      </c>
      <c r="AK162" s="2336">
        <v>52.14</v>
      </c>
      <c r="AL162" s="2336">
        <v>72.010000000000005</v>
      </c>
      <c r="AM162" s="2336">
        <v>105.87</v>
      </c>
      <c r="AN162" s="2336">
        <v>160.84</v>
      </c>
      <c r="AO162" s="2336">
        <v>229.57</v>
      </c>
      <c r="AP162" s="2250"/>
      <c r="AQ162" s="2250"/>
      <c r="AR162" s="2333">
        <v>129.80000000000001</v>
      </c>
      <c r="AS162" s="2336">
        <v>2.1800000000000002</v>
      </c>
      <c r="AT162" s="2336">
        <v>3.07</v>
      </c>
      <c r="AU162" s="2336">
        <v>5.94</v>
      </c>
      <c r="AV162" s="2336">
        <v>9.5</v>
      </c>
      <c r="AW162" s="2336">
        <v>15.35</v>
      </c>
      <c r="AX162" s="2336">
        <v>20.69</v>
      </c>
      <c r="AY162" s="2336">
        <v>30.1</v>
      </c>
      <c r="AZ162" s="2336">
        <v>41.68</v>
      </c>
      <c r="BA162" s="2336">
        <v>61.19</v>
      </c>
      <c r="BB162" s="2336">
        <v>92.18</v>
      </c>
      <c r="BC162" s="2336">
        <v>131.49</v>
      </c>
      <c r="BD162" s="2250"/>
      <c r="BE162" s="2250"/>
      <c r="BF162" s="1302">
        <v>58.1</v>
      </c>
      <c r="BG162" s="1302">
        <v>63.4</v>
      </c>
      <c r="BH162" s="2250"/>
      <c r="BI162" s="2275"/>
      <c r="BJ162" s="2333">
        <v>129.80000000000001</v>
      </c>
      <c r="BK162" s="2336">
        <v>5.84</v>
      </c>
      <c r="BL162" s="2336">
        <v>8.7100000000000009</v>
      </c>
      <c r="BM162" s="2336">
        <v>16.93</v>
      </c>
      <c r="BN162" s="2336">
        <v>29.21</v>
      </c>
      <c r="BO162" s="2336">
        <v>46.44</v>
      </c>
      <c r="BP162" s="2336">
        <v>67.72</v>
      </c>
      <c r="BQ162" s="2336">
        <v>99.5</v>
      </c>
      <c r="BR162" s="2336">
        <v>135.44999999999999</v>
      </c>
      <c r="BS162" s="2336">
        <v>183.96</v>
      </c>
      <c r="BT162" s="2336">
        <v>292.08</v>
      </c>
      <c r="BU162" s="2336">
        <v>439.5</v>
      </c>
      <c r="BV162" s="2250"/>
      <c r="BW162" s="2250"/>
      <c r="BX162" s="2333">
        <v>129.80000000000001</v>
      </c>
      <c r="BY162" s="2336">
        <v>4.26</v>
      </c>
      <c r="BZ162" s="2336">
        <v>6.34</v>
      </c>
      <c r="CA162" s="2336">
        <v>12.18</v>
      </c>
      <c r="CB162" s="2336">
        <v>21.09</v>
      </c>
      <c r="CC162" s="2336">
        <v>33.47</v>
      </c>
      <c r="CD162" s="2336">
        <v>47.43</v>
      </c>
      <c r="CE162" s="2336">
        <v>69.11</v>
      </c>
      <c r="CF162" s="2336">
        <v>95.84</v>
      </c>
      <c r="CG162" s="2336">
        <v>132.57</v>
      </c>
      <c r="CH162" s="2336">
        <v>210.5</v>
      </c>
      <c r="CI162" s="2336">
        <v>300.79000000000002</v>
      </c>
      <c r="CJ162" s="2250"/>
      <c r="CK162" s="2250"/>
      <c r="CL162" s="2333">
        <v>129.80000000000001</v>
      </c>
      <c r="CM162" s="2336">
        <v>3.61</v>
      </c>
      <c r="CN162" s="2336">
        <v>5.42</v>
      </c>
      <c r="CO162" s="2336">
        <v>10.38</v>
      </c>
      <c r="CP162" s="2336">
        <v>16.59</v>
      </c>
      <c r="CQ162" s="2336">
        <v>26.52</v>
      </c>
      <c r="CR162" s="2336">
        <v>35.89</v>
      </c>
      <c r="CS162" s="2336">
        <v>52.14</v>
      </c>
      <c r="CT162" s="2336">
        <v>72.010000000000005</v>
      </c>
      <c r="CU162" s="2336">
        <v>105.87</v>
      </c>
      <c r="CV162" s="2336">
        <v>160.84</v>
      </c>
      <c r="CW162" s="2336">
        <v>229.57</v>
      </c>
      <c r="CX162" s="2250"/>
      <c r="CY162" s="2250"/>
      <c r="CZ162" s="2333">
        <v>129.80000000000001</v>
      </c>
      <c r="DA162" s="2336">
        <v>2.1800000000000002</v>
      </c>
      <c r="DB162" s="2336">
        <v>3.07</v>
      </c>
      <c r="DC162" s="2336">
        <v>5.94</v>
      </c>
      <c r="DD162" s="2336">
        <v>9.5</v>
      </c>
      <c r="DE162" s="2336">
        <v>15.35</v>
      </c>
      <c r="DF162" s="2336">
        <v>20.69</v>
      </c>
      <c r="DG162" s="2336">
        <v>30.1</v>
      </c>
      <c r="DH162" s="2336">
        <v>41.68</v>
      </c>
      <c r="DI162" s="2336">
        <v>61.19</v>
      </c>
      <c r="DJ162" s="2336">
        <v>92.18</v>
      </c>
      <c r="DK162" s="2336">
        <v>131.49</v>
      </c>
      <c r="DL162" s="2250"/>
      <c r="DM162" s="2250"/>
      <c r="DN162" s="2250"/>
      <c r="DO162" s="2250"/>
      <c r="DP162" s="2250"/>
      <c r="DQ162" s="2277"/>
      <c r="DR162" s="2277"/>
      <c r="DS162" s="2278"/>
      <c r="DT162" s="2250"/>
      <c r="DU162" s="2250"/>
      <c r="DV162" s="2250"/>
      <c r="DW162" s="2250"/>
      <c r="DX162" s="2275"/>
      <c r="DY162" s="2333">
        <v>140.1</v>
      </c>
      <c r="DZ162" s="2336">
        <v>5.45</v>
      </c>
      <c r="EA162" s="2336">
        <v>8.2200000000000006</v>
      </c>
      <c r="EB162" s="2336">
        <v>15.94</v>
      </c>
      <c r="EC162" s="2336">
        <v>27.62</v>
      </c>
      <c r="ED162" s="2336">
        <v>43.76</v>
      </c>
      <c r="EE162" s="2336">
        <v>63.27</v>
      </c>
      <c r="EF162" s="2336">
        <v>93.07</v>
      </c>
      <c r="EG162" s="2336">
        <v>126.63</v>
      </c>
      <c r="EH162" s="2336">
        <v>173.37</v>
      </c>
      <c r="EI162" s="2336">
        <v>275.35000000000002</v>
      </c>
      <c r="EJ162" s="2336">
        <v>411.09</v>
      </c>
      <c r="EK162" s="2250"/>
      <c r="EL162" s="2250"/>
      <c r="EM162" s="2333">
        <v>140.1</v>
      </c>
      <c r="EN162" s="2336">
        <v>3.96</v>
      </c>
      <c r="EO162" s="2336">
        <v>5.84</v>
      </c>
      <c r="EP162" s="2336">
        <v>11.49</v>
      </c>
      <c r="EQ162" s="2336">
        <v>19.899999999999999</v>
      </c>
      <c r="ER162" s="2336">
        <v>31.58</v>
      </c>
      <c r="ES162" s="2336">
        <v>44.75</v>
      </c>
      <c r="ET162" s="2336">
        <v>65.05</v>
      </c>
      <c r="EU162" s="2336">
        <v>90.2</v>
      </c>
      <c r="EV162" s="2336">
        <v>124.95</v>
      </c>
      <c r="EW162" s="2336">
        <v>197.72</v>
      </c>
      <c r="EX162" s="2336">
        <v>284.06</v>
      </c>
      <c r="EY162" s="2250"/>
      <c r="EZ162" s="2250"/>
      <c r="FA162" s="2333">
        <v>140.1</v>
      </c>
      <c r="FB162" s="2336">
        <v>3.39</v>
      </c>
      <c r="FC162" s="2336">
        <v>5.08</v>
      </c>
      <c r="FD162" s="2336">
        <v>9.48</v>
      </c>
      <c r="FE162" s="2336">
        <v>15.69</v>
      </c>
      <c r="FF162" s="2336">
        <v>24.15</v>
      </c>
      <c r="FG162" s="2336">
        <v>33.75</v>
      </c>
      <c r="FH162" s="2336">
        <v>48.87</v>
      </c>
      <c r="FI162" s="2336">
        <v>67.61</v>
      </c>
      <c r="FJ162" s="2336">
        <v>96.5</v>
      </c>
      <c r="FK162" s="2336">
        <v>148.65</v>
      </c>
      <c r="FL162" s="2336">
        <v>216.03</v>
      </c>
      <c r="FM162" s="2250"/>
      <c r="FN162" s="2250"/>
      <c r="FO162" s="2333">
        <v>140.1</v>
      </c>
      <c r="FP162" s="2336">
        <v>1.98</v>
      </c>
      <c r="FQ162" s="2336">
        <v>2.97</v>
      </c>
      <c r="FR162" s="2336">
        <v>5.45</v>
      </c>
      <c r="FS162" s="2336">
        <v>9.11</v>
      </c>
      <c r="FT162" s="2336">
        <v>13.96</v>
      </c>
      <c r="FU162" s="2336">
        <v>19.5</v>
      </c>
      <c r="FV162" s="2336">
        <v>28.32</v>
      </c>
      <c r="FW162" s="2336">
        <v>39.11</v>
      </c>
      <c r="FX162" s="2336">
        <v>55.84</v>
      </c>
      <c r="FY162" s="2336">
        <v>85.94</v>
      </c>
      <c r="FZ162" s="2336">
        <v>123.76</v>
      </c>
      <c r="GA162" s="2250"/>
      <c r="GB162" s="2250"/>
      <c r="GC162" s="1302">
        <v>53.7</v>
      </c>
      <c r="GD162" s="1302">
        <v>58.1</v>
      </c>
      <c r="GE162" s="2250"/>
      <c r="GF162" s="2275"/>
      <c r="GG162" s="2333">
        <v>140.1</v>
      </c>
      <c r="GH162" s="2336">
        <v>5.45</v>
      </c>
      <c r="GI162" s="2336">
        <v>8.2200000000000006</v>
      </c>
      <c r="GJ162" s="2336">
        <v>15.94</v>
      </c>
      <c r="GK162" s="2336">
        <v>27.62</v>
      </c>
      <c r="GL162" s="2336">
        <v>43.76</v>
      </c>
      <c r="GM162" s="2336">
        <v>63.27</v>
      </c>
      <c r="GN162" s="2336">
        <v>93.07</v>
      </c>
      <c r="GO162" s="2336">
        <v>126.63</v>
      </c>
      <c r="GP162" s="2336">
        <v>173.37</v>
      </c>
      <c r="GQ162" s="2336">
        <v>275.35000000000002</v>
      </c>
      <c r="GR162" s="2336">
        <v>411.09</v>
      </c>
      <c r="GS162" s="2250"/>
      <c r="GT162" s="2250"/>
      <c r="GU162" s="2333">
        <v>140.1</v>
      </c>
      <c r="GV162" s="2336">
        <v>3.96</v>
      </c>
      <c r="GW162" s="2336">
        <v>5.84</v>
      </c>
      <c r="GX162" s="2336">
        <v>11.49</v>
      </c>
      <c r="GY162" s="2336">
        <v>19.899999999999999</v>
      </c>
      <c r="GZ162" s="2336">
        <v>31.58</v>
      </c>
      <c r="HA162" s="2336">
        <v>44.75</v>
      </c>
      <c r="HB162" s="2336">
        <v>65.05</v>
      </c>
      <c r="HC162" s="2336">
        <v>90.2</v>
      </c>
      <c r="HD162" s="2336">
        <v>124.95</v>
      </c>
      <c r="HE162" s="2336">
        <v>197.72</v>
      </c>
      <c r="HF162" s="2336">
        <v>284.06</v>
      </c>
      <c r="HG162" s="2250"/>
      <c r="HH162" s="2250"/>
      <c r="HI162" s="2333">
        <v>140.1</v>
      </c>
      <c r="HJ162" s="2336">
        <v>3.39</v>
      </c>
      <c r="HK162" s="2336">
        <v>5.08</v>
      </c>
      <c r="HL162" s="2336">
        <v>9.48</v>
      </c>
      <c r="HM162" s="2336">
        <v>15.69</v>
      </c>
      <c r="HN162" s="2336">
        <v>24.15</v>
      </c>
      <c r="HO162" s="2336">
        <v>33.75</v>
      </c>
      <c r="HP162" s="2336">
        <v>48.87</v>
      </c>
      <c r="HQ162" s="2336">
        <v>67.61</v>
      </c>
      <c r="HR162" s="2336">
        <v>96.5</v>
      </c>
      <c r="HS162" s="2336">
        <v>148.65</v>
      </c>
      <c r="HT162" s="2336">
        <v>216.03</v>
      </c>
      <c r="HU162" s="2250"/>
      <c r="HV162" s="2250"/>
      <c r="HW162" s="2333">
        <v>140.1</v>
      </c>
      <c r="HX162" s="2336">
        <v>1.98</v>
      </c>
      <c r="HY162" s="2336">
        <v>2.97</v>
      </c>
      <c r="HZ162" s="2336">
        <v>5.45</v>
      </c>
      <c r="IA162" s="2336">
        <v>9.11</v>
      </c>
      <c r="IB162" s="2336">
        <v>13.96</v>
      </c>
      <c r="IC162" s="2336">
        <v>19.5</v>
      </c>
      <c r="ID162" s="2336">
        <v>28.32</v>
      </c>
      <c r="IE162" s="2336">
        <v>39.11</v>
      </c>
      <c r="IF162" s="2336">
        <v>55.84</v>
      </c>
      <c r="IG162" s="2336">
        <v>85.94</v>
      </c>
      <c r="IH162" s="2336">
        <v>123.76</v>
      </c>
      <c r="II162" s="2250"/>
      <c r="IJ162" s="2250"/>
      <c r="IK162" s="2250"/>
      <c r="IL162" s="2250"/>
    </row>
    <row r="163" spans="1:246" ht="21.95" customHeight="1">
      <c r="A163" s="2275"/>
      <c r="B163" s="2333">
        <v>120.7</v>
      </c>
      <c r="C163" s="2336">
        <v>6.14</v>
      </c>
      <c r="D163" s="2336">
        <v>9.2100000000000009</v>
      </c>
      <c r="E163" s="2336">
        <v>18.02</v>
      </c>
      <c r="F163" s="2336">
        <v>31.19</v>
      </c>
      <c r="G163" s="2336">
        <v>49.5</v>
      </c>
      <c r="H163" s="2336">
        <v>72.180000000000007</v>
      </c>
      <c r="I163" s="2336">
        <v>105.15</v>
      </c>
      <c r="J163" s="2336">
        <v>144.16</v>
      </c>
      <c r="K163" s="2336">
        <v>195.84</v>
      </c>
      <c r="L163" s="2336">
        <v>310.99</v>
      </c>
      <c r="M163" s="2336">
        <v>467.92</v>
      </c>
      <c r="N163" s="2250"/>
      <c r="O163" s="2250"/>
      <c r="P163" s="2333">
        <v>120.7</v>
      </c>
      <c r="Q163" s="2336">
        <v>4.46</v>
      </c>
      <c r="R163" s="2336">
        <v>6.63</v>
      </c>
      <c r="S163" s="2336">
        <v>12.97</v>
      </c>
      <c r="T163" s="2336">
        <v>22.48</v>
      </c>
      <c r="U163" s="2336">
        <v>35.64</v>
      </c>
      <c r="V163" s="2336">
        <v>50</v>
      </c>
      <c r="W163" s="2336">
        <v>75.25</v>
      </c>
      <c r="X163" s="2336">
        <v>101.49</v>
      </c>
      <c r="Y163" s="2336">
        <v>141.19</v>
      </c>
      <c r="Z163" s="2336">
        <v>224.16</v>
      </c>
      <c r="AA163" s="2336">
        <v>322.27999999999997</v>
      </c>
      <c r="AB163" s="2250"/>
      <c r="AC163" s="2250"/>
      <c r="AD163" s="2333">
        <v>120.7</v>
      </c>
      <c r="AE163" s="2336">
        <v>3.84</v>
      </c>
      <c r="AF163" s="2336">
        <v>5.76</v>
      </c>
      <c r="AG163" s="2336">
        <v>10.95</v>
      </c>
      <c r="AH163" s="2336">
        <v>18.28</v>
      </c>
      <c r="AI163" s="2336">
        <v>28.22</v>
      </c>
      <c r="AJ163" s="2336">
        <v>38.04</v>
      </c>
      <c r="AK163" s="2336">
        <v>57</v>
      </c>
      <c r="AL163" s="2336">
        <v>76.52</v>
      </c>
      <c r="AM163" s="2336">
        <v>107.9</v>
      </c>
      <c r="AN163" s="2336">
        <v>173.02</v>
      </c>
      <c r="AO163" s="2336">
        <v>243.91</v>
      </c>
      <c r="AP163" s="2250"/>
      <c r="AQ163" s="2250"/>
      <c r="AR163" s="2333">
        <v>120.7</v>
      </c>
      <c r="AS163" s="2337">
        <v>2.38</v>
      </c>
      <c r="AT163" s="2337">
        <v>3.37</v>
      </c>
      <c r="AU163" s="2337">
        <v>6.34</v>
      </c>
      <c r="AV163" s="2337">
        <v>10.5</v>
      </c>
      <c r="AW163" s="2337">
        <v>16.34</v>
      </c>
      <c r="AX163" s="2337">
        <v>21.98</v>
      </c>
      <c r="AY163" s="2337">
        <v>32.770000000000003</v>
      </c>
      <c r="AZ163" s="2337">
        <v>44.26</v>
      </c>
      <c r="BA163" s="2337">
        <v>61.78</v>
      </c>
      <c r="BB163" s="2337">
        <v>100</v>
      </c>
      <c r="BC163" s="2337">
        <v>140.99</v>
      </c>
      <c r="BD163" s="2250"/>
      <c r="BE163" s="2250"/>
      <c r="BF163" s="1302">
        <v>63.4</v>
      </c>
      <c r="BG163" s="1302">
        <v>68.3</v>
      </c>
      <c r="BH163" s="2250"/>
      <c r="BI163" s="2275"/>
      <c r="BJ163" s="2333">
        <v>120.7</v>
      </c>
      <c r="BK163" s="2336">
        <v>6.14</v>
      </c>
      <c r="BL163" s="2336">
        <v>9.2100000000000009</v>
      </c>
      <c r="BM163" s="2336">
        <v>18.02</v>
      </c>
      <c r="BN163" s="2336">
        <v>31.19</v>
      </c>
      <c r="BO163" s="2336">
        <v>49.5</v>
      </c>
      <c r="BP163" s="2336">
        <v>72.180000000000007</v>
      </c>
      <c r="BQ163" s="2336">
        <v>105.15</v>
      </c>
      <c r="BR163" s="2336">
        <v>144.16</v>
      </c>
      <c r="BS163" s="2336">
        <v>195.84</v>
      </c>
      <c r="BT163" s="2336">
        <v>310.99</v>
      </c>
      <c r="BU163" s="2336">
        <v>467.92</v>
      </c>
      <c r="BV163" s="2250"/>
      <c r="BW163" s="2250"/>
      <c r="BX163" s="2333">
        <v>120.7</v>
      </c>
      <c r="BY163" s="2336">
        <v>4.46</v>
      </c>
      <c r="BZ163" s="2336">
        <v>6.63</v>
      </c>
      <c r="CA163" s="2336">
        <v>12.97</v>
      </c>
      <c r="CB163" s="2336">
        <v>22.48</v>
      </c>
      <c r="CC163" s="2336">
        <v>35.64</v>
      </c>
      <c r="CD163" s="2336">
        <v>50</v>
      </c>
      <c r="CE163" s="2336">
        <v>75.25</v>
      </c>
      <c r="CF163" s="2336">
        <v>101.49</v>
      </c>
      <c r="CG163" s="2336">
        <v>141.19</v>
      </c>
      <c r="CH163" s="2336">
        <v>224.16</v>
      </c>
      <c r="CI163" s="2336">
        <v>322.27999999999997</v>
      </c>
      <c r="CJ163" s="2250"/>
      <c r="CK163" s="2250"/>
      <c r="CL163" s="2333">
        <v>120.7</v>
      </c>
      <c r="CM163" s="2336">
        <v>3.84</v>
      </c>
      <c r="CN163" s="2336">
        <v>5.76</v>
      </c>
      <c r="CO163" s="2336">
        <v>10.95</v>
      </c>
      <c r="CP163" s="2336">
        <v>18.28</v>
      </c>
      <c r="CQ163" s="2336">
        <v>28.22</v>
      </c>
      <c r="CR163" s="2336">
        <v>38.04</v>
      </c>
      <c r="CS163" s="2336">
        <v>57</v>
      </c>
      <c r="CT163" s="2336">
        <v>76.52</v>
      </c>
      <c r="CU163" s="2336">
        <v>107.9</v>
      </c>
      <c r="CV163" s="2336">
        <v>173.02</v>
      </c>
      <c r="CW163" s="2336">
        <v>243.91</v>
      </c>
      <c r="CX163" s="2250"/>
      <c r="CY163" s="2250"/>
      <c r="CZ163" s="2333">
        <v>120.7</v>
      </c>
      <c r="DA163" s="2337">
        <v>2.38</v>
      </c>
      <c r="DB163" s="2337">
        <v>3.37</v>
      </c>
      <c r="DC163" s="2337">
        <v>6.34</v>
      </c>
      <c r="DD163" s="2337">
        <v>10.5</v>
      </c>
      <c r="DE163" s="2337">
        <v>16.34</v>
      </c>
      <c r="DF163" s="2337">
        <v>21.98</v>
      </c>
      <c r="DG163" s="2337">
        <v>32.770000000000003</v>
      </c>
      <c r="DH163" s="2337">
        <v>44.26</v>
      </c>
      <c r="DI163" s="2337">
        <v>61.78</v>
      </c>
      <c r="DJ163" s="2337">
        <v>100</v>
      </c>
      <c r="DK163" s="2337">
        <v>140.99</v>
      </c>
      <c r="DL163" s="2250"/>
      <c r="DM163" s="2250"/>
      <c r="DN163" s="2250"/>
      <c r="DO163" s="2250"/>
      <c r="DP163" s="2250"/>
      <c r="DQ163" s="2277"/>
      <c r="DR163" s="2277"/>
      <c r="DS163" s="2278"/>
      <c r="DT163" s="2250"/>
      <c r="DU163" s="2250"/>
      <c r="DV163" s="2250"/>
      <c r="DW163" s="2250"/>
      <c r="DX163" s="2275"/>
      <c r="DY163" s="2333">
        <v>129.80000000000001</v>
      </c>
      <c r="DZ163" s="2336">
        <v>5.84</v>
      </c>
      <c r="EA163" s="2336">
        <v>8.7100000000000009</v>
      </c>
      <c r="EB163" s="2336">
        <v>16.93</v>
      </c>
      <c r="EC163" s="2336">
        <v>29.21</v>
      </c>
      <c r="ED163" s="2336">
        <v>46.44</v>
      </c>
      <c r="EE163" s="2336">
        <v>67.72</v>
      </c>
      <c r="EF163" s="2336">
        <v>99.5</v>
      </c>
      <c r="EG163" s="2336">
        <v>135.44999999999999</v>
      </c>
      <c r="EH163" s="2336">
        <v>183.96</v>
      </c>
      <c r="EI163" s="2336">
        <v>292.08</v>
      </c>
      <c r="EJ163" s="2336">
        <v>439.5</v>
      </c>
      <c r="EK163" s="2250"/>
      <c r="EL163" s="2250"/>
      <c r="EM163" s="2333">
        <v>129.80000000000001</v>
      </c>
      <c r="EN163" s="2336">
        <v>4.26</v>
      </c>
      <c r="EO163" s="2336">
        <v>6.34</v>
      </c>
      <c r="EP163" s="2336">
        <v>12.18</v>
      </c>
      <c r="EQ163" s="2336">
        <v>21.09</v>
      </c>
      <c r="ER163" s="2336">
        <v>33.47</v>
      </c>
      <c r="ES163" s="2336">
        <v>47.43</v>
      </c>
      <c r="ET163" s="2336">
        <v>69.11</v>
      </c>
      <c r="EU163" s="2336">
        <v>95.84</v>
      </c>
      <c r="EV163" s="2336">
        <v>132.57</v>
      </c>
      <c r="EW163" s="2336">
        <v>210.5</v>
      </c>
      <c r="EX163" s="2336">
        <v>300.79000000000002</v>
      </c>
      <c r="EY163" s="2250"/>
      <c r="EZ163" s="2250"/>
      <c r="FA163" s="2333">
        <v>129.80000000000001</v>
      </c>
      <c r="FB163" s="2336">
        <v>3.61</v>
      </c>
      <c r="FC163" s="2336">
        <v>5.42</v>
      </c>
      <c r="FD163" s="2336">
        <v>10.38</v>
      </c>
      <c r="FE163" s="2336">
        <v>16.59</v>
      </c>
      <c r="FF163" s="2336">
        <v>26.52</v>
      </c>
      <c r="FG163" s="2336">
        <v>35.89</v>
      </c>
      <c r="FH163" s="2336">
        <v>52.14</v>
      </c>
      <c r="FI163" s="2336">
        <v>72.010000000000005</v>
      </c>
      <c r="FJ163" s="2336">
        <v>105.87</v>
      </c>
      <c r="FK163" s="2336">
        <v>160.84</v>
      </c>
      <c r="FL163" s="2336">
        <v>229.57</v>
      </c>
      <c r="FM163" s="2250"/>
      <c r="FN163" s="2250"/>
      <c r="FO163" s="2333">
        <v>129.80000000000001</v>
      </c>
      <c r="FP163" s="2336">
        <v>2.1800000000000002</v>
      </c>
      <c r="FQ163" s="2336">
        <v>3.07</v>
      </c>
      <c r="FR163" s="2336">
        <v>5.94</v>
      </c>
      <c r="FS163" s="2336">
        <v>9.5</v>
      </c>
      <c r="FT163" s="2336">
        <v>15.35</v>
      </c>
      <c r="FU163" s="2336">
        <v>20.69</v>
      </c>
      <c r="FV163" s="2336">
        <v>30.1</v>
      </c>
      <c r="FW163" s="2336">
        <v>41.68</v>
      </c>
      <c r="FX163" s="2336">
        <v>61.19</v>
      </c>
      <c r="FY163" s="2336">
        <v>92.18</v>
      </c>
      <c r="FZ163" s="2336">
        <v>131.49</v>
      </c>
      <c r="GA163" s="2250"/>
      <c r="GB163" s="2250"/>
      <c r="GC163" s="1302">
        <v>58.1</v>
      </c>
      <c r="GD163" s="1302">
        <v>63.4</v>
      </c>
      <c r="GE163" s="2250"/>
      <c r="GF163" s="2275"/>
      <c r="GG163" s="2333">
        <v>129.80000000000001</v>
      </c>
      <c r="GH163" s="2336">
        <v>5.84</v>
      </c>
      <c r="GI163" s="2336">
        <v>8.7100000000000009</v>
      </c>
      <c r="GJ163" s="2336">
        <v>16.93</v>
      </c>
      <c r="GK163" s="2336">
        <v>29.21</v>
      </c>
      <c r="GL163" s="2336">
        <v>46.44</v>
      </c>
      <c r="GM163" s="2336">
        <v>67.72</v>
      </c>
      <c r="GN163" s="2336">
        <v>99.5</v>
      </c>
      <c r="GO163" s="2336">
        <v>135.44999999999999</v>
      </c>
      <c r="GP163" s="2336">
        <v>183.96</v>
      </c>
      <c r="GQ163" s="2336">
        <v>292.08</v>
      </c>
      <c r="GR163" s="2336">
        <v>439.5</v>
      </c>
      <c r="GS163" s="2250"/>
      <c r="GT163" s="2250"/>
      <c r="GU163" s="2333">
        <v>129.80000000000001</v>
      </c>
      <c r="GV163" s="2336">
        <v>4.26</v>
      </c>
      <c r="GW163" s="2336">
        <v>6.34</v>
      </c>
      <c r="GX163" s="2336">
        <v>12.18</v>
      </c>
      <c r="GY163" s="2336">
        <v>21.09</v>
      </c>
      <c r="GZ163" s="2336">
        <v>33.47</v>
      </c>
      <c r="HA163" s="2336">
        <v>47.43</v>
      </c>
      <c r="HB163" s="2336">
        <v>69.11</v>
      </c>
      <c r="HC163" s="2336">
        <v>95.84</v>
      </c>
      <c r="HD163" s="2336">
        <v>132.57</v>
      </c>
      <c r="HE163" s="2336">
        <v>210.5</v>
      </c>
      <c r="HF163" s="2336">
        <v>300.79000000000002</v>
      </c>
      <c r="HG163" s="2250"/>
      <c r="HH163" s="2250"/>
      <c r="HI163" s="2333">
        <v>129.80000000000001</v>
      </c>
      <c r="HJ163" s="2336">
        <v>3.61</v>
      </c>
      <c r="HK163" s="2336">
        <v>5.42</v>
      </c>
      <c r="HL163" s="2336">
        <v>10.38</v>
      </c>
      <c r="HM163" s="2336">
        <v>16.59</v>
      </c>
      <c r="HN163" s="2336">
        <v>26.52</v>
      </c>
      <c r="HO163" s="2336">
        <v>35.89</v>
      </c>
      <c r="HP163" s="2336">
        <v>52.14</v>
      </c>
      <c r="HQ163" s="2336">
        <v>72.010000000000005</v>
      </c>
      <c r="HR163" s="2336">
        <v>105.87</v>
      </c>
      <c r="HS163" s="2336">
        <v>160.84</v>
      </c>
      <c r="HT163" s="2336">
        <v>229.57</v>
      </c>
      <c r="HU163" s="2250"/>
      <c r="HV163" s="2250"/>
      <c r="HW163" s="2333">
        <v>129.80000000000001</v>
      </c>
      <c r="HX163" s="2336">
        <v>2.1800000000000002</v>
      </c>
      <c r="HY163" s="2336">
        <v>3.07</v>
      </c>
      <c r="HZ163" s="2336">
        <v>5.94</v>
      </c>
      <c r="IA163" s="2336">
        <v>9.5</v>
      </c>
      <c r="IB163" s="2336">
        <v>15.35</v>
      </c>
      <c r="IC163" s="2336">
        <v>20.69</v>
      </c>
      <c r="ID163" s="2336">
        <v>30.1</v>
      </c>
      <c r="IE163" s="2336">
        <v>41.68</v>
      </c>
      <c r="IF163" s="2336">
        <v>61.19</v>
      </c>
      <c r="IG163" s="2336">
        <v>92.18</v>
      </c>
      <c r="IH163" s="2336">
        <v>131.49</v>
      </c>
      <c r="II163" s="2250"/>
      <c r="IJ163" s="2250"/>
      <c r="IK163" s="2250"/>
      <c r="IL163" s="2250"/>
    </row>
    <row r="164" spans="1:246" ht="21.95" customHeight="1">
      <c r="A164" s="2275"/>
      <c r="B164" s="2333">
        <v>107.9</v>
      </c>
      <c r="C164" s="2336">
        <v>6.83</v>
      </c>
      <c r="D164" s="2336">
        <v>10.199999999999999</v>
      </c>
      <c r="E164" s="2336">
        <v>19.8</v>
      </c>
      <c r="F164" s="2336">
        <v>34.36</v>
      </c>
      <c r="G164" s="2336">
        <v>54.46</v>
      </c>
      <c r="H164" s="2336">
        <v>80.89</v>
      </c>
      <c r="I164" s="2336">
        <v>115.74</v>
      </c>
      <c r="J164" s="2336">
        <v>158.71</v>
      </c>
      <c r="K164" s="2336">
        <v>216.04</v>
      </c>
      <c r="L164" s="2336">
        <v>342.38</v>
      </c>
      <c r="M164" s="2336">
        <v>511.09</v>
      </c>
      <c r="N164" s="2250"/>
      <c r="O164" s="2250"/>
      <c r="P164" s="2333">
        <v>107.9</v>
      </c>
      <c r="Q164" s="2336">
        <v>4.95</v>
      </c>
      <c r="R164" s="2336">
        <v>7.33</v>
      </c>
      <c r="S164" s="2336">
        <v>14.36</v>
      </c>
      <c r="T164" s="2336">
        <v>24.85</v>
      </c>
      <c r="U164" s="2336">
        <v>39.409999999999997</v>
      </c>
      <c r="V164" s="2336">
        <v>53.07</v>
      </c>
      <c r="W164" s="2336">
        <v>76.53</v>
      </c>
      <c r="X164" s="2336">
        <v>114.75</v>
      </c>
      <c r="Y164" s="2336">
        <v>156.13999999999999</v>
      </c>
      <c r="Z164" s="2336">
        <v>232.57</v>
      </c>
      <c r="AA164" s="2336">
        <v>338.02</v>
      </c>
      <c r="AB164" s="2250"/>
      <c r="AC164" s="2250"/>
      <c r="AD164" s="2333">
        <v>107.9</v>
      </c>
      <c r="AE164" s="2336">
        <v>4.29</v>
      </c>
      <c r="AF164" s="2336">
        <v>6.32</v>
      </c>
      <c r="AG164" s="2336">
        <v>12.42</v>
      </c>
      <c r="AH164" s="2336">
        <v>20.09</v>
      </c>
      <c r="AI164" s="2336">
        <v>33.409999999999997</v>
      </c>
      <c r="AJ164" s="2336">
        <v>40.520000000000003</v>
      </c>
      <c r="AK164" s="2336">
        <v>58.35</v>
      </c>
      <c r="AL164" s="2336">
        <v>90.52</v>
      </c>
      <c r="AM164" s="2336">
        <v>119.53</v>
      </c>
      <c r="AN164" s="2336">
        <v>177.09</v>
      </c>
      <c r="AO164" s="2336">
        <v>257.45</v>
      </c>
      <c r="AP164" s="2250"/>
      <c r="AQ164" s="2250"/>
      <c r="AR164" s="2333">
        <v>107.9</v>
      </c>
      <c r="AS164" s="2337">
        <v>2.57</v>
      </c>
      <c r="AT164" s="2337">
        <v>4.0599999999999996</v>
      </c>
      <c r="AU164" s="2337">
        <v>7.43</v>
      </c>
      <c r="AV164" s="2337">
        <v>11.68</v>
      </c>
      <c r="AW164" s="2337">
        <v>19.309999999999999</v>
      </c>
      <c r="AX164" s="2337">
        <v>23.17</v>
      </c>
      <c r="AY164" s="2337">
        <v>33.47</v>
      </c>
      <c r="AZ164" s="2337">
        <v>51.88</v>
      </c>
      <c r="BA164" s="2337">
        <v>70.989999999999995</v>
      </c>
      <c r="BB164" s="2337">
        <v>101.68</v>
      </c>
      <c r="BC164" s="2337">
        <v>147.82</v>
      </c>
      <c r="BD164" s="2250"/>
      <c r="BE164" s="2250"/>
      <c r="BF164" s="1302">
        <v>68.3</v>
      </c>
      <c r="BG164" s="1302">
        <v>73.7</v>
      </c>
      <c r="BH164" s="2250"/>
      <c r="BI164" s="2275"/>
      <c r="BJ164" s="2333">
        <v>107.9</v>
      </c>
      <c r="BK164" s="2336">
        <v>6.83</v>
      </c>
      <c r="BL164" s="2336">
        <v>10.199999999999999</v>
      </c>
      <c r="BM164" s="2336">
        <v>19.8</v>
      </c>
      <c r="BN164" s="2336">
        <v>34.36</v>
      </c>
      <c r="BO164" s="2336">
        <v>54.46</v>
      </c>
      <c r="BP164" s="2336">
        <v>80.89</v>
      </c>
      <c r="BQ164" s="2336">
        <v>115.74</v>
      </c>
      <c r="BR164" s="2336">
        <v>158.71</v>
      </c>
      <c r="BS164" s="2336">
        <v>216.04</v>
      </c>
      <c r="BT164" s="2336">
        <v>342.38</v>
      </c>
      <c r="BU164" s="2336">
        <v>511.09</v>
      </c>
      <c r="BV164" s="2250"/>
      <c r="BW164" s="2250"/>
      <c r="BX164" s="2333">
        <v>107.9</v>
      </c>
      <c r="BY164" s="2336">
        <v>4.95</v>
      </c>
      <c r="BZ164" s="2336">
        <v>7.33</v>
      </c>
      <c r="CA164" s="2336">
        <v>14.36</v>
      </c>
      <c r="CB164" s="2336">
        <v>24.85</v>
      </c>
      <c r="CC164" s="2336">
        <v>39.409999999999997</v>
      </c>
      <c r="CD164" s="2336">
        <v>53.07</v>
      </c>
      <c r="CE164" s="2336">
        <v>76.53</v>
      </c>
      <c r="CF164" s="2336">
        <v>114.75</v>
      </c>
      <c r="CG164" s="2336">
        <v>156.13999999999999</v>
      </c>
      <c r="CH164" s="2336">
        <v>232.57</v>
      </c>
      <c r="CI164" s="2336">
        <v>338.02</v>
      </c>
      <c r="CJ164" s="2250"/>
      <c r="CK164" s="2250"/>
      <c r="CL164" s="2333">
        <v>107.9</v>
      </c>
      <c r="CM164" s="2336">
        <v>4.29</v>
      </c>
      <c r="CN164" s="2336">
        <v>6.32</v>
      </c>
      <c r="CO164" s="2336">
        <v>12.42</v>
      </c>
      <c r="CP164" s="2336">
        <v>20.09</v>
      </c>
      <c r="CQ164" s="2336">
        <v>33.409999999999997</v>
      </c>
      <c r="CR164" s="2336">
        <v>40.520000000000003</v>
      </c>
      <c r="CS164" s="2336">
        <v>58.35</v>
      </c>
      <c r="CT164" s="2336">
        <v>90.52</v>
      </c>
      <c r="CU164" s="2336">
        <v>119.53</v>
      </c>
      <c r="CV164" s="2336">
        <v>177.09</v>
      </c>
      <c r="CW164" s="2336">
        <v>257.45</v>
      </c>
      <c r="CX164" s="2250"/>
      <c r="CY164" s="2250"/>
      <c r="CZ164" s="2333">
        <v>107.9</v>
      </c>
      <c r="DA164" s="2337">
        <v>2.57</v>
      </c>
      <c r="DB164" s="2337">
        <v>4.0599999999999996</v>
      </c>
      <c r="DC164" s="2337">
        <v>7.43</v>
      </c>
      <c r="DD164" s="2337">
        <v>11.68</v>
      </c>
      <c r="DE164" s="2337">
        <v>19.309999999999999</v>
      </c>
      <c r="DF164" s="2337">
        <v>23.17</v>
      </c>
      <c r="DG164" s="2337">
        <v>33.47</v>
      </c>
      <c r="DH164" s="2337">
        <v>51.88</v>
      </c>
      <c r="DI164" s="2337">
        <v>70.989999999999995</v>
      </c>
      <c r="DJ164" s="2337">
        <v>101.68</v>
      </c>
      <c r="DK164" s="2337">
        <v>147.82</v>
      </c>
      <c r="DL164" s="2250"/>
      <c r="DM164" s="2250"/>
      <c r="DN164" s="2250"/>
      <c r="DO164" s="2250"/>
      <c r="DP164" s="2250"/>
      <c r="DQ164" s="2277"/>
      <c r="DR164" s="2277"/>
      <c r="DS164" s="2278"/>
      <c r="DT164" s="2250"/>
      <c r="DU164" s="2250"/>
      <c r="DV164" s="2250"/>
      <c r="DW164" s="2250"/>
      <c r="DX164" s="2275"/>
      <c r="DY164" s="2333">
        <v>120.7</v>
      </c>
      <c r="DZ164" s="2336">
        <v>6.14</v>
      </c>
      <c r="EA164" s="2336">
        <v>9.2100000000000009</v>
      </c>
      <c r="EB164" s="2336">
        <v>18.02</v>
      </c>
      <c r="EC164" s="2336">
        <v>31.19</v>
      </c>
      <c r="ED164" s="2336">
        <v>49.5</v>
      </c>
      <c r="EE164" s="2336">
        <v>72.180000000000007</v>
      </c>
      <c r="EF164" s="2336">
        <v>105.15</v>
      </c>
      <c r="EG164" s="2336">
        <v>144.16</v>
      </c>
      <c r="EH164" s="2336">
        <v>195.84</v>
      </c>
      <c r="EI164" s="2336">
        <v>310.99</v>
      </c>
      <c r="EJ164" s="2336">
        <v>467.92</v>
      </c>
      <c r="EK164" s="2250"/>
      <c r="EL164" s="2250"/>
      <c r="EM164" s="2333">
        <v>120.7</v>
      </c>
      <c r="EN164" s="2336">
        <v>4.46</v>
      </c>
      <c r="EO164" s="2336">
        <v>6.63</v>
      </c>
      <c r="EP164" s="2336">
        <v>12.97</v>
      </c>
      <c r="EQ164" s="2336">
        <v>22.48</v>
      </c>
      <c r="ER164" s="2336">
        <v>35.64</v>
      </c>
      <c r="ES164" s="2336">
        <v>50</v>
      </c>
      <c r="ET164" s="2336">
        <v>75.25</v>
      </c>
      <c r="EU164" s="2336">
        <v>101.49</v>
      </c>
      <c r="EV164" s="2336">
        <v>141.19</v>
      </c>
      <c r="EW164" s="2336">
        <v>224.16</v>
      </c>
      <c r="EX164" s="2336">
        <v>322.27999999999997</v>
      </c>
      <c r="EY164" s="2250"/>
      <c r="EZ164" s="2250"/>
      <c r="FA164" s="2333">
        <v>120.7</v>
      </c>
      <c r="FB164" s="2336">
        <v>3.84</v>
      </c>
      <c r="FC164" s="2336">
        <v>5.76</v>
      </c>
      <c r="FD164" s="2336">
        <v>10.95</v>
      </c>
      <c r="FE164" s="2336">
        <v>18.28</v>
      </c>
      <c r="FF164" s="2336">
        <v>28.22</v>
      </c>
      <c r="FG164" s="2336">
        <v>38.04</v>
      </c>
      <c r="FH164" s="2336">
        <v>57</v>
      </c>
      <c r="FI164" s="2336">
        <v>76.52</v>
      </c>
      <c r="FJ164" s="2336">
        <v>107.9</v>
      </c>
      <c r="FK164" s="2336">
        <v>173.02</v>
      </c>
      <c r="FL164" s="2336">
        <v>243.91</v>
      </c>
      <c r="FM164" s="2250"/>
      <c r="FN164" s="2250"/>
      <c r="FO164" s="2333">
        <v>120.7</v>
      </c>
      <c r="FP164" s="2337">
        <v>2.38</v>
      </c>
      <c r="FQ164" s="2337">
        <v>3.37</v>
      </c>
      <c r="FR164" s="2337">
        <v>6.34</v>
      </c>
      <c r="FS164" s="2337">
        <v>10.5</v>
      </c>
      <c r="FT164" s="2337">
        <v>16.34</v>
      </c>
      <c r="FU164" s="2337">
        <v>21.98</v>
      </c>
      <c r="FV164" s="2337">
        <v>32.770000000000003</v>
      </c>
      <c r="FW164" s="2337">
        <v>44.26</v>
      </c>
      <c r="FX164" s="2337">
        <v>61.78</v>
      </c>
      <c r="FY164" s="2337">
        <v>100</v>
      </c>
      <c r="FZ164" s="2337">
        <v>140.99</v>
      </c>
      <c r="GA164" s="2250"/>
      <c r="GB164" s="2250"/>
      <c r="GC164" s="1302">
        <v>63.4</v>
      </c>
      <c r="GD164" s="1302">
        <v>68.3</v>
      </c>
      <c r="GE164" s="2250"/>
      <c r="GF164" s="2275"/>
      <c r="GG164" s="2333">
        <v>120.7</v>
      </c>
      <c r="GH164" s="2336">
        <v>6.14</v>
      </c>
      <c r="GI164" s="2336">
        <v>9.2100000000000009</v>
      </c>
      <c r="GJ164" s="2336">
        <v>18.02</v>
      </c>
      <c r="GK164" s="2336">
        <v>31.19</v>
      </c>
      <c r="GL164" s="2336">
        <v>49.5</v>
      </c>
      <c r="GM164" s="2336">
        <v>72.180000000000007</v>
      </c>
      <c r="GN164" s="2336">
        <v>105.15</v>
      </c>
      <c r="GO164" s="2336">
        <v>144.16</v>
      </c>
      <c r="GP164" s="2336">
        <v>195.84</v>
      </c>
      <c r="GQ164" s="2336">
        <v>310.99</v>
      </c>
      <c r="GR164" s="2336">
        <v>467.92</v>
      </c>
      <c r="GS164" s="2250"/>
      <c r="GT164" s="2250"/>
      <c r="GU164" s="2333">
        <v>120.7</v>
      </c>
      <c r="GV164" s="2336">
        <v>4.46</v>
      </c>
      <c r="GW164" s="2336">
        <v>6.63</v>
      </c>
      <c r="GX164" s="2336">
        <v>12.97</v>
      </c>
      <c r="GY164" s="2336">
        <v>22.48</v>
      </c>
      <c r="GZ164" s="2336">
        <v>35.64</v>
      </c>
      <c r="HA164" s="2336">
        <v>50</v>
      </c>
      <c r="HB164" s="2336">
        <v>75.25</v>
      </c>
      <c r="HC164" s="2336">
        <v>101.49</v>
      </c>
      <c r="HD164" s="2336">
        <v>141.19</v>
      </c>
      <c r="HE164" s="2336">
        <v>224.16</v>
      </c>
      <c r="HF164" s="2336">
        <v>322.27999999999997</v>
      </c>
      <c r="HG164" s="2250"/>
      <c r="HH164" s="2250"/>
      <c r="HI164" s="2333">
        <v>120.7</v>
      </c>
      <c r="HJ164" s="2336">
        <v>3.84</v>
      </c>
      <c r="HK164" s="2336">
        <v>5.76</v>
      </c>
      <c r="HL164" s="2336">
        <v>10.95</v>
      </c>
      <c r="HM164" s="2336">
        <v>18.28</v>
      </c>
      <c r="HN164" s="2336">
        <v>28.22</v>
      </c>
      <c r="HO164" s="2336">
        <v>38.04</v>
      </c>
      <c r="HP164" s="2336">
        <v>57</v>
      </c>
      <c r="HQ164" s="2336">
        <v>76.52</v>
      </c>
      <c r="HR164" s="2336">
        <v>107.9</v>
      </c>
      <c r="HS164" s="2336">
        <v>173.02</v>
      </c>
      <c r="HT164" s="2336">
        <v>243.91</v>
      </c>
      <c r="HU164" s="2250"/>
      <c r="HV164" s="2250"/>
      <c r="HW164" s="2333">
        <v>120.7</v>
      </c>
      <c r="HX164" s="2337">
        <v>2.38</v>
      </c>
      <c r="HY164" s="2337">
        <v>3.37</v>
      </c>
      <c r="HZ164" s="2337">
        <v>6.34</v>
      </c>
      <c r="IA164" s="2337">
        <v>10.5</v>
      </c>
      <c r="IB164" s="2337">
        <v>16.34</v>
      </c>
      <c r="IC164" s="2337">
        <v>21.98</v>
      </c>
      <c r="ID164" s="2337">
        <v>32.770000000000003</v>
      </c>
      <c r="IE164" s="2337">
        <v>44.26</v>
      </c>
      <c r="IF164" s="2337">
        <v>61.78</v>
      </c>
      <c r="IG164" s="2337">
        <v>100</v>
      </c>
      <c r="IH164" s="2337">
        <v>140.99</v>
      </c>
      <c r="II164" s="2250"/>
      <c r="IJ164" s="2250"/>
      <c r="IK164" s="2250"/>
      <c r="IL164" s="2250"/>
    </row>
    <row r="165" spans="1:246" ht="21.95" customHeight="1">
      <c r="A165" s="2275"/>
      <c r="B165" s="2333">
        <v>97.1</v>
      </c>
      <c r="C165" s="2336">
        <v>7.43</v>
      </c>
      <c r="D165" s="2336">
        <v>10.99</v>
      </c>
      <c r="E165" s="2336">
        <v>21.09</v>
      </c>
      <c r="F165" s="2336">
        <v>37.130000000000003</v>
      </c>
      <c r="G165" s="2336">
        <v>58.32</v>
      </c>
      <c r="H165" s="2336">
        <v>86.83</v>
      </c>
      <c r="I165" s="2336">
        <v>125.25</v>
      </c>
      <c r="J165" s="2336">
        <v>169.11</v>
      </c>
      <c r="K165" s="2336">
        <v>232.18</v>
      </c>
      <c r="L165" s="2336">
        <v>371.29</v>
      </c>
      <c r="M165" s="2336">
        <v>550.69000000000005</v>
      </c>
      <c r="N165" s="2250"/>
      <c r="O165" s="2250"/>
      <c r="P165" s="2333">
        <v>97.1</v>
      </c>
      <c r="Q165" s="2336">
        <v>5.35</v>
      </c>
      <c r="R165" s="2336">
        <v>8.02</v>
      </c>
      <c r="S165" s="2336">
        <v>15.35</v>
      </c>
      <c r="T165" s="2336">
        <v>26.93</v>
      </c>
      <c r="U165" s="2336">
        <v>42.38</v>
      </c>
      <c r="V165" s="2336">
        <v>59.6</v>
      </c>
      <c r="W165" s="2336">
        <v>89.6</v>
      </c>
      <c r="X165" s="2336">
        <v>122.77</v>
      </c>
      <c r="Y165" s="2336">
        <v>168.61</v>
      </c>
      <c r="Z165" s="2336">
        <v>263.56</v>
      </c>
      <c r="AA165" s="2336">
        <v>393.37</v>
      </c>
      <c r="AB165" s="2250"/>
      <c r="AC165" s="2250"/>
      <c r="AD165" s="2333">
        <v>97.1</v>
      </c>
      <c r="AE165" s="2336">
        <v>4.63</v>
      </c>
      <c r="AF165" s="2336">
        <v>6.77</v>
      </c>
      <c r="AG165" s="2336">
        <v>13.32</v>
      </c>
      <c r="AH165" s="2336">
        <v>21.9</v>
      </c>
      <c r="AI165" s="2336">
        <v>35.89</v>
      </c>
      <c r="AJ165" s="2336">
        <v>45.49</v>
      </c>
      <c r="AK165" s="2336">
        <v>68.17</v>
      </c>
      <c r="AL165" s="2336">
        <v>96.61</v>
      </c>
      <c r="AM165" s="2336">
        <v>139.05000000000001</v>
      </c>
      <c r="AN165" s="2336">
        <v>200.9</v>
      </c>
      <c r="AO165" s="2336">
        <v>299.20999999999998</v>
      </c>
      <c r="AP165" s="2250"/>
      <c r="AQ165" s="2250"/>
      <c r="AR165" s="2333">
        <v>97.1</v>
      </c>
      <c r="AS165" s="2337">
        <v>2.67</v>
      </c>
      <c r="AT165" s="2337">
        <v>3.96</v>
      </c>
      <c r="AU165" s="2337">
        <v>7.92</v>
      </c>
      <c r="AV165" s="2337">
        <v>12.57</v>
      </c>
      <c r="AW165" s="2337">
        <v>20.79</v>
      </c>
      <c r="AX165" s="2337">
        <v>25.94</v>
      </c>
      <c r="AY165" s="2337">
        <v>39.21</v>
      </c>
      <c r="AZ165" s="2337">
        <v>55.35</v>
      </c>
      <c r="BA165" s="2337">
        <v>79.31</v>
      </c>
      <c r="BB165" s="2337">
        <v>115.15</v>
      </c>
      <c r="BC165" s="2337">
        <v>172.38</v>
      </c>
      <c r="BD165" s="2250"/>
      <c r="BE165" s="2250"/>
      <c r="BF165" s="1302">
        <v>73.7</v>
      </c>
      <c r="BG165" s="1302">
        <v>78.2</v>
      </c>
      <c r="BH165" s="2250"/>
      <c r="BI165" s="2275"/>
      <c r="BJ165" s="2333">
        <v>97.1</v>
      </c>
      <c r="BK165" s="2336">
        <v>7.43</v>
      </c>
      <c r="BL165" s="2336">
        <v>10.99</v>
      </c>
      <c r="BM165" s="2336">
        <v>21.09</v>
      </c>
      <c r="BN165" s="2336">
        <v>37.130000000000003</v>
      </c>
      <c r="BO165" s="2336">
        <v>58.32</v>
      </c>
      <c r="BP165" s="2336">
        <v>86.83</v>
      </c>
      <c r="BQ165" s="2336">
        <v>125.25</v>
      </c>
      <c r="BR165" s="2336">
        <v>169.11</v>
      </c>
      <c r="BS165" s="2336">
        <v>232.18</v>
      </c>
      <c r="BT165" s="2336">
        <v>371.29</v>
      </c>
      <c r="BU165" s="2336">
        <v>550.69000000000005</v>
      </c>
      <c r="BV165" s="2250"/>
      <c r="BW165" s="2250"/>
      <c r="BX165" s="2333">
        <v>97.1</v>
      </c>
      <c r="BY165" s="2336">
        <v>5.35</v>
      </c>
      <c r="BZ165" s="2336">
        <v>8.02</v>
      </c>
      <c r="CA165" s="2336">
        <v>15.35</v>
      </c>
      <c r="CB165" s="2336">
        <v>26.93</v>
      </c>
      <c r="CC165" s="2336">
        <v>42.38</v>
      </c>
      <c r="CD165" s="2336">
        <v>59.6</v>
      </c>
      <c r="CE165" s="2336">
        <v>89.6</v>
      </c>
      <c r="CF165" s="2336">
        <v>122.77</v>
      </c>
      <c r="CG165" s="2336">
        <v>168.61</v>
      </c>
      <c r="CH165" s="2336">
        <v>263.56</v>
      </c>
      <c r="CI165" s="2336">
        <v>393.37</v>
      </c>
      <c r="CJ165" s="2250"/>
      <c r="CK165" s="2250"/>
      <c r="CL165" s="2333">
        <v>97.1</v>
      </c>
      <c r="CM165" s="2336">
        <v>4.63</v>
      </c>
      <c r="CN165" s="2336">
        <v>6.77</v>
      </c>
      <c r="CO165" s="2336">
        <v>13.32</v>
      </c>
      <c r="CP165" s="2336">
        <v>21.9</v>
      </c>
      <c r="CQ165" s="2336">
        <v>35.89</v>
      </c>
      <c r="CR165" s="2336">
        <v>45.49</v>
      </c>
      <c r="CS165" s="2336">
        <v>68.17</v>
      </c>
      <c r="CT165" s="2336">
        <v>96.61</v>
      </c>
      <c r="CU165" s="2336">
        <v>139.05000000000001</v>
      </c>
      <c r="CV165" s="2336">
        <v>200.9</v>
      </c>
      <c r="CW165" s="2336">
        <v>299.20999999999998</v>
      </c>
      <c r="CX165" s="2250"/>
      <c r="CY165" s="2250"/>
      <c r="CZ165" s="2333">
        <v>97.1</v>
      </c>
      <c r="DA165" s="2337">
        <v>2.67</v>
      </c>
      <c r="DB165" s="2337">
        <v>3.96</v>
      </c>
      <c r="DC165" s="2337">
        <v>7.92</v>
      </c>
      <c r="DD165" s="2337">
        <v>12.57</v>
      </c>
      <c r="DE165" s="2337">
        <v>20.79</v>
      </c>
      <c r="DF165" s="2337">
        <v>25.94</v>
      </c>
      <c r="DG165" s="2337">
        <v>39.21</v>
      </c>
      <c r="DH165" s="2337">
        <v>55.35</v>
      </c>
      <c r="DI165" s="2337">
        <v>79.31</v>
      </c>
      <c r="DJ165" s="2337">
        <v>115.15</v>
      </c>
      <c r="DK165" s="2337">
        <v>172.38</v>
      </c>
      <c r="DL165" s="2250"/>
      <c r="DM165" s="2250"/>
      <c r="DN165" s="2250"/>
      <c r="DO165" s="2250"/>
      <c r="DP165" s="2250"/>
      <c r="DQ165" s="2277"/>
      <c r="DR165" s="2277"/>
      <c r="DS165" s="2278"/>
      <c r="DT165" s="2250"/>
      <c r="DU165" s="2250"/>
      <c r="DV165" s="2250"/>
      <c r="DW165" s="2250"/>
      <c r="DX165" s="2275"/>
      <c r="DY165" s="2333">
        <v>107.9</v>
      </c>
      <c r="DZ165" s="2336">
        <v>6.83</v>
      </c>
      <c r="EA165" s="2336">
        <v>10.199999999999999</v>
      </c>
      <c r="EB165" s="2336">
        <v>19.8</v>
      </c>
      <c r="EC165" s="2336">
        <v>34.36</v>
      </c>
      <c r="ED165" s="2336">
        <v>54.46</v>
      </c>
      <c r="EE165" s="2336">
        <v>80.89</v>
      </c>
      <c r="EF165" s="2336">
        <v>115.74</v>
      </c>
      <c r="EG165" s="2336">
        <v>158.71</v>
      </c>
      <c r="EH165" s="2336">
        <v>216.04</v>
      </c>
      <c r="EI165" s="2336">
        <v>342.38</v>
      </c>
      <c r="EJ165" s="2336">
        <v>511.09</v>
      </c>
      <c r="EK165" s="2250"/>
      <c r="EL165" s="2250"/>
      <c r="EM165" s="2333">
        <v>107.9</v>
      </c>
      <c r="EN165" s="2336">
        <v>4.95</v>
      </c>
      <c r="EO165" s="2336">
        <v>7.33</v>
      </c>
      <c r="EP165" s="2336">
        <v>14.36</v>
      </c>
      <c r="EQ165" s="2336">
        <v>24.85</v>
      </c>
      <c r="ER165" s="2336">
        <v>39.409999999999997</v>
      </c>
      <c r="ES165" s="2336">
        <v>53.07</v>
      </c>
      <c r="ET165" s="2336">
        <v>76.53</v>
      </c>
      <c r="EU165" s="2336">
        <v>114.75</v>
      </c>
      <c r="EV165" s="2336">
        <v>156.13999999999999</v>
      </c>
      <c r="EW165" s="2336">
        <v>232.57</v>
      </c>
      <c r="EX165" s="2336">
        <v>338.02</v>
      </c>
      <c r="EY165" s="2250"/>
      <c r="EZ165" s="2250"/>
      <c r="FA165" s="2333">
        <v>107.9</v>
      </c>
      <c r="FB165" s="2336">
        <v>4.29</v>
      </c>
      <c r="FC165" s="2336">
        <v>6.32</v>
      </c>
      <c r="FD165" s="2336">
        <v>12.42</v>
      </c>
      <c r="FE165" s="2336">
        <v>20.09</v>
      </c>
      <c r="FF165" s="2336">
        <v>33.409999999999997</v>
      </c>
      <c r="FG165" s="2336">
        <v>40.520000000000003</v>
      </c>
      <c r="FH165" s="2336">
        <v>58.35</v>
      </c>
      <c r="FI165" s="2336">
        <v>90.52</v>
      </c>
      <c r="FJ165" s="2336">
        <v>119.53</v>
      </c>
      <c r="FK165" s="2336">
        <v>177.09</v>
      </c>
      <c r="FL165" s="2336">
        <v>257.45</v>
      </c>
      <c r="FM165" s="2250"/>
      <c r="FN165" s="2250"/>
      <c r="FO165" s="2333">
        <v>107.9</v>
      </c>
      <c r="FP165" s="2337">
        <v>2.57</v>
      </c>
      <c r="FQ165" s="2337">
        <v>4.0599999999999996</v>
      </c>
      <c r="FR165" s="2337">
        <v>7.43</v>
      </c>
      <c r="FS165" s="2337">
        <v>11.68</v>
      </c>
      <c r="FT165" s="2337">
        <v>19.309999999999999</v>
      </c>
      <c r="FU165" s="2337">
        <v>23.17</v>
      </c>
      <c r="FV165" s="2337">
        <v>33.47</v>
      </c>
      <c r="FW165" s="2337">
        <v>51.88</v>
      </c>
      <c r="FX165" s="2337">
        <v>70.989999999999995</v>
      </c>
      <c r="FY165" s="2337">
        <v>101.68</v>
      </c>
      <c r="FZ165" s="2337">
        <v>147.82</v>
      </c>
      <c r="GA165" s="2250"/>
      <c r="GB165" s="2250"/>
      <c r="GC165" s="1302">
        <v>68.3</v>
      </c>
      <c r="GD165" s="1302">
        <v>73.7</v>
      </c>
      <c r="GE165" s="2250"/>
      <c r="GF165" s="2275"/>
      <c r="GG165" s="2333">
        <v>107.9</v>
      </c>
      <c r="GH165" s="2336">
        <v>6.83</v>
      </c>
      <c r="GI165" s="2336">
        <v>10.199999999999999</v>
      </c>
      <c r="GJ165" s="2336">
        <v>19.8</v>
      </c>
      <c r="GK165" s="2336">
        <v>34.36</v>
      </c>
      <c r="GL165" s="2336">
        <v>54.46</v>
      </c>
      <c r="GM165" s="2336">
        <v>80.89</v>
      </c>
      <c r="GN165" s="2336">
        <v>115.74</v>
      </c>
      <c r="GO165" s="2336">
        <v>158.71</v>
      </c>
      <c r="GP165" s="2336">
        <v>216.04</v>
      </c>
      <c r="GQ165" s="2336">
        <v>342.38</v>
      </c>
      <c r="GR165" s="2336">
        <v>511.09</v>
      </c>
      <c r="GS165" s="2250"/>
      <c r="GT165" s="2250"/>
      <c r="GU165" s="2333">
        <v>107.9</v>
      </c>
      <c r="GV165" s="2336">
        <v>4.95</v>
      </c>
      <c r="GW165" s="2336">
        <v>7.33</v>
      </c>
      <c r="GX165" s="2336">
        <v>14.36</v>
      </c>
      <c r="GY165" s="2336">
        <v>24.85</v>
      </c>
      <c r="GZ165" s="2336">
        <v>39.409999999999997</v>
      </c>
      <c r="HA165" s="2336">
        <v>53.07</v>
      </c>
      <c r="HB165" s="2336">
        <v>76.53</v>
      </c>
      <c r="HC165" s="2336">
        <v>114.75</v>
      </c>
      <c r="HD165" s="2336">
        <v>156.13999999999999</v>
      </c>
      <c r="HE165" s="2336">
        <v>232.57</v>
      </c>
      <c r="HF165" s="2336">
        <v>338.02</v>
      </c>
      <c r="HG165" s="2250"/>
      <c r="HH165" s="2250"/>
      <c r="HI165" s="2333">
        <v>107.9</v>
      </c>
      <c r="HJ165" s="2336">
        <v>4.29</v>
      </c>
      <c r="HK165" s="2336">
        <v>6.32</v>
      </c>
      <c r="HL165" s="2336">
        <v>12.42</v>
      </c>
      <c r="HM165" s="2336">
        <v>20.09</v>
      </c>
      <c r="HN165" s="2336">
        <v>33.409999999999997</v>
      </c>
      <c r="HO165" s="2336">
        <v>40.520000000000003</v>
      </c>
      <c r="HP165" s="2336">
        <v>58.35</v>
      </c>
      <c r="HQ165" s="2336">
        <v>90.52</v>
      </c>
      <c r="HR165" s="2336">
        <v>119.53</v>
      </c>
      <c r="HS165" s="2336">
        <v>177.09</v>
      </c>
      <c r="HT165" s="2336">
        <v>257.45</v>
      </c>
      <c r="HU165" s="2250"/>
      <c r="HV165" s="2250"/>
      <c r="HW165" s="2333">
        <v>107.9</v>
      </c>
      <c r="HX165" s="2337">
        <v>2.57</v>
      </c>
      <c r="HY165" s="2337">
        <v>4.0599999999999996</v>
      </c>
      <c r="HZ165" s="2337">
        <v>7.43</v>
      </c>
      <c r="IA165" s="2337">
        <v>11.68</v>
      </c>
      <c r="IB165" s="2337">
        <v>19.309999999999999</v>
      </c>
      <c r="IC165" s="2337">
        <v>23.17</v>
      </c>
      <c r="ID165" s="2337">
        <v>33.47</v>
      </c>
      <c r="IE165" s="2337">
        <v>51.88</v>
      </c>
      <c r="IF165" s="2337">
        <v>70.989999999999995</v>
      </c>
      <c r="IG165" s="2337">
        <v>101.68</v>
      </c>
      <c r="IH165" s="2337">
        <v>147.82</v>
      </c>
      <c r="II165" s="2250"/>
      <c r="IJ165" s="2250"/>
      <c r="IK165" s="2250"/>
      <c r="IL165" s="2250"/>
    </row>
    <row r="166" spans="1:246" ht="21.95" customHeight="1">
      <c r="A166" s="2275"/>
      <c r="B166" s="2333">
        <v>92.9</v>
      </c>
      <c r="C166" s="2336">
        <v>7.62</v>
      </c>
      <c r="D166" s="2336">
        <v>11.39</v>
      </c>
      <c r="E166" s="2336">
        <v>22.28</v>
      </c>
      <c r="F166" s="2336">
        <v>38.42</v>
      </c>
      <c r="G166" s="2336">
        <v>60.99</v>
      </c>
      <c r="H166" s="2336">
        <v>91.19</v>
      </c>
      <c r="I166" s="2336">
        <v>130.30000000000001</v>
      </c>
      <c r="J166" s="2336">
        <v>177.82</v>
      </c>
      <c r="K166" s="2336">
        <v>241.78</v>
      </c>
      <c r="L166" s="2336">
        <v>385.54</v>
      </c>
      <c r="M166" s="2336">
        <v>575.45000000000005</v>
      </c>
      <c r="N166" s="2250"/>
      <c r="O166" s="2250"/>
      <c r="P166" s="2333">
        <v>92.9</v>
      </c>
      <c r="Q166" s="2336">
        <v>5.54</v>
      </c>
      <c r="R166" s="2336">
        <v>8.32</v>
      </c>
      <c r="S166" s="2336">
        <v>16.239999999999998</v>
      </c>
      <c r="T166" s="2336">
        <v>27.82</v>
      </c>
      <c r="U166" s="2336">
        <v>44.46</v>
      </c>
      <c r="V166" s="2336">
        <v>62.57</v>
      </c>
      <c r="W166" s="2336">
        <v>90.59</v>
      </c>
      <c r="X166" s="2336">
        <v>129.6</v>
      </c>
      <c r="Y166" s="2336">
        <v>176.14</v>
      </c>
      <c r="Z166" s="2336">
        <v>275.05</v>
      </c>
      <c r="AA166" s="2336">
        <v>399.8</v>
      </c>
      <c r="AB166" s="2250"/>
      <c r="AC166" s="2250"/>
      <c r="AD166" s="2333">
        <v>92.9</v>
      </c>
      <c r="AE166" s="2336">
        <v>4.74</v>
      </c>
      <c r="AF166" s="2336">
        <v>7.11</v>
      </c>
      <c r="AG166" s="2336">
        <v>14</v>
      </c>
      <c r="AH166" s="2336">
        <v>23.7</v>
      </c>
      <c r="AI166" s="2336">
        <v>37.58</v>
      </c>
      <c r="AJ166" s="2336">
        <v>47.74</v>
      </c>
      <c r="AK166" s="2336">
        <v>69.069999999999993</v>
      </c>
      <c r="AL166" s="2336">
        <v>102.14</v>
      </c>
      <c r="AM166" s="2336">
        <v>140.41</v>
      </c>
      <c r="AN166" s="2336">
        <v>209.82</v>
      </c>
      <c r="AO166" s="2336">
        <v>305.08</v>
      </c>
      <c r="AP166" s="2250"/>
      <c r="AQ166" s="2250"/>
      <c r="AR166" s="2333">
        <v>92.9</v>
      </c>
      <c r="AS166" s="2337">
        <v>3.07</v>
      </c>
      <c r="AT166" s="2337">
        <v>4.3600000000000003</v>
      </c>
      <c r="AU166" s="2337">
        <v>8.51</v>
      </c>
      <c r="AV166" s="2337">
        <v>13.66</v>
      </c>
      <c r="AW166" s="2337">
        <v>21.78</v>
      </c>
      <c r="AX166" s="2337">
        <v>27.13</v>
      </c>
      <c r="AY166" s="2337">
        <v>39.409999999999997</v>
      </c>
      <c r="AZ166" s="2337">
        <v>59.01</v>
      </c>
      <c r="BA166" s="2337">
        <v>80.099999999999994</v>
      </c>
      <c r="BB166" s="2337">
        <v>119.8</v>
      </c>
      <c r="BC166" s="2337">
        <v>174.16</v>
      </c>
      <c r="BD166" s="2250"/>
      <c r="BE166" s="2250"/>
      <c r="BF166" s="1302">
        <v>78.2</v>
      </c>
      <c r="BG166" s="1302">
        <v>83.3</v>
      </c>
      <c r="BH166" s="2250"/>
      <c r="BI166" s="2275"/>
      <c r="BJ166" s="2333">
        <v>92.9</v>
      </c>
      <c r="BK166" s="2336">
        <v>7.62</v>
      </c>
      <c r="BL166" s="2336">
        <v>11.39</v>
      </c>
      <c r="BM166" s="2336">
        <v>22.28</v>
      </c>
      <c r="BN166" s="2336">
        <v>38.42</v>
      </c>
      <c r="BO166" s="2336">
        <v>60.99</v>
      </c>
      <c r="BP166" s="2336">
        <v>91.19</v>
      </c>
      <c r="BQ166" s="2336">
        <v>130.30000000000001</v>
      </c>
      <c r="BR166" s="2336">
        <v>177.82</v>
      </c>
      <c r="BS166" s="2336">
        <v>241.78</v>
      </c>
      <c r="BT166" s="2336">
        <v>385.54</v>
      </c>
      <c r="BU166" s="2336">
        <v>575.45000000000005</v>
      </c>
      <c r="BV166" s="2250"/>
      <c r="BW166" s="2250"/>
      <c r="BX166" s="2333">
        <v>92.9</v>
      </c>
      <c r="BY166" s="2336">
        <v>5.54</v>
      </c>
      <c r="BZ166" s="2336">
        <v>8.32</v>
      </c>
      <c r="CA166" s="2336">
        <v>16.239999999999998</v>
      </c>
      <c r="CB166" s="2336">
        <v>27.82</v>
      </c>
      <c r="CC166" s="2336">
        <v>44.46</v>
      </c>
      <c r="CD166" s="2336">
        <v>62.57</v>
      </c>
      <c r="CE166" s="2336">
        <v>90.59</v>
      </c>
      <c r="CF166" s="2336">
        <v>129.6</v>
      </c>
      <c r="CG166" s="2336">
        <v>176.14</v>
      </c>
      <c r="CH166" s="2336">
        <v>275.05</v>
      </c>
      <c r="CI166" s="2336">
        <v>399.8</v>
      </c>
      <c r="CJ166" s="2250"/>
      <c r="CK166" s="2250"/>
      <c r="CL166" s="2333">
        <v>92.9</v>
      </c>
      <c r="CM166" s="2336">
        <v>4.74</v>
      </c>
      <c r="CN166" s="2336">
        <v>7.11</v>
      </c>
      <c r="CO166" s="2336">
        <v>14</v>
      </c>
      <c r="CP166" s="2336">
        <v>23.7</v>
      </c>
      <c r="CQ166" s="2336">
        <v>37.58</v>
      </c>
      <c r="CR166" s="2336">
        <v>47.74</v>
      </c>
      <c r="CS166" s="2336">
        <v>69.069999999999993</v>
      </c>
      <c r="CT166" s="2336">
        <v>102.14</v>
      </c>
      <c r="CU166" s="2336">
        <v>140.41</v>
      </c>
      <c r="CV166" s="2336">
        <v>209.82</v>
      </c>
      <c r="CW166" s="2336">
        <v>305.08</v>
      </c>
      <c r="CX166" s="2250"/>
      <c r="CY166" s="2250"/>
      <c r="CZ166" s="2333">
        <v>92.9</v>
      </c>
      <c r="DA166" s="2337">
        <v>3.07</v>
      </c>
      <c r="DB166" s="2337">
        <v>4.3600000000000003</v>
      </c>
      <c r="DC166" s="2337">
        <v>8.51</v>
      </c>
      <c r="DD166" s="2337">
        <v>13.66</v>
      </c>
      <c r="DE166" s="2337">
        <v>21.78</v>
      </c>
      <c r="DF166" s="2337">
        <v>27.13</v>
      </c>
      <c r="DG166" s="2337">
        <v>39.409999999999997</v>
      </c>
      <c r="DH166" s="2337">
        <v>59.01</v>
      </c>
      <c r="DI166" s="2337">
        <v>80.099999999999994</v>
      </c>
      <c r="DJ166" s="2337">
        <v>119.8</v>
      </c>
      <c r="DK166" s="2337">
        <v>174.16</v>
      </c>
      <c r="DL166" s="2250"/>
      <c r="DM166" s="2250"/>
      <c r="DN166" s="2250"/>
      <c r="DO166" s="2250"/>
      <c r="DP166" s="2250"/>
      <c r="DQ166" s="2277"/>
      <c r="DR166" s="2277"/>
      <c r="DS166" s="2278"/>
      <c r="DT166" s="2250"/>
      <c r="DU166" s="2250"/>
      <c r="DV166" s="2250"/>
      <c r="DW166" s="2250"/>
      <c r="DX166" s="2275"/>
      <c r="DY166" s="2333">
        <v>97.1</v>
      </c>
      <c r="DZ166" s="2336">
        <v>7.43</v>
      </c>
      <c r="EA166" s="2336">
        <v>10.99</v>
      </c>
      <c r="EB166" s="2336">
        <v>21.09</v>
      </c>
      <c r="EC166" s="2336">
        <v>37.130000000000003</v>
      </c>
      <c r="ED166" s="2336">
        <v>58.32</v>
      </c>
      <c r="EE166" s="2336">
        <v>86.83</v>
      </c>
      <c r="EF166" s="2336">
        <v>125.25</v>
      </c>
      <c r="EG166" s="2336">
        <v>169.11</v>
      </c>
      <c r="EH166" s="2336">
        <v>232.18</v>
      </c>
      <c r="EI166" s="2336">
        <v>371.29</v>
      </c>
      <c r="EJ166" s="2336">
        <v>550.69000000000005</v>
      </c>
      <c r="EK166" s="2250"/>
      <c r="EL166" s="2250"/>
      <c r="EM166" s="2333">
        <v>97.1</v>
      </c>
      <c r="EN166" s="2336">
        <v>5.35</v>
      </c>
      <c r="EO166" s="2336">
        <v>8.02</v>
      </c>
      <c r="EP166" s="2336">
        <v>15.35</v>
      </c>
      <c r="EQ166" s="2336">
        <v>26.93</v>
      </c>
      <c r="ER166" s="2336">
        <v>42.38</v>
      </c>
      <c r="ES166" s="2336">
        <v>59.6</v>
      </c>
      <c r="ET166" s="2336">
        <v>89.6</v>
      </c>
      <c r="EU166" s="2336">
        <v>122.77</v>
      </c>
      <c r="EV166" s="2336">
        <v>168.61</v>
      </c>
      <c r="EW166" s="2336">
        <v>263.56</v>
      </c>
      <c r="EX166" s="2336">
        <v>393.37</v>
      </c>
      <c r="EY166" s="2250"/>
      <c r="EZ166" s="2250"/>
      <c r="FA166" s="2333">
        <v>97.1</v>
      </c>
      <c r="FB166" s="2336">
        <v>4.63</v>
      </c>
      <c r="FC166" s="2336">
        <v>6.77</v>
      </c>
      <c r="FD166" s="2336">
        <v>13.32</v>
      </c>
      <c r="FE166" s="2336">
        <v>21.9</v>
      </c>
      <c r="FF166" s="2336">
        <v>35.89</v>
      </c>
      <c r="FG166" s="2336">
        <v>45.49</v>
      </c>
      <c r="FH166" s="2336">
        <v>68.17</v>
      </c>
      <c r="FI166" s="2336">
        <v>96.61</v>
      </c>
      <c r="FJ166" s="2336">
        <v>139.05000000000001</v>
      </c>
      <c r="FK166" s="2336">
        <v>200.9</v>
      </c>
      <c r="FL166" s="2336">
        <v>299.20999999999998</v>
      </c>
      <c r="FM166" s="2250"/>
      <c r="FN166" s="2250"/>
      <c r="FO166" s="2333">
        <v>97.1</v>
      </c>
      <c r="FP166" s="2337">
        <v>2.67</v>
      </c>
      <c r="FQ166" s="2337">
        <v>3.96</v>
      </c>
      <c r="FR166" s="2337">
        <v>7.92</v>
      </c>
      <c r="FS166" s="2337">
        <v>12.57</v>
      </c>
      <c r="FT166" s="2337">
        <v>20.79</v>
      </c>
      <c r="FU166" s="2337">
        <v>25.94</v>
      </c>
      <c r="FV166" s="2337">
        <v>39.21</v>
      </c>
      <c r="FW166" s="2337">
        <v>55.35</v>
      </c>
      <c r="FX166" s="2337">
        <v>79.31</v>
      </c>
      <c r="FY166" s="2337">
        <v>115.15</v>
      </c>
      <c r="FZ166" s="2337">
        <v>172.38</v>
      </c>
      <c r="GA166" s="2250"/>
      <c r="GB166" s="2250"/>
      <c r="GC166" s="1302">
        <v>73.7</v>
      </c>
      <c r="GD166" s="1302">
        <v>78.2</v>
      </c>
      <c r="GE166" s="2250"/>
      <c r="GF166" s="2275"/>
      <c r="GG166" s="2333">
        <v>97.1</v>
      </c>
      <c r="GH166" s="2336">
        <v>7.43</v>
      </c>
      <c r="GI166" s="2336">
        <v>10.99</v>
      </c>
      <c r="GJ166" s="2336">
        <v>21.09</v>
      </c>
      <c r="GK166" s="2336">
        <v>37.130000000000003</v>
      </c>
      <c r="GL166" s="2336">
        <v>58.32</v>
      </c>
      <c r="GM166" s="2336">
        <v>86.83</v>
      </c>
      <c r="GN166" s="2336">
        <v>125.25</v>
      </c>
      <c r="GO166" s="2336">
        <v>169.11</v>
      </c>
      <c r="GP166" s="2336">
        <v>232.18</v>
      </c>
      <c r="GQ166" s="2336">
        <v>371.29</v>
      </c>
      <c r="GR166" s="2336">
        <v>550.69000000000005</v>
      </c>
      <c r="GS166" s="2250"/>
      <c r="GT166" s="2250"/>
      <c r="GU166" s="2333">
        <v>97.1</v>
      </c>
      <c r="GV166" s="2336">
        <v>5.35</v>
      </c>
      <c r="GW166" s="2336">
        <v>8.02</v>
      </c>
      <c r="GX166" s="2336">
        <v>15.35</v>
      </c>
      <c r="GY166" s="2336">
        <v>26.93</v>
      </c>
      <c r="GZ166" s="2336">
        <v>42.38</v>
      </c>
      <c r="HA166" s="2336">
        <v>59.6</v>
      </c>
      <c r="HB166" s="2336">
        <v>89.6</v>
      </c>
      <c r="HC166" s="2336">
        <v>122.77</v>
      </c>
      <c r="HD166" s="2336">
        <v>168.61</v>
      </c>
      <c r="HE166" s="2336">
        <v>263.56</v>
      </c>
      <c r="HF166" s="2336">
        <v>393.37</v>
      </c>
      <c r="HG166" s="2250"/>
      <c r="HH166" s="2250"/>
      <c r="HI166" s="2333">
        <v>97.1</v>
      </c>
      <c r="HJ166" s="2336">
        <v>4.63</v>
      </c>
      <c r="HK166" s="2336">
        <v>6.77</v>
      </c>
      <c r="HL166" s="2336">
        <v>13.32</v>
      </c>
      <c r="HM166" s="2336">
        <v>21.9</v>
      </c>
      <c r="HN166" s="2336">
        <v>35.89</v>
      </c>
      <c r="HO166" s="2336">
        <v>45.49</v>
      </c>
      <c r="HP166" s="2336">
        <v>68.17</v>
      </c>
      <c r="HQ166" s="2336">
        <v>96.61</v>
      </c>
      <c r="HR166" s="2336">
        <v>139.05000000000001</v>
      </c>
      <c r="HS166" s="2336">
        <v>200.9</v>
      </c>
      <c r="HT166" s="2336">
        <v>299.20999999999998</v>
      </c>
      <c r="HU166" s="2250"/>
      <c r="HV166" s="2250"/>
      <c r="HW166" s="2333">
        <v>97.1</v>
      </c>
      <c r="HX166" s="2337">
        <v>2.67</v>
      </c>
      <c r="HY166" s="2337">
        <v>3.96</v>
      </c>
      <c r="HZ166" s="2337">
        <v>7.92</v>
      </c>
      <c r="IA166" s="2337">
        <v>12.57</v>
      </c>
      <c r="IB166" s="2337">
        <v>20.79</v>
      </c>
      <c r="IC166" s="2337">
        <v>25.94</v>
      </c>
      <c r="ID166" s="2337">
        <v>39.21</v>
      </c>
      <c r="IE166" s="2337">
        <v>55.35</v>
      </c>
      <c r="IF166" s="2337">
        <v>79.31</v>
      </c>
      <c r="IG166" s="2337">
        <v>115.15</v>
      </c>
      <c r="IH166" s="2337">
        <v>172.38</v>
      </c>
      <c r="II166" s="2250"/>
      <c r="IJ166" s="2250"/>
      <c r="IK166" s="2250"/>
      <c r="IL166" s="2250"/>
    </row>
    <row r="167" spans="1:246" ht="21.95" customHeight="1">
      <c r="A167" s="2275"/>
      <c r="B167" s="2333">
        <v>88.2</v>
      </c>
      <c r="C167" s="2336">
        <v>8.02</v>
      </c>
      <c r="D167" s="2336">
        <v>11.98</v>
      </c>
      <c r="E167" s="2336">
        <v>23.37</v>
      </c>
      <c r="F167" s="2336">
        <v>40.4</v>
      </c>
      <c r="G167" s="2336">
        <v>64.16</v>
      </c>
      <c r="H167" s="2336">
        <v>92.38</v>
      </c>
      <c r="I167" s="2336">
        <v>136.34</v>
      </c>
      <c r="J167" s="2336">
        <v>186.93</v>
      </c>
      <c r="K167" s="2336">
        <v>253.96</v>
      </c>
      <c r="L167" s="2336">
        <v>399.6</v>
      </c>
      <c r="M167" s="2336">
        <v>582.38</v>
      </c>
      <c r="N167" s="2250"/>
      <c r="O167" s="2250"/>
      <c r="P167" s="2333">
        <v>88.2</v>
      </c>
      <c r="Q167" s="2336">
        <v>5.84</v>
      </c>
      <c r="R167" s="2336">
        <v>8.7100000000000009</v>
      </c>
      <c r="S167" s="2336">
        <v>17.03</v>
      </c>
      <c r="T167" s="2336">
        <v>29.41</v>
      </c>
      <c r="U167" s="2336">
        <v>46.73</v>
      </c>
      <c r="V167" s="2336">
        <v>63.37</v>
      </c>
      <c r="W167" s="2336">
        <v>90.79</v>
      </c>
      <c r="X167" s="2336">
        <v>131.38999999999999</v>
      </c>
      <c r="Y167" s="2336">
        <v>185.05</v>
      </c>
      <c r="Z167" s="2336">
        <v>284.64999999999998</v>
      </c>
      <c r="AA167" s="2336">
        <v>427.92</v>
      </c>
      <c r="AB167" s="2250"/>
      <c r="AC167" s="2250"/>
      <c r="AD167" s="2333">
        <v>88.2</v>
      </c>
      <c r="AE167" s="2336">
        <v>5.08</v>
      </c>
      <c r="AF167" s="2336">
        <v>7.56</v>
      </c>
      <c r="AG167" s="2336">
        <v>14.33</v>
      </c>
      <c r="AH167" s="2336">
        <v>23.93</v>
      </c>
      <c r="AI167" s="2336">
        <v>36.909999999999997</v>
      </c>
      <c r="AJ167" s="2336">
        <v>48.31</v>
      </c>
      <c r="AK167" s="2336">
        <v>69.41</v>
      </c>
      <c r="AL167" s="2336">
        <v>100.23</v>
      </c>
      <c r="AM167" s="2336">
        <v>147.18</v>
      </c>
      <c r="AN167" s="2336">
        <v>217.38</v>
      </c>
      <c r="AO167" s="2336">
        <v>319.3</v>
      </c>
      <c r="AP167" s="2250"/>
      <c r="AQ167" s="2250"/>
      <c r="AR167" s="2333">
        <v>88.2</v>
      </c>
      <c r="AS167" s="2337">
        <v>3.07</v>
      </c>
      <c r="AT167" s="2337">
        <v>4.3600000000000003</v>
      </c>
      <c r="AU167" s="2337">
        <v>8.2200000000000006</v>
      </c>
      <c r="AV167" s="2337">
        <v>13.66</v>
      </c>
      <c r="AW167" s="2337">
        <v>21.09</v>
      </c>
      <c r="AX167" s="2337">
        <v>27.72</v>
      </c>
      <c r="AY167" s="2337">
        <v>39.700000000000003</v>
      </c>
      <c r="AZ167" s="2337">
        <v>57.33</v>
      </c>
      <c r="BA167" s="2337">
        <v>84.16</v>
      </c>
      <c r="BB167" s="2337">
        <v>123.76</v>
      </c>
      <c r="BC167" s="2337">
        <v>182.97</v>
      </c>
      <c r="BD167" s="2250"/>
      <c r="BE167" s="2250"/>
      <c r="BF167" s="1302">
        <v>83.3</v>
      </c>
      <c r="BG167" s="1302">
        <v>88.2</v>
      </c>
      <c r="BH167" s="2250"/>
      <c r="BI167" s="2275"/>
      <c r="BJ167" s="2333">
        <v>88.2</v>
      </c>
      <c r="BK167" s="2336">
        <v>8.02</v>
      </c>
      <c r="BL167" s="2336">
        <v>11.98</v>
      </c>
      <c r="BM167" s="2336">
        <v>23.37</v>
      </c>
      <c r="BN167" s="2336">
        <v>40.4</v>
      </c>
      <c r="BO167" s="2336">
        <v>64.16</v>
      </c>
      <c r="BP167" s="2336">
        <v>92.38</v>
      </c>
      <c r="BQ167" s="2336">
        <v>136.34</v>
      </c>
      <c r="BR167" s="2336">
        <v>186.93</v>
      </c>
      <c r="BS167" s="2336">
        <v>253.96</v>
      </c>
      <c r="BT167" s="2336">
        <v>399.6</v>
      </c>
      <c r="BU167" s="2336">
        <v>582.38</v>
      </c>
      <c r="BV167" s="2250"/>
      <c r="BW167" s="2250"/>
      <c r="BX167" s="2333">
        <v>88.2</v>
      </c>
      <c r="BY167" s="2336">
        <v>5.84</v>
      </c>
      <c r="BZ167" s="2336">
        <v>8.7100000000000009</v>
      </c>
      <c r="CA167" s="2336">
        <v>17.03</v>
      </c>
      <c r="CB167" s="2336">
        <v>29.41</v>
      </c>
      <c r="CC167" s="2336">
        <v>46.73</v>
      </c>
      <c r="CD167" s="2336">
        <v>63.37</v>
      </c>
      <c r="CE167" s="2336">
        <v>90.79</v>
      </c>
      <c r="CF167" s="2336">
        <v>131.38999999999999</v>
      </c>
      <c r="CG167" s="2336">
        <v>185.05</v>
      </c>
      <c r="CH167" s="2336">
        <v>284.64999999999998</v>
      </c>
      <c r="CI167" s="2336">
        <v>427.92</v>
      </c>
      <c r="CJ167" s="2250"/>
      <c r="CK167" s="2250"/>
      <c r="CL167" s="2333">
        <v>88.2</v>
      </c>
      <c r="CM167" s="2336">
        <v>5.08</v>
      </c>
      <c r="CN167" s="2336">
        <v>7.56</v>
      </c>
      <c r="CO167" s="2336">
        <v>14.33</v>
      </c>
      <c r="CP167" s="2336">
        <v>23.93</v>
      </c>
      <c r="CQ167" s="2336">
        <v>36.909999999999997</v>
      </c>
      <c r="CR167" s="2336">
        <v>48.31</v>
      </c>
      <c r="CS167" s="2336">
        <v>69.41</v>
      </c>
      <c r="CT167" s="2336">
        <v>100.23</v>
      </c>
      <c r="CU167" s="2336">
        <v>147.18</v>
      </c>
      <c r="CV167" s="2336">
        <v>217.38</v>
      </c>
      <c r="CW167" s="2336">
        <v>319.3</v>
      </c>
      <c r="CX167" s="2250"/>
      <c r="CY167" s="2250"/>
      <c r="CZ167" s="2333">
        <v>88.2</v>
      </c>
      <c r="DA167" s="2337">
        <v>3.07</v>
      </c>
      <c r="DB167" s="2337">
        <v>4.3600000000000003</v>
      </c>
      <c r="DC167" s="2337">
        <v>8.2200000000000006</v>
      </c>
      <c r="DD167" s="2337">
        <v>13.66</v>
      </c>
      <c r="DE167" s="2337">
        <v>21.09</v>
      </c>
      <c r="DF167" s="2337">
        <v>27.72</v>
      </c>
      <c r="DG167" s="2337">
        <v>39.700000000000003</v>
      </c>
      <c r="DH167" s="2337">
        <v>57.33</v>
      </c>
      <c r="DI167" s="2337">
        <v>84.16</v>
      </c>
      <c r="DJ167" s="2337">
        <v>123.76</v>
      </c>
      <c r="DK167" s="2337">
        <v>182.97</v>
      </c>
      <c r="DL167" s="2250"/>
      <c r="DM167" s="2250"/>
      <c r="DN167" s="2250"/>
      <c r="DO167" s="2250"/>
      <c r="DP167" s="2250"/>
      <c r="DQ167" s="2277"/>
      <c r="DR167" s="2277"/>
      <c r="DS167" s="2278"/>
      <c r="DT167" s="2250"/>
      <c r="DU167" s="2250"/>
      <c r="DV167" s="2250"/>
      <c r="DW167" s="2250"/>
      <c r="DX167" s="2275"/>
      <c r="DY167" s="2333">
        <v>92.9</v>
      </c>
      <c r="DZ167" s="2336">
        <v>7.62</v>
      </c>
      <c r="EA167" s="2336">
        <v>11.39</v>
      </c>
      <c r="EB167" s="2336">
        <v>22.28</v>
      </c>
      <c r="EC167" s="2336">
        <v>38.42</v>
      </c>
      <c r="ED167" s="2336">
        <v>60.99</v>
      </c>
      <c r="EE167" s="2336">
        <v>91.19</v>
      </c>
      <c r="EF167" s="2336">
        <v>130.30000000000001</v>
      </c>
      <c r="EG167" s="2336">
        <v>177.82</v>
      </c>
      <c r="EH167" s="2336">
        <v>241.78</v>
      </c>
      <c r="EI167" s="2336">
        <v>385.54</v>
      </c>
      <c r="EJ167" s="2336">
        <v>575.45000000000005</v>
      </c>
      <c r="EK167" s="2250"/>
      <c r="EL167" s="2250"/>
      <c r="EM167" s="2333">
        <v>92.9</v>
      </c>
      <c r="EN167" s="2336">
        <v>5.54</v>
      </c>
      <c r="EO167" s="2336">
        <v>8.32</v>
      </c>
      <c r="EP167" s="2336">
        <v>16.239999999999998</v>
      </c>
      <c r="EQ167" s="2336">
        <v>27.82</v>
      </c>
      <c r="ER167" s="2336">
        <v>44.46</v>
      </c>
      <c r="ES167" s="2336">
        <v>62.57</v>
      </c>
      <c r="ET167" s="2336">
        <v>90.59</v>
      </c>
      <c r="EU167" s="2336">
        <v>129.6</v>
      </c>
      <c r="EV167" s="2336">
        <v>176.14</v>
      </c>
      <c r="EW167" s="2336">
        <v>275.05</v>
      </c>
      <c r="EX167" s="2336">
        <v>399.8</v>
      </c>
      <c r="EY167" s="2250"/>
      <c r="EZ167" s="2250"/>
      <c r="FA167" s="2333">
        <v>92.9</v>
      </c>
      <c r="FB167" s="2336">
        <v>4.74</v>
      </c>
      <c r="FC167" s="2336">
        <v>7.11</v>
      </c>
      <c r="FD167" s="2336">
        <v>14</v>
      </c>
      <c r="FE167" s="2336">
        <v>23.7</v>
      </c>
      <c r="FF167" s="2336">
        <v>37.58</v>
      </c>
      <c r="FG167" s="2336">
        <v>47.74</v>
      </c>
      <c r="FH167" s="2336">
        <v>69.069999999999993</v>
      </c>
      <c r="FI167" s="2336">
        <v>102.14</v>
      </c>
      <c r="FJ167" s="2336">
        <v>140.41</v>
      </c>
      <c r="FK167" s="2336">
        <v>209.82</v>
      </c>
      <c r="FL167" s="2336">
        <v>305.08</v>
      </c>
      <c r="FM167" s="2250"/>
      <c r="FN167" s="2250"/>
      <c r="FO167" s="2333">
        <v>92.9</v>
      </c>
      <c r="FP167" s="2337">
        <v>3.07</v>
      </c>
      <c r="FQ167" s="2337">
        <v>4.3600000000000003</v>
      </c>
      <c r="FR167" s="2337">
        <v>8.51</v>
      </c>
      <c r="FS167" s="2337">
        <v>13.66</v>
      </c>
      <c r="FT167" s="2337">
        <v>21.78</v>
      </c>
      <c r="FU167" s="2337">
        <v>27.13</v>
      </c>
      <c r="FV167" s="2337">
        <v>39.409999999999997</v>
      </c>
      <c r="FW167" s="2337">
        <v>59.01</v>
      </c>
      <c r="FX167" s="2337">
        <v>80.099999999999994</v>
      </c>
      <c r="FY167" s="2337">
        <v>119.8</v>
      </c>
      <c r="FZ167" s="2337">
        <v>174.16</v>
      </c>
      <c r="GA167" s="2250"/>
      <c r="GB167" s="2250"/>
      <c r="GC167" s="1302">
        <v>78.2</v>
      </c>
      <c r="GD167" s="1302">
        <v>83.3</v>
      </c>
      <c r="GE167" s="2250"/>
      <c r="GF167" s="2275"/>
      <c r="GG167" s="2333">
        <v>92.9</v>
      </c>
      <c r="GH167" s="2336">
        <v>7.62</v>
      </c>
      <c r="GI167" s="2336">
        <v>11.39</v>
      </c>
      <c r="GJ167" s="2336">
        <v>22.28</v>
      </c>
      <c r="GK167" s="2336">
        <v>38.42</v>
      </c>
      <c r="GL167" s="2336">
        <v>60.99</v>
      </c>
      <c r="GM167" s="2336">
        <v>91.19</v>
      </c>
      <c r="GN167" s="2336">
        <v>130.30000000000001</v>
      </c>
      <c r="GO167" s="2336">
        <v>177.82</v>
      </c>
      <c r="GP167" s="2336">
        <v>241.78</v>
      </c>
      <c r="GQ167" s="2336">
        <v>385.54</v>
      </c>
      <c r="GR167" s="2336">
        <v>575.45000000000005</v>
      </c>
      <c r="GS167" s="2250"/>
      <c r="GT167" s="2250"/>
      <c r="GU167" s="2333">
        <v>92.9</v>
      </c>
      <c r="GV167" s="2336">
        <v>5.54</v>
      </c>
      <c r="GW167" s="2336">
        <v>8.32</v>
      </c>
      <c r="GX167" s="2336">
        <v>16.239999999999998</v>
      </c>
      <c r="GY167" s="2336">
        <v>27.82</v>
      </c>
      <c r="GZ167" s="2336">
        <v>44.46</v>
      </c>
      <c r="HA167" s="2336">
        <v>62.57</v>
      </c>
      <c r="HB167" s="2336">
        <v>90.59</v>
      </c>
      <c r="HC167" s="2336">
        <v>129.6</v>
      </c>
      <c r="HD167" s="2336">
        <v>176.14</v>
      </c>
      <c r="HE167" s="2336">
        <v>275.05</v>
      </c>
      <c r="HF167" s="2336">
        <v>399.8</v>
      </c>
      <c r="HG167" s="2250"/>
      <c r="HH167" s="2250"/>
      <c r="HI167" s="2333">
        <v>92.9</v>
      </c>
      <c r="HJ167" s="2336">
        <v>4.74</v>
      </c>
      <c r="HK167" s="2336">
        <v>7.11</v>
      </c>
      <c r="HL167" s="2336">
        <v>14</v>
      </c>
      <c r="HM167" s="2336">
        <v>23.7</v>
      </c>
      <c r="HN167" s="2336">
        <v>37.58</v>
      </c>
      <c r="HO167" s="2336">
        <v>47.74</v>
      </c>
      <c r="HP167" s="2336">
        <v>69.069999999999993</v>
      </c>
      <c r="HQ167" s="2336">
        <v>102.14</v>
      </c>
      <c r="HR167" s="2336">
        <v>140.41</v>
      </c>
      <c r="HS167" s="2336">
        <v>209.82</v>
      </c>
      <c r="HT167" s="2336">
        <v>305.08</v>
      </c>
      <c r="HU167" s="2250"/>
      <c r="HV167" s="2250"/>
      <c r="HW167" s="2333">
        <v>92.9</v>
      </c>
      <c r="HX167" s="2337">
        <v>3.07</v>
      </c>
      <c r="HY167" s="2337">
        <v>4.3600000000000003</v>
      </c>
      <c r="HZ167" s="2337">
        <v>8.51</v>
      </c>
      <c r="IA167" s="2337">
        <v>13.66</v>
      </c>
      <c r="IB167" s="2337">
        <v>21.78</v>
      </c>
      <c r="IC167" s="2337">
        <v>27.13</v>
      </c>
      <c r="ID167" s="2337">
        <v>39.409999999999997</v>
      </c>
      <c r="IE167" s="2337">
        <v>59.01</v>
      </c>
      <c r="IF167" s="2337">
        <v>80.099999999999994</v>
      </c>
      <c r="IG167" s="2337">
        <v>119.8</v>
      </c>
      <c r="IH167" s="2337">
        <v>174.16</v>
      </c>
      <c r="II167" s="2250"/>
      <c r="IJ167" s="2250"/>
      <c r="IK167" s="2250"/>
      <c r="IL167" s="2250"/>
    </row>
    <row r="168" spans="1:246" ht="21.95" customHeight="1">
      <c r="A168" s="2275"/>
      <c r="B168" s="2333">
        <v>83.3</v>
      </c>
      <c r="C168" s="2336">
        <v>8.42</v>
      </c>
      <c r="D168" s="2336">
        <v>12.38</v>
      </c>
      <c r="E168" s="2336">
        <v>24.06</v>
      </c>
      <c r="F168" s="2336">
        <v>42.57</v>
      </c>
      <c r="G168" s="2336">
        <v>66.14</v>
      </c>
      <c r="H168" s="2336">
        <v>100.3</v>
      </c>
      <c r="I168" s="2336">
        <v>143.76</v>
      </c>
      <c r="J168" s="2336">
        <v>192.97</v>
      </c>
      <c r="K168" s="2336">
        <v>267.92</v>
      </c>
      <c r="L168" s="2336">
        <v>420.79</v>
      </c>
      <c r="M168" s="2336">
        <v>621.19000000000005</v>
      </c>
      <c r="N168" s="2250"/>
      <c r="O168" s="2250"/>
      <c r="P168" s="2333">
        <v>83.3</v>
      </c>
      <c r="Q168" s="2336">
        <v>6.14</v>
      </c>
      <c r="R168" s="2336">
        <v>9.01</v>
      </c>
      <c r="S168" s="2336">
        <v>17.52</v>
      </c>
      <c r="T168" s="2336">
        <v>30.99</v>
      </c>
      <c r="U168" s="2336">
        <v>48.12</v>
      </c>
      <c r="V168" s="2336">
        <v>65.84</v>
      </c>
      <c r="W168" s="2336">
        <v>95.35</v>
      </c>
      <c r="X168" s="2336">
        <v>140.30000000000001</v>
      </c>
      <c r="Y168" s="2336">
        <v>194.85</v>
      </c>
      <c r="Z168" s="2336">
        <v>298.42</v>
      </c>
      <c r="AA168" s="2336">
        <v>443.66</v>
      </c>
      <c r="AB168" s="2250"/>
      <c r="AC168" s="2250"/>
      <c r="AD168" s="2333">
        <v>83.3</v>
      </c>
      <c r="AE168" s="2336">
        <v>5.3</v>
      </c>
      <c r="AF168" s="2336">
        <v>7.79</v>
      </c>
      <c r="AG168" s="2336">
        <v>15.12</v>
      </c>
      <c r="AH168" s="2336">
        <v>25.17</v>
      </c>
      <c r="AI168" s="2336">
        <v>39.5</v>
      </c>
      <c r="AJ168" s="2336">
        <v>49.89</v>
      </c>
      <c r="AK168" s="2336">
        <v>72.69</v>
      </c>
      <c r="AL168" s="2336">
        <v>107.34</v>
      </c>
      <c r="AM168" s="2336">
        <v>154.85</v>
      </c>
      <c r="AN168" s="2336">
        <v>227.43</v>
      </c>
      <c r="AO168" s="2336">
        <v>339.39</v>
      </c>
      <c r="AP168" s="2250"/>
      <c r="AQ168" s="2250"/>
      <c r="AR168" s="2333">
        <v>83.3</v>
      </c>
      <c r="AS168" s="2337">
        <v>3.17</v>
      </c>
      <c r="AT168" s="2337">
        <v>4.75</v>
      </c>
      <c r="AU168" s="2337">
        <v>8.81</v>
      </c>
      <c r="AV168" s="2337">
        <v>14.36</v>
      </c>
      <c r="AW168" s="2337">
        <v>22.67</v>
      </c>
      <c r="AX168" s="2337">
        <v>28.51</v>
      </c>
      <c r="AY168" s="2337">
        <v>41.78</v>
      </c>
      <c r="AZ168" s="2337">
        <v>61.49</v>
      </c>
      <c r="BA168" s="2337">
        <v>88.12</v>
      </c>
      <c r="BB168" s="2337">
        <v>129.5</v>
      </c>
      <c r="BC168" s="2337">
        <v>144.46</v>
      </c>
      <c r="BD168" s="2250"/>
      <c r="BE168" s="2250"/>
      <c r="BF168" s="1302">
        <v>88.2</v>
      </c>
      <c r="BG168" s="1302">
        <v>92.9</v>
      </c>
      <c r="BH168" s="2250"/>
      <c r="BI168" s="2275"/>
      <c r="BJ168" s="2333">
        <v>83.3</v>
      </c>
      <c r="BK168" s="2336">
        <v>8.42</v>
      </c>
      <c r="BL168" s="2336">
        <v>12.38</v>
      </c>
      <c r="BM168" s="2336">
        <v>24.06</v>
      </c>
      <c r="BN168" s="2336">
        <v>42.57</v>
      </c>
      <c r="BO168" s="2336">
        <v>66.14</v>
      </c>
      <c r="BP168" s="2336">
        <v>100.3</v>
      </c>
      <c r="BQ168" s="2336">
        <v>143.76</v>
      </c>
      <c r="BR168" s="2336">
        <v>192.97</v>
      </c>
      <c r="BS168" s="2336">
        <v>267.92</v>
      </c>
      <c r="BT168" s="2336">
        <v>420.79</v>
      </c>
      <c r="BU168" s="2336">
        <v>621.19000000000005</v>
      </c>
      <c r="BV168" s="2250"/>
      <c r="BW168" s="2250"/>
      <c r="BX168" s="2333">
        <v>83.3</v>
      </c>
      <c r="BY168" s="2336">
        <v>6.14</v>
      </c>
      <c r="BZ168" s="2336">
        <v>9.01</v>
      </c>
      <c r="CA168" s="2336">
        <v>17.52</v>
      </c>
      <c r="CB168" s="2336">
        <v>30.99</v>
      </c>
      <c r="CC168" s="2336">
        <v>48.12</v>
      </c>
      <c r="CD168" s="2336">
        <v>65.84</v>
      </c>
      <c r="CE168" s="2336">
        <v>95.35</v>
      </c>
      <c r="CF168" s="2336">
        <v>140.30000000000001</v>
      </c>
      <c r="CG168" s="2336">
        <v>194.85</v>
      </c>
      <c r="CH168" s="2336">
        <v>298.42</v>
      </c>
      <c r="CI168" s="2336">
        <v>443.66</v>
      </c>
      <c r="CJ168" s="2250"/>
      <c r="CK168" s="2250"/>
      <c r="CL168" s="2333">
        <v>83.3</v>
      </c>
      <c r="CM168" s="2336">
        <v>5.3</v>
      </c>
      <c r="CN168" s="2336">
        <v>7.79</v>
      </c>
      <c r="CO168" s="2336">
        <v>15.12</v>
      </c>
      <c r="CP168" s="2336">
        <v>25.17</v>
      </c>
      <c r="CQ168" s="2336">
        <v>39.5</v>
      </c>
      <c r="CR168" s="2336">
        <v>49.89</v>
      </c>
      <c r="CS168" s="2336">
        <v>72.69</v>
      </c>
      <c r="CT168" s="2336">
        <v>107.34</v>
      </c>
      <c r="CU168" s="2336">
        <v>154.85</v>
      </c>
      <c r="CV168" s="2336">
        <v>227.43</v>
      </c>
      <c r="CW168" s="2336">
        <v>339.39</v>
      </c>
      <c r="CX168" s="2250"/>
      <c r="CY168" s="2250"/>
      <c r="CZ168" s="2333">
        <v>83.3</v>
      </c>
      <c r="DA168" s="2337">
        <v>3.17</v>
      </c>
      <c r="DB168" s="2337">
        <v>4.75</v>
      </c>
      <c r="DC168" s="2337">
        <v>8.81</v>
      </c>
      <c r="DD168" s="2337">
        <v>14.36</v>
      </c>
      <c r="DE168" s="2337">
        <v>22.67</v>
      </c>
      <c r="DF168" s="2337">
        <v>28.51</v>
      </c>
      <c r="DG168" s="2337">
        <v>41.78</v>
      </c>
      <c r="DH168" s="2337">
        <v>61.49</v>
      </c>
      <c r="DI168" s="2337">
        <v>88.12</v>
      </c>
      <c r="DJ168" s="2337">
        <v>129.5</v>
      </c>
      <c r="DK168" s="2337">
        <v>144.46</v>
      </c>
      <c r="DL168" s="2250"/>
      <c r="DM168" s="2250"/>
      <c r="DN168" s="2250"/>
      <c r="DO168" s="2250"/>
      <c r="DP168" s="2250"/>
      <c r="DQ168" s="2277"/>
      <c r="DR168" s="2277"/>
      <c r="DS168" s="2278"/>
      <c r="DT168" s="2250"/>
      <c r="DU168" s="2250"/>
      <c r="DV168" s="2250"/>
      <c r="DW168" s="2250"/>
      <c r="DX168" s="2275"/>
      <c r="DY168" s="2333">
        <v>88.2</v>
      </c>
      <c r="DZ168" s="2336">
        <v>8.02</v>
      </c>
      <c r="EA168" s="2336">
        <v>11.98</v>
      </c>
      <c r="EB168" s="2336">
        <v>23.37</v>
      </c>
      <c r="EC168" s="2336">
        <v>40.4</v>
      </c>
      <c r="ED168" s="2336">
        <v>64.16</v>
      </c>
      <c r="EE168" s="2336">
        <v>92.38</v>
      </c>
      <c r="EF168" s="2336">
        <v>136.34</v>
      </c>
      <c r="EG168" s="2336">
        <v>186.93</v>
      </c>
      <c r="EH168" s="2336">
        <v>253.96</v>
      </c>
      <c r="EI168" s="2336">
        <v>399.6</v>
      </c>
      <c r="EJ168" s="2336">
        <v>582.38</v>
      </c>
      <c r="EK168" s="2250"/>
      <c r="EL168" s="2250"/>
      <c r="EM168" s="2333">
        <v>88.2</v>
      </c>
      <c r="EN168" s="2336">
        <v>5.84</v>
      </c>
      <c r="EO168" s="2336">
        <v>8.7100000000000009</v>
      </c>
      <c r="EP168" s="2336">
        <v>17.03</v>
      </c>
      <c r="EQ168" s="2336">
        <v>29.41</v>
      </c>
      <c r="ER168" s="2336">
        <v>46.73</v>
      </c>
      <c r="ES168" s="2336">
        <v>63.37</v>
      </c>
      <c r="ET168" s="2336">
        <v>90.79</v>
      </c>
      <c r="EU168" s="2336">
        <v>131.38999999999999</v>
      </c>
      <c r="EV168" s="2336">
        <v>185.05</v>
      </c>
      <c r="EW168" s="2336">
        <v>284.64999999999998</v>
      </c>
      <c r="EX168" s="2336">
        <v>427.92</v>
      </c>
      <c r="EY168" s="2250"/>
      <c r="EZ168" s="2250"/>
      <c r="FA168" s="2333">
        <v>88.2</v>
      </c>
      <c r="FB168" s="2336">
        <v>5.08</v>
      </c>
      <c r="FC168" s="2336">
        <v>7.56</v>
      </c>
      <c r="FD168" s="2336">
        <v>14.33</v>
      </c>
      <c r="FE168" s="2336">
        <v>23.93</v>
      </c>
      <c r="FF168" s="2336">
        <v>36.909999999999997</v>
      </c>
      <c r="FG168" s="2336">
        <v>48.31</v>
      </c>
      <c r="FH168" s="2336">
        <v>69.41</v>
      </c>
      <c r="FI168" s="2336">
        <v>100.23</v>
      </c>
      <c r="FJ168" s="2336">
        <v>147.18</v>
      </c>
      <c r="FK168" s="2336">
        <v>217.38</v>
      </c>
      <c r="FL168" s="2336">
        <v>319.3</v>
      </c>
      <c r="FM168" s="2250"/>
      <c r="FN168" s="2250"/>
      <c r="FO168" s="2333">
        <v>88.2</v>
      </c>
      <c r="FP168" s="2337">
        <v>3.07</v>
      </c>
      <c r="FQ168" s="2337">
        <v>4.3600000000000003</v>
      </c>
      <c r="FR168" s="2337">
        <v>8.2200000000000006</v>
      </c>
      <c r="FS168" s="2337">
        <v>13.66</v>
      </c>
      <c r="FT168" s="2337">
        <v>21.09</v>
      </c>
      <c r="FU168" s="2337">
        <v>27.72</v>
      </c>
      <c r="FV168" s="2337">
        <v>39.700000000000003</v>
      </c>
      <c r="FW168" s="2337">
        <v>57.33</v>
      </c>
      <c r="FX168" s="2337">
        <v>84.16</v>
      </c>
      <c r="FY168" s="2337">
        <v>123.76</v>
      </c>
      <c r="FZ168" s="2337">
        <v>182.97</v>
      </c>
      <c r="GA168" s="2250"/>
      <c r="GB168" s="2250"/>
      <c r="GC168" s="1302">
        <v>83.3</v>
      </c>
      <c r="GD168" s="1302">
        <v>88.2</v>
      </c>
      <c r="GE168" s="2250"/>
      <c r="GF168" s="2275"/>
      <c r="GG168" s="2333">
        <v>88.2</v>
      </c>
      <c r="GH168" s="2336">
        <v>8.02</v>
      </c>
      <c r="GI168" s="2336">
        <v>11.98</v>
      </c>
      <c r="GJ168" s="2336">
        <v>23.37</v>
      </c>
      <c r="GK168" s="2336">
        <v>40.4</v>
      </c>
      <c r="GL168" s="2336">
        <v>64.16</v>
      </c>
      <c r="GM168" s="2336">
        <v>92.38</v>
      </c>
      <c r="GN168" s="2336">
        <v>136.34</v>
      </c>
      <c r="GO168" s="2336">
        <v>186.93</v>
      </c>
      <c r="GP168" s="2336">
        <v>253.96</v>
      </c>
      <c r="GQ168" s="2336">
        <v>399.6</v>
      </c>
      <c r="GR168" s="2336">
        <v>582.38</v>
      </c>
      <c r="GS168" s="2250"/>
      <c r="GT168" s="2250"/>
      <c r="GU168" s="2333">
        <v>88.2</v>
      </c>
      <c r="GV168" s="2336">
        <v>5.84</v>
      </c>
      <c r="GW168" s="2336">
        <v>8.7100000000000009</v>
      </c>
      <c r="GX168" s="2336">
        <v>17.03</v>
      </c>
      <c r="GY168" s="2336">
        <v>29.41</v>
      </c>
      <c r="GZ168" s="2336">
        <v>46.73</v>
      </c>
      <c r="HA168" s="2336">
        <v>63.37</v>
      </c>
      <c r="HB168" s="2336">
        <v>90.79</v>
      </c>
      <c r="HC168" s="2336">
        <v>131.38999999999999</v>
      </c>
      <c r="HD168" s="2336">
        <v>185.05</v>
      </c>
      <c r="HE168" s="2336">
        <v>284.64999999999998</v>
      </c>
      <c r="HF168" s="2336">
        <v>427.92</v>
      </c>
      <c r="HG168" s="2250"/>
      <c r="HH168" s="2250"/>
      <c r="HI168" s="2333">
        <v>88.2</v>
      </c>
      <c r="HJ168" s="2336">
        <v>5.08</v>
      </c>
      <c r="HK168" s="2336">
        <v>7.56</v>
      </c>
      <c r="HL168" s="2336">
        <v>14.33</v>
      </c>
      <c r="HM168" s="2336">
        <v>23.93</v>
      </c>
      <c r="HN168" s="2336">
        <v>36.909999999999997</v>
      </c>
      <c r="HO168" s="2336">
        <v>48.31</v>
      </c>
      <c r="HP168" s="2336">
        <v>69.41</v>
      </c>
      <c r="HQ168" s="2336">
        <v>100.23</v>
      </c>
      <c r="HR168" s="2336">
        <v>147.18</v>
      </c>
      <c r="HS168" s="2336">
        <v>217.38</v>
      </c>
      <c r="HT168" s="2336">
        <v>319.3</v>
      </c>
      <c r="HU168" s="2250"/>
      <c r="HV168" s="2250"/>
      <c r="HW168" s="2333">
        <v>88.2</v>
      </c>
      <c r="HX168" s="2337">
        <v>3.07</v>
      </c>
      <c r="HY168" s="2337">
        <v>4.3600000000000003</v>
      </c>
      <c r="HZ168" s="2337">
        <v>8.2200000000000006</v>
      </c>
      <c r="IA168" s="2337">
        <v>13.66</v>
      </c>
      <c r="IB168" s="2337">
        <v>21.09</v>
      </c>
      <c r="IC168" s="2337">
        <v>27.72</v>
      </c>
      <c r="ID168" s="2337">
        <v>39.700000000000003</v>
      </c>
      <c r="IE168" s="2337">
        <v>57.33</v>
      </c>
      <c r="IF168" s="2337">
        <v>84.16</v>
      </c>
      <c r="IG168" s="2337">
        <v>123.76</v>
      </c>
      <c r="IH168" s="2337">
        <v>182.97</v>
      </c>
      <c r="II168" s="2250"/>
      <c r="IJ168" s="2250"/>
      <c r="IK168" s="2250"/>
      <c r="IL168" s="2250"/>
    </row>
    <row r="169" spans="1:246" ht="21.95" customHeight="1">
      <c r="A169" s="2275"/>
      <c r="B169" s="2333">
        <v>78.2</v>
      </c>
      <c r="C169" s="2336">
        <v>8.7100000000000009</v>
      </c>
      <c r="D169" s="2336">
        <v>13.17</v>
      </c>
      <c r="E169" s="2336">
        <v>25.64</v>
      </c>
      <c r="F169" s="2336">
        <v>44.06</v>
      </c>
      <c r="G169" s="2336">
        <v>70.099999999999994</v>
      </c>
      <c r="H169" s="2336">
        <v>104.26</v>
      </c>
      <c r="I169" s="2336">
        <v>147.13</v>
      </c>
      <c r="J169" s="2336">
        <v>205.05</v>
      </c>
      <c r="K169" s="2336">
        <v>277.02999999999997</v>
      </c>
      <c r="L169" s="2336">
        <v>442.18</v>
      </c>
      <c r="M169" s="2336">
        <v>660.5</v>
      </c>
      <c r="N169" s="2250"/>
      <c r="O169" s="2250"/>
      <c r="P169" s="2333">
        <v>78.2</v>
      </c>
      <c r="Q169" s="2336">
        <v>6.34</v>
      </c>
      <c r="R169" s="2336">
        <v>9.5</v>
      </c>
      <c r="S169" s="2336">
        <v>18.61</v>
      </c>
      <c r="T169" s="2336">
        <v>31.98</v>
      </c>
      <c r="U169" s="2336">
        <v>50.89</v>
      </c>
      <c r="V169" s="2336">
        <v>72.08</v>
      </c>
      <c r="W169" s="2336">
        <v>104.06</v>
      </c>
      <c r="X169" s="2336">
        <v>148.91</v>
      </c>
      <c r="Y169" s="2336">
        <v>201.29</v>
      </c>
      <c r="Z169" s="2336">
        <v>321.29000000000002</v>
      </c>
      <c r="AA169" s="2336">
        <v>470.3</v>
      </c>
      <c r="AB169" s="2250"/>
      <c r="AC169" s="2250"/>
      <c r="AD169" s="2333">
        <v>78.2</v>
      </c>
      <c r="AE169" s="2336">
        <v>5.53</v>
      </c>
      <c r="AF169" s="2336">
        <v>8.24</v>
      </c>
      <c r="AG169" s="2336">
        <v>16.14</v>
      </c>
      <c r="AH169" s="2336">
        <v>27.09</v>
      </c>
      <c r="AI169" s="2336">
        <v>43</v>
      </c>
      <c r="AJ169" s="2336">
        <v>54.63</v>
      </c>
      <c r="AK169" s="2336">
        <v>79.91</v>
      </c>
      <c r="AL169" s="2336">
        <v>113.77</v>
      </c>
      <c r="AM169" s="2336">
        <v>166.37</v>
      </c>
      <c r="AN169" s="2336">
        <v>248.76</v>
      </c>
      <c r="AO169" s="2336">
        <v>358.8</v>
      </c>
      <c r="AP169" s="2250"/>
      <c r="AQ169" s="2250"/>
      <c r="AR169" s="2333">
        <v>78.2</v>
      </c>
      <c r="AS169" s="2337">
        <v>3.56</v>
      </c>
      <c r="AT169" s="2337">
        <v>4.95</v>
      </c>
      <c r="AU169" s="2337">
        <v>9.31</v>
      </c>
      <c r="AV169" s="2337">
        <v>15.45</v>
      </c>
      <c r="AW169" s="2337">
        <v>24.65</v>
      </c>
      <c r="AX169" s="2337">
        <v>31.29</v>
      </c>
      <c r="AY169" s="2337">
        <v>45.54</v>
      </c>
      <c r="AZ169" s="2337">
        <v>64.849999999999994</v>
      </c>
      <c r="BA169" s="2337">
        <v>94.85</v>
      </c>
      <c r="BB169" s="2337">
        <v>141.88</v>
      </c>
      <c r="BC169" s="2337">
        <v>204.26</v>
      </c>
      <c r="BD169" s="2250"/>
      <c r="BE169" s="2250"/>
      <c r="BF169" s="1302">
        <v>92.9</v>
      </c>
      <c r="BG169" s="1302">
        <v>97.1</v>
      </c>
      <c r="BH169" s="2250"/>
      <c r="BI169" s="2275"/>
      <c r="BJ169" s="2333">
        <v>78.2</v>
      </c>
      <c r="BK169" s="2336">
        <v>8.7100000000000009</v>
      </c>
      <c r="BL169" s="2336">
        <v>13.17</v>
      </c>
      <c r="BM169" s="2336">
        <v>25.64</v>
      </c>
      <c r="BN169" s="2336">
        <v>44.06</v>
      </c>
      <c r="BO169" s="2336">
        <v>70.099999999999994</v>
      </c>
      <c r="BP169" s="2336">
        <v>104.26</v>
      </c>
      <c r="BQ169" s="2336">
        <v>147.13</v>
      </c>
      <c r="BR169" s="2336">
        <v>205.05</v>
      </c>
      <c r="BS169" s="2336">
        <v>277.02999999999997</v>
      </c>
      <c r="BT169" s="2336">
        <v>442.18</v>
      </c>
      <c r="BU169" s="2336">
        <v>660.5</v>
      </c>
      <c r="BV169" s="2250"/>
      <c r="BW169" s="2250"/>
      <c r="BX169" s="2333">
        <v>78.2</v>
      </c>
      <c r="BY169" s="2336">
        <v>6.34</v>
      </c>
      <c r="BZ169" s="2336">
        <v>9.5</v>
      </c>
      <c r="CA169" s="2336">
        <v>18.61</v>
      </c>
      <c r="CB169" s="2336">
        <v>31.98</v>
      </c>
      <c r="CC169" s="2336">
        <v>50.89</v>
      </c>
      <c r="CD169" s="2336">
        <v>72.08</v>
      </c>
      <c r="CE169" s="2336">
        <v>104.06</v>
      </c>
      <c r="CF169" s="2336">
        <v>148.91</v>
      </c>
      <c r="CG169" s="2336">
        <v>201.29</v>
      </c>
      <c r="CH169" s="2336">
        <v>321.29000000000002</v>
      </c>
      <c r="CI169" s="2336">
        <v>470.3</v>
      </c>
      <c r="CJ169" s="2250"/>
      <c r="CK169" s="2250"/>
      <c r="CL169" s="2333">
        <v>78.2</v>
      </c>
      <c r="CM169" s="2336">
        <v>5.53</v>
      </c>
      <c r="CN169" s="2336">
        <v>8.24</v>
      </c>
      <c r="CO169" s="2336">
        <v>16.14</v>
      </c>
      <c r="CP169" s="2336">
        <v>27.09</v>
      </c>
      <c r="CQ169" s="2336">
        <v>43</v>
      </c>
      <c r="CR169" s="2336">
        <v>54.63</v>
      </c>
      <c r="CS169" s="2336">
        <v>79.91</v>
      </c>
      <c r="CT169" s="2336">
        <v>113.77</v>
      </c>
      <c r="CU169" s="2336">
        <v>166.37</v>
      </c>
      <c r="CV169" s="2336">
        <v>248.76</v>
      </c>
      <c r="CW169" s="2336">
        <v>358.8</v>
      </c>
      <c r="CX169" s="2250"/>
      <c r="CY169" s="2250"/>
      <c r="CZ169" s="2333">
        <v>78.2</v>
      </c>
      <c r="DA169" s="2337">
        <v>3.56</v>
      </c>
      <c r="DB169" s="2337">
        <v>4.95</v>
      </c>
      <c r="DC169" s="2337">
        <v>9.31</v>
      </c>
      <c r="DD169" s="2337">
        <v>15.45</v>
      </c>
      <c r="DE169" s="2337">
        <v>24.65</v>
      </c>
      <c r="DF169" s="2337">
        <v>31.29</v>
      </c>
      <c r="DG169" s="2337">
        <v>45.54</v>
      </c>
      <c r="DH169" s="2337">
        <v>64.849999999999994</v>
      </c>
      <c r="DI169" s="2337">
        <v>94.85</v>
      </c>
      <c r="DJ169" s="2337">
        <v>141.88</v>
      </c>
      <c r="DK169" s="2337">
        <v>204.26</v>
      </c>
      <c r="DL169" s="2250"/>
      <c r="DM169" s="2250"/>
      <c r="DN169" s="2250"/>
      <c r="DO169" s="2250"/>
      <c r="DP169" s="2250"/>
      <c r="DQ169" s="2277"/>
      <c r="DR169" s="2277"/>
      <c r="DS169" s="2278"/>
      <c r="DT169" s="2250"/>
      <c r="DU169" s="2250"/>
      <c r="DV169" s="2250"/>
      <c r="DW169" s="2250"/>
      <c r="DX169" s="2275"/>
      <c r="DY169" s="2333">
        <v>83.3</v>
      </c>
      <c r="DZ169" s="2336">
        <v>8.42</v>
      </c>
      <c r="EA169" s="2336">
        <v>12.38</v>
      </c>
      <c r="EB169" s="2336">
        <v>24.06</v>
      </c>
      <c r="EC169" s="2336">
        <v>42.57</v>
      </c>
      <c r="ED169" s="2336">
        <v>66.14</v>
      </c>
      <c r="EE169" s="2336">
        <v>100.3</v>
      </c>
      <c r="EF169" s="2336">
        <v>143.76</v>
      </c>
      <c r="EG169" s="2336">
        <v>192.97</v>
      </c>
      <c r="EH169" s="2336">
        <v>267.92</v>
      </c>
      <c r="EI169" s="2336">
        <v>420.79</v>
      </c>
      <c r="EJ169" s="2336">
        <v>621.19000000000005</v>
      </c>
      <c r="EK169" s="2250"/>
      <c r="EL169" s="2250"/>
      <c r="EM169" s="2333">
        <v>83.3</v>
      </c>
      <c r="EN169" s="2336">
        <v>6.14</v>
      </c>
      <c r="EO169" s="2336">
        <v>9.01</v>
      </c>
      <c r="EP169" s="2336">
        <v>17.52</v>
      </c>
      <c r="EQ169" s="2336">
        <v>30.99</v>
      </c>
      <c r="ER169" s="2336">
        <v>48.12</v>
      </c>
      <c r="ES169" s="2336">
        <v>65.84</v>
      </c>
      <c r="ET169" s="2336">
        <v>95.35</v>
      </c>
      <c r="EU169" s="2336">
        <v>140.30000000000001</v>
      </c>
      <c r="EV169" s="2336">
        <v>194.85</v>
      </c>
      <c r="EW169" s="2336">
        <v>298.42</v>
      </c>
      <c r="EX169" s="2336">
        <v>443.66</v>
      </c>
      <c r="EY169" s="2250"/>
      <c r="EZ169" s="2250"/>
      <c r="FA169" s="2333">
        <v>83.3</v>
      </c>
      <c r="FB169" s="2336">
        <v>5.3</v>
      </c>
      <c r="FC169" s="2336">
        <v>7.79</v>
      </c>
      <c r="FD169" s="2336">
        <v>15.12</v>
      </c>
      <c r="FE169" s="2336">
        <v>25.17</v>
      </c>
      <c r="FF169" s="2336">
        <v>39.5</v>
      </c>
      <c r="FG169" s="2336">
        <v>49.89</v>
      </c>
      <c r="FH169" s="2336">
        <v>72.69</v>
      </c>
      <c r="FI169" s="2336">
        <v>107.34</v>
      </c>
      <c r="FJ169" s="2336">
        <v>154.85</v>
      </c>
      <c r="FK169" s="2336">
        <v>227.43</v>
      </c>
      <c r="FL169" s="2336">
        <v>339.39</v>
      </c>
      <c r="FM169" s="2250"/>
      <c r="FN169" s="2250"/>
      <c r="FO169" s="2333">
        <v>83.3</v>
      </c>
      <c r="FP169" s="2337">
        <v>3.17</v>
      </c>
      <c r="FQ169" s="2337">
        <v>4.75</v>
      </c>
      <c r="FR169" s="2337">
        <v>8.81</v>
      </c>
      <c r="FS169" s="2337">
        <v>14.36</v>
      </c>
      <c r="FT169" s="2337">
        <v>22.67</v>
      </c>
      <c r="FU169" s="2337">
        <v>28.51</v>
      </c>
      <c r="FV169" s="2337">
        <v>41.78</v>
      </c>
      <c r="FW169" s="2337">
        <v>61.49</v>
      </c>
      <c r="FX169" s="2337">
        <v>88.12</v>
      </c>
      <c r="FY169" s="2337">
        <v>129.5</v>
      </c>
      <c r="FZ169" s="2337">
        <v>144.46</v>
      </c>
      <c r="GA169" s="2250"/>
      <c r="GB169" s="2250"/>
      <c r="GC169" s="1302">
        <v>88.2</v>
      </c>
      <c r="GD169" s="1302">
        <v>92.9</v>
      </c>
      <c r="GE169" s="2250"/>
      <c r="GF169" s="2275"/>
      <c r="GG169" s="2333">
        <v>83.3</v>
      </c>
      <c r="GH169" s="2336">
        <v>8.42</v>
      </c>
      <c r="GI169" s="2336">
        <v>12.38</v>
      </c>
      <c r="GJ169" s="2336">
        <v>24.06</v>
      </c>
      <c r="GK169" s="2336">
        <v>42.57</v>
      </c>
      <c r="GL169" s="2336">
        <v>66.14</v>
      </c>
      <c r="GM169" s="2336">
        <v>100.3</v>
      </c>
      <c r="GN169" s="2336">
        <v>143.76</v>
      </c>
      <c r="GO169" s="2336">
        <v>192.97</v>
      </c>
      <c r="GP169" s="2336">
        <v>267.92</v>
      </c>
      <c r="GQ169" s="2336">
        <v>420.79</v>
      </c>
      <c r="GR169" s="2336">
        <v>621.19000000000005</v>
      </c>
      <c r="GS169" s="2250"/>
      <c r="GT169" s="2250"/>
      <c r="GU169" s="2333">
        <v>83.3</v>
      </c>
      <c r="GV169" s="2336">
        <v>6.14</v>
      </c>
      <c r="GW169" s="2336">
        <v>9.01</v>
      </c>
      <c r="GX169" s="2336">
        <v>17.52</v>
      </c>
      <c r="GY169" s="2336">
        <v>30.99</v>
      </c>
      <c r="GZ169" s="2336">
        <v>48.12</v>
      </c>
      <c r="HA169" s="2336">
        <v>65.84</v>
      </c>
      <c r="HB169" s="2336">
        <v>95.35</v>
      </c>
      <c r="HC169" s="2336">
        <v>140.30000000000001</v>
      </c>
      <c r="HD169" s="2336">
        <v>194.85</v>
      </c>
      <c r="HE169" s="2336">
        <v>298.42</v>
      </c>
      <c r="HF169" s="2336">
        <v>443.66</v>
      </c>
      <c r="HG169" s="2250"/>
      <c r="HH169" s="2250"/>
      <c r="HI169" s="2333">
        <v>83.3</v>
      </c>
      <c r="HJ169" s="2336">
        <v>5.3</v>
      </c>
      <c r="HK169" s="2336">
        <v>7.79</v>
      </c>
      <c r="HL169" s="2336">
        <v>15.12</v>
      </c>
      <c r="HM169" s="2336">
        <v>25.17</v>
      </c>
      <c r="HN169" s="2336">
        <v>39.5</v>
      </c>
      <c r="HO169" s="2336">
        <v>49.89</v>
      </c>
      <c r="HP169" s="2336">
        <v>72.69</v>
      </c>
      <c r="HQ169" s="2336">
        <v>107.34</v>
      </c>
      <c r="HR169" s="2336">
        <v>154.85</v>
      </c>
      <c r="HS169" s="2336">
        <v>227.43</v>
      </c>
      <c r="HT169" s="2336">
        <v>339.39</v>
      </c>
      <c r="HU169" s="2250"/>
      <c r="HV169" s="2250"/>
      <c r="HW169" s="2333">
        <v>83.3</v>
      </c>
      <c r="HX169" s="2337">
        <v>3.17</v>
      </c>
      <c r="HY169" s="2337">
        <v>4.75</v>
      </c>
      <c r="HZ169" s="2337">
        <v>8.81</v>
      </c>
      <c r="IA169" s="2337">
        <v>14.36</v>
      </c>
      <c r="IB169" s="2337">
        <v>22.67</v>
      </c>
      <c r="IC169" s="2337">
        <v>28.51</v>
      </c>
      <c r="ID169" s="2337">
        <v>41.78</v>
      </c>
      <c r="IE169" s="2337">
        <v>61.49</v>
      </c>
      <c r="IF169" s="2337">
        <v>88.12</v>
      </c>
      <c r="IG169" s="2337">
        <v>129.5</v>
      </c>
      <c r="IH169" s="2337">
        <v>144.46</v>
      </c>
      <c r="II169" s="2250"/>
      <c r="IJ169" s="2250"/>
      <c r="IK169" s="2250"/>
      <c r="IL169" s="2250"/>
    </row>
    <row r="170" spans="1:246" ht="21.95" customHeight="1">
      <c r="A170" s="2275"/>
      <c r="B170" s="2333">
        <v>73.7</v>
      </c>
      <c r="C170" s="2336">
        <v>9.31</v>
      </c>
      <c r="D170" s="2336">
        <v>13.96</v>
      </c>
      <c r="E170" s="2336">
        <v>27.23</v>
      </c>
      <c r="F170" s="2336">
        <v>46.93</v>
      </c>
      <c r="G170" s="2336">
        <v>74.459999999999994</v>
      </c>
      <c r="H170" s="2336">
        <v>112.28</v>
      </c>
      <c r="I170" s="2336">
        <v>155.63999999999999</v>
      </c>
      <c r="J170" s="2336">
        <v>217.13</v>
      </c>
      <c r="K170" s="2336">
        <v>295.25</v>
      </c>
      <c r="L170" s="2336">
        <v>470</v>
      </c>
      <c r="M170" s="2336">
        <v>700.4</v>
      </c>
      <c r="N170" s="2250"/>
      <c r="O170" s="2250"/>
      <c r="P170" s="2333">
        <v>73.7</v>
      </c>
      <c r="Q170" s="2336">
        <v>6.73</v>
      </c>
      <c r="R170" s="2336">
        <v>10.1</v>
      </c>
      <c r="S170" s="2336">
        <v>20</v>
      </c>
      <c r="T170" s="2336">
        <v>34.06</v>
      </c>
      <c r="U170" s="2336">
        <v>54.06</v>
      </c>
      <c r="V170" s="2336">
        <v>72.48</v>
      </c>
      <c r="W170" s="2336">
        <v>111.98</v>
      </c>
      <c r="X170" s="2336">
        <v>157.52000000000001</v>
      </c>
      <c r="Y170" s="2336">
        <v>214.16</v>
      </c>
      <c r="Z170" s="2336">
        <v>340.89</v>
      </c>
      <c r="AA170" s="2336">
        <v>496.04</v>
      </c>
      <c r="AB170" s="2250"/>
      <c r="AC170" s="2250"/>
      <c r="AD170" s="2333">
        <v>73.7</v>
      </c>
      <c r="AE170" s="2336">
        <v>5.87</v>
      </c>
      <c r="AF170" s="2336">
        <v>8.8000000000000007</v>
      </c>
      <c r="AG170" s="2336">
        <v>17.16</v>
      </c>
      <c r="AH170" s="2336">
        <v>28.67</v>
      </c>
      <c r="AI170" s="2336">
        <v>45.6</v>
      </c>
      <c r="AJ170" s="2336">
        <v>54.85</v>
      </c>
      <c r="AK170" s="2336">
        <v>85.44</v>
      </c>
      <c r="AL170" s="2336">
        <v>123.7</v>
      </c>
      <c r="AM170" s="2336">
        <v>173.81</v>
      </c>
      <c r="AN170" s="2336">
        <v>266.48</v>
      </c>
      <c r="AO170" s="2336">
        <v>377.31</v>
      </c>
      <c r="AP170" s="2250"/>
      <c r="AQ170" s="2250"/>
      <c r="AR170" s="2333">
        <v>73.7</v>
      </c>
      <c r="AS170" s="2337">
        <v>3.76</v>
      </c>
      <c r="AT170" s="2337">
        <v>5.25</v>
      </c>
      <c r="AU170" s="2337">
        <v>9.8000000000000007</v>
      </c>
      <c r="AV170" s="2337">
        <v>16.34</v>
      </c>
      <c r="AW170" s="2337">
        <v>25.94</v>
      </c>
      <c r="AX170" s="2337">
        <v>31.58</v>
      </c>
      <c r="AY170" s="2337">
        <v>48.71</v>
      </c>
      <c r="AZ170" s="2337">
        <v>70.5</v>
      </c>
      <c r="BA170" s="2337">
        <v>99.5</v>
      </c>
      <c r="BB170" s="2337">
        <v>152.47999999999999</v>
      </c>
      <c r="BC170" s="2337">
        <v>215.15</v>
      </c>
      <c r="BD170" s="2250"/>
      <c r="BE170" s="2250"/>
      <c r="BF170" s="1302">
        <v>97.1</v>
      </c>
      <c r="BG170" s="1302">
        <v>107.9</v>
      </c>
      <c r="BH170" s="2250"/>
      <c r="BI170" s="2275"/>
      <c r="BJ170" s="2333">
        <v>73.7</v>
      </c>
      <c r="BK170" s="2336">
        <v>9.31</v>
      </c>
      <c r="BL170" s="2336">
        <v>13.96</v>
      </c>
      <c r="BM170" s="2336">
        <v>27.23</v>
      </c>
      <c r="BN170" s="2336">
        <v>46.93</v>
      </c>
      <c r="BO170" s="2336">
        <v>74.459999999999994</v>
      </c>
      <c r="BP170" s="2336">
        <v>112.28</v>
      </c>
      <c r="BQ170" s="2336">
        <v>155.63999999999999</v>
      </c>
      <c r="BR170" s="2336">
        <v>217.13</v>
      </c>
      <c r="BS170" s="2336">
        <v>295.25</v>
      </c>
      <c r="BT170" s="2336">
        <v>470</v>
      </c>
      <c r="BU170" s="2336">
        <v>700.4</v>
      </c>
      <c r="BV170" s="2250"/>
      <c r="BW170" s="2250"/>
      <c r="BX170" s="2333">
        <v>73.7</v>
      </c>
      <c r="BY170" s="2336">
        <v>6.73</v>
      </c>
      <c r="BZ170" s="2336">
        <v>10.1</v>
      </c>
      <c r="CA170" s="2336">
        <v>20</v>
      </c>
      <c r="CB170" s="2336">
        <v>34.06</v>
      </c>
      <c r="CC170" s="2336">
        <v>54.06</v>
      </c>
      <c r="CD170" s="2336">
        <v>72.48</v>
      </c>
      <c r="CE170" s="2336">
        <v>111.98</v>
      </c>
      <c r="CF170" s="2336">
        <v>157.52000000000001</v>
      </c>
      <c r="CG170" s="2336">
        <v>214.16</v>
      </c>
      <c r="CH170" s="2336">
        <v>340.89</v>
      </c>
      <c r="CI170" s="2336">
        <v>496.04</v>
      </c>
      <c r="CJ170" s="2250"/>
      <c r="CK170" s="2250"/>
      <c r="CL170" s="2333">
        <v>73.7</v>
      </c>
      <c r="CM170" s="2336">
        <v>5.87</v>
      </c>
      <c r="CN170" s="2336">
        <v>8.8000000000000007</v>
      </c>
      <c r="CO170" s="2336">
        <v>17.16</v>
      </c>
      <c r="CP170" s="2336">
        <v>28.67</v>
      </c>
      <c r="CQ170" s="2336">
        <v>45.6</v>
      </c>
      <c r="CR170" s="2336">
        <v>54.85</v>
      </c>
      <c r="CS170" s="2336">
        <v>85.44</v>
      </c>
      <c r="CT170" s="2336">
        <v>123.7</v>
      </c>
      <c r="CU170" s="2336">
        <v>173.81</v>
      </c>
      <c r="CV170" s="2336">
        <v>266.48</v>
      </c>
      <c r="CW170" s="2336">
        <v>377.31</v>
      </c>
      <c r="CX170" s="2250"/>
      <c r="CY170" s="2250"/>
      <c r="CZ170" s="2333">
        <v>73.7</v>
      </c>
      <c r="DA170" s="2337">
        <v>3.76</v>
      </c>
      <c r="DB170" s="2337">
        <v>5.25</v>
      </c>
      <c r="DC170" s="2337">
        <v>9.8000000000000007</v>
      </c>
      <c r="DD170" s="2337">
        <v>16.34</v>
      </c>
      <c r="DE170" s="2337">
        <v>25.94</v>
      </c>
      <c r="DF170" s="2337">
        <v>31.58</v>
      </c>
      <c r="DG170" s="2337">
        <v>48.71</v>
      </c>
      <c r="DH170" s="2337">
        <v>70.5</v>
      </c>
      <c r="DI170" s="2337">
        <v>99.5</v>
      </c>
      <c r="DJ170" s="2337">
        <v>152.47999999999999</v>
      </c>
      <c r="DK170" s="2337">
        <v>215.15</v>
      </c>
      <c r="DL170" s="2250"/>
      <c r="DM170" s="2250"/>
      <c r="DN170" s="2250"/>
      <c r="DO170" s="2250"/>
      <c r="DP170" s="2250"/>
      <c r="DQ170" s="2277"/>
      <c r="DR170" s="2277"/>
      <c r="DS170" s="2278"/>
      <c r="DT170" s="2250"/>
      <c r="DU170" s="2250"/>
      <c r="DV170" s="2250"/>
      <c r="DW170" s="2250"/>
      <c r="DX170" s="2275"/>
      <c r="DY170" s="2333">
        <v>78.2</v>
      </c>
      <c r="DZ170" s="2336">
        <v>8.7100000000000009</v>
      </c>
      <c r="EA170" s="2336">
        <v>13.17</v>
      </c>
      <c r="EB170" s="2336">
        <v>25.64</v>
      </c>
      <c r="EC170" s="2336">
        <v>44.06</v>
      </c>
      <c r="ED170" s="2336">
        <v>70.099999999999994</v>
      </c>
      <c r="EE170" s="2336">
        <v>104.26</v>
      </c>
      <c r="EF170" s="2336">
        <v>147.13</v>
      </c>
      <c r="EG170" s="2336">
        <v>205.05</v>
      </c>
      <c r="EH170" s="2336">
        <v>277.02999999999997</v>
      </c>
      <c r="EI170" s="2336">
        <v>442.18</v>
      </c>
      <c r="EJ170" s="2336">
        <v>660.5</v>
      </c>
      <c r="EK170" s="2250"/>
      <c r="EL170" s="2250"/>
      <c r="EM170" s="2333">
        <v>78.2</v>
      </c>
      <c r="EN170" s="2336">
        <v>6.34</v>
      </c>
      <c r="EO170" s="2336">
        <v>9.5</v>
      </c>
      <c r="EP170" s="2336">
        <v>18.61</v>
      </c>
      <c r="EQ170" s="2336">
        <v>31.98</v>
      </c>
      <c r="ER170" s="2336">
        <v>50.89</v>
      </c>
      <c r="ES170" s="2336">
        <v>72.08</v>
      </c>
      <c r="ET170" s="2336">
        <v>104.06</v>
      </c>
      <c r="EU170" s="2336">
        <v>148.91</v>
      </c>
      <c r="EV170" s="2336">
        <v>201.29</v>
      </c>
      <c r="EW170" s="2336">
        <v>321.29000000000002</v>
      </c>
      <c r="EX170" s="2336">
        <v>470.3</v>
      </c>
      <c r="EY170" s="2250"/>
      <c r="EZ170" s="2250"/>
      <c r="FA170" s="2333">
        <v>78.2</v>
      </c>
      <c r="FB170" s="2336">
        <v>5.53</v>
      </c>
      <c r="FC170" s="2336">
        <v>8.24</v>
      </c>
      <c r="FD170" s="2336">
        <v>16.14</v>
      </c>
      <c r="FE170" s="2336">
        <v>27.09</v>
      </c>
      <c r="FF170" s="2336">
        <v>43</v>
      </c>
      <c r="FG170" s="2336">
        <v>54.63</v>
      </c>
      <c r="FH170" s="2336">
        <v>79.91</v>
      </c>
      <c r="FI170" s="2336">
        <v>113.77</v>
      </c>
      <c r="FJ170" s="2336">
        <v>166.37</v>
      </c>
      <c r="FK170" s="2336">
        <v>248.76</v>
      </c>
      <c r="FL170" s="2336">
        <v>358.8</v>
      </c>
      <c r="FM170" s="2250"/>
      <c r="FN170" s="2250"/>
      <c r="FO170" s="2333">
        <v>78.2</v>
      </c>
      <c r="FP170" s="2337">
        <v>3.56</v>
      </c>
      <c r="FQ170" s="2337">
        <v>4.95</v>
      </c>
      <c r="FR170" s="2337">
        <v>9.31</v>
      </c>
      <c r="FS170" s="2337">
        <v>15.45</v>
      </c>
      <c r="FT170" s="2337">
        <v>24.65</v>
      </c>
      <c r="FU170" s="2337">
        <v>31.29</v>
      </c>
      <c r="FV170" s="2337">
        <v>45.54</v>
      </c>
      <c r="FW170" s="2337">
        <v>64.849999999999994</v>
      </c>
      <c r="FX170" s="2337">
        <v>94.85</v>
      </c>
      <c r="FY170" s="2337">
        <v>141.88</v>
      </c>
      <c r="FZ170" s="2337">
        <v>204.26</v>
      </c>
      <c r="GA170" s="2250"/>
      <c r="GB170" s="2250"/>
      <c r="GC170" s="1302">
        <v>92.9</v>
      </c>
      <c r="GD170" s="1302">
        <v>97.1</v>
      </c>
      <c r="GE170" s="2250"/>
      <c r="GF170" s="2275"/>
      <c r="GG170" s="2333">
        <v>78.2</v>
      </c>
      <c r="GH170" s="2336">
        <v>8.7100000000000009</v>
      </c>
      <c r="GI170" s="2336">
        <v>13.17</v>
      </c>
      <c r="GJ170" s="2336">
        <v>25.64</v>
      </c>
      <c r="GK170" s="2336">
        <v>44.06</v>
      </c>
      <c r="GL170" s="2336">
        <v>70.099999999999994</v>
      </c>
      <c r="GM170" s="2336">
        <v>104.26</v>
      </c>
      <c r="GN170" s="2336">
        <v>147.13</v>
      </c>
      <c r="GO170" s="2336">
        <v>205.05</v>
      </c>
      <c r="GP170" s="2336">
        <v>277.02999999999997</v>
      </c>
      <c r="GQ170" s="2336">
        <v>442.18</v>
      </c>
      <c r="GR170" s="2336">
        <v>660.5</v>
      </c>
      <c r="GS170" s="2250"/>
      <c r="GT170" s="2250"/>
      <c r="GU170" s="2333">
        <v>78.2</v>
      </c>
      <c r="GV170" s="2336">
        <v>6.34</v>
      </c>
      <c r="GW170" s="2336">
        <v>9.5</v>
      </c>
      <c r="GX170" s="2336">
        <v>18.61</v>
      </c>
      <c r="GY170" s="2336">
        <v>31.98</v>
      </c>
      <c r="GZ170" s="2336">
        <v>50.89</v>
      </c>
      <c r="HA170" s="2336">
        <v>72.08</v>
      </c>
      <c r="HB170" s="2336">
        <v>104.06</v>
      </c>
      <c r="HC170" s="2336">
        <v>148.91</v>
      </c>
      <c r="HD170" s="2336">
        <v>201.29</v>
      </c>
      <c r="HE170" s="2336">
        <v>321.29000000000002</v>
      </c>
      <c r="HF170" s="2336">
        <v>470.3</v>
      </c>
      <c r="HG170" s="2250"/>
      <c r="HH170" s="2250"/>
      <c r="HI170" s="2333">
        <v>78.2</v>
      </c>
      <c r="HJ170" s="2336">
        <v>5.53</v>
      </c>
      <c r="HK170" s="2336">
        <v>8.24</v>
      </c>
      <c r="HL170" s="2336">
        <v>16.14</v>
      </c>
      <c r="HM170" s="2336">
        <v>27.09</v>
      </c>
      <c r="HN170" s="2336">
        <v>43</v>
      </c>
      <c r="HO170" s="2336">
        <v>54.63</v>
      </c>
      <c r="HP170" s="2336">
        <v>79.91</v>
      </c>
      <c r="HQ170" s="2336">
        <v>113.77</v>
      </c>
      <c r="HR170" s="2336">
        <v>166.37</v>
      </c>
      <c r="HS170" s="2336">
        <v>248.76</v>
      </c>
      <c r="HT170" s="2336">
        <v>358.8</v>
      </c>
      <c r="HU170" s="2250"/>
      <c r="HV170" s="2250"/>
      <c r="HW170" s="2333">
        <v>78.2</v>
      </c>
      <c r="HX170" s="2337">
        <v>3.56</v>
      </c>
      <c r="HY170" s="2337">
        <v>4.95</v>
      </c>
      <c r="HZ170" s="2337">
        <v>9.31</v>
      </c>
      <c r="IA170" s="2337">
        <v>15.45</v>
      </c>
      <c r="IB170" s="2337">
        <v>24.65</v>
      </c>
      <c r="IC170" s="2337">
        <v>31.29</v>
      </c>
      <c r="ID170" s="2337">
        <v>45.54</v>
      </c>
      <c r="IE170" s="2337">
        <v>64.849999999999994</v>
      </c>
      <c r="IF170" s="2337">
        <v>94.85</v>
      </c>
      <c r="IG170" s="2337">
        <v>141.88</v>
      </c>
      <c r="IH170" s="2337">
        <v>204.26</v>
      </c>
      <c r="II170" s="2250"/>
      <c r="IJ170" s="2250"/>
      <c r="IK170" s="2250"/>
      <c r="IL170" s="2250"/>
    </row>
    <row r="171" spans="1:246" ht="21.95" customHeight="1">
      <c r="A171" s="2275"/>
      <c r="B171" s="2333">
        <v>68.3</v>
      </c>
      <c r="C171" s="2336">
        <v>10.1</v>
      </c>
      <c r="D171" s="2336">
        <v>15.15</v>
      </c>
      <c r="E171" s="2336">
        <v>29.5</v>
      </c>
      <c r="F171" s="2336">
        <v>49.9</v>
      </c>
      <c r="G171" s="2336">
        <v>81.09</v>
      </c>
      <c r="H171" s="2336">
        <v>118.71</v>
      </c>
      <c r="I171" s="2336">
        <v>163.47</v>
      </c>
      <c r="J171" s="2336">
        <v>236.44</v>
      </c>
      <c r="K171" s="2336">
        <v>338.91</v>
      </c>
      <c r="L171" s="2336">
        <v>498.22</v>
      </c>
      <c r="M171" s="2336">
        <v>743.66</v>
      </c>
      <c r="N171" s="2250"/>
      <c r="O171" s="2250"/>
      <c r="P171" s="2333">
        <v>68.3</v>
      </c>
      <c r="Q171" s="2336">
        <v>7.33</v>
      </c>
      <c r="R171" s="2336">
        <v>10.99</v>
      </c>
      <c r="S171" s="2336">
        <v>21.39</v>
      </c>
      <c r="T171" s="2336">
        <v>36.14</v>
      </c>
      <c r="U171" s="2336">
        <v>58.61</v>
      </c>
      <c r="V171" s="2336">
        <v>80.2</v>
      </c>
      <c r="W171" s="2336">
        <v>117.82</v>
      </c>
      <c r="X171" s="2336">
        <v>169.9</v>
      </c>
      <c r="Y171" s="2336">
        <v>232.28</v>
      </c>
      <c r="Z171" s="2336">
        <v>360.59</v>
      </c>
      <c r="AA171" s="2336">
        <v>521.09</v>
      </c>
      <c r="AB171" s="2250"/>
      <c r="AC171" s="2250"/>
      <c r="AD171" s="2333">
        <v>68.3</v>
      </c>
      <c r="AE171" s="2336">
        <v>6.43</v>
      </c>
      <c r="AF171" s="2336">
        <v>9.59</v>
      </c>
      <c r="AG171" s="2336">
        <v>18.510000000000002</v>
      </c>
      <c r="AH171" s="2336">
        <v>31.6</v>
      </c>
      <c r="AI171" s="2336">
        <v>47.52</v>
      </c>
      <c r="AJ171" s="2336">
        <v>60.72</v>
      </c>
      <c r="AK171" s="2336">
        <v>89.62</v>
      </c>
      <c r="AL171" s="2336">
        <v>129.12</v>
      </c>
      <c r="AM171" s="2336">
        <v>188.37</v>
      </c>
      <c r="AN171" s="2336">
        <v>286.12</v>
      </c>
      <c r="AO171" s="2336">
        <v>400.45</v>
      </c>
      <c r="AP171" s="2250"/>
      <c r="AQ171" s="2250"/>
      <c r="AR171" s="2333">
        <v>68.3</v>
      </c>
      <c r="AS171" s="2337">
        <v>3.86</v>
      </c>
      <c r="AT171" s="2337">
        <v>5.64</v>
      </c>
      <c r="AU171" s="2337">
        <v>10.59</v>
      </c>
      <c r="AV171" s="2337">
        <v>17.23</v>
      </c>
      <c r="AW171" s="2337">
        <v>27.13</v>
      </c>
      <c r="AX171" s="2337">
        <v>34.950000000000003</v>
      </c>
      <c r="AY171" s="2337">
        <v>51.19</v>
      </c>
      <c r="AZ171" s="2337">
        <v>73.66</v>
      </c>
      <c r="BA171" s="2337">
        <v>108.22</v>
      </c>
      <c r="BB171" s="2337">
        <v>163.16999999999999</v>
      </c>
      <c r="BC171" s="2337">
        <v>228.32</v>
      </c>
      <c r="BD171" s="2250"/>
      <c r="BE171" s="2250"/>
      <c r="BF171" s="1302">
        <v>107.9</v>
      </c>
      <c r="BG171" s="1302">
        <v>120.7</v>
      </c>
      <c r="BH171" s="2250"/>
      <c r="BI171" s="2275"/>
      <c r="BJ171" s="2333">
        <v>68.3</v>
      </c>
      <c r="BK171" s="2336">
        <v>10.1</v>
      </c>
      <c r="BL171" s="2336">
        <v>15.15</v>
      </c>
      <c r="BM171" s="2336">
        <v>29.5</v>
      </c>
      <c r="BN171" s="2336">
        <v>49.9</v>
      </c>
      <c r="BO171" s="2336">
        <v>81.09</v>
      </c>
      <c r="BP171" s="2336">
        <v>118.71</v>
      </c>
      <c r="BQ171" s="2336">
        <v>163.47</v>
      </c>
      <c r="BR171" s="2336">
        <v>236.44</v>
      </c>
      <c r="BS171" s="2336">
        <v>338.91</v>
      </c>
      <c r="BT171" s="2336">
        <v>498.22</v>
      </c>
      <c r="BU171" s="2336">
        <v>743.66</v>
      </c>
      <c r="BV171" s="2250"/>
      <c r="BW171" s="2250"/>
      <c r="BX171" s="2333">
        <v>68.3</v>
      </c>
      <c r="BY171" s="2336">
        <v>7.33</v>
      </c>
      <c r="BZ171" s="2336">
        <v>10.99</v>
      </c>
      <c r="CA171" s="2336">
        <v>21.39</v>
      </c>
      <c r="CB171" s="2336">
        <v>36.14</v>
      </c>
      <c r="CC171" s="2336">
        <v>58.61</v>
      </c>
      <c r="CD171" s="2336">
        <v>80.2</v>
      </c>
      <c r="CE171" s="2336">
        <v>117.82</v>
      </c>
      <c r="CF171" s="2336">
        <v>169.9</v>
      </c>
      <c r="CG171" s="2336">
        <v>232.28</v>
      </c>
      <c r="CH171" s="2336">
        <v>360.59</v>
      </c>
      <c r="CI171" s="2336">
        <v>521.09</v>
      </c>
      <c r="CJ171" s="2250"/>
      <c r="CK171" s="2250"/>
      <c r="CL171" s="2333">
        <v>68.3</v>
      </c>
      <c r="CM171" s="2336">
        <v>6.43</v>
      </c>
      <c r="CN171" s="2336">
        <v>9.59</v>
      </c>
      <c r="CO171" s="2336">
        <v>18.510000000000002</v>
      </c>
      <c r="CP171" s="2336">
        <v>31.6</v>
      </c>
      <c r="CQ171" s="2336">
        <v>47.52</v>
      </c>
      <c r="CR171" s="2336">
        <v>60.72</v>
      </c>
      <c r="CS171" s="2336">
        <v>89.62</v>
      </c>
      <c r="CT171" s="2336">
        <v>129.12</v>
      </c>
      <c r="CU171" s="2336">
        <v>188.37</v>
      </c>
      <c r="CV171" s="2336">
        <v>286.12</v>
      </c>
      <c r="CW171" s="2336">
        <v>400.45</v>
      </c>
      <c r="CX171" s="2250"/>
      <c r="CY171" s="2250"/>
      <c r="CZ171" s="2333">
        <v>68.3</v>
      </c>
      <c r="DA171" s="2337">
        <v>3.86</v>
      </c>
      <c r="DB171" s="2337">
        <v>5.64</v>
      </c>
      <c r="DC171" s="2337">
        <v>10.59</v>
      </c>
      <c r="DD171" s="2337">
        <v>17.23</v>
      </c>
      <c r="DE171" s="2337">
        <v>27.13</v>
      </c>
      <c r="DF171" s="2337">
        <v>34.950000000000003</v>
      </c>
      <c r="DG171" s="2337">
        <v>51.19</v>
      </c>
      <c r="DH171" s="2337">
        <v>73.66</v>
      </c>
      <c r="DI171" s="2337">
        <v>108.22</v>
      </c>
      <c r="DJ171" s="2337">
        <v>163.16999999999999</v>
      </c>
      <c r="DK171" s="2337">
        <v>228.32</v>
      </c>
      <c r="DL171" s="2250"/>
      <c r="DM171" s="2250"/>
      <c r="DN171" s="2250"/>
      <c r="DO171" s="2250"/>
      <c r="DP171" s="2250"/>
      <c r="DQ171" s="2277"/>
      <c r="DR171" s="2277"/>
      <c r="DS171" s="2278"/>
      <c r="DT171" s="2250"/>
      <c r="DU171" s="2250"/>
      <c r="DV171" s="2250"/>
      <c r="DW171" s="2250"/>
      <c r="DX171" s="2275"/>
      <c r="DY171" s="2333">
        <v>73.7</v>
      </c>
      <c r="DZ171" s="2336">
        <v>9.31</v>
      </c>
      <c r="EA171" s="2336">
        <v>13.96</v>
      </c>
      <c r="EB171" s="2336">
        <v>27.23</v>
      </c>
      <c r="EC171" s="2336">
        <v>46.93</v>
      </c>
      <c r="ED171" s="2336">
        <v>74.459999999999994</v>
      </c>
      <c r="EE171" s="2336">
        <v>112.28</v>
      </c>
      <c r="EF171" s="2336">
        <v>155.63999999999999</v>
      </c>
      <c r="EG171" s="2336">
        <v>217.13</v>
      </c>
      <c r="EH171" s="2336">
        <v>295.25</v>
      </c>
      <c r="EI171" s="2336">
        <v>470</v>
      </c>
      <c r="EJ171" s="2336">
        <v>700.4</v>
      </c>
      <c r="EK171" s="2250"/>
      <c r="EL171" s="2250"/>
      <c r="EM171" s="2333">
        <v>73.7</v>
      </c>
      <c r="EN171" s="2336">
        <v>6.73</v>
      </c>
      <c r="EO171" s="2336">
        <v>10.1</v>
      </c>
      <c r="EP171" s="2336">
        <v>20</v>
      </c>
      <c r="EQ171" s="2336">
        <v>34.06</v>
      </c>
      <c r="ER171" s="2336">
        <v>54.06</v>
      </c>
      <c r="ES171" s="2336">
        <v>72.48</v>
      </c>
      <c r="ET171" s="2336">
        <v>111.98</v>
      </c>
      <c r="EU171" s="2336">
        <v>157.52000000000001</v>
      </c>
      <c r="EV171" s="2336">
        <v>214.16</v>
      </c>
      <c r="EW171" s="2336">
        <v>340.89</v>
      </c>
      <c r="EX171" s="2336">
        <v>496.04</v>
      </c>
      <c r="EY171" s="2250"/>
      <c r="EZ171" s="2250"/>
      <c r="FA171" s="2333">
        <v>73.7</v>
      </c>
      <c r="FB171" s="2336">
        <v>5.87</v>
      </c>
      <c r="FC171" s="2336">
        <v>8.8000000000000007</v>
      </c>
      <c r="FD171" s="2336">
        <v>17.16</v>
      </c>
      <c r="FE171" s="2336">
        <v>28.67</v>
      </c>
      <c r="FF171" s="2336">
        <v>45.6</v>
      </c>
      <c r="FG171" s="2336">
        <v>54.85</v>
      </c>
      <c r="FH171" s="2336">
        <v>85.44</v>
      </c>
      <c r="FI171" s="2336">
        <v>123.7</v>
      </c>
      <c r="FJ171" s="2336">
        <v>173.81</v>
      </c>
      <c r="FK171" s="2336">
        <v>266.48</v>
      </c>
      <c r="FL171" s="2336">
        <v>377.31</v>
      </c>
      <c r="FM171" s="2250"/>
      <c r="FN171" s="2250"/>
      <c r="FO171" s="2333">
        <v>73.7</v>
      </c>
      <c r="FP171" s="2337">
        <v>3.76</v>
      </c>
      <c r="FQ171" s="2337">
        <v>5.25</v>
      </c>
      <c r="FR171" s="2337">
        <v>9.8000000000000007</v>
      </c>
      <c r="FS171" s="2337">
        <v>16.34</v>
      </c>
      <c r="FT171" s="2337">
        <v>25.94</v>
      </c>
      <c r="FU171" s="2337">
        <v>31.58</v>
      </c>
      <c r="FV171" s="2337">
        <v>48.71</v>
      </c>
      <c r="FW171" s="2337">
        <v>70.5</v>
      </c>
      <c r="FX171" s="2337">
        <v>99.5</v>
      </c>
      <c r="FY171" s="2337">
        <v>152.47999999999999</v>
      </c>
      <c r="FZ171" s="2337">
        <v>215.15</v>
      </c>
      <c r="GA171" s="2250"/>
      <c r="GB171" s="2250"/>
      <c r="GC171" s="1302">
        <v>97.1</v>
      </c>
      <c r="GD171" s="1302">
        <v>107.9</v>
      </c>
      <c r="GE171" s="2250"/>
      <c r="GF171" s="2275"/>
      <c r="GG171" s="2333">
        <v>73.7</v>
      </c>
      <c r="GH171" s="2336">
        <v>9.31</v>
      </c>
      <c r="GI171" s="2336">
        <v>13.96</v>
      </c>
      <c r="GJ171" s="2336">
        <v>27.23</v>
      </c>
      <c r="GK171" s="2336">
        <v>46.93</v>
      </c>
      <c r="GL171" s="2336">
        <v>74.459999999999994</v>
      </c>
      <c r="GM171" s="2336">
        <v>112.28</v>
      </c>
      <c r="GN171" s="2336">
        <v>155.63999999999999</v>
      </c>
      <c r="GO171" s="2336">
        <v>217.13</v>
      </c>
      <c r="GP171" s="2336">
        <v>295.25</v>
      </c>
      <c r="GQ171" s="2336">
        <v>470</v>
      </c>
      <c r="GR171" s="2336">
        <v>700.4</v>
      </c>
      <c r="GS171" s="2250"/>
      <c r="GT171" s="2250"/>
      <c r="GU171" s="2333">
        <v>73.7</v>
      </c>
      <c r="GV171" s="2336">
        <v>6.73</v>
      </c>
      <c r="GW171" s="2336">
        <v>10.1</v>
      </c>
      <c r="GX171" s="2336">
        <v>20</v>
      </c>
      <c r="GY171" s="2336">
        <v>34.06</v>
      </c>
      <c r="GZ171" s="2336">
        <v>54.06</v>
      </c>
      <c r="HA171" s="2336">
        <v>72.48</v>
      </c>
      <c r="HB171" s="2336">
        <v>111.98</v>
      </c>
      <c r="HC171" s="2336">
        <v>157.52000000000001</v>
      </c>
      <c r="HD171" s="2336">
        <v>214.16</v>
      </c>
      <c r="HE171" s="2336">
        <v>340.89</v>
      </c>
      <c r="HF171" s="2336">
        <v>496.04</v>
      </c>
      <c r="HG171" s="2250"/>
      <c r="HH171" s="2250"/>
      <c r="HI171" s="2333">
        <v>73.7</v>
      </c>
      <c r="HJ171" s="2336">
        <v>5.87</v>
      </c>
      <c r="HK171" s="2336">
        <v>8.8000000000000007</v>
      </c>
      <c r="HL171" s="2336">
        <v>17.16</v>
      </c>
      <c r="HM171" s="2336">
        <v>28.67</v>
      </c>
      <c r="HN171" s="2336">
        <v>45.6</v>
      </c>
      <c r="HO171" s="2336">
        <v>54.85</v>
      </c>
      <c r="HP171" s="2336">
        <v>85.44</v>
      </c>
      <c r="HQ171" s="2336">
        <v>123.7</v>
      </c>
      <c r="HR171" s="2336">
        <v>173.81</v>
      </c>
      <c r="HS171" s="2336">
        <v>266.48</v>
      </c>
      <c r="HT171" s="2336">
        <v>377.31</v>
      </c>
      <c r="HU171" s="2250"/>
      <c r="HV171" s="2250"/>
      <c r="HW171" s="2333">
        <v>73.7</v>
      </c>
      <c r="HX171" s="2337">
        <v>3.76</v>
      </c>
      <c r="HY171" s="2337">
        <v>5.25</v>
      </c>
      <c r="HZ171" s="2337">
        <v>9.8000000000000007</v>
      </c>
      <c r="IA171" s="2337">
        <v>16.34</v>
      </c>
      <c r="IB171" s="2337">
        <v>25.94</v>
      </c>
      <c r="IC171" s="2337">
        <v>31.58</v>
      </c>
      <c r="ID171" s="2337">
        <v>48.71</v>
      </c>
      <c r="IE171" s="2337">
        <v>70.5</v>
      </c>
      <c r="IF171" s="2337">
        <v>99.5</v>
      </c>
      <c r="IG171" s="2337">
        <v>152.47999999999999</v>
      </c>
      <c r="IH171" s="2337">
        <v>215.15</v>
      </c>
      <c r="II171" s="2250"/>
      <c r="IJ171" s="2250"/>
      <c r="IK171" s="2250"/>
      <c r="IL171" s="2250"/>
    </row>
    <row r="172" spans="1:246" ht="21.95" customHeight="1">
      <c r="A172" s="2275"/>
      <c r="B172" s="2333">
        <v>63.4</v>
      </c>
      <c r="C172" s="2336">
        <v>10.79</v>
      </c>
      <c r="D172" s="2336">
        <v>16.14</v>
      </c>
      <c r="E172" s="2336">
        <v>31.58</v>
      </c>
      <c r="F172" s="2336">
        <v>53.76</v>
      </c>
      <c r="G172" s="2336">
        <v>86.63</v>
      </c>
      <c r="H172" s="2336">
        <v>124.36</v>
      </c>
      <c r="I172" s="2336">
        <v>180.2</v>
      </c>
      <c r="J172" s="2336">
        <v>252.48</v>
      </c>
      <c r="K172" s="2336">
        <v>342.87</v>
      </c>
      <c r="L172" s="2336">
        <v>544.46</v>
      </c>
      <c r="M172" s="2336">
        <v>815.05</v>
      </c>
      <c r="N172" s="2250"/>
      <c r="O172" s="2250"/>
      <c r="P172" s="2333">
        <v>63.4</v>
      </c>
      <c r="Q172" s="2336">
        <v>7.82</v>
      </c>
      <c r="R172" s="2336">
        <v>11.68</v>
      </c>
      <c r="S172" s="2336">
        <v>22.77</v>
      </c>
      <c r="T172" s="2336">
        <v>38.909999999999997</v>
      </c>
      <c r="U172" s="2336">
        <v>62.48</v>
      </c>
      <c r="V172" s="2336">
        <v>84.85</v>
      </c>
      <c r="W172" s="2336">
        <v>122.57</v>
      </c>
      <c r="X172" s="2336">
        <v>180.2</v>
      </c>
      <c r="Y172" s="2336">
        <v>247.43</v>
      </c>
      <c r="Z172" s="2336">
        <v>381.39</v>
      </c>
      <c r="AA172" s="2336">
        <v>545.64</v>
      </c>
      <c r="AB172" s="2250"/>
      <c r="AC172" s="2250"/>
      <c r="AD172" s="2333">
        <v>63.4</v>
      </c>
      <c r="AE172" s="2336">
        <v>6.77</v>
      </c>
      <c r="AF172" s="2336">
        <v>10.16</v>
      </c>
      <c r="AG172" s="2336">
        <v>19.64</v>
      </c>
      <c r="AH172" s="2336">
        <v>29.91</v>
      </c>
      <c r="AI172" s="2336">
        <v>50.34</v>
      </c>
      <c r="AJ172" s="2336">
        <v>64.11</v>
      </c>
      <c r="AK172" s="2336">
        <v>93.23</v>
      </c>
      <c r="AL172" s="2336">
        <v>136.57</v>
      </c>
      <c r="AM172" s="2336">
        <v>200.56</v>
      </c>
      <c r="AN172" s="2336">
        <v>290.07</v>
      </c>
      <c r="AO172" s="2336">
        <v>412.98</v>
      </c>
      <c r="AP172" s="2250"/>
      <c r="AQ172" s="2250"/>
      <c r="AR172" s="2333">
        <v>63.4</v>
      </c>
      <c r="AS172" s="2337">
        <v>4.16</v>
      </c>
      <c r="AT172" s="2337">
        <v>6.04</v>
      </c>
      <c r="AU172" s="2337">
        <v>11.19</v>
      </c>
      <c r="AV172" s="2337">
        <v>18.12</v>
      </c>
      <c r="AW172" s="2337">
        <v>28.81</v>
      </c>
      <c r="AX172" s="2337">
        <v>37.03</v>
      </c>
      <c r="AY172" s="2337">
        <v>53.76</v>
      </c>
      <c r="AZ172" s="2337">
        <v>78.12</v>
      </c>
      <c r="BA172" s="2337">
        <v>114.75</v>
      </c>
      <c r="BB172" s="2337">
        <v>167.23</v>
      </c>
      <c r="BC172" s="2337">
        <v>237.72</v>
      </c>
      <c r="BD172" s="2250"/>
      <c r="BE172" s="2250"/>
      <c r="BF172" s="1302">
        <v>120.7</v>
      </c>
      <c r="BG172" s="1302">
        <v>129.80000000000001</v>
      </c>
      <c r="BH172" s="2250"/>
      <c r="BI172" s="2275"/>
      <c r="BJ172" s="2333">
        <v>63.4</v>
      </c>
      <c r="BK172" s="2336">
        <v>10.79</v>
      </c>
      <c r="BL172" s="2336">
        <v>16.14</v>
      </c>
      <c r="BM172" s="2336">
        <v>31.58</v>
      </c>
      <c r="BN172" s="2336">
        <v>53.76</v>
      </c>
      <c r="BO172" s="2336">
        <v>86.63</v>
      </c>
      <c r="BP172" s="2336">
        <v>124.36</v>
      </c>
      <c r="BQ172" s="2336">
        <v>180.2</v>
      </c>
      <c r="BR172" s="2336">
        <v>252.48</v>
      </c>
      <c r="BS172" s="2336">
        <v>342.87</v>
      </c>
      <c r="BT172" s="2336">
        <v>544.46</v>
      </c>
      <c r="BU172" s="2336">
        <v>815.05</v>
      </c>
      <c r="BV172" s="2250"/>
      <c r="BW172" s="2250"/>
      <c r="BX172" s="2333">
        <v>63.4</v>
      </c>
      <c r="BY172" s="2336">
        <v>7.82</v>
      </c>
      <c r="BZ172" s="2336">
        <v>11.68</v>
      </c>
      <c r="CA172" s="2336">
        <v>22.77</v>
      </c>
      <c r="CB172" s="2336">
        <v>38.909999999999997</v>
      </c>
      <c r="CC172" s="2336">
        <v>62.48</v>
      </c>
      <c r="CD172" s="2336">
        <v>84.85</v>
      </c>
      <c r="CE172" s="2336">
        <v>122.57</v>
      </c>
      <c r="CF172" s="2336">
        <v>180.2</v>
      </c>
      <c r="CG172" s="2336">
        <v>247.43</v>
      </c>
      <c r="CH172" s="2336">
        <v>381.39</v>
      </c>
      <c r="CI172" s="2336">
        <v>545.64</v>
      </c>
      <c r="CJ172" s="2250"/>
      <c r="CK172" s="2250"/>
      <c r="CL172" s="2333">
        <v>63.4</v>
      </c>
      <c r="CM172" s="2336">
        <v>6.77</v>
      </c>
      <c r="CN172" s="2336">
        <v>10.16</v>
      </c>
      <c r="CO172" s="2336">
        <v>19.64</v>
      </c>
      <c r="CP172" s="2336">
        <v>29.91</v>
      </c>
      <c r="CQ172" s="2336">
        <v>50.34</v>
      </c>
      <c r="CR172" s="2336">
        <v>64.11</v>
      </c>
      <c r="CS172" s="2336">
        <v>93.23</v>
      </c>
      <c r="CT172" s="2336">
        <v>136.57</v>
      </c>
      <c r="CU172" s="2336">
        <v>200.56</v>
      </c>
      <c r="CV172" s="2336">
        <v>290.07</v>
      </c>
      <c r="CW172" s="2336">
        <v>412.98</v>
      </c>
      <c r="CX172" s="2250"/>
      <c r="CY172" s="2250"/>
      <c r="CZ172" s="2333">
        <v>63.4</v>
      </c>
      <c r="DA172" s="2337">
        <v>4.16</v>
      </c>
      <c r="DB172" s="2337">
        <v>6.04</v>
      </c>
      <c r="DC172" s="2337">
        <v>11.19</v>
      </c>
      <c r="DD172" s="2337">
        <v>18.12</v>
      </c>
      <c r="DE172" s="2337">
        <v>28.81</v>
      </c>
      <c r="DF172" s="2337">
        <v>37.03</v>
      </c>
      <c r="DG172" s="2337">
        <v>53.76</v>
      </c>
      <c r="DH172" s="2337">
        <v>78.12</v>
      </c>
      <c r="DI172" s="2337">
        <v>114.75</v>
      </c>
      <c r="DJ172" s="2337">
        <v>167.23</v>
      </c>
      <c r="DK172" s="2337">
        <v>237.72</v>
      </c>
      <c r="DL172" s="2250"/>
      <c r="DM172" s="2250"/>
      <c r="DN172" s="2250"/>
      <c r="DO172" s="2250"/>
      <c r="DP172" s="2250"/>
      <c r="DQ172" s="2277"/>
      <c r="DR172" s="2277"/>
      <c r="DS172" s="2278"/>
      <c r="DT172" s="2250"/>
      <c r="DU172" s="2250"/>
      <c r="DV172" s="2250"/>
      <c r="DW172" s="2250"/>
      <c r="DX172" s="2275"/>
      <c r="DY172" s="2333">
        <v>68.3</v>
      </c>
      <c r="DZ172" s="2336">
        <v>10.1</v>
      </c>
      <c r="EA172" s="2336">
        <v>15.15</v>
      </c>
      <c r="EB172" s="2336">
        <v>29.5</v>
      </c>
      <c r="EC172" s="2336">
        <v>49.9</v>
      </c>
      <c r="ED172" s="2336">
        <v>81.09</v>
      </c>
      <c r="EE172" s="2336">
        <v>118.71</v>
      </c>
      <c r="EF172" s="2336">
        <v>163.47</v>
      </c>
      <c r="EG172" s="2336">
        <v>236.44</v>
      </c>
      <c r="EH172" s="2336">
        <v>338.91</v>
      </c>
      <c r="EI172" s="2336">
        <v>498.22</v>
      </c>
      <c r="EJ172" s="2336">
        <v>743.66</v>
      </c>
      <c r="EK172" s="2250"/>
      <c r="EL172" s="2250"/>
      <c r="EM172" s="2333">
        <v>68.3</v>
      </c>
      <c r="EN172" s="2336">
        <v>7.33</v>
      </c>
      <c r="EO172" s="2336">
        <v>10.99</v>
      </c>
      <c r="EP172" s="2336">
        <v>21.39</v>
      </c>
      <c r="EQ172" s="2336">
        <v>36.14</v>
      </c>
      <c r="ER172" s="2336">
        <v>58.61</v>
      </c>
      <c r="ES172" s="2336">
        <v>80.2</v>
      </c>
      <c r="ET172" s="2336">
        <v>117.82</v>
      </c>
      <c r="EU172" s="2336">
        <v>169.9</v>
      </c>
      <c r="EV172" s="2336">
        <v>232.28</v>
      </c>
      <c r="EW172" s="2336">
        <v>360.59</v>
      </c>
      <c r="EX172" s="2336">
        <v>521.09</v>
      </c>
      <c r="EY172" s="2250"/>
      <c r="EZ172" s="2250"/>
      <c r="FA172" s="2333">
        <v>68.3</v>
      </c>
      <c r="FB172" s="2336">
        <v>6.43</v>
      </c>
      <c r="FC172" s="2336">
        <v>9.59</v>
      </c>
      <c r="FD172" s="2336">
        <v>18.510000000000002</v>
      </c>
      <c r="FE172" s="2336">
        <v>31.6</v>
      </c>
      <c r="FF172" s="2336">
        <v>47.52</v>
      </c>
      <c r="FG172" s="2336">
        <v>60.72</v>
      </c>
      <c r="FH172" s="2336">
        <v>89.62</v>
      </c>
      <c r="FI172" s="2336">
        <v>129.12</v>
      </c>
      <c r="FJ172" s="2336">
        <v>188.37</v>
      </c>
      <c r="FK172" s="2336">
        <v>286.12</v>
      </c>
      <c r="FL172" s="2336">
        <v>400.45</v>
      </c>
      <c r="FM172" s="2250"/>
      <c r="FN172" s="2250"/>
      <c r="FO172" s="2333">
        <v>68.3</v>
      </c>
      <c r="FP172" s="2337">
        <v>3.86</v>
      </c>
      <c r="FQ172" s="2337">
        <v>5.64</v>
      </c>
      <c r="FR172" s="2337">
        <v>10.59</v>
      </c>
      <c r="FS172" s="2337">
        <v>17.23</v>
      </c>
      <c r="FT172" s="2337">
        <v>27.13</v>
      </c>
      <c r="FU172" s="2337">
        <v>34.950000000000003</v>
      </c>
      <c r="FV172" s="2337">
        <v>51.19</v>
      </c>
      <c r="FW172" s="2337">
        <v>73.66</v>
      </c>
      <c r="FX172" s="2337">
        <v>108.22</v>
      </c>
      <c r="FY172" s="2337">
        <v>163.16999999999999</v>
      </c>
      <c r="FZ172" s="2337">
        <v>228.32</v>
      </c>
      <c r="GA172" s="2250"/>
      <c r="GB172" s="2250"/>
      <c r="GC172" s="1302">
        <v>107.9</v>
      </c>
      <c r="GD172" s="1302">
        <v>120.7</v>
      </c>
      <c r="GE172" s="2250"/>
      <c r="GF172" s="2275"/>
      <c r="GG172" s="2333">
        <v>68.3</v>
      </c>
      <c r="GH172" s="2336">
        <v>10.1</v>
      </c>
      <c r="GI172" s="2336">
        <v>15.15</v>
      </c>
      <c r="GJ172" s="2336">
        <v>29.5</v>
      </c>
      <c r="GK172" s="2336">
        <v>49.9</v>
      </c>
      <c r="GL172" s="2336">
        <v>81.09</v>
      </c>
      <c r="GM172" s="2336">
        <v>118.71</v>
      </c>
      <c r="GN172" s="2336">
        <v>163.47</v>
      </c>
      <c r="GO172" s="2336">
        <v>236.44</v>
      </c>
      <c r="GP172" s="2336">
        <v>338.91</v>
      </c>
      <c r="GQ172" s="2336">
        <v>498.22</v>
      </c>
      <c r="GR172" s="2336">
        <v>743.66</v>
      </c>
      <c r="GS172" s="2250"/>
      <c r="GT172" s="2250"/>
      <c r="GU172" s="2333">
        <v>68.3</v>
      </c>
      <c r="GV172" s="2336">
        <v>7.33</v>
      </c>
      <c r="GW172" s="2336">
        <v>10.99</v>
      </c>
      <c r="GX172" s="2336">
        <v>21.39</v>
      </c>
      <c r="GY172" s="2336">
        <v>36.14</v>
      </c>
      <c r="GZ172" s="2336">
        <v>58.61</v>
      </c>
      <c r="HA172" s="2336">
        <v>80.2</v>
      </c>
      <c r="HB172" s="2336">
        <v>117.82</v>
      </c>
      <c r="HC172" s="2336">
        <v>169.9</v>
      </c>
      <c r="HD172" s="2336">
        <v>232.28</v>
      </c>
      <c r="HE172" s="2336">
        <v>360.59</v>
      </c>
      <c r="HF172" s="2336">
        <v>521.09</v>
      </c>
      <c r="HG172" s="2250"/>
      <c r="HH172" s="2250"/>
      <c r="HI172" s="2333">
        <v>68.3</v>
      </c>
      <c r="HJ172" s="2336">
        <v>6.43</v>
      </c>
      <c r="HK172" s="2336">
        <v>9.59</v>
      </c>
      <c r="HL172" s="2336">
        <v>18.510000000000002</v>
      </c>
      <c r="HM172" s="2336">
        <v>31.6</v>
      </c>
      <c r="HN172" s="2336">
        <v>47.52</v>
      </c>
      <c r="HO172" s="2336">
        <v>60.72</v>
      </c>
      <c r="HP172" s="2336">
        <v>89.62</v>
      </c>
      <c r="HQ172" s="2336">
        <v>129.12</v>
      </c>
      <c r="HR172" s="2336">
        <v>188.37</v>
      </c>
      <c r="HS172" s="2336">
        <v>286.12</v>
      </c>
      <c r="HT172" s="2336">
        <v>400.45</v>
      </c>
      <c r="HU172" s="2250"/>
      <c r="HV172" s="2250"/>
      <c r="HW172" s="2333">
        <v>68.3</v>
      </c>
      <c r="HX172" s="2337">
        <v>3.86</v>
      </c>
      <c r="HY172" s="2337">
        <v>5.64</v>
      </c>
      <c r="HZ172" s="2337">
        <v>10.59</v>
      </c>
      <c r="IA172" s="2337">
        <v>17.23</v>
      </c>
      <c r="IB172" s="2337">
        <v>27.13</v>
      </c>
      <c r="IC172" s="2337">
        <v>34.950000000000003</v>
      </c>
      <c r="ID172" s="2337">
        <v>51.19</v>
      </c>
      <c r="IE172" s="2337">
        <v>73.66</v>
      </c>
      <c r="IF172" s="2337">
        <v>108.22</v>
      </c>
      <c r="IG172" s="2337">
        <v>163.16999999999999</v>
      </c>
      <c r="IH172" s="2337">
        <v>228.32</v>
      </c>
      <c r="II172" s="2250"/>
      <c r="IJ172" s="2250"/>
      <c r="IK172" s="2250"/>
      <c r="IL172" s="2250"/>
    </row>
    <row r="173" spans="1:246" ht="21.95" customHeight="1">
      <c r="A173" s="2275"/>
      <c r="B173" s="2333">
        <v>58.1</v>
      </c>
      <c r="C173" s="2336">
        <v>11.58</v>
      </c>
      <c r="D173" s="2336">
        <v>17.13</v>
      </c>
      <c r="E173" s="2336">
        <v>34.06</v>
      </c>
      <c r="F173" s="2336">
        <v>57.72</v>
      </c>
      <c r="G173" s="2336">
        <v>92.67</v>
      </c>
      <c r="H173" s="2336">
        <v>132.87</v>
      </c>
      <c r="I173" s="2336">
        <v>185.45</v>
      </c>
      <c r="J173" s="2336">
        <v>272.38</v>
      </c>
      <c r="K173" s="2336">
        <v>348.81</v>
      </c>
      <c r="L173" s="2336">
        <v>584.85</v>
      </c>
      <c r="M173" s="2336">
        <v>871.68</v>
      </c>
      <c r="N173" s="2250"/>
      <c r="O173" s="2250"/>
      <c r="P173" s="2333">
        <v>58.1</v>
      </c>
      <c r="Q173" s="2336">
        <v>8.42</v>
      </c>
      <c r="R173" s="2336">
        <v>12.38</v>
      </c>
      <c r="S173" s="2336">
        <v>24.55</v>
      </c>
      <c r="T173" s="2336">
        <v>42.18</v>
      </c>
      <c r="U173" s="2336">
        <v>66.83</v>
      </c>
      <c r="V173" s="2336">
        <v>89.31</v>
      </c>
      <c r="W173" s="2336">
        <v>134.85</v>
      </c>
      <c r="X173" s="2336">
        <v>196.34</v>
      </c>
      <c r="Y173" s="2336">
        <v>252.77</v>
      </c>
      <c r="Z173" s="2336">
        <v>421.49</v>
      </c>
      <c r="AA173" s="2336">
        <v>601.88</v>
      </c>
      <c r="AB173" s="2250"/>
      <c r="AC173" s="2250"/>
      <c r="AD173" s="2333">
        <v>58.1</v>
      </c>
      <c r="AE173" s="2336">
        <v>7.34</v>
      </c>
      <c r="AF173" s="2336">
        <v>10.84</v>
      </c>
      <c r="AG173" s="2336">
        <v>21.44</v>
      </c>
      <c r="AH173" s="2336">
        <v>34.76</v>
      </c>
      <c r="AI173" s="2336">
        <v>55.3</v>
      </c>
      <c r="AJ173" s="2336">
        <v>67.489999999999995</v>
      </c>
      <c r="AK173" s="2336">
        <v>102.48</v>
      </c>
      <c r="AL173" s="2336">
        <v>151.13</v>
      </c>
      <c r="AM173" s="2336">
        <v>216.25</v>
      </c>
      <c r="AN173" s="2336">
        <v>328.44</v>
      </c>
      <c r="AO173" s="2336">
        <v>455.53</v>
      </c>
      <c r="AP173" s="2250"/>
      <c r="AQ173" s="2250"/>
      <c r="AR173" s="2333">
        <v>58.1</v>
      </c>
      <c r="AS173" s="2337">
        <v>4.46</v>
      </c>
      <c r="AT173" s="2337">
        <v>6.83</v>
      </c>
      <c r="AU173" s="2337">
        <v>12.67</v>
      </c>
      <c r="AV173" s="2337">
        <v>20</v>
      </c>
      <c r="AW173" s="2337">
        <v>31.68</v>
      </c>
      <c r="AX173" s="2337">
        <v>39.21</v>
      </c>
      <c r="AY173" s="2337">
        <v>59.01</v>
      </c>
      <c r="AZ173" s="2337">
        <v>86.53</v>
      </c>
      <c r="BA173" s="2337">
        <v>123.76</v>
      </c>
      <c r="BB173" s="2337">
        <v>188.81</v>
      </c>
      <c r="BC173" s="2337">
        <v>262.27999999999997</v>
      </c>
      <c r="BD173" s="2250"/>
      <c r="BE173" s="2250"/>
      <c r="BF173" s="1302">
        <v>129.80000000000001</v>
      </c>
      <c r="BG173" s="1302">
        <v>140.1</v>
      </c>
      <c r="BH173" s="2250"/>
      <c r="BI173" s="2275"/>
      <c r="BJ173" s="2333">
        <v>58.1</v>
      </c>
      <c r="BK173" s="2336">
        <v>11.58</v>
      </c>
      <c r="BL173" s="2336">
        <v>17.13</v>
      </c>
      <c r="BM173" s="2336">
        <v>34.06</v>
      </c>
      <c r="BN173" s="2336">
        <v>57.72</v>
      </c>
      <c r="BO173" s="2336">
        <v>92.67</v>
      </c>
      <c r="BP173" s="2336">
        <v>132.87</v>
      </c>
      <c r="BQ173" s="2336">
        <v>185.45</v>
      </c>
      <c r="BR173" s="2336">
        <v>272.38</v>
      </c>
      <c r="BS173" s="2336">
        <v>348.81</v>
      </c>
      <c r="BT173" s="2336">
        <v>584.85</v>
      </c>
      <c r="BU173" s="2336">
        <v>871.68</v>
      </c>
      <c r="BV173" s="2250"/>
      <c r="BW173" s="2250"/>
      <c r="BX173" s="2333">
        <v>58.1</v>
      </c>
      <c r="BY173" s="2336">
        <v>8.42</v>
      </c>
      <c r="BZ173" s="2336">
        <v>12.38</v>
      </c>
      <c r="CA173" s="2336">
        <v>24.55</v>
      </c>
      <c r="CB173" s="2336">
        <v>42.18</v>
      </c>
      <c r="CC173" s="2336">
        <v>66.83</v>
      </c>
      <c r="CD173" s="2336">
        <v>89.31</v>
      </c>
      <c r="CE173" s="2336">
        <v>134.85</v>
      </c>
      <c r="CF173" s="2336">
        <v>196.34</v>
      </c>
      <c r="CG173" s="2336">
        <v>252.77</v>
      </c>
      <c r="CH173" s="2336">
        <v>421.49</v>
      </c>
      <c r="CI173" s="2336">
        <v>601.88</v>
      </c>
      <c r="CJ173" s="2250"/>
      <c r="CK173" s="2250"/>
      <c r="CL173" s="2333">
        <v>58.1</v>
      </c>
      <c r="CM173" s="2336">
        <v>7.34</v>
      </c>
      <c r="CN173" s="2336">
        <v>10.84</v>
      </c>
      <c r="CO173" s="2336">
        <v>21.44</v>
      </c>
      <c r="CP173" s="2336">
        <v>34.76</v>
      </c>
      <c r="CQ173" s="2336">
        <v>55.3</v>
      </c>
      <c r="CR173" s="2336">
        <v>67.489999999999995</v>
      </c>
      <c r="CS173" s="2336">
        <v>102.48</v>
      </c>
      <c r="CT173" s="2336">
        <v>151.13</v>
      </c>
      <c r="CU173" s="2336">
        <v>216.25</v>
      </c>
      <c r="CV173" s="2336">
        <v>328.44</v>
      </c>
      <c r="CW173" s="2336">
        <v>455.53</v>
      </c>
      <c r="CX173" s="2250"/>
      <c r="CY173" s="2250"/>
      <c r="CZ173" s="2333">
        <v>58.1</v>
      </c>
      <c r="DA173" s="2337">
        <v>4.46</v>
      </c>
      <c r="DB173" s="2337">
        <v>6.83</v>
      </c>
      <c r="DC173" s="2337">
        <v>12.67</v>
      </c>
      <c r="DD173" s="2337">
        <v>20</v>
      </c>
      <c r="DE173" s="2337">
        <v>31.68</v>
      </c>
      <c r="DF173" s="2337">
        <v>39.21</v>
      </c>
      <c r="DG173" s="2337">
        <v>59.01</v>
      </c>
      <c r="DH173" s="2337">
        <v>86.53</v>
      </c>
      <c r="DI173" s="2337">
        <v>123.76</v>
      </c>
      <c r="DJ173" s="2337">
        <v>188.81</v>
      </c>
      <c r="DK173" s="2337">
        <v>262.27999999999997</v>
      </c>
      <c r="DL173" s="2250"/>
      <c r="DM173" s="2250"/>
      <c r="DN173" s="2250"/>
      <c r="DO173" s="2250"/>
      <c r="DP173" s="2250"/>
      <c r="DQ173" s="2277"/>
      <c r="DR173" s="2277"/>
      <c r="DS173" s="2278"/>
      <c r="DT173" s="2250"/>
      <c r="DU173" s="2250"/>
      <c r="DV173" s="2250"/>
      <c r="DW173" s="2250"/>
      <c r="DX173" s="2275"/>
      <c r="DY173" s="2333">
        <v>63.4</v>
      </c>
      <c r="DZ173" s="2336">
        <v>10.79</v>
      </c>
      <c r="EA173" s="2336">
        <v>16.14</v>
      </c>
      <c r="EB173" s="2336">
        <v>31.58</v>
      </c>
      <c r="EC173" s="2336">
        <v>53.76</v>
      </c>
      <c r="ED173" s="2336">
        <v>86.63</v>
      </c>
      <c r="EE173" s="2336">
        <v>124.36</v>
      </c>
      <c r="EF173" s="2336">
        <v>180.2</v>
      </c>
      <c r="EG173" s="2336">
        <v>252.48</v>
      </c>
      <c r="EH173" s="2336">
        <v>342.87</v>
      </c>
      <c r="EI173" s="2336">
        <v>544.46</v>
      </c>
      <c r="EJ173" s="2336">
        <v>815.05</v>
      </c>
      <c r="EK173" s="2250"/>
      <c r="EL173" s="2250"/>
      <c r="EM173" s="2333">
        <v>63.4</v>
      </c>
      <c r="EN173" s="2336">
        <v>7.82</v>
      </c>
      <c r="EO173" s="2336">
        <v>11.68</v>
      </c>
      <c r="EP173" s="2336">
        <v>22.77</v>
      </c>
      <c r="EQ173" s="2336">
        <v>38.909999999999997</v>
      </c>
      <c r="ER173" s="2336">
        <v>62.48</v>
      </c>
      <c r="ES173" s="2336">
        <v>84.85</v>
      </c>
      <c r="ET173" s="2336">
        <v>122.57</v>
      </c>
      <c r="EU173" s="2336">
        <v>180.2</v>
      </c>
      <c r="EV173" s="2336">
        <v>247.43</v>
      </c>
      <c r="EW173" s="2336">
        <v>381.39</v>
      </c>
      <c r="EX173" s="2336">
        <v>545.64</v>
      </c>
      <c r="EY173" s="2250"/>
      <c r="EZ173" s="2250"/>
      <c r="FA173" s="2333">
        <v>63.4</v>
      </c>
      <c r="FB173" s="2336">
        <v>6.77</v>
      </c>
      <c r="FC173" s="2336">
        <v>10.16</v>
      </c>
      <c r="FD173" s="2336">
        <v>19.64</v>
      </c>
      <c r="FE173" s="2336">
        <v>29.91</v>
      </c>
      <c r="FF173" s="2336">
        <v>50.34</v>
      </c>
      <c r="FG173" s="2336">
        <v>64.11</v>
      </c>
      <c r="FH173" s="2336">
        <v>93.23</v>
      </c>
      <c r="FI173" s="2336">
        <v>136.57</v>
      </c>
      <c r="FJ173" s="2336">
        <v>200.56</v>
      </c>
      <c r="FK173" s="2336">
        <v>290.07</v>
      </c>
      <c r="FL173" s="2336">
        <v>412.98</v>
      </c>
      <c r="FM173" s="2250"/>
      <c r="FN173" s="2250"/>
      <c r="FO173" s="2333">
        <v>63.4</v>
      </c>
      <c r="FP173" s="2337">
        <v>4.16</v>
      </c>
      <c r="FQ173" s="2337">
        <v>6.04</v>
      </c>
      <c r="FR173" s="2337">
        <v>11.19</v>
      </c>
      <c r="FS173" s="2337">
        <v>18.12</v>
      </c>
      <c r="FT173" s="2337">
        <v>28.81</v>
      </c>
      <c r="FU173" s="2337">
        <v>37.03</v>
      </c>
      <c r="FV173" s="2337">
        <v>53.76</v>
      </c>
      <c r="FW173" s="2337">
        <v>78.12</v>
      </c>
      <c r="FX173" s="2337">
        <v>114.75</v>
      </c>
      <c r="FY173" s="2337">
        <v>167.23</v>
      </c>
      <c r="FZ173" s="2337">
        <v>237.72</v>
      </c>
      <c r="GA173" s="2250"/>
      <c r="GB173" s="2250"/>
      <c r="GC173" s="1302">
        <v>120.7</v>
      </c>
      <c r="GD173" s="1302">
        <v>129.80000000000001</v>
      </c>
      <c r="GE173" s="2250"/>
      <c r="GF173" s="2275"/>
      <c r="GG173" s="2333">
        <v>63.4</v>
      </c>
      <c r="GH173" s="2336">
        <v>10.79</v>
      </c>
      <c r="GI173" s="2336">
        <v>16.14</v>
      </c>
      <c r="GJ173" s="2336">
        <v>31.58</v>
      </c>
      <c r="GK173" s="2336">
        <v>53.76</v>
      </c>
      <c r="GL173" s="2336">
        <v>86.63</v>
      </c>
      <c r="GM173" s="2336">
        <v>124.36</v>
      </c>
      <c r="GN173" s="2336">
        <v>180.2</v>
      </c>
      <c r="GO173" s="2336">
        <v>252.48</v>
      </c>
      <c r="GP173" s="2336">
        <v>342.87</v>
      </c>
      <c r="GQ173" s="2336">
        <v>544.46</v>
      </c>
      <c r="GR173" s="2336">
        <v>815.05</v>
      </c>
      <c r="GS173" s="2250"/>
      <c r="GT173" s="2250"/>
      <c r="GU173" s="2333">
        <v>63.4</v>
      </c>
      <c r="GV173" s="2336">
        <v>7.82</v>
      </c>
      <c r="GW173" s="2336">
        <v>11.68</v>
      </c>
      <c r="GX173" s="2336">
        <v>22.77</v>
      </c>
      <c r="GY173" s="2336">
        <v>38.909999999999997</v>
      </c>
      <c r="GZ173" s="2336">
        <v>62.48</v>
      </c>
      <c r="HA173" s="2336">
        <v>84.85</v>
      </c>
      <c r="HB173" s="2336">
        <v>122.57</v>
      </c>
      <c r="HC173" s="2336">
        <v>180.2</v>
      </c>
      <c r="HD173" s="2336">
        <v>247.43</v>
      </c>
      <c r="HE173" s="2336">
        <v>381.39</v>
      </c>
      <c r="HF173" s="2336">
        <v>545.64</v>
      </c>
      <c r="HG173" s="2250"/>
      <c r="HH173" s="2250"/>
      <c r="HI173" s="2333">
        <v>63.4</v>
      </c>
      <c r="HJ173" s="2336">
        <v>6.77</v>
      </c>
      <c r="HK173" s="2336">
        <v>10.16</v>
      </c>
      <c r="HL173" s="2336">
        <v>19.64</v>
      </c>
      <c r="HM173" s="2336">
        <v>29.91</v>
      </c>
      <c r="HN173" s="2336">
        <v>50.34</v>
      </c>
      <c r="HO173" s="2336">
        <v>64.11</v>
      </c>
      <c r="HP173" s="2336">
        <v>93.23</v>
      </c>
      <c r="HQ173" s="2336">
        <v>136.57</v>
      </c>
      <c r="HR173" s="2336">
        <v>200.56</v>
      </c>
      <c r="HS173" s="2336">
        <v>290.07</v>
      </c>
      <c r="HT173" s="2336">
        <v>412.98</v>
      </c>
      <c r="HU173" s="2250"/>
      <c r="HV173" s="2250"/>
      <c r="HW173" s="2333">
        <v>63.4</v>
      </c>
      <c r="HX173" s="2337">
        <v>4.16</v>
      </c>
      <c r="HY173" s="2337">
        <v>6.04</v>
      </c>
      <c r="HZ173" s="2337">
        <v>11.19</v>
      </c>
      <c r="IA173" s="2337">
        <v>18.12</v>
      </c>
      <c r="IB173" s="2337">
        <v>28.81</v>
      </c>
      <c r="IC173" s="2337">
        <v>37.03</v>
      </c>
      <c r="ID173" s="2337">
        <v>53.76</v>
      </c>
      <c r="IE173" s="2337">
        <v>78.12</v>
      </c>
      <c r="IF173" s="2337">
        <v>114.75</v>
      </c>
      <c r="IG173" s="2337">
        <v>167.23</v>
      </c>
      <c r="IH173" s="2337">
        <v>237.72</v>
      </c>
      <c r="II173" s="2250"/>
      <c r="IJ173" s="2250"/>
      <c r="IK173" s="2250"/>
      <c r="IL173" s="2250"/>
    </row>
    <row r="174" spans="1:246" ht="21.95" customHeight="1">
      <c r="A174" s="2275"/>
      <c r="B174" s="2333">
        <v>53.7</v>
      </c>
      <c r="C174" s="2336">
        <v>12.38</v>
      </c>
      <c r="D174" s="2336">
        <v>18.420000000000002</v>
      </c>
      <c r="E174" s="2336">
        <v>36.340000000000003</v>
      </c>
      <c r="F174" s="2336">
        <v>62.97</v>
      </c>
      <c r="G174" s="2336">
        <v>98.91</v>
      </c>
      <c r="H174" s="2336">
        <v>143.76</v>
      </c>
      <c r="I174" s="2336">
        <v>210.1</v>
      </c>
      <c r="J174" s="2336">
        <v>288.22000000000003</v>
      </c>
      <c r="K174" s="2336">
        <v>362.28</v>
      </c>
      <c r="L174" s="2336">
        <v>614.46</v>
      </c>
      <c r="M174" s="2336">
        <v>919.6</v>
      </c>
      <c r="N174" s="2250"/>
      <c r="O174" s="2250"/>
      <c r="P174" s="2333">
        <v>53.7</v>
      </c>
      <c r="Q174" s="2336">
        <v>8.91</v>
      </c>
      <c r="R174" s="2336">
        <v>13.27</v>
      </c>
      <c r="S174" s="2336">
        <v>26.24</v>
      </c>
      <c r="T174" s="2336">
        <v>45.45</v>
      </c>
      <c r="U174" s="2336">
        <v>71.290000000000006</v>
      </c>
      <c r="V174" s="2336">
        <v>96.63</v>
      </c>
      <c r="W174" s="2336">
        <v>145.25</v>
      </c>
      <c r="X174" s="2336">
        <v>207.82</v>
      </c>
      <c r="Y174" s="2336">
        <v>263.37</v>
      </c>
      <c r="Z174" s="2336">
        <v>442.97</v>
      </c>
      <c r="AA174" s="2336">
        <v>656.83</v>
      </c>
      <c r="AB174" s="2250"/>
      <c r="AC174" s="2250"/>
      <c r="AD174" s="2333">
        <v>53.7</v>
      </c>
      <c r="AE174" s="2336">
        <v>7.79</v>
      </c>
      <c r="AF174" s="2336">
        <v>11.63</v>
      </c>
      <c r="AG174" s="2336">
        <v>22.12</v>
      </c>
      <c r="AH174" s="2336">
        <v>35.33</v>
      </c>
      <c r="AI174" s="2336">
        <v>58.58</v>
      </c>
      <c r="AJ174" s="2336">
        <v>73.59</v>
      </c>
      <c r="AK174" s="2336">
        <v>109.82</v>
      </c>
      <c r="AL174" s="2336">
        <v>158.91999999999999</v>
      </c>
      <c r="AM174" s="2336">
        <v>228.67</v>
      </c>
      <c r="AN174" s="2336">
        <v>343.34</v>
      </c>
      <c r="AO174" s="2336">
        <v>501.81</v>
      </c>
      <c r="AP174" s="2250"/>
      <c r="AQ174" s="2250"/>
      <c r="AR174" s="2333">
        <v>53.7</v>
      </c>
      <c r="AS174" s="2337">
        <v>4.95</v>
      </c>
      <c r="AT174" s="2337">
        <v>7.03</v>
      </c>
      <c r="AU174" s="2337">
        <v>12.77</v>
      </c>
      <c r="AV174" s="2337">
        <v>20.399999999999999</v>
      </c>
      <c r="AW174" s="2337">
        <v>33.56</v>
      </c>
      <c r="AX174" s="2337">
        <v>42.48</v>
      </c>
      <c r="AY174" s="2337">
        <v>63.47</v>
      </c>
      <c r="AZ174" s="2337">
        <v>91.19</v>
      </c>
      <c r="BA174" s="2337">
        <v>131.88</v>
      </c>
      <c r="BB174" s="2337">
        <v>197.62</v>
      </c>
      <c r="BC174" s="2337">
        <v>287.13</v>
      </c>
      <c r="BD174" s="2250"/>
      <c r="BE174" s="2250"/>
      <c r="BF174" s="1302">
        <v>140.1</v>
      </c>
      <c r="BG174" s="1302">
        <v>151.30000000000001</v>
      </c>
      <c r="BH174" s="2250"/>
      <c r="BI174" s="2275"/>
      <c r="BJ174" s="2333">
        <v>53.7</v>
      </c>
      <c r="BK174" s="2336">
        <v>12.38</v>
      </c>
      <c r="BL174" s="2336">
        <v>18.420000000000002</v>
      </c>
      <c r="BM174" s="2336">
        <v>36.340000000000003</v>
      </c>
      <c r="BN174" s="2336">
        <v>62.97</v>
      </c>
      <c r="BO174" s="2336">
        <v>98.91</v>
      </c>
      <c r="BP174" s="2336">
        <v>143.76</v>
      </c>
      <c r="BQ174" s="2336">
        <v>210.1</v>
      </c>
      <c r="BR174" s="2336">
        <v>288.22000000000003</v>
      </c>
      <c r="BS174" s="2336">
        <v>362.28</v>
      </c>
      <c r="BT174" s="2336">
        <v>614.46</v>
      </c>
      <c r="BU174" s="2336">
        <v>919.6</v>
      </c>
      <c r="BV174" s="2250"/>
      <c r="BW174" s="2250"/>
      <c r="BX174" s="2333">
        <v>53.7</v>
      </c>
      <c r="BY174" s="2336">
        <v>8.91</v>
      </c>
      <c r="BZ174" s="2336">
        <v>13.27</v>
      </c>
      <c r="CA174" s="2336">
        <v>26.24</v>
      </c>
      <c r="CB174" s="2336">
        <v>45.45</v>
      </c>
      <c r="CC174" s="2336">
        <v>71.290000000000006</v>
      </c>
      <c r="CD174" s="2336">
        <v>96.63</v>
      </c>
      <c r="CE174" s="2336">
        <v>145.25</v>
      </c>
      <c r="CF174" s="2336">
        <v>207.82</v>
      </c>
      <c r="CG174" s="2336">
        <v>263.37</v>
      </c>
      <c r="CH174" s="2336">
        <v>442.97</v>
      </c>
      <c r="CI174" s="2336">
        <v>656.83</v>
      </c>
      <c r="CJ174" s="2250"/>
      <c r="CK174" s="2250"/>
      <c r="CL174" s="2333">
        <v>53.7</v>
      </c>
      <c r="CM174" s="2336">
        <v>7.79</v>
      </c>
      <c r="CN174" s="2336">
        <v>11.63</v>
      </c>
      <c r="CO174" s="2336">
        <v>22.12</v>
      </c>
      <c r="CP174" s="2336">
        <v>35.33</v>
      </c>
      <c r="CQ174" s="2336">
        <v>58.58</v>
      </c>
      <c r="CR174" s="2336">
        <v>73.59</v>
      </c>
      <c r="CS174" s="2336">
        <v>109.82</v>
      </c>
      <c r="CT174" s="2336">
        <v>158.91999999999999</v>
      </c>
      <c r="CU174" s="2336">
        <v>228.67</v>
      </c>
      <c r="CV174" s="2336">
        <v>343.34</v>
      </c>
      <c r="CW174" s="2336">
        <v>501.81</v>
      </c>
      <c r="CX174" s="2250"/>
      <c r="CY174" s="2250"/>
      <c r="CZ174" s="2333">
        <v>53.7</v>
      </c>
      <c r="DA174" s="2337">
        <v>4.95</v>
      </c>
      <c r="DB174" s="2337">
        <v>7.03</v>
      </c>
      <c r="DC174" s="2337">
        <v>12.77</v>
      </c>
      <c r="DD174" s="2337">
        <v>20.399999999999999</v>
      </c>
      <c r="DE174" s="2337">
        <v>33.56</v>
      </c>
      <c r="DF174" s="2337">
        <v>42.48</v>
      </c>
      <c r="DG174" s="2337">
        <v>63.47</v>
      </c>
      <c r="DH174" s="2337">
        <v>91.19</v>
      </c>
      <c r="DI174" s="2337">
        <v>131.88</v>
      </c>
      <c r="DJ174" s="2337">
        <v>197.62</v>
      </c>
      <c r="DK174" s="2337">
        <v>287.13</v>
      </c>
      <c r="DL174" s="2250"/>
      <c r="DM174" s="2250"/>
      <c r="DN174" s="2250"/>
      <c r="DO174" s="2250"/>
      <c r="DP174" s="2250"/>
      <c r="DQ174" s="2277"/>
      <c r="DR174" s="2277"/>
      <c r="DS174" s="2278"/>
      <c r="DT174" s="2250"/>
      <c r="DU174" s="2250"/>
      <c r="DV174" s="2250"/>
      <c r="DW174" s="2250"/>
      <c r="DX174" s="2275"/>
      <c r="DY174" s="2333">
        <v>58.1</v>
      </c>
      <c r="DZ174" s="2336">
        <v>11.58</v>
      </c>
      <c r="EA174" s="2336">
        <v>17.13</v>
      </c>
      <c r="EB174" s="2336">
        <v>34.06</v>
      </c>
      <c r="EC174" s="2336">
        <v>57.72</v>
      </c>
      <c r="ED174" s="2336">
        <v>92.67</v>
      </c>
      <c r="EE174" s="2336">
        <v>132.87</v>
      </c>
      <c r="EF174" s="2336">
        <v>185.45</v>
      </c>
      <c r="EG174" s="2336">
        <v>272.38</v>
      </c>
      <c r="EH174" s="2336">
        <v>348.81</v>
      </c>
      <c r="EI174" s="2336">
        <v>584.85</v>
      </c>
      <c r="EJ174" s="2336">
        <v>871.68</v>
      </c>
      <c r="EK174" s="2250"/>
      <c r="EL174" s="2250"/>
      <c r="EM174" s="2333">
        <v>58.1</v>
      </c>
      <c r="EN174" s="2336">
        <v>8.42</v>
      </c>
      <c r="EO174" s="2336">
        <v>12.38</v>
      </c>
      <c r="EP174" s="2336">
        <v>24.55</v>
      </c>
      <c r="EQ174" s="2336">
        <v>42.18</v>
      </c>
      <c r="ER174" s="2336">
        <v>66.83</v>
      </c>
      <c r="ES174" s="2336">
        <v>89.31</v>
      </c>
      <c r="ET174" s="2336">
        <v>134.85</v>
      </c>
      <c r="EU174" s="2336">
        <v>196.34</v>
      </c>
      <c r="EV174" s="2336">
        <v>252.77</v>
      </c>
      <c r="EW174" s="2336">
        <v>421.49</v>
      </c>
      <c r="EX174" s="2336">
        <v>601.88</v>
      </c>
      <c r="EY174" s="2250"/>
      <c r="EZ174" s="2250"/>
      <c r="FA174" s="2333">
        <v>58.1</v>
      </c>
      <c r="FB174" s="2336">
        <v>7.34</v>
      </c>
      <c r="FC174" s="2336">
        <v>10.84</v>
      </c>
      <c r="FD174" s="2336">
        <v>21.44</v>
      </c>
      <c r="FE174" s="2336">
        <v>34.76</v>
      </c>
      <c r="FF174" s="2336">
        <v>55.3</v>
      </c>
      <c r="FG174" s="2336">
        <v>67.489999999999995</v>
      </c>
      <c r="FH174" s="2336">
        <v>102.48</v>
      </c>
      <c r="FI174" s="2336">
        <v>151.13</v>
      </c>
      <c r="FJ174" s="2336">
        <v>216.25</v>
      </c>
      <c r="FK174" s="2336">
        <v>328.44</v>
      </c>
      <c r="FL174" s="2336">
        <v>455.53</v>
      </c>
      <c r="FM174" s="2250"/>
      <c r="FN174" s="2250"/>
      <c r="FO174" s="2333">
        <v>58.1</v>
      </c>
      <c r="FP174" s="2337">
        <v>4.46</v>
      </c>
      <c r="FQ174" s="2337">
        <v>6.83</v>
      </c>
      <c r="FR174" s="2337">
        <v>12.67</v>
      </c>
      <c r="FS174" s="2337">
        <v>20</v>
      </c>
      <c r="FT174" s="2337">
        <v>31.68</v>
      </c>
      <c r="FU174" s="2337">
        <v>39.21</v>
      </c>
      <c r="FV174" s="2337">
        <v>59.01</v>
      </c>
      <c r="FW174" s="2337">
        <v>86.53</v>
      </c>
      <c r="FX174" s="2337">
        <v>123.76</v>
      </c>
      <c r="FY174" s="2337">
        <v>188.81</v>
      </c>
      <c r="FZ174" s="2337">
        <v>262.27999999999997</v>
      </c>
      <c r="GA174" s="2250"/>
      <c r="GB174" s="2250"/>
      <c r="GC174" s="1302">
        <v>129.80000000000001</v>
      </c>
      <c r="GD174" s="1302">
        <v>140.1</v>
      </c>
      <c r="GE174" s="2250"/>
      <c r="GF174" s="2275"/>
      <c r="GG174" s="2333">
        <v>58.1</v>
      </c>
      <c r="GH174" s="2336">
        <v>11.58</v>
      </c>
      <c r="GI174" s="2336">
        <v>17.13</v>
      </c>
      <c r="GJ174" s="2336">
        <v>34.06</v>
      </c>
      <c r="GK174" s="2336">
        <v>57.72</v>
      </c>
      <c r="GL174" s="2336">
        <v>92.67</v>
      </c>
      <c r="GM174" s="2336">
        <v>132.87</v>
      </c>
      <c r="GN174" s="2336">
        <v>185.45</v>
      </c>
      <c r="GO174" s="2336">
        <v>272.38</v>
      </c>
      <c r="GP174" s="2336">
        <v>348.81</v>
      </c>
      <c r="GQ174" s="2336">
        <v>584.85</v>
      </c>
      <c r="GR174" s="2336">
        <v>871.68</v>
      </c>
      <c r="GS174" s="2250"/>
      <c r="GT174" s="2250"/>
      <c r="GU174" s="2333">
        <v>58.1</v>
      </c>
      <c r="GV174" s="2336">
        <v>8.42</v>
      </c>
      <c r="GW174" s="2336">
        <v>12.38</v>
      </c>
      <c r="GX174" s="2336">
        <v>24.55</v>
      </c>
      <c r="GY174" s="2336">
        <v>42.18</v>
      </c>
      <c r="GZ174" s="2336">
        <v>66.83</v>
      </c>
      <c r="HA174" s="2336">
        <v>89.31</v>
      </c>
      <c r="HB174" s="2336">
        <v>134.85</v>
      </c>
      <c r="HC174" s="2336">
        <v>196.34</v>
      </c>
      <c r="HD174" s="2336">
        <v>252.77</v>
      </c>
      <c r="HE174" s="2336">
        <v>421.49</v>
      </c>
      <c r="HF174" s="2336">
        <v>601.88</v>
      </c>
      <c r="HG174" s="2250"/>
      <c r="HH174" s="2250"/>
      <c r="HI174" s="2333">
        <v>58.1</v>
      </c>
      <c r="HJ174" s="2336">
        <v>7.34</v>
      </c>
      <c r="HK174" s="2336">
        <v>10.84</v>
      </c>
      <c r="HL174" s="2336">
        <v>21.44</v>
      </c>
      <c r="HM174" s="2336">
        <v>34.76</v>
      </c>
      <c r="HN174" s="2336">
        <v>55.3</v>
      </c>
      <c r="HO174" s="2336">
        <v>67.489999999999995</v>
      </c>
      <c r="HP174" s="2336">
        <v>102.48</v>
      </c>
      <c r="HQ174" s="2336">
        <v>151.13</v>
      </c>
      <c r="HR174" s="2336">
        <v>216.25</v>
      </c>
      <c r="HS174" s="2336">
        <v>328.44</v>
      </c>
      <c r="HT174" s="2336">
        <v>455.53</v>
      </c>
      <c r="HU174" s="2250"/>
      <c r="HV174" s="2250"/>
      <c r="HW174" s="2333">
        <v>58.1</v>
      </c>
      <c r="HX174" s="2337">
        <v>4.46</v>
      </c>
      <c r="HY174" s="2337">
        <v>6.83</v>
      </c>
      <c r="HZ174" s="2337">
        <v>12.67</v>
      </c>
      <c r="IA174" s="2337">
        <v>20</v>
      </c>
      <c r="IB174" s="2337">
        <v>31.68</v>
      </c>
      <c r="IC174" s="2337">
        <v>39.21</v>
      </c>
      <c r="ID174" s="2337">
        <v>59.01</v>
      </c>
      <c r="IE174" s="2337">
        <v>86.53</v>
      </c>
      <c r="IF174" s="2337">
        <v>123.76</v>
      </c>
      <c r="IG174" s="2337">
        <v>188.81</v>
      </c>
      <c r="IH174" s="2337">
        <v>262.27999999999997</v>
      </c>
      <c r="II174" s="2250"/>
      <c r="IJ174" s="2250"/>
      <c r="IK174" s="2250"/>
      <c r="IL174" s="2250"/>
    </row>
    <row r="175" spans="1:246" ht="21.95" customHeight="1">
      <c r="A175" s="2275"/>
      <c r="B175" s="2333">
        <v>48.8</v>
      </c>
      <c r="C175" s="2336">
        <v>13.66</v>
      </c>
      <c r="D175" s="2336">
        <v>20.399999999999999</v>
      </c>
      <c r="E175" s="2336">
        <v>39.799999999999997</v>
      </c>
      <c r="F175" s="2336">
        <v>66.83</v>
      </c>
      <c r="G175" s="2336">
        <v>109.11</v>
      </c>
      <c r="H175" s="2336">
        <v>154.85</v>
      </c>
      <c r="I175" s="2336">
        <v>225.15</v>
      </c>
      <c r="J175" s="2336">
        <v>318.12</v>
      </c>
      <c r="K175" s="2336">
        <v>410.3</v>
      </c>
      <c r="L175" s="2336">
        <v>674.75</v>
      </c>
      <c r="M175" s="2336">
        <v>993.96</v>
      </c>
      <c r="N175" s="2250"/>
      <c r="O175" s="2250"/>
      <c r="P175" s="2333">
        <v>48.8</v>
      </c>
      <c r="Q175" s="2336">
        <v>9.8000000000000007</v>
      </c>
      <c r="R175" s="2336">
        <v>14.65</v>
      </c>
      <c r="S175" s="2336">
        <v>28.71</v>
      </c>
      <c r="T175" s="2336">
        <v>48.71</v>
      </c>
      <c r="U175" s="2336">
        <v>78.709999999999994</v>
      </c>
      <c r="V175" s="2336">
        <v>104.46</v>
      </c>
      <c r="W175" s="2336">
        <v>157.03</v>
      </c>
      <c r="X175" s="2336">
        <v>228.91</v>
      </c>
      <c r="Y175" s="2336">
        <v>295.54000000000002</v>
      </c>
      <c r="Z175" s="2336">
        <v>486.63</v>
      </c>
      <c r="AA175" s="2336">
        <v>722.67</v>
      </c>
      <c r="AB175" s="2250"/>
      <c r="AC175" s="2250"/>
      <c r="AD175" s="2333">
        <v>48.8</v>
      </c>
      <c r="AE175" s="2336">
        <v>8.58</v>
      </c>
      <c r="AF175" s="2336">
        <v>12.75</v>
      </c>
      <c r="AG175" s="2336">
        <v>24.83</v>
      </c>
      <c r="AH175" s="2336">
        <v>39.840000000000003</v>
      </c>
      <c r="AI175" s="2336">
        <v>63.77</v>
      </c>
      <c r="AJ175" s="2336">
        <v>79.8</v>
      </c>
      <c r="AK175" s="2336">
        <v>119.07</v>
      </c>
      <c r="AL175" s="2336">
        <v>173.14</v>
      </c>
      <c r="AM175" s="2336">
        <v>238.83</v>
      </c>
      <c r="AN175" s="2336">
        <v>371.67</v>
      </c>
      <c r="AO175" s="2336">
        <v>547.4</v>
      </c>
      <c r="AP175" s="2250"/>
      <c r="AQ175" s="2250"/>
      <c r="AR175" s="2333">
        <v>48.8</v>
      </c>
      <c r="AS175" s="2337">
        <v>5.25</v>
      </c>
      <c r="AT175" s="2337">
        <v>7.72</v>
      </c>
      <c r="AU175" s="2337">
        <v>14.36</v>
      </c>
      <c r="AV175" s="2337">
        <v>23.07</v>
      </c>
      <c r="AW175" s="2337">
        <v>36.83</v>
      </c>
      <c r="AX175" s="2337">
        <v>45.94</v>
      </c>
      <c r="AY175" s="2337">
        <v>68.91</v>
      </c>
      <c r="AZ175" s="2337">
        <v>100</v>
      </c>
      <c r="BA175" s="2337">
        <v>138.12</v>
      </c>
      <c r="BB175" s="2337">
        <v>215.25</v>
      </c>
      <c r="BC175" s="2337">
        <v>316.93</v>
      </c>
      <c r="BD175" s="2250"/>
      <c r="BE175" s="2250"/>
      <c r="BF175" s="1302">
        <v>151.30000000000001</v>
      </c>
      <c r="BG175" s="1302">
        <v>162.68</v>
      </c>
      <c r="BH175" s="2250"/>
      <c r="BI175" s="2275"/>
      <c r="BJ175" s="2333">
        <v>48.8</v>
      </c>
      <c r="BK175" s="2336">
        <v>13.66</v>
      </c>
      <c r="BL175" s="2336">
        <v>20.399999999999999</v>
      </c>
      <c r="BM175" s="2336">
        <v>39.799999999999997</v>
      </c>
      <c r="BN175" s="2336">
        <v>66.83</v>
      </c>
      <c r="BO175" s="2336">
        <v>109.11</v>
      </c>
      <c r="BP175" s="2336">
        <v>154.85</v>
      </c>
      <c r="BQ175" s="2336">
        <v>225.15</v>
      </c>
      <c r="BR175" s="2336">
        <v>318.12</v>
      </c>
      <c r="BS175" s="2336">
        <v>410.3</v>
      </c>
      <c r="BT175" s="2336">
        <v>674.75</v>
      </c>
      <c r="BU175" s="2336">
        <v>993.96</v>
      </c>
      <c r="BV175" s="2250"/>
      <c r="BW175" s="2250"/>
      <c r="BX175" s="2333">
        <v>48.8</v>
      </c>
      <c r="BY175" s="2336">
        <v>9.8000000000000007</v>
      </c>
      <c r="BZ175" s="2336">
        <v>14.65</v>
      </c>
      <c r="CA175" s="2336">
        <v>28.71</v>
      </c>
      <c r="CB175" s="2336">
        <v>48.71</v>
      </c>
      <c r="CC175" s="2336">
        <v>78.709999999999994</v>
      </c>
      <c r="CD175" s="2336">
        <v>104.46</v>
      </c>
      <c r="CE175" s="2336">
        <v>157.03</v>
      </c>
      <c r="CF175" s="2336">
        <v>228.91</v>
      </c>
      <c r="CG175" s="2336">
        <v>295.54000000000002</v>
      </c>
      <c r="CH175" s="2336">
        <v>486.63</v>
      </c>
      <c r="CI175" s="2336">
        <v>722.67</v>
      </c>
      <c r="CJ175" s="2250"/>
      <c r="CK175" s="2250"/>
      <c r="CL175" s="2333">
        <v>48.8</v>
      </c>
      <c r="CM175" s="2336">
        <v>8.58</v>
      </c>
      <c r="CN175" s="2336">
        <v>12.75</v>
      </c>
      <c r="CO175" s="2336">
        <v>24.83</v>
      </c>
      <c r="CP175" s="2336">
        <v>39.840000000000003</v>
      </c>
      <c r="CQ175" s="2336">
        <v>63.77</v>
      </c>
      <c r="CR175" s="2336">
        <v>79.8</v>
      </c>
      <c r="CS175" s="2336">
        <v>119.07</v>
      </c>
      <c r="CT175" s="2336">
        <v>173.14</v>
      </c>
      <c r="CU175" s="2336">
        <v>238.83</v>
      </c>
      <c r="CV175" s="2336">
        <v>371.67</v>
      </c>
      <c r="CW175" s="2336">
        <v>547.4</v>
      </c>
      <c r="CX175" s="2250"/>
      <c r="CY175" s="2250"/>
      <c r="CZ175" s="2333">
        <v>48.8</v>
      </c>
      <c r="DA175" s="2337">
        <v>5.25</v>
      </c>
      <c r="DB175" s="2337">
        <v>7.72</v>
      </c>
      <c r="DC175" s="2337">
        <v>14.36</v>
      </c>
      <c r="DD175" s="2337">
        <v>23.07</v>
      </c>
      <c r="DE175" s="2337">
        <v>36.83</v>
      </c>
      <c r="DF175" s="2337">
        <v>45.94</v>
      </c>
      <c r="DG175" s="2337">
        <v>68.91</v>
      </c>
      <c r="DH175" s="2337">
        <v>100</v>
      </c>
      <c r="DI175" s="2337">
        <v>138.12</v>
      </c>
      <c r="DJ175" s="2337">
        <v>215.25</v>
      </c>
      <c r="DK175" s="2337">
        <v>316.93</v>
      </c>
      <c r="DL175" s="2250"/>
      <c r="DM175" s="2250"/>
      <c r="DN175" s="2250"/>
      <c r="DO175" s="2250"/>
      <c r="DP175" s="2250"/>
      <c r="DQ175" s="2277"/>
      <c r="DR175" s="2277"/>
      <c r="DS175" s="2278"/>
      <c r="DT175" s="2250"/>
      <c r="DU175" s="2250"/>
      <c r="DV175" s="2250"/>
      <c r="DW175" s="2250"/>
      <c r="DX175" s="2275"/>
      <c r="DY175" s="2333">
        <v>53.7</v>
      </c>
      <c r="DZ175" s="2336">
        <v>12.38</v>
      </c>
      <c r="EA175" s="2336">
        <v>18.420000000000002</v>
      </c>
      <c r="EB175" s="2336">
        <v>36.340000000000003</v>
      </c>
      <c r="EC175" s="2336">
        <v>62.97</v>
      </c>
      <c r="ED175" s="2336">
        <v>98.91</v>
      </c>
      <c r="EE175" s="2336">
        <v>143.76</v>
      </c>
      <c r="EF175" s="2336">
        <v>210.1</v>
      </c>
      <c r="EG175" s="2336">
        <v>288.22000000000003</v>
      </c>
      <c r="EH175" s="2336">
        <v>362.28</v>
      </c>
      <c r="EI175" s="2336">
        <v>614.46</v>
      </c>
      <c r="EJ175" s="2336">
        <v>919.6</v>
      </c>
      <c r="EK175" s="2250"/>
      <c r="EL175" s="2250"/>
      <c r="EM175" s="2333">
        <v>53.7</v>
      </c>
      <c r="EN175" s="2336">
        <v>8.91</v>
      </c>
      <c r="EO175" s="2336">
        <v>13.27</v>
      </c>
      <c r="EP175" s="2336">
        <v>26.24</v>
      </c>
      <c r="EQ175" s="2336">
        <v>45.45</v>
      </c>
      <c r="ER175" s="2336">
        <v>71.290000000000006</v>
      </c>
      <c r="ES175" s="2336">
        <v>96.63</v>
      </c>
      <c r="ET175" s="2336">
        <v>145.25</v>
      </c>
      <c r="EU175" s="2336">
        <v>207.82</v>
      </c>
      <c r="EV175" s="2336">
        <v>263.37</v>
      </c>
      <c r="EW175" s="2336">
        <v>442.97</v>
      </c>
      <c r="EX175" s="2336">
        <v>656.83</v>
      </c>
      <c r="EY175" s="2250"/>
      <c r="EZ175" s="2250"/>
      <c r="FA175" s="2333">
        <v>53.7</v>
      </c>
      <c r="FB175" s="2336">
        <v>7.79</v>
      </c>
      <c r="FC175" s="2336">
        <v>11.63</v>
      </c>
      <c r="FD175" s="2336">
        <v>22.12</v>
      </c>
      <c r="FE175" s="2336">
        <v>35.33</v>
      </c>
      <c r="FF175" s="2336">
        <v>58.58</v>
      </c>
      <c r="FG175" s="2336">
        <v>73.59</v>
      </c>
      <c r="FH175" s="2336">
        <v>109.82</v>
      </c>
      <c r="FI175" s="2336">
        <v>158.91999999999999</v>
      </c>
      <c r="FJ175" s="2336">
        <v>228.67</v>
      </c>
      <c r="FK175" s="2336">
        <v>343.34</v>
      </c>
      <c r="FL175" s="2336">
        <v>501.81</v>
      </c>
      <c r="FM175" s="2250"/>
      <c r="FN175" s="2250"/>
      <c r="FO175" s="2333">
        <v>53.7</v>
      </c>
      <c r="FP175" s="2337">
        <v>4.95</v>
      </c>
      <c r="FQ175" s="2337">
        <v>7.03</v>
      </c>
      <c r="FR175" s="2337">
        <v>12.77</v>
      </c>
      <c r="FS175" s="2337">
        <v>20.399999999999999</v>
      </c>
      <c r="FT175" s="2337">
        <v>33.56</v>
      </c>
      <c r="FU175" s="2337">
        <v>42.48</v>
      </c>
      <c r="FV175" s="2337">
        <v>63.47</v>
      </c>
      <c r="FW175" s="2337">
        <v>91.19</v>
      </c>
      <c r="FX175" s="2337">
        <v>131.88</v>
      </c>
      <c r="FY175" s="2337">
        <v>197.62</v>
      </c>
      <c r="FZ175" s="2337">
        <v>287.13</v>
      </c>
      <c r="GA175" s="2250"/>
      <c r="GB175" s="2250"/>
      <c r="GC175" s="1302">
        <v>140.1</v>
      </c>
      <c r="GD175" s="1302">
        <v>151.30000000000001</v>
      </c>
      <c r="GE175" s="2250"/>
      <c r="GF175" s="2275"/>
      <c r="GG175" s="2333">
        <v>53.7</v>
      </c>
      <c r="GH175" s="2336">
        <v>12.38</v>
      </c>
      <c r="GI175" s="2336">
        <v>18.420000000000002</v>
      </c>
      <c r="GJ175" s="2336">
        <v>36.340000000000003</v>
      </c>
      <c r="GK175" s="2336">
        <v>62.97</v>
      </c>
      <c r="GL175" s="2336">
        <v>98.91</v>
      </c>
      <c r="GM175" s="2336">
        <v>143.76</v>
      </c>
      <c r="GN175" s="2336">
        <v>210.1</v>
      </c>
      <c r="GO175" s="2336">
        <v>288.22000000000003</v>
      </c>
      <c r="GP175" s="2336">
        <v>362.28</v>
      </c>
      <c r="GQ175" s="2336">
        <v>614.46</v>
      </c>
      <c r="GR175" s="2336">
        <v>919.6</v>
      </c>
      <c r="GS175" s="2250"/>
      <c r="GT175" s="2250"/>
      <c r="GU175" s="2333">
        <v>53.7</v>
      </c>
      <c r="GV175" s="2336">
        <v>8.91</v>
      </c>
      <c r="GW175" s="2336">
        <v>13.27</v>
      </c>
      <c r="GX175" s="2336">
        <v>26.24</v>
      </c>
      <c r="GY175" s="2336">
        <v>45.45</v>
      </c>
      <c r="GZ175" s="2336">
        <v>71.290000000000006</v>
      </c>
      <c r="HA175" s="2336">
        <v>96.63</v>
      </c>
      <c r="HB175" s="2336">
        <v>145.25</v>
      </c>
      <c r="HC175" s="2336">
        <v>207.82</v>
      </c>
      <c r="HD175" s="2336">
        <v>263.37</v>
      </c>
      <c r="HE175" s="2336">
        <v>442.97</v>
      </c>
      <c r="HF175" s="2336">
        <v>656.83</v>
      </c>
      <c r="HG175" s="2250"/>
      <c r="HH175" s="2250"/>
      <c r="HI175" s="2333">
        <v>53.7</v>
      </c>
      <c r="HJ175" s="2336">
        <v>7.79</v>
      </c>
      <c r="HK175" s="2336">
        <v>11.63</v>
      </c>
      <c r="HL175" s="2336">
        <v>22.12</v>
      </c>
      <c r="HM175" s="2336">
        <v>35.33</v>
      </c>
      <c r="HN175" s="2336">
        <v>58.58</v>
      </c>
      <c r="HO175" s="2336">
        <v>73.59</v>
      </c>
      <c r="HP175" s="2336">
        <v>109.82</v>
      </c>
      <c r="HQ175" s="2336">
        <v>158.91999999999999</v>
      </c>
      <c r="HR175" s="2336">
        <v>228.67</v>
      </c>
      <c r="HS175" s="2336">
        <v>343.34</v>
      </c>
      <c r="HT175" s="2336">
        <v>501.81</v>
      </c>
      <c r="HU175" s="2250"/>
      <c r="HV175" s="2250"/>
      <c r="HW175" s="2333">
        <v>53.7</v>
      </c>
      <c r="HX175" s="2337">
        <v>4.95</v>
      </c>
      <c r="HY175" s="2337">
        <v>7.03</v>
      </c>
      <c r="HZ175" s="2337">
        <v>12.77</v>
      </c>
      <c r="IA175" s="2337">
        <v>20.399999999999999</v>
      </c>
      <c r="IB175" s="2337">
        <v>33.56</v>
      </c>
      <c r="IC175" s="2337">
        <v>42.48</v>
      </c>
      <c r="ID175" s="2337">
        <v>63.47</v>
      </c>
      <c r="IE175" s="2337">
        <v>91.19</v>
      </c>
      <c r="IF175" s="2337">
        <v>131.88</v>
      </c>
      <c r="IG175" s="2337">
        <v>197.62</v>
      </c>
      <c r="IH175" s="2337">
        <v>287.13</v>
      </c>
      <c r="II175" s="2250"/>
      <c r="IJ175" s="2250"/>
      <c r="IK175" s="2250"/>
      <c r="IL175" s="2250"/>
    </row>
    <row r="176" spans="1:246" ht="21.95" customHeight="1">
      <c r="A176" s="2275"/>
      <c r="B176" s="2333">
        <v>43.9</v>
      </c>
      <c r="C176" s="2336">
        <v>14.95</v>
      </c>
      <c r="D176" s="2336">
        <v>22.18</v>
      </c>
      <c r="E176" s="2336">
        <v>43.27</v>
      </c>
      <c r="F176" s="2336">
        <v>72.87</v>
      </c>
      <c r="G176" s="2336">
        <v>119.5</v>
      </c>
      <c r="H176" s="2336">
        <v>157.13</v>
      </c>
      <c r="I176" s="2336">
        <v>241.49</v>
      </c>
      <c r="J176" s="2336">
        <v>347.62</v>
      </c>
      <c r="K176" s="2336">
        <v>467.82</v>
      </c>
      <c r="L176" s="2336">
        <v>733.56</v>
      </c>
      <c r="M176" s="2336">
        <v>1082.8699999999999</v>
      </c>
      <c r="N176" s="2250"/>
      <c r="O176" s="2250"/>
      <c r="P176" s="2333">
        <v>43.9</v>
      </c>
      <c r="Q176" s="2336">
        <v>10.79</v>
      </c>
      <c r="R176" s="2336">
        <v>15.94</v>
      </c>
      <c r="S176" s="2336">
        <v>31.19</v>
      </c>
      <c r="T176" s="2336">
        <v>52.97</v>
      </c>
      <c r="U176" s="2336">
        <v>86.04</v>
      </c>
      <c r="V176" s="2336">
        <v>114.75</v>
      </c>
      <c r="W176" s="2336">
        <v>169.7</v>
      </c>
      <c r="X176" s="2336">
        <v>249.01</v>
      </c>
      <c r="Y176" s="2336">
        <v>337.72</v>
      </c>
      <c r="Z176" s="2336">
        <v>528.61</v>
      </c>
      <c r="AA176" s="2336">
        <v>783.27</v>
      </c>
      <c r="AB176" s="2250"/>
      <c r="AC176" s="2250"/>
      <c r="AD176" s="2333">
        <v>43.9</v>
      </c>
      <c r="AE176" s="2336">
        <v>9.26</v>
      </c>
      <c r="AF176" s="2336">
        <v>13.88</v>
      </c>
      <c r="AG176" s="2336">
        <v>25.96</v>
      </c>
      <c r="AH176" s="2336">
        <v>43.68</v>
      </c>
      <c r="AI176" s="2336">
        <v>70.650000000000006</v>
      </c>
      <c r="AJ176" s="2336">
        <v>89.84</v>
      </c>
      <c r="AK176" s="2336">
        <v>129.46</v>
      </c>
      <c r="AL176" s="2336">
        <v>189.39</v>
      </c>
      <c r="AM176" s="2336">
        <v>265.01</v>
      </c>
      <c r="AN176" s="2336">
        <v>404.74</v>
      </c>
      <c r="AO176" s="2336">
        <v>600.34</v>
      </c>
      <c r="AP176" s="2250"/>
      <c r="AQ176" s="2250"/>
      <c r="AR176" s="2333">
        <v>43.9</v>
      </c>
      <c r="AS176" s="2337">
        <v>5.35</v>
      </c>
      <c r="AT176" s="2337">
        <v>8.7100000000000009</v>
      </c>
      <c r="AU176" s="2337">
        <v>15.05</v>
      </c>
      <c r="AV176" s="2337">
        <v>25.25</v>
      </c>
      <c r="AW176" s="2337">
        <v>40.89</v>
      </c>
      <c r="AX176" s="2337">
        <v>51.68</v>
      </c>
      <c r="AY176" s="2337">
        <v>74.650000000000006</v>
      </c>
      <c r="AZ176" s="2337">
        <v>109.6</v>
      </c>
      <c r="BA176" s="2337">
        <v>153.27000000000001</v>
      </c>
      <c r="BB176" s="2337">
        <v>234.16</v>
      </c>
      <c r="BC176" s="2337">
        <v>347.13</v>
      </c>
      <c r="BD176" s="2250"/>
      <c r="BE176" s="2250"/>
      <c r="BF176" s="1302">
        <v>162.68</v>
      </c>
      <c r="BG176" s="1302">
        <v>165.9</v>
      </c>
      <c r="BH176" s="2250"/>
      <c r="BI176" s="2275"/>
      <c r="BJ176" s="2333">
        <v>43.9</v>
      </c>
      <c r="BK176" s="2336">
        <v>14.95</v>
      </c>
      <c r="BL176" s="2336">
        <v>22.18</v>
      </c>
      <c r="BM176" s="2336">
        <v>43.27</v>
      </c>
      <c r="BN176" s="2336">
        <v>72.87</v>
      </c>
      <c r="BO176" s="2336">
        <v>119.5</v>
      </c>
      <c r="BP176" s="2336">
        <v>157.13</v>
      </c>
      <c r="BQ176" s="2336">
        <v>241.49</v>
      </c>
      <c r="BR176" s="2336">
        <v>347.62</v>
      </c>
      <c r="BS176" s="2336">
        <v>467.82</v>
      </c>
      <c r="BT176" s="2336">
        <v>733.56</v>
      </c>
      <c r="BU176" s="2336">
        <v>1082.8699999999999</v>
      </c>
      <c r="BV176" s="2250"/>
      <c r="BW176" s="2250"/>
      <c r="BX176" s="2333">
        <v>43.9</v>
      </c>
      <c r="BY176" s="2336">
        <v>10.79</v>
      </c>
      <c r="BZ176" s="2336">
        <v>15.94</v>
      </c>
      <c r="CA176" s="2336">
        <v>31.19</v>
      </c>
      <c r="CB176" s="2336">
        <v>52.97</v>
      </c>
      <c r="CC176" s="2336">
        <v>86.04</v>
      </c>
      <c r="CD176" s="2336">
        <v>114.75</v>
      </c>
      <c r="CE176" s="2336">
        <v>169.7</v>
      </c>
      <c r="CF176" s="2336">
        <v>249.01</v>
      </c>
      <c r="CG176" s="2336">
        <v>337.72</v>
      </c>
      <c r="CH176" s="2336">
        <v>528.61</v>
      </c>
      <c r="CI176" s="2336">
        <v>783.27</v>
      </c>
      <c r="CJ176" s="2250"/>
      <c r="CK176" s="2250"/>
      <c r="CL176" s="2333">
        <v>43.9</v>
      </c>
      <c r="CM176" s="2336">
        <v>9.26</v>
      </c>
      <c r="CN176" s="2336">
        <v>13.88</v>
      </c>
      <c r="CO176" s="2336">
        <v>25.96</v>
      </c>
      <c r="CP176" s="2336">
        <v>43.68</v>
      </c>
      <c r="CQ176" s="2336">
        <v>70.650000000000006</v>
      </c>
      <c r="CR176" s="2336">
        <v>89.84</v>
      </c>
      <c r="CS176" s="2336">
        <v>129.46</v>
      </c>
      <c r="CT176" s="2336">
        <v>189.39</v>
      </c>
      <c r="CU176" s="2336">
        <v>265.01</v>
      </c>
      <c r="CV176" s="2336">
        <v>404.74</v>
      </c>
      <c r="CW176" s="2336">
        <v>600.34</v>
      </c>
      <c r="CX176" s="2250"/>
      <c r="CY176" s="2250"/>
      <c r="CZ176" s="2333">
        <v>43.9</v>
      </c>
      <c r="DA176" s="2337">
        <v>5.35</v>
      </c>
      <c r="DB176" s="2337">
        <v>8.7100000000000009</v>
      </c>
      <c r="DC176" s="2337">
        <v>15.05</v>
      </c>
      <c r="DD176" s="2337">
        <v>25.25</v>
      </c>
      <c r="DE176" s="2337">
        <v>40.89</v>
      </c>
      <c r="DF176" s="2337">
        <v>51.68</v>
      </c>
      <c r="DG176" s="2337">
        <v>74.650000000000006</v>
      </c>
      <c r="DH176" s="2337">
        <v>109.6</v>
      </c>
      <c r="DI176" s="2337">
        <v>153.27000000000001</v>
      </c>
      <c r="DJ176" s="2337">
        <v>234.16</v>
      </c>
      <c r="DK176" s="2337">
        <v>347.13</v>
      </c>
      <c r="DL176" s="2250"/>
      <c r="DM176" s="2250"/>
      <c r="DN176" s="2250"/>
      <c r="DO176" s="2250"/>
      <c r="DP176" s="2250"/>
      <c r="DQ176" s="2277"/>
      <c r="DR176" s="2277"/>
      <c r="DS176" s="2278"/>
      <c r="DT176" s="2250"/>
      <c r="DU176" s="2250"/>
      <c r="DV176" s="2250"/>
      <c r="DW176" s="2250"/>
      <c r="DX176" s="2275"/>
      <c r="DY176" s="2333">
        <v>48.8</v>
      </c>
      <c r="DZ176" s="2336">
        <v>13.66</v>
      </c>
      <c r="EA176" s="2336">
        <v>20.399999999999999</v>
      </c>
      <c r="EB176" s="2336">
        <v>39.799999999999997</v>
      </c>
      <c r="EC176" s="2336">
        <v>66.83</v>
      </c>
      <c r="ED176" s="2336">
        <v>109.11</v>
      </c>
      <c r="EE176" s="2336">
        <v>154.85</v>
      </c>
      <c r="EF176" s="2336">
        <v>225.15</v>
      </c>
      <c r="EG176" s="2336">
        <v>318.12</v>
      </c>
      <c r="EH176" s="2336">
        <v>410.3</v>
      </c>
      <c r="EI176" s="2336">
        <v>674.75</v>
      </c>
      <c r="EJ176" s="2336">
        <v>993.96</v>
      </c>
      <c r="EK176" s="2250"/>
      <c r="EL176" s="2250"/>
      <c r="EM176" s="2333">
        <v>48.8</v>
      </c>
      <c r="EN176" s="2336">
        <v>9.8000000000000007</v>
      </c>
      <c r="EO176" s="2336">
        <v>14.65</v>
      </c>
      <c r="EP176" s="2336">
        <v>28.71</v>
      </c>
      <c r="EQ176" s="2336">
        <v>48.71</v>
      </c>
      <c r="ER176" s="2336">
        <v>78.709999999999994</v>
      </c>
      <c r="ES176" s="2336">
        <v>104.46</v>
      </c>
      <c r="ET176" s="2336">
        <v>157.03</v>
      </c>
      <c r="EU176" s="2336">
        <v>228.91</v>
      </c>
      <c r="EV176" s="2336">
        <v>295.54000000000002</v>
      </c>
      <c r="EW176" s="2336">
        <v>486.63</v>
      </c>
      <c r="EX176" s="2336">
        <v>722.67</v>
      </c>
      <c r="EY176" s="2250"/>
      <c r="EZ176" s="2250"/>
      <c r="FA176" s="2333">
        <v>48.8</v>
      </c>
      <c r="FB176" s="2336">
        <v>8.58</v>
      </c>
      <c r="FC176" s="2336">
        <v>12.75</v>
      </c>
      <c r="FD176" s="2336">
        <v>24.83</v>
      </c>
      <c r="FE176" s="2336">
        <v>39.840000000000003</v>
      </c>
      <c r="FF176" s="2336">
        <v>63.77</v>
      </c>
      <c r="FG176" s="2336">
        <v>79.8</v>
      </c>
      <c r="FH176" s="2336">
        <v>119.07</v>
      </c>
      <c r="FI176" s="2336">
        <v>173.14</v>
      </c>
      <c r="FJ176" s="2336">
        <v>238.83</v>
      </c>
      <c r="FK176" s="2336">
        <v>371.67</v>
      </c>
      <c r="FL176" s="2336">
        <v>547.4</v>
      </c>
      <c r="FM176" s="2250"/>
      <c r="FN176" s="2250"/>
      <c r="FO176" s="2333">
        <v>48.8</v>
      </c>
      <c r="FP176" s="2337">
        <v>5.25</v>
      </c>
      <c r="FQ176" s="2337">
        <v>7.72</v>
      </c>
      <c r="FR176" s="2337">
        <v>14.36</v>
      </c>
      <c r="FS176" s="2337">
        <v>23.07</v>
      </c>
      <c r="FT176" s="2337">
        <v>36.83</v>
      </c>
      <c r="FU176" s="2337">
        <v>45.94</v>
      </c>
      <c r="FV176" s="2337">
        <v>68.91</v>
      </c>
      <c r="FW176" s="2337">
        <v>100</v>
      </c>
      <c r="FX176" s="2337">
        <v>138.12</v>
      </c>
      <c r="FY176" s="2337">
        <v>215.25</v>
      </c>
      <c r="FZ176" s="2337">
        <v>316.93</v>
      </c>
      <c r="GA176" s="2250"/>
      <c r="GB176" s="2250"/>
      <c r="GC176" s="1302">
        <v>151.30000000000001</v>
      </c>
      <c r="GD176" s="1302">
        <v>162.68</v>
      </c>
      <c r="GE176" s="2250"/>
      <c r="GF176" s="2275"/>
      <c r="GG176" s="2333">
        <v>48.8</v>
      </c>
      <c r="GH176" s="2336">
        <v>13.66</v>
      </c>
      <c r="GI176" s="2336">
        <v>20.399999999999999</v>
      </c>
      <c r="GJ176" s="2336">
        <v>39.799999999999997</v>
      </c>
      <c r="GK176" s="2336">
        <v>66.83</v>
      </c>
      <c r="GL176" s="2336">
        <v>109.11</v>
      </c>
      <c r="GM176" s="2336">
        <v>154.85</v>
      </c>
      <c r="GN176" s="2336">
        <v>225.15</v>
      </c>
      <c r="GO176" s="2336">
        <v>318.12</v>
      </c>
      <c r="GP176" s="2336">
        <v>410.3</v>
      </c>
      <c r="GQ176" s="2336">
        <v>674.75</v>
      </c>
      <c r="GR176" s="2336">
        <v>993.96</v>
      </c>
      <c r="GS176" s="2250"/>
      <c r="GT176" s="2250"/>
      <c r="GU176" s="2333">
        <v>48.8</v>
      </c>
      <c r="GV176" s="2336">
        <v>9.8000000000000007</v>
      </c>
      <c r="GW176" s="2336">
        <v>14.65</v>
      </c>
      <c r="GX176" s="2336">
        <v>28.71</v>
      </c>
      <c r="GY176" s="2336">
        <v>48.71</v>
      </c>
      <c r="GZ176" s="2336">
        <v>78.709999999999994</v>
      </c>
      <c r="HA176" s="2336">
        <v>104.46</v>
      </c>
      <c r="HB176" s="2336">
        <v>157.03</v>
      </c>
      <c r="HC176" s="2336">
        <v>228.91</v>
      </c>
      <c r="HD176" s="2336">
        <v>295.54000000000002</v>
      </c>
      <c r="HE176" s="2336">
        <v>486.63</v>
      </c>
      <c r="HF176" s="2336">
        <v>722.67</v>
      </c>
      <c r="HG176" s="2250"/>
      <c r="HH176" s="2250"/>
      <c r="HI176" s="2333">
        <v>48.8</v>
      </c>
      <c r="HJ176" s="2336">
        <v>8.58</v>
      </c>
      <c r="HK176" s="2336">
        <v>12.75</v>
      </c>
      <c r="HL176" s="2336">
        <v>24.83</v>
      </c>
      <c r="HM176" s="2336">
        <v>39.840000000000003</v>
      </c>
      <c r="HN176" s="2336">
        <v>63.77</v>
      </c>
      <c r="HO176" s="2336">
        <v>79.8</v>
      </c>
      <c r="HP176" s="2336">
        <v>119.07</v>
      </c>
      <c r="HQ176" s="2336">
        <v>173.14</v>
      </c>
      <c r="HR176" s="2336">
        <v>238.83</v>
      </c>
      <c r="HS176" s="2336">
        <v>371.67</v>
      </c>
      <c r="HT176" s="2336">
        <v>547.4</v>
      </c>
      <c r="HU176" s="2250"/>
      <c r="HV176" s="2250"/>
      <c r="HW176" s="2333">
        <v>48.8</v>
      </c>
      <c r="HX176" s="2337">
        <v>5.25</v>
      </c>
      <c r="HY176" s="2337">
        <v>7.72</v>
      </c>
      <c r="HZ176" s="2337">
        <v>14.36</v>
      </c>
      <c r="IA176" s="2337">
        <v>23.07</v>
      </c>
      <c r="IB176" s="2337">
        <v>36.83</v>
      </c>
      <c r="IC176" s="2337">
        <v>45.94</v>
      </c>
      <c r="ID176" s="2337">
        <v>68.91</v>
      </c>
      <c r="IE176" s="2337">
        <v>100</v>
      </c>
      <c r="IF176" s="2337">
        <v>138.12</v>
      </c>
      <c r="IG176" s="2337">
        <v>215.25</v>
      </c>
      <c r="IH176" s="2337">
        <v>316.93</v>
      </c>
      <c r="II176" s="2250"/>
      <c r="IJ176" s="2250"/>
      <c r="IK176" s="2250"/>
      <c r="IL176" s="2250"/>
    </row>
    <row r="177" spans="1:246" ht="21.95" customHeight="1">
      <c r="A177" s="2275"/>
      <c r="B177" s="2333">
        <v>38.799999999999997</v>
      </c>
      <c r="C177" s="2336">
        <v>16.53</v>
      </c>
      <c r="D177" s="2336">
        <v>24.85</v>
      </c>
      <c r="E177" s="2336">
        <v>48.12</v>
      </c>
      <c r="F177" s="2336">
        <v>79.599999999999994</v>
      </c>
      <c r="G177" s="2336">
        <v>131.97999999999999</v>
      </c>
      <c r="H177" s="2336">
        <v>161.78</v>
      </c>
      <c r="I177" s="2336">
        <v>269.7</v>
      </c>
      <c r="J177" s="2336">
        <v>384.65</v>
      </c>
      <c r="K177" s="2336">
        <v>515.04999999999995</v>
      </c>
      <c r="L177" s="2336">
        <v>824.36</v>
      </c>
      <c r="M177" s="2336">
        <v>1164.8499999999999</v>
      </c>
      <c r="N177" s="2250"/>
      <c r="O177" s="2250"/>
      <c r="P177" s="2333">
        <v>38.799999999999997</v>
      </c>
      <c r="Q177" s="2336">
        <v>11.88</v>
      </c>
      <c r="R177" s="2336">
        <v>17.920000000000002</v>
      </c>
      <c r="S177" s="2336">
        <v>34.75</v>
      </c>
      <c r="T177" s="2336">
        <v>58.12</v>
      </c>
      <c r="U177" s="2336">
        <v>95.35</v>
      </c>
      <c r="V177" s="2336">
        <v>117.33</v>
      </c>
      <c r="W177" s="2336">
        <v>186.73</v>
      </c>
      <c r="X177" s="2336">
        <v>278.12</v>
      </c>
      <c r="Y177" s="2336">
        <v>372.28</v>
      </c>
      <c r="Z177" s="2336">
        <v>549.41</v>
      </c>
      <c r="AA177" s="2336">
        <v>839.5</v>
      </c>
      <c r="AB177" s="2250"/>
      <c r="AC177" s="2250"/>
      <c r="AD177" s="2333">
        <v>38.799999999999997</v>
      </c>
      <c r="AE177" s="2336">
        <v>10.38</v>
      </c>
      <c r="AF177" s="2336">
        <v>15.58</v>
      </c>
      <c r="AG177" s="2336">
        <v>30.25</v>
      </c>
      <c r="AH177" s="2336">
        <v>48.31</v>
      </c>
      <c r="AI177" s="2336">
        <v>77.88</v>
      </c>
      <c r="AJ177" s="2336">
        <v>99.55</v>
      </c>
      <c r="AK177" s="2336">
        <v>142.33000000000001</v>
      </c>
      <c r="AL177" s="2336">
        <v>211.51</v>
      </c>
      <c r="AM177" s="2336">
        <v>291.31</v>
      </c>
      <c r="AN177" s="2336">
        <v>417.04</v>
      </c>
      <c r="AO177" s="2336">
        <v>652.03</v>
      </c>
      <c r="AP177" s="2250"/>
      <c r="AQ177" s="2250"/>
      <c r="AR177" s="2333">
        <v>38.799999999999997</v>
      </c>
      <c r="AS177" s="2337">
        <v>6.44</v>
      </c>
      <c r="AT177" s="2337">
        <v>9.6999999999999993</v>
      </c>
      <c r="AU177" s="2337">
        <v>17.52</v>
      </c>
      <c r="AV177" s="2337">
        <v>27.82</v>
      </c>
      <c r="AW177" s="2337">
        <v>45.05</v>
      </c>
      <c r="AX177" s="2337">
        <v>57.43</v>
      </c>
      <c r="AY177" s="2337">
        <v>81.98</v>
      </c>
      <c r="AZ177" s="2337">
        <v>131.19</v>
      </c>
      <c r="BA177" s="2337">
        <v>166.24</v>
      </c>
      <c r="BB177" s="2337">
        <v>240.5</v>
      </c>
      <c r="BC177" s="2337">
        <v>377.52</v>
      </c>
      <c r="BD177" s="2250"/>
      <c r="BE177" s="2250"/>
      <c r="BF177" s="1302">
        <v>165.9</v>
      </c>
      <c r="BG177" s="1302">
        <v>177.81</v>
      </c>
      <c r="BH177" s="2250"/>
      <c r="BI177" s="2275"/>
      <c r="BJ177" s="2333">
        <v>38.799999999999997</v>
      </c>
      <c r="BK177" s="2336">
        <v>16.53</v>
      </c>
      <c r="BL177" s="2336">
        <v>24.85</v>
      </c>
      <c r="BM177" s="2336">
        <v>48.12</v>
      </c>
      <c r="BN177" s="2336">
        <v>79.599999999999994</v>
      </c>
      <c r="BO177" s="2336">
        <v>131.97999999999999</v>
      </c>
      <c r="BP177" s="2336">
        <v>161.78</v>
      </c>
      <c r="BQ177" s="2336">
        <v>269.7</v>
      </c>
      <c r="BR177" s="2336">
        <v>384.65</v>
      </c>
      <c r="BS177" s="2336">
        <v>515.04999999999995</v>
      </c>
      <c r="BT177" s="2336">
        <v>824.36</v>
      </c>
      <c r="BU177" s="2336">
        <v>1164.8499999999999</v>
      </c>
      <c r="BV177" s="2250"/>
      <c r="BW177" s="2250"/>
      <c r="BX177" s="2333">
        <v>38.799999999999997</v>
      </c>
      <c r="BY177" s="2336">
        <v>11.88</v>
      </c>
      <c r="BZ177" s="2336">
        <v>17.920000000000002</v>
      </c>
      <c r="CA177" s="2336">
        <v>34.75</v>
      </c>
      <c r="CB177" s="2336">
        <v>58.12</v>
      </c>
      <c r="CC177" s="2336">
        <v>95.35</v>
      </c>
      <c r="CD177" s="2336">
        <v>117.33</v>
      </c>
      <c r="CE177" s="2336">
        <v>186.73</v>
      </c>
      <c r="CF177" s="2336">
        <v>278.12</v>
      </c>
      <c r="CG177" s="2336">
        <v>372.28</v>
      </c>
      <c r="CH177" s="2336">
        <v>549.41</v>
      </c>
      <c r="CI177" s="2336">
        <v>839.5</v>
      </c>
      <c r="CJ177" s="2250"/>
      <c r="CK177" s="2250"/>
      <c r="CL177" s="2333">
        <v>38.799999999999997</v>
      </c>
      <c r="CM177" s="2336">
        <v>10.38</v>
      </c>
      <c r="CN177" s="2336">
        <v>15.58</v>
      </c>
      <c r="CO177" s="2336">
        <v>30.25</v>
      </c>
      <c r="CP177" s="2336">
        <v>48.31</v>
      </c>
      <c r="CQ177" s="2336">
        <v>77.88</v>
      </c>
      <c r="CR177" s="2336">
        <v>99.55</v>
      </c>
      <c r="CS177" s="2336">
        <v>142.33000000000001</v>
      </c>
      <c r="CT177" s="2336">
        <v>211.51</v>
      </c>
      <c r="CU177" s="2336">
        <v>291.31</v>
      </c>
      <c r="CV177" s="2336">
        <v>417.04</v>
      </c>
      <c r="CW177" s="2336">
        <v>652.03</v>
      </c>
      <c r="CX177" s="2250"/>
      <c r="CY177" s="2250"/>
      <c r="CZ177" s="2333">
        <v>38.799999999999997</v>
      </c>
      <c r="DA177" s="2337">
        <v>6.44</v>
      </c>
      <c r="DB177" s="2337">
        <v>9.6999999999999993</v>
      </c>
      <c r="DC177" s="2337">
        <v>17.52</v>
      </c>
      <c r="DD177" s="2337">
        <v>27.82</v>
      </c>
      <c r="DE177" s="2337">
        <v>45.05</v>
      </c>
      <c r="DF177" s="2337">
        <v>57.43</v>
      </c>
      <c r="DG177" s="2337">
        <v>81.98</v>
      </c>
      <c r="DH177" s="2337">
        <v>131.19</v>
      </c>
      <c r="DI177" s="2337">
        <v>166.24</v>
      </c>
      <c r="DJ177" s="2337">
        <v>240.5</v>
      </c>
      <c r="DK177" s="2337">
        <v>377.52</v>
      </c>
      <c r="DL177" s="2250"/>
      <c r="DM177" s="2250"/>
      <c r="DN177" s="2250"/>
      <c r="DO177" s="2250"/>
      <c r="DP177" s="2250"/>
      <c r="DQ177" s="2277"/>
      <c r="DR177" s="2277"/>
      <c r="DS177" s="2278"/>
      <c r="DT177" s="2250"/>
      <c r="DU177" s="2250"/>
      <c r="DV177" s="2250"/>
      <c r="DW177" s="2250"/>
      <c r="DX177" s="2275"/>
      <c r="DY177" s="2333">
        <v>43.9</v>
      </c>
      <c r="DZ177" s="2336">
        <v>14.95</v>
      </c>
      <c r="EA177" s="2336">
        <v>22.18</v>
      </c>
      <c r="EB177" s="2336">
        <v>43.27</v>
      </c>
      <c r="EC177" s="2336">
        <v>72.87</v>
      </c>
      <c r="ED177" s="2336">
        <v>119.5</v>
      </c>
      <c r="EE177" s="2336">
        <v>157.13</v>
      </c>
      <c r="EF177" s="2336">
        <v>241.49</v>
      </c>
      <c r="EG177" s="2336">
        <v>347.62</v>
      </c>
      <c r="EH177" s="2336">
        <v>467.82</v>
      </c>
      <c r="EI177" s="2336">
        <v>733.56</v>
      </c>
      <c r="EJ177" s="2336">
        <v>1082.8699999999999</v>
      </c>
      <c r="EK177" s="2250"/>
      <c r="EL177" s="2250"/>
      <c r="EM177" s="2333">
        <v>43.9</v>
      </c>
      <c r="EN177" s="2336">
        <v>10.79</v>
      </c>
      <c r="EO177" s="2336">
        <v>15.94</v>
      </c>
      <c r="EP177" s="2336">
        <v>31.19</v>
      </c>
      <c r="EQ177" s="2336">
        <v>52.97</v>
      </c>
      <c r="ER177" s="2336">
        <v>86.04</v>
      </c>
      <c r="ES177" s="2336">
        <v>114.75</v>
      </c>
      <c r="ET177" s="2336">
        <v>169.7</v>
      </c>
      <c r="EU177" s="2336">
        <v>249.01</v>
      </c>
      <c r="EV177" s="2336">
        <v>337.72</v>
      </c>
      <c r="EW177" s="2336">
        <v>528.61</v>
      </c>
      <c r="EX177" s="2336">
        <v>783.27</v>
      </c>
      <c r="EY177" s="2250"/>
      <c r="EZ177" s="2250"/>
      <c r="FA177" s="2333">
        <v>43.9</v>
      </c>
      <c r="FB177" s="2336">
        <v>9.26</v>
      </c>
      <c r="FC177" s="2336">
        <v>13.88</v>
      </c>
      <c r="FD177" s="2336">
        <v>25.96</v>
      </c>
      <c r="FE177" s="2336">
        <v>43.68</v>
      </c>
      <c r="FF177" s="2336">
        <v>70.650000000000006</v>
      </c>
      <c r="FG177" s="2336">
        <v>89.84</v>
      </c>
      <c r="FH177" s="2336">
        <v>129.46</v>
      </c>
      <c r="FI177" s="2336">
        <v>189.39</v>
      </c>
      <c r="FJ177" s="2336">
        <v>265.01</v>
      </c>
      <c r="FK177" s="2336">
        <v>404.74</v>
      </c>
      <c r="FL177" s="2336">
        <v>600.34</v>
      </c>
      <c r="FM177" s="2250"/>
      <c r="FN177" s="2250"/>
      <c r="FO177" s="2333">
        <v>43.9</v>
      </c>
      <c r="FP177" s="2337">
        <v>5.35</v>
      </c>
      <c r="FQ177" s="2337">
        <v>8.7100000000000009</v>
      </c>
      <c r="FR177" s="2337">
        <v>15.05</v>
      </c>
      <c r="FS177" s="2337">
        <v>25.25</v>
      </c>
      <c r="FT177" s="2337">
        <v>40.89</v>
      </c>
      <c r="FU177" s="2337">
        <v>51.68</v>
      </c>
      <c r="FV177" s="2337">
        <v>74.650000000000006</v>
      </c>
      <c r="FW177" s="2337">
        <v>109.6</v>
      </c>
      <c r="FX177" s="2337">
        <v>153.27000000000001</v>
      </c>
      <c r="FY177" s="2337">
        <v>234.16</v>
      </c>
      <c r="FZ177" s="2337">
        <v>347.13</v>
      </c>
      <c r="GA177" s="2250"/>
      <c r="GB177" s="2250"/>
      <c r="GC177" s="1302">
        <v>162.68</v>
      </c>
      <c r="GD177" s="1302">
        <v>165.9</v>
      </c>
      <c r="GE177" s="2250"/>
      <c r="GF177" s="2275"/>
      <c r="GG177" s="2333">
        <v>43.9</v>
      </c>
      <c r="GH177" s="2336">
        <v>14.95</v>
      </c>
      <c r="GI177" s="2336">
        <v>22.18</v>
      </c>
      <c r="GJ177" s="2336">
        <v>43.27</v>
      </c>
      <c r="GK177" s="2336">
        <v>72.87</v>
      </c>
      <c r="GL177" s="2336">
        <v>119.5</v>
      </c>
      <c r="GM177" s="2336">
        <v>157.13</v>
      </c>
      <c r="GN177" s="2336">
        <v>241.49</v>
      </c>
      <c r="GO177" s="2336">
        <v>347.62</v>
      </c>
      <c r="GP177" s="2336">
        <v>467.82</v>
      </c>
      <c r="GQ177" s="2336">
        <v>733.56</v>
      </c>
      <c r="GR177" s="2336">
        <v>1082.8699999999999</v>
      </c>
      <c r="GS177" s="2250"/>
      <c r="GT177" s="2250"/>
      <c r="GU177" s="2333">
        <v>43.9</v>
      </c>
      <c r="GV177" s="2336">
        <v>10.79</v>
      </c>
      <c r="GW177" s="2336">
        <v>15.94</v>
      </c>
      <c r="GX177" s="2336">
        <v>31.19</v>
      </c>
      <c r="GY177" s="2336">
        <v>52.97</v>
      </c>
      <c r="GZ177" s="2336">
        <v>86.04</v>
      </c>
      <c r="HA177" s="2336">
        <v>114.75</v>
      </c>
      <c r="HB177" s="2336">
        <v>169.7</v>
      </c>
      <c r="HC177" s="2336">
        <v>249.01</v>
      </c>
      <c r="HD177" s="2336">
        <v>337.72</v>
      </c>
      <c r="HE177" s="2336">
        <v>528.61</v>
      </c>
      <c r="HF177" s="2336">
        <v>783.27</v>
      </c>
      <c r="HG177" s="2250"/>
      <c r="HH177" s="2250"/>
      <c r="HI177" s="2333">
        <v>43.9</v>
      </c>
      <c r="HJ177" s="2336">
        <v>9.26</v>
      </c>
      <c r="HK177" s="2336">
        <v>13.88</v>
      </c>
      <c r="HL177" s="2336">
        <v>25.96</v>
      </c>
      <c r="HM177" s="2336">
        <v>43.68</v>
      </c>
      <c r="HN177" s="2336">
        <v>70.650000000000006</v>
      </c>
      <c r="HO177" s="2336">
        <v>89.84</v>
      </c>
      <c r="HP177" s="2336">
        <v>129.46</v>
      </c>
      <c r="HQ177" s="2336">
        <v>189.39</v>
      </c>
      <c r="HR177" s="2336">
        <v>265.01</v>
      </c>
      <c r="HS177" s="2336">
        <v>404.74</v>
      </c>
      <c r="HT177" s="2336">
        <v>600.34</v>
      </c>
      <c r="HU177" s="2250"/>
      <c r="HV177" s="2250"/>
      <c r="HW177" s="2333">
        <v>43.9</v>
      </c>
      <c r="HX177" s="2337">
        <v>5.35</v>
      </c>
      <c r="HY177" s="2337">
        <v>8.7100000000000009</v>
      </c>
      <c r="HZ177" s="2337">
        <v>15.05</v>
      </c>
      <c r="IA177" s="2337">
        <v>25.25</v>
      </c>
      <c r="IB177" s="2337">
        <v>40.89</v>
      </c>
      <c r="IC177" s="2337">
        <v>51.68</v>
      </c>
      <c r="ID177" s="2337">
        <v>74.650000000000006</v>
      </c>
      <c r="IE177" s="2337">
        <v>109.6</v>
      </c>
      <c r="IF177" s="2337">
        <v>153.27000000000001</v>
      </c>
      <c r="IG177" s="2337">
        <v>234.16</v>
      </c>
      <c r="IH177" s="2337">
        <v>347.13</v>
      </c>
      <c r="II177" s="2250"/>
      <c r="IJ177" s="2250"/>
      <c r="IK177" s="2250"/>
      <c r="IL177" s="2250"/>
    </row>
    <row r="178" spans="1:246" ht="21.95" customHeight="1">
      <c r="A178" s="2275"/>
      <c r="B178" s="2333">
        <v>34.200000000000003</v>
      </c>
      <c r="C178" s="2336">
        <v>18.61</v>
      </c>
      <c r="D178" s="2336">
        <v>27.72</v>
      </c>
      <c r="E178" s="2336">
        <v>53.56</v>
      </c>
      <c r="F178" s="2336">
        <v>89.6</v>
      </c>
      <c r="G178" s="2336">
        <v>147.72</v>
      </c>
      <c r="H178" s="2336">
        <v>176.44</v>
      </c>
      <c r="I178" s="2336">
        <v>269.7</v>
      </c>
      <c r="J178" s="2336">
        <v>432.57</v>
      </c>
      <c r="K178" s="2336">
        <v>526.83000000000004</v>
      </c>
      <c r="L178" s="2336">
        <v>910.3</v>
      </c>
      <c r="M178" s="2336">
        <v>1294.46</v>
      </c>
      <c r="N178" s="2250"/>
      <c r="O178" s="2250"/>
      <c r="P178" s="2333">
        <v>34.200000000000003</v>
      </c>
      <c r="Q178" s="2336">
        <v>13.47</v>
      </c>
      <c r="R178" s="2336">
        <v>20.100000000000001</v>
      </c>
      <c r="S178" s="2336">
        <v>38.81</v>
      </c>
      <c r="T178" s="2336">
        <v>65.150000000000006</v>
      </c>
      <c r="U178" s="2336">
        <v>107.03</v>
      </c>
      <c r="V178" s="2336">
        <v>128.32</v>
      </c>
      <c r="W178" s="2336">
        <v>196.24</v>
      </c>
      <c r="X178" s="2336">
        <v>305.14999999999998</v>
      </c>
      <c r="Y178" s="2336">
        <v>383.27</v>
      </c>
      <c r="Z178" s="2336">
        <v>645.74</v>
      </c>
      <c r="AA178" s="2336">
        <v>938.42</v>
      </c>
      <c r="AB178" s="2250"/>
      <c r="AC178" s="2250"/>
      <c r="AD178" s="2333">
        <v>34.200000000000003</v>
      </c>
      <c r="AE178" s="2336">
        <v>11.4</v>
      </c>
      <c r="AF178" s="2336">
        <v>17.489999999999998</v>
      </c>
      <c r="AG178" s="2336">
        <v>32.049999999999997</v>
      </c>
      <c r="AH178" s="2336">
        <v>53.72</v>
      </c>
      <c r="AI178" s="2336">
        <v>87.25</v>
      </c>
      <c r="AJ178" s="2336">
        <v>110.5</v>
      </c>
      <c r="AK178" s="2336">
        <v>158.24</v>
      </c>
      <c r="AL178" s="2336">
        <v>232.51</v>
      </c>
      <c r="AM178" s="2336">
        <v>327.31</v>
      </c>
      <c r="AN178" s="2336">
        <v>491.31</v>
      </c>
      <c r="AO178" s="2336">
        <v>726.75</v>
      </c>
      <c r="AP178" s="2250"/>
      <c r="AQ178" s="2250"/>
      <c r="AR178" s="2333">
        <v>34.200000000000003</v>
      </c>
      <c r="AS178" s="2337">
        <v>6.53</v>
      </c>
      <c r="AT178" s="2337">
        <v>10.3</v>
      </c>
      <c r="AU178" s="2337">
        <v>18.420000000000002</v>
      </c>
      <c r="AV178" s="2337">
        <v>30.99</v>
      </c>
      <c r="AW178" s="2337">
        <v>50.2</v>
      </c>
      <c r="AX178" s="2337">
        <v>64.16</v>
      </c>
      <c r="AY178" s="2337">
        <v>90.2</v>
      </c>
      <c r="AZ178" s="2337">
        <v>133.86000000000001</v>
      </c>
      <c r="BA178" s="2337">
        <v>188.71</v>
      </c>
      <c r="BB178" s="2337">
        <v>280.79000000000002</v>
      </c>
      <c r="BC178" s="2337">
        <v>424.65</v>
      </c>
      <c r="BD178" s="2250"/>
      <c r="BE178" s="2250"/>
      <c r="BF178" s="1302">
        <v>177.81</v>
      </c>
      <c r="BG178" s="1302">
        <v>190.4</v>
      </c>
      <c r="BH178" s="2250"/>
      <c r="BI178" s="2275"/>
      <c r="BJ178" s="2333">
        <v>34.200000000000003</v>
      </c>
      <c r="BK178" s="2336">
        <v>18.61</v>
      </c>
      <c r="BL178" s="2336">
        <v>27.72</v>
      </c>
      <c r="BM178" s="2336">
        <v>53.56</v>
      </c>
      <c r="BN178" s="2336">
        <v>89.6</v>
      </c>
      <c r="BO178" s="2336">
        <v>147.72</v>
      </c>
      <c r="BP178" s="2336">
        <v>176.44</v>
      </c>
      <c r="BQ178" s="2336">
        <v>269.7</v>
      </c>
      <c r="BR178" s="2336">
        <v>432.57</v>
      </c>
      <c r="BS178" s="2336">
        <v>526.83000000000004</v>
      </c>
      <c r="BT178" s="2336">
        <v>910.3</v>
      </c>
      <c r="BU178" s="2336">
        <v>1294.46</v>
      </c>
      <c r="BV178" s="2250"/>
      <c r="BW178" s="2250"/>
      <c r="BX178" s="2333">
        <v>34.200000000000003</v>
      </c>
      <c r="BY178" s="2336">
        <v>13.47</v>
      </c>
      <c r="BZ178" s="2336">
        <v>20.100000000000001</v>
      </c>
      <c r="CA178" s="2336">
        <v>38.81</v>
      </c>
      <c r="CB178" s="2336">
        <v>65.150000000000006</v>
      </c>
      <c r="CC178" s="2336">
        <v>107.03</v>
      </c>
      <c r="CD178" s="2336">
        <v>128.32</v>
      </c>
      <c r="CE178" s="2336">
        <v>196.24</v>
      </c>
      <c r="CF178" s="2336">
        <v>305.14999999999998</v>
      </c>
      <c r="CG178" s="2336">
        <v>383.27</v>
      </c>
      <c r="CH178" s="2336">
        <v>645.74</v>
      </c>
      <c r="CI178" s="2336">
        <v>938.42</v>
      </c>
      <c r="CJ178" s="2250"/>
      <c r="CK178" s="2250"/>
      <c r="CL178" s="2333">
        <v>34.200000000000003</v>
      </c>
      <c r="CM178" s="2336">
        <v>11.4</v>
      </c>
      <c r="CN178" s="2336">
        <v>17.489999999999998</v>
      </c>
      <c r="CO178" s="2336">
        <v>32.049999999999997</v>
      </c>
      <c r="CP178" s="2336">
        <v>53.72</v>
      </c>
      <c r="CQ178" s="2336">
        <v>87.25</v>
      </c>
      <c r="CR178" s="2336">
        <v>110.5</v>
      </c>
      <c r="CS178" s="2336">
        <v>158.24</v>
      </c>
      <c r="CT178" s="2336">
        <v>232.51</v>
      </c>
      <c r="CU178" s="2336">
        <v>327.31</v>
      </c>
      <c r="CV178" s="2336">
        <v>491.31</v>
      </c>
      <c r="CW178" s="2336">
        <v>726.75</v>
      </c>
      <c r="CX178" s="2250"/>
      <c r="CY178" s="2250"/>
      <c r="CZ178" s="2333">
        <v>34.200000000000003</v>
      </c>
      <c r="DA178" s="2337">
        <v>6.53</v>
      </c>
      <c r="DB178" s="2337">
        <v>10.3</v>
      </c>
      <c r="DC178" s="2337">
        <v>18.420000000000002</v>
      </c>
      <c r="DD178" s="2337">
        <v>30.99</v>
      </c>
      <c r="DE178" s="2337">
        <v>50.2</v>
      </c>
      <c r="DF178" s="2337">
        <v>64.16</v>
      </c>
      <c r="DG178" s="2337">
        <v>90.2</v>
      </c>
      <c r="DH178" s="2337">
        <v>133.86000000000001</v>
      </c>
      <c r="DI178" s="2337">
        <v>188.71</v>
      </c>
      <c r="DJ178" s="2337">
        <v>280.79000000000002</v>
      </c>
      <c r="DK178" s="2337">
        <v>424.65</v>
      </c>
      <c r="DL178" s="2250"/>
      <c r="DM178" s="2250"/>
      <c r="DN178" s="2250"/>
      <c r="DO178" s="2250"/>
      <c r="DP178" s="2250"/>
      <c r="DQ178" s="2277"/>
      <c r="DR178" s="2277"/>
      <c r="DS178" s="2278"/>
      <c r="DT178" s="2250"/>
      <c r="DU178" s="2250"/>
      <c r="DV178" s="2250"/>
      <c r="DW178" s="2250"/>
      <c r="DX178" s="2275"/>
      <c r="DY178" s="2333">
        <v>38.799999999999997</v>
      </c>
      <c r="DZ178" s="2336">
        <v>16.53</v>
      </c>
      <c r="EA178" s="2336">
        <v>24.85</v>
      </c>
      <c r="EB178" s="2336">
        <v>48.12</v>
      </c>
      <c r="EC178" s="2336">
        <v>79.599999999999994</v>
      </c>
      <c r="ED178" s="2336">
        <v>131.97999999999999</v>
      </c>
      <c r="EE178" s="2336">
        <v>161.78</v>
      </c>
      <c r="EF178" s="2336">
        <v>269.7</v>
      </c>
      <c r="EG178" s="2336">
        <v>384.65</v>
      </c>
      <c r="EH178" s="2336">
        <v>515.04999999999995</v>
      </c>
      <c r="EI178" s="2336">
        <v>824.36</v>
      </c>
      <c r="EJ178" s="2336">
        <v>1164.8499999999999</v>
      </c>
      <c r="EK178" s="2250"/>
      <c r="EL178" s="2250"/>
      <c r="EM178" s="2333">
        <v>38.799999999999997</v>
      </c>
      <c r="EN178" s="2336">
        <v>11.88</v>
      </c>
      <c r="EO178" s="2336">
        <v>17.920000000000002</v>
      </c>
      <c r="EP178" s="2336">
        <v>34.75</v>
      </c>
      <c r="EQ178" s="2336">
        <v>58.12</v>
      </c>
      <c r="ER178" s="2336">
        <v>95.35</v>
      </c>
      <c r="ES178" s="2336">
        <v>117.33</v>
      </c>
      <c r="ET178" s="2336">
        <v>186.73</v>
      </c>
      <c r="EU178" s="2336">
        <v>278.12</v>
      </c>
      <c r="EV178" s="2336">
        <v>372.28</v>
      </c>
      <c r="EW178" s="2336">
        <v>549.41</v>
      </c>
      <c r="EX178" s="2336">
        <v>839.5</v>
      </c>
      <c r="EY178" s="2250"/>
      <c r="EZ178" s="2250"/>
      <c r="FA178" s="2333">
        <v>38.799999999999997</v>
      </c>
      <c r="FB178" s="2336">
        <v>10.38</v>
      </c>
      <c r="FC178" s="2336">
        <v>15.58</v>
      </c>
      <c r="FD178" s="2336">
        <v>30.25</v>
      </c>
      <c r="FE178" s="2336">
        <v>48.31</v>
      </c>
      <c r="FF178" s="2336">
        <v>77.88</v>
      </c>
      <c r="FG178" s="2336">
        <v>99.55</v>
      </c>
      <c r="FH178" s="2336">
        <v>142.33000000000001</v>
      </c>
      <c r="FI178" s="2336">
        <v>211.51</v>
      </c>
      <c r="FJ178" s="2336">
        <v>291.31</v>
      </c>
      <c r="FK178" s="2336">
        <v>417.04</v>
      </c>
      <c r="FL178" s="2336">
        <v>652.03</v>
      </c>
      <c r="FM178" s="2250"/>
      <c r="FN178" s="2250"/>
      <c r="FO178" s="2333">
        <v>38.799999999999997</v>
      </c>
      <c r="FP178" s="2337">
        <v>6.44</v>
      </c>
      <c r="FQ178" s="2337">
        <v>9.6999999999999993</v>
      </c>
      <c r="FR178" s="2337">
        <v>17.52</v>
      </c>
      <c r="FS178" s="2337">
        <v>27.82</v>
      </c>
      <c r="FT178" s="2337">
        <v>45.05</v>
      </c>
      <c r="FU178" s="2337">
        <v>57.43</v>
      </c>
      <c r="FV178" s="2337">
        <v>81.98</v>
      </c>
      <c r="FW178" s="2337">
        <v>131.19</v>
      </c>
      <c r="FX178" s="2337">
        <v>166.24</v>
      </c>
      <c r="FY178" s="2337">
        <v>240.5</v>
      </c>
      <c r="FZ178" s="2337">
        <v>377.52</v>
      </c>
      <c r="GA178" s="2250"/>
      <c r="GB178" s="2250"/>
      <c r="GC178" s="1302">
        <v>165.9</v>
      </c>
      <c r="GD178" s="1302">
        <v>177.81</v>
      </c>
      <c r="GE178" s="2250"/>
      <c r="GF178" s="2275"/>
      <c r="GG178" s="2333">
        <v>38.799999999999997</v>
      </c>
      <c r="GH178" s="2336">
        <v>16.53</v>
      </c>
      <c r="GI178" s="2336">
        <v>24.85</v>
      </c>
      <c r="GJ178" s="2336">
        <v>48.12</v>
      </c>
      <c r="GK178" s="2336">
        <v>79.599999999999994</v>
      </c>
      <c r="GL178" s="2336">
        <v>131.97999999999999</v>
      </c>
      <c r="GM178" s="2336">
        <v>161.78</v>
      </c>
      <c r="GN178" s="2336">
        <v>269.7</v>
      </c>
      <c r="GO178" s="2336">
        <v>384.65</v>
      </c>
      <c r="GP178" s="2336">
        <v>515.04999999999995</v>
      </c>
      <c r="GQ178" s="2336">
        <v>824.36</v>
      </c>
      <c r="GR178" s="2336">
        <v>1164.8499999999999</v>
      </c>
      <c r="GS178" s="2250"/>
      <c r="GT178" s="2250"/>
      <c r="GU178" s="2333">
        <v>38.799999999999997</v>
      </c>
      <c r="GV178" s="2336">
        <v>11.88</v>
      </c>
      <c r="GW178" s="2336">
        <v>17.920000000000002</v>
      </c>
      <c r="GX178" s="2336">
        <v>34.75</v>
      </c>
      <c r="GY178" s="2336">
        <v>58.12</v>
      </c>
      <c r="GZ178" s="2336">
        <v>95.35</v>
      </c>
      <c r="HA178" s="2336">
        <v>117.33</v>
      </c>
      <c r="HB178" s="2336">
        <v>186.73</v>
      </c>
      <c r="HC178" s="2336">
        <v>278.12</v>
      </c>
      <c r="HD178" s="2336">
        <v>372.28</v>
      </c>
      <c r="HE178" s="2336">
        <v>549.41</v>
      </c>
      <c r="HF178" s="2336">
        <v>839.5</v>
      </c>
      <c r="HG178" s="2250"/>
      <c r="HH178" s="2250"/>
      <c r="HI178" s="2333">
        <v>38.799999999999997</v>
      </c>
      <c r="HJ178" s="2336">
        <v>10.38</v>
      </c>
      <c r="HK178" s="2336">
        <v>15.58</v>
      </c>
      <c r="HL178" s="2336">
        <v>30.25</v>
      </c>
      <c r="HM178" s="2336">
        <v>48.31</v>
      </c>
      <c r="HN178" s="2336">
        <v>77.88</v>
      </c>
      <c r="HO178" s="2336">
        <v>99.55</v>
      </c>
      <c r="HP178" s="2336">
        <v>142.33000000000001</v>
      </c>
      <c r="HQ178" s="2336">
        <v>211.51</v>
      </c>
      <c r="HR178" s="2336">
        <v>291.31</v>
      </c>
      <c r="HS178" s="2336">
        <v>417.04</v>
      </c>
      <c r="HT178" s="2336">
        <v>652.03</v>
      </c>
      <c r="HU178" s="2250"/>
      <c r="HV178" s="2250"/>
      <c r="HW178" s="2333">
        <v>38.799999999999997</v>
      </c>
      <c r="HX178" s="2337">
        <v>6.44</v>
      </c>
      <c r="HY178" s="2337">
        <v>9.6999999999999993</v>
      </c>
      <c r="HZ178" s="2337">
        <v>17.52</v>
      </c>
      <c r="IA178" s="2337">
        <v>27.82</v>
      </c>
      <c r="IB178" s="2337">
        <v>45.05</v>
      </c>
      <c r="IC178" s="2337">
        <v>57.43</v>
      </c>
      <c r="ID178" s="2337">
        <v>81.98</v>
      </c>
      <c r="IE178" s="2337">
        <v>131.19</v>
      </c>
      <c r="IF178" s="2337">
        <v>166.24</v>
      </c>
      <c r="IG178" s="2337">
        <v>240.5</v>
      </c>
      <c r="IH178" s="2337">
        <v>377.52</v>
      </c>
      <c r="II178" s="2250"/>
      <c r="IJ178" s="2250"/>
      <c r="IK178" s="2250"/>
      <c r="IL178" s="2250"/>
    </row>
    <row r="179" spans="1:246" ht="21.95" customHeight="1">
      <c r="A179" s="2275"/>
      <c r="B179" s="2333">
        <v>29.3</v>
      </c>
      <c r="C179" s="2336">
        <v>19.7</v>
      </c>
      <c r="D179" s="2336">
        <v>31.49</v>
      </c>
      <c r="E179" s="2336">
        <v>59.7</v>
      </c>
      <c r="F179" s="2336">
        <v>105.45</v>
      </c>
      <c r="G179" s="2336">
        <v>168.81</v>
      </c>
      <c r="H179" s="2336">
        <v>180.69</v>
      </c>
      <c r="I179" s="2336">
        <v>269.7</v>
      </c>
      <c r="J179" s="2336">
        <v>492.08</v>
      </c>
      <c r="K179" s="2336">
        <v>526.83000000000004</v>
      </c>
      <c r="L179" s="2336">
        <v>910.3</v>
      </c>
      <c r="M179" s="2336">
        <v>1445.54</v>
      </c>
      <c r="N179" s="2250"/>
      <c r="O179" s="2250"/>
      <c r="P179" s="2333">
        <v>29.3</v>
      </c>
      <c r="Q179" s="2336">
        <v>14.46</v>
      </c>
      <c r="R179" s="2336">
        <v>22.87</v>
      </c>
      <c r="S179" s="2336">
        <v>43.37</v>
      </c>
      <c r="T179" s="2336">
        <v>76.44</v>
      </c>
      <c r="U179" s="2336">
        <v>122.48</v>
      </c>
      <c r="V179" s="2336">
        <v>131.49</v>
      </c>
      <c r="W179" s="2336">
        <v>196.24</v>
      </c>
      <c r="X179" s="2336">
        <v>355.05</v>
      </c>
      <c r="Y179" s="2336">
        <v>383.27</v>
      </c>
      <c r="Z179" s="2336">
        <v>662.28</v>
      </c>
      <c r="AA179" s="2336">
        <v>1039.31</v>
      </c>
      <c r="AB179" s="2250"/>
      <c r="AC179" s="2250"/>
      <c r="AD179" s="2333">
        <v>29.3</v>
      </c>
      <c r="AE179" s="2336">
        <v>12.42</v>
      </c>
      <c r="AF179" s="2336">
        <v>19.98</v>
      </c>
      <c r="AG179" s="2336">
        <v>36.68</v>
      </c>
      <c r="AH179" s="2336">
        <v>57.79</v>
      </c>
      <c r="AI179" s="2336">
        <v>98.98</v>
      </c>
      <c r="AJ179" s="2336">
        <v>112.87</v>
      </c>
      <c r="AK179" s="2336">
        <v>168.4</v>
      </c>
      <c r="AL179" s="2336">
        <v>268.74</v>
      </c>
      <c r="AM179" s="2336">
        <v>329.01</v>
      </c>
      <c r="AN179" s="2336">
        <v>542.78</v>
      </c>
      <c r="AO179" s="2336">
        <v>792.66</v>
      </c>
      <c r="AP179" s="2250"/>
      <c r="AQ179" s="2250"/>
      <c r="AR179" s="2333">
        <v>29.3</v>
      </c>
      <c r="AS179" s="2337">
        <v>8.61</v>
      </c>
      <c r="AT179" s="2337">
        <v>11.88</v>
      </c>
      <c r="AU179" s="2337">
        <v>21.19</v>
      </c>
      <c r="AV179" s="2337">
        <v>33.270000000000003</v>
      </c>
      <c r="AW179" s="2337">
        <v>57.13</v>
      </c>
      <c r="AX179" s="2337">
        <v>69.7</v>
      </c>
      <c r="AY179" s="2337">
        <v>99.41</v>
      </c>
      <c r="AZ179" s="2337">
        <v>155.15</v>
      </c>
      <c r="BA179" s="2337">
        <v>216.63</v>
      </c>
      <c r="BB179" s="2337">
        <v>309.5</v>
      </c>
      <c r="BC179" s="2337">
        <v>451.88</v>
      </c>
      <c r="BD179" s="2250"/>
      <c r="BE179" s="2250"/>
      <c r="BF179" s="1302">
        <v>190.4</v>
      </c>
      <c r="BG179" s="1302">
        <v>206.43</v>
      </c>
      <c r="BH179" s="2250"/>
      <c r="BI179" s="2275"/>
      <c r="BJ179" s="2333">
        <v>29.3</v>
      </c>
      <c r="BK179" s="2336">
        <v>19.7</v>
      </c>
      <c r="BL179" s="2336">
        <v>31.49</v>
      </c>
      <c r="BM179" s="2336">
        <v>59.7</v>
      </c>
      <c r="BN179" s="2336">
        <v>105.45</v>
      </c>
      <c r="BO179" s="2336">
        <v>168.81</v>
      </c>
      <c r="BP179" s="2336">
        <v>180.69</v>
      </c>
      <c r="BQ179" s="2336">
        <v>269.7</v>
      </c>
      <c r="BR179" s="2336">
        <v>492.08</v>
      </c>
      <c r="BS179" s="2336">
        <v>526.83000000000004</v>
      </c>
      <c r="BT179" s="2336">
        <v>910.3</v>
      </c>
      <c r="BU179" s="2336">
        <v>1445.54</v>
      </c>
      <c r="BV179" s="2250"/>
      <c r="BW179" s="2250"/>
      <c r="BX179" s="2333">
        <v>29.3</v>
      </c>
      <c r="BY179" s="2336">
        <v>14.46</v>
      </c>
      <c r="BZ179" s="2336">
        <v>22.87</v>
      </c>
      <c r="CA179" s="2336">
        <v>43.37</v>
      </c>
      <c r="CB179" s="2336">
        <v>76.44</v>
      </c>
      <c r="CC179" s="2336">
        <v>122.48</v>
      </c>
      <c r="CD179" s="2336">
        <v>131.49</v>
      </c>
      <c r="CE179" s="2336">
        <v>196.24</v>
      </c>
      <c r="CF179" s="2336">
        <v>355.05</v>
      </c>
      <c r="CG179" s="2336">
        <v>383.27</v>
      </c>
      <c r="CH179" s="2336">
        <v>662.28</v>
      </c>
      <c r="CI179" s="2336">
        <v>1039.31</v>
      </c>
      <c r="CJ179" s="2250"/>
      <c r="CK179" s="2250"/>
      <c r="CL179" s="2333">
        <v>29.3</v>
      </c>
      <c r="CM179" s="2336">
        <v>12.42</v>
      </c>
      <c r="CN179" s="2336">
        <v>19.98</v>
      </c>
      <c r="CO179" s="2336">
        <v>36.68</v>
      </c>
      <c r="CP179" s="2336">
        <v>57.79</v>
      </c>
      <c r="CQ179" s="2336">
        <v>98.98</v>
      </c>
      <c r="CR179" s="2336">
        <v>112.87</v>
      </c>
      <c r="CS179" s="2336">
        <v>168.4</v>
      </c>
      <c r="CT179" s="2336">
        <v>268.74</v>
      </c>
      <c r="CU179" s="2336">
        <v>329.01</v>
      </c>
      <c r="CV179" s="2336">
        <v>542.78</v>
      </c>
      <c r="CW179" s="2336">
        <v>792.66</v>
      </c>
      <c r="CX179" s="2250"/>
      <c r="CY179" s="2250"/>
      <c r="CZ179" s="2333">
        <v>29.3</v>
      </c>
      <c r="DA179" s="2337">
        <v>8.61</v>
      </c>
      <c r="DB179" s="2337">
        <v>11.88</v>
      </c>
      <c r="DC179" s="2337">
        <v>21.19</v>
      </c>
      <c r="DD179" s="2337">
        <v>33.270000000000003</v>
      </c>
      <c r="DE179" s="2337">
        <v>57.13</v>
      </c>
      <c r="DF179" s="2337">
        <v>69.7</v>
      </c>
      <c r="DG179" s="2337">
        <v>99.41</v>
      </c>
      <c r="DH179" s="2337">
        <v>155.15</v>
      </c>
      <c r="DI179" s="2337">
        <v>216.63</v>
      </c>
      <c r="DJ179" s="2337">
        <v>309.5</v>
      </c>
      <c r="DK179" s="2337">
        <v>451.88</v>
      </c>
      <c r="DL179" s="2250"/>
      <c r="DM179" s="2250"/>
      <c r="DN179" s="2250"/>
      <c r="DO179" s="2250"/>
      <c r="DP179" s="2250"/>
      <c r="DQ179" s="2277"/>
      <c r="DR179" s="2277"/>
      <c r="DS179" s="2278"/>
      <c r="DT179" s="2250"/>
      <c r="DU179" s="2250"/>
      <c r="DV179" s="2250"/>
      <c r="DW179" s="2250"/>
      <c r="DX179" s="2275"/>
      <c r="DY179" s="2333">
        <v>34.200000000000003</v>
      </c>
      <c r="DZ179" s="2336">
        <v>18.61</v>
      </c>
      <c r="EA179" s="2336">
        <v>27.72</v>
      </c>
      <c r="EB179" s="2336">
        <v>53.56</v>
      </c>
      <c r="EC179" s="2336">
        <v>89.6</v>
      </c>
      <c r="ED179" s="2336">
        <v>147.72</v>
      </c>
      <c r="EE179" s="2336">
        <v>176.44</v>
      </c>
      <c r="EF179" s="2336">
        <v>269.7</v>
      </c>
      <c r="EG179" s="2336">
        <v>432.57</v>
      </c>
      <c r="EH179" s="2336">
        <v>526.83000000000004</v>
      </c>
      <c r="EI179" s="2336">
        <v>910.3</v>
      </c>
      <c r="EJ179" s="2336">
        <v>1294.46</v>
      </c>
      <c r="EK179" s="2250"/>
      <c r="EL179" s="2250"/>
      <c r="EM179" s="2333">
        <v>34.200000000000003</v>
      </c>
      <c r="EN179" s="2336">
        <v>13.47</v>
      </c>
      <c r="EO179" s="2336">
        <v>20.100000000000001</v>
      </c>
      <c r="EP179" s="2336">
        <v>38.81</v>
      </c>
      <c r="EQ179" s="2336">
        <v>65.150000000000006</v>
      </c>
      <c r="ER179" s="2336">
        <v>107.03</v>
      </c>
      <c r="ES179" s="2336">
        <v>128.32</v>
      </c>
      <c r="ET179" s="2336">
        <v>196.24</v>
      </c>
      <c r="EU179" s="2336">
        <v>305.14999999999998</v>
      </c>
      <c r="EV179" s="2336">
        <v>383.27</v>
      </c>
      <c r="EW179" s="2336">
        <v>645.74</v>
      </c>
      <c r="EX179" s="2336">
        <v>938.42</v>
      </c>
      <c r="EY179" s="2250"/>
      <c r="EZ179" s="2250"/>
      <c r="FA179" s="2333">
        <v>34.200000000000003</v>
      </c>
      <c r="FB179" s="2336">
        <v>11.4</v>
      </c>
      <c r="FC179" s="2336">
        <v>17.489999999999998</v>
      </c>
      <c r="FD179" s="2336">
        <v>32.049999999999997</v>
      </c>
      <c r="FE179" s="2336">
        <v>53.72</v>
      </c>
      <c r="FF179" s="2336">
        <v>87.25</v>
      </c>
      <c r="FG179" s="2336">
        <v>110.5</v>
      </c>
      <c r="FH179" s="2336">
        <v>158.24</v>
      </c>
      <c r="FI179" s="2336">
        <v>232.51</v>
      </c>
      <c r="FJ179" s="2336">
        <v>327.31</v>
      </c>
      <c r="FK179" s="2336">
        <v>491.31</v>
      </c>
      <c r="FL179" s="2336">
        <v>726.75</v>
      </c>
      <c r="FM179" s="2250"/>
      <c r="FN179" s="2250"/>
      <c r="FO179" s="2333">
        <v>34.200000000000003</v>
      </c>
      <c r="FP179" s="2337">
        <v>6.53</v>
      </c>
      <c r="FQ179" s="2337">
        <v>10.3</v>
      </c>
      <c r="FR179" s="2337">
        <v>18.420000000000002</v>
      </c>
      <c r="FS179" s="2337">
        <v>30.99</v>
      </c>
      <c r="FT179" s="2337">
        <v>50.2</v>
      </c>
      <c r="FU179" s="2337">
        <v>64.16</v>
      </c>
      <c r="FV179" s="2337">
        <v>90.2</v>
      </c>
      <c r="FW179" s="2337">
        <v>133.86000000000001</v>
      </c>
      <c r="FX179" s="2337">
        <v>188.71</v>
      </c>
      <c r="FY179" s="2337">
        <v>280.79000000000002</v>
      </c>
      <c r="FZ179" s="2337">
        <v>424.65</v>
      </c>
      <c r="GA179" s="2250"/>
      <c r="GB179" s="2250"/>
      <c r="GC179" s="1302">
        <v>177.81</v>
      </c>
      <c r="GD179" s="1302">
        <v>190.4</v>
      </c>
      <c r="GE179" s="2250"/>
      <c r="GF179" s="2275"/>
      <c r="GG179" s="2333">
        <v>34.200000000000003</v>
      </c>
      <c r="GH179" s="2336">
        <v>18.61</v>
      </c>
      <c r="GI179" s="2336">
        <v>27.72</v>
      </c>
      <c r="GJ179" s="2336">
        <v>53.56</v>
      </c>
      <c r="GK179" s="2336">
        <v>89.6</v>
      </c>
      <c r="GL179" s="2336">
        <v>147.72</v>
      </c>
      <c r="GM179" s="2336">
        <v>176.44</v>
      </c>
      <c r="GN179" s="2336">
        <v>269.7</v>
      </c>
      <c r="GO179" s="2336">
        <v>432.57</v>
      </c>
      <c r="GP179" s="2336">
        <v>526.83000000000004</v>
      </c>
      <c r="GQ179" s="2336">
        <v>910.3</v>
      </c>
      <c r="GR179" s="2336">
        <v>1294.46</v>
      </c>
      <c r="GS179" s="2250"/>
      <c r="GT179" s="2250"/>
      <c r="GU179" s="2333">
        <v>34.200000000000003</v>
      </c>
      <c r="GV179" s="2336">
        <v>13.47</v>
      </c>
      <c r="GW179" s="2336">
        <v>20.100000000000001</v>
      </c>
      <c r="GX179" s="2336">
        <v>38.81</v>
      </c>
      <c r="GY179" s="2336">
        <v>65.150000000000006</v>
      </c>
      <c r="GZ179" s="2336">
        <v>107.03</v>
      </c>
      <c r="HA179" s="2336">
        <v>128.32</v>
      </c>
      <c r="HB179" s="2336">
        <v>196.24</v>
      </c>
      <c r="HC179" s="2336">
        <v>305.14999999999998</v>
      </c>
      <c r="HD179" s="2336">
        <v>383.27</v>
      </c>
      <c r="HE179" s="2336">
        <v>645.74</v>
      </c>
      <c r="HF179" s="2336">
        <v>938.42</v>
      </c>
      <c r="HG179" s="2250"/>
      <c r="HH179" s="2250"/>
      <c r="HI179" s="2333">
        <v>34.200000000000003</v>
      </c>
      <c r="HJ179" s="2336">
        <v>11.4</v>
      </c>
      <c r="HK179" s="2336">
        <v>17.489999999999998</v>
      </c>
      <c r="HL179" s="2336">
        <v>32.049999999999997</v>
      </c>
      <c r="HM179" s="2336">
        <v>53.72</v>
      </c>
      <c r="HN179" s="2336">
        <v>87.25</v>
      </c>
      <c r="HO179" s="2336">
        <v>110.5</v>
      </c>
      <c r="HP179" s="2336">
        <v>158.24</v>
      </c>
      <c r="HQ179" s="2336">
        <v>232.51</v>
      </c>
      <c r="HR179" s="2336">
        <v>327.31</v>
      </c>
      <c r="HS179" s="2336">
        <v>491.31</v>
      </c>
      <c r="HT179" s="2336">
        <v>726.75</v>
      </c>
      <c r="HU179" s="2250"/>
      <c r="HV179" s="2250"/>
      <c r="HW179" s="2333">
        <v>34.200000000000003</v>
      </c>
      <c r="HX179" s="2337">
        <v>6.53</v>
      </c>
      <c r="HY179" s="2337">
        <v>10.3</v>
      </c>
      <c r="HZ179" s="2337">
        <v>18.420000000000002</v>
      </c>
      <c r="IA179" s="2337">
        <v>30.99</v>
      </c>
      <c r="IB179" s="2337">
        <v>50.2</v>
      </c>
      <c r="IC179" s="2337">
        <v>64.16</v>
      </c>
      <c r="ID179" s="2337">
        <v>90.2</v>
      </c>
      <c r="IE179" s="2337">
        <v>133.86000000000001</v>
      </c>
      <c r="IF179" s="2337">
        <v>188.71</v>
      </c>
      <c r="IG179" s="2337">
        <v>280.79000000000002</v>
      </c>
      <c r="IH179" s="2337">
        <v>424.65</v>
      </c>
      <c r="II179" s="2250"/>
      <c r="IJ179" s="2250"/>
      <c r="IK179" s="2250"/>
      <c r="IL179" s="2250"/>
    </row>
    <row r="180" spans="1:246" ht="21.95" customHeight="1">
      <c r="A180" s="2275"/>
      <c r="B180" s="2333">
        <v>24.5</v>
      </c>
      <c r="C180" s="2336">
        <v>23.17</v>
      </c>
      <c r="D180" s="2336">
        <v>37.03</v>
      </c>
      <c r="E180" s="2336">
        <v>65.84</v>
      </c>
      <c r="F180" s="2336">
        <v>113.76</v>
      </c>
      <c r="G180" s="2336">
        <v>180.69</v>
      </c>
      <c r="H180" s="2336">
        <v>180.69</v>
      </c>
      <c r="I180" s="2336">
        <v>269.7</v>
      </c>
      <c r="J180" s="2336">
        <v>526.83000000000004</v>
      </c>
      <c r="K180" s="2336">
        <v>526.83000000000004</v>
      </c>
      <c r="L180" s="2336">
        <v>910.3</v>
      </c>
      <c r="M180" s="2336">
        <v>1392.08</v>
      </c>
      <c r="N180" s="2250"/>
      <c r="O180" s="2250"/>
      <c r="P180" s="2333">
        <v>24.5</v>
      </c>
      <c r="Q180" s="2336">
        <v>16.73</v>
      </c>
      <c r="R180" s="2336">
        <v>26.73</v>
      </c>
      <c r="S180" s="2336">
        <v>47.92</v>
      </c>
      <c r="T180" s="2336">
        <v>33.270000000000003</v>
      </c>
      <c r="U180" s="2338">
        <v>131.49</v>
      </c>
      <c r="V180" s="2338">
        <v>131.49</v>
      </c>
      <c r="W180" s="2336">
        <v>196.24</v>
      </c>
      <c r="X180" s="2336">
        <v>383.27</v>
      </c>
      <c r="Y180" s="2336">
        <v>383.27</v>
      </c>
      <c r="Z180" s="2336">
        <v>662.28</v>
      </c>
      <c r="AA180" s="2336">
        <v>1051.58</v>
      </c>
      <c r="AB180" s="2250"/>
      <c r="AC180" s="2250"/>
      <c r="AD180" s="2333">
        <v>24.5</v>
      </c>
      <c r="AE180" s="2336">
        <v>14.45</v>
      </c>
      <c r="AF180" s="2336">
        <v>23.36</v>
      </c>
      <c r="AG180" s="2336">
        <v>41.08</v>
      </c>
      <c r="AH180" s="2336">
        <v>68.510000000000005</v>
      </c>
      <c r="AI180" s="2336">
        <v>111.96</v>
      </c>
      <c r="AJ180" s="2336">
        <v>112.87</v>
      </c>
      <c r="AK180" s="2336">
        <v>168.4</v>
      </c>
      <c r="AL180" s="2336">
        <v>303.83999999999997</v>
      </c>
      <c r="AM180" s="2336">
        <v>329.01</v>
      </c>
      <c r="AN180" s="2336">
        <v>568.51</v>
      </c>
      <c r="AO180" s="2336">
        <v>902.82</v>
      </c>
      <c r="AP180" s="2250"/>
      <c r="AQ180" s="2250"/>
      <c r="AR180" s="2333">
        <v>24.5</v>
      </c>
      <c r="AS180" s="2337">
        <v>9.9</v>
      </c>
      <c r="AT180" s="2337">
        <v>14.16</v>
      </c>
      <c r="AU180" s="2337">
        <v>25.15</v>
      </c>
      <c r="AV180" s="2337">
        <v>39.21</v>
      </c>
      <c r="AW180" s="2337">
        <v>64.459999999999994</v>
      </c>
      <c r="AX180" s="2337">
        <v>78.61</v>
      </c>
      <c r="AY180" s="2337">
        <v>117.33</v>
      </c>
      <c r="AZ180" s="2337">
        <v>175.05</v>
      </c>
      <c r="BA180" s="2337">
        <v>228.42</v>
      </c>
      <c r="BB180" s="2337">
        <v>380.59</v>
      </c>
      <c r="BC180" s="2337">
        <v>539.21</v>
      </c>
      <c r="BD180" s="2250"/>
      <c r="BE180" s="2250"/>
      <c r="BF180" s="1302">
        <v>206.43</v>
      </c>
      <c r="BG180" s="1302">
        <v>223.8</v>
      </c>
      <c r="BH180" s="2250"/>
      <c r="BI180" s="2275"/>
      <c r="BJ180" s="2333">
        <v>24.5</v>
      </c>
      <c r="BK180" s="2336">
        <v>23.17</v>
      </c>
      <c r="BL180" s="2336">
        <v>37.03</v>
      </c>
      <c r="BM180" s="2336">
        <v>65.84</v>
      </c>
      <c r="BN180" s="2336">
        <v>113.76</v>
      </c>
      <c r="BO180" s="2336">
        <v>180.69</v>
      </c>
      <c r="BP180" s="2336">
        <v>180.69</v>
      </c>
      <c r="BQ180" s="2336">
        <v>269.7</v>
      </c>
      <c r="BR180" s="2336">
        <v>526.83000000000004</v>
      </c>
      <c r="BS180" s="2336">
        <v>526.83000000000004</v>
      </c>
      <c r="BT180" s="2336">
        <v>910.3</v>
      </c>
      <c r="BU180" s="2336">
        <v>1392.08</v>
      </c>
      <c r="BV180" s="2250"/>
      <c r="BW180" s="2250"/>
      <c r="BX180" s="2333">
        <v>24.5</v>
      </c>
      <c r="BY180" s="2336">
        <v>16.73</v>
      </c>
      <c r="BZ180" s="2336">
        <v>26.73</v>
      </c>
      <c r="CA180" s="2336">
        <v>47.92</v>
      </c>
      <c r="CB180" s="2336">
        <v>33.270000000000003</v>
      </c>
      <c r="CC180" s="2336">
        <v>131.49</v>
      </c>
      <c r="CD180" s="2336">
        <v>131.49</v>
      </c>
      <c r="CE180" s="2336">
        <v>196.24</v>
      </c>
      <c r="CF180" s="2336">
        <v>383.27</v>
      </c>
      <c r="CG180" s="2336">
        <v>383.27</v>
      </c>
      <c r="CH180" s="2336">
        <v>662.28</v>
      </c>
      <c r="CI180" s="2336">
        <v>1051.58</v>
      </c>
      <c r="CJ180" s="2250"/>
      <c r="CK180" s="2250"/>
      <c r="CL180" s="2333">
        <v>24.5</v>
      </c>
      <c r="CM180" s="2336">
        <v>14.45</v>
      </c>
      <c r="CN180" s="2336">
        <v>23.36</v>
      </c>
      <c r="CO180" s="2336">
        <v>41.08</v>
      </c>
      <c r="CP180" s="2336">
        <v>68.510000000000005</v>
      </c>
      <c r="CQ180" s="2336">
        <v>111.96</v>
      </c>
      <c r="CR180" s="2336">
        <v>112.87</v>
      </c>
      <c r="CS180" s="2336">
        <v>168.4</v>
      </c>
      <c r="CT180" s="2336">
        <v>303.83999999999997</v>
      </c>
      <c r="CU180" s="2336">
        <v>329.01</v>
      </c>
      <c r="CV180" s="2336">
        <v>568.51</v>
      </c>
      <c r="CW180" s="2336">
        <v>902.82</v>
      </c>
      <c r="CX180" s="2250"/>
      <c r="CY180" s="2250"/>
      <c r="CZ180" s="2333">
        <v>24.5</v>
      </c>
      <c r="DA180" s="2337">
        <v>9.9</v>
      </c>
      <c r="DB180" s="2337">
        <v>14.16</v>
      </c>
      <c r="DC180" s="2337">
        <v>25.15</v>
      </c>
      <c r="DD180" s="2337">
        <v>39.21</v>
      </c>
      <c r="DE180" s="2337">
        <v>64.459999999999994</v>
      </c>
      <c r="DF180" s="2337">
        <v>78.61</v>
      </c>
      <c r="DG180" s="2337">
        <v>117.33</v>
      </c>
      <c r="DH180" s="2337">
        <v>175.05</v>
      </c>
      <c r="DI180" s="2337">
        <v>228.42</v>
      </c>
      <c r="DJ180" s="2337">
        <v>380.59</v>
      </c>
      <c r="DK180" s="2337">
        <v>539.21</v>
      </c>
      <c r="DL180" s="2250"/>
      <c r="DM180" s="2250"/>
      <c r="DN180" s="2250"/>
      <c r="DO180" s="2250"/>
      <c r="DP180" s="2250"/>
      <c r="DQ180" s="2277"/>
      <c r="DR180" s="2277"/>
      <c r="DS180" s="2278"/>
      <c r="DT180" s="2250"/>
      <c r="DU180" s="2250"/>
      <c r="DV180" s="2250"/>
      <c r="DW180" s="2250"/>
      <c r="DX180" s="2275"/>
      <c r="DY180" s="2333">
        <v>29.3</v>
      </c>
      <c r="DZ180" s="2336">
        <v>19.7</v>
      </c>
      <c r="EA180" s="2336">
        <v>31.49</v>
      </c>
      <c r="EB180" s="2336">
        <v>59.7</v>
      </c>
      <c r="EC180" s="2336">
        <v>105.45</v>
      </c>
      <c r="ED180" s="2336">
        <v>168.81</v>
      </c>
      <c r="EE180" s="2336">
        <v>180.69</v>
      </c>
      <c r="EF180" s="2336">
        <v>269.7</v>
      </c>
      <c r="EG180" s="2336">
        <v>492.08</v>
      </c>
      <c r="EH180" s="2336">
        <v>526.83000000000004</v>
      </c>
      <c r="EI180" s="2336">
        <v>910.3</v>
      </c>
      <c r="EJ180" s="2336">
        <v>1445.54</v>
      </c>
      <c r="EK180" s="2250"/>
      <c r="EL180" s="2250"/>
      <c r="EM180" s="2333">
        <v>29.3</v>
      </c>
      <c r="EN180" s="2336">
        <v>14.46</v>
      </c>
      <c r="EO180" s="2336">
        <v>22.87</v>
      </c>
      <c r="EP180" s="2336">
        <v>43.37</v>
      </c>
      <c r="EQ180" s="2336">
        <v>76.44</v>
      </c>
      <c r="ER180" s="2336">
        <v>122.48</v>
      </c>
      <c r="ES180" s="2336">
        <v>131.49</v>
      </c>
      <c r="ET180" s="2336">
        <v>196.24</v>
      </c>
      <c r="EU180" s="2336">
        <v>355.05</v>
      </c>
      <c r="EV180" s="2336">
        <v>383.27</v>
      </c>
      <c r="EW180" s="2336">
        <v>662.28</v>
      </c>
      <c r="EX180" s="2336">
        <v>1039.31</v>
      </c>
      <c r="EY180" s="2250"/>
      <c r="EZ180" s="2250"/>
      <c r="FA180" s="2333">
        <v>29.3</v>
      </c>
      <c r="FB180" s="2336">
        <v>12.42</v>
      </c>
      <c r="FC180" s="2336">
        <v>19.98</v>
      </c>
      <c r="FD180" s="2336">
        <v>36.68</v>
      </c>
      <c r="FE180" s="2336">
        <v>57.79</v>
      </c>
      <c r="FF180" s="2336">
        <v>98.98</v>
      </c>
      <c r="FG180" s="2336">
        <v>112.87</v>
      </c>
      <c r="FH180" s="2336">
        <v>168.4</v>
      </c>
      <c r="FI180" s="2336">
        <v>268.74</v>
      </c>
      <c r="FJ180" s="2336">
        <v>329.01</v>
      </c>
      <c r="FK180" s="2336">
        <v>542.78</v>
      </c>
      <c r="FL180" s="2336">
        <v>792.66</v>
      </c>
      <c r="FM180" s="2250"/>
      <c r="FN180" s="2250"/>
      <c r="FO180" s="2333">
        <v>29.3</v>
      </c>
      <c r="FP180" s="2337">
        <v>8.61</v>
      </c>
      <c r="FQ180" s="2337">
        <v>11.88</v>
      </c>
      <c r="FR180" s="2337">
        <v>21.19</v>
      </c>
      <c r="FS180" s="2337">
        <v>33.270000000000003</v>
      </c>
      <c r="FT180" s="2337">
        <v>57.13</v>
      </c>
      <c r="FU180" s="2337">
        <v>69.7</v>
      </c>
      <c r="FV180" s="2337">
        <v>99.41</v>
      </c>
      <c r="FW180" s="2337">
        <v>155.15</v>
      </c>
      <c r="FX180" s="2337">
        <v>216.63</v>
      </c>
      <c r="FY180" s="2337">
        <v>309.5</v>
      </c>
      <c r="FZ180" s="2337">
        <v>451.88</v>
      </c>
      <c r="GA180" s="2250"/>
      <c r="GB180" s="2250"/>
      <c r="GC180" s="1302">
        <v>190.4</v>
      </c>
      <c r="GD180" s="1302">
        <v>206.43</v>
      </c>
      <c r="GE180" s="2250"/>
      <c r="GF180" s="2275"/>
      <c r="GG180" s="2333">
        <v>29.3</v>
      </c>
      <c r="GH180" s="2336">
        <v>19.7</v>
      </c>
      <c r="GI180" s="2336">
        <v>31.49</v>
      </c>
      <c r="GJ180" s="2336">
        <v>59.7</v>
      </c>
      <c r="GK180" s="2336">
        <v>105.45</v>
      </c>
      <c r="GL180" s="2336">
        <v>168.81</v>
      </c>
      <c r="GM180" s="2336">
        <v>180.69</v>
      </c>
      <c r="GN180" s="2336">
        <v>269.7</v>
      </c>
      <c r="GO180" s="2336">
        <v>492.08</v>
      </c>
      <c r="GP180" s="2336">
        <v>526.83000000000004</v>
      </c>
      <c r="GQ180" s="2336">
        <v>910.3</v>
      </c>
      <c r="GR180" s="2336">
        <v>1445.54</v>
      </c>
      <c r="GS180" s="2250"/>
      <c r="GT180" s="2250"/>
      <c r="GU180" s="2333">
        <v>29.3</v>
      </c>
      <c r="GV180" s="2336">
        <v>14.46</v>
      </c>
      <c r="GW180" s="2336">
        <v>22.87</v>
      </c>
      <c r="GX180" s="2336">
        <v>43.37</v>
      </c>
      <c r="GY180" s="2336">
        <v>76.44</v>
      </c>
      <c r="GZ180" s="2336">
        <v>122.48</v>
      </c>
      <c r="HA180" s="2336">
        <v>131.49</v>
      </c>
      <c r="HB180" s="2336">
        <v>196.24</v>
      </c>
      <c r="HC180" s="2336">
        <v>355.05</v>
      </c>
      <c r="HD180" s="2336">
        <v>383.27</v>
      </c>
      <c r="HE180" s="2336">
        <v>662.28</v>
      </c>
      <c r="HF180" s="2336">
        <v>1039.31</v>
      </c>
      <c r="HG180" s="2250"/>
      <c r="HH180" s="2250"/>
      <c r="HI180" s="2333">
        <v>29.3</v>
      </c>
      <c r="HJ180" s="2336">
        <v>12.42</v>
      </c>
      <c r="HK180" s="2336">
        <v>19.98</v>
      </c>
      <c r="HL180" s="2336">
        <v>36.68</v>
      </c>
      <c r="HM180" s="2336">
        <v>57.79</v>
      </c>
      <c r="HN180" s="2336">
        <v>98.98</v>
      </c>
      <c r="HO180" s="2336">
        <v>112.87</v>
      </c>
      <c r="HP180" s="2336">
        <v>168.4</v>
      </c>
      <c r="HQ180" s="2336">
        <v>268.74</v>
      </c>
      <c r="HR180" s="2336">
        <v>329.01</v>
      </c>
      <c r="HS180" s="2336">
        <v>542.78</v>
      </c>
      <c r="HT180" s="2336">
        <v>792.66</v>
      </c>
      <c r="HU180" s="2250"/>
      <c r="HV180" s="2250"/>
      <c r="HW180" s="2333">
        <v>29.3</v>
      </c>
      <c r="HX180" s="2337">
        <v>8.61</v>
      </c>
      <c r="HY180" s="2337">
        <v>11.88</v>
      </c>
      <c r="HZ180" s="2337">
        <v>21.19</v>
      </c>
      <c r="IA180" s="2337">
        <v>33.270000000000003</v>
      </c>
      <c r="IB180" s="2337">
        <v>57.13</v>
      </c>
      <c r="IC180" s="2337">
        <v>69.7</v>
      </c>
      <c r="ID180" s="2337">
        <v>99.41</v>
      </c>
      <c r="IE180" s="2337">
        <v>155.15</v>
      </c>
      <c r="IF180" s="2337">
        <v>216.63</v>
      </c>
      <c r="IG180" s="2337">
        <v>309.5</v>
      </c>
      <c r="IH180" s="2337">
        <v>451.88</v>
      </c>
      <c r="II180" s="2250"/>
      <c r="IJ180" s="2250"/>
      <c r="IK180" s="2250"/>
      <c r="IL180" s="2250"/>
    </row>
    <row r="181" spans="1:246" ht="21.95" customHeight="1" thickBot="1">
      <c r="A181" s="2275"/>
      <c r="B181" s="2250"/>
      <c r="C181" s="2250"/>
      <c r="D181" s="2250"/>
      <c r="E181" s="2250"/>
      <c r="F181" s="2250"/>
      <c r="G181" s="2250"/>
      <c r="H181" s="2250"/>
      <c r="I181" s="2250"/>
      <c r="J181" s="2250"/>
      <c r="K181" s="2250"/>
      <c r="L181" s="2250"/>
      <c r="M181" s="2250"/>
      <c r="N181" s="2250"/>
      <c r="O181" s="2250"/>
      <c r="P181" s="2250"/>
      <c r="Q181" s="2250"/>
      <c r="R181" s="2250"/>
      <c r="S181" s="2250"/>
      <c r="T181" s="2250"/>
      <c r="U181" s="2250"/>
      <c r="V181" s="2250"/>
      <c r="W181" s="2250"/>
      <c r="X181" s="2250"/>
      <c r="Y181" s="2250"/>
      <c r="Z181" s="2250"/>
      <c r="AA181" s="2250"/>
      <c r="AB181" s="2250"/>
      <c r="AC181" s="2250"/>
      <c r="AD181" s="2250"/>
      <c r="AE181" s="2250"/>
      <c r="AF181" s="2250"/>
      <c r="AG181" s="2250"/>
      <c r="AH181" s="2250"/>
      <c r="AI181" s="2250"/>
      <c r="AJ181" s="2250"/>
      <c r="AK181" s="2250"/>
      <c r="AL181" s="2250"/>
      <c r="AM181" s="2250"/>
      <c r="AN181" s="2250"/>
      <c r="AO181" s="2250"/>
      <c r="AP181" s="2250"/>
      <c r="AQ181" s="2250"/>
      <c r="AR181" s="2250"/>
      <c r="AS181" s="2250"/>
      <c r="AT181" s="2250"/>
      <c r="AU181" s="2250"/>
      <c r="AV181" s="2250"/>
      <c r="AW181" s="2250"/>
      <c r="AX181" s="2250"/>
      <c r="AY181" s="2250"/>
      <c r="AZ181" s="2250"/>
      <c r="BA181" s="2250"/>
      <c r="BB181" s="2250"/>
      <c r="BC181" s="2250"/>
      <c r="BD181" s="2250"/>
      <c r="BE181" s="2250"/>
      <c r="BF181" s="3531">
        <f>+BG180</f>
        <v>223.8</v>
      </c>
      <c r="BG181" s="3531">
        <f>+BG180</f>
        <v>223.8</v>
      </c>
      <c r="BH181" s="2250"/>
      <c r="BI181" s="2275"/>
      <c r="BJ181" s="2250"/>
      <c r="BK181" s="2250"/>
      <c r="BL181" s="2250"/>
      <c r="BM181" s="2250"/>
      <c r="BN181" s="2250"/>
      <c r="BO181" s="2250"/>
      <c r="BP181" s="2250"/>
      <c r="BQ181" s="2250"/>
      <c r="BR181" s="2250"/>
      <c r="BS181" s="2250"/>
      <c r="BT181" s="2250"/>
      <c r="BU181" s="2250"/>
      <c r="BV181" s="2250"/>
      <c r="BW181" s="2250"/>
      <c r="BX181" s="2250"/>
      <c r="BY181" s="2250"/>
      <c r="BZ181" s="2250"/>
      <c r="CA181" s="2250"/>
      <c r="CB181" s="2250"/>
      <c r="CC181" s="2250"/>
      <c r="CD181" s="2250"/>
      <c r="CE181" s="2250"/>
      <c r="CF181" s="2250"/>
      <c r="CG181" s="2250"/>
      <c r="CH181" s="2250"/>
      <c r="CI181" s="2250"/>
      <c r="CJ181" s="2250"/>
      <c r="CK181" s="2250"/>
      <c r="CL181" s="2250"/>
      <c r="CM181" s="2250"/>
      <c r="CN181" s="2250"/>
      <c r="CO181" s="2250"/>
      <c r="CP181" s="2250"/>
      <c r="CQ181" s="2250"/>
      <c r="CR181" s="2250"/>
      <c r="CS181" s="2250"/>
      <c r="CT181" s="2250"/>
      <c r="CU181" s="2250"/>
      <c r="CV181" s="2250"/>
      <c r="CW181" s="2250"/>
      <c r="CX181" s="2250"/>
      <c r="CY181" s="2250"/>
      <c r="CZ181" s="2250"/>
      <c r="DA181" s="2250"/>
      <c r="DB181" s="2250"/>
      <c r="DC181" s="2250"/>
      <c r="DD181" s="2250"/>
      <c r="DE181" s="2250"/>
      <c r="DF181" s="2250"/>
      <c r="DG181" s="2250"/>
      <c r="DH181" s="2250"/>
      <c r="DI181" s="2250"/>
      <c r="DJ181" s="2250"/>
      <c r="DK181" s="2250"/>
      <c r="DL181" s="2250"/>
      <c r="DM181" s="2250"/>
      <c r="DN181" s="2250"/>
      <c r="DO181" s="2250"/>
      <c r="DP181" s="2250"/>
      <c r="DQ181" s="2277"/>
      <c r="DR181" s="2277"/>
      <c r="DS181" s="2278"/>
      <c r="DT181" s="2250"/>
      <c r="DU181" s="2250"/>
      <c r="DV181" s="2250"/>
      <c r="DW181" s="2250"/>
      <c r="DX181" s="2275"/>
      <c r="DY181" s="2333">
        <v>24.5</v>
      </c>
      <c r="DZ181" s="2336">
        <v>23.17</v>
      </c>
      <c r="EA181" s="2336">
        <v>37.03</v>
      </c>
      <c r="EB181" s="2336">
        <v>65.84</v>
      </c>
      <c r="EC181" s="2336">
        <v>113.76</v>
      </c>
      <c r="ED181" s="2336">
        <v>180.69</v>
      </c>
      <c r="EE181" s="2336">
        <v>180.69</v>
      </c>
      <c r="EF181" s="2336">
        <v>269.7</v>
      </c>
      <c r="EG181" s="2336">
        <v>526.83000000000004</v>
      </c>
      <c r="EH181" s="2336">
        <v>526.83000000000004</v>
      </c>
      <c r="EI181" s="2336">
        <v>910.3</v>
      </c>
      <c r="EJ181" s="2336">
        <v>1392.08</v>
      </c>
      <c r="EK181" s="2250"/>
      <c r="EL181" s="2250"/>
      <c r="EM181" s="2333">
        <v>24.5</v>
      </c>
      <c r="EN181" s="2336">
        <v>16.73</v>
      </c>
      <c r="EO181" s="2336">
        <v>26.73</v>
      </c>
      <c r="EP181" s="2336">
        <v>47.92</v>
      </c>
      <c r="EQ181" s="2336">
        <v>33.270000000000003</v>
      </c>
      <c r="ER181" s="2336">
        <v>131.49</v>
      </c>
      <c r="ES181" s="2336">
        <v>131.49</v>
      </c>
      <c r="ET181" s="2336">
        <v>196.24</v>
      </c>
      <c r="EU181" s="2336">
        <v>383.27</v>
      </c>
      <c r="EV181" s="2336">
        <v>383.27</v>
      </c>
      <c r="EW181" s="2336">
        <v>662.28</v>
      </c>
      <c r="EX181" s="2336">
        <v>1051.58</v>
      </c>
      <c r="EY181" s="2250"/>
      <c r="EZ181" s="2250"/>
      <c r="FA181" s="2333">
        <v>24.5</v>
      </c>
      <c r="FB181" s="2336">
        <v>14.45</v>
      </c>
      <c r="FC181" s="2336">
        <v>23.36</v>
      </c>
      <c r="FD181" s="2336">
        <v>41.08</v>
      </c>
      <c r="FE181" s="2336">
        <v>68.510000000000005</v>
      </c>
      <c r="FF181" s="2336">
        <v>111.96</v>
      </c>
      <c r="FG181" s="2336">
        <v>112.87</v>
      </c>
      <c r="FH181" s="2336">
        <v>168.4</v>
      </c>
      <c r="FI181" s="2336">
        <v>303.83999999999997</v>
      </c>
      <c r="FJ181" s="2336">
        <v>329.01</v>
      </c>
      <c r="FK181" s="2336">
        <v>568.51</v>
      </c>
      <c r="FL181" s="2336">
        <v>902.82</v>
      </c>
      <c r="FM181" s="2250"/>
      <c r="FN181" s="2250"/>
      <c r="FO181" s="2333">
        <v>24.5</v>
      </c>
      <c r="FP181" s="2337">
        <v>9.9</v>
      </c>
      <c r="FQ181" s="2337">
        <v>14.16</v>
      </c>
      <c r="FR181" s="2337">
        <v>25.15</v>
      </c>
      <c r="FS181" s="2337">
        <v>39.21</v>
      </c>
      <c r="FT181" s="2337">
        <v>64.459999999999994</v>
      </c>
      <c r="FU181" s="2337">
        <v>78.61</v>
      </c>
      <c r="FV181" s="2337">
        <v>117.33</v>
      </c>
      <c r="FW181" s="2337">
        <v>175.05</v>
      </c>
      <c r="FX181" s="2337">
        <v>228.42</v>
      </c>
      <c r="FY181" s="2337">
        <v>380.59</v>
      </c>
      <c r="FZ181" s="2337">
        <v>539.21</v>
      </c>
      <c r="GA181" s="2250"/>
      <c r="GB181" s="2250"/>
      <c r="GC181" s="1302">
        <v>206.43</v>
      </c>
      <c r="GD181" s="1302">
        <v>223.8</v>
      </c>
      <c r="GE181" s="2250"/>
      <c r="GF181" s="2275"/>
      <c r="GG181" s="2333">
        <v>24.5</v>
      </c>
      <c r="GH181" s="2336">
        <v>23.17</v>
      </c>
      <c r="GI181" s="2336">
        <v>37.03</v>
      </c>
      <c r="GJ181" s="2336">
        <v>65.84</v>
      </c>
      <c r="GK181" s="2336">
        <v>113.76</v>
      </c>
      <c r="GL181" s="2336">
        <v>180.69</v>
      </c>
      <c r="GM181" s="2336">
        <v>180.69</v>
      </c>
      <c r="GN181" s="2336">
        <v>269.7</v>
      </c>
      <c r="GO181" s="2336">
        <v>526.83000000000004</v>
      </c>
      <c r="GP181" s="2336">
        <v>526.83000000000004</v>
      </c>
      <c r="GQ181" s="2336">
        <v>910.3</v>
      </c>
      <c r="GR181" s="2336">
        <v>1392.08</v>
      </c>
      <c r="GS181" s="2250"/>
      <c r="GT181" s="2250"/>
      <c r="GU181" s="2333">
        <v>24.5</v>
      </c>
      <c r="GV181" s="2336">
        <v>16.73</v>
      </c>
      <c r="GW181" s="2336">
        <v>26.73</v>
      </c>
      <c r="GX181" s="2336">
        <v>47.92</v>
      </c>
      <c r="GY181" s="2336">
        <v>33.270000000000003</v>
      </c>
      <c r="GZ181" s="2336">
        <v>131.49</v>
      </c>
      <c r="HA181" s="2336">
        <v>131.49</v>
      </c>
      <c r="HB181" s="2336">
        <v>196.24</v>
      </c>
      <c r="HC181" s="2336">
        <v>383.27</v>
      </c>
      <c r="HD181" s="2336">
        <v>383.27</v>
      </c>
      <c r="HE181" s="2336">
        <v>662.28</v>
      </c>
      <c r="HF181" s="2336">
        <v>1051.58</v>
      </c>
      <c r="HG181" s="2250"/>
      <c r="HH181" s="2250"/>
      <c r="HI181" s="2333">
        <v>24.5</v>
      </c>
      <c r="HJ181" s="2336">
        <v>14.45</v>
      </c>
      <c r="HK181" s="2336">
        <v>23.36</v>
      </c>
      <c r="HL181" s="2336">
        <v>41.08</v>
      </c>
      <c r="HM181" s="2336">
        <v>68.510000000000005</v>
      </c>
      <c r="HN181" s="2336">
        <v>111.96</v>
      </c>
      <c r="HO181" s="2336">
        <v>112.87</v>
      </c>
      <c r="HP181" s="2336">
        <v>168.4</v>
      </c>
      <c r="HQ181" s="2336">
        <v>303.83999999999997</v>
      </c>
      <c r="HR181" s="2336">
        <v>329.01</v>
      </c>
      <c r="HS181" s="2336">
        <v>568.51</v>
      </c>
      <c r="HT181" s="2336">
        <v>902.82</v>
      </c>
      <c r="HU181" s="2250"/>
      <c r="HV181" s="2250"/>
      <c r="HW181" s="2333">
        <v>24.5</v>
      </c>
      <c r="HX181" s="2337">
        <v>9.9</v>
      </c>
      <c r="HY181" s="2337">
        <v>14.16</v>
      </c>
      <c r="HZ181" s="2337">
        <v>25.15</v>
      </c>
      <c r="IA181" s="2337">
        <v>39.21</v>
      </c>
      <c r="IB181" s="2337">
        <v>64.459999999999994</v>
      </c>
      <c r="IC181" s="2337">
        <v>78.61</v>
      </c>
      <c r="ID181" s="2337">
        <v>117.33</v>
      </c>
      <c r="IE181" s="2337">
        <v>175.05</v>
      </c>
      <c r="IF181" s="2337">
        <v>228.42</v>
      </c>
      <c r="IG181" s="2337">
        <v>380.59</v>
      </c>
      <c r="IH181" s="2337">
        <v>539.21</v>
      </c>
      <c r="II181" s="2250"/>
      <c r="IJ181" s="2250"/>
      <c r="IK181" s="2250"/>
      <c r="IL181" s="2250"/>
    </row>
    <row r="182" spans="1:246" ht="21.95" customHeight="1" thickBot="1">
      <c r="A182" s="2275"/>
      <c r="B182" s="284" t="s">
        <v>682</v>
      </c>
      <c r="C182" s="3620">
        <f>AF139</f>
        <v>190.4</v>
      </c>
      <c r="D182" s="2250"/>
      <c r="E182" s="2250"/>
      <c r="F182" s="2250"/>
      <c r="G182" s="2250"/>
      <c r="H182" s="2250"/>
      <c r="I182" s="2250"/>
      <c r="J182" s="2250"/>
      <c r="K182" s="2250"/>
      <c r="L182" s="2250"/>
      <c r="M182" s="2250"/>
      <c r="N182" s="2250"/>
      <c r="O182" s="2250"/>
      <c r="P182" s="284" t="s">
        <v>682</v>
      </c>
      <c r="Q182" s="3620">
        <f>C182</f>
        <v>190.4</v>
      </c>
      <c r="R182" s="2250"/>
      <c r="S182" s="2250"/>
      <c r="T182" s="2250"/>
      <c r="U182" s="2250"/>
      <c r="V182" s="2250"/>
      <c r="W182" s="2250"/>
      <c r="X182" s="2250"/>
      <c r="Y182" s="2250"/>
      <c r="Z182" s="2250"/>
      <c r="AA182" s="2250"/>
      <c r="AB182" s="2250"/>
      <c r="AC182" s="2250"/>
      <c r="AD182" s="284" t="s">
        <v>682</v>
      </c>
      <c r="AE182" s="3620">
        <f>C182</f>
        <v>190.4</v>
      </c>
      <c r="AF182" s="2250"/>
      <c r="AG182" s="2250"/>
      <c r="AH182" s="2250"/>
      <c r="AI182" s="2250"/>
      <c r="AJ182" s="2250"/>
      <c r="AK182" s="2250"/>
      <c r="AL182" s="2250"/>
      <c r="AM182" s="2250"/>
      <c r="AN182" s="2250"/>
      <c r="AO182" s="2250"/>
      <c r="AP182" s="2250"/>
      <c r="AQ182" s="2250"/>
      <c r="AR182" s="284" t="s">
        <v>682</v>
      </c>
      <c r="AS182" s="3620">
        <f>C182</f>
        <v>190.4</v>
      </c>
      <c r="AT182" s="2250"/>
      <c r="AU182" s="2250"/>
      <c r="AV182" s="2250"/>
      <c r="AW182" s="2250"/>
      <c r="AX182" s="2250"/>
      <c r="AY182" s="2250"/>
      <c r="AZ182" s="2250"/>
      <c r="BA182" s="2250"/>
      <c r="BB182" s="2250"/>
      <c r="BC182" s="2250"/>
      <c r="BD182" s="2250"/>
      <c r="BE182" s="2250"/>
      <c r="BF182" s="2339">
        <f>VLOOKUP(E142,BF154:BF181,1)</f>
        <v>190.4</v>
      </c>
      <c r="BG182" s="2340">
        <f>VLOOKUP(BF182,BF154:BG181,2,0)</f>
        <v>206.43</v>
      </c>
      <c r="BH182" s="2250"/>
      <c r="BI182" s="2275"/>
      <c r="BJ182" s="284" t="s">
        <v>682</v>
      </c>
      <c r="BK182" s="3620">
        <f>CN139</f>
        <v>206.43</v>
      </c>
      <c r="BL182" s="2250"/>
      <c r="BM182" s="2250"/>
      <c r="BN182" s="2250"/>
      <c r="BO182" s="2250"/>
      <c r="BP182" s="2250"/>
      <c r="BQ182" s="2250"/>
      <c r="BR182" s="2250"/>
      <c r="BS182" s="2250"/>
      <c r="BT182" s="2250"/>
      <c r="BU182" s="2250"/>
      <c r="BV182" s="2250"/>
      <c r="BW182" s="2250"/>
      <c r="BX182" s="284" t="s">
        <v>682</v>
      </c>
      <c r="BY182" s="3620">
        <f>BK182</f>
        <v>206.43</v>
      </c>
      <c r="BZ182" s="2250"/>
      <c r="CA182" s="2250"/>
      <c r="CB182" s="2250"/>
      <c r="CC182" s="2250"/>
      <c r="CD182" s="2250"/>
      <c r="CE182" s="2250"/>
      <c r="CF182" s="2250"/>
      <c r="CG182" s="2250"/>
      <c r="CH182" s="2250"/>
      <c r="CI182" s="2250"/>
      <c r="CJ182" s="2250"/>
      <c r="CK182" s="2250"/>
      <c r="CL182" s="284" t="s">
        <v>682</v>
      </c>
      <c r="CM182" s="3620">
        <f>BK182</f>
        <v>206.43</v>
      </c>
      <c r="CN182" s="2250"/>
      <c r="CO182" s="2250"/>
      <c r="CP182" s="2250"/>
      <c r="CQ182" s="2250"/>
      <c r="CR182" s="2250"/>
      <c r="CS182" s="2250"/>
      <c r="CT182" s="2250"/>
      <c r="CU182" s="2250"/>
      <c r="CV182" s="2250"/>
      <c r="CW182" s="2250"/>
      <c r="CX182" s="2250"/>
      <c r="CY182" s="2250"/>
      <c r="CZ182" s="284" t="s">
        <v>682</v>
      </c>
      <c r="DA182" s="3620">
        <f>BK182</f>
        <v>206.43</v>
      </c>
      <c r="DB182" s="2250"/>
      <c r="DC182" s="2250"/>
      <c r="DD182" s="2250"/>
      <c r="DE182" s="2250"/>
      <c r="DF182" s="2250"/>
      <c r="DG182" s="2250"/>
      <c r="DH182" s="2250"/>
      <c r="DI182" s="2250"/>
      <c r="DJ182" s="2250"/>
      <c r="DK182" s="2250"/>
      <c r="DL182" s="2250"/>
      <c r="DM182" s="2250"/>
      <c r="DN182" s="2250"/>
      <c r="DO182" s="2250"/>
      <c r="DP182" s="2250"/>
      <c r="DQ182" s="2277"/>
      <c r="DR182" s="2277"/>
      <c r="DS182" s="2278"/>
      <c r="DT182" s="2250"/>
      <c r="DU182" s="2250"/>
      <c r="DV182" s="2250"/>
      <c r="DW182" s="2250"/>
      <c r="DX182" s="2275"/>
      <c r="DY182" s="2250"/>
      <c r="DZ182" s="2250"/>
      <c r="EA182" s="2250"/>
      <c r="EB182" s="2250"/>
      <c r="EC182" s="2250"/>
      <c r="ED182" s="2250"/>
      <c r="EE182" s="2250"/>
      <c r="EF182" s="2250"/>
      <c r="EG182" s="2250"/>
      <c r="EH182" s="2250"/>
      <c r="EI182" s="2250"/>
      <c r="EJ182" s="2250"/>
      <c r="EK182" s="2250"/>
      <c r="EL182" s="2250"/>
      <c r="EM182" s="2250"/>
      <c r="EN182" s="2250"/>
      <c r="EO182" s="2250"/>
      <c r="EP182" s="2250"/>
      <c r="EQ182" s="2250"/>
      <c r="ER182" s="2250"/>
      <c r="ES182" s="2250"/>
      <c r="ET182" s="2250"/>
      <c r="EU182" s="2250"/>
      <c r="EV182" s="2250"/>
      <c r="EW182" s="2250"/>
      <c r="EX182" s="2250"/>
      <c r="EY182" s="2250"/>
      <c r="EZ182" s="2250"/>
      <c r="FA182" s="2250"/>
      <c r="FB182" s="2250"/>
      <c r="FC182" s="2250"/>
      <c r="FD182" s="2250"/>
      <c r="FE182" s="2250"/>
      <c r="FF182" s="2250"/>
      <c r="FG182" s="2250"/>
      <c r="FH182" s="2250"/>
      <c r="FI182" s="2250"/>
      <c r="FJ182" s="2250"/>
      <c r="FK182" s="2250"/>
      <c r="FL182" s="2250"/>
      <c r="FM182" s="2250"/>
      <c r="FN182" s="2250"/>
      <c r="FO182" s="2250"/>
      <c r="FP182" s="2250"/>
      <c r="FQ182" s="2250"/>
      <c r="FR182" s="2250"/>
      <c r="FS182" s="2250"/>
      <c r="FT182" s="2250"/>
      <c r="FU182" s="2250"/>
      <c r="FV182" s="2250"/>
      <c r="FW182" s="2250"/>
      <c r="FX182" s="2250"/>
      <c r="FY182" s="2250"/>
      <c r="FZ182" s="2250"/>
      <c r="GA182" s="2250"/>
      <c r="GB182" s="2250"/>
      <c r="GC182" s="1311">
        <f>+GD181</f>
        <v>223.8</v>
      </c>
      <c r="GD182" s="1311">
        <f>+GD181</f>
        <v>223.8</v>
      </c>
      <c r="GE182" s="2250"/>
      <c r="GF182" s="2275"/>
      <c r="GG182" s="2250"/>
      <c r="GH182" s="2250"/>
      <c r="GI182" s="2250"/>
      <c r="GJ182" s="2250"/>
      <c r="GK182" s="2250"/>
      <c r="GL182" s="2250"/>
      <c r="GM182" s="2250"/>
      <c r="GN182" s="2250"/>
      <c r="GO182" s="2250"/>
      <c r="GP182" s="2250"/>
      <c r="GQ182" s="2250"/>
      <c r="GR182" s="2250"/>
      <c r="GS182" s="2250"/>
      <c r="GT182" s="2250"/>
      <c r="GU182" s="2250"/>
      <c r="GV182" s="2250"/>
      <c r="GW182" s="2250"/>
      <c r="GX182" s="2250"/>
      <c r="GY182" s="2250"/>
      <c r="GZ182" s="2250"/>
      <c r="HA182" s="2250"/>
      <c r="HB182" s="2250"/>
      <c r="HC182" s="2250"/>
      <c r="HD182" s="2250"/>
      <c r="HE182" s="2250"/>
      <c r="HF182" s="2250"/>
      <c r="HG182" s="2250"/>
      <c r="HH182" s="2250"/>
      <c r="HI182" s="2250"/>
      <c r="HJ182" s="2250"/>
      <c r="HK182" s="2250"/>
      <c r="HL182" s="2250"/>
      <c r="HM182" s="2250"/>
      <c r="HN182" s="2250"/>
      <c r="HO182" s="2250"/>
      <c r="HP182" s="2250"/>
      <c r="HQ182" s="2250"/>
      <c r="HR182" s="2250"/>
      <c r="HS182" s="2250"/>
      <c r="HT182" s="2250"/>
      <c r="HU182" s="2250"/>
      <c r="HV182" s="2250"/>
      <c r="HW182" s="2250"/>
      <c r="HX182" s="2250"/>
      <c r="HY182" s="2250"/>
      <c r="HZ182" s="2250"/>
      <c r="IA182" s="2250"/>
      <c r="IB182" s="2250"/>
      <c r="IC182" s="2250"/>
      <c r="ID182" s="2250"/>
      <c r="IE182" s="2250"/>
      <c r="IF182" s="2250"/>
      <c r="IG182" s="2250"/>
      <c r="IH182" s="2250"/>
      <c r="II182" s="2250"/>
      <c r="IJ182" s="2250"/>
      <c r="IK182" s="2250"/>
      <c r="IL182" s="2250"/>
    </row>
    <row r="183" spans="1:246" ht="21.95" customHeight="1" thickBot="1">
      <c r="A183" s="2275"/>
      <c r="B183" s="284" t="s">
        <v>737</v>
      </c>
      <c r="C183" s="3620">
        <f>AF138</f>
        <v>19.915970774546171</v>
      </c>
      <c r="D183" s="2250"/>
      <c r="E183" s="2250"/>
      <c r="F183" s="2250"/>
      <c r="G183" s="2250"/>
      <c r="H183" s="2250"/>
      <c r="I183" s="2250"/>
      <c r="J183" s="2250"/>
      <c r="K183" s="2250"/>
      <c r="L183" s="2250"/>
      <c r="M183" s="2250"/>
      <c r="N183" s="2250"/>
      <c r="O183" s="2250"/>
      <c r="P183" s="284" t="s">
        <v>737</v>
      </c>
      <c r="Q183" s="3620">
        <f>C183</f>
        <v>19.915970774546171</v>
      </c>
      <c r="R183" s="2250"/>
      <c r="S183" s="2250"/>
      <c r="T183" s="2250"/>
      <c r="U183" s="2250"/>
      <c r="V183" s="2250"/>
      <c r="W183" s="2250"/>
      <c r="X183" s="2250"/>
      <c r="Y183" s="2250"/>
      <c r="Z183" s="2250"/>
      <c r="AA183" s="2250"/>
      <c r="AB183" s="2250"/>
      <c r="AC183" s="2250"/>
      <c r="AD183" s="284" t="s">
        <v>737</v>
      </c>
      <c r="AE183" s="3620">
        <f>C183</f>
        <v>19.915970774546171</v>
      </c>
      <c r="AF183" s="2250"/>
      <c r="AG183" s="2250"/>
      <c r="AH183" s="2250"/>
      <c r="AI183" s="2250"/>
      <c r="AJ183" s="2250"/>
      <c r="AK183" s="2250"/>
      <c r="AL183" s="2250"/>
      <c r="AM183" s="2250"/>
      <c r="AN183" s="2250"/>
      <c r="AO183" s="2250"/>
      <c r="AP183" s="2250"/>
      <c r="AQ183" s="2250"/>
      <c r="AR183" s="284" t="s">
        <v>737</v>
      </c>
      <c r="AS183" s="3620">
        <f>C183</f>
        <v>19.915970774546171</v>
      </c>
      <c r="AT183" s="2250"/>
      <c r="AU183" s="2250"/>
      <c r="AV183" s="2250"/>
      <c r="AW183" s="2250"/>
      <c r="AX183" s="2250"/>
      <c r="AY183" s="2250"/>
      <c r="AZ183" s="2250"/>
      <c r="BA183" s="2250"/>
      <c r="BB183" s="2250"/>
      <c r="BC183" s="2250"/>
      <c r="BD183" s="2250"/>
      <c r="BE183" s="2250"/>
      <c r="BF183" s="2276"/>
      <c r="BG183" s="2276"/>
      <c r="BH183" s="2250"/>
      <c r="BI183" s="2275"/>
      <c r="BJ183" s="284" t="s">
        <v>737</v>
      </c>
      <c r="BK183" s="3620">
        <f>CN138</f>
        <v>19.915970774546171</v>
      </c>
      <c r="BL183" s="2250"/>
      <c r="BM183" s="2250"/>
      <c r="BN183" s="2250"/>
      <c r="BO183" s="2250"/>
      <c r="BP183" s="2250"/>
      <c r="BQ183" s="2250"/>
      <c r="BR183" s="2250"/>
      <c r="BS183" s="2250"/>
      <c r="BT183" s="2250"/>
      <c r="BU183" s="2250"/>
      <c r="BV183" s="2250"/>
      <c r="BW183" s="2250"/>
      <c r="BX183" s="284" t="s">
        <v>737</v>
      </c>
      <c r="BY183" s="3620">
        <f>BK183</f>
        <v>19.915970774546171</v>
      </c>
      <c r="BZ183" s="2250"/>
      <c r="CA183" s="2250"/>
      <c r="CB183" s="2250"/>
      <c r="CC183" s="2250"/>
      <c r="CD183" s="2250"/>
      <c r="CE183" s="2250"/>
      <c r="CF183" s="2250"/>
      <c r="CG183" s="2250"/>
      <c r="CH183" s="2250"/>
      <c r="CI183" s="2250"/>
      <c r="CJ183" s="2250"/>
      <c r="CK183" s="2250"/>
      <c r="CL183" s="284" t="s">
        <v>737</v>
      </c>
      <c r="CM183" s="3620">
        <f>BK183</f>
        <v>19.915970774546171</v>
      </c>
      <c r="CN183" s="2250"/>
      <c r="CO183" s="2250"/>
      <c r="CP183" s="2250"/>
      <c r="CQ183" s="2250"/>
      <c r="CR183" s="2250"/>
      <c r="CS183" s="2250"/>
      <c r="CT183" s="2250"/>
      <c r="CU183" s="2250"/>
      <c r="CV183" s="2250"/>
      <c r="CW183" s="2250"/>
      <c r="CX183" s="2250"/>
      <c r="CY183" s="2250"/>
      <c r="CZ183" s="284" t="s">
        <v>737</v>
      </c>
      <c r="DA183" s="3620">
        <f>BK183</f>
        <v>19.915970774546171</v>
      </c>
      <c r="DB183" s="2250"/>
      <c r="DC183" s="2250"/>
      <c r="DD183" s="2250"/>
      <c r="DE183" s="2250"/>
      <c r="DF183" s="2250"/>
      <c r="DG183" s="2250"/>
      <c r="DH183" s="2250"/>
      <c r="DI183" s="2250"/>
      <c r="DJ183" s="2250"/>
      <c r="DK183" s="2250"/>
      <c r="DL183" s="2250"/>
      <c r="DM183" s="2250"/>
      <c r="DN183" s="2250"/>
      <c r="DO183" s="2250"/>
      <c r="DP183" s="2250"/>
      <c r="DQ183" s="2277"/>
      <c r="DR183" s="2277"/>
      <c r="DS183" s="2278"/>
      <c r="DT183" s="2250"/>
      <c r="DU183" s="2250"/>
      <c r="DV183" s="2250"/>
      <c r="DW183" s="2250"/>
      <c r="DX183" s="2275"/>
      <c r="DY183" s="284" t="s">
        <v>682</v>
      </c>
      <c r="DZ183" s="3620">
        <f>FC140</f>
        <v>120.7</v>
      </c>
      <c r="EA183" s="2250"/>
      <c r="EB183" s="2250"/>
      <c r="EC183" s="2250"/>
      <c r="ED183" s="2250"/>
      <c r="EE183" s="2250"/>
      <c r="EF183" s="2250"/>
      <c r="EG183" s="2250"/>
      <c r="EH183" s="2250"/>
      <c r="EI183" s="2250"/>
      <c r="EJ183" s="2250"/>
      <c r="EK183" s="2250"/>
      <c r="EL183" s="2250"/>
      <c r="EM183" s="284" t="s">
        <v>682</v>
      </c>
      <c r="EN183" s="3620">
        <f>DZ183</f>
        <v>120.7</v>
      </c>
      <c r="EO183" s="2250"/>
      <c r="EP183" s="2250"/>
      <c r="EQ183" s="2250"/>
      <c r="ER183" s="2250"/>
      <c r="ES183" s="2250"/>
      <c r="ET183" s="2250"/>
      <c r="EU183" s="2250"/>
      <c r="EV183" s="2250"/>
      <c r="EW183" s="2250"/>
      <c r="EX183" s="2250"/>
      <c r="EY183" s="2250"/>
      <c r="EZ183" s="2250"/>
      <c r="FA183" s="284" t="s">
        <v>682</v>
      </c>
      <c r="FB183" s="3620">
        <f>DZ183</f>
        <v>120.7</v>
      </c>
      <c r="FC183" s="2250"/>
      <c r="FD183" s="2250"/>
      <c r="FE183" s="2250"/>
      <c r="FF183" s="2250"/>
      <c r="FG183" s="2250"/>
      <c r="FH183" s="2250"/>
      <c r="FI183" s="2250"/>
      <c r="FJ183" s="2250"/>
      <c r="FK183" s="2250"/>
      <c r="FL183" s="2250"/>
      <c r="FM183" s="2250"/>
      <c r="FN183" s="2250"/>
      <c r="FO183" s="284" t="s">
        <v>682</v>
      </c>
      <c r="FP183" s="3620">
        <f>DZ183</f>
        <v>120.7</v>
      </c>
      <c r="FQ183" s="2250"/>
      <c r="FR183" s="2250"/>
      <c r="FS183" s="2250"/>
      <c r="FT183" s="2250"/>
      <c r="FU183" s="2250"/>
      <c r="FV183" s="2250"/>
      <c r="FW183" s="2250"/>
      <c r="FX183" s="2250"/>
      <c r="FY183" s="2250"/>
      <c r="FZ183" s="2250"/>
      <c r="GA183" s="2250"/>
      <c r="GB183" s="2250"/>
      <c r="GC183" s="2339">
        <f>VLOOKUP(EB143,GC155:GC182,1)</f>
        <v>120.7</v>
      </c>
      <c r="GD183" s="2340">
        <f>VLOOKUP(GC183,GC155:GD182,2,0)</f>
        <v>129.80000000000001</v>
      </c>
      <c r="GE183" s="2250"/>
      <c r="GF183" s="2275"/>
      <c r="GG183" s="284" t="s">
        <v>682</v>
      </c>
      <c r="GH183" s="3620">
        <f>HK140</f>
        <v>129.80000000000001</v>
      </c>
      <c r="GI183" s="2250"/>
      <c r="GJ183" s="2250"/>
      <c r="GK183" s="2250"/>
      <c r="GL183" s="2250"/>
      <c r="GM183" s="2250"/>
      <c r="GN183" s="2250"/>
      <c r="GO183" s="2250"/>
      <c r="GP183" s="2250"/>
      <c r="GQ183" s="2250"/>
      <c r="GR183" s="2250"/>
      <c r="GS183" s="2250"/>
      <c r="GT183" s="2250"/>
      <c r="GU183" s="284" t="s">
        <v>682</v>
      </c>
      <c r="GV183" s="3620">
        <f>GH183</f>
        <v>129.80000000000001</v>
      </c>
      <c r="GW183" s="2250"/>
      <c r="GX183" s="2250"/>
      <c r="GY183" s="2250"/>
      <c r="GZ183" s="2250"/>
      <c r="HA183" s="2250"/>
      <c r="HB183" s="2250"/>
      <c r="HC183" s="2250"/>
      <c r="HD183" s="2250"/>
      <c r="HE183" s="2250"/>
      <c r="HF183" s="2250"/>
      <c r="HG183" s="2250"/>
      <c r="HH183" s="2250"/>
      <c r="HI183" s="284" t="s">
        <v>682</v>
      </c>
      <c r="HJ183" s="3620">
        <f>GH183</f>
        <v>129.80000000000001</v>
      </c>
      <c r="HK183" s="2250"/>
      <c r="HL183" s="2250"/>
      <c r="HM183" s="2250"/>
      <c r="HN183" s="2250"/>
      <c r="HO183" s="2250"/>
      <c r="HP183" s="2250"/>
      <c r="HQ183" s="2250"/>
      <c r="HR183" s="2250"/>
      <c r="HS183" s="2250"/>
      <c r="HT183" s="2250"/>
      <c r="HU183" s="2250"/>
      <c r="HV183" s="2250"/>
      <c r="HW183" s="284" t="s">
        <v>682</v>
      </c>
      <c r="HX183" s="3620">
        <f>GH183</f>
        <v>129.80000000000001</v>
      </c>
      <c r="HY183" s="2250"/>
      <c r="HZ183" s="2250"/>
      <c r="IA183" s="2250"/>
      <c r="IB183" s="2250"/>
      <c r="IC183" s="2250"/>
      <c r="ID183" s="2250"/>
      <c r="IE183" s="2250"/>
      <c r="IF183" s="2250"/>
      <c r="IG183" s="2250"/>
      <c r="IH183" s="2250"/>
      <c r="II183" s="2250"/>
      <c r="IJ183" s="2250"/>
      <c r="IK183" s="2250"/>
      <c r="IL183" s="2250"/>
    </row>
    <row r="184" spans="1:246" ht="21.95" customHeight="1">
      <c r="A184" s="2275"/>
      <c r="B184" s="2250"/>
      <c r="C184" s="2250"/>
      <c r="D184" s="2250"/>
      <c r="E184" s="284" t="s">
        <v>707</v>
      </c>
      <c r="F184" s="2250"/>
      <c r="G184" s="2250"/>
      <c r="H184" s="2250"/>
      <c r="I184" s="2250"/>
      <c r="J184" s="2250"/>
      <c r="K184" s="2250"/>
      <c r="L184" s="2250"/>
      <c r="M184" s="2250"/>
      <c r="N184" s="2250"/>
      <c r="O184" s="2250"/>
      <c r="P184" s="2250"/>
      <c r="Q184" s="2250"/>
      <c r="R184" s="2250"/>
      <c r="S184" s="284" t="s">
        <v>707</v>
      </c>
      <c r="T184" s="2250"/>
      <c r="U184" s="2250"/>
      <c r="V184" s="2250"/>
      <c r="W184" s="2250"/>
      <c r="X184" s="2250"/>
      <c r="Y184" s="2250"/>
      <c r="Z184" s="2250"/>
      <c r="AA184" s="2250"/>
      <c r="AB184" s="2250"/>
      <c r="AC184" s="2250"/>
      <c r="AD184" s="2250"/>
      <c r="AE184" s="2250"/>
      <c r="AF184" s="2250"/>
      <c r="AG184" s="284" t="s">
        <v>707</v>
      </c>
      <c r="AH184" s="2250"/>
      <c r="AI184" s="2250"/>
      <c r="AJ184" s="2250"/>
      <c r="AK184" s="2250"/>
      <c r="AL184" s="2250"/>
      <c r="AM184" s="2250"/>
      <c r="AN184" s="2250"/>
      <c r="AO184" s="2250"/>
      <c r="AP184" s="2250"/>
      <c r="AQ184" s="2250"/>
      <c r="AR184" s="2250"/>
      <c r="AS184" s="2250"/>
      <c r="AT184" s="2250"/>
      <c r="AU184" s="284" t="s">
        <v>707</v>
      </c>
      <c r="AV184" s="2250"/>
      <c r="AW184" s="2250"/>
      <c r="AX184" s="2250"/>
      <c r="AY184" s="2250"/>
      <c r="AZ184" s="2250"/>
      <c r="BA184" s="2250"/>
      <c r="BB184" s="2250"/>
      <c r="BC184" s="2250"/>
      <c r="BD184" s="2250"/>
      <c r="BE184" s="2250"/>
      <c r="BF184" s="2276"/>
      <c r="BG184" s="2276"/>
      <c r="BH184" s="2250"/>
      <c r="BI184" s="2275"/>
      <c r="BJ184" s="2250"/>
      <c r="BK184" s="2250"/>
      <c r="BL184" s="2250"/>
      <c r="BM184" s="284" t="s">
        <v>707</v>
      </c>
      <c r="BN184" s="2250"/>
      <c r="BO184" s="2250"/>
      <c r="BP184" s="2250"/>
      <c r="BQ184" s="2250"/>
      <c r="BR184" s="2250"/>
      <c r="BS184" s="2250"/>
      <c r="BT184" s="2250"/>
      <c r="BU184" s="2250"/>
      <c r="BV184" s="2250"/>
      <c r="BW184" s="2250"/>
      <c r="BX184" s="2250"/>
      <c r="BY184" s="2250"/>
      <c r="BZ184" s="2250"/>
      <c r="CA184" s="284" t="s">
        <v>707</v>
      </c>
      <c r="CB184" s="2250"/>
      <c r="CC184" s="2250"/>
      <c r="CD184" s="2250"/>
      <c r="CE184" s="2250"/>
      <c r="CF184" s="2250"/>
      <c r="CG184" s="2250"/>
      <c r="CH184" s="2250"/>
      <c r="CI184" s="2250"/>
      <c r="CJ184" s="2250"/>
      <c r="CK184" s="2250"/>
      <c r="CL184" s="2250"/>
      <c r="CM184" s="2250"/>
      <c r="CN184" s="2250"/>
      <c r="CO184" s="284" t="s">
        <v>707</v>
      </c>
      <c r="CP184" s="2250"/>
      <c r="CQ184" s="2250"/>
      <c r="CR184" s="2250"/>
      <c r="CS184" s="2250"/>
      <c r="CT184" s="2250"/>
      <c r="CU184" s="2250"/>
      <c r="CV184" s="2250"/>
      <c r="CW184" s="2250"/>
      <c r="CX184" s="2250"/>
      <c r="CY184" s="2250"/>
      <c r="CZ184" s="2250"/>
      <c r="DA184" s="2250"/>
      <c r="DB184" s="2250"/>
      <c r="DC184" s="284" t="s">
        <v>707</v>
      </c>
      <c r="DD184" s="2250"/>
      <c r="DE184" s="2250"/>
      <c r="DF184" s="2250"/>
      <c r="DG184" s="2250"/>
      <c r="DH184" s="2250"/>
      <c r="DI184" s="2250"/>
      <c r="DJ184" s="2250"/>
      <c r="DK184" s="2250"/>
      <c r="DL184" s="2250"/>
      <c r="DM184" s="2250"/>
      <c r="DN184" s="2250"/>
      <c r="DO184" s="2250"/>
      <c r="DP184" s="2250"/>
      <c r="DQ184" s="2277"/>
      <c r="DR184" s="2277"/>
      <c r="DS184" s="2278"/>
      <c r="DT184" s="2250"/>
      <c r="DU184" s="2250"/>
      <c r="DV184" s="2250"/>
      <c r="DW184" s="2250"/>
      <c r="DX184" s="2275"/>
      <c r="DY184" s="284" t="s">
        <v>737</v>
      </c>
      <c r="DZ184" s="3620">
        <f>FC139</f>
        <v>19.968225884687833</v>
      </c>
      <c r="EA184" s="2250"/>
      <c r="EB184" s="2250"/>
      <c r="EC184" s="2250"/>
      <c r="ED184" s="2250"/>
      <c r="EE184" s="2250"/>
      <c r="EF184" s="2250"/>
      <c r="EG184" s="2250"/>
      <c r="EH184" s="2250"/>
      <c r="EI184" s="2250"/>
      <c r="EJ184" s="2250"/>
      <c r="EK184" s="2250"/>
      <c r="EL184" s="2250"/>
      <c r="EM184" s="284" t="s">
        <v>737</v>
      </c>
      <c r="EN184" s="3620">
        <f>DZ184</f>
        <v>19.968225884687833</v>
      </c>
      <c r="EO184" s="2250"/>
      <c r="EP184" s="2250"/>
      <c r="EQ184" s="2250"/>
      <c r="ER184" s="2250"/>
      <c r="ES184" s="2250"/>
      <c r="ET184" s="2250"/>
      <c r="EU184" s="2250"/>
      <c r="EV184" s="2250"/>
      <c r="EW184" s="2250"/>
      <c r="EX184" s="2250"/>
      <c r="EY184" s="2250"/>
      <c r="EZ184" s="2250"/>
      <c r="FA184" s="284" t="s">
        <v>737</v>
      </c>
      <c r="FB184" s="3620">
        <f>DZ184</f>
        <v>19.968225884687833</v>
      </c>
      <c r="FC184" s="2250"/>
      <c r="FD184" s="2250"/>
      <c r="FE184" s="2250"/>
      <c r="FF184" s="2250"/>
      <c r="FG184" s="2250"/>
      <c r="FH184" s="2250"/>
      <c r="FI184" s="2250"/>
      <c r="FJ184" s="2250"/>
      <c r="FK184" s="2250"/>
      <c r="FL184" s="2250"/>
      <c r="FM184" s="2250"/>
      <c r="FN184" s="2250"/>
      <c r="FO184" s="284" t="s">
        <v>737</v>
      </c>
      <c r="FP184" s="3620">
        <f>DZ184</f>
        <v>19.968225884687833</v>
      </c>
      <c r="FQ184" s="2250"/>
      <c r="FR184" s="2250"/>
      <c r="FS184" s="2250"/>
      <c r="FT184" s="2250"/>
      <c r="FU184" s="2250"/>
      <c r="FV184" s="2250"/>
      <c r="FW184" s="2250"/>
      <c r="FX184" s="2250"/>
      <c r="FY184" s="2250"/>
      <c r="FZ184" s="2250"/>
      <c r="GA184" s="2250"/>
      <c r="GB184" s="2250"/>
      <c r="GC184" s="2276"/>
      <c r="GD184" s="2276"/>
      <c r="GE184" s="2250"/>
      <c r="GF184" s="2275"/>
      <c r="GG184" s="284" t="s">
        <v>737</v>
      </c>
      <c r="GH184" s="3620">
        <f>HK139</f>
        <v>19.968225884687833</v>
      </c>
      <c r="GI184" s="2250"/>
      <c r="GJ184" s="2250"/>
      <c r="GK184" s="2250"/>
      <c r="GL184" s="2250"/>
      <c r="GM184" s="2250"/>
      <c r="GN184" s="2250"/>
      <c r="GO184" s="2250"/>
      <c r="GP184" s="2250"/>
      <c r="GQ184" s="2250"/>
      <c r="GR184" s="2250"/>
      <c r="GS184" s="2250"/>
      <c r="GT184" s="2250"/>
      <c r="GU184" s="284" t="s">
        <v>737</v>
      </c>
      <c r="GV184" s="3620">
        <f>GH184</f>
        <v>19.968225884687833</v>
      </c>
      <c r="GW184" s="2250"/>
      <c r="GX184" s="2250"/>
      <c r="GY184" s="2250"/>
      <c r="GZ184" s="2250"/>
      <c r="HA184" s="2250"/>
      <c r="HB184" s="2250"/>
      <c r="HC184" s="2250"/>
      <c r="HD184" s="2250"/>
      <c r="HE184" s="2250"/>
      <c r="HF184" s="2250"/>
      <c r="HG184" s="2250"/>
      <c r="HH184" s="2250"/>
      <c r="HI184" s="284" t="s">
        <v>737</v>
      </c>
      <c r="HJ184" s="3620">
        <f>GH184</f>
        <v>19.968225884687833</v>
      </c>
      <c r="HK184" s="2250"/>
      <c r="HL184" s="2250"/>
      <c r="HM184" s="2250"/>
      <c r="HN184" s="2250"/>
      <c r="HO184" s="2250"/>
      <c r="HP184" s="2250"/>
      <c r="HQ184" s="2250"/>
      <c r="HR184" s="2250"/>
      <c r="HS184" s="2250"/>
      <c r="HT184" s="2250"/>
      <c r="HU184" s="2250"/>
      <c r="HV184" s="2250"/>
      <c r="HW184" s="284" t="s">
        <v>737</v>
      </c>
      <c r="HX184" s="3620">
        <f>GH184</f>
        <v>19.968225884687833</v>
      </c>
      <c r="HY184" s="2250"/>
      <c r="HZ184" s="2250"/>
      <c r="IA184" s="2250"/>
      <c r="IB184" s="2250"/>
      <c r="IC184" s="2250"/>
      <c r="ID184" s="2250"/>
      <c r="IE184" s="2250"/>
      <c r="IF184" s="2250"/>
      <c r="IG184" s="2250"/>
      <c r="IH184" s="2250"/>
      <c r="II184" s="2250"/>
      <c r="IJ184" s="2250"/>
      <c r="IK184" s="2250"/>
      <c r="IL184" s="2250"/>
    </row>
    <row r="185" spans="1:246" ht="21.95" customHeight="1">
      <c r="A185" s="2275"/>
      <c r="B185" s="284" t="s">
        <v>707</v>
      </c>
      <c r="C185" s="284">
        <v>0</v>
      </c>
      <c r="D185" s="3620">
        <f t="shared" ref="D185:D196" si="120">+C186</f>
        <v>4.16</v>
      </c>
      <c r="E185" s="284">
        <v>400</v>
      </c>
      <c r="F185" s="2250"/>
      <c r="G185" s="2250"/>
      <c r="H185" s="2250"/>
      <c r="I185" s="2250"/>
      <c r="J185" s="2250"/>
      <c r="K185" s="2250"/>
      <c r="L185" s="2250"/>
      <c r="M185" s="2250"/>
      <c r="N185" s="2250"/>
      <c r="O185" s="2250"/>
      <c r="P185" s="284" t="s">
        <v>707</v>
      </c>
      <c r="Q185" s="284">
        <v>0</v>
      </c>
      <c r="R185" s="3620">
        <f t="shared" ref="R185:R196" si="121">+Q186</f>
        <v>2.97</v>
      </c>
      <c r="S185" s="284">
        <v>400</v>
      </c>
      <c r="T185" s="2250"/>
      <c r="U185" s="2250"/>
      <c r="V185" s="2250"/>
      <c r="W185" s="2250"/>
      <c r="X185" s="2250"/>
      <c r="Y185" s="2250"/>
      <c r="Z185" s="2250"/>
      <c r="AA185" s="2250"/>
      <c r="AB185" s="2250"/>
      <c r="AC185" s="2250"/>
      <c r="AD185" s="284" t="s">
        <v>707</v>
      </c>
      <c r="AE185" s="284">
        <v>0</v>
      </c>
      <c r="AF185" s="3620">
        <f t="shared" ref="AF185:AF196" si="122">+AE186</f>
        <v>2.6</v>
      </c>
      <c r="AG185" s="284">
        <v>400</v>
      </c>
      <c r="AH185" s="2250"/>
      <c r="AI185" s="2250"/>
      <c r="AJ185" s="2250"/>
      <c r="AK185" s="2250"/>
      <c r="AL185" s="2250"/>
      <c r="AM185" s="2250"/>
      <c r="AN185" s="2250"/>
      <c r="AO185" s="2250"/>
      <c r="AP185" s="2250"/>
      <c r="AQ185" s="2250"/>
      <c r="AR185" s="284" t="s">
        <v>707</v>
      </c>
      <c r="AS185" s="284">
        <v>0</v>
      </c>
      <c r="AT185" s="3620">
        <f t="shared" ref="AT185:AT196" si="123">+AS186</f>
        <v>1.49</v>
      </c>
      <c r="AU185" s="284">
        <v>400</v>
      </c>
      <c r="AV185" s="2250"/>
      <c r="AW185" s="2250"/>
      <c r="AX185" s="2250"/>
      <c r="AY185" s="2250"/>
      <c r="AZ185" s="2250"/>
      <c r="BA185" s="2250"/>
      <c r="BB185" s="2250"/>
      <c r="BC185" s="2250"/>
      <c r="BD185" s="2250"/>
      <c r="BE185" s="2250"/>
      <c r="BF185" s="2276"/>
      <c r="BG185" s="2276"/>
      <c r="BH185" s="2250"/>
      <c r="BI185" s="2275"/>
      <c r="BJ185" s="284" t="s">
        <v>707</v>
      </c>
      <c r="BK185" s="284">
        <v>0</v>
      </c>
      <c r="BL185" s="3620">
        <f t="shared" ref="BL185:BL196" si="124">+BK186</f>
        <v>3.86</v>
      </c>
      <c r="BM185" s="284">
        <v>400</v>
      </c>
      <c r="BN185" s="2250"/>
      <c r="BO185" s="2250"/>
      <c r="BP185" s="2250"/>
      <c r="BQ185" s="2250"/>
      <c r="BR185" s="2250"/>
      <c r="BS185" s="2250"/>
      <c r="BT185" s="2250"/>
      <c r="BU185" s="2250"/>
      <c r="BV185" s="2250"/>
      <c r="BW185" s="2250"/>
      <c r="BX185" s="284" t="s">
        <v>707</v>
      </c>
      <c r="BY185" s="284">
        <v>0</v>
      </c>
      <c r="BZ185" s="3620">
        <f t="shared" ref="BZ185:BZ196" si="125">+BY186</f>
        <v>2.77</v>
      </c>
      <c r="CA185" s="284">
        <v>400</v>
      </c>
      <c r="CB185" s="2250"/>
      <c r="CC185" s="2250"/>
      <c r="CD185" s="2250"/>
      <c r="CE185" s="2250"/>
      <c r="CF185" s="2250"/>
      <c r="CG185" s="2250"/>
      <c r="CH185" s="2250"/>
      <c r="CI185" s="2250"/>
      <c r="CJ185" s="2250"/>
      <c r="CK185" s="2250"/>
      <c r="CL185" s="284" t="s">
        <v>707</v>
      </c>
      <c r="CM185" s="284">
        <v>0</v>
      </c>
      <c r="CN185" s="3620">
        <f t="shared" ref="CN185:CN196" si="126">+CM186</f>
        <v>2.37</v>
      </c>
      <c r="CO185" s="284">
        <v>400</v>
      </c>
      <c r="CP185" s="2250"/>
      <c r="CQ185" s="2250"/>
      <c r="CR185" s="2250"/>
      <c r="CS185" s="2250"/>
      <c r="CT185" s="2250"/>
      <c r="CU185" s="2250"/>
      <c r="CV185" s="2250"/>
      <c r="CW185" s="2250"/>
      <c r="CX185" s="2250"/>
      <c r="CY185" s="2250"/>
      <c r="CZ185" s="284" t="s">
        <v>707</v>
      </c>
      <c r="DA185" s="284">
        <v>0</v>
      </c>
      <c r="DB185" s="3620">
        <f t="shared" ref="DB185:DB196" si="127">+DA186</f>
        <v>1.39</v>
      </c>
      <c r="DC185" s="284">
        <v>400</v>
      </c>
      <c r="DD185" s="2250"/>
      <c r="DE185" s="2250"/>
      <c r="DF185" s="2250"/>
      <c r="DG185" s="2250"/>
      <c r="DH185" s="2250"/>
      <c r="DI185" s="2250"/>
      <c r="DJ185" s="2250"/>
      <c r="DK185" s="2250"/>
      <c r="DL185" s="2250"/>
      <c r="DM185" s="2250"/>
      <c r="DN185" s="2250"/>
      <c r="DO185" s="2250"/>
      <c r="DP185" s="2250"/>
      <c r="DQ185" s="2277"/>
      <c r="DR185" s="2277"/>
      <c r="DS185" s="2278"/>
      <c r="DT185" s="2250"/>
      <c r="DU185" s="2250"/>
      <c r="DV185" s="2250"/>
      <c r="DW185" s="2250"/>
      <c r="DX185" s="2275"/>
      <c r="DY185" s="2250"/>
      <c r="DZ185" s="2250"/>
      <c r="EA185" s="2250"/>
      <c r="EB185" s="284" t="s">
        <v>707</v>
      </c>
      <c r="EC185" s="2250"/>
      <c r="ED185" s="2250"/>
      <c r="EE185" s="2250"/>
      <c r="EF185" s="2250"/>
      <c r="EG185" s="2250"/>
      <c r="EH185" s="2250"/>
      <c r="EI185" s="2250"/>
      <c r="EJ185" s="2250"/>
      <c r="EK185" s="2250"/>
      <c r="EL185" s="2250"/>
      <c r="EM185" s="2250"/>
      <c r="EN185" s="2250"/>
      <c r="EO185" s="2250"/>
      <c r="EP185" s="284" t="s">
        <v>707</v>
      </c>
      <c r="EQ185" s="2250"/>
      <c r="ER185" s="2250"/>
      <c r="ES185" s="2250"/>
      <c r="ET185" s="2250"/>
      <c r="EU185" s="2250"/>
      <c r="EV185" s="2250"/>
      <c r="EW185" s="2250"/>
      <c r="EX185" s="2250"/>
      <c r="EY185" s="2250"/>
      <c r="EZ185" s="2250"/>
      <c r="FA185" s="2250"/>
      <c r="FB185" s="2250"/>
      <c r="FC185" s="2250"/>
      <c r="FD185" s="284" t="s">
        <v>707</v>
      </c>
      <c r="FE185" s="2250"/>
      <c r="FF185" s="2250"/>
      <c r="FG185" s="2250"/>
      <c r="FH185" s="2250"/>
      <c r="FI185" s="2250"/>
      <c r="FJ185" s="2250"/>
      <c r="FK185" s="2250"/>
      <c r="FL185" s="2250"/>
      <c r="FM185" s="2250"/>
      <c r="FN185" s="2250"/>
      <c r="FO185" s="2250"/>
      <c r="FP185" s="2250"/>
      <c r="FQ185" s="2250"/>
      <c r="FR185" s="284" t="s">
        <v>707</v>
      </c>
      <c r="FS185" s="2250"/>
      <c r="FT185" s="2250"/>
      <c r="FU185" s="2250"/>
      <c r="FV185" s="2250"/>
      <c r="FW185" s="2250"/>
      <c r="FX185" s="2250"/>
      <c r="FY185" s="2250"/>
      <c r="FZ185" s="2250"/>
      <c r="GA185" s="2250"/>
      <c r="GB185" s="2250"/>
      <c r="GC185" s="2276"/>
      <c r="GD185" s="2276"/>
      <c r="GE185" s="2250"/>
      <c r="GF185" s="2275"/>
      <c r="GG185" s="2250"/>
      <c r="GH185" s="2250"/>
      <c r="GI185" s="2250"/>
      <c r="GJ185" s="284" t="s">
        <v>707</v>
      </c>
      <c r="GK185" s="2250"/>
      <c r="GL185" s="2250"/>
      <c r="GM185" s="2250"/>
      <c r="GN185" s="2250"/>
      <c r="GO185" s="2250"/>
      <c r="GP185" s="2250"/>
      <c r="GQ185" s="2250"/>
      <c r="GR185" s="2250"/>
      <c r="GS185" s="2250"/>
      <c r="GT185" s="2250"/>
      <c r="GU185" s="2250"/>
      <c r="GV185" s="2250"/>
      <c r="GW185" s="2250"/>
      <c r="GX185" s="284" t="s">
        <v>707</v>
      </c>
      <c r="GY185" s="2250"/>
      <c r="GZ185" s="2250"/>
      <c r="HA185" s="2250"/>
      <c r="HB185" s="2250"/>
      <c r="HC185" s="2250"/>
      <c r="HD185" s="2250"/>
      <c r="HE185" s="2250"/>
      <c r="HF185" s="2250"/>
      <c r="HG185" s="2250"/>
      <c r="HH185" s="2250"/>
      <c r="HI185" s="2250"/>
      <c r="HJ185" s="2250"/>
      <c r="HK185" s="2250"/>
      <c r="HL185" s="284" t="s">
        <v>707</v>
      </c>
      <c r="HM185" s="2250"/>
      <c r="HN185" s="2250"/>
      <c r="HO185" s="2250"/>
      <c r="HP185" s="2250"/>
      <c r="HQ185" s="2250"/>
      <c r="HR185" s="2250"/>
      <c r="HS185" s="2250"/>
      <c r="HT185" s="2250"/>
      <c r="HU185" s="2250"/>
      <c r="HV185" s="2250"/>
      <c r="HW185" s="2250"/>
      <c r="HX185" s="2250"/>
      <c r="HY185" s="2250"/>
      <c r="HZ185" s="284" t="s">
        <v>707</v>
      </c>
      <c r="IA185" s="2250"/>
      <c r="IB185" s="2250"/>
      <c r="IC185" s="2250"/>
      <c r="ID185" s="2250"/>
      <c r="IE185" s="2250"/>
      <c r="IF185" s="2250"/>
      <c r="IG185" s="2250"/>
      <c r="IH185" s="2250"/>
      <c r="II185" s="2250"/>
      <c r="IJ185" s="2250"/>
      <c r="IK185" s="2250"/>
      <c r="IL185" s="2250"/>
    </row>
    <row r="186" spans="1:246" ht="21.95" customHeight="1">
      <c r="A186" s="2275"/>
      <c r="B186" s="284">
        <v>400</v>
      </c>
      <c r="C186" s="3620">
        <f>VLOOKUP(C182,B154:M180,2,0)</f>
        <v>4.16</v>
      </c>
      <c r="D186" s="3620">
        <f t="shared" si="120"/>
        <v>6.14</v>
      </c>
      <c r="E186" s="284">
        <v>475</v>
      </c>
      <c r="F186" s="2250"/>
      <c r="G186" s="2250"/>
      <c r="H186" s="2250"/>
      <c r="I186" s="2250"/>
      <c r="J186" s="2250"/>
      <c r="K186" s="2250"/>
      <c r="L186" s="2250"/>
      <c r="M186" s="2250"/>
      <c r="N186" s="2250"/>
      <c r="O186" s="2250"/>
      <c r="P186" s="284">
        <v>400</v>
      </c>
      <c r="Q186" s="3620">
        <f>VLOOKUP(Q182,P154:AA180,2,0)</f>
        <v>2.97</v>
      </c>
      <c r="R186" s="3620">
        <f t="shared" si="121"/>
        <v>4.46</v>
      </c>
      <c r="S186" s="284">
        <v>475</v>
      </c>
      <c r="T186" s="2250"/>
      <c r="U186" s="2250"/>
      <c r="V186" s="2250"/>
      <c r="W186" s="2250"/>
      <c r="X186" s="2250"/>
      <c r="Y186" s="2250"/>
      <c r="Z186" s="2250"/>
      <c r="AA186" s="2250"/>
      <c r="AB186" s="2250"/>
      <c r="AC186" s="2250"/>
      <c r="AD186" s="284">
        <v>400</v>
      </c>
      <c r="AE186" s="3620">
        <f>VLOOKUP(AE182,AD154:AO180,2,0)</f>
        <v>2.6</v>
      </c>
      <c r="AF186" s="3620">
        <f t="shared" si="122"/>
        <v>3.72</v>
      </c>
      <c r="AG186" s="284">
        <v>475</v>
      </c>
      <c r="AH186" s="2250"/>
      <c r="AI186" s="2250"/>
      <c r="AJ186" s="2250"/>
      <c r="AK186" s="2250"/>
      <c r="AL186" s="2250"/>
      <c r="AM186" s="2250"/>
      <c r="AN186" s="2250"/>
      <c r="AO186" s="2250"/>
      <c r="AP186" s="2250"/>
      <c r="AQ186" s="2250"/>
      <c r="AR186" s="284">
        <v>400</v>
      </c>
      <c r="AS186" s="3620">
        <f>VLOOKUP(AS182,AR154:BC180,2,0)</f>
        <v>1.49</v>
      </c>
      <c r="AT186" s="3620">
        <f t="shared" si="123"/>
        <v>2.1800000000000002</v>
      </c>
      <c r="AU186" s="284">
        <v>475</v>
      </c>
      <c r="AV186" s="2250"/>
      <c r="AW186" s="2250"/>
      <c r="AX186" s="2250"/>
      <c r="AY186" s="2250"/>
      <c r="AZ186" s="2250"/>
      <c r="BA186" s="2250"/>
      <c r="BB186" s="2250"/>
      <c r="BC186" s="2250"/>
      <c r="BD186" s="2250"/>
      <c r="BE186" s="2250"/>
      <c r="BF186" s="2276"/>
      <c r="BG186" s="2276"/>
      <c r="BH186" s="2250"/>
      <c r="BI186" s="2275"/>
      <c r="BJ186" s="284">
        <v>400</v>
      </c>
      <c r="BK186" s="3620">
        <f>VLOOKUP(BK182,BJ154:BU180,2,0)</f>
        <v>3.86</v>
      </c>
      <c r="BL186" s="3620">
        <f t="shared" si="124"/>
        <v>5.74</v>
      </c>
      <c r="BM186" s="284">
        <v>475</v>
      </c>
      <c r="BN186" s="2250"/>
      <c r="BO186" s="2250"/>
      <c r="BP186" s="2250"/>
      <c r="BQ186" s="2250"/>
      <c r="BR186" s="2250"/>
      <c r="BS186" s="2250"/>
      <c r="BT186" s="2250"/>
      <c r="BU186" s="2250"/>
      <c r="BV186" s="2250"/>
      <c r="BW186" s="2250"/>
      <c r="BX186" s="284">
        <v>400</v>
      </c>
      <c r="BY186" s="3620">
        <f>VLOOKUP(BY182,BX154:CI180,2,0)</f>
        <v>2.77</v>
      </c>
      <c r="BZ186" s="3620">
        <f t="shared" si="125"/>
        <v>4.16</v>
      </c>
      <c r="CA186" s="284">
        <v>475</v>
      </c>
      <c r="CB186" s="2250"/>
      <c r="CC186" s="2250"/>
      <c r="CD186" s="2250"/>
      <c r="CE186" s="2250"/>
      <c r="CF186" s="2250"/>
      <c r="CG186" s="2250"/>
      <c r="CH186" s="2250"/>
      <c r="CI186" s="2250"/>
      <c r="CJ186" s="2250"/>
      <c r="CK186" s="2250"/>
      <c r="CL186" s="284">
        <v>400</v>
      </c>
      <c r="CM186" s="3620">
        <f>VLOOKUP(CM182,CL154:CW180,2,0)</f>
        <v>2.37</v>
      </c>
      <c r="CN186" s="3620">
        <f t="shared" si="126"/>
        <v>3.39</v>
      </c>
      <c r="CO186" s="284">
        <v>475</v>
      </c>
      <c r="CP186" s="2250"/>
      <c r="CQ186" s="2250"/>
      <c r="CR186" s="2250"/>
      <c r="CS186" s="2250"/>
      <c r="CT186" s="2250"/>
      <c r="CU186" s="2250"/>
      <c r="CV186" s="2250"/>
      <c r="CW186" s="2250"/>
      <c r="CX186" s="2250"/>
      <c r="CY186" s="2250"/>
      <c r="CZ186" s="284">
        <v>400</v>
      </c>
      <c r="DA186" s="3620">
        <f>VLOOKUP(DA182,CZ154:DK180,2,0)</f>
        <v>1.39</v>
      </c>
      <c r="DB186" s="3620">
        <f t="shared" si="127"/>
        <v>1.98</v>
      </c>
      <c r="DC186" s="284">
        <v>475</v>
      </c>
      <c r="DD186" s="2250"/>
      <c r="DE186" s="2250"/>
      <c r="DF186" s="2250"/>
      <c r="DG186" s="2250"/>
      <c r="DH186" s="2250"/>
      <c r="DI186" s="2250"/>
      <c r="DJ186" s="2250"/>
      <c r="DK186" s="2250"/>
      <c r="DL186" s="2250"/>
      <c r="DM186" s="2250"/>
      <c r="DN186" s="2250"/>
      <c r="DO186" s="2250"/>
      <c r="DP186" s="2250"/>
      <c r="DQ186" s="2277"/>
      <c r="DR186" s="2277"/>
      <c r="DS186" s="2278"/>
      <c r="DT186" s="2250"/>
      <c r="DU186" s="2250"/>
      <c r="DV186" s="2250"/>
      <c r="DW186" s="2250"/>
      <c r="DX186" s="2275"/>
      <c r="DY186" s="284" t="s">
        <v>707</v>
      </c>
      <c r="DZ186" s="284">
        <v>0</v>
      </c>
      <c r="EA186" s="3620">
        <f t="shared" ref="EA186:EA197" si="128">+DZ187</f>
        <v>6.14</v>
      </c>
      <c r="EB186" s="284">
        <v>400</v>
      </c>
      <c r="EC186" s="2250"/>
      <c r="ED186" s="2250"/>
      <c r="EE186" s="2250"/>
      <c r="EF186" s="2250"/>
      <c r="EG186" s="2250"/>
      <c r="EH186" s="2250"/>
      <c r="EI186" s="2250"/>
      <c r="EJ186" s="2250"/>
      <c r="EK186" s="2250"/>
      <c r="EL186" s="2250"/>
      <c r="EM186" s="284" t="s">
        <v>707</v>
      </c>
      <c r="EN186" s="284">
        <v>0</v>
      </c>
      <c r="EO186" s="3620">
        <f t="shared" ref="EO186:EO197" si="129">+EN187</f>
        <v>4.46</v>
      </c>
      <c r="EP186" s="284">
        <v>400</v>
      </c>
      <c r="EQ186" s="2250"/>
      <c r="ER186" s="2250"/>
      <c r="ES186" s="2250"/>
      <c r="ET186" s="2250"/>
      <c r="EU186" s="2250"/>
      <c r="EV186" s="2250"/>
      <c r="EW186" s="2250"/>
      <c r="EX186" s="2250"/>
      <c r="EY186" s="2250"/>
      <c r="EZ186" s="2250"/>
      <c r="FA186" s="284" t="s">
        <v>707</v>
      </c>
      <c r="FB186" s="284">
        <v>0</v>
      </c>
      <c r="FC186" s="3620">
        <f t="shared" ref="FC186:FC197" si="130">+FB187</f>
        <v>3.84</v>
      </c>
      <c r="FD186" s="284">
        <v>400</v>
      </c>
      <c r="FE186" s="2250"/>
      <c r="FF186" s="2250"/>
      <c r="FG186" s="2250"/>
      <c r="FH186" s="2250"/>
      <c r="FI186" s="2250"/>
      <c r="FJ186" s="2250"/>
      <c r="FK186" s="2250"/>
      <c r="FL186" s="2250"/>
      <c r="FM186" s="2250"/>
      <c r="FN186" s="2250"/>
      <c r="FO186" s="284" t="s">
        <v>707</v>
      </c>
      <c r="FP186" s="284">
        <v>0</v>
      </c>
      <c r="FQ186" s="3620">
        <f t="shared" ref="FQ186:FQ197" si="131">+FP187</f>
        <v>2.38</v>
      </c>
      <c r="FR186" s="284">
        <v>400</v>
      </c>
      <c r="FS186" s="2250"/>
      <c r="FT186" s="2250"/>
      <c r="FU186" s="2250"/>
      <c r="FV186" s="2250"/>
      <c r="FW186" s="2250"/>
      <c r="FX186" s="2250"/>
      <c r="FY186" s="2250"/>
      <c r="FZ186" s="2250"/>
      <c r="GA186" s="2250"/>
      <c r="GB186" s="2250"/>
      <c r="GC186" s="2276"/>
      <c r="GD186" s="2276"/>
      <c r="GE186" s="2250"/>
      <c r="GF186" s="2275"/>
      <c r="GG186" s="284" t="s">
        <v>707</v>
      </c>
      <c r="GH186" s="284">
        <v>0</v>
      </c>
      <c r="GI186" s="3620">
        <f t="shared" ref="GI186:GI197" si="132">+GH187</f>
        <v>5.84</v>
      </c>
      <c r="GJ186" s="284">
        <v>400</v>
      </c>
      <c r="GK186" s="2250"/>
      <c r="GL186" s="2250"/>
      <c r="GM186" s="2250"/>
      <c r="GN186" s="2250"/>
      <c r="GO186" s="2250"/>
      <c r="GP186" s="2250"/>
      <c r="GQ186" s="2250"/>
      <c r="GR186" s="2250"/>
      <c r="GS186" s="2250"/>
      <c r="GT186" s="2250"/>
      <c r="GU186" s="284" t="s">
        <v>707</v>
      </c>
      <c r="GV186" s="284">
        <v>0</v>
      </c>
      <c r="GW186" s="3620">
        <f t="shared" ref="GW186:GW197" si="133">+GV187</f>
        <v>4.26</v>
      </c>
      <c r="GX186" s="284">
        <v>400</v>
      </c>
      <c r="GY186" s="2250"/>
      <c r="GZ186" s="2250"/>
      <c r="HA186" s="2250"/>
      <c r="HB186" s="2250"/>
      <c r="HC186" s="2250"/>
      <c r="HD186" s="2250"/>
      <c r="HE186" s="2250"/>
      <c r="HF186" s="2250"/>
      <c r="HG186" s="2250"/>
      <c r="HH186" s="2250"/>
      <c r="HI186" s="284" t="s">
        <v>707</v>
      </c>
      <c r="HJ186" s="284">
        <v>0</v>
      </c>
      <c r="HK186" s="3620">
        <f t="shared" ref="HK186:HK197" si="134">+HJ187</f>
        <v>3.61</v>
      </c>
      <c r="HL186" s="284">
        <v>400</v>
      </c>
      <c r="HM186" s="2250"/>
      <c r="HN186" s="2250"/>
      <c r="HO186" s="2250"/>
      <c r="HP186" s="2250"/>
      <c r="HQ186" s="2250"/>
      <c r="HR186" s="2250"/>
      <c r="HS186" s="2250"/>
      <c r="HT186" s="2250"/>
      <c r="HU186" s="2250"/>
      <c r="HV186" s="2250"/>
      <c r="HW186" s="284" t="s">
        <v>707</v>
      </c>
      <c r="HX186" s="284">
        <v>0</v>
      </c>
      <c r="HY186" s="3620">
        <f t="shared" ref="HY186:HY197" si="135">+HX187</f>
        <v>2.1800000000000002</v>
      </c>
      <c r="HZ186" s="284">
        <v>400</v>
      </c>
      <c r="IA186" s="2250"/>
      <c r="IB186" s="2250"/>
      <c r="IC186" s="2250"/>
      <c r="ID186" s="2250"/>
      <c r="IE186" s="2250"/>
      <c r="IF186" s="2250"/>
      <c r="IG186" s="2250"/>
      <c r="IH186" s="2250"/>
      <c r="II186" s="2250"/>
      <c r="IJ186" s="2250"/>
      <c r="IK186" s="2250"/>
      <c r="IL186" s="2250"/>
    </row>
    <row r="187" spans="1:246" ht="21.95" customHeight="1">
      <c r="A187" s="2275"/>
      <c r="B187" s="284">
        <v>475</v>
      </c>
      <c r="C187" s="3620">
        <f>VLOOKUP(C182,B154:M180,3,0)</f>
        <v>6.14</v>
      </c>
      <c r="D187" s="3620">
        <f t="shared" si="120"/>
        <v>12.08</v>
      </c>
      <c r="E187" s="284">
        <v>550</v>
      </c>
      <c r="F187" s="2250"/>
      <c r="G187" s="2250"/>
      <c r="H187" s="2250"/>
      <c r="I187" s="2250"/>
      <c r="J187" s="2250"/>
      <c r="K187" s="2250"/>
      <c r="L187" s="2250"/>
      <c r="M187" s="2250"/>
      <c r="N187" s="2250"/>
      <c r="O187" s="2250"/>
      <c r="P187" s="284">
        <v>475</v>
      </c>
      <c r="Q187" s="3620">
        <f>VLOOKUP(Q182,P154:AA180,3,0)</f>
        <v>4.46</v>
      </c>
      <c r="R187" s="3620">
        <f t="shared" si="121"/>
        <v>8.61</v>
      </c>
      <c r="S187" s="284">
        <v>550</v>
      </c>
      <c r="T187" s="2250"/>
      <c r="U187" s="2250"/>
      <c r="V187" s="2250"/>
      <c r="W187" s="2250"/>
      <c r="X187" s="2250"/>
      <c r="Y187" s="2250"/>
      <c r="Z187" s="2250"/>
      <c r="AA187" s="2250"/>
      <c r="AB187" s="2250"/>
      <c r="AC187" s="2250"/>
      <c r="AD187" s="284">
        <v>475</v>
      </c>
      <c r="AE187" s="3620">
        <f>VLOOKUP(AE182,AD154:AO180,3,0)</f>
        <v>3.72</v>
      </c>
      <c r="AF187" s="3620">
        <f t="shared" si="122"/>
        <v>7</v>
      </c>
      <c r="AG187" s="284">
        <v>550</v>
      </c>
      <c r="AH187" s="2250"/>
      <c r="AI187" s="2250"/>
      <c r="AJ187" s="2250"/>
      <c r="AK187" s="2250"/>
      <c r="AL187" s="2250"/>
      <c r="AM187" s="2250"/>
      <c r="AN187" s="2250"/>
      <c r="AO187" s="2250"/>
      <c r="AP187" s="2250"/>
      <c r="AQ187" s="2250"/>
      <c r="AR187" s="284">
        <v>475</v>
      </c>
      <c r="AS187" s="3620">
        <f>VLOOKUP(AS182,AR154:BC180,3,0)</f>
        <v>2.1800000000000002</v>
      </c>
      <c r="AT187" s="3620">
        <f t="shared" si="123"/>
        <v>4.0599999999999996</v>
      </c>
      <c r="AU187" s="284">
        <v>550</v>
      </c>
      <c r="AV187" s="2250"/>
      <c r="AW187" s="2250"/>
      <c r="AX187" s="2250"/>
      <c r="AY187" s="2250"/>
      <c r="AZ187" s="2250"/>
      <c r="BA187" s="2250"/>
      <c r="BB187" s="2250"/>
      <c r="BC187" s="2250"/>
      <c r="BD187" s="2250"/>
      <c r="BE187" s="2250"/>
      <c r="BF187" s="2276"/>
      <c r="BG187" s="2276"/>
      <c r="BH187" s="2250"/>
      <c r="BI187" s="2275"/>
      <c r="BJ187" s="284">
        <v>475</v>
      </c>
      <c r="BK187" s="3620">
        <f>VLOOKUP(BK182,BJ154:BU180,3,0)</f>
        <v>5.74</v>
      </c>
      <c r="BL187" s="3620">
        <f t="shared" si="124"/>
        <v>11.19</v>
      </c>
      <c r="BM187" s="284">
        <v>550</v>
      </c>
      <c r="BN187" s="2250"/>
      <c r="BO187" s="2250"/>
      <c r="BP187" s="2250"/>
      <c r="BQ187" s="2250"/>
      <c r="BR187" s="2250"/>
      <c r="BS187" s="2250"/>
      <c r="BT187" s="2250"/>
      <c r="BU187" s="2250"/>
      <c r="BV187" s="2250"/>
      <c r="BW187" s="2250"/>
      <c r="BX187" s="284">
        <v>475</v>
      </c>
      <c r="BY187" s="3620">
        <f>VLOOKUP(BY182,BX154:CI180,3,0)</f>
        <v>4.16</v>
      </c>
      <c r="BZ187" s="3620">
        <f t="shared" si="125"/>
        <v>8.02</v>
      </c>
      <c r="CA187" s="284">
        <v>550</v>
      </c>
      <c r="CB187" s="2250"/>
      <c r="CC187" s="2250"/>
      <c r="CD187" s="2250"/>
      <c r="CE187" s="2250"/>
      <c r="CF187" s="2250"/>
      <c r="CG187" s="2250"/>
      <c r="CH187" s="2250"/>
      <c r="CI187" s="2250"/>
      <c r="CJ187" s="2250"/>
      <c r="CK187" s="2250"/>
      <c r="CL187" s="284">
        <v>475</v>
      </c>
      <c r="CM187" s="3620">
        <f>VLOOKUP(CM182,CL154:CW180,3,0)</f>
        <v>3.39</v>
      </c>
      <c r="CN187" s="3620">
        <f t="shared" si="126"/>
        <v>6.32</v>
      </c>
      <c r="CO187" s="284">
        <v>550</v>
      </c>
      <c r="CP187" s="2250"/>
      <c r="CQ187" s="2250"/>
      <c r="CR187" s="2250"/>
      <c r="CS187" s="2250"/>
      <c r="CT187" s="2250"/>
      <c r="CU187" s="2250"/>
      <c r="CV187" s="2250"/>
      <c r="CW187" s="2250"/>
      <c r="CX187" s="2250"/>
      <c r="CY187" s="2250"/>
      <c r="CZ187" s="284">
        <v>475</v>
      </c>
      <c r="DA187" s="3620">
        <f>VLOOKUP(DA182,CZ154:DK180,3,0)</f>
        <v>1.98</v>
      </c>
      <c r="DB187" s="3620">
        <f t="shared" si="127"/>
        <v>3.66</v>
      </c>
      <c r="DC187" s="284">
        <v>550</v>
      </c>
      <c r="DD187" s="2250"/>
      <c r="DE187" s="2250"/>
      <c r="DF187" s="2250"/>
      <c r="DG187" s="2250"/>
      <c r="DH187" s="2250"/>
      <c r="DI187" s="2250"/>
      <c r="DJ187" s="2250"/>
      <c r="DK187" s="2250"/>
      <c r="DL187" s="2250"/>
      <c r="DM187" s="2250"/>
      <c r="DN187" s="2250"/>
      <c r="DO187" s="2250"/>
      <c r="DP187" s="2250"/>
      <c r="DQ187" s="2277"/>
      <c r="DR187" s="2277"/>
      <c r="DS187" s="2278"/>
      <c r="DT187" s="2250"/>
      <c r="DU187" s="2250"/>
      <c r="DV187" s="2250"/>
      <c r="DW187" s="2250"/>
      <c r="DX187" s="2275"/>
      <c r="DY187" s="284">
        <v>400</v>
      </c>
      <c r="DZ187" s="3620">
        <f>VLOOKUP(DZ183,DY155:EJ181,2,0)</f>
        <v>6.14</v>
      </c>
      <c r="EA187" s="3620">
        <f t="shared" si="128"/>
        <v>9.2100000000000009</v>
      </c>
      <c r="EB187" s="284">
        <v>475</v>
      </c>
      <c r="EC187" s="2250"/>
      <c r="ED187" s="2250"/>
      <c r="EE187" s="2250"/>
      <c r="EF187" s="2250"/>
      <c r="EG187" s="2250"/>
      <c r="EH187" s="2250"/>
      <c r="EI187" s="2250"/>
      <c r="EJ187" s="2250"/>
      <c r="EK187" s="2250"/>
      <c r="EL187" s="2250"/>
      <c r="EM187" s="284">
        <v>400</v>
      </c>
      <c r="EN187" s="3620">
        <f>VLOOKUP(EN183,EM155:EX181,2,0)</f>
        <v>4.46</v>
      </c>
      <c r="EO187" s="3620">
        <f t="shared" si="129"/>
        <v>6.63</v>
      </c>
      <c r="EP187" s="284">
        <v>475</v>
      </c>
      <c r="EQ187" s="2250"/>
      <c r="ER187" s="2250"/>
      <c r="ES187" s="2250"/>
      <c r="ET187" s="2250"/>
      <c r="EU187" s="2250"/>
      <c r="EV187" s="2250"/>
      <c r="EW187" s="2250"/>
      <c r="EX187" s="2250"/>
      <c r="EY187" s="2250"/>
      <c r="EZ187" s="2250"/>
      <c r="FA187" s="284">
        <v>400</v>
      </c>
      <c r="FB187" s="3620">
        <f>VLOOKUP(FB183,FA155:FL181,2,0)</f>
        <v>3.84</v>
      </c>
      <c r="FC187" s="3620">
        <f t="shared" si="130"/>
        <v>5.76</v>
      </c>
      <c r="FD187" s="284">
        <v>475</v>
      </c>
      <c r="FE187" s="2250"/>
      <c r="FF187" s="2250"/>
      <c r="FG187" s="2250"/>
      <c r="FH187" s="2250"/>
      <c r="FI187" s="2250"/>
      <c r="FJ187" s="2250"/>
      <c r="FK187" s="2250"/>
      <c r="FL187" s="2250"/>
      <c r="FM187" s="2250"/>
      <c r="FN187" s="2250"/>
      <c r="FO187" s="284">
        <v>400</v>
      </c>
      <c r="FP187" s="3620">
        <f>VLOOKUP(FP183,FO155:FZ181,2,0)</f>
        <v>2.38</v>
      </c>
      <c r="FQ187" s="3620">
        <f t="shared" si="131"/>
        <v>3.37</v>
      </c>
      <c r="FR187" s="284">
        <v>475</v>
      </c>
      <c r="FS187" s="2250"/>
      <c r="FT187" s="2250"/>
      <c r="FU187" s="2250"/>
      <c r="FV187" s="2250"/>
      <c r="FW187" s="2250"/>
      <c r="FX187" s="2250"/>
      <c r="FY187" s="2250"/>
      <c r="FZ187" s="2250"/>
      <c r="GA187" s="2250"/>
      <c r="GB187" s="2250"/>
      <c r="GC187" s="2276"/>
      <c r="GD187" s="2276"/>
      <c r="GE187" s="2250"/>
      <c r="GF187" s="2275"/>
      <c r="GG187" s="284">
        <v>400</v>
      </c>
      <c r="GH187" s="3620">
        <f>VLOOKUP(GH183,GG155:GR181,2,0)</f>
        <v>5.84</v>
      </c>
      <c r="GI187" s="3620">
        <f t="shared" si="132"/>
        <v>8.7100000000000009</v>
      </c>
      <c r="GJ187" s="284">
        <v>475</v>
      </c>
      <c r="GK187" s="2250"/>
      <c r="GL187" s="2250"/>
      <c r="GM187" s="2250"/>
      <c r="GN187" s="2250"/>
      <c r="GO187" s="2250"/>
      <c r="GP187" s="2250"/>
      <c r="GQ187" s="2250"/>
      <c r="GR187" s="2250"/>
      <c r="GS187" s="2250"/>
      <c r="GT187" s="2250"/>
      <c r="GU187" s="284">
        <v>400</v>
      </c>
      <c r="GV187" s="3620">
        <f>VLOOKUP(GV183,GU155:HF181,2,0)</f>
        <v>4.26</v>
      </c>
      <c r="GW187" s="3620">
        <f t="shared" si="133"/>
        <v>6.34</v>
      </c>
      <c r="GX187" s="284">
        <v>475</v>
      </c>
      <c r="GY187" s="2250"/>
      <c r="GZ187" s="2250"/>
      <c r="HA187" s="2250"/>
      <c r="HB187" s="2250"/>
      <c r="HC187" s="2250"/>
      <c r="HD187" s="2250"/>
      <c r="HE187" s="2250"/>
      <c r="HF187" s="2250"/>
      <c r="HG187" s="2250"/>
      <c r="HH187" s="2250"/>
      <c r="HI187" s="284">
        <v>400</v>
      </c>
      <c r="HJ187" s="3620">
        <f>VLOOKUP(HJ183,HI155:HT181,2,0)</f>
        <v>3.61</v>
      </c>
      <c r="HK187" s="3620">
        <f t="shared" si="134"/>
        <v>5.42</v>
      </c>
      <c r="HL187" s="284">
        <v>475</v>
      </c>
      <c r="HM187" s="2250"/>
      <c r="HN187" s="2250"/>
      <c r="HO187" s="2250"/>
      <c r="HP187" s="2250"/>
      <c r="HQ187" s="2250"/>
      <c r="HR187" s="2250"/>
      <c r="HS187" s="2250"/>
      <c r="HT187" s="2250"/>
      <c r="HU187" s="2250"/>
      <c r="HV187" s="2250"/>
      <c r="HW187" s="284">
        <v>400</v>
      </c>
      <c r="HX187" s="3620">
        <f>VLOOKUP(HX183,HW155:IH181,2,0)</f>
        <v>2.1800000000000002</v>
      </c>
      <c r="HY187" s="3620">
        <f t="shared" si="135"/>
        <v>3.07</v>
      </c>
      <c r="HZ187" s="284">
        <v>475</v>
      </c>
      <c r="IA187" s="2250"/>
      <c r="IB187" s="2250"/>
      <c r="IC187" s="2250"/>
      <c r="ID187" s="2250"/>
      <c r="IE187" s="2250"/>
      <c r="IF187" s="2250"/>
      <c r="IG187" s="2250"/>
      <c r="IH187" s="2250"/>
      <c r="II187" s="2250"/>
      <c r="IJ187" s="2250"/>
      <c r="IK187" s="2250"/>
      <c r="IL187" s="2250"/>
    </row>
    <row r="188" spans="1:246" ht="21.95" customHeight="1">
      <c r="A188" s="2275"/>
      <c r="B188" s="284">
        <v>550</v>
      </c>
      <c r="C188" s="3620">
        <f>VLOOKUP(C182,B154:M180,4,0)</f>
        <v>12.08</v>
      </c>
      <c r="D188" s="3620">
        <f t="shared" si="120"/>
        <v>20.89</v>
      </c>
      <c r="E188" s="284">
        <v>650</v>
      </c>
      <c r="F188" s="2250"/>
      <c r="G188" s="2250"/>
      <c r="H188" s="2250"/>
      <c r="I188" s="2250"/>
      <c r="J188" s="2250"/>
      <c r="K188" s="2250"/>
      <c r="L188" s="2250"/>
      <c r="M188" s="2250"/>
      <c r="N188" s="2250"/>
      <c r="O188" s="2250"/>
      <c r="P188" s="284">
        <v>550</v>
      </c>
      <c r="Q188" s="3620">
        <f>VLOOKUP(Q182,P154:AA180,4,0)</f>
        <v>8.61</v>
      </c>
      <c r="R188" s="3620">
        <f t="shared" si="121"/>
        <v>14.95</v>
      </c>
      <c r="S188" s="284">
        <v>650</v>
      </c>
      <c r="T188" s="2250"/>
      <c r="U188" s="2250"/>
      <c r="V188" s="2250"/>
      <c r="W188" s="2250"/>
      <c r="X188" s="2250"/>
      <c r="Y188" s="2250"/>
      <c r="Z188" s="2250"/>
      <c r="AA188" s="2250"/>
      <c r="AB188" s="2250"/>
      <c r="AC188" s="2250"/>
      <c r="AD188" s="284">
        <v>550</v>
      </c>
      <c r="AE188" s="3620">
        <f>VLOOKUP(AE182,AD154:AO180,4,0)</f>
        <v>7</v>
      </c>
      <c r="AF188" s="3620">
        <f t="shared" si="122"/>
        <v>11.74</v>
      </c>
      <c r="AG188" s="284">
        <v>650</v>
      </c>
      <c r="AH188" s="2250"/>
      <c r="AI188" s="2250"/>
      <c r="AJ188" s="2250"/>
      <c r="AK188" s="2250"/>
      <c r="AL188" s="2250"/>
      <c r="AM188" s="2250"/>
      <c r="AN188" s="2250"/>
      <c r="AO188" s="2250"/>
      <c r="AP188" s="2250"/>
      <c r="AQ188" s="2250"/>
      <c r="AR188" s="284">
        <v>550</v>
      </c>
      <c r="AS188" s="3620">
        <f>VLOOKUP(AS182,AR154:BC180,4,0)</f>
        <v>4.0599999999999996</v>
      </c>
      <c r="AT188" s="3620">
        <f t="shared" si="123"/>
        <v>6.73</v>
      </c>
      <c r="AU188" s="284">
        <v>650</v>
      </c>
      <c r="AV188" s="2250"/>
      <c r="AW188" s="2250"/>
      <c r="AX188" s="2250"/>
      <c r="AY188" s="2250"/>
      <c r="AZ188" s="2250"/>
      <c r="BA188" s="2250"/>
      <c r="BB188" s="2250"/>
      <c r="BC188" s="2250"/>
      <c r="BD188" s="2250"/>
      <c r="BE188" s="2250"/>
      <c r="BF188" s="2276"/>
      <c r="BG188" s="2276"/>
      <c r="BH188" s="2250"/>
      <c r="BI188" s="2275"/>
      <c r="BJ188" s="284">
        <v>550</v>
      </c>
      <c r="BK188" s="3620">
        <f>VLOOKUP(BK182,BJ154:BU180,4,0)</f>
        <v>11.19</v>
      </c>
      <c r="BL188" s="3620">
        <f t="shared" si="124"/>
        <v>19.41</v>
      </c>
      <c r="BM188" s="284">
        <v>650</v>
      </c>
      <c r="BN188" s="2250"/>
      <c r="BO188" s="2250"/>
      <c r="BP188" s="2250"/>
      <c r="BQ188" s="2250"/>
      <c r="BR188" s="2250"/>
      <c r="BS188" s="2250"/>
      <c r="BT188" s="2250"/>
      <c r="BU188" s="2250"/>
      <c r="BV188" s="2250"/>
      <c r="BW188" s="2250"/>
      <c r="BX188" s="284">
        <v>550</v>
      </c>
      <c r="BY188" s="3620">
        <f>VLOOKUP(BY182,BX154:CI180,4,0)</f>
        <v>8.02</v>
      </c>
      <c r="BZ188" s="3620">
        <f t="shared" si="125"/>
        <v>13.86</v>
      </c>
      <c r="CA188" s="284">
        <v>650</v>
      </c>
      <c r="CB188" s="2250"/>
      <c r="CC188" s="2250"/>
      <c r="CD188" s="2250"/>
      <c r="CE188" s="2250"/>
      <c r="CF188" s="2250"/>
      <c r="CG188" s="2250"/>
      <c r="CH188" s="2250"/>
      <c r="CI188" s="2250"/>
      <c r="CJ188" s="2250"/>
      <c r="CK188" s="2250"/>
      <c r="CL188" s="284">
        <v>550</v>
      </c>
      <c r="CM188" s="3620">
        <f>VLOOKUP(CM182,CL154:CW180,4,0)</f>
        <v>6.32</v>
      </c>
      <c r="CN188" s="3620">
        <f t="shared" si="126"/>
        <v>10.61</v>
      </c>
      <c r="CO188" s="284">
        <v>650</v>
      </c>
      <c r="CP188" s="2250"/>
      <c r="CQ188" s="2250"/>
      <c r="CR188" s="2250"/>
      <c r="CS188" s="2250"/>
      <c r="CT188" s="2250"/>
      <c r="CU188" s="2250"/>
      <c r="CV188" s="2250"/>
      <c r="CW188" s="2250"/>
      <c r="CX188" s="2250"/>
      <c r="CY188" s="2250"/>
      <c r="CZ188" s="284">
        <v>550</v>
      </c>
      <c r="DA188" s="3620">
        <f>VLOOKUP(DA182,CZ154:DK180,4,0)</f>
        <v>3.66</v>
      </c>
      <c r="DB188" s="3620">
        <f t="shared" si="127"/>
        <v>6.14</v>
      </c>
      <c r="DC188" s="284">
        <v>650</v>
      </c>
      <c r="DD188" s="2250"/>
      <c r="DE188" s="2250"/>
      <c r="DF188" s="2250"/>
      <c r="DG188" s="2250"/>
      <c r="DH188" s="2250"/>
      <c r="DI188" s="2250"/>
      <c r="DJ188" s="2250"/>
      <c r="DK188" s="2250"/>
      <c r="DL188" s="2250"/>
      <c r="DM188" s="2250"/>
      <c r="DN188" s="2250"/>
      <c r="DO188" s="2250"/>
      <c r="DP188" s="2250"/>
      <c r="DQ188" s="2277"/>
      <c r="DR188" s="2277"/>
      <c r="DS188" s="2278"/>
      <c r="DT188" s="2250"/>
      <c r="DU188" s="2250"/>
      <c r="DV188" s="2250"/>
      <c r="DW188" s="2250"/>
      <c r="DX188" s="2275"/>
      <c r="DY188" s="284">
        <v>475</v>
      </c>
      <c r="DZ188" s="3620">
        <f>VLOOKUP(DZ183,DY155:EJ181,3,0)</f>
        <v>9.2100000000000009</v>
      </c>
      <c r="EA188" s="3620">
        <f t="shared" si="128"/>
        <v>18.02</v>
      </c>
      <c r="EB188" s="284">
        <v>550</v>
      </c>
      <c r="EC188" s="2250"/>
      <c r="ED188" s="2250"/>
      <c r="EE188" s="2250"/>
      <c r="EF188" s="2250"/>
      <c r="EG188" s="2250"/>
      <c r="EH188" s="2250"/>
      <c r="EI188" s="2250"/>
      <c r="EJ188" s="2250"/>
      <c r="EK188" s="2250"/>
      <c r="EL188" s="2250"/>
      <c r="EM188" s="284">
        <v>475</v>
      </c>
      <c r="EN188" s="3620">
        <f>VLOOKUP(EN183,EM155:EX181,3,0)</f>
        <v>6.63</v>
      </c>
      <c r="EO188" s="3620">
        <f t="shared" si="129"/>
        <v>12.97</v>
      </c>
      <c r="EP188" s="284">
        <v>550</v>
      </c>
      <c r="EQ188" s="2250"/>
      <c r="ER188" s="2250"/>
      <c r="ES188" s="2250"/>
      <c r="ET188" s="2250"/>
      <c r="EU188" s="2250"/>
      <c r="EV188" s="2250"/>
      <c r="EW188" s="2250"/>
      <c r="EX188" s="2250"/>
      <c r="EY188" s="2250"/>
      <c r="EZ188" s="2250"/>
      <c r="FA188" s="284">
        <v>475</v>
      </c>
      <c r="FB188" s="3620">
        <f>VLOOKUP(FB183,FA155:FL181,3,0)</f>
        <v>5.76</v>
      </c>
      <c r="FC188" s="3620">
        <f t="shared" si="130"/>
        <v>10.95</v>
      </c>
      <c r="FD188" s="284">
        <v>550</v>
      </c>
      <c r="FE188" s="2250"/>
      <c r="FF188" s="2250"/>
      <c r="FG188" s="2250"/>
      <c r="FH188" s="2250"/>
      <c r="FI188" s="2250"/>
      <c r="FJ188" s="2250"/>
      <c r="FK188" s="2250"/>
      <c r="FL188" s="2250"/>
      <c r="FM188" s="2250"/>
      <c r="FN188" s="2250"/>
      <c r="FO188" s="284">
        <v>475</v>
      </c>
      <c r="FP188" s="3620">
        <f>VLOOKUP(FP183,FO155:FZ181,3,0)</f>
        <v>3.37</v>
      </c>
      <c r="FQ188" s="3620">
        <f t="shared" si="131"/>
        <v>6.34</v>
      </c>
      <c r="FR188" s="284">
        <v>550</v>
      </c>
      <c r="FS188" s="2250"/>
      <c r="FT188" s="2250"/>
      <c r="FU188" s="2250"/>
      <c r="FV188" s="2250"/>
      <c r="FW188" s="2250"/>
      <c r="FX188" s="2250"/>
      <c r="FY188" s="2250"/>
      <c r="FZ188" s="2250"/>
      <c r="GA188" s="2250"/>
      <c r="GB188" s="2250"/>
      <c r="GC188" s="2276"/>
      <c r="GD188" s="2276"/>
      <c r="GE188" s="2250"/>
      <c r="GF188" s="2275"/>
      <c r="GG188" s="284">
        <v>475</v>
      </c>
      <c r="GH188" s="3620">
        <f>VLOOKUP(GH183,GG155:GR181,3,0)</f>
        <v>8.7100000000000009</v>
      </c>
      <c r="GI188" s="3620">
        <f t="shared" si="132"/>
        <v>16.93</v>
      </c>
      <c r="GJ188" s="284">
        <v>550</v>
      </c>
      <c r="GK188" s="2250"/>
      <c r="GL188" s="2250"/>
      <c r="GM188" s="2250"/>
      <c r="GN188" s="2250"/>
      <c r="GO188" s="2250"/>
      <c r="GP188" s="2250"/>
      <c r="GQ188" s="2250"/>
      <c r="GR188" s="2250"/>
      <c r="GS188" s="2250"/>
      <c r="GT188" s="2250"/>
      <c r="GU188" s="284">
        <v>475</v>
      </c>
      <c r="GV188" s="3620">
        <f>VLOOKUP(GV183,GU155:HF181,3,0)</f>
        <v>6.34</v>
      </c>
      <c r="GW188" s="3620">
        <f t="shared" si="133"/>
        <v>12.18</v>
      </c>
      <c r="GX188" s="284">
        <v>550</v>
      </c>
      <c r="GY188" s="2250"/>
      <c r="GZ188" s="2250"/>
      <c r="HA188" s="2250"/>
      <c r="HB188" s="2250"/>
      <c r="HC188" s="2250"/>
      <c r="HD188" s="2250"/>
      <c r="HE188" s="2250"/>
      <c r="HF188" s="2250"/>
      <c r="HG188" s="2250"/>
      <c r="HH188" s="2250"/>
      <c r="HI188" s="284">
        <v>475</v>
      </c>
      <c r="HJ188" s="3620">
        <f>VLOOKUP(HJ183,HI155:HT181,3,0)</f>
        <v>5.42</v>
      </c>
      <c r="HK188" s="3620">
        <f t="shared" si="134"/>
        <v>10.38</v>
      </c>
      <c r="HL188" s="284">
        <v>550</v>
      </c>
      <c r="HM188" s="2250"/>
      <c r="HN188" s="2250"/>
      <c r="HO188" s="2250"/>
      <c r="HP188" s="2250"/>
      <c r="HQ188" s="2250"/>
      <c r="HR188" s="2250"/>
      <c r="HS188" s="2250"/>
      <c r="HT188" s="2250"/>
      <c r="HU188" s="2250"/>
      <c r="HV188" s="2250"/>
      <c r="HW188" s="284">
        <v>475</v>
      </c>
      <c r="HX188" s="3620">
        <f>VLOOKUP(HX183,HW155:IH181,3,0)</f>
        <v>3.07</v>
      </c>
      <c r="HY188" s="3620">
        <f t="shared" si="135"/>
        <v>5.94</v>
      </c>
      <c r="HZ188" s="284">
        <v>550</v>
      </c>
      <c r="IA188" s="2250"/>
      <c r="IB188" s="2250"/>
      <c r="IC188" s="2250"/>
      <c r="ID188" s="2250"/>
      <c r="IE188" s="2250"/>
      <c r="IF188" s="2250"/>
      <c r="IG188" s="2250"/>
      <c r="IH188" s="2250"/>
      <c r="II188" s="2250"/>
      <c r="IJ188" s="2250"/>
      <c r="IK188" s="2250"/>
      <c r="IL188" s="2250"/>
    </row>
    <row r="189" spans="1:246" ht="21.95" customHeight="1">
      <c r="A189" s="2275"/>
      <c r="B189" s="284">
        <v>650</v>
      </c>
      <c r="C189" s="3620">
        <f>VLOOKUP(C182,B154:M180,5,0)</f>
        <v>20.89</v>
      </c>
      <c r="D189" s="3620">
        <f t="shared" si="120"/>
        <v>33.07</v>
      </c>
      <c r="E189" s="284">
        <v>775</v>
      </c>
      <c r="F189" s="2250"/>
      <c r="G189" s="2250"/>
      <c r="H189" s="2250"/>
      <c r="I189" s="2250"/>
      <c r="J189" s="2250"/>
      <c r="K189" s="2250"/>
      <c r="L189" s="2250"/>
      <c r="M189" s="2250"/>
      <c r="N189" s="2250"/>
      <c r="O189" s="2250"/>
      <c r="P189" s="284">
        <v>650</v>
      </c>
      <c r="Q189" s="3620">
        <f>VLOOKUP(Q182,P154:AA180,5,0)</f>
        <v>14.95</v>
      </c>
      <c r="R189" s="3620">
        <f>+Q190</f>
        <v>23.76</v>
      </c>
      <c r="S189" s="284">
        <v>775</v>
      </c>
      <c r="T189" s="2250"/>
      <c r="U189" s="2250"/>
      <c r="V189" s="2250"/>
      <c r="W189" s="2250"/>
      <c r="X189" s="2250"/>
      <c r="Y189" s="2250"/>
      <c r="Z189" s="2250"/>
      <c r="AA189" s="2250"/>
      <c r="AB189" s="2250"/>
      <c r="AC189" s="2250"/>
      <c r="AD189" s="284">
        <v>650</v>
      </c>
      <c r="AE189" s="3620">
        <f>VLOOKUP(AE182,AD154:AO180,5,0)</f>
        <v>11.74</v>
      </c>
      <c r="AF189" s="3620">
        <f t="shared" si="122"/>
        <v>17.95</v>
      </c>
      <c r="AG189" s="284">
        <v>775</v>
      </c>
      <c r="AH189" s="2250"/>
      <c r="AI189" s="2250"/>
      <c r="AJ189" s="2250"/>
      <c r="AK189" s="2250"/>
      <c r="AL189" s="2250"/>
      <c r="AM189" s="2250"/>
      <c r="AN189" s="2250"/>
      <c r="AO189" s="2250"/>
      <c r="AP189" s="2250"/>
      <c r="AQ189" s="2250"/>
      <c r="AR189" s="284">
        <v>650</v>
      </c>
      <c r="AS189" s="3620">
        <f>VLOOKUP(AS182,AR154:BC180,5,0)</f>
        <v>6.73</v>
      </c>
      <c r="AT189" s="3620">
        <f t="shared" si="123"/>
        <v>10.4</v>
      </c>
      <c r="AU189" s="284">
        <v>775</v>
      </c>
      <c r="AV189" s="2250"/>
      <c r="AW189" s="2250"/>
      <c r="AX189" s="2250"/>
      <c r="AY189" s="2250"/>
      <c r="AZ189" s="2250"/>
      <c r="BA189" s="2250"/>
      <c r="BB189" s="2250"/>
      <c r="BC189" s="2250"/>
      <c r="BD189" s="2250"/>
      <c r="BE189" s="2250"/>
      <c r="BF189" s="2276"/>
      <c r="BG189" s="2276"/>
      <c r="BH189" s="2250"/>
      <c r="BI189" s="2275"/>
      <c r="BJ189" s="284">
        <v>650</v>
      </c>
      <c r="BK189" s="3620">
        <f>VLOOKUP(BK182,BJ154:BU180,5,0)</f>
        <v>19.41</v>
      </c>
      <c r="BL189" s="3620">
        <f t="shared" si="124"/>
        <v>30.79</v>
      </c>
      <c r="BM189" s="284">
        <v>775</v>
      </c>
      <c r="BN189" s="2250"/>
      <c r="BO189" s="2250"/>
      <c r="BP189" s="2250"/>
      <c r="BQ189" s="2250"/>
      <c r="BR189" s="2250"/>
      <c r="BS189" s="2250"/>
      <c r="BT189" s="2250"/>
      <c r="BU189" s="2250"/>
      <c r="BV189" s="2250"/>
      <c r="BW189" s="2250"/>
      <c r="BX189" s="284">
        <v>650</v>
      </c>
      <c r="BY189" s="3620">
        <f>VLOOKUP(BY182,BX154:CI180,5,0)</f>
        <v>13.86</v>
      </c>
      <c r="BZ189" s="3620">
        <f t="shared" si="125"/>
        <v>21.68</v>
      </c>
      <c r="CA189" s="284">
        <v>775</v>
      </c>
      <c r="CB189" s="2250"/>
      <c r="CC189" s="2250"/>
      <c r="CD189" s="2250"/>
      <c r="CE189" s="2250"/>
      <c r="CF189" s="2250"/>
      <c r="CG189" s="2250"/>
      <c r="CH189" s="2250"/>
      <c r="CI189" s="2250"/>
      <c r="CJ189" s="2250"/>
      <c r="CK189" s="2250"/>
      <c r="CL189" s="284">
        <v>650</v>
      </c>
      <c r="CM189" s="3620">
        <f>VLOOKUP(CM182,CL154:CW180,5,0)</f>
        <v>10.61</v>
      </c>
      <c r="CN189" s="3620">
        <f t="shared" si="126"/>
        <v>16.25</v>
      </c>
      <c r="CO189" s="284">
        <v>775</v>
      </c>
      <c r="CP189" s="2250"/>
      <c r="CQ189" s="2250"/>
      <c r="CR189" s="2250"/>
      <c r="CS189" s="2250"/>
      <c r="CT189" s="2250"/>
      <c r="CU189" s="2250"/>
      <c r="CV189" s="2250"/>
      <c r="CW189" s="2250"/>
      <c r="CX189" s="2250"/>
      <c r="CY189" s="2250"/>
      <c r="CZ189" s="284">
        <v>650</v>
      </c>
      <c r="DA189" s="3620">
        <f>VLOOKUP(DA182,CZ154:DK180,5,0)</f>
        <v>6.14</v>
      </c>
      <c r="DB189" s="3620">
        <f t="shared" si="127"/>
        <v>9.41</v>
      </c>
      <c r="DC189" s="284">
        <v>775</v>
      </c>
      <c r="DD189" s="2250"/>
      <c r="DE189" s="2250"/>
      <c r="DF189" s="2250"/>
      <c r="DG189" s="2250"/>
      <c r="DH189" s="2250"/>
      <c r="DI189" s="2250"/>
      <c r="DJ189" s="2250"/>
      <c r="DK189" s="2250"/>
      <c r="DL189" s="2250"/>
      <c r="DM189" s="2250"/>
      <c r="DN189" s="2250"/>
      <c r="DO189" s="2250"/>
      <c r="DP189" s="2250"/>
      <c r="DQ189" s="2277"/>
      <c r="DR189" s="2277"/>
      <c r="DS189" s="2278"/>
      <c r="DT189" s="2250"/>
      <c r="DU189" s="2250"/>
      <c r="DV189" s="2250"/>
      <c r="DW189" s="2250"/>
      <c r="DX189" s="2275"/>
      <c r="DY189" s="284">
        <v>550</v>
      </c>
      <c r="DZ189" s="3620">
        <f>VLOOKUP(DZ183,DY155:EJ181,4,0)</f>
        <v>18.02</v>
      </c>
      <c r="EA189" s="3620">
        <f t="shared" si="128"/>
        <v>31.19</v>
      </c>
      <c r="EB189" s="284">
        <v>650</v>
      </c>
      <c r="EC189" s="2250"/>
      <c r="ED189" s="2250"/>
      <c r="EE189" s="2250"/>
      <c r="EF189" s="2250"/>
      <c r="EG189" s="2250"/>
      <c r="EH189" s="2250"/>
      <c r="EI189" s="2250"/>
      <c r="EJ189" s="2250"/>
      <c r="EK189" s="2250"/>
      <c r="EL189" s="2250"/>
      <c r="EM189" s="284">
        <v>550</v>
      </c>
      <c r="EN189" s="3620">
        <f>VLOOKUP(EN183,EM155:EX181,4,0)</f>
        <v>12.97</v>
      </c>
      <c r="EO189" s="3620">
        <f t="shared" si="129"/>
        <v>22.48</v>
      </c>
      <c r="EP189" s="284">
        <v>650</v>
      </c>
      <c r="EQ189" s="2250"/>
      <c r="ER189" s="2250"/>
      <c r="ES189" s="2250"/>
      <c r="ET189" s="2250"/>
      <c r="EU189" s="2250"/>
      <c r="EV189" s="2250"/>
      <c r="EW189" s="2250"/>
      <c r="EX189" s="2250"/>
      <c r="EY189" s="2250"/>
      <c r="EZ189" s="2250"/>
      <c r="FA189" s="284">
        <v>550</v>
      </c>
      <c r="FB189" s="3620">
        <f>VLOOKUP(FB183,FA155:FL181,4,0)</f>
        <v>10.95</v>
      </c>
      <c r="FC189" s="3620">
        <f t="shared" si="130"/>
        <v>18.28</v>
      </c>
      <c r="FD189" s="284">
        <v>650</v>
      </c>
      <c r="FE189" s="2250"/>
      <c r="FF189" s="2250"/>
      <c r="FG189" s="2250"/>
      <c r="FH189" s="2250"/>
      <c r="FI189" s="2250"/>
      <c r="FJ189" s="2250"/>
      <c r="FK189" s="2250"/>
      <c r="FL189" s="2250"/>
      <c r="FM189" s="2250"/>
      <c r="FN189" s="2250"/>
      <c r="FO189" s="284">
        <v>550</v>
      </c>
      <c r="FP189" s="3620">
        <f>VLOOKUP(FP183,FO155:FZ181,4,0)</f>
        <v>6.34</v>
      </c>
      <c r="FQ189" s="3620">
        <f t="shared" si="131"/>
        <v>10.5</v>
      </c>
      <c r="FR189" s="284">
        <v>650</v>
      </c>
      <c r="FS189" s="2250"/>
      <c r="FT189" s="2250"/>
      <c r="FU189" s="2250"/>
      <c r="FV189" s="2250"/>
      <c r="FW189" s="2250"/>
      <c r="FX189" s="2250"/>
      <c r="FY189" s="2250"/>
      <c r="FZ189" s="2250"/>
      <c r="GA189" s="2250"/>
      <c r="GB189" s="2250"/>
      <c r="GC189" s="2276"/>
      <c r="GD189" s="2276"/>
      <c r="GE189" s="2250"/>
      <c r="GF189" s="2275"/>
      <c r="GG189" s="284">
        <v>550</v>
      </c>
      <c r="GH189" s="3620">
        <f>VLOOKUP(GH183,GG155:GR181,4,0)</f>
        <v>16.93</v>
      </c>
      <c r="GI189" s="3620">
        <f t="shared" si="132"/>
        <v>29.21</v>
      </c>
      <c r="GJ189" s="284">
        <v>650</v>
      </c>
      <c r="GK189" s="2250"/>
      <c r="GL189" s="2250"/>
      <c r="GM189" s="2250"/>
      <c r="GN189" s="2250"/>
      <c r="GO189" s="2250"/>
      <c r="GP189" s="2250"/>
      <c r="GQ189" s="2250"/>
      <c r="GR189" s="2250"/>
      <c r="GS189" s="2250"/>
      <c r="GT189" s="2250"/>
      <c r="GU189" s="284">
        <v>550</v>
      </c>
      <c r="GV189" s="3620">
        <f>VLOOKUP(GV183,GU155:HF181,4,0)</f>
        <v>12.18</v>
      </c>
      <c r="GW189" s="3620">
        <f t="shared" si="133"/>
        <v>21.09</v>
      </c>
      <c r="GX189" s="284">
        <v>650</v>
      </c>
      <c r="GY189" s="2250"/>
      <c r="GZ189" s="2250"/>
      <c r="HA189" s="2250"/>
      <c r="HB189" s="2250"/>
      <c r="HC189" s="2250"/>
      <c r="HD189" s="2250"/>
      <c r="HE189" s="2250"/>
      <c r="HF189" s="2250"/>
      <c r="HG189" s="2250"/>
      <c r="HH189" s="2250"/>
      <c r="HI189" s="284">
        <v>550</v>
      </c>
      <c r="HJ189" s="3620">
        <f>VLOOKUP(HJ183,HI155:HT181,4,0)</f>
        <v>10.38</v>
      </c>
      <c r="HK189" s="3620">
        <f t="shared" si="134"/>
        <v>16.59</v>
      </c>
      <c r="HL189" s="284">
        <v>650</v>
      </c>
      <c r="HM189" s="2250"/>
      <c r="HN189" s="2250"/>
      <c r="HO189" s="2250"/>
      <c r="HP189" s="2250"/>
      <c r="HQ189" s="2250"/>
      <c r="HR189" s="2250"/>
      <c r="HS189" s="2250"/>
      <c r="HT189" s="2250"/>
      <c r="HU189" s="2250"/>
      <c r="HV189" s="2250"/>
      <c r="HW189" s="284">
        <v>550</v>
      </c>
      <c r="HX189" s="3620">
        <f>VLOOKUP(HX183,HW155:IH181,4,0)</f>
        <v>5.94</v>
      </c>
      <c r="HY189" s="3620">
        <f t="shared" si="135"/>
        <v>9.5</v>
      </c>
      <c r="HZ189" s="284">
        <v>650</v>
      </c>
      <c r="IA189" s="2250"/>
      <c r="IB189" s="2250"/>
      <c r="IC189" s="2250"/>
      <c r="ID189" s="2250"/>
      <c r="IE189" s="2250"/>
      <c r="IF189" s="2250"/>
      <c r="IG189" s="2250"/>
      <c r="IH189" s="2250"/>
      <c r="II189" s="2250"/>
      <c r="IJ189" s="2250"/>
      <c r="IK189" s="2250"/>
      <c r="IL189" s="2250"/>
    </row>
    <row r="190" spans="1:246" ht="21.95" customHeight="1">
      <c r="A190" s="2275"/>
      <c r="B190" s="284">
        <v>775</v>
      </c>
      <c r="C190" s="3620">
        <f>VLOOKUP(C182,B154:M180,6,0)</f>
        <v>33.07</v>
      </c>
      <c r="D190" s="3620">
        <f t="shared" si="120"/>
        <v>49.41</v>
      </c>
      <c r="E190" s="284">
        <v>825</v>
      </c>
      <c r="F190" s="2250"/>
      <c r="G190" s="2250"/>
      <c r="H190" s="2250"/>
      <c r="I190" s="2250"/>
      <c r="J190" s="2250"/>
      <c r="K190" s="2250"/>
      <c r="L190" s="2250"/>
      <c r="M190" s="2250"/>
      <c r="N190" s="2250"/>
      <c r="O190" s="2250"/>
      <c r="P190" s="284">
        <v>775</v>
      </c>
      <c r="Q190" s="3620">
        <f>VLOOKUP(Q182,P154:AA180,6,0)</f>
        <v>23.76</v>
      </c>
      <c r="R190" s="3620">
        <f>+Q191</f>
        <v>33.659999999999997</v>
      </c>
      <c r="S190" s="284">
        <v>825</v>
      </c>
      <c r="T190" s="2250"/>
      <c r="U190" s="2250"/>
      <c r="V190" s="2250"/>
      <c r="W190" s="2250"/>
      <c r="X190" s="2250"/>
      <c r="Y190" s="2250"/>
      <c r="Z190" s="2250"/>
      <c r="AA190" s="2250"/>
      <c r="AB190" s="2250"/>
      <c r="AC190" s="2250"/>
      <c r="AD190" s="284">
        <v>775</v>
      </c>
      <c r="AE190" s="3620">
        <f>VLOOKUP(AE182,AD154:AO180,6,0)</f>
        <v>17.95</v>
      </c>
      <c r="AF190" s="3620">
        <f t="shared" si="122"/>
        <v>25.17</v>
      </c>
      <c r="AG190" s="284">
        <v>825</v>
      </c>
      <c r="AH190" s="2250"/>
      <c r="AI190" s="2250"/>
      <c r="AJ190" s="2250"/>
      <c r="AK190" s="2250"/>
      <c r="AL190" s="2250"/>
      <c r="AM190" s="2250"/>
      <c r="AN190" s="2250"/>
      <c r="AO190" s="2250"/>
      <c r="AP190" s="2250"/>
      <c r="AQ190" s="2250"/>
      <c r="AR190" s="284">
        <v>775</v>
      </c>
      <c r="AS190" s="3620">
        <f>VLOOKUP(AS182,AR154:BC180,6,0)</f>
        <v>10.4</v>
      </c>
      <c r="AT190" s="3620">
        <f t="shared" si="123"/>
        <v>14.55</v>
      </c>
      <c r="AU190" s="284">
        <v>825</v>
      </c>
      <c r="AV190" s="2250"/>
      <c r="AW190" s="2250"/>
      <c r="AX190" s="2250"/>
      <c r="AY190" s="2250"/>
      <c r="AZ190" s="2250"/>
      <c r="BA190" s="2250"/>
      <c r="BB190" s="2250"/>
      <c r="BC190" s="2250"/>
      <c r="BD190" s="2250"/>
      <c r="BE190" s="2250"/>
      <c r="BF190" s="2276"/>
      <c r="BG190" s="2276"/>
      <c r="BH190" s="2250"/>
      <c r="BI190" s="2275"/>
      <c r="BJ190" s="284">
        <v>775</v>
      </c>
      <c r="BK190" s="3620">
        <f>VLOOKUP(BK182,BJ154:BU180,6,0)</f>
        <v>30.79</v>
      </c>
      <c r="BL190" s="3620">
        <f t="shared" si="124"/>
        <v>45.94</v>
      </c>
      <c r="BM190" s="284">
        <v>825</v>
      </c>
      <c r="BN190" s="2250"/>
      <c r="BO190" s="2250"/>
      <c r="BP190" s="2250"/>
      <c r="BQ190" s="2250"/>
      <c r="BR190" s="2250"/>
      <c r="BS190" s="2250"/>
      <c r="BT190" s="2250"/>
      <c r="BU190" s="2250"/>
      <c r="BV190" s="2250"/>
      <c r="BW190" s="2250"/>
      <c r="BX190" s="284">
        <v>775</v>
      </c>
      <c r="BY190" s="3620">
        <f>VLOOKUP(BY182,BX154:CI180,6,0)</f>
        <v>21.68</v>
      </c>
      <c r="BZ190" s="3620">
        <f t="shared" si="125"/>
        <v>30.69</v>
      </c>
      <c r="CA190" s="284">
        <v>825</v>
      </c>
      <c r="CB190" s="2250"/>
      <c r="CC190" s="2250"/>
      <c r="CD190" s="2250"/>
      <c r="CE190" s="2250"/>
      <c r="CF190" s="2250"/>
      <c r="CG190" s="2250"/>
      <c r="CH190" s="2250"/>
      <c r="CI190" s="2250"/>
      <c r="CJ190" s="2250"/>
      <c r="CK190" s="2250"/>
      <c r="CL190" s="284">
        <v>775</v>
      </c>
      <c r="CM190" s="3620">
        <f>VLOOKUP(CM182,CL154:CW180,6,0)</f>
        <v>16.25</v>
      </c>
      <c r="CN190" s="3620">
        <f t="shared" si="126"/>
        <v>23.25</v>
      </c>
      <c r="CO190" s="284">
        <v>825</v>
      </c>
      <c r="CP190" s="2250"/>
      <c r="CQ190" s="2250"/>
      <c r="CR190" s="2250"/>
      <c r="CS190" s="2250"/>
      <c r="CT190" s="2250"/>
      <c r="CU190" s="2250"/>
      <c r="CV190" s="2250"/>
      <c r="CW190" s="2250"/>
      <c r="CX190" s="2250"/>
      <c r="CY190" s="2250"/>
      <c r="CZ190" s="284">
        <v>775</v>
      </c>
      <c r="DA190" s="3620">
        <f>VLOOKUP(DA182,CZ154:DK180,6,0)</f>
        <v>9.41</v>
      </c>
      <c r="DB190" s="3620">
        <f t="shared" si="127"/>
        <v>13.37</v>
      </c>
      <c r="DC190" s="284">
        <v>825</v>
      </c>
      <c r="DD190" s="2250"/>
      <c r="DE190" s="2250"/>
      <c r="DF190" s="2250"/>
      <c r="DG190" s="2250"/>
      <c r="DH190" s="2250"/>
      <c r="DI190" s="2250"/>
      <c r="DJ190" s="2250"/>
      <c r="DK190" s="2250"/>
      <c r="DL190" s="2250"/>
      <c r="DM190" s="2250"/>
      <c r="DN190" s="2250"/>
      <c r="DO190" s="2250"/>
      <c r="DP190" s="2250"/>
      <c r="DQ190" s="2277"/>
      <c r="DR190" s="2277"/>
      <c r="DS190" s="2278"/>
      <c r="DT190" s="2250"/>
      <c r="DU190" s="2250"/>
      <c r="DV190" s="2250"/>
      <c r="DW190" s="2250"/>
      <c r="DX190" s="2275"/>
      <c r="DY190" s="284">
        <v>650</v>
      </c>
      <c r="DZ190" s="3620">
        <f>VLOOKUP(DZ183,DY155:EJ181,5,0)</f>
        <v>31.19</v>
      </c>
      <c r="EA190" s="3620">
        <f t="shared" si="128"/>
        <v>49.5</v>
      </c>
      <c r="EB190" s="284">
        <v>775</v>
      </c>
      <c r="EC190" s="2250"/>
      <c r="ED190" s="2250"/>
      <c r="EE190" s="2250"/>
      <c r="EF190" s="2250"/>
      <c r="EG190" s="2250"/>
      <c r="EH190" s="2250"/>
      <c r="EI190" s="2250"/>
      <c r="EJ190" s="2250"/>
      <c r="EK190" s="2250"/>
      <c r="EL190" s="2250"/>
      <c r="EM190" s="284">
        <v>650</v>
      </c>
      <c r="EN190" s="3620">
        <f>VLOOKUP(EN183,EM155:EX181,5,0)</f>
        <v>22.48</v>
      </c>
      <c r="EO190" s="3620">
        <f t="shared" si="129"/>
        <v>35.64</v>
      </c>
      <c r="EP190" s="284">
        <v>775</v>
      </c>
      <c r="EQ190" s="2250"/>
      <c r="ER190" s="2250"/>
      <c r="ES190" s="2250"/>
      <c r="ET190" s="2250"/>
      <c r="EU190" s="2250"/>
      <c r="EV190" s="2250"/>
      <c r="EW190" s="2250"/>
      <c r="EX190" s="2250"/>
      <c r="EY190" s="2250"/>
      <c r="EZ190" s="2250"/>
      <c r="FA190" s="284">
        <v>650</v>
      </c>
      <c r="FB190" s="3620">
        <f>VLOOKUP(FB183,FA155:FL181,5,0)</f>
        <v>18.28</v>
      </c>
      <c r="FC190" s="3620">
        <f t="shared" si="130"/>
        <v>28.22</v>
      </c>
      <c r="FD190" s="284">
        <v>775</v>
      </c>
      <c r="FE190" s="2250"/>
      <c r="FF190" s="2250"/>
      <c r="FG190" s="2250"/>
      <c r="FH190" s="2250"/>
      <c r="FI190" s="2250"/>
      <c r="FJ190" s="2250"/>
      <c r="FK190" s="2250"/>
      <c r="FL190" s="2250"/>
      <c r="FM190" s="2250"/>
      <c r="FN190" s="2250"/>
      <c r="FO190" s="284">
        <v>650</v>
      </c>
      <c r="FP190" s="3620">
        <f>VLOOKUP(FP183,FO155:FZ181,5,0)</f>
        <v>10.5</v>
      </c>
      <c r="FQ190" s="3620">
        <f t="shared" si="131"/>
        <v>16.34</v>
      </c>
      <c r="FR190" s="284">
        <v>775</v>
      </c>
      <c r="FS190" s="2250"/>
      <c r="FT190" s="2250"/>
      <c r="FU190" s="2250"/>
      <c r="FV190" s="2250"/>
      <c r="FW190" s="2250"/>
      <c r="FX190" s="2250"/>
      <c r="FY190" s="2250"/>
      <c r="FZ190" s="2250"/>
      <c r="GA190" s="2250"/>
      <c r="GB190" s="2250"/>
      <c r="GC190" s="2276"/>
      <c r="GD190" s="2276"/>
      <c r="GE190" s="2250"/>
      <c r="GF190" s="2275"/>
      <c r="GG190" s="284">
        <v>650</v>
      </c>
      <c r="GH190" s="3620">
        <f>VLOOKUP(GH183,GG155:GR181,5,0)</f>
        <v>29.21</v>
      </c>
      <c r="GI190" s="3620">
        <f t="shared" si="132"/>
        <v>46.44</v>
      </c>
      <c r="GJ190" s="284">
        <v>775</v>
      </c>
      <c r="GK190" s="2250"/>
      <c r="GL190" s="2250"/>
      <c r="GM190" s="2250"/>
      <c r="GN190" s="2250"/>
      <c r="GO190" s="2250"/>
      <c r="GP190" s="2250"/>
      <c r="GQ190" s="2250"/>
      <c r="GR190" s="2250"/>
      <c r="GS190" s="2250"/>
      <c r="GT190" s="2250"/>
      <c r="GU190" s="284">
        <v>650</v>
      </c>
      <c r="GV190" s="3620">
        <f>VLOOKUP(GV183,GU155:HF181,5,0)</f>
        <v>21.09</v>
      </c>
      <c r="GW190" s="3620">
        <f t="shared" si="133"/>
        <v>33.47</v>
      </c>
      <c r="GX190" s="284">
        <v>775</v>
      </c>
      <c r="GY190" s="2250"/>
      <c r="GZ190" s="2250"/>
      <c r="HA190" s="2250"/>
      <c r="HB190" s="2250"/>
      <c r="HC190" s="2250"/>
      <c r="HD190" s="2250"/>
      <c r="HE190" s="2250"/>
      <c r="HF190" s="2250"/>
      <c r="HG190" s="2250"/>
      <c r="HH190" s="2250"/>
      <c r="HI190" s="284">
        <v>650</v>
      </c>
      <c r="HJ190" s="3620">
        <f>VLOOKUP(HJ183,HI155:HT181,5,0)</f>
        <v>16.59</v>
      </c>
      <c r="HK190" s="3620">
        <f t="shared" si="134"/>
        <v>26.52</v>
      </c>
      <c r="HL190" s="284">
        <v>775</v>
      </c>
      <c r="HM190" s="2250"/>
      <c r="HN190" s="2250"/>
      <c r="HO190" s="2250"/>
      <c r="HP190" s="2250"/>
      <c r="HQ190" s="2250"/>
      <c r="HR190" s="2250"/>
      <c r="HS190" s="2250"/>
      <c r="HT190" s="2250"/>
      <c r="HU190" s="2250"/>
      <c r="HV190" s="2250"/>
      <c r="HW190" s="284">
        <v>650</v>
      </c>
      <c r="HX190" s="3620">
        <f>VLOOKUP(HX183,HW155:IH181,5,0)</f>
        <v>9.5</v>
      </c>
      <c r="HY190" s="3620">
        <f t="shared" si="135"/>
        <v>15.35</v>
      </c>
      <c r="HZ190" s="284">
        <v>775</v>
      </c>
      <c r="IA190" s="2250"/>
      <c r="IB190" s="2250"/>
      <c r="IC190" s="2250"/>
      <c r="ID190" s="2250"/>
      <c r="IE190" s="2250"/>
      <c r="IF190" s="2250"/>
      <c r="IG190" s="2250"/>
      <c r="IH190" s="2250"/>
      <c r="II190" s="2250"/>
      <c r="IJ190" s="2250"/>
      <c r="IK190" s="2250"/>
      <c r="IL190" s="2250"/>
    </row>
    <row r="191" spans="1:246" ht="21.95" customHeight="1">
      <c r="A191" s="2275"/>
      <c r="B191" s="284">
        <v>825</v>
      </c>
      <c r="C191" s="3620">
        <f>VLOOKUP(C182,B154:M180,7,0)</f>
        <v>49.41</v>
      </c>
      <c r="D191" s="3620">
        <f t="shared" si="120"/>
        <v>70.400000000000006</v>
      </c>
      <c r="E191" s="284">
        <v>950</v>
      </c>
      <c r="F191" s="2250"/>
      <c r="G191" s="2250"/>
      <c r="H191" s="2250"/>
      <c r="I191" s="2250"/>
      <c r="J191" s="2250"/>
      <c r="K191" s="2250"/>
      <c r="L191" s="2250"/>
      <c r="M191" s="2250"/>
      <c r="N191" s="2250"/>
      <c r="O191" s="2250"/>
      <c r="P191" s="284">
        <v>825</v>
      </c>
      <c r="Q191" s="3620">
        <f>VLOOKUP(Q182,P154:AA180,7,0)</f>
        <v>33.659999999999997</v>
      </c>
      <c r="R191" s="3620">
        <f>+Q192</f>
        <v>48.61</v>
      </c>
      <c r="S191" s="284">
        <v>950</v>
      </c>
      <c r="T191" s="2250"/>
      <c r="U191" s="2250"/>
      <c r="V191" s="2250"/>
      <c r="W191" s="2250"/>
      <c r="X191" s="2250"/>
      <c r="Y191" s="2250"/>
      <c r="Z191" s="2250"/>
      <c r="AA191" s="2250"/>
      <c r="AB191" s="2250"/>
      <c r="AC191" s="2250"/>
      <c r="AD191" s="284">
        <v>825</v>
      </c>
      <c r="AE191" s="3620">
        <f>VLOOKUP(AE182,AD154:AO180,7,0)</f>
        <v>25.17</v>
      </c>
      <c r="AF191" s="3620">
        <f t="shared" si="122"/>
        <v>36.340000000000003</v>
      </c>
      <c r="AG191" s="284">
        <v>950</v>
      </c>
      <c r="AH191" s="2250"/>
      <c r="AI191" s="2250"/>
      <c r="AJ191" s="2250"/>
      <c r="AK191" s="2250"/>
      <c r="AL191" s="2250"/>
      <c r="AM191" s="2250"/>
      <c r="AN191" s="2250"/>
      <c r="AO191" s="2250"/>
      <c r="AP191" s="2250"/>
      <c r="AQ191" s="2250"/>
      <c r="AR191" s="284">
        <v>825</v>
      </c>
      <c r="AS191" s="3620">
        <f>VLOOKUP(AS182,AR154:BC180,7,0)</f>
        <v>14.55</v>
      </c>
      <c r="AT191" s="3620">
        <f t="shared" si="123"/>
        <v>21.09</v>
      </c>
      <c r="AU191" s="284">
        <v>950</v>
      </c>
      <c r="AV191" s="2250"/>
      <c r="AW191" s="2250"/>
      <c r="AX191" s="2250"/>
      <c r="AY191" s="2250"/>
      <c r="AZ191" s="2250"/>
      <c r="BA191" s="2250"/>
      <c r="BB191" s="2250"/>
      <c r="BC191" s="2250"/>
      <c r="BD191" s="2250"/>
      <c r="BE191" s="2250"/>
      <c r="BF191" s="2276"/>
      <c r="BG191" s="2276"/>
      <c r="BH191" s="2250"/>
      <c r="BI191" s="2275"/>
      <c r="BJ191" s="284">
        <v>825</v>
      </c>
      <c r="BK191" s="3620">
        <f>VLOOKUP(BK182,BJ154:BU180,7,0)</f>
        <v>45.94</v>
      </c>
      <c r="BL191" s="3620">
        <f t="shared" si="124"/>
        <v>65.349999999999994</v>
      </c>
      <c r="BM191" s="284">
        <v>950</v>
      </c>
      <c r="BN191" s="2250"/>
      <c r="BO191" s="2250"/>
      <c r="BP191" s="2250"/>
      <c r="BQ191" s="2250"/>
      <c r="BR191" s="2250"/>
      <c r="BS191" s="2250"/>
      <c r="BT191" s="2250"/>
      <c r="BU191" s="2250"/>
      <c r="BV191" s="2250"/>
      <c r="BW191" s="2250"/>
      <c r="BX191" s="284">
        <v>825</v>
      </c>
      <c r="BY191" s="3620">
        <f>VLOOKUP(BY182,BX154:CI180,7,0)</f>
        <v>30.69</v>
      </c>
      <c r="BZ191" s="3620">
        <f t="shared" si="125"/>
        <v>43.86</v>
      </c>
      <c r="CA191" s="284">
        <v>950</v>
      </c>
      <c r="CB191" s="2250"/>
      <c r="CC191" s="2250"/>
      <c r="CD191" s="2250"/>
      <c r="CE191" s="2250"/>
      <c r="CF191" s="2250"/>
      <c r="CG191" s="2250"/>
      <c r="CH191" s="2250"/>
      <c r="CI191" s="2250"/>
      <c r="CJ191" s="2250"/>
      <c r="CK191" s="2250"/>
      <c r="CL191" s="284">
        <v>825</v>
      </c>
      <c r="CM191" s="3620">
        <f>VLOOKUP(CM182,CL154:CW180,7,0)</f>
        <v>23.25</v>
      </c>
      <c r="CN191" s="3620">
        <f t="shared" si="126"/>
        <v>32.840000000000003</v>
      </c>
      <c r="CO191" s="284">
        <v>950</v>
      </c>
      <c r="CP191" s="2250"/>
      <c r="CQ191" s="2250"/>
      <c r="CR191" s="2250"/>
      <c r="CS191" s="2250"/>
      <c r="CT191" s="2250"/>
      <c r="CU191" s="2250"/>
      <c r="CV191" s="2250"/>
      <c r="CW191" s="2250"/>
      <c r="CX191" s="2250"/>
      <c r="CY191" s="2250"/>
      <c r="CZ191" s="284">
        <v>825</v>
      </c>
      <c r="DA191" s="3620">
        <f>VLOOKUP(DA182,CZ154:DK180,7,0)</f>
        <v>13.37</v>
      </c>
      <c r="DB191" s="3620">
        <f t="shared" si="127"/>
        <v>19.010000000000002</v>
      </c>
      <c r="DC191" s="284">
        <v>950</v>
      </c>
      <c r="DD191" s="2250"/>
      <c r="DE191" s="2250"/>
      <c r="DF191" s="2250"/>
      <c r="DG191" s="2250"/>
      <c r="DH191" s="2250"/>
      <c r="DI191" s="2250"/>
      <c r="DJ191" s="2250"/>
      <c r="DK191" s="2250"/>
      <c r="DL191" s="2250"/>
      <c r="DM191" s="2250"/>
      <c r="DN191" s="2250"/>
      <c r="DO191" s="2250"/>
      <c r="DP191" s="2250"/>
      <c r="DQ191" s="2277"/>
      <c r="DR191" s="2277"/>
      <c r="DS191" s="2278"/>
      <c r="DT191" s="2250"/>
      <c r="DU191" s="2250"/>
      <c r="DV191" s="2250"/>
      <c r="DW191" s="2250"/>
      <c r="DX191" s="2275"/>
      <c r="DY191" s="284">
        <v>775</v>
      </c>
      <c r="DZ191" s="3620">
        <f>VLOOKUP(DZ183,DY155:EJ181,6,0)</f>
        <v>49.5</v>
      </c>
      <c r="EA191" s="3620">
        <f t="shared" si="128"/>
        <v>72.180000000000007</v>
      </c>
      <c r="EB191" s="284">
        <v>825</v>
      </c>
      <c r="EC191" s="2250"/>
      <c r="ED191" s="2250"/>
      <c r="EE191" s="2250"/>
      <c r="EF191" s="2250"/>
      <c r="EG191" s="2250"/>
      <c r="EH191" s="2250"/>
      <c r="EI191" s="2250"/>
      <c r="EJ191" s="2250"/>
      <c r="EK191" s="2250"/>
      <c r="EL191" s="2250"/>
      <c r="EM191" s="284">
        <v>775</v>
      </c>
      <c r="EN191" s="3620">
        <f>VLOOKUP(EN183,EM155:EX181,6,0)</f>
        <v>35.64</v>
      </c>
      <c r="EO191" s="3620">
        <f t="shared" si="129"/>
        <v>50</v>
      </c>
      <c r="EP191" s="284">
        <v>825</v>
      </c>
      <c r="EQ191" s="2250"/>
      <c r="ER191" s="2250"/>
      <c r="ES191" s="2250"/>
      <c r="ET191" s="2250"/>
      <c r="EU191" s="2250"/>
      <c r="EV191" s="2250"/>
      <c r="EW191" s="2250"/>
      <c r="EX191" s="2250"/>
      <c r="EY191" s="2250"/>
      <c r="EZ191" s="2250"/>
      <c r="FA191" s="284">
        <v>775</v>
      </c>
      <c r="FB191" s="3620">
        <f>VLOOKUP(FB183,FA155:FL181,6,0)</f>
        <v>28.22</v>
      </c>
      <c r="FC191" s="3620">
        <f t="shared" si="130"/>
        <v>38.04</v>
      </c>
      <c r="FD191" s="284">
        <v>825</v>
      </c>
      <c r="FE191" s="2250"/>
      <c r="FF191" s="2250"/>
      <c r="FG191" s="2250"/>
      <c r="FH191" s="2250"/>
      <c r="FI191" s="2250"/>
      <c r="FJ191" s="2250"/>
      <c r="FK191" s="2250"/>
      <c r="FL191" s="2250"/>
      <c r="FM191" s="2250"/>
      <c r="FN191" s="2250"/>
      <c r="FO191" s="284">
        <v>775</v>
      </c>
      <c r="FP191" s="3620">
        <f>VLOOKUP(FP183,FO155:FZ181,6,0)</f>
        <v>16.34</v>
      </c>
      <c r="FQ191" s="3620">
        <f t="shared" si="131"/>
        <v>21.98</v>
      </c>
      <c r="FR191" s="284">
        <v>825</v>
      </c>
      <c r="FS191" s="2250"/>
      <c r="FT191" s="2250"/>
      <c r="FU191" s="2250"/>
      <c r="FV191" s="2250"/>
      <c r="FW191" s="2250"/>
      <c r="FX191" s="2250"/>
      <c r="FY191" s="2250"/>
      <c r="FZ191" s="2250"/>
      <c r="GA191" s="2250"/>
      <c r="GB191" s="2250"/>
      <c r="GC191" s="2276"/>
      <c r="GD191" s="2276"/>
      <c r="GE191" s="2250"/>
      <c r="GF191" s="2275"/>
      <c r="GG191" s="284">
        <v>775</v>
      </c>
      <c r="GH191" s="3620">
        <f>VLOOKUP(GH183,GG155:GR181,6,0)</f>
        <v>46.44</v>
      </c>
      <c r="GI191" s="3620">
        <f t="shared" si="132"/>
        <v>67.72</v>
      </c>
      <c r="GJ191" s="284">
        <v>825</v>
      </c>
      <c r="GK191" s="2250"/>
      <c r="GL191" s="2250"/>
      <c r="GM191" s="2250"/>
      <c r="GN191" s="2250"/>
      <c r="GO191" s="2250"/>
      <c r="GP191" s="2250"/>
      <c r="GQ191" s="2250"/>
      <c r="GR191" s="2250"/>
      <c r="GS191" s="2250"/>
      <c r="GT191" s="2250"/>
      <c r="GU191" s="284">
        <v>775</v>
      </c>
      <c r="GV191" s="3620">
        <f>VLOOKUP(GV183,GU155:HF181,6,0)</f>
        <v>33.47</v>
      </c>
      <c r="GW191" s="3620">
        <f t="shared" si="133"/>
        <v>47.43</v>
      </c>
      <c r="GX191" s="284">
        <v>825</v>
      </c>
      <c r="GY191" s="2250"/>
      <c r="GZ191" s="2250"/>
      <c r="HA191" s="2250"/>
      <c r="HB191" s="2250"/>
      <c r="HC191" s="2250"/>
      <c r="HD191" s="2250"/>
      <c r="HE191" s="2250"/>
      <c r="HF191" s="2250"/>
      <c r="HG191" s="2250"/>
      <c r="HH191" s="2250"/>
      <c r="HI191" s="284">
        <v>775</v>
      </c>
      <c r="HJ191" s="3620">
        <f>VLOOKUP(HJ183,HI155:HT181,6,0)</f>
        <v>26.52</v>
      </c>
      <c r="HK191" s="3620">
        <f t="shared" si="134"/>
        <v>35.89</v>
      </c>
      <c r="HL191" s="284">
        <v>825</v>
      </c>
      <c r="HM191" s="2250"/>
      <c r="HN191" s="2250"/>
      <c r="HO191" s="2250"/>
      <c r="HP191" s="2250"/>
      <c r="HQ191" s="2250"/>
      <c r="HR191" s="2250"/>
      <c r="HS191" s="2250"/>
      <c r="HT191" s="2250"/>
      <c r="HU191" s="2250"/>
      <c r="HV191" s="2250"/>
      <c r="HW191" s="284">
        <v>775</v>
      </c>
      <c r="HX191" s="3620">
        <f>VLOOKUP(HX183,HW155:IH181,6,0)</f>
        <v>15.35</v>
      </c>
      <c r="HY191" s="3620">
        <f t="shared" si="135"/>
        <v>20.69</v>
      </c>
      <c r="HZ191" s="284">
        <v>825</v>
      </c>
      <c r="IA191" s="2250"/>
      <c r="IB191" s="2250"/>
      <c r="IC191" s="2250"/>
      <c r="ID191" s="2250"/>
      <c r="IE191" s="2250"/>
      <c r="IF191" s="2250"/>
      <c r="IG191" s="2250"/>
      <c r="IH191" s="2250"/>
      <c r="II191" s="2250"/>
      <c r="IJ191" s="2250"/>
      <c r="IK191" s="2250"/>
      <c r="IL191" s="2250"/>
    </row>
    <row r="192" spans="1:246" ht="21.95" customHeight="1">
      <c r="A192" s="2275"/>
      <c r="B192" s="284">
        <v>950</v>
      </c>
      <c r="C192" s="3620">
        <f>VLOOKUP(C182,B154:M180,8,0)</f>
        <v>70.400000000000006</v>
      </c>
      <c r="D192" s="3620">
        <f t="shared" si="120"/>
        <v>96.53</v>
      </c>
      <c r="E192" s="284">
        <v>1100</v>
      </c>
      <c r="F192" s="2250"/>
      <c r="G192" s="2250"/>
      <c r="H192" s="2250"/>
      <c r="I192" s="2250"/>
      <c r="J192" s="2250"/>
      <c r="K192" s="2250"/>
      <c r="L192" s="2250"/>
      <c r="M192" s="2250"/>
      <c r="N192" s="2250"/>
      <c r="O192" s="2250"/>
      <c r="P192" s="284">
        <v>950</v>
      </c>
      <c r="Q192" s="3620">
        <f>VLOOKUP(Q182,P154:AA180,8,0)</f>
        <v>48.61</v>
      </c>
      <c r="R192" s="3620">
        <f t="shared" si="121"/>
        <v>65.25</v>
      </c>
      <c r="S192" s="284">
        <v>1100</v>
      </c>
      <c r="T192" s="2250"/>
      <c r="U192" s="2250"/>
      <c r="V192" s="2250"/>
      <c r="W192" s="2250"/>
      <c r="X192" s="2250"/>
      <c r="Y192" s="2250"/>
      <c r="Z192" s="2250"/>
      <c r="AA192" s="2250"/>
      <c r="AB192" s="2250"/>
      <c r="AC192" s="2250"/>
      <c r="AD192" s="284">
        <v>950</v>
      </c>
      <c r="AE192" s="3620">
        <f>VLOOKUP(AE182,AD154:AO180,8,0)</f>
        <v>36.340000000000003</v>
      </c>
      <c r="AF192" s="3620">
        <f t="shared" si="122"/>
        <v>48.87</v>
      </c>
      <c r="AG192" s="284">
        <v>1100</v>
      </c>
      <c r="AH192" s="2250"/>
      <c r="AI192" s="2250"/>
      <c r="AJ192" s="2250"/>
      <c r="AK192" s="2250"/>
      <c r="AL192" s="2250"/>
      <c r="AM192" s="2250"/>
      <c r="AN192" s="2250"/>
      <c r="AO192" s="2250"/>
      <c r="AP192" s="2250"/>
      <c r="AQ192" s="2250"/>
      <c r="AR192" s="284">
        <v>950</v>
      </c>
      <c r="AS192" s="3620">
        <f>VLOOKUP(AS182,AR154:BC180,8,0)</f>
        <v>21.09</v>
      </c>
      <c r="AT192" s="3620">
        <f t="shared" si="123"/>
        <v>28.32</v>
      </c>
      <c r="AU192" s="284">
        <v>1100</v>
      </c>
      <c r="AV192" s="2250"/>
      <c r="AW192" s="2250"/>
      <c r="AX192" s="2250"/>
      <c r="AY192" s="2250"/>
      <c r="AZ192" s="2250"/>
      <c r="BA192" s="2250"/>
      <c r="BB192" s="2250"/>
      <c r="BC192" s="2250"/>
      <c r="BD192" s="2250"/>
      <c r="BE192" s="2250"/>
      <c r="BF192" s="2276"/>
      <c r="BG192" s="2276"/>
      <c r="BH192" s="2250"/>
      <c r="BI192" s="2275"/>
      <c r="BJ192" s="284">
        <v>950</v>
      </c>
      <c r="BK192" s="3620">
        <f>VLOOKUP(BK182,BJ154:BU180,8,0)</f>
        <v>65.349999999999994</v>
      </c>
      <c r="BL192" s="3620">
        <f t="shared" si="124"/>
        <v>89.6</v>
      </c>
      <c r="BM192" s="284">
        <v>1100</v>
      </c>
      <c r="BN192" s="2250"/>
      <c r="BO192" s="2250"/>
      <c r="BP192" s="2250"/>
      <c r="BQ192" s="2250"/>
      <c r="BR192" s="2250"/>
      <c r="BS192" s="2250"/>
      <c r="BT192" s="2250"/>
      <c r="BU192" s="2250"/>
      <c r="BV192" s="2250"/>
      <c r="BW192" s="2250"/>
      <c r="BX192" s="284">
        <v>950</v>
      </c>
      <c r="BY192" s="3620">
        <f>VLOOKUP(BY182,BX154:CI180,8,0)</f>
        <v>43.86</v>
      </c>
      <c r="BZ192" s="3620">
        <f t="shared" si="125"/>
        <v>58.91</v>
      </c>
      <c r="CA192" s="284">
        <v>1100</v>
      </c>
      <c r="CB192" s="2250"/>
      <c r="CC192" s="2250"/>
      <c r="CD192" s="2250"/>
      <c r="CE192" s="2250"/>
      <c r="CF192" s="2250"/>
      <c r="CG192" s="2250"/>
      <c r="CH192" s="2250"/>
      <c r="CI192" s="2250"/>
      <c r="CJ192" s="2250"/>
      <c r="CK192" s="2250"/>
      <c r="CL192" s="284">
        <v>950</v>
      </c>
      <c r="CM192" s="3620">
        <f>VLOOKUP(CM182,CL154:CW180,8,0)</f>
        <v>32.840000000000003</v>
      </c>
      <c r="CN192" s="3620">
        <f t="shared" si="126"/>
        <v>44.13</v>
      </c>
      <c r="CO192" s="284">
        <v>1100</v>
      </c>
      <c r="CP192" s="2250"/>
      <c r="CQ192" s="2250"/>
      <c r="CR192" s="2250"/>
      <c r="CS192" s="2250"/>
      <c r="CT192" s="2250"/>
      <c r="CU192" s="2250"/>
      <c r="CV192" s="2250"/>
      <c r="CW192" s="2250"/>
      <c r="CX192" s="2250"/>
      <c r="CY192" s="2250"/>
      <c r="CZ192" s="284">
        <v>950</v>
      </c>
      <c r="DA192" s="3620">
        <f>VLOOKUP(DA182,CZ154:DK180,8,0)</f>
        <v>19.010000000000002</v>
      </c>
      <c r="DB192" s="3620">
        <f t="shared" si="127"/>
        <v>25.54</v>
      </c>
      <c r="DC192" s="284">
        <v>1100</v>
      </c>
      <c r="DD192" s="2250"/>
      <c r="DE192" s="2250"/>
      <c r="DF192" s="2250"/>
      <c r="DG192" s="2250"/>
      <c r="DH192" s="2250"/>
      <c r="DI192" s="2250"/>
      <c r="DJ192" s="2250"/>
      <c r="DK192" s="2250"/>
      <c r="DL192" s="2250"/>
      <c r="DM192" s="2250"/>
      <c r="DN192" s="2250"/>
      <c r="DO192" s="2250"/>
      <c r="DP192" s="2250"/>
      <c r="DQ192" s="2277"/>
      <c r="DR192" s="2277"/>
      <c r="DS192" s="2278"/>
      <c r="DT192" s="2250"/>
      <c r="DU192" s="2250"/>
      <c r="DV192" s="2250"/>
      <c r="DW192" s="2250"/>
      <c r="DX192" s="2275"/>
      <c r="DY192" s="284">
        <v>825</v>
      </c>
      <c r="DZ192" s="3620">
        <f>VLOOKUP(DZ183,DY155:EJ181,7,0)</f>
        <v>72.180000000000007</v>
      </c>
      <c r="EA192" s="3620">
        <f t="shared" si="128"/>
        <v>105.15</v>
      </c>
      <c r="EB192" s="284">
        <v>950</v>
      </c>
      <c r="EC192" s="2250"/>
      <c r="ED192" s="2250"/>
      <c r="EE192" s="2250"/>
      <c r="EF192" s="2250"/>
      <c r="EG192" s="2250"/>
      <c r="EH192" s="2250"/>
      <c r="EI192" s="2250"/>
      <c r="EJ192" s="2250"/>
      <c r="EK192" s="2250"/>
      <c r="EL192" s="2250"/>
      <c r="EM192" s="284">
        <v>825</v>
      </c>
      <c r="EN192" s="3620">
        <f>VLOOKUP(EN183,EM155:EX181,7,0)</f>
        <v>50</v>
      </c>
      <c r="EO192" s="3620">
        <f t="shared" si="129"/>
        <v>75.25</v>
      </c>
      <c r="EP192" s="284">
        <v>950</v>
      </c>
      <c r="EQ192" s="2250"/>
      <c r="ER192" s="2250"/>
      <c r="ES192" s="2250"/>
      <c r="ET192" s="2250"/>
      <c r="EU192" s="2250"/>
      <c r="EV192" s="2250"/>
      <c r="EW192" s="2250"/>
      <c r="EX192" s="2250"/>
      <c r="EY192" s="2250"/>
      <c r="EZ192" s="2250"/>
      <c r="FA192" s="284">
        <v>825</v>
      </c>
      <c r="FB192" s="3620">
        <f>VLOOKUP(FB183,FA155:FL181,7,0)</f>
        <v>38.04</v>
      </c>
      <c r="FC192" s="3620">
        <f t="shared" si="130"/>
        <v>57</v>
      </c>
      <c r="FD192" s="284">
        <v>950</v>
      </c>
      <c r="FE192" s="2250"/>
      <c r="FF192" s="2250"/>
      <c r="FG192" s="2250"/>
      <c r="FH192" s="2250"/>
      <c r="FI192" s="2250"/>
      <c r="FJ192" s="2250"/>
      <c r="FK192" s="2250"/>
      <c r="FL192" s="2250"/>
      <c r="FM192" s="2250"/>
      <c r="FN192" s="2250"/>
      <c r="FO192" s="284">
        <v>825</v>
      </c>
      <c r="FP192" s="3620">
        <f>VLOOKUP(FP183,FO155:FZ181,7,0)</f>
        <v>21.98</v>
      </c>
      <c r="FQ192" s="3620">
        <f t="shared" si="131"/>
        <v>32.770000000000003</v>
      </c>
      <c r="FR192" s="284">
        <v>950</v>
      </c>
      <c r="FS192" s="2250"/>
      <c r="FT192" s="2250"/>
      <c r="FU192" s="2250"/>
      <c r="FV192" s="2250"/>
      <c r="FW192" s="2250"/>
      <c r="FX192" s="2250"/>
      <c r="FY192" s="2250"/>
      <c r="FZ192" s="2250"/>
      <c r="GA192" s="2250"/>
      <c r="GB192" s="2250"/>
      <c r="GC192" s="2276"/>
      <c r="GD192" s="2276"/>
      <c r="GE192" s="2250"/>
      <c r="GF192" s="2275"/>
      <c r="GG192" s="284">
        <v>825</v>
      </c>
      <c r="GH192" s="3620">
        <f>VLOOKUP(GH183,GG155:GR181,7,0)</f>
        <v>67.72</v>
      </c>
      <c r="GI192" s="3620">
        <f t="shared" si="132"/>
        <v>99.5</v>
      </c>
      <c r="GJ192" s="284">
        <v>950</v>
      </c>
      <c r="GK192" s="2250"/>
      <c r="GL192" s="2250"/>
      <c r="GM192" s="2250"/>
      <c r="GN192" s="2250"/>
      <c r="GO192" s="2250"/>
      <c r="GP192" s="2250"/>
      <c r="GQ192" s="2250"/>
      <c r="GR192" s="2250"/>
      <c r="GS192" s="2250"/>
      <c r="GT192" s="2250"/>
      <c r="GU192" s="284">
        <v>825</v>
      </c>
      <c r="GV192" s="3620">
        <f>VLOOKUP(GV183,GU155:HF181,7,0)</f>
        <v>47.43</v>
      </c>
      <c r="GW192" s="3620">
        <f t="shared" si="133"/>
        <v>69.11</v>
      </c>
      <c r="GX192" s="284">
        <v>950</v>
      </c>
      <c r="GY192" s="2250"/>
      <c r="GZ192" s="2250"/>
      <c r="HA192" s="2250"/>
      <c r="HB192" s="2250"/>
      <c r="HC192" s="2250"/>
      <c r="HD192" s="2250"/>
      <c r="HE192" s="2250"/>
      <c r="HF192" s="2250"/>
      <c r="HG192" s="2250"/>
      <c r="HH192" s="2250"/>
      <c r="HI192" s="284">
        <v>825</v>
      </c>
      <c r="HJ192" s="3620">
        <f>VLOOKUP(HJ183,HI155:HT181,7,0)</f>
        <v>35.89</v>
      </c>
      <c r="HK192" s="3620">
        <f t="shared" si="134"/>
        <v>52.14</v>
      </c>
      <c r="HL192" s="284">
        <v>950</v>
      </c>
      <c r="HM192" s="2250"/>
      <c r="HN192" s="2250"/>
      <c r="HO192" s="2250"/>
      <c r="HP192" s="2250"/>
      <c r="HQ192" s="2250"/>
      <c r="HR192" s="2250"/>
      <c r="HS192" s="2250"/>
      <c r="HT192" s="2250"/>
      <c r="HU192" s="2250"/>
      <c r="HV192" s="2250"/>
      <c r="HW192" s="284">
        <v>825</v>
      </c>
      <c r="HX192" s="3620">
        <f>VLOOKUP(HX183,HW155:IH181,7,0)</f>
        <v>20.69</v>
      </c>
      <c r="HY192" s="3620">
        <f t="shared" si="135"/>
        <v>30.1</v>
      </c>
      <c r="HZ192" s="284">
        <v>950</v>
      </c>
      <c r="IA192" s="2250"/>
      <c r="IB192" s="2250"/>
      <c r="IC192" s="2250"/>
      <c r="ID192" s="2250"/>
      <c r="IE192" s="2250"/>
      <c r="IF192" s="2250"/>
      <c r="IG192" s="2250"/>
      <c r="IH192" s="2250"/>
      <c r="II192" s="2250"/>
      <c r="IJ192" s="2250"/>
      <c r="IK192" s="2250"/>
      <c r="IL192" s="2250"/>
    </row>
    <row r="193" spans="1:246" ht="21.95" customHeight="1">
      <c r="A193" s="2275"/>
      <c r="B193" s="284">
        <v>1100</v>
      </c>
      <c r="C193" s="3620">
        <f>VLOOKUP(C182,B154:M180,9,0)</f>
        <v>96.53</v>
      </c>
      <c r="D193" s="3620">
        <f t="shared" si="120"/>
        <v>131.09</v>
      </c>
      <c r="E193" s="284">
        <v>1250</v>
      </c>
      <c r="F193" s="2250"/>
      <c r="G193" s="2250"/>
      <c r="H193" s="2250"/>
      <c r="I193" s="2250"/>
      <c r="J193" s="2250"/>
      <c r="K193" s="2250"/>
      <c r="L193" s="2250"/>
      <c r="M193" s="2250"/>
      <c r="N193" s="2250"/>
      <c r="O193" s="2250"/>
      <c r="P193" s="284">
        <v>1100</v>
      </c>
      <c r="Q193" s="3620">
        <f>VLOOKUP(Q182,P154:AA180,9,0)</f>
        <v>65.25</v>
      </c>
      <c r="R193" s="3620">
        <f t="shared" si="121"/>
        <v>94.16</v>
      </c>
      <c r="S193" s="284">
        <v>1250</v>
      </c>
      <c r="T193" s="2250"/>
      <c r="U193" s="2250"/>
      <c r="V193" s="2250"/>
      <c r="W193" s="2250"/>
      <c r="X193" s="2250"/>
      <c r="Y193" s="2250"/>
      <c r="Z193" s="2250"/>
      <c r="AA193" s="2250"/>
      <c r="AB193" s="2250"/>
      <c r="AC193" s="2250"/>
      <c r="AD193" s="284">
        <v>1100</v>
      </c>
      <c r="AE193" s="3620">
        <f>VLOOKUP(AE182,AD154:AO180,9,0)</f>
        <v>48.87</v>
      </c>
      <c r="AF193" s="3620">
        <f t="shared" si="122"/>
        <v>71.78</v>
      </c>
      <c r="AG193" s="284">
        <v>1250</v>
      </c>
      <c r="AH193" s="2250"/>
      <c r="AI193" s="2250"/>
      <c r="AJ193" s="2250"/>
      <c r="AK193" s="2250"/>
      <c r="AL193" s="2250"/>
      <c r="AM193" s="2250"/>
      <c r="AN193" s="2250"/>
      <c r="AO193" s="2250"/>
      <c r="AP193" s="2250"/>
      <c r="AQ193" s="2250"/>
      <c r="AR193" s="284">
        <v>1100</v>
      </c>
      <c r="AS193" s="3620">
        <f>VLOOKUP(AS182,AR154:BC180,9,0)</f>
        <v>28.32</v>
      </c>
      <c r="AT193" s="3620">
        <f t="shared" si="123"/>
        <v>41.58</v>
      </c>
      <c r="AU193" s="284">
        <v>1250</v>
      </c>
      <c r="AV193" s="2250"/>
      <c r="AW193" s="2250"/>
      <c r="AX193" s="2250"/>
      <c r="AY193" s="2250"/>
      <c r="AZ193" s="2250"/>
      <c r="BA193" s="2250"/>
      <c r="BB193" s="2250"/>
      <c r="BC193" s="2250"/>
      <c r="BD193" s="2250"/>
      <c r="BE193" s="2250"/>
      <c r="BF193" s="2276"/>
      <c r="BG193" s="2276"/>
      <c r="BH193" s="2250"/>
      <c r="BI193" s="2275"/>
      <c r="BJ193" s="284">
        <v>1100</v>
      </c>
      <c r="BK193" s="3620">
        <f>VLOOKUP(BK182,BJ154:BU180,9,0)</f>
        <v>89.6</v>
      </c>
      <c r="BL193" s="3620">
        <f t="shared" si="124"/>
        <v>121.78</v>
      </c>
      <c r="BM193" s="284">
        <v>1250</v>
      </c>
      <c r="BN193" s="2250"/>
      <c r="BO193" s="2250"/>
      <c r="BP193" s="2250"/>
      <c r="BQ193" s="2250"/>
      <c r="BR193" s="2250"/>
      <c r="BS193" s="2250"/>
      <c r="BT193" s="2250"/>
      <c r="BU193" s="2250"/>
      <c r="BV193" s="2250"/>
      <c r="BW193" s="2250"/>
      <c r="BX193" s="284">
        <v>1100</v>
      </c>
      <c r="BY193" s="3620">
        <f>VLOOKUP(BY182,BX154:CI180,9,0)</f>
        <v>58.91</v>
      </c>
      <c r="BZ193" s="3620">
        <f t="shared" si="125"/>
        <v>86.53</v>
      </c>
      <c r="CA193" s="284">
        <v>1250</v>
      </c>
      <c r="CB193" s="2250"/>
      <c r="CC193" s="2250"/>
      <c r="CD193" s="2250"/>
      <c r="CE193" s="2250"/>
      <c r="CF193" s="2250"/>
      <c r="CG193" s="2250"/>
      <c r="CH193" s="2250"/>
      <c r="CI193" s="2250"/>
      <c r="CJ193" s="2250"/>
      <c r="CK193" s="2250"/>
      <c r="CL193" s="284">
        <v>1100</v>
      </c>
      <c r="CM193" s="3620">
        <f>VLOOKUP(CM182,CL154:CW180,9,0)</f>
        <v>44.13</v>
      </c>
      <c r="CN193" s="3620">
        <f t="shared" si="126"/>
        <v>64.790000000000006</v>
      </c>
      <c r="CO193" s="284">
        <v>1250</v>
      </c>
      <c r="CP193" s="2250"/>
      <c r="CQ193" s="2250"/>
      <c r="CR193" s="2250"/>
      <c r="CS193" s="2250"/>
      <c r="CT193" s="2250"/>
      <c r="CU193" s="2250"/>
      <c r="CV193" s="2250"/>
      <c r="CW193" s="2250"/>
      <c r="CX193" s="2250"/>
      <c r="CY193" s="2250"/>
      <c r="CZ193" s="284">
        <v>1100</v>
      </c>
      <c r="DA193" s="3620">
        <f>VLOOKUP(DA182,CZ154:DK180,9,0)</f>
        <v>25.54</v>
      </c>
      <c r="DB193" s="3620">
        <f t="shared" si="127"/>
        <v>37.619999999999997</v>
      </c>
      <c r="DC193" s="284">
        <v>1250</v>
      </c>
      <c r="DD193" s="2250"/>
      <c r="DE193" s="2250"/>
      <c r="DF193" s="2250"/>
      <c r="DG193" s="2250"/>
      <c r="DH193" s="2250"/>
      <c r="DI193" s="2250"/>
      <c r="DJ193" s="2250"/>
      <c r="DK193" s="2250"/>
      <c r="DL193" s="2250"/>
      <c r="DM193" s="2250"/>
      <c r="DN193" s="2250"/>
      <c r="DO193" s="2250"/>
      <c r="DP193" s="2250"/>
      <c r="DQ193" s="2277"/>
      <c r="DR193" s="2277"/>
      <c r="DS193" s="2278"/>
      <c r="DT193" s="2250"/>
      <c r="DU193" s="2250"/>
      <c r="DV193" s="2250"/>
      <c r="DW193" s="2250"/>
      <c r="DX193" s="2275"/>
      <c r="DY193" s="284">
        <v>950</v>
      </c>
      <c r="DZ193" s="3620">
        <f>VLOOKUP(DZ183,DY155:EJ181,8,0)</f>
        <v>105.15</v>
      </c>
      <c r="EA193" s="3620">
        <f t="shared" si="128"/>
        <v>144.16</v>
      </c>
      <c r="EB193" s="284">
        <v>1100</v>
      </c>
      <c r="EC193" s="2250"/>
      <c r="ED193" s="2250"/>
      <c r="EE193" s="2250"/>
      <c r="EF193" s="2250"/>
      <c r="EG193" s="2250"/>
      <c r="EH193" s="2250"/>
      <c r="EI193" s="2250"/>
      <c r="EJ193" s="2250"/>
      <c r="EK193" s="2250"/>
      <c r="EL193" s="2250"/>
      <c r="EM193" s="284">
        <v>950</v>
      </c>
      <c r="EN193" s="3620">
        <f>VLOOKUP(EN183,EM155:EX181,8,0)</f>
        <v>75.25</v>
      </c>
      <c r="EO193" s="3620">
        <f t="shared" si="129"/>
        <v>101.49</v>
      </c>
      <c r="EP193" s="284">
        <v>1100</v>
      </c>
      <c r="EQ193" s="2250"/>
      <c r="ER193" s="2250"/>
      <c r="ES193" s="2250"/>
      <c r="ET193" s="2250"/>
      <c r="EU193" s="2250"/>
      <c r="EV193" s="2250"/>
      <c r="EW193" s="2250"/>
      <c r="EX193" s="2250"/>
      <c r="EY193" s="2250"/>
      <c r="EZ193" s="2250"/>
      <c r="FA193" s="284">
        <v>950</v>
      </c>
      <c r="FB193" s="3620">
        <f>VLOOKUP(FB183,FA155:FL181,8,0)</f>
        <v>57</v>
      </c>
      <c r="FC193" s="3620">
        <f t="shared" si="130"/>
        <v>76.52</v>
      </c>
      <c r="FD193" s="284">
        <v>1100</v>
      </c>
      <c r="FE193" s="2250"/>
      <c r="FF193" s="2250"/>
      <c r="FG193" s="2250"/>
      <c r="FH193" s="2250"/>
      <c r="FI193" s="2250"/>
      <c r="FJ193" s="2250"/>
      <c r="FK193" s="2250"/>
      <c r="FL193" s="2250"/>
      <c r="FM193" s="2250"/>
      <c r="FN193" s="2250"/>
      <c r="FO193" s="284">
        <v>950</v>
      </c>
      <c r="FP193" s="3620">
        <f>VLOOKUP(FP183,FO155:FZ181,8,0)</f>
        <v>32.770000000000003</v>
      </c>
      <c r="FQ193" s="3620">
        <f t="shared" si="131"/>
        <v>44.26</v>
      </c>
      <c r="FR193" s="284">
        <v>1100</v>
      </c>
      <c r="FS193" s="2250"/>
      <c r="FT193" s="2250"/>
      <c r="FU193" s="2250"/>
      <c r="FV193" s="2250"/>
      <c r="FW193" s="2250"/>
      <c r="FX193" s="2250"/>
      <c r="FY193" s="2250"/>
      <c r="FZ193" s="2250"/>
      <c r="GA193" s="2250"/>
      <c r="GB193" s="2250"/>
      <c r="GC193" s="2276"/>
      <c r="GD193" s="2276"/>
      <c r="GE193" s="2250"/>
      <c r="GF193" s="2275"/>
      <c r="GG193" s="284">
        <v>950</v>
      </c>
      <c r="GH193" s="3620">
        <f>VLOOKUP(GH183,GG155:GR181,8,0)</f>
        <v>99.5</v>
      </c>
      <c r="GI193" s="3620">
        <f t="shared" si="132"/>
        <v>135.44999999999999</v>
      </c>
      <c r="GJ193" s="284">
        <v>1100</v>
      </c>
      <c r="GK193" s="2250"/>
      <c r="GL193" s="2250"/>
      <c r="GM193" s="2250"/>
      <c r="GN193" s="2250"/>
      <c r="GO193" s="2250"/>
      <c r="GP193" s="2250"/>
      <c r="GQ193" s="2250"/>
      <c r="GR193" s="2250"/>
      <c r="GS193" s="2250"/>
      <c r="GT193" s="2250"/>
      <c r="GU193" s="284">
        <v>950</v>
      </c>
      <c r="GV193" s="3620">
        <f>VLOOKUP(GV183,GU155:HF181,8,0)</f>
        <v>69.11</v>
      </c>
      <c r="GW193" s="3620">
        <f t="shared" si="133"/>
        <v>95.84</v>
      </c>
      <c r="GX193" s="284">
        <v>1100</v>
      </c>
      <c r="GY193" s="2250"/>
      <c r="GZ193" s="2250"/>
      <c r="HA193" s="2250"/>
      <c r="HB193" s="2250"/>
      <c r="HC193" s="2250"/>
      <c r="HD193" s="2250"/>
      <c r="HE193" s="2250"/>
      <c r="HF193" s="2250"/>
      <c r="HG193" s="2250"/>
      <c r="HH193" s="2250"/>
      <c r="HI193" s="284">
        <v>950</v>
      </c>
      <c r="HJ193" s="3620">
        <f>VLOOKUP(HJ183,HI155:HT181,8,0)</f>
        <v>52.14</v>
      </c>
      <c r="HK193" s="3620">
        <f t="shared" si="134"/>
        <v>72.010000000000005</v>
      </c>
      <c r="HL193" s="284">
        <v>1100</v>
      </c>
      <c r="HM193" s="2250"/>
      <c r="HN193" s="2250"/>
      <c r="HO193" s="2250"/>
      <c r="HP193" s="2250"/>
      <c r="HQ193" s="2250"/>
      <c r="HR193" s="2250"/>
      <c r="HS193" s="2250"/>
      <c r="HT193" s="2250"/>
      <c r="HU193" s="2250"/>
      <c r="HV193" s="2250"/>
      <c r="HW193" s="284">
        <v>950</v>
      </c>
      <c r="HX193" s="3620">
        <f>VLOOKUP(HX183,HW155:IH181,8,0)</f>
        <v>30.1</v>
      </c>
      <c r="HY193" s="3620">
        <f t="shared" si="135"/>
        <v>41.68</v>
      </c>
      <c r="HZ193" s="284">
        <v>1100</v>
      </c>
      <c r="IA193" s="2250"/>
      <c r="IB193" s="2250"/>
      <c r="IC193" s="2250"/>
      <c r="ID193" s="2250"/>
      <c r="IE193" s="2250"/>
      <c r="IF193" s="2250"/>
      <c r="IG193" s="2250"/>
      <c r="IH193" s="2250"/>
      <c r="II193" s="2250"/>
      <c r="IJ193" s="2250"/>
      <c r="IK193" s="2250"/>
      <c r="IL193" s="2250"/>
    </row>
    <row r="194" spans="1:246" ht="21.95" customHeight="1">
      <c r="A194" s="2275"/>
      <c r="B194" s="284">
        <v>1250</v>
      </c>
      <c r="C194" s="3620">
        <f>VLOOKUP(C182,B154:M180,10,0)</f>
        <v>131.09</v>
      </c>
      <c r="D194" s="3620">
        <f t="shared" si="120"/>
        <v>208.12</v>
      </c>
      <c r="E194" s="284">
        <v>1450</v>
      </c>
      <c r="F194" s="2250"/>
      <c r="G194" s="2250"/>
      <c r="H194" s="2250"/>
      <c r="I194" s="2250"/>
      <c r="J194" s="2250"/>
      <c r="K194" s="2250"/>
      <c r="L194" s="2250"/>
      <c r="M194" s="2250"/>
      <c r="N194" s="2250"/>
      <c r="O194" s="2250"/>
      <c r="P194" s="284">
        <v>1250</v>
      </c>
      <c r="Q194" s="3620">
        <f>VLOOKUP(Q182,P154:AA180,10,0)</f>
        <v>94.16</v>
      </c>
      <c r="R194" s="3620">
        <f t="shared" si="121"/>
        <v>147.62</v>
      </c>
      <c r="S194" s="284">
        <v>1450</v>
      </c>
      <c r="T194" s="2250"/>
      <c r="U194" s="2250"/>
      <c r="V194" s="2250"/>
      <c r="W194" s="2250"/>
      <c r="X194" s="2250"/>
      <c r="Y194" s="2250"/>
      <c r="Z194" s="2250"/>
      <c r="AA194" s="2250"/>
      <c r="AB194" s="2250"/>
      <c r="AC194" s="2250"/>
      <c r="AD194" s="284">
        <v>1250</v>
      </c>
      <c r="AE194" s="3620">
        <f>VLOOKUP(AE182,AD154:AO180,10,0)</f>
        <v>71.78</v>
      </c>
      <c r="AF194" s="3620">
        <f t="shared" si="122"/>
        <v>110.5</v>
      </c>
      <c r="AG194" s="284">
        <v>1450</v>
      </c>
      <c r="AH194" s="2250"/>
      <c r="AI194" s="2250"/>
      <c r="AJ194" s="2250"/>
      <c r="AK194" s="2250"/>
      <c r="AL194" s="2250"/>
      <c r="AM194" s="2250"/>
      <c r="AN194" s="2250"/>
      <c r="AO194" s="2250"/>
      <c r="AP194" s="2250"/>
      <c r="AQ194" s="2250"/>
      <c r="AR194" s="284">
        <v>1250</v>
      </c>
      <c r="AS194" s="3620">
        <f>VLOOKUP(AS182,AR154:BC180,10,0)</f>
        <v>41.58</v>
      </c>
      <c r="AT194" s="3620">
        <f t="shared" si="123"/>
        <v>64.06</v>
      </c>
      <c r="AU194" s="284">
        <v>1450</v>
      </c>
      <c r="AV194" s="2250"/>
      <c r="AW194" s="2250"/>
      <c r="AX194" s="2250"/>
      <c r="AY194" s="2250"/>
      <c r="AZ194" s="2250"/>
      <c r="BA194" s="2250"/>
      <c r="BB194" s="2250"/>
      <c r="BC194" s="2250"/>
      <c r="BD194" s="2250"/>
      <c r="BE194" s="2250"/>
      <c r="BF194" s="2276"/>
      <c r="BG194" s="2276"/>
      <c r="BH194" s="2250"/>
      <c r="BI194" s="2275"/>
      <c r="BJ194" s="284">
        <v>1250</v>
      </c>
      <c r="BK194" s="3620">
        <f>VLOOKUP(BK182,BJ154:BU180,10,0)</f>
        <v>121.78</v>
      </c>
      <c r="BL194" s="3620">
        <f t="shared" si="124"/>
        <v>193.37</v>
      </c>
      <c r="BM194" s="284">
        <v>1450</v>
      </c>
      <c r="BN194" s="2250"/>
      <c r="BO194" s="2250"/>
      <c r="BP194" s="2250"/>
      <c r="BQ194" s="2250"/>
      <c r="BR194" s="2250"/>
      <c r="BS194" s="2250"/>
      <c r="BT194" s="2250"/>
      <c r="BU194" s="2250"/>
      <c r="BV194" s="2250"/>
      <c r="BW194" s="2250"/>
      <c r="BX194" s="284">
        <v>1250</v>
      </c>
      <c r="BY194" s="3620">
        <f>VLOOKUP(BY182,BX154:CI180,10,0)</f>
        <v>86.53</v>
      </c>
      <c r="BZ194" s="3620">
        <f t="shared" si="125"/>
        <v>133.27000000000001</v>
      </c>
      <c r="CA194" s="284">
        <v>1450</v>
      </c>
      <c r="CB194" s="2250"/>
      <c r="CC194" s="2250"/>
      <c r="CD194" s="2250"/>
      <c r="CE194" s="2250"/>
      <c r="CF194" s="2250"/>
      <c r="CG194" s="2250"/>
      <c r="CH194" s="2250"/>
      <c r="CI194" s="2250"/>
      <c r="CJ194" s="2250"/>
      <c r="CK194" s="2250"/>
      <c r="CL194" s="284">
        <v>1250</v>
      </c>
      <c r="CM194" s="3620">
        <f>VLOOKUP(CM182,CL154:CW180,10,0)</f>
        <v>64.790000000000006</v>
      </c>
      <c r="CN194" s="3620">
        <f t="shared" si="126"/>
        <v>99.77</v>
      </c>
      <c r="CO194" s="284">
        <v>1450</v>
      </c>
      <c r="CP194" s="2250"/>
      <c r="CQ194" s="2250"/>
      <c r="CR194" s="2250"/>
      <c r="CS194" s="2250"/>
      <c r="CT194" s="2250"/>
      <c r="CU194" s="2250"/>
      <c r="CV194" s="2250"/>
      <c r="CW194" s="2250"/>
      <c r="CX194" s="2250"/>
      <c r="CY194" s="2250"/>
      <c r="CZ194" s="284">
        <v>1250</v>
      </c>
      <c r="DA194" s="3620">
        <f>VLOOKUP(DA182,CZ154:DK180,10,0)</f>
        <v>37.619999999999997</v>
      </c>
      <c r="DB194" s="3620">
        <f t="shared" si="127"/>
        <v>57.92</v>
      </c>
      <c r="DC194" s="284">
        <v>1450</v>
      </c>
      <c r="DD194" s="2250"/>
      <c r="DE194" s="2250"/>
      <c r="DF194" s="2250"/>
      <c r="DG194" s="2250"/>
      <c r="DH194" s="2250"/>
      <c r="DI194" s="2250"/>
      <c r="DJ194" s="2250"/>
      <c r="DK194" s="2250"/>
      <c r="DL194" s="2250"/>
      <c r="DM194" s="2250"/>
      <c r="DN194" s="2250"/>
      <c r="DO194" s="2250"/>
      <c r="DP194" s="2250"/>
      <c r="DQ194" s="2277"/>
      <c r="DR194" s="2277"/>
      <c r="DS194" s="2278"/>
      <c r="DT194" s="2250"/>
      <c r="DU194" s="2250"/>
      <c r="DV194" s="2250"/>
      <c r="DW194" s="2250"/>
      <c r="DX194" s="2275"/>
      <c r="DY194" s="284">
        <v>1100</v>
      </c>
      <c r="DZ194" s="3620">
        <f>VLOOKUP(DZ183,DY155:EJ181,9,0)</f>
        <v>144.16</v>
      </c>
      <c r="EA194" s="3620">
        <f t="shared" si="128"/>
        <v>195.84</v>
      </c>
      <c r="EB194" s="284">
        <v>1250</v>
      </c>
      <c r="EC194" s="2250"/>
      <c r="ED194" s="2250"/>
      <c r="EE194" s="2250"/>
      <c r="EF194" s="2250"/>
      <c r="EG194" s="2250"/>
      <c r="EH194" s="2250"/>
      <c r="EI194" s="2250"/>
      <c r="EJ194" s="2250"/>
      <c r="EK194" s="2250"/>
      <c r="EL194" s="2250"/>
      <c r="EM194" s="284">
        <v>1100</v>
      </c>
      <c r="EN194" s="3620">
        <f>VLOOKUP(EN183,EM155:EX181,9,0)</f>
        <v>101.49</v>
      </c>
      <c r="EO194" s="3620">
        <f t="shared" si="129"/>
        <v>141.19</v>
      </c>
      <c r="EP194" s="284">
        <v>1250</v>
      </c>
      <c r="EQ194" s="2250"/>
      <c r="ER194" s="2250"/>
      <c r="ES194" s="2250"/>
      <c r="ET194" s="2250"/>
      <c r="EU194" s="2250"/>
      <c r="EV194" s="2250"/>
      <c r="EW194" s="2250"/>
      <c r="EX194" s="2250"/>
      <c r="EY194" s="2250"/>
      <c r="EZ194" s="2250"/>
      <c r="FA194" s="284">
        <v>1100</v>
      </c>
      <c r="FB194" s="3620">
        <f>VLOOKUP(FB183,FA155:FL181,9,0)</f>
        <v>76.52</v>
      </c>
      <c r="FC194" s="3620">
        <f t="shared" si="130"/>
        <v>107.9</v>
      </c>
      <c r="FD194" s="284">
        <v>1250</v>
      </c>
      <c r="FE194" s="2250"/>
      <c r="FF194" s="2250"/>
      <c r="FG194" s="2250"/>
      <c r="FH194" s="2250"/>
      <c r="FI194" s="2250"/>
      <c r="FJ194" s="2250"/>
      <c r="FK194" s="2250"/>
      <c r="FL194" s="2250"/>
      <c r="FM194" s="2250"/>
      <c r="FN194" s="2250"/>
      <c r="FO194" s="284">
        <v>1100</v>
      </c>
      <c r="FP194" s="3620">
        <f>VLOOKUP(FP183,FO155:FZ181,9,0)</f>
        <v>44.26</v>
      </c>
      <c r="FQ194" s="3620">
        <f t="shared" si="131"/>
        <v>61.78</v>
      </c>
      <c r="FR194" s="284">
        <v>1250</v>
      </c>
      <c r="FS194" s="2250"/>
      <c r="FT194" s="2250"/>
      <c r="FU194" s="2250"/>
      <c r="FV194" s="2250"/>
      <c r="FW194" s="2250"/>
      <c r="FX194" s="2250"/>
      <c r="FY194" s="2250"/>
      <c r="FZ194" s="2250"/>
      <c r="GA194" s="2250"/>
      <c r="GB194" s="2250"/>
      <c r="GC194" s="2276"/>
      <c r="GD194" s="2276"/>
      <c r="GE194" s="2250"/>
      <c r="GF194" s="2275"/>
      <c r="GG194" s="284">
        <v>1100</v>
      </c>
      <c r="GH194" s="3620">
        <f>VLOOKUP(GH183,GG155:GR181,9,0)</f>
        <v>135.44999999999999</v>
      </c>
      <c r="GI194" s="3620">
        <f t="shared" si="132"/>
        <v>183.96</v>
      </c>
      <c r="GJ194" s="284">
        <v>1250</v>
      </c>
      <c r="GK194" s="2250"/>
      <c r="GL194" s="2250"/>
      <c r="GM194" s="2250"/>
      <c r="GN194" s="2250"/>
      <c r="GO194" s="2250"/>
      <c r="GP194" s="2250"/>
      <c r="GQ194" s="2250"/>
      <c r="GR194" s="2250"/>
      <c r="GS194" s="2250"/>
      <c r="GT194" s="2250"/>
      <c r="GU194" s="284">
        <v>1100</v>
      </c>
      <c r="GV194" s="3620">
        <f>VLOOKUP(GV183,GU155:HF181,9,0)</f>
        <v>95.84</v>
      </c>
      <c r="GW194" s="3620">
        <f t="shared" si="133"/>
        <v>132.57</v>
      </c>
      <c r="GX194" s="284">
        <v>1250</v>
      </c>
      <c r="GY194" s="2250"/>
      <c r="GZ194" s="2250"/>
      <c r="HA194" s="2250"/>
      <c r="HB194" s="2250"/>
      <c r="HC194" s="2250"/>
      <c r="HD194" s="2250"/>
      <c r="HE194" s="2250"/>
      <c r="HF194" s="2250"/>
      <c r="HG194" s="2250"/>
      <c r="HH194" s="2250"/>
      <c r="HI194" s="284">
        <v>1100</v>
      </c>
      <c r="HJ194" s="3620">
        <f>VLOOKUP(HJ183,HI155:HT181,9,0)</f>
        <v>72.010000000000005</v>
      </c>
      <c r="HK194" s="3620">
        <f t="shared" si="134"/>
        <v>105.87</v>
      </c>
      <c r="HL194" s="284">
        <v>1250</v>
      </c>
      <c r="HM194" s="2250"/>
      <c r="HN194" s="2250"/>
      <c r="HO194" s="2250"/>
      <c r="HP194" s="2250"/>
      <c r="HQ194" s="2250"/>
      <c r="HR194" s="2250"/>
      <c r="HS194" s="2250"/>
      <c r="HT194" s="2250"/>
      <c r="HU194" s="2250"/>
      <c r="HV194" s="2250"/>
      <c r="HW194" s="284">
        <v>1100</v>
      </c>
      <c r="HX194" s="3620">
        <f>VLOOKUP(HX183,HW155:IH181,9,0)</f>
        <v>41.68</v>
      </c>
      <c r="HY194" s="3620">
        <f t="shared" si="135"/>
        <v>61.19</v>
      </c>
      <c r="HZ194" s="284">
        <v>1250</v>
      </c>
      <c r="IA194" s="2250"/>
      <c r="IB194" s="2250"/>
      <c r="IC194" s="2250"/>
      <c r="ID194" s="2250"/>
      <c r="IE194" s="2250"/>
      <c r="IF194" s="2250"/>
      <c r="IG194" s="2250"/>
      <c r="IH194" s="2250"/>
      <c r="II194" s="2250"/>
      <c r="IJ194" s="2250"/>
      <c r="IK194" s="2250"/>
      <c r="IL194" s="2250"/>
    </row>
    <row r="195" spans="1:246" ht="21.95" customHeight="1">
      <c r="A195" s="2275"/>
      <c r="B195" s="284">
        <v>1450</v>
      </c>
      <c r="C195" s="3620">
        <f>VLOOKUP(C182,B154:M180,11,0)</f>
        <v>208.12</v>
      </c>
      <c r="D195" s="3620">
        <f t="shared" si="120"/>
        <v>310.69</v>
      </c>
      <c r="E195" s="284">
        <v>1650</v>
      </c>
      <c r="F195" s="2250"/>
      <c r="G195" s="2250"/>
      <c r="H195" s="2250"/>
      <c r="I195" s="2250"/>
      <c r="J195" s="2250"/>
      <c r="K195" s="2250"/>
      <c r="L195" s="2250"/>
      <c r="M195" s="2250"/>
      <c r="N195" s="2250"/>
      <c r="O195" s="2250"/>
      <c r="P195" s="284">
        <v>1450</v>
      </c>
      <c r="Q195" s="3620">
        <f>VLOOKUP(Q182,P154:AA180,11,0)</f>
        <v>147.62</v>
      </c>
      <c r="R195" s="3620">
        <f t="shared" si="121"/>
        <v>213.96</v>
      </c>
      <c r="S195" s="284">
        <v>1650</v>
      </c>
      <c r="T195" s="2250"/>
      <c r="U195" s="2250"/>
      <c r="V195" s="2250"/>
      <c r="W195" s="2250"/>
      <c r="X195" s="2250"/>
      <c r="Y195" s="2250"/>
      <c r="Z195" s="2250"/>
      <c r="AA195" s="2250"/>
      <c r="AB195" s="2250"/>
      <c r="AC195" s="2250"/>
      <c r="AD195" s="284">
        <v>1450</v>
      </c>
      <c r="AE195" s="3620">
        <f>VLOOKUP(AE182,AD154:AO180,11,0)</f>
        <v>110.5</v>
      </c>
      <c r="AF195" s="3620">
        <f t="shared" si="122"/>
        <v>160.61000000000001</v>
      </c>
      <c r="AG195" s="284">
        <v>1650</v>
      </c>
      <c r="AH195" s="2250"/>
      <c r="AI195" s="2250"/>
      <c r="AJ195" s="2250"/>
      <c r="AK195" s="2250"/>
      <c r="AL195" s="2250"/>
      <c r="AM195" s="2250"/>
      <c r="AN195" s="2250"/>
      <c r="AO195" s="2250"/>
      <c r="AP195" s="2250"/>
      <c r="AQ195" s="2250"/>
      <c r="AR195" s="284">
        <v>1450</v>
      </c>
      <c r="AS195" s="3620">
        <f>VLOOKUP(AS182,AR154:BC180,11,0)</f>
        <v>64.06</v>
      </c>
      <c r="AT195" s="3620">
        <f t="shared" si="123"/>
        <v>92.87</v>
      </c>
      <c r="AU195" s="284">
        <v>1650</v>
      </c>
      <c r="AV195" s="2250"/>
      <c r="AW195" s="2250"/>
      <c r="AX195" s="2250"/>
      <c r="AY195" s="2250"/>
      <c r="AZ195" s="2250"/>
      <c r="BA195" s="2250"/>
      <c r="BB195" s="2250"/>
      <c r="BC195" s="2250"/>
      <c r="BD195" s="2250"/>
      <c r="BE195" s="2250"/>
      <c r="BF195" s="2276"/>
      <c r="BG195" s="2276"/>
      <c r="BH195" s="2250"/>
      <c r="BI195" s="2275"/>
      <c r="BJ195" s="284">
        <v>1450</v>
      </c>
      <c r="BK195" s="3620">
        <f>VLOOKUP(BK182,BJ154:BU180,11,0)</f>
        <v>193.37</v>
      </c>
      <c r="BL195" s="3620">
        <f t="shared" si="124"/>
        <v>288.61</v>
      </c>
      <c r="BM195" s="284">
        <v>1650</v>
      </c>
      <c r="BN195" s="2250"/>
      <c r="BO195" s="2250"/>
      <c r="BP195" s="2250"/>
      <c r="BQ195" s="2250"/>
      <c r="BR195" s="2250"/>
      <c r="BS195" s="2250"/>
      <c r="BT195" s="2250"/>
      <c r="BU195" s="2250"/>
      <c r="BV195" s="2250"/>
      <c r="BW195" s="2250"/>
      <c r="BX195" s="284">
        <v>1450</v>
      </c>
      <c r="BY195" s="3620">
        <f>VLOOKUP(BY182,BX154:CI180,11,0)</f>
        <v>133.27000000000001</v>
      </c>
      <c r="BZ195" s="3620">
        <f t="shared" si="125"/>
        <v>193.66</v>
      </c>
      <c r="CA195" s="284">
        <v>1650</v>
      </c>
      <c r="CB195" s="2250"/>
      <c r="CC195" s="2250"/>
      <c r="CD195" s="2250"/>
      <c r="CE195" s="2250"/>
      <c r="CF195" s="2250"/>
      <c r="CG195" s="2250"/>
      <c r="CH195" s="2250"/>
      <c r="CI195" s="2250"/>
      <c r="CJ195" s="2250"/>
      <c r="CK195" s="2250"/>
      <c r="CL195" s="284">
        <v>1450</v>
      </c>
      <c r="CM195" s="3620">
        <f>VLOOKUP(CM182,CL154:CW180,11,0)</f>
        <v>99.77</v>
      </c>
      <c r="CN195" s="3620">
        <f t="shared" si="126"/>
        <v>145.03</v>
      </c>
      <c r="CO195" s="284">
        <v>1650</v>
      </c>
      <c r="CP195" s="2250"/>
      <c r="CQ195" s="2250"/>
      <c r="CR195" s="2250"/>
      <c r="CS195" s="2250"/>
      <c r="CT195" s="2250"/>
      <c r="CU195" s="2250"/>
      <c r="CV195" s="2250"/>
      <c r="CW195" s="2250"/>
      <c r="CX195" s="2250"/>
      <c r="CY195" s="2250"/>
      <c r="CZ195" s="284">
        <v>1450</v>
      </c>
      <c r="DA195" s="3620">
        <f>VLOOKUP(DA182,CZ154:DK180,11,0)</f>
        <v>57.92</v>
      </c>
      <c r="DB195" s="3620">
        <f t="shared" si="127"/>
        <v>84.16</v>
      </c>
      <c r="DC195" s="284">
        <v>1650</v>
      </c>
      <c r="DD195" s="2250"/>
      <c r="DE195" s="2250"/>
      <c r="DF195" s="2250"/>
      <c r="DG195" s="2250"/>
      <c r="DH195" s="2250"/>
      <c r="DI195" s="2250"/>
      <c r="DJ195" s="2250"/>
      <c r="DK195" s="2250"/>
      <c r="DL195" s="2250"/>
      <c r="DM195" s="2250"/>
      <c r="DN195" s="2250"/>
      <c r="DO195" s="2250"/>
      <c r="DP195" s="2250"/>
      <c r="DQ195" s="2277"/>
      <c r="DR195" s="2277"/>
      <c r="DS195" s="2278"/>
      <c r="DT195" s="2250"/>
      <c r="DU195" s="2250"/>
      <c r="DV195" s="2250"/>
      <c r="DW195" s="2250"/>
      <c r="DX195" s="2275"/>
      <c r="DY195" s="284">
        <v>1250</v>
      </c>
      <c r="DZ195" s="3620">
        <f>VLOOKUP(DZ183,DY155:EJ181,10,0)</f>
        <v>195.84</v>
      </c>
      <c r="EA195" s="3620">
        <f t="shared" si="128"/>
        <v>310.99</v>
      </c>
      <c r="EB195" s="284">
        <v>1450</v>
      </c>
      <c r="EC195" s="2250"/>
      <c r="ED195" s="2250"/>
      <c r="EE195" s="2250"/>
      <c r="EF195" s="2250"/>
      <c r="EG195" s="2250"/>
      <c r="EH195" s="2250"/>
      <c r="EI195" s="2250"/>
      <c r="EJ195" s="2250"/>
      <c r="EK195" s="2250"/>
      <c r="EL195" s="2250"/>
      <c r="EM195" s="284">
        <v>1250</v>
      </c>
      <c r="EN195" s="3620">
        <f>VLOOKUP(EN183,EM155:EX181,10,0)</f>
        <v>141.19</v>
      </c>
      <c r="EO195" s="3620">
        <f t="shared" si="129"/>
        <v>224.16</v>
      </c>
      <c r="EP195" s="284">
        <v>1450</v>
      </c>
      <c r="EQ195" s="2250"/>
      <c r="ER195" s="2250"/>
      <c r="ES195" s="2250"/>
      <c r="ET195" s="2250"/>
      <c r="EU195" s="2250"/>
      <c r="EV195" s="2250"/>
      <c r="EW195" s="2250"/>
      <c r="EX195" s="2250"/>
      <c r="EY195" s="2250"/>
      <c r="EZ195" s="2250"/>
      <c r="FA195" s="284">
        <v>1250</v>
      </c>
      <c r="FB195" s="3620">
        <f>VLOOKUP(FB183,FA155:FL181,10,0)</f>
        <v>107.9</v>
      </c>
      <c r="FC195" s="3620">
        <f t="shared" si="130"/>
        <v>173.02</v>
      </c>
      <c r="FD195" s="284">
        <v>1450</v>
      </c>
      <c r="FE195" s="2250"/>
      <c r="FF195" s="2250"/>
      <c r="FG195" s="2250"/>
      <c r="FH195" s="2250"/>
      <c r="FI195" s="2250"/>
      <c r="FJ195" s="2250"/>
      <c r="FK195" s="2250"/>
      <c r="FL195" s="2250"/>
      <c r="FM195" s="2250"/>
      <c r="FN195" s="2250"/>
      <c r="FO195" s="284">
        <v>1250</v>
      </c>
      <c r="FP195" s="3620">
        <f>VLOOKUP(FP183,FO155:FZ181,10,0)</f>
        <v>61.78</v>
      </c>
      <c r="FQ195" s="3620">
        <f t="shared" si="131"/>
        <v>100</v>
      </c>
      <c r="FR195" s="284">
        <v>1450</v>
      </c>
      <c r="FS195" s="2250"/>
      <c r="FT195" s="2250"/>
      <c r="FU195" s="2250"/>
      <c r="FV195" s="2250"/>
      <c r="FW195" s="2250"/>
      <c r="FX195" s="2250"/>
      <c r="FY195" s="2250"/>
      <c r="FZ195" s="2250"/>
      <c r="GA195" s="2250"/>
      <c r="GB195" s="2250"/>
      <c r="GC195" s="2276"/>
      <c r="GD195" s="2276"/>
      <c r="GE195" s="2250"/>
      <c r="GF195" s="2275"/>
      <c r="GG195" s="284">
        <v>1250</v>
      </c>
      <c r="GH195" s="3620">
        <f>VLOOKUP(GH183,GG155:GR181,10,0)</f>
        <v>183.96</v>
      </c>
      <c r="GI195" s="3620">
        <f t="shared" si="132"/>
        <v>292.08</v>
      </c>
      <c r="GJ195" s="284">
        <v>1450</v>
      </c>
      <c r="GK195" s="2250"/>
      <c r="GL195" s="2250"/>
      <c r="GM195" s="2250"/>
      <c r="GN195" s="2250"/>
      <c r="GO195" s="2250"/>
      <c r="GP195" s="2250"/>
      <c r="GQ195" s="2250"/>
      <c r="GR195" s="2250"/>
      <c r="GS195" s="2250"/>
      <c r="GT195" s="2250"/>
      <c r="GU195" s="284">
        <v>1250</v>
      </c>
      <c r="GV195" s="3620">
        <f>VLOOKUP(GV183,GU155:HF181,10,0)</f>
        <v>132.57</v>
      </c>
      <c r="GW195" s="3620">
        <f t="shared" si="133"/>
        <v>210.5</v>
      </c>
      <c r="GX195" s="284">
        <v>1450</v>
      </c>
      <c r="GY195" s="2250"/>
      <c r="GZ195" s="2250"/>
      <c r="HA195" s="2250"/>
      <c r="HB195" s="2250"/>
      <c r="HC195" s="2250"/>
      <c r="HD195" s="2250"/>
      <c r="HE195" s="2250"/>
      <c r="HF195" s="2250"/>
      <c r="HG195" s="2250"/>
      <c r="HH195" s="2250"/>
      <c r="HI195" s="284">
        <v>1250</v>
      </c>
      <c r="HJ195" s="3620">
        <f>VLOOKUP(HJ183,HI155:HT181,10,0)</f>
        <v>105.87</v>
      </c>
      <c r="HK195" s="3620">
        <f t="shared" si="134"/>
        <v>160.84</v>
      </c>
      <c r="HL195" s="284">
        <v>1450</v>
      </c>
      <c r="HM195" s="2250"/>
      <c r="HN195" s="2250"/>
      <c r="HO195" s="2250"/>
      <c r="HP195" s="2250"/>
      <c r="HQ195" s="2250"/>
      <c r="HR195" s="2250"/>
      <c r="HS195" s="2250"/>
      <c r="HT195" s="2250"/>
      <c r="HU195" s="2250"/>
      <c r="HV195" s="2250"/>
      <c r="HW195" s="284">
        <v>1250</v>
      </c>
      <c r="HX195" s="3620">
        <f>VLOOKUP(HX183,HW155:IH181,10,0)</f>
        <v>61.19</v>
      </c>
      <c r="HY195" s="3620">
        <f t="shared" si="135"/>
        <v>92.18</v>
      </c>
      <c r="HZ195" s="284">
        <v>1450</v>
      </c>
      <c r="IA195" s="2250"/>
      <c r="IB195" s="2250"/>
      <c r="IC195" s="2250"/>
      <c r="ID195" s="2250"/>
      <c r="IE195" s="2250"/>
      <c r="IF195" s="2250"/>
      <c r="IG195" s="2250"/>
      <c r="IH195" s="2250"/>
      <c r="II195" s="2250"/>
      <c r="IJ195" s="2250"/>
      <c r="IK195" s="2250"/>
      <c r="IL195" s="2250"/>
    </row>
    <row r="196" spans="1:246" ht="21.95" customHeight="1">
      <c r="A196" s="2275"/>
      <c r="B196" s="284">
        <v>1650</v>
      </c>
      <c r="C196" s="3620">
        <f>VLOOKUP(C182,B154:M180,12,0)</f>
        <v>310.69</v>
      </c>
      <c r="D196" s="3620">
        <f t="shared" si="120"/>
        <v>0</v>
      </c>
      <c r="E196" s="2250"/>
      <c r="F196" s="2250"/>
      <c r="G196" s="2250"/>
      <c r="H196" s="2250"/>
      <c r="I196" s="2250"/>
      <c r="J196" s="2250"/>
      <c r="K196" s="2250"/>
      <c r="L196" s="2250"/>
      <c r="M196" s="2250"/>
      <c r="N196" s="2250"/>
      <c r="O196" s="2250"/>
      <c r="P196" s="284">
        <v>1650</v>
      </c>
      <c r="Q196" s="3620">
        <f>VLOOKUP(Q182,P154:AA180,12,0)</f>
        <v>213.96</v>
      </c>
      <c r="R196" s="3620">
        <f t="shared" si="121"/>
        <v>0</v>
      </c>
      <c r="S196" s="2250"/>
      <c r="T196" s="2250"/>
      <c r="U196" s="2250"/>
      <c r="V196" s="2250"/>
      <c r="W196" s="2250"/>
      <c r="X196" s="2250"/>
      <c r="Y196" s="2250"/>
      <c r="Z196" s="2250"/>
      <c r="AA196" s="2250"/>
      <c r="AB196" s="2250"/>
      <c r="AC196" s="2250"/>
      <c r="AD196" s="284">
        <v>1650</v>
      </c>
      <c r="AE196" s="3620">
        <f>VLOOKUP(AE182,AD154:AO180,12,0)</f>
        <v>160.61000000000001</v>
      </c>
      <c r="AF196" s="3620">
        <f t="shared" si="122"/>
        <v>0</v>
      </c>
      <c r="AG196" s="2250"/>
      <c r="AH196" s="2250"/>
      <c r="AI196" s="2250"/>
      <c r="AJ196" s="2250"/>
      <c r="AK196" s="2250"/>
      <c r="AL196" s="2250"/>
      <c r="AM196" s="2250"/>
      <c r="AN196" s="2250"/>
      <c r="AO196" s="2250"/>
      <c r="AP196" s="2250"/>
      <c r="AQ196" s="2250"/>
      <c r="AR196" s="284">
        <v>1650</v>
      </c>
      <c r="AS196" s="3620">
        <f>VLOOKUP(AS182,AR154:BC180,12,0)</f>
        <v>92.87</v>
      </c>
      <c r="AT196" s="3620">
        <f t="shared" si="123"/>
        <v>0</v>
      </c>
      <c r="AU196" s="2250"/>
      <c r="AV196" s="2250"/>
      <c r="AW196" s="2250"/>
      <c r="AX196" s="2250"/>
      <c r="AY196" s="2250"/>
      <c r="AZ196" s="2250"/>
      <c r="BA196" s="2250"/>
      <c r="BB196" s="2250"/>
      <c r="BC196" s="2250"/>
      <c r="BD196" s="2250"/>
      <c r="BE196" s="2250"/>
      <c r="BF196" s="2276"/>
      <c r="BG196" s="2276"/>
      <c r="BH196" s="2250"/>
      <c r="BI196" s="2275"/>
      <c r="BJ196" s="284">
        <v>1650</v>
      </c>
      <c r="BK196" s="3620">
        <f>VLOOKUP(BK182,BJ154:BU180,12,0)</f>
        <v>288.61</v>
      </c>
      <c r="BL196" s="3620">
        <f t="shared" si="124"/>
        <v>0</v>
      </c>
      <c r="BM196" s="2250"/>
      <c r="BN196" s="2250"/>
      <c r="BO196" s="2250"/>
      <c r="BP196" s="2250"/>
      <c r="BQ196" s="2250"/>
      <c r="BR196" s="2250"/>
      <c r="BS196" s="2250"/>
      <c r="BT196" s="2250"/>
      <c r="BU196" s="2250"/>
      <c r="BV196" s="2250"/>
      <c r="BW196" s="2250"/>
      <c r="BX196" s="284">
        <v>1650</v>
      </c>
      <c r="BY196" s="3620">
        <f>VLOOKUP(BY182,BX154:CI180,12,0)</f>
        <v>193.66</v>
      </c>
      <c r="BZ196" s="3620">
        <f t="shared" si="125"/>
        <v>0</v>
      </c>
      <c r="CA196" s="2250"/>
      <c r="CB196" s="2250"/>
      <c r="CC196" s="2250"/>
      <c r="CD196" s="2250"/>
      <c r="CE196" s="2250"/>
      <c r="CF196" s="2250"/>
      <c r="CG196" s="2250"/>
      <c r="CH196" s="2250"/>
      <c r="CI196" s="2250"/>
      <c r="CJ196" s="2250"/>
      <c r="CK196" s="2250"/>
      <c r="CL196" s="284">
        <v>1650</v>
      </c>
      <c r="CM196" s="3620">
        <f>VLOOKUP(CM182,CL154:CW180,12,0)</f>
        <v>145.03</v>
      </c>
      <c r="CN196" s="3620">
        <f t="shared" si="126"/>
        <v>0</v>
      </c>
      <c r="CO196" s="2250"/>
      <c r="CP196" s="2250"/>
      <c r="CQ196" s="2250"/>
      <c r="CR196" s="2250"/>
      <c r="CS196" s="2250"/>
      <c r="CT196" s="2250"/>
      <c r="CU196" s="2250"/>
      <c r="CV196" s="2250"/>
      <c r="CW196" s="2250"/>
      <c r="CX196" s="2250"/>
      <c r="CY196" s="2250"/>
      <c r="CZ196" s="284">
        <v>1650</v>
      </c>
      <c r="DA196" s="3620">
        <f>VLOOKUP(DA182,CZ154:DK180,12,0)</f>
        <v>84.16</v>
      </c>
      <c r="DB196" s="3620">
        <f t="shared" si="127"/>
        <v>0</v>
      </c>
      <c r="DC196" s="2250"/>
      <c r="DD196" s="2250"/>
      <c r="DE196" s="2250"/>
      <c r="DF196" s="2250"/>
      <c r="DG196" s="2250"/>
      <c r="DH196" s="2250"/>
      <c r="DI196" s="2250"/>
      <c r="DJ196" s="2250"/>
      <c r="DK196" s="2250"/>
      <c r="DL196" s="2250"/>
      <c r="DM196" s="2250"/>
      <c r="DN196" s="2250"/>
      <c r="DO196" s="2250"/>
      <c r="DP196" s="2250"/>
      <c r="DQ196" s="2277"/>
      <c r="DR196" s="2277"/>
      <c r="DS196" s="2278"/>
      <c r="DT196" s="2250"/>
      <c r="DU196" s="2250"/>
      <c r="DV196" s="2250"/>
      <c r="DW196" s="2250"/>
      <c r="DX196" s="2275"/>
      <c r="DY196" s="284">
        <v>1450</v>
      </c>
      <c r="DZ196" s="3620">
        <f>VLOOKUP(DZ183,DY155:EJ181,11,0)</f>
        <v>310.99</v>
      </c>
      <c r="EA196" s="3620">
        <f t="shared" si="128"/>
        <v>467.92</v>
      </c>
      <c r="EB196" s="284">
        <v>1650</v>
      </c>
      <c r="EC196" s="2250"/>
      <c r="ED196" s="2250"/>
      <c r="EE196" s="2250"/>
      <c r="EF196" s="2250"/>
      <c r="EG196" s="2250"/>
      <c r="EH196" s="2250"/>
      <c r="EI196" s="2250"/>
      <c r="EJ196" s="2250"/>
      <c r="EK196" s="2250"/>
      <c r="EL196" s="2250"/>
      <c r="EM196" s="284">
        <v>1450</v>
      </c>
      <c r="EN196" s="3620">
        <f>VLOOKUP(EN183,EM155:EX181,11,0)</f>
        <v>224.16</v>
      </c>
      <c r="EO196" s="3620">
        <f t="shared" si="129"/>
        <v>322.27999999999997</v>
      </c>
      <c r="EP196" s="284">
        <v>1650</v>
      </c>
      <c r="EQ196" s="2250"/>
      <c r="ER196" s="2250"/>
      <c r="ES196" s="2250"/>
      <c r="ET196" s="2250"/>
      <c r="EU196" s="2250"/>
      <c r="EV196" s="2250"/>
      <c r="EW196" s="2250"/>
      <c r="EX196" s="2250"/>
      <c r="EY196" s="2250"/>
      <c r="EZ196" s="2250"/>
      <c r="FA196" s="284">
        <v>1450</v>
      </c>
      <c r="FB196" s="3620">
        <f>VLOOKUP(FB183,FA155:FL181,11,0)</f>
        <v>173.02</v>
      </c>
      <c r="FC196" s="3620">
        <f t="shared" si="130"/>
        <v>243.91</v>
      </c>
      <c r="FD196" s="284">
        <v>1650</v>
      </c>
      <c r="FE196" s="2250"/>
      <c r="FF196" s="2250"/>
      <c r="FG196" s="2250"/>
      <c r="FH196" s="2250"/>
      <c r="FI196" s="2250"/>
      <c r="FJ196" s="2250"/>
      <c r="FK196" s="2250"/>
      <c r="FL196" s="2250"/>
      <c r="FM196" s="2250"/>
      <c r="FN196" s="2250"/>
      <c r="FO196" s="284">
        <v>1450</v>
      </c>
      <c r="FP196" s="3620">
        <f>VLOOKUP(FP183,FO155:FZ181,11,0)</f>
        <v>100</v>
      </c>
      <c r="FQ196" s="3620">
        <f t="shared" si="131"/>
        <v>140.99</v>
      </c>
      <c r="FR196" s="284">
        <v>1650</v>
      </c>
      <c r="FS196" s="2250"/>
      <c r="FT196" s="2250"/>
      <c r="FU196" s="2250"/>
      <c r="FV196" s="2250"/>
      <c r="FW196" s="2250"/>
      <c r="FX196" s="2250"/>
      <c r="FY196" s="2250"/>
      <c r="FZ196" s="2250"/>
      <c r="GA196" s="2250"/>
      <c r="GB196" s="2250"/>
      <c r="GC196" s="2276"/>
      <c r="GD196" s="2276"/>
      <c r="GE196" s="2250"/>
      <c r="GF196" s="2275"/>
      <c r="GG196" s="284">
        <v>1450</v>
      </c>
      <c r="GH196" s="3620">
        <f>VLOOKUP(GH183,GG155:GR181,11,0)</f>
        <v>292.08</v>
      </c>
      <c r="GI196" s="3620">
        <f t="shared" si="132"/>
        <v>439.5</v>
      </c>
      <c r="GJ196" s="284">
        <v>1650</v>
      </c>
      <c r="GK196" s="2250"/>
      <c r="GL196" s="2250"/>
      <c r="GM196" s="2250"/>
      <c r="GN196" s="2250"/>
      <c r="GO196" s="2250"/>
      <c r="GP196" s="2250"/>
      <c r="GQ196" s="2250"/>
      <c r="GR196" s="2250"/>
      <c r="GS196" s="2250"/>
      <c r="GT196" s="2250"/>
      <c r="GU196" s="284">
        <v>1450</v>
      </c>
      <c r="GV196" s="3620">
        <f>VLOOKUP(GV183,GU155:HF181,11,0)</f>
        <v>210.5</v>
      </c>
      <c r="GW196" s="3620">
        <f t="shared" si="133"/>
        <v>300.79000000000002</v>
      </c>
      <c r="GX196" s="284">
        <v>1650</v>
      </c>
      <c r="GY196" s="2250"/>
      <c r="GZ196" s="2250"/>
      <c r="HA196" s="2250"/>
      <c r="HB196" s="2250"/>
      <c r="HC196" s="2250"/>
      <c r="HD196" s="2250"/>
      <c r="HE196" s="2250"/>
      <c r="HF196" s="2250"/>
      <c r="HG196" s="2250"/>
      <c r="HH196" s="2250"/>
      <c r="HI196" s="284">
        <v>1450</v>
      </c>
      <c r="HJ196" s="3620">
        <f>VLOOKUP(HJ183,HI155:HT181,11,0)</f>
        <v>160.84</v>
      </c>
      <c r="HK196" s="3620">
        <f t="shared" si="134"/>
        <v>229.57</v>
      </c>
      <c r="HL196" s="284">
        <v>1650</v>
      </c>
      <c r="HM196" s="2250"/>
      <c r="HN196" s="2250"/>
      <c r="HO196" s="2250"/>
      <c r="HP196" s="2250"/>
      <c r="HQ196" s="2250"/>
      <c r="HR196" s="2250"/>
      <c r="HS196" s="2250"/>
      <c r="HT196" s="2250"/>
      <c r="HU196" s="2250"/>
      <c r="HV196" s="2250"/>
      <c r="HW196" s="284">
        <v>1450</v>
      </c>
      <c r="HX196" s="3620">
        <f>VLOOKUP(HX183,HW155:IH181,11,0)</f>
        <v>92.18</v>
      </c>
      <c r="HY196" s="3620">
        <f t="shared" si="135"/>
        <v>131.49</v>
      </c>
      <c r="HZ196" s="284">
        <v>1650</v>
      </c>
      <c r="IA196" s="2250"/>
      <c r="IB196" s="2250"/>
      <c r="IC196" s="2250"/>
      <c r="ID196" s="2250"/>
      <c r="IE196" s="2250"/>
      <c r="IF196" s="2250"/>
      <c r="IG196" s="2250"/>
      <c r="IH196" s="2250"/>
      <c r="II196" s="2250"/>
      <c r="IJ196" s="2250"/>
      <c r="IK196" s="2250"/>
      <c r="IL196" s="2250"/>
    </row>
    <row r="197" spans="1:246" ht="21.95" customHeight="1">
      <c r="A197" s="2275"/>
      <c r="B197" s="284"/>
      <c r="C197" s="284"/>
      <c r="D197" s="284"/>
      <c r="E197" s="284"/>
      <c r="F197" s="2250"/>
      <c r="G197" s="2250"/>
      <c r="H197" s="2250"/>
      <c r="I197" s="2250"/>
      <c r="J197" s="2250"/>
      <c r="K197" s="2250"/>
      <c r="L197" s="2250"/>
      <c r="M197" s="2250"/>
      <c r="N197" s="2250"/>
      <c r="O197" s="2250"/>
      <c r="P197" s="284"/>
      <c r="Q197" s="284"/>
      <c r="R197" s="284"/>
      <c r="S197" s="284"/>
      <c r="T197" s="2250"/>
      <c r="U197" s="2250"/>
      <c r="V197" s="2250"/>
      <c r="W197" s="2250"/>
      <c r="X197" s="2250"/>
      <c r="Y197" s="2250"/>
      <c r="Z197" s="2250"/>
      <c r="AA197" s="2250"/>
      <c r="AB197" s="2250"/>
      <c r="AC197" s="2250"/>
      <c r="AD197" s="284"/>
      <c r="AE197" s="284"/>
      <c r="AF197" s="284"/>
      <c r="AG197" s="284"/>
      <c r="AH197" s="2250"/>
      <c r="AI197" s="2250"/>
      <c r="AJ197" s="2250"/>
      <c r="AK197" s="2250"/>
      <c r="AL197" s="2250"/>
      <c r="AM197" s="2250"/>
      <c r="AN197" s="2250"/>
      <c r="AO197" s="2250"/>
      <c r="AP197" s="2250"/>
      <c r="AQ197" s="2250"/>
      <c r="AR197" s="284"/>
      <c r="AS197" s="284"/>
      <c r="AT197" s="284"/>
      <c r="AU197" s="284"/>
      <c r="AV197" s="2250"/>
      <c r="AW197" s="2250"/>
      <c r="AX197" s="2250"/>
      <c r="AY197" s="2250"/>
      <c r="AZ197" s="2250"/>
      <c r="BA197" s="2250"/>
      <c r="BB197" s="2250"/>
      <c r="BC197" s="2250"/>
      <c r="BD197" s="2250"/>
      <c r="BE197" s="2250"/>
      <c r="BF197" s="2276"/>
      <c r="BG197" s="2276"/>
      <c r="BH197" s="2250"/>
      <c r="BI197" s="2275"/>
      <c r="BJ197" s="284"/>
      <c r="BK197" s="284"/>
      <c r="BL197" s="284"/>
      <c r="BM197" s="284"/>
      <c r="BN197" s="2250"/>
      <c r="BO197" s="2250"/>
      <c r="BP197" s="2250"/>
      <c r="BQ197" s="2250"/>
      <c r="BR197" s="2250"/>
      <c r="BS197" s="2250"/>
      <c r="BT197" s="2250"/>
      <c r="BU197" s="2250"/>
      <c r="BV197" s="2250"/>
      <c r="BW197" s="2250"/>
      <c r="BX197" s="284"/>
      <c r="BY197" s="284"/>
      <c r="BZ197" s="284"/>
      <c r="CA197" s="284"/>
      <c r="CB197" s="2250"/>
      <c r="CC197" s="2250"/>
      <c r="CD197" s="2250"/>
      <c r="CE197" s="2250"/>
      <c r="CF197" s="2250"/>
      <c r="CG197" s="2250"/>
      <c r="CH197" s="2250"/>
      <c r="CI197" s="2250"/>
      <c r="CJ197" s="2250"/>
      <c r="CK197" s="2250"/>
      <c r="CL197" s="284"/>
      <c r="CM197" s="284"/>
      <c r="CN197" s="284"/>
      <c r="CO197" s="284"/>
      <c r="CP197" s="2250"/>
      <c r="CQ197" s="2250"/>
      <c r="CR197" s="2250"/>
      <c r="CS197" s="2250"/>
      <c r="CT197" s="2250"/>
      <c r="CU197" s="2250"/>
      <c r="CV197" s="2250"/>
      <c r="CW197" s="2250"/>
      <c r="CX197" s="2250"/>
      <c r="CY197" s="2250"/>
      <c r="CZ197" s="284"/>
      <c r="DA197" s="284"/>
      <c r="DB197" s="284"/>
      <c r="DC197" s="284"/>
      <c r="DD197" s="2250"/>
      <c r="DE197" s="2250"/>
      <c r="DF197" s="2250"/>
      <c r="DG197" s="2250"/>
      <c r="DH197" s="2250"/>
      <c r="DI197" s="2250"/>
      <c r="DJ197" s="2250"/>
      <c r="DK197" s="2250"/>
      <c r="DL197" s="2250"/>
      <c r="DM197" s="2250"/>
      <c r="DN197" s="2250"/>
      <c r="DO197" s="2250"/>
      <c r="DP197" s="2250"/>
      <c r="DQ197" s="2277"/>
      <c r="DR197" s="2277"/>
      <c r="DS197" s="2278"/>
      <c r="DT197" s="2250"/>
      <c r="DU197" s="2250"/>
      <c r="DV197" s="2250"/>
      <c r="DW197" s="2250"/>
      <c r="DX197" s="2275"/>
      <c r="DY197" s="284">
        <v>1650</v>
      </c>
      <c r="DZ197" s="3620">
        <f>VLOOKUP(DZ183,DY155:EJ181,12,0)</f>
        <v>467.92</v>
      </c>
      <c r="EA197" s="3620">
        <f t="shared" si="128"/>
        <v>0</v>
      </c>
      <c r="EB197" s="2250"/>
      <c r="EC197" s="2250"/>
      <c r="ED197" s="2250"/>
      <c r="EE197" s="2250"/>
      <c r="EF197" s="2250"/>
      <c r="EG197" s="2250"/>
      <c r="EH197" s="2250"/>
      <c r="EI197" s="2250"/>
      <c r="EJ197" s="2250"/>
      <c r="EK197" s="2250"/>
      <c r="EL197" s="2250"/>
      <c r="EM197" s="284">
        <v>1650</v>
      </c>
      <c r="EN197" s="3620">
        <f>VLOOKUP(EN183,EM155:EX181,12,0)</f>
        <v>322.27999999999997</v>
      </c>
      <c r="EO197" s="3620">
        <f t="shared" si="129"/>
        <v>0</v>
      </c>
      <c r="EP197" s="2250"/>
      <c r="EQ197" s="2250"/>
      <c r="ER197" s="2250"/>
      <c r="ES197" s="2250"/>
      <c r="ET197" s="2250"/>
      <c r="EU197" s="2250"/>
      <c r="EV197" s="2250"/>
      <c r="EW197" s="2250"/>
      <c r="EX197" s="2250"/>
      <c r="EY197" s="2250"/>
      <c r="EZ197" s="2250"/>
      <c r="FA197" s="284">
        <v>1650</v>
      </c>
      <c r="FB197" s="3620">
        <f>VLOOKUP(FB183,FA155:FL181,12,0)</f>
        <v>243.91</v>
      </c>
      <c r="FC197" s="3620">
        <f t="shared" si="130"/>
        <v>0</v>
      </c>
      <c r="FD197" s="2250"/>
      <c r="FE197" s="2250"/>
      <c r="FF197" s="2250"/>
      <c r="FG197" s="2250"/>
      <c r="FH197" s="2250"/>
      <c r="FI197" s="2250"/>
      <c r="FJ197" s="2250"/>
      <c r="FK197" s="2250"/>
      <c r="FL197" s="2250"/>
      <c r="FM197" s="2250"/>
      <c r="FN197" s="2250"/>
      <c r="FO197" s="284">
        <v>1650</v>
      </c>
      <c r="FP197" s="3620">
        <f>VLOOKUP(FP183,FO155:FZ181,12,0)</f>
        <v>140.99</v>
      </c>
      <c r="FQ197" s="3620">
        <f t="shared" si="131"/>
        <v>0</v>
      </c>
      <c r="FR197" s="2250"/>
      <c r="FS197" s="2250"/>
      <c r="FT197" s="2250"/>
      <c r="FU197" s="2250"/>
      <c r="FV197" s="2250"/>
      <c r="FW197" s="2250"/>
      <c r="FX197" s="2250"/>
      <c r="FY197" s="2250"/>
      <c r="FZ197" s="2250"/>
      <c r="GA197" s="2250"/>
      <c r="GB197" s="2250"/>
      <c r="GC197" s="2276"/>
      <c r="GD197" s="2276"/>
      <c r="GE197" s="2250"/>
      <c r="GF197" s="2275"/>
      <c r="GG197" s="284">
        <v>1650</v>
      </c>
      <c r="GH197" s="3620">
        <f>VLOOKUP(GH183,GG155:GR181,12,0)</f>
        <v>439.5</v>
      </c>
      <c r="GI197" s="3620">
        <f t="shared" si="132"/>
        <v>0</v>
      </c>
      <c r="GJ197" s="2250"/>
      <c r="GK197" s="2250"/>
      <c r="GL197" s="2250"/>
      <c r="GM197" s="2250"/>
      <c r="GN197" s="2250"/>
      <c r="GO197" s="2250"/>
      <c r="GP197" s="2250"/>
      <c r="GQ197" s="2250"/>
      <c r="GR197" s="2250"/>
      <c r="GS197" s="2250"/>
      <c r="GT197" s="2250"/>
      <c r="GU197" s="284">
        <v>1650</v>
      </c>
      <c r="GV197" s="3620">
        <f>VLOOKUP(GV183,GU155:HF181,12,0)</f>
        <v>300.79000000000002</v>
      </c>
      <c r="GW197" s="3620">
        <f t="shared" si="133"/>
        <v>0</v>
      </c>
      <c r="GX197" s="2250"/>
      <c r="GY197" s="2250"/>
      <c r="GZ197" s="2250"/>
      <c r="HA197" s="2250"/>
      <c r="HB197" s="2250"/>
      <c r="HC197" s="2250"/>
      <c r="HD197" s="2250"/>
      <c r="HE197" s="2250"/>
      <c r="HF197" s="2250"/>
      <c r="HG197" s="2250"/>
      <c r="HH197" s="2250"/>
      <c r="HI197" s="284">
        <v>1650</v>
      </c>
      <c r="HJ197" s="3620">
        <f>VLOOKUP(HJ183,HI155:HT181,12,0)</f>
        <v>229.57</v>
      </c>
      <c r="HK197" s="3620">
        <f t="shared" si="134"/>
        <v>0</v>
      </c>
      <c r="HL197" s="2250"/>
      <c r="HM197" s="2250"/>
      <c r="HN197" s="2250"/>
      <c r="HO197" s="2250"/>
      <c r="HP197" s="2250"/>
      <c r="HQ197" s="2250"/>
      <c r="HR197" s="2250"/>
      <c r="HS197" s="2250"/>
      <c r="HT197" s="2250"/>
      <c r="HU197" s="2250"/>
      <c r="HV197" s="2250"/>
      <c r="HW197" s="284">
        <v>1650</v>
      </c>
      <c r="HX197" s="3620">
        <f>VLOOKUP(HX183,HW155:IH181,12,0)</f>
        <v>131.49</v>
      </c>
      <c r="HY197" s="3620">
        <f t="shared" si="135"/>
        <v>0</v>
      </c>
      <c r="HZ197" s="2250"/>
      <c r="IA197" s="2250"/>
      <c r="IB197" s="2250"/>
      <c r="IC197" s="2250"/>
      <c r="ID197" s="2250"/>
      <c r="IE197" s="2250"/>
      <c r="IF197" s="2250"/>
      <c r="IG197" s="2250"/>
      <c r="IH197" s="2250"/>
      <c r="II197" s="2250"/>
      <c r="IJ197" s="2250"/>
      <c r="IK197" s="2250"/>
      <c r="IL197" s="2250"/>
    </row>
    <row r="198" spans="1:246" ht="21.95" customHeight="1">
      <c r="A198" s="2275"/>
      <c r="B198" s="284"/>
      <c r="C198" s="3620">
        <f>VLOOKUP(C183,C185:C196,1)</f>
        <v>12.08</v>
      </c>
      <c r="D198" s="3620">
        <f>VLOOKUP(C198,C185:D196,2,0)</f>
        <v>20.89</v>
      </c>
      <c r="E198" s="284"/>
      <c r="F198" s="2250"/>
      <c r="G198" s="2250"/>
      <c r="H198" s="2250"/>
      <c r="I198" s="2250"/>
      <c r="J198" s="2250"/>
      <c r="K198" s="2250"/>
      <c r="L198" s="2250"/>
      <c r="M198" s="2250"/>
      <c r="N198" s="2250"/>
      <c r="O198" s="2250"/>
      <c r="P198" s="284"/>
      <c r="Q198" s="3620">
        <f>VLOOKUP(Q183,Q185:Q196,1)</f>
        <v>14.95</v>
      </c>
      <c r="R198" s="3620">
        <f>VLOOKUP(Q198,Q185:R196,2,0)</f>
        <v>23.76</v>
      </c>
      <c r="S198" s="284"/>
      <c r="T198" s="2250"/>
      <c r="U198" s="2250"/>
      <c r="V198" s="2250"/>
      <c r="W198" s="2250"/>
      <c r="X198" s="2250"/>
      <c r="Y198" s="2250"/>
      <c r="Z198" s="2250"/>
      <c r="AA198" s="2250"/>
      <c r="AB198" s="2250"/>
      <c r="AC198" s="2250"/>
      <c r="AD198" s="284"/>
      <c r="AE198" s="3620">
        <f>VLOOKUP(AE183,AE185:AE196,1)</f>
        <v>17.95</v>
      </c>
      <c r="AF198" s="3620">
        <f>VLOOKUP(AE198,AE185:AF196,2,0)</f>
        <v>25.17</v>
      </c>
      <c r="AG198" s="284"/>
      <c r="AH198" s="2250"/>
      <c r="AI198" s="2250"/>
      <c r="AJ198" s="2250"/>
      <c r="AK198" s="2250"/>
      <c r="AL198" s="2250"/>
      <c r="AM198" s="2250"/>
      <c r="AN198" s="2250"/>
      <c r="AO198" s="2250"/>
      <c r="AP198" s="2250"/>
      <c r="AQ198" s="2250"/>
      <c r="AR198" s="284"/>
      <c r="AS198" s="3620">
        <f>VLOOKUP(AS183,AS185:AS196,1)</f>
        <v>14.55</v>
      </c>
      <c r="AT198" s="3620">
        <f>VLOOKUP(AS198,AS185:AT196,2,0)</f>
        <v>21.09</v>
      </c>
      <c r="AU198" s="284"/>
      <c r="AV198" s="2250"/>
      <c r="AW198" s="2250"/>
      <c r="AX198" s="2250"/>
      <c r="AY198" s="2250"/>
      <c r="AZ198" s="2250"/>
      <c r="BA198" s="2250"/>
      <c r="BB198" s="2250"/>
      <c r="BC198" s="2250"/>
      <c r="BD198" s="2250"/>
      <c r="BE198" s="2250"/>
      <c r="BF198" s="2276"/>
      <c r="BG198" s="2276"/>
      <c r="BH198" s="2250"/>
      <c r="BI198" s="2275"/>
      <c r="BJ198" s="284"/>
      <c r="BK198" s="3620">
        <f>VLOOKUP(BK183,BK185:BK196,1)</f>
        <v>19.41</v>
      </c>
      <c r="BL198" s="3620">
        <f>VLOOKUP(BK198,BK185:BL196,2,0)</f>
        <v>30.79</v>
      </c>
      <c r="BM198" s="284"/>
      <c r="BN198" s="2250"/>
      <c r="BO198" s="2250"/>
      <c r="BP198" s="2250"/>
      <c r="BQ198" s="2250"/>
      <c r="BR198" s="2250"/>
      <c r="BS198" s="2250"/>
      <c r="BT198" s="2250"/>
      <c r="BU198" s="2250"/>
      <c r="BV198" s="2250"/>
      <c r="BW198" s="2250"/>
      <c r="BX198" s="284"/>
      <c r="BY198" s="3620">
        <f>VLOOKUP(BY183,BY185:BY196,1)</f>
        <v>13.86</v>
      </c>
      <c r="BZ198" s="3620">
        <f>VLOOKUP(BY198,BY185:BZ196,2,0)</f>
        <v>21.68</v>
      </c>
      <c r="CA198" s="284"/>
      <c r="CB198" s="2250"/>
      <c r="CC198" s="2250"/>
      <c r="CD198" s="2250"/>
      <c r="CE198" s="2250"/>
      <c r="CF198" s="2250"/>
      <c r="CG198" s="2250"/>
      <c r="CH198" s="2250"/>
      <c r="CI198" s="2250"/>
      <c r="CJ198" s="2250"/>
      <c r="CK198" s="2250"/>
      <c r="CL198" s="284"/>
      <c r="CM198" s="3620">
        <f>VLOOKUP(CM183,CM185:CM196,1)</f>
        <v>16.25</v>
      </c>
      <c r="CN198" s="3620">
        <f>VLOOKUP(CM198,CM185:CN196,2,0)</f>
        <v>23.25</v>
      </c>
      <c r="CO198" s="284"/>
      <c r="CP198" s="2250"/>
      <c r="CQ198" s="2250"/>
      <c r="CR198" s="2250"/>
      <c r="CS198" s="2250"/>
      <c r="CT198" s="2250"/>
      <c r="CU198" s="2250"/>
      <c r="CV198" s="2250"/>
      <c r="CW198" s="2250"/>
      <c r="CX198" s="2250"/>
      <c r="CY198" s="2250"/>
      <c r="CZ198" s="284"/>
      <c r="DA198" s="3620">
        <f>VLOOKUP(DA183,DA185:DA196,1)</f>
        <v>19.010000000000002</v>
      </c>
      <c r="DB198" s="3620">
        <f>VLOOKUP(DA198,DA185:DB196,2,0)</f>
        <v>25.54</v>
      </c>
      <c r="DC198" s="284"/>
      <c r="DD198" s="2250"/>
      <c r="DE198" s="2250"/>
      <c r="DF198" s="2250"/>
      <c r="DG198" s="2250"/>
      <c r="DH198" s="2250"/>
      <c r="DI198" s="2250"/>
      <c r="DJ198" s="2250"/>
      <c r="DK198" s="2250"/>
      <c r="DL198" s="2250"/>
      <c r="DM198" s="2250"/>
      <c r="DN198" s="2250"/>
      <c r="DO198" s="2250"/>
      <c r="DP198" s="2250"/>
      <c r="DQ198" s="2277"/>
      <c r="DR198" s="2277"/>
      <c r="DS198" s="2278"/>
      <c r="DT198" s="2250"/>
      <c r="DU198" s="2250"/>
      <c r="DV198" s="2250"/>
      <c r="DW198" s="2250"/>
      <c r="DX198" s="2275"/>
      <c r="DY198" s="284"/>
      <c r="DZ198" s="284"/>
      <c r="EA198" s="284"/>
      <c r="EB198" s="284"/>
      <c r="EC198" s="2250"/>
      <c r="ED198" s="2250"/>
      <c r="EE198" s="2250"/>
      <c r="EF198" s="2250"/>
      <c r="EG198" s="2250"/>
      <c r="EH198" s="2250"/>
      <c r="EI198" s="2250"/>
      <c r="EJ198" s="2250"/>
      <c r="EK198" s="2250"/>
      <c r="EL198" s="2250"/>
      <c r="EM198" s="284"/>
      <c r="EN198" s="284"/>
      <c r="EO198" s="284"/>
      <c r="EP198" s="284"/>
      <c r="EQ198" s="2250"/>
      <c r="ER198" s="2250"/>
      <c r="ES198" s="2250"/>
      <c r="ET198" s="2250"/>
      <c r="EU198" s="2250"/>
      <c r="EV198" s="2250"/>
      <c r="EW198" s="2250"/>
      <c r="EX198" s="2250"/>
      <c r="EY198" s="2250"/>
      <c r="EZ198" s="2250"/>
      <c r="FA198" s="284"/>
      <c r="FB198" s="284"/>
      <c r="FC198" s="284"/>
      <c r="FD198" s="284"/>
      <c r="FE198" s="2250"/>
      <c r="FF198" s="2250"/>
      <c r="FG198" s="2250"/>
      <c r="FH198" s="2250"/>
      <c r="FI198" s="2250"/>
      <c r="FJ198" s="2250"/>
      <c r="FK198" s="2250"/>
      <c r="FL198" s="2250"/>
      <c r="FM198" s="2250"/>
      <c r="FN198" s="2250"/>
      <c r="FO198" s="284"/>
      <c r="FP198" s="284"/>
      <c r="FQ198" s="284"/>
      <c r="FR198" s="284"/>
      <c r="FS198" s="2250"/>
      <c r="FT198" s="2250"/>
      <c r="FU198" s="2250"/>
      <c r="FV198" s="2250"/>
      <c r="FW198" s="2250"/>
      <c r="FX198" s="2250"/>
      <c r="FY198" s="2250"/>
      <c r="FZ198" s="2250"/>
      <c r="GA198" s="2250"/>
      <c r="GB198" s="2250"/>
      <c r="GC198" s="2276"/>
      <c r="GD198" s="2276"/>
      <c r="GE198" s="2250"/>
      <c r="GF198" s="2275"/>
      <c r="GG198" s="284"/>
      <c r="GH198" s="284"/>
      <c r="GI198" s="284"/>
      <c r="GJ198" s="284"/>
      <c r="GK198" s="2250"/>
      <c r="GL198" s="2250"/>
      <c r="GM198" s="2250"/>
      <c r="GN198" s="2250"/>
      <c r="GO198" s="2250"/>
      <c r="GP198" s="2250"/>
      <c r="GQ198" s="2250"/>
      <c r="GR198" s="2250"/>
      <c r="GS198" s="2250"/>
      <c r="GT198" s="2250"/>
      <c r="GU198" s="284"/>
      <c r="GV198" s="284"/>
      <c r="GW198" s="284"/>
      <c r="GX198" s="284"/>
      <c r="GY198" s="2250"/>
      <c r="GZ198" s="2250"/>
      <c r="HA198" s="2250"/>
      <c r="HB198" s="2250"/>
      <c r="HC198" s="2250"/>
      <c r="HD198" s="2250"/>
      <c r="HE198" s="2250"/>
      <c r="HF198" s="2250"/>
      <c r="HG198" s="2250"/>
      <c r="HH198" s="2250"/>
      <c r="HI198" s="284"/>
      <c r="HJ198" s="284"/>
      <c r="HK198" s="284"/>
      <c r="HL198" s="284"/>
      <c r="HM198" s="2250"/>
      <c r="HN198" s="2250"/>
      <c r="HO198" s="2250"/>
      <c r="HP198" s="2250"/>
      <c r="HQ198" s="2250"/>
      <c r="HR198" s="2250"/>
      <c r="HS198" s="2250"/>
      <c r="HT198" s="2250"/>
      <c r="HU198" s="2250"/>
      <c r="HV198" s="2250"/>
      <c r="HW198" s="284"/>
      <c r="HX198" s="284"/>
      <c r="HY198" s="284"/>
      <c r="HZ198" s="284"/>
      <c r="IA198" s="2250"/>
      <c r="IB198" s="2250"/>
      <c r="IC198" s="2250"/>
      <c r="ID198" s="2250"/>
      <c r="IE198" s="2250"/>
      <c r="IF198" s="2250"/>
      <c r="IG198" s="2250"/>
      <c r="IH198" s="2250"/>
      <c r="II198" s="2250"/>
      <c r="IJ198" s="2250"/>
      <c r="IK198" s="2250"/>
      <c r="IL198" s="2250"/>
    </row>
    <row r="199" spans="1:246" ht="21.95" customHeight="1" thickBot="1">
      <c r="A199" s="2275"/>
      <c r="B199" s="284"/>
      <c r="C199" s="3620">
        <f>IFERROR(VLOOKUP(C183,C185:C196,1,0),0)</f>
        <v>0</v>
      </c>
      <c r="D199" s="3685">
        <f>IF(C199&gt;0,C199,D198)</f>
        <v>20.89</v>
      </c>
      <c r="E199" s="3685">
        <f>VLOOKUP(D199,D185:E196,2,0)</f>
        <v>650</v>
      </c>
      <c r="F199" s="2250"/>
      <c r="G199" s="2250"/>
      <c r="H199" s="2250"/>
      <c r="I199" s="2250"/>
      <c r="J199" s="2250"/>
      <c r="K199" s="2250"/>
      <c r="L199" s="2250"/>
      <c r="M199" s="2250"/>
      <c r="N199" s="2250"/>
      <c r="O199" s="2250"/>
      <c r="P199" s="284"/>
      <c r="Q199" s="3620">
        <f>IFERROR(VLOOKUP(Q183,Q185:Q196,1,0),0)</f>
        <v>0</v>
      </c>
      <c r="R199" s="3685">
        <f>IF(Q199&gt;0,Q199,R198)</f>
        <v>23.76</v>
      </c>
      <c r="S199" s="3685">
        <f>VLOOKUP(R199,R185:S196,2,0)</f>
        <v>775</v>
      </c>
      <c r="T199" s="2250"/>
      <c r="U199" s="2250"/>
      <c r="V199" s="2250"/>
      <c r="W199" s="2250"/>
      <c r="X199" s="2250"/>
      <c r="Y199" s="2250"/>
      <c r="Z199" s="2250"/>
      <c r="AA199" s="2250"/>
      <c r="AB199" s="2250"/>
      <c r="AC199" s="2250"/>
      <c r="AD199" s="284"/>
      <c r="AE199" s="3620">
        <f>IFERROR(VLOOKUP(AE183,AE185:AE196,1,0),0)</f>
        <v>0</v>
      </c>
      <c r="AF199" s="3685">
        <f>IF(AE199&gt;0,AE199,AF198)</f>
        <v>25.17</v>
      </c>
      <c r="AG199" s="3685">
        <f>VLOOKUP(AF199,AF185:AG196,2,0)</f>
        <v>825</v>
      </c>
      <c r="AH199" s="2250"/>
      <c r="AI199" s="2250"/>
      <c r="AJ199" s="2250"/>
      <c r="AK199" s="2250"/>
      <c r="AL199" s="2250"/>
      <c r="AM199" s="2250"/>
      <c r="AN199" s="2250"/>
      <c r="AO199" s="2250"/>
      <c r="AP199" s="2250"/>
      <c r="AQ199" s="2250"/>
      <c r="AR199" s="284"/>
      <c r="AS199" s="3620">
        <f>IFERROR(VLOOKUP(AS183,AS185:AS196,1,0),0)</f>
        <v>0</v>
      </c>
      <c r="AT199" s="3685">
        <f>IF(AS199&gt;0,AS199,AT198)</f>
        <v>21.09</v>
      </c>
      <c r="AU199" s="3685">
        <f>VLOOKUP(AT199,AT185:AU196,2,0)</f>
        <v>950</v>
      </c>
      <c r="AV199" s="2250"/>
      <c r="AW199" s="2250"/>
      <c r="AX199" s="2250"/>
      <c r="AY199" s="2250"/>
      <c r="AZ199" s="2250"/>
      <c r="BA199" s="2250"/>
      <c r="BB199" s="2250"/>
      <c r="BC199" s="2250"/>
      <c r="BD199" s="2250"/>
      <c r="BE199" s="2250"/>
      <c r="BF199" s="2276"/>
      <c r="BG199" s="2276"/>
      <c r="BH199" s="2250"/>
      <c r="BI199" s="2275"/>
      <c r="BJ199" s="284"/>
      <c r="BK199" s="3620">
        <f>IFERROR(VLOOKUP(BK183,BK185:BK196,1,0),0)</f>
        <v>0</v>
      </c>
      <c r="BL199" s="3685">
        <f>IF(BK199&gt;0,BK199,BL198)</f>
        <v>30.79</v>
      </c>
      <c r="BM199" s="3685">
        <f>VLOOKUP(BL199,BL185:BM196,2,0)</f>
        <v>775</v>
      </c>
      <c r="BN199" s="2250"/>
      <c r="BO199" s="2250"/>
      <c r="BP199" s="2250"/>
      <c r="BQ199" s="2250"/>
      <c r="BR199" s="2250"/>
      <c r="BS199" s="2250"/>
      <c r="BT199" s="2250"/>
      <c r="BU199" s="2250"/>
      <c r="BV199" s="2250"/>
      <c r="BW199" s="2250"/>
      <c r="BX199" s="284"/>
      <c r="BY199" s="3620">
        <f>IFERROR(VLOOKUP(BY183,BY185:BY196,1,0),0)</f>
        <v>0</v>
      </c>
      <c r="BZ199" s="3685">
        <f>IF(BY199&gt;0,BY199,BZ198)</f>
        <v>21.68</v>
      </c>
      <c r="CA199" s="3685">
        <f>VLOOKUP(BZ199,BZ185:CA196,2,0)</f>
        <v>775</v>
      </c>
      <c r="CB199" s="2250"/>
      <c r="CC199" s="2250"/>
      <c r="CD199" s="2250"/>
      <c r="CE199" s="2250"/>
      <c r="CF199" s="2250"/>
      <c r="CG199" s="2250"/>
      <c r="CH199" s="2250"/>
      <c r="CI199" s="2250"/>
      <c r="CJ199" s="2250"/>
      <c r="CK199" s="2250"/>
      <c r="CL199" s="284"/>
      <c r="CM199" s="3620">
        <f>IFERROR(VLOOKUP(CM183,CM185:CM196,1,0),0)</f>
        <v>0</v>
      </c>
      <c r="CN199" s="3685">
        <f>IF(CM199&gt;0,CM199,CN198)</f>
        <v>23.25</v>
      </c>
      <c r="CO199" s="3685">
        <f>VLOOKUP(CN199,CN185:CO196,2,0)</f>
        <v>825</v>
      </c>
      <c r="CP199" s="2250"/>
      <c r="CQ199" s="2250"/>
      <c r="CR199" s="2250"/>
      <c r="CS199" s="2250"/>
      <c r="CT199" s="2250"/>
      <c r="CU199" s="2250"/>
      <c r="CV199" s="2250"/>
      <c r="CW199" s="2250"/>
      <c r="CX199" s="2250"/>
      <c r="CY199" s="2250"/>
      <c r="CZ199" s="284"/>
      <c r="DA199" s="3620">
        <f>IFERROR(VLOOKUP(DA183,DA185:DA196,1,0),0)</f>
        <v>0</v>
      </c>
      <c r="DB199" s="3685">
        <f>IF(DA199&gt;0,DA199,DB198)</f>
        <v>25.54</v>
      </c>
      <c r="DC199" s="3685">
        <f>VLOOKUP(DB199,DB185:DC196,2,0)</f>
        <v>1100</v>
      </c>
      <c r="DD199" s="2250"/>
      <c r="DE199" s="2250"/>
      <c r="DF199" s="2250"/>
      <c r="DG199" s="2250"/>
      <c r="DH199" s="2250"/>
      <c r="DI199" s="2250"/>
      <c r="DJ199" s="2250"/>
      <c r="DK199" s="2250"/>
      <c r="DL199" s="2250"/>
      <c r="DM199" s="2250"/>
      <c r="DN199" s="2250"/>
      <c r="DO199" s="2250"/>
      <c r="DP199" s="2250"/>
      <c r="DQ199" s="2277"/>
      <c r="DR199" s="2277"/>
      <c r="DS199" s="2278"/>
      <c r="DT199" s="2250"/>
      <c r="DU199" s="2250"/>
      <c r="DV199" s="2250"/>
      <c r="DW199" s="2250"/>
      <c r="DX199" s="2275"/>
      <c r="DY199" s="284"/>
      <c r="DZ199" s="3620">
        <f>VLOOKUP(DZ184,DZ186:DZ197,1)</f>
        <v>18.02</v>
      </c>
      <c r="EA199" s="3620">
        <f>VLOOKUP(DZ199,DZ186:EA197,2,0)</f>
        <v>31.19</v>
      </c>
      <c r="EB199" s="284"/>
      <c r="EC199" s="2250"/>
      <c r="ED199" s="2250"/>
      <c r="EE199" s="2250"/>
      <c r="EF199" s="2250"/>
      <c r="EG199" s="2250"/>
      <c r="EH199" s="2250"/>
      <c r="EI199" s="2250"/>
      <c r="EJ199" s="2250"/>
      <c r="EK199" s="2250"/>
      <c r="EL199" s="2250"/>
      <c r="EM199" s="284"/>
      <c r="EN199" s="3620">
        <f>VLOOKUP(EN184,EN186:EN197,1)</f>
        <v>12.97</v>
      </c>
      <c r="EO199" s="3620">
        <f>VLOOKUP(EN199,EN186:EO197,2,0)</f>
        <v>22.48</v>
      </c>
      <c r="EP199" s="284"/>
      <c r="EQ199" s="2250"/>
      <c r="ER199" s="2250"/>
      <c r="ES199" s="2250"/>
      <c r="ET199" s="2250"/>
      <c r="EU199" s="2250"/>
      <c r="EV199" s="2250"/>
      <c r="EW199" s="2250"/>
      <c r="EX199" s="2250"/>
      <c r="EY199" s="2250"/>
      <c r="EZ199" s="2250"/>
      <c r="FA199" s="284"/>
      <c r="FB199" s="3620">
        <f>VLOOKUP(FB184,FB186:FB197,1)</f>
        <v>18.28</v>
      </c>
      <c r="FC199" s="3620">
        <f>VLOOKUP(FB199,FB186:FC197,2,0)</f>
        <v>28.22</v>
      </c>
      <c r="FD199" s="284"/>
      <c r="FE199" s="2250"/>
      <c r="FF199" s="2250"/>
      <c r="FG199" s="2250"/>
      <c r="FH199" s="2250"/>
      <c r="FI199" s="2250"/>
      <c r="FJ199" s="2250"/>
      <c r="FK199" s="2250"/>
      <c r="FL199" s="2250"/>
      <c r="FM199" s="2250"/>
      <c r="FN199" s="2250"/>
      <c r="FO199" s="284"/>
      <c r="FP199" s="3620">
        <f>VLOOKUP(FP184,FP186:FP197,1)</f>
        <v>16.34</v>
      </c>
      <c r="FQ199" s="3620">
        <f>VLOOKUP(FP199,FP186:FQ197,2,0)</f>
        <v>21.98</v>
      </c>
      <c r="FR199" s="284"/>
      <c r="FS199" s="2250"/>
      <c r="FT199" s="2250"/>
      <c r="FU199" s="2250"/>
      <c r="FV199" s="2250"/>
      <c r="FW199" s="2250"/>
      <c r="FX199" s="2250"/>
      <c r="FY199" s="2250"/>
      <c r="FZ199" s="2250"/>
      <c r="GA199" s="2250"/>
      <c r="GB199" s="2250"/>
      <c r="GC199" s="2276"/>
      <c r="GD199" s="2276"/>
      <c r="GE199" s="2250"/>
      <c r="GF199" s="2275"/>
      <c r="GG199" s="284"/>
      <c r="GH199" s="3620">
        <f>VLOOKUP(GH184,GH186:GH197,1)</f>
        <v>16.93</v>
      </c>
      <c r="GI199" s="3620">
        <f>VLOOKUP(GH199,GH186:GI197,2,0)</f>
        <v>29.21</v>
      </c>
      <c r="GJ199" s="284"/>
      <c r="GK199" s="2250"/>
      <c r="GL199" s="2250"/>
      <c r="GM199" s="2250"/>
      <c r="GN199" s="2250"/>
      <c r="GO199" s="2250"/>
      <c r="GP199" s="2250"/>
      <c r="GQ199" s="2250"/>
      <c r="GR199" s="2250"/>
      <c r="GS199" s="2250"/>
      <c r="GT199" s="2250"/>
      <c r="GU199" s="284"/>
      <c r="GV199" s="3620">
        <f>VLOOKUP(GV184,GV186:GV197,1)</f>
        <v>12.18</v>
      </c>
      <c r="GW199" s="3620">
        <f>VLOOKUP(GV199,GV186:GW197,2,0)</f>
        <v>21.09</v>
      </c>
      <c r="GX199" s="284"/>
      <c r="GY199" s="2250"/>
      <c r="GZ199" s="2250"/>
      <c r="HA199" s="2250"/>
      <c r="HB199" s="2250"/>
      <c r="HC199" s="2250"/>
      <c r="HD199" s="2250"/>
      <c r="HE199" s="2250"/>
      <c r="HF199" s="2250"/>
      <c r="HG199" s="2250"/>
      <c r="HH199" s="2250"/>
      <c r="HI199" s="284"/>
      <c r="HJ199" s="3620">
        <f>VLOOKUP(HJ184,HJ186:HJ197,1)</f>
        <v>16.59</v>
      </c>
      <c r="HK199" s="3620">
        <f>VLOOKUP(HJ199,HJ186:HK197,2,0)</f>
        <v>26.52</v>
      </c>
      <c r="HL199" s="284"/>
      <c r="HM199" s="2250"/>
      <c r="HN199" s="2250"/>
      <c r="HO199" s="2250"/>
      <c r="HP199" s="2250"/>
      <c r="HQ199" s="2250"/>
      <c r="HR199" s="2250"/>
      <c r="HS199" s="2250"/>
      <c r="HT199" s="2250"/>
      <c r="HU199" s="2250"/>
      <c r="HV199" s="2250"/>
      <c r="HW199" s="284"/>
      <c r="HX199" s="3620">
        <f>VLOOKUP(HX184,HX186:HX197,1)</f>
        <v>15.35</v>
      </c>
      <c r="HY199" s="3620">
        <f>VLOOKUP(HX199,HX186:HY197,2,0)</f>
        <v>20.69</v>
      </c>
      <c r="HZ199" s="284"/>
      <c r="IA199" s="2250"/>
      <c r="IB199" s="2250"/>
      <c r="IC199" s="2250"/>
      <c r="ID199" s="2250"/>
      <c r="IE199" s="2250"/>
      <c r="IF199" s="2250"/>
      <c r="IG199" s="2250"/>
      <c r="IH199" s="2250"/>
      <c r="II199" s="2250"/>
      <c r="IJ199" s="2250"/>
      <c r="IK199" s="2250"/>
      <c r="IL199" s="2250"/>
    </row>
    <row r="200" spans="1:246" ht="21.95" customHeight="1" thickBot="1">
      <c r="A200" s="2275"/>
      <c r="B200" s="2279" t="s">
        <v>714</v>
      </c>
      <c r="C200" s="2341"/>
      <c r="D200" s="3691">
        <f>D199</f>
        <v>20.89</v>
      </c>
      <c r="E200" s="3667">
        <f>E199</f>
        <v>650</v>
      </c>
      <c r="F200" s="2250"/>
      <c r="G200" s="2250"/>
      <c r="H200" s="2250"/>
      <c r="I200" s="2250"/>
      <c r="J200" s="2250"/>
      <c r="K200" s="2250"/>
      <c r="L200" s="2250"/>
      <c r="M200" s="2250"/>
      <c r="N200" s="2250"/>
      <c r="O200" s="2250"/>
      <c r="P200" s="2279" t="s">
        <v>714</v>
      </c>
      <c r="Q200" s="2341"/>
      <c r="R200" s="3691">
        <f>R199</f>
        <v>23.76</v>
      </c>
      <c r="S200" s="3667">
        <f>S199</f>
        <v>775</v>
      </c>
      <c r="T200" s="2250"/>
      <c r="U200" s="2250"/>
      <c r="V200" s="2250"/>
      <c r="W200" s="2250"/>
      <c r="X200" s="2250"/>
      <c r="Y200" s="2250"/>
      <c r="Z200" s="2250"/>
      <c r="AA200" s="2250"/>
      <c r="AB200" s="2250"/>
      <c r="AC200" s="2250"/>
      <c r="AD200" s="2279" t="s">
        <v>714</v>
      </c>
      <c r="AE200" s="2341"/>
      <c r="AF200" s="3691">
        <f>AF199</f>
        <v>25.17</v>
      </c>
      <c r="AG200" s="3667">
        <f>AG199</f>
        <v>825</v>
      </c>
      <c r="AH200" s="2250"/>
      <c r="AI200" s="2250"/>
      <c r="AJ200" s="2250"/>
      <c r="AK200" s="2250"/>
      <c r="AL200" s="2250"/>
      <c r="AM200" s="2250"/>
      <c r="AN200" s="2250"/>
      <c r="AO200" s="2250"/>
      <c r="AP200" s="2250"/>
      <c r="AQ200" s="2250"/>
      <c r="AR200" s="2279" t="s">
        <v>714</v>
      </c>
      <c r="AS200" s="2341"/>
      <c r="AT200" s="3691">
        <f>AT199</f>
        <v>21.09</v>
      </c>
      <c r="AU200" s="3667">
        <f>AU199</f>
        <v>950</v>
      </c>
      <c r="AV200" s="2250"/>
      <c r="AW200" s="2250"/>
      <c r="AX200" s="2250"/>
      <c r="AY200" s="2250"/>
      <c r="AZ200" s="2250"/>
      <c r="BA200" s="2250"/>
      <c r="BB200" s="2250"/>
      <c r="BC200" s="2250"/>
      <c r="BD200" s="2275"/>
      <c r="BE200" s="2275"/>
      <c r="BF200" s="2276"/>
      <c r="BG200" s="2276"/>
      <c r="BH200" s="2250"/>
      <c r="BI200" s="2275"/>
      <c r="BJ200" s="2279" t="s">
        <v>714</v>
      </c>
      <c r="BK200" s="2341"/>
      <c r="BL200" s="3691">
        <f>BL199</f>
        <v>30.79</v>
      </c>
      <c r="BM200" s="3667">
        <f>BM199</f>
        <v>775</v>
      </c>
      <c r="BN200" s="2250"/>
      <c r="BO200" s="2250"/>
      <c r="BP200" s="2250"/>
      <c r="BQ200" s="2250"/>
      <c r="BR200" s="2250"/>
      <c r="BS200" s="2250"/>
      <c r="BT200" s="2250"/>
      <c r="BU200" s="2250"/>
      <c r="BV200" s="2250"/>
      <c r="BW200" s="2250"/>
      <c r="BX200" s="2279" t="s">
        <v>714</v>
      </c>
      <c r="BY200" s="2341"/>
      <c r="BZ200" s="3691">
        <f>BZ199</f>
        <v>21.68</v>
      </c>
      <c r="CA200" s="3667">
        <f>CA199</f>
        <v>775</v>
      </c>
      <c r="CB200" s="2250"/>
      <c r="CC200" s="2250"/>
      <c r="CD200" s="2250"/>
      <c r="CE200" s="2250"/>
      <c r="CF200" s="2250"/>
      <c r="CG200" s="2250"/>
      <c r="CH200" s="2250"/>
      <c r="CI200" s="2250"/>
      <c r="CJ200" s="2250"/>
      <c r="CK200" s="2250"/>
      <c r="CL200" s="2279" t="s">
        <v>714</v>
      </c>
      <c r="CM200" s="2341"/>
      <c r="CN200" s="3691">
        <f>CN199</f>
        <v>23.25</v>
      </c>
      <c r="CO200" s="3667">
        <f>CO199</f>
        <v>825</v>
      </c>
      <c r="CP200" s="2250"/>
      <c r="CQ200" s="2250"/>
      <c r="CR200" s="2250"/>
      <c r="CS200" s="2250"/>
      <c r="CT200" s="2250"/>
      <c r="CU200" s="2250"/>
      <c r="CV200" s="2250"/>
      <c r="CW200" s="2250"/>
      <c r="CX200" s="2250"/>
      <c r="CY200" s="2250"/>
      <c r="CZ200" s="2279" t="s">
        <v>714</v>
      </c>
      <c r="DA200" s="2341"/>
      <c r="DB200" s="3691">
        <f>DB199</f>
        <v>25.54</v>
      </c>
      <c r="DC200" s="3667">
        <f>DC199</f>
        <v>1100</v>
      </c>
      <c r="DD200" s="2250"/>
      <c r="DE200" s="2250"/>
      <c r="DF200" s="2250"/>
      <c r="DG200" s="2250"/>
      <c r="DH200" s="2250"/>
      <c r="DI200" s="2250"/>
      <c r="DJ200" s="2250"/>
      <c r="DK200" s="2250"/>
      <c r="DL200" s="2275"/>
      <c r="DM200" s="2275"/>
      <c r="DN200" s="2275"/>
      <c r="DO200" s="2275"/>
      <c r="DP200" s="2275"/>
      <c r="DQ200" s="2277"/>
      <c r="DR200" s="2277"/>
      <c r="DS200" s="2278"/>
      <c r="DT200" s="2250"/>
      <c r="DU200" s="2250"/>
      <c r="DV200" s="2250"/>
      <c r="DW200" s="2250"/>
      <c r="DX200" s="2275"/>
      <c r="DY200" s="284"/>
      <c r="DZ200" s="3620">
        <f>IFERROR(VLOOKUP(DZ184,DZ186:DZ197,1,0),0)</f>
        <v>0</v>
      </c>
      <c r="EA200" s="3685">
        <f>IF(DZ200&gt;0,DZ200,EA199)</f>
        <v>31.19</v>
      </c>
      <c r="EB200" s="3685">
        <f>VLOOKUP(EA200,EA186:EB197,2,0)</f>
        <v>650</v>
      </c>
      <c r="EC200" s="2250"/>
      <c r="ED200" s="2250"/>
      <c r="EE200" s="2250"/>
      <c r="EF200" s="2250"/>
      <c r="EG200" s="2250"/>
      <c r="EH200" s="2250"/>
      <c r="EI200" s="2250"/>
      <c r="EJ200" s="2250"/>
      <c r="EK200" s="2250"/>
      <c r="EL200" s="2250"/>
      <c r="EM200" s="284"/>
      <c r="EN200" s="3620">
        <f>IFERROR(VLOOKUP(EN184,EN186:EN197,1,0),0)</f>
        <v>0</v>
      </c>
      <c r="EO200" s="3685">
        <f>IF(EN200&gt;0,EN200,EO199)</f>
        <v>22.48</v>
      </c>
      <c r="EP200" s="3685">
        <f>VLOOKUP(EO200,EO186:EP197,2,0)</f>
        <v>650</v>
      </c>
      <c r="EQ200" s="2250"/>
      <c r="ER200" s="2250"/>
      <c r="ES200" s="2250"/>
      <c r="ET200" s="2250"/>
      <c r="EU200" s="2250"/>
      <c r="EV200" s="2250"/>
      <c r="EW200" s="2250"/>
      <c r="EX200" s="2250"/>
      <c r="EY200" s="2250"/>
      <c r="EZ200" s="2250"/>
      <c r="FA200" s="284"/>
      <c r="FB200" s="3620">
        <f>IFERROR(VLOOKUP(FB184,FB186:FB197,1,0),0)</f>
        <v>0</v>
      </c>
      <c r="FC200" s="3685">
        <f>IF(FB200&gt;0,FB200,FC199)</f>
        <v>28.22</v>
      </c>
      <c r="FD200" s="3685">
        <f>VLOOKUP(FC200,FC186:FD197,2,0)</f>
        <v>775</v>
      </c>
      <c r="FE200" s="2250"/>
      <c r="FF200" s="2250"/>
      <c r="FG200" s="2250"/>
      <c r="FH200" s="2250"/>
      <c r="FI200" s="2250"/>
      <c r="FJ200" s="2250"/>
      <c r="FK200" s="2250"/>
      <c r="FL200" s="2250"/>
      <c r="FM200" s="2250"/>
      <c r="FN200" s="2250"/>
      <c r="FO200" s="284"/>
      <c r="FP200" s="3620">
        <f>IFERROR(VLOOKUP(FP184,FP186:FP197,1,0),0)</f>
        <v>0</v>
      </c>
      <c r="FQ200" s="3685">
        <f>IF(FP200&gt;0,FP200,FQ199)</f>
        <v>21.98</v>
      </c>
      <c r="FR200" s="3685">
        <f>VLOOKUP(FQ200,FQ186:FR197,2,0)</f>
        <v>825</v>
      </c>
      <c r="FS200" s="2250"/>
      <c r="FT200" s="2250"/>
      <c r="FU200" s="2250"/>
      <c r="FV200" s="2250"/>
      <c r="FW200" s="2250"/>
      <c r="FX200" s="2250"/>
      <c r="FY200" s="2250"/>
      <c r="FZ200" s="2250"/>
      <c r="GA200" s="2250"/>
      <c r="GB200" s="2250"/>
      <c r="GC200" s="2276"/>
      <c r="GD200" s="2276"/>
      <c r="GE200" s="2250"/>
      <c r="GF200" s="2275"/>
      <c r="GG200" s="284"/>
      <c r="GH200" s="3620">
        <f>IFERROR(VLOOKUP(GH184,GH186:GH197,1,0),0)</f>
        <v>0</v>
      </c>
      <c r="GI200" s="3685">
        <f>IF(GH200&gt;0,GH200,GI199)</f>
        <v>29.21</v>
      </c>
      <c r="GJ200" s="3685">
        <f>VLOOKUP(GI200,GI186:GJ197,2,0)</f>
        <v>650</v>
      </c>
      <c r="GK200" s="2250"/>
      <c r="GL200" s="2250"/>
      <c r="GM200" s="2250"/>
      <c r="GN200" s="2250"/>
      <c r="GO200" s="2250"/>
      <c r="GP200" s="2250"/>
      <c r="GQ200" s="2250"/>
      <c r="GR200" s="2250"/>
      <c r="GS200" s="2250"/>
      <c r="GT200" s="2250"/>
      <c r="GU200" s="284"/>
      <c r="GV200" s="3620">
        <f>IFERROR(VLOOKUP(GV184,GV186:GV197,1,0),0)</f>
        <v>0</v>
      </c>
      <c r="GW200" s="3685">
        <f>IF(GV200&gt;0,GV200,GW199)</f>
        <v>21.09</v>
      </c>
      <c r="GX200" s="3685">
        <f>VLOOKUP(GW200,GW186:GX197,2,0)</f>
        <v>650</v>
      </c>
      <c r="GY200" s="2250"/>
      <c r="GZ200" s="2250"/>
      <c r="HA200" s="2250"/>
      <c r="HB200" s="2250"/>
      <c r="HC200" s="2250"/>
      <c r="HD200" s="2250"/>
      <c r="HE200" s="2250"/>
      <c r="HF200" s="2250"/>
      <c r="HG200" s="2250"/>
      <c r="HH200" s="2250"/>
      <c r="HI200" s="284"/>
      <c r="HJ200" s="3620">
        <f>IFERROR(VLOOKUP(HJ184,HJ186:HJ197,1,0),0)</f>
        <v>0</v>
      </c>
      <c r="HK200" s="3685">
        <f>IF(HJ200&gt;0,HJ200,HK199)</f>
        <v>26.52</v>
      </c>
      <c r="HL200" s="3685">
        <f>VLOOKUP(HK200,HK186:HL197,2,0)</f>
        <v>775</v>
      </c>
      <c r="HM200" s="2250"/>
      <c r="HN200" s="2250"/>
      <c r="HO200" s="2250"/>
      <c r="HP200" s="2250"/>
      <c r="HQ200" s="2250"/>
      <c r="HR200" s="2250"/>
      <c r="HS200" s="2250"/>
      <c r="HT200" s="2250"/>
      <c r="HU200" s="2250"/>
      <c r="HV200" s="2250"/>
      <c r="HW200" s="284"/>
      <c r="HX200" s="3620">
        <f>IFERROR(VLOOKUP(HX184,HX186:HX197,1,0),0)</f>
        <v>0</v>
      </c>
      <c r="HY200" s="3685">
        <f>IF(HX200&gt;0,HX200,HY199)</f>
        <v>20.69</v>
      </c>
      <c r="HZ200" s="3685">
        <f>VLOOKUP(HY200,HY186:HZ197,2,0)</f>
        <v>825</v>
      </c>
      <c r="IA200" s="2250"/>
      <c r="IB200" s="2250"/>
      <c r="IC200" s="2250"/>
      <c r="ID200" s="2250"/>
      <c r="IE200" s="2250"/>
      <c r="IF200" s="2250"/>
      <c r="IG200" s="2250"/>
      <c r="IH200" s="2250"/>
      <c r="II200" s="2250"/>
      <c r="IJ200" s="2250"/>
      <c r="IK200" s="2250"/>
      <c r="IL200" s="2250"/>
    </row>
    <row r="201" spans="1:246" ht="21.95" customHeight="1" thickBot="1">
      <c r="A201" s="2275"/>
      <c r="B201" s="2250"/>
      <c r="C201" s="2250"/>
      <c r="D201" s="2250"/>
      <c r="E201" s="2250"/>
      <c r="F201" s="2250"/>
      <c r="G201" s="2250"/>
      <c r="H201" s="2250"/>
      <c r="I201" s="2250"/>
      <c r="J201" s="2250"/>
      <c r="K201" s="2250"/>
      <c r="L201" s="2250"/>
      <c r="M201" s="2250"/>
      <c r="N201" s="2250"/>
      <c r="O201" s="2250"/>
      <c r="P201" s="2250"/>
      <c r="Q201" s="2250"/>
      <c r="R201" s="2250"/>
      <c r="S201" s="2250"/>
      <c r="T201" s="2250"/>
      <c r="U201" s="2250"/>
      <c r="V201" s="2250"/>
      <c r="W201" s="2250"/>
      <c r="X201" s="2250"/>
      <c r="Y201" s="2250"/>
      <c r="Z201" s="2250"/>
      <c r="AA201" s="2250"/>
      <c r="AB201" s="2250"/>
      <c r="AC201" s="2250"/>
      <c r="AD201" s="2250"/>
      <c r="AE201" s="2250"/>
      <c r="AF201" s="2250"/>
      <c r="AG201" s="2250"/>
      <c r="AH201" s="2250"/>
      <c r="AI201" s="2250"/>
      <c r="AJ201" s="2250"/>
      <c r="AK201" s="2250"/>
      <c r="AL201" s="2250"/>
      <c r="AM201" s="2250"/>
      <c r="AN201" s="2250"/>
      <c r="AO201" s="2250"/>
      <c r="AP201" s="2250"/>
      <c r="AQ201" s="2250"/>
      <c r="AR201" s="2250"/>
      <c r="AS201" s="2250"/>
      <c r="AT201" s="2250"/>
      <c r="AU201" s="2250"/>
      <c r="AV201" s="2250"/>
      <c r="AW201" s="2250"/>
      <c r="AX201" s="2250"/>
      <c r="AY201" s="2250"/>
      <c r="AZ201" s="2250"/>
      <c r="BA201" s="2250"/>
      <c r="BB201" s="2250"/>
      <c r="BC201" s="2250"/>
      <c r="BD201" s="2275"/>
      <c r="BE201" s="2275"/>
      <c r="BF201" s="2276"/>
      <c r="BG201" s="2276"/>
      <c r="BH201" s="2250"/>
      <c r="BI201" s="2275"/>
      <c r="BJ201" s="2250"/>
      <c r="BK201" s="2250"/>
      <c r="BL201" s="2250"/>
      <c r="BM201" s="2250"/>
      <c r="BN201" s="2250"/>
      <c r="BO201" s="2250"/>
      <c r="BP201" s="2250"/>
      <c r="BQ201" s="2250"/>
      <c r="BR201" s="2250"/>
      <c r="BS201" s="2250"/>
      <c r="BT201" s="2250"/>
      <c r="BU201" s="2250"/>
      <c r="BV201" s="2250"/>
      <c r="BW201" s="2250"/>
      <c r="BX201" s="2250"/>
      <c r="BY201" s="2250"/>
      <c r="BZ201" s="2250"/>
      <c r="CA201" s="2250"/>
      <c r="CB201" s="2250"/>
      <c r="CC201" s="2250"/>
      <c r="CD201" s="2250"/>
      <c r="CE201" s="2250"/>
      <c r="CF201" s="2250"/>
      <c r="CG201" s="2250"/>
      <c r="CH201" s="2250"/>
      <c r="CI201" s="2250"/>
      <c r="CJ201" s="2250"/>
      <c r="CK201" s="2250"/>
      <c r="CL201" s="2250"/>
      <c r="CM201" s="2250"/>
      <c r="CN201" s="2250"/>
      <c r="CO201" s="2250"/>
      <c r="CP201" s="2250"/>
      <c r="CQ201" s="2250"/>
      <c r="CR201" s="2250"/>
      <c r="CS201" s="2250"/>
      <c r="CT201" s="2250"/>
      <c r="CU201" s="2250"/>
      <c r="CV201" s="2250"/>
      <c r="CW201" s="2250"/>
      <c r="CX201" s="2250"/>
      <c r="CY201" s="2250"/>
      <c r="CZ201" s="2250"/>
      <c r="DA201" s="2250"/>
      <c r="DB201" s="2250"/>
      <c r="DC201" s="2250"/>
      <c r="DD201" s="2250"/>
      <c r="DE201" s="2250"/>
      <c r="DF201" s="2250"/>
      <c r="DG201" s="2250"/>
      <c r="DH201" s="2250"/>
      <c r="DI201" s="2250"/>
      <c r="DJ201" s="2250"/>
      <c r="DK201" s="2250"/>
      <c r="DL201" s="2275"/>
      <c r="DM201" s="2275"/>
      <c r="DN201" s="2275"/>
      <c r="DO201" s="2275"/>
      <c r="DP201" s="2275"/>
      <c r="DQ201" s="2277"/>
      <c r="DR201" s="2277"/>
      <c r="DS201" s="2278"/>
      <c r="DT201" s="2250"/>
      <c r="DU201" s="2250"/>
      <c r="DV201" s="2250"/>
      <c r="DW201" s="2250"/>
      <c r="DX201" s="2275"/>
      <c r="DY201" s="2279" t="s">
        <v>714</v>
      </c>
      <c r="DZ201" s="2341"/>
      <c r="EA201" s="3691">
        <f>EA200</f>
        <v>31.19</v>
      </c>
      <c r="EB201" s="3667">
        <f>EB200</f>
        <v>650</v>
      </c>
      <c r="EC201" s="2250"/>
      <c r="ED201" s="2250"/>
      <c r="EE201" s="2250"/>
      <c r="EF201" s="2250"/>
      <c r="EG201" s="2250"/>
      <c r="EH201" s="2250"/>
      <c r="EI201" s="2250"/>
      <c r="EJ201" s="2250"/>
      <c r="EK201" s="2250"/>
      <c r="EL201" s="2250"/>
      <c r="EM201" s="2279" t="s">
        <v>714</v>
      </c>
      <c r="EN201" s="2341"/>
      <c r="EO201" s="3691">
        <f>EO200</f>
        <v>22.48</v>
      </c>
      <c r="EP201" s="3667">
        <f>EP200</f>
        <v>650</v>
      </c>
      <c r="EQ201" s="2250"/>
      <c r="ER201" s="2250"/>
      <c r="ES201" s="2250"/>
      <c r="ET201" s="2250"/>
      <c r="EU201" s="2250"/>
      <c r="EV201" s="2250"/>
      <c r="EW201" s="2250"/>
      <c r="EX201" s="2250"/>
      <c r="EY201" s="2250"/>
      <c r="EZ201" s="2250"/>
      <c r="FA201" s="2279" t="s">
        <v>714</v>
      </c>
      <c r="FB201" s="2341"/>
      <c r="FC201" s="3691">
        <f>FC200</f>
        <v>28.22</v>
      </c>
      <c r="FD201" s="3667">
        <f>FD200</f>
        <v>775</v>
      </c>
      <c r="FE201" s="2250"/>
      <c r="FF201" s="2250"/>
      <c r="FG201" s="2250"/>
      <c r="FH201" s="2250"/>
      <c r="FI201" s="2250"/>
      <c r="FJ201" s="2250"/>
      <c r="FK201" s="2250"/>
      <c r="FL201" s="2250"/>
      <c r="FM201" s="2250"/>
      <c r="FN201" s="2250"/>
      <c r="FO201" s="2279" t="s">
        <v>714</v>
      </c>
      <c r="FP201" s="2341"/>
      <c r="FQ201" s="3691">
        <f>FQ200</f>
        <v>21.98</v>
      </c>
      <c r="FR201" s="3667">
        <f>FR200</f>
        <v>825</v>
      </c>
      <c r="FS201" s="2250"/>
      <c r="FT201" s="2250"/>
      <c r="FU201" s="2250"/>
      <c r="FV201" s="2250"/>
      <c r="FW201" s="2250"/>
      <c r="FX201" s="2250"/>
      <c r="FY201" s="2250"/>
      <c r="FZ201" s="2250"/>
      <c r="GA201" s="2275"/>
      <c r="GB201" s="2275"/>
      <c r="GC201" s="2276"/>
      <c r="GD201" s="2276"/>
      <c r="GE201" s="2250"/>
      <c r="GF201" s="2275"/>
      <c r="GG201" s="2279" t="s">
        <v>714</v>
      </c>
      <c r="GH201" s="2341"/>
      <c r="GI201" s="3691">
        <f>GI200</f>
        <v>29.21</v>
      </c>
      <c r="GJ201" s="3667">
        <f>GJ200</f>
        <v>650</v>
      </c>
      <c r="GK201" s="2250"/>
      <c r="GL201" s="2250"/>
      <c r="GM201" s="2250"/>
      <c r="GN201" s="2250"/>
      <c r="GO201" s="2250"/>
      <c r="GP201" s="2250"/>
      <c r="GQ201" s="2250"/>
      <c r="GR201" s="2250"/>
      <c r="GS201" s="2250"/>
      <c r="GT201" s="2250"/>
      <c r="GU201" s="2279" t="s">
        <v>714</v>
      </c>
      <c r="GV201" s="2341"/>
      <c r="GW201" s="3691">
        <f>GW200</f>
        <v>21.09</v>
      </c>
      <c r="GX201" s="3667">
        <f>GX200</f>
        <v>650</v>
      </c>
      <c r="GY201" s="2250"/>
      <c r="GZ201" s="2250"/>
      <c r="HA201" s="2250"/>
      <c r="HB201" s="2250"/>
      <c r="HC201" s="2250"/>
      <c r="HD201" s="2250"/>
      <c r="HE201" s="2250"/>
      <c r="HF201" s="2250"/>
      <c r="HG201" s="2250"/>
      <c r="HH201" s="2250"/>
      <c r="HI201" s="2279" t="s">
        <v>714</v>
      </c>
      <c r="HJ201" s="2341"/>
      <c r="HK201" s="3691">
        <f>HK200</f>
        <v>26.52</v>
      </c>
      <c r="HL201" s="3667">
        <f>HL200</f>
        <v>775</v>
      </c>
      <c r="HM201" s="2250"/>
      <c r="HN201" s="2250"/>
      <c r="HO201" s="2250"/>
      <c r="HP201" s="2250"/>
      <c r="HQ201" s="2250"/>
      <c r="HR201" s="2250"/>
      <c r="HS201" s="2250"/>
      <c r="HT201" s="2250"/>
      <c r="HU201" s="2250"/>
      <c r="HV201" s="2250"/>
      <c r="HW201" s="2279" t="s">
        <v>714</v>
      </c>
      <c r="HX201" s="2341"/>
      <c r="HY201" s="3691">
        <f>HY200</f>
        <v>20.69</v>
      </c>
      <c r="HZ201" s="3667">
        <f>HZ200</f>
        <v>825</v>
      </c>
      <c r="IA201" s="2250"/>
      <c r="IB201" s="2250"/>
      <c r="IC201" s="2250"/>
      <c r="ID201" s="2250"/>
      <c r="IE201" s="2250"/>
      <c r="IF201" s="2250"/>
      <c r="IG201" s="2250"/>
      <c r="IH201" s="2250"/>
      <c r="II201" s="2275"/>
      <c r="IJ201" s="2275"/>
      <c r="IK201" s="2275"/>
      <c r="IL201" s="2275"/>
    </row>
    <row r="202" spans="1:246" ht="21.95" customHeight="1">
      <c r="A202" s="2275"/>
      <c r="B202" s="2292" t="s">
        <v>736</v>
      </c>
      <c r="C202" s="2292">
        <v>400</v>
      </c>
      <c r="D202" s="2292">
        <v>475</v>
      </c>
      <c r="E202" s="2292">
        <v>550</v>
      </c>
      <c r="F202" s="2292">
        <v>650</v>
      </c>
      <c r="G202" s="2292">
        <v>775</v>
      </c>
      <c r="H202" s="2292">
        <v>825</v>
      </c>
      <c r="I202" s="2292">
        <v>950</v>
      </c>
      <c r="J202" s="2292">
        <v>1100</v>
      </c>
      <c r="K202" s="2292">
        <v>1250</v>
      </c>
      <c r="L202" s="2292">
        <v>1450</v>
      </c>
      <c r="M202" s="2292">
        <v>1650</v>
      </c>
      <c r="N202" s="2275"/>
      <c r="O202" s="2275"/>
      <c r="P202" s="2292" t="s">
        <v>736</v>
      </c>
      <c r="Q202" s="2292">
        <v>400</v>
      </c>
      <c r="R202" s="2292">
        <v>475</v>
      </c>
      <c r="S202" s="2292">
        <v>550</v>
      </c>
      <c r="T202" s="2292">
        <v>650</v>
      </c>
      <c r="U202" s="2292">
        <v>775</v>
      </c>
      <c r="V202" s="2292">
        <v>825</v>
      </c>
      <c r="W202" s="2292">
        <v>950</v>
      </c>
      <c r="X202" s="2292">
        <v>1100</v>
      </c>
      <c r="Y202" s="2292">
        <v>1250</v>
      </c>
      <c r="Z202" s="2292">
        <v>1450</v>
      </c>
      <c r="AA202" s="2292">
        <v>1650</v>
      </c>
      <c r="AB202" s="2275"/>
      <c r="AC202" s="2275"/>
      <c r="AD202" s="2292" t="s">
        <v>736</v>
      </c>
      <c r="AE202" s="2292">
        <v>400</v>
      </c>
      <c r="AF202" s="2292">
        <v>475</v>
      </c>
      <c r="AG202" s="2292">
        <v>550</v>
      </c>
      <c r="AH202" s="2292">
        <v>650</v>
      </c>
      <c r="AI202" s="2292">
        <v>775</v>
      </c>
      <c r="AJ202" s="2292">
        <v>825</v>
      </c>
      <c r="AK202" s="2292">
        <v>950</v>
      </c>
      <c r="AL202" s="2292">
        <v>1100</v>
      </c>
      <c r="AM202" s="2292">
        <v>1250</v>
      </c>
      <c r="AN202" s="2292">
        <v>1450</v>
      </c>
      <c r="AO202" s="2292">
        <v>1650</v>
      </c>
      <c r="AP202" s="2275"/>
      <c r="AQ202" s="2275"/>
      <c r="AR202" s="2292" t="s">
        <v>736</v>
      </c>
      <c r="AS202" s="2292">
        <v>400</v>
      </c>
      <c r="AT202" s="2292">
        <v>475</v>
      </c>
      <c r="AU202" s="2292">
        <v>550</v>
      </c>
      <c r="AV202" s="2292">
        <v>650</v>
      </c>
      <c r="AW202" s="2292">
        <v>775</v>
      </c>
      <c r="AX202" s="2292">
        <v>825</v>
      </c>
      <c r="AY202" s="2292">
        <v>950</v>
      </c>
      <c r="AZ202" s="2292">
        <v>1100</v>
      </c>
      <c r="BA202" s="2292">
        <v>1250</v>
      </c>
      <c r="BB202" s="2292">
        <v>1450</v>
      </c>
      <c r="BC202" s="2292">
        <v>1650</v>
      </c>
      <c r="BD202" s="2275"/>
      <c r="BE202" s="2275"/>
      <c r="BF202" s="2276"/>
      <c r="BG202" s="2276"/>
      <c r="BH202" s="2250"/>
      <c r="BI202" s="2275"/>
      <c r="BJ202" s="2292" t="s">
        <v>736</v>
      </c>
      <c r="BK202" s="2292">
        <v>400</v>
      </c>
      <c r="BL202" s="2292">
        <v>475</v>
      </c>
      <c r="BM202" s="2292">
        <v>550</v>
      </c>
      <c r="BN202" s="2292">
        <v>650</v>
      </c>
      <c r="BO202" s="2292">
        <v>775</v>
      </c>
      <c r="BP202" s="2292">
        <v>825</v>
      </c>
      <c r="BQ202" s="2292">
        <v>950</v>
      </c>
      <c r="BR202" s="2292">
        <v>1100</v>
      </c>
      <c r="BS202" s="2292">
        <v>1250</v>
      </c>
      <c r="BT202" s="2292">
        <v>1450</v>
      </c>
      <c r="BU202" s="2292">
        <v>1650</v>
      </c>
      <c r="BV202" s="2275"/>
      <c r="BW202" s="2275"/>
      <c r="BX202" s="2292" t="s">
        <v>736</v>
      </c>
      <c r="BY202" s="2292">
        <v>400</v>
      </c>
      <c r="BZ202" s="2292">
        <v>475</v>
      </c>
      <c r="CA202" s="2292">
        <v>550</v>
      </c>
      <c r="CB202" s="2292">
        <v>650</v>
      </c>
      <c r="CC202" s="2292">
        <v>775</v>
      </c>
      <c r="CD202" s="2292">
        <v>825</v>
      </c>
      <c r="CE202" s="2292">
        <v>950</v>
      </c>
      <c r="CF202" s="2292">
        <v>1100</v>
      </c>
      <c r="CG202" s="2292">
        <v>1250</v>
      </c>
      <c r="CH202" s="2292">
        <v>1450</v>
      </c>
      <c r="CI202" s="2292">
        <v>1650</v>
      </c>
      <c r="CJ202" s="2275"/>
      <c r="CK202" s="2275"/>
      <c r="CL202" s="2292" t="s">
        <v>736</v>
      </c>
      <c r="CM202" s="2292">
        <v>400</v>
      </c>
      <c r="CN202" s="2292">
        <v>475</v>
      </c>
      <c r="CO202" s="2292">
        <v>550</v>
      </c>
      <c r="CP202" s="2292">
        <v>650</v>
      </c>
      <c r="CQ202" s="2292">
        <v>775</v>
      </c>
      <c r="CR202" s="2292">
        <v>825</v>
      </c>
      <c r="CS202" s="2292">
        <v>950</v>
      </c>
      <c r="CT202" s="2292">
        <v>1100</v>
      </c>
      <c r="CU202" s="2292">
        <v>1250</v>
      </c>
      <c r="CV202" s="2292">
        <v>1450</v>
      </c>
      <c r="CW202" s="2292">
        <v>1650</v>
      </c>
      <c r="CX202" s="2275"/>
      <c r="CY202" s="2275"/>
      <c r="CZ202" s="2292" t="s">
        <v>736</v>
      </c>
      <c r="DA202" s="2292">
        <v>400</v>
      </c>
      <c r="DB202" s="2292">
        <v>475</v>
      </c>
      <c r="DC202" s="2292">
        <v>550</v>
      </c>
      <c r="DD202" s="2292">
        <v>650</v>
      </c>
      <c r="DE202" s="2292">
        <v>775</v>
      </c>
      <c r="DF202" s="2292">
        <v>825</v>
      </c>
      <c r="DG202" s="2292">
        <v>950</v>
      </c>
      <c r="DH202" s="2292">
        <v>1100</v>
      </c>
      <c r="DI202" s="2292">
        <v>1250</v>
      </c>
      <c r="DJ202" s="2292">
        <v>1450</v>
      </c>
      <c r="DK202" s="2292">
        <v>1650</v>
      </c>
      <c r="DL202" s="2275"/>
      <c r="DM202" s="2275"/>
      <c r="DN202" s="2275"/>
      <c r="DO202" s="2275"/>
      <c r="DP202" s="2275"/>
      <c r="DQ202" s="2277"/>
      <c r="DR202" s="2277"/>
      <c r="DS202" s="2278"/>
      <c r="DT202" s="2250"/>
      <c r="DU202" s="2250"/>
      <c r="DV202" s="2250"/>
      <c r="DW202" s="2250"/>
      <c r="DX202" s="2275"/>
      <c r="DY202" s="2250"/>
      <c r="DZ202" s="2250"/>
      <c r="EA202" s="2250"/>
      <c r="EB202" s="2250"/>
      <c r="EC202" s="2250"/>
      <c r="ED202" s="2250"/>
      <c r="EE202" s="2250"/>
      <c r="EF202" s="2250"/>
      <c r="EG202" s="2250"/>
      <c r="EH202" s="2250"/>
      <c r="EI202" s="2250"/>
      <c r="EJ202" s="2250"/>
      <c r="EK202" s="2250"/>
      <c r="EL202" s="2250"/>
      <c r="EM202" s="2250"/>
      <c r="EN202" s="2250"/>
      <c r="EO202" s="2250"/>
      <c r="EP202" s="2250"/>
      <c r="EQ202" s="2250"/>
      <c r="ER202" s="2250"/>
      <c r="ES202" s="2250"/>
      <c r="ET202" s="2250"/>
      <c r="EU202" s="2250"/>
      <c r="EV202" s="2250"/>
      <c r="EW202" s="2250"/>
      <c r="EX202" s="2250"/>
      <c r="EY202" s="2250"/>
      <c r="EZ202" s="2250"/>
      <c r="FA202" s="2250"/>
      <c r="FB202" s="2250"/>
      <c r="FC202" s="2250"/>
      <c r="FD202" s="2250"/>
      <c r="FE202" s="2250"/>
      <c r="FF202" s="2250"/>
      <c r="FG202" s="2250"/>
      <c r="FH202" s="2250"/>
      <c r="FI202" s="2250"/>
      <c r="FJ202" s="2250"/>
      <c r="FK202" s="2250"/>
      <c r="FL202" s="2250"/>
      <c r="FM202" s="2250"/>
      <c r="FN202" s="2250"/>
      <c r="FO202" s="2250"/>
      <c r="FP202" s="2250"/>
      <c r="FQ202" s="2250"/>
      <c r="FR202" s="2250"/>
      <c r="FS202" s="2250"/>
      <c r="FT202" s="2250"/>
      <c r="FU202" s="2250"/>
      <c r="FV202" s="2250"/>
      <c r="FW202" s="2250"/>
      <c r="FX202" s="2250"/>
      <c r="FY202" s="2250"/>
      <c r="FZ202" s="2250"/>
      <c r="GA202" s="2275"/>
      <c r="GB202" s="2275"/>
      <c r="GC202" s="2276"/>
      <c r="GD202" s="2276"/>
      <c r="GE202" s="2250"/>
      <c r="GF202" s="2275"/>
      <c r="GG202" s="2250"/>
      <c r="GH202" s="2250"/>
      <c r="GI202" s="2250"/>
      <c r="GJ202" s="2250"/>
      <c r="GK202" s="2250"/>
      <c r="GL202" s="2250"/>
      <c r="GM202" s="2250"/>
      <c r="GN202" s="2250"/>
      <c r="GO202" s="2250"/>
      <c r="GP202" s="2250"/>
      <c r="GQ202" s="2250"/>
      <c r="GR202" s="2250"/>
      <c r="GS202" s="2250"/>
      <c r="GT202" s="2250"/>
      <c r="GU202" s="2250"/>
      <c r="GV202" s="2250"/>
      <c r="GW202" s="2250"/>
      <c r="GX202" s="2250"/>
      <c r="GY202" s="2250"/>
      <c r="GZ202" s="2250"/>
      <c r="HA202" s="2250"/>
      <c r="HB202" s="2250"/>
      <c r="HC202" s="2250"/>
      <c r="HD202" s="2250"/>
      <c r="HE202" s="2250"/>
      <c r="HF202" s="2250"/>
      <c r="HG202" s="2250"/>
      <c r="HH202" s="2250"/>
      <c r="HI202" s="2250"/>
      <c r="HJ202" s="2250"/>
      <c r="HK202" s="2250"/>
      <c r="HL202" s="2250"/>
      <c r="HM202" s="2250"/>
      <c r="HN202" s="2250"/>
      <c r="HO202" s="2250"/>
      <c r="HP202" s="2250"/>
      <c r="HQ202" s="2250"/>
      <c r="HR202" s="2250"/>
      <c r="HS202" s="2250"/>
      <c r="HT202" s="2250"/>
      <c r="HU202" s="2250"/>
      <c r="HV202" s="2250"/>
      <c r="HW202" s="2250"/>
      <c r="HX202" s="2250"/>
      <c r="HY202" s="2250"/>
      <c r="HZ202" s="2250"/>
      <c r="IA202" s="2250"/>
      <c r="IB202" s="2250"/>
      <c r="IC202" s="2250"/>
      <c r="ID202" s="2250"/>
      <c r="IE202" s="2250"/>
      <c r="IF202" s="2250"/>
      <c r="IG202" s="2250"/>
      <c r="IH202" s="2250"/>
      <c r="II202" s="2275"/>
      <c r="IJ202" s="2275"/>
      <c r="IK202" s="2275"/>
      <c r="IL202" s="2275"/>
    </row>
    <row r="203" spans="1:246" ht="21.95" customHeight="1">
      <c r="A203" s="2275"/>
      <c r="B203" s="3660">
        <f>C182</f>
        <v>190.4</v>
      </c>
      <c r="C203" s="3660">
        <f>VLOOKUP(B203,B154:M180,2,0)</f>
        <v>4.16</v>
      </c>
      <c r="D203" s="3660">
        <f>VLOOKUP(B203,B154:M180,3,0)</f>
        <v>6.14</v>
      </c>
      <c r="E203" s="3660">
        <f>VLOOKUP(B203,B154:M180,4,0)</f>
        <v>12.08</v>
      </c>
      <c r="F203" s="3660">
        <f>VLOOKUP(B203,B154:M180,5,0)</f>
        <v>20.89</v>
      </c>
      <c r="G203" s="3660">
        <f>VLOOKUP(B203,B154:M180,6,0)</f>
        <v>33.07</v>
      </c>
      <c r="H203" s="3660">
        <f>VLOOKUP(B203,B154:M180,7,0)</f>
        <v>49.41</v>
      </c>
      <c r="I203" s="3660">
        <f>VLOOKUP(B203,B154:M180,8,0)</f>
        <v>70.400000000000006</v>
      </c>
      <c r="J203" s="3660">
        <f>VLOOKUP(B203,B154:M180,9,0)</f>
        <v>96.53</v>
      </c>
      <c r="K203" s="3660">
        <f>VLOOKUP(B203,B154:M180,10,0)</f>
        <v>131.09</v>
      </c>
      <c r="L203" s="3660">
        <f>VLOOKUP(B203,B154:M180,11,0)</f>
        <v>208.12</v>
      </c>
      <c r="M203" s="3660">
        <f>VLOOKUP(B203,B154:M180,12,0)</f>
        <v>310.69</v>
      </c>
      <c r="N203" s="2275"/>
      <c r="O203" s="2275"/>
      <c r="P203" s="3660">
        <f>Q182</f>
        <v>190.4</v>
      </c>
      <c r="Q203" s="3660">
        <f>VLOOKUP(P203,P154:AA180,2,0)</f>
        <v>2.97</v>
      </c>
      <c r="R203" s="3660">
        <f>VLOOKUP(P203,P154:AA180,3,0)</f>
        <v>4.46</v>
      </c>
      <c r="S203" s="3660">
        <f>VLOOKUP(P203,P154:AA180,4,0)</f>
        <v>8.61</v>
      </c>
      <c r="T203" s="3660">
        <f>VLOOKUP(P203,P154:AA180,5,0)</f>
        <v>14.95</v>
      </c>
      <c r="U203" s="3660">
        <f>VLOOKUP(P203,P154:AA180,6,0)</f>
        <v>23.76</v>
      </c>
      <c r="V203" s="3660">
        <f>VLOOKUP(P203,P154:AA180,7,0)</f>
        <v>33.659999999999997</v>
      </c>
      <c r="W203" s="3660">
        <f>VLOOKUP(P203,P154:AA180,8,0)</f>
        <v>48.61</v>
      </c>
      <c r="X203" s="3660">
        <f>VLOOKUP(P203,P154:AA180,9,0)</f>
        <v>65.25</v>
      </c>
      <c r="Y203" s="3660">
        <f>VLOOKUP(P203,P154:AA180,10,0)</f>
        <v>94.16</v>
      </c>
      <c r="Z203" s="3660">
        <f>VLOOKUP(P203,P154:AA180,11,0)</f>
        <v>147.62</v>
      </c>
      <c r="AA203" s="3660">
        <f>VLOOKUP(P203,P154:AA180,12,0)</f>
        <v>213.96</v>
      </c>
      <c r="AB203" s="2275"/>
      <c r="AC203" s="2275"/>
      <c r="AD203" s="3660">
        <f>AE182</f>
        <v>190.4</v>
      </c>
      <c r="AE203" s="3660">
        <f>VLOOKUP(AD203,AD154:AO180,2,0)</f>
        <v>2.6</v>
      </c>
      <c r="AF203" s="3660">
        <f>VLOOKUP(AD203,AD154:AO180,3,0)</f>
        <v>3.72</v>
      </c>
      <c r="AG203" s="3660">
        <f>VLOOKUP(AD203,AD154:AO180,4,0)</f>
        <v>7</v>
      </c>
      <c r="AH203" s="3660">
        <f>VLOOKUP(AD203,AD154:AO180,5,0)</f>
        <v>11.74</v>
      </c>
      <c r="AI203" s="3660">
        <f>VLOOKUP(AD203,AD154:AO180,6,0)</f>
        <v>17.95</v>
      </c>
      <c r="AJ203" s="3660">
        <f>VLOOKUP(AD203,AD154:AO180,7,0)</f>
        <v>25.17</v>
      </c>
      <c r="AK203" s="3660">
        <f>VLOOKUP(AD203,AD154:AO180,8,0)</f>
        <v>36.340000000000003</v>
      </c>
      <c r="AL203" s="3660">
        <f>VLOOKUP(AD203,AD154:AO180,9,0)</f>
        <v>48.87</v>
      </c>
      <c r="AM203" s="3660">
        <f>VLOOKUP(AD203,AD154:AO180,10,0)</f>
        <v>71.78</v>
      </c>
      <c r="AN203" s="3660">
        <f>VLOOKUP(AD203,AD154:AO180,11,0)</f>
        <v>110.5</v>
      </c>
      <c r="AO203" s="3660">
        <f>VLOOKUP(AD203,AD154:AO180,12,0)</f>
        <v>160.61000000000001</v>
      </c>
      <c r="AP203" s="2275"/>
      <c r="AQ203" s="2275"/>
      <c r="AR203" s="3660">
        <f>AS182</f>
        <v>190.4</v>
      </c>
      <c r="AS203" s="3660">
        <f>VLOOKUP(AR203,AR154:BC180,2,0)</f>
        <v>1.49</v>
      </c>
      <c r="AT203" s="3660">
        <f>VLOOKUP(AR203,AR154:BC180,3,0)</f>
        <v>2.1800000000000002</v>
      </c>
      <c r="AU203" s="3660">
        <f>VLOOKUP(AR203,AR154:BC180,4,0)</f>
        <v>4.0599999999999996</v>
      </c>
      <c r="AV203" s="3660">
        <f>VLOOKUP(AR203,AR154:BC180,5,0)</f>
        <v>6.73</v>
      </c>
      <c r="AW203" s="3660">
        <f>VLOOKUP(AR203,AR154:BC180,6,0)</f>
        <v>10.4</v>
      </c>
      <c r="AX203" s="3660">
        <f>VLOOKUP(AR203,AR154:BC180,7,0)</f>
        <v>14.55</v>
      </c>
      <c r="AY203" s="3660">
        <f>VLOOKUP(AR203,AR154:BC180,8,0)</f>
        <v>21.09</v>
      </c>
      <c r="AZ203" s="3660">
        <f>VLOOKUP(AR203,AR154:BC180,9,0)</f>
        <v>28.32</v>
      </c>
      <c r="BA203" s="3660">
        <f>VLOOKUP(AR203,AR154:BC180,10,0)</f>
        <v>41.58</v>
      </c>
      <c r="BB203" s="3660">
        <f>VLOOKUP(AR203,AR154:BC180,11,0)</f>
        <v>64.06</v>
      </c>
      <c r="BC203" s="3660">
        <f>VLOOKUP(AR203,AR154:BC180,12,0)</f>
        <v>92.87</v>
      </c>
      <c r="BD203" s="2275"/>
      <c r="BE203" s="2275"/>
      <c r="BF203" s="2276"/>
      <c r="BG203" s="2276"/>
      <c r="BH203" s="2250"/>
      <c r="BI203" s="2275"/>
      <c r="BJ203" s="3660">
        <f>BK182</f>
        <v>206.43</v>
      </c>
      <c r="BK203" s="3660">
        <f>VLOOKUP(BJ203,BJ154:BU180,2,0)</f>
        <v>3.86</v>
      </c>
      <c r="BL203" s="3660">
        <f>VLOOKUP(BJ203,BJ154:BU180,3,0)</f>
        <v>5.74</v>
      </c>
      <c r="BM203" s="3660">
        <f>VLOOKUP(BJ203,BJ154:BU180,4,0)</f>
        <v>11.19</v>
      </c>
      <c r="BN203" s="3660">
        <f>VLOOKUP(BJ203,BJ154:BU180,5,0)</f>
        <v>19.41</v>
      </c>
      <c r="BO203" s="3660">
        <f>VLOOKUP(BJ203,BJ154:BU180,6,0)</f>
        <v>30.79</v>
      </c>
      <c r="BP203" s="3660">
        <f>VLOOKUP(BJ203,BJ154:BU180,7,0)</f>
        <v>45.94</v>
      </c>
      <c r="BQ203" s="3660">
        <f>VLOOKUP(BJ203,BJ154:BU180,8,0)</f>
        <v>65.349999999999994</v>
      </c>
      <c r="BR203" s="3660">
        <f>VLOOKUP(BJ203,BJ154:BU180,9,0)</f>
        <v>89.6</v>
      </c>
      <c r="BS203" s="3660">
        <f>VLOOKUP(BJ203,BJ154:BU180,10,0)</f>
        <v>121.78</v>
      </c>
      <c r="BT203" s="3660">
        <f>VLOOKUP(BJ203,BJ154:BU180,11,0)</f>
        <v>193.37</v>
      </c>
      <c r="BU203" s="3660">
        <f>VLOOKUP(BJ203,BJ154:BU180,12,0)</f>
        <v>288.61</v>
      </c>
      <c r="BV203" s="2275"/>
      <c r="BW203" s="2275"/>
      <c r="BX203" s="3660">
        <f>BY182</f>
        <v>206.43</v>
      </c>
      <c r="BY203" s="3660">
        <f>VLOOKUP(BX203,BX154:CI180,2,0)</f>
        <v>2.77</v>
      </c>
      <c r="BZ203" s="3660">
        <f>VLOOKUP(BX203,BX154:CI180,3,0)</f>
        <v>4.16</v>
      </c>
      <c r="CA203" s="3660">
        <f>VLOOKUP(BX203,BX154:CI180,4,0)</f>
        <v>8.02</v>
      </c>
      <c r="CB203" s="3660">
        <f>VLOOKUP(BX203,BX154:CI180,5,0)</f>
        <v>13.86</v>
      </c>
      <c r="CC203" s="3660">
        <f>VLOOKUP(BX203,BX154:CI180,6,0)</f>
        <v>21.68</v>
      </c>
      <c r="CD203" s="3660">
        <f>VLOOKUP(BX203,BX154:CI180,7,0)</f>
        <v>30.69</v>
      </c>
      <c r="CE203" s="3660">
        <f>VLOOKUP(BX203,BX154:CI180,8,0)</f>
        <v>43.86</v>
      </c>
      <c r="CF203" s="3660">
        <f>VLOOKUP(BX203,BX154:CI180,9,0)</f>
        <v>58.91</v>
      </c>
      <c r="CG203" s="3660">
        <f>VLOOKUP(BX203,BX154:CI180,10,0)</f>
        <v>86.53</v>
      </c>
      <c r="CH203" s="3660">
        <f>VLOOKUP(BX203,BX154:CI180,11,0)</f>
        <v>133.27000000000001</v>
      </c>
      <c r="CI203" s="3660">
        <f>VLOOKUP(BX203,BX154:CI180,12,0)</f>
        <v>193.66</v>
      </c>
      <c r="CJ203" s="2275"/>
      <c r="CK203" s="2275"/>
      <c r="CL203" s="3660">
        <f>CM182</f>
        <v>206.43</v>
      </c>
      <c r="CM203" s="3660">
        <f>VLOOKUP(CL203,CL154:CW180,2,0)</f>
        <v>2.37</v>
      </c>
      <c r="CN203" s="3660">
        <f>VLOOKUP(CL203,CL154:CW180,3,0)</f>
        <v>3.39</v>
      </c>
      <c r="CO203" s="3660">
        <f>VLOOKUP(CL203,CL154:CW180,4,0)</f>
        <v>6.32</v>
      </c>
      <c r="CP203" s="3660">
        <f>VLOOKUP(CL203,CL154:CW180,5,0)</f>
        <v>10.61</v>
      </c>
      <c r="CQ203" s="3660">
        <f>VLOOKUP(CL203,CL154:CW180,6,0)</f>
        <v>16.25</v>
      </c>
      <c r="CR203" s="3660">
        <f>VLOOKUP(CL203,CL154:CW180,7,0)</f>
        <v>23.25</v>
      </c>
      <c r="CS203" s="3660">
        <f>VLOOKUP(CL203,CL154:CW180,8,0)</f>
        <v>32.840000000000003</v>
      </c>
      <c r="CT203" s="3660">
        <f>VLOOKUP(CL203,CL154:CW180,9,0)</f>
        <v>44.13</v>
      </c>
      <c r="CU203" s="3660">
        <f>VLOOKUP(CL203,CL154:CW180,10,0)</f>
        <v>64.790000000000006</v>
      </c>
      <c r="CV203" s="3660">
        <f>VLOOKUP(CL203,CL154:CW180,11,0)</f>
        <v>99.77</v>
      </c>
      <c r="CW203" s="3660">
        <f>VLOOKUP(CL203,CL154:CW180,12,0)</f>
        <v>145.03</v>
      </c>
      <c r="CX203" s="2275"/>
      <c r="CY203" s="2275"/>
      <c r="CZ203" s="3660">
        <f>DA182</f>
        <v>206.43</v>
      </c>
      <c r="DA203" s="3660">
        <f>VLOOKUP(CZ203,CZ154:DK180,2,0)</f>
        <v>1.39</v>
      </c>
      <c r="DB203" s="3660">
        <f>VLOOKUP(CZ203,CZ154:DK180,3,0)</f>
        <v>1.98</v>
      </c>
      <c r="DC203" s="3660">
        <f>VLOOKUP(CZ203,CZ154:DK180,4,0)</f>
        <v>3.66</v>
      </c>
      <c r="DD203" s="3660">
        <f>VLOOKUP(CZ203,CZ154:DK180,5,0)</f>
        <v>6.14</v>
      </c>
      <c r="DE203" s="3660">
        <f>VLOOKUP(CZ203,CZ154:DK180,6,0)</f>
        <v>9.41</v>
      </c>
      <c r="DF203" s="3660">
        <f>VLOOKUP(CZ203,CZ154:DK180,7,0)</f>
        <v>13.37</v>
      </c>
      <c r="DG203" s="3660">
        <f>VLOOKUP(CZ203,CZ154:DK180,8,0)</f>
        <v>19.010000000000002</v>
      </c>
      <c r="DH203" s="3660">
        <f>VLOOKUP(CZ203,CZ154:DK180,9,0)</f>
        <v>25.54</v>
      </c>
      <c r="DI203" s="3660">
        <f>VLOOKUP(CZ203,CZ154:DK180,10,0)</f>
        <v>37.619999999999997</v>
      </c>
      <c r="DJ203" s="3660">
        <f>VLOOKUP(CZ203,CZ154:DK180,11,0)</f>
        <v>57.92</v>
      </c>
      <c r="DK203" s="3660">
        <f>VLOOKUP(CZ203,CZ154:DK180,12,0)</f>
        <v>84.16</v>
      </c>
      <c r="DL203" s="2275"/>
      <c r="DM203" s="2275"/>
      <c r="DN203" s="2275"/>
      <c r="DO203" s="2275"/>
      <c r="DP203" s="2275"/>
      <c r="DQ203" s="2277"/>
      <c r="DR203" s="2277"/>
      <c r="DS203" s="2278"/>
      <c r="DT203" s="2250"/>
      <c r="DU203" s="2250"/>
      <c r="DV203" s="2250"/>
      <c r="DW203" s="2250"/>
      <c r="DX203" s="2275"/>
      <c r="DY203" s="2292" t="s">
        <v>736</v>
      </c>
      <c r="DZ203" s="2292">
        <v>400</v>
      </c>
      <c r="EA203" s="2292">
        <v>475</v>
      </c>
      <c r="EB203" s="2292">
        <v>550</v>
      </c>
      <c r="EC203" s="2292">
        <v>650</v>
      </c>
      <c r="ED203" s="2292">
        <v>775</v>
      </c>
      <c r="EE203" s="2292">
        <v>825</v>
      </c>
      <c r="EF203" s="2292">
        <v>950</v>
      </c>
      <c r="EG203" s="2292">
        <v>1100</v>
      </c>
      <c r="EH203" s="2292">
        <v>1250</v>
      </c>
      <c r="EI203" s="2292">
        <v>1450</v>
      </c>
      <c r="EJ203" s="2292">
        <v>1650</v>
      </c>
      <c r="EK203" s="2275"/>
      <c r="EL203" s="2275"/>
      <c r="EM203" s="2292" t="s">
        <v>736</v>
      </c>
      <c r="EN203" s="2292">
        <v>400</v>
      </c>
      <c r="EO203" s="2292">
        <v>475</v>
      </c>
      <c r="EP203" s="2292">
        <v>550</v>
      </c>
      <c r="EQ203" s="2292">
        <v>650</v>
      </c>
      <c r="ER203" s="2292">
        <v>775</v>
      </c>
      <c r="ES203" s="2292">
        <v>825</v>
      </c>
      <c r="ET203" s="2292">
        <v>950</v>
      </c>
      <c r="EU203" s="2292">
        <v>1100</v>
      </c>
      <c r="EV203" s="2292">
        <v>1250</v>
      </c>
      <c r="EW203" s="2292">
        <v>1450</v>
      </c>
      <c r="EX203" s="2292">
        <v>1650</v>
      </c>
      <c r="EY203" s="2275"/>
      <c r="EZ203" s="2275"/>
      <c r="FA203" s="2292" t="s">
        <v>736</v>
      </c>
      <c r="FB203" s="2292">
        <v>400</v>
      </c>
      <c r="FC203" s="2292">
        <v>475</v>
      </c>
      <c r="FD203" s="2292">
        <v>550</v>
      </c>
      <c r="FE203" s="2292">
        <v>650</v>
      </c>
      <c r="FF203" s="2292">
        <v>775</v>
      </c>
      <c r="FG203" s="2292">
        <v>825</v>
      </c>
      <c r="FH203" s="2292">
        <v>950</v>
      </c>
      <c r="FI203" s="2292">
        <v>1100</v>
      </c>
      <c r="FJ203" s="2292">
        <v>1250</v>
      </c>
      <c r="FK203" s="2292">
        <v>1450</v>
      </c>
      <c r="FL203" s="2292">
        <v>1650</v>
      </c>
      <c r="FM203" s="2275"/>
      <c r="FN203" s="2275"/>
      <c r="FO203" s="2292" t="s">
        <v>736</v>
      </c>
      <c r="FP203" s="2292">
        <v>400</v>
      </c>
      <c r="FQ203" s="2292">
        <v>475</v>
      </c>
      <c r="FR203" s="2292">
        <v>550</v>
      </c>
      <c r="FS203" s="2292">
        <v>650</v>
      </c>
      <c r="FT203" s="2292">
        <v>775</v>
      </c>
      <c r="FU203" s="2292">
        <v>825</v>
      </c>
      <c r="FV203" s="2292">
        <v>950</v>
      </c>
      <c r="FW203" s="2292">
        <v>1100</v>
      </c>
      <c r="FX203" s="2292">
        <v>1250</v>
      </c>
      <c r="FY203" s="2292">
        <v>1450</v>
      </c>
      <c r="FZ203" s="2292">
        <v>1650</v>
      </c>
      <c r="GA203" s="2275"/>
      <c r="GB203" s="2275"/>
      <c r="GC203" s="2276"/>
      <c r="GD203" s="2276"/>
      <c r="GE203" s="2250"/>
      <c r="GF203" s="2275"/>
      <c r="GG203" s="2292" t="s">
        <v>736</v>
      </c>
      <c r="GH203" s="2292">
        <v>400</v>
      </c>
      <c r="GI203" s="2292">
        <v>475</v>
      </c>
      <c r="GJ203" s="2292">
        <v>550</v>
      </c>
      <c r="GK203" s="2292">
        <v>650</v>
      </c>
      <c r="GL203" s="2292">
        <v>775</v>
      </c>
      <c r="GM203" s="2292">
        <v>825</v>
      </c>
      <c r="GN203" s="2292">
        <v>950</v>
      </c>
      <c r="GO203" s="2292">
        <v>1100</v>
      </c>
      <c r="GP203" s="2292">
        <v>1250</v>
      </c>
      <c r="GQ203" s="2292">
        <v>1450</v>
      </c>
      <c r="GR203" s="2292">
        <v>1650</v>
      </c>
      <c r="GS203" s="2275"/>
      <c r="GT203" s="2275"/>
      <c r="GU203" s="2292" t="s">
        <v>736</v>
      </c>
      <c r="GV203" s="2292">
        <v>400</v>
      </c>
      <c r="GW203" s="2292">
        <v>475</v>
      </c>
      <c r="GX203" s="2292">
        <v>550</v>
      </c>
      <c r="GY203" s="2292">
        <v>650</v>
      </c>
      <c r="GZ203" s="2292">
        <v>775</v>
      </c>
      <c r="HA203" s="2292">
        <v>825</v>
      </c>
      <c r="HB203" s="2292">
        <v>950</v>
      </c>
      <c r="HC203" s="2292">
        <v>1100</v>
      </c>
      <c r="HD203" s="2292">
        <v>1250</v>
      </c>
      <c r="HE203" s="2292">
        <v>1450</v>
      </c>
      <c r="HF203" s="2292">
        <v>1650</v>
      </c>
      <c r="HG203" s="2275"/>
      <c r="HH203" s="2275"/>
      <c r="HI203" s="2292" t="s">
        <v>736</v>
      </c>
      <c r="HJ203" s="2292">
        <v>400</v>
      </c>
      <c r="HK203" s="2292">
        <v>475</v>
      </c>
      <c r="HL203" s="2292">
        <v>550</v>
      </c>
      <c r="HM203" s="2292">
        <v>650</v>
      </c>
      <c r="HN203" s="2292">
        <v>775</v>
      </c>
      <c r="HO203" s="2292">
        <v>825</v>
      </c>
      <c r="HP203" s="2292">
        <v>950</v>
      </c>
      <c r="HQ203" s="2292">
        <v>1100</v>
      </c>
      <c r="HR203" s="2292">
        <v>1250</v>
      </c>
      <c r="HS203" s="2292">
        <v>1450</v>
      </c>
      <c r="HT203" s="2292">
        <v>1650</v>
      </c>
      <c r="HU203" s="2275"/>
      <c r="HV203" s="2275"/>
      <c r="HW203" s="2292" t="s">
        <v>736</v>
      </c>
      <c r="HX203" s="2292">
        <v>400</v>
      </c>
      <c r="HY203" s="2292">
        <v>475</v>
      </c>
      <c r="HZ203" s="2292">
        <v>550</v>
      </c>
      <c r="IA203" s="2292">
        <v>650</v>
      </c>
      <c r="IB203" s="2292">
        <v>775</v>
      </c>
      <c r="IC203" s="2292">
        <v>825</v>
      </c>
      <c r="ID203" s="2292">
        <v>950</v>
      </c>
      <c r="IE203" s="2292">
        <v>1100</v>
      </c>
      <c r="IF203" s="2292">
        <v>1250</v>
      </c>
      <c r="IG203" s="2292">
        <v>1450</v>
      </c>
      <c r="IH203" s="2292">
        <v>1650</v>
      </c>
      <c r="II203" s="2275"/>
      <c r="IJ203" s="2275"/>
      <c r="IK203" s="2275"/>
      <c r="IL203" s="2275"/>
    </row>
    <row r="204" spans="1:246" ht="21.95" customHeight="1">
      <c r="A204" s="2275"/>
      <c r="B204" s="2275"/>
      <c r="C204" s="2275"/>
      <c r="D204" s="2275"/>
      <c r="E204" s="2275"/>
      <c r="F204" s="2275"/>
      <c r="G204" s="2275"/>
      <c r="H204" s="2275"/>
      <c r="I204" s="2275"/>
      <c r="J204" s="2275"/>
      <c r="K204" s="2275"/>
      <c r="L204" s="2275"/>
      <c r="M204" s="2275"/>
      <c r="N204" s="2275"/>
      <c r="O204" s="2275"/>
      <c r="P204" s="2275"/>
      <c r="Q204" s="2275"/>
      <c r="R204" s="2275"/>
      <c r="S204" s="2275"/>
      <c r="T204" s="2275"/>
      <c r="U204" s="2275"/>
      <c r="V204" s="2275"/>
      <c r="W204" s="2275"/>
      <c r="X204" s="2275"/>
      <c r="Y204" s="2275"/>
      <c r="Z204" s="2275"/>
      <c r="AA204" s="2275"/>
      <c r="AB204" s="2275"/>
      <c r="AC204" s="2275"/>
      <c r="AD204" s="2275"/>
      <c r="AE204" s="2275"/>
      <c r="AF204" s="2275"/>
      <c r="AG204" s="2275"/>
      <c r="AH204" s="2275"/>
      <c r="AI204" s="2275"/>
      <c r="AJ204" s="2275"/>
      <c r="AK204" s="2275"/>
      <c r="AL204" s="2275"/>
      <c r="AM204" s="2275"/>
      <c r="AN204" s="2275"/>
      <c r="AO204" s="2275"/>
      <c r="AP204" s="2275"/>
      <c r="AQ204" s="2275"/>
      <c r="AR204" s="2275"/>
      <c r="AS204" s="2275"/>
      <c r="AT204" s="2275"/>
      <c r="AU204" s="2275"/>
      <c r="AV204" s="2275"/>
      <c r="AW204" s="2275"/>
      <c r="AX204" s="2275"/>
      <c r="AY204" s="2275"/>
      <c r="AZ204" s="2275"/>
      <c r="BA204" s="2275"/>
      <c r="BB204" s="2275"/>
      <c r="BC204" s="2275"/>
      <c r="BD204" s="2275"/>
      <c r="BE204" s="2275"/>
      <c r="BF204" s="2276"/>
      <c r="BG204" s="2276"/>
      <c r="BH204" s="2250"/>
      <c r="BI204" s="2275"/>
      <c r="BJ204" s="2275"/>
      <c r="BK204" s="2275"/>
      <c r="BL204" s="2275"/>
      <c r="BM204" s="2275"/>
      <c r="BN204" s="2275"/>
      <c r="BO204" s="2275"/>
      <c r="BP204" s="2275"/>
      <c r="BQ204" s="2275"/>
      <c r="BR204" s="2275"/>
      <c r="BS204" s="2275"/>
      <c r="BT204" s="2275"/>
      <c r="BU204" s="2275"/>
      <c r="BV204" s="2275"/>
      <c r="BW204" s="2275"/>
      <c r="BX204" s="2275"/>
      <c r="BY204" s="2275"/>
      <c r="BZ204" s="2275"/>
      <c r="CA204" s="2275"/>
      <c r="CB204" s="2275"/>
      <c r="CC204" s="2275"/>
      <c r="CD204" s="2275"/>
      <c r="CE204" s="2275"/>
      <c r="CF204" s="2275"/>
      <c r="CG204" s="2275"/>
      <c r="CH204" s="2275"/>
      <c r="CI204" s="2275"/>
      <c r="CJ204" s="2275"/>
      <c r="CK204" s="2275"/>
      <c r="CL204" s="2275"/>
      <c r="CM204" s="2275"/>
      <c r="CN204" s="2275"/>
      <c r="CO204" s="2275"/>
      <c r="CP204" s="2275"/>
      <c r="CQ204" s="2275"/>
      <c r="CR204" s="2275"/>
      <c r="CS204" s="2275"/>
      <c r="CT204" s="2275"/>
      <c r="CU204" s="2275"/>
      <c r="CV204" s="2275"/>
      <c r="CW204" s="2275"/>
      <c r="CX204" s="2275"/>
      <c r="CY204" s="2275"/>
      <c r="CZ204" s="2275"/>
      <c r="DA204" s="2275"/>
      <c r="DB204" s="2275"/>
      <c r="DC204" s="2275"/>
      <c r="DD204" s="2275"/>
      <c r="DE204" s="2275"/>
      <c r="DF204" s="2275"/>
      <c r="DG204" s="2275"/>
      <c r="DH204" s="2275"/>
      <c r="DI204" s="2275"/>
      <c r="DJ204" s="2275"/>
      <c r="DK204" s="2275"/>
      <c r="DL204" s="2275"/>
      <c r="DM204" s="2275"/>
      <c r="DN204" s="2275"/>
      <c r="DO204" s="2275"/>
      <c r="DP204" s="2275"/>
      <c r="DQ204" s="2277"/>
      <c r="DR204" s="2277"/>
      <c r="DS204" s="2278"/>
      <c r="DT204" s="2250"/>
      <c r="DU204" s="2250"/>
      <c r="DV204" s="2250"/>
      <c r="DW204" s="2250"/>
      <c r="DX204" s="2275"/>
      <c r="DY204" s="3660">
        <f>DZ183</f>
        <v>120.7</v>
      </c>
      <c r="DZ204" s="3660">
        <f>VLOOKUP(DY204,DY155:EJ181,2,0)</f>
        <v>6.14</v>
      </c>
      <c r="EA204" s="3660">
        <f>VLOOKUP(DY204,DY155:EJ181,3,0)</f>
        <v>9.2100000000000009</v>
      </c>
      <c r="EB204" s="3660">
        <f>VLOOKUP(DY204,DY155:EJ181,4,0)</f>
        <v>18.02</v>
      </c>
      <c r="EC204" s="3660">
        <f>VLOOKUP(DY204,DY155:EJ181,5,0)</f>
        <v>31.19</v>
      </c>
      <c r="ED204" s="3660">
        <f>VLOOKUP(DY204,DY155:EJ181,6,0)</f>
        <v>49.5</v>
      </c>
      <c r="EE204" s="3660">
        <f>VLOOKUP(DY204,DY155:EJ181,7,0)</f>
        <v>72.180000000000007</v>
      </c>
      <c r="EF204" s="3660">
        <f>VLOOKUP(DY204,DY155:EJ181,8,0)</f>
        <v>105.15</v>
      </c>
      <c r="EG204" s="3660">
        <f>VLOOKUP(DY204,DY155:EJ181,9,0)</f>
        <v>144.16</v>
      </c>
      <c r="EH204" s="3660">
        <f>VLOOKUP(DY204,DY155:EJ181,10,0)</f>
        <v>195.84</v>
      </c>
      <c r="EI204" s="3660">
        <f>VLOOKUP(DY204,DY155:EJ181,11,0)</f>
        <v>310.99</v>
      </c>
      <c r="EJ204" s="3660">
        <f>VLOOKUP(DY204,DY155:EJ181,12,0)</f>
        <v>467.92</v>
      </c>
      <c r="EK204" s="2275"/>
      <c r="EL204" s="2275"/>
      <c r="EM204" s="3660">
        <f>EN183</f>
        <v>120.7</v>
      </c>
      <c r="EN204" s="3660">
        <f>VLOOKUP(EM204,EM155:EX181,2,0)</f>
        <v>4.46</v>
      </c>
      <c r="EO204" s="3660">
        <f>VLOOKUP(EM204,EM155:EX181,3,0)</f>
        <v>6.63</v>
      </c>
      <c r="EP204" s="3660">
        <f>VLOOKUP(EM204,EM155:EX181,4,0)</f>
        <v>12.97</v>
      </c>
      <c r="EQ204" s="3660">
        <f>VLOOKUP(EM204,EM155:EX181,5,0)</f>
        <v>22.48</v>
      </c>
      <c r="ER204" s="3660">
        <f>VLOOKUP(EM204,EM155:EX181,6,0)</f>
        <v>35.64</v>
      </c>
      <c r="ES204" s="3660">
        <f>VLOOKUP(EM204,EM155:EX181,7,0)</f>
        <v>50</v>
      </c>
      <c r="ET204" s="3660">
        <f>VLOOKUP(EM204,EM155:EX181,8,0)</f>
        <v>75.25</v>
      </c>
      <c r="EU204" s="3660">
        <f>VLOOKUP(EM204,EM155:EX181,9,0)</f>
        <v>101.49</v>
      </c>
      <c r="EV204" s="3660">
        <f>VLOOKUP(EM204,EM155:EX181,10,0)</f>
        <v>141.19</v>
      </c>
      <c r="EW204" s="3660">
        <f>VLOOKUP(EM204,EM155:EX181,11,0)</f>
        <v>224.16</v>
      </c>
      <c r="EX204" s="3660">
        <f>VLOOKUP(EM204,EM155:EX181,12,0)</f>
        <v>322.27999999999997</v>
      </c>
      <c r="EY204" s="2275"/>
      <c r="EZ204" s="2275"/>
      <c r="FA204" s="3660">
        <f>FB183</f>
        <v>120.7</v>
      </c>
      <c r="FB204" s="3660">
        <f>VLOOKUP(FA204,FA155:FL181,2,0)</f>
        <v>3.84</v>
      </c>
      <c r="FC204" s="3660">
        <f>VLOOKUP(FA204,FA155:FL181,3,0)</f>
        <v>5.76</v>
      </c>
      <c r="FD204" s="3660">
        <f>VLOOKUP(FA204,FA155:FL181,4,0)</f>
        <v>10.95</v>
      </c>
      <c r="FE204" s="3660">
        <f>VLOOKUP(FA204,FA155:FL181,5,0)</f>
        <v>18.28</v>
      </c>
      <c r="FF204" s="3660">
        <f>VLOOKUP(FA204,FA155:FL181,6,0)</f>
        <v>28.22</v>
      </c>
      <c r="FG204" s="3660">
        <f>VLOOKUP(FA204,FA155:FL181,7,0)</f>
        <v>38.04</v>
      </c>
      <c r="FH204" s="3660">
        <f>VLOOKUP(FA204,FA155:FL181,8,0)</f>
        <v>57</v>
      </c>
      <c r="FI204" s="3660">
        <f>VLOOKUP(FA204,FA155:FL181,9,0)</f>
        <v>76.52</v>
      </c>
      <c r="FJ204" s="3660">
        <f>VLOOKUP(FA204,FA155:FL181,10,0)</f>
        <v>107.9</v>
      </c>
      <c r="FK204" s="3660">
        <f>VLOOKUP(FA204,FA155:FL181,11,0)</f>
        <v>173.02</v>
      </c>
      <c r="FL204" s="3660">
        <f>VLOOKUP(FA204,FA155:FL181,12,0)</f>
        <v>243.91</v>
      </c>
      <c r="FM204" s="2275"/>
      <c r="FN204" s="2275"/>
      <c r="FO204" s="3660">
        <f>FP183</f>
        <v>120.7</v>
      </c>
      <c r="FP204" s="3660">
        <f>VLOOKUP(FO204,FO155:FZ181,2,0)</f>
        <v>2.38</v>
      </c>
      <c r="FQ204" s="3660">
        <f>VLOOKUP(FO204,FO155:FZ181,3,0)</f>
        <v>3.37</v>
      </c>
      <c r="FR204" s="3660">
        <f>VLOOKUP(FO204,FO155:FZ181,4,0)</f>
        <v>6.34</v>
      </c>
      <c r="FS204" s="3660">
        <f>VLOOKUP(FO204,FO155:FZ181,5,0)</f>
        <v>10.5</v>
      </c>
      <c r="FT204" s="3660">
        <f>VLOOKUP(FO204,FO155:FZ181,6,0)</f>
        <v>16.34</v>
      </c>
      <c r="FU204" s="3660">
        <f>VLOOKUP(FO204,FO155:FZ181,7,0)</f>
        <v>21.98</v>
      </c>
      <c r="FV204" s="3660">
        <f>VLOOKUP(FO204,FO155:FZ181,8,0)</f>
        <v>32.770000000000003</v>
      </c>
      <c r="FW204" s="3660">
        <f>VLOOKUP(FO204,FO155:FZ181,9,0)</f>
        <v>44.26</v>
      </c>
      <c r="FX204" s="3660">
        <f>VLOOKUP(FO204,FO155:FZ181,10,0)</f>
        <v>61.78</v>
      </c>
      <c r="FY204" s="3660">
        <f>VLOOKUP(FO204,FO155:FZ181,11,0)</f>
        <v>100</v>
      </c>
      <c r="FZ204" s="3660">
        <f>VLOOKUP(FO204,FO155:FZ181,12,0)</f>
        <v>140.99</v>
      </c>
      <c r="GA204" s="2275"/>
      <c r="GB204" s="2275"/>
      <c r="GC204" s="2276"/>
      <c r="GD204" s="2276"/>
      <c r="GE204" s="2250"/>
      <c r="GF204" s="2275"/>
      <c r="GG204" s="3660">
        <f>GH183</f>
        <v>129.80000000000001</v>
      </c>
      <c r="GH204" s="3660">
        <f>VLOOKUP(GG204,GG155:GR181,2,0)</f>
        <v>5.84</v>
      </c>
      <c r="GI204" s="3660">
        <f>VLOOKUP(GG204,GG155:GR181,3,0)</f>
        <v>8.7100000000000009</v>
      </c>
      <c r="GJ204" s="3660">
        <f>VLOOKUP(GG204,GG155:GR181,4,0)</f>
        <v>16.93</v>
      </c>
      <c r="GK204" s="3660">
        <f>VLOOKUP(GG204,GG155:GR181,5,0)</f>
        <v>29.21</v>
      </c>
      <c r="GL204" s="3660">
        <f>VLOOKUP(GG204,GG155:GR181,6,0)</f>
        <v>46.44</v>
      </c>
      <c r="GM204" s="3660">
        <f>VLOOKUP(GG204,GG155:GR181,7,0)</f>
        <v>67.72</v>
      </c>
      <c r="GN204" s="3660">
        <f>VLOOKUP(GG204,GG155:GR181,8,0)</f>
        <v>99.5</v>
      </c>
      <c r="GO204" s="3660">
        <f>VLOOKUP(GG204,GG155:GR181,9,0)</f>
        <v>135.44999999999999</v>
      </c>
      <c r="GP204" s="3660">
        <f>VLOOKUP(GG204,GG155:GR181,10,0)</f>
        <v>183.96</v>
      </c>
      <c r="GQ204" s="3660">
        <f>VLOOKUP(GG204,GG155:GR181,11,0)</f>
        <v>292.08</v>
      </c>
      <c r="GR204" s="3660">
        <f>VLOOKUP(GG204,GG155:GR181,12,0)</f>
        <v>439.5</v>
      </c>
      <c r="GS204" s="2275"/>
      <c r="GT204" s="2275"/>
      <c r="GU204" s="3660">
        <f>GV183</f>
        <v>129.80000000000001</v>
      </c>
      <c r="GV204" s="3660">
        <f>VLOOKUP(GU204,GU155:HF181,2,0)</f>
        <v>4.26</v>
      </c>
      <c r="GW204" s="3660">
        <f>VLOOKUP(GU204,GU155:HF181,3,0)</f>
        <v>6.34</v>
      </c>
      <c r="GX204" s="3660">
        <f>VLOOKUP(GU204,GU155:HF181,4,0)</f>
        <v>12.18</v>
      </c>
      <c r="GY204" s="3660">
        <f>VLOOKUP(GU204,GU155:HF181,5,0)</f>
        <v>21.09</v>
      </c>
      <c r="GZ204" s="3660">
        <f>VLOOKUP(GU204,GU155:HF181,6,0)</f>
        <v>33.47</v>
      </c>
      <c r="HA204" s="3660">
        <f>VLOOKUP(GU204,GU155:HF181,7,0)</f>
        <v>47.43</v>
      </c>
      <c r="HB204" s="3660">
        <f>VLOOKUP(GU204,GU155:HF181,8,0)</f>
        <v>69.11</v>
      </c>
      <c r="HC204" s="3660">
        <f>VLOOKUP(GU204,GU155:HF181,9,0)</f>
        <v>95.84</v>
      </c>
      <c r="HD204" s="3660">
        <f>VLOOKUP(GU204,GU155:HF181,10,0)</f>
        <v>132.57</v>
      </c>
      <c r="HE204" s="3660">
        <f>VLOOKUP(GU204,GU155:HF181,11,0)</f>
        <v>210.5</v>
      </c>
      <c r="HF204" s="3660">
        <f>VLOOKUP(GU204,GU155:HF181,12,0)</f>
        <v>300.79000000000002</v>
      </c>
      <c r="HG204" s="2275"/>
      <c r="HH204" s="2275"/>
      <c r="HI204" s="3660">
        <f>HJ183</f>
        <v>129.80000000000001</v>
      </c>
      <c r="HJ204" s="3660">
        <f>VLOOKUP(HI204,HI155:HT181,2,0)</f>
        <v>3.61</v>
      </c>
      <c r="HK204" s="3660">
        <f>VLOOKUP(HI204,HI155:HT181,3,0)</f>
        <v>5.42</v>
      </c>
      <c r="HL204" s="3660">
        <f>VLOOKUP(HI204,HI155:HT181,4,0)</f>
        <v>10.38</v>
      </c>
      <c r="HM204" s="3660">
        <f>VLOOKUP(HI204,HI155:HT181,5,0)</f>
        <v>16.59</v>
      </c>
      <c r="HN204" s="3660">
        <f>VLOOKUP(HI204,HI155:HT181,6,0)</f>
        <v>26.52</v>
      </c>
      <c r="HO204" s="3660">
        <f>VLOOKUP(HI204,HI155:HT181,7,0)</f>
        <v>35.89</v>
      </c>
      <c r="HP204" s="3660">
        <f>VLOOKUP(HI204,HI155:HT181,8,0)</f>
        <v>52.14</v>
      </c>
      <c r="HQ204" s="3660">
        <f>VLOOKUP(HI204,HI155:HT181,9,0)</f>
        <v>72.010000000000005</v>
      </c>
      <c r="HR204" s="3660">
        <f>VLOOKUP(HI204,HI155:HT181,10,0)</f>
        <v>105.87</v>
      </c>
      <c r="HS204" s="3660">
        <f>VLOOKUP(HI204,HI155:HT181,11,0)</f>
        <v>160.84</v>
      </c>
      <c r="HT204" s="3660">
        <f>VLOOKUP(HI204,HI155:HT181,12,0)</f>
        <v>229.57</v>
      </c>
      <c r="HU204" s="2275"/>
      <c r="HV204" s="2275"/>
      <c r="HW204" s="3660">
        <f>HX183</f>
        <v>129.80000000000001</v>
      </c>
      <c r="HX204" s="3660">
        <f>VLOOKUP(HW204,HW155:IH181,2,0)</f>
        <v>2.1800000000000002</v>
      </c>
      <c r="HY204" s="3660">
        <f>VLOOKUP(HW204,HW155:IH181,3,0)</f>
        <v>3.07</v>
      </c>
      <c r="HZ204" s="3660">
        <f>VLOOKUP(HW204,HW155:IH181,4,0)</f>
        <v>5.94</v>
      </c>
      <c r="IA204" s="3660">
        <f>VLOOKUP(HW204,HW155:IH181,5,0)</f>
        <v>9.5</v>
      </c>
      <c r="IB204" s="3660">
        <f>VLOOKUP(HW204,HW155:IH181,6,0)</f>
        <v>15.35</v>
      </c>
      <c r="IC204" s="3660">
        <f>VLOOKUP(HW204,HW155:IH181,7,0)</f>
        <v>20.69</v>
      </c>
      <c r="ID204" s="3660">
        <f>VLOOKUP(HW204,HW155:IH181,8,0)</f>
        <v>30.1</v>
      </c>
      <c r="IE204" s="3660">
        <f>VLOOKUP(HW204,HW155:IH181,9,0)</f>
        <v>41.68</v>
      </c>
      <c r="IF204" s="3660">
        <f>VLOOKUP(HW204,HW155:IH181,10,0)</f>
        <v>61.19</v>
      </c>
      <c r="IG204" s="3660">
        <f>VLOOKUP(HW204,HW155:IH181,11,0)</f>
        <v>92.18</v>
      </c>
      <c r="IH204" s="3660">
        <f>VLOOKUP(HW204,HW155:IH181,12,0)</f>
        <v>131.49</v>
      </c>
      <c r="II204" s="2275"/>
      <c r="IJ204" s="2275"/>
      <c r="IK204" s="2275"/>
      <c r="IL204" s="2275"/>
    </row>
    <row r="205" spans="1:246" ht="21.95" customHeight="1">
      <c r="A205" s="2275"/>
      <c r="B205" s="2292">
        <v>0</v>
      </c>
      <c r="C205" s="3660">
        <f t="shared" ref="C205:M205" si="136">C203</f>
        <v>4.16</v>
      </c>
      <c r="D205" s="3660">
        <f t="shared" si="136"/>
        <v>6.14</v>
      </c>
      <c r="E205" s="3660">
        <f t="shared" si="136"/>
        <v>12.08</v>
      </c>
      <c r="F205" s="3660">
        <f t="shared" si="136"/>
        <v>20.89</v>
      </c>
      <c r="G205" s="3660">
        <f t="shared" si="136"/>
        <v>33.07</v>
      </c>
      <c r="H205" s="3660">
        <f t="shared" si="136"/>
        <v>49.41</v>
      </c>
      <c r="I205" s="3660">
        <f t="shared" si="136"/>
        <v>70.400000000000006</v>
      </c>
      <c r="J205" s="3660">
        <f t="shared" si="136"/>
        <v>96.53</v>
      </c>
      <c r="K205" s="3660">
        <f t="shared" si="136"/>
        <v>131.09</v>
      </c>
      <c r="L205" s="3660">
        <f t="shared" si="136"/>
        <v>208.12</v>
      </c>
      <c r="M205" s="3660">
        <f t="shared" si="136"/>
        <v>310.69</v>
      </c>
      <c r="N205" s="2275"/>
      <c r="O205" s="2275"/>
      <c r="P205" s="2292">
        <v>0</v>
      </c>
      <c r="Q205" s="3660">
        <f t="shared" ref="Q205:AA205" si="137">Q203</f>
        <v>2.97</v>
      </c>
      <c r="R205" s="3660">
        <f t="shared" si="137"/>
        <v>4.46</v>
      </c>
      <c r="S205" s="3660">
        <f t="shared" si="137"/>
        <v>8.61</v>
      </c>
      <c r="T205" s="3660">
        <f t="shared" si="137"/>
        <v>14.95</v>
      </c>
      <c r="U205" s="3660">
        <f t="shared" si="137"/>
        <v>23.76</v>
      </c>
      <c r="V205" s="3660">
        <f t="shared" si="137"/>
        <v>33.659999999999997</v>
      </c>
      <c r="W205" s="3660">
        <f t="shared" si="137"/>
        <v>48.61</v>
      </c>
      <c r="X205" s="3660">
        <f t="shared" si="137"/>
        <v>65.25</v>
      </c>
      <c r="Y205" s="3660">
        <f t="shared" si="137"/>
        <v>94.16</v>
      </c>
      <c r="Z205" s="3660">
        <f t="shared" si="137"/>
        <v>147.62</v>
      </c>
      <c r="AA205" s="3660">
        <f t="shared" si="137"/>
        <v>213.96</v>
      </c>
      <c r="AB205" s="2275"/>
      <c r="AC205" s="2275"/>
      <c r="AD205" s="2292">
        <v>0</v>
      </c>
      <c r="AE205" s="3660">
        <f t="shared" ref="AE205:AO205" si="138">AE203</f>
        <v>2.6</v>
      </c>
      <c r="AF205" s="3660">
        <f t="shared" si="138"/>
        <v>3.72</v>
      </c>
      <c r="AG205" s="3660">
        <f t="shared" si="138"/>
        <v>7</v>
      </c>
      <c r="AH205" s="3660">
        <f t="shared" si="138"/>
        <v>11.74</v>
      </c>
      <c r="AI205" s="3660">
        <f t="shared" si="138"/>
        <v>17.95</v>
      </c>
      <c r="AJ205" s="3660">
        <f t="shared" si="138"/>
        <v>25.17</v>
      </c>
      <c r="AK205" s="3660">
        <f t="shared" si="138"/>
        <v>36.340000000000003</v>
      </c>
      <c r="AL205" s="3660">
        <f t="shared" si="138"/>
        <v>48.87</v>
      </c>
      <c r="AM205" s="3660">
        <f t="shared" si="138"/>
        <v>71.78</v>
      </c>
      <c r="AN205" s="3660">
        <f t="shared" si="138"/>
        <v>110.5</v>
      </c>
      <c r="AO205" s="3660">
        <f t="shared" si="138"/>
        <v>160.61000000000001</v>
      </c>
      <c r="AP205" s="2275"/>
      <c r="AQ205" s="2275"/>
      <c r="AR205" s="2292">
        <v>0</v>
      </c>
      <c r="AS205" s="3660">
        <f t="shared" ref="AS205:BC205" si="139">AS203</f>
        <v>1.49</v>
      </c>
      <c r="AT205" s="3660">
        <f t="shared" si="139"/>
        <v>2.1800000000000002</v>
      </c>
      <c r="AU205" s="3660">
        <f t="shared" si="139"/>
        <v>4.0599999999999996</v>
      </c>
      <c r="AV205" s="3660">
        <f t="shared" si="139"/>
        <v>6.73</v>
      </c>
      <c r="AW205" s="3660">
        <f t="shared" si="139"/>
        <v>10.4</v>
      </c>
      <c r="AX205" s="3660">
        <f t="shared" si="139"/>
        <v>14.55</v>
      </c>
      <c r="AY205" s="3660">
        <f t="shared" si="139"/>
        <v>21.09</v>
      </c>
      <c r="AZ205" s="3660">
        <f t="shared" si="139"/>
        <v>28.32</v>
      </c>
      <c r="BA205" s="3660">
        <f t="shared" si="139"/>
        <v>41.58</v>
      </c>
      <c r="BB205" s="3660">
        <f t="shared" si="139"/>
        <v>64.06</v>
      </c>
      <c r="BC205" s="3660">
        <f t="shared" si="139"/>
        <v>92.87</v>
      </c>
      <c r="BD205" s="2275"/>
      <c r="BE205" s="2275"/>
      <c r="BF205" s="2276"/>
      <c r="BG205" s="2276"/>
      <c r="BH205" s="2250"/>
      <c r="BI205" s="2275"/>
      <c r="BJ205" s="2292">
        <v>0</v>
      </c>
      <c r="BK205" s="3660">
        <f t="shared" ref="BK205:BU205" si="140">BK203</f>
        <v>3.86</v>
      </c>
      <c r="BL205" s="3660">
        <f t="shared" si="140"/>
        <v>5.74</v>
      </c>
      <c r="BM205" s="3660">
        <f t="shared" si="140"/>
        <v>11.19</v>
      </c>
      <c r="BN205" s="3660">
        <f t="shared" si="140"/>
        <v>19.41</v>
      </c>
      <c r="BO205" s="3660">
        <f t="shared" si="140"/>
        <v>30.79</v>
      </c>
      <c r="BP205" s="3660">
        <f t="shared" si="140"/>
        <v>45.94</v>
      </c>
      <c r="BQ205" s="3660">
        <f t="shared" si="140"/>
        <v>65.349999999999994</v>
      </c>
      <c r="BR205" s="3660">
        <f t="shared" si="140"/>
        <v>89.6</v>
      </c>
      <c r="BS205" s="3660">
        <f t="shared" si="140"/>
        <v>121.78</v>
      </c>
      <c r="BT205" s="3660">
        <f t="shared" si="140"/>
        <v>193.37</v>
      </c>
      <c r="BU205" s="3660">
        <f t="shared" si="140"/>
        <v>288.61</v>
      </c>
      <c r="BV205" s="2275"/>
      <c r="BW205" s="2275"/>
      <c r="BX205" s="2292">
        <v>0</v>
      </c>
      <c r="BY205" s="3660">
        <f t="shared" ref="BY205:CI205" si="141">BY203</f>
        <v>2.77</v>
      </c>
      <c r="BZ205" s="3660">
        <f t="shared" si="141"/>
        <v>4.16</v>
      </c>
      <c r="CA205" s="3660">
        <f t="shared" si="141"/>
        <v>8.02</v>
      </c>
      <c r="CB205" s="3660">
        <f t="shared" si="141"/>
        <v>13.86</v>
      </c>
      <c r="CC205" s="3660">
        <f t="shared" si="141"/>
        <v>21.68</v>
      </c>
      <c r="CD205" s="3660">
        <f t="shared" si="141"/>
        <v>30.69</v>
      </c>
      <c r="CE205" s="3660">
        <f t="shared" si="141"/>
        <v>43.86</v>
      </c>
      <c r="CF205" s="3660">
        <f t="shared" si="141"/>
        <v>58.91</v>
      </c>
      <c r="CG205" s="3660">
        <f t="shared" si="141"/>
        <v>86.53</v>
      </c>
      <c r="CH205" s="3660">
        <f t="shared" si="141"/>
        <v>133.27000000000001</v>
      </c>
      <c r="CI205" s="3660">
        <f t="shared" si="141"/>
        <v>193.66</v>
      </c>
      <c r="CJ205" s="2275"/>
      <c r="CK205" s="2275"/>
      <c r="CL205" s="2292">
        <v>0</v>
      </c>
      <c r="CM205" s="3660">
        <f t="shared" ref="CM205:CW205" si="142">CM203</f>
        <v>2.37</v>
      </c>
      <c r="CN205" s="3660">
        <f t="shared" si="142"/>
        <v>3.39</v>
      </c>
      <c r="CO205" s="3660">
        <f t="shared" si="142"/>
        <v>6.32</v>
      </c>
      <c r="CP205" s="3660">
        <f t="shared" si="142"/>
        <v>10.61</v>
      </c>
      <c r="CQ205" s="3660">
        <f t="shared" si="142"/>
        <v>16.25</v>
      </c>
      <c r="CR205" s="3660">
        <f t="shared" si="142"/>
        <v>23.25</v>
      </c>
      <c r="CS205" s="3660">
        <f t="shared" si="142"/>
        <v>32.840000000000003</v>
      </c>
      <c r="CT205" s="3660">
        <f t="shared" si="142"/>
        <v>44.13</v>
      </c>
      <c r="CU205" s="3660">
        <f t="shared" si="142"/>
        <v>64.790000000000006</v>
      </c>
      <c r="CV205" s="3660">
        <f t="shared" si="142"/>
        <v>99.77</v>
      </c>
      <c r="CW205" s="3660">
        <f t="shared" si="142"/>
        <v>145.03</v>
      </c>
      <c r="CX205" s="2275"/>
      <c r="CY205" s="2275"/>
      <c r="CZ205" s="2292">
        <v>0</v>
      </c>
      <c r="DA205" s="3660">
        <f t="shared" ref="DA205:DK205" si="143">DA203</f>
        <v>1.39</v>
      </c>
      <c r="DB205" s="3660">
        <f t="shared" si="143"/>
        <v>1.98</v>
      </c>
      <c r="DC205" s="3660">
        <f t="shared" si="143"/>
        <v>3.66</v>
      </c>
      <c r="DD205" s="3660">
        <f t="shared" si="143"/>
        <v>6.14</v>
      </c>
      <c r="DE205" s="3660">
        <f t="shared" si="143"/>
        <v>9.41</v>
      </c>
      <c r="DF205" s="3660">
        <f t="shared" si="143"/>
        <v>13.37</v>
      </c>
      <c r="DG205" s="3660">
        <f t="shared" si="143"/>
        <v>19.010000000000002</v>
      </c>
      <c r="DH205" s="3660">
        <f t="shared" si="143"/>
        <v>25.54</v>
      </c>
      <c r="DI205" s="3660">
        <f t="shared" si="143"/>
        <v>37.619999999999997</v>
      </c>
      <c r="DJ205" s="3660">
        <f t="shared" si="143"/>
        <v>57.92</v>
      </c>
      <c r="DK205" s="3660">
        <f t="shared" si="143"/>
        <v>84.16</v>
      </c>
      <c r="DL205" s="2275"/>
      <c r="DM205" s="2275"/>
      <c r="DN205" s="2275"/>
      <c r="DO205" s="2275"/>
      <c r="DP205" s="2275"/>
      <c r="DQ205" s="2277"/>
      <c r="DR205" s="2277"/>
      <c r="DS205" s="2278"/>
      <c r="DT205" s="2250"/>
      <c r="DU205" s="2250"/>
      <c r="DV205" s="2250"/>
      <c r="DW205" s="2250"/>
      <c r="DX205" s="2275"/>
      <c r="DY205" s="2275"/>
      <c r="DZ205" s="2275"/>
      <c r="EA205" s="2275"/>
      <c r="EB205" s="2275"/>
      <c r="EC205" s="2275"/>
      <c r="ED205" s="2275"/>
      <c r="EE205" s="2275"/>
      <c r="EF205" s="2275"/>
      <c r="EG205" s="2275"/>
      <c r="EH205" s="2275"/>
      <c r="EI205" s="2275"/>
      <c r="EJ205" s="2275"/>
      <c r="EK205" s="2275"/>
      <c r="EL205" s="2275"/>
      <c r="EM205" s="2275"/>
      <c r="EN205" s="2275"/>
      <c r="EO205" s="2275"/>
      <c r="EP205" s="2275"/>
      <c r="EQ205" s="2275"/>
      <c r="ER205" s="2275"/>
      <c r="ES205" s="2275"/>
      <c r="ET205" s="2275"/>
      <c r="EU205" s="2275"/>
      <c r="EV205" s="2275"/>
      <c r="EW205" s="2275"/>
      <c r="EX205" s="2275"/>
      <c r="EY205" s="2275"/>
      <c r="EZ205" s="2275"/>
      <c r="FA205" s="2275"/>
      <c r="FB205" s="2275"/>
      <c r="FC205" s="2275"/>
      <c r="FD205" s="2275"/>
      <c r="FE205" s="2275"/>
      <c r="FF205" s="2275"/>
      <c r="FG205" s="2275"/>
      <c r="FH205" s="2275"/>
      <c r="FI205" s="2275"/>
      <c r="FJ205" s="2275"/>
      <c r="FK205" s="2275"/>
      <c r="FL205" s="2275"/>
      <c r="FM205" s="2275"/>
      <c r="FN205" s="2275"/>
      <c r="FO205" s="2275"/>
      <c r="FP205" s="2275"/>
      <c r="FQ205" s="2275"/>
      <c r="FR205" s="2275"/>
      <c r="FS205" s="2275"/>
      <c r="FT205" s="2275"/>
      <c r="FU205" s="2275"/>
      <c r="FV205" s="2275"/>
      <c r="FW205" s="2275"/>
      <c r="FX205" s="2275"/>
      <c r="FY205" s="2275"/>
      <c r="FZ205" s="2275"/>
      <c r="GA205" s="2275"/>
      <c r="GB205" s="2275"/>
      <c r="GC205" s="2276"/>
      <c r="GD205" s="2276"/>
      <c r="GE205" s="2250"/>
      <c r="GF205" s="2275"/>
      <c r="GG205" s="2275"/>
      <c r="GH205" s="2275"/>
      <c r="GI205" s="2275"/>
      <c r="GJ205" s="2275"/>
      <c r="GK205" s="2275"/>
      <c r="GL205" s="2275"/>
      <c r="GM205" s="2275"/>
      <c r="GN205" s="2275"/>
      <c r="GO205" s="2275"/>
      <c r="GP205" s="2275"/>
      <c r="GQ205" s="2275"/>
      <c r="GR205" s="2275"/>
      <c r="GS205" s="2275"/>
      <c r="GT205" s="2275"/>
      <c r="GU205" s="2275"/>
      <c r="GV205" s="2275"/>
      <c r="GW205" s="2275"/>
      <c r="GX205" s="2275"/>
      <c r="GY205" s="2275"/>
      <c r="GZ205" s="2275"/>
      <c r="HA205" s="2275"/>
      <c r="HB205" s="2275"/>
      <c r="HC205" s="2275"/>
      <c r="HD205" s="2275"/>
      <c r="HE205" s="2275"/>
      <c r="HF205" s="2275"/>
      <c r="HG205" s="2275"/>
      <c r="HH205" s="2275"/>
      <c r="HI205" s="2275"/>
      <c r="HJ205" s="2275"/>
      <c r="HK205" s="2275"/>
      <c r="HL205" s="2275"/>
      <c r="HM205" s="2275"/>
      <c r="HN205" s="2275"/>
      <c r="HO205" s="2275"/>
      <c r="HP205" s="2275"/>
      <c r="HQ205" s="2275"/>
      <c r="HR205" s="2275"/>
      <c r="HS205" s="2275"/>
      <c r="HT205" s="2275"/>
      <c r="HU205" s="2275"/>
      <c r="HV205" s="2275"/>
      <c r="HW205" s="2275"/>
      <c r="HX205" s="2275"/>
      <c r="HY205" s="2275"/>
      <c r="HZ205" s="2275"/>
      <c r="IA205" s="2275"/>
      <c r="IB205" s="2275"/>
      <c r="IC205" s="2275"/>
      <c r="ID205" s="2275"/>
      <c r="IE205" s="2275"/>
      <c r="IF205" s="2275"/>
      <c r="IG205" s="2275"/>
      <c r="IH205" s="2275"/>
      <c r="II205" s="2275"/>
      <c r="IJ205" s="2275"/>
      <c r="IK205" s="2275"/>
      <c r="IL205" s="2275"/>
    </row>
    <row r="206" spans="1:246" ht="21.95" customHeight="1">
      <c r="A206" s="2275"/>
      <c r="B206" s="3660">
        <f t="shared" ref="B206:L206" si="144">C205</f>
        <v>4.16</v>
      </c>
      <c r="C206" s="3660">
        <f t="shared" si="144"/>
        <v>6.14</v>
      </c>
      <c r="D206" s="3660">
        <f t="shared" si="144"/>
        <v>12.08</v>
      </c>
      <c r="E206" s="3660">
        <f t="shared" si="144"/>
        <v>20.89</v>
      </c>
      <c r="F206" s="3660">
        <f t="shared" si="144"/>
        <v>33.07</v>
      </c>
      <c r="G206" s="3660">
        <f t="shared" si="144"/>
        <v>49.41</v>
      </c>
      <c r="H206" s="3660">
        <f t="shared" si="144"/>
        <v>70.400000000000006</v>
      </c>
      <c r="I206" s="3660">
        <f t="shared" si="144"/>
        <v>96.53</v>
      </c>
      <c r="J206" s="3660">
        <f t="shared" si="144"/>
        <v>131.09</v>
      </c>
      <c r="K206" s="3660">
        <f t="shared" si="144"/>
        <v>208.12</v>
      </c>
      <c r="L206" s="3660">
        <f t="shared" si="144"/>
        <v>310.69</v>
      </c>
      <c r="M206" s="3660">
        <f>+L206</f>
        <v>310.69</v>
      </c>
      <c r="N206" s="2275"/>
      <c r="O206" s="2275"/>
      <c r="P206" s="3660">
        <f t="shared" ref="P206:Z206" si="145">Q205</f>
        <v>2.97</v>
      </c>
      <c r="Q206" s="3660">
        <f t="shared" si="145"/>
        <v>4.46</v>
      </c>
      <c r="R206" s="3660">
        <f t="shared" si="145"/>
        <v>8.61</v>
      </c>
      <c r="S206" s="3660">
        <f t="shared" si="145"/>
        <v>14.95</v>
      </c>
      <c r="T206" s="3660">
        <f t="shared" si="145"/>
        <v>23.76</v>
      </c>
      <c r="U206" s="3660">
        <f t="shared" si="145"/>
        <v>33.659999999999997</v>
      </c>
      <c r="V206" s="3660">
        <f t="shared" si="145"/>
        <v>48.61</v>
      </c>
      <c r="W206" s="3660">
        <f t="shared" si="145"/>
        <v>65.25</v>
      </c>
      <c r="X206" s="3660">
        <f t="shared" si="145"/>
        <v>94.16</v>
      </c>
      <c r="Y206" s="3660">
        <f t="shared" si="145"/>
        <v>147.62</v>
      </c>
      <c r="Z206" s="3660">
        <f t="shared" si="145"/>
        <v>213.96</v>
      </c>
      <c r="AA206" s="3660">
        <f>+Z206</f>
        <v>213.96</v>
      </c>
      <c r="AB206" s="2275"/>
      <c r="AC206" s="2275"/>
      <c r="AD206" s="3660">
        <f t="shared" ref="AD206:AN206" si="146">AE205</f>
        <v>2.6</v>
      </c>
      <c r="AE206" s="3660">
        <f t="shared" si="146"/>
        <v>3.72</v>
      </c>
      <c r="AF206" s="3660">
        <f t="shared" si="146"/>
        <v>7</v>
      </c>
      <c r="AG206" s="3660">
        <f t="shared" si="146"/>
        <v>11.74</v>
      </c>
      <c r="AH206" s="3660">
        <f t="shared" si="146"/>
        <v>17.95</v>
      </c>
      <c r="AI206" s="3660">
        <f t="shared" si="146"/>
        <v>25.17</v>
      </c>
      <c r="AJ206" s="3660">
        <f t="shared" si="146"/>
        <v>36.340000000000003</v>
      </c>
      <c r="AK206" s="3660">
        <f t="shared" si="146"/>
        <v>48.87</v>
      </c>
      <c r="AL206" s="3660">
        <f t="shared" si="146"/>
        <v>71.78</v>
      </c>
      <c r="AM206" s="3660">
        <f t="shared" si="146"/>
        <v>110.5</v>
      </c>
      <c r="AN206" s="3660">
        <f t="shared" si="146"/>
        <v>160.61000000000001</v>
      </c>
      <c r="AO206" s="3660">
        <f>+AN206</f>
        <v>160.61000000000001</v>
      </c>
      <c r="AP206" s="2275"/>
      <c r="AQ206" s="2275"/>
      <c r="AR206" s="3660">
        <f t="shared" ref="AR206:BB206" si="147">AS205</f>
        <v>1.49</v>
      </c>
      <c r="AS206" s="3660">
        <f t="shared" si="147"/>
        <v>2.1800000000000002</v>
      </c>
      <c r="AT206" s="3660">
        <f t="shared" si="147"/>
        <v>4.0599999999999996</v>
      </c>
      <c r="AU206" s="3660">
        <f t="shared" si="147"/>
        <v>6.73</v>
      </c>
      <c r="AV206" s="3660">
        <f t="shared" si="147"/>
        <v>10.4</v>
      </c>
      <c r="AW206" s="3660">
        <f t="shared" si="147"/>
        <v>14.55</v>
      </c>
      <c r="AX206" s="3660">
        <f t="shared" si="147"/>
        <v>21.09</v>
      </c>
      <c r="AY206" s="3660">
        <f t="shared" si="147"/>
        <v>28.32</v>
      </c>
      <c r="AZ206" s="3660">
        <f t="shared" si="147"/>
        <v>41.58</v>
      </c>
      <c r="BA206" s="3660">
        <f t="shared" si="147"/>
        <v>64.06</v>
      </c>
      <c r="BB206" s="3660">
        <f t="shared" si="147"/>
        <v>92.87</v>
      </c>
      <c r="BC206" s="3660">
        <f>+BB206</f>
        <v>92.87</v>
      </c>
      <c r="BD206" s="2275"/>
      <c r="BE206" s="2275"/>
      <c r="BF206" s="2276"/>
      <c r="BG206" s="2276"/>
      <c r="BH206" s="2250"/>
      <c r="BI206" s="2275"/>
      <c r="BJ206" s="3660">
        <f t="shared" ref="BJ206:BT206" si="148">BK205</f>
        <v>3.86</v>
      </c>
      <c r="BK206" s="3660">
        <f t="shared" si="148"/>
        <v>5.74</v>
      </c>
      <c r="BL206" s="3660">
        <f t="shared" si="148"/>
        <v>11.19</v>
      </c>
      <c r="BM206" s="3660">
        <f t="shared" si="148"/>
        <v>19.41</v>
      </c>
      <c r="BN206" s="3660">
        <f t="shared" si="148"/>
        <v>30.79</v>
      </c>
      <c r="BO206" s="3660">
        <f t="shared" si="148"/>
        <v>45.94</v>
      </c>
      <c r="BP206" s="3660">
        <f t="shared" si="148"/>
        <v>65.349999999999994</v>
      </c>
      <c r="BQ206" s="3660">
        <f t="shared" si="148"/>
        <v>89.6</v>
      </c>
      <c r="BR206" s="3660">
        <f t="shared" si="148"/>
        <v>121.78</v>
      </c>
      <c r="BS206" s="3660">
        <f t="shared" si="148"/>
        <v>193.37</v>
      </c>
      <c r="BT206" s="3660">
        <f t="shared" si="148"/>
        <v>288.61</v>
      </c>
      <c r="BU206" s="3660">
        <f>+BT206</f>
        <v>288.61</v>
      </c>
      <c r="BV206" s="2275"/>
      <c r="BW206" s="2275"/>
      <c r="BX206" s="3660">
        <f t="shared" ref="BX206:CH206" si="149">BY205</f>
        <v>2.77</v>
      </c>
      <c r="BY206" s="3660">
        <f t="shared" si="149"/>
        <v>4.16</v>
      </c>
      <c r="BZ206" s="3660">
        <f t="shared" si="149"/>
        <v>8.02</v>
      </c>
      <c r="CA206" s="3660">
        <f t="shared" si="149"/>
        <v>13.86</v>
      </c>
      <c r="CB206" s="3660">
        <f t="shared" si="149"/>
        <v>21.68</v>
      </c>
      <c r="CC206" s="3660">
        <f t="shared" si="149"/>
        <v>30.69</v>
      </c>
      <c r="CD206" s="3660">
        <f t="shared" si="149"/>
        <v>43.86</v>
      </c>
      <c r="CE206" s="3660">
        <f t="shared" si="149"/>
        <v>58.91</v>
      </c>
      <c r="CF206" s="3660">
        <f t="shared" si="149"/>
        <v>86.53</v>
      </c>
      <c r="CG206" s="3660">
        <f t="shared" si="149"/>
        <v>133.27000000000001</v>
      </c>
      <c r="CH206" s="3660">
        <f t="shared" si="149"/>
        <v>193.66</v>
      </c>
      <c r="CI206" s="3660">
        <f>+CH206</f>
        <v>193.66</v>
      </c>
      <c r="CJ206" s="2275"/>
      <c r="CK206" s="2275"/>
      <c r="CL206" s="3660">
        <f t="shared" ref="CL206:CV206" si="150">CM205</f>
        <v>2.37</v>
      </c>
      <c r="CM206" s="3660">
        <f t="shared" si="150"/>
        <v>3.39</v>
      </c>
      <c r="CN206" s="3660">
        <f t="shared" si="150"/>
        <v>6.32</v>
      </c>
      <c r="CO206" s="3660">
        <f t="shared" si="150"/>
        <v>10.61</v>
      </c>
      <c r="CP206" s="3660">
        <f t="shared" si="150"/>
        <v>16.25</v>
      </c>
      <c r="CQ206" s="3660">
        <f t="shared" si="150"/>
        <v>23.25</v>
      </c>
      <c r="CR206" s="3660">
        <f t="shared" si="150"/>
        <v>32.840000000000003</v>
      </c>
      <c r="CS206" s="3660">
        <f t="shared" si="150"/>
        <v>44.13</v>
      </c>
      <c r="CT206" s="3660">
        <f t="shared" si="150"/>
        <v>64.790000000000006</v>
      </c>
      <c r="CU206" s="3660">
        <f t="shared" si="150"/>
        <v>99.77</v>
      </c>
      <c r="CV206" s="3660">
        <f t="shared" si="150"/>
        <v>145.03</v>
      </c>
      <c r="CW206" s="3660">
        <f>+CV206</f>
        <v>145.03</v>
      </c>
      <c r="CX206" s="2275"/>
      <c r="CY206" s="2275"/>
      <c r="CZ206" s="3660">
        <f t="shared" ref="CZ206:DJ206" si="151">DA205</f>
        <v>1.39</v>
      </c>
      <c r="DA206" s="3660">
        <f t="shared" si="151"/>
        <v>1.98</v>
      </c>
      <c r="DB206" s="3660">
        <f t="shared" si="151"/>
        <v>3.66</v>
      </c>
      <c r="DC206" s="3660">
        <f t="shared" si="151"/>
        <v>6.14</v>
      </c>
      <c r="DD206" s="3660">
        <f t="shared" si="151"/>
        <v>9.41</v>
      </c>
      <c r="DE206" s="3660">
        <f t="shared" si="151"/>
        <v>13.37</v>
      </c>
      <c r="DF206" s="3660">
        <f t="shared" si="151"/>
        <v>19.010000000000002</v>
      </c>
      <c r="DG206" s="3660">
        <f t="shared" si="151"/>
        <v>25.54</v>
      </c>
      <c r="DH206" s="3660">
        <f t="shared" si="151"/>
        <v>37.619999999999997</v>
      </c>
      <c r="DI206" s="3660">
        <f t="shared" si="151"/>
        <v>57.92</v>
      </c>
      <c r="DJ206" s="3660">
        <f t="shared" si="151"/>
        <v>84.16</v>
      </c>
      <c r="DK206" s="3660">
        <f>+DJ206</f>
        <v>84.16</v>
      </c>
      <c r="DL206" s="2275"/>
      <c r="DM206" s="2275"/>
      <c r="DN206" s="2275"/>
      <c r="DO206" s="2275"/>
      <c r="DP206" s="2275"/>
      <c r="DQ206" s="2277"/>
      <c r="DR206" s="2277"/>
      <c r="DS206" s="2278"/>
      <c r="DT206" s="2250"/>
      <c r="DU206" s="2250"/>
      <c r="DV206" s="2250"/>
      <c r="DW206" s="2250"/>
      <c r="DX206" s="2275"/>
      <c r="DY206" s="2292">
        <v>0</v>
      </c>
      <c r="DZ206" s="3660">
        <f t="shared" ref="DZ206:EJ206" si="152">DZ204</f>
        <v>6.14</v>
      </c>
      <c r="EA206" s="3660">
        <f t="shared" si="152"/>
        <v>9.2100000000000009</v>
      </c>
      <c r="EB206" s="3660">
        <f t="shared" si="152"/>
        <v>18.02</v>
      </c>
      <c r="EC206" s="3660">
        <f t="shared" si="152"/>
        <v>31.19</v>
      </c>
      <c r="ED206" s="3660">
        <f t="shared" si="152"/>
        <v>49.5</v>
      </c>
      <c r="EE206" s="3660">
        <f t="shared" si="152"/>
        <v>72.180000000000007</v>
      </c>
      <c r="EF206" s="3660">
        <f t="shared" si="152"/>
        <v>105.15</v>
      </c>
      <c r="EG206" s="3660">
        <f t="shared" si="152"/>
        <v>144.16</v>
      </c>
      <c r="EH206" s="3660">
        <f t="shared" si="152"/>
        <v>195.84</v>
      </c>
      <c r="EI206" s="3660">
        <f t="shared" si="152"/>
        <v>310.99</v>
      </c>
      <c r="EJ206" s="3660">
        <f t="shared" si="152"/>
        <v>467.92</v>
      </c>
      <c r="EK206" s="2275"/>
      <c r="EL206" s="2275"/>
      <c r="EM206" s="2292">
        <v>0</v>
      </c>
      <c r="EN206" s="3660">
        <f t="shared" ref="EN206:EX206" si="153">EN204</f>
        <v>4.46</v>
      </c>
      <c r="EO206" s="3660">
        <f t="shared" si="153"/>
        <v>6.63</v>
      </c>
      <c r="EP206" s="3660">
        <f t="shared" si="153"/>
        <v>12.97</v>
      </c>
      <c r="EQ206" s="3660">
        <f t="shared" si="153"/>
        <v>22.48</v>
      </c>
      <c r="ER206" s="3660">
        <f t="shared" si="153"/>
        <v>35.64</v>
      </c>
      <c r="ES206" s="3660">
        <f t="shared" si="153"/>
        <v>50</v>
      </c>
      <c r="ET206" s="3660">
        <f t="shared" si="153"/>
        <v>75.25</v>
      </c>
      <c r="EU206" s="3660">
        <f t="shared" si="153"/>
        <v>101.49</v>
      </c>
      <c r="EV206" s="3660">
        <f t="shared" si="153"/>
        <v>141.19</v>
      </c>
      <c r="EW206" s="3660">
        <f t="shared" si="153"/>
        <v>224.16</v>
      </c>
      <c r="EX206" s="3660">
        <f t="shared" si="153"/>
        <v>322.27999999999997</v>
      </c>
      <c r="EY206" s="2275"/>
      <c r="EZ206" s="2275"/>
      <c r="FA206" s="2292">
        <v>0</v>
      </c>
      <c r="FB206" s="3660">
        <f t="shared" ref="FB206:FL206" si="154">FB204</f>
        <v>3.84</v>
      </c>
      <c r="FC206" s="3660">
        <f t="shared" si="154"/>
        <v>5.76</v>
      </c>
      <c r="FD206" s="3660">
        <f t="shared" si="154"/>
        <v>10.95</v>
      </c>
      <c r="FE206" s="3660">
        <f t="shared" si="154"/>
        <v>18.28</v>
      </c>
      <c r="FF206" s="3660">
        <f t="shared" si="154"/>
        <v>28.22</v>
      </c>
      <c r="FG206" s="3660">
        <f t="shared" si="154"/>
        <v>38.04</v>
      </c>
      <c r="FH206" s="3660">
        <f t="shared" si="154"/>
        <v>57</v>
      </c>
      <c r="FI206" s="3660">
        <f t="shared" si="154"/>
        <v>76.52</v>
      </c>
      <c r="FJ206" s="3660">
        <f t="shared" si="154"/>
        <v>107.9</v>
      </c>
      <c r="FK206" s="3660">
        <f t="shared" si="154"/>
        <v>173.02</v>
      </c>
      <c r="FL206" s="3660">
        <f t="shared" si="154"/>
        <v>243.91</v>
      </c>
      <c r="FM206" s="2275"/>
      <c r="FN206" s="2275"/>
      <c r="FO206" s="2292">
        <v>0</v>
      </c>
      <c r="FP206" s="3660">
        <f t="shared" ref="FP206:FZ206" si="155">FP204</f>
        <v>2.38</v>
      </c>
      <c r="FQ206" s="3660">
        <f t="shared" si="155"/>
        <v>3.37</v>
      </c>
      <c r="FR206" s="3660">
        <f t="shared" si="155"/>
        <v>6.34</v>
      </c>
      <c r="FS206" s="3660">
        <f t="shared" si="155"/>
        <v>10.5</v>
      </c>
      <c r="FT206" s="3660">
        <f t="shared" si="155"/>
        <v>16.34</v>
      </c>
      <c r="FU206" s="3660">
        <f t="shared" si="155"/>
        <v>21.98</v>
      </c>
      <c r="FV206" s="3660">
        <f t="shared" si="155"/>
        <v>32.770000000000003</v>
      </c>
      <c r="FW206" s="3660">
        <f t="shared" si="155"/>
        <v>44.26</v>
      </c>
      <c r="FX206" s="3660">
        <f t="shared" si="155"/>
        <v>61.78</v>
      </c>
      <c r="FY206" s="3660">
        <f t="shared" si="155"/>
        <v>100</v>
      </c>
      <c r="FZ206" s="3660">
        <f t="shared" si="155"/>
        <v>140.99</v>
      </c>
      <c r="GA206" s="2275"/>
      <c r="GB206" s="2275"/>
      <c r="GC206" s="2276"/>
      <c r="GD206" s="2276"/>
      <c r="GE206" s="2250"/>
      <c r="GF206" s="2275"/>
      <c r="GG206" s="2292">
        <v>0</v>
      </c>
      <c r="GH206" s="3660">
        <f t="shared" ref="GH206:GR206" si="156">GH204</f>
        <v>5.84</v>
      </c>
      <c r="GI206" s="3660">
        <f t="shared" si="156"/>
        <v>8.7100000000000009</v>
      </c>
      <c r="GJ206" s="3660">
        <f t="shared" si="156"/>
        <v>16.93</v>
      </c>
      <c r="GK206" s="3660">
        <f t="shared" si="156"/>
        <v>29.21</v>
      </c>
      <c r="GL206" s="3660">
        <f t="shared" si="156"/>
        <v>46.44</v>
      </c>
      <c r="GM206" s="3660">
        <f t="shared" si="156"/>
        <v>67.72</v>
      </c>
      <c r="GN206" s="3660">
        <f t="shared" si="156"/>
        <v>99.5</v>
      </c>
      <c r="GO206" s="3660">
        <f t="shared" si="156"/>
        <v>135.44999999999999</v>
      </c>
      <c r="GP206" s="3660">
        <f t="shared" si="156"/>
        <v>183.96</v>
      </c>
      <c r="GQ206" s="3660">
        <f t="shared" si="156"/>
        <v>292.08</v>
      </c>
      <c r="GR206" s="3660">
        <f t="shared" si="156"/>
        <v>439.5</v>
      </c>
      <c r="GS206" s="2275"/>
      <c r="GT206" s="2275"/>
      <c r="GU206" s="2292">
        <v>0</v>
      </c>
      <c r="GV206" s="3660">
        <f t="shared" ref="GV206:HF206" si="157">GV204</f>
        <v>4.26</v>
      </c>
      <c r="GW206" s="3660">
        <f t="shared" si="157"/>
        <v>6.34</v>
      </c>
      <c r="GX206" s="3660">
        <f t="shared" si="157"/>
        <v>12.18</v>
      </c>
      <c r="GY206" s="3660">
        <f t="shared" si="157"/>
        <v>21.09</v>
      </c>
      <c r="GZ206" s="3660">
        <f t="shared" si="157"/>
        <v>33.47</v>
      </c>
      <c r="HA206" s="3660">
        <f t="shared" si="157"/>
        <v>47.43</v>
      </c>
      <c r="HB206" s="3660">
        <f t="shared" si="157"/>
        <v>69.11</v>
      </c>
      <c r="HC206" s="3660">
        <f t="shared" si="157"/>
        <v>95.84</v>
      </c>
      <c r="HD206" s="3660">
        <f t="shared" si="157"/>
        <v>132.57</v>
      </c>
      <c r="HE206" s="3660">
        <f t="shared" si="157"/>
        <v>210.5</v>
      </c>
      <c r="HF206" s="3660">
        <f t="shared" si="157"/>
        <v>300.79000000000002</v>
      </c>
      <c r="HG206" s="2275"/>
      <c r="HH206" s="2275"/>
      <c r="HI206" s="2292">
        <v>0</v>
      </c>
      <c r="HJ206" s="3660">
        <f t="shared" ref="HJ206:HT206" si="158">HJ204</f>
        <v>3.61</v>
      </c>
      <c r="HK206" s="3660">
        <f t="shared" si="158"/>
        <v>5.42</v>
      </c>
      <c r="HL206" s="3660">
        <f t="shared" si="158"/>
        <v>10.38</v>
      </c>
      <c r="HM206" s="3660">
        <f t="shared" si="158"/>
        <v>16.59</v>
      </c>
      <c r="HN206" s="3660">
        <f t="shared" si="158"/>
        <v>26.52</v>
      </c>
      <c r="HO206" s="3660">
        <f t="shared" si="158"/>
        <v>35.89</v>
      </c>
      <c r="HP206" s="3660">
        <f t="shared" si="158"/>
        <v>52.14</v>
      </c>
      <c r="HQ206" s="3660">
        <f t="shared" si="158"/>
        <v>72.010000000000005</v>
      </c>
      <c r="HR206" s="3660">
        <f t="shared" si="158"/>
        <v>105.87</v>
      </c>
      <c r="HS206" s="3660">
        <f t="shared" si="158"/>
        <v>160.84</v>
      </c>
      <c r="HT206" s="3660">
        <f t="shared" si="158"/>
        <v>229.57</v>
      </c>
      <c r="HU206" s="2275"/>
      <c r="HV206" s="2275"/>
      <c r="HW206" s="2292">
        <v>0</v>
      </c>
      <c r="HX206" s="3660">
        <f t="shared" ref="HX206:IH206" si="159">HX204</f>
        <v>2.1800000000000002</v>
      </c>
      <c r="HY206" s="3660">
        <f t="shared" si="159"/>
        <v>3.07</v>
      </c>
      <c r="HZ206" s="3660">
        <f t="shared" si="159"/>
        <v>5.94</v>
      </c>
      <c r="IA206" s="3660">
        <f t="shared" si="159"/>
        <v>9.5</v>
      </c>
      <c r="IB206" s="3660">
        <f t="shared" si="159"/>
        <v>15.35</v>
      </c>
      <c r="IC206" s="3660">
        <f t="shared" si="159"/>
        <v>20.69</v>
      </c>
      <c r="ID206" s="3660">
        <f t="shared" si="159"/>
        <v>30.1</v>
      </c>
      <c r="IE206" s="3660">
        <f t="shared" si="159"/>
        <v>41.68</v>
      </c>
      <c r="IF206" s="3660">
        <f t="shared" si="159"/>
        <v>61.19</v>
      </c>
      <c r="IG206" s="3660">
        <f t="shared" si="159"/>
        <v>92.18</v>
      </c>
      <c r="IH206" s="3660">
        <f t="shared" si="159"/>
        <v>131.49</v>
      </c>
      <c r="II206" s="2275"/>
      <c r="IJ206" s="2275"/>
      <c r="IK206" s="2275"/>
      <c r="IL206" s="2275"/>
    </row>
    <row r="207" spans="1:246" ht="21.95" customHeight="1">
      <c r="A207" s="2275"/>
      <c r="B207" s="2292">
        <v>400</v>
      </c>
      <c r="C207" s="2292">
        <v>475</v>
      </c>
      <c r="D207" s="2292">
        <v>550</v>
      </c>
      <c r="E207" s="2292">
        <v>650</v>
      </c>
      <c r="F207" s="2292">
        <v>775</v>
      </c>
      <c r="G207" s="2292">
        <v>825</v>
      </c>
      <c r="H207" s="2292">
        <v>950</v>
      </c>
      <c r="I207" s="2292">
        <v>1100</v>
      </c>
      <c r="J207" s="2292">
        <v>1250</v>
      </c>
      <c r="K207" s="2292">
        <v>1450</v>
      </c>
      <c r="L207" s="2292">
        <v>1650</v>
      </c>
      <c r="M207" s="2275"/>
      <c r="N207" s="2275"/>
      <c r="O207" s="2275"/>
      <c r="P207" s="2292">
        <v>400</v>
      </c>
      <c r="Q207" s="2292">
        <v>475</v>
      </c>
      <c r="R207" s="2292">
        <v>550</v>
      </c>
      <c r="S207" s="2292">
        <v>650</v>
      </c>
      <c r="T207" s="2292">
        <v>775</v>
      </c>
      <c r="U207" s="2292">
        <v>825</v>
      </c>
      <c r="V207" s="2292">
        <v>950</v>
      </c>
      <c r="W207" s="2292">
        <v>1100</v>
      </c>
      <c r="X207" s="2292">
        <v>1250</v>
      </c>
      <c r="Y207" s="2292">
        <v>1450</v>
      </c>
      <c r="Z207" s="2292">
        <v>1650</v>
      </c>
      <c r="AA207" s="2275"/>
      <c r="AB207" s="2275"/>
      <c r="AC207" s="2275"/>
      <c r="AD207" s="2292">
        <v>400</v>
      </c>
      <c r="AE207" s="2292">
        <v>475</v>
      </c>
      <c r="AF207" s="2292">
        <v>550</v>
      </c>
      <c r="AG207" s="2292">
        <v>650</v>
      </c>
      <c r="AH207" s="2292">
        <v>775</v>
      </c>
      <c r="AI207" s="2292">
        <v>825</v>
      </c>
      <c r="AJ207" s="2292">
        <v>950</v>
      </c>
      <c r="AK207" s="2292">
        <v>1100</v>
      </c>
      <c r="AL207" s="2292">
        <v>1250</v>
      </c>
      <c r="AM207" s="2292">
        <v>1450</v>
      </c>
      <c r="AN207" s="2292">
        <v>1650</v>
      </c>
      <c r="AO207" s="2275"/>
      <c r="AP207" s="2275"/>
      <c r="AQ207" s="2275"/>
      <c r="AR207" s="2292">
        <v>400</v>
      </c>
      <c r="AS207" s="2292">
        <v>475</v>
      </c>
      <c r="AT207" s="2292">
        <v>550</v>
      </c>
      <c r="AU207" s="2292">
        <v>650</v>
      </c>
      <c r="AV207" s="2292">
        <v>775</v>
      </c>
      <c r="AW207" s="2292">
        <v>825</v>
      </c>
      <c r="AX207" s="2292">
        <v>950</v>
      </c>
      <c r="AY207" s="2292">
        <v>1100</v>
      </c>
      <c r="AZ207" s="2292">
        <v>1250</v>
      </c>
      <c r="BA207" s="2292">
        <v>1450</v>
      </c>
      <c r="BB207" s="2292">
        <v>1650</v>
      </c>
      <c r="BC207" s="2275"/>
      <c r="BD207" s="2275"/>
      <c r="BE207" s="2275"/>
      <c r="BF207" s="2276"/>
      <c r="BG207" s="2276"/>
      <c r="BH207" s="2250"/>
      <c r="BI207" s="2275"/>
      <c r="BJ207" s="2292">
        <v>400</v>
      </c>
      <c r="BK207" s="2292">
        <v>475</v>
      </c>
      <c r="BL207" s="2292">
        <v>550</v>
      </c>
      <c r="BM207" s="2292">
        <v>650</v>
      </c>
      <c r="BN207" s="2292">
        <v>775</v>
      </c>
      <c r="BO207" s="2292">
        <v>825</v>
      </c>
      <c r="BP207" s="2292">
        <v>950</v>
      </c>
      <c r="BQ207" s="2292">
        <v>1100</v>
      </c>
      <c r="BR207" s="2292">
        <v>1250</v>
      </c>
      <c r="BS207" s="2292">
        <v>1450</v>
      </c>
      <c r="BT207" s="2292">
        <v>1650</v>
      </c>
      <c r="BU207" s="2275"/>
      <c r="BV207" s="2275"/>
      <c r="BW207" s="2275"/>
      <c r="BX207" s="2292">
        <v>400</v>
      </c>
      <c r="BY207" s="2292">
        <v>475</v>
      </c>
      <c r="BZ207" s="2292">
        <v>550</v>
      </c>
      <c r="CA207" s="2292">
        <v>650</v>
      </c>
      <c r="CB207" s="2292">
        <v>775</v>
      </c>
      <c r="CC207" s="2292">
        <v>825</v>
      </c>
      <c r="CD207" s="2292">
        <v>950</v>
      </c>
      <c r="CE207" s="2292">
        <v>1100</v>
      </c>
      <c r="CF207" s="2292">
        <v>1250</v>
      </c>
      <c r="CG207" s="2292">
        <v>1450</v>
      </c>
      <c r="CH207" s="2292">
        <v>1650</v>
      </c>
      <c r="CI207" s="2275"/>
      <c r="CJ207" s="2275"/>
      <c r="CK207" s="2275"/>
      <c r="CL207" s="2292">
        <v>400</v>
      </c>
      <c r="CM207" s="2292">
        <v>475</v>
      </c>
      <c r="CN207" s="2292">
        <v>550</v>
      </c>
      <c r="CO207" s="2292">
        <v>650</v>
      </c>
      <c r="CP207" s="2292">
        <v>775</v>
      </c>
      <c r="CQ207" s="2292">
        <v>825</v>
      </c>
      <c r="CR207" s="2292">
        <v>950</v>
      </c>
      <c r="CS207" s="2292">
        <v>1100</v>
      </c>
      <c r="CT207" s="2292">
        <v>1250</v>
      </c>
      <c r="CU207" s="2292">
        <v>1450</v>
      </c>
      <c r="CV207" s="2292">
        <v>1650</v>
      </c>
      <c r="CW207" s="2275"/>
      <c r="CX207" s="2275"/>
      <c r="CY207" s="2275"/>
      <c r="CZ207" s="2292">
        <v>400</v>
      </c>
      <c r="DA207" s="2292">
        <v>475</v>
      </c>
      <c r="DB207" s="2292">
        <v>550</v>
      </c>
      <c r="DC207" s="2292">
        <v>650</v>
      </c>
      <c r="DD207" s="2292">
        <v>775</v>
      </c>
      <c r="DE207" s="2292">
        <v>825</v>
      </c>
      <c r="DF207" s="2292">
        <v>950</v>
      </c>
      <c r="DG207" s="2292">
        <v>1100</v>
      </c>
      <c r="DH207" s="2292">
        <v>1250</v>
      </c>
      <c r="DI207" s="2292">
        <v>1450</v>
      </c>
      <c r="DJ207" s="2292">
        <v>1650</v>
      </c>
      <c r="DK207" s="2275"/>
      <c r="DL207" s="2275"/>
      <c r="DM207" s="2275"/>
      <c r="DN207" s="2275"/>
      <c r="DO207" s="2275"/>
      <c r="DP207" s="2275"/>
      <c r="DQ207" s="2277"/>
      <c r="DR207" s="2277"/>
      <c r="DS207" s="2278"/>
      <c r="DT207" s="2250"/>
      <c r="DU207" s="2250"/>
      <c r="DV207" s="2250"/>
      <c r="DW207" s="2250"/>
      <c r="DX207" s="2275"/>
      <c r="DY207" s="3660">
        <f t="shared" ref="DY207" si="160">DZ206</f>
        <v>6.14</v>
      </c>
      <c r="DZ207" s="3660">
        <f t="shared" ref="DZ207" si="161">EA206</f>
        <v>9.2100000000000009</v>
      </c>
      <c r="EA207" s="3660">
        <f t="shared" ref="EA207" si="162">EB206</f>
        <v>18.02</v>
      </c>
      <c r="EB207" s="3660">
        <f t="shared" ref="EB207" si="163">EC206</f>
        <v>31.19</v>
      </c>
      <c r="EC207" s="3660">
        <f t="shared" ref="EC207" si="164">ED206</f>
        <v>49.5</v>
      </c>
      <c r="ED207" s="3660">
        <f t="shared" ref="ED207" si="165">EE206</f>
        <v>72.180000000000007</v>
      </c>
      <c r="EE207" s="3660">
        <f t="shared" ref="EE207" si="166">EF206</f>
        <v>105.15</v>
      </c>
      <c r="EF207" s="3660">
        <f t="shared" ref="EF207" si="167">EG206</f>
        <v>144.16</v>
      </c>
      <c r="EG207" s="3660">
        <f t="shared" ref="EG207" si="168">EH206</f>
        <v>195.84</v>
      </c>
      <c r="EH207" s="3660">
        <f t="shared" ref="EH207" si="169">EI206</f>
        <v>310.99</v>
      </c>
      <c r="EI207" s="3660">
        <f t="shared" ref="EI207" si="170">EJ206</f>
        <v>467.92</v>
      </c>
      <c r="EJ207" s="3660">
        <f>+EI207</f>
        <v>467.92</v>
      </c>
      <c r="EK207" s="2275"/>
      <c r="EL207" s="2275"/>
      <c r="EM207" s="3660">
        <f t="shared" ref="EM207" si="171">EN206</f>
        <v>4.46</v>
      </c>
      <c r="EN207" s="3660">
        <f t="shared" ref="EN207" si="172">EO206</f>
        <v>6.63</v>
      </c>
      <c r="EO207" s="3660">
        <f t="shared" ref="EO207" si="173">EP206</f>
        <v>12.97</v>
      </c>
      <c r="EP207" s="3660">
        <f t="shared" ref="EP207" si="174">EQ206</f>
        <v>22.48</v>
      </c>
      <c r="EQ207" s="3660">
        <f t="shared" ref="EQ207" si="175">ER206</f>
        <v>35.64</v>
      </c>
      <c r="ER207" s="3660">
        <f t="shared" ref="ER207" si="176">ES206</f>
        <v>50</v>
      </c>
      <c r="ES207" s="3660">
        <f t="shared" ref="ES207" si="177">ET206</f>
        <v>75.25</v>
      </c>
      <c r="ET207" s="3660">
        <f t="shared" ref="ET207" si="178">EU206</f>
        <v>101.49</v>
      </c>
      <c r="EU207" s="3660">
        <f t="shared" ref="EU207" si="179">EV206</f>
        <v>141.19</v>
      </c>
      <c r="EV207" s="3660">
        <f t="shared" ref="EV207" si="180">EW206</f>
        <v>224.16</v>
      </c>
      <c r="EW207" s="3660">
        <f t="shared" ref="EW207" si="181">EX206</f>
        <v>322.27999999999997</v>
      </c>
      <c r="EX207" s="3660">
        <f>+EW207</f>
        <v>322.27999999999997</v>
      </c>
      <c r="EY207" s="2275"/>
      <c r="EZ207" s="2275"/>
      <c r="FA207" s="3660">
        <f t="shared" ref="FA207" si="182">FB206</f>
        <v>3.84</v>
      </c>
      <c r="FB207" s="3660">
        <f t="shared" ref="FB207" si="183">FC206</f>
        <v>5.76</v>
      </c>
      <c r="FC207" s="3660">
        <f t="shared" ref="FC207" si="184">FD206</f>
        <v>10.95</v>
      </c>
      <c r="FD207" s="3660">
        <f t="shared" ref="FD207" si="185">FE206</f>
        <v>18.28</v>
      </c>
      <c r="FE207" s="3660">
        <f t="shared" ref="FE207" si="186">FF206</f>
        <v>28.22</v>
      </c>
      <c r="FF207" s="3660">
        <f t="shared" ref="FF207" si="187">FG206</f>
        <v>38.04</v>
      </c>
      <c r="FG207" s="3660">
        <f t="shared" ref="FG207" si="188">FH206</f>
        <v>57</v>
      </c>
      <c r="FH207" s="3660">
        <f t="shared" ref="FH207" si="189">FI206</f>
        <v>76.52</v>
      </c>
      <c r="FI207" s="3660">
        <f t="shared" ref="FI207" si="190">FJ206</f>
        <v>107.9</v>
      </c>
      <c r="FJ207" s="3660">
        <f t="shared" ref="FJ207" si="191">FK206</f>
        <v>173.02</v>
      </c>
      <c r="FK207" s="3660">
        <f t="shared" ref="FK207" si="192">FL206</f>
        <v>243.91</v>
      </c>
      <c r="FL207" s="3660">
        <f>+FK207</f>
        <v>243.91</v>
      </c>
      <c r="FM207" s="2275"/>
      <c r="FN207" s="2275"/>
      <c r="FO207" s="3660">
        <f t="shared" ref="FO207" si="193">FP206</f>
        <v>2.38</v>
      </c>
      <c r="FP207" s="3660">
        <f t="shared" ref="FP207" si="194">FQ206</f>
        <v>3.37</v>
      </c>
      <c r="FQ207" s="3660">
        <f t="shared" ref="FQ207" si="195">FR206</f>
        <v>6.34</v>
      </c>
      <c r="FR207" s="3660">
        <f t="shared" ref="FR207" si="196">FS206</f>
        <v>10.5</v>
      </c>
      <c r="FS207" s="3660">
        <f t="shared" ref="FS207" si="197">FT206</f>
        <v>16.34</v>
      </c>
      <c r="FT207" s="3660">
        <f t="shared" ref="FT207" si="198">FU206</f>
        <v>21.98</v>
      </c>
      <c r="FU207" s="3660">
        <f t="shared" ref="FU207" si="199">FV206</f>
        <v>32.770000000000003</v>
      </c>
      <c r="FV207" s="3660">
        <f t="shared" ref="FV207" si="200">FW206</f>
        <v>44.26</v>
      </c>
      <c r="FW207" s="3660">
        <f t="shared" ref="FW207" si="201">FX206</f>
        <v>61.78</v>
      </c>
      <c r="FX207" s="3660">
        <f t="shared" ref="FX207" si="202">FY206</f>
        <v>100</v>
      </c>
      <c r="FY207" s="3660">
        <f t="shared" ref="FY207" si="203">FZ206</f>
        <v>140.99</v>
      </c>
      <c r="FZ207" s="3660">
        <f>+FY207</f>
        <v>140.99</v>
      </c>
      <c r="GA207" s="2275"/>
      <c r="GB207" s="2275"/>
      <c r="GC207" s="2276"/>
      <c r="GD207" s="2276"/>
      <c r="GE207" s="2250"/>
      <c r="GF207" s="2275"/>
      <c r="GG207" s="3660">
        <f t="shared" ref="GG207" si="204">GH206</f>
        <v>5.84</v>
      </c>
      <c r="GH207" s="3660">
        <f t="shared" ref="GH207" si="205">GI206</f>
        <v>8.7100000000000009</v>
      </c>
      <c r="GI207" s="3660">
        <f t="shared" ref="GI207" si="206">GJ206</f>
        <v>16.93</v>
      </c>
      <c r="GJ207" s="3660">
        <f t="shared" ref="GJ207" si="207">GK206</f>
        <v>29.21</v>
      </c>
      <c r="GK207" s="3660">
        <f t="shared" ref="GK207" si="208">GL206</f>
        <v>46.44</v>
      </c>
      <c r="GL207" s="3660">
        <f t="shared" ref="GL207" si="209">GM206</f>
        <v>67.72</v>
      </c>
      <c r="GM207" s="3660">
        <f t="shared" ref="GM207" si="210">GN206</f>
        <v>99.5</v>
      </c>
      <c r="GN207" s="3660">
        <f t="shared" ref="GN207" si="211">GO206</f>
        <v>135.44999999999999</v>
      </c>
      <c r="GO207" s="3660">
        <f t="shared" ref="GO207" si="212">GP206</f>
        <v>183.96</v>
      </c>
      <c r="GP207" s="3660">
        <f t="shared" ref="GP207" si="213">GQ206</f>
        <v>292.08</v>
      </c>
      <c r="GQ207" s="3660">
        <f t="shared" ref="GQ207" si="214">GR206</f>
        <v>439.5</v>
      </c>
      <c r="GR207" s="3660">
        <f>+GQ207</f>
        <v>439.5</v>
      </c>
      <c r="GS207" s="2275"/>
      <c r="GT207" s="2275"/>
      <c r="GU207" s="3660">
        <f t="shared" ref="GU207" si="215">GV206</f>
        <v>4.26</v>
      </c>
      <c r="GV207" s="3660">
        <f t="shared" ref="GV207" si="216">GW206</f>
        <v>6.34</v>
      </c>
      <c r="GW207" s="3660">
        <f t="shared" ref="GW207" si="217">GX206</f>
        <v>12.18</v>
      </c>
      <c r="GX207" s="3660">
        <f t="shared" ref="GX207" si="218">GY206</f>
        <v>21.09</v>
      </c>
      <c r="GY207" s="3660">
        <f t="shared" ref="GY207" si="219">GZ206</f>
        <v>33.47</v>
      </c>
      <c r="GZ207" s="3660">
        <f t="shared" ref="GZ207" si="220">HA206</f>
        <v>47.43</v>
      </c>
      <c r="HA207" s="3660">
        <f t="shared" ref="HA207" si="221">HB206</f>
        <v>69.11</v>
      </c>
      <c r="HB207" s="3660">
        <f t="shared" ref="HB207" si="222">HC206</f>
        <v>95.84</v>
      </c>
      <c r="HC207" s="3660">
        <f t="shared" ref="HC207" si="223">HD206</f>
        <v>132.57</v>
      </c>
      <c r="HD207" s="3660">
        <f t="shared" ref="HD207" si="224">HE206</f>
        <v>210.5</v>
      </c>
      <c r="HE207" s="3660">
        <f t="shared" ref="HE207" si="225">HF206</f>
        <v>300.79000000000002</v>
      </c>
      <c r="HF207" s="3660">
        <f>+HE207</f>
        <v>300.79000000000002</v>
      </c>
      <c r="HG207" s="2275"/>
      <c r="HH207" s="2275"/>
      <c r="HI207" s="3660">
        <f t="shared" ref="HI207" si="226">HJ206</f>
        <v>3.61</v>
      </c>
      <c r="HJ207" s="3660">
        <f t="shared" ref="HJ207" si="227">HK206</f>
        <v>5.42</v>
      </c>
      <c r="HK207" s="3660">
        <f t="shared" ref="HK207" si="228">HL206</f>
        <v>10.38</v>
      </c>
      <c r="HL207" s="3660">
        <f t="shared" ref="HL207" si="229">HM206</f>
        <v>16.59</v>
      </c>
      <c r="HM207" s="3660">
        <f t="shared" ref="HM207" si="230">HN206</f>
        <v>26.52</v>
      </c>
      <c r="HN207" s="3660">
        <f t="shared" ref="HN207" si="231">HO206</f>
        <v>35.89</v>
      </c>
      <c r="HO207" s="3660">
        <f t="shared" ref="HO207" si="232">HP206</f>
        <v>52.14</v>
      </c>
      <c r="HP207" s="3660">
        <f t="shared" ref="HP207" si="233">HQ206</f>
        <v>72.010000000000005</v>
      </c>
      <c r="HQ207" s="3660">
        <f t="shared" ref="HQ207" si="234">HR206</f>
        <v>105.87</v>
      </c>
      <c r="HR207" s="3660">
        <f t="shared" ref="HR207" si="235">HS206</f>
        <v>160.84</v>
      </c>
      <c r="HS207" s="3660">
        <f t="shared" ref="HS207" si="236">HT206</f>
        <v>229.57</v>
      </c>
      <c r="HT207" s="3660">
        <f>+HS207</f>
        <v>229.57</v>
      </c>
      <c r="HU207" s="2275"/>
      <c r="HV207" s="2275"/>
      <c r="HW207" s="3660">
        <f t="shared" ref="HW207" si="237">HX206</f>
        <v>2.1800000000000002</v>
      </c>
      <c r="HX207" s="3660">
        <f t="shared" ref="HX207" si="238">HY206</f>
        <v>3.07</v>
      </c>
      <c r="HY207" s="3660">
        <f t="shared" ref="HY207" si="239">HZ206</f>
        <v>5.94</v>
      </c>
      <c r="HZ207" s="3660">
        <f t="shared" ref="HZ207" si="240">IA206</f>
        <v>9.5</v>
      </c>
      <c r="IA207" s="3660">
        <f t="shared" ref="IA207" si="241">IB206</f>
        <v>15.35</v>
      </c>
      <c r="IB207" s="3660">
        <f t="shared" ref="IB207" si="242">IC206</f>
        <v>20.69</v>
      </c>
      <c r="IC207" s="3660">
        <f t="shared" ref="IC207" si="243">ID206</f>
        <v>30.1</v>
      </c>
      <c r="ID207" s="3660">
        <f t="shared" ref="ID207" si="244">IE206</f>
        <v>41.68</v>
      </c>
      <c r="IE207" s="3660">
        <f t="shared" ref="IE207" si="245">IF206</f>
        <v>61.19</v>
      </c>
      <c r="IF207" s="3660">
        <f t="shared" ref="IF207" si="246">IG206</f>
        <v>92.18</v>
      </c>
      <c r="IG207" s="3660">
        <f t="shared" ref="IG207" si="247">IH206</f>
        <v>131.49</v>
      </c>
      <c r="IH207" s="3660">
        <f>+IG207</f>
        <v>131.49</v>
      </c>
      <c r="II207" s="2275"/>
      <c r="IJ207" s="2275"/>
      <c r="IK207" s="2275"/>
      <c r="IL207" s="2275"/>
    </row>
    <row r="208" spans="1:246" ht="21.95" customHeight="1">
      <c r="A208" s="2275"/>
      <c r="B208" s="3692">
        <f>HLOOKUP(C183,B205:M205,1)</f>
        <v>12.08</v>
      </c>
      <c r="C208" s="3692">
        <f>HLOOKUP(B208,B205:M206,2,0)</f>
        <v>20.89</v>
      </c>
      <c r="D208" s="2275"/>
      <c r="E208" s="2275"/>
      <c r="F208" s="2275"/>
      <c r="G208" s="2275"/>
      <c r="H208" s="2275"/>
      <c r="I208" s="2275"/>
      <c r="J208" s="2275"/>
      <c r="K208" s="2275"/>
      <c r="L208" s="2275"/>
      <c r="M208" s="2275"/>
      <c r="N208" s="2275"/>
      <c r="O208" s="2275"/>
      <c r="P208" s="3692">
        <f>HLOOKUP(Q183,P205:AA205,1)</f>
        <v>14.95</v>
      </c>
      <c r="Q208" s="3692">
        <f>HLOOKUP(P208,P205:AA206,2,0)</f>
        <v>23.76</v>
      </c>
      <c r="R208" s="2275"/>
      <c r="S208" s="2275"/>
      <c r="T208" s="2275"/>
      <c r="U208" s="2275"/>
      <c r="V208" s="2275"/>
      <c r="W208" s="2275"/>
      <c r="X208" s="2275"/>
      <c r="Y208" s="2275"/>
      <c r="Z208" s="2275"/>
      <c r="AA208" s="2275"/>
      <c r="AB208" s="2275"/>
      <c r="AC208" s="2275"/>
      <c r="AD208" s="3692">
        <f>HLOOKUP(AE183,AD205:AO205,1)</f>
        <v>17.95</v>
      </c>
      <c r="AE208" s="3692">
        <f>HLOOKUP(AD208,AD205:AO206,2,0)</f>
        <v>25.17</v>
      </c>
      <c r="AF208" s="2275"/>
      <c r="AG208" s="2275"/>
      <c r="AH208" s="2275"/>
      <c r="AI208" s="2275"/>
      <c r="AJ208" s="2275"/>
      <c r="AK208" s="2275"/>
      <c r="AL208" s="2275"/>
      <c r="AM208" s="2275"/>
      <c r="AN208" s="2275"/>
      <c r="AO208" s="2275"/>
      <c r="AP208" s="2275"/>
      <c r="AQ208" s="2275"/>
      <c r="AR208" s="3692">
        <f>HLOOKUP(AS183,AR205:BC205,1)</f>
        <v>14.55</v>
      </c>
      <c r="AS208" s="3692">
        <f>HLOOKUP(AR208,AR205:BC206,2,0)</f>
        <v>21.09</v>
      </c>
      <c r="AT208" s="2275"/>
      <c r="AU208" s="2275"/>
      <c r="AV208" s="2275"/>
      <c r="AW208" s="2275"/>
      <c r="AX208" s="2275"/>
      <c r="AY208" s="2275"/>
      <c r="AZ208" s="2275"/>
      <c r="BA208" s="2275"/>
      <c r="BB208" s="2275"/>
      <c r="BC208" s="2275"/>
      <c r="BD208" s="2275"/>
      <c r="BE208" s="2275"/>
      <c r="BF208" s="2276"/>
      <c r="BG208" s="2276"/>
      <c r="BH208" s="2250"/>
      <c r="BI208" s="2275"/>
      <c r="BJ208" s="3692">
        <f>HLOOKUP(BK183,BJ205:BU205,1)</f>
        <v>19.41</v>
      </c>
      <c r="BK208" s="3692">
        <f>HLOOKUP(BJ208,BJ205:BU206,2,0)</f>
        <v>30.79</v>
      </c>
      <c r="BL208" s="2275"/>
      <c r="BM208" s="2275"/>
      <c r="BN208" s="2275"/>
      <c r="BO208" s="2275"/>
      <c r="BP208" s="2275"/>
      <c r="BQ208" s="2275"/>
      <c r="BR208" s="2275"/>
      <c r="BS208" s="2275"/>
      <c r="BT208" s="2275"/>
      <c r="BU208" s="2275"/>
      <c r="BV208" s="2275"/>
      <c r="BW208" s="2275"/>
      <c r="BX208" s="3692">
        <f>HLOOKUP(BY183,BX205:CI205,1)</f>
        <v>13.86</v>
      </c>
      <c r="BY208" s="3692">
        <f>HLOOKUP(BX208,BX205:CI206,2,0)</f>
        <v>21.68</v>
      </c>
      <c r="BZ208" s="2275"/>
      <c r="CA208" s="2275"/>
      <c r="CB208" s="2275"/>
      <c r="CC208" s="2275"/>
      <c r="CD208" s="2275"/>
      <c r="CE208" s="2275"/>
      <c r="CF208" s="2275"/>
      <c r="CG208" s="2275"/>
      <c r="CH208" s="2275"/>
      <c r="CI208" s="2275"/>
      <c r="CJ208" s="2275"/>
      <c r="CK208" s="2275"/>
      <c r="CL208" s="3692">
        <f>HLOOKUP(CM183,CL205:CW205,1)</f>
        <v>16.25</v>
      </c>
      <c r="CM208" s="3692">
        <f>HLOOKUP(CL208,CL205:CW206,2,0)</f>
        <v>23.25</v>
      </c>
      <c r="CN208" s="2275"/>
      <c r="CO208" s="2275"/>
      <c r="CP208" s="2275"/>
      <c r="CQ208" s="2275"/>
      <c r="CR208" s="2275"/>
      <c r="CS208" s="2275"/>
      <c r="CT208" s="2275"/>
      <c r="CU208" s="2275"/>
      <c r="CV208" s="2275"/>
      <c r="CW208" s="2275"/>
      <c r="CX208" s="2275"/>
      <c r="CY208" s="2275"/>
      <c r="CZ208" s="3692">
        <f>HLOOKUP(DA183,CZ205:DK205,1)</f>
        <v>19.010000000000002</v>
      </c>
      <c r="DA208" s="3692">
        <f>HLOOKUP(CZ208,CZ205:DK206,2,0)</f>
        <v>25.54</v>
      </c>
      <c r="DB208" s="2275"/>
      <c r="DC208" s="2275"/>
      <c r="DD208" s="2275"/>
      <c r="DE208" s="2275"/>
      <c r="DF208" s="2275"/>
      <c r="DG208" s="2275"/>
      <c r="DH208" s="2275"/>
      <c r="DI208" s="2275"/>
      <c r="DJ208" s="2275"/>
      <c r="DK208" s="2275"/>
      <c r="DL208" s="2275"/>
      <c r="DM208" s="2275"/>
      <c r="DN208" s="2275"/>
      <c r="DO208" s="2275"/>
      <c r="DP208" s="2275"/>
      <c r="DQ208" s="2277"/>
      <c r="DR208" s="2277"/>
      <c r="DS208" s="2278"/>
      <c r="DT208" s="2250"/>
      <c r="DU208" s="2250"/>
      <c r="DV208" s="2250"/>
      <c r="DW208" s="2250"/>
      <c r="DX208" s="2275"/>
      <c r="DY208" s="2292">
        <v>400</v>
      </c>
      <c r="DZ208" s="2292">
        <v>475</v>
      </c>
      <c r="EA208" s="2292">
        <v>550</v>
      </c>
      <c r="EB208" s="2292">
        <v>650</v>
      </c>
      <c r="EC208" s="2292">
        <v>775</v>
      </c>
      <c r="ED208" s="2292">
        <v>825</v>
      </c>
      <c r="EE208" s="2292">
        <v>950</v>
      </c>
      <c r="EF208" s="2292">
        <v>1100</v>
      </c>
      <c r="EG208" s="2292">
        <v>1250</v>
      </c>
      <c r="EH208" s="2292">
        <v>1450</v>
      </c>
      <c r="EI208" s="2292">
        <v>1650</v>
      </c>
      <c r="EJ208" s="2275"/>
      <c r="EK208" s="2275"/>
      <c r="EL208" s="2275"/>
      <c r="EM208" s="2292">
        <v>400</v>
      </c>
      <c r="EN208" s="2292">
        <v>475</v>
      </c>
      <c r="EO208" s="2292">
        <v>550</v>
      </c>
      <c r="EP208" s="2292">
        <v>650</v>
      </c>
      <c r="EQ208" s="2292">
        <v>775</v>
      </c>
      <c r="ER208" s="2292">
        <v>825</v>
      </c>
      <c r="ES208" s="2292">
        <v>950</v>
      </c>
      <c r="ET208" s="2292">
        <v>1100</v>
      </c>
      <c r="EU208" s="2292">
        <v>1250</v>
      </c>
      <c r="EV208" s="2292">
        <v>1450</v>
      </c>
      <c r="EW208" s="2292">
        <v>1650</v>
      </c>
      <c r="EX208" s="2275"/>
      <c r="EY208" s="2275"/>
      <c r="EZ208" s="2275"/>
      <c r="FA208" s="2292">
        <v>400</v>
      </c>
      <c r="FB208" s="2292">
        <v>475</v>
      </c>
      <c r="FC208" s="2292">
        <v>550</v>
      </c>
      <c r="FD208" s="2292">
        <v>650</v>
      </c>
      <c r="FE208" s="2292">
        <v>775</v>
      </c>
      <c r="FF208" s="2292">
        <v>825</v>
      </c>
      <c r="FG208" s="2292">
        <v>950</v>
      </c>
      <c r="FH208" s="2292">
        <v>1100</v>
      </c>
      <c r="FI208" s="2292">
        <v>1250</v>
      </c>
      <c r="FJ208" s="2292">
        <v>1450</v>
      </c>
      <c r="FK208" s="2292">
        <v>1650</v>
      </c>
      <c r="FL208" s="2275"/>
      <c r="FM208" s="2275"/>
      <c r="FN208" s="2275"/>
      <c r="FO208" s="2292">
        <v>400</v>
      </c>
      <c r="FP208" s="2292">
        <v>475</v>
      </c>
      <c r="FQ208" s="2292">
        <v>550</v>
      </c>
      <c r="FR208" s="2292">
        <v>650</v>
      </c>
      <c r="FS208" s="2292">
        <v>775</v>
      </c>
      <c r="FT208" s="2292">
        <v>825</v>
      </c>
      <c r="FU208" s="2292">
        <v>950</v>
      </c>
      <c r="FV208" s="2292">
        <v>1100</v>
      </c>
      <c r="FW208" s="2292">
        <v>1250</v>
      </c>
      <c r="FX208" s="2292">
        <v>1450</v>
      </c>
      <c r="FY208" s="2292">
        <v>1650</v>
      </c>
      <c r="FZ208" s="2275"/>
      <c r="GA208" s="2275"/>
      <c r="GB208" s="2275"/>
      <c r="GC208" s="2276"/>
      <c r="GD208" s="2276"/>
      <c r="GE208" s="2250"/>
      <c r="GF208" s="2275"/>
      <c r="GG208" s="2292">
        <v>400</v>
      </c>
      <c r="GH208" s="2292">
        <v>475</v>
      </c>
      <c r="GI208" s="2292">
        <v>550</v>
      </c>
      <c r="GJ208" s="2292">
        <v>650</v>
      </c>
      <c r="GK208" s="2292">
        <v>775</v>
      </c>
      <c r="GL208" s="2292">
        <v>825</v>
      </c>
      <c r="GM208" s="2292">
        <v>950</v>
      </c>
      <c r="GN208" s="2292">
        <v>1100</v>
      </c>
      <c r="GO208" s="2292">
        <v>1250</v>
      </c>
      <c r="GP208" s="2292">
        <v>1450</v>
      </c>
      <c r="GQ208" s="2292">
        <v>1650</v>
      </c>
      <c r="GR208" s="2275"/>
      <c r="GS208" s="2275"/>
      <c r="GT208" s="2275"/>
      <c r="GU208" s="2292">
        <v>400</v>
      </c>
      <c r="GV208" s="2292">
        <v>475</v>
      </c>
      <c r="GW208" s="2292">
        <v>550</v>
      </c>
      <c r="GX208" s="2292">
        <v>650</v>
      </c>
      <c r="GY208" s="2292">
        <v>775</v>
      </c>
      <c r="GZ208" s="2292">
        <v>825</v>
      </c>
      <c r="HA208" s="2292">
        <v>950</v>
      </c>
      <c r="HB208" s="2292">
        <v>1100</v>
      </c>
      <c r="HC208" s="2292">
        <v>1250</v>
      </c>
      <c r="HD208" s="2292">
        <v>1450</v>
      </c>
      <c r="HE208" s="2292">
        <v>1650</v>
      </c>
      <c r="HF208" s="2275"/>
      <c r="HG208" s="2275"/>
      <c r="HH208" s="2275"/>
      <c r="HI208" s="2292">
        <v>400</v>
      </c>
      <c r="HJ208" s="2292">
        <v>475</v>
      </c>
      <c r="HK208" s="2292">
        <v>550</v>
      </c>
      <c r="HL208" s="2292">
        <v>650</v>
      </c>
      <c r="HM208" s="2292">
        <v>775</v>
      </c>
      <c r="HN208" s="2292">
        <v>825</v>
      </c>
      <c r="HO208" s="2292">
        <v>950</v>
      </c>
      <c r="HP208" s="2292">
        <v>1100</v>
      </c>
      <c r="HQ208" s="2292">
        <v>1250</v>
      </c>
      <c r="HR208" s="2292">
        <v>1450</v>
      </c>
      <c r="HS208" s="2292">
        <v>1650</v>
      </c>
      <c r="HT208" s="2275"/>
      <c r="HU208" s="2275"/>
      <c r="HV208" s="2275"/>
      <c r="HW208" s="2292">
        <v>400</v>
      </c>
      <c r="HX208" s="2292">
        <v>475</v>
      </c>
      <c r="HY208" s="2292">
        <v>550</v>
      </c>
      <c r="HZ208" s="2292">
        <v>650</v>
      </c>
      <c r="IA208" s="2292">
        <v>775</v>
      </c>
      <c r="IB208" s="2292">
        <v>825</v>
      </c>
      <c r="IC208" s="2292">
        <v>950</v>
      </c>
      <c r="ID208" s="2292">
        <v>1100</v>
      </c>
      <c r="IE208" s="2292">
        <v>1250</v>
      </c>
      <c r="IF208" s="2292">
        <v>1450</v>
      </c>
      <c r="IG208" s="2292">
        <v>1650</v>
      </c>
      <c r="IH208" s="2275"/>
      <c r="II208" s="2275"/>
      <c r="IJ208" s="2275"/>
      <c r="IK208" s="2275"/>
      <c r="IL208" s="2275"/>
    </row>
    <row r="209" spans="1:249" ht="21.95" customHeight="1">
      <c r="A209" s="2275"/>
      <c r="B209" s="3692">
        <f>IFERROR(HLOOKUP(C183,B205:M205,1,0),0)</f>
        <v>0</v>
      </c>
      <c r="C209" s="3692">
        <f>IF(B209&gt;0,B209,C208)</f>
        <v>20.89</v>
      </c>
      <c r="D209" s="2275"/>
      <c r="E209" s="2275"/>
      <c r="F209" s="2275"/>
      <c r="G209" s="2275"/>
      <c r="H209" s="2275"/>
      <c r="I209" s="2275"/>
      <c r="J209" s="2275"/>
      <c r="K209" s="2275"/>
      <c r="L209" s="2275"/>
      <c r="M209" s="2275"/>
      <c r="N209" s="2275"/>
      <c r="O209" s="2275"/>
      <c r="P209" s="3692">
        <f>IFERROR(HLOOKUP(Q183,P205:AA205,1,0),0)</f>
        <v>0</v>
      </c>
      <c r="Q209" s="3692">
        <f>IF(P209&gt;0,P209,Q208)</f>
        <v>23.76</v>
      </c>
      <c r="R209" s="2275"/>
      <c r="S209" s="2275"/>
      <c r="T209" s="2275"/>
      <c r="U209" s="2275"/>
      <c r="V209" s="2275"/>
      <c r="W209" s="2275"/>
      <c r="X209" s="2275"/>
      <c r="Y209" s="2275"/>
      <c r="Z209" s="2275"/>
      <c r="AA209" s="2275"/>
      <c r="AB209" s="2275"/>
      <c r="AC209" s="2275"/>
      <c r="AD209" s="3692">
        <f>IFERROR(HLOOKUP(AE183,AD205:AO205,1,0),0)</f>
        <v>0</v>
      </c>
      <c r="AE209" s="3692">
        <f>IF(AD209&gt;0,AD209,AE208)</f>
        <v>25.17</v>
      </c>
      <c r="AF209" s="2275"/>
      <c r="AG209" s="2275"/>
      <c r="AH209" s="2275"/>
      <c r="AI209" s="2275"/>
      <c r="AJ209" s="2275"/>
      <c r="AK209" s="2275"/>
      <c r="AL209" s="2275"/>
      <c r="AM209" s="2275"/>
      <c r="AN209" s="2275"/>
      <c r="AO209" s="2275"/>
      <c r="AP209" s="2275"/>
      <c r="AQ209" s="2275"/>
      <c r="AR209" s="3692">
        <f>IFERROR(HLOOKUP(AS183,AR205:BC205,1,0),0)</f>
        <v>0</v>
      </c>
      <c r="AS209" s="3692">
        <f>IF(AR209&gt;0,AR209,AS208)</f>
        <v>21.09</v>
      </c>
      <c r="AT209" s="2275"/>
      <c r="AU209" s="2275"/>
      <c r="AV209" s="2275"/>
      <c r="AW209" s="2275"/>
      <c r="AX209" s="2275"/>
      <c r="AY209" s="2275"/>
      <c r="AZ209" s="2275"/>
      <c r="BA209" s="2275"/>
      <c r="BB209" s="2275"/>
      <c r="BC209" s="2275"/>
      <c r="BD209" s="2275"/>
      <c r="BE209" s="2275"/>
      <c r="BF209" s="2276"/>
      <c r="BG209" s="2276"/>
      <c r="BH209" s="2250"/>
      <c r="BI209" s="2275"/>
      <c r="BJ209" s="3692">
        <f>IFERROR(HLOOKUP(BK183,BJ205:BU205,1,0),0)</f>
        <v>0</v>
      </c>
      <c r="BK209" s="3692">
        <f>IF(BJ209&gt;0,BJ209,BK208)</f>
        <v>30.79</v>
      </c>
      <c r="BL209" s="2275"/>
      <c r="BM209" s="2275"/>
      <c r="BN209" s="2275"/>
      <c r="BO209" s="2275"/>
      <c r="BP209" s="2275"/>
      <c r="BQ209" s="2275"/>
      <c r="BR209" s="2275"/>
      <c r="BS209" s="2275"/>
      <c r="BT209" s="2275"/>
      <c r="BU209" s="2275"/>
      <c r="BV209" s="2275"/>
      <c r="BW209" s="2275"/>
      <c r="BX209" s="3692">
        <f>IFERROR(HLOOKUP(BY183,BX205:CI205,1,0),0)</f>
        <v>0</v>
      </c>
      <c r="BY209" s="3692">
        <f>IF(BX209&gt;0,BX209,BY208)</f>
        <v>21.68</v>
      </c>
      <c r="BZ209" s="2275"/>
      <c r="CA209" s="2275"/>
      <c r="CB209" s="2275"/>
      <c r="CC209" s="2275"/>
      <c r="CD209" s="2275"/>
      <c r="CE209" s="2275"/>
      <c r="CF209" s="2275"/>
      <c r="CG209" s="2275"/>
      <c r="CH209" s="2275"/>
      <c r="CI209" s="2275"/>
      <c r="CJ209" s="2275"/>
      <c r="CK209" s="2275"/>
      <c r="CL209" s="3692">
        <f>IFERROR(HLOOKUP(CM183,CL205:CW205,1,0),0)</f>
        <v>0</v>
      </c>
      <c r="CM209" s="3692">
        <f>IF(CL209&gt;0,CL209,CM208)</f>
        <v>23.25</v>
      </c>
      <c r="CN209" s="2275"/>
      <c r="CO209" s="2275"/>
      <c r="CP209" s="2275"/>
      <c r="CQ209" s="2275"/>
      <c r="CR209" s="2275"/>
      <c r="CS209" s="2275"/>
      <c r="CT209" s="2275"/>
      <c r="CU209" s="2275"/>
      <c r="CV209" s="2275"/>
      <c r="CW209" s="2275"/>
      <c r="CX209" s="2275"/>
      <c r="CY209" s="2275"/>
      <c r="CZ209" s="3692">
        <f>IFERROR(HLOOKUP(DA183,CZ205:DK205,1,0),0)</f>
        <v>0</v>
      </c>
      <c r="DA209" s="3692">
        <f>IF(CZ209&gt;0,CZ209,DA208)</f>
        <v>25.54</v>
      </c>
      <c r="DB209" s="2275"/>
      <c r="DC209" s="2275"/>
      <c r="DD209" s="2275"/>
      <c r="DE209" s="2275"/>
      <c r="DF209" s="2275"/>
      <c r="DG209" s="2275"/>
      <c r="DH209" s="2275"/>
      <c r="DI209" s="2275"/>
      <c r="DJ209" s="2275"/>
      <c r="DK209" s="2275"/>
      <c r="DL209" s="2275"/>
      <c r="DM209" s="2275"/>
      <c r="DN209" s="2275"/>
      <c r="DO209" s="2275"/>
      <c r="DP209" s="2275"/>
      <c r="DQ209" s="2277"/>
      <c r="DR209" s="2277"/>
      <c r="DS209" s="2278"/>
      <c r="DT209" s="2250"/>
      <c r="DU209" s="2250"/>
      <c r="DV209" s="2250"/>
      <c r="DW209" s="2250"/>
      <c r="DX209" s="2275"/>
      <c r="DY209" s="3692">
        <f>HLOOKUP(DZ184,DY206:EJ206,1)</f>
        <v>18.02</v>
      </c>
      <c r="DZ209" s="3692">
        <f>HLOOKUP(DY209,DY206:EJ207,2,0)</f>
        <v>31.19</v>
      </c>
      <c r="EA209" s="2275"/>
      <c r="EB209" s="2275"/>
      <c r="EC209" s="2275"/>
      <c r="ED209" s="2275"/>
      <c r="EE209" s="2275"/>
      <c r="EF209" s="2275"/>
      <c r="EG209" s="2275"/>
      <c r="EH209" s="2275"/>
      <c r="EI209" s="2275"/>
      <c r="EJ209" s="2275"/>
      <c r="EK209" s="2275"/>
      <c r="EL209" s="2275"/>
      <c r="EM209" s="3692">
        <f>HLOOKUP(EN184,EM206:EX206,1)</f>
        <v>12.97</v>
      </c>
      <c r="EN209" s="3692">
        <f>HLOOKUP(EM209,EM206:EX207,2,0)</f>
        <v>22.48</v>
      </c>
      <c r="EO209" s="2275"/>
      <c r="EP209" s="2275"/>
      <c r="EQ209" s="2275"/>
      <c r="ER209" s="2275"/>
      <c r="ES209" s="2275"/>
      <c r="ET209" s="2275"/>
      <c r="EU209" s="2275"/>
      <c r="EV209" s="2275"/>
      <c r="EW209" s="2275"/>
      <c r="EX209" s="2275"/>
      <c r="EY209" s="2275"/>
      <c r="EZ209" s="2275"/>
      <c r="FA209" s="3692">
        <f>HLOOKUP(FB184,FA206:FL206,1)</f>
        <v>18.28</v>
      </c>
      <c r="FB209" s="3692">
        <f>HLOOKUP(FA209,FA206:FL207,2,0)</f>
        <v>28.22</v>
      </c>
      <c r="FC209" s="2275"/>
      <c r="FD209" s="2275"/>
      <c r="FE209" s="2275"/>
      <c r="FF209" s="2275"/>
      <c r="FG209" s="2275"/>
      <c r="FH209" s="2275"/>
      <c r="FI209" s="2275"/>
      <c r="FJ209" s="2275"/>
      <c r="FK209" s="2275"/>
      <c r="FL209" s="2275"/>
      <c r="FM209" s="2275"/>
      <c r="FN209" s="2275"/>
      <c r="FO209" s="3692">
        <f>HLOOKUP(FP184,FO206:FZ206,1)</f>
        <v>16.34</v>
      </c>
      <c r="FP209" s="3692">
        <f>HLOOKUP(FO209,FO206:FZ207,2,0)</f>
        <v>21.98</v>
      </c>
      <c r="FQ209" s="2275"/>
      <c r="FR209" s="2275"/>
      <c r="FS209" s="2275"/>
      <c r="FT209" s="2275"/>
      <c r="FU209" s="2275"/>
      <c r="FV209" s="2275"/>
      <c r="FW209" s="2275"/>
      <c r="FX209" s="2275"/>
      <c r="FY209" s="2275"/>
      <c r="FZ209" s="2275"/>
      <c r="GA209" s="2275"/>
      <c r="GB209" s="2275"/>
      <c r="GC209" s="2276"/>
      <c r="GD209" s="2276"/>
      <c r="GE209" s="2250"/>
      <c r="GF209" s="2275"/>
      <c r="GG209" s="3692">
        <f>HLOOKUP(GH184,GG206:GR206,1)</f>
        <v>16.93</v>
      </c>
      <c r="GH209" s="3692">
        <f>HLOOKUP(GG209,GG206:GR207,2,0)</f>
        <v>29.21</v>
      </c>
      <c r="GI209" s="2275"/>
      <c r="GJ209" s="2275"/>
      <c r="GK209" s="2275"/>
      <c r="GL209" s="2275"/>
      <c r="GM209" s="2275"/>
      <c r="GN209" s="2275"/>
      <c r="GO209" s="2275"/>
      <c r="GP209" s="2275"/>
      <c r="GQ209" s="2275"/>
      <c r="GR209" s="2275"/>
      <c r="GS209" s="2275"/>
      <c r="GT209" s="2275"/>
      <c r="GU209" s="3692">
        <f>HLOOKUP(GV184,GU206:HF206,1)</f>
        <v>12.18</v>
      </c>
      <c r="GV209" s="3692">
        <f>HLOOKUP(GU209,GU206:HF207,2,0)</f>
        <v>21.09</v>
      </c>
      <c r="GW209" s="2275"/>
      <c r="GX209" s="2275"/>
      <c r="GY209" s="2275"/>
      <c r="GZ209" s="2275"/>
      <c r="HA209" s="2275"/>
      <c r="HB209" s="2275"/>
      <c r="HC209" s="2275"/>
      <c r="HD209" s="2275"/>
      <c r="HE209" s="2275"/>
      <c r="HF209" s="2275"/>
      <c r="HG209" s="2275"/>
      <c r="HH209" s="2275"/>
      <c r="HI209" s="3692">
        <f>HLOOKUP(HJ184,HI206:HT206,1)</f>
        <v>16.59</v>
      </c>
      <c r="HJ209" s="3692">
        <f>HLOOKUP(HI209,HI206:HT207,2,0)</f>
        <v>26.52</v>
      </c>
      <c r="HK209" s="2275"/>
      <c r="HL209" s="2275"/>
      <c r="HM209" s="2275"/>
      <c r="HN209" s="2275"/>
      <c r="HO209" s="2275"/>
      <c r="HP209" s="2275"/>
      <c r="HQ209" s="2275"/>
      <c r="HR209" s="2275"/>
      <c r="HS209" s="2275"/>
      <c r="HT209" s="2275"/>
      <c r="HU209" s="2275"/>
      <c r="HV209" s="2275"/>
      <c r="HW209" s="3692">
        <f>HLOOKUP(HX184,HW206:IH206,1)</f>
        <v>15.35</v>
      </c>
      <c r="HX209" s="3692">
        <f>HLOOKUP(HW209,HW206:IH207,2,0)</f>
        <v>20.69</v>
      </c>
      <c r="HY209" s="2275"/>
      <c r="HZ209" s="2275"/>
      <c r="IA209" s="2275"/>
      <c r="IB209" s="2275"/>
      <c r="IC209" s="2275"/>
      <c r="ID209" s="2275"/>
      <c r="IE209" s="2275"/>
      <c r="IF209" s="2275"/>
      <c r="IG209" s="2275"/>
      <c r="IH209" s="2275"/>
      <c r="II209" s="2275"/>
      <c r="IJ209" s="2275"/>
      <c r="IK209" s="2275"/>
      <c r="IL209" s="2275"/>
    </row>
    <row r="210" spans="1:249" ht="21.95" customHeight="1">
      <c r="A210" s="2275"/>
      <c r="B210" s="3692" t="str">
        <f>IF(C210=E200,"Right","Wrong")</f>
        <v>Right</v>
      </c>
      <c r="C210" s="3692">
        <f>HLOOKUP(C209,B206:L207,2,0)</f>
        <v>650</v>
      </c>
      <c r="D210" s="2275"/>
      <c r="E210" s="2275"/>
      <c r="F210" s="2275"/>
      <c r="G210" s="2275"/>
      <c r="H210" s="2275"/>
      <c r="I210" s="2275"/>
      <c r="J210" s="2275"/>
      <c r="K210" s="2275"/>
      <c r="L210" s="2275"/>
      <c r="M210" s="2275"/>
      <c r="N210" s="2275"/>
      <c r="O210" s="2275"/>
      <c r="P210" s="3692" t="str">
        <f>IF(Q210=S200,"Right","Wrong")</f>
        <v>Right</v>
      </c>
      <c r="Q210" s="3692">
        <f>HLOOKUP(Q209,P206:Z207,2,0)</f>
        <v>775</v>
      </c>
      <c r="R210" s="2275"/>
      <c r="S210" s="2275"/>
      <c r="T210" s="2275"/>
      <c r="U210" s="2275"/>
      <c r="V210" s="2275"/>
      <c r="W210" s="2275"/>
      <c r="X210" s="2275"/>
      <c r="Y210" s="2275"/>
      <c r="Z210" s="2275"/>
      <c r="AA210" s="2275"/>
      <c r="AB210" s="2275"/>
      <c r="AC210" s="2275"/>
      <c r="AD210" s="3692" t="str">
        <f>IF(AE210=AG200,"Right","Wrong")</f>
        <v>Right</v>
      </c>
      <c r="AE210" s="3692">
        <f>HLOOKUP(AE209,AD206:AN207,2,0)</f>
        <v>825</v>
      </c>
      <c r="AF210" s="2275"/>
      <c r="AG210" s="2275"/>
      <c r="AH210" s="2275"/>
      <c r="AI210" s="2275"/>
      <c r="AJ210" s="2275"/>
      <c r="AK210" s="2275"/>
      <c r="AL210" s="2275"/>
      <c r="AM210" s="2275"/>
      <c r="AN210" s="2275"/>
      <c r="AO210" s="2275"/>
      <c r="AP210" s="2275"/>
      <c r="AQ210" s="2275"/>
      <c r="AR210" s="3692" t="str">
        <f>IF(AS210=AU200,"Right","Wrong")</f>
        <v>Right</v>
      </c>
      <c r="AS210" s="3692">
        <f>HLOOKUP(AS209,AR206:BB207,2,0)</f>
        <v>950</v>
      </c>
      <c r="AT210" s="2275"/>
      <c r="AU210" s="2275"/>
      <c r="AV210" s="2275"/>
      <c r="AW210" s="2275"/>
      <c r="AX210" s="2275"/>
      <c r="AY210" s="2275"/>
      <c r="AZ210" s="2275"/>
      <c r="BA210" s="2275"/>
      <c r="BB210" s="2275"/>
      <c r="BC210" s="2275"/>
      <c r="BD210" s="2275"/>
      <c r="BE210" s="2275"/>
      <c r="BF210" s="2276"/>
      <c r="BG210" s="2276"/>
      <c r="BH210" s="2250"/>
      <c r="BI210" s="2275"/>
      <c r="BJ210" s="3692" t="str">
        <f>IF(BK210=BM200,"Right","Wrong")</f>
        <v>Right</v>
      </c>
      <c r="BK210" s="3692">
        <f>HLOOKUP(BK209,BJ206:BT207,2,0)</f>
        <v>775</v>
      </c>
      <c r="BL210" s="2275"/>
      <c r="BM210" s="2275"/>
      <c r="BN210" s="2275"/>
      <c r="BO210" s="2275"/>
      <c r="BP210" s="2275"/>
      <c r="BQ210" s="2275"/>
      <c r="BR210" s="2275"/>
      <c r="BS210" s="2275"/>
      <c r="BT210" s="2275"/>
      <c r="BU210" s="2275"/>
      <c r="BV210" s="2275"/>
      <c r="BW210" s="2275"/>
      <c r="BX210" s="3692" t="str">
        <f>IF(BY210=CA200,"Right","Wrong")</f>
        <v>Right</v>
      </c>
      <c r="BY210" s="3692">
        <f>HLOOKUP(BY209,BX206:CH207,2,0)</f>
        <v>775</v>
      </c>
      <c r="BZ210" s="2275"/>
      <c r="CA210" s="2275"/>
      <c r="CB210" s="2275"/>
      <c r="CC210" s="2275"/>
      <c r="CD210" s="2275"/>
      <c r="CE210" s="2275"/>
      <c r="CF210" s="2275"/>
      <c r="CG210" s="2275"/>
      <c r="CH210" s="2275"/>
      <c r="CI210" s="2275"/>
      <c r="CJ210" s="2275"/>
      <c r="CK210" s="2275"/>
      <c r="CL210" s="3692" t="str">
        <f>IF(CM210=CO200,"Right","Wrong")</f>
        <v>Right</v>
      </c>
      <c r="CM210" s="3692">
        <f>HLOOKUP(CM209,CL206:CV207,2,0)</f>
        <v>825</v>
      </c>
      <c r="CN210" s="2275"/>
      <c r="CO210" s="2275"/>
      <c r="CP210" s="2275"/>
      <c r="CQ210" s="2275"/>
      <c r="CR210" s="2275"/>
      <c r="CS210" s="2275"/>
      <c r="CT210" s="2275"/>
      <c r="CU210" s="2275"/>
      <c r="CV210" s="2275"/>
      <c r="CW210" s="2275"/>
      <c r="CX210" s="2275"/>
      <c r="CY210" s="2275"/>
      <c r="CZ210" s="3692" t="str">
        <f>IF(DA210=DC200,"Right","Wrong")</f>
        <v>Right</v>
      </c>
      <c r="DA210" s="3692">
        <f>HLOOKUP(DA209,CZ206:DJ207,2,0)</f>
        <v>1100</v>
      </c>
      <c r="DB210" s="2275"/>
      <c r="DC210" s="2275"/>
      <c r="DD210" s="2275"/>
      <c r="DE210" s="2275"/>
      <c r="DF210" s="2275"/>
      <c r="DG210" s="2275"/>
      <c r="DH210" s="2275"/>
      <c r="DI210" s="2275"/>
      <c r="DJ210" s="2275"/>
      <c r="DK210" s="2275"/>
      <c r="DL210" s="2275"/>
      <c r="DM210" s="2275"/>
      <c r="DN210" s="2275"/>
      <c r="DO210" s="2275"/>
      <c r="DP210" s="2275"/>
      <c r="DQ210" s="2277"/>
      <c r="DR210" s="2277"/>
      <c r="DS210" s="2278"/>
      <c r="DT210" s="2250"/>
      <c r="DU210" s="2250"/>
      <c r="DV210" s="2250"/>
      <c r="DW210" s="2250"/>
      <c r="DX210" s="2275"/>
      <c r="DY210" s="3692">
        <f>IFERROR(HLOOKUP(DZ184,DY206:EJ206,1,0),0)</f>
        <v>0</v>
      </c>
      <c r="DZ210" s="3692">
        <f>IF(DY210&gt;0,DY210,DZ209)</f>
        <v>31.19</v>
      </c>
      <c r="EA210" s="2275"/>
      <c r="EB210" s="2275"/>
      <c r="EC210" s="2275"/>
      <c r="ED210" s="2275"/>
      <c r="EE210" s="2275"/>
      <c r="EF210" s="2275"/>
      <c r="EG210" s="2275"/>
      <c r="EH210" s="2275"/>
      <c r="EI210" s="2275"/>
      <c r="EJ210" s="2275"/>
      <c r="EK210" s="2275"/>
      <c r="EL210" s="2275"/>
      <c r="EM210" s="3692">
        <f>IFERROR(HLOOKUP(EN184,EM206:EX206,1,0),0)</f>
        <v>0</v>
      </c>
      <c r="EN210" s="3692">
        <f>IF(EM210&gt;0,EM210,EN209)</f>
        <v>22.48</v>
      </c>
      <c r="EO210" s="2275"/>
      <c r="EP210" s="2275"/>
      <c r="EQ210" s="2275"/>
      <c r="ER210" s="2275"/>
      <c r="ES210" s="2275"/>
      <c r="ET210" s="2275"/>
      <c r="EU210" s="2275"/>
      <c r="EV210" s="2275"/>
      <c r="EW210" s="2275"/>
      <c r="EX210" s="2275"/>
      <c r="EY210" s="2275"/>
      <c r="EZ210" s="2275"/>
      <c r="FA210" s="3692">
        <f>IFERROR(HLOOKUP(FB184,FA206:FL206,1,0),0)</f>
        <v>0</v>
      </c>
      <c r="FB210" s="3692">
        <f>IF(FA210&gt;0,FA210,FB209)</f>
        <v>28.22</v>
      </c>
      <c r="FC210" s="2275"/>
      <c r="FD210" s="2275"/>
      <c r="FE210" s="2275"/>
      <c r="FF210" s="2275"/>
      <c r="FG210" s="2275"/>
      <c r="FH210" s="2275"/>
      <c r="FI210" s="2275"/>
      <c r="FJ210" s="2275"/>
      <c r="FK210" s="2275"/>
      <c r="FL210" s="2275"/>
      <c r="FM210" s="2275"/>
      <c r="FN210" s="2275"/>
      <c r="FO210" s="3692">
        <f>IFERROR(HLOOKUP(FP184,FO206:FZ206,1,0),0)</f>
        <v>0</v>
      </c>
      <c r="FP210" s="3692">
        <f>IF(FO210&gt;0,FO210,FP209)</f>
        <v>21.98</v>
      </c>
      <c r="FQ210" s="2275"/>
      <c r="FR210" s="2275"/>
      <c r="FS210" s="2275"/>
      <c r="FT210" s="2275"/>
      <c r="FU210" s="2275"/>
      <c r="FV210" s="2275"/>
      <c r="FW210" s="2275"/>
      <c r="FX210" s="2275"/>
      <c r="FY210" s="2275"/>
      <c r="FZ210" s="2275"/>
      <c r="GA210" s="2275"/>
      <c r="GB210" s="2275"/>
      <c r="GC210" s="2276"/>
      <c r="GD210" s="2276"/>
      <c r="GE210" s="2250"/>
      <c r="GF210" s="2275"/>
      <c r="GG210" s="3692">
        <f>IFERROR(HLOOKUP(GH184,GG206:GR206,1,0),0)</f>
        <v>0</v>
      </c>
      <c r="GH210" s="3692">
        <f>IF(GG210&gt;0,GG210,GH209)</f>
        <v>29.21</v>
      </c>
      <c r="GI210" s="2275"/>
      <c r="GJ210" s="2275"/>
      <c r="GK210" s="2275"/>
      <c r="GL210" s="2275"/>
      <c r="GM210" s="2275"/>
      <c r="GN210" s="2275"/>
      <c r="GO210" s="2275"/>
      <c r="GP210" s="2275"/>
      <c r="GQ210" s="2275"/>
      <c r="GR210" s="2275"/>
      <c r="GS210" s="2275"/>
      <c r="GT210" s="2275"/>
      <c r="GU210" s="3692">
        <f>IFERROR(HLOOKUP(GV184,GU206:HF206,1,0),0)</f>
        <v>0</v>
      </c>
      <c r="GV210" s="3692">
        <f>IF(GU210&gt;0,GU210,GV209)</f>
        <v>21.09</v>
      </c>
      <c r="GW210" s="2275"/>
      <c r="GX210" s="2275"/>
      <c r="GY210" s="2275"/>
      <c r="GZ210" s="2275"/>
      <c r="HA210" s="2275"/>
      <c r="HB210" s="2275"/>
      <c r="HC210" s="2275"/>
      <c r="HD210" s="2275"/>
      <c r="HE210" s="2275"/>
      <c r="HF210" s="2275"/>
      <c r="HG210" s="2275"/>
      <c r="HH210" s="2275"/>
      <c r="HI210" s="3692">
        <f>IFERROR(HLOOKUP(HJ184,HI206:HT206,1,0),0)</f>
        <v>0</v>
      </c>
      <c r="HJ210" s="3692">
        <f>IF(HI210&gt;0,HI210,HJ209)</f>
        <v>26.52</v>
      </c>
      <c r="HK210" s="2275"/>
      <c r="HL210" s="2275"/>
      <c r="HM210" s="2275"/>
      <c r="HN210" s="2275"/>
      <c r="HO210" s="2275"/>
      <c r="HP210" s="2275"/>
      <c r="HQ210" s="2275"/>
      <c r="HR210" s="2275"/>
      <c r="HS210" s="2275"/>
      <c r="HT210" s="2275"/>
      <c r="HU210" s="2275"/>
      <c r="HV210" s="2275"/>
      <c r="HW210" s="3692">
        <f>IFERROR(HLOOKUP(HX184,HW206:IH206,1,0),0)</f>
        <v>0</v>
      </c>
      <c r="HX210" s="3692">
        <f>IF(HW210&gt;0,HW210,HX209)</f>
        <v>20.69</v>
      </c>
      <c r="HY210" s="2275"/>
      <c r="HZ210" s="2275"/>
      <c r="IA210" s="2275"/>
      <c r="IB210" s="2275"/>
      <c r="IC210" s="2275"/>
      <c r="ID210" s="2275"/>
      <c r="IE210" s="2275"/>
      <c r="IF210" s="2275"/>
      <c r="IG210" s="2275"/>
      <c r="IH210" s="2275"/>
      <c r="II210" s="2275"/>
      <c r="IJ210" s="2275"/>
      <c r="IK210" s="2275"/>
      <c r="IL210" s="2275"/>
    </row>
    <row r="211" spans="1:249" ht="21.95" customHeight="1">
      <c r="A211" s="2275"/>
      <c r="B211" s="3690" t="str">
        <f>IF(C209=D200,"Right","Wrong")</f>
        <v>Right</v>
      </c>
      <c r="C211" s="2275"/>
      <c r="D211" s="2275"/>
      <c r="E211" s="2275"/>
      <c r="F211" s="2275"/>
      <c r="G211" s="2275"/>
      <c r="H211" s="2275"/>
      <c r="I211" s="2275"/>
      <c r="J211" s="2275"/>
      <c r="K211" s="2275"/>
      <c r="L211" s="2275"/>
      <c r="M211" s="2275"/>
      <c r="N211" s="2275"/>
      <c r="O211" s="2275"/>
      <c r="P211" s="3690" t="str">
        <f>IF(Q209=R200,"Right","Wrong")</f>
        <v>Right</v>
      </c>
      <c r="Q211" s="2275"/>
      <c r="R211" s="2275"/>
      <c r="S211" s="2275"/>
      <c r="T211" s="2275"/>
      <c r="U211" s="2275"/>
      <c r="V211" s="2275"/>
      <c r="W211" s="2275"/>
      <c r="X211" s="2275"/>
      <c r="Y211" s="2275"/>
      <c r="Z211" s="2275"/>
      <c r="AA211" s="2275"/>
      <c r="AB211" s="2275"/>
      <c r="AC211" s="2275"/>
      <c r="AD211" s="3690" t="str">
        <f>IF(AE209=AF200,"Right","Wrong")</f>
        <v>Right</v>
      </c>
      <c r="AE211" s="2275"/>
      <c r="AF211" s="2275"/>
      <c r="AG211" s="2275"/>
      <c r="AH211" s="2275"/>
      <c r="AI211" s="2275"/>
      <c r="AJ211" s="2275"/>
      <c r="AK211" s="2275"/>
      <c r="AL211" s="2275"/>
      <c r="AM211" s="2275"/>
      <c r="AN211" s="2275"/>
      <c r="AO211" s="2275"/>
      <c r="AP211" s="2275"/>
      <c r="AQ211" s="2275"/>
      <c r="AR211" s="3690" t="str">
        <f>IF(AS209=AT200,"Right","Wrong")</f>
        <v>Right</v>
      </c>
      <c r="AS211" s="2275"/>
      <c r="AT211" s="2275"/>
      <c r="AU211" s="2275"/>
      <c r="AV211" s="2275"/>
      <c r="AW211" s="2275"/>
      <c r="AX211" s="2275"/>
      <c r="AY211" s="2275"/>
      <c r="AZ211" s="2275"/>
      <c r="BA211" s="2275"/>
      <c r="BB211" s="2275"/>
      <c r="BC211" s="2275"/>
      <c r="BD211" s="2275"/>
      <c r="BE211" s="2275"/>
      <c r="BF211" s="2276"/>
      <c r="BG211" s="2276"/>
      <c r="BH211" s="2250"/>
      <c r="BI211" s="2275"/>
      <c r="BJ211" s="3690" t="str">
        <f>IF(BK209=BL200,"Right","Wrong")</f>
        <v>Right</v>
      </c>
      <c r="BK211" s="2275"/>
      <c r="BL211" s="2275"/>
      <c r="BM211" s="2275"/>
      <c r="BN211" s="2275"/>
      <c r="BO211" s="2275"/>
      <c r="BP211" s="2275"/>
      <c r="BQ211" s="2275"/>
      <c r="BR211" s="2275"/>
      <c r="BS211" s="2275"/>
      <c r="BT211" s="2275"/>
      <c r="BU211" s="2275"/>
      <c r="BV211" s="2275"/>
      <c r="BW211" s="2275"/>
      <c r="BX211" s="3690" t="str">
        <f>IF(BY209=BZ200,"Right","Wrong")</f>
        <v>Right</v>
      </c>
      <c r="BY211" s="2275"/>
      <c r="BZ211" s="2275"/>
      <c r="CA211" s="2275"/>
      <c r="CB211" s="2275"/>
      <c r="CC211" s="2275"/>
      <c r="CD211" s="2275"/>
      <c r="CE211" s="2275"/>
      <c r="CF211" s="2275"/>
      <c r="CG211" s="2275"/>
      <c r="CH211" s="2275"/>
      <c r="CI211" s="2275"/>
      <c r="CJ211" s="2275"/>
      <c r="CK211" s="2275"/>
      <c r="CL211" s="3690" t="str">
        <f>IF(CM209=CN200,"Right","Wrong")</f>
        <v>Right</v>
      </c>
      <c r="CM211" s="2275"/>
      <c r="CN211" s="2275"/>
      <c r="CO211" s="2275"/>
      <c r="CP211" s="2275"/>
      <c r="CQ211" s="2275"/>
      <c r="CR211" s="2275"/>
      <c r="CS211" s="2275"/>
      <c r="CT211" s="2275"/>
      <c r="CU211" s="2275"/>
      <c r="CV211" s="2275"/>
      <c r="CW211" s="2275"/>
      <c r="CX211" s="2275"/>
      <c r="CY211" s="2275"/>
      <c r="CZ211" s="3690" t="str">
        <f>IF(DA209=DB200,"Right","Wrong")</f>
        <v>Right</v>
      </c>
      <c r="DA211" s="2275"/>
      <c r="DB211" s="2275"/>
      <c r="DC211" s="2275"/>
      <c r="DD211" s="2275"/>
      <c r="DE211" s="2275"/>
      <c r="DF211" s="2275"/>
      <c r="DG211" s="2275"/>
      <c r="DH211" s="2275"/>
      <c r="DI211" s="2275"/>
      <c r="DJ211" s="2275"/>
      <c r="DK211" s="2275"/>
      <c r="DL211" s="2275"/>
      <c r="DM211" s="2275"/>
      <c r="DN211" s="2275"/>
      <c r="DO211" s="2275"/>
      <c r="DP211" s="2275"/>
      <c r="DQ211" s="2277"/>
      <c r="DR211" s="2277"/>
      <c r="DS211" s="2278"/>
      <c r="DT211" s="2250"/>
      <c r="DU211" s="2250"/>
      <c r="DV211" s="2250"/>
      <c r="DW211" s="2250"/>
      <c r="DX211" s="2275"/>
      <c r="DY211" s="3692" t="str">
        <f>IF(DZ211=EB201,"Right","Wrong")</f>
        <v>Right</v>
      </c>
      <c r="DZ211" s="3692">
        <f>HLOOKUP(DZ210,DY207:EI208,2,0)</f>
        <v>650</v>
      </c>
      <c r="EA211" s="2275"/>
      <c r="EB211" s="2275"/>
      <c r="EC211" s="2275"/>
      <c r="ED211" s="2275"/>
      <c r="EE211" s="2275"/>
      <c r="EF211" s="2275"/>
      <c r="EG211" s="2275"/>
      <c r="EH211" s="2275"/>
      <c r="EI211" s="2275"/>
      <c r="EJ211" s="2275"/>
      <c r="EK211" s="2275"/>
      <c r="EL211" s="2275"/>
      <c r="EM211" s="3692" t="str">
        <f>IF(EN211=EP201,"Right","Wrong")</f>
        <v>Right</v>
      </c>
      <c r="EN211" s="3692">
        <f>HLOOKUP(EN210,EM207:EW208,2,0)</f>
        <v>650</v>
      </c>
      <c r="EO211" s="2275"/>
      <c r="EP211" s="2275"/>
      <c r="EQ211" s="2275"/>
      <c r="ER211" s="2275"/>
      <c r="ES211" s="2275"/>
      <c r="ET211" s="2275"/>
      <c r="EU211" s="2275"/>
      <c r="EV211" s="2275"/>
      <c r="EW211" s="2275"/>
      <c r="EX211" s="2275"/>
      <c r="EY211" s="2275"/>
      <c r="EZ211" s="2275"/>
      <c r="FA211" s="3692" t="str">
        <f>IF(FB211=FD201,"Right","Wrong")</f>
        <v>Right</v>
      </c>
      <c r="FB211" s="3692">
        <f>HLOOKUP(FB210,FA207:FK208,2,0)</f>
        <v>775</v>
      </c>
      <c r="FC211" s="2275"/>
      <c r="FD211" s="2275"/>
      <c r="FE211" s="2275"/>
      <c r="FF211" s="2275"/>
      <c r="FG211" s="2275"/>
      <c r="FH211" s="2275"/>
      <c r="FI211" s="2275"/>
      <c r="FJ211" s="2275"/>
      <c r="FK211" s="2275"/>
      <c r="FL211" s="2275"/>
      <c r="FM211" s="2275"/>
      <c r="FN211" s="2275"/>
      <c r="FO211" s="3692" t="str">
        <f>IF(FP211=FR201,"Right","Wrong")</f>
        <v>Right</v>
      </c>
      <c r="FP211" s="3692">
        <f>HLOOKUP(FP210,FO207:FY208,2,0)</f>
        <v>825</v>
      </c>
      <c r="FQ211" s="2275"/>
      <c r="FR211" s="2275"/>
      <c r="FS211" s="2275"/>
      <c r="FT211" s="2275"/>
      <c r="FU211" s="2275"/>
      <c r="FV211" s="2275"/>
      <c r="FW211" s="2275"/>
      <c r="FX211" s="2275"/>
      <c r="FY211" s="2275"/>
      <c r="FZ211" s="2275"/>
      <c r="GA211" s="2275"/>
      <c r="GB211" s="2275"/>
      <c r="GC211" s="2276"/>
      <c r="GD211" s="2276"/>
      <c r="GE211" s="2250"/>
      <c r="GF211" s="2275"/>
      <c r="GG211" s="3692" t="str">
        <f>IF(GH211=GJ201,"Right","Wrong")</f>
        <v>Right</v>
      </c>
      <c r="GH211" s="3692">
        <f>HLOOKUP(GH210,GG207:GQ208,2,0)</f>
        <v>650</v>
      </c>
      <c r="GI211" s="2275"/>
      <c r="GJ211" s="2275"/>
      <c r="GK211" s="2275"/>
      <c r="GL211" s="2275"/>
      <c r="GM211" s="2275"/>
      <c r="GN211" s="2275"/>
      <c r="GO211" s="2275"/>
      <c r="GP211" s="2275"/>
      <c r="GQ211" s="2275"/>
      <c r="GR211" s="2275"/>
      <c r="GS211" s="2275"/>
      <c r="GT211" s="2275"/>
      <c r="GU211" s="3692" t="str">
        <f>IF(GV211=GX201,"Right","Wrong")</f>
        <v>Right</v>
      </c>
      <c r="GV211" s="3692">
        <f>HLOOKUP(GV210,GU207:HE208,2,0)</f>
        <v>650</v>
      </c>
      <c r="GW211" s="2275"/>
      <c r="GX211" s="2275"/>
      <c r="GY211" s="2275"/>
      <c r="GZ211" s="2275"/>
      <c r="HA211" s="2275"/>
      <c r="HB211" s="2275"/>
      <c r="HC211" s="2275"/>
      <c r="HD211" s="2275"/>
      <c r="HE211" s="2275"/>
      <c r="HF211" s="2275"/>
      <c r="HG211" s="2275"/>
      <c r="HH211" s="2275"/>
      <c r="HI211" s="3692" t="str">
        <f>IF(HJ211=HL201,"Right","Wrong")</f>
        <v>Right</v>
      </c>
      <c r="HJ211" s="3692">
        <f>HLOOKUP(HJ210,HI207:HS208,2,0)</f>
        <v>775</v>
      </c>
      <c r="HK211" s="2275"/>
      <c r="HL211" s="2275"/>
      <c r="HM211" s="2275"/>
      <c r="HN211" s="2275"/>
      <c r="HO211" s="2275"/>
      <c r="HP211" s="2275"/>
      <c r="HQ211" s="2275"/>
      <c r="HR211" s="2275"/>
      <c r="HS211" s="2275"/>
      <c r="HT211" s="2275"/>
      <c r="HU211" s="2275"/>
      <c r="HV211" s="2275"/>
      <c r="HW211" s="3692" t="str">
        <f>IF(HX211=HZ201,"Right","Wrong")</f>
        <v>Right</v>
      </c>
      <c r="HX211" s="3692">
        <f>HLOOKUP(HX210,HW207:IG208,2,0)</f>
        <v>825</v>
      </c>
      <c r="HY211" s="2275"/>
      <c r="HZ211" s="2275"/>
      <c r="IA211" s="2275"/>
      <c r="IB211" s="2275"/>
      <c r="IC211" s="2275"/>
      <c r="ID211" s="2275"/>
      <c r="IE211" s="2275"/>
      <c r="IF211" s="2275"/>
      <c r="IG211" s="2275"/>
      <c r="IH211" s="2275"/>
      <c r="II211" s="2275"/>
      <c r="IJ211" s="2275"/>
      <c r="IK211" s="2275"/>
      <c r="IL211" s="2275"/>
    </row>
    <row r="212" spans="1:249" ht="21.95" customHeight="1">
      <c r="A212" s="2275"/>
      <c r="B212" s="2275"/>
      <c r="C212" s="2275"/>
      <c r="D212" s="2275"/>
      <c r="E212" s="2275"/>
      <c r="F212" s="2275"/>
      <c r="G212" s="2275"/>
      <c r="H212" s="2250"/>
      <c r="I212" s="2250"/>
      <c r="J212" s="2250"/>
      <c r="K212" s="2250"/>
      <c r="L212" s="2275"/>
      <c r="M212" s="2275"/>
      <c r="N212" s="2275"/>
      <c r="O212" s="2275"/>
      <c r="P212" s="2275"/>
      <c r="Q212" s="2275"/>
      <c r="R212" s="2275"/>
      <c r="S212" s="2275"/>
      <c r="T212" s="2275"/>
      <c r="U212" s="2275"/>
      <c r="V212" s="2275"/>
      <c r="W212" s="2275"/>
      <c r="X212" s="2275"/>
      <c r="Y212" s="2275"/>
      <c r="Z212" s="2275"/>
      <c r="AA212" s="2275"/>
      <c r="AB212" s="2275"/>
      <c r="AC212" s="2275"/>
      <c r="AD212" s="2275"/>
      <c r="AE212" s="2275"/>
      <c r="AF212" s="2275"/>
      <c r="AG212" s="2275"/>
      <c r="AH212" s="2275"/>
      <c r="AI212" s="2275"/>
      <c r="AJ212" s="2275"/>
      <c r="AK212" s="2275"/>
      <c r="AL212" s="2275"/>
      <c r="AM212" s="2275"/>
      <c r="AN212" s="2275"/>
      <c r="AO212" s="2275"/>
      <c r="AP212" s="2275"/>
      <c r="AQ212" s="2275"/>
      <c r="AR212" s="2275"/>
      <c r="AS212" s="2275"/>
      <c r="AT212" s="2275"/>
      <c r="AU212" s="2275"/>
      <c r="AV212" s="2275"/>
      <c r="AW212" s="2275"/>
      <c r="AX212" s="2275"/>
      <c r="AY212" s="2275"/>
      <c r="AZ212" s="2275"/>
      <c r="BA212" s="2275"/>
      <c r="BB212" s="2275"/>
      <c r="BC212" s="2275"/>
      <c r="BD212" s="2275"/>
      <c r="BE212" s="2275"/>
      <c r="BF212" s="2276"/>
      <c r="BG212" s="2276"/>
      <c r="BH212" s="2250"/>
      <c r="BI212" s="2275"/>
      <c r="BJ212" s="2275"/>
      <c r="BK212" s="2275"/>
      <c r="BL212" s="2275"/>
      <c r="BM212" s="2275"/>
      <c r="BN212" s="2275"/>
      <c r="BO212" s="2275"/>
      <c r="BP212" s="2250"/>
      <c r="BQ212" s="2250"/>
      <c r="BR212" s="2250"/>
      <c r="BS212" s="2250"/>
      <c r="BT212" s="2275"/>
      <c r="BU212" s="2275"/>
      <c r="BV212" s="2275"/>
      <c r="BW212" s="2275"/>
      <c r="BX212" s="2275"/>
      <c r="BY212" s="2275"/>
      <c r="BZ212" s="2275"/>
      <c r="CA212" s="2275"/>
      <c r="CB212" s="2275"/>
      <c r="CC212" s="2275"/>
      <c r="CD212" s="2275"/>
      <c r="CE212" s="2275"/>
      <c r="CF212" s="2275"/>
      <c r="CG212" s="2275"/>
      <c r="CH212" s="2275"/>
      <c r="CI212" s="2275"/>
      <c r="CJ212" s="2275"/>
      <c r="CK212" s="2275"/>
      <c r="CL212" s="2275"/>
      <c r="CM212" s="2275"/>
      <c r="CN212" s="2275"/>
      <c r="CO212" s="2275"/>
      <c r="CP212" s="2275"/>
      <c r="CQ212" s="2275"/>
      <c r="CR212" s="2275"/>
      <c r="CS212" s="2275"/>
      <c r="CT212" s="2275"/>
      <c r="CU212" s="2275"/>
      <c r="CV212" s="2275"/>
      <c r="CW212" s="2275"/>
      <c r="CX212" s="2275"/>
      <c r="CY212" s="2275"/>
      <c r="CZ212" s="2275"/>
      <c r="DA212" s="2275"/>
      <c r="DB212" s="2275"/>
      <c r="DC212" s="2275"/>
      <c r="DD212" s="2275"/>
      <c r="DE212" s="2275"/>
      <c r="DF212" s="2275"/>
      <c r="DG212" s="2275"/>
      <c r="DH212" s="2275"/>
      <c r="DI212" s="2275"/>
      <c r="DJ212" s="2275"/>
      <c r="DK212" s="2275"/>
      <c r="DL212" s="2275"/>
      <c r="DM212" s="2275"/>
      <c r="DN212" s="2275"/>
      <c r="DO212" s="2275"/>
      <c r="DP212" s="2275"/>
      <c r="DQ212" s="2277"/>
      <c r="DR212" s="2277"/>
      <c r="DS212" s="2278"/>
      <c r="DT212" s="2250"/>
      <c r="DU212" s="2250"/>
      <c r="DV212" s="2250"/>
      <c r="DW212" s="2250"/>
      <c r="DX212" s="2275"/>
      <c r="DY212" s="3690" t="str">
        <f>IF(DZ210=EA201,"Right","Wrong")</f>
        <v>Right</v>
      </c>
      <c r="DZ212" s="2275"/>
      <c r="EA212" s="2275"/>
      <c r="EB212" s="2275"/>
      <c r="EC212" s="2275"/>
      <c r="ED212" s="2275"/>
      <c r="EE212" s="2275"/>
      <c r="EF212" s="2275"/>
      <c r="EG212" s="2275"/>
      <c r="EH212" s="2275"/>
      <c r="EI212" s="2275"/>
      <c r="EJ212" s="2275"/>
      <c r="EK212" s="2275"/>
      <c r="EL212" s="2275"/>
      <c r="EM212" s="3690" t="str">
        <f>IF(EN210=EO201,"Right","Wrong")</f>
        <v>Right</v>
      </c>
      <c r="EN212" s="2275"/>
      <c r="EO212" s="2275"/>
      <c r="EP212" s="2275"/>
      <c r="EQ212" s="2275"/>
      <c r="ER212" s="2275"/>
      <c r="ES212" s="2275"/>
      <c r="ET212" s="2275"/>
      <c r="EU212" s="2275"/>
      <c r="EV212" s="2275"/>
      <c r="EW212" s="2275"/>
      <c r="EX212" s="2275"/>
      <c r="EY212" s="2275"/>
      <c r="EZ212" s="2275"/>
      <c r="FA212" s="3690" t="str">
        <f>IF(FB210=FC201,"Right","Wrong")</f>
        <v>Right</v>
      </c>
      <c r="FB212" s="2275"/>
      <c r="FC212" s="2275"/>
      <c r="FD212" s="2275"/>
      <c r="FE212" s="2275"/>
      <c r="FF212" s="2275"/>
      <c r="FG212" s="2275"/>
      <c r="FH212" s="2275"/>
      <c r="FI212" s="2275"/>
      <c r="FJ212" s="2275"/>
      <c r="FK212" s="2275"/>
      <c r="FL212" s="2275"/>
      <c r="FM212" s="2275"/>
      <c r="FN212" s="2275"/>
      <c r="FO212" s="3690" t="str">
        <f>IF(FP210=FQ201,"Right","Wrong")</f>
        <v>Right</v>
      </c>
      <c r="FP212" s="2275"/>
      <c r="FQ212" s="2275"/>
      <c r="FR212" s="2275"/>
      <c r="FS212" s="2275"/>
      <c r="FT212" s="2275"/>
      <c r="FU212" s="2275"/>
      <c r="FV212" s="2275"/>
      <c r="FW212" s="2275"/>
      <c r="FX212" s="2275"/>
      <c r="FY212" s="2275"/>
      <c r="FZ212" s="2275"/>
      <c r="GA212" s="2275"/>
      <c r="GB212" s="2275"/>
      <c r="GC212" s="2276"/>
      <c r="GD212" s="2276"/>
      <c r="GE212" s="2250"/>
      <c r="GF212" s="2275"/>
      <c r="GG212" s="3690" t="str">
        <f>IF(GH210=GI201,"Right","Wrong")</f>
        <v>Right</v>
      </c>
      <c r="GH212" s="2275"/>
      <c r="GI212" s="2275"/>
      <c r="GJ212" s="2275"/>
      <c r="GK212" s="2275"/>
      <c r="GL212" s="2275"/>
      <c r="GM212" s="2275"/>
      <c r="GN212" s="2275"/>
      <c r="GO212" s="2275"/>
      <c r="GP212" s="2275"/>
      <c r="GQ212" s="2275"/>
      <c r="GR212" s="2275"/>
      <c r="GS212" s="2275"/>
      <c r="GT212" s="2275"/>
      <c r="GU212" s="3690" t="str">
        <f>IF(GV210=GW201,"Right","Wrong")</f>
        <v>Right</v>
      </c>
      <c r="GV212" s="2275"/>
      <c r="GW212" s="2275"/>
      <c r="GX212" s="2275"/>
      <c r="GY212" s="2275"/>
      <c r="GZ212" s="2275"/>
      <c r="HA212" s="2275"/>
      <c r="HB212" s="2275"/>
      <c r="HC212" s="2275"/>
      <c r="HD212" s="2275"/>
      <c r="HE212" s="2275"/>
      <c r="HF212" s="2275"/>
      <c r="HG212" s="2275"/>
      <c r="HH212" s="2275"/>
      <c r="HI212" s="3690" t="str">
        <f>IF(HJ210=HK201,"Right","Wrong")</f>
        <v>Right</v>
      </c>
      <c r="HJ212" s="2275"/>
      <c r="HK212" s="2275"/>
      <c r="HL212" s="2275"/>
      <c r="HM212" s="2275"/>
      <c r="HN212" s="2275"/>
      <c r="HO212" s="2275"/>
      <c r="HP212" s="2275"/>
      <c r="HQ212" s="2275"/>
      <c r="HR212" s="2275"/>
      <c r="HS212" s="2275"/>
      <c r="HT212" s="2275"/>
      <c r="HU212" s="2275"/>
      <c r="HV212" s="2275"/>
      <c r="HW212" s="3690" t="str">
        <f>IF(HX210=HY201,"Right","Wrong")</f>
        <v>Right</v>
      </c>
      <c r="HX212" s="2275"/>
      <c r="HY212" s="2275"/>
      <c r="HZ212" s="2275"/>
      <c r="IA212" s="2275"/>
      <c r="IB212" s="2275"/>
      <c r="IC212" s="2275"/>
      <c r="ID212" s="2275"/>
      <c r="IE212" s="2275"/>
      <c r="IF212" s="2275"/>
      <c r="IG212" s="2275"/>
      <c r="IH212" s="2275"/>
      <c r="II212" s="2275"/>
      <c r="IJ212" s="2275"/>
      <c r="IK212" s="2275"/>
      <c r="IL212" s="2275"/>
    </row>
    <row r="213" spans="1:249" ht="21.95" customHeight="1">
      <c r="A213" s="2275"/>
      <c r="B213" s="2275"/>
      <c r="C213" s="2275"/>
      <c r="D213" s="2275"/>
      <c r="E213" s="2275"/>
      <c r="F213" s="2275"/>
      <c r="G213" s="2275"/>
      <c r="H213" s="2275"/>
      <c r="I213" s="2275"/>
      <c r="J213" s="2275"/>
      <c r="K213" s="2275"/>
      <c r="L213" s="2275"/>
      <c r="M213" s="2275"/>
      <c r="N213" s="2275"/>
      <c r="O213" s="2275"/>
      <c r="P213" s="2275"/>
      <c r="Q213" s="2275"/>
      <c r="R213" s="2275"/>
      <c r="S213" s="2275"/>
      <c r="T213" s="2275"/>
      <c r="U213" s="2275"/>
      <c r="V213" s="2275"/>
      <c r="W213" s="2275"/>
      <c r="X213" s="2275"/>
      <c r="Y213" s="2275"/>
      <c r="Z213" s="2275"/>
      <c r="AA213" s="2275"/>
      <c r="AB213" s="2275"/>
      <c r="AC213" s="2275"/>
      <c r="AD213" s="2275"/>
      <c r="AE213" s="2275"/>
      <c r="AF213" s="2275"/>
      <c r="AG213" s="2275"/>
      <c r="AH213" s="2275"/>
      <c r="AI213" s="2275"/>
      <c r="AJ213" s="2275"/>
      <c r="AK213" s="2275"/>
      <c r="AL213" s="2275"/>
      <c r="AM213" s="2275"/>
      <c r="AN213" s="2275"/>
      <c r="AO213" s="2275"/>
      <c r="AP213" s="2275"/>
      <c r="AQ213" s="2275"/>
      <c r="AR213" s="2275"/>
      <c r="AS213" s="2275"/>
      <c r="AT213" s="2275"/>
      <c r="AU213" s="2275"/>
      <c r="AV213" s="2275"/>
      <c r="AW213" s="2275"/>
      <c r="AX213" s="2275"/>
      <c r="AY213" s="2275"/>
      <c r="AZ213" s="2275"/>
      <c r="BA213" s="2275"/>
      <c r="BB213" s="2275"/>
      <c r="BC213" s="2275"/>
      <c r="BD213" s="2275"/>
      <c r="BE213" s="2275"/>
      <c r="BF213" s="2276"/>
      <c r="BG213" s="2276"/>
      <c r="BH213" s="2250"/>
      <c r="BI213" s="2275"/>
      <c r="BJ213" s="2275"/>
      <c r="BK213" s="2275"/>
      <c r="BL213" s="2275"/>
      <c r="BM213" s="2275"/>
      <c r="BN213" s="2275"/>
      <c r="BO213" s="2275"/>
      <c r="BP213" s="2275"/>
      <c r="BQ213" s="2275"/>
      <c r="BR213" s="2275"/>
      <c r="BS213" s="2275"/>
      <c r="BT213" s="2275"/>
      <c r="BU213" s="2275"/>
      <c r="BV213" s="2275"/>
      <c r="BW213" s="2275"/>
      <c r="BX213" s="2275"/>
      <c r="BY213" s="2275"/>
      <c r="BZ213" s="2275"/>
      <c r="CA213" s="2275"/>
      <c r="CB213" s="2275"/>
      <c r="CC213" s="2275"/>
      <c r="CD213" s="2275"/>
      <c r="CE213" s="2275"/>
      <c r="CF213" s="2275"/>
      <c r="CG213" s="2275"/>
      <c r="CH213" s="2275"/>
      <c r="CI213" s="2275"/>
      <c r="CJ213" s="2275"/>
      <c r="CK213" s="2275"/>
      <c r="CL213" s="2275"/>
      <c r="CM213" s="2275"/>
      <c r="CN213" s="2275"/>
      <c r="CO213" s="2275"/>
      <c r="CP213" s="2275"/>
      <c r="CQ213" s="2275"/>
      <c r="CR213" s="2275"/>
      <c r="CS213" s="2275"/>
      <c r="CT213" s="2275"/>
      <c r="CU213" s="2275"/>
      <c r="CV213" s="2275"/>
      <c r="CW213" s="2275"/>
      <c r="CX213" s="2275"/>
      <c r="CY213" s="2275"/>
      <c r="CZ213" s="2275"/>
      <c r="DA213" s="2275"/>
      <c r="DB213" s="2275"/>
      <c r="DC213" s="2275"/>
      <c r="DD213" s="2275"/>
      <c r="DE213" s="2275"/>
      <c r="DF213" s="2275"/>
      <c r="DG213" s="2275"/>
      <c r="DH213" s="2275"/>
      <c r="DI213" s="2275"/>
      <c r="DJ213" s="2275"/>
      <c r="DK213" s="2275"/>
      <c r="DL213" s="2275"/>
      <c r="DM213" s="2275"/>
      <c r="DN213" s="2275"/>
      <c r="DO213" s="2275"/>
      <c r="DP213" s="2275"/>
      <c r="DQ213" s="2277"/>
      <c r="DR213" s="2277"/>
      <c r="DS213" s="2278"/>
      <c r="DT213" s="2250"/>
      <c r="DU213" s="2250"/>
      <c r="DV213" s="2250"/>
      <c r="DW213" s="2250"/>
      <c r="DX213" s="2275"/>
      <c r="DY213" s="2275"/>
      <c r="DZ213" s="2275"/>
      <c r="EA213" s="2275"/>
      <c r="EB213" s="2275"/>
      <c r="EC213" s="2275"/>
      <c r="ED213" s="2275"/>
      <c r="EE213" s="2250"/>
      <c r="EF213" s="2250"/>
      <c r="EG213" s="2250"/>
      <c r="EH213" s="2250"/>
      <c r="EI213" s="2275"/>
      <c r="EJ213" s="2275"/>
      <c r="EK213" s="2275"/>
      <c r="EL213" s="2275"/>
      <c r="EM213" s="2275"/>
      <c r="EN213" s="2275"/>
      <c r="EO213" s="2275"/>
      <c r="EP213" s="2275"/>
      <c r="EQ213" s="2275"/>
      <c r="ER213" s="2275"/>
      <c r="ES213" s="2275"/>
      <c r="ET213" s="2275"/>
      <c r="EU213" s="2275"/>
      <c r="EV213" s="2275"/>
      <c r="EW213" s="2275"/>
      <c r="EX213" s="2275"/>
      <c r="EY213" s="2275"/>
      <c r="EZ213" s="2275"/>
      <c r="FA213" s="2275"/>
      <c r="FB213" s="2275"/>
      <c r="FC213" s="2275"/>
      <c r="FD213" s="2275"/>
      <c r="FE213" s="2275"/>
      <c r="FF213" s="2275"/>
      <c r="FG213" s="2275"/>
      <c r="FH213" s="2275"/>
      <c r="FI213" s="2275"/>
      <c r="FJ213" s="2275"/>
      <c r="FK213" s="2275"/>
      <c r="FL213" s="2275"/>
      <c r="FM213" s="2275"/>
      <c r="FN213" s="2275"/>
      <c r="FO213" s="2275"/>
      <c r="FP213" s="2275"/>
      <c r="FQ213" s="2275"/>
      <c r="FR213" s="2275"/>
      <c r="FS213" s="2275"/>
      <c r="FT213" s="2275"/>
      <c r="FU213" s="2275"/>
      <c r="FV213" s="2275"/>
      <c r="FW213" s="2275"/>
      <c r="FX213" s="2275"/>
      <c r="FY213" s="2275"/>
      <c r="FZ213" s="2275"/>
      <c r="GA213" s="2275"/>
      <c r="GB213" s="2275"/>
      <c r="GC213" s="2276"/>
      <c r="GD213" s="2276"/>
      <c r="GE213" s="2250"/>
      <c r="GF213" s="2275"/>
      <c r="GG213" s="2275"/>
      <c r="GH213" s="2275"/>
      <c r="GI213" s="2275"/>
      <c r="GJ213" s="2275"/>
      <c r="GK213" s="2275"/>
      <c r="GL213" s="2275"/>
      <c r="GM213" s="2250"/>
      <c r="GN213" s="2250"/>
      <c r="GO213" s="2250"/>
      <c r="GP213" s="2250"/>
      <c r="GQ213" s="2275"/>
      <c r="GR213" s="2275"/>
      <c r="GS213" s="2275"/>
      <c r="GT213" s="2275"/>
      <c r="GU213" s="2275"/>
      <c r="GV213" s="2275"/>
      <c r="GW213" s="2275"/>
      <c r="GX213" s="2275"/>
      <c r="GY213" s="2275"/>
      <c r="GZ213" s="2275"/>
      <c r="HA213" s="2275"/>
      <c r="HB213" s="2275"/>
      <c r="HC213" s="2275"/>
      <c r="HD213" s="2275"/>
      <c r="HE213" s="2275"/>
      <c r="HF213" s="2275"/>
      <c r="HG213" s="2275"/>
      <c r="HH213" s="2275"/>
      <c r="HI213" s="2275"/>
      <c r="HJ213" s="2275"/>
      <c r="HK213" s="2275"/>
      <c r="HL213" s="2275"/>
      <c r="HM213" s="2275"/>
      <c r="HN213" s="2275"/>
      <c r="HO213" s="2275"/>
      <c r="HP213" s="2275"/>
      <c r="HQ213" s="2275"/>
      <c r="HR213" s="2275"/>
      <c r="HS213" s="2275"/>
      <c r="HT213" s="2275"/>
      <c r="HU213" s="2275"/>
      <c r="HV213" s="2275"/>
      <c r="HW213" s="2275"/>
      <c r="HX213" s="2275"/>
      <c r="HY213" s="2275"/>
      <c r="HZ213" s="2275"/>
      <c r="IA213" s="2275"/>
      <c r="IB213" s="2275"/>
      <c r="IC213" s="2275"/>
      <c r="ID213" s="2275"/>
      <c r="IE213" s="2275"/>
      <c r="IF213" s="2275"/>
      <c r="IG213" s="2275"/>
      <c r="IH213" s="2275"/>
      <c r="II213" s="2275"/>
      <c r="IJ213" s="2275"/>
      <c r="IK213" s="2275"/>
      <c r="IL213" s="2275"/>
    </row>
    <row r="214" spans="1:249" ht="18.75" customHeight="1">
      <c r="A214" s="2275"/>
      <c r="B214" s="2275"/>
      <c r="C214" s="2275"/>
      <c r="D214" s="2275"/>
      <c r="E214" s="2275"/>
      <c r="F214" s="2275"/>
      <c r="G214" s="2275"/>
      <c r="H214" s="2250"/>
      <c r="I214" s="2250"/>
      <c r="J214" s="2250"/>
      <c r="K214" s="2250"/>
      <c r="L214" s="2275"/>
      <c r="M214" s="2275"/>
      <c r="N214" s="2275"/>
      <c r="O214" s="2275"/>
      <c r="P214" s="2275"/>
      <c r="Q214" s="2275"/>
      <c r="R214" s="2275"/>
      <c r="S214" s="2275"/>
      <c r="T214" s="2275"/>
      <c r="U214" s="2275"/>
      <c r="V214" s="2275"/>
      <c r="W214" s="2275"/>
      <c r="X214" s="2275"/>
      <c r="Y214" s="2275"/>
      <c r="Z214" s="2275"/>
      <c r="AA214" s="2275"/>
      <c r="AB214" s="2275"/>
      <c r="AC214" s="2275"/>
      <c r="AD214" s="2275"/>
      <c r="AE214" s="2275"/>
      <c r="AF214" s="2275"/>
      <c r="AG214" s="2275"/>
      <c r="AH214" s="2275"/>
      <c r="AI214" s="2275"/>
      <c r="AJ214" s="2275"/>
      <c r="AK214" s="2275"/>
      <c r="AL214" s="2275"/>
      <c r="AM214" s="2275"/>
      <c r="AN214" s="2275"/>
      <c r="AO214" s="2275"/>
      <c r="AP214" s="2275"/>
      <c r="AQ214" s="2275"/>
      <c r="AR214" s="2275"/>
      <c r="AS214" s="2275"/>
      <c r="AT214" s="2275"/>
      <c r="AU214" s="2275"/>
      <c r="AV214" s="2275"/>
      <c r="AW214" s="2275"/>
      <c r="AX214" s="2275"/>
      <c r="AY214" s="2275"/>
      <c r="AZ214" s="2275"/>
      <c r="BA214" s="2275"/>
      <c r="BB214" s="2275"/>
      <c r="BC214" s="2275"/>
      <c r="BD214" s="2275"/>
      <c r="BE214" s="2275"/>
      <c r="BF214" s="2276"/>
      <c r="BG214" s="2276"/>
      <c r="BH214" s="2250"/>
      <c r="BI214" s="2275"/>
      <c r="BJ214" s="2275"/>
      <c r="BK214" s="2275"/>
      <c r="BL214" s="2275"/>
      <c r="BM214" s="2275"/>
      <c r="BN214" s="2275"/>
      <c r="BO214" s="2275"/>
      <c r="BP214" s="2250"/>
      <c r="BQ214" s="2250"/>
      <c r="BR214" s="2250"/>
      <c r="BS214" s="2250"/>
      <c r="BT214" s="2275"/>
      <c r="BU214" s="2275"/>
      <c r="BV214" s="2275"/>
      <c r="BW214" s="2275"/>
      <c r="BX214" s="2275"/>
      <c r="BY214" s="2275"/>
      <c r="BZ214" s="2275"/>
      <c r="CA214" s="2275"/>
      <c r="CB214" s="2275"/>
      <c r="CC214" s="2275"/>
      <c r="CD214" s="2275"/>
      <c r="CE214" s="2275"/>
      <c r="CF214" s="2275"/>
      <c r="CG214" s="2275"/>
      <c r="CH214" s="2275"/>
      <c r="CI214" s="2275"/>
      <c r="CJ214" s="2275"/>
      <c r="CK214" s="2275"/>
      <c r="CL214" s="2275"/>
      <c r="CM214" s="2275"/>
      <c r="CN214" s="2275"/>
      <c r="CO214" s="2275"/>
      <c r="CP214" s="2275"/>
      <c r="CQ214" s="2275"/>
      <c r="CR214" s="2275"/>
      <c r="CS214" s="2275"/>
      <c r="CT214" s="2275"/>
      <c r="CU214" s="2275"/>
      <c r="CV214" s="2275"/>
      <c r="CW214" s="2275"/>
      <c r="CX214" s="2275"/>
      <c r="CY214" s="2275"/>
      <c r="CZ214" s="2275"/>
      <c r="DA214" s="2275"/>
      <c r="DB214" s="2275"/>
      <c r="DC214" s="2275"/>
      <c r="DD214" s="2275"/>
      <c r="DE214" s="2275"/>
      <c r="DF214" s="2275"/>
      <c r="DG214" s="2275"/>
      <c r="DH214" s="2275"/>
      <c r="DI214" s="2275"/>
      <c r="DJ214" s="2275"/>
      <c r="DK214" s="2275"/>
      <c r="DL214" s="2275"/>
      <c r="DM214" s="2275"/>
      <c r="DN214" s="2275"/>
      <c r="DO214" s="2275"/>
      <c r="DP214" s="2275"/>
      <c r="DQ214" s="2277"/>
      <c r="DR214" s="2277"/>
      <c r="DS214" s="2278"/>
      <c r="DT214" s="2250"/>
      <c r="DU214" s="2250"/>
      <c r="DV214" s="2250"/>
      <c r="DW214" s="2250"/>
      <c r="DX214" s="2275"/>
      <c r="DY214" s="2275"/>
      <c r="DZ214" s="2275"/>
      <c r="EA214" s="2275"/>
      <c r="EB214" s="2275"/>
      <c r="EC214" s="2275"/>
      <c r="ED214" s="2275"/>
      <c r="EE214" s="2275"/>
      <c r="EF214" s="2275"/>
      <c r="EG214" s="2275"/>
      <c r="EH214" s="2275"/>
      <c r="EI214" s="2275"/>
      <c r="EJ214" s="2275"/>
      <c r="EK214" s="2275"/>
      <c r="EL214" s="2275"/>
      <c r="EM214" s="2275"/>
      <c r="EN214" s="2275"/>
      <c r="EO214" s="2275"/>
      <c r="EP214" s="2275"/>
      <c r="EQ214" s="2275"/>
      <c r="ER214" s="2275"/>
      <c r="ES214" s="2275"/>
      <c r="ET214" s="2275"/>
      <c r="EU214" s="2275"/>
      <c r="EV214" s="2275"/>
      <c r="EW214" s="2275"/>
      <c r="EX214" s="2275"/>
      <c r="EY214" s="2275"/>
      <c r="EZ214" s="2275"/>
      <c r="FA214" s="2275"/>
      <c r="FB214" s="2275"/>
      <c r="FC214" s="2275"/>
      <c r="FD214" s="2275"/>
      <c r="FE214" s="2275"/>
      <c r="FF214" s="2275"/>
      <c r="FG214" s="2275"/>
      <c r="FH214" s="2275"/>
      <c r="FI214" s="2275"/>
      <c r="FJ214" s="2275"/>
      <c r="FK214" s="2275"/>
      <c r="FL214" s="2275"/>
      <c r="FM214" s="2275"/>
      <c r="FN214" s="2275"/>
      <c r="FO214" s="2275"/>
      <c r="FP214" s="2275"/>
      <c r="FQ214" s="2275"/>
      <c r="FR214" s="2275"/>
      <c r="FS214" s="2275"/>
      <c r="FT214" s="2275"/>
      <c r="FU214" s="2275"/>
      <c r="FV214" s="2275"/>
      <c r="FW214" s="2275"/>
      <c r="FX214" s="2275"/>
      <c r="FY214" s="2275"/>
      <c r="FZ214" s="2275"/>
      <c r="GA214" s="2275"/>
      <c r="GB214" s="2275"/>
      <c r="GC214" s="2276"/>
      <c r="GD214" s="2276"/>
      <c r="GE214" s="2250"/>
      <c r="GF214" s="2275"/>
      <c r="GG214" s="2275"/>
      <c r="GH214" s="2275"/>
      <c r="GI214" s="2275"/>
      <c r="GJ214" s="2275"/>
      <c r="GK214" s="2275"/>
      <c r="GL214" s="2275"/>
      <c r="GM214" s="2275"/>
      <c r="GN214" s="2275"/>
      <c r="GO214" s="2275"/>
      <c r="GP214" s="2275"/>
      <c r="GQ214" s="2275"/>
      <c r="GR214" s="2275"/>
      <c r="GS214" s="2275"/>
      <c r="GT214" s="2275"/>
      <c r="GU214" s="2275"/>
      <c r="GV214" s="2275"/>
      <c r="GW214" s="2275"/>
      <c r="GX214" s="2275"/>
      <c r="GY214" s="2275"/>
      <c r="GZ214" s="2275"/>
      <c r="HA214" s="2275"/>
      <c r="HB214" s="2275"/>
      <c r="HC214" s="2275"/>
      <c r="HD214" s="2275"/>
      <c r="HE214" s="2275"/>
      <c r="HF214" s="2275"/>
      <c r="HG214" s="2275"/>
      <c r="HH214" s="2275"/>
      <c r="HI214" s="2275"/>
      <c r="HJ214" s="2275"/>
      <c r="HK214" s="2275"/>
      <c r="HL214" s="2275"/>
      <c r="HM214" s="2275"/>
      <c r="HN214" s="2275"/>
      <c r="HO214" s="2275"/>
      <c r="HP214" s="2275"/>
      <c r="HQ214" s="2275"/>
      <c r="HR214" s="2275"/>
      <c r="HS214" s="2275"/>
      <c r="HT214" s="2275"/>
      <c r="HU214" s="2275"/>
      <c r="HV214" s="2275"/>
      <c r="HW214" s="2275"/>
      <c r="HX214" s="2275"/>
      <c r="HY214" s="2275"/>
      <c r="HZ214" s="2275"/>
      <c r="IA214" s="2275"/>
      <c r="IB214" s="2275"/>
      <c r="IC214" s="2275"/>
      <c r="ID214" s="2275"/>
      <c r="IE214" s="2275"/>
      <c r="IF214" s="2275"/>
      <c r="IG214" s="2275"/>
      <c r="IH214" s="2275"/>
      <c r="II214" s="2275"/>
      <c r="IJ214" s="2275"/>
      <c r="IK214" s="2275"/>
      <c r="IL214" s="2275"/>
    </row>
    <row r="215" spans="1:249" s="2176" customFormat="1" ht="15.75" customHeight="1">
      <c r="A215" s="2343"/>
      <c r="B215" s="2343"/>
      <c r="C215" s="2343"/>
      <c r="D215" s="2343"/>
      <c r="E215" s="2343"/>
      <c r="F215" s="2343"/>
      <c r="G215" s="2343"/>
      <c r="H215" s="2343"/>
      <c r="I215" s="2343"/>
      <c r="J215" s="2343"/>
      <c r="K215" s="2343"/>
      <c r="L215" s="2343"/>
      <c r="M215" s="2343"/>
      <c r="N215" s="2343"/>
      <c r="O215" s="2343"/>
      <c r="P215" s="2343"/>
      <c r="Q215" s="2343"/>
      <c r="R215" s="2343"/>
      <c r="S215" s="2343"/>
      <c r="T215" s="2343"/>
      <c r="U215" s="2343"/>
      <c r="V215" s="2343"/>
      <c r="W215" s="2343"/>
      <c r="X215" s="2343"/>
      <c r="Y215" s="2343"/>
      <c r="Z215" s="2343"/>
      <c r="AA215" s="2343"/>
      <c r="AB215" s="2343"/>
      <c r="AC215" s="2343"/>
      <c r="AD215" s="2343"/>
      <c r="AE215" s="2343"/>
      <c r="AF215" s="2343"/>
      <c r="AG215" s="2343"/>
      <c r="AH215" s="2343"/>
      <c r="AI215" s="2343"/>
      <c r="AJ215" s="2343"/>
      <c r="AK215" s="2343"/>
      <c r="AL215" s="2343"/>
      <c r="AM215" s="2343"/>
      <c r="AN215" s="2343"/>
      <c r="AO215" s="2343"/>
      <c r="AP215" s="2343"/>
      <c r="AQ215" s="2343"/>
      <c r="AR215" s="2343"/>
      <c r="AS215" s="2343"/>
      <c r="AT215" s="2343"/>
      <c r="AU215" s="2343"/>
      <c r="AV215" s="2343"/>
      <c r="AW215" s="2343"/>
      <c r="AX215" s="2343"/>
      <c r="AY215" s="2343"/>
      <c r="AZ215" s="2343"/>
      <c r="BA215" s="2343"/>
      <c r="BB215" s="2343"/>
      <c r="BC215" s="2343"/>
      <c r="BD215" s="2343"/>
      <c r="BE215" s="2343"/>
      <c r="BF215" s="2343"/>
      <c r="BG215" s="2343"/>
      <c r="BH215" s="2343"/>
      <c r="BI215" s="2343"/>
      <c r="BJ215" s="2343"/>
      <c r="BK215" s="2343"/>
      <c r="BL215" s="2343"/>
      <c r="BM215" s="2343"/>
      <c r="BN215" s="2343"/>
      <c r="BO215" s="2343"/>
      <c r="BP215" s="2343"/>
      <c r="BQ215" s="2343"/>
      <c r="BR215" s="2343"/>
      <c r="BS215" s="2343"/>
      <c r="BT215" s="2343"/>
      <c r="BU215" s="2343"/>
      <c r="BV215" s="2343"/>
      <c r="BW215" s="2343"/>
      <c r="BX215" s="2343"/>
      <c r="BY215" s="2343"/>
      <c r="BZ215" s="2343"/>
      <c r="CA215" s="2343"/>
      <c r="CB215" s="2343"/>
      <c r="CC215" s="2343"/>
      <c r="CD215" s="2343"/>
      <c r="CE215" s="2343"/>
      <c r="CF215" s="2343"/>
      <c r="CG215" s="2343"/>
      <c r="CH215" s="2343"/>
      <c r="CI215" s="2343"/>
      <c r="CJ215" s="2343"/>
      <c r="CK215" s="2343"/>
      <c r="CL215" s="2343"/>
      <c r="CM215" s="2343"/>
      <c r="CN215" s="2343"/>
      <c r="CO215" s="2343"/>
      <c r="CP215" s="2343"/>
      <c r="CQ215" s="2343"/>
      <c r="CR215" s="2343"/>
      <c r="CS215" s="2343"/>
      <c r="CT215" s="2343"/>
      <c r="CU215" s="2343"/>
      <c r="CV215" s="2343"/>
      <c r="CW215" s="2343"/>
      <c r="CX215" s="2343"/>
      <c r="CY215" s="2343"/>
      <c r="CZ215" s="2343"/>
      <c r="DA215" s="2343"/>
      <c r="DB215" s="2343"/>
      <c r="DC215" s="2343"/>
      <c r="DD215" s="2343"/>
      <c r="DE215" s="2343"/>
      <c r="DF215" s="2343"/>
      <c r="DG215" s="2343"/>
      <c r="DH215" s="2343"/>
      <c r="DI215" s="2343"/>
      <c r="DJ215" s="2343"/>
      <c r="DK215" s="2343"/>
      <c r="DL215" s="2343"/>
      <c r="DM215" s="2343"/>
      <c r="DN215" s="2343"/>
      <c r="DO215" s="2343"/>
      <c r="DP215" s="2343"/>
      <c r="DQ215" s="2277"/>
      <c r="DR215" s="2277"/>
      <c r="DS215" s="2278"/>
      <c r="DT215" s="2343"/>
      <c r="DU215" s="2343"/>
      <c r="DV215" s="2343"/>
      <c r="DW215" s="2343"/>
      <c r="DX215" s="2275"/>
      <c r="DY215" s="2275"/>
      <c r="DZ215" s="2275"/>
      <c r="EA215" s="2275"/>
      <c r="EB215" s="2275"/>
      <c r="EC215" s="2275"/>
      <c r="ED215" s="2275"/>
      <c r="EE215" s="2250"/>
      <c r="EF215" s="2250"/>
      <c r="EG215" s="2250"/>
      <c r="EH215" s="2250"/>
      <c r="EI215" s="2275"/>
      <c r="EJ215" s="2275"/>
      <c r="EK215" s="2275"/>
      <c r="EL215" s="2275"/>
      <c r="EM215" s="2275"/>
      <c r="EN215" s="2275"/>
      <c r="EO215" s="2275"/>
      <c r="EP215" s="2275"/>
      <c r="EQ215" s="2275"/>
      <c r="ER215" s="2275"/>
      <c r="ES215" s="2275"/>
      <c r="ET215" s="2275"/>
      <c r="EU215" s="2275"/>
      <c r="EV215" s="2275"/>
      <c r="EW215" s="2275"/>
      <c r="EX215" s="2275"/>
      <c r="EY215" s="2275"/>
      <c r="EZ215" s="2275"/>
      <c r="FA215" s="2275"/>
      <c r="FB215" s="2275"/>
      <c r="FC215" s="2275"/>
      <c r="FD215" s="2275"/>
      <c r="FE215" s="2275"/>
      <c r="FF215" s="2275"/>
      <c r="FG215" s="2275"/>
      <c r="FH215" s="2275"/>
      <c r="FI215" s="2275"/>
      <c r="FJ215" s="2275"/>
      <c r="FK215" s="2275"/>
      <c r="FL215" s="2275"/>
      <c r="FM215" s="2275"/>
      <c r="FN215" s="2275"/>
      <c r="FO215" s="2275"/>
      <c r="FP215" s="2275"/>
      <c r="FQ215" s="2275"/>
      <c r="FR215" s="2275"/>
      <c r="FS215" s="2275"/>
      <c r="FT215" s="2275"/>
      <c r="FU215" s="2275"/>
      <c r="FV215" s="2275"/>
      <c r="FW215" s="2275"/>
      <c r="FX215" s="2275"/>
      <c r="FY215" s="2275"/>
      <c r="FZ215" s="2275"/>
      <c r="GA215" s="2275"/>
      <c r="GB215" s="2275"/>
      <c r="GC215" s="2276"/>
      <c r="GD215" s="2276"/>
      <c r="GE215" s="2250"/>
      <c r="GF215" s="2275"/>
      <c r="GG215" s="2275"/>
      <c r="GH215" s="2275"/>
      <c r="GI215" s="2275"/>
      <c r="GJ215" s="2275"/>
      <c r="GK215" s="2275"/>
      <c r="GL215" s="2275"/>
      <c r="GM215" s="2250"/>
      <c r="GN215" s="2250"/>
      <c r="GO215" s="2250"/>
      <c r="GP215" s="2250"/>
      <c r="GQ215" s="2275"/>
      <c r="GR215" s="2275"/>
      <c r="GS215" s="2275"/>
      <c r="GT215" s="2275"/>
      <c r="GU215" s="2275"/>
      <c r="GV215" s="2275"/>
      <c r="GW215" s="2275"/>
      <c r="GX215" s="2275"/>
      <c r="GY215" s="2275"/>
      <c r="GZ215" s="2275"/>
      <c r="HA215" s="2275"/>
      <c r="HB215" s="2275"/>
      <c r="HC215" s="2275"/>
      <c r="HD215" s="2275"/>
      <c r="HE215" s="2275"/>
      <c r="HF215" s="2275"/>
      <c r="HG215" s="2275"/>
      <c r="HH215" s="2275"/>
      <c r="HI215" s="2275"/>
      <c r="HJ215" s="2275"/>
      <c r="HK215" s="2275"/>
      <c r="HL215" s="2275"/>
      <c r="HM215" s="2275"/>
      <c r="HN215" s="2275"/>
      <c r="HO215" s="2275"/>
      <c r="HP215" s="2275"/>
      <c r="HQ215" s="2275"/>
      <c r="HR215" s="2275"/>
      <c r="HS215" s="2275"/>
      <c r="HT215" s="2275"/>
      <c r="HU215" s="2275"/>
      <c r="HV215" s="2275"/>
      <c r="HW215" s="2275"/>
      <c r="HX215" s="2275"/>
      <c r="HY215" s="2275"/>
      <c r="HZ215" s="2275"/>
      <c r="IA215" s="2275"/>
      <c r="IB215" s="2275"/>
      <c r="IC215" s="2275"/>
      <c r="ID215" s="2275"/>
      <c r="IE215" s="2275"/>
      <c r="IF215" s="2275"/>
      <c r="IG215" s="2275"/>
      <c r="IH215" s="2275"/>
      <c r="II215" s="2275"/>
      <c r="IJ215" s="2275"/>
      <c r="IK215" s="2275"/>
      <c r="IL215" s="2275"/>
      <c r="IN215" s="2171"/>
      <c r="IO215" s="2171"/>
    </row>
    <row r="216" spans="1:249" ht="21.95" customHeight="1">
      <c r="A216" s="2275"/>
      <c r="B216" s="2275"/>
      <c r="C216" s="2275"/>
      <c r="D216" s="2275"/>
      <c r="E216" s="2275"/>
      <c r="F216" s="2275"/>
      <c r="G216" s="2275"/>
      <c r="H216" s="2250"/>
      <c r="I216" s="2250"/>
      <c r="J216" s="2250"/>
      <c r="K216" s="2250"/>
      <c r="L216" s="2275"/>
      <c r="M216" s="2275"/>
      <c r="N216" s="2275"/>
      <c r="O216" s="2275"/>
      <c r="P216" s="2275"/>
      <c r="Q216" s="2275"/>
      <c r="R216" s="2275"/>
      <c r="S216" s="2275"/>
      <c r="T216" s="2275"/>
      <c r="U216" s="2275"/>
      <c r="V216" s="2275"/>
      <c r="W216" s="2275"/>
      <c r="X216" s="2275"/>
      <c r="Y216" s="2275"/>
      <c r="Z216" s="2275"/>
      <c r="AA216" s="2275"/>
      <c r="AB216" s="2275"/>
      <c r="AC216" s="2275"/>
      <c r="AD216" s="2275"/>
      <c r="AE216" s="2275"/>
      <c r="AF216" s="2275"/>
      <c r="AG216" s="2275"/>
      <c r="AH216" s="2275"/>
      <c r="AI216" s="2275"/>
      <c r="AJ216" s="2275"/>
      <c r="AK216" s="2275"/>
      <c r="AL216" s="2275"/>
      <c r="AM216" s="2275"/>
      <c r="AN216" s="2275"/>
      <c r="AO216" s="2275"/>
      <c r="AP216" s="2250"/>
      <c r="AQ216" s="2250"/>
      <c r="AR216" s="2250"/>
      <c r="AS216" s="2250"/>
      <c r="AT216" s="2250"/>
      <c r="AU216" s="2250"/>
      <c r="AV216" s="2250"/>
      <c r="AW216" s="2250"/>
      <c r="AX216" s="2250"/>
      <c r="AY216" s="2250"/>
      <c r="AZ216" s="2250"/>
      <c r="BA216" s="2250"/>
      <c r="BB216" s="2250"/>
      <c r="BC216" s="2250"/>
      <c r="BD216" s="2250"/>
      <c r="BE216" s="2250"/>
      <c r="BF216" s="2276"/>
      <c r="BG216" s="2276"/>
      <c r="BH216" s="2250"/>
      <c r="BI216" s="2275"/>
      <c r="BJ216" s="2275"/>
      <c r="BK216" s="2275"/>
      <c r="BL216" s="2275"/>
      <c r="BM216" s="2275"/>
      <c r="BN216" s="2275"/>
      <c r="BO216" s="2275"/>
      <c r="BP216" s="2250"/>
      <c r="BQ216" s="2250"/>
      <c r="BR216" s="2250"/>
      <c r="BS216" s="2250"/>
      <c r="BT216" s="2275"/>
      <c r="BU216" s="2275"/>
      <c r="BV216" s="2275"/>
      <c r="BW216" s="2275"/>
      <c r="BX216" s="2275"/>
      <c r="BY216" s="2275"/>
      <c r="BZ216" s="2275"/>
      <c r="CA216" s="2275"/>
      <c r="CB216" s="2275"/>
      <c r="CC216" s="2275"/>
      <c r="CD216" s="2275"/>
      <c r="CE216" s="2275"/>
      <c r="CF216" s="2275"/>
      <c r="CG216" s="2275"/>
      <c r="CH216" s="2275"/>
      <c r="CI216" s="2275"/>
      <c r="CJ216" s="2275"/>
      <c r="CK216" s="2275"/>
      <c r="CL216" s="2275"/>
      <c r="CM216" s="2275"/>
      <c r="CN216" s="2275"/>
      <c r="CO216" s="2275"/>
      <c r="CP216" s="2275"/>
      <c r="CQ216" s="2275"/>
      <c r="CR216" s="2275"/>
      <c r="CS216" s="2275"/>
      <c r="CT216" s="2275"/>
      <c r="CU216" s="2275"/>
      <c r="CV216" s="2275"/>
      <c r="CW216" s="2275"/>
      <c r="CX216" s="2250"/>
      <c r="CY216" s="2250"/>
      <c r="CZ216" s="2250"/>
      <c r="DA216" s="2250"/>
      <c r="DB216" s="2250"/>
      <c r="DC216" s="2250"/>
      <c r="DD216" s="2250"/>
      <c r="DE216" s="2250"/>
      <c r="DF216" s="2250"/>
      <c r="DG216" s="2250"/>
      <c r="DH216" s="2250"/>
      <c r="DI216" s="2250"/>
      <c r="DJ216" s="2250"/>
      <c r="DK216" s="2250"/>
      <c r="DL216" s="2250"/>
      <c r="DM216" s="2250"/>
      <c r="DN216" s="2250"/>
      <c r="DO216" s="2250"/>
      <c r="DP216" s="2250"/>
      <c r="DQ216" s="2277"/>
      <c r="DR216" s="2277"/>
      <c r="DS216" s="2278"/>
      <c r="DT216" s="2250"/>
      <c r="DU216" s="2250"/>
      <c r="DV216" s="2250"/>
      <c r="DW216" s="2250"/>
      <c r="DX216" s="2343"/>
      <c r="DY216" s="2343"/>
      <c r="DZ216" s="2343"/>
      <c r="EA216" s="2343"/>
      <c r="EB216" s="2343"/>
      <c r="EC216" s="2343"/>
      <c r="ED216" s="2343"/>
      <c r="EE216" s="2343"/>
      <c r="EF216" s="2343"/>
      <c r="EG216" s="2343"/>
      <c r="EH216" s="2343"/>
      <c r="EI216" s="2343"/>
      <c r="EJ216" s="2343"/>
      <c r="EK216" s="2343"/>
      <c r="EL216" s="2343"/>
      <c r="EM216" s="2343"/>
      <c r="EN216" s="2343"/>
      <c r="EO216" s="2343"/>
      <c r="EP216" s="2343"/>
      <c r="EQ216" s="2343"/>
      <c r="ER216" s="2343"/>
      <c r="ES216" s="2343"/>
      <c r="ET216" s="2343"/>
      <c r="EU216" s="2343"/>
      <c r="EV216" s="2343"/>
      <c r="EW216" s="2343"/>
      <c r="EX216" s="2343"/>
      <c r="EY216" s="2343"/>
      <c r="EZ216" s="2343"/>
      <c r="FA216" s="2343"/>
      <c r="FB216" s="2343"/>
      <c r="FC216" s="2343"/>
      <c r="FD216" s="2343"/>
      <c r="FE216" s="2343"/>
      <c r="FF216" s="2343"/>
      <c r="FG216" s="2343"/>
      <c r="FH216" s="2343"/>
      <c r="FI216" s="2343"/>
      <c r="FJ216" s="2343"/>
      <c r="FK216" s="2343"/>
      <c r="FL216" s="2343"/>
      <c r="FM216" s="2343"/>
      <c r="FN216" s="2343"/>
      <c r="FO216" s="2343"/>
      <c r="FP216" s="2343"/>
      <c r="FQ216" s="2343"/>
      <c r="FR216" s="2343"/>
      <c r="FS216" s="2343"/>
      <c r="FT216" s="2343"/>
      <c r="FU216" s="2343"/>
      <c r="FV216" s="2343"/>
      <c r="FW216" s="2343"/>
      <c r="FX216" s="2343"/>
      <c r="FY216" s="2343"/>
      <c r="FZ216" s="2343"/>
      <c r="GA216" s="2343"/>
      <c r="GB216" s="2343"/>
      <c r="GC216" s="2343"/>
      <c r="GD216" s="2343"/>
      <c r="GE216" s="2343"/>
      <c r="GF216" s="2343"/>
      <c r="GG216" s="2343"/>
      <c r="GH216" s="2343"/>
      <c r="GI216" s="2343"/>
      <c r="GJ216" s="2343"/>
      <c r="GK216" s="2343"/>
      <c r="GL216" s="2343"/>
      <c r="GM216" s="2343"/>
      <c r="GN216" s="2343"/>
      <c r="GO216" s="2343"/>
      <c r="GP216" s="2343"/>
      <c r="GQ216" s="2343"/>
      <c r="GR216" s="2343"/>
      <c r="GS216" s="2343"/>
      <c r="GT216" s="2343"/>
      <c r="GU216" s="2343"/>
      <c r="GV216" s="2343"/>
      <c r="GW216" s="2343"/>
      <c r="GX216" s="2343"/>
      <c r="GY216" s="2343"/>
      <c r="GZ216" s="2343"/>
      <c r="HA216" s="2343"/>
      <c r="HB216" s="2343"/>
      <c r="HC216" s="2343"/>
      <c r="HD216" s="2343"/>
      <c r="HE216" s="2343"/>
      <c r="HF216" s="2343"/>
      <c r="HG216" s="2343"/>
      <c r="HH216" s="2343"/>
      <c r="HI216" s="2343"/>
      <c r="HJ216" s="2343"/>
      <c r="HK216" s="2343"/>
      <c r="HL216" s="2343"/>
      <c r="HM216" s="2343"/>
      <c r="HN216" s="2343"/>
      <c r="HO216" s="2343"/>
      <c r="HP216" s="2343"/>
      <c r="HQ216" s="2343"/>
      <c r="HR216" s="2343"/>
      <c r="HS216" s="2343"/>
      <c r="HT216" s="2343"/>
      <c r="HU216" s="2343"/>
      <c r="HV216" s="2343"/>
      <c r="HW216" s="2343"/>
      <c r="HX216" s="2343"/>
      <c r="HY216" s="2343"/>
      <c r="HZ216" s="2343"/>
      <c r="IA216" s="2343"/>
      <c r="IB216" s="2343"/>
      <c r="IC216" s="2343"/>
      <c r="ID216" s="2343"/>
      <c r="IE216" s="2343"/>
      <c r="IF216" s="2343"/>
      <c r="IG216" s="2343"/>
      <c r="IH216" s="2343"/>
      <c r="II216" s="2343"/>
      <c r="IJ216" s="2343"/>
      <c r="IK216" s="2343"/>
      <c r="IL216" s="2343"/>
    </row>
    <row r="217" spans="1:249" ht="21.95" customHeight="1">
      <c r="A217" s="2275"/>
      <c r="B217" s="2275"/>
      <c r="C217" s="2275"/>
      <c r="D217" s="2275"/>
      <c r="E217" s="2275"/>
      <c r="F217" s="2275"/>
      <c r="G217" s="2275"/>
      <c r="H217" s="2250"/>
      <c r="I217" s="2250"/>
      <c r="J217" s="2250"/>
      <c r="K217" s="2250"/>
      <c r="L217" s="2275"/>
      <c r="M217" s="2275"/>
      <c r="N217" s="2275"/>
      <c r="O217" s="2275"/>
      <c r="P217" s="2275"/>
      <c r="Q217" s="2275"/>
      <c r="R217" s="2275"/>
      <c r="S217" s="2275"/>
      <c r="T217" s="2275"/>
      <c r="U217" s="2275"/>
      <c r="V217" s="2275"/>
      <c r="W217" s="2275"/>
      <c r="X217" s="2275"/>
      <c r="Y217" s="2275"/>
      <c r="Z217" s="2275"/>
      <c r="AA217" s="2275"/>
      <c r="AB217" s="2275"/>
      <c r="AC217" s="2275"/>
      <c r="AD217" s="2275"/>
      <c r="AE217" s="2275"/>
      <c r="AF217" s="2275"/>
      <c r="AG217" s="2275"/>
      <c r="AH217" s="2275"/>
      <c r="AI217" s="2275"/>
      <c r="AJ217" s="2275"/>
      <c r="AK217" s="2275"/>
      <c r="AL217" s="2275"/>
      <c r="AM217" s="2275"/>
      <c r="AN217" s="2275"/>
      <c r="AO217" s="2275"/>
      <c r="AP217" s="2250"/>
      <c r="AQ217" s="2250"/>
      <c r="AR217" s="2250"/>
      <c r="AS217" s="2250"/>
      <c r="AT217" s="2250"/>
      <c r="AU217" s="2250"/>
      <c r="AV217" s="2250"/>
      <c r="AW217" s="2250"/>
      <c r="AX217" s="2250"/>
      <c r="AY217" s="2250"/>
      <c r="AZ217" s="2250"/>
      <c r="BA217" s="2250"/>
      <c r="BB217" s="2250"/>
      <c r="BC217" s="2250"/>
      <c r="BD217" s="2250"/>
      <c r="BE217" s="2250"/>
      <c r="BF217" s="2276"/>
      <c r="BG217" s="2276"/>
      <c r="BH217" s="2250"/>
      <c r="BI217" s="2275"/>
      <c r="BJ217" s="2275"/>
      <c r="BK217" s="2275"/>
      <c r="BL217" s="2275"/>
      <c r="BM217" s="2275"/>
      <c r="BN217" s="2275"/>
      <c r="BO217" s="2275"/>
      <c r="BP217" s="2250"/>
      <c r="BQ217" s="2250"/>
      <c r="BR217" s="2250"/>
      <c r="BS217" s="2250"/>
      <c r="BT217" s="2275"/>
      <c r="BU217" s="2275"/>
      <c r="BV217" s="2275"/>
      <c r="BW217" s="2275"/>
      <c r="BX217" s="2275"/>
      <c r="BY217" s="2275"/>
      <c r="BZ217" s="2275"/>
      <c r="CA217" s="2275"/>
      <c r="CB217" s="2275"/>
      <c r="CC217" s="2275"/>
      <c r="CD217" s="2275"/>
      <c r="CE217" s="2275"/>
      <c r="CF217" s="2275"/>
      <c r="CG217" s="2275"/>
      <c r="CH217" s="2275"/>
      <c r="CI217" s="2275"/>
      <c r="CJ217" s="2275"/>
      <c r="CK217" s="2275"/>
      <c r="CL217" s="2275"/>
      <c r="CM217" s="2275"/>
      <c r="CN217" s="2275"/>
      <c r="CO217" s="2275"/>
      <c r="CP217" s="2275"/>
      <c r="CQ217" s="2275"/>
      <c r="CR217" s="2275"/>
      <c r="CS217" s="2275"/>
      <c r="CT217" s="2275"/>
      <c r="CU217" s="2275"/>
      <c r="CV217" s="2275"/>
      <c r="CW217" s="2275"/>
      <c r="CX217" s="2250"/>
      <c r="CY217" s="2250"/>
      <c r="CZ217" s="2250"/>
      <c r="DA217" s="2250"/>
      <c r="DB217" s="2250"/>
      <c r="DC217" s="2250"/>
      <c r="DD217" s="2250"/>
      <c r="DE217" s="2250"/>
      <c r="DF217" s="2250"/>
      <c r="DG217" s="2250"/>
      <c r="DH217" s="2250"/>
      <c r="DI217" s="2250"/>
      <c r="DJ217" s="2250"/>
      <c r="DK217" s="2250"/>
      <c r="DL217" s="2250"/>
      <c r="DM217" s="2250"/>
      <c r="DN217" s="2250"/>
      <c r="DO217" s="2250"/>
      <c r="DP217" s="2250"/>
      <c r="DQ217" s="2277"/>
      <c r="DR217" s="2277"/>
      <c r="DS217" s="2278"/>
      <c r="DT217" s="2250"/>
      <c r="DU217" s="2250"/>
      <c r="DV217" s="2250"/>
      <c r="DW217" s="2250"/>
      <c r="DX217" s="2275"/>
      <c r="DY217" s="2275"/>
      <c r="DZ217" s="2275"/>
      <c r="EA217" s="2275"/>
      <c r="EB217" s="2275"/>
      <c r="EC217" s="2275"/>
      <c r="ED217" s="2275"/>
      <c r="EE217" s="2250"/>
      <c r="EF217" s="2250"/>
      <c r="EG217" s="2250"/>
      <c r="EH217" s="2250"/>
      <c r="EI217" s="2275"/>
      <c r="EJ217" s="2275"/>
      <c r="EK217" s="2275"/>
      <c r="EL217" s="2275"/>
      <c r="EM217" s="2275"/>
      <c r="EN217" s="2275"/>
      <c r="EO217" s="2275"/>
      <c r="EP217" s="2275"/>
      <c r="EQ217" s="2275"/>
      <c r="ER217" s="2275"/>
      <c r="ES217" s="2275"/>
      <c r="ET217" s="2275"/>
      <c r="EU217" s="2275"/>
      <c r="EV217" s="2275"/>
      <c r="EW217" s="2275"/>
      <c r="EX217" s="2275"/>
      <c r="EY217" s="2275"/>
      <c r="EZ217" s="2275"/>
      <c r="FA217" s="2275"/>
      <c r="FB217" s="2275"/>
      <c r="FC217" s="2275"/>
      <c r="FD217" s="2275"/>
      <c r="FE217" s="2275"/>
      <c r="FF217" s="2275"/>
      <c r="FG217" s="2275"/>
      <c r="FH217" s="2275"/>
      <c r="FI217" s="2275"/>
      <c r="FJ217" s="2275"/>
      <c r="FK217" s="2275"/>
      <c r="FL217" s="2275"/>
      <c r="FM217" s="2250"/>
      <c r="FN217" s="2250"/>
      <c r="FO217" s="2250"/>
      <c r="FP217" s="2250"/>
      <c r="FQ217" s="2250"/>
      <c r="FR217" s="2250"/>
      <c r="FS217" s="2250"/>
      <c r="FT217" s="2250"/>
      <c r="FU217" s="2250"/>
      <c r="FV217" s="2250"/>
      <c r="FW217" s="2250"/>
      <c r="FX217" s="2250"/>
      <c r="FY217" s="2250"/>
      <c r="FZ217" s="2250"/>
      <c r="GA217" s="2250"/>
      <c r="GB217" s="2250"/>
      <c r="GC217" s="2276"/>
      <c r="GD217" s="2276"/>
      <c r="GE217" s="2250"/>
      <c r="GF217" s="2275"/>
      <c r="GG217" s="2275"/>
      <c r="GH217" s="2275"/>
      <c r="GI217" s="2275"/>
      <c r="GJ217" s="2275"/>
      <c r="GK217" s="2275"/>
      <c r="GL217" s="2275"/>
      <c r="GM217" s="2250"/>
      <c r="GN217" s="2250"/>
      <c r="GO217" s="2250"/>
      <c r="GP217" s="2250"/>
      <c r="GQ217" s="2275"/>
      <c r="GR217" s="2275"/>
      <c r="GS217" s="2275"/>
      <c r="GT217" s="2275"/>
      <c r="GU217" s="2275"/>
      <c r="GV217" s="2275"/>
      <c r="GW217" s="2275"/>
      <c r="GX217" s="2275"/>
      <c r="GY217" s="2275"/>
      <c r="GZ217" s="2275"/>
      <c r="HA217" s="2275"/>
      <c r="HB217" s="2275"/>
      <c r="HC217" s="2275"/>
      <c r="HD217" s="2275"/>
      <c r="HE217" s="2275"/>
      <c r="HF217" s="2275"/>
      <c r="HG217" s="2275"/>
      <c r="HH217" s="2275"/>
      <c r="HI217" s="2275"/>
      <c r="HJ217" s="2275"/>
      <c r="HK217" s="2275"/>
      <c r="HL217" s="2275"/>
      <c r="HM217" s="2275"/>
      <c r="HN217" s="2275"/>
      <c r="HO217" s="2275"/>
      <c r="HP217" s="2275"/>
      <c r="HQ217" s="2275"/>
      <c r="HR217" s="2275"/>
      <c r="HS217" s="2275"/>
      <c r="HT217" s="2275"/>
      <c r="HU217" s="2250"/>
      <c r="HV217" s="2250"/>
      <c r="HW217" s="2250"/>
      <c r="HX217" s="2250"/>
      <c r="HY217" s="2250"/>
      <c r="HZ217" s="2250"/>
      <c r="IA217" s="2250"/>
      <c r="IB217" s="2250"/>
      <c r="IC217" s="2250"/>
      <c r="ID217" s="2250"/>
      <c r="IE217" s="2250"/>
      <c r="IF217" s="2250"/>
      <c r="IG217" s="2250"/>
      <c r="IH217" s="2250"/>
      <c r="II217" s="2250"/>
      <c r="IJ217" s="2250"/>
      <c r="IK217" s="2250"/>
      <c r="IL217" s="2250"/>
    </row>
    <row r="218" spans="1:249" ht="21.95" customHeight="1">
      <c r="A218" s="2275"/>
      <c r="B218" s="2275"/>
      <c r="C218" s="2275"/>
      <c r="D218" s="2275"/>
      <c r="E218" s="2275"/>
      <c r="F218" s="2275"/>
      <c r="G218" s="2275"/>
      <c r="H218" s="2250"/>
      <c r="I218" s="2250"/>
      <c r="J218" s="2250"/>
      <c r="K218" s="2250"/>
      <c r="L218" s="2275"/>
      <c r="M218" s="2275"/>
      <c r="N218" s="2275"/>
      <c r="O218" s="2275"/>
      <c r="P218" s="2275"/>
      <c r="Q218" s="2275"/>
      <c r="R218" s="2275"/>
      <c r="S218" s="2275"/>
      <c r="T218" s="2275"/>
      <c r="U218" s="2275"/>
      <c r="V218" s="2275"/>
      <c r="W218" s="2275"/>
      <c r="X218" s="2275"/>
      <c r="Y218" s="2275"/>
      <c r="Z218" s="2275"/>
      <c r="AA218" s="2275"/>
      <c r="AB218" s="2275"/>
      <c r="AC218" s="2275"/>
      <c r="AD218" s="2275"/>
      <c r="AE218" s="2275"/>
      <c r="AF218" s="2275"/>
      <c r="AG218" s="2275"/>
      <c r="AH218" s="2275"/>
      <c r="AI218" s="2275"/>
      <c r="AJ218" s="2275"/>
      <c r="AK218" s="2275"/>
      <c r="AL218" s="2275"/>
      <c r="AM218" s="2275"/>
      <c r="AN218" s="2275"/>
      <c r="AO218" s="2275"/>
      <c r="AP218" s="2250"/>
      <c r="AQ218" s="2250"/>
      <c r="AR218" s="2250"/>
      <c r="AS218" s="2250"/>
      <c r="AT218" s="2250"/>
      <c r="AU218" s="2250"/>
      <c r="AV218" s="2250"/>
      <c r="AW218" s="2250"/>
      <c r="AX218" s="2250"/>
      <c r="AY218" s="2250"/>
      <c r="AZ218" s="2250"/>
      <c r="BA218" s="2250"/>
      <c r="BB218" s="2250"/>
      <c r="BC218" s="2250"/>
      <c r="BD218" s="2250"/>
      <c r="BE218" s="2250"/>
      <c r="BF218" s="2276"/>
      <c r="BG218" s="2276"/>
      <c r="BH218" s="2250"/>
      <c r="BI218" s="2275"/>
      <c r="BJ218" s="2275"/>
      <c r="BK218" s="2275"/>
      <c r="BL218" s="2275"/>
      <c r="BM218" s="2275"/>
      <c r="BN218" s="2275"/>
      <c r="BO218" s="2275"/>
      <c r="BP218" s="2250"/>
      <c r="BQ218" s="2250"/>
      <c r="BR218" s="2250"/>
      <c r="BS218" s="2250"/>
      <c r="BT218" s="2275"/>
      <c r="BU218" s="2275"/>
      <c r="BV218" s="2275"/>
      <c r="BW218" s="2275"/>
      <c r="BX218" s="2275"/>
      <c r="BY218" s="2275"/>
      <c r="BZ218" s="2275"/>
      <c r="CA218" s="2275"/>
      <c r="CB218" s="2275"/>
      <c r="CC218" s="2275"/>
      <c r="CD218" s="2275"/>
      <c r="CE218" s="2275"/>
      <c r="CF218" s="2275"/>
      <c r="CG218" s="2275"/>
      <c r="CH218" s="2275"/>
      <c r="CI218" s="2275"/>
      <c r="CJ218" s="2275"/>
      <c r="CK218" s="2275"/>
      <c r="CL218" s="2275"/>
      <c r="CM218" s="2275"/>
      <c r="CN218" s="2275"/>
      <c r="CO218" s="2275"/>
      <c r="CP218" s="2275"/>
      <c r="CQ218" s="2275"/>
      <c r="CR218" s="2275"/>
      <c r="CS218" s="2275"/>
      <c r="CT218" s="2275"/>
      <c r="CU218" s="2275"/>
      <c r="CV218" s="2275"/>
      <c r="CW218" s="2275"/>
      <c r="CX218" s="2250"/>
      <c r="CY218" s="2250"/>
      <c r="CZ218" s="2250"/>
      <c r="DA218" s="2250"/>
      <c r="DB218" s="2250"/>
      <c r="DC218" s="2250"/>
      <c r="DD218" s="2250"/>
      <c r="DE218" s="2250"/>
      <c r="DF218" s="2250"/>
      <c r="DG218" s="2250"/>
      <c r="DH218" s="2250"/>
      <c r="DI218" s="2250"/>
      <c r="DJ218" s="2250"/>
      <c r="DK218" s="2250"/>
      <c r="DL218" s="2250"/>
      <c r="DM218" s="2250"/>
      <c r="DN218" s="2250"/>
      <c r="DO218" s="2250"/>
      <c r="DP218" s="2250"/>
      <c r="DQ218" s="2277"/>
      <c r="DR218" s="2277"/>
      <c r="DS218" s="2278"/>
      <c r="DT218" s="2250"/>
      <c r="DU218" s="2250"/>
      <c r="DV218" s="2250"/>
      <c r="DW218" s="2250"/>
      <c r="DX218" s="2275"/>
      <c r="DY218" s="2275"/>
      <c r="DZ218" s="2275"/>
      <c r="EA218" s="2275"/>
      <c r="EB218" s="2275"/>
      <c r="EC218" s="2275"/>
      <c r="ED218" s="2275"/>
      <c r="EE218" s="2250"/>
      <c r="EF218" s="2250"/>
      <c r="EG218" s="2250"/>
      <c r="EH218" s="2250"/>
      <c r="EI218" s="2275"/>
      <c r="EJ218" s="2275"/>
      <c r="EK218" s="2275"/>
      <c r="EL218" s="2275"/>
      <c r="EM218" s="2275"/>
      <c r="EN218" s="2275"/>
      <c r="EO218" s="2275"/>
      <c r="EP218" s="2275"/>
      <c r="EQ218" s="2275"/>
      <c r="ER218" s="2275"/>
      <c r="ES218" s="2275"/>
      <c r="ET218" s="2275"/>
      <c r="EU218" s="2275"/>
      <c r="EV218" s="2275"/>
      <c r="EW218" s="2275"/>
      <c r="EX218" s="2275"/>
      <c r="EY218" s="2275"/>
      <c r="EZ218" s="2275"/>
      <c r="FA218" s="2275"/>
      <c r="FB218" s="2275"/>
      <c r="FC218" s="2275"/>
      <c r="FD218" s="2275"/>
      <c r="FE218" s="2275"/>
      <c r="FF218" s="2275"/>
      <c r="FG218" s="2275"/>
      <c r="FH218" s="2275"/>
      <c r="FI218" s="2275"/>
      <c r="FJ218" s="2275"/>
      <c r="FK218" s="2275"/>
      <c r="FL218" s="2275"/>
      <c r="FM218" s="2250"/>
      <c r="FN218" s="2250"/>
      <c r="FO218" s="2250"/>
      <c r="FP218" s="2250"/>
      <c r="FQ218" s="2250"/>
      <c r="FR218" s="2250"/>
      <c r="FS218" s="2250"/>
      <c r="FT218" s="2250"/>
      <c r="FU218" s="2250"/>
      <c r="FV218" s="2250"/>
      <c r="FW218" s="2250"/>
      <c r="FX218" s="2250"/>
      <c r="FY218" s="2250"/>
      <c r="FZ218" s="2250"/>
      <c r="GA218" s="2250"/>
      <c r="GB218" s="2250"/>
      <c r="GC218" s="2276"/>
      <c r="GD218" s="2276"/>
      <c r="GE218" s="2250"/>
      <c r="GF218" s="2275"/>
      <c r="GG218" s="2275"/>
      <c r="GH218" s="2275"/>
      <c r="GI218" s="2275"/>
      <c r="GJ218" s="2275"/>
      <c r="GK218" s="2275"/>
      <c r="GL218" s="2275"/>
      <c r="GM218" s="2250"/>
      <c r="GN218" s="2250"/>
      <c r="GO218" s="2250"/>
      <c r="GP218" s="2250"/>
      <c r="GQ218" s="2275"/>
      <c r="GR218" s="2275"/>
      <c r="GS218" s="2275"/>
      <c r="GT218" s="2275"/>
      <c r="GU218" s="2275"/>
      <c r="GV218" s="2275"/>
      <c r="GW218" s="2275"/>
      <c r="GX218" s="2275"/>
      <c r="GY218" s="2275"/>
      <c r="GZ218" s="2275"/>
      <c r="HA218" s="2275"/>
      <c r="HB218" s="2275"/>
      <c r="HC218" s="2275"/>
      <c r="HD218" s="2275"/>
      <c r="HE218" s="2275"/>
      <c r="HF218" s="2275"/>
      <c r="HG218" s="2275"/>
      <c r="HH218" s="2275"/>
      <c r="HI218" s="2275"/>
      <c r="HJ218" s="2275"/>
      <c r="HK218" s="2275"/>
      <c r="HL218" s="2275"/>
      <c r="HM218" s="2275"/>
      <c r="HN218" s="2275"/>
      <c r="HO218" s="2275"/>
      <c r="HP218" s="2275"/>
      <c r="HQ218" s="2275"/>
      <c r="HR218" s="2275"/>
      <c r="HS218" s="2275"/>
      <c r="HT218" s="2275"/>
      <c r="HU218" s="2250"/>
      <c r="HV218" s="2250"/>
      <c r="HW218" s="2250"/>
      <c r="HX218" s="2250"/>
      <c r="HY218" s="2250"/>
      <c r="HZ218" s="2250"/>
      <c r="IA218" s="2250"/>
      <c r="IB218" s="2250"/>
      <c r="IC218" s="2250"/>
      <c r="ID218" s="2250"/>
      <c r="IE218" s="2250"/>
      <c r="IF218" s="2250"/>
      <c r="IG218" s="2250"/>
      <c r="IH218" s="2250"/>
      <c r="II218" s="2250"/>
      <c r="IJ218" s="2250"/>
      <c r="IK218" s="2250"/>
      <c r="IL218" s="2250"/>
    </row>
    <row r="219" spans="1:249" ht="21.95" customHeight="1">
      <c r="A219" s="2275"/>
      <c r="B219" s="2275"/>
      <c r="C219" s="2275"/>
      <c r="D219" s="2275"/>
      <c r="E219" s="2275"/>
      <c r="F219" s="2275"/>
      <c r="G219" s="2275"/>
      <c r="H219" s="2275"/>
      <c r="I219" s="2275"/>
      <c r="J219" s="2275"/>
      <c r="K219" s="2275"/>
      <c r="L219" s="2275"/>
      <c r="M219" s="2275"/>
      <c r="N219" s="2275"/>
      <c r="O219" s="2275"/>
      <c r="P219" s="2275"/>
      <c r="Q219" s="2275"/>
      <c r="R219" s="2275"/>
      <c r="S219" s="2275"/>
      <c r="T219" s="2275"/>
      <c r="U219" s="2275"/>
      <c r="V219" s="2275"/>
      <c r="W219" s="2275"/>
      <c r="X219" s="2275"/>
      <c r="Y219" s="2275"/>
      <c r="Z219" s="2275"/>
      <c r="AA219" s="2275"/>
      <c r="AB219" s="2275"/>
      <c r="AC219" s="2275"/>
      <c r="AD219" s="2275"/>
      <c r="AE219" s="2275"/>
      <c r="AF219" s="2275"/>
      <c r="AG219" s="2275"/>
      <c r="AH219" s="2275"/>
      <c r="AI219" s="2275"/>
      <c r="AJ219" s="2275"/>
      <c r="AK219" s="2275"/>
      <c r="AL219" s="2275"/>
      <c r="AM219" s="2275"/>
      <c r="AN219" s="2275"/>
      <c r="AO219" s="2275"/>
      <c r="AP219" s="2250"/>
      <c r="AQ219" s="2250"/>
      <c r="AR219" s="2250"/>
      <c r="AS219" s="2250"/>
      <c r="AT219" s="2250"/>
      <c r="AU219" s="2250"/>
      <c r="AV219" s="2250"/>
      <c r="AW219" s="2250"/>
      <c r="AX219" s="2250"/>
      <c r="AY219" s="2250"/>
      <c r="AZ219" s="2250"/>
      <c r="BA219" s="2250"/>
      <c r="BB219" s="2250"/>
      <c r="BC219" s="2250"/>
      <c r="BD219" s="2250"/>
      <c r="BE219" s="2250"/>
      <c r="BF219" s="2276"/>
      <c r="BG219" s="2276"/>
      <c r="BH219" s="2250"/>
      <c r="BI219" s="2275"/>
      <c r="BJ219" s="2275"/>
      <c r="BK219" s="2275"/>
      <c r="BL219" s="2275"/>
      <c r="BM219" s="2275"/>
      <c r="BN219" s="2275"/>
      <c r="BO219" s="2275"/>
      <c r="BP219" s="2275"/>
      <c r="BQ219" s="2275"/>
      <c r="BR219" s="2275"/>
      <c r="BS219" s="2275"/>
      <c r="BT219" s="2275"/>
      <c r="BU219" s="2275"/>
      <c r="BV219" s="2275"/>
      <c r="BW219" s="2275"/>
      <c r="BX219" s="2275"/>
      <c r="BY219" s="2275"/>
      <c r="BZ219" s="2275"/>
      <c r="CA219" s="2275"/>
      <c r="CB219" s="2275"/>
      <c r="CC219" s="2275"/>
      <c r="CD219" s="2275"/>
      <c r="CE219" s="2275"/>
      <c r="CF219" s="2275"/>
      <c r="CG219" s="2275"/>
      <c r="CH219" s="2275"/>
      <c r="CI219" s="2275"/>
      <c r="CJ219" s="2275"/>
      <c r="CK219" s="2275"/>
      <c r="CL219" s="2275"/>
      <c r="CM219" s="2275"/>
      <c r="CN219" s="2275"/>
      <c r="CO219" s="2275"/>
      <c r="CP219" s="2275"/>
      <c r="CQ219" s="2275"/>
      <c r="CR219" s="2275"/>
      <c r="CS219" s="2275"/>
      <c r="CT219" s="2275"/>
      <c r="CU219" s="2275"/>
      <c r="CV219" s="2275"/>
      <c r="CW219" s="2275"/>
      <c r="CX219" s="2250"/>
      <c r="CY219" s="2250"/>
      <c r="CZ219" s="2250"/>
      <c r="DA219" s="2250"/>
      <c r="DB219" s="2250"/>
      <c r="DC219" s="2250"/>
      <c r="DD219" s="2250"/>
      <c r="DE219" s="2250"/>
      <c r="DF219" s="2250"/>
      <c r="DG219" s="2250"/>
      <c r="DH219" s="2250"/>
      <c r="DI219" s="2250"/>
      <c r="DJ219" s="2250"/>
      <c r="DK219" s="2250"/>
      <c r="DL219" s="2250"/>
      <c r="DM219" s="2250"/>
      <c r="DN219" s="2250"/>
      <c r="DO219" s="2250"/>
      <c r="DP219" s="2250"/>
      <c r="DQ219" s="2277"/>
      <c r="DR219" s="2277"/>
      <c r="DS219" s="2278"/>
      <c r="DT219" s="2250"/>
      <c r="DU219" s="2250"/>
      <c r="DV219" s="2250"/>
      <c r="DW219" s="2250"/>
      <c r="DX219" s="2275"/>
      <c r="DY219" s="2275"/>
      <c r="DZ219" s="2275"/>
      <c r="EA219" s="2275"/>
      <c r="EB219" s="2275"/>
      <c r="EC219" s="2275"/>
      <c r="ED219" s="2275"/>
      <c r="EE219" s="2250"/>
      <c r="EF219" s="2250"/>
      <c r="EG219" s="2250"/>
      <c r="EH219" s="2250"/>
      <c r="EI219" s="2275"/>
      <c r="EJ219" s="2275"/>
      <c r="EK219" s="2275"/>
      <c r="EL219" s="2275"/>
      <c r="EM219" s="2275"/>
      <c r="EN219" s="2275"/>
      <c r="EO219" s="2275"/>
      <c r="EP219" s="2275"/>
      <c r="EQ219" s="2275"/>
      <c r="ER219" s="2275"/>
      <c r="ES219" s="2275"/>
      <c r="ET219" s="2275"/>
      <c r="EU219" s="2275"/>
      <c r="EV219" s="2275"/>
      <c r="EW219" s="2275"/>
      <c r="EX219" s="2275"/>
      <c r="EY219" s="2275"/>
      <c r="EZ219" s="2275"/>
      <c r="FA219" s="2275"/>
      <c r="FB219" s="2275"/>
      <c r="FC219" s="2275"/>
      <c r="FD219" s="2275"/>
      <c r="FE219" s="2275"/>
      <c r="FF219" s="2275"/>
      <c r="FG219" s="2275"/>
      <c r="FH219" s="2275"/>
      <c r="FI219" s="2275"/>
      <c r="FJ219" s="2275"/>
      <c r="FK219" s="2275"/>
      <c r="FL219" s="2275"/>
      <c r="FM219" s="2250"/>
      <c r="FN219" s="2250"/>
      <c r="FO219" s="2250"/>
      <c r="FP219" s="2250"/>
      <c r="FQ219" s="2250"/>
      <c r="FR219" s="2250"/>
      <c r="FS219" s="2250"/>
      <c r="FT219" s="2250"/>
      <c r="FU219" s="2250"/>
      <c r="FV219" s="2250"/>
      <c r="FW219" s="2250"/>
      <c r="FX219" s="2250"/>
      <c r="FY219" s="2250"/>
      <c r="FZ219" s="2250"/>
      <c r="GA219" s="2250"/>
      <c r="GB219" s="2250"/>
      <c r="GC219" s="2276"/>
      <c r="GD219" s="2276"/>
      <c r="GE219" s="2250"/>
      <c r="GF219" s="2275"/>
      <c r="GG219" s="2275"/>
      <c r="GH219" s="2275"/>
      <c r="GI219" s="2275"/>
      <c r="GJ219" s="2275"/>
      <c r="GK219" s="2275"/>
      <c r="GL219" s="2275"/>
      <c r="GM219" s="2250"/>
      <c r="GN219" s="2250"/>
      <c r="GO219" s="2250"/>
      <c r="GP219" s="2250"/>
      <c r="GQ219" s="2275"/>
      <c r="GR219" s="2275"/>
      <c r="GS219" s="2275"/>
      <c r="GT219" s="2275"/>
      <c r="GU219" s="2275"/>
      <c r="GV219" s="2275"/>
      <c r="GW219" s="2275"/>
      <c r="GX219" s="2275"/>
      <c r="GY219" s="2275"/>
      <c r="GZ219" s="2275"/>
      <c r="HA219" s="2275"/>
      <c r="HB219" s="2275"/>
      <c r="HC219" s="2275"/>
      <c r="HD219" s="2275"/>
      <c r="HE219" s="2275"/>
      <c r="HF219" s="2275"/>
      <c r="HG219" s="2275"/>
      <c r="HH219" s="2275"/>
      <c r="HI219" s="2275"/>
      <c r="HJ219" s="2275"/>
      <c r="HK219" s="2275"/>
      <c r="HL219" s="2275"/>
      <c r="HM219" s="2275"/>
      <c r="HN219" s="2275"/>
      <c r="HO219" s="2275"/>
      <c r="HP219" s="2275"/>
      <c r="HQ219" s="2275"/>
      <c r="HR219" s="2275"/>
      <c r="HS219" s="2275"/>
      <c r="HT219" s="2275"/>
      <c r="HU219" s="2250"/>
      <c r="HV219" s="2250"/>
      <c r="HW219" s="2250"/>
      <c r="HX219" s="2250"/>
      <c r="HY219" s="2250"/>
      <c r="HZ219" s="2250"/>
      <c r="IA219" s="2250"/>
      <c r="IB219" s="2250"/>
      <c r="IC219" s="2250"/>
      <c r="ID219" s="2250"/>
      <c r="IE219" s="2250"/>
      <c r="IF219" s="2250"/>
      <c r="IG219" s="2250"/>
      <c r="IH219" s="2250"/>
      <c r="II219" s="2250"/>
      <c r="IJ219" s="2250"/>
      <c r="IK219" s="2250"/>
      <c r="IL219" s="2250"/>
    </row>
    <row r="220" spans="1:249" ht="21.95" customHeight="1">
      <c r="A220" s="2275"/>
      <c r="B220" s="2275"/>
      <c r="C220" s="2275"/>
      <c r="D220" s="2275"/>
      <c r="E220" s="2275"/>
      <c r="F220" s="2275"/>
      <c r="G220" s="2275"/>
      <c r="H220" s="2275"/>
      <c r="I220" s="2275"/>
      <c r="J220" s="2275"/>
      <c r="K220" s="2275"/>
      <c r="L220" s="2275"/>
      <c r="M220" s="2275"/>
      <c r="N220" s="2275"/>
      <c r="O220" s="2275"/>
      <c r="P220" s="2275"/>
      <c r="Q220" s="2275"/>
      <c r="R220" s="2275"/>
      <c r="S220" s="2275"/>
      <c r="T220" s="2275"/>
      <c r="U220" s="2275"/>
      <c r="V220" s="2275"/>
      <c r="W220" s="2275"/>
      <c r="X220" s="2275"/>
      <c r="Y220" s="2275"/>
      <c r="Z220" s="2275"/>
      <c r="AA220" s="2275"/>
      <c r="AB220" s="2275"/>
      <c r="AC220" s="2275"/>
      <c r="AD220" s="2275" t="s">
        <v>2236</v>
      </c>
      <c r="AE220" s="2275"/>
      <c r="AF220" s="2275" t="s">
        <v>655</v>
      </c>
      <c r="AG220" s="2276">
        <f>AF139</f>
        <v>190.4</v>
      </c>
      <c r="AH220" s="2275"/>
      <c r="AI220" s="2275"/>
      <c r="AJ220" s="2275"/>
      <c r="AK220" s="2275"/>
      <c r="AL220" s="2275"/>
      <c r="AM220" s="2275"/>
      <c r="AN220" s="2275"/>
      <c r="AO220" s="2275"/>
      <c r="AP220" s="2250"/>
      <c r="AQ220" s="2250"/>
      <c r="AR220" s="2250"/>
      <c r="AS220" s="2250"/>
      <c r="AT220" s="2250"/>
      <c r="AU220" s="2250"/>
      <c r="AV220" s="2250"/>
      <c r="AW220" s="2250"/>
      <c r="AX220" s="2250"/>
      <c r="AY220" s="2250"/>
      <c r="AZ220" s="2250"/>
      <c r="BA220" s="2250"/>
      <c r="BB220" s="2250"/>
      <c r="BC220" s="2250"/>
      <c r="BD220" s="2250"/>
      <c r="BE220" s="2250"/>
      <c r="BF220" s="2276"/>
      <c r="BG220" s="2276"/>
      <c r="BH220" s="2250"/>
      <c r="BI220" s="2275"/>
      <c r="BJ220" s="2275"/>
      <c r="BK220" s="2275"/>
      <c r="BL220" s="2275"/>
      <c r="BM220" s="2275"/>
      <c r="BN220" s="2275"/>
      <c r="BO220" s="2275"/>
      <c r="BP220" s="2275"/>
      <c r="BQ220" s="2275"/>
      <c r="BR220" s="2275"/>
      <c r="BS220" s="2275"/>
      <c r="BT220" s="2275"/>
      <c r="BU220" s="2275"/>
      <c r="BV220" s="2275"/>
      <c r="BW220" s="2275"/>
      <c r="BX220" s="2275"/>
      <c r="BY220" s="2275"/>
      <c r="BZ220" s="2275"/>
      <c r="CA220" s="2275"/>
      <c r="CB220" s="2275"/>
      <c r="CC220" s="2275"/>
      <c r="CD220" s="2275"/>
      <c r="CE220" s="2275"/>
      <c r="CF220" s="2275"/>
      <c r="CG220" s="2275"/>
      <c r="CH220" s="2275"/>
      <c r="CI220" s="2275"/>
      <c r="CJ220" s="2275"/>
      <c r="CK220" s="2275"/>
      <c r="CL220" s="2275" t="s">
        <v>2236</v>
      </c>
      <c r="CM220" s="2275"/>
      <c r="CN220" s="2275" t="s">
        <v>655</v>
      </c>
      <c r="CO220" s="2276">
        <f>CN139</f>
        <v>206.43</v>
      </c>
      <c r="CP220" s="2275"/>
      <c r="CQ220" s="2275"/>
      <c r="CR220" s="2275"/>
      <c r="CS220" s="2275"/>
      <c r="CT220" s="2275"/>
      <c r="CU220" s="2275"/>
      <c r="CV220" s="2275"/>
      <c r="CW220" s="2275"/>
      <c r="CX220" s="2250"/>
      <c r="CY220" s="2250"/>
      <c r="CZ220" s="2250"/>
      <c r="DA220" s="2250"/>
      <c r="DB220" s="2250"/>
      <c r="DC220" s="2250"/>
      <c r="DD220" s="2250"/>
      <c r="DE220" s="2250"/>
      <c r="DF220" s="2250"/>
      <c r="DG220" s="2250"/>
      <c r="DH220" s="2250"/>
      <c r="DI220" s="2250"/>
      <c r="DJ220" s="2250"/>
      <c r="DK220" s="2250"/>
      <c r="DL220" s="2250"/>
      <c r="DM220" s="2250"/>
      <c r="DN220" s="2250"/>
      <c r="DO220" s="2250"/>
      <c r="DP220" s="2250"/>
      <c r="DQ220" s="2277"/>
      <c r="DR220" s="2277"/>
      <c r="DS220" s="2278"/>
      <c r="DT220" s="2250"/>
      <c r="DU220" s="2250"/>
      <c r="DV220" s="2250"/>
      <c r="DW220" s="2250"/>
      <c r="DX220" s="2275"/>
      <c r="DY220" s="2275"/>
      <c r="DZ220" s="2275"/>
      <c r="EA220" s="2275"/>
      <c r="EB220" s="2275"/>
      <c r="EC220" s="2275"/>
      <c r="ED220" s="2275"/>
      <c r="EE220" s="2275"/>
      <c r="EF220" s="2275"/>
      <c r="EG220" s="2275"/>
      <c r="EH220" s="2275"/>
      <c r="EI220" s="2275"/>
      <c r="EJ220" s="2275"/>
      <c r="EK220" s="2275"/>
      <c r="EL220" s="2275"/>
      <c r="EM220" s="2275"/>
      <c r="EN220" s="2275"/>
      <c r="EO220" s="2275"/>
      <c r="EP220" s="2275"/>
      <c r="EQ220" s="2275"/>
      <c r="ER220" s="2275"/>
      <c r="ES220" s="2275"/>
      <c r="ET220" s="2275"/>
      <c r="EU220" s="2275"/>
      <c r="EV220" s="2275"/>
      <c r="EW220" s="2275"/>
      <c r="EX220" s="2275"/>
      <c r="EY220" s="2275"/>
      <c r="EZ220" s="2275"/>
      <c r="FA220" s="2275"/>
      <c r="FB220" s="2275"/>
      <c r="FC220" s="2275"/>
      <c r="FD220" s="2275"/>
      <c r="FE220" s="2275"/>
      <c r="FF220" s="2275"/>
      <c r="FG220" s="2275"/>
      <c r="FH220" s="2275"/>
      <c r="FI220" s="2275"/>
      <c r="FJ220" s="2275"/>
      <c r="FK220" s="2275"/>
      <c r="FL220" s="2275"/>
      <c r="FM220" s="2250"/>
      <c r="FN220" s="2250"/>
      <c r="FO220" s="2250"/>
      <c r="FP220" s="2250"/>
      <c r="FQ220" s="2250"/>
      <c r="FR220" s="2250"/>
      <c r="FS220" s="2250"/>
      <c r="FT220" s="2250"/>
      <c r="FU220" s="2250"/>
      <c r="FV220" s="2250"/>
      <c r="FW220" s="2250"/>
      <c r="FX220" s="2250"/>
      <c r="FY220" s="2250"/>
      <c r="FZ220" s="2250"/>
      <c r="GA220" s="2250"/>
      <c r="GB220" s="2250"/>
      <c r="GC220" s="2276"/>
      <c r="GD220" s="2276"/>
      <c r="GE220" s="2250"/>
      <c r="GF220" s="2275"/>
      <c r="GG220" s="2275"/>
      <c r="GH220" s="2275"/>
      <c r="GI220" s="2275"/>
      <c r="GJ220" s="2275"/>
      <c r="GK220" s="2275"/>
      <c r="GL220" s="2275"/>
      <c r="GM220" s="2275"/>
      <c r="GN220" s="2275"/>
      <c r="GO220" s="2275"/>
      <c r="GP220" s="2275"/>
      <c r="GQ220" s="2275"/>
      <c r="GR220" s="2275"/>
      <c r="GS220" s="2275"/>
      <c r="GT220" s="2275"/>
      <c r="GU220" s="2275"/>
      <c r="GV220" s="2275"/>
      <c r="GW220" s="2275"/>
      <c r="GX220" s="2275"/>
      <c r="GY220" s="2275"/>
      <c r="GZ220" s="2275"/>
      <c r="HA220" s="2275"/>
      <c r="HB220" s="2275"/>
      <c r="HC220" s="2275"/>
      <c r="HD220" s="2275"/>
      <c r="HE220" s="2275"/>
      <c r="HF220" s="2275"/>
      <c r="HG220" s="2275"/>
      <c r="HH220" s="2275"/>
      <c r="HI220" s="2275"/>
      <c r="HJ220" s="2275"/>
      <c r="HK220" s="2275"/>
      <c r="HL220" s="2275"/>
      <c r="HM220" s="2275"/>
      <c r="HN220" s="2275"/>
      <c r="HO220" s="2275"/>
      <c r="HP220" s="2275"/>
      <c r="HQ220" s="2275"/>
      <c r="HR220" s="2275"/>
      <c r="HS220" s="2275"/>
      <c r="HT220" s="2275"/>
      <c r="HU220" s="2250"/>
      <c r="HV220" s="2250"/>
      <c r="HW220" s="2250"/>
      <c r="HX220" s="2250"/>
      <c r="HY220" s="2250"/>
      <c r="HZ220" s="2250"/>
      <c r="IA220" s="2250"/>
      <c r="IB220" s="2250"/>
      <c r="IC220" s="2250"/>
      <c r="ID220" s="2250"/>
      <c r="IE220" s="2250"/>
      <c r="IF220" s="2250"/>
      <c r="IG220" s="2250"/>
      <c r="IH220" s="2250"/>
      <c r="II220" s="2250"/>
      <c r="IJ220" s="2250"/>
      <c r="IK220" s="2250"/>
      <c r="IL220" s="2250"/>
    </row>
    <row r="221" spans="1:249" ht="21.95" customHeight="1">
      <c r="A221" s="2275"/>
      <c r="B221" s="2333" t="s">
        <v>731</v>
      </c>
      <c r="C221" s="2333" t="s">
        <v>736</v>
      </c>
      <c r="D221" s="2333">
        <v>223.8</v>
      </c>
      <c r="E221" s="2333">
        <v>206.43</v>
      </c>
      <c r="F221" s="2333">
        <v>190.4</v>
      </c>
      <c r="G221" s="2333">
        <v>177.81</v>
      </c>
      <c r="H221" s="2333">
        <v>165.9</v>
      </c>
      <c r="I221" s="2333">
        <v>162.68</v>
      </c>
      <c r="J221" s="2333">
        <v>151.30000000000001</v>
      </c>
      <c r="K221" s="2333">
        <v>140.1</v>
      </c>
      <c r="L221" s="2333">
        <v>129.80000000000001</v>
      </c>
      <c r="M221" s="2333">
        <v>120.7</v>
      </c>
      <c r="N221" s="2333">
        <v>107.9</v>
      </c>
      <c r="O221" s="2333">
        <v>97.1</v>
      </c>
      <c r="P221" s="2333">
        <v>92.9</v>
      </c>
      <c r="Q221" s="2333">
        <v>88.2</v>
      </c>
      <c r="R221" s="2333">
        <v>83.3</v>
      </c>
      <c r="S221" s="2333">
        <v>78.2</v>
      </c>
      <c r="T221" s="2333">
        <v>73.7</v>
      </c>
      <c r="U221" s="2333">
        <v>68.3</v>
      </c>
      <c r="V221" s="2333">
        <v>63.4</v>
      </c>
      <c r="W221" s="2333">
        <v>58.1</v>
      </c>
      <c r="X221" s="2333">
        <v>53.7</v>
      </c>
      <c r="Y221" s="2333">
        <v>48.8</v>
      </c>
      <c r="Z221" s="2333">
        <v>43.9</v>
      </c>
      <c r="AA221" s="2333">
        <v>38.799999999999997</v>
      </c>
      <c r="AB221" s="2333">
        <v>34.200000000000003</v>
      </c>
      <c r="AC221" s="2333">
        <v>29.3</v>
      </c>
      <c r="AD221" s="2333">
        <v>24.5</v>
      </c>
      <c r="AE221" s="2333" t="s">
        <v>736</v>
      </c>
      <c r="AF221" s="2275" t="s">
        <v>738</v>
      </c>
      <c r="AG221" s="2276">
        <f>+AF138</f>
        <v>19.915970774546171</v>
      </c>
      <c r="AH221" s="2275"/>
      <c r="AI221" s="2275"/>
      <c r="AJ221" s="2275"/>
      <c r="AK221" s="2275"/>
      <c r="AL221" s="2275"/>
      <c r="AM221" s="2275"/>
      <c r="AN221" s="2275"/>
      <c r="AO221" s="2275"/>
      <c r="AP221" s="2250"/>
      <c r="AQ221" s="2250"/>
      <c r="AR221" s="2250"/>
      <c r="AS221" s="2250"/>
      <c r="AT221" s="2250"/>
      <c r="AU221" s="2250"/>
      <c r="AV221" s="2250"/>
      <c r="AW221" s="2250"/>
      <c r="AX221" s="2250"/>
      <c r="AY221" s="2250"/>
      <c r="AZ221" s="2250"/>
      <c r="BA221" s="2250"/>
      <c r="BB221" s="2250"/>
      <c r="BC221" s="2250"/>
      <c r="BD221" s="2250"/>
      <c r="BE221" s="2250"/>
      <c r="BF221" s="2276"/>
      <c r="BG221" s="2276"/>
      <c r="BH221" s="2250"/>
      <c r="BI221" s="2275"/>
      <c r="BJ221" s="2333" t="s">
        <v>731</v>
      </c>
      <c r="BK221" s="2333" t="s">
        <v>736</v>
      </c>
      <c r="BL221" s="2333">
        <v>223.8</v>
      </c>
      <c r="BM221" s="2333">
        <v>206.43</v>
      </c>
      <c r="BN221" s="2333">
        <v>190.4</v>
      </c>
      <c r="BO221" s="2333">
        <v>177.81</v>
      </c>
      <c r="BP221" s="2333">
        <v>165.9</v>
      </c>
      <c r="BQ221" s="2333">
        <v>162.68</v>
      </c>
      <c r="BR221" s="2333">
        <v>151.30000000000001</v>
      </c>
      <c r="BS221" s="2333">
        <v>140.1</v>
      </c>
      <c r="BT221" s="2333">
        <v>129.80000000000001</v>
      </c>
      <c r="BU221" s="2333">
        <v>120.7</v>
      </c>
      <c r="BV221" s="2333">
        <v>107.9</v>
      </c>
      <c r="BW221" s="2333">
        <v>97.1</v>
      </c>
      <c r="BX221" s="2333">
        <v>92.9</v>
      </c>
      <c r="BY221" s="2333">
        <v>88.2</v>
      </c>
      <c r="BZ221" s="2333">
        <v>83.3</v>
      </c>
      <c r="CA221" s="2333">
        <v>78.2</v>
      </c>
      <c r="CB221" s="2333">
        <v>73.7</v>
      </c>
      <c r="CC221" s="2333">
        <v>68.3</v>
      </c>
      <c r="CD221" s="2333">
        <v>63.4</v>
      </c>
      <c r="CE221" s="2333">
        <v>58.1</v>
      </c>
      <c r="CF221" s="2333">
        <v>53.7</v>
      </c>
      <c r="CG221" s="2333">
        <v>48.8</v>
      </c>
      <c r="CH221" s="2333">
        <v>43.9</v>
      </c>
      <c r="CI221" s="2333">
        <v>38.799999999999997</v>
      </c>
      <c r="CJ221" s="2333">
        <v>34.200000000000003</v>
      </c>
      <c r="CK221" s="2333">
        <v>29.3</v>
      </c>
      <c r="CL221" s="2333">
        <v>24.5</v>
      </c>
      <c r="CM221" s="2333" t="s">
        <v>736</v>
      </c>
      <c r="CN221" s="2275" t="s">
        <v>738</v>
      </c>
      <c r="CO221" s="2276">
        <f>+CN138</f>
        <v>19.915970774546171</v>
      </c>
      <c r="CP221" s="2275"/>
      <c r="CQ221" s="2275"/>
      <c r="CR221" s="2275"/>
      <c r="CS221" s="2275"/>
      <c r="CT221" s="2275"/>
      <c r="CU221" s="2275"/>
      <c r="CV221" s="2275"/>
      <c r="CW221" s="2275"/>
      <c r="CX221" s="2250"/>
      <c r="CY221" s="2250"/>
      <c r="CZ221" s="2250"/>
      <c r="DA221" s="2250"/>
      <c r="DB221" s="2250"/>
      <c r="DC221" s="2250"/>
      <c r="DD221" s="2250"/>
      <c r="DE221" s="2250"/>
      <c r="DF221" s="2250"/>
      <c r="DG221" s="2250"/>
      <c r="DH221" s="2250"/>
      <c r="DI221" s="2250"/>
      <c r="DJ221" s="2250"/>
      <c r="DK221" s="2250"/>
      <c r="DL221" s="2250"/>
      <c r="DM221" s="2250"/>
      <c r="DN221" s="2250"/>
      <c r="DO221" s="2250"/>
      <c r="DP221" s="2250"/>
      <c r="DQ221" s="2277"/>
      <c r="DR221" s="2277"/>
      <c r="DS221" s="2278"/>
      <c r="DT221" s="2250"/>
      <c r="DU221" s="2250"/>
      <c r="DV221" s="2250"/>
      <c r="DW221" s="2250"/>
      <c r="DX221" s="2275"/>
      <c r="DY221" s="2275"/>
      <c r="DZ221" s="2275"/>
      <c r="EA221" s="2275"/>
      <c r="EB221" s="2275"/>
      <c r="EC221" s="2275"/>
      <c r="ED221" s="2275"/>
      <c r="EE221" s="2275"/>
      <c r="EF221" s="2275"/>
      <c r="EG221" s="2275"/>
      <c r="EH221" s="2275"/>
      <c r="EI221" s="2275"/>
      <c r="EJ221" s="2275"/>
      <c r="EK221" s="2275"/>
      <c r="EL221" s="2275"/>
      <c r="EM221" s="2275"/>
      <c r="EN221" s="2275"/>
      <c r="EO221" s="2275"/>
      <c r="EP221" s="2275"/>
      <c r="EQ221" s="2275"/>
      <c r="ER221" s="2275"/>
      <c r="ES221" s="2275"/>
      <c r="ET221" s="2275"/>
      <c r="EU221" s="2275"/>
      <c r="EV221" s="2275"/>
      <c r="EW221" s="2275"/>
      <c r="EX221" s="2275"/>
      <c r="EY221" s="2275"/>
      <c r="EZ221" s="2275"/>
      <c r="FA221" s="2275" t="s">
        <v>2236</v>
      </c>
      <c r="FB221" s="2275"/>
      <c r="FC221" s="2275" t="s">
        <v>655</v>
      </c>
      <c r="FD221" s="2276">
        <f>FC140</f>
        <v>120.7</v>
      </c>
      <c r="FE221" s="2275"/>
      <c r="FF221" s="2275"/>
      <c r="FG221" s="2275"/>
      <c r="FH221" s="2275"/>
      <c r="FI221" s="2275"/>
      <c r="FJ221" s="2275"/>
      <c r="FK221" s="2275"/>
      <c r="FL221" s="2275"/>
      <c r="FM221" s="2250"/>
      <c r="FN221" s="2250"/>
      <c r="FO221" s="2250"/>
      <c r="FP221" s="2250"/>
      <c r="FQ221" s="2250"/>
      <c r="FR221" s="2250"/>
      <c r="FS221" s="2250"/>
      <c r="FT221" s="2250"/>
      <c r="FU221" s="2250"/>
      <c r="FV221" s="2250"/>
      <c r="FW221" s="2250"/>
      <c r="FX221" s="2250"/>
      <c r="FY221" s="2250"/>
      <c r="FZ221" s="2250"/>
      <c r="GA221" s="2250"/>
      <c r="GB221" s="2250"/>
      <c r="GC221" s="2276"/>
      <c r="GD221" s="2276"/>
      <c r="GE221" s="2250"/>
      <c r="GF221" s="2275"/>
      <c r="GG221" s="2275"/>
      <c r="GH221" s="2275"/>
      <c r="GI221" s="2275"/>
      <c r="GJ221" s="2275"/>
      <c r="GK221" s="2275"/>
      <c r="GL221" s="2275"/>
      <c r="GM221" s="2275"/>
      <c r="GN221" s="2275"/>
      <c r="GO221" s="2275"/>
      <c r="GP221" s="2275"/>
      <c r="GQ221" s="2275"/>
      <c r="GR221" s="2275"/>
      <c r="GS221" s="2275"/>
      <c r="GT221" s="2275"/>
      <c r="GU221" s="2275"/>
      <c r="GV221" s="2275"/>
      <c r="GW221" s="2275"/>
      <c r="GX221" s="2275"/>
      <c r="GY221" s="2275"/>
      <c r="GZ221" s="2275"/>
      <c r="HA221" s="2275"/>
      <c r="HB221" s="2275"/>
      <c r="HC221" s="2275"/>
      <c r="HD221" s="2275"/>
      <c r="HE221" s="2275"/>
      <c r="HF221" s="2275"/>
      <c r="HG221" s="2275"/>
      <c r="HH221" s="2275"/>
      <c r="HI221" s="2275" t="s">
        <v>2236</v>
      </c>
      <c r="HJ221" s="2275"/>
      <c r="HK221" s="2275" t="s">
        <v>655</v>
      </c>
      <c r="HL221" s="2276">
        <f>HK140</f>
        <v>129.80000000000001</v>
      </c>
      <c r="HM221" s="2275"/>
      <c r="HN221" s="2275"/>
      <c r="HO221" s="2275"/>
      <c r="HP221" s="2275"/>
      <c r="HQ221" s="2275"/>
      <c r="HR221" s="2275"/>
      <c r="HS221" s="2275"/>
      <c r="HT221" s="2275"/>
      <c r="HU221" s="2250"/>
      <c r="HV221" s="2250"/>
      <c r="HW221" s="2250"/>
      <c r="HX221" s="2250"/>
      <c r="HY221" s="2250"/>
      <c r="HZ221" s="2250"/>
      <c r="IA221" s="2250"/>
      <c r="IB221" s="2250"/>
      <c r="IC221" s="2250"/>
      <c r="ID221" s="2250"/>
      <c r="IE221" s="2250"/>
      <c r="IF221" s="2250"/>
      <c r="IG221" s="2250"/>
      <c r="IH221" s="2250"/>
      <c r="II221" s="2250"/>
      <c r="IJ221" s="2250"/>
      <c r="IK221" s="2250"/>
      <c r="IL221" s="2250"/>
    </row>
    <row r="222" spans="1:249" ht="21.95" customHeight="1">
      <c r="A222" s="2275"/>
      <c r="B222" s="2333"/>
      <c r="C222" s="2333"/>
      <c r="D222" s="2344">
        <v>0</v>
      </c>
      <c r="E222" s="2344">
        <v>0</v>
      </c>
      <c r="F222" s="2344">
        <v>0</v>
      </c>
      <c r="G222" s="2344">
        <v>0</v>
      </c>
      <c r="H222" s="2344">
        <v>0</v>
      </c>
      <c r="I222" s="2344">
        <v>0</v>
      </c>
      <c r="J222" s="2344">
        <v>0</v>
      </c>
      <c r="K222" s="2344">
        <v>0</v>
      </c>
      <c r="L222" s="2344">
        <v>0</v>
      </c>
      <c r="M222" s="2344">
        <v>0</v>
      </c>
      <c r="N222" s="2344">
        <v>0</v>
      </c>
      <c r="O222" s="2344">
        <v>0</v>
      </c>
      <c r="P222" s="2344">
        <v>0</v>
      </c>
      <c r="Q222" s="2344">
        <v>0</v>
      </c>
      <c r="R222" s="2344">
        <v>0</v>
      </c>
      <c r="S222" s="2344">
        <v>0</v>
      </c>
      <c r="T222" s="2344">
        <v>0</v>
      </c>
      <c r="U222" s="2344">
        <v>0</v>
      </c>
      <c r="V222" s="2344">
        <v>0</v>
      </c>
      <c r="W222" s="2344">
        <v>0</v>
      </c>
      <c r="X222" s="2344">
        <v>0</v>
      </c>
      <c r="Y222" s="2344">
        <v>0</v>
      </c>
      <c r="Z222" s="2344">
        <v>0</v>
      </c>
      <c r="AA222" s="2344">
        <v>0</v>
      </c>
      <c r="AB222" s="2344">
        <v>0</v>
      </c>
      <c r="AC222" s="2344">
        <v>0</v>
      </c>
      <c r="AD222" s="2344">
        <v>0</v>
      </c>
      <c r="AE222" s="2333"/>
      <c r="AF222" s="2275" t="s">
        <v>682</v>
      </c>
      <c r="AG222" s="2276">
        <f>HLOOKUP(AG220,D221:AD233,1,0)</f>
        <v>190.4</v>
      </c>
      <c r="AH222" s="2275" t="s">
        <v>706</v>
      </c>
      <c r="AI222" s="2275" t="s">
        <v>682</v>
      </c>
      <c r="AJ222" s="2275"/>
      <c r="AK222" s="2275"/>
      <c r="AL222" s="2275"/>
      <c r="AM222" s="2275"/>
      <c r="AN222" s="2275"/>
      <c r="AO222" s="2275"/>
      <c r="AP222" s="2250"/>
      <c r="AQ222" s="2250"/>
      <c r="AR222" s="2250"/>
      <c r="AS222" s="2250"/>
      <c r="AT222" s="2250"/>
      <c r="AU222" s="2250"/>
      <c r="AV222" s="2250"/>
      <c r="AW222" s="2250"/>
      <c r="AX222" s="2250"/>
      <c r="AY222" s="2250"/>
      <c r="AZ222" s="2250"/>
      <c r="BA222" s="2250"/>
      <c r="BB222" s="2250"/>
      <c r="BC222" s="2250"/>
      <c r="BD222" s="2250"/>
      <c r="BE222" s="2250"/>
      <c r="BF222" s="2276"/>
      <c r="BG222" s="2276"/>
      <c r="BH222" s="2250"/>
      <c r="BI222" s="2275"/>
      <c r="BJ222" s="2333"/>
      <c r="BK222" s="2333"/>
      <c r="BL222" s="2344">
        <v>0</v>
      </c>
      <c r="BM222" s="2344">
        <v>0</v>
      </c>
      <c r="BN222" s="2344">
        <v>0</v>
      </c>
      <c r="BO222" s="2344">
        <v>0</v>
      </c>
      <c r="BP222" s="2344">
        <v>0</v>
      </c>
      <c r="BQ222" s="2344">
        <v>0</v>
      </c>
      <c r="BR222" s="2344">
        <v>0</v>
      </c>
      <c r="BS222" s="2344">
        <v>0</v>
      </c>
      <c r="BT222" s="2344">
        <v>0</v>
      </c>
      <c r="BU222" s="2344">
        <v>0</v>
      </c>
      <c r="BV222" s="2344">
        <v>0</v>
      </c>
      <c r="BW222" s="2344">
        <v>0</v>
      </c>
      <c r="BX222" s="2344">
        <v>0</v>
      </c>
      <c r="BY222" s="2344">
        <v>0</v>
      </c>
      <c r="BZ222" s="2344">
        <v>0</v>
      </c>
      <c r="CA222" s="2344">
        <v>0</v>
      </c>
      <c r="CB222" s="2344">
        <v>0</v>
      </c>
      <c r="CC222" s="2344">
        <v>0</v>
      </c>
      <c r="CD222" s="2344">
        <v>0</v>
      </c>
      <c r="CE222" s="2344">
        <v>0</v>
      </c>
      <c r="CF222" s="2344">
        <v>0</v>
      </c>
      <c r="CG222" s="2344">
        <v>0</v>
      </c>
      <c r="CH222" s="2344">
        <v>0</v>
      </c>
      <c r="CI222" s="2344">
        <v>0</v>
      </c>
      <c r="CJ222" s="2344">
        <v>0</v>
      </c>
      <c r="CK222" s="2344">
        <v>0</v>
      </c>
      <c r="CL222" s="2344">
        <v>0</v>
      </c>
      <c r="CM222" s="2333"/>
      <c r="CN222" s="2275" t="s">
        <v>682</v>
      </c>
      <c r="CO222" s="2276">
        <f>HLOOKUP(CO220,BL221:CL233,1,0)</f>
        <v>206.43</v>
      </c>
      <c r="CP222" s="2275" t="s">
        <v>706</v>
      </c>
      <c r="CQ222" s="2275" t="s">
        <v>682</v>
      </c>
      <c r="CR222" s="2275"/>
      <c r="CS222" s="2275"/>
      <c r="CT222" s="2275"/>
      <c r="CU222" s="2275"/>
      <c r="CV222" s="2275"/>
      <c r="CW222" s="2275"/>
      <c r="CX222" s="2250"/>
      <c r="CY222" s="2250"/>
      <c r="CZ222" s="2250"/>
      <c r="DA222" s="2250"/>
      <c r="DB222" s="2250"/>
      <c r="DC222" s="2250"/>
      <c r="DD222" s="2250"/>
      <c r="DE222" s="2250"/>
      <c r="DF222" s="2250"/>
      <c r="DG222" s="2250"/>
      <c r="DH222" s="2250"/>
      <c r="DI222" s="2250"/>
      <c r="DJ222" s="2250"/>
      <c r="DK222" s="2250"/>
      <c r="DL222" s="2250"/>
      <c r="DM222" s="2250"/>
      <c r="DN222" s="2250"/>
      <c r="DO222" s="2250"/>
      <c r="DP222" s="2250"/>
      <c r="DQ222" s="2277"/>
      <c r="DR222" s="2277"/>
      <c r="DS222" s="2278"/>
      <c r="DT222" s="2250"/>
      <c r="DU222" s="2250"/>
      <c r="DV222" s="2250"/>
      <c r="DW222" s="2250"/>
      <c r="DX222" s="2275"/>
      <c r="DY222" s="2333" t="s">
        <v>731</v>
      </c>
      <c r="DZ222" s="2333" t="s">
        <v>736</v>
      </c>
      <c r="EA222" s="2333">
        <v>223.8</v>
      </c>
      <c r="EB222" s="2333">
        <v>206.43</v>
      </c>
      <c r="EC222" s="2333">
        <v>190.4</v>
      </c>
      <c r="ED222" s="2333">
        <v>177.81</v>
      </c>
      <c r="EE222" s="2333">
        <v>165.9</v>
      </c>
      <c r="EF222" s="2333">
        <v>162.68</v>
      </c>
      <c r="EG222" s="2333">
        <v>151.30000000000001</v>
      </c>
      <c r="EH222" s="2333">
        <v>140.1</v>
      </c>
      <c r="EI222" s="2333">
        <v>129.80000000000001</v>
      </c>
      <c r="EJ222" s="2333">
        <v>120.7</v>
      </c>
      <c r="EK222" s="2333">
        <v>107.9</v>
      </c>
      <c r="EL222" s="2333">
        <v>97.1</v>
      </c>
      <c r="EM222" s="2333">
        <v>92.9</v>
      </c>
      <c r="EN222" s="2333">
        <v>88.2</v>
      </c>
      <c r="EO222" s="2333">
        <v>83.3</v>
      </c>
      <c r="EP222" s="2333">
        <v>78.2</v>
      </c>
      <c r="EQ222" s="2333">
        <v>73.7</v>
      </c>
      <c r="ER222" s="2333">
        <v>68.3</v>
      </c>
      <c r="ES222" s="2333">
        <v>63.4</v>
      </c>
      <c r="ET222" s="2333">
        <v>58.1</v>
      </c>
      <c r="EU222" s="2333">
        <v>53.7</v>
      </c>
      <c r="EV222" s="2333">
        <v>48.8</v>
      </c>
      <c r="EW222" s="2333">
        <v>43.9</v>
      </c>
      <c r="EX222" s="2333">
        <v>38.799999999999997</v>
      </c>
      <c r="EY222" s="2333">
        <v>34.200000000000003</v>
      </c>
      <c r="EZ222" s="2333">
        <v>29.3</v>
      </c>
      <c r="FA222" s="2333">
        <v>24.5</v>
      </c>
      <c r="FB222" s="2333" t="s">
        <v>736</v>
      </c>
      <c r="FC222" s="2275" t="s">
        <v>738</v>
      </c>
      <c r="FD222" s="2276">
        <f>+FC139</f>
        <v>19.968225884687833</v>
      </c>
      <c r="FE222" s="2275"/>
      <c r="FF222" s="2275"/>
      <c r="FG222" s="2275"/>
      <c r="FH222" s="2275"/>
      <c r="FI222" s="2275"/>
      <c r="FJ222" s="2275"/>
      <c r="FK222" s="2275"/>
      <c r="FL222" s="2275"/>
      <c r="FM222" s="2250"/>
      <c r="FN222" s="2250"/>
      <c r="FO222" s="2250"/>
      <c r="FP222" s="2250"/>
      <c r="FQ222" s="2250"/>
      <c r="FR222" s="2250"/>
      <c r="FS222" s="2250"/>
      <c r="FT222" s="2250"/>
      <c r="FU222" s="2250"/>
      <c r="FV222" s="2250"/>
      <c r="FW222" s="2250"/>
      <c r="FX222" s="2250"/>
      <c r="FY222" s="2250"/>
      <c r="FZ222" s="2250"/>
      <c r="GA222" s="2250"/>
      <c r="GB222" s="2250"/>
      <c r="GC222" s="2276"/>
      <c r="GD222" s="2276"/>
      <c r="GE222" s="2250"/>
      <c r="GF222" s="2275"/>
      <c r="GG222" s="2333" t="s">
        <v>731</v>
      </c>
      <c r="GH222" s="2333" t="s">
        <v>736</v>
      </c>
      <c r="GI222" s="2333">
        <v>223.8</v>
      </c>
      <c r="GJ222" s="2333">
        <v>206.43</v>
      </c>
      <c r="GK222" s="2333">
        <v>190.4</v>
      </c>
      <c r="GL222" s="2333">
        <v>177.81</v>
      </c>
      <c r="GM222" s="2333">
        <v>165.9</v>
      </c>
      <c r="GN222" s="2333">
        <v>162.68</v>
      </c>
      <c r="GO222" s="2333">
        <v>151.30000000000001</v>
      </c>
      <c r="GP222" s="2333">
        <v>140.1</v>
      </c>
      <c r="GQ222" s="2333">
        <v>129.80000000000001</v>
      </c>
      <c r="GR222" s="2333">
        <v>120.7</v>
      </c>
      <c r="GS222" s="2333">
        <v>107.9</v>
      </c>
      <c r="GT222" s="2333">
        <v>97.1</v>
      </c>
      <c r="GU222" s="2333">
        <v>92.9</v>
      </c>
      <c r="GV222" s="2333">
        <v>88.2</v>
      </c>
      <c r="GW222" s="2333">
        <v>83.3</v>
      </c>
      <c r="GX222" s="2333">
        <v>78.2</v>
      </c>
      <c r="GY222" s="2333">
        <v>73.7</v>
      </c>
      <c r="GZ222" s="2333">
        <v>68.3</v>
      </c>
      <c r="HA222" s="2333">
        <v>63.4</v>
      </c>
      <c r="HB222" s="2333">
        <v>58.1</v>
      </c>
      <c r="HC222" s="2333">
        <v>53.7</v>
      </c>
      <c r="HD222" s="2333">
        <v>48.8</v>
      </c>
      <c r="HE222" s="2333">
        <v>43.9</v>
      </c>
      <c r="HF222" s="2333">
        <v>38.799999999999997</v>
      </c>
      <c r="HG222" s="2333">
        <v>34.200000000000003</v>
      </c>
      <c r="HH222" s="2333">
        <v>29.3</v>
      </c>
      <c r="HI222" s="2333">
        <v>24.5</v>
      </c>
      <c r="HJ222" s="2333" t="s">
        <v>736</v>
      </c>
      <c r="HK222" s="2275" t="s">
        <v>738</v>
      </c>
      <c r="HL222" s="2276">
        <f>+HK139</f>
        <v>19.968225884687833</v>
      </c>
      <c r="HM222" s="2275"/>
      <c r="HN222" s="2275"/>
      <c r="HO222" s="2275"/>
      <c r="HP222" s="2275"/>
      <c r="HQ222" s="2275"/>
      <c r="HR222" s="2275"/>
      <c r="HS222" s="2275"/>
      <c r="HT222" s="2275"/>
      <c r="HU222" s="2250"/>
      <c r="HV222" s="2250"/>
      <c r="HW222" s="2250"/>
      <c r="HX222" s="2250"/>
      <c r="HY222" s="2250"/>
      <c r="HZ222" s="2250"/>
      <c r="IA222" s="2250"/>
      <c r="IB222" s="2250"/>
      <c r="IC222" s="2250"/>
      <c r="ID222" s="2250"/>
      <c r="IE222" s="2250"/>
      <c r="IF222" s="2250"/>
      <c r="IG222" s="2250"/>
      <c r="IH222" s="2250"/>
      <c r="II222" s="2250"/>
      <c r="IJ222" s="2250"/>
      <c r="IK222" s="2250"/>
      <c r="IL222" s="2250"/>
    </row>
    <row r="223" spans="1:249" ht="21.95" customHeight="1">
      <c r="A223" s="2275"/>
      <c r="B223" s="4670" t="s">
        <v>732</v>
      </c>
      <c r="C223" s="2345">
        <v>400</v>
      </c>
      <c r="D223" s="2346">
        <v>3.56</v>
      </c>
      <c r="E223" s="2346">
        <v>3.86</v>
      </c>
      <c r="F223" s="2346">
        <v>4.16</v>
      </c>
      <c r="G223" s="2346">
        <v>4.46</v>
      </c>
      <c r="H223" s="2346">
        <v>4.6500000000000004</v>
      </c>
      <c r="I223" s="2346">
        <v>4.75</v>
      </c>
      <c r="J223" s="2346">
        <v>5.15</v>
      </c>
      <c r="K223" s="2346">
        <v>5.45</v>
      </c>
      <c r="L223" s="2346">
        <v>5.84</v>
      </c>
      <c r="M223" s="2346">
        <v>6.14</v>
      </c>
      <c r="N223" s="2346">
        <v>6.83</v>
      </c>
      <c r="O223" s="2346">
        <v>7.43</v>
      </c>
      <c r="P223" s="2346">
        <v>7.62</v>
      </c>
      <c r="Q223" s="2346">
        <v>8.02</v>
      </c>
      <c r="R223" s="2346">
        <v>8.42</v>
      </c>
      <c r="S223" s="2346">
        <v>8.7100000000000009</v>
      </c>
      <c r="T223" s="2346">
        <v>9.31</v>
      </c>
      <c r="U223" s="2346">
        <v>10.1</v>
      </c>
      <c r="V223" s="2346">
        <v>10.79</v>
      </c>
      <c r="W223" s="2346">
        <v>11.58</v>
      </c>
      <c r="X223" s="2346">
        <v>12.38</v>
      </c>
      <c r="Y223" s="2346">
        <v>13.66</v>
      </c>
      <c r="Z223" s="2346">
        <v>14.95</v>
      </c>
      <c r="AA223" s="2346">
        <v>16.53</v>
      </c>
      <c r="AB223" s="2346">
        <v>18.61</v>
      </c>
      <c r="AC223" s="2346">
        <v>19.7</v>
      </c>
      <c r="AD223" s="2346">
        <v>23.17</v>
      </c>
      <c r="AE223" s="2347">
        <v>400</v>
      </c>
      <c r="AF223" s="2275"/>
      <c r="AG223" s="4671"/>
      <c r="AH223" s="4671"/>
      <c r="AI223" s="4671"/>
      <c r="AJ223" s="2275"/>
      <c r="AK223" s="2275"/>
      <c r="AL223" s="2275"/>
      <c r="AM223" s="2275"/>
      <c r="AN223" s="2275"/>
      <c r="AO223" s="2275"/>
      <c r="AP223" s="2250"/>
      <c r="AQ223" s="2250"/>
      <c r="AR223" s="2250"/>
      <c r="AS223" s="2250"/>
      <c r="AT223" s="2250"/>
      <c r="AU223" s="2250"/>
      <c r="AV223" s="2250"/>
      <c r="AW223" s="2250"/>
      <c r="AX223" s="2250"/>
      <c r="AY223" s="2250"/>
      <c r="AZ223" s="2250"/>
      <c r="BA223" s="2250"/>
      <c r="BB223" s="2250"/>
      <c r="BC223" s="2250"/>
      <c r="BD223" s="2250"/>
      <c r="BE223" s="2250"/>
      <c r="BF223" s="2276"/>
      <c r="BG223" s="2276"/>
      <c r="BH223" s="2250"/>
      <c r="BI223" s="2275"/>
      <c r="BJ223" s="4670" t="s">
        <v>732</v>
      </c>
      <c r="BK223" s="2345">
        <v>400</v>
      </c>
      <c r="BL223" s="2346">
        <v>3.56</v>
      </c>
      <c r="BM223" s="2346">
        <v>3.86</v>
      </c>
      <c r="BN223" s="2346">
        <v>4.16</v>
      </c>
      <c r="BO223" s="2346">
        <v>4.46</v>
      </c>
      <c r="BP223" s="2346">
        <v>4.6500000000000004</v>
      </c>
      <c r="BQ223" s="2346">
        <v>4.75</v>
      </c>
      <c r="BR223" s="2346">
        <v>5.15</v>
      </c>
      <c r="BS223" s="2346">
        <v>5.45</v>
      </c>
      <c r="BT223" s="2346">
        <v>5.84</v>
      </c>
      <c r="BU223" s="2346">
        <v>6.14</v>
      </c>
      <c r="BV223" s="2346">
        <v>6.83</v>
      </c>
      <c r="BW223" s="2346">
        <v>7.43</v>
      </c>
      <c r="BX223" s="2346">
        <v>7.62</v>
      </c>
      <c r="BY223" s="2346">
        <v>8.02</v>
      </c>
      <c r="BZ223" s="2346">
        <v>8.42</v>
      </c>
      <c r="CA223" s="2346">
        <v>8.7100000000000009</v>
      </c>
      <c r="CB223" s="2346">
        <v>9.31</v>
      </c>
      <c r="CC223" s="2346">
        <v>10.1</v>
      </c>
      <c r="CD223" s="2346">
        <v>10.79</v>
      </c>
      <c r="CE223" s="2346">
        <v>11.58</v>
      </c>
      <c r="CF223" s="2346">
        <v>12.38</v>
      </c>
      <c r="CG223" s="2346">
        <v>13.66</v>
      </c>
      <c r="CH223" s="2346">
        <v>14.95</v>
      </c>
      <c r="CI223" s="2346">
        <v>16.53</v>
      </c>
      <c r="CJ223" s="2346">
        <v>18.61</v>
      </c>
      <c r="CK223" s="2346">
        <v>19.7</v>
      </c>
      <c r="CL223" s="2346">
        <v>23.17</v>
      </c>
      <c r="CM223" s="2347">
        <v>400</v>
      </c>
      <c r="CN223" s="2275"/>
      <c r="CO223" s="4671"/>
      <c r="CP223" s="4671"/>
      <c r="CQ223" s="4671"/>
      <c r="CR223" s="2275"/>
      <c r="CS223" s="2275"/>
      <c r="CT223" s="2275"/>
      <c r="CU223" s="2275"/>
      <c r="CV223" s="2275"/>
      <c r="CW223" s="2275"/>
      <c r="CX223" s="2250"/>
      <c r="CY223" s="2250"/>
      <c r="CZ223" s="2250"/>
      <c r="DA223" s="2250"/>
      <c r="DB223" s="2250"/>
      <c r="DC223" s="2250"/>
      <c r="DD223" s="2250"/>
      <c r="DE223" s="2250"/>
      <c r="DF223" s="2250"/>
      <c r="DG223" s="2250"/>
      <c r="DH223" s="2250"/>
      <c r="DI223" s="2250"/>
      <c r="DJ223" s="2250"/>
      <c r="DK223" s="2250"/>
      <c r="DL223" s="2250"/>
      <c r="DM223" s="2250"/>
      <c r="DN223" s="2250"/>
      <c r="DO223" s="2250"/>
      <c r="DP223" s="2250"/>
      <c r="DQ223" s="2277"/>
      <c r="DR223" s="2277"/>
      <c r="DS223" s="2278"/>
      <c r="DT223" s="2250"/>
      <c r="DU223" s="2250"/>
      <c r="DV223" s="2250"/>
      <c r="DW223" s="2250"/>
      <c r="DX223" s="2275"/>
      <c r="DY223" s="2333"/>
      <c r="DZ223" s="2333"/>
      <c r="EA223" s="2344">
        <v>0</v>
      </c>
      <c r="EB223" s="2344">
        <v>0</v>
      </c>
      <c r="EC223" s="2344">
        <v>0</v>
      </c>
      <c r="ED223" s="2344">
        <v>0</v>
      </c>
      <c r="EE223" s="2344">
        <v>0</v>
      </c>
      <c r="EF223" s="2344">
        <v>0</v>
      </c>
      <c r="EG223" s="2344">
        <v>0</v>
      </c>
      <c r="EH223" s="2344">
        <v>0</v>
      </c>
      <c r="EI223" s="2344">
        <v>0</v>
      </c>
      <c r="EJ223" s="2344">
        <v>0</v>
      </c>
      <c r="EK223" s="2344">
        <v>0</v>
      </c>
      <c r="EL223" s="2344">
        <v>0</v>
      </c>
      <c r="EM223" s="2344">
        <v>0</v>
      </c>
      <c r="EN223" s="2344">
        <v>0</v>
      </c>
      <c r="EO223" s="2344">
        <v>0</v>
      </c>
      <c r="EP223" s="2344">
        <v>0</v>
      </c>
      <c r="EQ223" s="2344">
        <v>0</v>
      </c>
      <c r="ER223" s="2344">
        <v>0</v>
      </c>
      <c r="ES223" s="2344">
        <v>0</v>
      </c>
      <c r="ET223" s="2344">
        <v>0</v>
      </c>
      <c r="EU223" s="2344">
        <v>0</v>
      </c>
      <c r="EV223" s="2344">
        <v>0</v>
      </c>
      <c r="EW223" s="2344">
        <v>0</v>
      </c>
      <c r="EX223" s="2344">
        <v>0</v>
      </c>
      <c r="EY223" s="2344">
        <v>0</v>
      </c>
      <c r="EZ223" s="2344">
        <v>0</v>
      </c>
      <c r="FA223" s="2344">
        <v>0</v>
      </c>
      <c r="FB223" s="2333"/>
      <c r="FC223" s="2275" t="s">
        <v>682</v>
      </c>
      <c r="FD223" s="2276">
        <f>HLOOKUP(FD221,EA222:FA234,1,0)</f>
        <v>120.7</v>
      </c>
      <c r="FE223" s="2275" t="s">
        <v>706</v>
      </c>
      <c r="FF223" s="2275" t="s">
        <v>682</v>
      </c>
      <c r="FG223" s="2275"/>
      <c r="FH223" s="2275"/>
      <c r="FI223" s="2275"/>
      <c r="FJ223" s="2275"/>
      <c r="FK223" s="2275"/>
      <c r="FL223" s="2275"/>
      <c r="FM223" s="2250"/>
      <c r="FN223" s="2250"/>
      <c r="FO223" s="2250"/>
      <c r="FP223" s="2250"/>
      <c r="FQ223" s="2250"/>
      <c r="FR223" s="2250"/>
      <c r="FS223" s="2250"/>
      <c r="FT223" s="2250"/>
      <c r="FU223" s="2250"/>
      <c r="FV223" s="2250"/>
      <c r="FW223" s="2250"/>
      <c r="FX223" s="2250"/>
      <c r="FY223" s="2250"/>
      <c r="FZ223" s="2250"/>
      <c r="GA223" s="2250"/>
      <c r="GB223" s="2250"/>
      <c r="GC223" s="2276"/>
      <c r="GD223" s="2276"/>
      <c r="GE223" s="2250"/>
      <c r="GF223" s="2275"/>
      <c r="GG223" s="2333"/>
      <c r="GH223" s="2333"/>
      <c r="GI223" s="2344">
        <v>0</v>
      </c>
      <c r="GJ223" s="2344">
        <v>0</v>
      </c>
      <c r="GK223" s="2344">
        <v>0</v>
      </c>
      <c r="GL223" s="2344">
        <v>0</v>
      </c>
      <c r="GM223" s="2344">
        <v>0</v>
      </c>
      <c r="GN223" s="2344">
        <v>0</v>
      </c>
      <c r="GO223" s="2344">
        <v>0</v>
      </c>
      <c r="GP223" s="2344">
        <v>0</v>
      </c>
      <c r="GQ223" s="2344">
        <v>0</v>
      </c>
      <c r="GR223" s="2344">
        <v>0</v>
      </c>
      <c r="GS223" s="2344">
        <v>0</v>
      </c>
      <c r="GT223" s="2344">
        <v>0</v>
      </c>
      <c r="GU223" s="2344">
        <v>0</v>
      </c>
      <c r="GV223" s="2344">
        <v>0</v>
      </c>
      <c r="GW223" s="2344">
        <v>0</v>
      </c>
      <c r="GX223" s="2344">
        <v>0</v>
      </c>
      <c r="GY223" s="2344">
        <v>0</v>
      </c>
      <c r="GZ223" s="2344">
        <v>0</v>
      </c>
      <c r="HA223" s="2344">
        <v>0</v>
      </c>
      <c r="HB223" s="2344">
        <v>0</v>
      </c>
      <c r="HC223" s="2344">
        <v>0</v>
      </c>
      <c r="HD223" s="2344">
        <v>0</v>
      </c>
      <c r="HE223" s="2344">
        <v>0</v>
      </c>
      <c r="HF223" s="2344">
        <v>0</v>
      </c>
      <c r="HG223" s="2344">
        <v>0</v>
      </c>
      <c r="HH223" s="2344">
        <v>0</v>
      </c>
      <c r="HI223" s="2344">
        <v>0</v>
      </c>
      <c r="HJ223" s="2333"/>
      <c r="HK223" s="2275" t="s">
        <v>682</v>
      </c>
      <c r="HL223" s="2276">
        <f>HLOOKUP(HL221,GI222:HI234,1,0)</f>
        <v>129.80000000000001</v>
      </c>
      <c r="HM223" s="2275" t="s">
        <v>706</v>
      </c>
      <c r="HN223" s="2275" t="s">
        <v>682</v>
      </c>
      <c r="HO223" s="2275"/>
      <c r="HP223" s="2275"/>
      <c r="HQ223" s="2275"/>
      <c r="HR223" s="2275"/>
      <c r="HS223" s="2275"/>
      <c r="HT223" s="2275"/>
      <c r="HU223" s="2250"/>
      <c r="HV223" s="2250"/>
      <c r="HW223" s="2250"/>
      <c r="HX223" s="2250"/>
      <c r="HY223" s="2250"/>
      <c r="HZ223" s="2250"/>
      <c r="IA223" s="2250"/>
      <c r="IB223" s="2250"/>
      <c r="IC223" s="2250"/>
      <c r="ID223" s="2250"/>
      <c r="IE223" s="2250"/>
      <c r="IF223" s="2250"/>
      <c r="IG223" s="2250"/>
      <c r="IH223" s="2250"/>
      <c r="II223" s="2250"/>
      <c r="IJ223" s="2250"/>
      <c r="IK223" s="2250"/>
      <c r="IL223" s="2250"/>
    </row>
    <row r="224" spans="1:249" ht="21.95" customHeight="1">
      <c r="A224" s="2275"/>
      <c r="B224" s="4670"/>
      <c r="C224" s="2345">
        <v>475</v>
      </c>
      <c r="D224" s="2346">
        <v>5.35</v>
      </c>
      <c r="E224" s="2346">
        <v>5.74</v>
      </c>
      <c r="F224" s="2346">
        <v>6.14</v>
      </c>
      <c r="G224" s="2346">
        <v>6.63</v>
      </c>
      <c r="H224" s="2346">
        <v>7.03</v>
      </c>
      <c r="I224" s="2346">
        <v>7.13</v>
      </c>
      <c r="J224" s="2346">
        <v>7.62</v>
      </c>
      <c r="K224" s="2346">
        <v>8.2200000000000006</v>
      </c>
      <c r="L224" s="2346">
        <v>8.7100000000000009</v>
      </c>
      <c r="M224" s="2346">
        <v>9.2100000000000009</v>
      </c>
      <c r="N224" s="2346">
        <v>10.199999999999999</v>
      </c>
      <c r="O224" s="2346">
        <v>10.99</v>
      </c>
      <c r="P224" s="2346">
        <v>11.39</v>
      </c>
      <c r="Q224" s="2346">
        <v>11.98</v>
      </c>
      <c r="R224" s="2346">
        <v>12.38</v>
      </c>
      <c r="S224" s="2346">
        <v>13.17</v>
      </c>
      <c r="T224" s="2346">
        <v>13.96</v>
      </c>
      <c r="U224" s="2346">
        <v>15.15</v>
      </c>
      <c r="V224" s="2346">
        <v>16.14</v>
      </c>
      <c r="W224" s="2346">
        <v>17.13</v>
      </c>
      <c r="X224" s="2346">
        <v>18.420000000000002</v>
      </c>
      <c r="Y224" s="2346">
        <v>20.399999999999999</v>
      </c>
      <c r="Z224" s="2346">
        <v>22.18</v>
      </c>
      <c r="AA224" s="2346">
        <v>24.85</v>
      </c>
      <c r="AB224" s="2346">
        <v>27.72</v>
      </c>
      <c r="AC224" s="2346">
        <v>31.49</v>
      </c>
      <c r="AD224" s="2346">
        <v>37.03</v>
      </c>
      <c r="AE224" s="2347">
        <v>475</v>
      </c>
      <c r="AF224" s="2275"/>
      <c r="AG224" s="2276">
        <f>HLOOKUP(AG220,D221:AD233,2,0)</f>
        <v>0</v>
      </c>
      <c r="AH224" s="2276">
        <f t="shared" ref="AH224:AH234" si="248">+AG225</f>
        <v>4.16</v>
      </c>
      <c r="AI224" s="2275">
        <v>400</v>
      </c>
      <c r="AJ224" s="2275"/>
      <c r="AK224" s="2275"/>
      <c r="AL224" s="2275"/>
      <c r="AM224" s="2275"/>
      <c r="AN224" s="2275"/>
      <c r="AO224" s="2275"/>
      <c r="AP224" s="2250"/>
      <c r="AQ224" s="2250"/>
      <c r="AR224" s="2250"/>
      <c r="AS224" s="2250"/>
      <c r="AT224" s="2250"/>
      <c r="AU224" s="2250"/>
      <c r="AV224" s="2250"/>
      <c r="AW224" s="2250"/>
      <c r="AX224" s="2250"/>
      <c r="AY224" s="2250"/>
      <c r="AZ224" s="2250"/>
      <c r="BA224" s="2250"/>
      <c r="BB224" s="2250"/>
      <c r="BC224" s="2250"/>
      <c r="BD224" s="2250"/>
      <c r="BE224" s="2250"/>
      <c r="BF224" s="2276"/>
      <c r="BG224" s="2276"/>
      <c r="BH224" s="2250"/>
      <c r="BI224" s="2275"/>
      <c r="BJ224" s="4670"/>
      <c r="BK224" s="2345">
        <v>475</v>
      </c>
      <c r="BL224" s="2346">
        <v>5.35</v>
      </c>
      <c r="BM224" s="2346">
        <v>5.74</v>
      </c>
      <c r="BN224" s="2346">
        <v>6.14</v>
      </c>
      <c r="BO224" s="2346">
        <v>6.63</v>
      </c>
      <c r="BP224" s="2346">
        <v>7.03</v>
      </c>
      <c r="BQ224" s="2346">
        <v>7.13</v>
      </c>
      <c r="BR224" s="2346">
        <v>7.62</v>
      </c>
      <c r="BS224" s="2346">
        <v>8.2200000000000006</v>
      </c>
      <c r="BT224" s="2346">
        <v>8.7100000000000009</v>
      </c>
      <c r="BU224" s="2346">
        <v>9.2100000000000009</v>
      </c>
      <c r="BV224" s="2346">
        <v>10.199999999999999</v>
      </c>
      <c r="BW224" s="2346">
        <v>10.99</v>
      </c>
      <c r="BX224" s="2346">
        <v>11.39</v>
      </c>
      <c r="BY224" s="2346">
        <v>11.98</v>
      </c>
      <c r="BZ224" s="2346">
        <v>12.38</v>
      </c>
      <c r="CA224" s="2346">
        <v>13.17</v>
      </c>
      <c r="CB224" s="2346">
        <v>13.96</v>
      </c>
      <c r="CC224" s="2346">
        <v>15.15</v>
      </c>
      <c r="CD224" s="2346">
        <v>16.14</v>
      </c>
      <c r="CE224" s="2346">
        <v>17.13</v>
      </c>
      <c r="CF224" s="2346">
        <v>18.420000000000002</v>
      </c>
      <c r="CG224" s="2346">
        <v>20.399999999999999</v>
      </c>
      <c r="CH224" s="2346">
        <v>22.18</v>
      </c>
      <c r="CI224" s="2346">
        <v>24.85</v>
      </c>
      <c r="CJ224" s="2346">
        <v>27.72</v>
      </c>
      <c r="CK224" s="2346">
        <v>31.49</v>
      </c>
      <c r="CL224" s="2346">
        <v>37.03</v>
      </c>
      <c r="CM224" s="2347">
        <v>475</v>
      </c>
      <c r="CN224" s="2275"/>
      <c r="CO224" s="2276">
        <f>HLOOKUP(CO220,BL221:CL233,2,0)</f>
        <v>0</v>
      </c>
      <c r="CP224" s="2276">
        <f t="shared" ref="CP224:CP234" si="249">+CO225</f>
        <v>3.86</v>
      </c>
      <c r="CQ224" s="2275">
        <v>400</v>
      </c>
      <c r="CR224" s="2275"/>
      <c r="CS224" s="2275"/>
      <c r="CT224" s="2275"/>
      <c r="CU224" s="2275"/>
      <c r="CV224" s="2275"/>
      <c r="CW224" s="2275"/>
      <c r="CX224" s="2250"/>
      <c r="CY224" s="2250"/>
      <c r="CZ224" s="2250"/>
      <c r="DA224" s="2250"/>
      <c r="DB224" s="2250"/>
      <c r="DC224" s="2250"/>
      <c r="DD224" s="2250"/>
      <c r="DE224" s="2250"/>
      <c r="DF224" s="2250"/>
      <c r="DG224" s="2250"/>
      <c r="DH224" s="2250"/>
      <c r="DI224" s="2250"/>
      <c r="DJ224" s="2250"/>
      <c r="DK224" s="2250"/>
      <c r="DL224" s="2250"/>
      <c r="DM224" s="2250"/>
      <c r="DN224" s="2250"/>
      <c r="DO224" s="2250"/>
      <c r="DP224" s="2250"/>
      <c r="DQ224" s="2277"/>
      <c r="DR224" s="2277"/>
      <c r="DS224" s="2278"/>
      <c r="DT224" s="2250"/>
      <c r="DU224" s="2250"/>
      <c r="DV224" s="2250"/>
      <c r="DW224" s="2250"/>
      <c r="DX224" s="2275"/>
      <c r="DY224" s="4670" t="s">
        <v>732</v>
      </c>
      <c r="DZ224" s="2345">
        <v>400</v>
      </c>
      <c r="EA224" s="2346">
        <v>3.56</v>
      </c>
      <c r="EB224" s="2346">
        <v>3.86</v>
      </c>
      <c r="EC224" s="2346">
        <v>4.16</v>
      </c>
      <c r="ED224" s="2346">
        <v>4.46</v>
      </c>
      <c r="EE224" s="2346">
        <v>4.6500000000000004</v>
      </c>
      <c r="EF224" s="2346">
        <v>4.75</v>
      </c>
      <c r="EG224" s="2346">
        <v>5.15</v>
      </c>
      <c r="EH224" s="2346">
        <v>5.45</v>
      </c>
      <c r="EI224" s="2346">
        <v>5.84</v>
      </c>
      <c r="EJ224" s="2346">
        <v>6.14</v>
      </c>
      <c r="EK224" s="2346">
        <v>6.83</v>
      </c>
      <c r="EL224" s="2346">
        <v>7.43</v>
      </c>
      <c r="EM224" s="2346">
        <v>7.62</v>
      </c>
      <c r="EN224" s="2346">
        <v>8.02</v>
      </c>
      <c r="EO224" s="2346">
        <v>8.42</v>
      </c>
      <c r="EP224" s="2346">
        <v>8.7100000000000009</v>
      </c>
      <c r="EQ224" s="2346">
        <v>9.31</v>
      </c>
      <c r="ER224" s="2346">
        <v>10.1</v>
      </c>
      <c r="ES224" s="2346">
        <v>10.79</v>
      </c>
      <c r="ET224" s="2346">
        <v>11.58</v>
      </c>
      <c r="EU224" s="2346">
        <v>12.38</v>
      </c>
      <c r="EV224" s="2346">
        <v>13.66</v>
      </c>
      <c r="EW224" s="2346">
        <v>14.95</v>
      </c>
      <c r="EX224" s="2346">
        <v>16.53</v>
      </c>
      <c r="EY224" s="2346">
        <v>18.61</v>
      </c>
      <c r="EZ224" s="2346">
        <v>19.7</v>
      </c>
      <c r="FA224" s="2346">
        <v>23.17</v>
      </c>
      <c r="FB224" s="2347">
        <v>400</v>
      </c>
      <c r="FC224" s="2275"/>
      <c r="FD224" s="4671"/>
      <c r="FE224" s="4671"/>
      <c r="FF224" s="4671"/>
      <c r="FG224" s="2275"/>
      <c r="FH224" s="2275"/>
      <c r="FI224" s="2275"/>
      <c r="FJ224" s="2275"/>
      <c r="FK224" s="2275"/>
      <c r="FL224" s="2275"/>
      <c r="FM224" s="2250"/>
      <c r="FN224" s="2250"/>
      <c r="FO224" s="2250"/>
      <c r="FP224" s="2250"/>
      <c r="FQ224" s="2250"/>
      <c r="FR224" s="2250"/>
      <c r="FS224" s="2250"/>
      <c r="FT224" s="2250"/>
      <c r="FU224" s="2250"/>
      <c r="FV224" s="2250"/>
      <c r="FW224" s="2250"/>
      <c r="FX224" s="2250"/>
      <c r="FY224" s="2250"/>
      <c r="FZ224" s="2250"/>
      <c r="GA224" s="2250"/>
      <c r="GB224" s="2250"/>
      <c r="GC224" s="2276"/>
      <c r="GD224" s="2276"/>
      <c r="GE224" s="2250"/>
      <c r="GF224" s="2275"/>
      <c r="GG224" s="4670" t="s">
        <v>732</v>
      </c>
      <c r="GH224" s="2345">
        <v>400</v>
      </c>
      <c r="GI224" s="2346">
        <v>3.56</v>
      </c>
      <c r="GJ224" s="2346">
        <v>3.86</v>
      </c>
      <c r="GK224" s="2346">
        <v>4.16</v>
      </c>
      <c r="GL224" s="2346">
        <v>4.46</v>
      </c>
      <c r="GM224" s="2346">
        <v>4.6500000000000004</v>
      </c>
      <c r="GN224" s="2346">
        <v>4.75</v>
      </c>
      <c r="GO224" s="2346">
        <v>5.15</v>
      </c>
      <c r="GP224" s="2346">
        <v>5.45</v>
      </c>
      <c r="GQ224" s="2346">
        <v>5.84</v>
      </c>
      <c r="GR224" s="2346">
        <v>6.14</v>
      </c>
      <c r="GS224" s="2346">
        <v>6.83</v>
      </c>
      <c r="GT224" s="2346">
        <v>7.43</v>
      </c>
      <c r="GU224" s="2346">
        <v>7.62</v>
      </c>
      <c r="GV224" s="2346">
        <v>8.02</v>
      </c>
      <c r="GW224" s="2346">
        <v>8.42</v>
      </c>
      <c r="GX224" s="2346">
        <v>8.7100000000000009</v>
      </c>
      <c r="GY224" s="2346">
        <v>9.31</v>
      </c>
      <c r="GZ224" s="2346">
        <v>10.1</v>
      </c>
      <c r="HA224" s="2346">
        <v>10.79</v>
      </c>
      <c r="HB224" s="2346">
        <v>11.58</v>
      </c>
      <c r="HC224" s="2346">
        <v>12.38</v>
      </c>
      <c r="HD224" s="2346">
        <v>13.66</v>
      </c>
      <c r="HE224" s="2346">
        <v>14.95</v>
      </c>
      <c r="HF224" s="2346">
        <v>16.53</v>
      </c>
      <c r="HG224" s="2346">
        <v>18.61</v>
      </c>
      <c r="HH224" s="2346">
        <v>19.7</v>
      </c>
      <c r="HI224" s="2346">
        <v>23.17</v>
      </c>
      <c r="HJ224" s="2347">
        <v>400</v>
      </c>
      <c r="HK224" s="2275"/>
      <c r="HL224" s="4671"/>
      <c r="HM224" s="4671"/>
      <c r="HN224" s="4671"/>
      <c r="HO224" s="2275"/>
      <c r="HP224" s="2275"/>
      <c r="HQ224" s="2275"/>
      <c r="HR224" s="2275"/>
      <c r="HS224" s="2275"/>
      <c r="HT224" s="2275"/>
      <c r="HU224" s="2250"/>
      <c r="HV224" s="2250"/>
      <c r="HW224" s="2250"/>
      <c r="HX224" s="2250"/>
      <c r="HY224" s="2250"/>
      <c r="HZ224" s="2250"/>
      <c r="IA224" s="2250"/>
      <c r="IB224" s="2250"/>
      <c r="IC224" s="2250"/>
      <c r="ID224" s="2250"/>
      <c r="IE224" s="2250"/>
      <c r="IF224" s="2250"/>
      <c r="IG224" s="2250"/>
      <c r="IH224" s="2250"/>
      <c r="II224" s="2250"/>
      <c r="IJ224" s="2250"/>
      <c r="IK224" s="2250"/>
      <c r="IL224" s="2250"/>
    </row>
    <row r="225" spans="1:246" ht="21.95" customHeight="1">
      <c r="A225" s="2275"/>
      <c r="B225" s="4670"/>
      <c r="C225" s="2345">
        <v>550</v>
      </c>
      <c r="D225" s="2346">
        <v>10.4</v>
      </c>
      <c r="E225" s="2346">
        <v>11.19</v>
      </c>
      <c r="F225" s="2346">
        <v>12.08</v>
      </c>
      <c r="G225" s="2346">
        <v>12.97</v>
      </c>
      <c r="H225" s="2346">
        <v>13.76</v>
      </c>
      <c r="I225" s="2346">
        <v>13.96</v>
      </c>
      <c r="J225" s="2346">
        <v>14.95</v>
      </c>
      <c r="K225" s="2346">
        <v>15.94</v>
      </c>
      <c r="L225" s="2346">
        <v>16.93</v>
      </c>
      <c r="M225" s="2346">
        <v>18.02</v>
      </c>
      <c r="N225" s="2346">
        <v>19.8</v>
      </c>
      <c r="O225" s="2346">
        <v>21.09</v>
      </c>
      <c r="P225" s="2346">
        <v>22.28</v>
      </c>
      <c r="Q225" s="2346">
        <v>23.37</v>
      </c>
      <c r="R225" s="2346">
        <v>24.06</v>
      </c>
      <c r="S225" s="2346">
        <v>25.64</v>
      </c>
      <c r="T225" s="2346">
        <v>27.23</v>
      </c>
      <c r="U225" s="2346">
        <v>29.5</v>
      </c>
      <c r="V225" s="2346">
        <v>31.58</v>
      </c>
      <c r="W225" s="2346">
        <v>34.06</v>
      </c>
      <c r="X225" s="2346">
        <v>36.340000000000003</v>
      </c>
      <c r="Y225" s="2346">
        <v>39.799999999999997</v>
      </c>
      <c r="Z225" s="2346">
        <v>43.27</v>
      </c>
      <c r="AA225" s="2346">
        <v>48.12</v>
      </c>
      <c r="AB225" s="2346">
        <v>53.56</v>
      </c>
      <c r="AC225" s="2346">
        <v>59.7</v>
      </c>
      <c r="AD225" s="2346">
        <v>65.84</v>
      </c>
      <c r="AE225" s="2347">
        <v>550</v>
      </c>
      <c r="AF225" s="2275"/>
      <c r="AG225" s="2276">
        <f>HLOOKUP(AG220,D221:AD233,3,0)</f>
        <v>4.16</v>
      </c>
      <c r="AH225" s="2276">
        <f t="shared" si="248"/>
        <v>6.14</v>
      </c>
      <c r="AI225" s="2275">
        <v>475</v>
      </c>
      <c r="AJ225" s="2275"/>
      <c r="AK225" s="2275"/>
      <c r="AL225" s="2275"/>
      <c r="AM225" s="2275"/>
      <c r="AN225" s="2275"/>
      <c r="AO225" s="2275"/>
      <c r="AP225" s="2250"/>
      <c r="AQ225" s="2250"/>
      <c r="AR225" s="2250"/>
      <c r="AS225" s="2250"/>
      <c r="AT225" s="2250"/>
      <c r="AU225" s="2250"/>
      <c r="AV225" s="2250"/>
      <c r="AW225" s="2250"/>
      <c r="AX225" s="2250"/>
      <c r="AY225" s="2250"/>
      <c r="AZ225" s="2250"/>
      <c r="BA225" s="2250"/>
      <c r="BB225" s="2250"/>
      <c r="BC225" s="2250"/>
      <c r="BD225" s="2250"/>
      <c r="BE225" s="2250"/>
      <c r="BF225" s="2276"/>
      <c r="BG225" s="2276"/>
      <c r="BH225" s="2250"/>
      <c r="BI225" s="2275"/>
      <c r="BJ225" s="4670"/>
      <c r="BK225" s="2345">
        <v>550</v>
      </c>
      <c r="BL225" s="2346">
        <v>10.4</v>
      </c>
      <c r="BM225" s="2346">
        <v>11.19</v>
      </c>
      <c r="BN225" s="2346">
        <v>12.08</v>
      </c>
      <c r="BO225" s="2346">
        <v>12.97</v>
      </c>
      <c r="BP225" s="2346">
        <v>13.76</v>
      </c>
      <c r="BQ225" s="2346">
        <v>13.96</v>
      </c>
      <c r="BR225" s="2346">
        <v>14.95</v>
      </c>
      <c r="BS225" s="2346">
        <v>15.94</v>
      </c>
      <c r="BT225" s="2346">
        <v>16.93</v>
      </c>
      <c r="BU225" s="2346">
        <v>18.02</v>
      </c>
      <c r="BV225" s="2346">
        <v>19.8</v>
      </c>
      <c r="BW225" s="2346">
        <v>21.09</v>
      </c>
      <c r="BX225" s="2346">
        <v>22.28</v>
      </c>
      <c r="BY225" s="2346">
        <v>23.37</v>
      </c>
      <c r="BZ225" s="2346">
        <v>24.06</v>
      </c>
      <c r="CA225" s="2346">
        <v>25.64</v>
      </c>
      <c r="CB225" s="2346">
        <v>27.23</v>
      </c>
      <c r="CC225" s="2346">
        <v>29.5</v>
      </c>
      <c r="CD225" s="2346">
        <v>31.58</v>
      </c>
      <c r="CE225" s="2346">
        <v>34.06</v>
      </c>
      <c r="CF225" s="2346">
        <v>36.340000000000003</v>
      </c>
      <c r="CG225" s="2346">
        <v>39.799999999999997</v>
      </c>
      <c r="CH225" s="2346">
        <v>43.27</v>
      </c>
      <c r="CI225" s="2346">
        <v>48.12</v>
      </c>
      <c r="CJ225" s="2346">
        <v>53.56</v>
      </c>
      <c r="CK225" s="2346">
        <v>59.7</v>
      </c>
      <c r="CL225" s="2346">
        <v>65.84</v>
      </c>
      <c r="CM225" s="2347">
        <v>550</v>
      </c>
      <c r="CN225" s="2275"/>
      <c r="CO225" s="2276">
        <f>HLOOKUP(CO220,BL221:CL233,3,0)</f>
        <v>3.86</v>
      </c>
      <c r="CP225" s="2276">
        <f t="shared" si="249"/>
        <v>5.74</v>
      </c>
      <c r="CQ225" s="2275">
        <v>475</v>
      </c>
      <c r="CR225" s="2275"/>
      <c r="CS225" s="2275"/>
      <c r="CT225" s="2275"/>
      <c r="CU225" s="2275"/>
      <c r="CV225" s="2275"/>
      <c r="CW225" s="2275"/>
      <c r="CX225" s="2250"/>
      <c r="CY225" s="2250"/>
      <c r="CZ225" s="2250"/>
      <c r="DA225" s="2250"/>
      <c r="DB225" s="2250"/>
      <c r="DC225" s="2250"/>
      <c r="DD225" s="2250"/>
      <c r="DE225" s="2250"/>
      <c r="DF225" s="2250"/>
      <c r="DG225" s="2250"/>
      <c r="DH225" s="2250"/>
      <c r="DI225" s="2250"/>
      <c r="DJ225" s="2250"/>
      <c r="DK225" s="2250"/>
      <c r="DL225" s="2250"/>
      <c r="DM225" s="2250"/>
      <c r="DN225" s="2250"/>
      <c r="DO225" s="2250"/>
      <c r="DP225" s="2250"/>
      <c r="DQ225" s="2277"/>
      <c r="DR225" s="2277"/>
      <c r="DS225" s="2278"/>
      <c r="DT225" s="2250"/>
      <c r="DU225" s="2250"/>
      <c r="DV225" s="2250"/>
      <c r="DW225" s="2250"/>
      <c r="DX225" s="2275"/>
      <c r="DY225" s="4670"/>
      <c r="DZ225" s="2345">
        <v>475</v>
      </c>
      <c r="EA225" s="2346">
        <v>5.35</v>
      </c>
      <c r="EB225" s="2346">
        <v>5.74</v>
      </c>
      <c r="EC225" s="2346">
        <v>6.14</v>
      </c>
      <c r="ED225" s="2346">
        <v>6.63</v>
      </c>
      <c r="EE225" s="2346">
        <v>7.03</v>
      </c>
      <c r="EF225" s="2346">
        <v>7.13</v>
      </c>
      <c r="EG225" s="2346">
        <v>7.62</v>
      </c>
      <c r="EH225" s="2346">
        <v>8.2200000000000006</v>
      </c>
      <c r="EI225" s="2346">
        <v>8.7100000000000009</v>
      </c>
      <c r="EJ225" s="2346">
        <v>9.2100000000000009</v>
      </c>
      <c r="EK225" s="2346">
        <v>10.199999999999999</v>
      </c>
      <c r="EL225" s="2346">
        <v>10.99</v>
      </c>
      <c r="EM225" s="2346">
        <v>11.39</v>
      </c>
      <c r="EN225" s="2346">
        <v>11.98</v>
      </c>
      <c r="EO225" s="2346">
        <v>12.38</v>
      </c>
      <c r="EP225" s="2346">
        <v>13.17</v>
      </c>
      <c r="EQ225" s="2346">
        <v>13.96</v>
      </c>
      <c r="ER225" s="2346">
        <v>15.15</v>
      </c>
      <c r="ES225" s="2346">
        <v>16.14</v>
      </c>
      <c r="ET225" s="2346">
        <v>17.13</v>
      </c>
      <c r="EU225" s="2346">
        <v>18.420000000000002</v>
      </c>
      <c r="EV225" s="2346">
        <v>20.399999999999999</v>
      </c>
      <c r="EW225" s="2346">
        <v>22.18</v>
      </c>
      <c r="EX225" s="2346">
        <v>24.85</v>
      </c>
      <c r="EY225" s="2346">
        <v>27.72</v>
      </c>
      <c r="EZ225" s="2346">
        <v>31.49</v>
      </c>
      <c r="FA225" s="2346">
        <v>37.03</v>
      </c>
      <c r="FB225" s="2347">
        <v>475</v>
      </c>
      <c r="FC225" s="2275"/>
      <c r="FD225" s="2276">
        <f>HLOOKUP(FD221,EA222:FA234,2,0)</f>
        <v>0</v>
      </c>
      <c r="FE225" s="2276">
        <f t="shared" ref="FE225:FE235" si="250">+FD226</f>
        <v>6.14</v>
      </c>
      <c r="FF225" s="2275">
        <v>400</v>
      </c>
      <c r="FG225" s="2275"/>
      <c r="FH225" s="2275"/>
      <c r="FI225" s="2275"/>
      <c r="FJ225" s="2275"/>
      <c r="FK225" s="2275"/>
      <c r="FL225" s="2275"/>
      <c r="FM225" s="2250"/>
      <c r="FN225" s="2250"/>
      <c r="FO225" s="2250"/>
      <c r="FP225" s="2250"/>
      <c r="FQ225" s="2250"/>
      <c r="FR225" s="2250"/>
      <c r="FS225" s="2250"/>
      <c r="FT225" s="2250"/>
      <c r="FU225" s="2250"/>
      <c r="FV225" s="2250"/>
      <c r="FW225" s="2250"/>
      <c r="FX225" s="2250"/>
      <c r="FY225" s="2250"/>
      <c r="FZ225" s="2250"/>
      <c r="GA225" s="2250"/>
      <c r="GB225" s="2250"/>
      <c r="GC225" s="2276"/>
      <c r="GD225" s="2276"/>
      <c r="GE225" s="2250"/>
      <c r="GF225" s="2275"/>
      <c r="GG225" s="4670"/>
      <c r="GH225" s="2345">
        <v>475</v>
      </c>
      <c r="GI225" s="2346">
        <v>5.35</v>
      </c>
      <c r="GJ225" s="2346">
        <v>5.74</v>
      </c>
      <c r="GK225" s="2346">
        <v>6.14</v>
      </c>
      <c r="GL225" s="2346">
        <v>6.63</v>
      </c>
      <c r="GM225" s="2346">
        <v>7.03</v>
      </c>
      <c r="GN225" s="2346">
        <v>7.13</v>
      </c>
      <c r="GO225" s="2346">
        <v>7.62</v>
      </c>
      <c r="GP225" s="2346">
        <v>8.2200000000000006</v>
      </c>
      <c r="GQ225" s="2346">
        <v>8.7100000000000009</v>
      </c>
      <c r="GR225" s="2346">
        <v>9.2100000000000009</v>
      </c>
      <c r="GS225" s="2346">
        <v>10.199999999999999</v>
      </c>
      <c r="GT225" s="2346">
        <v>10.99</v>
      </c>
      <c r="GU225" s="2346">
        <v>11.39</v>
      </c>
      <c r="GV225" s="2346">
        <v>11.98</v>
      </c>
      <c r="GW225" s="2346">
        <v>12.38</v>
      </c>
      <c r="GX225" s="2346">
        <v>13.17</v>
      </c>
      <c r="GY225" s="2346">
        <v>13.96</v>
      </c>
      <c r="GZ225" s="2346">
        <v>15.15</v>
      </c>
      <c r="HA225" s="2346">
        <v>16.14</v>
      </c>
      <c r="HB225" s="2346">
        <v>17.13</v>
      </c>
      <c r="HC225" s="2346">
        <v>18.420000000000002</v>
      </c>
      <c r="HD225" s="2346">
        <v>20.399999999999999</v>
      </c>
      <c r="HE225" s="2346">
        <v>22.18</v>
      </c>
      <c r="HF225" s="2346">
        <v>24.85</v>
      </c>
      <c r="HG225" s="2346">
        <v>27.72</v>
      </c>
      <c r="HH225" s="2346">
        <v>31.49</v>
      </c>
      <c r="HI225" s="2346">
        <v>37.03</v>
      </c>
      <c r="HJ225" s="2347">
        <v>475</v>
      </c>
      <c r="HK225" s="2275"/>
      <c r="HL225" s="2276">
        <f>HLOOKUP(HL221,GI222:HI234,2,0)</f>
        <v>0</v>
      </c>
      <c r="HM225" s="2276">
        <f t="shared" ref="HM225:HM235" si="251">+HL226</f>
        <v>5.84</v>
      </c>
      <c r="HN225" s="2275">
        <v>400</v>
      </c>
      <c r="HO225" s="2275"/>
      <c r="HP225" s="2275"/>
      <c r="HQ225" s="2275"/>
      <c r="HR225" s="2275"/>
      <c r="HS225" s="2275"/>
      <c r="HT225" s="2275"/>
      <c r="HU225" s="2250"/>
      <c r="HV225" s="2250"/>
      <c r="HW225" s="2250"/>
      <c r="HX225" s="2250"/>
      <c r="HY225" s="2250"/>
      <c r="HZ225" s="2250"/>
      <c r="IA225" s="2250"/>
      <c r="IB225" s="2250"/>
      <c r="IC225" s="2250"/>
      <c r="ID225" s="2250"/>
      <c r="IE225" s="2250"/>
      <c r="IF225" s="2250"/>
      <c r="IG225" s="2250"/>
      <c r="IH225" s="2250"/>
      <c r="II225" s="2250"/>
      <c r="IJ225" s="2250"/>
      <c r="IK225" s="2250"/>
      <c r="IL225" s="2250"/>
    </row>
    <row r="226" spans="1:246" ht="21.95" customHeight="1">
      <c r="A226" s="2275"/>
      <c r="B226" s="4671"/>
      <c r="C226" s="2345">
        <v>650</v>
      </c>
      <c r="D226" s="2346">
        <v>17.920000000000002</v>
      </c>
      <c r="E226" s="2346">
        <v>19.41</v>
      </c>
      <c r="F226" s="2346">
        <v>20.89</v>
      </c>
      <c r="G226" s="2346">
        <v>22.38</v>
      </c>
      <c r="H226" s="2346">
        <v>23.76</v>
      </c>
      <c r="I226" s="2346">
        <v>24.06</v>
      </c>
      <c r="J226" s="2346">
        <v>25.74</v>
      </c>
      <c r="K226" s="2346">
        <v>27.62</v>
      </c>
      <c r="L226" s="2346">
        <v>29.21</v>
      </c>
      <c r="M226" s="2346">
        <v>31.19</v>
      </c>
      <c r="N226" s="2346">
        <v>34.36</v>
      </c>
      <c r="O226" s="2346">
        <v>37.130000000000003</v>
      </c>
      <c r="P226" s="2346">
        <v>38.42</v>
      </c>
      <c r="Q226" s="2346">
        <v>40.4</v>
      </c>
      <c r="R226" s="2346">
        <v>42.57</v>
      </c>
      <c r="S226" s="2346">
        <v>44.06</v>
      </c>
      <c r="T226" s="2346">
        <v>46.93</v>
      </c>
      <c r="U226" s="2346">
        <v>49.9</v>
      </c>
      <c r="V226" s="2346">
        <v>53.76</v>
      </c>
      <c r="W226" s="2346">
        <v>57.72</v>
      </c>
      <c r="X226" s="2346">
        <v>62.97</v>
      </c>
      <c r="Y226" s="2346">
        <v>66.83</v>
      </c>
      <c r="Z226" s="2346">
        <v>72.87</v>
      </c>
      <c r="AA226" s="2346">
        <v>79.599999999999994</v>
      </c>
      <c r="AB226" s="2346">
        <v>89.6</v>
      </c>
      <c r="AC226" s="2346">
        <v>105.45</v>
      </c>
      <c r="AD226" s="2346">
        <v>113.76</v>
      </c>
      <c r="AE226" s="2347">
        <v>650</v>
      </c>
      <c r="AF226" s="2275"/>
      <c r="AG226" s="2276">
        <f>HLOOKUP(AG220,D221:AD233,4,0)</f>
        <v>6.14</v>
      </c>
      <c r="AH226" s="2276">
        <f t="shared" si="248"/>
        <v>12.08</v>
      </c>
      <c r="AI226" s="2275">
        <v>550</v>
      </c>
      <c r="AJ226" s="2275"/>
      <c r="AK226" s="2275"/>
      <c r="AL226" s="2275"/>
      <c r="AM226" s="2275"/>
      <c r="AN226" s="2275"/>
      <c r="AO226" s="2275"/>
      <c r="AP226" s="2250"/>
      <c r="AQ226" s="2250"/>
      <c r="AR226" s="2250"/>
      <c r="AS226" s="2250"/>
      <c r="AT226" s="2250"/>
      <c r="AU226" s="2250"/>
      <c r="AV226" s="2250"/>
      <c r="AW226" s="2250"/>
      <c r="AX226" s="2250"/>
      <c r="AY226" s="2250"/>
      <c r="AZ226" s="2250"/>
      <c r="BA226" s="2250"/>
      <c r="BB226" s="2250"/>
      <c r="BC226" s="2250"/>
      <c r="BD226" s="2250"/>
      <c r="BE226" s="2250"/>
      <c r="BF226" s="2276"/>
      <c r="BG226" s="2276"/>
      <c r="BH226" s="2250"/>
      <c r="BI226" s="2275"/>
      <c r="BJ226" s="4671"/>
      <c r="BK226" s="2345">
        <v>650</v>
      </c>
      <c r="BL226" s="2346">
        <v>17.920000000000002</v>
      </c>
      <c r="BM226" s="2346">
        <v>19.41</v>
      </c>
      <c r="BN226" s="2346">
        <v>20.89</v>
      </c>
      <c r="BO226" s="2346">
        <v>22.38</v>
      </c>
      <c r="BP226" s="2346">
        <v>23.76</v>
      </c>
      <c r="BQ226" s="2346">
        <v>24.06</v>
      </c>
      <c r="BR226" s="2346">
        <v>25.74</v>
      </c>
      <c r="BS226" s="2346">
        <v>27.62</v>
      </c>
      <c r="BT226" s="2346">
        <v>29.21</v>
      </c>
      <c r="BU226" s="2346">
        <v>31.19</v>
      </c>
      <c r="BV226" s="2346">
        <v>34.36</v>
      </c>
      <c r="BW226" s="2346">
        <v>37.130000000000003</v>
      </c>
      <c r="BX226" s="2346">
        <v>38.42</v>
      </c>
      <c r="BY226" s="2346">
        <v>40.4</v>
      </c>
      <c r="BZ226" s="2346">
        <v>42.57</v>
      </c>
      <c r="CA226" s="2346">
        <v>44.06</v>
      </c>
      <c r="CB226" s="2346">
        <v>46.93</v>
      </c>
      <c r="CC226" s="2346">
        <v>49.9</v>
      </c>
      <c r="CD226" s="2346">
        <v>53.76</v>
      </c>
      <c r="CE226" s="2346">
        <v>57.72</v>
      </c>
      <c r="CF226" s="2346">
        <v>62.97</v>
      </c>
      <c r="CG226" s="2346">
        <v>66.83</v>
      </c>
      <c r="CH226" s="2346">
        <v>72.87</v>
      </c>
      <c r="CI226" s="2346">
        <v>79.599999999999994</v>
      </c>
      <c r="CJ226" s="2346">
        <v>89.6</v>
      </c>
      <c r="CK226" s="2346">
        <v>105.45</v>
      </c>
      <c r="CL226" s="2346">
        <v>113.76</v>
      </c>
      <c r="CM226" s="2347">
        <v>650</v>
      </c>
      <c r="CN226" s="2275"/>
      <c r="CO226" s="2276">
        <f>HLOOKUP(CO220,BL221:CL233,4,0)</f>
        <v>5.74</v>
      </c>
      <c r="CP226" s="2276">
        <f t="shared" si="249"/>
        <v>11.19</v>
      </c>
      <c r="CQ226" s="2275">
        <v>550</v>
      </c>
      <c r="CR226" s="2275"/>
      <c r="CS226" s="2275"/>
      <c r="CT226" s="2275"/>
      <c r="CU226" s="2275"/>
      <c r="CV226" s="2275"/>
      <c r="CW226" s="2275"/>
      <c r="CX226" s="2250"/>
      <c r="CY226" s="2250"/>
      <c r="CZ226" s="2250"/>
      <c r="DA226" s="2250"/>
      <c r="DB226" s="2250"/>
      <c r="DC226" s="2250"/>
      <c r="DD226" s="2250"/>
      <c r="DE226" s="2250"/>
      <c r="DF226" s="2250"/>
      <c r="DG226" s="2250"/>
      <c r="DH226" s="2250"/>
      <c r="DI226" s="2250"/>
      <c r="DJ226" s="2250"/>
      <c r="DK226" s="2250"/>
      <c r="DL226" s="2250"/>
      <c r="DM226" s="2250"/>
      <c r="DN226" s="2250"/>
      <c r="DO226" s="2250"/>
      <c r="DP226" s="2250"/>
      <c r="DQ226" s="2277"/>
      <c r="DR226" s="2277"/>
      <c r="DS226" s="2278"/>
      <c r="DT226" s="2250"/>
      <c r="DU226" s="2250"/>
      <c r="DV226" s="2250"/>
      <c r="DW226" s="2250"/>
      <c r="DX226" s="2275"/>
      <c r="DY226" s="4670"/>
      <c r="DZ226" s="2345">
        <v>550</v>
      </c>
      <c r="EA226" s="2346">
        <v>10.4</v>
      </c>
      <c r="EB226" s="2346">
        <v>11.19</v>
      </c>
      <c r="EC226" s="2346">
        <v>12.08</v>
      </c>
      <c r="ED226" s="2346">
        <v>12.97</v>
      </c>
      <c r="EE226" s="2346">
        <v>13.76</v>
      </c>
      <c r="EF226" s="2346">
        <v>13.96</v>
      </c>
      <c r="EG226" s="2346">
        <v>14.95</v>
      </c>
      <c r="EH226" s="2346">
        <v>15.94</v>
      </c>
      <c r="EI226" s="2346">
        <v>16.93</v>
      </c>
      <c r="EJ226" s="2346">
        <v>18.02</v>
      </c>
      <c r="EK226" s="2346">
        <v>19.8</v>
      </c>
      <c r="EL226" s="2346">
        <v>21.09</v>
      </c>
      <c r="EM226" s="2346">
        <v>22.28</v>
      </c>
      <c r="EN226" s="2346">
        <v>23.37</v>
      </c>
      <c r="EO226" s="2346">
        <v>24.06</v>
      </c>
      <c r="EP226" s="2346">
        <v>25.64</v>
      </c>
      <c r="EQ226" s="2346">
        <v>27.23</v>
      </c>
      <c r="ER226" s="2346">
        <v>29.5</v>
      </c>
      <c r="ES226" s="2346">
        <v>31.58</v>
      </c>
      <c r="ET226" s="2346">
        <v>34.06</v>
      </c>
      <c r="EU226" s="2346">
        <v>36.340000000000003</v>
      </c>
      <c r="EV226" s="2346">
        <v>39.799999999999997</v>
      </c>
      <c r="EW226" s="2346">
        <v>43.27</v>
      </c>
      <c r="EX226" s="2346">
        <v>48.12</v>
      </c>
      <c r="EY226" s="2346">
        <v>53.56</v>
      </c>
      <c r="EZ226" s="2346">
        <v>59.7</v>
      </c>
      <c r="FA226" s="2346">
        <v>65.84</v>
      </c>
      <c r="FB226" s="2347">
        <v>550</v>
      </c>
      <c r="FC226" s="2275"/>
      <c r="FD226" s="2276">
        <f>HLOOKUP(FD221,EA222:FA234,3,0)</f>
        <v>6.14</v>
      </c>
      <c r="FE226" s="2276">
        <f t="shared" si="250"/>
        <v>9.2100000000000009</v>
      </c>
      <c r="FF226" s="2275">
        <v>475</v>
      </c>
      <c r="FG226" s="2275"/>
      <c r="FH226" s="2275"/>
      <c r="FI226" s="2275"/>
      <c r="FJ226" s="2275"/>
      <c r="FK226" s="2275"/>
      <c r="FL226" s="2275"/>
      <c r="FM226" s="2250"/>
      <c r="FN226" s="2250"/>
      <c r="FO226" s="2250"/>
      <c r="FP226" s="2250"/>
      <c r="FQ226" s="2250"/>
      <c r="FR226" s="2250"/>
      <c r="FS226" s="2250"/>
      <c r="FT226" s="2250"/>
      <c r="FU226" s="2250"/>
      <c r="FV226" s="2250"/>
      <c r="FW226" s="2250"/>
      <c r="FX226" s="2250"/>
      <c r="FY226" s="2250"/>
      <c r="FZ226" s="2250"/>
      <c r="GA226" s="2250"/>
      <c r="GB226" s="2250"/>
      <c r="GC226" s="2276"/>
      <c r="GD226" s="2276"/>
      <c r="GE226" s="2250"/>
      <c r="GF226" s="2275"/>
      <c r="GG226" s="4670"/>
      <c r="GH226" s="2345">
        <v>550</v>
      </c>
      <c r="GI226" s="2346">
        <v>10.4</v>
      </c>
      <c r="GJ226" s="2346">
        <v>11.19</v>
      </c>
      <c r="GK226" s="2346">
        <v>12.08</v>
      </c>
      <c r="GL226" s="2346">
        <v>12.97</v>
      </c>
      <c r="GM226" s="2346">
        <v>13.76</v>
      </c>
      <c r="GN226" s="2346">
        <v>13.96</v>
      </c>
      <c r="GO226" s="2346">
        <v>14.95</v>
      </c>
      <c r="GP226" s="2346">
        <v>15.94</v>
      </c>
      <c r="GQ226" s="2346">
        <v>16.93</v>
      </c>
      <c r="GR226" s="2346">
        <v>18.02</v>
      </c>
      <c r="GS226" s="2346">
        <v>19.8</v>
      </c>
      <c r="GT226" s="2346">
        <v>21.09</v>
      </c>
      <c r="GU226" s="2346">
        <v>22.28</v>
      </c>
      <c r="GV226" s="2346">
        <v>23.37</v>
      </c>
      <c r="GW226" s="2346">
        <v>24.06</v>
      </c>
      <c r="GX226" s="2346">
        <v>25.64</v>
      </c>
      <c r="GY226" s="2346">
        <v>27.23</v>
      </c>
      <c r="GZ226" s="2346">
        <v>29.5</v>
      </c>
      <c r="HA226" s="2346">
        <v>31.58</v>
      </c>
      <c r="HB226" s="2346">
        <v>34.06</v>
      </c>
      <c r="HC226" s="2346">
        <v>36.340000000000003</v>
      </c>
      <c r="HD226" s="2346">
        <v>39.799999999999997</v>
      </c>
      <c r="HE226" s="2346">
        <v>43.27</v>
      </c>
      <c r="HF226" s="2346">
        <v>48.12</v>
      </c>
      <c r="HG226" s="2346">
        <v>53.56</v>
      </c>
      <c r="HH226" s="2346">
        <v>59.7</v>
      </c>
      <c r="HI226" s="2346">
        <v>65.84</v>
      </c>
      <c r="HJ226" s="2347">
        <v>550</v>
      </c>
      <c r="HK226" s="2275"/>
      <c r="HL226" s="2276">
        <f>HLOOKUP(HL221,GI222:HI234,3,0)</f>
        <v>5.84</v>
      </c>
      <c r="HM226" s="2276">
        <f t="shared" si="251"/>
        <v>8.7100000000000009</v>
      </c>
      <c r="HN226" s="2275">
        <v>475</v>
      </c>
      <c r="HO226" s="2275"/>
      <c r="HP226" s="2275"/>
      <c r="HQ226" s="2275"/>
      <c r="HR226" s="2275"/>
      <c r="HS226" s="2275"/>
      <c r="HT226" s="2275"/>
      <c r="HU226" s="2250"/>
      <c r="HV226" s="2250"/>
      <c r="HW226" s="2250"/>
      <c r="HX226" s="2250"/>
      <c r="HY226" s="2250"/>
      <c r="HZ226" s="2250"/>
      <c r="IA226" s="2250"/>
      <c r="IB226" s="2250"/>
      <c r="IC226" s="2250"/>
      <c r="ID226" s="2250"/>
      <c r="IE226" s="2250"/>
      <c r="IF226" s="2250"/>
      <c r="IG226" s="2250"/>
      <c r="IH226" s="2250"/>
      <c r="II226" s="2250"/>
      <c r="IJ226" s="2250"/>
      <c r="IK226" s="2250"/>
      <c r="IL226" s="2250"/>
    </row>
    <row r="227" spans="1:246" ht="21.95" customHeight="1">
      <c r="A227" s="2275"/>
      <c r="B227" s="4671"/>
      <c r="C227" s="2345">
        <v>775</v>
      </c>
      <c r="D227" s="2346">
        <v>28.51</v>
      </c>
      <c r="E227" s="2346">
        <v>30.79</v>
      </c>
      <c r="F227" s="2346">
        <v>33.07</v>
      </c>
      <c r="G227" s="2346">
        <v>35.450000000000003</v>
      </c>
      <c r="H227" s="2346">
        <v>37.619999999999997</v>
      </c>
      <c r="I227" s="2346">
        <v>38.22</v>
      </c>
      <c r="J227" s="2346">
        <v>40.89</v>
      </c>
      <c r="K227" s="2346">
        <v>43.76</v>
      </c>
      <c r="L227" s="2346">
        <v>46.44</v>
      </c>
      <c r="M227" s="2346">
        <v>49.5</v>
      </c>
      <c r="N227" s="2346">
        <v>54.46</v>
      </c>
      <c r="O227" s="2346">
        <v>58.32</v>
      </c>
      <c r="P227" s="2346">
        <v>60.99</v>
      </c>
      <c r="Q227" s="2346">
        <v>64.16</v>
      </c>
      <c r="R227" s="2346">
        <v>66.14</v>
      </c>
      <c r="S227" s="2346">
        <v>70.099999999999994</v>
      </c>
      <c r="T227" s="2346">
        <v>74.459999999999994</v>
      </c>
      <c r="U227" s="2346">
        <v>81.09</v>
      </c>
      <c r="V227" s="2346">
        <v>86.63</v>
      </c>
      <c r="W227" s="2346">
        <v>92.67</v>
      </c>
      <c r="X227" s="2346">
        <v>98.91</v>
      </c>
      <c r="Y227" s="2346">
        <v>109.11</v>
      </c>
      <c r="Z227" s="2346">
        <v>119.5</v>
      </c>
      <c r="AA227" s="2346">
        <v>131.97999999999999</v>
      </c>
      <c r="AB227" s="2346">
        <v>147.72</v>
      </c>
      <c r="AC227" s="2346">
        <v>168.81</v>
      </c>
      <c r="AD227" s="2346">
        <v>180.69</v>
      </c>
      <c r="AE227" s="2347">
        <v>775</v>
      </c>
      <c r="AF227" s="2275"/>
      <c r="AG227" s="2276">
        <f>HLOOKUP(AG220,D221:AD233,5,0)</f>
        <v>12.08</v>
      </c>
      <c r="AH227" s="2276">
        <f t="shared" si="248"/>
        <v>20.89</v>
      </c>
      <c r="AI227" s="2275">
        <v>650</v>
      </c>
      <c r="AJ227" s="2275"/>
      <c r="AK227" s="2275"/>
      <c r="AL227" s="2275"/>
      <c r="AM227" s="2275"/>
      <c r="AN227" s="2275"/>
      <c r="AO227" s="2275"/>
      <c r="AP227" s="2250"/>
      <c r="AQ227" s="2250"/>
      <c r="AR227" s="2250"/>
      <c r="AS227" s="2250"/>
      <c r="AT227" s="2250"/>
      <c r="AU227" s="2250"/>
      <c r="AV227" s="2250"/>
      <c r="AW227" s="2250"/>
      <c r="AX227" s="2250"/>
      <c r="AY227" s="2250"/>
      <c r="AZ227" s="2250"/>
      <c r="BA227" s="2250"/>
      <c r="BB227" s="2250"/>
      <c r="BC227" s="2250"/>
      <c r="BD227" s="2250"/>
      <c r="BE227" s="2250"/>
      <c r="BF227" s="2276"/>
      <c r="BG227" s="2276"/>
      <c r="BH227" s="2250"/>
      <c r="BI227" s="2275"/>
      <c r="BJ227" s="4671"/>
      <c r="BK227" s="2345">
        <v>775</v>
      </c>
      <c r="BL227" s="2346">
        <v>28.51</v>
      </c>
      <c r="BM227" s="2346">
        <v>30.79</v>
      </c>
      <c r="BN227" s="2346">
        <v>33.07</v>
      </c>
      <c r="BO227" s="2346">
        <v>35.450000000000003</v>
      </c>
      <c r="BP227" s="2346">
        <v>37.619999999999997</v>
      </c>
      <c r="BQ227" s="2346">
        <v>38.22</v>
      </c>
      <c r="BR227" s="2346">
        <v>40.89</v>
      </c>
      <c r="BS227" s="2346">
        <v>43.76</v>
      </c>
      <c r="BT227" s="2346">
        <v>46.44</v>
      </c>
      <c r="BU227" s="2346">
        <v>49.5</v>
      </c>
      <c r="BV227" s="2346">
        <v>54.46</v>
      </c>
      <c r="BW227" s="2346">
        <v>58.32</v>
      </c>
      <c r="BX227" s="2346">
        <v>60.99</v>
      </c>
      <c r="BY227" s="2346">
        <v>64.16</v>
      </c>
      <c r="BZ227" s="2346">
        <v>66.14</v>
      </c>
      <c r="CA227" s="2346">
        <v>70.099999999999994</v>
      </c>
      <c r="CB227" s="2346">
        <v>74.459999999999994</v>
      </c>
      <c r="CC227" s="2346">
        <v>81.09</v>
      </c>
      <c r="CD227" s="2346">
        <v>86.63</v>
      </c>
      <c r="CE227" s="2346">
        <v>92.67</v>
      </c>
      <c r="CF227" s="2346">
        <v>98.91</v>
      </c>
      <c r="CG227" s="2346">
        <v>109.11</v>
      </c>
      <c r="CH227" s="2346">
        <v>119.5</v>
      </c>
      <c r="CI227" s="2346">
        <v>131.97999999999999</v>
      </c>
      <c r="CJ227" s="2346">
        <v>147.72</v>
      </c>
      <c r="CK227" s="2346">
        <v>168.81</v>
      </c>
      <c r="CL227" s="2346">
        <v>180.69</v>
      </c>
      <c r="CM227" s="2347">
        <v>775</v>
      </c>
      <c r="CN227" s="2275"/>
      <c r="CO227" s="2276">
        <f>HLOOKUP(CO220,BL221:CL233,5,0)</f>
        <v>11.19</v>
      </c>
      <c r="CP227" s="2276">
        <f t="shared" si="249"/>
        <v>19.41</v>
      </c>
      <c r="CQ227" s="2275">
        <v>650</v>
      </c>
      <c r="CR227" s="2275"/>
      <c r="CS227" s="2275"/>
      <c r="CT227" s="2275"/>
      <c r="CU227" s="2275"/>
      <c r="CV227" s="2275"/>
      <c r="CW227" s="2275"/>
      <c r="CX227" s="2250"/>
      <c r="CY227" s="2250"/>
      <c r="CZ227" s="2250"/>
      <c r="DA227" s="2250"/>
      <c r="DB227" s="2250"/>
      <c r="DC227" s="2250"/>
      <c r="DD227" s="2250"/>
      <c r="DE227" s="2250"/>
      <c r="DF227" s="2250"/>
      <c r="DG227" s="2250"/>
      <c r="DH227" s="2250"/>
      <c r="DI227" s="2250"/>
      <c r="DJ227" s="2250"/>
      <c r="DK227" s="2250"/>
      <c r="DL227" s="2250"/>
      <c r="DM227" s="2250"/>
      <c r="DN227" s="2250"/>
      <c r="DO227" s="2250"/>
      <c r="DP227" s="2250"/>
      <c r="DQ227" s="2277"/>
      <c r="DR227" s="2277"/>
      <c r="DS227" s="2278"/>
      <c r="DT227" s="2250"/>
      <c r="DU227" s="2250"/>
      <c r="DV227" s="2250"/>
      <c r="DW227" s="2250"/>
      <c r="DX227" s="2275"/>
      <c r="DY227" s="4671"/>
      <c r="DZ227" s="2345">
        <v>650</v>
      </c>
      <c r="EA227" s="2346">
        <v>17.920000000000002</v>
      </c>
      <c r="EB227" s="2346">
        <v>19.41</v>
      </c>
      <c r="EC227" s="2346">
        <v>20.89</v>
      </c>
      <c r="ED227" s="2346">
        <v>22.38</v>
      </c>
      <c r="EE227" s="2346">
        <v>23.76</v>
      </c>
      <c r="EF227" s="2346">
        <v>24.06</v>
      </c>
      <c r="EG227" s="2346">
        <v>25.74</v>
      </c>
      <c r="EH227" s="2346">
        <v>27.62</v>
      </c>
      <c r="EI227" s="2346">
        <v>29.21</v>
      </c>
      <c r="EJ227" s="2346">
        <v>31.19</v>
      </c>
      <c r="EK227" s="2346">
        <v>34.36</v>
      </c>
      <c r="EL227" s="2346">
        <v>37.130000000000003</v>
      </c>
      <c r="EM227" s="2346">
        <v>38.42</v>
      </c>
      <c r="EN227" s="2346">
        <v>40.4</v>
      </c>
      <c r="EO227" s="2346">
        <v>42.57</v>
      </c>
      <c r="EP227" s="2346">
        <v>44.06</v>
      </c>
      <c r="EQ227" s="2346">
        <v>46.93</v>
      </c>
      <c r="ER227" s="2346">
        <v>49.9</v>
      </c>
      <c r="ES227" s="2346">
        <v>53.76</v>
      </c>
      <c r="ET227" s="2346">
        <v>57.72</v>
      </c>
      <c r="EU227" s="2346">
        <v>62.97</v>
      </c>
      <c r="EV227" s="2346">
        <v>66.83</v>
      </c>
      <c r="EW227" s="2346">
        <v>72.87</v>
      </c>
      <c r="EX227" s="2346">
        <v>79.599999999999994</v>
      </c>
      <c r="EY227" s="2346">
        <v>89.6</v>
      </c>
      <c r="EZ227" s="2346">
        <v>105.45</v>
      </c>
      <c r="FA227" s="2346">
        <v>113.76</v>
      </c>
      <c r="FB227" s="2347">
        <v>650</v>
      </c>
      <c r="FC227" s="2275"/>
      <c r="FD227" s="2276">
        <f>HLOOKUP(FD221,EA222:FA234,4,0)</f>
        <v>9.2100000000000009</v>
      </c>
      <c r="FE227" s="2276">
        <f t="shared" si="250"/>
        <v>18.02</v>
      </c>
      <c r="FF227" s="2275">
        <v>550</v>
      </c>
      <c r="FG227" s="2275"/>
      <c r="FH227" s="2275"/>
      <c r="FI227" s="2275"/>
      <c r="FJ227" s="2275"/>
      <c r="FK227" s="2275"/>
      <c r="FL227" s="2275"/>
      <c r="FM227" s="2250"/>
      <c r="FN227" s="2250"/>
      <c r="FO227" s="2250"/>
      <c r="FP227" s="2250"/>
      <c r="FQ227" s="2250"/>
      <c r="FR227" s="2250"/>
      <c r="FS227" s="2250"/>
      <c r="FT227" s="2250"/>
      <c r="FU227" s="2250"/>
      <c r="FV227" s="2250"/>
      <c r="FW227" s="2250"/>
      <c r="FX227" s="2250"/>
      <c r="FY227" s="2250"/>
      <c r="FZ227" s="2250"/>
      <c r="GA227" s="2250"/>
      <c r="GB227" s="2250"/>
      <c r="GC227" s="2276"/>
      <c r="GD227" s="2276"/>
      <c r="GE227" s="2250"/>
      <c r="GF227" s="2275"/>
      <c r="GG227" s="4671"/>
      <c r="GH227" s="2345">
        <v>650</v>
      </c>
      <c r="GI227" s="2346">
        <v>17.920000000000002</v>
      </c>
      <c r="GJ227" s="2346">
        <v>19.41</v>
      </c>
      <c r="GK227" s="2346">
        <v>20.89</v>
      </c>
      <c r="GL227" s="2346">
        <v>22.38</v>
      </c>
      <c r="GM227" s="2346">
        <v>23.76</v>
      </c>
      <c r="GN227" s="2346">
        <v>24.06</v>
      </c>
      <c r="GO227" s="2346">
        <v>25.74</v>
      </c>
      <c r="GP227" s="2346">
        <v>27.62</v>
      </c>
      <c r="GQ227" s="2346">
        <v>29.21</v>
      </c>
      <c r="GR227" s="2346">
        <v>31.19</v>
      </c>
      <c r="GS227" s="2346">
        <v>34.36</v>
      </c>
      <c r="GT227" s="2346">
        <v>37.130000000000003</v>
      </c>
      <c r="GU227" s="2346">
        <v>38.42</v>
      </c>
      <c r="GV227" s="2346">
        <v>40.4</v>
      </c>
      <c r="GW227" s="2346">
        <v>42.57</v>
      </c>
      <c r="GX227" s="2346">
        <v>44.06</v>
      </c>
      <c r="GY227" s="2346">
        <v>46.93</v>
      </c>
      <c r="GZ227" s="2346">
        <v>49.9</v>
      </c>
      <c r="HA227" s="2346">
        <v>53.76</v>
      </c>
      <c r="HB227" s="2346">
        <v>57.72</v>
      </c>
      <c r="HC227" s="2346">
        <v>62.97</v>
      </c>
      <c r="HD227" s="2346">
        <v>66.83</v>
      </c>
      <c r="HE227" s="2346">
        <v>72.87</v>
      </c>
      <c r="HF227" s="2346">
        <v>79.599999999999994</v>
      </c>
      <c r="HG227" s="2346">
        <v>89.6</v>
      </c>
      <c r="HH227" s="2346">
        <v>105.45</v>
      </c>
      <c r="HI227" s="2346">
        <v>113.76</v>
      </c>
      <c r="HJ227" s="2347">
        <v>650</v>
      </c>
      <c r="HK227" s="2275"/>
      <c r="HL227" s="2276">
        <f>HLOOKUP(HL221,GI222:HI234,4,0)</f>
        <v>8.7100000000000009</v>
      </c>
      <c r="HM227" s="2276">
        <f t="shared" si="251"/>
        <v>16.93</v>
      </c>
      <c r="HN227" s="2275">
        <v>550</v>
      </c>
      <c r="HO227" s="2275"/>
      <c r="HP227" s="2275"/>
      <c r="HQ227" s="2275"/>
      <c r="HR227" s="2275"/>
      <c r="HS227" s="2275"/>
      <c r="HT227" s="2275"/>
      <c r="HU227" s="2250"/>
      <c r="HV227" s="2250"/>
      <c r="HW227" s="2250"/>
      <c r="HX227" s="2250"/>
      <c r="HY227" s="2250"/>
      <c r="HZ227" s="2250"/>
      <c r="IA227" s="2250"/>
      <c r="IB227" s="2250"/>
      <c r="IC227" s="2250"/>
      <c r="ID227" s="2250"/>
      <c r="IE227" s="2250"/>
      <c r="IF227" s="2250"/>
      <c r="IG227" s="2250"/>
      <c r="IH227" s="2250"/>
      <c r="II227" s="2250"/>
      <c r="IJ227" s="2250"/>
      <c r="IK227" s="2250"/>
      <c r="IL227" s="2250"/>
    </row>
    <row r="228" spans="1:246" ht="21.95" customHeight="1">
      <c r="A228" s="2275"/>
      <c r="B228" s="4671"/>
      <c r="C228" s="2345">
        <v>825</v>
      </c>
      <c r="D228" s="2346">
        <v>42.48</v>
      </c>
      <c r="E228" s="2346">
        <v>45.94</v>
      </c>
      <c r="F228" s="2346">
        <v>49.41</v>
      </c>
      <c r="G228" s="2346">
        <v>52.38</v>
      </c>
      <c r="H228" s="2346">
        <v>55.64</v>
      </c>
      <c r="I228" s="2346">
        <v>56.83</v>
      </c>
      <c r="J228" s="2346">
        <v>58.91</v>
      </c>
      <c r="K228" s="2346">
        <v>63.27</v>
      </c>
      <c r="L228" s="2346">
        <v>67.72</v>
      </c>
      <c r="M228" s="2346">
        <v>72.180000000000007</v>
      </c>
      <c r="N228" s="2346">
        <v>80.89</v>
      </c>
      <c r="O228" s="2346">
        <v>86.83</v>
      </c>
      <c r="P228" s="2346">
        <v>91.19</v>
      </c>
      <c r="Q228" s="2346">
        <v>92.38</v>
      </c>
      <c r="R228" s="2346">
        <v>100.3</v>
      </c>
      <c r="S228" s="2346">
        <v>104.26</v>
      </c>
      <c r="T228" s="2346">
        <v>112.28</v>
      </c>
      <c r="U228" s="2346">
        <v>118.71</v>
      </c>
      <c r="V228" s="2346">
        <v>124.36</v>
      </c>
      <c r="W228" s="2346">
        <v>132.87</v>
      </c>
      <c r="X228" s="2346">
        <v>143.76</v>
      </c>
      <c r="Y228" s="2346">
        <v>154.85</v>
      </c>
      <c r="Z228" s="2346">
        <v>157.13</v>
      </c>
      <c r="AA228" s="2346">
        <v>161.78</v>
      </c>
      <c r="AB228" s="2346">
        <v>176.44</v>
      </c>
      <c r="AC228" s="2346">
        <v>180.69</v>
      </c>
      <c r="AD228" s="2346">
        <v>180.69</v>
      </c>
      <c r="AE228" s="2347">
        <v>825</v>
      </c>
      <c r="AF228" s="2275"/>
      <c r="AG228" s="2276">
        <f>HLOOKUP(AG220,D221:AD233,6,0)</f>
        <v>20.89</v>
      </c>
      <c r="AH228" s="2276">
        <f t="shared" si="248"/>
        <v>33.07</v>
      </c>
      <c r="AI228" s="2275">
        <v>775</v>
      </c>
      <c r="AJ228" s="2275"/>
      <c r="AK228" s="2275"/>
      <c r="AL228" s="2275"/>
      <c r="AM228" s="2275"/>
      <c r="AN228" s="2275"/>
      <c r="AO228" s="2275"/>
      <c r="AP228" s="2250"/>
      <c r="AQ228" s="2250"/>
      <c r="AR228" s="2250"/>
      <c r="AS228" s="2250"/>
      <c r="AT228" s="2250"/>
      <c r="AU228" s="2250"/>
      <c r="AV228" s="2250"/>
      <c r="AW228" s="2250"/>
      <c r="AX228" s="2250"/>
      <c r="AY228" s="2250"/>
      <c r="AZ228" s="2250"/>
      <c r="BA228" s="2250"/>
      <c r="BB228" s="2250"/>
      <c r="BC228" s="2250"/>
      <c r="BD228" s="2250"/>
      <c r="BE228" s="2250"/>
      <c r="BF228" s="2276"/>
      <c r="BG228" s="2276"/>
      <c r="BH228" s="2250"/>
      <c r="BI228" s="2275"/>
      <c r="BJ228" s="4671"/>
      <c r="BK228" s="2345">
        <v>825</v>
      </c>
      <c r="BL228" s="2346">
        <v>42.48</v>
      </c>
      <c r="BM228" s="2346">
        <v>45.94</v>
      </c>
      <c r="BN228" s="2346">
        <v>49.41</v>
      </c>
      <c r="BO228" s="2346">
        <v>52.38</v>
      </c>
      <c r="BP228" s="2346">
        <v>55.64</v>
      </c>
      <c r="BQ228" s="2346">
        <v>56.83</v>
      </c>
      <c r="BR228" s="2346">
        <v>58.91</v>
      </c>
      <c r="BS228" s="2346">
        <v>63.27</v>
      </c>
      <c r="BT228" s="2346">
        <v>67.72</v>
      </c>
      <c r="BU228" s="2346">
        <v>72.180000000000007</v>
      </c>
      <c r="BV228" s="2346">
        <v>80.89</v>
      </c>
      <c r="BW228" s="2346">
        <v>86.83</v>
      </c>
      <c r="BX228" s="2346">
        <v>91.19</v>
      </c>
      <c r="BY228" s="2346">
        <v>92.38</v>
      </c>
      <c r="BZ228" s="2346">
        <v>100.3</v>
      </c>
      <c r="CA228" s="2346">
        <v>104.26</v>
      </c>
      <c r="CB228" s="2346">
        <v>112.28</v>
      </c>
      <c r="CC228" s="2346">
        <v>118.71</v>
      </c>
      <c r="CD228" s="2346">
        <v>124.36</v>
      </c>
      <c r="CE228" s="2346">
        <v>132.87</v>
      </c>
      <c r="CF228" s="2346">
        <v>143.76</v>
      </c>
      <c r="CG228" s="2346">
        <v>154.85</v>
      </c>
      <c r="CH228" s="2346">
        <v>157.13</v>
      </c>
      <c r="CI228" s="2346">
        <v>161.78</v>
      </c>
      <c r="CJ228" s="2346">
        <v>176.44</v>
      </c>
      <c r="CK228" s="2346">
        <v>180.69</v>
      </c>
      <c r="CL228" s="2346">
        <v>180.69</v>
      </c>
      <c r="CM228" s="2347">
        <v>825</v>
      </c>
      <c r="CN228" s="2275"/>
      <c r="CO228" s="2276">
        <f>HLOOKUP(CO220,BL221:CL233,6,0)</f>
        <v>19.41</v>
      </c>
      <c r="CP228" s="2276">
        <f t="shared" si="249"/>
        <v>30.79</v>
      </c>
      <c r="CQ228" s="2275">
        <v>775</v>
      </c>
      <c r="CR228" s="2275"/>
      <c r="CS228" s="2275"/>
      <c r="CT228" s="2275"/>
      <c r="CU228" s="2275"/>
      <c r="CV228" s="2275"/>
      <c r="CW228" s="2275"/>
      <c r="CX228" s="2250"/>
      <c r="CY228" s="2250"/>
      <c r="CZ228" s="2250"/>
      <c r="DA228" s="2250"/>
      <c r="DB228" s="2250"/>
      <c r="DC228" s="2250"/>
      <c r="DD228" s="2250"/>
      <c r="DE228" s="2250"/>
      <c r="DF228" s="2250"/>
      <c r="DG228" s="2250"/>
      <c r="DH228" s="2250"/>
      <c r="DI228" s="2250"/>
      <c r="DJ228" s="2250"/>
      <c r="DK228" s="2250"/>
      <c r="DL228" s="2250"/>
      <c r="DM228" s="2250"/>
      <c r="DN228" s="2250"/>
      <c r="DO228" s="2250"/>
      <c r="DP228" s="2250"/>
      <c r="DQ228" s="2277"/>
      <c r="DR228" s="2277"/>
      <c r="DS228" s="2278"/>
      <c r="DT228" s="2250"/>
      <c r="DU228" s="2250"/>
      <c r="DV228" s="2250"/>
      <c r="DW228" s="2250"/>
      <c r="DX228" s="2275"/>
      <c r="DY228" s="4671"/>
      <c r="DZ228" s="2345">
        <v>775</v>
      </c>
      <c r="EA228" s="2346">
        <v>28.51</v>
      </c>
      <c r="EB228" s="2346">
        <v>30.79</v>
      </c>
      <c r="EC228" s="2346">
        <v>33.07</v>
      </c>
      <c r="ED228" s="2346">
        <v>35.450000000000003</v>
      </c>
      <c r="EE228" s="2346">
        <v>37.619999999999997</v>
      </c>
      <c r="EF228" s="2346">
        <v>38.22</v>
      </c>
      <c r="EG228" s="2346">
        <v>40.89</v>
      </c>
      <c r="EH228" s="2346">
        <v>43.76</v>
      </c>
      <c r="EI228" s="2346">
        <v>46.44</v>
      </c>
      <c r="EJ228" s="2346">
        <v>49.5</v>
      </c>
      <c r="EK228" s="2346">
        <v>54.46</v>
      </c>
      <c r="EL228" s="2346">
        <v>58.32</v>
      </c>
      <c r="EM228" s="2346">
        <v>60.99</v>
      </c>
      <c r="EN228" s="2346">
        <v>64.16</v>
      </c>
      <c r="EO228" s="2346">
        <v>66.14</v>
      </c>
      <c r="EP228" s="2346">
        <v>70.099999999999994</v>
      </c>
      <c r="EQ228" s="2346">
        <v>74.459999999999994</v>
      </c>
      <c r="ER228" s="2346">
        <v>81.09</v>
      </c>
      <c r="ES228" s="2346">
        <v>86.63</v>
      </c>
      <c r="ET228" s="2346">
        <v>92.67</v>
      </c>
      <c r="EU228" s="2346">
        <v>98.91</v>
      </c>
      <c r="EV228" s="2346">
        <v>109.11</v>
      </c>
      <c r="EW228" s="2346">
        <v>119.5</v>
      </c>
      <c r="EX228" s="2346">
        <v>131.97999999999999</v>
      </c>
      <c r="EY228" s="2346">
        <v>147.72</v>
      </c>
      <c r="EZ228" s="2346">
        <v>168.81</v>
      </c>
      <c r="FA228" s="2346">
        <v>180.69</v>
      </c>
      <c r="FB228" s="2347">
        <v>775</v>
      </c>
      <c r="FC228" s="2275"/>
      <c r="FD228" s="2276">
        <f>HLOOKUP(FD221,EA222:FA234,5,0)</f>
        <v>18.02</v>
      </c>
      <c r="FE228" s="2276">
        <f t="shared" si="250"/>
        <v>31.19</v>
      </c>
      <c r="FF228" s="2275">
        <v>650</v>
      </c>
      <c r="FG228" s="2275"/>
      <c r="FH228" s="2275"/>
      <c r="FI228" s="2275"/>
      <c r="FJ228" s="2275"/>
      <c r="FK228" s="2275"/>
      <c r="FL228" s="2275"/>
      <c r="FM228" s="2250"/>
      <c r="FN228" s="2250"/>
      <c r="FO228" s="2250"/>
      <c r="FP228" s="2250"/>
      <c r="FQ228" s="2250"/>
      <c r="FR228" s="2250"/>
      <c r="FS228" s="2250"/>
      <c r="FT228" s="2250"/>
      <c r="FU228" s="2250"/>
      <c r="FV228" s="2250"/>
      <c r="FW228" s="2250"/>
      <c r="FX228" s="2250"/>
      <c r="FY228" s="2250"/>
      <c r="FZ228" s="2250"/>
      <c r="GA228" s="2250"/>
      <c r="GB228" s="2250"/>
      <c r="GC228" s="2276"/>
      <c r="GD228" s="2276"/>
      <c r="GE228" s="2250"/>
      <c r="GF228" s="2275"/>
      <c r="GG228" s="4671"/>
      <c r="GH228" s="2345">
        <v>775</v>
      </c>
      <c r="GI228" s="2346">
        <v>28.51</v>
      </c>
      <c r="GJ228" s="2346">
        <v>30.79</v>
      </c>
      <c r="GK228" s="2346">
        <v>33.07</v>
      </c>
      <c r="GL228" s="2346">
        <v>35.450000000000003</v>
      </c>
      <c r="GM228" s="2346">
        <v>37.619999999999997</v>
      </c>
      <c r="GN228" s="2346">
        <v>38.22</v>
      </c>
      <c r="GO228" s="2346">
        <v>40.89</v>
      </c>
      <c r="GP228" s="2346">
        <v>43.76</v>
      </c>
      <c r="GQ228" s="2346">
        <v>46.44</v>
      </c>
      <c r="GR228" s="2346">
        <v>49.5</v>
      </c>
      <c r="GS228" s="2346">
        <v>54.46</v>
      </c>
      <c r="GT228" s="2346">
        <v>58.32</v>
      </c>
      <c r="GU228" s="2346">
        <v>60.99</v>
      </c>
      <c r="GV228" s="2346">
        <v>64.16</v>
      </c>
      <c r="GW228" s="2346">
        <v>66.14</v>
      </c>
      <c r="GX228" s="2346">
        <v>70.099999999999994</v>
      </c>
      <c r="GY228" s="2346">
        <v>74.459999999999994</v>
      </c>
      <c r="GZ228" s="2346">
        <v>81.09</v>
      </c>
      <c r="HA228" s="2346">
        <v>86.63</v>
      </c>
      <c r="HB228" s="2346">
        <v>92.67</v>
      </c>
      <c r="HC228" s="2346">
        <v>98.91</v>
      </c>
      <c r="HD228" s="2346">
        <v>109.11</v>
      </c>
      <c r="HE228" s="2346">
        <v>119.5</v>
      </c>
      <c r="HF228" s="2346">
        <v>131.97999999999999</v>
      </c>
      <c r="HG228" s="2346">
        <v>147.72</v>
      </c>
      <c r="HH228" s="2346">
        <v>168.81</v>
      </c>
      <c r="HI228" s="2346">
        <v>180.69</v>
      </c>
      <c r="HJ228" s="2347">
        <v>775</v>
      </c>
      <c r="HK228" s="2275"/>
      <c r="HL228" s="2276">
        <f>HLOOKUP(HL221,GI222:HI234,5,0)</f>
        <v>16.93</v>
      </c>
      <c r="HM228" s="2276">
        <f t="shared" si="251"/>
        <v>29.21</v>
      </c>
      <c r="HN228" s="2275">
        <v>650</v>
      </c>
      <c r="HO228" s="2275"/>
      <c r="HP228" s="2275"/>
      <c r="HQ228" s="2275"/>
      <c r="HR228" s="2275"/>
      <c r="HS228" s="2275"/>
      <c r="HT228" s="2275"/>
      <c r="HU228" s="2250"/>
      <c r="HV228" s="2250"/>
      <c r="HW228" s="2250"/>
      <c r="HX228" s="2250"/>
      <c r="HY228" s="2250"/>
      <c r="HZ228" s="2250"/>
      <c r="IA228" s="2250"/>
      <c r="IB228" s="2250"/>
      <c r="IC228" s="2250"/>
      <c r="ID228" s="2250"/>
      <c r="IE228" s="2250"/>
      <c r="IF228" s="2250"/>
      <c r="IG228" s="2250"/>
      <c r="IH228" s="2250"/>
      <c r="II228" s="2250"/>
      <c r="IJ228" s="2250"/>
      <c r="IK228" s="2250"/>
      <c r="IL228" s="2250"/>
    </row>
    <row r="229" spans="1:246" ht="21.95" customHeight="1">
      <c r="A229" s="2275"/>
      <c r="B229" s="4671"/>
      <c r="C229" s="2345">
        <v>950</v>
      </c>
      <c r="D229" s="2346">
        <v>60.5</v>
      </c>
      <c r="E229" s="2346">
        <v>65.349999999999994</v>
      </c>
      <c r="F229" s="2346">
        <v>70.400000000000006</v>
      </c>
      <c r="G229" s="2346">
        <v>75.349999999999994</v>
      </c>
      <c r="H229" s="2346">
        <v>80</v>
      </c>
      <c r="I229" s="2346">
        <v>81.290000000000006</v>
      </c>
      <c r="J229" s="2346">
        <v>87.03</v>
      </c>
      <c r="K229" s="2346">
        <v>93.07</v>
      </c>
      <c r="L229" s="2346">
        <v>99.5</v>
      </c>
      <c r="M229" s="2346">
        <v>105.15</v>
      </c>
      <c r="N229" s="2346">
        <v>115.74</v>
      </c>
      <c r="O229" s="2346">
        <v>125.25</v>
      </c>
      <c r="P229" s="2346">
        <v>130.30000000000001</v>
      </c>
      <c r="Q229" s="2346">
        <v>136.34</v>
      </c>
      <c r="R229" s="2346">
        <v>143.76</v>
      </c>
      <c r="S229" s="2346">
        <v>147.13</v>
      </c>
      <c r="T229" s="2346">
        <v>155.63999999999999</v>
      </c>
      <c r="U229" s="2346">
        <v>163.47</v>
      </c>
      <c r="V229" s="2346">
        <v>180.2</v>
      </c>
      <c r="W229" s="2346">
        <v>185.45</v>
      </c>
      <c r="X229" s="2346">
        <v>210.1</v>
      </c>
      <c r="Y229" s="2346">
        <v>225.15</v>
      </c>
      <c r="Z229" s="2346">
        <v>241.49</v>
      </c>
      <c r="AA229" s="2346">
        <v>269.7</v>
      </c>
      <c r="AB229" s="2346">
        <v>269.7</v>
      </c>
      <c r="AC229" s="2346">
        <v>269.7</v>
      </c>
      <c r="AD229" s="2346">
        <v>269.7</v>
      </c>
      <c r="AE229" s="2347">
        <v>950</v>
      </c>
      <c r="AF229" s="2275"/>
      <c r="AG229" s="2276">
        <f>HLOOKUP(AG220,D221:AD233,7,0)</f>
        <v>33.07</v>
      </c>
      <c r="AH229" s="2276">
        <f t="shared" si="248"/>
        <v>49.41</v>
      </c>
      <c r="AI229" s="2275">
        <v>825</v>
      </c>
      <c r="AJ229" s="2275"/>
      <c r="AK229" s="2275"/>
      <c r="AL229" s="2275"/>
      <c r="AM229" s="2275"/>
      <c r="AN229" s="2275"/>
      <c r="AO229" s="2275"/>
      <c r="AP229" s="2250"/>
      <c r="AQ229" s="2250"/>
      <c r="AR229" s="2250"/>
      <c r="AS229" s="2250"/>
      <c r="AT229" s="2250"/>
      <c r="AU229" s="2250"/>
      <c r="AV229" s="2250"/>
      <c r="AW229" s="2250"/>
      <c r="AX229" s="2250"/>
      <c r="AY229" s="2250"/>
      <c r="AZ229" s="2250"/>
      <c r="BA229" s="2250"/>
      <c r="BB229" s="2250"/>
      <c r="BC229" s="2250"/>
      <c r="BD229" s="2250"/>
      <c r="BE229" s="2250"/>
      <c r="BF229" s="2276"/>
      <c r="BG229" s="2276"/>
      <c r="BH229" s="2250"/>
      <c r="BI229" s="2275"/>
      <c r="BJ229" s="4671"/>
      <c r="BK229" s="2345">
        <v>950</v>
      </c>
      <c r="BL229" s="2346">
        <v>60.5</v>
      </c>
      <c r="BM229" s="2346">
        <v>65.349999999999994</v>
      </c>
      <c r="BN229" s="2346">
        <v>70.400000000000006</v>
      </c>
      <c r="BO229" s="2346">
        <v>75.349999999999994</v>
      </c>
      <c r="BP229" s="2346">
        <v>80</v>
      </c>
      <c r="BQ229" s="2346">
        <v>81.290000000000006</v>
      </c>
      <c r="BR229" s="2346">
        <v>87.03</v>
      </c>
      <c r="BS229" s="2346">
        <v>93.07</v>
      </c>
      <c r="BT229" s="2346">
        <v>99.5</v>
      </c>
      <c r="BU229" s="2346">
        <v>105.15</v>
      </c>
      <c r="BV229" s="2346">
        <v>115.74</v>
      </c>
      <c r="BW229" s="2346">
        <v>125.25</v>
      </c>
      <c r="BX229" s="2346">
        <v>130.30000000000001</v>
      </c>
      <c r="BY229" s="2346">
        <v>136.34</v>
      </c>
      <c r="BZ229" s="2346">
        <v>143.76</v>
      </c>
      <c r="CA229" s="2346">
        <v>147.13</v>
      </c>
      <c r="CB229" s="2346">
        <v>155.63999999999999</v>
      </c>
      <c r="CC229" s="2346">
        <v>163.47</v>
      </c>
      <c r="CD229" s="2346">
        <v>180.2</v>
      </c>
      <c r="CE229" s="2346">
        <v>185.45</v>
      </c>
      <c r="CF229" s="2346">
        <v>210.1</v>
      </c>
      <c r="CG229" s="2346">
        <v>225.15</v>
      </c>
      <c r="CH229" s="2346">
        <v>241.49</v>
      </c>
      <c r="CI229" s="2346">
        <v>269.7</v>
      </c>
      <c r="CJ229" s="2346">
        <v>269.7</v>
      </c>
      <c r="CK229" s="2346">
        <v>269.7</v>
      </c>
      <c r="CL229" s="2346">
        <v>269.7</v>
      </c>
      <c r="CM229" s="2347">
        <v>950</v>
      </c>
      <c r="CN229" s="2275"/>
      <c r="CO229" s="2276">
        <f>HLOOKUP(CO220,BL221:CL233,7,0)</f>
        <v>30.79</v>
      </c>
      <c r="CP229" s="2276">
        <f t="shared" si="249"/>
        <v>45.94</v>
      </c>
      <c r="CQ229" s="2275">
        <v>825</v>
      </c>
      <c r="CR229" s="2275"/>
      <c r="CS229" s="2275"/>
      <c r="CT229" s="2275"/>
      <c r="CU229" s="2275"/>
      <c r="CV229" s="2275"/>
      <c r="CW229" s="2275"/>
      <c r="CX229" s="2250"/>
      <c r="CY229" s="2250"/>
      <c r="CZ229" s="2250"/>
      <c r="DA229" s="2250"/>
      <c r="DB229" s="2250"/>
      <c r="DC229" s="2250"/>
      <c r="DD229" s="2250"/>
      <c r="DE229" s="2250"/>
      <c r="DF229" s="2250"/>
      <c r="DG229" s="2250"/>
      <c r="DH229" s="2250"/>
      <c r="DI229" s="2250"/>
      <c r="DJ229" s="2250"/>
      <c r="DK229" s="2250"/>
      <c r="DL229" s="2250"/>
      <c r="DM229" s="2250"/>
      <c r="DN229" s="2250"/>
      <c r="DO229" s="2250"/>
      <c r="DP229" s="2250"/>
      <c r="DQ229" s="2277"/>
      <c r="DR229" s="2277"/>
      <c r="DS229" s="2278"/>
      <c r="DT229" s="2250"/>
      <c r="DU229" s="2250"/>
      <c r="DV229" s="2250"/>
      <c r="DW229" s="2250"/>
      <c r="DX229" s="2275"/>
      <c r="DY229" s="4671"/>
      <c r="DZ229" s="2345">
        <v>825</v>
      </c>
      <c r="EA229" s="2346">
        <v>42.48</v>
      </c>
      <c r="EB229" s="2346">
        <v>45.94</v>
      </c>
      <c r="EC229" s="2346">
        <v>49.41</v>
      </c>
      <c r="ED229" s="2346">
        <v>52.38</v>
      </c>
      <c r="EE229" s="2346">
        <v>55.64</v>
      </c>
      <c r="EF229" s="2346">
        <v>56.83</v>
      </c>
      <c r="EG229" s="2346">
        <v>58.91</v>
      </c>
      <c r="EH229" s="2346">
        <v>63.27</v>
      </c>
      <c r="EI229" s="2346">
        <v>67.72</v>
      </c>
      <c r="EJ229" s="2346">
        <v>72.180000000000007</v>
      </c>
      <c r="EK229" s="2346">
        <v>80.89</v>
      </c>
      <c r="EL229" s="2346">
        <v>86.83</v>
      </c>
      <c r="EM229" s="2346">
        <v>91.19</v>
      </c>
      <c r="EN229" s="2346">
        <v>92.38</v>
      </c>
      <c r="EO229" s="2346">
        <v>100.3</v>
      </c>
      <c r="EP229" s="2346">
        <v>104.26</v>
      </c>
      <c r="EQ229" s="2346">
        <v>112.28</v>
      </c>
      <c r="ER229" s="2346">
        <v>118.71</v>
      </c>
      <c r="ES229" s="2346">
        <v>124.36</v>
      </c>
      <c r="ET229" s="2346">
        <v>132.87</v>
      </c>
      <c r="EU229" s="2346">
        <v>143.76</v>
      </c>
      <c r="EV229" s="2346">
        <v>154.85</v>
      </c>
      <c r="EW229" s="2346">
        <v>157.13</v>
      </c>
      <c r="EX229" s="2346">
        <v>161.78</v>
      </c>
      <c r="EY229" s="2346">
        <v>176.44</v>
      </c>
      <c r="EZ229" s="2346">
        <v>180.69</v>
      </c>
      <c r="FA229" s="2346">
        <v>180.69</v>
      </c>
      <c r="FB229" s="2347">
        <v>825</v>
      </c>
      <c r="FC229" s="2275"/>
      <c r="FD229" s="2276">
        <f>HLOOKUP(FD221,EA222:FA234,6,0)</f>
        <v>31.19</v>
      </c>
      <c r="FE229" s="2276">
        <f t="shared" si="250"/>
        <v>49.5</v>
      </c>
      <c r="FF229" s="2275">
        <v>775</v>
      </c>
      <c r="FG229" s="2275"/>
      <c r="FH229" s="2275"/>
      <c r="FI229" s="2275"/>
      <c r="FJ229" s="2275"/>
      <c r="FK229" s="2275"/>
      <c r="FL229" s="2275"/>
      <c r="FM229" s="2250"/>
      <c r="FN229" s="2250"/>
      <c r="FO229" s="2250"/>
      <c r="FP229" s="2250"/>
      <c r="FQ229" s="2250"/>
      <c r="FR229" s="2250"/>
      <c r="FS229" s="2250"/>
      <c r="FT229" s="2250"/>
      <c r="FU229" s="2250"/>
      <c r="FV229" s="2250"/>
      <c r="FW229" s="2250"/>
      <c r="FX229" s="2250"/>
      <c r="FY229" s="2250"/>
      <c r="FZ229" s="2250"/>
      <c r="GA229" s="2250"/>
      <c r="GB229" s="2250"/>
      <c r="GC229" s="2276"/>
      <c r="GD229" s="2276"/>
      <c r="GE229" s="2250"/>
      <c r="GF229" s="2275"/>
      <c r="GG229" s="4671"/>
      <c r="GH229" s="2345">
        <v>825</v>
      </c>
      <c r="GI229" s="2346">
        <v>42.48</v>
      </c>
      <c r="GJ229" s="2346">
        <v>45.94</v>
      </c>
      <c r="GK229" s="2346">
        <v>49.41</v>
      </c>
      <c r="GL229" s="2346">
        <v>52.38</v>
      </c>
      <c r="GM229" s="2346">
        <v>55.64</v>
      </c>
      <c r="GN229" s="2346">
        <v>56.83</v>
      </c>
      <c r="GO229" s="2346">
        <v>58.91</v>
      </c>
      <c r="GP229" s="2346">
        <v>63.27</v>
      </c>
      <c r="GQ229" s="2346">
        <v>67.72</v>
      </c>
      <c r="GR229" s="2346">
        <v>72.180000000000007</v>
      </c>
      <c r="GS229" s="2346">
        <v>80.89</v>
      </c>
      <c r="GT229" s="2346">
        <v>86.83</v>
      </c>
      <c r="GU229" s="2346">
        <v>91.19</v>
      </c>
      <c r="GV229" s="2346">
        <v>92.38</v>
      </c>
      <c r="GW229" s="2346">
        <v>100.3</v>
      </c>
      <c r="GX229" s="2346">
        <v>104.26</v>
      </c>
      <c r="GY229" s="2346">
        <v>112.28</v>
      </c>
      <c r="GZ229" s="2346">
        <v>118.71</v>
      </c>
      <c r="HA229" s="2346">
        <v>124.36</v>
      </c>
      <c r="HB229" s="2346">
        <v>132.87</v>
      </c>
      <c r="HC229" s="2346">
        <v>143.76</v>
      </c>
      <c r="HD229" s="2346">
        <v>154.85</v>
      </c>
      <c r="HE229" s="2346">
        <v>157.13</v>
      </c>
      <c r="HF229" s="2346">
        <v>161.78</v>
      </c>
      <c r="HG229" s="2346">
        <v>176.44</v>
      </c>
      <c r="HH229" s="2346">
        <v>180.69</v>
      </c>
      <c r="HI229" s="2346">
        <v>180.69</v>
      </c>
      <c r="HJ229" s="2347">
        <v>825</v>
      </c>
      <c r="HK229" s="2275"/>
      <c r="HL229" s="2276">
        <f>HLOOKUP(HL221,GI222:HI234,6,0)</f>
        <v>29.21</v>
      </c>
      <c r="HM229" s="2276">
        <f t="shared" si="251"/>
        <v>46.44</v>
      </c>
      <c r="HN229" s="2275">
        <v>775</v>
      </c>
      <c r="HO229" s="2275"/>
      <c r="HP229" s="2275"/>
      <c r="HQ229" s="2275"/>
      <c r="HR229" s="2275"/>
      <c r="HS229" s="2275"/>
      <c r="HT229" s="2275"/>
      <c r="HU229" s="2250"/>
      <c r="HV229" s="2250"/>
      <c r="HW229" s="2250"/>
      <c r="HX229" s="2250"/>
      <c r="HY229" s="2250"/>
      <c r="HZ229" s="2250"/>
      <c r="IA229" s="2250"/>
      <c r="IB229" s="2250"/>
      <c r="IC229" s="2250"/>
      <c r="ID229" s="2250"/>
      <c r="IE229" s="2250"/>
      <c r="IF229" s="2250"/>
      <c r="IG229" s="2250"/>
      <c r="IH229" s="2250"/>
      <c r="II229" s="2250"/>
      <c r="IJ229" s="2250"/>
      <c r="IK229" s="2250"/>
      <c r="IL229" s="2250"/>
    </row>
    <row r="230" spans="1:246" ht="21.95" customHeight="1">
      <c r="A230" s="2275"/>
      <c r="B230" s="4671"/>
      <c r="C230" s="2345">
        <v>1100</v>
      </c>
      <c r="D230" s="2346">
        <v>82.97</v>
      </c>
      <c r="E230" s="2346">
        <v>89.6</v>
      </c>
      <c r="F230" s="2346">
        <v>96.53</v>
      </c>
      <c r="G230" s="2346">
        <v>103.37</v>
      </c>
      <c r="H230" s="2346">
        <v>109.31</v>
      </c>
      <c r="I230" s="2346">
        <v>111.49</v>
      </c>
      <c r="J230" s="2346">
        <v>119.31</v>
      </c>
      <c r="K230" s="2346">
        <v>126.63</v>
      </c>
      <c r="L230" s="2346">
        <v>135.44999999999999</v>
      </c>
      <c r="M230" s="2346">
        <v>144.16</v>
      </c>
      <c r="N230" s="2346">
        <v>158.71</v>
      </c>
      <c r="O230" s="2346">
        <v>169.11</v>
      </c>
      <c r="P230" s="2346">
        <v>177.82</v>
      </c>
      <c r="Q230" s="2346">
        <v>186.93</v>
      </c>
      <c r="R230" s="2346">
        <v>192.97</v>
      </c>
      <c r="S230" s="2346">
        <v>205.05</v>
      </c>
      <c r="T230" s="2346">
        <v>217.13</v>
      </c>
      <c r="U230" s="2346">
        <v>236.44</v>
      </c>
      <c r="V230" s="2346">
        <v>252.48</v>
      </c>
      <c r="W230" s="2346">
        <v>272.38</v>
      </c>
      <c r="X230" s="2346">
        <v>288.22000000000003</v>
      </c>
      <c r="Y230" s="2346">
        <v>318.12</v>
      </c>
      <c r="Z230" s="2346">
        <v>347.62</v>
      </c>
      <c r="AA230" s="2346">
        <v>384.65</v>
      </c>
      <c r="AB230" s="2346">
        <v>432.57</v>
      </c>
      <c r="AC230" s="2346">
        <v>492.08</v>
      </c>
      <c r="AD230" s="2346">
        <v>526.83000000000004</v>
      </c>
      <c r="AE230" s="2347">
        <v>1100</v>
      </c>
      <c r="AF230" s="2275"/>
      <c r="AG230" s="2276">
        <f>HLOOKUP(AG220,D221:AD233,8,0)</f>
        <v>49.41</v>
      </c>
      <c r="AH230" s="2276">
        <f t="shared" si="248"/>
        <v>70.400000000000006</v>
      </c>
      <c r="AI230" s="2275">
        <v>950</v>
      </c>
      <c r="AJ230" s="2275"/>
      <c r="AK230" s="2275"/>
      <c r="AL230" s="2275"/>
      <c r="AM230" s="2275"/>
      <c r="AN230" s="2275"/>
      <c r="AO230" s="2275"/>
      <c r="AP230" s="2250"/>
      <c r="AQ230" s="2250"/>
      <c r="AR230" s="2250"/>
      <c r="AS230" s="2250"/>
      <c r="AT230" s="2250"/>
      <c r="AU230" s="2250"/>
      <c r="AV230" s="2250"/>
      <c r="AW230" s="2250"/>
      <c r="AX230" s="2250"/>
      <c r="AY230" s="2250"/>
      <c r="AZ230" s="2250"/>
      <c r="BA230" s="2250"/>
      <c r="BB230" s="2250"/>
      <c r="BC230" s="2250"/>
      <c r="BD230" s="2250"/>
      <c r="BE230" s="2250"/>
      <c r="BF230" s="2276"/>
      <c r="BG230" s="2276"/>
      <c r="BH230" s="2250"/>
      <c r="BI230" s="2275"/>
      <c r="BJ230" s="4671"/>
      <c r="BK230" s="2345">
        <v>1100</v>
      </c>
      <c r="BL230" s="2346">
        <v>82.97</v>
      </c>
      <c r="BM230" s="2346">
        <v>89.6</v>
      </c>
      <c r="BN230" s="2346">
        <v>96.53</v>
      </c>
      <c r="BO230" s="2346">
        <v>103.37</v>
      </c>
      <c r="BP230" s="2346">
        <v>109.31</v>
      </c>
      <c r="BQ230" s="2346">
        <v>111.49</v>
      </c>
      <c r="BR230" s="2346">
        <v>119.31</v>
      </c>
      <c r="BS230" s="2346">
        <v>126.63</v>
      </c>
      <c r="BT230" s="2346">
        <v>135.44999999999999</v>
      </c>
      <c r="BU230" s="2346">
        <v>144.16</v>
      </c>
      <c r="BV230" s="2346">
        <v>158.71</v>
      </c>
      <c r="BW230" s="2346">
        <v>169.11</v>
      </c>
      <c r="BX230" s="2346">
        <v>177.82</v>
      </c>
      <c r="BY230" s="2346">
        <v>186.93</v>
      </c>
      <c r="BZ230" s="2346">
        <v>192.97</v>
      </c>
      <c r="CA230" s="2346">
        <v>205.05</v>
      </c>
      <c r="CB230" s="2346">
        <v>217.13</v>
      </c>
      <c r="CC230" s="2346">
        <v>236.44</v>
      </c>
      <c r="CD230" s="2346">
        <v>252.48</v>
      </c>
      <c r="CE230" s="2346">
        <v>272.38</v>
      </c>
      <c r="CF230" s="2346">
        <v>288.22000000000003</v>
      </c>
      <c r="CG230" s="2346">
        <v>318.12</v>
      </c>
      <c r="CH230" s="2346">
        <v>347.62</v>
      </c>
      <c r="CI230" s="2346">
        <v>384.65</v>
      </c>
      <c r="CJ230" s="2346">
        <v>432.57</v>
      </c>
      <c r="CK230" s="2346">
        <v>492.08</v>
      </c>
      <c r="CL230" s="2346">
        <v>526.83000000000004</v>
      </c>
      <c r="CM230" s="2347">
        <v>1100</v>
      </c>
      <c r="CN230" s="2275"/>
      <c r="CO230" s="2276">
        <f>HLOOKUP(CO220,BL221:CL233,8,0)</f>
        <v>45.94</v>
      </c>
      <c r="CP230" s="2276">
        <f t="shared" si="249"/>
        <v>65.349999999999994</v>
      </c>
      <c r="CQ230" s="2275">
        <v>950</v>
      </c>
      <c r="CR230" s="2275"/>
      <c r="CS230" s="2275"/>
      <c r="CT230" s="2275"/>
      <c r="CU230" s="2275"/>
      <c r="CV230" s="2275"/>
      <c r="CW230" s="2275"/>
      <c r="CX230" s="2250"/>
      <c r="CY230" s="2250"/>
      <c r="CZ230" s="2250"/>
      <c r="DA230" s="2250"/>
      <c r="DB230" s="2250"/>
      <c r="DC230" s="2250"/>
      <c r="DD230" s="2250"/>
      <c r="DE230" s="2250"/>
      <c r="DF230" s="2250"/>
      <c r="DG230" s="2250"/>
      <c r="DH230" s="2250"/>
      <c r="DI230" s="2250"/>
      <c r="DJ230" s="2250"/>
      <c r="DK230" s="2250"/>
      <c r="DL230" s="2250"/>
      <c r="DM230" s="2250"/>
      <c r="DN230" s="2250"/>
      <c r="DO230" s="2250"/>
      <c r="DP230" s="2250"/>
      <c r="DQ230" s="2277"/>
      <c r="DR230" s="2277"/>
      <c r="DS230" s="2278"/>
      <c r="DT230" s="2250"/>
      <c r="DU230" s="2250"/>
      <c r="DV230" s="2250"/>
      <c r="DW230" s="2250"/>
      <c r="DX230" s="2275"/>
      <c r="DY230" s="4671"/>
      <c r="DZ230" s="2345">
        <v>950</v>
      </c>
      <c r="EA230" s="2346">
        <v>60.5</v>
      </c>
      <c r="EB230" s="2346">
        <v>65.349999999999994</v>
      </c>
      <c r="EC230" s="2346">
        <v>70.400000000000006</v>
      </c>
      <c r="ED230" s="2346">
        <v>75.349999999999994</v>
      </c>
      <c r="EE230" s="2346">
        <v>80</v>
      </c>
      <c r="EF230" s="2346">
        <v>81.290000000000006</v>
      </c>
      <c r="EG230" s="2346">
        <v>87.03</v>
      </c>
      <c r="EH230" s="2346">
        <v>93.07</v>
      </c>
      <c r="EI230" s="2346">
        <v>99.5</v>
      </c>
      <c r="EJ230" s="2346">
        <v>105.15</v>
      </c>
      <c r="EK230" s="2346">
        <v>115.74</v>
      </c>
      <c r="EL230" s="2346">
        <v>125.25</v>
      </c>
      <c r="EM230" s="2346">
        <v>130.30000000000001</v>
      </c>
      <c r="EN230" s="2346">
        <v>136.34</v>
      </c>
      <c r="EO230" s="2346">
        <v>143.76</v>
      </c>
      <c r="EP230" s="2346">
        <v>147.13</v>
      </c>
      <c r="EQ230" s="2346">
        <v>155.63999999999999</v>
      </c>
      <c r="ER230" s="2346">
        <v>163.47</v>
      </c>
      <c r="ES230" s="2346">
        <v>180.2</v>
      </c>
      <c r="ET230" s="2346">
        <v>185.45</v>
      </c>
      <c r="EU230" s="2346">
        <v>210.1</v>
      </c>
      <c r="EV230" s="2346">
        <v>225.15</v>
      </c>
      <c r="EW230" s="2346">
        <v>241.49</v>
      </c>
      <c r="EX230" s="2346">
        <v>269.7</v>
      </c>
      <c r="EY230" s="2346">
        <v>269.7</v>
      </c>
      <c r="EZ230" s="2346">
        <v>269.7</v>
      </c>
      <c r="FA230" s="2346">
        <v>269.7</v>
      </c>
      <c r="FB230" s="2347">
        <v>950</v>
      </c>
      <c r="FC230" s="2275"/>
      <c r="FD230" s="2276">
        <f>HLOOKUP(FD221,EA222:FA234,7,0)</f>
        <v>49.5</v>
      </c>
      <c r="FE230" s="2276">
        <f t="shared" si="250"/>
        <v>72.180000000000007</v>
      </c>
      <c r="FF230" s="2275">
        <v>825</v>
      </c>
      <c r="FG230" s="2275"/>
      <c r="FH230" s="2275"/>
      <c r="FI230" s="2275"/>
      <c r="FJ230" s="2275"/>
      <c r="FK230" s="2275"/>
      <c r="FL230" s="2275"/>
      <c r="FM230" s="2250"/>
      <c r="FN230" s="2250"/>
      <c r="FO230" s="2250"/>
      <c r="FP230" s="2250"/>
      <c r="FQ230" s="2250"/>
      <c r="FR230" s="2250"/>
      <c r="FS230" s="2250"/>
      <c r="FT230" s="2250"/>
      <c r="FU230" s="2250"/>
      <c r="FV230" s="2250"/>
      <c r="FW230" s="2250"/>
      <c r="FX230" s="2250"/>
      <c r="FY230" s="2250"/>
      <c r="FZ230" s="2250"/>
      <c r="GA230" s="2250"/>
      <c r="GB230" s="2250"/>
      <c r="GC230" s="2276"/>
      <c r="GD230" s="2276"/>
      <c r="GE230" s="2250"/>
      <c r="GF230" s="2275"/>
      <c r="GG230" s="4671"/>
      <c r="GH230" s="2345">
        <v>950</v>
      </c>
      <c r="GI230" s="2346">
        <v>60.5</v>
      </c>
      <c r="GJ230" s="2346">
        <v>65.349999999999994</v>
      </c>
      <c r="GK230" s="2346">
        <v>70.400000000000006</v>
      </c>
      <c r="GL230" s="2346">
        <v>75.349999999999994</v>
      </c>
      <c r="GM230" s="2346">
        <v>80</v>
      </c>
      <c r="GN230" s="2346">
        <v>81.290000000000006</v>
      </c>
      <c r="GO230" s="2346">
        <v>87.03</v>
      </c>
      <c r="GP230" s="2346">
        <v>93.07</v>
      </c>
      <c r="GQ230" s="2346">
        <v>99.5</v>
      </c>
      <c r="GR230" s="2346">
        <v>105.15</v>
      </c>
      <c r="GS230" s="2346">
        <v>115.74</v>
      </c>
      <c r="GT230" s="2346">
        <v>125.25</v>
      </c>
      <c r="GU230" s="2346">
        <v>130.30000000000001</v>
      </c>
      <c r="GV230" s="2346">
        <v>136.34</v>
      </c>
      <c r="GW230" s="2346">
        <v>143.76</v>
      </c>
      <c r="GX230" s="2346">
        <v>147.13</v>
      </c>
      <c r="GY230" s="2346">
        <v>155.63999999999999</v>
      </c>
      <c r="GZ230" s="2346">
        <v>163.47</v>
      </c>
      <c r="HA230" s="2346">
        <v>180.2</v>
      </c>
      <c r="HB230" s="2346">
        <v>185.45</v>
      </c>
      <c r="HC230" s="2346">
        <v>210.1</v>
      </c>
      <c r="HD230" s="2346">
        <v>225.15</v>
      </c>
      <c r="HE230" s="2346">
        <v>241.49</v>
      </c>
      <c r="HF230" s="2346">
        <v>269.7</v>
      </c>
      <c r="HG230" s="2346">
        <v>269.7</v>
      </c>
      <c r="HH230" s="2346">
        <v>269.7</v>
      </c>
      <c r="HI230" s="2346">
        <v>269.7</v>
      </c>
      <c r="HJ230" s="2347">
        <v>950</v>
      </c>
      <c r="HK230" s="2275"/>
      <c r="HL230" s="2276">
        <f>HLOOKUP(HL221,GI222:HI234,7,0)</f>
        <v>46.44</v>
      </c>
      <c r="HM230" s="2276">
        <f t="shared" si="251"/>
        <v>67.72</v>
      </c>
      <c r="HN230" s="2275">
        <v>825</v>
      </c>
      <c r="HO230" s="2275"/>
      <c r="HP230" s="2275"/>
      <c r="HQ230" s="2275"/>
      <c r="HR230" s="2275"/>
      <c r="HS230" s="2275"/>
      <c r="HT230" s="2275"/>
      <c r="HU230" s="2250"/>
      <c r="HV230" s="2250"/>
      <c r="HW230" s="2250"/>
      <c r="HX230" s="2250"/>
      <c r="HY230" s="2250"/>
      <c r="HZ230" s="2250"/>
      <c r="IA230" s="2250"/>
      <c r="IB230" s="2250"/>
      <c r="IC230" s="2250"/>
      <c r="ID230" s="2250"/>
      <c r="IE230" s="2250"/>
      <c r="IF230" s="2250"/>
      <c r="IG230" s="2250"/>
      <c r="IH230" s="2250"/>
      <c r="II230" s="2250"/>
      <c r="IJ230" s="2250"/>
      <c r="IK230" s="2250"/>
      <c r="IL230" s="2250"/>
    </row>
    <row r="231" spans="1:246" ht="21.95" customHeight="1">
      <c r="A231" s="2275"/>
      <c r="B231" s="4671"/>
      <c r="C231" s="2345">
        <v>1250</v>
      </c>
      <c r="D231" s="2346">
        <v>112.77</v>
      </c>
      <c r="E231" s="2346">
        <v>121.78</v>
      </c>
      <c r="F231" s="2346">
        <v>131.09</v>
      </c>
      <c r="G231" s="2346">
        <v>140.5</v>
      </c>
      <c r="H231" s="2346">
        <v>149.11000000000001</v>
      </c>
      <c r="I231" s="2346">
        <v>151.38999999999999</v>
      </c>
      <c r="J231" s="2346">
        <v>162.08000000000001</v>
      </c>
      <c r="K231" s="2346">
        <v>173.37</v>
      </c>
      <c r="L231" s="2346">
        <v>183.96</v>
      </c>
      <c r="M231" s="2346">
        <v>195.84</v>
      </c>
      <c r="N231" s="2346">
        <v>216.04</v>
      </c>
      <c r="O231" s="2346">
        <v>232.18</v>
      </c>
      <c r="P231" s="2346">
        <v>241.78</v>
      </c>
      <c r="Q231" s="2346">
        <v>253.96</v>
      </c>
      <c r="R231" s="2346">
        <v>267.92</v>
      </c>
      <c r="S231" s="2346">
        <v>277.02999999999997</v>
      </c>
      <c r="T231" s="2346">
        <v>295.25</v>
      </c>
      <c r="U231" s="2346">
        <v>338.91</v>
      </c>
      <c r="V231" s="2346">
        <v>342.87</v>
      </c>
      <c r="W231" s="2346">
        <v>348.81</v>
      </c>
      <c r="X231" s="2346">
        <v>362.28</v>
      </c>
      <c r="Y231" s="2346">
        <v>410.3</v>
      </c>
      <c r="Z231" s="2346">
        <v>467.82</v>
      </c>
      <c r="AA231" s="2346">
        <v>515.04999999999995</v>
      </c>
      <c r="AB231" s="2346">
        <v>526.83000000000004</v>
      </c>
      <c r="AC231" s="2346">
        <v>526.83000000000004</v>
      </c>
      <c r="AD231" s="2346">
        <v>526.83000000000004</v>
      </c>
      <c r="AE231" s="2347">
        <v>1250</v>
      </c>
      <c r="AF231" s="2275"/>
      <c r="AG231" s="2276">
        <f>HLOOKUP(AG220,D221:AD233,9,0)</f>
        <v>70.400000000000006</v>
      </c>
      <c r="AH231" s="2276">
        <f t="shared" si="248"/>
        <v>96.53</v>
      </c>
      <c r="AI231" s="2275">
        <v>1100</v>
      </c>
      <c r="AJ231" s="2275"/>
      <c r="AK231" s="2275"/>
      <c r="AL231" s="2275"/>
      <c r="AM231" s="2275"/>
      <c r="AN231" s="2275"/>
      <c r="AO231" s="2275"/>
      <c r="AP231" s="2250"/>
      <c r="AQ231" s="2250"/>
      <c r="AR231" s="2250"/>
      <c r="AS231" s="2250"/>
      <c r="AT231" s="2250"/>
      <c r="AU231" s="2250"/>
      <c r="AV231" s="2250"/>
      <c r="AW231" s="2250"/>
      <c r="AX231" s="2250"/>
      <c r="AY231" s="2250"/>
      <c r="AZ231" s="2250"/>
      <c r="BA231" s="2250"/>
      <c r="BB231" s="2250"/>
      <c r="BC231" s="2250"/>
      <c r="BD231" s="2250"/>
      <c r="BE231" s="2250"/>
      <c r="BF231" s="2276"/>
      <c r="BG231" s="2276"/>
      <c r="BH231" s="2250"/>
      <c r="BI231" s="2275"/>
      <c r="BJ231" s="4671"/>
      <c r="BK231" s="2345">
        <v>1250</v>
      </c>
      <c r="BL231" s="2346">
        <v>112.77</v>
      </c>
      <c r="BM231" s="2346">
        <v>121.78</v>
      </c>
      <c r="BN231" s="2346">
        <v>131.09</v>
      </c>
      <c r="BO231" s="2346">
        <v>140.5</v>
      </c>
      <c r="BP231" s="2346">
        <v>149.11000000000001</v>
      </c>
      <c r="BQ231" s="2346">
        <v>151.38999999999999</v>
      </c>
      <c r="BR231" s="2346">
        <v>162.08000000000001</v>
      </c>
      <c r="BS231" s="2346">
        <v>173.37</v>
      </c>
      <c r="BT231" s="2346">
        <v>183.96</v>
      </c>
      <c r="BU231" s="2346">
        <v>195.84</v>
      </c>
      <c r="BV231" s="2346">
        <v>216.04</v>
      </c>
      <c r="BW231" s="2346">
        <v>232.18</v>
      </c>
      <c r="BX231" s="2346">
        <v>241.78</v>
      </c>
      <c r="BY231" s="2346">
        <v>253.96</v>
      </c>
      <c r="BZ231" s="2346">
        <v>267.92</v>
      </c>
      <c r="CA231" s="2346">
        <v>277.02999999999997</v>
      </c>
      <c r="CB231" s="2346">
        <v>295.25</v>
      </c>
      <c r="CC231" s="2346">
        <v>338.91</v>
      </c>
      <c r="CD231" s="2346">
        <v>342.87</v>
      </c>
      <c r="CE231" s="2346">
        <v>348.81</v>
      </c>
      <c r="CF231" s="2346">
        <v>362.28</v>
      </c>
      <c r="CG231" s="2346">
        <v>410.3</v>
      </c>
      <c r="CH231" s="2346">
        <v>467.82</v>
      </c>
      <c r="CI231" s="2346">
        <v>515.04999999999995</v>
      </c>
      <c r="CJ231" s="2346">
        <v>526.83000000000004</v>
      </c>
      <c r="CK231" s="2346">
        <v>526.83000000000004</v>
      </c>
      <c r="CL231" s="2346">
        <v>526.83000000000004</v>
      </c>
      <c r="CM231" s="2347">
        <v>1250</v>
      </c>
      <c r="CN231" s="2275"/>
      <c r="CO231" s="2276">
        <f>HLOOKUP(CO220,BL221:CL233,9,0)</f>
        <v>65.349999999999994</v>
      </c>
      <c r="CP231" s="2276">
        <f t="shared" si="249"/>
        <v>89.6</v>
      </c>
      <c r="CQ231" s="2275">
        <v>1100</v>
      </c>
      <c r="CR231" s="2275"/>
      <c r="CS231" s="2275"/>
      <c r="CT231" s="2275"/>
      <c r="CU231" s="2275"/>
      <c r="CV231" s="2275"/>
      <c r="CW231" s="2275"/>
      <c r="CX231" s="2250"/>
      <c r="CY231" s="2250"/>
      <c r="CZ231" s="2250"/>
      <c r="DA231" s="2250"/>
      <c r="DB231" s="2250"/>
      <c r="DC231" s="2250"/>
      <c r="DD231" s="2250"/>
      <c r="DE231" s="2250"/>
      <c r="DF231" s="2250"/>
      <c r="DG231" s="2250"/>
      <c r="DH231" s="2250"/>
      <c r="DI231" s="2250"/>
      <c r="DJ231" s="2250"/>
      <c r="DK231" s="2250"/>
      <c r="DL231" s="2250"/>
      <c r="DM231" s="2250"/>
      <c r="DN231" s="2250"/>
      <c r="DO231" s="2250"/>
      <c r="DP231" s="2250"/>
      <c r="DQ231" s="2277"/>
      <c r="DR231" s="2277"/>
      <c r="DS231" s="2278"/>
      <c r="DT231" s="2250"/>
      <c r="DU231" s="2250"/>
      <c r="DV231" s="2250"/>
      <c r="DW231" s="2250"/>
      <c r="DX231" s="2275"/>
      <c r="DY231" s="4671"/>
      <c r="DZ231" s="2345">
        <v>1100</v>
      </c>
      <c r="EA231" s="2346">
        <v>82.97</v>
      </c>
      <c r="EB231" s="2346">
        <v>89.6</v>
      </c>
      <c r="EC231" s="2346">
        <v>96.53</v>
      </c>
      <c r="ED231" s="2346">
        <v>103.37</v>
      </c>
      <c r="EE231" s="2346">
        <v>109.31</v>
      </c>
      <c r="EF231" s="2346">
        <v>111.49</v>
      </c>
      <c r="EG231" s="2346">
        <v>119.31</v>
      </c>
      <c r="EH231" s="2346">
        <v>126.63</v>
      </c>
      <c r="EI231" s="2346">
        <v>135.44999999999999</v>
      </c>
      <c r="EJ231" s="2346">
        <v>144.16</v>
      </c>
      <c r="EK231" s="2346">
        <v>158.71</v>
      </c>
      <c r="EL231" s="2346">
        <v>169.11</v>
      </c>
      <c r="EM231" s="2346">
        <v>177.82</v>
      </c>
      <c r="EN231" s="2346">
        <v>186.93</v>
      </c>
      <c r="EO231" s="2346">
        <v>192.97</v>
      </c>
      <c r="EP231" s="2346">
        <v>205.05</v>
      </c>
      <c r="EQ231" s="2346">
        <v>217.13</v>
      </c>
      <c r="ER231" s="2346">
        <v>236.44</v>
      </c>
      <c r="ES231" s="2346">
        <v>252.48</v>
      </c>
      <c r="ET231" s="2346">
        <v>272.38</v>
      </c>
      <c r="EU231" s="2346">
        <v>288.22000000000003</v>
      </c>
      <c r="EV231" s="2346">
        <v>318.12</v>
      </c>
      <c r="EW231" s="2346">
        <v>347.62</v>
      </c>
      <c r="EX231" s="2346">
        <v>384.65</v>
      </c>
      <c r="EY231" s="2346">
        <v>432.57</v>
      </c>
      <c r="EZ231" s="2346">
        <v>492.08</v>
      </c>
      <c r="FA231" s="2346">
        <v>526.83000000000004</v>
      </c>
      <c r="FB231" s="2347">
        <v>1100</v>
      </c>
      <c r="FC231" s="2275"/>
      <c r="FD231" s="2276">
        <f>HLOOKUP(FD221,EA222:FA234,8,0)</f>
        <v>72.180000000000007</v>
      </c>
      <c r="FE231" s="2276">
        <f t="shared" si="250"/>
        <v>105.15</v>
      </c>
      <c r="FF231" s="2275">
        <v>950</v>
      </c>
      <c r="FG231" s="2275"/>
      <c r="FH231" s="2275"/>
      <c r="FI231" s="2275"/>
      <c r="FJ231" s="2275"/>
      <c r="FK231" s="2275"/>
      <c r="FL231" s="2275"/>
      <c r="FM231" s="2250"/>
      <c r="FN231" s="2250"/>
      <c r="FO231" s="2250"/>
      <c r="FP231" s="2250"/>
      <c r="FQ231" s="2250"/>
      <c r="FR231" s="2250"/>
      <c r="FS231" s="2250"/>
      <c r="FT231" s="2250"/>
      <c r="FU231" s="2250"/>
      <c r="FV231" s="2250"/>
      <c r="FW231" s="2250"/>
      <c r="FX231" s="2250"/>
      <c r="FY231" s="2250"/>
      <c r="FZ231" s="2250"/>
      <c r="GA231" s="2250"/>
      <c r="GB231" s="2250"/>
      <c r="GC231" s="2276"/>
      <c r="GD231" s="2276"/>
      <c r="GE231" s="2250"/>
      <c r="GF231" s="2275"/>
      <c r="GG231" s="4671"/>
      <c r="GH231" s="2345">
        <v>1100</v>
      </c>
      <c r="GI231" s="2346">
        <v>82.97</v>
      </c>
      <c r="GJ231" s="2346">
        <v>89.6</v>
      </c>
      <c r="GK231" s="2346">
        <v>96.53</v>
      </c>
      <c r="GL231" s="2346">
        <v>103.37</v>
      </c>
      <c r="GM231" s="2346">
        <v>109.31</v>
      </c>
      <c r="GN231" s="2346">
        <v>111.49</v>
      </c>
      <c r="GO231" s="2346">
        <v>119.31</v>
      </c>
      <c r="GP231" s="2346">
        <v>126.63</v>
      </c>
      <c r="GQ231" s="2346">
        <v>135.44999999999999</v>
      </c>
      <c r="GR231" s="2346">
        <v>144.16</v>
      </c>
      <c r="GS231" s="2346">
        <v>158.71</v>
      </c>
      <c r="GT231" s="2346">
        <v>169.11</v>
      </c>
      <c r="GU231" s="2346">
        <v>177.82</v>
      </c>
      <c r="GV231" s="2346">
        <v>186.93</v>
      </c>
      <c r="GW231" s="2346">
        <v>192.97</v>
      </c>
      <c r="GX231" s="2346">
        <v>205.05</v>
      </c>
      <c r="GY231" s="2346">
        <v>217.13</v>
      </c>
      <c r="GZ231" s="2346">
        <v>236.44</v>
      </c>
      <c r="HA231" s="2346">
        <v>252.48</v>
      </c>
      <c r="HB231" s="2346">
        <v>272.38</v>
      </c>
      <c r="HC231" s="2346">
        <v>288.22000000000003</v>
      </c>
      <c r="HD231" s="2346">
        <v>318.12</v>
      </c>
      <c r="HE231" s="2346">
        <v>347.62</v>
      </c>
      <c r="HF231" s="2346">
        <v>384.65</v>
      </c>
      <c r="HG231" s="2346">
        <v>432.57</v>
      </c>
      <c r="HH231" s="2346">
        <v>492.08</v>
      </c>
      <c r="HI231" s="2346">
        <v>526.83000000000004</v>
      </c>
      <c r="HJ231" s="2347">
        <v>1100</v>
      </c>
      <c r="HK231" s="2275"/>
      <c r="HL231" s="2276">
        <f>HLOOKUP(HL221,GI222:HI234,8,0)</f>
        <v>67.72</v>
      </c>
      <c r="HM231" s="2276">
        <f t="shared" si="251"/>
        <v>99.5</v>
      </c>
      <c r="HN231" s="2275">
        <v>950</v>
      </c>
      <c r="HO231" s="2275"/>
      <c r="HP231" s="2275"/>
      <c r="HQ231" s="2275"/>
      <c r="HR231" s="2275"/>
      <c r="HS231" s="2275"/>
      <c r="HT231" s="2275"/>
      <c r="HU231" s="2250"/>
      <c r="HV231" s="2250"/>
      <c r="HW231" s="2250"/>
      <c r="HX231" s="2250"/>
      <c r="HY231" s="2250"/>
      <c r="HZ231" s="2250"/>
      <c r="IA231" s="2250"/>
      <c r="IB231" s="2250"/>
      <c r="IC231" s="2250"/>
      <c r="ID231" s="2250"/>
      <c r="IE231" s="2250"/>
      <c r="IF231" s="2250"/>
      <c r="IG231" s="2250"/>
      <c r="IH231" s="2250"/>
      <c r="II231" s="2250"/>
      <c r="IJ231" s="2250"/>
      <c r="IK231" s="2250"/>
      <c r="IL231" s="2250"/>
    </row>
    <row r="232" spans="1:246" ht="21.95" customHeight="1">
      <c r="A232" s="2275"/>
      <c r="B232" s="2275"/>
      <c r="C232" s="2345">
        <v>1450</v>
      </c>
      <c r="D232" s="2346">
        <v>179.01</v>
      </c>
      <c r="E232" s="2346">
        <v>193.37</v>
      </c>
      <c r="F232" s="2346">
        <v>208.12</v>
      </c>
      <c r="G232" s="2346">
        <v>223.07</v>
      </c>
      <c r="H232" s="2346">
        <v>236.83</v>
      </c>
      <c r="I232" s="2346">
        <v>240.5</v>
      </c>
      <c r="J232" s="2346">
        <v>257.33</v>
      </c>
      <c r="K232" s="2346">
        <v>275.35000000000002</v>
      </c>
      <c r="L232" s="2346">
        <v>292.08</v>
      </c>
      <c r="M232" s="2346">
        <v>310.99</v>
      </c>
      <c r="N232" s="2346">
        <v>342.38</v>
      </c>
      <c r="O232" s="2346">
        <v>371.29</v>
      </c>
      <c r="P232" s="2346">
        <v>385.54</v>
      </c>
      <c r="Q232" s="2346">
        <v>399.6</v>
      </c>
      <c r="R232" s="2346">
        <v>420.79</v>
      </c>
      <c r="S232" s="2346">
        <v>442.18</v>
      </c>
      <c r="T232" s="2346">
        <v>470</v>
      </c>
      <c r="U232" s="2346">
        <v>498.22</v>
      </c>
      <c r="V232" s="2346">
        <v>544.46</v>
      </c>
      <c r="W232" s="2346">
        <v>584.85</v>
      </c>
      <c r="X232" s="2346">
        <v>614.46</v>
      </c>
      <c r="Y232" s="2346">
        <v>674.75</v>
      </c>
      <c r="Z232" s="2346">
        <v>733.56</v>
      </c>
      <c r="AA232" s="2346">
        <v>824.36</v>
      </c>
      <c r="AB232" s="2346">
        <v>910.3</v>
      </c>
      <c r="AC232" s="2346">
        <v>910.3</v>
      </c>
      <c r="AD232" s="2346">
        <v>910.3</v>
      </c>
      <c r="AE232" s="2347">
        <v>1450</v>
      </c>
      <c r="AF232" s="2275"/>
      <c r="AG232" s="2276">
        <f>HLOOKUP(AG220,D221:AD233,10,0)</f>
        <v>96.53</v>
      </c>
      <c r="AH232" s="2276">
        <f t="shared" si="248"/>
        <v>131.09</v>
      </c>
      <c r="AI232" s="2275">
        <v>1250</v>
      </c>
      <c r="AJ232" s="2275"/>
      <c r="AK232" s="2275"/>
      <c r="AL232" s="2275"/>
      <c r="AM232" s="2275"/>
      <c r="AN232" s="2275"/>
      <c r="AO232" s="2275"/>
      <c r="AP232" s="2250"/>
      <c r="AQ232" s="2250"/>
      <c r="AR232" s="2250"/>
      <c r="AS232" s="2250"/>
      <c r="AT232" s="2250"/>
      <c r="AU232" s="2250"/>
      <c r="AV232" s="2250"/>
      <c r="AW232" s="2250"/>
      <c r="AX232" s="2250"/>
      <c r="AY232" s="2250"/>
      <c r="AZ232" s="2250"/>
      <c r="BA232" s="2250"/>
      <c r="BB232" s="2250"/>
      <c r="BC232" s="2250"/>
      <c r="BD232" s="2250"/>
      <c r="BE232" s="2250"/>
      <c r="BF232" s="2276"/>
      <c r="BG232" s="2276"/>
      <c r="BH232" s="2250"/>
      <c r="BI232" s="2275"/>
      <c r="BJ232" s="2275"/>
      <c r="BK232" s="2345">
        <v>1450</v>
      </c>
      <c r="BL232" s="2346">
        <v>179.01</v>
      </c>
      <c r="BM232" s="2346">
        <v>193.37</v>
      </c>
      <c r="BN232" s="2346">
        <v>208.12</v>
      </c>
      <c r="BO232" s="2346">
        <v>223.07</v>
      </c>
      <c r="BP232" s="2346">
        <v>236.83</v>
      </c>
      <c r="BQ232" s="2346">
        <v>240.5</v>
      </c>
      <c r="BR232" s="2346">
        <v>257.33</v>
      </c>
      <c r="BS232" s="2346">
        <v>275.35000000000002</v>
      </c>
      <c r="BT232" s="2346">
        <v>292.08</v>
      </c>
      <c r="BU232" s="2346">
        <v>310.99</v>
      </c>
      <c r="BV232" s="2346">
        <v>342.38</v>
      </c>
      <c r="BW232" s="2346">
        <v>371.29</v>
      </c>
      <c r="BX232" s="2346">
        <v>385.54</v>
      </c>
      <c r="BY232" s="2346">
        <v>399.6</v>
      </c>
      <c r="BZ232" s="2346">
        <v>420.79</v>
      </c>
      <c r="CA232" s="2346">
        <v>442.18</v>
      </c>
      <c r="CB232" s="2346">
        <v>470</v>
      </c>
      <c r="CC232" s="2346">
        <v>498.22</v>
      </c>
      <c r="CD232" s="2346">
        <v>544.46</v>
      </c>
      <c r="CE232" s="2346">
        <v>584.85</v>
      </c>
      <c r="CF232" s="2346">
        <v>614.46</v>
      </c>
      <c r="CG232" s="2346">
        <v>674.75</v>
      </c>
      <c r="CH232" s="2346">
        <v>733.56</v>
      </c>
      <c r="CI232" s="2346">
        <v>824.36</v>
      </c>
      <c r="CJ232" s="2346">
        <v>910.3</v>
      </c>
      <c r="CK232" s="2346">
        <v>910.3</v>
      </c>
      <c r="CL232" s="2346">
        <v>910.3</v>
      </c>
      <c r="CM232" s="2347">
        <v>1450</v>
      </c>
      <c r="CN232" s="2275"/>
      <c r="CO232" s="2276">
        <f>HLOOKUP(CO220,BL221:CL233,10,0)</f>
        <v>89.6</v>
      </c>
      <c r="CP232" s="2276">
        <f t="shared" si="249"/>
        <v>121.78</v>
      </c>
      <c r="CQ232" s="2275">
        <v>1250</v>
      </c>
      <c r="CR232" s="2275"/>
      <c r="CS232" s="2275"/>
      <c r="CT232" s="2275"/>
      <c r="CU232" s="2275"/>
      <c r="CV232" s="2275"/>
      <c r="CW232" s="2275"/>
      <c r="CX232" s="2250"/>
      <c r="CY232" s="2250"/>
      <c r="CZ232" s="2250"/>
      <c r="DA232" s="2250"/>
      <c r="DB232" s="2250"/>
      <c r="DC232" s="2250"/>
      <c r="DD232" s="2250"/>
      <c r="DE232" s="2250"/>
      <c r="DF232" s="2250"/>
      <c r="DG232" s="2250"/>
      <c r="DH232" s="2250"/>
      <c r="DI232" s="2250"/>
      <c r="DJ232" s="2250"/>
      <c r="DK232" s="2250"/>
      <c r="DL232" s="2250"/>
      <c r="DM232" s="2250"/>
      <c r="DN232" s="2250"/>
      <c r="DO232" s="2250"/>
      <c r="DP232" s="2250"/>
      <c r="DQ232" s="2277"/>
      <c r="DR232" s="2277"/>
      <c r="DS232" s="2278"/>
      <c r="DT232" s="2250"/>
      <c r="DU232" s="2250"/>
      <c r="DV232" s="2250"/>
      <c r="DW232" s="2250"/>
      <c r="DX232" s="2275"/>
      <c r="DY232" s="4671"/>
      <c r="DZ232" s="2345">
        <v>1250</v>
      </c>
      <c r="EA232" s="2346">
        <v>112.77</v>
      </c>
      <c r="EB232" s="2346">
        <v>121.78</v>
      </c>
      <c r="EC232" s="2346">
        <v>131.09</v>
      </c>
      <c r="ED232" s="2346">
        <v>140.5</v>
      </c>
      <c r="EE232" s="2346">
        <v>149.11000000000001</v>
      </c>
      <c r="EF232" s="2346">
        <v>151.38999999999999</v>
      </c>
      <c r="EG232" s="2346">
        <v>162.08000000000001</v>
      </c>
      <c r="EH232" s="2346">
        <v>173.37</v>
      </c>
      <c r="EI232" s="2346">
        <v>183.96</v>
      </c>
      <c r="EJ232" s="2346">
        <v>195.84</v>
      </c>
      <c r="EK232" s="2346">
        <v>216.04</v>
      </c>
      <c r="EL232" s="2346">
        <v>232.18</v>
      </c>
      <c r="EM232" s="2346">
        <v>241.78</v>
      </c>
      <c r="EN232" s="2346">
        <v>253.96</v>
      </c>
      <c r="EO232" s="2346">
        <v>267.92</v>
      </c>
      <c r="EP232" s="2346">
        <v>277.02999999999997</v>
      </c>
      <c r="EQ232" s="2346">
        <v>295.25</v>
      </c>
      <c r="ER232" s="2346">
        <v>338.91</v>
      </c>
      <c r="ES232" s="2346">
        <v>342.87</v>
      </c>
      <c r="ET232" s="2346">
        <v>348.81</v>
      </c>
      <c r="EU232" s="2346">
        <v>362.28</v>
      </c>
      <c r="EV232" s="2346">
        <v>410.3</v>
      </c>
      <c r="EW232" s="2346">
        <v>467.82</v>
      </c>
      <c r="EX232" s="2346">
        <v>515.04999999999995</v>
      </c>
      <c r="EY232" s="2346">
        <v>526.83000000000004</v>
      </c>
      <c r="EZ232" s="2346">
        <v>526.83000000000004</v>
      </c>
      <c r="FA232" s="2346">
        <v>526.83000000000004</v>
      </c>
      <c r="FB232" s="2347">
        <v>1250</v>
      </c>
      <c r="FC232" s="2275"/>
      <c r="FD232" s="2276">
        <f>HLOOKUP(FD221,EA222:FA234,9,0)</f>
        <v>105.15</v>
      </c>
      <c r="FE232" s="2276">
        <f t="shared" si="250"/>
        <v>144.16</v>
      </c>
      <c r="FF232" s="2275">
        <v>1100</v>
      </c>
      <c r="FG232" s="2275"/>
      <c r="FH232" s="2275"/>
      <c r="FI232" s="2275"/>
      <c r="FJ232" s="2275"/>
      <c r="FK232" s="2275"/>
      <c r="FL232" s="2275"/>
      <c r="FM232" s="2250"/>
      <c r="FN232" s="2250"/>
      <c r="FO232" s="2250"/>
      <c r="FP232" s="2250"/>
      <c r="FQ232" s="2250"/>
      <c r="FR232" s="2250"/>
      <c r="FS232" s="2250"/>
      <c r="FT232" s="2250"/>
      <c r="FU232" s="2250"/>
      <c r="FV232" s="2250"/>
      <c r="FW232" s="2250"/>
      <c r="FX232" s="2250"/>
      <c r="FY232" s="2250"/>
      <c r="FZ232" s="2250"/>
      <c r="GA232" s="2250"/>
      <c r="GB232" s="2250"/>
      <c r="GC232" s="2276"/>
      <c r="GD232" s="2276"/>
      <c r="GE232" s="2250"/>
      <c r="GF232" s="2275"/>
      <c r="GG232" s="4671"/>
      <c r="GH232" s="2345">
        <v>1250</v>
      </c>
      <c r="GI232" s="2346">
        <v>112.77</v>
      </c>
      <c r="GJ232" s="2346">
        <v>121.78</v>
      </c>
      <c r="GK232" s="2346">
        <v>131.09</v>
      </c>
      <c r="GL232" s="2346">
        <v>140.5</v>
      </c>
      <c r="GM232" s="2346">
        <v>149.11000000000001</v>
      </c>
      <c r="GN232" s="2346">
        <v>151.38999999999999</v>
      </c>
      <c r="GO232" s="2346">
        <v>162.08000000000001</v>
      </c>
      <c r="GP232" s="2346">
        <v>173.37</v>
      </c>
      <c r="GQ232" s="2346">
        <v>183.96</v>
      </c>
      <c r="GR232" s="2346">
        <v>195.84</v>
      </c>
      <c r="GS232" s="2346">
        <v>216.04</v>
      </c>
      <c r="GT232" s="2346">
        <v>232.18</v>
      </c>
      <c r="GU232" s="2346">
        <v>241.78</v>
      </c>
      <c r="GV232" s="2346">
        <v>253.96</v>
      </c>
      <c r="GW232" s="2346">
        <v>267.92</v>
      </c>
      <c r="GX232" s="2346">
        <v>277.02999999999997</v>
      </c>
      <c r="GY232" s="2346">
        <v>295.25</v>
      </c>
      <c r="GZ232" s="2346">
        <v>338.91</v>
      </c>
      <c r="HA232" s="2346">
        <v>342.87</v>
      </c>
      <c r="HB232" s="2346">
        <v>348.81</v>
      </c>
      <c r="HC232" s="2346">
        <v>362.28</v>
      </c>
      <c r="HD232" s="2346">
        <v>410.3</v>
      </c>
      <c r="HE232" s="2346">
        <v>467.82</v>
      </c>
      <c r="HF232" s="2346">
        <v>515.04999999999995</v>
      </c>
      <c r="HG232" s="2346">
        <v>526.83000000000004</v>
      </c>
      <c r="HH232" s="2346">
        <v>526.83000000000004</v>
      </c>
      <c r="HI232" s="2346">
        <v>526.83000000000004</v>
      </c>
      <c r="HJ232" s="2347">
        <v>1250</v>
      </c>
      <c r="HK232" s="2275"/>
      <c r="HL232" s="2276">
        <f>HLOOKUP(HL221,GI222:HI234,9,0)</f>
        <v>99.5</v>
      </c>
      <c r="HM232" s="2276">
        <f t="shared" si="251"/>
        <v>135.44999999999999</v>
      </c>
      <c r="HN232" s="2275">
        <v>1100</v>
      </c>
      <c r="HO232" s="2275"/>
      <c r="HP232" s="2275"/>
      <c r="HQ232" s="2275"/>
      <c r="HR232" s="2275"/>
      <c r="HS232" s="2275"/>
      <c r="HT232" s="2275"/>
      <c r="HU232" s="2250"/>
      <c r="HV232" s="2250"/>
      <c r="HW232" s="2250"/>
      <c r="HX232" s="2250"/>
      <c r="HY232" s="2250"/>
      <c r="HZ232" s="2250"/>
      <c r="IA232" s="2250"/>
      <c r="IB232" s="2250"/>
      <c r="IC232" s="2250"/>
      <c r="ID232" s="2250"/>
      <c r="IE232" s="2250"/>
      <c r="IF232" s="2250"/>
      <c r="IG232" s="2250"/>
      <c r="IH232" s="2250"/>
      <c r="II232" s="2250"/>
      <c r="IJ232" s="2250"/>
      <c r="IK232" s="2250"/>
      <c r="IL232" s="2250"/>
    </row>
    <row r="233" spans="1:246" ht="21.95" customHeight="1">
      <c r="A233" s="2275"/>
      <c r="B233" s="2275"/>
      <c r="C233" s="2345">
        <v>1650</v>
      </c>
      <c r="D233" s="2346">
        <v>267.23</v>
      </c>
      <c r="E233" s="2346">
        <v>288.61</v>
      </c>
      <c r="F233" s="2346">
        <v>310.69</v>
      </c>
      <c r="G233" s="2346">
        <v>332.97</v>
      </c>
      <c r="H233" s="2346">
        <v>351.98</v>
      </c>
      <c r="I233" s="2346">
        <v>358.91</v>
      </c>
      <c r="J233" s="2346">
        <v>384.16</v>
      </c>
      <c r="K233" s="2346">
        <v>411.09</v>
      </c>
      <c r="L233" s="2346">
        <v>439.5</v>
      </c>
      <c r="M233" s="2346">
        <v>467.92</v>
      </c>
      <c r="N233" s="2346">
        <v>511.09</v>
      </c>
      <c r="O233" s="2346">
        <v>550.69000000000005</v>
      </c>
      <c r="P233" s="2346">
        <v>575.45000000000005</v>
      </c>
      <c r="Q233" s="2346">
        <v>582.38</v>
      </c>
      <c r="R233" s="2346">
        <v>621.19000000000005</v>
      </c>
      <c r="S233" s="2346">
        <v>660.5</v>
      </c>
      <c r="T233" s="2346">
        <v>700.4</v>
      </c>
      <c r="U233" s="2346">
        <v>743.66</v>
      </c>
      <c r="V233" s="2346">
        <v>815.05</v>
      </c>
      <c r="W233" s="2346">
        <v>871.68</v>
      </c>
      <c r="X233" s="2346">
        <v>919.6</v>
      </c>
      <c r="Y233" s="2346">
        <v>993.96</v>
      </c>
      <c r="Z233" s="2346">
        <v>1082.8699999999999</v>
      </c>
      <c r="AA233" s="2346">
        <v>1164.8499999999999</v>
      </c>
      <c r="AB233" s="2346">
        <v>1294.46</v>
      </c>
      <c r="AC233" s="2346">
        <v>1445.54</v>
      </c>
      <c r="AD233" s="2346">
        <v>1392.08</v>
      </c>
      <c r="AE233" s="2347">
        <v>1650</v>
      </c>
      <c r="AF233" s="2275"/>
      <c r="AG233" s="2276">
        <f>HLOOKUP(AG220,D221:AD233,11,0)</f>
        <v>131.09</v>
      </c>
      <c r="AH233" s="2276">
        <f t="shared" si="248"/>
        <v>208.12</v>
      </c>
      <c r="AI233" s="2275">
        <v>1450</v>
      </c>
      <c r="AJ233" s="2275"/>
      <c r="AK233" s="2275"/>
      <c r="AL233" s="2275"/>
      <c r="AM233" s="2275"/>
      <c r="AN233" s="2275"/>
      <c r="AO233" s="2275"/>
      <c r="AP233" s="2250"/>
      <c r="AQ233" s="2250"/>
      <c r="AR233" s="2250"/>
      <c r="AS233" s="2250"/>
      <c r="AT233" s="2250"/>
      <c r="AU233" s="2250"/>
      <c r="AV233" s="2250"/>
      <c r="AW233" s="2250"/>
      <c r="AX233" s="2250"/>
      <c r="AY233" s="2250"/>
      <c r="AZ233" s="2250"/>
      <c r="BA233" s="2250"/>
      <c r="BB233" s="2250"/>
      <c r="BC233" s="2250"/>
      <c r="BD233" s="2250"/>
      <c r="BE233" s="2250"/>
      <c r="BF233" s="2276"/>
      <c r="BG233" s="2276"/>
      <c r="BH233" s="2250"/>
      <c r="BI233" s="2275"/>
      <c r="BJ233" s="2275"/>
      <c r="BK233" s="2345">
        <v>1650</v>
      </c>
      <c r="BL233" s="2346">
        <v>267.23</v>
      </c>
      <c r="BM233" s="2346">
        <v>288.61</v>
      </c>
      <c r="BN233" s="2346">
        <v>310.69</v>
      </c>
      <c r="BO233" s="2346">
        <v>332.97</v>
      </c>
      <c r="BP233" s="2346">
        <v>351.98</v>
      </c>
      <c r="BQ233" s="2346">
        <v>358.91</v>
      </c>
      <c r="BR233" s="2346">
        <v>384.16</v>
      </c>
      <c r="BS233" s="2346">
        <v>411.09</v>
      </c>
      <c r="BT233" s="2346">
        <v>439.5</v>
      </c>
      <c r="BU233" s="2346">
        <v>467.92</v>
      </c>
      <c r="BV233" s="2346">
        <v>511.09</v>
      </c>
      <c r="BW233" s="2346">
        <v>550.69000000000005</v>
      </c>
      <c r="BX233" s="2346">
        <v>575.45000000000005</v>
      </c>
      <c r="BY233" s="2346">
        <v>582.38</v>
      </c>
      <c r="BZ233" s="2346">
        <v>621.19000000000005</v>
      </c>
      <c r="CA233" s="2346">
        <v>660.5</v>
      </c>
      <c r="CB233" s="2346">
        <v>700.4</v>
      </c>
      <c r="CC233" s="2346">
        <v>743.66</v>
      </c>
      <c r="CD233" s="2346">
        <v>815.05</v>
      </c>
      <c r="CE233" s="2346">
        <v>871.68</v>
      </c>
      <c r="CF233" s="2346">
        <v>919.6</v>
      </c>
      <c r="CG233" s="2346">
        <v>993.96</v>
      </c>
      <c r="CH233" s="2346">
        <v>1082.8699999999999</v>
      </c>
      <c r="CI233" s="2346">
        <v>1164.8499999999999</v>
      </c>
      <c r="CJ233" s="2346">
        <v>1294.46</v>
      </c>
      <c r="CK233" s="2346">
        <v>1445.54</v>
      </c>
      <c r="CL233" s="2346">
        <v>1392.08</v>
      </c>
      <c r="CM233" s="2347">
        <v>1650</v>
      </c>
      <c r="CN233" s="2275"/>
      <c r="CO233" s="2276">
        <f>HLOOKUP(CO220,BL221:CL233,11,0)</f>
        <v>121.78</v>
      </c>
      <c r="CP233" s="2276">
        <f t="shared" si="249"/>
        <v>193.37</v>
      </c>
      <c r="CQ233" s="2275">
        <v>1450</v>
      </c>
      <c r="CR233" s="2275"/>
      <c r="CS233" s="2275"/>
      <c r="CT233" s="2275"/>
      <c r="CU233" s="2275"/>
      <c r="CV233" s="2275"/>
      <c r="CW233" s="2275"/>
      <c r="CX233" s="2250"/>
      <c r="CY233" s="2250"/>
      <c r="CZ233" s="2250"/>
      <c r="DA233" s="2250"/>
      <c r="DB233" s="2250"/>
      <c r="DC233" s="2250"/>
      <c r="DD233" s="2250"/>
      <c r="DE233" s="2250"/>
      <c r="DF233" s="2250"/>
      <c r="DG233" s="2250"/>
      <c r="DH233" s="2250"/>
      <c r="DI233" s="2250"/>
      <c r="DJ233" s="2250"/>
      <c r="DK233" s="2250"/>
      <c r="DL233" s="2250"/>
      <c r="DM233" s="2250"/>
      <c r="DN233" s="2250"/>
      <c r="DO233" s="2250"/>
      <c r="DP233" s="2250"/>
      <c r="DQ233" s="2277"/>
      <c r="DR233" s="2277"/>
      <c r="DS233" s="2278"/>
      <c r="DT233" s="2250"/>
      <c r="DU233" s="2250"/>
      <c r="DV233" s="2250"/>
      <c r="DW233" s="2250"/>
      <c r="DX233" s="2275"/>
      <c r="DY233" s="2275"/>
      <c r="DZ233" s="2345">
        <v>1450</v>
      </c>
      <c r="EA233" s="2346">
        <v>179.01</v>
      </c>
      <c r="EB233" s="2346">
        <v>193.37</v>
      </c>
      <c r="EC233" s="2346">
        <v>208.12</v>
      </c>
      <c r="ED233" s="2346">
        <v>223.07</v>
      </c>
      <c r="EE233" s="2346">
        <v>236.83</v>
      </c>
      <c r="EF233" s="2346">
        <v>240.5</v>
      </c>
      <c r="EG233" s="2346">
        <v>257.33</v>
      </c>
      <c r="EH233" s="2346">
        <v>275.35000000000002</v>
      </c>
      <c r="EI233" s="2346">
        <v>292.08</v>
      </c>
      <c r="EJ233" s="2346">
        <v>310.99</v>
      </c>
      <c r="EK233" s="2346">
        <v>342.38</v>
      </c>
      <c r="EL233" s="2346">
        <v>371.29</v>
      </c>
      <c r="EM233" s="2346">
        <v>385.54</v>
      </c>
      <c r="EN233" s="2346">
        <v>399.6</v>
      </c>
      <c r="EO233" s="2346">
        <v>420.79</v>
      </c>
      <c r="EP233" s="2346">
        <v>442.18</v>
      </c>
      <c r="EQ233" s="2346">
        <v>470</v>
      </c>
      <c r="ER233" s="2346">
        <v>498.22</v>
      </c>
      <c r="ES233" s="2346">
        <v>544.46</v>
      </c>
      <c r="ET233" s="2346">
        <v>584.85</v>
      </c>
      <c r="EU233" s="2346">
        <v>614.46</v>
      </c>
      <c r="EV233" s="2346">
        <v>674.75</v>
      </c>
      <c r="EW233" s="2346">
        <v>733.56</v>
      </c>
      <c r="EX233" s="2346">
        <v>824.36</v>
      </c>
      <c r="EY233" s="2346">
        <v>910.3</v>
      </c>
      <c r="EZ233" s="2346">
        <v>910.3</v>
      </c>
      <c r="FA233" s="2346">
        <v>910.3</v>
      </c>
      <c r="FB233" s="2347">
        <v>1450</v>
      </c>
      <c r="FC233" s="2275"/>
      <c r="FD233" s="2276">
        <f>HLOOKUP(FD221,EA222:FA234,10,0)</f>
        <v>144.16</v>
      </c>
      <c r="FE233" s="2276">
        <f t="shared" si="250"/>
        <v>195.84</v>
      </c>
      <c r="FF233" s="2275">
        <v>1250</v>
      </c>
      <c r="FG233" s="2275"/>
      <c r="FH233" s="2275"/>
      <c r="FI233" s="2275"/>
      <c r="FJ233" s="2275"/>
      <c r="FK233" s="2275"/>
      <c r="FL233" s="2275"/>
      <c r="FM233" s="2250"/>
      <c r="FN233" s="2250"/>
      <c r="FO233" s="2250"/>
      <c r="FP233" s="2250"/>
      <c r="FQ233" s="2250"/>
      <c r="FR233" s="2250"/>
      <c r="FS233" s="2250"/>
      <c r="FT233" s="2250"/>
      <c r="FU233" s="2250"/>
      <c r="FV233" s="2250"/>
      <c r="FW233" s="2250"/>
      <c r="FX233" s="2250"/>
      <c r="FY233" s="2250"/>
      <c r="FZ233" s="2250"/>
      <c r="GA233" s="2250"/>
      <c r="GB233" s="2250"/>
      <c r="GC233" s="2276"/>
      <c r="GD233" s="2276"/>
      <c r="GE233" s="2250"/>
      <c r="GF233" s="2275"/>
      <c r="GG233" s="2275"/>
      <c r="GH233" s="2345">
        <v>1450</v>
      </c>
      <c r="GI233" s="2346">
        <v>179.01</v>
      </c>
      <c r="GJ233" s="2346">
        <v>193.37</v>
      </c>
      <c r="GK233" s="2346">
        <v>208.12</v>
      </c>
      <c r="GL233" s="2346">
        <v>223.07</v>
      </c>
      <c r="GM233" s="2346">
        <v>236.83</v>
      </c>
      <c r="GN233" s="2346">
        <v>240.5</v>
      </c>
      <c r="GO233" s="2346">
        <v>257.33</v>
      </c>
      <c r="GP233" s="2346">
        <v>275.35000000000002</v>
      </c>
      <c r="GQ233" s="2346">
        <v>292.08</v>
      </c>
      <c r="GR233" s="2346">
        <v>310.99</v>
      </c>
      <c r="GS233" s="2346">
        <v>342.38</v>
      </c>
      <c r="GT233" s="2346">
        <v>371.29</v>
      </c>
      <c r="GU233" s="2346">
        <v>385.54</v>
      </c>
      <c r="GV233" s="2346">
        <v>399.6</v>
      </c>
      <c r="GW233" s="2346">
        <v>420.79</v>
      </c>
      <c r="GX233" s="2346">
        <v>442.18</v>
      </c>
      <c r="GY233" s="2346">
        <v>470</v>
      </c>
      <c r="GZ233" s="2346">
        <v>498.22</v>
      </c>
      <c r="HA233" s="2346">
        <v>544.46</v>
      </c>
      <c r="HB233" s="2346">
        <v>584.85</v>
      </c>
      <c r="HC233" s="2346">
        <v>614.46</v>
      </c>
      <c r="HD233" s="2346">
        <v>674.75</v>
      </c>
      <c r="HE233" s="2346">
        <v>733.56</v>
      </c>
      <c r="HF233" s="2346">
        <v>824.36</v>
      </c>
      <c r="HG233" s="2346">
        <v>910.3</v>
      </c>
      <c r="HH233" s="2346">
        <v>910.3</v>
      </c>
      <c r="HI233" s="2346">
        <v>910.3</v>
      </c>
      <c r="HJ233" s="2347">
        <v>1450</v>
      </c>
      <c r="HK233" s="2275"/>
      <c r="HL233" s="2276">
        <f>HLOOKUP(HL221,GI222:HI234,10,0)</f>
        <v>135.44999999999999</v>
      </c>
      <c r="HM233" s="2276">
        <f t="shared" si="251"/>
        <v>183.96</v>
      </c>
      <c r="HN233" s="2275">
        <v>1250</v>
      </c>
      <c r="HO233" s="2275"/>
      <c r="HP233" s="2275"/>
      <c r="HQ233" s="2275"/>
      <c r="HR233" s="2275"/>
      <c r="HS233" s="2275"/>
      <c r="HT233" s="2275"/>
      <c r="HU233" s="2250"/>
      <c r="HV233" s="2250"/>
      <c r="HW233" s="2250"/>
      <c r="HX233" s="2250"/>
      <c r="HY233" s="2250"/>
      <c r="HZ233" s="2250"/>
      <c r="IA233" s="2250"/>
      <c r="IB233" s="2250"/>
      <c r="IC233" s="2250"/>
      <c r="ID233" s="2250"/>
      <c r="IE233" s="2250"/>
      <c r="IF233" s="2250"/>
      <c r="IG233" s="2250"/>
      <c r="IH233" s="2250"/>
      <c r="II233" s="2250"/>
      <c r="IJ233" s="2250"/>
      <c r="IK233" s="2250"/>
      <c r="IL233" s="2250"/>
    </row>
    <row r="234" spans="1:246" ht="21.95" customHeight="1">
      <c r="A234" s="2275"/>
      <c r="B234" s="2275"/>
      <c r="C234" s="2275"/>
      <c r="D234" s="2275"/>
      <c r="E234" s="2275"/>
      <c r="F234" s="2275"/>
      <c r="G234" s="2275"/>
      <c r="H234" s="2275"/>
      <c r="I234" s="2275"/>
      <c r="J234" s="2275"/>
      <c r="K234" s="2275"/>
      <c r="L234" s="2275"/>
      <c r="M234" s="2275"/>
      <c r="N234" s="2275"/>
      <c r="O234" s="2275"/>
      <c r="P234" s="2275"/>
      <c r="Q234" s="2275"/>
      <c r="R234" s="2275"/>
      <c r="S234" s="2275"/>
      <c r="T234" s="2275"/>
      <c r="U234" s="2275"/>
      <c r="V234" s="2275"/>
      <c r="W234" s="2275"/>
      <c r="X234" s="2275"/>
      <c r="Y234" s="2275"/>
      <c r="Z234" s="2275"/>
      <c r="AA234" s="2275"/>
      <c r="AB234" s="2275"/>
      <c r="AC234" s="2275"/>
      <c r="AD234" s="2275"/>
      <c r="AE234" s="2346"/>
      <c r="AF234" s="2275"/>
      <c r="AG234" s="2276">
        <f>HLOOKUP(AG220,D221:AD233,12,0)</f>
        <v>208.12</v>
      </c>
      <c r="AH234" s="2276">
        <f t="shared" si="248"/>
        <v>310.69</v>
      </c>
      <c r="AI234" s="2275">
        <v>1650</v>
      </c>
      <c r="AJ234" s="2275"/>
      <c r="AK234" s="2275"/>
      <c r="AL234" s="2275"/>
      <c r="AM234" s="2275"/>
      <c r="AN234" s="2275"/>
      <c r="AO234" s="2275"/>
      <c r="AP234" s="2250"/>
      <c r="AQ234" s="2250"/>
      <c r="AR234" s="2250"/>
      <c r="AS234" s="2250"/>
      <c r="AT234" s="2250"/>
      <c r="AU234" s="2250"/>
      <c r="AV234" s="2250"/>
      <c r="AW234" s="2250"/>
      <c r="AX234" s="2250"/>
      <c r="AY234" s="2250"/>
      <c r="AZ234" s="2250"/>
      <c r="BA234" s="2250"/>
      <c r="BB234" s="2250"/>
      <c r="BC234" s="2250"/>
      <c r="BD234" s="2250"/>
      <c r="BE234" s="2250"/>
      <c r="BF234" s="2276"/>
      <c r="BG234" s="2276"/>
      <c r="BH234" s="2250"/>
      <c r="BI234" s="2275"/>
      <c r="BJ234" s="2275"/>
      <c r="BK234" s="2275"/>
      <c r="BL234" s="2275"/>
      <c r="BM234" s="2275"/>
      <c r="BN234" s="2275"/>
      <c r="BO234" s="2275"/>
      <c r="BP234" s="2275"/>
      <c r="BQ234" s="2275"/>
      <c r="BR234" s="2275"/>
      <c r="BS234" s="2275"/>
      <c r="BT234" s="2275"/>
      <c r="BU234" s="2275"/>
      <c r="BV234" s="2275"/>
      <c r="BW234" s="2275"/>
      <c r="BX234" s="2275"/>
      <c r="BY234" s="2275"/>
      <c r="BZ234" s="2275"/>
      <c r="CA234" s="2275"/>
      <c r="CB234" s="2275"/>
      <c r="CC234" s="2275"/>
      <c r="CD234" s="2275"/>
      <c r="CE234" s="2275"/>
      <c r="CF234" s="2275"/>
      <c r="CG234" s="2275"/>
      <c r="CH234" s="2275"/>
      <c r="CI234" s="2275"/>
      <c r="CJ234" s="2275"/>
      <c r="CK234" s="2275"/>
      <c r="CL234" s="2275"/>
      <c r="CM234" s="2346"/>
      <c r="CN234" s="2275"/>
      <c r="CO234" s="2276">
        <f>HLOOKUP(CO220,BL221:CL233,12,0)</f>
        <v>193.37</v>
      </c>
      <c r="CP234" s="2276">
        <f t="shared" si="249"/>
        <v>288.61</v>
      </c>
      <c r="CQ234" s="2275">
        <v>1650</v>
      </c>
      <c r="CR234" s="2275"/>
      <c r="CS234" s="2275"/>
      <c r="CT234" s="2275"/>
      <c r="CU234" s="2275"/>
      <c r="CV234" s="2275"/>
      <c r="CW234" s="2275"/>
      <c r="CX234" s="2250"/>
      <c r="CY234" s="2250"/>
      <c r="CZ234" s="2250"/>
      <c r="DA234" s="2250"/>
      <c r="DB234" s="2250"/>
      <c r="DC234" s="2250"/>
      <c r="DD234" s="2250"/>
      <c r="DE234" s="2250"/>
      <c r="DF234" s="2250"/>
      <c r="DG234" s="2250"/>
      <c r="DH234" s="2250"/>
      <c r="DI234" s="2250"/>
      <c r="DJ234" s="2250"/>
      <c r="DK234" s="2250"/>
      <c r="DL234" s="2250"/>
      <c r="DM234" s="2250"/>
      <c r="DN234" s="2250"/>
      <c r="DO234" s="2250"/>
      <c r="DP234" s="2250"/>
      <c r="DQ234" s="2277"/>
      <c r="DR234" s="2277"/>
      <c r="DS234" s="2278"/>
      <c r="DT234" s="2250"/>
      <c r="DU234" s="2250"/>
      <c r="DV234" s="2250"/>
      <c r="DW234" s="2250"/>
      <c r="DX234" s="2275"/>
      <c r="DY234" s="2275"/>
      <c r="DZ234" s="2345">
        <v>1650</v>
      </c>
      <c r="EA234" s="2346">
        <v>267.23</v>
      </c>
      <c r="EB234" s="2346">
        <v>288.61</v>
      </c>
      <c r="EC234" s="2346">
        <v>310.69</v>
      </c>
      <c r="ED234" s="2346">
        <v>332.97</v>
      </c>
      <c r="EE234" s="2346">
        <v>351.98</v>
      </c>
      <c r="EF234" s="2346">
        <v>358.91</v>
      </c>
      <c r="EG234" s="2346">
        <v>384.16</v>
      </c>
      <c r="EH234" s="2346">
        <v>411.09</v>
      </c>
      <c r="EI234" s="2346">
        <v>439.5</v>
      </c>
      <c r="EJ234" s="2346">
        <v>467.92</v>
      </c>
      <c r="EK234" s="2346">
        <v>511.09</v>
      </c>
      <c r="EL234" s="2346">
        <v>550.69000000000005</v>
      </c>
      <c r="EM234" s="2346">
        <v>575.45000000000005</v>
      </c>
      <c r="EN234" s="2346">
        <v>582.38</v>
      </c>
      <c r="EO234" s="2346">
        <v>621.19000000000005</v>
      </c>
      <c r="EP234" s="2346">
        <v>660.5</v>
      </c>
      <c r="EQ234" s="2346">
        <v>700.4</v>
      </c>
      <c r="ER234" s="2346">
        <v>743.66</v>
      </c>
      <c r="ES234" s="2346">
        <v>815.05</v>
      </c>
      <c r="ET234" s="2346">
        <v>871.68</v>
      </c>
      <c r="EU234" s="2346">
        <v>919.6</v>
      </c>
      <c r="EV234" s="2346">
        <v>993.96</v>
      </c>
      <c r="EW234" s="2346">
        <v>1082.8699999999999</v>
      </c>
      <c r="EX234" s="2346">
        <v>1164.8499999999999</v>
      </c>
      <c r="EY234" s="2346">
        <v>1294.46</v>
      </c>
      <c r="EZ234" s="2346">
        <v>1445.54</v>
      </c>
      <c r="FA234" s="2346">
        <v>1392.08</v>
      </c>
      <c r="FB234" s="2347">
        <v>1650</v>
      </c>
      <c r="FC234" s="2275"/>
      <c r="FD234" s="2276">
        <f>HLOOKUP(FD221,EA222:FA234,11,0)</f>
        <v>195.84</v>
      </c>
      <c r="FE234" s="2276">
        <f t="shared" si="250"/>
        <v>310.99</v>
      </c>
      <c r="FF234" s="2275">
        <v>1450</v>
      </c>
      <c r="FG234" s="2275"/>
      <c r="FH234" s="2275"/>
      <c r="FI234" s="2275"/>
      <c r="FJ234" s="2275"/>
      <c r="FK234" s="2275"/>
      <c r="FL234" s="2275"/>
      <c r="FM234" s="2250"/>
      <c r="FN234" s="2250"/>
      <c r="FO234" s="2250"/>
      <c r="FP234" s="2250"/>
      <c r="FQ234" s="2250"/>
      <c r="FR234" s="2250"/>
      <c r="FS234" s="2250"/>
      <c r="FT234" s="2250"/>
      <c r="FU234" s="2250"/>
      <c r="FV234" s="2250"/>
      <c r="FW234" s="2250"/>
      <c r="FX234" s="2250"/>
      <c r="FY234" s="2250"/>
      <c r="FZ234" s="2250"/>
      <c r="GA234" s="2250"/>
      <c r="GB234" s="2250"/>
      <c r="GC234" s="2276"/>
      <c r="GD234" s="2276"/>
      <c r="GE234" s="2250"/>
      <c r="GF234" s="2275"/>
      <c r="GG234" s="2275"/>
      <c r="GH234" s="2345">
        <v>1650</v>
      </c>
      <c r="GI234" s="2346">
        <v>267.23</v>
      </c>
      <c r="GJ234" s="2346">
        <v>288.61</v>
      </c>
      <c r="GK234" s="2346">
        <v>310.69</v>
      </c>
      <c r="GL234" s="2346">
        <v>332.97</v>
      </c>
      <c r="GM234" s="2346">
        <v>351.98</v>
      </c>
      <c r="GN234" s="2346">
        <v>358.91</v>
      </c>
      <c r="GO234" s="2346">
        <v>384.16</v>
      </c>
      <c r="GP234" s="2346">
        <v>411.09</v>
      </c>
      <c r="GQ234" s="2346">
        <v>439.5</v>
      </c>
      <c r="GR234" s="2346">
        <v>467.92</v>
      </c>
      <c r="GS234" s="2346">
        <v>511.09</v>
      </c>
      <c r="GT234" s="2346">
        <v>550.69000000000005</v>
      </c>
      <c r="GU234" s="2346">
        <v>575.45000000000005</v>
      </c>
      <c r="GV234" s="2346">
        <v>582.38</v>
      </c>
      <c r="GW234" s="2346">
        <v>621.19000000000005</v>
      </c>
      <c r="GX234" s="2346">
        <v>660.5</v>
      </c>
      <c r="GY234" s="2346">
        <v>700.4</v>
      </c>
      <c r="GZ234" s="2346">
        <v>743.66</v>
      </c>
      <c r="HA234" s="2346">
        <v>815.05</v>
      </c>
      <c r="HB234" s="2346">
        <v>871.68</v>
      </c>
      <c r="HC234" s="2346">
        <v>919.6</v>
      </c>
      <c r="HD234" s="2346">
        <v>993.96</v>
      </c>
      <c r="HE234" s="2346">
        <v>1082.8699999999999</v>
      </c>
      <c r="HF234" s="2346">
        <v>1164.8499999999999</v>
      </c>
      <c r="HG234" s="2346">
        <v>1294.46</v>
      </c>
      <c r="HH234" s="2346">
        <v>1445.54</v>
      </c>
      <c r="HI234" s="2346">
        <v>1392.08</v>
      </c>
      <c r="HJ234" s="2347">
        <v>1650</v>
      </c>
      <c r="HK234" s="2275"/>
      <c r="HL234" s="2276">
        <f>HLOOKUP(HL221,GI222:HI234,11,0)</f>
        <v>183.96</v>
      </c>
      <c r="HM234" s="2276">
        <f t="shared" si="251"/>
        <v>292.08</v>
      </c>
      <c r="HN234" s="2275">
        <v>1450</v>
      </c>
      <c r="HO234" s="2275"/>
      <c r="HP234" s="2275"/>
      <c r="HQ234" s="2275"/>
      <c r="HR234" s="2275"/>
      <c r="HS234" s="2275"/>
      <c r="HT234" s="2275"/>
      <c r="HU234" s="2250"/>
      <c r="HV234" s="2250"/>
      <c r="HW234" s="2250"/>
      <c r="HX234" s="2250"/>
      <c r="HY234" s="2250"/>
      <c r="HZ234" s="2250"/>
      <c r="IA234" s="2250"/>
      <c r="IB234" s="2250"/>
      <c r="IC234" s="2250"/>
      <c r="ID234" s="2250"/>
      <c r="IE234" s="2250"/>
      <c r="IF234" s="2250"/>
      <c r="IG234" s="2250"/>
      <c r="IH234" s="2250"/>
      <c r="II234" s="2250"/>
      <c r="IJ234" s="2250"/>
      <c r="IK234" s="2250"/>
      <c r="IL234" s="2250"/>
    </row>
    <row r="235" spans="1:246" ht="21.95" customHeight="1">
      <c r="A235" s="2275"/>
      <c r="B235" s="2276">
        <f>AG220</f>
        <v>190.4</v>
      </c>
      <c r="C235" s="2275">
        <v>0</v>
      </c>
      <c r="D235" s="2276">
        <f>VLOOKUP(B237,C223:AD233,2,0)</f>
        <v>17.920000000000002</v>
      </c>
      <c r="E235" s="2276">
        <f>VLOOKUP(B237,C223:E233,3,0)</f>
        <v>19.41</v>
      </c>
      <c r="F235" s="2276">
        <f>VLOOKUP(B237,C223:F233,4,0)</f>
        <v>20.89</v>
      </c>
      <c r="G235" s="2276">
        <f>VLOOKUP(B237,C223:G233,5,0)</f>
        <v>22.38</v>
      </c>
      <c r="H235" s="2276">
        <f>VLOOKUP(B237,C223:H233,6,0)</f>
        <v>23.76</v>
      </c>
      <c r="I235" s="2276">
        <f>VLOOKUP(B237,C223:I233,7,0)</f>
        <v>24.06</v>
      </c>
      <c r="J235" s="2276">
        <f>VLOOKUP(B237,C223:J233,8,0)</f>
        <v>25.74</v>
      </c>
      <c r="K235" s="2276">
        <f>VLOOKUP(B237,C223:K233,9,0)</f>
        <v>27.62</v>
      </c>
      <c r="L235" s="2276">
        <f>VLOOKUP(B237,C223:L233,10,0)</f>
        <v>29.21</v>
      </c>
      <c r="M235" s="2276">
        <f>VLOOKUP(B237,C223:M233,11,0)</f>
        <v>31.19</v>
      </c>
      <c r="N235" s="2276">
        <f>VLOOKUP(B237,C223:N233,12,0)</f>
        <v>34.36</v>
      </c>
      <c r="O235" s="2276">
        <f>VLOOKUP(B237,C223:O233,13,0)</f>
        <v>37.130000000000003</v>
      </c>
      <c r="P235" s="2276">
        <f>VLOOKUP(B237,C223:P233,14,0)</f>
        <v>38.42</v>
      </c>
      <c r="Q235" s="2276">
        <f>VLOOKUP(B237,C223:Q233,15,0)</f>
        <v>40.4</v>
      </c>
      <c r="R235" s="2276">
        <f>VLOOKUP(B237,C223:R233,16,0)</f>
        <v>42.57</v>
      </c>
      <c r="S235" s="2276">
        <f>VLOOKUP(B237,C223:S233,17,0)</f>
        <v>44.06</v>
      </c>
      <c r="T235" s="2276">
        <f>VLOOKUP(B237,C223:T233,18,0)</f>
        <v>46.93</v>
      </c>
      <c r="U235" s="2276">
        <f>VLOOKUP(B237,C223:U233,19,0)</f>
        <v>49.9</v>
      </c>
      <c r="V235" s="2276">
        <f>VLOOKUP(B237,C223:V233,20,0)</f>
        <v>53.76</v>
      </c>
      <c r="W235" s="2276">
        <f>VLOOKUP(B237,C223:W233,21,0)</f>
        <v>57.72</v>
      </c>
      <c r="X235" s="2276">
        <f>VLOOKUP(B237,C223:X233,22,0)</f>
        <v>62.97</v>
      </c>
      <c r="Y235" s="2276">
        <f>VLOOKUP(B237,C223:Y233,23,0)</f>
        <v>66.83</v>
      </c>
      <c r="Z235" s="2276">
        <f>VLOOKUP(B237,C223:Z233,24,0)</f>
        <v>72.87</v>
      </c>
      <c r="AA235" s="2276">
        <f>VLOOKUP(B237,C223:AA233,25,0)</f>
        <v>79.599999999999994</v>
      </c>
      <c r="AB235" s="2276">
        <f>VLOOKUP(B237,C223:AB233,26,0)</f>
        <v>89.6</v>
      </c>
      <c r="AC235" s="2276">
        <f>VLOOKUP(B237,C223:AC233,27,0)</f>
        <v>105.45</v>
      </c>
      <c r="AD235" s="2276">
        <f>VLOOKUP(B237,C223:AD233,28,0)</f>
        <v>113.76</v>
      </c>
      <c r="AE235" s="2346"/>
      <c r="AF235" s="2275"/>
      <c r="AG235" s="2276">
        <f>HLOOKUP(AG220,D221:AD233,13,0)</f>
        <v>310.69</v>
      </c>
      <c r="AH235" s="2275"/>
      <c r="AI235" s="2275"/>
      <c r="AJ235" s="2275"/>
      <c r="AK235" s="2275"/>
      <c r="AL235" s="2275"/>
      <c r="AM235" s="2275"/>
      <c r="AN235" s="2275"/>
      <c r="AO235" s="2275"/>
      <c r="AP235" s="2250"/>
      <c r="AQ235" s="2250"/>
      <c r="AR235" s="2250"/>
      <c r="AS235" s="2250"/>
      <c r="AT235" s="2250"/>
      <c r="AU235" s="2250"/>
      <c r="AV235" s="2250"/>
      <c r="AW235" s="2250"/>
      <c r="AX235" s="2250"/>
      <c r="AY235" s="2250"/>
      <c r="AZ235" s="2250"/>
      <c r="BA235" s="2250"/>
      <c r="BB235" s="2250"/>
      <c r="BC235" s="2250"/>
      <c r="BD235" s="2250"/>
      <c r="BE235" s="2250"/>
      <c r="BF235" s="2276"/>
      <c r="BG235" s="2276"/>
      <c r="BH235" s="2250"/>
      <c r="BI235" s="2275"/>
      <c r="BJ235" s="2276">
        <f>CO220</f>
        <v>206.43</v>
      </c>
      <c r="BK235" s="2275">
        <v>0</v>
      </c>
      <c r="BL235" s="2276">
        <f>VLOOKUP(BJ237,BK223:CL233,2,0)</f>
        <v>28.51</v>
      </c>
      <c r="BM235" s="2276">
        <f>VLOOKUP(BJ237,BK223:BM233,3,0)</f>
        <v>30.79</v>
      </c>
      <c r="BN235" s="2276">
        <f>VLOOKUP(BJ237,BK223:BN233,4,0)</f>
        <v>33.07</v>
      </c>
      <c r="BO235" s="2276">
        <f>VLOOKUP(BJ237,BK223:BO233,5,0)</f>
        <v>35.450000000000003</v>
      </c>
      <c r="BP235" s="2276">
        <f>VLOOKUP(BJ237,BK223:BP233,6,0)</f>
        <v>37.619999999999997</v>
      </c>
      <c r="BQ235" s="2276">
        <f>VLOOKUP(BJ237,BK223:BQ233,7,0)</f>
        <v>38.22</v>
      </c>
      <c r="BR235" s="2276">
        <f>VLOOKUP(BJ237,BK223:BR233,8,0)</f>
        <v>40.89</v>
      </c>
      <c r="BS235" s="2276">
        <f>VLOOKUP(BJ237,BK223:BS233,9,0)</f>
        <v>43.76</v>
      </c>
      <c r="BT235" s="2276">
        <f>VLOOKUP(BJ237,BK223:BT233,10,0)</f>
        <v>46.44</v>
      </c>
      <c r="BU235" s="2276">
        <f>VLOOKUP(BJ237,BK223:BU233,11,0)</f>
        <v>49.5</v>
      </c>
      <c r="BV235" s="2276">
        <f>VLOOKUP(BJ237,BK223:BV233,12,0)</f>
        <v>54.46</v>
      </c>
      <c r="BW235" s="2276">
        <f>VLOOKUP(BJ237,BK223:BW233,13,0)</f>
        <v>58.32</v>
      </c>
      <c r="BX235" s="2276">
        <f>VLOOKUP(BJ237,BK223:BX233,14,0)</f>
        <v>60.99</v>
      </c>
      <c r="BY235" s="2276">
        <f>VLOOKUP(BJ237,BK223:BY233,15,0)</f>
        <v>64.16</v>
      </c>
      <c r="BZ235" s="2276">
        <f>VLOOKUP(BJ237,BK223:BZ233,16,0)</f>
        <v>66.14</v>
      </c>
      <c r="CA235" s="2276">
        <f>VLOOKUP(BJ237,BK223:CA233,17,0)</f>
        <v>70.099999999999994</v>
      </c>
      <c r="CB235" s="2276">
        <f>VLOOKUP(BJ237,BK223:CB233,18,0)</f>
        <v>74.459999999999994</v>
      </c>
      <c r="CC235" s="2276">
        <f>VLOOKUP(BJ237,BK223:CC233,19,0)</f>
        <v>81.09</v>
      </c>
      <c r="CD235" s="2276">
        <f>VLOOKUP(BJ237,BK223:CD233,20,0)</f>
        <v>86.63</v>
      </c>
      <c r="CE235" s="2276">
        <f>VLOOKUP(BJ237,BK223:CE233,21,0)</f>
        <v>92.67</v>
      </c>
      <c r="CF235" s="2276">
        <f>VLOOKUP(BJ237,BK223:CF233,22,0)</f>
        <v>98.91</v>
      </c>
      <c r="CG235" s="2276">
        <f>VLOOKUP(BJ237,BK223:CG233,23,0)</f>
        <v>109.11</v>
      </c>
      <c r="CH235" s="2276">
        <f>VLOOKUP(BJ237,BK223:CH233,24,0)</f>
        <v>119.5</v>
      </c>
      <c r="CI235" s="2276">
        <f>VLOOKUP(BJ237,BK223:CI233,25,0)</f>
        <v>131.97999999999999</v>
      </c>
      <c r="CJ235" s="2276">
        <f>VLOOKUP(BJ237,BK223:CJ233,26,0)</f>
        <v>147.72</v>
      </c>
      <c r="CK235" s="2276">
        <f>VLOOKUP(BJ237,BK223:CK233,27,0)</f>
        <v>168.81</v>
      </c>
      <c r="CL235" s="2276">
        <f>VLOOKUP(BJ237,BK223:CL233,28,0)</f>
        <v>180.69</v>
      </c>
      <c r="CM235" s="2346"/>
      <c r="CN235" s="2275"/>
      <c r="CO235" s="2276">
        <f>HLOOKUP(CO220,BL221:CL233,13,0)</f>
        <v>288.61</v>
      </c>
      <c r="CP235" s="2275"/>
      <c r="CQ235" s="2275"/>
      <c r="CR235" s="2275"/>
      <c r="CS235" s="2275"/>
      <c r="CT235" s="2275"/>
      <c r="CU235" s="2275"/>
      <c r="CV235" s="2275"/>
      <c r="CW235" s="2275"/>
      <c r="CX235" s="2250"/>
      <c r="CY235" s="2250"/>
      <c r="CZ235" s="2250"/>
      <c r="DA235" s="2250"/>
      <c r="DB235" s="2250"/>
      <c r="DC235" s="2250"/>
      <c r="DD235" s="2250"/>
      <c r="DE235" s="2250"/>
      <c r="DF235" s="2250"/>
      <c r="DG235" s="2250"/>
      <c r="DH235" s="2250"/>
      <c r="DI235" s="2250"/>
      <c r="DJ235" s="2250"/>
      <c r="DK235" s="2250"/>
      <c r="DL235" s="2250"/>
      <c r="DM235" s="2250"/>
      <c r="DN235" s="2250"/>
      <c r="DO235" s="2250"/>
      <c r="DP235" s="2250"/>
      <c r="DQ235" s="2277"/>
      <c r="DR235" s="2277"/>
      <c r="DS235" s="2278"/>
      <c r="DT235" s="2250"/>
      <c r="DU235" s="2250"/>
      <c r="DV235" s="2250"/>
      <c r="DW235" s="2250"/>
      <c r="DX235" s="2275"/>
      <c r="DY235" s="2275"/>
      <c r="DZ235" s="2275"/>
      <c r="EA235" s="2275"/>
      <c r="EB235" s="2275"/>
      <c r="EC235" s="2275"/>
      <c r="ED235" s="2275"/>
      <c r="EE235" s="2275"/>
      <c r="EF235" s="2275"/>
      <c r="EG235" s="2275"/>
      <c r="EH235" s="2275"/>
      <c r="EI235" s="2275"/>
      <c r="EJ235" s="2275"/>
      <c r="EK235" s="2275"/>
      <c r="EL235" s="2275"/>
      <c r="EM235" s="2275"/>
      <c r="EN235" s="2275"/>
      <c r="EO235" s="2275"/>
      <c r="EP235" s="2275"/>
      <c r="EQ235" s="2275"/>
      <c r="ER235" s="2275"/>
      <c r="ES235" s="2275"/>
      <c r="ET235" s="2275"/>
      <c r="EU235" s="2275"/>
      <c r="EV235" s="2275"/>
      <c r="EW235" s="2275"/>
      <c r="EX235" s="2275"/>
      <c r="EY235" s="2275"/>
      <c r="EZ235" s="2275"/>
      <c r="FA235" s="2275"/>
      <c r="FB235" s="2346"/>
      <c r="FC235" s="2275"/>
      <c r="FD235" s="2276">
        <f>HLOOKUP(FD221,EA222:FA234,12,0)</f>
        <v>310.99</v>
      </c>
      <c r="FE235" s="2276">
        <f t="shared" si="250"/>
        <v>467.92</v>
      </c>
      <c r="FF235" s="2275">
        <v>1650</v>
      </c>
      <c r="FG235" s="2275"/>
      <c r="FH235" s="2275"/>
      <c r="FI235" s="2275"/>
      <c r="FJ235" s="2275"/>
      <c r="FK235" s="2275"/>
      <c r="FL235" s="2275"/>
      <c r="FM235" s="2250"/>
      <c r="FN235" s="2250"/>
      <c r="FO235" s="2250"/>
      <c r="FP235" s="2250"/>
      <c r="FQ235" s="2250"/>
      <c r="FR235" s="2250"/>
      <c r="FS235" s="2250"/>
      <c r="FT235" s="2250"/>
      <c r="FU235" s="2250"/>
      <c r="FV235" s="2250"/>
      <c r="FW235" s="2250"/>
      <c r="FX235" s="2250"/>
      <c r="FY235" s="2250"/>
      <c r="FZ235" s="2250"/>
      <c r="GA235" s="2250"/>
      <c r="GB235" s="2250"/>
      <c r="GC235" s="2276"/>
      <c r="GD235" s="2276"/>
      <c r="GE235" s="2250"/>
      <c r="GF235" s="2275"/>
      <c r="GG235" s="2275"/>
      <c r="GH235" s="2275"/>
      <c r="GI235" s="2275"/>
      <c r="GJ235" s="2275"/>
      <c r="GK235" s="2275"/>
      <c r="GL235" s="2275"/>
      <c r="GM235" s="2275"/>
      <c r="GN235" s="2275"/>
      <c r="GO235" s="2275"/>
      <c r="GP235" s="2275"/>
      <c r="GQ235" s="2275"/>
      <c r="GR235" s="2275"/>
      <c r="GS235" s="2275"/>
      <c r="GT235" s="2275"/>
      <c r="GU235" s="2275"/>
      <c r="GV235" s="2275"/>
      <c r="GW235" s="2275"/>
      <c r="GX235" s="2275"/>
      <c r="GY235" s="2275"/>
      <c r="GZ235" s="2275"/>
      <c r="HA235" s="2275"/>
      <c r="HB235" s="2275"/>
      <c r="HC235" s="2275"/>
      <c r="HD235" s="2275"/>
      <c r="HE235" s="2275"/>
      <c r="HF235" s="2275"/>
      <c r="HG235" s="2275"/>
      <c r="HH235" s="2275"/>
      <c r="HI235" s="2275"/>
      <c r="HJ235" s="2346"/>
      <c r="HK235" s="2275"/>
      <c r="HL235" s="2276">
        <f>HLOOKUP(HL221,GI222:HI234,12,0)</f>
        <v>292.08</v>
      </c>
      <c r="HM235" s="2276">
        <f t="shared" si="251"/>
        <v>439.5</v>
      </c>
      <c r="HN235" s="2275">
        <v>1650</v>
      </c>
      <c r="HO235" s="2275"/>
      <c r="HP235" s="2275"/>
      <c r="HQ235" s="2275"/>
      <c r="HR235" s="2275"/>
      <c r="HS235" s="2275"/>
      <c r="HT235" s="2275"/>
      <c r="HU235" s="2250"/>
      <c r="HV235" s="2250"/>
      <c r="HW235" s="2250"/>
      <c r="HX235" s="2250"/>
      <c r="HY235" s="2250"/>
      <c r="HZ235" s="2250"/>
      <c r="IA235" s="2250"/>
      <c r="IB235" s="2250"/>
      <c r="IC235" s="2250"/>
      <c r="ID235" s="2250"/>
      <c r="IE235" s="2250"/>
      <c r="IF235" s="2250"/>
      <c r="IG235" s="2250"/>
      <c r="IH235" s="2250"/>
      <c r="II235" s="2250"/>
      <c r="IJ235" s="2250"/>
      <c r="IK235" s="2250"/>
      <c r="IL235" s="2250"/>
    </row>
    <row r="236" spans="1:246" ht="21.95" customHeight="1">
      <c r="A236" s="2275"/>
      <c r="B236" s="2276">
        <f>AH237</f>
        <v>20.89</v>
      </c>
      <c r="C236" s="2275"/>
      <c r="D236" s="2275"/>
      <c r="E236" s="2275"/>
      <c r="F236" s="2275"/>
      <c r="G236" s="2275"/>
      <c r="H236" s="2275"/>
      <c r="I236" s="2275"/>
      <c r="J236" s="2275"/>
      <c r="K236" s="2275"/>
      <c r="L236" s="2275"/>
      <c r="M236" s="2275"/>
      <c r="N236" s="2275"/>
      <c r="O236" s="2275"/>
      <c r="P236" s="2275"/>
      <c r="Q236" s="2275"/>
      <c r="R236" s="2275"/>
      <c r="S236" s="2275"/>
      <c r="T236" s="2275"/>
      <c r="U236" s="2275"/>
      <c r="V236" s="2275"/>
      <c r="W236" s="2275"/>
      <c r="X236" s="2275"/>
      <c r="Y236" s="2275"/>
      <c r="Z236" s="2275"/>
      <c r="AA236" s="2275"/>
      <c r="AB236" s="2275"/>
      <c r="AC236" s="2275"/>
      <c r="AD236" s="2275"/>
      <c r="AE236" s="2275"/>
      <c r="AF236" s="2275"/>
      <c r="AG236" s="2276">
        <f>VLOOKUP(AG221,AG223:AG235,1)</f>
        <v>12.08</v>
      </c>
      <c r="AH236" s="2276">
        <f>IFERROR(VLOOKUP(AG221,AH223:AH233,2,0),0)</f>
        <v>0</v>
      </c>
      <c r="AI236" s="2275"/>
      <c r="AJ236" s="2275"/>
      <c r="AK236" s="2275"/>
      <c r="AL236" s="2275"/>
      <c r="AM236" s="2275"/>
      <c r="AN236" s="2275"/>
      <c r="AO236" s="2275"/>
      <c r="AP236" s="2250"/>
      <c r="AQ236" s="2250"/>
      <c r="AR236" s="2250"/>
      <c r="AS236" s="2250"/>
      <c r="AT236" s="2250"/>
      <c r="AU236" s="2250"/>
      <c r="AV236" s="2250"/>
      <c r="AW236" s="2250"/>
      <c r="AX236" s="2250"/>
      <c r="AY236" s="2250"/>
      <c r="AZ236" s="2250"/>
      <c r="BA236" s="2250"/>
      <c r="BB236" s="2250"/>
      <c r="BC236" s="2250"/>
      <c r="BD236" s="2250"/>
      <c r="BE236" s="2250"/>
      <c r="BF236" s="2276"/>
      <c r="BG236" s="2276"/>
      <c r="BH236" s="2250"/>
      <c r="BI236" s="2275"/>
      <c r="BJ236" s="2276">
        <f>CP237</f>
        <v>30.79</v>
      </c>
      <c r="BK236" s="2275"/>
      <c r="BL236" s="2275"/>
      <c r="BM236" s="2275"/>
      <c r="BN236" s="2275"/>
      <c r="BO236" s="2275"/>
      <c r="BP236" s="2275"/>
      <c r="BQ236" s="2275"/>
      <c r="BR236" s="2275"/>
      <c r="BS236" s="2275"/>
      <c r="BT236" s="2275"/>
      <c r="BU236" s="2275"/>
      <c r="BV236" s="2275"/>
      <c r="BW236" s="2275"/>
      <c r="BX236" s="2275"/>
      <c r="BY236" s="2275"/>
      <c r="BZ236" s="2275"/>
      <c r="CA236" s="2275"/>
      <c r="CB236" s="2275"/>
      <c r="CC236" s="2275"/>
      <c r="CD236" s="2275"/>
      <c r="CE236" s="2275"/>
      <c r="CF236" s="2275"/>
      <c r="CG236" s="2275"/>
      <c r="CH236" s="2275"/>
      <c r="CI236" s="2275"/>
      <c r="CJ236" s="2275"/>
      <c r="CK236" s="2275"/>
      <c r="CL236" s="2275"/>
      <c r="CM236" s="2275"/>
      <c r="CN236" s="2275"/>
      <c r="CO236" s="2276">
        <f>VLOOKUP(CO221,CO223:CO235,1)</f>
        <v>19.41</v>
      </c>
      <c r="CP236" s="2276">
        <f>IFERROR(VLOOKUP(CO221,CP223:CP233,2,0),0)</f>
        <v>0</v>
      </c>
      <c r="CQ236" s="2275"/>
      <c r="CR236" s="2275"/>
      <c r="CS236" s="2275"/>
      <c r="CT236" s="2275"/>
      <c r="CU236" s="2275"/>
      <c r="CV236" s="2275"/>
      <c r="CW236" s="2275"/>
      <c r="CX236" s="2250"/>
      <c r="CY236" s="2250"/>
      <c r="CZ236" s="2250"/>
      <c r="DA236" s="2250"/>
      <c r="DB236" s="2250"/>
      <c r="DC236" s="2250"/>
      <c r="DD236" s="2250"/>
      <c r="DE236" s="2250"/>
      <c r="DF236" s="2250"/>
      <c r="DG236" s="2250"/>
      <c r="DH236" s="2250"/>
      <c r="DI236" s="2250"/>
      <c r="DJ236" s="2250"/>
      <c r="DK236" s="2250"/>
      <c r="DL236" s="2250"/>
      <c r="DM236" s="2250"/>
      <c r="DN236" s="2250"/>
      <c r="DO236" s="2250"/>
      <c r="DP236" s="2250"/>
      <c r="DQ236" s="2277"/>
      <c r="DR236" s="2277"/>
      <c r="DS236" s="2278"/>
      <c r="DT236" s="2250"/>
      <c r="DU236" s="2250"/>
      <c r="DV236" s="2250"/>
      <c r="DW236" s="2250"/>
      <c r="DX236" s="2275"/>
      <c r="DY236" s="2276">
        <f>FD221</f>
        <v>120.7</v>
      </c>
      <c r="DZ236" s="2275">
        <v>0</v>
      </c>
      <c r="EA236" s="2276">
        <f>VLOOKUP(DY238,DZ224:FA234,2,0)</f>
        <v>17.920000000000002</v>
      </c>
      <c r="EB236" s="2276">
        <f>VLOOKUP(DY238,DZ224:EB234,3,0)</f>
        <v>19.41</v>
      </c>
      <c r="EC236" s="2276">
        <f>VLOOKUP(DY238,DZ224:EC234,4,0)</f>
        <v>20.89</v>
      </c>
      <c r="ED236" s="2276">
        <f>VLOOKUP(DY238,DZ224:ED234,5,0)</f>
        <v>22.38</v>
      </c>
      <c r="EE236" s="2276">
        <f>VLOOKUP(DY238,DZ224:EE234,6,0)</f>
        <v>23.76</v>
      </c>
      <c r="EF236" s="2276">
        <f>VLOOKUP(DY238,DZ224:EF234,7,0)</f>
        <v>24.06</v>
      </c>
      <c r="EG236" s="2276">
        <f>VLOOKUP(DY238,DZ224:EG234,8,0)</f>
        <v>25.74</v>
      </c>
      <c r="EH236" s="2276">
        <f>VLOOKUP(DY238,DZ224:EH234,9,0)</f>
        <v>27.62</v>
      </c>
      <c r="EI236" s="2276">
        <f>VLOOKUP(DY238,DZ224:EI234,10,0)</f>
        <v>29.21</v>
      </c>
      <c r="EJ236" s="2276">
        <f>VLOOKUP(DY238,DZ224:EJ234,11,0)</f>
        <v>31.19</v>
      </c>
      <c r="EK236" s="2276">
        <f>VLOOKUP(DY238,DZ224:EK234,12,0)</f>
        <v>34.36</v>
      </c>
      <c r="EL236" s="2276">
        <f>VLOOKUP(DY238,DZ224:EL234,13,0)</f>
        <v>37.130000000000003</v>
      </c>
      <c r="EM236" s="2276">
        <f>VLOOKUP(DY238,DZ224:EM234,14,0)</f>
        <v>38.42</v>
      </c>
      <c r="EN236" s="2276">
        <f>VLOOKUP(DY238,DZ224:EN234,15,0)</f>
        <v>40.4</v>
      </c>
      <c r="EO236" s="2276">
        <f>VLOOKUP(DY238,DZ224:EO234,16,0)</f>
        <v>42.57</v>
      </c>
      <c r="EP236" s="2276">
        <f>VLOOKUP(DY238,DZ224:EP234,17,0)</f>
        <v>44.06</v>
      </c>
      <c r="EQ236" s="2276">
        <f>VLOOKUP(DY238,DZ224:EQ234,18,0)</f>
        <v>46.93</v>
      </c>
      <c r="ER236" s="2276">
        <f>VLOOKUP(DY238,DZ224:ER234,19,0)</f>
        <v>49.9</v>
      </c>
      <c r="ES236" s="2276">
        <f>VLOOKUP(DY238,DZ224:ES234,20,0)</f>
        <v>53.76</v>
      </c>
      <c r="ET236" s="2276">
        <f>VLOOKUP(DY238,DZ224:ET234,21,0)</f>
        <v>57.72</v>
      </c>
      <c r="EU236" s="2276">
        <f>VLOOKUP(DY238,DZ224:EU234,22,0)</f>
        <v>62.97</v>
      </c>
      <c r="EV236" s="2276">
        <f>VLOOKUP(DY238,DZ224:EV234,23,0)</f>
        <v>66.83</v>
      </c>
      <c r="EW236" s="2276">
        <f>VLOOKUP(DY238,DZ224:EW234,24,0)</f>
        <v>72.87</v>
      </c>
      <c r="EX236" s="2276">
        <f>VLOOKUP(DY238,DZ224:EX234,25,0)</f>
        <v>79.599999999999994</v>
      </c>
      <c r="EY236" s="2276">
        <f>VLOOKUP(DY238,DZ224:EY234,26,0)</f>
        <v>89.6</v>
      </c>
      <c r="EZ236" s="2276">
        <f>VLOOKUP(DY238,DZ224:EZ234,27,0)</f>
        <v>105.45</v>
      </c>
      <c r="FA236" s="2276">
        <f>VLOOKUP(DY238,DZ224:FA234,28,0)</f>
        <v>113.76</v>
      </c>
      <c r="FB236" s="2346"/>
      <c r="FC236" s="2275"/>
      <c r="FD236" s="2276">
        <f>HLOOKUP(FD221,EA222:FA234,13,0)</f>
        <v>467.92</v>
      </c>
      <c r="FE236" s="2275"/>
      <c r="FF236" s="2275"/>
      <c r="FG236" s="2275"/>
      <c r="FH236" s="2275"/>
      <c r="FI236" s="2275"/>
      <c r="FJ236" s="2275"/>
      <c r="FK236" s="2275"/>
      <c r="FL236" s="2275"/>
      <c r="FM236" s="2250"/>
      <c r="FN236" s="2250"/>
      <c r="FO236" s="2250"/>
      <c r="FP236" s="2250"/>
      <c r="FQ236" s="2250"/>
      <c r="FR236" s="2250"/>
      <c r="FS236" s="2250"/>
      <c r="FT236" s="2250"/>
      <c r="FU236" s="2250"/>
      <c r="FV236" s="2250"/>
      <c r="FW236" s="2250"/>
      <c r="FX236" s="2250"/>
      <c r="FY236" s="2250"/>
      <c r="FZ236" s="2250"/>
      <c r="GA236" s="2250"/>
      <c r="GB236" s="2250"/>
      <c r="GC236" s="2276"/>
      <c r="GD236" s="2276"/>
      <c r="GE236" s="2250"/>
      <c r="GF236" s="2275"/>
      <c r="GG236" s="2276">
        <f>HL221</f>
        <v>129.80000000000001</v>
      </c>
      <c r="GH236" s="2275">
        <v>0</v>
      </c>
      <c r="GI236" s="2276">
        <f>VLOOKUP(GG238,GH224:HI234,2,0)</f>
        <v>17.920000000000002</v>
      </c>
      <c r="GJ236" s="2276">
        <f>VLOOKUP(GG238,GH224:GJ234,3,0)</f>
        <v>19.41</v>
      </c>
      <c r="GK236" s="2276">
        <f>VLOOKUP(GG238,GH224:GK234,4,0)</f>
        <v>20.89</v>
      </c>
      <c r="GL236" s="2276">
        <f>VLOOKUP(GG238,GH224:GL234,5,0)</f>
        <v>22.38</v>
      </c>
      <c r="GM236" s="2276">
        <f>VLOOKUP(GG238,GH224:GM234,6,0)</f>
        <v>23.76</v>
      </c>
      <c r="GN236" s="2276">
        <f>VLOOKUP(GG238,GH224:GN234,7,0)</f>
        <v>24.06</v>
      </c>
      <c r="GO236" s="2276">
        <f>VLOOKUP(GG238,GH224:GO234,8,0)</f>
        <v>25.74</v>
      </c>
      <c r="GP236" s="2276">
        <f>VLOOKUP(GG238,GH224:GP234,9,0)</f>
        <v>27.62</v>
      </c>
      <c r="GQ236" s="2276">
        <f>VLOOKUP(GG238,GH224:GQ234,10,0)</f>
        <v>29.21</v>
      </c>
      <c r="GR236" s="2276">
        <f>VLOOKUP(GG238,GH224:GR234,11,0)</f>
        <v>31.19</v>
      </c>
      <c r="GS236" s="2276">
        <f>VLOOKUP(GG238,GH224:GS234,12,0)</f>
        <v>34.36</v>
      </c>
      <c r="GT236" s="2276">
        <f>VLOOKUP(GG238,GH224:GT234,13,0)</f>
        <v>37.130000000000003</v>
      </c>
      <c r="GU236" s="2276">
        <f>VLOOKUP(GG238,GH224:GU234,14,0)</f>
        <v>38.42</v>
      </c>
      <c r="GV236" s="2276">
        <f>VLOOKUP(GG238,GH224:GV234,15,0)</f>
        <v>40.4</v>
      </c>
      <c r="GW236" s="2276">
        <f>VLOOKUP(GG238,GH224:GW234,16,0)</f>
        <v>42.57</v>
      </c>
      <c r="GX236" s="2276">
        <f>VLOOKUP(GG238,GH224:GX234,17,0)</f>
        <v>44.06</v>
      </c>
      <c r="GY236" s="2276">
        <f>VLOOKUP(GG238,GH224:GY234,18,0)</f>
        <v>46.93</v>
      </c>
      <c r="GZ236" s="2276">
        <f>VLOOKUP(GG238,GH224:GZ234,19,0)</f>
        <v>49.9</v>
      </c>
      <c r="HA236" s="2276">
        <f>VLOOKUP(GG238,GH224:HA234,20,0)</f>
        <v>53.76</v>
      </c>
      <c r="HB236" s="2276">
        <f>VLOOKUP(GG238,GH224:HB234,21,0)</f>
        <v>57.72</v>
      </c>
      <c r="HC236" s="2276">
        <f>VLOOKUP(GG238,GH224:HC234,22,0)</f>
        <v>62.97</v>
      </c>
      <c r="HD236" s="2276">
        <f>VLOOKUP(GG238,GH224:HD234,23,0)</f>
        <v>66.83</v>
      </c>
      <c r="HE236" s="2276">
        <f>VLOOKUP(GG238,GH224:HE234,24,0)</f>
        <v>72.87</v>
      </c>
      <c r="HF236" s="2276">
        <f>VLOOKUP(GG238,GH224:HF234,25,0)</f>
        <v>79.599999999999994</v>
      </c>
      <c r="HG236" s="2276">
        <f>VLOOKUP(GG238,GH224:HG234,26,0)</f>
        <v>89.6</v>
      </c>
      <c r="HH236" s="2276">
        <f>VLOOKUP(GG238,GH224:HH234,27,0)</f>
        <v>105.45</v>
      </c>
      <c r="HI236" s="2276">
        <f>VLOOKUP(GG238,GH224:HI234,28,0)</f>
        <v>113.76</v>
      </c>
      <c r="HJ236" s="2346"/>
      <c r="HK236" s="2275"/>
      <c r="HL236" s="2276">
        <f>HLOOKUP(HL221,GI222:HI234,13,0)</f>
        <v>439.5</v>
      </c>
      <c r="HM236" s="2275"/>
      <c r="HN236" s="2275"/>
      <c r="HO236" s="2275"/>
      <c r="HP236" s="2275"/>
      <c r="HQ236" s="2275"/>
      <c r="HR236" s="2275"/>
      <c r="HS236" s="2275"/>
      <c r="HT236" s="2275"/>
      <c r="HU236" s="2250"/>
      <c r="HV236" s="2250"/>
      <c r="HW236" s="2250"/>
      <c r="HX236" s="2250"/>
      <c r="HY236" s="2250"/>
      <c r="HZ236" s="2250"/>
      <c r="IA236" s="2250"/>
      <c r="IB236" s="2250"/>
      <c r="IC236" s="2250"/>
      <c r="ID236" s="2250"/>
      <c r="IE236" s="2250"/>
      <c r="IF236" s="2250"/>
      <c r="IG236" s="2250"/>
      <c r="IH236" s="2250"/>
      <c r="II236" s="2250"/>
      <c r="IJ236" s="2250"/>
      <c r="IK236" s="2250"/>
      <c r="IL236" s="2250"/>
    </row>
    <row r="237" spans="1:246" ht="21.95" customHeight="1">
      <c r="A237" s="2275"/>
      <c r="B237" s="3693">
        <f>AI237</f>
        <v>650</v>
      </c>
      <c r="C237" s="2346" t="s">
        <v>739</v>
      </c>
      <c r="D237" s="3693">
        <f>HLOOKUP(B235,D221:AD235,15,0)</f>
        <v>20.89</v>
      </c>
      <c r="E237" s="3693" t="str">
        <f>IF(B236=D237,"Right","Wrong")</f>
        <v>Right</v>
      </c>
      <c r="F237" s="2275"/>
      <c r="G237" s="2275"/>
      <c r="H237" s="2275"/>
      <c r="I237" s="2275"/>
      <c r="J237" s="2275"/>
      <c r="K237" s="2275"/>
      <c r="L237" s="2275"/>
      <c r="M237" s="2275"/>
      <c r="N237" s="2275"/>
      <c r="O237" s="2275"/>
      <c r="P237" s="2275"/>
      <c r="Q237" s="2275"/>
      <c r="R237" s="2275"/>
      <c r="S237" s="2275"/>
      <c r="T237" s="2275"/>
      <c r="U237" s="2275"/>
      <c r="V237" s="2275"/>
      <c r="W237" s="2275"/>
      <c r="X237" s="2275"/>
      <c r="Y237" s="2275"/>
      <c r="Z237" s="2275"/>
      <c r="AA237" s="2275"/>
      <c r="AB237" s="2275"/>
      <c r="AC237" s="2275"/>
      <c r="AD237" s="2275"/>
      <c r="AE237" s="2275"/>
      <c r="AF237" s="2275"/>
      <c r="AG237" s="2276">
        <f>VLOOKUP(AG236,AG223:AH234,2,0)</f>
        <v>20.89</v>
      </c>
      <c r="AH237" s="2276">
        <f>IF(AH236&gt;0,AH236,AG237)</f>
        <v>20.89</v>
      </c>
      <c r="AI237" s="2276">
        <f>VLOOKUP(AH237,AH224:AI234,2,0)</f>
        <v>650</v>
      </c>
      <c r="AJ237" s="2275"/>
      <c r="AK237" s="2275"/>
      <c r="AL237" s="2275"/>
      <c r="AM237" s="2275"/>
      <c r="AN237" s="2275"/>
      <c r="AO237" s="2275"/>
      <c r="AP237" s="2250"/>
      <c r="AQ237" s="2250"/>
      <c r="AR237" s="2250"/>
      <c r="AS237" s="2250"/>
      <c r="AT237" s="2250"/>
      <c r="AU237" s="2250"/>
      <c r="AV237" s="2250"/>
      <c r="AW237" s="2250"/>
      <c r="AX237" s="2250"/>
      <c r="AY237" s="2250"/>
      <c r="AZ237" s="2250"/>
      <c r="BA237" s="2250"/>
      <c r="BB237" s="2250"/>
      <c r="BC237" s="2250"/>
      <c r="BD237" s="2250"/>
      <c r="BE237" s="2250"/>
      <c r="BF237" s="2276"/>
      <c r="BG237" s="2276"/>
      <c r="BH237" s="2250"/>
      <c r="BI237" s="2275"/>
      <c r="BJ237" s="3693">
        <f>CQ237</f>
        <v>775</v>
      </c>
      <c r="BK237" s="2346" t="s">
        <v>739</v>
      </c>
      <c r="BL237" s="3693">
        <f>HLOOKUP(BJ235,BL221:CL235,15,0)</f>
        <v>30.79</v>
      </c>
      <c r="BM237" s="3693" t="str">
        <f>IF(BJ236=BL237,"Right","Wrong")</f>
        <v>Right</v>
      </c>
      <c r="BN237" s="2275"/>
      <c r="BO237" s="2275"/>
      <c r="BP237" s="2275"/>
      <c r="BQ237" s="2275"/>
      <c r="BR237" s="2275"/>
      <c r="BS237" s="2275"/>
      <c r="BT237" s="2275"/>
      <c r="BU237" s="2275"/>
      <c r="BV237" s="2275"/>
      <c r="BW237" s="2275"/>
      <c r="BX237" s="2275"/>
      <c r="BY237" s="2275"/>
      <c r="BZ237" s="2275"/>
      <c r="CA237" s="2275"/>
      <c r="CB237" s="2275"/>
      <c r="CC237" s="2275"/>
      <c r="CD237" s="2275"/>
      <c r="CE237" s="2275"/>
      <c r="CF237" s="2275"/>
      <c r="CG237" s="2275"/>
      <c r="CH237" s="2275"/>
      <c r="CI237" s="2275"/>
      <c r="CJ237" s="2275"/>
      <c r="CK237" s="2275"/>
      <c r="CL237" s="2275"/>
      <c r="CM237" s="2275"/>
      <c r="CN237" s="2275"/>
      <c r="CO237" s="2276">
        <f>VLOOKUP(CO236,CO223:CP234,2,0)</f>
        <v>30.79</v>
      </c>
      <c r="CP237" s="2276">
        <f>IF(CP236&gt;0,CP236,CO237)</f>
        <v>30.79</v>
      </c>
      <c r="CQ237" s="2276">
        <f>VLOOKUP(CP237,CP224:CQ234,2,0)</f>
        <v>775</v>
      </c>
      <c r="CR237" s="2275"/>
      <c r="CS237" s="2275"/>
      <c r="CT237" s="2275"/>
      <c r="CU237" s="2275"/>
      <c r="CV237" s="2275"/>
      <c r="CW237" s="2275"/>
      <c r="CX237" s="2250"/>
      <c r="CY237" s="2250"/>
      <c r="CZ237" s="2250"/>
      <c r="DA237" s="2250"/>
      <c r="DB237" s="2250"/>
      <c r="DC237" s="2250"/>
      <c r="DD237" s="2250"/>
      <c r="DE237" s="2250"/>
      <c r="DF237" s="2250"/>
      <c r="DG237" s="2250"/>
      <c r="DH237" s="2250"/>
      <c r="DI237" s="2250"/>
      <c r="DJ237" s="2250"/>
      <c r="DK237" s="2250"/>
      <c r="DL237" s="2250"/>
      <c r="DM237" s="2250"/>
      <c r="DN237" s="2250"/>
      <c r="DO237" s="2250"/>
      <c r="DP237" s="2250"/>
      <c r="DQ237" s="2277"/>
      <c r="DR237" s="2277"/>
      <c r="DS237" s="2278"/>
      <c r="DT237" s="2250"/>
      <c r="DU237" s="2250"/>
      <c r="DV237" s="2250"/>
      <c r="DW237" s="2250"/>
      <c r="DX237" s="2275"/>
      <c r="DY237" s="2276">
        <f>FE238</f>
        <v>31.19</v>
      </c>
      <c r="DZ237" s="2275"/>
      <c r="EA237" s="2275"/>
      <c r="EB237" s="2275"/>
      <c r="EC237" s="2275"/>
      <c r="ED237" s="2275"/>
      <c r="EE237" s="2275"/>
      <c r="EF237" s="2275"/>
      <c r="EG237" s="2275"/>
      <c r="EH237" s="2275"/>
      <c r="EI237" s="2275"/>
      <c r="EJ237" s="2275"/>
      <c r="EK237" s="2275"/>
      <c r="EL237" s="2275"/>
      <c r="EM237" s="2275"/>
      <c r="EN237" s="2275"/>
      <c r="EO237" s="2275"/>
      <c r="EP237" s="2275"/>
      <c r="EQ237" s="2275"/>
      <c r="ER237" s="2275"/>
      <c r="ES237" s="2275"/>
      <c r="ET237" s="2275"/>
      <c r="EU237" s="2275"/>
      <c r="EV237" s="2275"/>
      <c r="EW237" s="2275"/>
      <c r="EX237" s="2275"/>
      <c r="EY237" s="2275"/>
      <c r="EZ237" s="2275"/>
      <c r="FA237" s="2275"/>
      <c r="FB237" s="2275"/>
      <c r="FC237" s="2275"/>
      <c r="FD237" s="2276">
        <f>VLOOKUP(FD222,FD224:FD236,1)</f>
        <v>18.02</v>
      </c>
      <c r="FE237" s="2276">
        <f>IFERROR(VLOOKUP(FD222,FE224:FE234,2,0),0)</f>
        <v>0</v>
      </c>
      <c r="FF237" s="2275"/>
      <c r="FG237" s="2275"/>
      <c r="FH237" s="2275"/>
      <c r="FI237" s="2275"/>
      <c r="FJ237" s="2275"/>
      <c r="FK237" s="2275"/>
      <c r="FL237" s="2275"/>
      <c r="FM237" s="2250"/>
      <c r="FN237" s="2250"/>
      <c r="FO237" s="2250"/>
      <c r="FP237" s="2250"/>
      <c r="FQ237" s="2250"/>
      <c r="FR237" s="2250"/>
      <c r="FS237" s="2250"/>
      <c r="FT237" s="2250"/>
      <c r="FU237" s="2250"/>
      <c r="FV237" s="2250"/>
      <c r="FW237" s="2250"/>
      <c r="FX237" s="2250"/>
      <c r="FY237" s="2250"/>
      <c r="FZ237" s="2250"/>
      <c r="GA237" s="2250"/>
      <c r="GB237" s="2250"/>
      <c r="GC237" s="2276"/>
      <c r="GD237" s="2276"/>
      <c r="GE237" s="2250"/>
      <c r="GF237" s="2275"/>
      <c r="GG237" s="2276">
        <f>HM238</f>
        <v>29.21</v>
      </c>
      <c r="GH237" s="2275"/>
      <c r="GI237" s="2275"/>
      <c r="GJ237" s="2275"/>
      <c r="GK237" s="2275"/>
      <c r="GL237" s="2275"/>
      <c r="GM237" s="2275"/>
      <c r="GN237" s="2275"/>
      <c r="GO237" s="2275"/>
      <c r="GP237" s="2275"/>
      <c r="GQ237" s="2275"/>
      <c r="GR237" s="2275"/>
      <c r="GS237" s="2275"/>
      <c r="GT237" s="2275"/>
      <c r="GU237" s="2275"/>
      <c r="GV237" s="2275"/>
      <c r="GW237" s="2275"/>
      <c r="GX237" s="2275"/>
      <c r="GY237" s="2275"/>
      <c r="GZ237" s="2275"/>
      <c r="HA237" s="2275"/>
      <c r="HB237" s="2275"/>
      <c r="HC237" s="2275"/>
      <c r="HD237" s="2275"/>
      <c r="HE237" s="2275"/>
      <c r="HF237" s="2275"/>
      <c r="HG237" s="2275"/>
      <c r="HH237" s="2275"/>
      <c r="HI237" s="2275"/>
      <c r="HJ237" s="2275"/>
      <c r="HK237" s="2275"/>
      <c r="HL237" s="2276">
        <f>VLOOKUP(HL222,HL224:HL236,1)</f>
        <v>16.93</v>
      </c>
      <c r="HM237" s="2276">
        <f>IFERROR(VLOOKUP(HL222,HM224:HM234,2,0),0)</f>
        <v>0</v>
      </c>
      <c r="HN237" s="2275"/>
      <c r="HO237" s="2275"/>
      <c r="HP237" s="2275"/>
      <c r="HQ237" s="2275"/>
      <c r="HR237" s="2275"/>
      <c r="HS237" s="2275"/>
      <c r="HT237" s="2275"/>
      <c r="HU237" s="2250"/>
      <c r="HV237" s="2250"/>
      <c r="HW237" s="2250"/>
      <c r="HX237" s="2250"/>
      <c r="HY237" s="2250"/>
      <c r="HZ237" s="2250"/>
      <c r="IA237" s="2250"/>
      <c r="IB237" s="2250"/>
      <c r="IC237" s="2250"/>
      <c r="ID237" s="2250"/>
      <c r="IE237" s="2250"/>
      <c r="IF237" s="2250"/>
      <c r="IG237" s="2250"/>
      <c r="IH237" s="2250"/>
      <c r="II237" s="2250"/>
      <c r="IJ237" s="2250"/>
      <c r="IK237" s="2250"/>
      <c r="IL237" s="2250"/>
    </row>
    <row r="238" spans="1:246" ht="21.95" customHeight="1">
      <c r="A238" s="2275"/>
      <c r="B238" s="2250"/>
      <c r="C238" s="2275"/>
      <c r="D238" s="2276">
        <f>+IF(B283&lt;=D223,D223,IF(B283&lt;=D224,D224,IF(B283&lt;=D225,D225,IF(B283&lt;=D226,D226,IF(B283&lt;=D227,D227,IF(B283&lt;=D228,D228,IF(B283&lt;=D229,D229,IF(B283&lt;=D230,D230,0))))))))</f>
        <v>28.51</v>
      </c>
      <c r="E238" s="2276">
        <f>+IF(B283&lt;=E223,E223,IF(B283&lt;=E224,E224,IF(B283&lt;=E225,E225,IF(B283&lt;=E226,E226,IF(B283&lt;=E227,E227,IF(B283&lt;=E228,E228,IF(B283&lt;=E229,E229,IF(B283&lt;=E230,E230,0))))))))</f>
        <v>30.79</v>
      </c>
      <c r="F238" s="2276">
        <f>+IF(B283&lt;=F223,F223,IF(B283&lt;=F224,F224,IF(B283&lt;=F225,F225,IF(B283&lt;=F226,F226,IF(B283&lt;=F227,F227,IF(B283&lt;=F228,F228,IF(B283&lt;=F229,F229,IF(B283&lt;=F230,F230,0))))))))</f>
        <v>20.89</v>
      </c>
      <c r="G238" s="2276">
        <f>+IF(B283&lt;=G223,G223,IF(B283&lt;=G224,G224,IF(B283&lt;=G225,G225,IF(B283&lt;=G226,G226,IF(B283&lt;=G227,G227,IF(B283&lt;=G228,G228,IF(B283&lt;=G229,G229,IF(B283&lt;=G230,G230,0))))))))</f>
        <v>22.38</v>
      </c>
      <c r="H238" s="2276">
        <f>+IF(B283&lt;=H223,H223,IF(B283&lt;=H224,H224,IF(B283&lt;=H225,H225,IF(B283&lt;=H226,H226,IF(B283&lt;=H227,H227,IF(B283&lt;=H228,H228,IF(B283&lt;=H229,H229,IF(B283&lt;=H230,H230,0))))))))</f>
        <v>23.76</v>
      </c>
      <c r="I238" s="2276">
        <f>+IF(B283&lt;=I223,I223,IF(B283&lt;=I224,I224,IF(B283&lt;=I225,I225,IF(B283&lt;=I226,I226,IF(B283&lt;=I227,I227,IF(B283&lt;=I228,I228,IF(B283&lt;=I229,I229,IF(B283&lt;=I230,I230,0))))))))</f>
        <v>24.06</v>
      </c>
      <c r="J238" s="2276">
        <f>+IF(B283&lt;=J223,J223,IF(B283&lt;=J224,J224,IF(B283&lt;=J225,J225,IF(B283&lt;=J226,J226,IF(B283&lt;=J227,J227,IF(B283&lt;=J228,J228,IF(B283&lt;=J229,J229,IF(B283&lt;=J230,J230,0))))))))</f>
        <v>25.74</v>
      </c>
      <c r="K238" s="2276">
        <f>+IF(B283&lt;=K223,K223,IF(B283&lt;=K224,K224,IF(B283&lt;=K225,K225,IF(B283&lt;=K226,K226,IF(B283&lt;=K227,K227,IF(B283&lt;=K228,K228,IF(B283&lt;=K229,K229,IF(B283&lt;=K230,K230,0))))))))</f>
        <v>27.62</v>
      </c>
      <c r="L238" s="2276">
        <f>+IF(B283&lt;=L223,L223,IF(B283&lt;=L224,L224,IF(B283&lt;=L225,L225,IF(B283&lt;=L226,L226,IF(B283&lt;=L227,L227,IF(B283&lt;=L228,L228,IF(B283&lt;=L229,L229,IF(B283&lt;=L230,L230,0))))))))</f>
        <v>29.21</v>
      </c>
      <c r="M238" s="2276">
        <f>+IF(B283&lt;=M223,M223,IF(B283&lt;=M224,M224,IF(B283&lt;=M225,M225,IF(B283&lt;=M226,M226,IF(B283&lt;=M227,M227,IF(B283&lt;=M228,M228,IF(B283&lt;=M229,M229,IF(B283&lt;=M230,M230,0))))))))</f>
        <v>31.19</v>
      </c>
      <c r="N238" s="2276">
        <f>+IF(B283&lt;=N223,N223,IF(B283&lt;=N224,N224,IF(B283&lt;=N225,N225,IF(B283&lt;=N226,N226,IF(B283&lt;=N227,N227,IF(B283&lt;=N228,N228,IF(B283&lt;=N229,N229,IF(B283&lt;=N230,N230,0))))))))</f>
        <v>34.36</v>
      </c>
      <c r="O238" s="2276">
        <f>+IF(B283&lt;=O223,O223,IF(B283&lt;=O224,O224,IF(B283&lt;=O225,O225,IF(B283&lt;=O226,O226,IF(B283&lt;=O227,O227,IF(B283&lt;=O228,O228,IF(B283&lt;=O229,O229,IF(B283&lt;=O230,O230,0))))))))</f>
        <v>21.09</v>
      </c>
      <c r="P238" s="2276">
        <f>+IF(B283&lt;=P223,P223,IF(B283&lt;=P224,P224,IF(B283&lt;=P225,P225,IF(B283&lt;=P226,P226,IF(B283&lt;=P227,P227,IF(B283&lt;=P228,P228,IF(B283&lt;=P229,P229,IF(B283&lt;=P230,P230,0))))))))</f>
        <v>22.28</v>
      </c>
      <c r="Q238" s="2276">
        <f>+IF(B283&lt;=Q223,Q223,IF(B283&lt;=Q224,Q224,IF(B283&lt;=Q225,Q225,IF(B283&lt;=Q226,Q226,IF(B283&lt;=Q227,Q227,IF(B283&lt;=Q228,Q228,IF(B283&lt;=Q229,Q229,IF(B283&lt;=Q230,Q230,0))))))))</f>
        <v>23.37</v>
      </c>
      <c r="R238" s="2276">
        <f>+IF(B283&lt;=R223,R223,IF(B283&lt;=R224,R224,IF(B283&lt;=R225,R225,IF(B283&lt;=R226,R226,IF(B283&lt;=R227,R227,IF(B283&lt;=R228,R228,IF(B283&lt;=R229,R229,IF(B283&lt;=R230,R230,0))))))))</f>
        <v>24.06</v>
      </c>
      <c r="S238" s="2276">
        <f>+IF(B283&lt;=S223,S223,IF(B283&lt;=S224,S224,IF(B283&lt;=S225,S225,IF(B283&lt;=S226,S226,IF(B283&lt;=S227,S227,IF(B283&lt;=S228,S228,IF(B283&lt;=S229,S229,IF(B283&lt;=S230,S230,0))))))))</f>
        <v>25.64</v>
      </c>
      <c r="T238" s="2276">
        <f>+IF(B283&lt;=T223,T223,IF(B283&lt;=T224,T224,IF(B283&lt;=T225,T225,IF(B283&lt;=T226,T226,IF(B283&lt;=T227,T227,IF(B283&lt;=T228,T228,IF(B283&lt;=T229,T229,IF(B283&lt;=T230,T230,0))))))))</f>
        <v>27.23</v>
      </c>
      <c r="U238" s="2276">
        <f>+IF(B283&lt;=U223,U223,IF(B283&lt;=U224,U224,IF(B283&lt;=U225,U225,IF(B283&lt;=U226,U226,IF(B283&lt;=U227,U227,IF(B283&lt;=U228,U228,IF(B283&lt;=U229,U229,IF(B283&lt;=U230,U230,0))))))))</f>
        <v>29.5</v>
      </c>
      <c r="V238" s="2276">
        <f>+IF(B283&lt;=V223,V223,IF(B283&lt;=V224,V224,IF(B283&lt;=V225,V225,IF(B283&lt;=V226,V226,IF(B283&lt;=V227,V227,IF(B283&lt;=V228,V228,IF(B283&lt;=V229,V229,IF(B283&lt;=V230,V230,0))))))))</f>
        <v>31.58</v>
      </c>
      <c r="W238" s="2276">
        <f>+IF(B283&lt;=W223,W223,IF(B283&lt;=W224,W224,IF(B283&lt;=W225,W225,IF(B283&lt;=W226,W226,IF(B283&lt;=W227,W227,IF(B283&lt;=W228,W228,IF(B283&lt;=W229,W229,IF(B283&lt;=W230,W230,0))))))))</f>
        <v>34.06</v>
      </c>
      <c r="X238" s="2276">
        <f>+IF(B283&lt;=X223,X223,IF(B283&lt;=X224,X224,IF(B283&lt;=X225,X225,IF(B283&lt;=X226,X226,IF(B283&lt;=X227,X227,IF(B283&lt;=X228,X228,IF(B283&lt;=X229,X229,IF(B283&lt;=X230,X230,0))))))))</f>
        <v>36.340000000000003</v>
      </c>
      <c r="Y238" s="2276">
        <f>+IF(B283&lt;=Y223,Y223,IF(B283&lt;=Y224,Y224,IF(B283&lt;=Y225,Y225,IF(B283&lt;=Y226,Y226,IF(B283&lt;=Y227,Y227,IF(B283&lt;=Y228,Y228,IF(B283&lt;=Y229,Y229,IF(B283&lt;=Y230,Y230,0))))))))</f>
        <v>20.399999999999999</v>
      </c>
      <c r="Z238" s="2276">
        <f>+IF(B283&lt;=Z223,Z223,IF(B283&lt;=Z224,Z224,IF(B283&lt;=Z225,Z225,IF(B283&lt;=Z226,Z226,IF(B283&lt;=Z227,Z227,IF(B283&lt;=Z228,Z228,IF(B283&lt;=Z229,Z229,IF(B283&lt;=Z230,Z230,0))))))))</f>
        <v>22.18</v>
      </c>
      <c r="AA238" s="2276">
        <f>+IF(B283&lt;=AA223,AA223,IF(B283&lt;=AA224,AA224,IF(B283&lt;=AA225,AA225,IF(B283&lt;=AA226,AA226,IF(B283&lt;=AA227,AA227,IF(B283&lt;=AA228,AA228,IF(B283&lt;=AA229,AA229,IF(B283&lt;=AA230,AA230,0))))))))</f>
        <v>24.85</v>
      </c>
      <c r="AB238" s="2276">
        <f>+IF(B283&lt;=AB223,AB223,IF(B283&lt;=AB224,AB224,IF(B283&lt;=AB225,AB225,IF(B283&lt;=AB226,AB226,IF(B283&lt;=AB227,AB227,IF(B283&lt;=AB228,AB228,IF(B283&lt;=AB229,AB229,IF(B283&lt;=AB230,AB230,0))))))))</f>
        <v>27.72</v>
      </c>
      <c r="AC238" s="2276">
        <f>+IF(B283&lt;=AC223,AC223,IF(B283&lt;=AC224,AC224,IF(B283&lt;=AC225,AC225,IF(B283&lt;=AC226,AC226,IF(B283&lt;=AC227,AC227,IF(B283&lt;=AC228,AC228,IF(B283&lt;=AC229,AC229,IF(B283&lt;=AC230,AC230,0))))))))</f>
        <v>31.49</v>
      </c>
      <c r="AD238" s="2276">
        <f>+IF(B283&lt;=AD223,AD223,IF(B283&lt;=AD224,AD224,IF(B283&lt;=AD225,AD225,IF(B283&lt;=AD226,AD226,IF(B283&lt;=AD227,AD227,IF(B283&lt;=AD228,AD228,IF(B283&lt;=AD229,AD229,IF(B283&lt;=AD230,AD230,0))))))))</f>
        <v>23.17</v>
      </c>
      <c r="AE238" s="2275"/>
      <c r="AF238" s="2275"/>
      <c r="AG238" s="2275"/>
      <c r="AH238" s="2275"/>
      <c r="AI238" s="2275"/>
      <c r="AJ238" s="2275"/>
      <c r="AK238" s="2275"/>
      <c r="AL238" s="2275"/>
      <c r="AM238" s="2275"/>
      <c r="AN238" s="2275"/>
      <c r="AO238" s="2275"/>
      <c r="AP238" s="2250"/>
      <c r="AQ238" s="2250"/>
      <c r="AR238" s="2250"/>
      <c r="AS238" s="2250"/>
      <c r="AT238" s="2250"/>
      <c r="AU238" s="2250"/>
      <c r="AV238" s="2250"/>
      <c r="AW238" s="2250"/>
      <c r="AX238" s="2250"/>
      <c r="AY238" s="2250"/>
      <c r="AZ238" s="2250"/>
      <c r="BA238" s="2250"/>
      <c r="BB238" s="2250"/>
      <c r="BC238" s="2250"/>
      <c r="BD238" s="2250"/>
      <c r="BE238" s="2250"/>
      <c r="BF238" s="2276"/>
      <c r="BG238" s="2276"/>
      <c r="BH238" s="2250"/>
      <c r="BI238" s="2275"/>
      <c r="BJ238" s="2250"/>
      <c r="BK238" s="2275"/>
      <c r="BL238" s="2276">
        <f>+IF(BJ283&lt;=BL223,BL223,IF(BJ283&lt;=BL224,BL224,IF(BJ283&lt;=BL225,BL225,IF(BJ283&lt;=BL226,BL226,IF(BJ283&lt;=BL227,BL227,IF(BJ283&lt;=BL228,BL228,IF(BJ283&lt;=BL229,BL229,IF(BJ283&lt;=BL230,BL230,0))))))))</f>
        <v>28.51</v>
      </c>
      <c r="BM238" s="2276">
        <f>+IF(BJ283&lt;=BM223,BM223,IF(BJ283&lt;=BM224,BM224,IF(BJ283&lt;=BM225,BM225,IF(BJ283&lt;=BM226,BM226,IF(BJ283&lt;=BM227,BM227,IF(BJ283&lt;=BM228,BM228,IF(BJ283&lt;=BM229,BM229,IF(BJ283&lt;=BM230,BM230,0))))))))</f>
        <v>30.79</v>
      </c>
      <c r="BN238" s="2276">
        <f>+IF(BJ283&lt;=BN223,BN223,IF(BJ283&lt;=BN224,BN224,IF(BJ283&lt;=BN225,BN225,IF(BJ283&lt;=BN226,BN226,IF(BJ283&lt;=BN227,BN227,IF(BJ283&lt;=BN228,BN228,IF(BJ283&lt;=BN229,BN229,IF(BJ283&lt;=BN230,BN230,0))))))))</f>
        <v>20.89</v>
      </c>
      <c r="BO238" s="2276">
        <f>+IF(BJ283&lt;=BO223,BO223,IF(BJ283&lt;=BO224,BO224,IF(BJ283&lt;=BO225,BO225,IF(BJ283&lt;=BO226,BO226,IF(BJ283&lt;=BO227,BO227,IF(BJ283&lt;=BO228,BO228,IF(BJ283&lt;=BO229,BO229,IF(BJ283&lt;=BO230,BO230,0))))))))</f>
        <v>22.38</v>
      </c>
      <c r="BP238" s="2276">
        <f>+IF(BJ283&lt;=BP223,BP223,IF(BJ283&lt;=BP224,BP224,IF(BJ283&lt;=BP225,BP225,IF(BJ283&lt;=BP226,BP226,IF(BJ283&lt;=BP227,BP227,IF(BJ283&lt;=BP228,BP228,IF(BJ283&lt;=BP229,BP229,IF(BJ283&lt;=BP230,BP230,0))))))))</f>
        <v>23.76</v>
      </c>
      <c r="BQ238" s="2276">
        <f>+IF(BJ283&lt;=BQ223,BQ223,IF(BJ283&lt;=BQ224,BQ224,IF(BJ283&lt;=BQ225,BQ225,IF(BJ283&lt;=BQ226,BQ226,IF(BJ283&lt;=BQ227,BQ227,IF(BJ283&lt;=BQ228,BQ228,IF(BJ283&lt;=BQ229,BQ229,IF(BJ283&lt;=BQ230,BQ230,0))))))))</f>
        <v>24.06</v>
      </c>
      <c r="BR238" s="2276">
        <f>+IF(BJ283&lt;=BR223,BR223,IF(BJ283&lt;=BR224,BR224,IF(BJ283&lt;=BR225,BR225,IF(BJ283&lt;=BR226,BR226,IF(BJ283&lt;=BR227,BR227,IF(BJ283&lt;=BR228,BR228,IF(BJ283&lt;=BR229,BR229,IF(BJ283&lt;=BR230,BR230,0))))))))</f>
        <v>25.74</v>
      </c>
      <c r="BS238" s="2276">
        <f>+IF(BJ283&lt;=BS223,BS223,IF(BJ283&lt;=BS224,BS224,IF(BJ283&lt;=BS225,BS225,IF(BJ283&lt;=BS226,BS226,IF(BJ283&lt;=BS227,BS227,IF(BJ283&lt;=BS228,BS228,IF(BJ283&lt;=BS229,BS229,IF(BJ283&lt;=BS230,BS230,0))))))))</f>
        <v>27.62</v>
      </c>
      <c r="BT238" s="2276">
        <f>+IF(BJ283&lt;=BT223,BT223,IF(BJ283&lt;=BT224,BT224,IF(BJ283&lt;=BT225,BT225,IF(BJ283&lt;=BT226,BT226,IF(BJ283&lt;=BT227,BT227,IF(BJ283&lt;=BT228,BT228,IF(BJ283&lt;=BT229,BT229,IF(BJ283&lt;=BT230,BT230,0))))))))</f>
        <v>29.21</v>
      </c>
      <c r="BU238" s="2276">
        <f>+IF(BJ283&lt;=BU223,BU223,IF(BJ283&lt;=BU224,BU224,IF(BJ283&lt;=BU225,BU225,IF(BJ283&lt;=BU226,BU226,IF(BJ283&lt;=BU227,BU227,IF(BJ283&lt;=BU228,BU228,IF(BJ283&lt;=BU229,BU229,IF(BJ283&lt;=BU230,BU230,0))))))))</f>
        <v>31.19</v>
      </c>
      <c r="BV238" s="2276">
        <f>+IF(BJ283&lt;=BV223,BV223,IF(BJ283&lt;=BV224,BV224,IF(BJ283&lt;=BV225,BV225,IF(BJ283&lt;=BV226,BV226,IF(BJ283&lt;=BV227,BV227,IF(BJ283&lt;=BV228,BV228,IF(BJ283&lt;=BV229,BV229,IF(BJ283&lt;=BV230,BV230,0))))))))</f>
        <v>34.36</v>
      </c>
      <c r="BW238" s="2276">
        <f>+IF(BJ283&lt;=BW223,BW223,IF(BJ283&lt;=BW224,BW224,IF(BJ283&lt;=BW225,BW225,IF(BJ283&lt;=BW226,BW226,IF(BJ283&lt;=BW227,BW227,IF(BJ283&lt;=BW228,BW228,IF(BJ283&lt;=BW229,BW229,IF(BJ283&lt;=BW230,BW230,0))))))))</f>
        <v>21.09</v>
      </c>
      <c r="BX238" s="2276">
        <f>+IF(BJ283&lt;=BX223,BX223,IF(BJ283&lt;=BX224,BX224,IF(BJ283&lt;=BX225,BX225,IF(BJ283&lt;=BX226,BX226,IF(BJ283&lt;=BX227,BX227,IF(BJ283&lt;=BX228,BX228,IF(BJ283&lt;=BX229,BX229,IF(BJ283&lt;=BX230,BX230,0))))))))</f>
        <v>22.28</v>
      </c>
      <c r="BY238" s="2276">
        <f>+IF(BJ283&lt;=BY223,BY223,IF(BJ283&lt;=BY224,BY224,IF(BJ283&lt;=BY225,BY225,IF(BJ283&lt;=BY226,BY226,IF(BJ283&lt;=BY227,BY227,IF(BJ283&lt;=BY228,BY228,IF(BJ283&lt;=BY229,BY229,IF(BJ283&lt;=BY230,BY230,0))))))))</f>
        <v>23.37</v>
      </c>
      <c r="BZ238" s="2276">
        <f>+IF(BJ283&lt;=BZ223,BZ223,IF(BJ283&lt;=BZ224,BZ224,IF(BJ283&lt;=BZ225,BZ225,IF(BJ283&lt;=BZ226,BZ226,IF(BJ283&lt;=BZ227,BZ227,IF(BJ283&lt;=BZ228,BZ228,IF(BJ283&lt;=BZ229,BZ229,IF(BJ283&lt;=BZ230,BZ230,0))))))))</f>
        <v>24.06</v>
      </c>
      <c r="CA238" s="2276">
        <f>+IF(BJ283&lt;=CA223,CA223,IF(BJ283&lt;=CA224,CA224,IF(BJ283&lt;=CA225,CA225,IF(BJ283&lt;=CA226,CA226,IF(BJ283&lt;=CA227,CA227,IF(BJ283&lt;=CA228,CA228,IF(BJ283&lt;=CA229,CA229,IF(BJ283&lt;=CA230,CA230,0))))))))</f>
        <v>25.64</v>
      </c>
      <c r="CB238" s="2276">
        <f>+IF(BJ283&lt;=CB223,CB223,IF(BJ283&lt;=CB224,CB224,IF(BJ283&lt;=CB225,CB225,IF(BJ283&lt;=CB226,CB226,IF(BJ283&lt;=CB227,CB227,IF(BJ283&lt;=CB228,CB228,IF(BJ283&lt;=CB229,CB229,IF(BJ283&lt;=CB230,CB230,0))))))))</f>
        <v>27.23</v>
      </c>
      <c r="CC238" s="2276">
        <f>+IF(BJ283&lt;=CC223,CC223,IF(BJ283&lt;=CC224,CC224,IF(BJ283&lt;=CC225,CC225,IF(BJ283&lt;=CC226,CC226,IF(BJ283&lt;=CC227,CC227,IF(BJ283&lt;=CC228,CC228,IF(BJ283&lt;=CC229,CC229,IF(BJ283&lt;=CC230,CC230,0))))))))</f>
        <v>29.5</v>
      </c>
      <c r="CD238" s="2276">
        <f>+IF(BJ283&lt;=CD223,CD223,IF(BJ283&lt;=CD224,CD224,IF(BJ283&lt;=CD225,CD225,IF(BJ283&lt;=CD226,CD226,IF(BJ283&lt;=CD227,CD227,IF(BJ283&lt;=CD228,CD228,IF(BJ283&lt;=CD229,CD229,IF(BJ283&lt;=CD230,CD230,0))))))))</f>
        <v>31.58</v>
      </c>
      <c r="CE238" s="2276">
        <f>+IF(BJ283&lt;=CE223,CE223,IF(BJ283&lt;=CE224,CE224,IF(BJ283&lt;=CE225,CE225,IF(BJ283&lt;=CE226,CE226,IF(BJ283&lt;=CE227,CE227,IF(BJ283&lt;=CE228,CE228,IF(BJ283&lt;=CE229,CE229,IF(BJ283&lt;=CE230,CE230,0))))))))</f>
        <v>34.06</v>
      </c>
      <c r="CF238" s="2276">
        <f>+IF(BJ283&lt;=CF223,CF223,IF(BJ283&lt;=CF224,CF224,IF(BJ283&lt;=CF225,CF225,IF(BJ283&lt;=CF226,CF226,IF(BJ283&lt;=CF227,CF227,IF(BJ283&lt;=CF228,CF228,IF(BJ283&lt;=CF229,CF229,IF(BJ283&lt;=CF230,CF230,0))))))))</f>
        <v>36.340000000000003</v>
      </c>
      <c r="CG238" s="2276">
        <f>+IF(BJ283&lt;=CG223,CG223,IF(BJ283&lt;=CG224,CG224,IF(BJ283&lt;=CG225,CG225,IF(BJ283&lt;=CG226,CG226,IF(BJ283&lt;=CG227,CG227,IF(BJ283&lt;=CG228,CG228,IF(BJ283&lt;=CG229,CG229,IF(BJ283&lt;=CG230,CG230,0))))))))</f>
        <v>20.399999999999999</v>
      </c>
      <c r="CH238" s="2276">
        <f>+IF(BJ283&lt;=CH223,CH223,IF(BJ283&lt;=CH224,CH224,IF(BJ283&lt;=CH225,CH225,IF(BJ283&lt;=CH226,CH226,IF(BJ283&lt;=CH227,CH227,IF(BJ283&lt;=CH228,CH228,IF(BJ283&lt;=CH229,CH229,IF(BJ283&lt;=CH230,CH230,0))))))))</f>
        <v>22.18</v>
      </c>
      <c r="CI238" s="2276">
        <f>+IF(BJ283&lt;=CI223,CI223,IF(BJ283&lt;=CI224,CI224,IF(BJ283&lt;=CI225,CI225,IF(BJ283&lt;=CI226,CI226,IF(BJ283&lt;=CI227,CI227,IF(BJ283&lt;=CI228,CI228,IF(BJ283&lt;=CI229,CI229,IF(BJ283&lt;=CI230,CI230,0))))))))</f>
        <v>24.85</v>
      </c>
      <c r="CJ238" s="2276">
        <f>+IF(BJ283&lt;=CJ223,CJ223,IF(BJ283&lt;=CJ224,CJ224,IF(BJ283&lt;=CJ225,CJ225,IF(BJ283&lt;=CJ226,CJ226,IF(BJ283&lt;=CJ227,CJ227,IF(BJ283&lt;=CJ228,CJ228,IF(BJ283&lt;=CJ229,CJ229,IF(BJ283&lt;=CJ230,CJ230,0))))))))</f>
        <v>27.72</v>
      </c>
      <c r="CK238" s="2276">
        <f>+IF(BJ283&lt;=CK223,CK223,IF(BJ283&lt;=CK224,CK224,IF(BJ283&lt;=CK225,CK225,IF(BJ283&lt;=CK226,CK226,IF(BJ283&lt;=CK227,CK227,IF(BJ283&lt;=CK228,CK228,IF(BJ283&lt;=CK229,CK229,IF(BJ283&lt;=CK230,CK230,0))))))))</f>
        <v>31.49</v>
      </c>
      <c r="CL238" s="2276">
        <f>+IF(BJ283&lt;=CL223,CL223,IF(BJ283&lt;=CL224,CL224,IF(BJ283&lt;=CL225,CL225,IF(BJ283&lt;=CL226,CL226,IF(BJ283&lt;=CL227,CL227,IF(BJ283&lt;=CL228,CL228,IF(BJ283&lt;=CL229,CL229,IF(BJ283&lt;=CL230,CL230,0))))))))</f>
        <v>23.17</v>
      </c>
      <c r="CM238" s="2275"/>
      <c r="CN238" s="2275"/>
      <c r="CO238" s="2275"/>
      <c r="CP238" s="2275"/>
      <c r="CQ238" s="2275"/>
      <c r="CR238" s="2275"/>
      <c r="CS238" s="2275"/>
      <c r="CT238" s="2275"/>
      <c r="CU238" s="2275"/>
      <c r="CV238" s="2275"/>
      <c r="CW238" s="2275"/>
      <c r="CX238" s="2250"/>
      <c r="CY238" s="2250"/>
      <c r="CZ238" s="2250"/>
      <c r="DA238" s="2250"/>
      <c r="DB238" s="2250"/>
      <c r="DC238" s="2250"/>
      <c r="DD238" s="2250"/>
      <c r="DE238" s="2250"/>
      <c r="DF238" s="2250"/>
      <c r="DG238" s="2250"/>
      <c r="DH238" s="2250"/>
      <c r="DI238" s="2250"/>
      <c r="DJ238" s="2250"/>
      <c r="DK238" s="2250"/>
      <c r="DL238" s="2250"/>
      <c r="DM238" s="2250"/>
      <c r="DN238" s="2250"/>
      <c r="DO238" s="2250"/>
      <c r="DP238" s="2250"/>
      <c r="DQ238" s="2277"/>
      <c r="DR238" s="2277"/>
      <c r="DS238" s="2278"/>
      <c r="DT238" s="2250"/>
      <c r="DU238" s="2250"/>
      <c r="DV238" s="2250"/>
      <c r="DW238" s="2250"/>
      <c r="DX238" s="2275"/>
      <c r="DY238" s="3693">
        <f>FF238</f>
        <v>650</v>
      </c>
      <c r="DZ238" s="2346" t="s">
        <v>739</v>
      </c>
      <c r="EA238" s="3693">
        <f>HLOOKUP(DY236,EA222:FA236,15,0)</f>
        <v>31.19</v>
      </c>
      <c r="EB238" s="3693" t="str">
        <f>IF(DY237=EA238,"Right","Wrong")</f>
        <v>Right</v>
      </c>
      <c r="EC238" s="2275"/>
      <c r="ED238" s="2275"/>
      <c r="EE238" s="2275"/>
      <c r="EF238" s="2275"/>
      <c r="EG238" s="2275"/>
      <c r="EH238" s="2275"/>
      <c r="EI238" s="2275"/>
      <c r="EJ238" s="2275"/>
      <c r="EK238" s="2275"/>
      <c r="EL238" s="2275"/>
      <c r="EM238" s="2275"/>
      <c r="EN238" s="2275"/>
      <c r="EO238" s="2275"/>
      <c r="EP238" s="2275"/>
      <c r="EQ238" s="2275"/>
      <c r="ER238" s="2275"/>
      <c r="ES238" s="2275"/>
      <c r="ET238" s="2275"/>
      <c r="EU238" s="2275"/>
      <c r="EV238" s="2275"/>
      <c r="EW238" s="2275"/>
      <c r="EX238" s="2275"/>
      <c r="EY238" s="2275"/>
      <c r="EZ238" s="2275"/>
      <c r="FA238" s="2275"/>
      <c r="FB238" s="2275"/>
      <c r="FC238" s="2275"/>
      <c r="FD238" s="2276">
        <f>VLOOKUP(FD237,FD224:FE235,2,0)</f>
        <v>31.19</v>
      </c>
      <c r="FE238" s="2276">
        <f>IF(FE237&gt;0,FE237,FD238)</f>
        <v>31.19</v>
      </c>
      <c r="FF238" s="2276">
        <f>VLOOKUP(FE238,FE225:FF235,2,0)</f>
        <v>650</v>
      </c>
      <c r="FG238" s="2275"/>
      <c r="FH238" s="2275"/>
      <c r="FI238" s="2275"/>
      <c r="FJ238" s="2275"/>
      <c r="FK238" s="2275"/>
      <c r="FL238" s="2275"/>
      <c r="FM238" s="2250"/>
      <c r="FN238" s="2250"/>
      <c r="FO238" s="2250"/>
      <c r="FP238" s="2250"/>
      <c r="FQ238" s="2250"/>
      <c r="FR238" s="2250"/>
      <c r="FS238" s="2250"/>
      <c r="FT238" s="2250"/>
      <c r="FU238" s="2250"/>
      <c r="FV238" s="2250"/>
      <c r="FW238" s="2250"/>
      <c r="FX238" s="2250"/>
      <c r="FY238" s="2250"/>
      <c r="FZ238" s="2250"/>
      <c r="GA238" s="2250"/>
      <c r="GB238" s="2250"/>
      <c r="GC238" s="2276"/>
      <c r="GD238" s="2276"/>
      <c r="GE238" s="2250"/>
      <c r="GF238" s="2275"/>
      <c r="GG238" s="3693">
        <f>HN238</f>
        <v>650</v>
      </c>
      <c r="GH238" s="2346" t="s">
        <v>739</v>
      </c>
      <c r="GI238" s="3693">
        <f>HLOOKUP(GG236,GI222:HI236,15,0)</f>
        <v>29.21</v>
      </c>
      <c r="GJ238" s="3693" t="str">
        <f>IF(GG237=GI238,"Right","Wrong")</f>
        <v>Right</v>
      </c>
      <c r="GK238" s="2275"/>
      <c r="GL238" s="2275"/>
      <c r="GM238" s="2275"/>
      <c r="GN238" s="2275"/>
      <c r="GO238" s="2275"/>
      <c r="GP238" s="2275"/>
      <c r="GQ238" s="2275"/>
      <c r="GR238" s="2275"/>
      <c r="GS238" s="2275"/>
      <c r="GT238" s="2275"/>
      <c r="GU238" s="2275"/>
      <c r="GV238" s="2275"/>
      <c r="GW238" s="2275"/>
      <c r="GX238" s="2275"/>
      <c r="GY238" s="2275"/>
      <c r="GZ238" s="2275"/>
      <c r="HA238" s="2275"/>
      <c r="HB238" s="2275"/>
      <c r="HC238" s="2275"/>
      <c r="HD238" s="2275"/>
      <c r="HE238" s="2275"/>
      <c r="HF238" s="2275"/>
      <c r="HG238" s="2275"/>
      <c r="HH238" s="2275"/>
      <c r="HI238" s="2275"/>
      <c r="HJ238" s="2275"/>
      <c r="HK238" s="2275"/>
      <c r="HL238" s="2276">
        <f>VLOOKUP(HL237,HL224:HM235,2,0)</f>
        <v>29.21</v>
      </c>
      <c r="HM238" s="2276">
        <f>IF(HM237&gt;0,HM237,HL238)</f>
        <v>29.21</v>
      </c>
      <c r="HN238" s="2276">
        <f>VLOOKUP(HM238,HM225:HN235,2,0)</f>
        <v>650</v>
      </c>
      <c r="HO238" s="2275"/>
      <c r="HP238" s="2275"/>
      <c r="HQ238" s="2275"/>
      <c r="HR238" s="2275"/>
      <c r="HS238" s="2275"/>
      <c r="HT238" s="2275"/>
      <c r="HU238" s="2250"/>
      <c r="HV238" s="2250"/>
      <c r="HW238" s="2250"/>
      <c r="HX238" s="2250"/>
      <c r="HY238" s="2250"/>
      <c r="HZ238" s="2250"/>
      <c r="IA238" s="2250"/>
      <c r="IB238" s="2250"/>
      <c r="IC238" s="2250"/>
      <c r="ID238" s="2250"/>
      <c r="IE238" s="2250"/>
      <c r="IF238" s="2250"/>
      <c r="IG238" s="2250"/>
      <c r="IH238" s="2250"/>
      <c r="II238" s="2250"/>
      <c r="IJ238" s="2250"/>
      <c r="IK238" s="2250"/>
      <c r="IL238" s="2250"/>
    </row>
    <row r="239" spans="1:246" ht="21.95" customHeight="1">
      <c r="A239" s="2275"/>
      <c r="B239" s="2276">
        <f>AF138</f>
        <v>19.915970774546171</v>
      </c>
      <c r="C239" s="2276">
        <f>HLOOKUP(B240,D221:AD241,20,0)</f>
        <v>20.89</v>
      </c>
      <c r="D239" s="2276">
        <f>+IF(B283&lt;=D231,D231,IF(B283&lt;=D232,D232,IF(B283&lt;=D233,D233,)))</f>
        <v>112.77</v>
      </c>
      <c r="E239" s="2276">
        <f>+IF(B283&lt;=E231,E231,IF(B283&lt;=E232,E232,IF(B283&lt;=E233,E233,)))</f>
        <v>121.78</v>
      </c>
      <c r="F239" s="2276">
        <f>+IF(B283&lt;=F231,F231,IF(B283&lt;=F232,F232,IF(B283&lt;=F233,F233,)))</f>
        <v>131.09</v>
      </c>
      <c r="G239" s="2276">
        <f>+IF(B283&lt;=G231,G231,IF(B283&lt;=G232,G232,IF(B283&lt;=G233,G233,)))</f>
        <v>140.5</v>
      </c>
      <c r="H239" s="2276">
        <f>+IF(B283&lt;=H231,H231,IF(B283&lt;=H232,H232,IF(B283&lt;=H233,H233,)))</f>
        <v>149.11000000000001</v>
      </c>
      <c r="I239" s="2276">
        <f>+IF(B283&lt;=I231,I231,IF(B283&lt;=I232,I232,IF(B283&lt;=I233,I233,)))</f>
        <v>151.38999999999999</v>
      </c>
      <c r="J239" s="2276">
        <f>+IF(B283&lt;=J231,J231,IF(B283&lt;=J232,J232,IF(B283&lt;=J233,J233,)))</f>
        <v>162.08000000000001</v>
      </c>
      <c r="K239" s="2276">
        <f>+IF(B283&lt;=K231,K231,IF(B283&lt;=K232,K232,IF(B283&lt;=K233,K233,)))</f>
        <v>173.37</v>
      </c>
      <c r="L239" s="2276">
        <f>+IF(B283&lt;=L231,L231,IF(B283&lt;=L232,L232,IF(B283&lt;=L233,L233,)))</f>
        <v>183.96</v>
      </c>
      <c r="M239" s="2276">
        <f>+IF(B283&lt;=M231,M231,IF(B283&lt;=M232,M232,IF(B283&lt;=M233,M233,)))</f>
        <v>195.84</v>
      </c>
      <c r="N239" s="2276">
        <f>+IF(B283&lt;=N231,N231,IF(B283&lt;=N232,N232,IF(B283&lt;=N233,N233,)))</f>
        <v>216.04</v>
      </c>
      <c r="O239" s="2276">
        <f>+IF(B283&lt;=O231,O231,IF(B283&lt;=O232,O232,IF(B283&lt;=O233,O233,)))</f>
        <v>232.18</v>
      </c>
      <c r="P239" s="2276">
        <f>+IF(B283&lt;=P231,P231,IF(B283&lt;=P232,P232,IF(B283&lt;=P233,P233,)))</f>
        <v>241.78</v>
      </c>
      <c r="Q239" s="2276">
        <f>+IF(B283&lt;=Q231,Q231,IF(B283&lt;=Q232,Q232,IF(B283&lt;=Q233,Q233,)))</f>
        <v>253.96</v>
      </c>
      <c r="R239" s="2276">
        <f>+IF(B283&lt;=R231,R231,IF(B283&lt;=R232,R232,IF(B283&lt;=R233,R233,)))</f>
        <v>267.92</v>
      </c>
      <c r="S239" s="2276">
        <f>+IF(B283&lt;=S231,S231,IF(B283&lt;=S232,S232,IF(B283&lt;=S233,S233,)))</f>
        <v>277.02999999999997</v>
      </c>
      <c r="T239" s="2276">
        <f>+IF(B283&lt;=T231,T231,IF(B283&lt;=T232,T232,IF(B283&lt;=T233,T233,)))</f>
        <v>295.25</v>
      </c>
      <c r="U239" s="2276">
        <f>+IF(B283&lt;=U231,U231,IF(B283&lt;=U232,U232,IF(B283&lt;=U233,U233,)))</f>
        <v>338.91</v>
      </c>
      <c r="V239" s="2276">
        <f>+IF(B283&lt;=V231,V231,IF(B283&lt;=V232,V232,IF(B283&lt;=V233,V233,)))</f>
        <v>342.87</v>
      </c>
      <c r="W239" s="2276">
        <f>+IF(B283&lt;=W231,W231,IF(B283&lt;=W232,W232,IF(B283&lt;=W233,W233,)))</f>
        <v>348.81</v>
      </c>
      <c r="X239" s="2276">
        <f>+IF(B283&lt;=X231,X231,IF(B283&lt;=X232,X232,IF(B283&lt;=X233,X233,)))</f>
        <v>362.28</v>
      </c>
      <c r="Y239" s="2276">
        <f>+IF(B283&lt;=Y231,Y231,IF(B283&lt;=Y232,Y232,IF(B283&lt;=Y233,Y233,)))</f>
        <v>410.3</v>
      </c>
      <c r="Z239" s="2276">
        <f>+IF(B283&lt;=Z231,Z231,IF(B283&lt;=Z232,Z232,IF(B283&lt;=Z233,Z233,)))</f>
        <v>467.82</v>
      </c>
      <c r="AA239" s="2276">
        <f>+IF(B283&lt;=AA231,AA231,IF(B283&lt;=AA232,AA232,IF(B283&lt;=AA233,AA233,)))</f>
        <v>515.04999999999995</v>
      </c>
      <c r="AB239" s="2276">
        <f>+IF(B283&lt;=AB231,AB231,IF(B283&lt;=AB232,AB232,IF(B283&lt;=AB233,AB233,)))</f>
        <v>526.83000000000004</v>
      </c>
      <c r="AC239" s="2276">
        <f>+IF(B283&lt;=AC231,AC231,IF(B283&lt;=AC232,AC232,IF(B283&lt;=AC233,AC233,)))</f>
        <v>526.83000000000004</v>
      </c>
      <c r="AD239" s="2276">
        <f>+IF(B283&lt;=AD231,AD231,IF(B283&lt;=AD232,AD232,IF(B283&lt;=AD233,AD233,)))</f>
        <v>526.83000000000004</v>
      </c>
      <c r="AE239" s="2275"/>
      <c r="AF239" s="2275"/>
      <c r="AG239" s="2275"/>
      <c r="AH239" s="2275"/>
      <c r="AI239" s="2275"/>
      <c r="AJ239" s="2275"/>
      <c r="AK239" s="2275"/>
      <c r="AL239" s="2275"/>
      <c r="AM239" s="2275"/>
      <c r="AN239" s="2275"/>
      <c r="AO239" s="2275"/>
      <c r="AP239" s="2250"/>
      <c r="AQ239" s="2250"/>
      <c r="AR239" s="2250"/>
      <c r="AS239" s="2250"/>
      <c r="AT239" s="2250"/>
      <c r="AU239" s="2250"/>
      <c r="AV239" s="2250"/>
      <c r="AW239" s="2250"/>
      <c r="AX239" s="2250"/>
      <c r="AY239" s="2250"/>
      <c r="AZ239" s="2250"/>
      <c r="BA239" s="2250"/>
      <c r="BB239" s="2250"/>
      <c r="BC239" s="2250"/>
      <c r="BD239" s="2250"/>
      <c r="BE239" s="2250"/>
      <c r="BF239" s="2276"/>
      <c r="BG239" s="2276"/>
      <c r="BH239" s="2250"/>
      <c r="BI239" s="2275"/>
      <c r="BJ239" s="2276">
        <f>CN138</f>
        <v>19.915970774546171</v>
      </c>
      <c r="BK239" s="2276">
        <f>HLOOKUP(BJ240,BL221:CL241,20,0)</f>
        <v>30.79</v>
      </c>
      <c r="BL239" s="2276">
        <f>+IF(BJ283&lt;=BL231,BL231,IF(BJ283&lt;=BL232,BL232,IF(BJ283&lt;=BL233,BL233,)))</f>
        <v>112.77</v>
      </c>
      <c r="BM239" s="2276">
        <f>+IF(BJ283&lt;=BM231,BM231,IF(BJ283&lt;=BM232,BM232,IF(BJ283&lt;=BM233,BM233,)))</f>
        <v>121.78</v>
      </c>
      <c r="BN239" s="2276">
        <f>+IF(BJ283&lt;=BN231,BN231,IF(BJ283&lt;=BN232,BN232,IF(BJ283&lt;=BN233,BN233,)))</f>
        <v>131.09</v>
      </c>
      <c r="BO239" s="2276">
        <f>+IF(BJ283&lt;=BO231,BO231,IF(BJ283&lt;=BO232,BO232,IF(BJ283&lt;=BO233,BO233,)))</f>
        <v>140.5</v>
      </c>
      <c r="BP239" s="2276">
        <f>+IF(BJ283&lt;=BP231,BP231,IF(BJ283&lt;=BP232,BP232,IF(BJ283&lt;=BP233,BP233,)))</f>
        <v>149.11000000000001</v>
      </c>
      <c r="BQ239" s="2276">
        <f>+IF(BJ283&lt;=BQ231,BQ231,IF(BJ283&lt;=BQ232,BQ232,IF(BJ283&lt;=BQ233,BQ233,)))</f>
        <v>151.38999999999999</v>
      </c>
      <c r="BR239" s="2276">
        <f>+IF(BJ283&lt;=BR231,BR231,IF(BJ283&lt;=BR232,BR232,IF(BJ283&lt;=BR233,BR233,)))</f>
        <v>162.08000000000001</v>
      </c>
      <c r="BS239" s="2276">
        <f>+IF(BJ283&lt;=BS231,BS231,IF(BJ283&lt;=BS232,BS232,IF(BJ283&lt;=BS233,BS233,)))</f>
        <v>173.37</v>
      </c>
      <c r="BT239" s="2276">
        <f>+IF(BJ283&lt;=BT231,BT231,IF(BJ283&lt;=BT232,BT232,IF(BJ283&lt;=BT233,BT233,)))</f>
        <v>183.96</v>
      </c>
      <c r="BU239" s="2276">
        <f>+IF(BJ283&lt;=BU231,BU231,IF(BJ283&lt;=BU232,BU232,IF(BJ283&lt;=BU233,BU233,)))</f>
        <v>195.84</v>
      </c>
      <c r="BV239" s="2276">
        <f>+IF(BJ283&lt;=BV231,BV231,IF(BJ283&lt;=BV232,BV232,IF(BJ283&lt;=BV233,BV233,)))</f>
        <v>216.04</v>
      </c>
      <c r="BW239" s="2276">
        <f>+IF(BJ283&lt;=BW231,BW231,IF(BJ283&lt;=BW232,BW232,IF(BJ283&lt;=BW233,BW233,)))</f>
        <v>232.18</v>
      </c>
      <c r="BX239" s="2276">
        <f>+IF(BJ283&lt;=BX231,BX231,IF(BJ283&lt;=BX232,BX232,IF(BJ283&lt;=BX233,BX233,)))</f>
        <v>241.78</v>
      </c>
      <c r="BY239" s="2276">
        <f>+IF(BJ283&lt;=BY231,BY231,IF(BJ283&lt;=BY232,BY232,IF(BJ283&lt;=BY233,BY233,)))</f>
        <v>253.96</v>
      </c>
      <c r="BZ239" s="2276">
        <f>+IF(BJ283&lt;=BZ231,BZ231,IF(BJ283&lt;=BZ232,BZ232,IF(BJ283&lt;=BZ233,BZ233,)))</f>
        <v>267.92</v>
      </c>
      <c r="CA239" s="2276">
        <f>+IF(BJ283&lt;=CA231,CA231,IF(BJ283&lt;=CA232,CA232,IF(BJ283&lt;=CA233,CA233,)))</f>
        <v>277.02999999999997</v>
      </c>
      <c r="CB239" s="2276">
        <f>+IF(BJ283&lt;=CB231,CB231,IF(BJ283&lt;=CB232,CB232,IF(BJ283&lt;=CB233,CB233,)))</f>
        <v>295.25</v>
      </c>
      <c r="CC239" s="2276">
        <f>+IF(BJ283&lt;=CC231,CC231,IF(BJ283&lt;=CC232,CC232,IF(BJ283&lt;=CC233,CC233,)))</f>
        <v>338.91</v>
      </c>
      <c r="CD239" s="2276">
        <f>+IF(BJ283&lt;=CD231,CD231,IF(BJ283&lt;=CD232,CD232,IF(BJ283&lt;=CD233,CD233,)))</f>
        <v>342.87</v>
      </c>
      <c r="CE239" s="2276">
        <f>+IF(BJ283&lt;=CE231,CE231,IF(BJ283&lt;=CE232,CE232,IF(BJ283&lt;=CE233,CE233,)))</f>
        <v>348.81</v>
      </c>
      <c r="CF239" s="2276">
        <f>+IF(BJ283&lt;=CF231,CF231,IF(BJ283&lt;=CF232,CF232,IF(BJ283&lt;=CF233,CF233,)))</f>
        <v>362.28</v>
      </c>
      <c r="CG239" s="2276">
        <f>+IF(BJ283&lt;=CG231,CG231,IF(BJ283&lt;=CG232,CG232,IF(BJ283&lt;=CG233,CG233,)))</f>
        <v>410.3</v>
      </c>
      <c r="CH239" s="2276">
        <f>+IF(BJ283&lt;=CH231,CH231,IF(BJ283&lt;=CH232,CH232,IF(BJ283&lt;=CH233,CH233,)))</f>
        <v>467.82</v>
      </c>
      <c r="CI239" s="2276">
        <f>+IF(BJ283&lt;=CI231,CI231,IF(BJ283&lt;=CI232,CI232,IF(BJ283&lt;=CI233,CI233,)))</f>
        <v>515.04999999999995</v>
      </c>
      <c r="CJ239" s="2276">
        <f>+IF(BJ283&lt;=CJ231,CJ231,IF(BJ283&lt;=CJ232,CJ232,IF(BJ283&lt;=CJ233,CJ233,)))</f>
        <v>526.83000000000004</v>
      </c>
      <c r="CK239" s="2276">
        <f>+IF(BJ283&lt;=CK231,CK231,IF(BJ283&lt;=CK232,CK232,IF(BJ283&lt;=CK233,CK233,)))</f>
        <v>526.83000000000004</v>
      </c>
      <c r="CL239" s="2276">
        <f>+IF(BJ283&lt;=CL231,CL231,IF(BJ283&lt;=CL232,CL232,IF(BJ283&lt;=CL233,CL233,)))</f>
        <v>526.83000000000004</v>
      </c>
      <c r="CM239" s="2275"/>
      <c r="CN239" s="2275"/>
      <c r="CO239" s="2275"/>
      <c r="CP239" s="2275"/>
      <c r="CQ239" s="2275"/>
      <c r="CR239" s="2275"/>
      <c r="CS239" s="2275"/>
      <c r="CT239" s="2275"/>
      <c r="CU239" s="2275"/>
      <c r="CV239" s="2275"/>
      <c r="CW239" s="2275"/>
      <c r="CX239" s="2250"/>
      <c r="CY239" s="2250"/>
      <c r="CZ239" s="2250"/>
      <c r="DA239" s="2250"/>
      <c r="DB239" s="2250"/>
      <c r="DC239" s="2250"/>
      <c r="DD239" s="2250"/>
      <c r="DE239" s="2250"/>
      <c r="DF239" s="2250"/>
      <c r="DG239" s="2250"/>
      <c r="DH239" s="2250"/>
      <c r="DI239" s="2250"/>
      <c r="DJ239" s="2250"/>
      <c r="DK239" s="2250"/>
      <c r="DL239" s="2250"/>
      <c r="DM239" s="2250"/>
      <c r="DN239" s="2250"/>
      <c r="DO239" s="2250"/>
      <c r="DP239" s="2250"/>
      <c r="DQ239" s="2277"/>
      <c r="DR239" s="2277"/>
      <c r="DS239" s="2278"/>
      <c r="DT239" s="2250"/>
      <c r="DU239" s="2250"/>
      <c r="DV239" s="2250"/>
      <c r="DW239" s="2250"/>
      <c r="DX239" s="2275"/>
      <c r="DY239" s="2250"/>
      <c r="DZ239" s="2275"/>
      <c r="EA239" s="2276">
        <f>+IF(DY284&lt;=EA224,EA224,IF(DY284&lt;=EA225,EA225,IF(DY284&lt;=EA226,EA226,IF(DY284&lt;=EA227,EA227,IF(DY284&lt;=EA228,EA228,IF(DY284&lt;=EA229,EA229,IF(DY284&lt;=EA230,EA230,IF(DY284&lt;=EA231,EA231,0))))))))</f>
        <v>28.51</v>
      </c>
      <c r="EB239" s="2276">
        <f>+IF(DY284&lt;=EB224,EB224,IF(DY284&lt;=EB225,EB225,IF(DY284&lt;=EB226,EB226,IF(DY284&lt;=EB227,EB227,IF(DY284&lt;=EB228,EB228,IF(DY284&lt;=EB229,EB229,IF(DY284&lt;=EB230,EB230,IF(DY284&lt;=EB231,EB231,0))))))))</f>
        <v>30.79</v>
      </c>
      <c r="EC239" s="2276">
        <f>+IF(DY284&lt;=EC224,EC224,IF(DY284&lt;=EC225,EC225,IF(DY284&lt;=EC226,EC226,IF(DY284&lt;=EC227,EC227,IF(DY284&lt;=EC228,EC228,IF(DY284&lt;=EC229,EC229,IF(DY284&lt;=EC230,EC230,IF(DY284&lt;=EC231,EC231,0))))))))</f>
        <v>20.89</v>
      </c>
      <c r="ED239" s="2276">
        <f>+IF(DY284&lt;=ED224,ED224,IF(DY284&lt;=ED225,ED225,IF(DY284&lt;=ED226,ED226,IF(DY284&lt;=ED227,ED227,IF(DY284&lt;=ED228,ED228,IF(DY284&lt;=ED229,ED229,IF(DY284&lt;=ED230,ED230,IF(DY284&lt;=ED231,ED231,0))))))))</f>
        <v>22.38</v>
      </c>
      <c r="EE239" s="2276">
        <f>+IF(DY284&lt;=EE224,EE224,IF(DY284&lt;=EE225,EE225,IF(DY284&lt;=EE226,EE226,IF(DY284&lt;=EE227,EE227,IF(DY284&lt;=EE228,EE228,IF(DY284&lt;=EE229,EE229,IF(DY284&lt;=EE230,EE230,IF(DY284&lt;=EE231,EE231,0))))))))</f>
        <v>23.76</v>
      </c>
      <c r="EF239" s="2276">
        <f>+IF(DY284&lt;=EF224,EF224,IF(DY284&lt;=EF225,EF225,IF(DY284&lt;=EF226,EF226,IF(DY284&lt;=EF227,EF227,IF(DY284&lt;=EF228,EF228,IF(DY284&lt;=EF229,EF229,IF(DY284&lt;=EF230,EF230,IF(DY284&lt;=EF231,EF231,0))))))))</f>
        <v>24.06</v>
      </c>
      <c r="EG239" s="2276">
        <f>+IF(DY284&lt;=EG224,EG224,IF(DY284&lt;=EG225,EG225,IF(DY284&lt;=EG226,EG226,IF(DY284&lt;=EG227,EG227,IF(DY284&lt;=EG228,EG228,IF(DY284&lt;=EG229,EG229,IF(DY284&lt;=EG230,EG230,IF(DY284&lt;=EG231,EG231,0))))))))</f>
        <v>25.74</v>
      </c>
      <c r="EH239" s="2276">
        <f>+IF(DY284&lt;=EH224,EH224,IF(DY284&lt;=EH225,EH225,IF(DY284&lt;=EH226,EH226,IF(DY284&lt;=EH227,EH227,IF(DY284&lt;=EH228,EH228,IF(DY284&lt;=EH229,EH229,IF(DY284&lt;=EH230,EH230,IF(DY284&lt;=EH231,EH231,0))))))))</f>
        <v>27.62</v>
      </c>
      <c r="EI239" s="2276">
        <f>+IF(DY284&lt;=EI224,EI224,IF(DY284&lt;=EI225,EI225,IF(DY284&lt;=EI226,EI226,IF(DY284&lt;=EI227,EI227,IF(DY284&lt;=EI228,EI228,IF(DY284&lt;=EI229,EI229,IF(DY284&lt;=EI230,EI230,IF(DY284&lt;=EI231,EI231,0))))))))</f>
        <v>29.21</v>
      </c>
      <c r="EJ239" s="2276">
        <f>+IF(DY284&lt;=EJ224,EJ224,IF(DY284&lt;=EJ225,EJ225,IF(DY284&lt;=EJ226,EJ226,IF(DY284&lt;=EJ227,EJ227,IF(DY284&lt;=EJ228,EJ228,IF(DY284&lt;=EJ229,EJ229,IF(DY284&lt;=EJ230,EJ230,IF(DY284&lt;=EJ231,EJ231,0))))))))</f>
        <v>31.19</v>
      </c>
      <c r="EK239" s="2276">
        <f>+IF(DY284&lt;=EK224,EK224,IF(DY284&lt;=EK225,EK225,IF(DY284&lt;=EK226,EK226,IF(DY284&lt;=EK227,EK227,IF(DY284&lt;=EK228,EK228,IF(DY284&lt;=EK229,EK229,IF(DY284&lt;=EK230,EK230,IF(DY284&lt;=EK231,EK231,0))))))))</f>
        <v>34.36</v>
      </c>
      <c r="EL239" s="2276">
        <f>+IF(DY284&lt;=EL224,EL224,IF(DY284&lt;=EL225,EL225,IF(DY284&lt;=EL226,EL226,IF(DY284&lt;=EL227,EL227,IF(DY284&lt;=EL228,EL228,IF(DY284&lt;=EL229,EL229,IF(DY284&lt;=EL230,EL230,IF(DY284&lt;=EL231,EL231,0))))))))</f>
        <v>21.09</v>
      </c>
      <c r="EM239" s="2276">
        <f>+IF(DY284&lt;=EM224,EM224,IF(DY284&lt;=EM225,EM225,IF(DY284&lt;=EM226,EM226,IF(DY284&lt;=EM227,EM227,IF(DY284&lt;=EM228,EM228,IF(DY284&lt;=EM229,EM229,IF(DY284&lt;=EM230,EM230,IF(DY284&lt;=EM231,EM231,0))))))))</f>
        <v>22.28</v>
      </c>
      <c r="EN239" s="2276">
        <f>+IF(DY284&lt;=EN224,EN224,IF(DY284&lt;=EN225,EN225,IF(DY284&lt;=EN226,EN226,IF(DY284&lt;=EN227,EN227,IF(DY284&lt;=EN228,EN228,IF(DY284&lt;=EN229,EN229,IF(DY284&lt;=EN230,EN230,IF(DY284&lt;=EN231,EN231,0))))))))</f>
        <v>23.37</v>
      </c>
      <c r="EO239" s="2276">
        <f>+IF(DY284&lt;=EO224,EO224,IF(DY284&lt;=EO225,EO225,IF(DY284&lt;=EO226,EO226,IF(DY284&lt;=EO227,EO227,IF(DY284&lt;=EO228,EO228,IF(DY284&lt;=EO229,EO229,IF(DY284&lt;=EO230,EO230,IF(DY284&lt;=EO231,EO231,0))))))))</f>
        <v>24.06</v>
      </c>
      <c r="EP239" s="2276">
        <f>+IF(DY284&lt;=EP224,EP224,IF(DY284&lt;=EP225,EP225,IF(DY284&lt;=EP226,EP226,IF(DY284&lt;=EP227,EP227,IF(DY284&lt;=EP228,EP228,IF(DY284&lt;=EP229,EP229,IF(DY284&lt;=EP230,EP230,IF(DY284&lt;=EP231,EP231,0))))))))</f>
        <v>25.64</v>
      </c>
      <c r="EQ239" s="2276">
        <f>+IF(DY284&lt;=EQ224,EQ224,IF(DY284&lt;=EQ225,EQ225,IF(DY284&lt;=EQ226,EQ226,IF(DY284&lt;=EQ227,EQ227,IF(DY284&lt;=EQ228,EQ228,IF(DY284&lt;=EQ229,EQ229,IF(DY284&lt;=EQ230,EQ230,IF(DY284&lt;=EQ231,EQ231,0))))))))</f>
        <v>27.23</v>
      </c>
      <c r="ER239" s="2276">
        <f>+IF(DY284&lt;=ER224,ER224,IF(DY284&lt;=ER225,ER225,IF(DY284&lt;=ER226,ER226,IF(DY284&lt;=ER227,ER227,IF(DY284&lt;=ER228,ER228,IF(DY284&lt;=ER229,ER229,IF(DY284&lt;=ER230,ER230,IF(DY284&lt;=ER231,ER231,0))))))))</f>
        <v>29.5</v>
      </c>
      <c r="ES239" s="2276">
        <f>+IF(DY284&lt;=ES224,ES224,IF(DY284&lt;=ES225,ES225,IF(DY284&lt;=ES226,ES226,IF(DY284&lt;=ES227,ES227,IF(DY284&lt;=ES228,ES228,IF(DY284&lt;=ES229,ES229,IF(DY284&lt;=ES230,ES230,IF(DY284&lt;=ES231,ES231,0))))))))</f>
        <v>31.58</v>
      </c>
      <c r="ET239" s="2276">
        <f>+IF(DY284&lt;=ET224,ET224,IF(DY284&lt;=ET225,ET225,IF(DY284&lt;=ET226,ET226,IF(DY284&lt;=ET227,ET227,IF(DY284&lt;=ET228,ET228,IF(DY284&lt;=ET229,ET229,IF(DY284&lt;=ET230,ET230,IF(DY284&lt;=ET231,ET231,0))))))))</f>
        <v>34.06</v>
      </c>
      <c r="EU239" s="2276">
        <f>+IF(DY284&lt;=EU224,EU224,IF(DY284&lt;=EU225,EU225,IF(DY284&lt;=EU226,EU226,IF(DY284&lt;=EU227,EU227,IF(DY284&lt;=EU228,EU228,IF(DY284&lt;=EU229,EU229,IF(DY284&lt;=EU230,EU230,IF(DY284&lt;=EU231,EU231,0))))))))</f>
        <v>36.340000000000003</v>
      </c>
      <c r="EV239" s="2276">
        <f>+IF(DY284&lt;=EV224,EV224,IF(DY284&lt;=EV225,EV225,IF(DY284&lt;=EV226,EV226,IF(DY284&lt;=EV227,EV227,IF(DY284&lt;=EV228,EV228,IF(DY284&lt;=EV229,EV229,IF(DY284&lt;=EV230,EV230,IF(DY284&lt;=EV231,EV231,0))))))))</f>
        <v>20.399999999999999</v>
      </c>
      <c r="EW239" s="2276">
        <f>+IF(DY284&lt;=EW224,EW224,IF(DY284&lt;=EW225,EW225,IF(DY284&lt;=EW226,EW226,IF(DY284&lt;=EW227,EW227,IF(DY284&lt;=EW228,EW228,IF(DY284&lt;=EW229,EW229,IF(DY284&lt;=EW230,EW230,IF(DY284&lt;=EW231,EW231,0))))))))</f>
        <v>22.18</v>
      </c>
      <c r="EX239" s="2276">
        <f>+IF(DY284&lt;=EX224,EX224,IF(DY284&lt;=EX225,EX225,IF(DY284&lt;=EX226,EX226,IF(DY284&lt;=EX227,EX227,IF(DY284&lt;=EX228,EX228,IF(DY284&lt;=EX229,EX229,IF(DY284&lt;=EX230,EX230,IF(DY284&lt;=EX231,EX231,0))))))))</f>
        <v>24.85</v>
      </c>
      <c r="EY239" s="2276">
        <f>+IF(DY284&lt;=EY224,EY224,IF(DY284&lt;=EY225,EY225,IF(DY284&lt;=EY226,EY226,IF(DY284&lt;=EY227,EY227,IF(DY284&lt;=EY228,EY228,IF(DY284&lt;=EY229,EY229,IF(DY284&lt;=EY230,EY230,IF(DY284&lt;=EY231,EY231,0))))))))</f>
        <v>27.72</v>
      </c>
      <c r="EZ239" s="2276">
        <f>+IF(DY284&lt;=EZ224,EZ224,IF(DY284&lt;=EZ225,EZ225,IF(DY284&lt;=EZ226,EZ226,IF(DY284&lt;=EZ227,EZ227,IF(DY284&lt;=EZ228,EZ228,IF(DY284&lt;=EZ229,EZ229,IF(DY284&lt;=EZ230,EZ230,IF(DY284&lt;=EZ231,EZ231,0))))))))</f>
        <v>31.49</v>
      </c>
      <c r="FA239" s="2276">
        <f>+IF(DY284&lt;=FA224,FA224,IF(DY284&lt;=FA225,FA225,IF(DY284&lt;=FA226,FA226,IF(DY284&lt;=FA227,FA227,IF(DY284&lt;=FA228,FA228,IF(DY284&lt;=FA229,FA229,IF(DY284&lt;=FA230,FA230,IF(DY284&lt;=FA231,FA231,0))))))))</f>
        <v>23.17</v>
      </c>
      <c r="FB239" s="2275"/>
      <c r="FC239" s="2275"/>
      <c r="FD239" s="2275"/>
      <c r="FE239" s="2275"/>
      <c r="FF239" s="2275"/>
      <c r="FG239" s="2275"/>
      <c r="FH239" s="2275"/>
      <c r="FI239" s="2275"/>
      <c r="FJ239" s="2275"/>
      <c r="FK239" s="2275"/>
      <c r="FL239" s="2275"/>
      <c r="FM239" s="2250"/>
      <c r="FN239" s="2250"/>
      <c r="FO239" s="2250"/>
      <c r="FP239" s="2250"/>
      <c r="FQ239" s="2250"/>
      <c r="FR239" s="2250"/>
      <c r="FS239" s="2250"/>
      <c r="FT239" s="2250"/>
      <c r="FU239" s="2250"/>
      <c r="FV239" s="2250"/>
      <c r="FW239" s="2250"/>
      <c r="FX239" s="2250"/>
      <c r="FY239" s="2250"/>
      <c r="FZ239" s="2250"/>
      <c r="GA239" s="2250"/>
      <c r="GB239" s="2250"/>
      <c r="GC239" s="2276"/>
      <c r="GD239" s="2276"/>
      <c r="GE239" s="2250"/>
      <c r="GF239" s="2275"/>
      <c r="GG239" s="2250"/>
      <c r="GH239" s="2275"/>
      <c r="GI239" s="2276">
        <f>+IF(GG284&lt;=GI224,GI224,IF(GG284&lt;=GI225,GI225,IF(GG284&lt;=GI226,GI226,IF(GG284&lt;=GI227,GI227,IF(GG284&lt;=GI228,GI228,IF(GG284&lt;=GI229,GI229,IF(GG284&lt;=GI230,GI230,IF(GG284&lt;=GI231,GI231,0))))))))</f>
        <v>28.51</v>
      </c>
      <c r="GJ239" s="2276">
        <f>+IF(GG284&lt;=GJ224,GJ224,IF(GG284&lt;=GJ225,GJ225,IF(GG284&lt;=GJ226,GJ226,IF(GG284&lt;=GJ227,GJ227,IF(GG284&lt;=GJ228,GJ228,IF(GG284&lt;=GJ229,GJ229,IF(GG284&lt;=GJ230,GJ230,IF(GG284&lt;=GJ231,GJ231,0))))))))</f>
        <v>30.79</v>
      </c>
      <c r="GK239" s="2276">
        <f>+IF(GG284&lt;=GK224,GK224,IF(GG284&lt;=GK225,GK225,IF(GG284&lt;=GK226,GK226,IF(GG284&lt;=GK227,GK227,IF(GG284&lt;=GK228,GK228,IF(GG284&lt;=GK229,GK229,IF(GG284&lt;=GK230,GK230,IF(GG284&lt;=GK231,GK231,0))))))))</f>
        <v>20.89</v>
      </c>
      <c r="GL239" s="2276">
        <f>+IF(GG284&lt;=GL224,GL224,IF(GG284&lt;=GL225,GL225,IF(GG284&lt;=GL226,GL226,IF(GG284&lt;=GL227,GL227,IF(GG284&lt;=GL228,GL228,IF(GG284&lt;=GL229,GL229,IF(GG284&lt;=GL230,GL230,IF(GG284&lt;=GL231,GL231,0))))))))</f>
        <v>22.38</v>
      </c>
      <c r="GM239" s="2276">
        <f>+IF(GG284&lt;=GM224,GM224,IF(GG284&lt;=GM225,GM225,IF(GG284&lt;=GM226,GM226,IF(GG284&lt;=GM227,GM227,IF(GG284&lt;=GM228,GM228,IF(GG284&lt;=GM229,GM229,IF(GG284&lt;=GM230,GM230,IF(GG284&lt;=GM231,GM231,0))))))))</f>
        <v>23.76</v>
      </c>
      <c r="GN239" s="2276">
        <f>+IF(GG284&lt;=GN224,GN224,IF(GG284&lt;=GN225,GN225,IF(GG284&lt;=GN226,GN226,IF(GG284&lt;=GN227,GN227,IF(GG284&lt;=GN228,GN228,IF(GG284&lt;=GN229,GN229,IF(GG284&lt;=GN230,GN230,IF(GG284&lt;=GN231,GN231,0))))))))</f>
        <v>24.06</v>
      </c>
      <c r="GO239" s="2276">
        <f>+IF(GG284&lt;=GO224,GO224,IF(GG284&lt;=GO225,GO225,IF(GG284&lt;=GO226,GO226,IF(GG284&lt;=GO227,GO227,IF(GG284&lt;=GO228,GO228,IF(GG284&lt;=GO229,GO229,IF(GG284&lt;=GO230,GO230,IF(GG284&lt;=GO231,GO231,0))))))))</f>
        <v>25.74</v>
      </c>
      <c r="GP239" s="2276">
        <f>+IF(GG284&lt;=GP224,GP224,IF(GG284&lt;=GP225,GP225,IF(GG284&lt;=GP226,GP226,IF(GG284&lt;=GP227,GP227,IF(GG284&lt;=GP228,GP228,IF(GG284&lt;=GP229,GP229,IF(GG284&lt;=GP230,GP230,IF(GG284&lt;=GP231,GP231,0))))))))</f>
        <v>27.62</v>
      </c>
      <c r="GQ239" s="2276">
        <f>+IF(GG284&lt;=GQ224,GQ224,IF(GG284&lt;=GQ225,GQ225,IF(GG284&lt;=GQ226,GQ226,IF(GG284&lt;=GQ227,GQ227,IF(GG284&lt;=GQ228,GQ228,IF(GG284&lt;=GQ229,GQ229,IF(GG284&lt;=GQ230,GQ230,IF(GG284&lt;=GQ231,GQ231,0))))))))</f>
        <v>29.21</v>
      </c>
      <c r="GR239" s="2276">
        <f>+IF(GG284&lt;=GR224,GR224,IF(GG284&lt;=GR225,GR225,IF(GG284&lt;=GR226,GR226,IF(GG284&lt;=GR227,GR227,IF(GG284&lt;=GR228,GR228,IF(GG284&lt;=GR229,GR229,IF(GG284&lt;=GR230,GR230,IF(GG284&lt;=GR231,GR231,0))))))))</f>
        <v>31.19</v>
      </c>
      <c r="GS239" s="2276">
        <f>+IF(GG284&lt;=GS224,GS224,IF(GG284&lt;=GS225,GS225,IF(GG284&lt;=GS226,GS226,IF(GG284&lt;=GS227,GS227,IF(GG284&lt;=GS228,GS228,IF(GG284&lt;=GS229,GS229,IF(GG284&lt;=GS230,GS230,IF(GG284&lt;=GS231,GS231,0))))))))</f>
        <v>34.36</v>
      </c>
      <c r="GT239" s="2276">
        <f>+IF(GG284&lt;=GT224,GT224,IF(GG284&lt;=GT225,GT225,IF(GG284&lt;=GT226,GT226,IF(GG284&lt;=GT227,GT227,IF(GG284&lt;=GT228,GT228,IF(GG284&lt;=GT229,GT229,IF(GG284&lt;=GT230,GT230,IF(GG284&lt;=GT231,GT231,0))))))))</f>
        <v>21.09</v>
      </c>
      <c r="GU239" s="2276">
        <f>+IF(GG284&lt;=GU224,GU224,IF(GG284&lt;=GU225,GU225,IF(GG284&lt;=GU226,GU226,IF(GG284&lt;=GU227,GU227,IF(GG284&lt;=GU228,GU228,IF(GG284&lt;=GU229,GU229,IF(GG284&lt;=GU230,GU230,IF(GG284&lt;=GU231,GU231,0))))))))</f>
        <v>22.28</v>
      </c>
      <c r="GV239" s="2276">
        <f>+IF(GG284&lt;=GV224,GV224,IF(GG284&lt;=GV225,GV225,IF(GG284&lt;=GV226,GV226,IF(GG284&lt;=GV227,GV227,IF(GG284&lt;=GV228,GV228,IF(GG284&lt;=GV229,GV229,IF(GG284&lt;=GV230,GV230,IF(GG284&lt;=GV231,GV231,0))))))))</f>
        <v>23.37</v>
      </c>
      <c r="GW239" s="2276">
        <f>+IF(GG284&lt;=GW224,GW224,IF(GG284&lt;=GW225,GW225,IF(GG284&lt;=GW226,GW226,IF(GG284&lt;=GW227,GW227,IF(GG284&lt;=GW228,GW228,IF(GG284&lt;=GW229,GW229,IF(GG284&lt;=GW230,GW230,IF(GG284&lt;=GW231,GW231,0))))))))</f>
        <v>24.06</v>
      </c>
      <c r="GX239" s="2276">
        <f>+IF(GG284&lt;=GX224,GX224,IF(GG284&lt;=GX225,GX225,IF(GG284&lt;=GX226,GX226,IF(GG284&lt;=GX227,GX227,IF(GG284&lt;=GX228,GX228,IF(GG284&lt;=GX229,GX229,IF(GG284&lt;=GX230,GX230,IF(GG284&lt;=GX231,GX231,0))))))))</f>
        <v>25.64</v>
      </c>
      <c r="GY239" s="2276">
        <f>+IF(GG284&lt;=GY224,GY224,IF(GG284&lt;=GY225,GY225,IF(GG284&lt;=GY226,GY226,IF(GG284&lt;=GY227,GY227,IF(GG284&lt;=GY228,GY228,IF(GG284&lt;=GY229,GY229,IF(GG284&lt;=GY230,GY230,IF(GG284&lt;=GY231,GY231,0))))))))</f>
        <v>27.23</v>
      </c>
      <c r="GZ239" s="2276">
        <f>+IF(GG284&lt;=GZ224,GZ224,IF(GG284&lt;=GZ225,GZ225,IF(GG284&lt;=GZ226,GZ226,IF(GG284&lt;=GZ227,GZ227,IF(GG284&lt;=GZ228,GZ228,IF(GG284&lt;=GZ229,GZ229,IF(GG284&lt;=GZ230,GZ230,IF(GG284&lt;=GZ231,GZ231,0))))))))</f>
        <v>29.5</v>
      </c>
      <c r="HA239" s="2276">
        <f>+IF(GG284&lt;=HA224,HA224,IF(GG284&lt;=HA225,HA225,IF(GG284&lt;=HA226,HA226,IF(GG284&lt;=HA227,HA227,IF(GG284&lt;=HA228,HA228,IF(GG284&lt;=HA229,HA229,IF(GG284&lt;=HA230,HA230,IF(GG284&lt;=HA231,HA231,0))))))))</f>
        <v>31.58</v>
      </c>
      <c r="HB239" s="2276">
        <f>+IF(GG284&lt;=HB224,HB224,IF(GG284&lt;=HB225,HB225,IF(GG284&lt;=HB226,HB226,IF(GG284&lt;=HB227,HB227,IF(GG284&lt;=HB228,HB228,IF(GG284&lt;=HB229,HB229,IF(GG284&lt;=HB230,HB230,IF(GG284&lt;=HB231,HB231,0))))))))</f>
        <v>34.06</v>
      </c>
      <c r="HC239" s="2276">
        <f>+IF(GG284&lt;=HC224,HC224,IF(GG284&lt;=HC225,HC225,IF(GG284&lt;=HC226,HC226,IF(GG284&lt;=HC227,HC227,IF(GG284&lt;=HC228,HC228,IF(GG284&lt;=HC229,HC229,IF(GG284&lt;=HC230,HC230,IF(GG284&lt;=HC231,HC231,0))))))))</f>
        <v>36.340000000000003</v>
      </c>
      <c r="HD239" s="2276">
        <f>+IF(GG284&lt;=HD224,HD224,IF(GG284&lt;=HD225,HD225,IF(GG284&lt;=HD226,HD226,IF(GG284&lt;=HD227,HD227,IF(GG284&lt;=HD228,HD228,IF(GG284&lt;=HD229,HD229,IF(GG284&lt;=HD230,HD230,IF(GG284&lt;=HD231,HD231,0))))))))</f>
        <v>20.399999999999999</v>
      </c>
      <c r="HE239" s="2276">
        <f>+IF(GG284&lt;=HE224,HE224,IF(GG284&lt;=HE225,HE225,IF(GG284&lt;=HE226,HE226,IF(GG284&lt;=HE227,HE227,IF(GG284&lt;=HE228,HE228,IF(GG284&lt;=HE229,HE229,IF(GG284&lt;=HE230,HE230,IF(GG284&lt;=HE231,HE231,0))))))))</f>
        <v>22.18</v>
      </c>
      <c r="HF239" s="2276">
        <f>+IF(GG284&lt;=HF224,HF224,IF(GG284&lt;=HF225,HF225,IF(GG284&lt;=HF226,HF226,IF(GG284&lt;=HF227,HF227,IF(GG284&lt;=HF228,HF228,IF(GG284&lt;=HF229,HF229,IF(GG284&lt;=HF230,HF230,IF(GG284&lt;=HF231,HF231,0))))))))</f>
        <v>24.85</v>
      </c>
      <c r="HG239" s="2276">
        <f>+IF(GG284&lt;=HG224,HG224,IF(GG284&lt;=HG225,HG225,IF(GG284&lt;=HG226,HG226,IF(GG284&lt;=HG227,HG227,IF(GG284&lt;=HG228,HG228,IF(GG284&lt;=HG229,HG229,IF(GG284&lt;=HG230,HG230,IF(GG284&lt;=HG231,HG231,0))))))))</f>
        <v>27.72</v>
      </c>
      <c r="HH239" s="2276">
        <f>+IF(GG284&lt;=HH224,HH224,IF(GG284&lt;=HH225,HH225,IF(GG284&lt;=HH226,HH226,IF(GG284&lt;=HH227,HH227,IF(GG284&lt;=HH228,HH228,IF(GG284&lt;=HH229,HH229,IF(GG284&lt;=HH230,HH230,IF(GG284&lt;=HH231,HH231,0))))))))</f>
        <v>31.49</v>
      </c>
      <c r="HI239" s="2276">
        <f>+IF(GG284&lt;=HI224,HI224,IF(GG284&lt;=HI225,HI225,IF(GG284&lt;=HI226,HI226,IF(GG284&lt;=HI227,HI227,IF(GG284&lt;=HI228,HI228,IF(GG284&lt;=HI229,HI229,IF(GG284&lt;=HI230,HI230,IF(GG284&lt;=HI231,HI231,0))))))))</f>
        <v>23.17</v>
      </c>
      <c r="HJ239" s="2275"/>
      <c r="HK239" s="2275"/>
      <c r="HL239" s="2275"/>
      <c r="HM239" s="2275"/>
      <c r="HN239" s="2275"/>
      <c r="HO239" s="2275"/>
      <c r="HP239" s="2275"/>
      <c r="HQ239" s="2275"/>
      <c r="HR239" s="2275"/>
      <c r="HS239" s="2275"/>
      <c r="HT239" s="2275"/>
      <c r="HU239" s="2250"/>
      <c r="HV239" s="2250"/>
      <c r="HW239" s="2250"/>
      <c r="HX239" s="2250"/>
      <c r="HY239" s="2250"/>
      <c r="HZ239" s="2250"/>
      <c r="IA239" s="2250"/>
      <c r="IB239" s="2250"/>
      <c r="IC239" s="2250"/>
      <c r="ID239" s="2250"/>
      <c r="IE239" s="2250"/>
      <c r="IF239" s="2250"/>
      <c r="IG239" s="2250"/>
      <c r="IH239" s="2250"/>
      <c r="II239" s="2250"/>
      <c r="IJ239" s="2250"/>
      <c r="IK239" s="2250"/>
      <c r="IL239" s="2250"/>
    </row>
    <row r="240" spans="1:246" ht="21.95" customHeight="1">
      <c r="A240" s="2275"/>
      <c r="B240" s="2276">
        <f>AF139</f>
        <v>190.4</v>
      </c>
      <c r="C240" s="2276">
        <f>HLOOKUP(B240,D221:AD241,21,0)</f>
        <v>650</v>
      </c>
      <c r="D240" s="2276">
        <f t="shared" ref="D240:AD240" si="252">IF(D238=0,D239,D238)</f>
        <v>28.51</v>
      </c>
      <c r="E240" s="2276">
        <f t="shared" si="252"/>
        <v>30.79</v>
      </c>
      <c r="F240" s="2276">
        <f t="shared" si="252"/>
        <v>20.89</v>
      </c>
      <c r="G240" s="2276">
        <f t="shared" si="252"/>
        <v>22.38</v>
      </c>
      <c r="H240" s="2276">
        <f t="shared" si="252"/>
        <v>23.76</v>
      </c>
      <c r="I240" s="2276">
        <f t="shared" si="252"/>
        <v>24.06</v>
      </c>
      <c r="J240" s="2276">
        <f t="shared" si="252"/>
        <v>25.74</v>
      </c>
      <c r="K240" s="2276">
        <f t="shared" si="252"/>
        <v>27.62</v>
      </c>
      <c r="L240" s="2276">
        <f t="shared" si="252"/>
        <v>29.21</v>
      </c>
      <c r="M240" s="2276">
        <f t="shared" si="252"/>
        <v>31.19</v>
      </c>
      <c r="N240" s="2276">
        <f t="shared" si="252"/>
        <v>34.36</v>
      </c>
      <c r="O240" s="2276">
        <f t="shared" si="252"/>
        <v>21.09</v>
      </c>
      <c r="P240" s="2276">
        <f t="shared" si="252"/>
        <v>22.28</v>
      </c>
      <c r="Q240" s="2276">
        <f t="shared" si="252"/>
        <v>23.37</v>
      </c>
      <c r="R240" s="2276">
        <f t="shared" si="252"/>
        <v>24.06</v>
      </c>
      <c r="S240" s="2276">
        <f t="shared" si="252"/>
        <v>25.64</v>
      </c>
      <c r="T240" s="2276">
        <f t="shared" si="252"/>
        <v>27.23</v>
      </c>
      <c r="U240" s="2276">
        <f t="shared" si="252"/>
        <v>29.5</v>
      </c>
      <c r="V240" s="2276">
        <f t="shared" si="252"/>
        <v>31.58</v>
      </c>
      <c r="W240" s="2276">
        <f t="shared" si="252"/>
        <v>34.06</v>
      </c>
      <c r="X240" s="2276">
        <f t="shared" si="252"/>
        <v>36.340000000000003</v>
      </c>
      <c r="Y240" s="2276">
        <f t="shared" si="252"/>
        <v>20.399999999999999</v>
      </c>
      <c r="Z240" s="2276">
        <f t="shared" si="252"/>
        <v>22.18</v>
      </c>
      <c r="AA240" s="2276">
        <f t="shared" si="252"/>
        <v>24.85</v>
      </c>
      <c r="AB240" s="2276">
        <f t="shared" si="252"/>
        <v>27.72</v>
      </c>
      <c r="AC240" s="2276">
        <f t="shared" si="252"/>
        <v>31.49</v>
      </c>
      <c r="AD240" s="2276">
        <f t="shared" si="252"/>
        <v>23.17</v>
      </c>
      <c r="AE240" s="2275"/>
      <c r="AF240" s="2275"/>
      <c r="AG240" s="2275"/>
      <c r="AH240" s="2275"/>
      <c r="AI240" s="2275"/>
      <c r="AJ240" s="2275"/>
      <c r="AK240" s="2275"/>
      <c r="AL240" s="2275"/>
      <c r="AM240" s="2275"/>
      <c r="AN240" s="2275"/>
      <c r="AO240" s="2275"/>
      <c r="AP240" s="2250"/>
      <c r="AQ240" s="2250"/>
      <c r="AR240" s="2250"/>
      <c r="AS240" s="2250"/>
      <c r="AT240" s="2250"/>
      <c r="AU240" s="2250"/>
      <c r="AV240" s="2250"/>
      <c r="AW240" s="2250"/>
      <c r="AX240" s="2250"/>
      <c r="AY240" s="2250"/>
      <c r="AZ240" s="2250"/>
      <c r="BA240" s="2250"/>
      <c r="BB240" s="2250"/>
      <c r="BC240" s="2250"/>
      <c r="BD240" s="2250"/>
      <c r="BE240" s="2250"/>
      <c r="BF240" s="2276"/>
      <c r="BG240" s="2276"/>
      <c r="BH240" s="2250"/>
      <c r="BI240" s="2275"/>
      <c r="BJ240" s="2276">
        <f>CN139</f>
        <v>206.43</v>
      </c>
      <c r="BK240" s="2276">
        <f>HLOOKUP(BJ240,BL221:CL241,21,0)</f>
        <v>775</v>
      </c>
      <c r="BL240" s="2276">
        <f t="shared" ref="BL240:CL240" si="253">IF(BL238=0,BL239,BL238)</f>
        <v>28.51</v>
      </c>
      <c r="BM240" s="2276">
        <f t="shared" si="253"/>
        <v>30.79</v>
      </c>
      <c r="BN240" s="2276">
        <f t="shared" si="253"/>
        <v>20.89</v>
      </c>
      <c r="BO240" s="2276">
        <f t="shared" si="253"/>
        <v>22.38</v>
      </c>
      <c r="BP240" s="2276">
        <f t="shared" si="253"/>
        <v>23.76</v>
      </c>
      <c r="BQ240" s="2276">
        <f t="shared" si="253"/>
        <v>24.06</v>
      </c>
      <c r="BR240" s="2276">
        <f t="shared" si="253"/>
        <v>25.74</v>
      </c>
      <c r="BS240" s="2276">
        <f t="shared" si="253"/>
        <v>27.62</v>
      </c>
      <c r="BT240" s="2276">
        <f t="shared" si="253"/>
        <v>29.21</v>
      </c>
      <c r="BU240" s="2276">
        <f t="shared" si="253"/>
        <v>31.19</v>
      </c>
      <c r="BV240" s="2276">
        <f t="shared" si="253"/>
        <v>34.36</v>
      </c>
      <c r="BW240" s="2276">
        <f t="shared" si="253"/>
        <v>21.09</v>
      </c>
      <c r="BX240" s="2276">
        <f t="shared" si="253"/>
        <v>22.28</v>
      </c>
      <c r="BY240" s="2276">
        <f t="shared" si="253"/>
        <v>23.37</v>
      </c>
      <c r="BZ240" s="2276">
        <f t="shared" si="253"/>
        <v>24.06</v>
      </c>
      <c r="CA240" s="2276">
        <f t="shared" si="253"/>
        <v>25.64</v>
      </c>
      <c r="CB240" s="2276">
        <f t="shared" si="253"/>
        <v>27.23</v>
      </c>
      <c r="CC240" s="2276">
        <f t="shared" si="253"/>
        <v>29.5</v>
      </c>
      <c r="CD240" s="2276">
        <f t="shared" si="253"/>
        <v>31.58</v>
      </c>
      <c r="CE240" s="2276">
        <f t="shared" si="253"/>
        <v>34.06</v>
      </c>
      <c r="CF240" s="2276">
        <f t="shared" si="253"/>
        <v>36.340000000000003</v>
      </c>
      <c r="CG240" s="2276">
        <f t="shared" si="253"/>
        <v>20.399999999999999</v>
      </c>
      <c r="CH240" s="2276">
        <f t="shared" si="253"/>
        <v>22.18</v>
      </c>
      <c r="CI240" s="2276">
        <f t="shared" si="253"/>
        <v>24.85</v>
      </c>
      <c r="CJ240" s="2276">
        <f t="shared" si="253"/>
        <v>27.72</v>
      </c>
      <c r="CK240" s="2276">
        <f t="shared" si="253"/>
        <v>31.49</v>
      </c>
      <c r="CL240" s="2276">
        <f t="shared" si="253"/>
        <v>23.17</v>
      </c>
      <c r="CM240" s="2275"/>
      <c r="CN240" s="2275"/>
      <c r="CO240" s="2275"/>
      <c r="CP240" s="2275"/>
      <c r="CQ240" s="2275"/>
      <c r="CR240" s="2275"/>
      <c r="CS240" s="2275"/>
      <c r="CT240" s="2275"/>
      <c r="CU240" s="2275"/>
      <c r="CV240" s="2275"/>
      <c r="CW240" s="2275"/>
      <c r="CX240" s="2250"/>
      <c r="CY240" s="2250"/>
      <c r="CZ240" s="2250"/>
      <c r="DA240" s="2250"/>
      <c r="DB240" s="2250"/>
      <c r="DC240" s="2250"/>
      <c r="DD240" s="2250"/>
      <c r="DE240" s="2250"/>
      <c r="DF240" s="2250"/>
      <c r="DG240" s="2250"/>
      <c r="DH240" s="2250"/>
      <c r="DI240" s="2250"/>
      <c r="DJ240" s="2250"/>
      <c r="DK240" s="2250"/>
      <c r="DL240" s="2250"/>
      <c r="DM240" s="2250"/>
      <c r="DN240" s="2250"/>
      <c r="DO240" s="2250"/>
      <c r="DP240" s="2250"/>
      <c r="DQ240" s="2277"/>
      <c r="DR240" s="2277"/>
      <c r="DS240" s="2278"/>
      <c r="DT240" s="2250"/>
      <c r="DU240" s="2250"/>
      <c r="DV240" s="2250"/>
      <c r="DW240" s="2250"/>
      <c r="DX240" s="2275"/>
      <c r="DY240" s="2276">
        <f>FC139</f>
        <v>19.968225884687833</v>
      </c>
      <c r="DZ240" s="2276">
        <f>HLOOKUP(DY241,EA222:FA242,20,0)</f>
        <v>31.19</v>
      </c>
      <c r="EA240" s="2276">
        <f>+IF(DY284&lt;=EA232,EA232,IF(DY284&lt;=EA233,EA233,IF(DY284&lt;=EA234,EA234,)))</f>
        <v>112.77</v>
      </c>
      <c r="EB240" s="2276">
        <f>+IF(DY284&lt;=EB232,EB232,IF(DY284&lt;=EB233,EB233,IF(DY284&lt;=EB234,EB234,)))</f>
        <v>121.78</v>
      </c>
      <c r="EC240" s="2276">
        <f>+IF(DY284&lt;=EC232,EC232,IF(DY284&lt;=EC233,EC233,IF(DY284&lt;=EC234,EC234,)))</f>
        <v>131.09</v>
      </c>
      <c r="ED240" s="2276">
        <f>+IF(DY284&lt;=ED232,ED232,IF(DY284&lt;=ED233,ED233,IF(DY284&lt;=ED234,ED234,)))</f>
        <v>140.5</v>
      </c>
      <c r="EE240" s="2276">
        <f>+IF(DY284&lt;=EE232,EE232,IF(DY284&lt;=EE233,EE233,IF(DY284&lt;=EE234,EE234,)))</f>
        <v>149.11000000000001</v>
      </c>
      <c r="EF240" s="2276">
        <f>+IF(DY284&lt;=EF232,EF232,IF(DY284&lt;=EF233,EF233,IF(DY284&lt;=EF234,EF234,)))</f>
        <v>151.38999999999999</v>
      </c>
      <c r="EG240" s="2276">
        <f>+IF(DY284&lt;=EG232,EG232,IF(DY284&lt;=EG233,EG233,IF(DY284&lt;=EG234,EG234,)))</f>
        <v>162.08000000000001</v>
      </c>
      <c r="EH240" s="2276">
        <f>+IF(DY284&lt;=EH232,EH232,IF(DY284&lt;=EH233,EH233,IF(DY284&lt;=EH234,EH234,)))</f>
        <v>173.37</v>
      </c>
      <c r="EI240" s="2276">
        <f>+IF(DY284&lt;=EI232,EI232,IF(DY284&lt;=EI233,EI233,IF(DY284&lt;=EI234,EI234,)))</f>
        <v>183.96</v>
      </c>
      <c r="EJ240" s="2276">
        <f>+IF(DY284&lt;=EJ232,EJ232,IF(DY284&lt;=EJ233,EJ233,IF(DY284&lt;=EJ234,EJ234,)))</f>
        <v>195.84</v>
      </c>
      <c r="EK240" s="2276">
        <f>+IF(DY284&lt;=EK232,EK232,IF(DY284&lt;=EK233,EK233,IF(DY284&lt;=EK234,EK234,)))</f>
        <v>216.04</v>
      </c>
      <c r="EL240" s="2276">
        <f>+IF(DY284&lt;=EL232,EL232,IF(DY284&lt;=EL233,EL233,IF(DY284&lt;=EL234,EL234,)))</f>
        <v>232.18</v>
      </c>
      <c r="EM240" s="2276">
        <f>+IF(DY284&lt;=EM232,EM232,IF(DY284&lt;=EM233,EM233,IF(DY284&lt;=EM234,EM234,)))</f>
        <v>241.78</v>
      </c>
      <c r="EN240" s="2276">
        <f>+IF(DY284&lt;=EN232,EN232,IF(DY284&lt;=EN233,EN233,IF(DY284&lt;=EN234,EN234,)))</f>
        <v>253.96</v>
      </c>
      <c r="EO240" s="2276">
        <f>+IF(DY284&lt;=EO232,EO232,IF(DY284&lt;=EO233,EO233,IF(DY284&lt;=EO234,EO234,)))</f>
        <v>267.92</v>
      </c>
      <c r="EP240" s="2276">
        <f>+IF(DY284&lt;=EP232,EP232,IF(DY284&lt;=EP233,EP233,IF(DY284&lt;=EP234,EP234,)))</f>
        <v>277.02999999999997</v>
      </c>
      <c r="EQ240" s="2276">
        <f>+IF(DY284&lt;=EQ232,EQ232,IF(DY284&lt;=EQ233,EQ233,IF(DY284&lt;=EQ234,EQ234,)))</f>
        <v>295.25</v>
      </c>
      <c r="ER240" s="2276">
        <f>+IF(DY284&lt;=ER232,ER232,IF(DY284&lt;=ER233,ER233,IF(DY284&lt;=ER234,ER234,)))</f>
        <v>338.91</v>
      </c>
      <c r="ES240" s="2276">
        <f>+IF(DY284&lt;=ES232,ES232,IF(DY284&lt;=ES233,ES233,IF(DY284&lt;=ES234,ES234,)))</f>
        <v>342.87</v>
      </c>
      <c r="ET240" s="2276">
        <f>+IF(DY284&lt;=ET232,ET232,IF(DY284&lt;=ET233,ET233,IF(DY284&lt;=ET234,ET234,)))</f>
        <v>348.81</v>
      </c>
      <c r="EU240" s="2276">
        <f>+IF(DY284&lt;=EU232,EU232,IF(DY284&lt;=EU233,EU233,IF(DY284&lt;=EU234,EU234,)))</f>
        <v>362.28</v>
      </c>
      <c r="EV240" s="2276">
        <f>+IF(DY284&lt;=EV232,EV232,IF(DY284&lt;=EV233,EV233,IF(DY284&lt;=EV234,EV234,)))</f>
        <v>410.3</v>
      </c>
      <c r="EW240" s="2276">
        <f>+IF(DY284&lt;=EW232,EW232,IF(DY284&lt;=EW233,EW233,IF(DY284&lt;=EW234,EW234,)))</f>
        <v>467.82</v>
      </c>
      <c r="EX240" s="2276">
        <f>+IF(DY284&lt;=EX232,EX232,IF(DY284&lt;=EX233,EX233,IF(DY284&lt;=EX234,EX234,)))</f>
        <v>515.04999999999995</v>
      </c>
      <c r="EY240" s="2276">
        <f>+IF(DY284&lt;=EY232,EY232,IF(DY284&lt;=EY233,EY233,IF(DY284&lt;=EY234,EY234,)))</f>
        <v>526.83000000000004</v>
      </c>
      <c r="EZ240" s="2276">
        <f>+IF(DY284&lt;=EZ232,EZ232,IF(DY284&lt;=EZ233,EZ233,IF(DY284&lt;=EZ234,EZ234,)))</f>
        <v>526.83000000000004</v>
      </c>
      <c r="FA240" s="2276">
        <f>+IF(DY284&lt;=FA232,FA232,IF(DY284&lt;=FA233,FA233,IF(DY284&lt;=FA234,FA234,)))</f>
        <v>526.83000000000004</v>
      </c>
      <c r="FB240" s="2275"/>
      <c r="FC240" s="2275"/>
      <c r="FD240" s="2275"/>
      <c r="FE240" s="2275"/>
      <c r="FF240" s="2275"/>
      <c r="FG240" s="2275"/>
      <c r="FH240" s="2275"/>
      <c r="FI240" s="2275"/>
      <c r="FJ240" s="2275"/>
      <c r="FK240" s="2275"/>
      <c r="FL240" s="2275"/>
      <c r="FM240" s="2250"/>
      <c r="FN240" s="2250"/>
      <c r="FO240" s="2250"/>
      <c r="FP240" s="2250"/>
      <c r="FQ240" s="2250"/>
      <c r="FR240" s="2250"/>
      <c r="FS240" s="2250"/>
      <c r="FT240" s="2250"/>
      <c r="FU240" s="2250"/>
      <c r="FV240" s="2250"/>
      <c r="FW240" s="2250"/>
      <c r="FX240" s="2250"/>
      <c r="FY240" s="2250"/>
      <c r="FZ240" s="2250"/>
      <c r="GA240" s="2250"/>
      <c r="GB240" s="2250"/>
      <c r="GC240" s="2276"/>
      <c r="GD240" s="2276"/>
      <c r="GE240" s="2250"/>
      <c r="GF240" s="2275"/>
      <c r="GG240" s="2276">
        <f>HK139</f>
        <v>19.968225884687833</v>
      </c>
      <c r="GH240" s="2276">
        <f>HLOOKUP(GG241,GI222:HI242,20,0)</f>
        <v>29.21</v>
      </c>
      <c r="GI240" s="2276">
        <f>+IF(GG284&lt;=GI232,GI232,IF(GG284&lt;=GI233,GI233,IF(GG284&lt;=GI234,GI234,)))</f>
        <v>112.77</v>
      </c>
      <c r="GJ240" s="2276">
        <f>+IF(GG284&lt;=GJ232,GJ232,IF(GG284&lt;=GJ233,GJ233,IF(GG284&lt;=GJ234,GJ234,)))</f>
        <v>121.78</v>
      </c>
      <c r="GK240" s="2276">
        <f>+IF(GG284&lt;=GK232,GK232,IF(GG284&lt;=GK233,GK233,IF(GG284&lt;=GK234,GK234,)))</f>
        <v>131.09</v>
      </c>
      <c r="GL240" s="2276">
        <f>+IF(GG284&lt;=GL232,GL232,IF(GG284&lt;=GL233,GL233,IF(GG284&lt;=GL234,GL234,)))</f>
        <v>140.5</v>
      </c>
      <c r="GM240" s="2276">
        <f>+IF(GG284&lt;=GM232,GM232,IF(GG284&lt;=GM233,GM233,IF(GG284&lt;=GM234,GM234,)))</f>
        <v>149.11000000000001</v>
      </c>
      <c r="GN240" s="2276">
        <f>+IF(GG284&lt;=GN232,GN232,IF(GG284&lt;=GN233,GN233,IF(GG284&lt;=GN234,GN234,)))</f>
        <v>151.38999999999999</v>
      </c>
      <c r="GO240" s="2276">
        <f>+IF(GG284&lt;=GO232,GO232,IF(GG284&lt;=GO233,GO233,IF(GG284&lt;=GO234,GO234,)))</f>
        <v>162.08000000000001</v>
      </c>
      <c r="GP240" s="2276">
        <f>+IF(GG284&lt;=GP232,GP232,IF(GG284&lt;=GP233,GP233,IF(GG284&lt;=GP234,GP234,)))</f>
        <v>173.37</v>
      </c>
      <c r="GQ240" s="2276">
        <f>+IF(GG284&lt;=GQ232,GQ232,IF(GG284&lt;=GQ233,GQ233,IF(GG284&lt;=GQ234,GQ234,)))</f>
        <v>183.96</v>
      </c>
      <c r="GR240" s="2276">
        <f>+IF(GG284&lt;=GR232,GR232,IF(GG284&lt;=GR233,GR233,IF(GG284&lt;=GR234,GR234,)))</f>
        <v>195.84</v>
      </c>
      <c r="GS240" s="2276">
        <f>+IF(GG284&lt;=GS232,GS232,IF(GG284&lt;=GS233,GS233,IF(GG284&lt;=GS234,GS234,)))</f>
        <v>216.04</v>
      </c>
      <c r="GT240" s="2276">
        <f>+IF(GG284&lt;=GT232,GT232,IF(GG284&lt;=GT233,GT233,IF(GG284&lt;=GT234,GT234,)))</f>
        <v>232.18</v>
      </c>
      <c r="GU240" s="2276">
        <f>+IF(GG284&lt;=GU232,GU232,IF(GG284&lt;=GU233,GU233,IF(GG284&lt;=GU234,GU234,)))</f>
        <v>241.78</v>
      </c>
      <c r="GV240" s="2276">
        <f>+IF(GG284&lt;=GV232,GV232,IF(GG284&lt;=GV233,GV233,IF(GG284&lt;=GV234,GV234,)))</f>
        <v>253.96</v>
      </c>
      <c r="GW240" s="2276">
        <f>+IF(GG284&lt;=GW232,GW232,IF(GG284&lt;=GW233,GW233,IF(GG284&lt;=GW234,GW234,)))</f>
        <v>267.92</v>
      </c>
      <c r="GX240" s="2276">
        <f>+IF(GG284&lt;=GX232,GX232,IF(GG284&lt;=GX233,GX233,IF(GG284&lt;=GX234,GX234,)))</f>
        <v>277.02999999999997</v>
      </c>
      <c r="GY240" s="2276">
        <f>+IF(GG284&lt;=GY232,GY232,IF(GG284&lt;=GY233,GY233,IF(GG284&lt;=GY234,GY234,)))</f>
        <v>295.25</v>
      </c>
      <c r="GZ240" s="2276">
        <f>+IF(GG284&lt;=GZ232,GZ232,IF(GG284&lt;=GZ233,GZ233,IF(GG284&lt;=GZ234,GZ234,)))</f>
        <v>338.91</v>
      </c>
      <c r="HA240" s="2276">
        <f>+IF(GG284&lt;=HA232,HA232,IF(GG284&lt;=HA233,HA233,IF(GG284&lt;=HA234,HA234,)))</f>
        <v>342.87</v>
      </c>
      <c r="HB240" s="2276">
        <f>+IF(GG284&lt;=HB232,HB232,IF(GG284&lt;=HB233,HB233,IF(GG284&lt;=HB234,HB234,)))</f>
        <v>348.81</v>
      </c>
      <c r="HC240" s="2276">
        <f>+IF(GG284&lt;=HC232,HC232,IF(GG284&lt;=HC233,HC233,IF(GG284&lt;=HC234,HC234,)))</f>
        <v>362.28</v>
      </c>
      <c r="HD240" s="2276">
        <f>+IF(GG284&lt;=HD232,HD232,IF(GG284&lt;=HD233,HD233,IF(GG284&lt;=HD234,HD234,)))</f>
        <v>410.3</v>
      </c>
      <c r="HE240" s="2276">
        <f>+IF(GG284&lt;=HE232,HE232,IF(GG284&lt;=HE233,HE233,IF(GG284&lt;=HE234,HE234,)))</f>
        <v>467.82</v>
      </c>
      <c r="HF240" s="2276">
        <f>+IF(GG284&lt;=HF232,HF232,IF(GG284&lt;=HF233,HF233,IF(GG284&lt;=HF234,HF234,)))</f>
        <v>515.04999999999995</v>
      </c>
      <c r="HG240" s="2276">
        <f>+IF(GG284&lt;=HG232,HG232,IF(GG284&lt;=HG233,HG233,IF(GG284&lt;=HG234,HG234,)))</f>
        <v>526.83000000000004</v>
      </c>
      <c r="HH240" s="2276">
        <f>+IF(GG284&lt;=HH232,HH232,IF(GG284&lt;=HH233,HH233,IF(GG284&lt;=HH234,HH234,)))</f>
        <v>526.83000000000004</v>
      </c>
      <c r="HI240" s="2276">
        <f>+IF(GG284&lt;=HI232,HI232,IF(GG284&lt;=HI233,HI233,IF(GG284&lt;=HI234,HI234,)))</f>
        <v>526.83000000000004</v>
      </c>
      <c r="HJ240" s="2275"/>
      <c r="HK240" s="2275"/>
      <c r="HL240" s="2275"/>
      <c r="HM240" s="2275"/>
      <c r="HN240" s="2275"/>
      <c r="HO240" s="2275"/>
      <c r="HP240" s="2275"/>
      <c r="HQ240" s="2275"/>
      <c r="HR240" s="2275"/>
      <c r="HS240" s="2275"/>
      <c r="HT240" s="2275"/>
      <c r="HU240" s="2250"/>
      <c r="HV240" s="2250"/>
      <c r="HW240" s="2250"/>
      <c r="HX240" s="2250"/>
      <c r="HY240" s="2250"/>
      <c r="HZ240" s="2250"/>
      <c r="IA240" s="2250"/>
      <c r="IB240" s="2250"/>
      <c r="IC240" s="2250"/>
      <c r="ID240" s="2250"/>
      <c r="IE240" s="2250"/>
      <c r="IF240" s="2250"/>
      <c r="IG240" s="2250"/>
      <c r="IH240" s="2250"/>
      <c r="II240" s="2250"/>
      <c r="IJ240" s="2250"/>
      <c r="IK240" s="2250"/>
      <c r="IL240" s="2250"/>
    </row>
    <row r="241" spans="1:246" ht="21.95" customHeight="1">
      <c r="A241" s="2275"/>
      <c r="B241" s="2275"/>
      <c r="C241" s="2276" t="str">
        <f>IF(C239=AH237,IF(C240=AI237,"Right","Wrong"))</f>
        <v>Right</v>
      </c>
      <c r="D241" s="2276">
        <f>VLOOKUP(D240,D223:AE233,28,0)</f>
        <v>775</v>
      </c>
      <c r="E241" s="2276">
        <f>VLOOKUP(E240,E223:AE233,27,0)</f>
        <v>775</v>
      </c>
      <c r="F241" s="2276">
        <f>VLOOKUP(F240,F223:AE233,26,0)</f>
        <v>650</v>
      </c>
      <c r="G241" s="2276">
        <f>VLOOKUP(G240,G223:AE233,25,0)</f>
        <v>650</v>
      </c>
      <c r="H241" s="2276">
        <f>VLOOKUP(H240,H223:AE233,24,0)</f>
        <v>650</v>
      </c>
      <c r="I241" s="2276">
        <f>VLOOKUP(I240,I223:AE233,23,0)</f>
        <v>650</v>
      </c>
      <c r="J241" s="2276">
        <f>VLOOKUP(J240,J223:AE233,22,0)</f>
        <v>650</v>
      </c>
      <c r="K241" s="2276">
        <f>VLOOKUP(K240,K223:AE233,21,0)</f>
        <v>650</v>
      </c>
      <c r="L241" s="2276">
        <f>VLOOKUP(L240,L223:AE233,20,0)</f>
        <v>650</v>
      </c>
      <c r="M241" s="2276">
        <f>VLOOKUP(M240,M223:AE233,19,0)</f>
        <v>650</v>
      </c>
      <c r="N241" s="2276">
        <f>VLOOKUP(N240,N223:AE233,18,0)</f>
        <v>650</v>
      </c>
      <c r="O241" s="2276">
        <f>VLOOKUP(O240,O223:AE233,17,0)</f>
        <v>550</v>
      </c>
      <c r="P241" s="2276">
        <f>VLOOKUP(P240,P223:AE233,16,0)</f>
        <v>550</v>
      </c>
      <c r="Q241" s="2276">
        <f>VLOOKUP(Q240,Q223:AE255,15,0)</f>
        <v>550</v>
      </c>
      <c r="R241" s="2276">
        <f>VLOOKUP(R240,R223:AE233,14,0)</f>
        <v>550</v>
      </c>
      <c r="S241" s="2276">
        <f>VLOOKUP(S240,S223:AE233,13,0)</f>
        <v>550</v>
      </c>
      <c r="T241" s="2276">
        <f>VLOOKUP(T240,T223:AE233,12,0)</f>
        <v>550</v>
      </c>
      <c r="U241" s="2276">
        <f>VLOOKUP(U240,U223:AE233,11,0)</f>
        <v>550</v>
      </c>
      <c r="V241" s="2276">
        <f>VLOOKUP(V240,V223:AE233,10,0)</f>
        <v>550</v>
      </c>
      <c r="W241" s="2276">
        <f>VLOOKUP(W240,W223:AE233,9,0)</f>
        <v>550</v>
      </c>
      <c r="X241" s="2276">
        <f>VLOOKUP(X240,X223:AE233,8,0)</f>
        <v>550</v>
      </c>
      <c r="Y241" s="2276">
        <f>VLOOKUP(Y240,Y223:AE233,7,0)</f>
        <v>475</v>
      </c>
      <c r="Z241" s="2276">
        <f>VLOOKUP(Z240,Z223:AE233,6,0)</f>
        <v>475</v>
      </c>
      <c r="AA241" s="2276">
        <f>VLOOKUP(AA240,AA223:AE233,5,0)</f>
        <v>475</v>
      </c>
      <c r="AB241" s="2276">
        <f>VLOOKUP(AB240,AB223:AE233,4,0)</f>
        <v>475</v>
      </c>
      <c r="AC241" s="2276">
        <f>VLOOKUP(AC240,AC223:AE233,3,0)</f>
        <v>475</v>
      </c>
      <c r="AD241" s="2276">
        <f>VLOOKUP(AD240,AD223:AE233,2,0)</f>
        <v>400</v>
      </c>
      <c r="AE241" s="2275"/>
      <c r="AF241" s="2275"/>
      <c r="AG241" s="2275"/>
      <c r="AH241" s="2275"/>
      <c r="AI241" s="2275"/>
      <c r="AJ241" s="2275"/>
      <c r="AK241" s="2275"/>
      <c r="AL241" s="2275"/>
      <c r="AM241" s="2275"/>
      <c r="AN241" s="2275"/>
      <c r="AO241" s="2275"/>
      <c r="AP241" s="2250"/>
      <c r="AQ241" s="2250"/>
      <c r="AR241" s="2250"/>
      <c r="AS241" s="2250"/>
      <c r="AT241" s="2250"/>
      <c r="AU241" s="2250"/>
      <c r="AV241" s="2250"/>
      <c r="AW241" s="2250"/>
      <c r="AX241" s="2250"/>
      <c r="AY241" s="2250"/>
      <c r="AZ241" s="2250"/>
      <c r="BA241" s="2250"/>
      <c r="BB241" s="2250"/>
      <c r="BC241" s="2250"/>
      <c r="BD241" s="2250"/>
      <c r="BE241" s="2250"/>
      <c r="BF241" s="2276"/>
      <c r="BG241" s="2276"/>
      <c r="BH241" s="2250"/>
      <c r="BI241" s="2275"/>
      <c r="BJ241" s="2275"/>
      <c r="BK241" s="2276" t="str">
        <f>IF(BK239=CP237,IF(BK240=CQ237,"Right","Wrong"))</f>
        <v>Right</v>
      </c>
      <c r="BL241" s="2276">
        <f>VLOOKUP(BL240,BL223:CM233,28,0)</f>
        <v>775</v>
      </c>
      <c r="BM241" s="2276">
        <f>VLOOKUP(BM240,BM223:CM233,27,0)</f>
        <v>775</v>
      </c>
      <c r="BN241" s="2276">
        <f>VLOOKUP(BN240,BN223:CM233,26,0)</f>
        <v>650</v>
      </c>
      <c r="BO241" s="2276">
        <f>VLOOKUP(BO240,BO223:CM233,25,0)</f>
        <v>650</v>
      </c>
      <c r="BP241" s="2276">
        <f>VLOOKUP(BP240,BP223:CM233,24,0)</f>
        <v>650</v>
      </c>
      <c r="BQ241" s="2276">
        <f>VLOOKUP(BQ240,BQ223:CM233,23,0)</f>
        <v>650</v>
      </c>
      <c r="BR241" s="2276">
        <f>VLOOKUP(BR240,BR223:CM233,22,0)</f>
        <v>650</v>
      </c>
      <c r="BS241" s="2276">
        <f>VLOOKUP(BS240,BS223:CM233,21,0)</f>
        <v>650</v>
      </c>
      <c r="BT241" s="2276">
        <f>VLOOKUP(BT240,BT223:CM233,20,0)</f>
        <v>650</v>
      </c>
      <c r="BU241" s="2276">
        <f>VLOOKUP(BU240,BU223:CM233,19,0)</f>
        <v>650</v>
      </c>
      <c r="BV241" s="2276">
        <f>VLOOKUP(BV240,BV223:CM233,18,0)</f>
        <v>650</v>
      </c>
      <c r="BW241" s="2276">
        <f>VLOOKUP(BW240,BW223:CM233,17,0)</f>
        <v>550</v>
      </c>
      <c r="BX241" s="2276">
        <f>VLOOKUP(BX240,BX223:CM233,16,0)</f>
        <v>550</v>
      </c>
      <c r="BY241" s="2276">
        <f>VLOOKUP(BY240,BY223:CM255,15,0)</f>
        <v>550</v>
      </c>
      <c r="BZ241" s="2276">
        <f>VLOOKUP(BZ240,BZ223:CM233,14,0)</f>
        <v>550</v>
      </c>
      <c r="CA241" s="2276">
        <f>VLOOKUP(CA240,CA223:CM233,13,0)</f>
        <v>550</v>
      </c>
      <c r="CB241" s="2276">
        <f>VLOOKUP(CB240,CB223:CM233,12,0)</f>
        <v>550</v>
      </c>
      <c r="CC241" s="2276">
        <f>VLOOKUP(CC240,CC223:CM233,11,0)</f>
        <v>550</v>
      </c>
      <c r="CD241" s="2276">
        <f>VLOOKUP(CD240,CD223:CM233,10,0)</f>
        <v>550</v>
      </c>
      <c r="CE241" s="2276">
        <f>VLOOKUP(CE240,CE223:CM233,9,0)</f>
        <v>550</v>
      </c>
      <c r="CF241" s="2276">
        <f>VLOOKUP(CF240,CF223:CM233,8,0)</f>
        <v>550</v>
      </c>
      <c r="CG241" s="2276">
        <f>VLOOKUP(CG240,CG223:CM233,7,0)</f>
        <v>475</v>
      </c>
      <c r="CH241" s="2276">
        <f>VLOOKUP(CH240,CH223:CM233,6,0)</f>
        <v>475</v>
      </c>
      <c r="CI241" s="2276">
        <f>VLOOKUP(CI240,CI223:CM233,5,0)</f>
        <v>475</v>
      </c>
      <c r="CJ241" s="2276">
        <f>VLOOKUP(CJ240,CJ223:CM233,4,0)</f>
        <v>475</v>
      </c>
      <c r="CK241" s="2276">
        <f>VLOOKUP(CK240,CK223:CM233,3,0)</f>
        <v>475</v>
      </c>
      <c r="CL241" s="2276">
        <f>VLOOKUP(CL240,CL223:CM233,2,0)</f>
        <v>400</v>
      </c>
      <c r="CM241" s="2275"/>
      <c r="CN241" s="2275"/>
      <c r="CO241" s="2275"/>
      <c r="CP241" s="2275"/>
      <c r="CQ241" s="2275"/>
      <c r="CR241" s="2275"/>
      <c r="CS241" s="2275"/>
      <c r="CT241" s="2275"/>
      <c r="CU241" s="2275"/>
      <c r="CV241" s="2275"/>
      <c r="CW241" s="2275"/>
      <c r="CX241" s="2250"/>
      <c r="CY241" s="2250"/>
      <c r="CZ241" s="2250"/>
      <c r="DA241" s="2250"/>
      <c r="DB241" s="2250"/>
      <c r="DC241" s="2250"/>
      <c r="DD241" s="2250"/>
      <c r="DE241" s="2250"/>
      <c r="DF241" s="2250"/>
      <c r="DG241" s="2250"/>
      <c r="DH241" s="2250"/>
      <c r="DI241" s="2250"/>
      <c r="DJ241" s="2250"/>
      <c r="DK241" s="2250"/>
      <c r="DL241" s="2250"/>
      <c r="DM241" s="2250"/>
      <c r="DN241" s="2250"/>
      <c r="DO241" s="2250"/>
      <c r="DP241" s="2250"/>
      <c r="DQ241" s="2277"/>
      <c r="DR241" s="2277"/>
      <c r="DS241" s="2278"/>
      <c r="DT241" s="2250"/>
      <c r="DU241" s="2250"/>
      <c r="DV241" s="2250"/>
      <c r="DW241" s="2250"/>
      <c r="DX241" s="2275"/>
      <c r="DY241" s="2276">
        <f>FC140</f>
        <v>120.7</v>
      </c>
      <c r="DZ241" s="2276">
        <f>HLOOKUP(DY241,EA222:FA242,21,0)</f>
        <v>650</v>
      </c>
      <c r="EA241" s="2276">
        <f t="shared" ref="EA241:FA241" si="254">IF(EA239=0,EA240,EA239)</f>
        <v>28.51</v>
      </c>
      <c r="EB241" s="2276">
        <f t="shared" si="254"/>
        <v>30.79</v>
      </c>
      <c r="EC241" s="2276">
        <f t="shared" si="254"/>
        <v>20.89</v>
      </c>
      <c r="ED241" s="2276">
        <f t="shared" si="254"/>
        <v>22.38</v>
      </c>
      <c r="EE241" s="2276">
        <f t="shared" si="254"/>
        <v>23.76</v>
      </c>
      <c r="EF241" s="2276">
        <f t="shared" si="254"/>
        <v>24.06</v>
      </c>
      <c r="EG241" s="2276">
        <f t="shared" si="254"/>
        <v>25.74</v>
      </c>
      <c r="EH241" s="2276">
        <f t="shared" si="254"/>
        <v>27.62</v>
      </c>
      <c r="EI241" s="2276">
        <f t="shared" si="254"/>
        <v>29.21</v>
      </c>
      <c r="EJ241" s="2276">
        <f t="shared" si="254"/>
        <v>31.19</v>
      </c>
      <c r="EK241" s="2276">
        <f t="shared" si="254"/>
        <v>34.36</v>
      </c>
      <c r="EL241" s="2276">
        <f t="shared" si="254"/>
        <v>21.09</v>
      </c>
      <c r="EM241" s="2276">
        <f t="shared" si="254"/>
        <v>22.28</v>
      </c>
      <c r="EN241" s="2276">
        <f t="shared" si="254"/>
        <v>23.37</v>
      </c>
      <c r="EO241" s="2276">
        <f t="shared" si="254"/>
        <v>24.06</v>
      </c>
      <c r="EP241" s="2276">
        <f t="shared" si="254"/>
        <v>25.64</v>
      </c>
      <c r="EQ241" s="2276">
        <f t="shared" si="254"/>
        <v>27.23</v>
      </c>
      <c r="ER241" s="2276">
        <f t="shared" si="254"/>
        <v>29.5</v>
      </c>
      <c r="ES241" s="2276">
        <f t="shared" si="254"/>
        <v>31.58</v>
      </c>
      <c r="ET241" s="2276">
        <f t="shared" si="254"/>
        <v>34.06</v>
      </c>
      <c r="EU241" s="2276">
        <f t="shared" si="254"/>
        <v>36.340000000000003</v>
      </c>
      <c r="EV241" s="2276">
        <f t="shared" si="254"/>
        <v>20.399999999999999</v>
      </c>
      <c r="EW241" s="2276">
        <f t="shared" si="254"/>
        <v>22.18</v>
      </c>
      <c r="EX241" s="2276">
        <f t="shared" si="254"/>
        <v>24.85</v>
      </c>
      <c r="EY241" s="2276">
        <f t="shared" si="254"/>
        <v>27.72</v>
      </c>
      <c r="EZ241" s="2276">
        <f t="shared" si="254"/>
        <v>31.49</v>
      </c>
      <c r="FA241" s="2276">
        <f t="shared" si="254"/>
        <v>23.17</v>
      </c>
      <c r="FB241" s="2275"/>
      <c r="FC241" s="2275"/>
      <c r="FD241" s="2275"/>
      <c r="FE241" s="2275"/>
      <c r="FF241" s="2275"/>
      <c r="FG241" s="2275"/>
      <c r="FH241" s="2275"/>
      <c r="FI241" s="2275"/>
      <c r="FJ241" s="2275"/>
      <c r="FK241" s="2275"/>
      <c r="FL241" s="2275"/>
      <c r="FM241" s="2250"/>
      <c r="FN241" s="2250"/>
      <c r="FO241" s="2250"/>
      <c r="FP241" s="2250"/>
      <c r="FQ241" s="2250"/>
      <c r="FR241" s="2250"/>
      <c r="FS241" s="2250"/>
      <c r="FT241" s="2250"/>
      <c r="FU241" s="2250"/>
      <c r="FV241" s="2250"/>
      <c r="FW241" s="2250"/>
      <c r="FX241" s="2250"/>
      <c r="FY241" s="2250"/>
      <c r="FZ241" s="2250"/>
      <c r="GA241" s="2250"/>
      <c r="GB241" s="2250"/>
      <c r="GC241" s="2276"/>
      <c r="GD241" s="2276"/>
      <c r="GE241" s="2250"/>
      <c r="GF241" s="2275"/>
      <c r="GG241" s="2276">
        <f>HK140</f>
        <v>129.80000000000001</v>
      </c>
      <c r="GH241" s="2276">
        <f>HLOOKUP(GG241,GI222:HI242,21,0)</f>
        <v>650</v>
      </c>
      <c r="GI241" s="2276">
        <f t="shared" ref="GI241:HI241" si="255">IF(GI239=0,GI240,GI239)</f>
        <v>28.51</v>
      </c>
      <c r="GJ241" s="2276">
        <f t="shared" si="255"/>
        <v>30.79</v>
      </c>
      <c r="GK241" s="2276">
        <f t="shared" si="255"/>
        <v>20.89</v>
      </c>
      <c r="GL241" s="2276">
        <f t="shared" si="255"/>
        <v>22.38</v>
      </c>
      <c r="GM241" s="2276">
        <f t="shared" si="255"/>
        <v>23.76</v>
      </c>
      <c r="GN241" s="2276">
        <f t="shared" si="255"/>
        <v>24.06</v>
      </c>
      <c r="GO241" s="2276">
        <f t="shared" si="255"/>
        <v>25.74</v>
      </c>
      <c r="GP241" s="2276">
        <f t="shared" si="255"/>
        <v>27.62</v>
      </c>
      <c r="GQ241" s="2276">
        <f t="shared" si="255"/>
        <v>29.21</v>
      </c>
      <c r="GR241" s="2276">
        <f t="shared" si="255"/>
        <v>31.19</v>
      </c>
      <c r="GS241" s="2276">
        <f t="shared" si="255"/>
        <v>34.36</v>
      </c>
      <c r="GT241" s="2276">
        <f t="shared" si="255"/>
        <v>21.09</v>
      </c>
      <c r="GU241" s="2276">
        <f t="shared" si="255"/>
        <v>22.28</v>
      </c>
      <c r="GV241" s="2276">
        <f t="shared" si="255"/>
        <v>23.37</v>
      </c>
      <c r="GW241" s="2276">
        <f t="shared" si="255"/>
        <v>24.06</v>
      </c>
      <c r="GX241" s="2276">
        <f t="shared" si="255"/>
        <v>25.64</v>
      </c>
      <c r="GY241" s="2276">
        <f t="shared" si="255"/>
        <v>27.23</v>
      </c>
      <c r="GZ241" s="2276">
        <f t="shared" si="255"/>
        <v>29.5</v>
      </c>
      <c r="HA241" s="2276">
        <f t="shared" si="255"/>
        <v>31.58</v>
      </c>
      <c r="HB241" s="2276">
        <f t="shared" si="255"/>
        <v>34.06</v>
      </c>
      <c r="HC241" s="2276">
        <f t="shared" si="255"/>
        <v>36.340000000000003</v>
      </c>
      <c r="HD241" s="2276">
        <f t="shared" si="255"/>
        <v>20.399999999999999</v>
      </c>
      <c r="HE241" s="2276">
        <f t="shared" si="255"/>
        <v>22.18</v>
      </c>
      <c r="HF241" s="2276">
        <f t="shared" si="255"/>
        <v>24.85</v>
      </c>
      <c r="HG241" s="2276">
        <f t="shared" si="255"/>
        <v>27.72</v>
      </c>
      <c r="HH241" s="2276">
        <f t="shared" si="255"/>
        <v>31.49</v>
      </c>
      <c r="HI241" s="2276">
        <f t="shared" si="255"/>
        <v>23.17</v>
      </c>
      <c r="HJ241" s="2275"/>
      <c r="HK241" s="2275"/>
      <c r="HL241" s="2275"/>
      <c r="HM241" s="2275"/>
      <c r="HN241" s="2275"/>
      <c r="HO241" s="2275"/>
      <c r="HP241" s="2275"/>
      <c r="HQ241" s="2275"/>
      <c r="HR241" s="2275"/>
      <c r="HS241" s="2275"/>
      <c r="HT241" s="2275"/>
      <c r="HU241" s="2250"/>
      <c r="HV241" s="2250"/>
      <c r="HW241" s="2250"/>
      <c r="HX241" s="2250"/>
      <c r="HY241" s="2250"/>
      <c r="HZ241" s="2250"/>
      <c r="IA241" s="2250"/>
      <c r="IB241" s="2250"/>
      <c r="IC241" s="2250"/>
      <c r="ID241" s="2250"/>
      <c r="IE241" s="2250"/>
      <c r="IF241" s="2250"/>
      <c r="IG241" s="2250"/>
      <c r="IH241" s="2250"/>
      <c r="II241" s="2250"/>
      <c r="IJ241" s="2250"/>
      <c r="IK241" s="2250"/>
      <c r="IL241" s="2250"/>
    </row>
    <row r="242" spans="1:246" ht="21.95" customHeight="1">
      <c r="A242" s="2275"/>
      <c r="B242" s="2275"/>
      <c r="C242" s="2275"/>
      <c r="D242" s="2275"/>
      <c r="E242" s="2275"/>
      <c r="F242" s="2275"/>
      <c r="G242" s="2275"/>
      <c r="H242" s="2275"/>
      <c r="I242" s="2275"/>
      <c r="J242" s="2275"/>
      <c r="K242" s="2275"/>
      <c r="L242" s="2275"/>
      <c r="M242" s="2275"/>
      <c r="N242" s="2275"/>
      <c r="O242" s="2275"/>
      <c r="P242" s="2275"/>
      <c r="Q242" s="2275"/>
      <c r="R242" s="2275"/>
      <c r="S242" s="2275"/>
      <c r="T242" s="2275"/>
      <c r="U242" s="2275"/>
      <c r="V242" s="2275"/>
      <c r="W242" s="2275"/>
      <c r="X242" s="2275"/>
      <c r="Y242" s="2275"/>
      <c r="Z242" s="2275"/>
      <c r="AA242" s="2275"/>
      <c r="AB242" s="2275"/>
      <c r="AC242" s="2275"/>
      <c r="AD242" s="2275"/>
      <c r="AE242" s="2275"/>
      <c r="AF242" s="2275" t="s">
        <v>655</v>
      </c>
      <c r="AG242" s="2276">
        <f>AG220</f>
        <v>190.4</v>
      </c>
      <c r="AH242" s="2275"/>
      <c r="AI242" s="2275"/>
      <c r="AJ242" s="2275"/>
      <c r="AK242" s="2275"/>
      <c r="AL242" s="2275"/>
      <c r="AM242" s="2275"/>
      <c r="AN242" s="2275"/>
      <c r="AO242" s="2275"/>
      <c r="AP242" s="2250"/>
      <c r="AQ242" s="2250"/>
      <c r="AR242" s="2250"/>
      <c r="AS242" s="2250"/>
      <c r="AT242" s="2250"/>
      <c r="AU242" s="2250"/>
      <c r="AV242" s="2250"/>
      <c r="AW242" s="2250"/>
      <c r="AX242" s="2250"/>
      <c r="AY242" s="2250"/>
      <c r="AZ242" s="2250"/>
      <c r="BA242" s="2250"/>
      <c r="BB242" s="2250"/>
      <c r="BC242" s="2250"/>
      <c r="BD242" s="2250"/>
      <c r="BE242" s="2250"/>
      <c r="BF242" s="2276"/>
      <c r="BG242" s="2276"/>
      <c r="BH242" s="2250"/>
      <c r="BI242" s="2275"/>
      <c r="BJ242" s="2275"/>
      <c r="BK242" s="2275"/>
      <c r="BL242" s="2275"/>
      <c r="BM242" s="2275"/>
      <c r="BN242" s="2275"/>
      <c r="BO242" s="2275"/>
      <c r="BP242" s="2275"/>
      <c r="BQ242" s="2275"/>
      <c r="BR242" s="2275"/>
      <c r="BS242" s="2275"/>
      <c r="BT242" s="2275"/>
      <c r="BU242" s="2275"/>
      <c r="BV242" s="2275"/>
      <c r="BW242" s="2275"/>
      <c r="BX242" s="2275"/>
      <c r="BY242" s="2275"/>
      <c r="BZ242" s="2275"/>
      <c r="CA242" s="2275"/>
      <c r="CB242" s="2275"/>
      <c r="CC242" s="2275"/>
      <c r="CD242" s="2275"/>
      <c r="CE242" s="2275"/>
      <c r="CF242" s="2275"/>
      <c r="CG242" s="2275"/>
      <c r="CH242" s="2275"/>
      <c r="CI242" s="2275"/>
      <c r="CJ242" s="2275"/>
      <c r="CK242" s="2275"/>
      <c r="CL242" s="2275"/>
      <c r="CM242" s="2275"/>
      <c r="CN242" s="2275" t="s">
        <v>655</v>
      </c>
      <c r="CO242" s="2276">
        <f>CO220</f>
        <v>206.43</v>
      </c>
      <c r="CP242" s="2275"/>
      <c r="CQ242" s="2275"/>
      <c r="CR242" s="2275"/>
      <c r="CS242" s="2275"/>
      <c r="CT242" s="2275"/>
      <c r="CU242" s="2275"/>
      <c r="CV242" s="2275"/>
      <c r="CW242" s="2275"/>
      <c r="CX242" s="2250"/>
      <c r="CY242" s="2250"/>
      <c r="CZ242" s="2250"/>
      <c r="DA242" s="2250"/>
      <c r="DB242" s="2250"/>
      <c r="DC242" s="2250"/>
      <c r="DD242" s="2250"/>
      <c r="DE242" s="2250"/>
      <c r="DF242" s="2250"/>
      <c r="DG242" s="2250"/>
      <c r="DH242" s="2250"/>
      <c r="DI242" s="2250"/>
      <c r="DJ242" s="2250"/>
      <c r="DK242" s="2250"/>
      <c r="DL242" s="2250"/>
      <c r="DM242" s="2250"/>
      <c r="DN242" s="2250"/>
      <c r="DO242" s="2250"/>
      <c r="DP242" s="2250"/>
      <c r="DQ242" s="2277"/>
      <c r="DR242" s="2277"/>
      <c r="DS242" s="2278"/>
      <c r="DT242" s="2250"/>
      <c r="DU242" s="2250"/>
      <c r="DV242" s="2250"/>
      <c r="DW242" s="2250"/>
      <c r="DX242" s="2275"/>
      <c r="DY242" s="2275"/>
      <c r="DZ242" s="2276" t="str">
        <f>IF(DZ240=FE238,IF(DZ241=FF238,"Right","Wrong"))</f>
        <v>Right</v>
      </c>
      <c r="EA242" s="2276">
        <f>VLOOKUP(EA241,EA224:FB234,28,0)</f>
        <v>775</v>
      </c>
      <c r="EB242" s="2276">
        <f>VLOOKUP(EB241,EB224:FB234,27,0)</f>
        <v>775</v>
      </c>
      <c r="EC242" s="2276">
        <f>VLOOKUP(EC241,EC224:FB234,26,0)</f>
        <v>650</v>
      </c>
      <c r="ED242" s="2276">
        <f>VLOOKUP(ED241,ED224:FB234,25,0)</f>
        <v>650</v>
      </c>
      <c r="EE242" s="2276">
        <f>VLOOKUP(EE241,EE224:FB234,24,0)</f>
        <v>650</v>
      </c>
      <c r="EF242" s="2276">
        <f>VLOOKUP(EF241,EF224:FB234,23,0)</f>
        <v>650</v>
      </c>
      <c r="EG242" s="2276">
        <f>VLOOKUP(EG241,EG224:FB234,22,0)</f>
        <v>650</v>
      </c>
      <c r="EH242" s="2276">
        <f>VLOOKUP(EH241,EH224:FB234,21,0)</f>
        <v>650</v>
      </c>
      <c r="EI242" s="2276">
        <f>VLOOKUP(EI241,EI224:FB234,20,0)</f>
        <v>650</v>
      </c>
      <c r="EJ242" s="2276">
        <f>VLOOKUP(EJ241,EJ224:FB234,19,0)</f>
        <v>650</v>
      </c>
      <c r="EK242" s="2276">
        <f>VLOOKUP(EK241,EK224:FB234,18,0)</f>
        <v>650</v>
      </c>
      <c r="EL242" s="2276">
        <f>VLOOKUP(EL241,EL224:FB234,17,0)</f>
        <v>550</v>
      </c>
      <c r="EM242" s="2276">
        <f>VLOOKUP(EM241,EM224:FB234,16,0)</f>
        <v>550</v>
      </c>
      <c r="EN242" s="2276">
        <f>VLOOKUP(EN241,EN224:FB256,15,0)</f>
        <v>550</v>
      </c>
      <c r="EO242" s="2276">
        <f>VLOOKUP(EO241,EO224:FB234,14,0)</f>
        <v>550</v>
      </c>
      <c r="EP242" s="2276">
        <f>VLOOKUP(EP241,EP224:FB234,13,0)</f>
        <v>550</v>
      </c>
      <c r="EQ242" s="2276">
        <f>VLOOKUP(EQ241,EQ224:FB234,12,0)</f>
        <v>550</v>
      </c>
      <c r="ER242" s="2276">
        <f>VLOOKUP(ER241,ER224:FB234,11,0)</f>
        <v>550</v>
      </c>
      <c r="ES242" s="2276">
        <f>VLOOKUP(ES241,ES224:FB234,10,0)</f>
        <v>550</v>
      </c>
      <c r="ET242" s="2276">
        <f>VLOOKUP(ET241,ET224:FB234,9,0)</f>
        <v>550</v>
      </c>
      <c r="EU242" s="2276">
        <f>VLOOKUP(EU241,EU224:FB234,8,0)</f>
        <v>550</v>
      </c>
      <c r="EV242" s="2276">
        <f>VLOOKUP(EV241,EV224:FB234,7,0)</f>
        <v>475</v>
      </c>
      <c r="EW242" s="2276">
        <f>VLOOKUP(EW241,EW224:FB234,6,0)</f>
        <v>475</v>
      </c>
      <c r="EX242" s="2276">
        <f>VLOOKUP(EX241,EX224:FB234,5,0)</f>
        <v>475</v>
      </c>
      <c r="EY242" s="2276">
        <f>VLOOKUP(EY241,EY224:FB234,4,0)</f>
        <v>475</v>
      </c>
      <c r="EZ242" s="2276">
        <f>VLOOKUP(EZ241,EZ224:FB234,3,0)</f>
        <v>475</v>
      </c>
      <c r="FA242" s="2276">
        <f>VLOOKUP(FA241,FA224:FB234,2,0)</f>
        <v>400</v>
      </c>
      <c r="FB242" s="2275"/>
      <c r="FC242" s="2275"/>
      <c r="FD242" s="2275"/>
      <c r="FE242" s="2275"/>
      <c r="FF242" s="2275"/>
      <c r="FG242" s="2275"/>
      <c r="FH242" s="2275"/>
      <c r="FI242" s="2275"/>
      <c r="FJ242" s="2275"/>
      <c r="FK242" s="2275"/>
      <c r="FL242" s="2275"/>
      <c r="FM242" s="2250"/>
      <c r="FN242" s="2250"/>
      <c r="FO242" s="2250"/>
      <c r="FP242" s="2250"/>
      <c r="FQ242" s="2250"/>
      <c r="FR242" s="2250"/>
      <c r="FS242" s="2250"/>
      <c r="FT242" s="2250"/>
      <c r="FU242" s="2250"/>
      <c r="FV242" s="2250"/>
      <c r="FW242" s="2250"/>
      <c r="FX242" s="2250"/>
      <c r="FY242" s="2250"/>
      <c r="FZ242" s="2250"/>
      <c r="GA242" s="2250"/>
      <c r="GB242" s="2250"/>
      <c r="GC242" s="2276"/>
      <c r="GD242" s="2276"/>
      <c r="GE242" s="2250"/>
      <c r="GF242" s="2275"/>
      <c r="GG242" s="2275"/>
      <c r="GH242" s="2276" t="str">
        <f>IF(GH240=HM238,IF(GH241=HN238,"Right","Wrong"))</f>
        <v>Right</v>
      </c>
      <c r="GI242" s="2276">
        <f>VLOOKUP(GI241,GI224:HJ234,28,0)</f>
        <v>775</v>
      </c>
      <c r="GJ242" s="2276">
        <f>VLOOKUP(GJ241,GJ224:HJ234,27,0)</f>
        <v>775</v>
      </c>
      <c r="GK242" s="2276">
        <f>VLOOKUP(GK241,GK224:HJ234,26,0)</f>
        <v>650</v>
      </c>
      <c r="GL242" s="2276">
        <f>VLOOKUP(GL241,GL224:HJ234,25,0)</f>
        <v>650</v>
      </c>
      <c r="GM242" s="2276">
        <f>VLOOKUP(GM241,GM224:HJ234,24,0)</f>
        <v>650</v>
      </c>
      <c r="GN242" s="2276">
        <f>VLOOKUP(GN241,GN224:HJ234,23,0)</f>
        <v>650</v>
      </c>
      <c r="GO242" s="2276">
        <f>VLOOKUP(GO241,GO224:HJ234,22,0)</f>
        <v>650</v>
      </c>
      <c r="GP242" s="2276">
        <f>VLOOKUP(GP241,GP224:HJ234,21,0)</f>
        <v>650</v>
      </c>
      <c r="GQ242" s="2276">
        <f>VLOOKUP(GQ241,GQ224:HJ234,20,0)</f>
        <v>650</v>
      </c>
      <c r="GR242" s="2276">
        <f>VLOOKUP(GR241,GR224:HJ234,19,0)</f>
        <v>650</v>
      </c>
      <c r="GS242" s="2276">
        <f>VLOOKUP(GS241,GS224:HJ234,18,0)</f>
        <v>650</v>
      </c>
      <c r="GT242" s="2276">
        <f>VLOOKUP(GT241,GT224:HJ234,17,0)</f>
        <v>550</v>
      </c>
      <c r="GU242" s="2276">
        <f>VLOOKUP(GU241,GU224:HJ234,16,0)</f>
        <v>550</v>
      </c>
      <c r="GV242" s="2276">
        <f>VLOOKUP(GV241,GV224:HJ256,15,0)</f>
        <v>550</v>
      </c>
      <c r="GW242" s="2276">
        <f>VLOOKUP(GW241,GW224:HJ234,14,0)</f>
        <v>550</v>
      </c>
      <c r="GX242" s="2276">
        <f>VLOOKUP(GX241,GX224:HJ234,13,0)</f>
        <v>550</v>
      </c>
      <c r="GY242" s="2276">
        <f>VLOOKUP(GY241,GY224:HJ234,12,0)</f>
        <v>550</v>
      </c>
      <c r="GZ242" s="2276">
        <f>VLOOKUP(GZ241,GZ224:HJ234,11,0)</f>
        <v>550</v>
      </c>
      <c r="HA242" s="2276">
        <f>VLOOKUP(HA241,HA224:HJ234,10,0)</f>
        <v>550</v>
      </c>
      <c r="HB242" s="2276">
        <f>VLOOKUP(HB241,HB224:HJ234,9,0)</f>
        <v>550</v>
      </c>
      <c r="HC242" s="2276">
        <f>VLOOKUP(HC241,HC224:HJ234,8,0)</f>
        <v>550</v>
      </c>
      <c r="HD242" s="2276">
        <f>VLOOKUP(HD241,HD224:HJ234,7,0)</f>
        <v>475</v>
      </c>
      <c r="HE242" s="2276">
        <f>VLOOKUP(HE241,HE224:HJ234,6,0)</f>
        <v>475</v>
      </c>
      <c r="HF242" s="2276">
        <f>VLOOKUP(HF241,HF224:HJ234,5,0)</f>
        <v>475</v>
      </c>
      <c r="HG242" s="2276">
        <f>VLOOKUP(HG241,HG224:HJ234,4,0)</f>
        <v>475</v>
      </c>
      <c r="HH242" s="2276">
        <f>VLOOKUP(HH241,HH224:HJ234,3,0)</f>
        <v>475</v>
      </c>
      <c r="HI242" s="2276">
        <f>VLOOKUP(HI241,HI224:HJ234,2,0)</f>
        <v>400</v>
      </c>
      <c r="HJ242" s="2275"/>
      <c r="HK242" s="2275"/>
      <c r="HL242" s="2275"/>
      <c r="HM242" s="2275"/>
      <c r="HN242" s="2275"/>
      <c r="HO242" s="2275"/>
      <c r="HP242" s="2275"/>
      <c r="HQ242" s="2275"/>
      <c r="HR242" s="2275"/>
      <c r="HS242" s="2275"/>
      <c r="HT242" s="2275"/>
      <c r="HU242" s="2250"/>
      <c r="HV242" s="2250"/>
      <c r="HW242" s="2250"/>
      <c r="HX242" s="2250"/>
      <c r="HY242" s="2250"/>
      <c r="HZ242" s="2250"/>
      <c r="IA242" s="2250"/>
      <c r="IB242" s="2250"/>
      <c r="IC242" s="2250"/>
      <c r="ID242" s="2250"/>
      <c r="IE242" s="2250"/>
      <c r="IF242" s="2250"/>
      <c r="IG242" s="2250"/>
      <c r="IH242" s="2250"/>
      <c r="II242" s="2250"/>
      <c r="IJ242" s="2250"/>
      <c r="IK242" s="2250"/>
      <c r="IL242" s="2250"/>
    </row>
    <row r="243" spans="1:246" ht="21.95" customHeight="1">
      <c r="A243" s="2275"/>
      <c r="B243" s="2333" t="s">
        <v>731</v>
      </c>
      <c r="C243" s="2333" t="s">
        <v>736</v>
      </c>
      <c r="D243" s="2333">
        <v>223.8</v>
      </c>
      <c r="E243" s="2333">
        <v>206.43</v>
      </c>
      <c r="F243" s="2333">
        <v>190.4</v>
      </c>
      <c r="G243" s="2333">
        <v>177.81</v>
      </c>
      <c r="H243" s="2333">
        <v>165.9</v>
      </c>
      <c r="I243" s="2333">
        <v>162.68</v>
      </c>
      <c r="J243" s="2333">
        <v>151.30000000000001</v>
      </c>
      <c r="K243" s="2333">
        <v>140.1</v>
      </c>
      <c r="L243" s="2333">
        <v>129.80000000000001</v>
      </c>
      <c r="M243" s="2333">
        <v>120.7</v>
      </c>
      <c r="N243" s="2333">
        <v>107.9</v>
      </c>
      <c r="O243" s="2333">
        <v>97.1</v>
      </c>
      <c r="P243" s="2333">
        <v>92.9</v>
      </c>
      <c r="Q243" s="2333">
        <v>88.2</v>
      </c>
      <c r="R243" s="2333">
        <v>83.3</v>
      </c>
      <c r="S243" s="2333">
        <v>78.2</v>
      </c>
      <c r="T243" s="2333">
        <v>73.7</v>
      </c>
      <c r="U243" s="2333">
        <v>68.3</v>
      </c>
      <c r="V243" s="2333">
        <v>63.4</v>
      </c>
      <c r="W243" s="2333">
        <v>58.1</v>
      </c>
      <c r="X243" s="2333">
        <v>53.7</v>
      </c>
      <c r="Y243" s="2333">
        <v>48.8</v>
      </c>
      <c r="Z243" s="2333">
        <v>43.9</v>
      </c>
      <c r="AA243" s="2333">
        <v>38.799999999999997</v>
      </c>
      <c r="AB243" s="2333">
        <v>34.200000000000003</v>
      </c>
      <c r="AC243" s="2333">
        <v>29.3</v>
      </c>
      <c r="AD243" s="2333">
        <v>24.5</v>
      </c>
      <c r="AE243" s="2333" t="s">
        <v>736</v>
      </c>
      <c r="AF243" s="2275" t="s">
        <v>738</v>
      </c>
      <c r="AG243" s="2276">
        <f>AG221</f>
        <v>19.915970774546171</v>
      </c>
      <c r="AH243" s="2275"/>
      <c r="AI243" s="2275"/>
      <c r="AJ243" s="2275"/>
      <c r="AK243" s="2275"/>
      <c r="AL243" s="2275"/>
      <c r="AM243" s="2275"/>
      <c r="AN243" s="2275"/>
      <c r="AO243" s="2275"/>
      <c r="AP243" s="2250"/>
      <c r="AQ243" s="2250"/>
      <c r="AR243" s="2250"/>
      <c r="AS243" s="2250"/>
      <c r="AT243" s="2250"/>
      <c r="AU243" s="2250"/>
      <c r="AV243" s="2250"/>
      <c r="AW243" s="2250"/>
      <c r="AX243" s="2250"/>
      <c r="AY243" s="2250"/>
      <c r="AZ243" s="2250"/>
      <c r="BA243" s="2250"/>
      <c r="BB243" s="2250"/>
      <c r="BC243" s="2250"/>
      <c r="BD243" s="2250"/>
      <c r="BE243" s="2250"/>
      <c r="BF243" s="2276"/>
      <c r="BG243" s="2276"/>
      <c r="BH243" s="2250"/>
      <c r="BI243" s="2275"/>
      <c r="BJ243" s="2333" t="s">
        <v>731</v>
      </c>
      <c r="BK243" s="2333" t="s">
        <v>736</v>
      </c>
      <c r="BL243" s="2333">
        <v>223.8</v>
      </c>
      <c r="BM243" s="2333">
        <v>206.43</v>
      </c>
      <c r="BN243" s="2333">
        <v>190.4</v>
      </c>
      <c r="BO243" s="2333">
        <v>177.81</v>
      </c>
      <c r="BP243" s="2333">
        <v>165.9</v>
      </c>
      <c r="BQ243" s="2333">
        <v>162.68</v>
      </c>
      <c r="BR243" s="2333">
        <v>151.30000000000001</v>
      </c>
      <c r="BS243" s="2333">
        <v>140.1</v>
      </c>
      <c r="BT243" s="2333">
        <v>129.80000000000001</v>
      </c>
      <c r="BU243" s="2333">
        <v>120.7</v>
      </c>
      <c r="BV243" s="2333">
        <v>107.9</v>
      </c>
      <c r="BW243" s="2333">
        <v>97.1</v>
      </c>
      <c r="BX243" s="2333">
        <v>92.9</v>
      </c>
      <c r="BY243" s="2333">
        <v>88.2</v>
      </c>
      <c r="BZ243" s="2333">
        <v>83.3</v>
      </c>
      <c r="CA243" s="2333">
        <v>78.2</v>
      </c>
      <c r="CB243" s="2333">
        <v>73.7</v>
      </c>
      <c r="CC243" s="2333">
        <v>68.3</v>
      </c>
      <c r="CD243" s="2333">
        <v>63.4</v>
      </c>
      <c r="CE243" s="2333">
        <v>58.1</v>
      </c>
      <c r="CF243" s="2333">
        <v>53.7</v>
      </c>
      <c r="CG243" s="2333">
        <v>48.8</v>
      </c>
      <c r="CH243" s="2333">
        <v>43.9</v>
      </c>
      <c r="CI243" s="2333">
        <v>38.799999999999997</v>
      </c>
      <c r="CJ243" s="2333">
        <v>34.200000000000003</v>
      </c>
      <c r="CK243" s="2333">
        <v>29.3</v>
      </c>
      <c r="CL243" s="2333">
        <v>24.5</v>
      </c>
      <c r="CM243" s="2333" t="s">
        <v>736</v>
      </c>
      <c r="CN243" s="2275" t="s">
        <v>738</v>
      </c>
      <c r="CO243" s="2276">
        <f>CO221</f>
        <v>19.915970774546171</v>
      </c>
      <c r="CP243" s="2275"/>
      <c r="CQ243" s="2275"/>
      <c r="CR243" s="2275"/>
      <c r="CS243" s="2275"/>
      <c r="CT243" s="2275"/>
      <c r="CU243" s="2275"/>
      <c r="CV243" s="2275"/>
      <c r="CW243" s="2275"/>
      <c r="CX243" s="2250"/>
      <c r="CY243" s="2250"/>
      <c r="CZ243" s="2250"/>
      <c r="DA243" s="2250"/>
      <c r="DB243" s="2250"/>
      <c r="DC243" s="2250"/>
      <c r="DD243" s="2250"/>
      <c r="DE243" s="2250"/>
      <c r="DF243" s="2250"/>
      <c r="DG243" s="2250"/>
      <c r="DH243" s="2250"/>
      <c r="DI243" s="2250"/>
      <c r="DJ243" s="2250"/>
      <c r="DK243" s="2250"/>
      <c r="DL243" s="2250"/>
      <c r="DM243" s="2250"/>
      <c r="DN243" s="2250"/>
      <c r="DO243" s="2250"/>
      <c r="DP243" s="2250"/>
      <c r="DQ243" s="2277"/>
      <c r="DR243" s="2277"/>
      <c r="DS243" s="2278"/>
      <c r="DT243" s="2250"/>
      <c r="DU243" s="2250"/>
      <c r="DV243" s="2250"/>
      <c r="DW243" s="2250"/>
      <c r="DX243" s="2275"/>
      <c r="DY243" s="2275"/>
      <c r="DZ243" s="2275"/>
      <c r="EA243" s="2275"/>
      <c r="EB243" s="2275"/>
      <c r="EC243" s="2275"/>
      <c r="ED243" s="2275"/>
      <c r="EE243" s="2275"/>
      <c r="EF243" s="2275"/>
      <c r="EG243" s="2275"/>
      <c r="EH243" s="2275"/>
      <c r="EI243" s="2275"/>
      <c r="EJ243" s="2275"/>
      <c r="EK243" s="2275"/>
      <c r="EL243" s="2275"/>
      <c r="EM243" s="2275"/>
      <c r="EN243" s="2275"/>
      <c r="EO243" s="2275"/>
      <c r="EP243" s="2275"/>
      <c r="EQ243" s="2275"/>
      <c r="ER243" s="2275"/>
      <c r="ES243" s="2275"/>
      <c r="ET243" s="2275"/>
      <c r="EU243" s="2275"/>
      <c r="EV243" s="2275"/>
      <c r="EW243" s="2275"/>
      <c r="EX243" s="2275"/>
      <c r="EY243" s="2275"/>
      <c r="EZ243" s="2275"/>
      <c r="FA243" s="2275"/>
      <c r="FB243" s="2275"/>
      <c r="FC243" s="2275" t="s">
        <v>655</v>
      </c>
      <c r="FD243" s="2276">
        <f>FD221</f>
        <v>120.7</v>
      </c>
      <c r="FE243" s="2275"/>
      <c r="FF243" s="2275"/>
      <c r="FG243" s="2275"/>
      <c r="FH243" s="2275"/>
      <c r="FI243" s="2275"/>
      <c r="FJ243" s="2275"/>
      <c r="FK243" s="2275"/>
      <c r="FL243" s="2275"/>
      <c r="FM243" s="2250"/>
      <c r="FN243" s="2250"/>
      <c r="FO243" s="2250"/>
      <c r="FP243" s="2250"/>
      <c r="FQ243" s="2250"/>
      <c r="FR243" s="2250"/>
      <c r="FS243" s="2250"/>
      <c r="FT243" s="2250"/>
      <c r="FU243" s="2250"/>
      <c r="FV243" s="2250"/>
      <c r="FW243" s="2250"/>
      <c r="FX243" s="2250"/>
      <c r="FY243" s="2250"/>
      <c r="FZ243" s="2250"/>
      <c r="GA243" s="2250"/>
      <c r="GB243" s="2250"/>
      <c r="GC243" s="2276"/>
      <c r="GD243" s="2276"/>
      <c r="GE243" s="2250"/>
      <c r="GF243" s="2275"/>
      <c r="GG243" s="2275"/>
      <c r="GH243" s="2275"/>
      <c r="GI243" s="2275"/>
      <c r="GJ243" s="2275"/>
      <c r="GK243" s="2275"/>
      <c r="GL243" s="2275"/>
      <c r="GM243" s="2275"/>
      <c r="GN243" s="2275"/>
      <c r="GO243" s="2275"/>
      <c r="GP243" s="2275"/>
      <c r="GQ243" s="2275"/>
      <c r="GR243" s="2275"/>
      <c r="GS243" s="2275"/>
      <c r="GT243" s="2275"/>
      <c r="GU243" s="2275"/>
      <c r="GV243" s="2275"/>
      <c r="GW243" s="2275"/>
      <c r="GX243" s="2275"/>
      <c r="GY243" s="2275"/>
      <c r="GZ243" s="2275"/>
      <c r="HA243" s="2275"/>
      <c r="HB243" s="2275"/>
      <c r="HC243" s="2275"/>
      <c r="HD243" s="2275"/>
      <c r="HE243" s="2275"/>
      <c r="HF243" s="2275"/>
      <c r="HG243" s="2275"/>
      <c r="HH243" s="2275"/>
      <c r="HI243" s="2275"/>
      <c r="HJ243" s="2275"/>
      <c r="HK243" s="2275" t="s">
        <v>655</v>
      </c>
      <c r="HL243" s="2276">
        <f>HL221</f>
        <v>129.80000000000001</v>
      </c>
      <c r="HM243" s="2275"/>
      <c r="HN243" s="2275"/>
      <c r="HO243" s="2275"/>
      <c r="HP243" s="2275"/>
      <c r="HQ243" s="2275"/>
      <c r="HR243" s="2275"/>
      <c r="HS243" s="2275"/>
      <c r="HT243" s="2275"/>
      <c r="HU243" s="2250"/>
      <c r="HV243" s="2250"/>
      <c r="HW243" s="2250"/>
      <c r="HX243" s="2250"/>
      <c r="HY243" s="2250"/>
      <c r="HZ243" s="2250"/>
      <c r="IA243" s="2250"/>
      <c r="IB243" s="2250"/>
      <c r="IC243" s="2250"/>
      <c r="ID243" s="2250"/>
      <c r="IE243" s="2250"/>
      <c r="IF243" s="2250"/>
      <c r="IG243" s="2250"/>
      <c r="IH243" s="2250"/>
      <c r="II243" s="2250"/>
      <c r="IJ243" s="2250"/>
      <c r="IK243" s="2250"/>
      <c r="IL243" s="2250"/>
    </row>
    <row r="244" spans="1:246" ht="21.95" customHeight="1">
      <c r="A244" s="2275"/>
      <c r="B244" s="2333"/>
      <c r="C244" s="2333"/>
      <c r="D244" s="2344">
        <v>0</v>
      </c>
      <c r="E244" s="2344">
        <v>0</v>
      </c>
      <c r="F244" s="2344">
        <v>0</v>
      </c>
      <c r="G244" s="2344">
        <v>0</v>
      </c>
      <c r="H244" s="2344">
        <v>0</v>
      </c>
      <c r="I244" s="2344">
        <v>0</v>
      </c>
      <c r="J244" s="2344">
        <v>0</v>
      </c>
      <c r="K244" s="2344">
        <v>0</v>
      </c>
      <c r="L244" s="2344">
        <v>0</v>
      </c>
      <c r="M244" s="2344">
        <v>0</v>
      </c>
      <c r="N244" s="2344">
        <v>0</v>
      </c>
      <c r="O244" s="2344">
        <v>0</v>
      </c>
      <c r="P244" s="2344">
        <v>0</v>
      </c>
      <c r="Q244" s="2344">
        <v>0</v>
      </c>
      <c r="R244" s="2344">
        <v>0</v>
      </c>
      <c r="S244" s="2344">
        <v>0</v>
      </c>
      <c r="T244" s="2344">
        <v>0</v>
      </c>
      <c r="U244" s="2344">
        <v>0</v>
      </c>
      <c r="V244" s="2344">
        <v>0</v>
      </c>
      <c r="W244" s="2344">
        <v>0</v>
      </c>
      <c r="X244" s="2344">
        <v>0</v>
      </c>
      <c r="Y244" s="2344">
        <v>0</v>
      </c>
      <c r="Z244" s="2344">
        <v>0</v>
      </c>
      <c r="AA244" s="2344">
        <v>0</v>
      </c>
      <c r="AB244" s="2344">
        <v>0</v>
      </c>
      <c r="AC244" s="2344">
        <v>0</v>
      </c>
      <c r="AD244" s="2344">
        <v>0</v>
      </c>
      <c r="AE244" s="2333"/>
      <c r="AF244" s="2275" t="s">
        <v>682</v>
      </c>
      <c r="AG244" s="2276">
        <f>HLOOKUP(AG242,D243:AD255,1,0)</f>
        <v>190.4</v>
      </c>
      <c r="AH244" s="2275" t="s">
        <v>706</v>
      </c>
      <c r="AI244" s="2275" t="s">
        <v>682</v>
      </c>
      <c r="AJ244" s="2275"/>
      <c r="AK244" s="2275"/>
      <c r="AL244" s="2275"/>
      <c r="AM244" s="2275"/>
      <c r="AN244" s="2275"/>
      <c r="AO244" s="2275"/>
      <c r="AP244" s="2250"/>
      <c r="AQ244" s="2250"/>
      <c r="AR244" s="2250"/>
      <c r="AS244" s="2250"/>
      <c r="AT244" s="2250"/>
      <c r="AU244" s="2250"/>
      <c r="AV244" s="2250"/>
      <c r="AW244" s="2250"/>
      <c r="AX244" s="2250"/>
      <c r="AY244" s="2250"/>
      <c r="AZ244" s="2250"/>
      <c r="BA244" s="2250"/>
      <c r="BB244" s="2250"/>
      <c r="BC244" s="2250"/>
      <c r="BD244" s="2250"/>
      <c r="BE244" s="2250"/>
      <c r="BF244" s="2276"/>
      <c r="BG244" s="2276"/>
      <c r="BH244" s="2250"/>
      <c r="BI244" s="2275"/>
      <c r="BJ244" s="2333"/>
      <c r="BK244" s="2333"/>
      <c r="BL244" s="2344">
        <v>0</v>
      </c>
      <c r="BM244" s="2344">
        <v>0</v>
      </c>
      <c r="BN244" s="2344">
        <v>0</v>
      </c>
      <c r="BO244" s="2344">
        <v>0</v>
      </c>
      <c r="BP244" s="2344">
        <v>0</v>
      </c>
      <c r="BQ244" s="2344">
        <v>0</v>
      </c>
      <c r="BR244" s="2344">
        <v>0</v>
      </c>
      <c r="BS244" s="2344">
        <v>0</v>
      </c>
      <c r="BT244" s="2344">
        <v>0</v>
      </c>
      <c r="BU244" s="2344">
        <v>0</v>
      </c>
      <c r="BV244" s="2344">
        <v>0</v>
      </c>
      <c r="BW244" s="2344">
        <v>0</v>
      </c>
      <c r="BX244" s="2344">
        <v>0</v>
      </c>
      <c r="BY244" s="2344">
        <v>0</v>
      </c>
      <c r="BZ244" s="2344">
        <v>0</v>
      </c>
      <c r="CA244" s="2344">
        <v>0</v>
      </c>
      <c r="CB244" s="2344">
        <v>0</v>
      </c>
      <c r="CC244" s="2344">
        <v>0</v>
      </c>
      <c r="CD244" s="2344">
        <v>0</v>
      </c>
      <c r="CE244" s="2344">
        <v>0</v>
      </c>
      <c r="CF244" s="2344">
        <v>0</v>
      </c>
      <c r="CG244" s="2344">
        <v>0</v>
      </c>
      <c r="CH244" s="2344">
        <v>0</v>
      </c>
      <c r="CI244" s="2344">
        <v>0</v>
      </c>
      <c r="CJ244" s="2344">
        <v>0</v>
      </c>
      <c r="CK244" s="2344">
        <v>0</v>
      </c>
      <c r="CL244" s="2344">
        <v>0</v>
      </c>
      <c r="CM244" s="2333"/>
      <c r="CN244" s="2275" t="s">
        <v>682</v>
      </c>
      <c r="CO244" s="2276">
        <f>HLOOKUP(CO242,BL243:CL255,1,0)</f>
        <v>206.43</v>
      </c>
      <c r="CP244" s="2275" t="s">
        <v>706</v>
      </c>
      <c r="CQ244" s="2275" t="s">
        <v>682</v>
      </c>
      <c r="CR244" s="2275"/>
      <c r="CS244" s="2275"/>
      <c r="CT244" s="2275"/>
      <c r="CU244" s="2275"/>
      <c r="CV244" s="2275"/>
      <c r="CW244" s="2275"/>
      <c r="CX244" s="2250"/>
      <c r="CY244" s="2250"/>
      <c r="CZ244" s="2250"/>
      <c r="DA244" s="2250"/>
      <c r="DB244" s="2250"/>
      <c r="DC244" s="2250"/>
      <c r="DD244" s="2250"/>
      <c r="DE244" s="2250"/>
      <c r="DF244" s="2250"/>
      <c r="DG244" s="2250"/>
      <c r="DH244" s="2250"/>
      <c r="DI244" s="2250"/>
      <c r="DJ244" s="2250"/>
      <c r="DK244" s="2250"/>
      <c r="DL244" s="2250"/>
      <c r="DM244" s="2250"/>
      <c r="DN244" s="2250"/>
      <c r="DO244" s="2250"/>
      <c r="DP244" s="2250"/>
      <c r="DQ244" s="2277"/>
      <c r="DR244" s="2277"/>
      <c r="DS244" s="2278"/>
      <c r="DT244" s="2250"/>
      <c r="DU244" s="2250"/>
      <c r="DV244" s="2250"/>
      <c r="DW244" s="2250"/>
      <c r="DX244" s="2275"/>
      <c r="DY244" s="2333" t="s">
        <v>731</v>
      </c>
      <c r="DZ244" s="2333" t="s">
        <v>736</v>
      </c>
      <c r="EA244" s="2333">
        <v>223.8</v>
      </c>
      <c r="EB244" s="2333">
        <v>206.43</v>
      </c>
      <c r="EC244" s="2333">
        <v>190.4</v>
      </c>
      <c r="ED244" s="2333">
        <v>177.81</v>
      </c>
      <c r="EE244" s="2333">
        <v>165.9</v>
      </c>
      <c r="EF244" s="2333">
        <v>162.68</v>
      </c>
      <c r="EG244" s="2333">
        <v>151.30000000000001</v>
      </c>
      <c r="EH244" s="2333">
        <v>140.1</v>
      </c>
      <c r="EI244" s="2333">
        <v>129.80000000000001</v>
      </c>
      <c r="EJ244" s="2333">
        <v>120.7</v>
      </c>
      <c r="EK244" s="2333">
        <v>107.9</v>
      </c>
      <c r="EL244" s="2333">
        <v>97.1</v>
      </c>
      <c r="EM244" s="2333">
        <v>92.9</v>
      </c>
      <c r="EN244" s="2333">
        <v>88.2</v>
      </c>
      <c r="EO244" s="2333">
        <v>83.3</v>
      </c>
      <c r="EP244" s="2333">
        <v>78.2</v>
      </c>
      <c r="EQ244" s="2333">
        <v>73.7</v>
      </c>
      <c r="ER244" s="2333">
        <v>68.3</v>
      </c>
      <c r="ES244" s="2333">
        <v>63.4</v>
      </c>
      <c r="ET244" s="2333">
        <v>58.1</v>
      </c>
      <c r="EU244" s="2333">
        <v>53.7</v>
      </c>
      <c r="EV244" s="2333">
        <v>48.8</v>
      </c>
      <c r="EW244" s="2333">
        <v>43.9</v>
      </c>
      <c r="EX244" s="2333">
        <v>38.799999999999997</v>
      </c>
      <c r="EY244" s="2333">
        <v>34.200000000000003</v>
      </c>
      <c r="EZ244" s="2333">
        <v>29.3</v>
      </c>
      <c r="FA244" s="2333">
        <v>24.5</v>
      </c>
      <c r="FB244" s="2333" t="s">
        <v>736</v>
      </c>
      <c r="FC244" s="2275" t="s">
        <v>738</v>
      </c>
      <c r="FD244" s="2276">
        <f>FD222</f>
        <v>19.968225884687833</v>
      </c>
      <c r="FE244" s="2275"/>
      <c r="FF244" s="2275"/>
      <c r="FG244" s="2275"/>
      <c r="FH244" s="2275"/>
      <c r="FI244" s="2275"/>
      <c r="FJ244" s="2275"/>
      <c r="FK244" s="2275"/>
      <c r="FL244" s="2275"/>
      <c r="FM244" s="2250"/>
      <c r="FN244" s="2250"/>
      <c r="FO244" s="2250"/>
      <c r="FP244" s="2250"/>
      <c r="FQ244" s="2250"/>
      <c r="FR244" s="2250"/>
      <c r="FS244" s="2250"/>
      <c r="FT244" s="2250"/>
      <c r="FU244" s="2250"/>
      <c r="FV244" s="2250"/>
      <c r="FW244" s="2250"/>
      <c r="FX244" s="2250"/>
      <c r="FY244" s="2250"/>
      <c r="FZ244" s="2250"/>
      <c r="GA244" s="2250"/>
      <c r="GB244" s="2250"/>
      <c r="GC244" s="2276"/>
      <c r="GD244" s="2276"/>
      <c r="GE244" s="2250"/>
      <c r="GF244" s="2275"/>
      <c r="GG244" s="2333" t="s">
        <v>731</v>
      </c>
      <c r="GH244" s="2333" t="s">
        <v>736</v>
      </c>
      <c r="GI244" s="2333">
        <v>223.8</v>
      </c>
      <c r="GJ244" s="2333">
        <v>206.43</v>
      </c>
      <c r="GK244" s="2333">
        <v>190.4</v>
      </c>
      <c r="GL244" s="2333">
        <v>177.81</v>
      </c>
      <c r="GM244" s="2333">
        <v>165.9</v>
      </c>
      <c r="GN244" s="2333">
        <v>162.68</v>
      </c>
      <c r="GO244" s="2333">
        <v>151.30000000000001</v>
      </c>
      <c r="GP244" s="2333">
        <v>140.1</v>
      </c>
      <c r="GQ244" s="2333">
        <v>129.80000000000001</v>
      </c>
      <c r="GR244" s="2333">
        <v>120.7</v>
      </c>
      <c r="GS244" s="2333">
        <v>107.9</v>
      </c>
      <c r="GT244" s="2333">
        <v>97.1</v>
      </c>
      <c r="GU244" s="2333">
        <v>92.9</v>
      </c>
      <c r="GV244" s="2333">
        <v>88.2</v>
      </c>
      <c r="GW244" s="2333">
        <v>83.3</v>
      </c>
      <c r="GX244" s="2333">
        <v>78.2</v>
      </c>
      <c r="GY244" s="2333">
        <v>73.7</v>
      </c>
      <c r="GZ244" s="2333">
        <v>68.3</v>
      </c>
      <c r="HA244" s="2333">
        <v>63.4</v>
      </c>
      <c r="HB244" s="2333">
        <v>58.1</v>
      </c>
      <c r="HC244" s="2333">
        <v>53.7</v>
      </c>
      <c r="HD244" s="2333">
        <v>48.8</v>
      </c>
      <c r="HE244" s="2333">
        <v>43.9</v>
      </c>
      <c r="HF244" s="2333">
        <v>38.799999999999997</v>
      </c>
      <c r="HG244" s="2333">
        <v>34.200000000000003</v>
      </c>
      <c r="HH244" s="2333">
        <v>29.3</v>
      </c>
      <c r="HI244" s="2333">
        <v>24.5</v>
      </c>
      <c r="HJ244" s="2333" t="s">
        <v>736</v>
      </c>
      <c r="HK244" s="2275" t="s">
        <v>738</v>
      </c>
      <c r="HL244" s="2276">
        <f>HL222</f>
        <v>19.968225884687833</v>
      </c>
      <c r="HM244" s="2275"/>
      <c r="HN244" s="2275"/>
      <c r="HO244" s="2275"/>
      <c r="HP244" s="2275"/>
      <c r="HQ244" s="2275"/>
      <c r="HR244" s="2275"/>
      <c r="HS244" s="2275"/>
      <c r="HT244" s="2275"/>
      <c r="HU244" s="2250"/>
      <c r="HV244" s="2250"/>
      <c r="HW244" s="2250"/>
      <c r="HX244" s="2250"/>
      <c r="HY244" s="2250"/>
      <c r="HZ244" s="2250"/>
      <c r="IA244" s="2250"/>
      <c r="IB244" s="2250"/>
      <c r="IC244" s="2250"/>
      <c r="ID244" s="2250"/>
      <c r="IE244" s="2250"/>
      <c r="IF244" s="2250"/>
      <c r="IG244" s="2250"/>
      <c r="IH244" s="2250"/>
      <c r="II244" s="2250"/>
      <c r="IJ244" s="2250"/>
      <c r="IK244" s="2250"/>
      <c r="IL244" s="2250"/>
    </row>
    <row r="245" spans="1:246" ht="21.95" customHeight="1">
      <c r="A245" s="2275"/>
      <c r="B245" s="4670" t="s">
        <v>733</v>
      </c>
      <c r="C245" s="2345">
        <v>400</v>
      </c>
      <c r="D245" s="2346">
        <v>2.57</v>
      </c>
      <c r="E245" s="2346">
        <v>2.77</v>
      </c>
      <c r="F245" s="2346">
        <v>2.97</v>
      </c>
      <c r="G245" s="2346">
        <v>3.17</v>
      </c>
      <c r="H245" s="2346">
        <v>3.37</v>
      </c>
      <c r="I245" s="2346">
        <v>3.47</v>
      </c>
      <c r="J245" s="2346">
        <v>3.66</v>
      </c>
      <c r="K245" s="2346">
        <v>3.96</v>
      </c>
      <c r="L245" s="2346">
        <v>4.26</v>
      </c>
      <c r="M245" s="2346">
        <v>4.46</v>
      </c>
      <c r="N245" s="2346">
        <v>4.95</v>
      </c>
      <c r="O245" s="2346">
        <v>5.35</v>
      </c>
      <c r="P245" s="2346">
        <v>5.54</v>
      </c>
      <c r="Q245" s="2346">
        <v>5.84</v>
      </c>
      <c r="R245" s="2346">
        <v>6.14</v>
      </c>
      <c r="S245" s="2346">
        <v>6.34</v>
      </c>
      <c r="T245" s="2346">
        <v>6.73</v>
      </c>
      <c r="U245" s="2346">
        <v>7.33</v>
      </c>
      <c r="V245" s="2346">
        <v>7.82</v>
      </c>
      <c r="W245" s="2346">
        <v>8.42</v>
      </c>
      <c r="X245" s="2346">
        <v>8.91</v>
      </c>
      <c r="Y245" s="2346">
        <v>9.8000000000000007</v>
      </c>
      <c r="Z245" s="2346">
        <v>10.79</v>
      </c>
      <c r="AA245" s="2346">
        <v>11.88</v>
      </c>
      <c r="AB245" s="2346">
        <v>13.47</v>
      </c>
      <c r="AC245" s="2346">
        <v>14.46</v>
      </c>
      <c r="AD245" s="2346">
        <v>16.73</v>
      </c>
      <c r="AE245" s="2347">
        <v>400</v>
      </c>
      <c r="AF245" s="2275"/>
      <c r="AG245" s="4671"/>
      <c r="AH245" s="4671"/>
      <c r="AI245" s="4671"/>
      <c r="AJ245" s="2275"/>
      <c r="AK245" s="2275"/>
      <c r="AL245" s="2275"/>
      <c r="AM245" s="2275"/>
      <c r="AN245" s="2275"/>
      <c r="AO245" s="2275"/>
      <c r="AP245" s="2250"/>
      <c r="AQ245" s="2250"/>
      <c r="AR245" s="2250"/>
      <c r="AS245" s="2250"/>
      <c r="AT245" s="2250"/>
      <c r="AU245" s="2250"/>
      <c r="AV245" s="2250"/>
      <c r="AW245" s="2250"/>
      <c r="AX245" s="2250"/>
      <c r="AY245" s="2250"/>
      <c r="AZ245" s="2250"/>
      <c r="BA245" s="2250"/>
      <c r="BB245" s="2250"/>
      <c r="BC245" s="2250"/>
      <c r="BD245" s="2250"/>
      <c r="BE245" s="2250"/>
      <c r="BF245" s="2276"/>
      <c r="BG245" s="2276"/>
      <c r="BH245" s="2250"/>
      <c r="BI245" s="2275"/>
      <c r="BJ245" s="4670" t="s">
        <v>733</v>
      </c>
      <c r="BK245" s="2345">
        <v>400</v>
      </c>
      <c r="BL245" s="2346">
        <v>2.57</v>
      </c>
      <c r="BM245" s="2346">
        <v>2.77</v>
      </c>
      <c r="BN245" s="2346">
        <v>2.97</v>
      </c>
      <c r="BO245" s="2346">
        <v>3.17</v>
      </c>
      <c r="BP245" s="2346">
        <v>3.37</v>
      </c>
      <c r="BQ245" s="2346">
        <v>3.47</v>
      </c>
      <c r="BR245" s="2346">
        <v>3.66</v>
      </c>
      <c r="BS245" s="2346">
        <v>3.96</v>
      </c>
      <c r="BT245" s="2346">
        <v>4.26</v>
      </c>
      <c r="BU245" s="2346">
        <v>4.46</v>
      </c>
      <c r="BV245" s="2346">
        <v>4.95</v>
      </c>
      <c r="BW245" s="2346">
        <v>5.35</v>
      </c>
      <c r="BX245" s="2346">
        <v>5.54</v>
      </c>
      <c r="BY245" s="2346">
        <v>5.84</v>
      </c>
      <c r="BZ245" s="2346">
        <v>6.14</v>
      </c>
      <c r="CA245" s="2346">
        <v>6.34</v>
      </c>
      <c r="CB245" s="2346">
        <v>6.73</v>
      </c>
      <c r="CC245" s="2346">
        <v>7.33</v>
      </c>
      <c r="CD245" s="2346">
        <v>7.82</v>
      </c>
      <c r="CE245" s="2346">
        <v>8.42</v>
      </c>
      <c r="CF245" s="2346">
        <v>8.91</v>
      </c>
      <c r="CG245" s="2346">
        <v>9.8000000000000007</v>
      </c>
      <c r="CH245" s="2346">
        <v>10.79</v>
      </c>
      <c r="CI245" s="2346">
        <v>11.88</v>
      </c>
      <c r="CJ245" s="2346">
        <v>13.47</v>
      </c>
      <c r="CK245" s="2346">
        <v>14.46</v>
      </c>
      <c r="CL245" s="2346">
        <v>16.73</v>
      </c>
      <c r="CM245" s="2347">
        <v>400</v>
      </c>
      <c r="CN245" s="2275"/>
      <c r="CO245" s="4671"/>
      <c r="CP245" s="4671"/>
      <c r="CQ245" s="4671"/>
      <c r="CR245" s="2275"/>
      <c r="CS245" s="2275"/>
      <c r="CT245" s="2275"/>
      <c r="CU245" s="2275"/>
      <c r="CV245" s="2275"/>
      <c r="CW245" s="2275"/>
      <c r="CX245" s="2250"/>
      <c r="CY245" s="2250"/>
      <c r="CZ245" s="2250"/>
      <c r="DA245" s="2250"/>
      <c r="DB245" s="2250"/>
      <c r="DC245" s="2250"/>
      <c r="DD245" s="2250"/>
      <c r="DE245" s="2250"/>
      <c r="DF245" s="2250"/>
      <c r="DG245" s="2250"/>
      <c r="DH245" s="2250"/>
      <c r="DI245" s="2250"/>
      <c r="DJ245" s="2250"/>
      <c r="DK245" s="2250"/>
      <c r="DL245" s="2250"/>
      <c r="DM245" s="2250"/>
      <c r="DN245" s="2250"/>
      <c r="DO245" s="2250"/>
      <c r="DP245" s="2250"/>
      <c r="DQ245" s="2277"/>
      <c r="DR245" s="2277"/>
      <c r="DS245" s="2278"/>
      <c r="DT245" s="2250"/>
      <c r="DU245" s="2250"/>
      <c r="DV245" s="2250"/>
      <c r="DW245" s="2250"/>
      <c r="DX245" s="2275"/>
      <c r="DY245" s="2333"/>
      <c r="DZ245" s="2333"/>
      <c r="EA245" s="2344">
        <v>0</v>
      </c>
      <c r="EB245" s="2344">
        <v>0</v>
      </c>
      <c r="EC245" s="2344">
        <v>0</v>
      </c>
      <c r="ED245" s="2344">
        <v>0</v>
      </c>
      <c r="EE245" s="2344">
        <v>0</v>
      </c>
      <c r="EF245" s="2344">
        <v>0</v>
      </c>
      <c r="EG245" s="2344">
        <v>0</v>
      </c>
      <c r="EH245" s="2344">
        <v>0</v>
      </c>
      <c r="EI245" s="2344">
        <v>0</v>
      </c>
      <c r="EJ245" s="2344">
        <v>0</v>
      </c>
      <c r="EK245" s="2344">
        <v>0</v>
      </c>
      <c r="EL245" s="2344">
        <v>0</v>
      </c>
      <c r="EM245" s="2344">
        <v>0</v>
      </c>
      <c r="EN245" s="2344">
        <v>0</v>
      </c>
      <c r="EO245" s="2344">
        <v>0</v>
      </c>
      <c r="EP245" s="2344">
        <v>0</v>
      </c>
      <c r="EQ245" s="2344">
        <v>0</v>
      </c>
      <c r="ER245" s="2344">
        <v>0</v>
      </c>
      <c r="ES245" s="2344">
        <v>0</v>
      </c>
      <c r="ET245" s="2344">
        <v>0</v>
      </c>
      <c r="EU245" s="2344">
        <v>0</v>
      </c>
      <c r="EV245" s="2344">
        <v>0</v>
      </c>
      <c r="EW245" s="2344">
        <v>0</v>
      </c>
      <c r="EX245" s="2344">
        <v>0</v>
      </c>
      <c r="EY245" s="2344">
        <v>0</v>
      </c>
      <c r="EZ245" s="2344">
        <v>0</v>
      </c>
      <c r="FA245" s="2344">
        <v>0</v>
      </c>
      <c r="FB245" s="2333"/>
      <c r="FC245" s="2275" t="s">
        <v>682</v>
      </c>
      <c r="FD245" s="2276">
        <f>HLOOKUP(FD243,EA244:FA256,1,0)</f>
        <v>120.7</v>
      </c>
      <c r="FE245" s="2275" t="s">
        <v>706</v>
      </c>
      <c r="FF245" s="2275" t="s">
        <v>682</v>
      </c>
      <c r="FG245" s="2275"/>
      <c r="FH245" s="2275"/>
      <c r="FI245" s="2275"/>
      <c r="FJ245" s="2275"/>
      <c r="FK245" s="2275"/>
      <c r="FL245" s="2275"/>
      <c r="FM245" s="2250"/>
      <c r="FN245" s="2250"/>
      <c r="FO245" s="2250"/>
      <c r="FP245" s="2250"/>
      <c r="FQ245" s="2250"/>
      <c r="FR245" s="2250"/>
      <c r="FS245" s="2250"/>
      <c r="FT245" s="2250"/>
      <c r="FU245" s="2250"/>
      <c r="FV245" s="2250"/>
      <c r="FW245" s="2250"/>
      <c r="FX245" s="2250"/>
      <c r="FY245" s="2250"/>
      <c r="FZ245" s="2250"/>
      <c r="GA245" s="2250"/>
      <c r="GB245" s="2250"/>
      <c r="GC245" s="2276"/>
      <c r="GD245" s="2276"/>
      <c r="GE245" s="2250"/>
      <c r="GF245" s="2275"/>
      <c r="GG245" s="2333"/>
      <c r="GH245" s="2333"/>
      <c r="GI245" s="2344">
        <v>0</v>
      </c>
      <c r="GJ245" s="2344">
        <v>0</v>
      </c>
      <c r="GK245" s="2344">
        <v>0</v>
      </c>
      <c r="GL245" s="2344">
        <v>0</v>
      </c>
      <c r="GM245" s="2344">
        <v>0</v>
      </c>
      <c r="GN245" s="2344">
        <v>0</v>
      </c>
      <c r="GO245" s="2344">
        <v>0</v>
      </c>
      <c r="GP245" s="2344">
        <v>0</v>
      </c>
      <c r="GQ245" s="2344">
        <v>0</v>
      </c>
      <c r="GR245" s="2344">
        <v>0</v>
      </c>
      <c r="GS245" s="2344">
        <v>0</v>
      </c>
      <c r="GT245" s="2344">
        <v>0</v>
      </c>
      <c r="GU245" s="2344">
        <v>0</v>
      </c>
      <c r="GV245" s="2344">
        <v>0</v>
      </c>
      <c r="GW245" s="2344">
        <v>0</v>
      </c>
      <c r="GX245" s="2344">
        <v>0</v>
      </c>
      <c r="GY245" s="2344">
        <v>0</v>
      </c>
      <c r="GZ245" s="2344">
        <v>0</v>
      </c>
      <c r="HA245" s="2344">
        <v>0</v>
      </c>
      <c r="HB245" s="2344">
        <v>0</v>
      </c>
      <c r="HC245" s="2344">
        <v>0</v>
      </c>
      <c r="HD245" s="2344">
        <v>0</v>
      </c>
      <c r="HE245" s="2344">
        <v>0</v>
      </c>
      <c r="HF245" s="2344">
        <v>0</v>
      </c>
      <c r="HG245" s="2344">
        <v>0</v>
      </c>
      <c r="HH245" s="2344">
        <v>0</v>
      </c>
      <c r="HI245" s="2344">
        <v>0</v>
      </c>
      <c r="HJ245" s="2333"/>
      <c r="HK245" s="2275" t="s">
        <v>682</v>
      </c>
      <c r="HL245" s="2276">
        <f>HLOOKUP(HL243,GI244:HI256,1,0)</f>
        <v>129.80000000000001</v>
      </c>
      <c r="HM245" s="2275" t="s">
        <v>706</v>
      </c>
      <c r="HN245" s="2275" t="s">
        <v>682</v>
      </c>
      <c r="HO245" s="2275"/>
      <c r="HP245" s="2275"/>
      <c r="HQ245" s="2275"/>
      <c r="HR245" s="2275"/>
      <c r="HS245" s="2275"/>
      <c r="HT245" s="2275"/>
      <c r="HU245" s="2250"/>
      <c r="HV245" s="2250"/>
      <c r="HW245" s="2250"/>
      <c r="HX245" s="2250"/>
      <c r="HY245" s="2250"/>
      <c r="HZ245" s="2250"/>
      <c r="IA245" s="2250"/>
      <c r="IB245" s="2250"/>
      <c r="IC245" s="2250"/>
      <c r="ID245" s="2250"/>
      <c r="IE245" s="2250"/>
      <c r="IF245" s="2250"/>
      <c r="IG245" s="2250"/>
      <c r="IH245" s="2250"/>
      <c r="II245" s="2250"/>
      <c r="IJ245" s="2250"/>
      <c r="IK245" s="2250"/>
      <c r="IL245" s="2250"/>
    </row>
    <row r="246" spans="1:246" ht="21.95" customHeight="1">
      <c r="A246" s="2275"/>
      <c r="B246" s="4670"/>
      <c r="C246" s="2345">
        <v>475</v>
      </c>
      <c r="D246" s="2346">
        <v>3.76</v>
      </c>
      <c r="E246" s="2346">
        <v>4.16</v>
      </c>
      <c r="F246" s="2346">
        <v>4.46</v>
      </c>
      <c r="G246" s="2346">
        <v>4.75</v>
      </c>
      <c r="H246" s="2346">
        <v>5.05</v>
      </c>
      <c r="I246" s="2346">
        <v>5.15</v>
      </c>
      <c r="J246" s="2346">
        <v>5.54</v>
      </c>
      <c r="K246" s="2346">
        <v>5.84</v>
      </c>
      <c r="L246" s="2346">
        <v>6.34</v>
      </c>
      <c r="M246" s="2346">
        <v>6.63</v>
      </c>
      <c r="N246" s="2346">
        <v>7.33</v>
      </c>
      <c r="O246" s="2346">
        <v>8.02</v>
      </c>
      <c r="P246" s="2346">
        <v>8.32</v>
      </c>
      <c r="Q246" s="2346">
        <v>8.7100000000000009</v>
      </c>
      <c r="R246" s="2346">
        <v>9.01</v>
      </c>
      <c r="S246" s="2346">
        <v>9.5</v>
      </c>
      <c r="T246" s="2346">
        <v>10.1</v>
      </c>
      <c r="U246" s="2346">
        <v>10.99</v>
      </c>
      <c r="V246" s="2346">
        <v>11.68</v>
      </c>
      <c r="W246" s="2346">
        <v>12.38</v>
      </c>
      <c r="X246" s="2346">
        <v>13.27</v>
      </c>
      <c r="Y246" s="2346">
        <v>14.65</v>
      </c>
      <c r="Z246" s="2346">
        <v>15.94</v>
      </c>
      <c r="AA246" s="2346">
        <v>17.920000000000002</v>
      </c>
      <c r="AB246" s="2346">
        <v>20.100000000000001</v>
      </c>
      <c r="AC246" s="2346">
        <v>22.87</v>
      </c>
      <c r="AD246" s="2346">
        <v>26.73</v>
      </c>
      <c r="AE246" s="2347">
        <v>475</v>
      </c>
      <c r="AF246" s="2275"/>
      <c r="AG246" s="2276">
        <f>HLOOKUP(AG242,D243:AD255,2,0)</f>
        <v>0</v>
      </c>
      <c r="AH246" s="2276">
        <f t="shared" ref="AH246:AH256" si="256">+AG247</f>
        <v>2.97</v>
      </c>
      <c r="AI246" s="2275">
        <v>400</v>
      </c>
      <c r="AJ246" s="2275"/>
      <c r="AK246" s="2275"/>
      <c r="AL246" s="2275"/>
      <c r="AM246" s="2275"/>
      <c r="AN246" s="2275"/>
      <c r="AO246" s="2275"/>
      <c r="AP246" s="2250"/>
      <c r="AQ246" s="2250"/>
      <c r="AR246" s="2250"/>
      <c r="AS246" s="2250"/>
      <c r="AT246" s="2250"/>
      <c r="AU246" s="2250"/>
      <c r="AV246" s="2250"/>
      <c r="AW246" s="2250"/>
      <c r="AX246" s="2250"/>
      <c r="AY246" s="2250"/>
      <c r="AZ246" s="2250"/>
      <c r="BA246" s="2250"/>
      <c r="BB246" s="2250"/>
      <c r="BC246" s="2250"/>
      <c r="BD246" s="2250"/>
      <c r="BE246" s="2250"/>
      <c r="BF246" s="2276"/>
      <c r="BG246" s="2276"/>
      <c r="BH246" s="2250"/>
      <c r="BI246" s="2275"/>
      <c r="BJ246" s="4670"/>
      <c r="BK246" s="2345">
        <v>475</v>
      </c>
      <c r="BL246" s="2346">
        <v>3.76</v>
      </c>
      <c r="BM246" s="2346">
        <v>4.16</v>
      </c>
      <c r="BN246" s="2346">
        <v>4.46</v>
      </c>
      <c r="BO246" s="2346">
        <v>4.75</v>
      </c>
      <c r="BP246" s="2346">
        <v>5.05</v>
      </c>
      <c r="BQ246" s="2346">
        <v>5.15</v>
      </c>
      <c r="BR246" s="2346">
        <v>5.54</v>
      </c>
      <c r="BS246" s="2346">
        <v>5.84</v>
      </c>
      <c r="BT246" s="2346">
        <v>6.34</v>
      </c>
      <c r="BU246" s="2346">
        <v>6.63</v>
      </c>
      <c r="BV246" s="2346">
        <v>7.33</v>
      </c>
      <c r="BW246" s="2346">
        <v>8.02</v>
      </c>
      <c r="BX246" s="2346">
        <v>8.32</v>
      </c>
      <c r="BY246" s="2346">
        <v>8.7100000000000009</v>
      </c>
      <c r="BZ246" s="2346">
        <v>9.01</v>
      </c>
      <c r="CA246" s="2346">
        <v>9.5</v>
      </c>
      <c r="CB246" s="2346">
        <v>10.1</v>
      </c>
      <c r="CC246" s="2346">
        <v>10.99</v>
      </c>
      <c r="CD246" s="2346">
        <v>11.68</v>
      </c>
      <c r="CE246" s="2346">
        <v>12.38</v>
      </c>
      <c r="CF246" s="2346">
        <v>13.27</v>
      </c>
      <c r="CG246" s="2346">
        <v>14.65</v>
      </c>
      <c r="CH246" s="2346">
        <v>15.94</v>
      </c>
      <c r="CI246" s="2346">
        <v>17.920000000000002</v>
      </c>
      <c r="CJ246" s="2346">
        <v>20.100000000000001</v>
      </c>
      <c r="CK246" s="2346">
        <v>22.87</v>
      </c>
      <c r="CL246" s="2346">
        <v>26.73</v>
      </c>
      <c r="CM246" s="2347">
        <v>475</v>
      </c>
      <c r="CN246" s="2275"/>
      <c r="CO246" s="2276">
        <f>HLOOKUP(CO242,BL243:CL255,2,0)</f>
        <v>0</v>
      </c>
      <c r="CP246" s="2276">
        <f t="shared" ref="CP246:CP256" si="257">+CO247</f>
        <v>2.77</v>
      </c>
      <c r="CQ246" s="2275">
        <v>400</v>
      </c>
      <c r="CR246" s="2275"/>
      <c r="CS246" s="2275"/>
      <c r="CT246" s="2275"/>
      <c r="CU246" s="2275"/>
      <c r="CV246" s="2275"/>
      <c r="CW246" s="2275"/>
      <c r="CX246" s="2250"/>
      <c r="CY246" s="2250"/>
      <c r="CZ246" s="2250"/>
      <c r="DA246" s="2250"/>
      <c r="DB246" s="2250"/>
      <c r="DC246" s="2250"/>
      <c r="DD246" s="2250"/>
      <c r="DE246" s="2250"/>
      <c r="DF246" s="2250"/>
      <c r="DG246" s="2250"/>
      <c r="DH246" s="2250"/>
      <c r="DI246" s="2250"/>
      <c r="DJ246" s="2250"/>
      <c r="DK246" s="2250"/>
      <c r="DL246" s="2250"/>
      <c r="DM246" s="2250"/>
      <c r="DN246" s="2250"/>
      <c r="DO246" s="2250"/>
      <c r="DP246" s="2250"/>
      <c r="DQ246" s="2277"/>
      <c r="DR246" s="2277"/>
      <c r="DS246" s="2278"/>
      <c r="DT246" s="2250"/>
      <c r="DU246" s="2250"/>
      <c r="DV246" s="2250"/>
      <c r="DW246" s="2250"/>
      <c r="DX246" s="2275"/>
      <c r="DY246" s="4670" t="s">
        <v>733</v>
      </c>
      <c r="DZ246" s="2345">
        <v>400</v>
      </c>
      <c r="EA246" s="2346">
        <v>2.57</v>
      </c>
      <c r="EB246" s="2346">
        <v>2.77</v>
      </c>
      <c r="EC246" s="2346">
        <v>2.97</v>
      </c>
      <c r="ED246" s="2346">
        <v>3.17</v>
      </c>
      <c r="EE246" s="2346">
        <v>3.37</v>
      </c>
      <c r="EF246" s="2346">
        <v>3.47</v>
      </c>
      <c r="EG246" s="2346">
        <v>3.66</v>
      </c>
      <c r="EH246" s="2346">
        <v>3.96</v>
      </c>
      <c r="EI246" s="2346">
        <v>4.26</v>
      </c>
      <c r="EJ246" s="2346">
        <v>4.46</v>
      </c>
      <c r="EK246" s="2346">
        <v>4.95</v>
      </c>
      <c r="EL246" s="2346">
        <v>5.35</v>
      </c>
      <c r="EM246" s="2346">
        <v>5.54</v>
      </c>
      <c r="EN246" s="2346">
        <v>5.84</v>
      </c>
      <c r="EO246" s="2346">
        <v>6.14</v>
      </c>
      <c r="EP246" s="2346">
        <v>6.34</v>
      </c>
      <c r="EQ246" s="2346">
        <v>6.73</v>
      </c>
      <c r="ER246" s="2346">
        <v>7.33</v>
      </c>
      <c r="ES246" s="2346">
        <v>7.82</v>
      </c>
      <c r="ET246" s="2346">
        <v>8.42</v>
      </c>
      <c r="EU246" s="2346">
        <v>8.91</v>
      </c>
      <c r="EV246" s="2346">
        <v>9.8000000000000007</v>
      </c>
      <c r="EW246" s="2346">
        <v>10.79</v>
      </c>
      <c r="EX246" s="2346">
        <v>11.88</v>
      </c>
      <c r="EY246" s="2346">
        <v>13.47</v>
      </c>
      <c r="EZ246" s="2346">
        <v>14.46</v>
      </c>
      <c r="FA246" s="2346">
        <v>16.73</v>
      </c>
      <c r="FB246" s="2347">
        <v>400</v>
      </c>
      <c r="FC246" s="2275"/>
      <c r="FD246" s="4671"/>
      <c r="FE246" s="4671"/>
      <c r="FF246" s="4671"/>
      <c r="FG246" s="2275"/>
      <c r="FH246" s="2275"/>
      <c r="FI246" s="2275"/>
      <c r="FJ246" s="2275"/>
      <c r="FK246" s="2275"/>
      <c r="FL246" s="2275"/>
      <c r="FM246" s="2250"/>
      <c r="FN246" s="2250"/>
      <c r="FO246" s="2250"/>
      <c r="FP246" s="2250"/>
      <c r="FQ246" s="2250"/>
      <c r="FR246" s="2250"/>
      <c r="FS246" s="2250"/>
      <c r="FT246" s="2250"/>
      <c r="FU246" s="2250"/>
      <c r="FV246" s="2250"/>
      <c r="FW246" s="2250"/>
      <c r="FX246" s="2250"/>
      <c r="FY246" s="2250"/>
      <c r="FZ246" s="2250"/>
      <c r="GA246" s="2250"/>
      <c r="GB246" s="2250"/>
      <c r="GC246" s="2276"/>
      <c r="GD246" s="2276"/>
      <c r="GE246" s="2250"/>
      <c r="GF246" s="2275"/>
      <c r="GG246" s="4670" t="s">
        <v>733</v>
      </c>
      <c r="GH246" s="2345">
        <v>400</v>
      </c>
      <c r="GI246" s="2346">
        <v>2.57</v>
      </c>
      <c r="GJ246" s="2346">
        <v>2.77</v>
      </c>
      <c r="GK246" s="2346">
        <v>2.97</v>
      </c>
      <c r="GL246" s="2346">
        <v>3.17</v>
      </c>
      <c r="GM246" s="2346">
        <v>3.37</v>
      </c>
      <c r="GN246" s="2346">
        <v>3.47</v>
      </c>
      <c r="GO246" s="2346">
        <v>3.66</v>
      </c>
      <c r="GP246" s="2346">
        <v>3.96</v>
      </c>
      <c r="GQ246" s="2346">
        <v>4.26</v>
      </c>
      <c r="GR246" s="2346">
        <v>4.46</v>
      </c>
      <c r="GS246" s="2346">
        <v>4.95</v>
      </c>
      <c r="GT246" s="2346">
        <v>5.35</v>
      </c>
      <c r="GU246" s="2346">
        <v>5.54</v>
      </c>
      <c r="GV246" s="2346">
        <v>5.84</v>
      </c>
      <c r="GW246" s="2346">
        <v>6.14</v>
      </c>
      <c r="GX246" s="2346">
        <v>6.34</v>
      </c>
      <c r="GY246" s="2346">
        <v>6.73</v>
      </c>
      <c r="GZ246" s="2346">
        <v>7.33</v>
      </c>
      <c r="HA246" s="2346">
        <v>7.82</v>
      </c>
      <c r="HB246" s="2346">
        <v>8.42</v>
      </c>
      <c r="HC246" s="2346">
        <v>8.91</v>
      </c>
      <c r="HD246" s="2346">
        <v>9.8000000000000007</v>
      </c>
      <c r="HE246" s="2346">
        <v>10.79</v>
      </c>
      <c r="HF246" s="2346">
        <v>11.88</v>
      </c>
      <c r="HG246" s="2346">
        <v>13.47</v>
      </c>
      <c r="HH246" s="2346">
        <v>14.46</v>
      </c>
      <c r="HI246" s="2346">
        <v>16.73</v>
      </c>
      <c r="HJ246" s="2347">
        <v>400</v>
      </c>
      <c r="HK246" s="2275"/>
      <c r="HL246" s="4671"/>
      <c r="HM246" s="4671"/>
      <c r="HN246" s="4671"/>
      <c r="HO246" s="2275"/>
      <c r="HP246" s="2275"/>
      <c r="HQ246" s="2275"/>
      <c r="HR246" s="2275"/>
      <c r="HS246" s="2275"/>
      <c r="HT246" s="2275"/>
      <c r="HU246" s="2250"/>
      <c r="HV246" s="2250"/>
      <c r="HW246" s="2250"/>
      <c r="HX246" s="2250"/>
      <c r="HY246" s="2250"/>
      <c r="HZ246" s="2250"/>
      <c r="IA246" s="2250"/>
      <c r="IB246" s="2250"/>
      <c r="IC246" s="2250"/>
      <c r="ID246" s="2250"/>
      <c r="IE246" s="2250"/>
      <c r="IF246" s="2250"/>
      <c r="IG246" s="2250"/>
      <c r="IH246" s="2250"/>
      <c r="II246" s="2250"/>
      <c r="IJ246" s="2250"/>
      <c r="IK246" s="2250"/>
      <c r="IL246" s="2250"/>
    </row>
    <row r="247" spans="1:246" ht="21.95" customHeight="1">
      <c r="A247" s="2275"/>
      <c r="B247" s="4670"/>
      <c r="C247" s="2345">
        <v>550</v>
      </c>
      <c r="D247" s="2346">
        <v>7.43</v>
      </c>
      <c r="E247" s="2346">
        <v>8.02</v>
      </c>
      <c r="F247" s="2346">
        <v>8.61</v>
      </c>
      <c r="G247" s="2346">
        <v>9.31</v>
      </c>
      <c r="H247" s="2346">
        <v>9.9</v>
      </c>
      <c r="I247" s="2346">
        <v>10</v>
      </c>
      <c r="J247" s="2346">
        <v>10.79</v>
      </c>
      <c r="K247" s="2346">
        <v>11.49</v>
      </c>
      <c r="L247" s="2346">
        <v>12.18</v>
      </c>
      <c r="M247" s="2346">
        <v>12.97</v>
      </c>
      <c r="N247" s="2346">
        <v>14.36</v>
      </c>
      <c r="O247" s="2346">
        <v>15.35</v>
      </c>
      <c r="P247" s="2346">
        <v>16.239999999999998</v>
      </c>
      <c r="Q247" s="2346">
        <v>17.03</v>
      </c>
      <c r="R247" s="2346">
        <v>17.52</v>
      </c>
      <c r="S247" s="2346">
        <v>18.61</v>
      </c>
      <c r="T247" s="2346">
        <v>20</v>
      </c>
      <c r="U247" s="2346">
        <v>21.39</v>
      </c>
      <c r="V247" s="2346">
        <v>22.77</v>
      </c>
      <c r="W247" s="2346">
        <v>24.55</v>
      </c>
      <c r="X247" s="2346">
        <v>26.24</v>
      </c>
      <c r="Y247" s="2346">
        <v>28.71</v>
      </c>
      <c r="Z247" s="2346">
        <v>31.19</v>
      </c>
      <c r="AA247" s="2346">
        <v>34.75</v>
      </c>
      <c r="AB247" s="2346">
        <v>38.81</v>
      </c>
      <c r="AC247" s="2346">
        <v>43.37</v>
      </c>
      <c r="AD247" s="2346">
        <v>47.92</v>
      </c>
      <c r="AE247" s="2347">
        <v>550</v>
      </c>
      <c r="AF247" s="2275"/>
      <c r="AG247" s="2276">
        <f>HLOOKUP(AG242,D243:AD255,3,0)</f>
        <v>2.97</v>
      </c>
      <c r="AH247" s="2276">
        <f t="shared" si="256"/>
        <v>4.46</v>
      </c>
      <c r="AI247" s="2275">
        <v>475</v>
      </c>
      <c r="AJ247" s="2275"/>
      <c r="AK247" s="2275"/>
      <c r="AL247" s="2275"/>
      <c r="AM247" s="2275"/>
      <c r="AN247" s="2275"/>
      <c r="AO247" s="2275"/>
      <c r="AP247" s="2250"/>
      <c r="AQ247" s="2250"/>
      <c r="AR247" s="2250"/>
      <c r="AS247" s="2250"/>
      <c r="AT247" s="2250"/>
      <c r="AU247" s="2250"/>
      <c r="AV247" s="2250"/>
      <c r="AW247" s="2250"/>
      <c r="AX247" s="2250"/>
      <c r="AY247" s="2250"/>
      <c r="AZ247" s="2250"/>
      <c r="BA247" s="2250"/>
      <c r="BB247" s="2250"/>
      <c r="BC247" s="2250"/>
      <c r="BD247" s="2250"/>
      <c r="BE247" s="2250"/>
      <c r="BF247" s="2276"/>
      <c r="BG247" s="2276"/>
      <c r="BH247" s="2250"/>
      <c r="BI247" s="2275"/>
      <c r="BJ247" s="4670"/>
      <c r="BK247" s="2345">
        <v>550</v>
      </c>
      <c r="BL247" s="2346">
        <v>7.43</v>
      </c>
      <c r="BM247" s="2346">
        <v>8.02</v>
      </c>
      <c r="BN247" s="2346">
        <v>8.61</v>
      </c>
      <c r="BO247" s="2346">
        <v>9.31</v>
      </c>
      <c r="BP247" s="2346">
        <v>9.9</v>
      </c>
      <c r="BQ247" s="2346">
        <v>10</v>
      </c>
      <c r="BR247" s="2346">
        <v>10.79</v>
      </c>
      <c r="BS247" s="2346">
        <v>11.49</v>
      </c>
      <c r="BT247" s="2346">
        <v>12.18</v>
      </c>
      <c r="BU247" s="2346">
        <v>12.97</v>
      </c>
      <c r="BV247" s="2346">
        <v>14.36</v>
      </c>
      <c r="BW247" s="2346">
        <v>15.35</v>
      </c>
      <c r="BX247" s="2346">
        <v>16.239999999999998</v>
      </c>
      <c r="BY247" s="2346">
        <v>17.03</v>
      </c>
      <c r="BZ247" s="2346">
        <v>17.52</v>
      </c>
      <c r="CA247" s="2346">
        <v>18.61</v>
      </c>
      <c r="CB247" s="2346">
        <v>20</v>
      </c>
      <c r="CC247" s="2346">
        <v>21.39</v>
      </c>
      <c r="CD247" s="2346">
        <v>22.77</v>
      </c>
      <c r="CE247" s="2346">
        <v>24.55</v>
      </c>
      <c r="CF247" s="2346">
        <v>26.24</v>
      </c>
      <c r="CG247" s="2346">
        <v>28.71</v>
      </c>
      <c r="CH247" s="2346">
        <v>31.19</v>
      </c>
      <c r="CI247" s="2346">
        <v>34.75</v>
      </c>
      <c r="CJ247" s="2346">
        <v>38.81</v>
      </c>
      <c r="CK247" s="2346">
        <v>43.37</v>
      </c>
      <c r="CL247" s="2346">
        <v>47.92</v>
      </c>
      <c r="CM247" s="2347">
        <v>550</v>
      </c>
      <c r="CN247" s="2275"/>
      <c r="CO247" s="2276">
        <f>HLOOKUP(CO242,BL243:CL255,3,0)</f>
        <v>2.77</v>
      </c>
      <c r="CP247" s="2276">
        <f t="shared" si="257"/>
        <v>4.16</v>
      </c>
      <c r="CQ247" s="2275">
        <v>475</v>
      </c>
      <c r="CR247" s="2275"/>
      <c r="CS247" s="2275"/>
      <c r="CT247" s="2275"/>
      <c r="CU247" s="2275"/>
      <c r="CV247" s="2275"/>
      <c r="CW247" s="2275"/>
      <c r="CX247" s="2250"/>
      <c r="CY247" s="2250"/>
      <c r="CZ247" s="2250"/>
      <c r="DA247" s="2250"/>
      <c r="DB247" s="2250"/>
      <c r="DC247" s="2250"/>
      <c r="DD247" s="2250"/>
      <c r="DE247" s="2250"/>
      <c r="DF247" s="2250"/>
      <c r="DG247" s="2250"/>
      <c r="DH247" s="2250"/>
      <c r="DI247" s="2250"/>
      <c r="DJ247" s="2250"/>
      <c r="DK247" s="2250"/>
      <c r="DL247" s="2250"/>
      <c r="DM247" s="2250"/>
      <c r="DN247" s="2250"/>
      <c r="DO247" s="2250"/>
      <c r="DP247" s="2250"/>
      <c r="DQ247" s="2277"/>
      <c r="DR247" s="2277"/>
      <c r="DS247" s="2278"/>
      <c r="DT247" s="2250"/>
      <c r="DU247" s="2250"/>
      <c r="DV247" s="2250"/>
      <c r="DW247" s="2250"/>
      <c r="DX247" s="2275"/>
      <c r="DY247" s="4670"/>
      <c r="DZ247" s="2345">
        <v>475</v>
      </c>
      <c r="EA247" s="2346">
        <v>3.76</v>
      </c>
      <c r="EB247" s="2346">
        <v>4.16</v>
      </c>
      <c r="EC247" s="2346">
        <v>4.46</v>
      </c>
      <c r="ED247" s="2346">
        <v>4.75</v>
      </c>
      <c r="EE247" s="2346">
        <v>5.05</v>
      </c>
      <c r="EF247" s="2346">
        <v>5.15</v>
      </c>
      <c r="EG247" s="2346">
        <v>5.54</v>
      </c>
      <c r="EH247" s="2346">
        <v>5.84</v>
      </c>
      <c r="EI247" s="2346">
        <v>6.34</v>
      </c>
      <c r="EJ247" s="2346">
        <v>6.63</v>
      </c>
      <c r="EK247" s="2346">
        <v>7.33</v>
      </c>
      <c r="EL247" s="2346">
        <v>8.02</v>
      </c>
      <c r="EM247" s="2346">
        <v>8.32</v>
      </c>
      <c r="EN247" s="2346">
        <v>8.7100000000000009</v>
      </c>
      <c r="EO247" s="2346">
        <v>9.01</v>
      </c>
      <c r="EP247" s="2346">
        <v>9.5</v>
      </c>
      <c r="EQ247" s="2346">
        <v>10.1</v>
      </c>
      <c r="ER247" s="2346">
        <v>10.99</v>
      </c>
      <c r="ES247" s="2346">
        <v>11.68</v>
      </c>
      <c r="ET247" s="2346">
        <v>12.38</v>
      </c>
      <c r="EU247" s="2346">
        <v>13.27</v>
      </c>
      <c r="EV247" s="2346">
        <v>14.65</v>
      </c>
      <c r="EW247" s="2346">
        <v>15.94</v>
      </c>
      <c r="EX247" s="2346">
        <v>17.920000000000002</v>
      </c>
      <c r="EY247" s="2346">
        <v>20.100000000000001</v>
      </c>
      <c r="EZ247" s="2346">
        <v>22.87</v>
      </c>
      <c r="FA247" s="2346">
        <v>26.73</v>
      </c>
      <c r="FB247" s="2347">
        <v>475</v>
      </c>
      <c r="FC247" s="2275"/>
      <c r="FD247" s="2276">
        <f>HLOOKUP(FD243,EA244:FA256,2,0)</f>
        <v>0</v>
      </c>
      <c r="FE247" s="2276">
        <f t="shared" ref="FE247:FE257" si="258">+FD248</f>
        <v>4.46</v>
      </c>
      <c r="FF247" s="2275">
        <v>400</v>
      </c>
      <c r="FG247" s="2275"/>
      <c r="FH247" s="2275"/>
      <c r="FI247" s="2275"/>
      <c r="FJ247" s="2275"/>
      <c r="FK247" s="2275"/>
      <c r="FL247" s="2275"/>
      <c r="FM247" s="2250"/>
      <c r="FN247" s="2250"/>
      <c r="FO247" s="2250"/>
      <c r="FP247" s="2250"/>
      <c r="FQ247" s="2250"/>
      <c r="FR247" s="2250"/>
      <c r="FS247" s="2250"/>
      <c r="FT247" s="2250"/>
      <c r="FU247" s="2250"/>
      <c r="FV247" s="2250"/>
      <c r="FW247" s="2250"/>
      <c r="FX247" s="2250"/>
      <c r="FY247" s="2250"/>
      <c r="FZ247" s="2250"/>
      <c r="GA247" s="2250"/>
      <c r="GB247" s="2250"/>
      <c r="GC247" s="2276"/>
      <c r="GD247" s="2276"/>
      <c r="GE247" s="2250"/>
      <c r="GF247" s="2275"/>
      <c r="GG247" s="4670"/>
      <c r="GH247" s="2345">
        <v>475</v>
      </c>
      <c r="GI247" s="2346">
        <v>3.76</v>
      </c>
      <c r="GJ247" s="2346">
        <v>4.16</v>
      </c>
      <c r="GK247" s="2346">
        <v>4.46</v>
      </c>
      <c r="GL247" s="2346">
        <v>4.75</v>
      </c>
      <c r="GM247" s="2346">
        <v>5.05</v>
      </c>
      <c r="GN247" s="2346">
        <v>5.15</v>
      </c>
      <c r="GO247" s="2346">
        <v>5.54</v>
      </c>
      <c r="GP247" s="2346">
        <v>5.84</v>
      </c>
      <c r="GQ247" s="2346">
        <v>6.34</v>
      </c>
      <c r="GR247" s="2346">
        <v>6.63</v>
      </c>
      <c r="GS247" s="2346">
        <v>7.33</v>
      </c>
      <c r="GT247" s="2346">
        <v>8.02</v>
      </c>
      <c r="GU247" s="2346">
        <v>8.32</v>
      </c>
      <c r="GV247" s="2346">
        <v>8.7100000000000009</v>
      </c>
      <c r="GW247" s="2346">
        <v>9.01</v>
      </c>
      <c r="GX247" s="2346">
        <v>9.5</v>
      </c>
      <c r="GY247" s="2346">
        <v>10.1</v>
      </c>
      <c r="GZ247" s="2346">
        <v>10.99</v>
      </c>
      <c r="HA247" s="2346">
        <v>11.68</v>
      </c>
      <c r="HB247" s="2346">
        <v>12.38</v>
      </c>
      <c r="HC247" s="2346">
        <v>13.27</v>
      </c>
      <c r="HD247" s="2346">
        <v>14.65</v>
      </c>
      <c r="HE247" s="2346">
        <v>15.94</v>
      </c>
      <c r="HF247" s="2346">
        <v>17.920000000000002</v>
      </c>
      <c r="HG247" s="2346">
        <v>20.100000000000001</v>
      </c>
      <c r="HH247" s="2346">
        <v>22.87</v>
      </c>
      <c r="HI247" s="2346">
        <v>26.73</v>
      </c>
      <c r="HJ247" s="2347">
        <v>475</v>
      </c>
      <c r="HK247" s="2275"/>
      <c r="HL247" s="2276">
        <f>HLOOKUP(HL243,GI244:HI256,2,0)</f>
        <v>0</v>
      </c>
      <c r="HM247" s="2276">
        <f t="shared" ref="HM247:HM257" si="259">+HL248</f>
        <v>4.26</v>
      </c>
      <c r="HN247" s="2275">
        <v>400</v>
      </c>
      <c r="HO247" s="2275"/>
      <c r="HP247" s="2275"/>
      <c r="HQ247" s="2275"/>
      <c r="HR247" s="2275"/>
      <c r="HS247" s="2275"/>
      <c r="HT247" s="2275"/>
      <c r="HU247" s="2250"/>
      <c r="HV247" s="2250"/>
      <c r="HW247" s="2250"/>
      <c r="HX247" s="2250"/>
      <c r="HY247" s="2250"/>
      <c r="HZ247" s="2250"/>
      <c r="IA247" s="2250"/>
      <c r="IB247" s="2250"/>
      <c r="IC247" s="2250"/>
      <c r="ID247" s="2250"/>
      <c r="IE247" s="2250"/>
      <c r="IF247" s="2250"/>
      <c r="IG247" s="2250"/>
      <c r="IH247" s="2250"/>
      <c r="II247" s="2250"/>
      <c r="IJ247" s="2250"/>
      <c r="IK247" s="2250"/>
      <c r="IL247" s="2250"/>
    </row>
    <row r="248" spans="1:246" ht="21.95" customHeight="1">
      <c r="A248" s="2275"/>
      <c r="B248" s="4671"/>
      <c r="C248" s="2345">
        <v>650</v>
      </c>
      <c r="D248" s="2346">
        <v>12.48</v>
      </c>
      <c r="E248" s="2346">
        <v>13.86</v>
      </c>
      <c r="F248" s="2346">
        <v>14.95</v>
      </c>
      <c r="G248" s="2346">
        <v>16.04</v>
      </c>
      <c r="H248" s="2346">
        <v>16.440000000000001</v>
      </c>
      <c r="I248" s="2346">
        <v>17.329999999999998</v>
      </c>
      <c r="J248" s="2346">
        <v>18.61</v>
      </c>
      <c r="K248" s="2346">
        <v>19.899999999999999</v>
      </c>
      <c r="L248" s="2346">
        <v>21.09</v>
      </c>
      <c r="M248" s="2346">
        <v>22.48</v>
      </c>
      <c r="N248" s="2346">
        <v>24.85</v>
      </c>
      <c r="O248" s="2346">
        <v>26.93</v>
      </c>
      <c r="P248" s="2346">
        <v>27.82</v>
      </c>
      <c r="Q248" s="2346">
        <v>29.41</v>
      </c>
      <c r="R248" s="2346">
        <v>30.99</v>
      </c>
      <c r="S248" s="2346">
        <v>31.98</v>
      </c>
      <c r="T248" s="2346">
        <v>34.06</v>
      </c>
      <c r="U248" s="2346">
        <v>36.14</v>
      </c>
      <c r="V248" s="2346">
        <v>38.909999999999997</v>
      </c>
      <c r="W248" s="2346">
        <v>42.18</v>
      </c>
      <c r="X248" s="2346">
        <v>45.45</v>
      </c>
      <c r="Y248" s="2346">
        <v>48.71</v>
      </c>
      <c r="Z248" s="2346">
        <v>52.97</v>
      </c>
      <c r="AA248" s="2346">
        <v>58.12</v>
      </c>
      <c r="AB248" s="2346">
        <v>65.150000000000006</v>
      </c>
      <c r="AC248" s="2346">
        <v>76.44</v>
      </c>
      <c r="AD248" s="2346">
        <v>33.270000000000003</v>
      </c>
      <c r="AE248" s="2347">
        <v>650</v>
      </c>
      <c r="AF248" s="2275"/>
      <c r="AG248" s="2276">
        <f>HLOOKUP(AG242,D243:AD255,4,0)</f>
        <v>4.46</v>
      </c>
      <c r="AH248" s="2276">
        <f t="shared" si="256"/>
        <v>8.61</v>
      </c>
      <c r="AI248" s="2275">
        <v>550</v>
      </c>
      <c r="AJ248" s="2275"/>
      <c r="AK248" s="2275"/>
      <c r="AL248" s="2275"/>
      <c r="AM248" s="2275"/>
      <c r="AN248" s="2275"/>
      <c r="AO248" s="2275"/>
      <c r="AP248" s="2250"/>
      <c r="AQ248" s="2250"/>
      <c r="AR248" s="2250"/>
      <c r="AS248" s="2250"/>
      <c r="AT248" s="2250"/>
      <c r="AU248" s="2250"/>
      <c r="AV248" s="2250"/>
      <c r="AW248" s="2250"/>
      <c r="AX248" s="2250"/>
      <c r="AY248" s="2250"/>
      <c r="AZ248" s="2250"/>
      <c r="BA248" s="2250"/>
      <c r="BB248" s="2250"/>
      <c r="BC248" s="2250"/>
      <c r="BD248" s="2250"/>
      <c r="BE248" s="2250"/>
      <c r="BF248" s="2276"/>
      <c r="BG248" s="2276"/>
      <c r="BH248" s="2250"/>
      <c r="BI248" s="2275"/>
      <c r="BJ248" s="4671"/>
      <c r="BK248" s="2345">
        <v>650</v>
      </c>
      <c r="BL248" s="2346">
        <v>12.48</v>
      </c>
      <c r="BM248" s="2346">
        <v>13.86</v>
      </c>
      <c r="BN248" s="2346">
        <v>14.95</v>
      </c>
      <c r="BO248" s="2346">
        <v>16.04</v>
      </c>
      <c r="BP248" s="2346">
        <v>16.440000000000001</v>
      </c>
      <c r="BQ248" s="2346">
        <v>17.329999999999998</v>
      </c>
      <c r="BR248" s="2346">
        <v>18.61</v>
      </c>
      <c r="BS248" s="2346">
        <v>19.899999999999999</v>
      </c>
      <c r="BT248" s="2346">
        <v>21.09</v>
      </c>
      <c r="BU248" s="2346">
        <v>22.48</v>
      </c>
      <c r="BV248" s="2346">
        <v>24.85</v>
      </c>
      <c r="BW248" s="2346">
        <v>26.93</v>
      </c>
      <c r="BX248" s="2346">
        <v>27.82</v>
      </c>
      <c r="BY248" s="2346">
        <v>29.41</v>
      </c>
      <c r="BZ248" s="2346">
        <v>30.99</v>
      </c>
      <c r="CA248" s="2346">
        <v>31.98</v>
      </c>
      <c r="CB248" s="2346">
        <v>34.06</v>
      </c>
      <c r="CC248" s="2346">
        <v>36.14</v>
      </c>
      <c r="CD248" s="2346">
        <v>38.909999999999997</v>
      </c>
      <c r="CE248" s="2346">
        <v>42.18</v>
      </c>
      <c r="CF248" s="2346">
        <v>45.45</v>
      </c>
      <c r="CG248" s="2346">
        <v>48.71</v>
      </c>
      <c r="CH248" s="2346">
        <v>52.97</v>
      </c>
      <c r="CI248" s="2346">
        <v>58.12</v>
      </c>
      <c r="CJ248" s="2346">
        <v>65.150000000000006</v>
      </c>
      <c r="CK248" s="2346">
        <v>76.44</v>
      </c>
      <c r="CL248" s="2346">
        <v>33.270000000000003</v>
      </c>
      <c r="CM248" s="2347">
        <v>650</v>
      </c>
      <c r="CN248" s="2275"/>
      <c r="CO248" s="2276">
        <f>HLOOKUP(CO242,BL243:CL255,4,0)</f>
        <v>4.16</v>
      </c>
      <c r="CP248" s="2276">
        <f t="shared" si="257"/>
        <v>8.02</v>
      </c>
      <c r="CQ248" s="2275">
        <v>550</v>
      </c>
      <c r="CR248" s="2275"/>
      <c r="CS248" s="2275"/>
      <c r="CT248" s="2275"/>
      <c r="CU248" s="2275"/>
      <c r="CV248" s="2275"/>
      <c r="CW248" s="2275"/>
      <c r="CX248" s="2250"/>
      <c r="CY248" s="2250"/>
      <c r="CZ248" s="2250"/>
      <c r="DA248" s="2250"/>
      <c r="DB248" s="2250"/>
      <c r="DC248" s="2250"/>
      <c r="DD248" s="2250"/>
      <c r="DE248" s="2250"/>
      <c r="DF248" s="2250"/>
      <c r="DG248" s="2250"/>
      <c r="DH248" s="2250"/>
      <c r="DI248" s="2250"/>
      <c r="DJ248" s="2250"/>
      <c r="DK248" s="2250"/>
      <c r="DL248" s="2250"/>
      <c r="DM248" s="2250"/>
      <c r="DN248" s="2250"/>
      <c r="DO248" s="2250"/>
      <c r="DP248" s="2250"/>
      <c r="DQ248" s="2277"/>
      <c r="DR248" s="2277"/>
      <c r="DS248" s="2278"/>
      <c r="DT248" s="2250"/>
      <c r="DU248" s="2250"/>
      <c r="DV248" s="2250"/>
      <c r="DW248" s="2250"/>
      <c r="DX248" s="2275"/>
      <c r="DY248" s="4670"/>
      <c r="DZ248" s="2345">
        <v>550</v>
      </c>
      <c r="EA248" s="2346">
        <v>7.43</v>
      </c>
      <c r="EB248" s="2346">
        <v>8.02</v>
      </c>
      <c r="EC248" s="2346">
        <v>8.61</v>
      </c>
      <c r="ED248" s="2346">
        <v>9.31</v>
      </c>
      <c r="EE248" s="2346">
        <v>9.9</v>
      </c>
      <c r="EF248" s="2346">
        <v>10</v>
      </c>
      <c r="EG248" s="2346">
        <v>10.79</v>
      </c>
      <c r="EH248" s="2346">
        <v>11.49</v>
      </c>
      <c r="EI248" s="2346">
        <v>12.18</v>
      </c>
      <c r="EJ248" s="2346">
        <v>12.97</v>
      </c>
      <c r="EK248" s="2346">
        <v>14.36</v>
      </c>
      <c r="EL248" s="2346">
        <v>15.35</v>
      </c>
      <c r="EM248" s="2346">
        <v>16.239999999999998</v>
      </c>
      <c r="EN248" s="2346">
        <v>17.03</v>
      </c>
      <c r="EO248" s="2346">
        <v>17.52</v>
      </c>
      <c r="EP248" s="2346">
        <v>18.61</v>
      </c>
      <c r="EQ248" s="2346">
        <v>20</v>
      </c>
      <c r="ER248" s="2346">
        <v>21.39</v>
      </c>
      <c r="ES248" s="2346">
        <v>22.77</v>
      </c>
      <c r="ET248" s="2346">
        <v>24.55</v>
      </c>
      <c r="EU248" s="2346">
        <v>26.24</v>
      </c>
      <c r="EV248" s="2346">
        <v>28.71</v>
      </c>
      <c r="EW248" s="2346">
        <v>31.19</v>
      </c>
      <c r="EX248" s="2346">
        <v>34.75</v>
      </c>
      <c r="EY248" s="2346">
        <v>38.81</v>
      </c>
      <c r="EZ248" s="2346">
        <v>43.37</v>
      </c>
      <c r="FA248" s="2346">
        <v>47.92</v>
      </c>
      <c r="FB248" s="2347">
        <v>550</v>
      </c>
      <c r="FC248" s="2275"/>
      <c r="FD248" s="2276">
        <f>HLOOKUP(FD243,EA244:FA256,3,0)</f>
        <v>4.46</v>
      </c>
      <c r="FE248" s="2276">
        <f t="shared" si="258"/>
        <v>6.63</v>
      </c>
      <c r="FF248" s="2275">
        <v>475</v>
      </c>
      <c r="FG248" s="2275"/>
      <c r="FH248" s="2275"/>
      <c r="FI248" s="2275"/>
      <c r="FJ248" s="2275"/>
      <c r="FK248" s="2275"/>
      <c r="FL248" s="2275"/>
      <c r="FM248" s="2250"/>
      <c r="FN248" s="2250"/>
      <c r="FO248" s="2250"/>
      <c r="FP248" s="2250"/>
      <c r="FQ248" s="2250"/>
      <c r="FR248" s="2250"/>
      <c r="FS248" s="2250"/>
      <c r="FT248" s="2250"/>
      <c r="FU248" s="2250"/>
      <c r="FV248" s="2250"/>
      <c r="FW248" s="2250"/>
      <c r="FX248" s="2250"/>
      <c r="FY248" s="2250"/>
      <c r="FZ248" s="2250"/>
      <c r="GA248" s="2250"/>
      <c r="GB248" s="2250"/>
      <c r="GC248" s="2276"/>
      <c r="GD248" s="2276"/>
      <c r="GE248" s="2250"/>
      <c r="GF248" s="2275"/>
      <c r="GG248" s="4670"/>
      <c r="GH248" s="2345">
        <v>550</v>
      </c>
      <c r="GI248" s="2346">
        <v>7.43</v>
      </c>
      <c r="GJ248" s="2346">
        <v>8.02</v>
      </c>
      <c r="GK248" s="2346">
        <v>8.61</v>
      </c>
      <c r="GL248" s="2346">
        <v>9.31</v>
      </c>
      <c r="GM248" s="2346">
        <v>9.9</v>
      </c>
      <c r="GN248" s="2346">
        <v>10</v>
      </c>
      <c r="GO248" s="2346">
        <v>10.79</v>
      </c>
      <c r="GP248" s="2346">
        <v>11.49</v>
      </c>
      <c r="GQ248" s="2346">
        <v>12.18</v>
      </c>
      <c r="GR248" s="2346">
        <v>12.97</v>
      </c>
      <c r="GS248" s="2346">
        <v>14.36</v>
      </c>
      <c r="GT248" s="2346">
        <v>15.35</v>
      </c>
      <c r="GU248" s="2346">
        <v>16.239999999999998</v>
      </c>
      <c r="GV248" s="2346">
        <v>17.03</v>
      </c>
      <c r="GW248" s="2346">
        <v>17.52</v>
      </c>
      <c r="GX248" s="2346">
        <v>18.61</v>
      </c>
      <c r="GY248" s="2346">
        <v>20</v>
      </c>
      <c r="GZ248" s="2346">
        <v>21.39</v>
      </c>
      <c r="HA248" s="2346">
        <v>22.77</v>
      </c>
      <c r="HB248" s="2346">
        <v>24.55</v>
      </c>
      <c r="HC248" s="2346">
        <v>26.24</v>
      </c>
      <c r="HD248" s="2346">
        <v>28.71</v>
      </c>
      <c r="HE248" s="2346">
        <v>31.19</v>
      </c>
      <c r="HF248" s="2346">
        <v>34.75</v>
      </c>
      <c r="HG248" s="2346">
        <v>38.81</v>
      </c>
      <c r="HH248" s="2346">
        <v>43.37</v>
      </c>
      <c r="HI248" s="2346">
        <v>47.92</v>
      </c>
      <c r="HJ248" s="2347">
        <v>550</v>
      </c>
      <c r="HK248" s="2275"/>
      <c r="HL248" s="2276">
        <f>HLOOKUP(HL243,GI244:HI256,3,0)</f>
        <v>4.26</v>
      </c>
      <c r="HM248" s="2276">
        <f t="shared" si="259"/>
        <v>6.34</v>
      </c>
      <c r="HN248" s="2275">
        <v>475</v>
      </c>
      <c r="HO248" s="2275"/>
      <c r="HP248" s="2275"/>
      <c r="HQ248" s="2275"/>
      <c r="HR248" s="2275"/>
      <c r="HS248" s="2275"/>
      <c r="HT248" s="2275"/>
      <c r="HU248" s="2250"/>
      <c r="HV248" s="2250"/>
      <c r="HW248" s="2250"/>
      <c r="HX248" s="2250"/>
      <c r="HY248" s="2250"/>
      <c r="HZ248" s="2250"/>
      <c r="IA248" s="2250"/>
      <c r="IB248" s="2250"/>
      <c r="IC248" s="2250"/>
      <c r="ID248" s="2250"/>
      <c r="IE248" s="2250"/>
      <c r="IF248" s="2250"/>
      <c r="IG248" s="2250"/>
      <c r="IH248" s="2250"/>
      <c r="II248" s="2250"/>
      <c r="IJ248" s="2250"/>
      <c r="IK248" s="2250"/>
      <c r="IL248" s="2250"/>
    </row>
    <row r="249" spans="1:246" ht="21.95" customHeight="1">
      <c r="A249" s="2275"/>
      <c r="B249" s="4671"/>
      <c r="C249" s="2345">
        <v>775</v>
      </c>
      <c r="D249" s="2346">
        <v>19.21</v>
      </c>
      <c r="E249" s="2346">
        <v>21.68</v>
      </c>
      <c r="F249" s="2346">
        <v>23.76</v>
      </c>
      <c r="G249" s="2346">
        <v>25.54</v>
      </c>
      <c r="H249" s="2346">
        <v>27.13</v>
      </c>
      <c r="I249" s="2346">
        <v>27.33</v>
      </c>
      <c r="J249" s="2346">
        <v>29.5</v>
      </c>
      <c r="K249" s="2346">
        <v>31.58</v>
      </c>
      <c r="L249" s="2346">
        <v>33.47</v>
      </c>
      <c r="M249" s="2346">
        <v>35.64</v>
      </c>
      <c r="N249" s="2346">
        <v>39.409999999999997</v>
      </c>
      <c r="O249" s="2346">
        <v>42.38</v>
      </c>
      <c r="P249" s="2346">
        <v>44.46</v>
      </c>
      <c r="Q249" s="2346">
        <v>46.73</v>
      </c>
      <c r="R249" s="2346">
        <v>48.12</v>
      </c>
      <c r="S249" s="2346">
        <v>50.89</v>
      </c>
      <c r="T249" s="2346">
        <v>54.06</v>
      </c>
      <c r="U249" s="2346">
        <v>58.61</v>
      </c>
      <c r="V249" s="2346">
        <v>62.48</v>
      </c>
      <c r="W249" s="2346">
        <v>66.83</v>
      </c>
      <c r="X249" s="2346">
        <v>71.290000000000006</v>
      </c>
      <c r="Y249" s="2346">
        <v>78.709999999999994</v>
      </c>
      <c r="Z249" s="2346">
        <v>86.04</v>
      </c>
      <c r="AA249" s="2346">
        <v>95.35</v>
      </c>
      <c r="AB249" s="2346">
        <v>107.03</v>
      </c>
      <c r="AC249" s="2346">
        <v>122.48</v>
      </c>
      <c r="AD249" s="2346">
        <v>131.49</v>
      </c>
      <c r="AE249" s="2347">
        <v>775</v>
      </c>
      <c r="AF249" s="2275"/>
      <c r="AG249" s="2276">
        <f>HLOOKUP(AG242,D243:AD255,5,0)</f>
        <v>8.61</v>
      </c>
      <c r="AH249" s="2276">
        <f t="shared" si="256"/>
        <v>14.95</v>
      </c>
      <c r="AI249" s="2275">
        <v>650</v>
      </c>
      <c r="AJ249" s="2275"/>
      <c r="AK249" s="2275"/>
      <c r="AL249" s="2275"/>
      <c r="AM249" s="2275"/>
      <c r="AN249" s="2275"/>
      <c r="AO249" s="2275"/>
      <c r="AP249" s="2250"/>
      <c r="AQ249" s="2250"/>
      <c r="AR249" s="2250"/>
      <c r="AS249" s="2250"/>
      <c r="AT249" s="2250"/>
      <c r="AU249" s="2250"/>
      <c r="AV249" s="2250"/>
      <c r="AW249" s="2250"/>
      <c r="AX249" s="2250"/>
      <c r="AY249" s="2250"/>
      <c r="AZ249" s="2250"/>
      <c r="BA249" s="2250"/>
      <c r="BB249" s="2250"/>
      <c r="BC249" s="2250"/>
      <c r="BD249" s="2250"/>
      <c r="BE249" s="2250"/>
      <c r="BF249" s="2276"/>
      <c r="BG249" s="2276"/>
      <c r="BH249" s="2250"/>
      <c r="BI249" s="2275"/>
      <c r="BJ249" s="4671"/>
      <c r="BK249" s="2345">
        <v>775</v>
      </c>
      <c r="BL249" s="2346">
        <v>19.21</v>
      </c>
      <c r="BM249" s="2346">
        <v>21.68</v>
      </c>
      <c r="BN249" s="2346">
        <v>23.76</v>
      </c>
      <c r="BO249" s="2346">
        <v>25.54</v>
      </c>
      <c r="BP249" s="2346">
        <v>27.13</v>
      </c>
      <c r="BQ249" s="2346">
        <v>27.33</v>
      </c>
      <c r="BR249" s="2346">
        <v>29.5</v>
      </c>
      <c r="BS249" s="2346">
        <v>31.58</v>
      </c>
      <c r="BT249" s="2346">
        <v>33.47</v>
      </c>
      <c r="BU249" s="2346">
        <v>35.64</v>
      </c>
      <c r="BV249" s="2346">
        <v>39.409999999999997</v>
      </c>
      <c r="BW249" s="2346">
        <v>42.38</v>
      </c>
      <c r="BX249" s="2346">
        <v>44.46</v>
      </c>
      <c r="BY249" s="2346">
        <v>46.73</v>
      </c>
      <c r="BZ249" s="2346">
        <v>48.12</v>
      </c>
      <c r="CA249" s="2346">
        <v>50.89</v>
      </c>
      <c r="CB249" s="2346">
        <v>54.06</v>
      </c>
      <c r="CC249" s="2346">
        <v>58.61</v>
      </c>
      <c r="CD249" s="2346">
        <v>62.48</v>
      </c>
      <c r="CE249" s="2346">
        <v>66.83</v>
      </c>
      <c r="CF249" s="2346">
        <v>71.290000000000006</v>
      </c>
      <c r="CG249" s="2346">
        <v>78.709999999999994</v>
      </c>
      <c r="CH249" s="2346">
        <v>86.04</v>
      </c>
      <c r="CI249" s="2346">
        <v>95.35</v>
      </c>
      <c r="CJ249" s="2346">
        <v>107.03</v>
      </c>
      <c r="CK249" s="2346">
        <v>122.48</v>
      </c>
      <c r="CL249" s="2346">
        <v>131.49</v>
      </c>
      <c r="CM249" s="2347">
        <v>775</v>
      </c>
      <c r="CN249" s="2275"/>
      <c r="CO249" s="2276">
        <f>HLOOKUP(CO242,BL243:CL255,5,0)</f>
        <v>8.02</v>
      </c>
      <c r="CP249" s="2276">
        <f t="shared" si="257"/>
        <v>13.86</v>
      </c>
      <c r="CQ249" s="2275">
        <v>650</v>
      </c>
      <c r="CR249" s="2275"/>
      <c r="CS249" s="2275"/>
      <c r="CT249" s="2275"/>
      <c r="CU249" s="2275"/>
      <c r="CV249" s="2275"/>
      <c r="CW249" s="2275"/>
      <c r="CX249" s="2250"/>
      <c r="CY249" s="2250"/>
      <c r="CZ249" s="2250"/>
      <c r="DA249" s="2250"/>
      <c r="DB249" s="2250"/>
      <c r="DC249" s="2250"/>
      <c r="DD249" s="2250"/>
      <c r="DE249" s="2250"/>
      <c r="DF249" s="2250"/>
      <c r="DG249" s="2250"/>
      <c r="DH249" s="2250"/>
      <c r="DI249" s="2250"/>
      <c r="DJ249" s="2250"/>
      <c r="DK249" s="2250"/>
      <c r="DL249" s="2250"/>
      <c r="DM249" s="2250"/>
      <c r="DN249" s="2250"/>
      <c r="DO249" s="2250"/>
      <c r="DP249" s="2250"/>
      <c r="DQ249" s="2277"/>
      <c r="DR249" s="2277"/>
      <c r="DS249" s="2278"/>
      <c r="DT249" s="2250"/>
      <c r="DU249" s="2250"/>
      <c r="DV249" s="2250"/>
      <c r="DW249" s="2250"/>
      <c r="DX249" s="2275"/>
      <c r="DY249" s="4671"/>
      <c r="DZ249" s="2345">
        <v>650</v>
      </c>
      <c r="EA249" s="2346">
        <v>12.48</v>
      </c>
      <c r="EB249" s="2346">
        <v>13.86</v>
      </c>
      <c r="EC249" s="2346">
        <v>14.95</v>
      </c>
      <c r="ED249" s="2346">
        <v>16.04</v>
      </c>
      <c r="EE249" s="2346">
        <v>16.440000000000001</v>
      </c>
      <c r="EF249" s="2346">
        <v>17.329999999999998</v>
      </c>
      <c r="EG249" s="2346">
        <v>18.61</v>
      </c>
      <c r="EH249" s="2346">
        <v>19.899999999999999</v>
      </c>
      <c r="EI249" s="2346">
        <v>21.09</v>
      </c>
      <c r="EJ249" s="2346">
        <v>22.48</v>
      </c>
      <c r="EK249" s="2346">
        <v>24.85</v>
      </c>
      <c r="EL249" s="2346">
        <v>26.93</v>
      </c>
      <c r="EM249" s="2346">
        <v>27.82</v>
      </c>
      <c r="EN249" s="2346">
        <v>29.41</v>
      </c>
      <c r="EO249" s="2346">
        <v>30.99</v>
      </c>
      <c r="EP249" s="2346">
        <v>31.98</v>
      </c>
      <c r="EQ249" s="2346">
        <v>34.06</v>
      </c>
      <c r="ER249" s="2346">
        <v>36.14</v>
      </c>
      <c r="ES249" s="2346">
        <v>38.909999999999997</v>
      </c>
      <c r="ET249" s="2346">
        <v>42.18</v>
      </c>
      <c r="EU249" s="2346">
        <v>45.45</v>
      </c>
      <c r="EV249" s="2346">
        <v>48.71</v>
      </c>
      <c r="EW249" s="2346">
        <v>52.97</v>
      </c>
      <c r="EX249" s="2346">
        <v>58.12</v>
      </c>
      <c r="EY249" s="2346">
        <v>65.150000000000006</v>
      </c>
      <c r="EZ249" s="2346">
        <v>76.44</v>
      </c>
      <c r="FA249" s="2346">
        <v>33.270000000000003</v>
      </c>
      <c r="FB249" s="2347">
        <v>650</v>
      </c>
      <c r="FC249" s="2275"/>
      <c r="FD249" s="2276">
        <f>HLOOKUP(FD243,EA244:FA256,4,0)</f>
        <v>6.63</v>
      </c>
      <c r="FE249" s="2276">
        <f t="shared" si="258"/>
        <v>12.97</v>
      </c>
      <c r="FF249" s="2275">
        <v>550</v>
      </c>
      <c r="FG249" s="2275"/>
      <c r="FH249" s="2275"/>
      <c r="FI249" s="2275"/>
      <c r="FJ249" s="2275"/>
      <c r="FK249" s="2275"/>
      <c r="FL249" s="2275"/>
      <c r="FM249" s="2250"/>
      <c r="FN249" s="2250"/>
      <c r="FO249" s="2250"/>
      <c r="FP249" s="2250"/>
      <c r="FQ249" s="2250"/>
      <c r="FR249" s="2250"/>
      <c r="FS249" s="2250"/>
      <c r="FT249" s="2250"/>
      <c r="FU249" s="2250"/>
      <c r="FV249" s="2250"/>
      <c r="FW249" s="2250"/>
      <c r="FX249" s="2250"/>
      <c r="FY249" s="2250"/>
      <c r="FZ249" s="2250"/>
      <c r="GA249" s="2250"/>
      <c r="GB249" s="2250"/>
      <c r="GC249" s="2276"/>
      <c r="GD249" s="2276"/>
      <c r="GE249" s="2250"/>
      <c r="GF249" s="2275"/>
      <c r="GG249" s="4671"/>
      <c r="GH249" s="2345">
        <v>650</v>
      </c>
      <c r="GI249" s="2346">
        <v>12.48</v>
      </c>
      <c r="GJ249" s="2346">
        <v>13.86</v>
      </c>
      <c r="GK249" s="2346">
        <v>14.95</v>
      </c>
      <c r="GL249" s="2346">
        <v>16.04</v>
      </c>
      <c r="GM249" s="2346">
        <v>16.440000000000001</v>
      </c>
      <c r="GN249" s="2346">
        <v>17.329999999999998</v>
      </c>
      <c r="GO249" s="2346">
        <v>18.61</v>
      </c>
      <c r="GP249" s="2346">
        <v>19.899999999999999</v>
      </c>
      <c r="GQ249" s="2346">
        <v>21.09</v>
      </c>
      <c r="GR249" s="2346">
        <v>22.48</v>
      </c>
      <c r="GS249" s="2346">
        <v>24.85</v>
      </c>
      <c r="GT249" s="2346">
        <v>26.93</v>
      </c>
      <c r="GU249" s="2346">
        <v>27.82</v>
      </c>
      <c r="GV249" s="2346">
        <v>29.41</v>
      </c>
      <c r="GW249" s="2346">
        <v>30.99</v>
      </c>
      <c r="GX249" s="2346">
        <v>31.98</v>
      </c>
      <c r="GY249" s="2346">
        <v>34.06</v>
      </c>
      <c r="GZ249" s="2346">
        <v>36.14</v>
      </c>
      <c r="HA249" s="2346">
        <v>38.909999999999997</v>
      </c>
      <c r="HB249" s="2346">
        <v>42.18</v>
      </c>
      <c r="HC249" s="2346">
        <v>45.45</v>
      </c>
      <c r="HD249" s="2346">
        <v>48.71</v>
      </c>
      <c r="HE249" s="2346">
        <v>52.97</v>
      </c>
      <c r="HF249" s="2346">
        <v>58.12</v>
      </c>
      <c r="HG249" s="2346">
        <v>65.150000000000006</v>
      </c>
      <c r="HH249" s="2346">
        <v>76.44</v>
      </c>
      <c r="HI249" s="2346">
        <v>33.270000000000003</v>
      </c>
      <c r="HJ249" s="2347">
        <v>650</v>
      </c>
      <c r="HK249" s="2275"/>
      <c r="HL249" s="2276">
        <f>HLOOKUP(HL243,GI244:HI256,4,0)</f>
        <v>6.34</v>
      </c>
      <c r="HM249" s="2276">
        <f t="shared" si="259"/>
        <v>12.18</v>
      </c>
      <c r="HN249" s="2275">
        <v>550</v>
      </c>
      <c r="HO249" s="2275"/>
      <c r="HP249" s="2275"/>
      <c r="HQ249" s="2275"/>
      <c r="HR249" s="2275"/>
      <c r="HS249" s="2275"/>
      <c r="HT249" s="2275"/>
      <c r="HU249" s="2250"/>
      <c r="HV249" s="2250"/>
      <c r="HW249" s="2250"/>
      <c r="HX249" s="2250"/>
      <c r="HY249" s="2250"/>
      <c r="HZ249" s="2250"/>
      <c r="IA249" s="2250"/>
      <c r="IB249" s="2250"/>
      <c r="IC249" s="2250"/>
      <c r="ID249" s="2250"/>
      <c r="IE249" s="2250"/>
      <c r="IF249" s="2250"/>
      <c r="IG249" s="2250"/>
      <c r="IH249" s="2250"/>
      <c r="II249" s="2250"/>
      <c r="IJ249" s="2250"/>
      <c r="IK249" s="2250"/>
      <c r="IL249" s="2250"/>
    </row>
    <row r="250" spans="1:246" ht="21.95" customHeight="1">
      <c r="A250" s="2275"/>
      <c r="B250" s="4671"/>
      <c r="C250" s="2345">
        <v>825</v>
      </c>
      <c r="D250" s="2346">
        <v>28.02</v>
      </c>
      <c r="E250" s="2346">
        <v>30.69</v>
      </c>
      <c r="F250" s="2346">
        <v>33.659999999999997</v>
      </c>
      <c r="G250" s="2346">
        <v>33.659999999999997</v>
      </c>
      <c r="H250" s="2346">
        <v>37.43</v>
      </c>
      <c r="I250" s="2346">
        <v>38.119999999999997</v>
      </c>
      <c r="J250" s="2346">
        <v>41.98</v>
      </c>
      <c r="K250" s="2346">
        <v>44.75</v>
      </c>
      <c r="L250" s="2346">
        <v>47.43</v>
      </c>
      <c r="M250" s="2346">
        <v>50</v>
      </c>
      <c r="N250" s="2346">
        <v>53.07</v>
      </c>
      <c r="O250" s="2346">
        <v>59.6</v>
      </c>
      <c r="P250" s="2346">
        <v>62.57</v>
      </c>
      <c r="Q250" s="2346">
        <v>63.37</v>
      </c>
      <c r="R250" s="2346">
        <v>65.84</v>
      </c>
      <c r="S250" s="2346">
        <v>72.08</v>
      </c>
      <c r="T250" s="2346">
        <v>72.48</v>
      </c>
      <c r="U250" s="2346">
        <v>80.2</v>
      </c>
      <c r="V250" s="2346">
        <v>84.85</v>
      </c>
      <c r="W250" s="2346">
        <v>89.31</v>
      </c>
      <c r="X250" s="2346">
        <v>96.63</v>
      </c>
      <c r="Y250" s="2346">
        <v>104.46</v>
      </c>
      <c r="Z250" s="2346">
        <v>114.75</v>
      </c>
      <c r="AA250" s="2346">
        <v>117.33</v>
      </c>
      <c r="AB250" s="2346">
        <v>128.32</v>
      </c>
      <c r="AC250" s="2346">
        <v>131.49</v>
      </c>
      <c r="AD250" s="2346">
        <v>131.49</v>
      </c>
      <c r="AE250" s="2347">
        <v>825</v>
      </c>
      <c r="AF250" s="2275"/>
      <c r="AG250" s="2276">
        <f>HLOOKUP(AG242,D243:AD255,6,0)</f>
        <v>14.95</v>
      </c>
      <c r="AH250" s="2276">
        <f t="shared" si="256"/>
        <v>23.76</v>
      </c>
      <c r="AI250" s="2275">
        <v>775</v>
      </c>
      <c r="AJ250" s="2275"/>
      <c r="AK250" s="2275"/>
      <c r="AL250" s="2275"/>
      <c r="AM250" s="2275"/>
      <c r="AN250" s="2275"/>
      <c r="AO250" s="2275"/>
      <c r="AP250" s="2250"/>
      <c r="AQ250" s="2250"/>
      <c r="AR250" s="2250"/>
      <c r="AS250" s="2250"/>
      <c r="AT250" s="2250"/>
      <c r="AU250" s="2250"/>
      <c r="AV250" s="2250"/>
      <c r="AW250" s="2250"/>
      <c r="AX250" s="2250"/>
      <c r="AY250" s="2250"/>
      <c r="AZ250" s="2250"/>
      <c r="BA250" s="2250"/>
      <c r="BB250" s="2250"/>
      <c r="BC250" s="2250"/>
      <c r="BD250" s="2250"/>
      <c r="BE250" s="2250"/>
      <c r="BF250" s="2276"/>
      <c r="BG250" s="2276"/>
      <c r="BH250" s="2250"/>
      <c r="BI250" s="2275"/>
      <c r="BJ250" s="4671"/>
      <c r="BK250" s="2345">
        <v>825</v>
      </c>
      <c r="BL250" s="2346">
        <v>28.02</v>
      </c>
      <c r="BM250" s="2346">
        <v>30.69</v>
      </c>
      <c r="BN250" s="2346">
        <v>33.659999999999997</v>
      </c>
      <c r="BO250" s="2346">
        <v>33.659999999999997</v>
      </c>
      <c r="BP250" s="2346">
        <v>37.43</v>
      </c>
      <c r="BQ250" s="2346">
        <v>38.119999999999997</v>
      </c>
      <c r="BR250" s="2346">
        <v>41.98</v>
      </c>
      <c r="BS250" s="2346">
        <v>44.75</v>
      </c>
      <c r="BT250" s="2346">
        <v>47.43</v>
      </c>
      <c r="BU250" s="2346">
        <v>50</v>
      </c>
      <c r="BV250" s="2346">
        <v>53.07</v>
      </c>
      <c r="BW250" s="2346">
        <v>59.6</v>
      </c>
      <c r="BX250" s="2346">
        <v>62.57</v>
      </c>
      <c r="BY250" s="2346">
        <v>63.37</v>
      </c>
      <c r="BZ250" s="2346">
        <v>65.84</v>
      </c>
      <c r="CA250" s="2346">
        <v>72.08</v>
      </c>
      <c r="CB250" s="2346">
        <v>72.48</v>
      </c>
      <c r="CC250" s="2346">
        <v>80.2</v>
      </c>
      <c r="CD250" s="2346">
        <v>84.85</v>
      </c>
      <c r="CE250" s="2346">
        <v>89.31</v>
      </c>
      <c r="CF250" s="2346">
        <v>96.63</v>
      </c>
      <c r="CG250" s="2346">
        <v>104.46</v>
      </c>
      <c r="CH250" s="2346">
        <v>114.75</v>
      </c>
      <c r="CI250" s="2346">
        <v>117.33</v>
      </c>
      <c r="CJ250" s="2346">
        <v>128.32</v>
      </c>
      <c r="CK250" s="2346">
        <v>131.49</v>
      </c>
      <c r="CL250" s="2346">
        <v>131.49</v>
      </c>
      <c r="CM250" s="2347">
        <v>825</v>
      </c>
      <c r="CN250" s="2275"/>
      <c r="CO250" s="2276">
        <f>HLOOKUP(CO242,BL243:CL255,6,0)</f>
        <v>13.86</v>
      </c>
      <c r="CP250" s="2276">
        <f t="shared" si="257"/>
        <v>21.68</v>
      </c>
      <c r="CQ250" s="2275">
        <v>775</v>
      </c>
      <c r="CR250" s="2275"/>
      <c r="CS250" s="2275"/>
      <c r="CT250" s="2275"/>
      <c r="CU250" s="2275"/>
      <c r="CV250" s="2275"/>
      <c r="CW250" s="2275"/>
      <c r="CX250" s="2250"/>
      <c r="CY250" s="2250"/>
      <c r="CZ250" s="2250"/>
      <c r="DA250" s="2250"/>
      <c r="DB250" s="2250"/>
      <c r="DC250" s="2250"/>
      <c r="DD250" s="2250"/>
      <c r="DE250" s="2250"/>
      <c r="DF250" s="2250"/>
      <c r="DG250" s="2250"/>
      <c r="DH250" s="2250"/>
      <c r="DI250" s="2250"/>
      <c r="DJ250" s="2250"/>
      <c r="DK250" s="2250"/>
      <c r="DL250" s="2250"/>
      <c r="DM250" s="2250"/>
      <c r="DN250" s="2250"/>
      <c r="DO250" s="2250"/>
      <c r="DP250" s="2250"/>
      <c r="DQ250" s="2277"/>
      <c r="DR250" s="2277"/>
      <c r="DS250" s="2278"/>
      <c r="DT250" s="2250"/>
      <c r="DU250" s="2250"/>
      <c r="DV250" s="2250"/>
      <c r="DW250" s="2250"/>
      <c r="DX250" s="2275"/>
      <c r="DY250" s="4671"/>
      <c r="DZ250" s="2345">
        <v>775</v>
      </c>
      <c r="EA250" s="2346">
        <v>19.21</v>
      </c>
      <c r="EB250" s="2346">
        <v>21.68</v>
      </c>
      <c r="EC250" s="2346">
        <v>23.76</v>
      </c>
      <c r="ED250" s="2346">
        <v>25.54</v>
      </c>
      <c r="EE250" s="2346">
        <v>27.13</v>
      </c>
      <c r="EF250" s="2346">
        <v>27.33</v>
      </c>
      <c r="EG250" s="2346">
        <v>29.5</v>
      </c>
      <c r="EH250" s="2346">
        <v>31.58</v>
      </c>
      <c r="EI250" s="2346">
        <v>33.47</v>
      </c>
      <c r="EJ250" s="2346">
        <v>35.64</v>
      </c>
      <c r="EK250" s="2346">
        <v>39.409999999999997</v>
      </c>
      <c r="EL250" s="2346">
        <v>42.38</v>
      </c>
      <c r="EM250" s="2346">
        <v>44.46</v>
      </c>
      <c r="EN250" s="2346">
        <v>46.73</v>
      </c>
      <c r="EO250" s="2346">
        <v>48.12</v>
      </c>
      <c r="EP250" s="2346">
        <v>50.89</v>
      </c>
      <c r="EQ250" s="2346">
        <v>54.06</v>
      </c>
      <c r="ER250" s="2346">
        <v>58.61</v>
      </c>
      <c r="ES250" s="2346">
        <v>62.48</v>
      </c>
      <c r="ET250" s="2346">
        <v>66.83</v>
      </c>
      <c r="EU250" s="2346">
        <v>71.290000000000006</v>
      </c>
      <c r="EV250" s="2346">
        <v>78.709999999999994</v>
      </c>
      <c r="EW250" s="2346">
        <v>86.04</v>
      </c>
      <c r="EX250" s="2346">
        <v>95.35</v>
      </c>
      <c r="EY250" s="2346">
        <v>107.03</v>
      </c>
      <c r="EZ250" s="2346">
        <v>122.48</v>
      </c>
      <c r="FA250" s="2346">
        <v>131.49</v>
      </c>
      <c r="FB250" s="2347">
        <v>775</v>
      </c>
      <c r="FC250" s="2275"/>
      <c r="FD250" s="2276">
        <f>HLOOKUP(FD243,EA244:FA256,5,0)</f>
        <v>12.97</v>
      </c>
      <c r="FE250" s="2276">
        <f t="shared" si="258"/>
        <v>22.48</v>
      </c>
      <c r="FF250" s="2275">
        <v>650</v>
      </c>
      <c r="FG250" s="2275"/>
      <c r="FH250" s="2275"/>
      <c r="FI250" s="2275"/>
      <c r="FJ250" s="2275"/>
      <c r="FK250" s="2275"/>
      <c r="FL250" s="2275"/>
      <c r="FM250" s="2250"/>
      <c r="FN250" s="2250"/>
      <c r="FO250" s="2250"/>
      <c r="FP250" s="2250"/>
      <c r="FQ250" s="2250"/>
      <c r="FR250" s="2250"/>
      <c r="FS250" s="2250"/>
      <c r="FT250" s="2250"/>
      <c r="FU250" s="2250"/>
      <c r="FV250" s="2250"/>
      <c r="FW250" s="2250"/>
      <c r="FX250" s="2250"/>
      <c r="FY250" s="2250"/>
      <c r="FZ250" s="2250"/>
      <c r="GA250" s="2250"/>
      <c r="GB250" s="2250"/>
      <c r="GC250" s="2276"/>
      <c r="GD250" s="2276"/>
      <c r="GE250" s="2250"/>
      <c r="GF250" s="2275"/>
      <c r="GG250" s="4671"/>
      <c r="GH250" s="2345">
        <v>775</v>
      </c>
      <c r="GI250" s="2346">
        <v>19.21</v>
      </c>
      <c r="GJ250" s="2346">
        <v>21.68</v>
      </c>
      <c r="GK250" s="2346">
        <v>23.76</v>
      </c>
      <c r="GL250" s="2346">
        <v>25.54</v>
      </c>
      <c r="GM250" s="2346">
        <v>27.13</v>
      </c>
      <c r="GN250" s="2346">
        <v>27.33</v>
      </c>
      <c r="GO250" s="2346">
        <v>29.5</v>
      </c>
      <c r="GP250" s="2346">
        <v>31.58</v>
      </c>
      <c r="GQ250" s="2346">
        <v>33.47</v>
      </c>
      <c r="GR250" s="2346">
        <v>35.64</v>
      </c>
      <c r="GS250" s="2346">
        <v>39.409999999999997</v>
      </c>
      <c r="GT250" s="2346">
        <v>42.38</v>
      </c>
      <c r="GU250" s="2346">
        <v>44.46</v>
      </c>
      <c r="GV250" s="2346">
        <v>46.73</v>
      </c>
      <c r="GW250" s="2346">
        <v>48.12</v>
      </c>
      <c r="GX250" s="2346">
        <v>50.89</v>
      </c>
      <c r="GY250" s="2346">
        <v>54.06</v>
      </c>
      <c r="GZ250" s="2346">
        <v>58.61</v>
      </c>
      <c r="HA250" s="2346">
        <v>62.48</v>
      </c>
      <c r="HB250" s="2346">
        <v>66.83</v>
      </c>
      <c r="HC250" s="2346">
        <v>71.290000000000006</v>
      </c>
      <c r="HD250" s="2346">
        <v>78.709999999999994</v>
      </c>
      <c r="HE250" s="2346">
        <v>86.04</v>
      </c>
      <c r="HF250" s="2346">
        <v>95.35</v>
      </c>
      <c r="HG250" s="2346">
        <v>107.03</v>
      </c>
      <c r="HH250" s="2346">
        <v>122.48</v>
      </c>
      <c r="HI250" s="2346">
        <v>131.49</v>
      </c>
      <c r="HJ250" s="2347">
        <v>775</v>
      </c>
      <c r="HK250" s="2275"/>
      <c r="HL250" s="2276">
        <f>HLOOKUP(HL243,GI244:HI256,5,0)</f>
        <v>12.18</v>
      </c>
      <c r="HM250" s="2276">
        <f t="shared" si="259"/>
        <v>21.09</v>
      </c>
      <c r="HN250" s="2275">
        <v>650</v>
      </c>
      <c r="HO250" s="2275"/>
      <c r="HP250" s="2275"/>
      <c r="HQ250" s="2275"/>
      <c r="HR250" s="2275"/>
      <c r="HS250" s="2275"/>
      <c r="HT250" s="2275"/>
      <c r="HU250" s="2250"/>
      <c r="HV250" s="2250"/>
      <c r="HW250" s="2250"/>
      <c r="HX250" s="2250"/>
      <c r="HY250" s="2250"/>
      <c r="HZ250" s="2250"/>
      <c r="IA250" s="2250"/>
      <c r="IB250" s="2250"/>
      <c r="IC250" s="2250"/>
      <c r="ID250" s="2250"/>
      <c r="IE250" s="2250"/>
      <c r="IF250" s="2250"/>
      <c r="IG250" s="2250"/>
      <c r="IH250" s="2250"/>
      <c r="II250" s="2250"/>
      <c r="IJ250" s="2250"/>
      <c r="IK250" s="2250"/>
      <c r="IL250" s="2250"/>
    </row>
    <row r="251" spans="1:246" ht="21.95" customHeight="1">
      <c r="A251" s="2275"/>
      <c r="B251" s="4671"/>
      <c r="C251" s="2345">
        <v>950</v>
      </c>
      <c r="D251" s="2346">
        <v>38.909999999999997</v>
      </c>
      <c r="E251" s="2346">
        <v>43.86</v>
      </c>
      <c r="F251" s="2346">
        <v>48.61</v>
      </c>
      <c r="G251" s="2346">
        <v>51.19</v>
      </c>
      <c r="H251" s="2346">
        <v>51.19</v>
      </c>
      <c r="I251" s="2346">
        <v>55.35</v>
      </c>
      <c r="J251" s="2346">
        <v>61.29</v>
      </c>
      <c r="K251" s="2346">
        <v>65.05</v>
      </c>
      <c r="L251" s="2346">
        <v>69.11</v>
      </c>
      <c r="M251" s="2346">
        <v>75.25</v>
      </c>
      <c r="N251" s="2346">
        <v>76.53</v>
      </c>
      <c r="O251" s="2346">
        <v>89.6</v>
      </c>
      <c r="P251" s="2346">
        <v>90.59</v>
      </c>
      <c r="Q251" s="2346">
        <v>90.79</v>
      </c>
      <c r="R251" s="2346">
        <v>95.35</v>
      </c>
      <c r="S251" s="2346">
        <v>104.06</v>
      </c>
      <c r="T251" s="2346">
        <v>111.98</v>
      </c>
      <c r="U251" s="2346">
        <v>117.82</v>
      </c>
      <c r="V251" s="2346">
        <v>122.57</v>
      </c>
      <c r="W251" s="2346">
        <v>134.85</v>
      </c>
      <c r="X251" s="2346">
        <v>145.25</v>
      </c>
      <c r="Y251" s="2346">
        <v>157.03</v>
      </c>
      <c r="Z251" s="2346">
        <v>169.7</v>
      </c>
      <c r="AA251" s="2346">
        <v>186.73</v>
      </c>
      <c r="AB251" s="2346">
        <v>196.24</v>
      </c>
      <c r="AC251" s="2346">
        <v>196.24</v>
      </c>
      <c r="AD251" s="2346">
        <v>196.24</v>
      </c>
      <c r="AE251" s="2347">
        <v>950</v>
      </c>
      <c r="AF251" s="2275"/>
      <c r="AG251" s="2276">
        <f>HLOOKUP(AG242,D243:AD255,7,0)</f>
        <v>23.76</v>
      </c>
      <c r="AH251" s="2276">
        <f t="shared" si="256"/>
        <v>33.659999999999997</v>
      </c>
      <c r="AI251" s="2275">
        <v>825</v>
      </c>
      <c r="AJ251" s="2275"/>
      <c r="AK251" s="2275"/>
      <c r="AL251" s="2275"/>
      <c r="AM251" s="2275"/>
      <c r="AN251" s="2275"/>
      <c r="AO251" s="2275"/>
      <c r="AP251" s="2250"/>
      <c r="AQ251" s="2250"/>
      <c r="AR251" s="2250"/>
      <c r="AS251" s="2250"/>
      <c r="AT251" s="2250"/>
      <c r="AU251" s="2250"/>
      <c r="AV251" s="2250"/>
      <c r="AW251" s="2250"/>
      <c r="AX251" s="2250"/>
      <c r="AY251" s="2250"/>
      <c r="AZ251" s="2250"/>
      <c r="BA251" s="2250"/>
      <c r="BB251" s="2250"/>
      <c r="BC251" s="2250"/>
      <c r="BD251" s="2250"/>
      <c r="BE251" s="2250"/>
      <c r="BF251" s="2276"/>
      <c r="BG251" s="2276"/>
      <c r="BH251" s="2250"/>
      <c r="BI251" s="2275"/>
      <c r="BJ251" s="4671"/>
      <c r="BK251" s="2345">
        <v>950</v>
      </c>
      <c r="BL251" s="2346">
        <v>38.909999999999997</v>
      </c>
      <c r="BM251" s="2346">
        <v>43.86</v>
      </c>
      <c r="BN251" s="2346">
        <v>48.61</v>
      </c>
      <c r="BO251" s="2346">
        <v>51.19</v>
      </c>
      <c r="BP251" s="2346">
        <v>51.19</v>
      </c>
      <c r="BQ251" s="2346">
        <v>55.35</v>
      </c>
      <c r="BR251" s="2346">
        <v>61.29</v>
      </c>
      <c r="BS251" s="2346">
        <v>65.05</v>
      </c>
      <c r="BT251" s="2346">
        <v>69.11</v>
      </c>
      <c r="BU251" s="2346">
        <v>75.25</v>
      </c>
      <c r="BV251" s="2346">
        <v>76.53</v>
      </c>
      <c r="BW251" s="2346">
        <v>89.6</v>
      </c>
      <c r="BX251" s="2346">
        <v>90.59</v>
      </c>
      <c r="BY251" s="2346">
        <v>90.79</v>
      </c>
      <c r="BZ251" s="2346">
        <v>95.35</v>
      </c>
      <c r="CA251" s="2346">
        <v>104.06</v>
      </c>
      <c r="CB251" s="2346">
        <v>111.98</v>
      </c>
      <c r="CC251" s="2346">
        <v>117.82</v>
      </c>
      <c r="CD251" s="2346">
        <v>122.57</v>
      </c>
      <c r="CE251" s="2346">
        <v>134.85</v>
      </c>
      <c r="CF251" s="2346">
        <v>145.25</v>
      </c>
      <c r="CG251" s="2346">
        <v>157.03</v>
      </c>
      <c r="CH251" s="2346">
        <v>169.7</v>
      </c>
      <c r="CI251" s="2346">
        <v>186.73</v>
      </c>
      <c r="CJ251" s="2346">
        <v>196.24</v>
      </c>
      <c r="CK251" s="2346">
        <v>196.24</v>
      </c>
      <c r="CL251" s="2346">
        <v>196.24</v>
      </c>
      <c r="CM251" s="2347">
        <v>950</v>
      </c>
      <c r="CN251" s="2275"/>
      <c r="CO251" s="2276">
        <f>HLOOKUP(CO242,BL243:CL255,7,0)</f>
        <v>21.68</v>
      </c>
      <c r="CP251" s="2276">
        <f t="shared" si="257"/>
        <v>30.69</v>
      </c>
      <c r="CQ251" s="2275">
        <v>825</v>
      </c>
      <c r="CR251" s="2275"/>
      <c r="CS251" s="2275"/>
      <c r="CT251" s="2275"/>
      <c r="CU251" s="2275"/>
      <c r="CV251" s="2275"/>
      <c r="CW251" s="2275"/>
      <c r="CX251" s="2250"/>
      <c r="CY251" s="2250"/>
      <c r="CZ251" s="2250"/>
      <c r="DA251" s="2250"/>
      <c r="DB251" s="2250"/>
      <c r="DC251" s="2250"/>
      <c r="DD251" s="2250"/>
      <c r="DE251" s="2250"/>
      <c r="DF251" s="2250"/>
      <c r="DG251" s="2250"/>
      <c r="DH251" s="2250"/>
      <c r="DI251" s="2250"/>
      <c r="DJ251" s="2250"/>
      <c r="DK251" s="2250"/>
      <c r="DL251" s="2250"/>
      <c r="DM251" s="2250"/>
      <c r="DN251" s="2250"/>
      <c r="DO251" s="2250"/>
      <c r="DP251" s="2250"/>
      <c r="DQ251" s="2277"/>
      <c r="DR251" s="2277"/>
      <c r="DS251" s="2278"/>
      <c r="DT251" s="2250"/>
      <c r="DU251" s="2250"/>
      <c r="DV251" s="2250"/>
      <c r="DW251" s="2250"/>
      <c r="DX251" s="2275"/>
      <c r="DY251" s="4671"/>
      <c r="DZ251" s="2345">
        <v>825</v>
      </c>
      <c r="EA251" s="2346">
        <v>28.02</v>
      </c>
      <c r="EB251" s="2346">
        <v>30.69</v>
      </c>
      <c r="EC251" s="2346">
        <v>33.659999999999997</v>
      </c>
      <c r="ED251" s="2346">
        <v>33.659999999999997</v>
      </c>
      <c r="EE251" s="2346">
        <v>37.43</v>
      </c>
      <c r="EF251" s="2346">
        <v>38.119999999999997</v>
      </c>
      <c r="EG251" s="2346">
        <v>41.98</v>
      </c>
      <c r="EH251" s="2346">
        <v>44.75</v>
      </c>
      <c r="EI251" s="2346">
        <v>47.43</v>
      </c>
      <c r="EJ251" s="2346">
        <v>50</v>
      </c>
      <c r="EK251" s="2346">
        <v>53.07</v>
      </c>
      <c r="EL251" s="2346">
        <v>59.6</v>
      </c>
      <c r="EM251" s="2346">
        <v>62.57</v>
      </c>
      <c r="EN251" s="2346">
        <v>63.37</v>
      </c>
      <c r="EO251" s="2346">
        <v>65.84</v>
      </c>
      <c r="EP251" s="2346">
        <v>72.08</v>
      </c>
      <c r="EQ251" s="2346">
        <v>72.48</v>
      </c>
      <c r="ER251" s="2346">
        <v>80.2</v>
      </c>
      <c r="ES251" s="2346">
        <v>84.85</v>
      </c>
      <c r="ET251" s="2346">
        <v>89.31</v>
      </c>
      <c r="EU251" s="2346">
        <v>96.63</v>
      </c>
      <c r="EV251" s="2346">
        <v>104.46</v>
      </c>
      <c r="EW251" s="2346">
        <v>114.75</v>
      </c>
      <c r="EX251" s="2346">
        <v>117.33</v>
      </c>
      <c r="EY251" s="2346">
        <v>128.32</v>
      </c>
      <c r="EZ251" s="2346">
        <v>131.49</v>
      </c>
      <c r="FA251" s="2346">
        <v>131.49</v>
      </c>
      <c r="FB251" s="2347">
        <v>825</v>
      </c>
      <c r="FC251" s="2275"/>
      <c r="FD251" s="2276">
        <f>HLOOKUP(FD243,EA244:FA256,6,0)</f>
        <v>22.48</v>
      </c>
      <c r="FE251" s="2276">
        <f t="shared" si="258"/>
        <v>35.64</v>
      </c>
      <c r="FF251" s="2275">
        <v>775</v>
      </c>
      <c r="FG251" s="2275"/>
      <c r="FH251" s="2275"/>
      <c r="FI251" s="2275"/>
      <c r="FJ251" s="2275"/>
      <c r="FK251" s="2275"/>
      <c r="FL251" s="2275"/>
      <c r="FM251" s="2250"/>
      <c r="FN251" s="2250"/>
      <c r="FO251" s="2250"/>
      <c r="FP251" s="2250"/>
      <c r="FQ251" s="2250"/>
      <c r="FR251" s="2250"/>
      <c r="FS251" s="2250"/>
      <c r="FT251" s="2250"/>
      <c r="FU251" s="2250"/>
      <c r="FV251" s="2250"/>
      <c r="FW251" s="2250"/>
      <c r="FX251" s="2250"/>
      <c r="FY251" s="2250"/>
      <c r="FZ251" s="2250"/>
      <c r="GA251" s="2250"/>
      <c r="GB251" s="2250"/>
      <c r="GC251" s="2276"/>
      <c r="GD251" s="2276"/>
      <c r="GE251" s="2250"/>
      <c r="GF251" s="2275"/>
      <c r="GG251" s="4671"/>
      <c r="GH251" s="2345">
        <v>825</v>
      </c>
      <c r="GI251" s="2346">
        <v>28.02</v>
      </c>
      <c r="GJ251" s="2346">
        <v>30.69</v>
      </c>
      <c r="GK251" s="2346">
        <v>33.659999999999997</v>
      </c>
      <c r="GL251" s="2346">
        <v>33.659999999999997</v>
      </c>
      <c r="GM251" s="2346">
        <v>37.43</v>
      </c>
      <c r="GN251" s="2346">
        <v>38.119999999999997</v>
      </c>
      <c r="GO251" s="2346">
        <v>41.98</v>
      </c>
      <c r="GP251" s="2346">
        <v>44.75</v>
      </c>
      <c r="GQ251" s="2346">
        <v>47.43</v>
      </c>
      <c r="GR251" s="2346">
        <v>50</v>
      </c>
      <c r="GS251" s="2346">
        <v>53.07</v>
      </c>
      <c r="GT251" s="2346">
        <v>59.6</v>
      </c>
      <c r="GU251" s="2346">
        <v>62.57</v>
      </c>
      <c r="GV251" s="2346">
        <v>63.37</v>
      </c>
      <c r="GW251" s="2346">
        <v>65.84</v>
      </c>
      <c r="GX251" s="2346">
        <v>72.08</v>
      </c>
      <c r="GY251" s="2346">
        <v>72.48</v>
      </c>
      <c r="GZ251" s="2346">
        <v>80.2</v>
      </c>
      <c r="HA251" s="2346">
        <v>84.85</v>
      </c>
      <c r="HB251" s="2346">
        <v>89.31</v>
      </c>
      <c r="HC251" s="2346">
        <v>96.63</v>
      </c>
      <c r="HD251" s="2346">
        <v>104.46</v>
      </c>
      <c r="HE251" s="2346">
        <v>114.75</v>
      </c>
      <c r="HF251" s="2346">
        <v>117.33</v>
      </c>
      <c r="HG251" s="2346">
        <v>128.32</v>
      </c>
      <c r="HH251" s="2346">
        <v>131.49</v>
      </c>
      <c r="HI251" s="2346">
        <v>131.49</v>
      </c>
      <c r="HJ251" s="2347">
        <v>825</v>
      </c>
      <c r="HK251" s="2275"/>
      <c r="HL251" s="2276">
        <f>HLOOKUP(HL243,GI244:HI256,6,0)</f>
        <v>21.09</v>
      </c>
      <c r="HM251" s="2276">
        <f t="shared" si="259"/>
        <v>33.47</v>
      </c>
      <c r="HN251" s="2275">
        <v>775</v>
      </c>
      <c r="HO251" s="2275"/>
      <c r="HP251" s="2275"/>
      <c r="HQ251" s="2275"/>
      <c r="HR251" s="2275"/>
      <c r="HS251" s="2275"/>
      <c r="HT251" s="2275"/>
      <c r="HU251" s="2250"/>
      <c r="HV251" s="2250"/>
      <c r="HW251" s="2250"/>
      <c r="HX251" s="2250"/>
      <c r="HY251" s="2250"/>
      <c r="HZ251" s="2250"/>
      <c r="IA251" s="2250"/>
      <c r="IB251" s="2250"/>
      <c r="IC251" s="2250"/>
      <c r="ID251" s="2250"/>
      <c r="IE251" s="2250"/>
      <c r="IF251" s="2250"/>
      <c r="IG251" s="2250"/>
      <c r="IH251" s="2250"/>
      <c r="II251" s="2250"/>
      <c r="IJ251" s="2250"/>
      <c r="IK251" s="2250"/>
      <c r="IL251" s="2250"/>
    </row>
    <row r="252" spans="1:246" ht="21.95" customHeight="1">
      <c r="A252" s="2275"/>
      <c r="B252" s="4671"/>
      <c r="C252" s="2345">
        <v>1100</v>
      </c>
      <c r="D252" s="2346">
        <v>52.28</v>
      </c>
      <c r="E252" s="2346">
        <v>58.91</v>
      </c>
      <c r="F252" s="2346">
        <v>65.25</v>
      </c>
      <c r="G252" s="2346">
        <v>77.23</v>
      </c>
      <c r="H252" s="2346">
        <v>78.61</v>
      </c>
      <c r="I252" s="2346">
        <v>74.260000000000005</v>
      </c>
      <c r="J252" s="2346">
        <v>82.28</v>
      </c>
      <c r="K252" s="2346">
        <v>90.2</v>
      </c>
      <c r="L252" s="2346">
        <v>95.84</v>
      </c>
      <c r="M252" s="2346">
        <v>101.49</v>
      </c>
      <c r="N252" s="2346">
        <v>114.75</v>
      </c>
      <c r="O252" s="2346">
        <v>122.77</v>
      </c>
      <c r="P252" s="2346">
        <v>129.6</v>
      </c>
      <c r="Q252" s="2346">
        <v>131.38999999999999</v>
      </c>
      <c r="R252" s="2346">
        <v>140.30000000000001</v>
      </c>
      <c r="S252" s="2346">
        <v>148.91</v>
      </c>
      <c r="T252" s="2346">
        <v>157.52000000000001</v>
      </c>
      <c r="U252" s="2346">
        <v>169.9</v>
      </c>
      <c r="V252" s="2346">
        <v>180.2</v>
      </c>
      <c r="W252" s="2346">
        <v>196.34</v>
      </c>
      <c r="X252" s="2346">
        <v>207.82</v>
      </c>
      <c r="Y252" s="2346">
        <v>228.91</v>
      </c>
      <c r="Z252" s="2346">
        <v>249.01</v>
      </c>
      <c r="AA252" s="2346">
        <v>278.12</v>
      </c>
      <c r="AB252" s="2346">
        <v>305.14999999999998</v>
      </c>
      <c r="AC252" s="2346">
        <v>355.05</v>
      </c>
      <c r="AD252" s="2346">
        <v>383.27</v>
      </c>
      <c r="AE252" s="2347">
        <v>1100</v>
      </c>
      <c r="AF252" s="2275"/>
      <c r="AG252" s="2276">
        <f>HLOOKUP(AG242,D243:AD255,8,0)</f>
        <v>33.659999999999997</v>
      </c>
      <c r="AH252" s="2276">
        <f t="shared" si="256"/>
        <v>48.61</v>
      </c>
      <c r="AI252" s="2275">
        <v>950</v>
      </c>
      <c r="AJ252" s="2275"/>
      <c r="AK252" s="2275"/>
      <c r="AL252" s="2275"/>
      <c r="AM252" s="2275"/>
      <c r="AN252" s="2275"/>
      <c r="AO252" s="2275"/>
      <c r="AP252" s="2250"/>
      <c r="AQ252" s="2250"/>
      <c r="AR252" s="2250"/>
      <c r="AS252" s="2250"/>
      <c r="AT252" s="2250"/>
      <c r="AU252" s="2250"/>
      <c r="AV252" s="2250"/>
      <c r="AW252" s="2250"/>
      <c r="AX252" s="2250"/>
      <c r="AY252" s="2250"/>
      <c r="AZ252" s="2250"/>
      <c r="BA252" s="2250"/>
      <c r="BB252" s="2250"/>
      <c r="BC252" s="2250"/>
      <c r="BD252" s="2250"/>
      <c r="BE252" s="2250"/>
      <c r="BF252" s="2276"/>
      <c r="BG252" s="2276"/>
      <c r="BH252" s="2250"/>
      <c r="BI252" s="2275"/>
      <c r="BJ252" s="4671"/>
      <c r="BK252" s="2345">
        <v>1100</v>
      </c>
      <c r="BL252" s="2346">
        <v>52.28</v>
      </c>
      <c r="BM252" s="2346">
        <v>58.91</v>
      </c>
      <c r="BN252" s="2346">
        <v>65.25</v>
      </c>
      <c r="BO252" s="2346">
        <v>77.23</v>
      </c>
      <c r="BP252" s="2346">
        <v>78.61</v>
      </c>
      <c r="BQ252" s="2346">
        <v>74.260000000000005</v>
      </c>
      <c r="BR252" s="2346">
        <v>82.28</v>
      </c>
      <c r="BS252" s="2346">
        <v>90.2</v>
      </c>
      <c r="BT252" s="2346">
        <v>95.84</v>
      </c>
      <c r="BU252" s="2346">
        <v>101.49</v>
      </c>
      <c r="BV252" s="2346">
        <v>114.75</v>
      </c>
      <c r="BW252" s="2346">
        <v>122.77</v>
      </c>
      <c r="BX252" s="2346">
        <v>129.6</v>
      </c>
      <c r="BY252" s="2346">
        <v>131.38999999999999</v>
      </c>
      <c r="BZ252" s="2346">
        <v>140.30000000000001</v>
      </c>
      <c r="CA252" s="2346">
        <v>148.91</v>
      </c>
      <c r="CB252" s="2346">
        <v>157.52000000000001</v>
      </c>
      <c r="CC252" s="2346">
        <v>169.9</v>
      </c>
      <c r="CD252" s="2346">
        <v>180.2</v>
      </c>
      <c r="CE252" s="2346">
        <v>196.34</v>
      </c>
      <c r="CF252" s="2346">
        <v>207.82</v>
      </c>
      <c r="CG252" s="2346">
        <v>228.91</v>
      </c>
      <c r="CH252" s="2346">
        <v>249.01</v>
      </c>
      <c r="CI252" s="2346">
        <v>278.12</v>
      </c>
      <c r="CJ252" s="2346">
        <v>305.14999999999998</v>
      </c>
      <c r="CK252" s="2346">
        <v>355.05</v>
      </c>
      <c r="CL252" s="2346">
        <v>383.27</v>
      </c>
      <c r="CM252" s="2347">
        <v>1100</v>
      </c>
      <c r="CN252" s="2275"/>
      <c r="CO252" s="2276">
        <f>HLOOKUP(CO242,BL243:CL255,8,0)</f>
        <v>30.69</v>
      </c>
      <c r="CP252" s="2276">
        <f t="shared" si="257"/>
        <v>43.86</v>
      </c>
      <c r="CQ252" s="2275">
        <v>950</v>
      </c>
      <c r="CR252" s="2275"/>
      <c r="CS252" s="2275"/>
      <c r="CT252" s="2275"/>
      <c r="CU252" s="2275"/>
      <c r="CV252" s="2275"/>
      <c r="CW252" s="2275"/>
      <c r="CX252" s="2250"/>
      <c r="CY252" s="2250"/>
      <c r="CZ252" s="2250"/>
      <c r="DA252" s="2250"/>
      <c r="DB252" s="2250"/>
      <c r="DC252" s="2250"/>
      <c r="DD252" s="2250"/>
      <c r="DE252" s="2250"/>
      <c r="DF252" s="2250"/>
      <c r="DG252" s="2250"/>
      <c r="DH252" s="2250"/>
      <c r="DI252" s="2250"/>
      <c r="DJ252" s="2250"/>
      <c r="DK252" s="2250"/>
      <c r="DL252" s="2250"/>
      <c r="DM252" s="2250"/>
      <c r="DN252" s="2250"/>
      <c r="DO252" s="2250"/>
      <c r="DP252" s="2250"/>
      <c r="DQ252" s="2277"/>
      <c r="DR252" s="2277"/>
      <c r="DS252" s="2278"/>
      <c r="DT252" s="2250"/>
      <c r="DU252" s="2250"/>
      <c r="DV252" s="2250"/>
      <c r="DW252" s="2250"/>
      <c r="DX252" s="2275"/>
      <c r="DY252" s="4671"/>
      <c r="DZ252" s="2345">
        <v>950</v>
      </c>
      <c r="EA252" s="2346">
        <v>38.909999999999997</v>
      </c>
      <c r="EB252" s="2346">
        <v>43.86</v>
      </c>
      <c r="EC252" s="2346">
        <v>48.61</v>
      </c>
      <c r="ED252" s="2346">
        <v>51.19</v>
      </c>
      <c r="EE252" s="2346">
        <v>51.19</v>
      </c>
      <c r="EF252" s="2346">
        <v>55.35</v>
      </c>
      <c r="EG252" s="2346">
        <v>61.29</v>
      </c>
      <c r="EH252" s="2346">
        <v>65.05</v>
      </c>
      <c r="EI252" s="2346">
        <v>69.11</v>
      </c>
      <c r="EJ252" s="2346">
        <v>75.25</v>
      </c>
      <c r="EK252" s="2346">
        <v>76.53</v>
      </c>
      <c r="EL252" s="2346">
        <v>89.6</v>
      </c>
      <c r="EM252" s="2346">
        <v>90.59</v>
      </c>
      <c r="EN252" s="2346">
        <v>90.79</v>
      </c>
      <c r="EO252" s="2346">
        <v>95.35</v>
      </c>
      <c r="EP252" s="2346">
        <v>104.06</v>
      </c>
      <c r="EQ252" s="2346">
        <v>111.98</v>
      </c>
      <c r="ER252" s="2346">
        <v>117.82</v>
      </c>
      <c r="ES252" s="2346">
        <v>122.57</v>
      </c>
      <c r="ET252" s="2346">
        <v>134.85</v>
      </c>
      <c r="EU252" s="2346">
        <v>145.25</v>
      </c>
      <c r="EV252" s="2346">
        <v>157.03</v>
      </c>
      <c r="EW252" s="2346">
        <v>169.7</v>
      </c>
      <c r="EX252" s="2346">
        <v>186.73</v>
      </c>
      <c r="EY252" s="2346">
        <v>196.24</v>
      </c>
      <c r="EZ252" s="2346">
        <v>196.24</v>
      </c>
      <c r="FA252" s="2346">
        <v>196.24</v>
      </c>
      <c r="FB252" s="2347">
        <v>950</v>
      </c>
      <c r="FC252" s="2275"/>
      <c r="FD252" s="2276">
        <f>HLOOKUP(FD243,EA244:FA256,7,0)</f>
        <v>35.64</v>
      </c>
      <c r="FE252" s="2276">
        <f t="shared" si="258"/>
        <v>50</v>
      </c>
      <c r="FF252" s="2275">
        <v>825</v>
      </c>
      <c r="FG252" s="2275"/>
      <c r="FH252" s="2275"/>
      <c r="FI252" s="2275"/>
      <c r="FJ252" s="2275"/>
      <c r="FK252" s="2275"/>
      <c r="FL252" s="2275"/>
      <c r="FM252" s="2250"/>
      <c r="FN252" s="2250"/>
      <c r="FO252" s="2250"/>
      <c r="FP252" s="2250"/>
      <c r="FQ252" s="2250"/>
      <c r="FR252" s="2250"/>
      <c r="FS252" s="2250"/>
      <c r="FT252" s="2250"/>
      <c r="FU252" s="2250"/>
      <c r="FV252" s="2250"/>
      <c r="FW252" s="2250"/>
      <c r="FX252" s="2250"/>
      <c r="FY252" s="2250"/>
      <c r="FZ252" s="2250"/>
      <c r="GA252" s="2250"/>
      <c r="GB252" s="2250"/>
      <c r="GC252" s="2276"/>
      <c r="GD252" s="2276"/>
      <c r="GE252" s="2250"/>
      <c r="GF252" s="2275"/>
      <c r="GG252" s="4671"/>
      <c r="GH252" s="2345">
        <v>950</v>
      </c>
      <c r="GI252" s="2346">
        <v>38.909999999999997</v>
      </c>
      <c r="GJ252" s="2346">
        <v>43.86</v>
      </c>
      <c r="GK252" s="2346">
        <v>48.61</v>
      </c>
      <c r="GL252" s="2346">
        <v>51.19</v>
      </c>
      <c r="GM252" s="2346">
        <v>51.19</v>
      </c>
      <c r="GN252" s="2346">
        <v>55.35</v>
      </c>
      <c r="GO252" s="2346">
        <v>61.29</v>
      </c>
      <c r="GP252" s="2346">
        <v>65.05</v>
      </c>
      <c r="GQ252" s="2346">
        <v>69.11</v>
      </c>
      <c r="GR252" s="2346">
        <v>75.25</v>
      </c>
      <c r="GS252" s="2346">
        <v>76.53</v>
      </c>
      <c r="GT252" s="2346">
        <v>89.6</v>
      </c>
      <c r="GU252" s="2346">
        <v>90.59</v>
      </c>
      <c r="GV252" s="2346">
        <v>90.79</v>
      </c>
      <c r="GW252" s="2346">
        <v>95.35</v>
      </c>
      <c r="GX252" s="2346">
        <v>104.06</v>
      </c>
      <c r="GY252" s="2346">
        <v>111.98</v>
      </c>
      <c r="GZ252" s="2346">
        <v>117.82</v>
      </c>
      <c r="HA252" s="2346">
        <v>122.57</v>
      </c>
      <c r="HB252" s="2346">
        <v>134.85</v>
      </c>
      <c r="HC252" s="2346">
        <v>145.25</v>
      </c>
      <c r="HD252" s="2346">
        <v>157.03</v>
      </c>
      <c r="HE252" s="2346">
        <v>169.7</v>
      </c>
      <c r="HF252" s="2346">
        <v>186.73</v>
      </c>
      <c r="HG252" s="2346">
        <v>196.24</v>
      </c>
      <c r="HH252" s="2346">
        <v>196.24</v>
      </c>
      <c r="HI252" s="2346">
        <v>196.24</v>
      </c>
      <c r="HJ252" s="2347">
        <v>950</v>
      </c>
      <c r="HK252" s="2275"/>
      <c r="HL252" s="2276">
        <f>HLOOKUP(HL243,GI244:HI256,7,0)</f>
        <v>33.47</v>
      </c>
      <c r="HM252" s="2276">
        <f t="shared" si="259"/>
        <v>47.43</v>
      </c>
      <c r="HN252" s="2275">
        <v>825</v>
      </c>
      <c r="HO252" s="2275"/>
      <c r="HP252" s="2275"/>
      <c r="HQ252" s="2275"/>
      <c r="HR252" s="2275"/>
      <c r="HS252" s="2275"/>
      <c r="HT252" s="2275"/>
      <c r="HU252" s="2250"/>
      <c r="HV252" s="2250"/>
      <c r="HW252" s="2250"/>
      <c r="HX252" s="2250"/>
      <c r="HY252" s="2250"/>
      <c r="HZ252" s="2250"/>
      <c r="IA252" s="2250"/>
      <c r="IB252" s="2250"/>
      <c r="IC252" s="2250"/>
      <c r="ID252" s="2250"/>
      <c r="IE252" s="2250"/>
      <c r="IF252" s="2250"/>
      <c r="IG252" s="2250"/>
      <c r="IH252" s="2250"/>
      <c r="II252" s="2250"/>
      <c r="IJ252" s="2250"/>
      <c r="IK252" s="2250"/>
      <c r="IL252" s="2250"/>
    </row>
    <row r="253" spans="1:246" ht="21.95" customHeight="1">
      <c r="A253" s="2275"/>
      <c r="B253" s="4671"/>
      <c r="C253" s="2345">
        <v>1250</v>
      </c>
      <c r="D253" s="2346">
        <v>76.73</v>
      </c>
      <c r="E253" s="2346">
        <v>86.53</v>
      </c>
      <c r="F253" s="2346">
        <v>94.16</v>
      </c>
      <c r="G253" s="2346">
        <v>100.99</v>
      </c>
      <c r="H253" s="2346">
        <v>107.33</v>
      </c>
      <c r="I253" s="2346">
        <v>109.01</v>
      </c>
      <c r="J253" s="2346">
        <v>116.73</v>
      </c>
      <c r="K253" s="2346">
        <v>124.95</v>
      </c>
      <c r="L253" s="2346">
        <v>132.57</v>
      </c>
      <c r="M253" s="2346">
        <v>141.19</v>
      </c>
      <c r="N253" s="2346">
        <v>156.13999999999999</v>
      </c>
      <c r="O253" s="2346">
        <v>168.61</v>
      </c>
      <c r="P253" s="2346">
        <v>176.14</v>
      </c>
      <c r="Q253" s="2346">
        <v>185.05</v>
      </c>
      <c r="R253" s="2346">
        <v>194.85</v>
      </c>
      <c r="S253" s="2346">
        <v>201.29</v>
      </c>
      <c r="T253" s="2346">
        <v>214.16</v>
      </c>
      <c r="U253" s="2346">
        <v>232.28</v>
      </c>
      <c r="V253" s="2346">
        <v>247.43</v>
      </c>
      <c r="W253" s="2346">
        <v>252.77</v>
      </c>
      <c r="X253" s="2346">
        <v>263.37</v>
      </c>
      <c r="Y253" s="2346">
        <v>295.54000000000002</v>
      </c>
      <c r="Z253" s="2346">
        <v>337.72</v>
      </c>
      <c r="AA253" s="2346">
        <v>372.28</v>
      </c>
      <c r="AB253" s="2346">
        <v>383.27</v>
      </c>
      <c r="AC253" s="2346">
        <v>383.27</v>
      </c>
      <c r="AD253" s="2346">
        <v>383.27</v>
      </c>
      <c r="AE253" s="2347">
        <v>1250</v>
      </c>
      <c r="AF253" s="2275"/>
      <c r="AG253" s="2276">
        <f>HLOOKUP(AG242,D243:AD255,9,0)</f>
        <v>48.61</v>
      </c>
      <c r="AH253" s="2276">
        <f t="shared" si="256"/>
        <v>65.25</v>
      </c>
      <c r="AI253" s="2275">
        <v>1100</v>
      </c>
      <c r="AJ253" s="2275"/>
      <c r="AK253" s="2275"/>
      <c r="AL253" s="2275"/>
      <c r="AM253" s="2275"/>
      <c r="AN253" s="2275"/>
      <c r="AO253" s="2275"/>
      <c r="AP253" s="2250"/>
      <c r="AQ253" s="2250"/>
      <c r="AR253" s="2250"/>
      <c r="AS253" s="2250"/>
      <c r="AT253" s="2250"/>
      <c r="AU253" s="2250"/>
      <c r="AV253" s="2250"/>
      <c r="AW253" s="2250"/>
      <c r="AX253" s="2250"/>
      <c r="AY253" s="2250"/>
      <c r="AZ253" s="2250"/>
      <c r="BA253" s="2250"/>
      <c r="BB253" s="2250"/>
      <c r="BC253" s="2250"/>
      <c r="BD253" s="2250"/>
      <c r="BE253" s="2250"/>
      <c r="BF253" s="2276"/>
      <c r="BG253" s="2276"/>
      <c r="BH253" s="2250"/>
      <c r="BI253" s="2275"/>
      <c r="BJ253" s="4671"/>
      <c r="BK253" s="2345">
        <v>1250</v>
      </c>
      <c r="BL253" s="2346">
        <v>76.73</v>
      </c>
      <c r="BM253" s="2346">
        <v>86.53</v>
      </c>
      <c r="BN253" s="2346">
        <v>94.16</v>
      </c>
      <c r="BO253" s="2346">
        <v>100.99</v>
      </c>
      <c r="BP253" s="2346">
        <v>107.33</v>
      </c>
      <c r="BQ253" s="2346">
        <v>109.01</v>
      </c>
      <c r="BR253" s="2346">
        <v>116.73</v>
      </c>
      <c r="BS253" s="2346">
        <v>124.95</v>
      </c>
      <c r="BT253" s="2346">
        <v>132.57</v>
      </c>
      <c r="BU253" s="2346">
        <v>141.19</v>
      </c>
      <c r="BV253" s="2346">
        <v>156.13999999999999</v>
      </c>
      <c r="BW253" s="2346">
        <v>168.61</v>
      </c>
      <c r="BX253" s="2346">
        <v>176.14</v>
      </c>
      <c r="BY253" s="2346">
        <v>185.05</v>
      </c>
      <c r="BZ253" s="2346">
        <v>194.85</v>
      </c>
      <c r="CA253" s="2346">
        <v>201.29</v>
      </c>
      <c r="CB253" s="2346">
        <v>214.16</v>
      </c>
      <c r="CC253" s="2346">
        <v>232.28</v>
      </c>
      <c r="CD253" s="2346">
        <v>247.43</v>
      </c>
      <c r="CE253" s="2346">
        <v>252.77</v>
      </c>
      <c r="CF253" s="2346">
        <v>263.37</v>
      </c>
      <c r="CG253" s="2346">
        <v>295.54000000000002</v>
      </c>
      <c r="CH253" s="2346">
        <v>337.72</v>
      </c>
      <c r="CI253" s="2346">
        <v>372.28</v>
      </c>
      <c r="CJ253" s="2346">
        <v>383.27</v>
      </c>
      <c r="CK253" s="2346">
        <v>383.27</v>
      </c>
      <c r="CL253" s="2346">
        <v>383.27</v>
      </c>
      <c r="CM253" s="2347">
        <v>1250</v>
      </c>
      <c r="CN253" s="2275"/>
      <c r="CO253" s="2276">
        <f>HLOOKUP(CO242,BL243:CL255,9,0)</f>
        <v>43.86</v>
      </c>
      <c r="CP253" s="2276">
        <f t="shared" si="257"/>
        <v>58.91</v>
      </c>
      <c r="CQ253" s="2275">
        <v>1100</v>
      </c>
      <c r="CR253" s="2275"/>
      <c r="CS253" s="2275"/>
      <c r="CT253" s="2275"/>
      <c r="CU253" s="2275"/>
      <c r="CV253" s="2275"/>
      <c r="CW253" s="2275"/>
      <c r="CX253" s="2250"/>
      <c r="CY253" s="2250"/>
      <c r="CZ253" s="2250"/>
      <c r="DA253" s="2250"/>
      <c r="DB253" s="2250"/>
      <c r="DC253" s="2250"/>
      <c r="DD253" s="2250"/>
      <c r="DE253" s="2250"/>
      <c r="DF253" s="2250"/>
      <c r="DG253" s="2250"/>
      <c r="DH253" s="2250"/>
      <c r="DI253" s="2250"/>
      <c r="DJ253" s="2250"/>
      <c r="DK253" s="2250"/>
      <c r="DL253" s="2250"/>
      <c r="DM253" s="2250"/>
      <c r="DN253" s="2250"/>
      <c r="DO253" s="2250"/>
      <c r="DP253" s="2250"/>
      <c r="DQ253" s="2277"/>
      <c r="DR253" s="2277"/>
      <c r="DS253" s="2278"/>
      <c r="DT253" s="2250"/>
      <c r="DU253" s="2250"/>
      <c r="DV253" s="2250"/>
      <c r="DW253" s="2250"/>
      <c r="DX253" s="2275"/>
      <c r="DY253" s="4671"/>
      <c r="DZ253" s="2345">
        <v>1100</v>
      </c>
      <c r="EA253" s="2346">
        <v>52.28</v>
      </c>
      <c r="EB253" s="2346">
        <v>58.91</v>
      </c>
      <c r="EC253" s="2346">
        <v>65.25</v>
      </c>
      <c r="ED253" s="2346">
        <v>77.23</v>
      </c>
      <c r="EE253" s="2346">
        <v>78.61</v>
      </c>
      <c r="EF253" s="2346">
        <v>74.260000000000005</v>
      </c>
      <c r="EG253" s="2346">
        <v>82.28</v>
      </c>
      <c r="EH253" s="2346">
        <v>90.2</v>
      </c>
      <c r="EI253" s="2346">
        <v>95.84</v>
      </c>
      <c r="EJ253" s="2346">
        <v>101.49</v>
      </c>
      <c r="EK253" s="2346">
        <v>114.75</v>
      </c>
      <c r="EL253" s="2346">
        <v>122.77</v>
      </c>
      <c r="EM253" s="2346">
        <v>129.6</v>
      </c>
      <c r="EN253" s="2346">
        <v>131.38999999999999</v>
      </c>
      <c r="EO253" s="2346">
        <v>140.30000000000001</v>
      </c>
      <c r="EP253" s="2346">
        <v>148.91</v>
      </c>
      <c r="EQ253" s="2346">
        <v>157.52000000000001</v>
      </c>
      <c r="ER253" s="2346">
        <v>169.9</v>
      </c>
      <c r="ES253" s="2346">
        <v>180.2</v>
      </c>
      <c r="ET253" s="2346">
        <v>196.34</v>
      </c>
      <c r="EU253" s="2346">
        <v>207.82</v>
      </c>
      <c r="EV253" s="2346">
        <v>228.91</v>
      </c>
      <c r="EW253" s="2346">
        <v>249.01</v>
      </c>
      <c r="EX253" s="2346">
        <v>278.12</v>
      </c>
      <c r="EY253" s="2346">
        <v>305.14999999999998</v>
      </c>
      <c r="EZ253" s="2346">
        <v>355.05</v>
      </c>
      <c r="FA253" s="2346">
        <v>383.27</v>
      </c>
      <c r="FB253" s="2347">
        <v>1100</v>
      </c>
      <c r="FC253" s="2275"/>
      <c r="FD253" s="2276">
        <f>HLOOKUP(FD243,EA244:FA256,8,0)</f>
        <v>50</v>
      </c>
      <c r="FE253" s="2276">
        <f t="shared" si="258"/>
        <v>75.25</v>
      </c>
      <c r="FF253" s="2275">
        <v>950</v>
      </c>
      <c r="FG253" s="2275"/>
      <c r="FH253" s="2275"/>
      <c r="FI253" s="2275"/>
      <c r="FJ253" s="2275"/>
      <c r="FK253" s="2275"/>
      <c r="FL253" s="2275"/>
      <c r="FM253" s="2250"/>
      <c r="FN253" s="2250"/>
      <c r="FO253" s="2250"/>
      <c r="FP253" s="2250"/>
      <c r="FQ253" s="2250"/>
      <c r="FR253" s="2250"/>
      <c r="FS253" s="2250"/>
      <c r="FT253" s="2250"/>
      <c r="FU253" s="2250"/>
      <c r="FV253" s="2250"/>
      <c r="FW253" s="2250"/>
      <c r="FX253" s="2250"/>
      <c r="FY253" s="2250"/>
      <c r="FZ253" s="2250"/>
      <c r="GA253" s="2250"/>
      <c r="GB253" s="2250"/>
      <c r="GC253" s="2276"/>
      <c r="GD253" s="2276"/>
      <c r="GE253" s="2250"/>
      <c r="GF253" s="2275"/>
      <c r="GG253" s="4671"/>
      <c r="GH253" s="2345">
        <v>1100</v>
      </c>
      <c r="GI253" s="2346">
        <v>52.28</v>
      </c>
      <c r="GJ253" s="2346">
        <v>58.91</v>
      </c>
      <c r="GK253" s="2346">
        <v>65.25</v>
      </c>
      <c r="GL253" s="2346">
        <v>77.23</v>
      </c>
      <c r="GM253" s="2346">
        <v>78.61</v>
      </c>
      <c r="GN253" s="2346">
        <v>74.260000000000005</v>
      </c>
      <c r="GO253" s="2346">
        <v>82.28</v>
      </c>
      <c r="GP253" s="2346">
        <v>90.2</v>
      </c>
      <c r="GQ253" s="2346">
        <v>95.84</v>
      </c>
      <c r="GR253" s="2346">
        <v>101.49</v>
      </c>
      <c r="GS253" s="2346">
        <v>114.75</v>
      </c>
      <c r="GT253" s="2346">
        <v>122.77</v>
      </c>
      <c r="GU253" s="2346">
        <v>129.6</v>
      </c>
      <c r="GV253" s="2346">
        <v>131.38999999999999</v>
      </c>
      <c r="GW253" s="2346">
        <v>140.30000000000001</v>
      </c>
      <c r="GX253" s="2346">
        <v>148.91</v>
      </c>
      <c r="GY253" s="2346">
        <v>157.52000000000001</v>
      </c>
      <c r="GZ253" s="2346">
        <v>169.9</v>
      </c>
      <c r="HA253" s="2346">
        <v>180.2</v>
      </c>
      <c r="HB253" s="2346">
        <v>196.34</v>
      </c>
      <c r="HC253" s="2346">
        <v>207.82</v>
      </c>
      <c r="HD253" s="2346">
        <v>228.91</v>
      </c>
      <c r="HE253" s="2346">
        <v>249.01</v>
      </c>
      <c r="HF253" s="2346">
        <v>278.12</v>
      </c>
      <c r="HG253" s="2346">
        <v>305.14999999999998</v>
      </c>
      <c r="HH253" s="2346">
        <v>355.05</v>
      </c>
      <c r="HI253" s="2346">
        <v>383.27</v>
      </c>
      <c r="HJ253" s="2347">
        <v>1100</v>
      </c>
      <c r="HK253" s="2275"/>
      <c r="HL253" s="2276">
        <f>HLOOKUP(HL243,GI244:HI256,8,0)</f>
        <v>47.43</v>
      </c>
      <c r="HM253" s="2276">
        <f t="shared" si="259"/>
        <v>69.11</v>
      </c>
      <c r="HN253" s="2275">
        <v>950</v>
      </c>
      <c r="HO253" s="2275"/>
      <c r="HP253" s="2275"/>
      <c r="HQ253" s="2275"/>
      <c r="HR253" s="2275"/>
      <c r="HS253" s="2275"/>
      <c r="HT253" s="2275"/>
      <c r="HU253" s="2250"/>
      <c r="HV253" s="2250"/>
      <c r="HW253" s="2250"/>
      <c r="HX253" s="2250"/>
      <c r="HY253" s="2250"/>
      <c r="HZ253" s="2250"/>
      <c r="IA253" s="2250"/>
      <c r="IB253" s="2250"/>
      <c r="IC253" s="2250"/>
      <c r="ID253" s="2250"/>
      <c r="IE253" s="2250"/>
      <c r="IF253" s="2250"/>
      <c r="IG253" s="2250"/>
      <c r="IH253" s="2250"/>
      <c r="II253" s="2250"/>
      <c r="IJ253" s="2250"/>
      <c r="IK253" s="2250"/>
      <c r="IL253" s="2250"/>
    </row>
    <row r="254" spans="1:246" ht="21.95" customHeight="1">
      <c r="A254" s="2275"/>
      <c r="B254" s="2275"/>
      <c r="C254" s="2345">
        <v>1450</v>
      </c>
      <c r="D254" s="2346">
        <v>118.22</v>
      </c>
      <c r="E254" s="2346">
        <v>133.27000000000001</v>
      </c>
      <c r="F254" s="2346">
        <v>147.62</v>
      </c>
      <c r="G254" s="2346">
        <v>159.31</v>
      </c>
      <c r="H254" s="2346">
        <v>159.31</v>
      </c>
      <c r="I254" s="2346">
        <v>168.02</v>
      </c>
      <c r="J254" s="2346">
        <v>185.45</v>
      </c>
      <c r="K254" s="2346">
        <v>197.72</v>
      </c>
      <c r="L254" s="2346">
        <v>210.5</v>
      </c>
      <c r="M254" s="2346">
        <v>224.16</v>
      </c>
      <c r="N254" s="2346">
        <v>232.57</v>
      </c>
      <c r="O254" s="2346">
        <v>263.56</v>
      </c>
      <c r="P254" s="2346">
        <v>275.05</v>
      </c>
      <c r="Q254" s="2346">
        <v>284.64999999999998</v>
      </c>
      <c r="R254" s="2346">
        <v>298.42</v>
      </c>
      <c r="S254" s="2346">
        <v>321.29000000000002</v>
      </c>
      <c r="T254" s="2346">
        <v>340.89</v>
      </c>
      <c r="U254" s="2346">
        <v>360.59</v>
      </c>
      <c r="V254" s="2346">
        <v>381.39</v>
      </c>
      <c r="W254" s="2346">
        <v>421.49</v>
      </c>
      <c r="X254" s="2346">
        <v>442.97</v>
      </c>
      <c r="Y254" s="2346">
        <v>486.63</v>
      </c>
      <c r="Z254" s="2346">
        <v>528.61</v>
      </c>
      <c r="AA254" s="2346">
        <v>549.41</v>
      </c>
      <c r="AB254" s="2346">
        <v>645.74</v>
      </c>
      <c r="AC254" s="2346">
        <v>662.28</v>
      </c>
      <c r="AD254" s="2346">
        <v>662.28</v>
      </c>
      <c r="AE254" s="2347">
        <v>1450</v>
      </c>
      <c r="AF254" s="2275"/>
      <c r="AG254" s="2276">
        <f>HLOOKUP(AG242,D243:AD255,10,0)</f>
        <v>65.25</v>
      </c>
      <c r="AH254" s="2276">
        <f t="shared" si="256"/>
        <v>94.16</v>
      </c>
      <c r="AI254" s="2275">
        <v>1250</v>
      </c>
      <c r="AJ254" s="2275"/>
      <c r="AK254" s="2275"/>
      <c r="AL254" s="2275"/>
      <c r="AM254" s="2275"/>
      <c r="AN254" s="2275"/>
      <c r="AO254" s="2275"/>
      <c r="AP254" s="2250"/>
      <c r="AQ254" s="2250"/>
      <c r="AR254" s="2250"/>
      <c r="AS254" s="2250"/>
      <c r="AT254" s="2250"/>
      <c r="AU254" s="2250"/>
      <c r="AV254" s="2250"/>
      <c r="AW254" s="2250"/>
      <c r="AX254" s="2250"/>
      <c r="AY254" s="2250"/>
      <c r="AZ254" s="2250"/>
      <c r="BA254" s="2250"/>
      <c r="BB254" s="2250"/>
      <c r="BC254" s="2250"/>
      <c r="BD254" s="2250"/>
      <c r="BE254" s="2250"/>
      <c r="BF254" s="2276"/>
      <c r="BG254" s="2276"/>
      <c r="BH254" s="2250"/>
      <c r="BI254" s="2275"/>
      <c r="BJ254" s="2275"/>
      <c r="BK254" s="2345">
        <v>1450</v>
      </c>
      <c r="BL254" s="2346">
        <v>118.22</v>
      </c>
      <c r="BM254" s="2346">
        <v>133.27000000000001</v>
      </c>
      <c r="BN254" s="2346">
        <v>147.62</v>
      </c>
      <c r="BO254" s="2346">
        <v>159.31</v>
      </c>
      <c r="BP254" s="2346">
        <v>159.31</v>
      </c>
      <c r="BQ254" s="2346">
        <v>168.02</v>
      </c>
      <c r="BR254" s="2346">
        <v>185.45</v>
      </c>
      <c r="BS254" s="2346">
        <v>197.72</v>
      </c>
      <c r="BT254" s="2346">
        <v>210.5</v>
      </c>
      <c r="BU254" s="2346">
        <v>224.16</v>
      </c>
      <c r="BV254" s="2346">
        <v>232.57</v>
      </c>
      <c r="BW254" s="2346">
        <v>263.56</v>
      </c>
      <c r="BX254" s="2346">
        <v>275.05</v>
      </c>
      <c r="BY254" s="2346">
        <v>284.64999999999998</v>
      </c>
      <c r="BZ254" s="2346">
        <v>298.42</v>
      </c>
      <c r="CA254" s="2346">
        <v>321.29000000000002</v>
      </c>
      <c r="CB254" s="2346">
        <v>340.89</v>
      </c>
      <c r="CC254" s="2346">
        <v>360.59</v>
      </c>
      <c r="CD254" s="2346">
        <v>381.39</v>
      </c>
      <c r="CE254" s="2346">
        <v>421.49</v>
      </c>
      <c r="CF254" s="2346">
        <v>442.97</v>
      </c>
      <c r="CG254" s="2346">
        <v>486.63</v>
      </c>
      <c r="CH254" s="2346">
        <v>528.61</v>
      </c>
      <c r="CI254" s="2346">
        <v>549.41</v>
      </c>
      <c r="CJ254" s="2346">
        <v>645.74</v>
      </c>
      <c r="CK254" s="2346">
        <v>662.28</v>
      </c>
      <c r="CL254" s="2346">
        <v>662.28</v>
      </c>
      <c r="CM254" s="2347">
        <v>1450</v>
      </c>
      <c r="CN254" s="2275"/>
      <c r="CO254" s="2276">
        <f>HLOOKUP(CO242,BL243:CL255,10,0)</f>
        <v>58.91</v>
      </c>
      <c r="CP254" s="2276">
        <f t="shared" si="257"/>
        <v>86.53</v>
      </c>
      <c r="CQ254" s="2275">
        <v>1250</v>
      </c>
      <c r="CR254" s="2275"/>
      <c r="CS254" s="2275"/>
      <c r="CT254" s="2275"/>
      <c r="CU254" s="2275"/>
      <c r="CV254" s="2275"/>
      <c r="CW254" s="2275"/>
      <c r="CX254" s="2250"/>
      <c r="CY254" s="2250"/>
      <c r="CZ254" s="2250"/>
      <c r="DA254" s="2250"/>
      <c r="DB254" s="2250"/>
      <c r="DC254" s="2250"/>
      <c r="DD254" s="2250"/>
      <c r="DE254" s="2250"/>
      <c r="DF254" s="2250"/>
      <c r="DG254" s="2250"/>
      <c r="DH254" s="2250"/>
      <c r="DI254" s="2250"/>
      <c r="DJ254" s="2250"/>
      <c r="DK254" s="2250"/>
      <c r="DL254" s="2250"/>
      <c r="DM254" s="2250"/>
      <c r="DN254" s="2250"/>
      <c r="DO254" s="2250"/>
      <c r="DP254" s="2250"/>
      <c r="DQ254" s="2277"/>
      <c r="DR254" s="2277"/>
      <c r="DS254" s="2278"/>
      <c r="DT254" s="2250"/>
      <c r="DU254" s="2250"/>
      <c r="DV254" s="2250"/>
      <c r="DW254" s="2250"/>
      <c r="DX254" s="2275"/>
      <c r="DY254" s="4671"/>
      <c r="DZ254" s="2345">
        <v>1250</v>
      </c>
      <c r="EA254" s="2346">
        <v>76.73</v>
      </c>
      <c r="EB254" s="2346">
        <v>86.53</v>
      </c>
      <c r="EC254" s="2346">
        <v>94.16</v>
      </c>
      <c r="ED254" s="2346">
        <v>100.99</v>
      </c>
      <c r="EE254" s="2346">
        <v>107.33</v>
      </c>
      <c r="EF254" s="2346">
        <v>109.01</v>
      </c>
      <c r="EG254" s="2346">
        <v>116.73</v>
      </c>
      <c r="EH254" s="2346">
        <v>124.95</v>
      </c>
      <c r="EI254" s="2346">
        <v>132.57</v>
      </c>
      <c r="EJ254" s="2346">
        <v>141.19</v>
      </c>
      <c r="EK254" s="2346">
        <v>156.13999999999999</v>
      </c>
      <c r="EL254" s="2346">
        <v>168.61</v>
      </c>
      <c r="EM254" s="2346">
        <v>176.14</v>
      </c>
      <c r="EN254" s="2346">
        <v>185.05</v>
      </c>
      <c r="EO254" s="2346">
        <v>194.85</v>
      </c>
      <c r="EP254" s="2346">
        <v>201.29</v>
      </c>
      <c r="EQ254" s="2346">
        <v>214.16</v>
      </c>
      <c r="ER254" s="2346">
        <v>232.28</v>
      </c>
      <c r="ES254" s="2346">
        <v>247.43</v>
      </c>
      <c r="ET254" s="2346">
        <v>252.77</v>
      </c>
      <c r="EU254" s="2346">
        <v>263.37</v>
      </c>
      <c r="EV254" s="2346">
        <v>295.54000000000002</v>
      </c>
      <c r="EW254" s="2346">
        <v>337.72</v>
      </c>
      <c r="EX254" s="2346">
        <v>372.28</v>
      </c>
      <c r="EY254" s="2346">
        <v>383.27</v>
      </c>
      <c r="EZ254" s="2346">
        <v>383.27</v>
      </c>
      <c r="FA254" s="2346">
        <v>383.27</v>
      </c>
      <c r="FB254" s="2347">
        <v>1250</v>
      </c>
      <c r="FC254" s="2275"/>
      <c r="FD254" s="2276">
        <f>HLOOKUP(FD243,EA244:FA256,9,0)</f>
        <v>75.25</v>
      </c>
      <c r="FE254" s="2276">
        <f t="shared" si="258"/>
        <v>101.49</v>
      </c>
      <c r="FF254" s="2275">
        <v>1100</v>
      </c>
      <c r="FG254" s="2275"/>
      <c r="FH254" s="2275"/>
      <c r="FI254" s="2275"/>
      <c r="FJ254" s="2275"/>
      <c r="FK254" s="2275"/>
      <c r="FL254" s="2275"/>
      <c r="FM254" s="2250"/>
      <c r="FN254" s="2250"/>
      <c r="FO254" s="2250"/>
      <c r="FP254" s="2250"/>
      <c r="FQ254" s="2250"/>
      <c r="FR254" s="2250"/>
      <c r="FS254" s="2250"/>
      <c r="FT254" s="2250"/>
      <c r="FU254" s="2250"/>
      <c r="FV254" s="2250"/>
      <c r="FW254" s="2250"/>
      <c r="FX254" s="2250"/>
      <c r="FY254" s="2250"/>
      <c r="FZ254" s="2250"/>
      <c r="GA254" s="2250"/>
      <c r="GB254" s="2250"/>
      <c r="GC254" s="2276"/>
      <c r="GD254" s="2276"/>
      <c r="GE254" s="2250"/>
      <c r="GF254" s="2275"/>
      <c r="GG254" s="4671"/>
      <c r="GH254" s="2345">
        <v>1250</v>
      </c>
      <c r="GI254" s="2346">
        <v>76.73</v>
      </c>
      <c r="GJ254" s="2346">
        <v>86.53</v>
      </c>
      <c r="GK254" s="2346">
        <v>94.16</v>
      </c>
      <c r="GL254" s="2346">
        <v>100.99</v>
      </c>
      <c r="GM254" s="2346">
        <v>107.33</v>
      </c>
      <c r="GN254" s="2346">
        <v>109.01</v>
      </c>
      <c r="GO254" s="2346">
        <v>116.73</v>
      </c>
      <c r="GP254" s="2346">
        <v>124.95</v>
      </c>
      <c r="GQ254" s="2346">
        <v>132.57</v>
      </c>
      <c r="GR254" s="2346">
        <v>141.19</v>
      </c>
      <c r="GS254" s="2346">
        <v>156.13999999999999</v>
      </c>
      <c r="GT254" s="2346">
        <v>168.61</v>
      </c>
      <c r="GU254" s="2346">
        <v>176.14</v>
      </c>
      <c r="GV254" s="2346">
        <v>185.05</v>
      </c>
      <c r="GW254" s="2346">
        <v>194.85</v>
      </c>
      <c r="GX254" s="2346">
        <v>201.29</v>
      </c>
      <c r="GY254" s="2346">
        <v>214.16</v>
      </c>
      <c r="GZ254" s="2346">
        <v>232.28</v>
      </c>
      <c r="HA254" s="2346">
        <v>247.43</v>
      </c>
      <c r="HB254" s="2346">
        <v>252.77</v>
      </c>
      <c r="HC254" s="2346">
        <v>263.37</v>
      </c>
      <c r="HD254" s="2346">
        <v>295.54000000000002</v>
      </c>
      <c r="HE254" s="2346">
        <v>337.72</v>
      </c>
      <c r="HF254" s="2346">
        <v>372.28</v>
      </c>
      <c r="HG254" s="2346">
        <v>383.27</v>
      </c>
      <c r="HH254" s="2346">
        <v>383.27</v>
      </c>
      <c r="HI254" s="2346">
        <v>383.27</v>
      </c>
      <c r="HJ254" s="2347">
        <v>1250</v>
      </c>
      <c r="HK254" s="2275"/>
      <c r="HL254" s="2276">
        <f>HLOOKUP(HL243,GI244:HI256,9,0)</f>
        <v>69.11</v>
      </c>
      <c r="HM254" s="2276">
        <f t="shared" si="259"/>
        <v>95.84</v>
      </c>
      <c r="HN254" s="2275">
        <v>1100</v>
      </c>
      <c r="HO254" s="2275"/>
      <c r="HP254" s="2275"/>
      <c r="HQ254" s="2275"/>
      <c r="HR254" s="2275"/>
      <c r="HS254" s="2275"/>
      <c r="HT254" s="2275"/>
      <c r="HU254" s="2250"/>
      <c r="HV254" s="2250"/>
      <c r="HW254" s="2250"/>
      <c r="HX254" s="2250"/>
      <c r="HY254" s="2250"/>
      <c r="HZ254" s="2250"/>
      <c r="IA254" s="2250"/>
      <c r="IB254" s="2250"/>
      <c r="IC254" s="2250"/>
      <c r="ID254" s="2250"/>
      <c r="IE254" s="2250"/>
      <c r="IF254" s="2250"/>
      <c r="IG254" s="2250"/>
      <c r="IH254" s="2250"/>
      <c r="II254" s="2250"/>
      <c r="IJ254" s="2250"/>
      <c r="IK254" s="2250"/>
      <c r="IL254" s="2250"/>
    </row>
    <row r="255" spans="1:246" ht="21.95" customHeight="1">
      <c r="A255" s="2275"/>
      <c r="B255" s="2275"/>
      <c r="C255" s="2345">
        <v>1650</v>
      </c>
      <c r="D255" s="2346">
        <v>171.78</v>
      </c>
      <c r="E255" s="2346">
        <v>193.66</v>
      </c>
      <c r="F255" s="2346">
        <v>213.96</v>
      </c>
      <c r="G255" s="2346">
        <v>213.96</v>
      </c>
      <c r="H255" s="2346">
        <v>225.54</v>
      </c>
      <c r="I255" s="2346">
        <v>244.16</v>
      </c>
      <c r="J255" s="2346">
        <v>256.44</v>
      </c>
      <c r="K255" s="2346">
        <v>284.06</v>
      </c>
      <c r="L255" s="2346">
        <v>300.79000000000002</v>
      </c>
      <c r="M255" s="2346">
        <v>322.27999999999997</v>
      </c>
      <c r="N255" s="2346">
        <v>338.02</v>
      </c>
      <c r="O255" s="2346">
        <v>393.37</v>
      </c>
      <c r="P255" s="2346">
        <v>399.8</v>
      </c>
      <c r="Q255" s="2346">
        <v>427.92</v>
      </c>
      <c r="R255" s="2346">
        <v>443.66</v>
      </c>
      <c r="S255" s="2346">
        <v>470.3</v>
      </c>
      <c r="T255" s="2346">
        <v>496.04</v>
      </c>
      <c r="U255" s="2346">
        <v>521.09</v>
      </c>
      <c r="V255" s="2346">
        <v>545.64</v>
      </c>
      <c r="W255" s="2346">
        <v>601.88</v>
      </c>
      <c r="X255" s="2346">
        <v>656.83</v>
      </c>
      <c r="Y255" s="2346">
        <v>722.67</v>
      </c>
      <c r="Z255" s="2346">
        <v>783.27</v>
      </c>
      <c r="AA255" s="2346">
        <v>839.5</v>
      </c>
      <c r="AB255" s="2346">
        <v>938.42</v>
      </c>
      <c r="AC255" s="2346">
        <v>1039.31</v>
      </c>
      <c r="AD255" s="2346">
        <v>1051.58</v>
      </c>
      <c r="AE255" s="2347">
        <v>1650</v>
      </c>
      <c r="AF255" s="2275"/>
      <c r="AG255" s="2276">
        <f>HLOOKUP(AG242,D243:AD255,11,0)</f>
        <v>94.16</v>
      </c>
      <c r="AH255" s="2276">
        <f t="shared" si="256"/>
        <v>147.62</v>
      </c>
      <c r="AI255" s="2275">
        <v>1450</v>
      </c>
      <c r="AJ255" s="2275"/>
      <c r="AK255" s="2275"/>
      <c r="AL255" s="2275"/>
      <c r="AM255" s="2275"/>
      <c r="AN255" s="2275"/>
      <c r="AO255" s="2275"/>
      <c r="AP255" s="2250"/>
      <c r="AQ255" s="2250"/>
      <c r="AR255" s="2250"/>
      <c r="AS255" s="2250"/>
      <c r="AT255" s="2250"/>
      <c r="AU255" s="2250"/>
      <c r="AV255" s="2250"/>
      <c r="AW255" s="2250"/>
      <c r="AX255" s="2250"/>
      <c r="AY255" s="2250"/>
      <c r="AZ255" s="2250"/>
      <c r="BA255" s="2250"/>
      <c r="BB255" s="2250"/>
      <c r="BC255" s="2250"/>
      <c r="BD255" s="2250"/>
      <c r="BE255" s="2250"/>
      <c r="BF255" s="2276"/>
      <c r="BG255" s="2276"/>
      <c r="BH255" s="2250"/>
      <c r="BI255" s="2275"/>
      <c r="BJ255" s="2275"/>
      <c r="BK255" s="2345">
        <v>1650</v>
      </c>
      <c r="BL255" s="2346">
        <v>171.78</v>
      </c>
      <c r="BM255" s="2346">
        <v>193.66</v>
      </c>
      <c r="BN255" s="2346">
        <v>213.96</v>
      </c>
      <c r="BO255" s="2346">
        <v>213.96</v>
      </c>
      <c r="BP255" s="2346">
        <v>225.54</v>
      </c>
      <c r="BQ255" s="2346">
        <v>244.16</v>
      </c>
      <c r="BR255" s="2346">
        <v>256.44</v>
      </c>
      <c r="BS255" s="2346">
        <v>284.06</v>
      </c>
      <c r="BT255" s="2346">
        <v>300.79000000000002</v>
      </c>
      <c r="BU255" s="2346">
        <v>322.27999999999997</v>
      </c>
      <c r="BV255" s="2346">
        <v>338.02</v>
      </c>
      <c r="BW255" s="2346">
        <v>393.37</v>
      </c>
      <c r="BX255" s="2346">
        <v>399.8</v>
      </c>
      <c r="BY255" s="2346">
        <v>427.92</v>
      </c>
      <c r="BZ255" s="2346">
        <v>443.66</v>
      </c>
      <c r="CA255" s="2346">
        <v>470.3</v>
      </c>
      <c r="CB255" s="2346">
        <v>496.04</v>
      </c>
      <c r="CC255" s="2346">
        <v>521.09</v>
      </c>
      <c r="CD255" s="2346">
        <v>545.64</v>
      </c>
      <c r="CE255" s="2346">
        <v>601.88</v>
      </c>
      <c r="CF255" s="2346">
        <v>656.83</v>
      </c>
      <c r="CG255" s="2346">
        <v>722.67</v>
      </c>
      <c r="CH255" s="2346">
        <v>783.27</v>
      </c>
      <c r="CI255" s="2346">
        <v>839.5</v>
      </c>
      <c r="CJ255" s="2346">
        <v>938.42</v>
      </c>
      <c r="CK255" s="2346">
        <v>1039.31</v>
      </c>
      <c r="CL255" s="2346">
        <v>1051.58</v>
      </c>
      <c r="CM255" s="2347">
        <v>1650</v>
      </c>
      <c r="CN255" s="2275"/>
      <c r="CO255" s="2276">
        <f>HLOOKUP(CO242,BL243:CL255,11,0)</f>
        <v>86.53</v>
      </c>
      <c r="CP255" s="2276">
        <f t="shared" si="257"/>
        <v>133.27000000000001</v>
      </c>
      <c r="CQ255" s="2275">
        <v>1450</v>
      </c>
      <c r="CR255" s="2275"/>
      <c r="CS255" s="2275"/>
      <c r="CT255" s="2275"/>
      <c r="CU255" s="2275"/>
      <c r="CV255" s="2275"/>
      <c r="CW255" s="2275"/>
      <c r="CX255" s="2250"/>
      <c r="CY255" s="2250"/>
      <c r="CZ255" s="2250"/>
      <c r="DA255" s="2250"/>
      <c r="DB255" s="2250"/>
      <c r="DC255" s="2250"/>
      <c r="DD255" s="2250"/>
      <c r="DE255" s="2250"/>
      <c r="DF255" s="2250"/>
      <c r="DG255" s="2250"/>
      <c r="DH255" s="2250"/>
      <c r="DI255" s="2250"/>
      <c r="DJ255" s="2250"/>
      <c r="DK255" s="2250"/>
      <c r="DL255" s="2250"/>
      <c r="DM255" s="2250"/>
      <c r="DN255" s="2250"/>
      <c r="DO255" s="2250"/>
      <c r="DP255" s="2250"/>
      <c r="DQ255" s="2277"/>
      <c r="DR255" s="2277"/>
      <c r="DS255" s="2278"/>
      <c r="DT255" s="2250"/>
      <c r="DU255" s="2250"/>
      <c r="DV255" s="2250"/>
      <c r="DW255" s="2250"/>
      <c r="DX255" s="2275"/>
      <c r="DY255" s="2275"/>
      <c r="DZ255" s="2345">
        <v>1450</v>
      </c>
      <c r="EA255" s="2346">
        <v>118.22</v>
      </c>
      <c r="EB255" s="2346">
        <v>133.27000000000001</v>
      </c>
      <c r="EC255" s="2346">
        <v>147.62</v>
      </c>
      <c r="ED255" s="2346">
        <v>159.31</v>
      </c>
      <c r="EE255" s="2346">
        <v>159.31</v>
      </c>
      <c r="EF255" s="2346">
        <v>168.02</v>
      </c>
      <c r="EG255" s="2346">
        <v>185.45</v>
      </c>
      <c r="EH255" s="2346">
        <v>197.72</v>
      </c>
      <c r="EI255" s="2346">
        <v>210.5</v>
      </c>
      <c r="EJ255" s="2346">
        <v>224.16</v>
      </c>
      <c r="EK255" s="2346">
        <v>232.57</v>
      </c>
      <c r="EL255" s="2346">
        <v>263.56</v>
      </c>
      <c r="EM255" s="2346">
        <v>275.05</v>
      </c>
      <c r="EN255" s="2346">
        <v>284.64999999999998</v>
      </c>
      <c r="EO255" s="2346">
        <v>298.42</v>
      </c>
      <c r="EP255" s="2346">
        <v>321.29000000000002</v>
      </c>
      <c r="EQ255" s="2346">
        <v>340.89</v>
      </c>
      <c r="ER255" s="2346">
        <v>360.59</v>
      </c>
      <c r="ES255" s="2346">
        <v>381.39</v>
      </c>
      <c r="ET255" s="2346">
        <v>421.49</v>
      </c>
      <c r="EU255" s="2346">
        <v>442.97</v>
      </c>
      <c r="EV255" s="2346">
        <v>486.63</v>
      </c>
      <c r="EW255" s="2346">
        <v>528.61</v>
      </c>
      <c r="EX255" s="2346">
        <v>549.41</v>
      </c>
      <c r="EY255" s="2346">
        <v>645.74</v>
      </c>
      <c r="EZ255" s="2346">
        <v>662.28</v>
      </c>
      <c r="FA255" s="2346">
        <v>662.28</v>
      </c>
      <c r="FB255" s="2347">
        <v>1450</v>
      </c>
      <c r="FC255" s="2275"/>
      <c r="FD255" s="2276">
        <f>HLOOKUP(FD243,EA244:FA256,10,0)</f>
        <v>101.49</v>
      </c>
      <c r="FE255" s="2276">
        <f t="shared" si="258"/>
        <v>141.19</v>
      </c>
      <c r="FF255" s="2275">
        <v>1250</v>
      </c>
      <c r="FG255" s="2275"/>
      <c r="FH255" s="2275"/>
      <c r="FI255" s="2275"/>
      <c r="FJ255" s="2275"/>
      <c r="FK255" s="2275"/>
      <c r="FL255" s="2275"/>
      <c r="FM255" s="2250"/>
      <c r="FN255" s="2250"/>
      <c r="FO255" s="2250"/>
      <c r="FP255" s="2250"/>
      <c r="FQ255" s="2250"/>
      <c r="FR255" s="2250"/>
      <c r="FS255" s="2250"/>
      <c r="FT255" s="2250"/>
      <c r="FU255" s="2250"/>
      <c r="FV255" s="2250"/>
      <c r="FW255" s="2250"/>
      <c r="FX255" s="2250"/>
      <c r="FY255" s="2250"/>
      <c r="FZ255" s="2250"/>
      <c r="GA255" s="2250"/>
      <c r="GB255" s="2250"/>
      <c r="GC255" s="2276"/>
      <c r="GD255" s="2276"/>
      <c r="GE255" s="2250"/>
      <c r="GF255" s="2275"/>
      <c r="GG255" s="2275"/>
      <c r="GH255" s="2345">
        <v>1450</v>
      </c>
      <c r="GI255" s="2346">
        <v>118.22</v>
      </c>
      <c r="GJ255" s="2346">
        <v>133.27000000000001</v>
      </c>
      <c r="GK255" s="2346">
        <v>147.62</v>
      </c>
      <c r="GL255" s="2346">
        <v>159.31</v>
      </c>
      <c r="GM255" s="2346">
        <v>159.31</v>
      </c>
      <c r="GN255" s="2346">
        <v>168.02</v>
      </c>
      <c r="GO255" s="2346">
        <v>185.45</v>
      </c>
      <c r="GP255" s="2346">
        <v>197.72</v>
      </c>
      <c r="GQ255" s="2346">
        <v>210.5</v>
      </c>
      <c r="GR255" s="2346">
        <v>224.16</v>
      </c>
      <c r="GS255" s="2346">
        <v>232.57</v>
      </c>
      <c r="GT255" s="2346">
        <v>263.56</v>
      </c>
      <c r="GU255" s="2346">
        <v>275.05</v>
      </c>
      <c r="GV255" s="2346">
        <v>284.64999999999998</v>
      </c>
      <c r="GW255" s="2346">
        <v>298.42</v>
      </c>
      <c r="GX255" s="2346">
        <v>321.29000000000002</v>
      </c>
      <c r="GY255" s="2346">
        <v>340.89</v>
      </c>
      <c r="GZ255" s="2346">
        <v>360.59</v>
      </c>
      <c r="HA255" s="2346">
        <v>381.39</v>
      </c>
      <c r="HB255" s="2346">
        <v>421.49</v>
      </c>
      <c r="HC255" s="2346">
        <v>442.97</v>
      </c>
      <c r="HD255" s="2346">
        <v>486.63</v>
      </c>
      <c r="HE255" s="2346">
        <v>528.61</v>
      </c>
      <c r="HF255" s="2346">
        <v>549.41</v>
      </c>
      <c r="HG255" s="2346">
        <v>645.74</v>
      </c>
      <c r="HH255" s="2346">
        <v>662.28</v>
      </c>
      <c r="HI255" s="2346">
        <v>662.28</v>
      </c>
      <c r="HJ255" s="2347">
        <v>1450</v>
      </c>
      <c r="HK255" s="2275"/>
      <c r="HL255" s="2276">
        <f>HLOOKUP(HL243,GI244:HI256,10,0)</f>
        <v>95.84</v>
      </c>
      <c r="HM255" s="2276">
        <f t="shared" si="259"/>
        <v>132.57</v>
      </c>
      <c r="HN255" s="2275">
        <v>1250</v>
      </c>
      <c r="HO255" s="2275"/>
      <c r="HP255" s="2275"/>
      <c r="HQ255" s="2275"/>
      <c r="HR255" s="2275"/>
      <c r="HS255" s="2275"/>
      <c r="HT255" s="2275"/>
      <c r="HU255" s="2250"/>
      <c r="HV255" s="2250"/>
      <c r="HW255" s="2250"/>
      <c r="HX255" s="2250"/>
      <c r="HY255" s="2250"/>
      <c r="HZ255" s="2250"/>
      <c r="IA255" s="2250"/>
      <c r="IB255" s="2250"/>
      <c r="IC255" s="2250"/>
      <c r="ID255" s="2250"/>
      <c r="IE255" s="2250"/>
      <c r="IF255" s="2250"/>
      <c r="IG255" s="2250"/>
      <c r="IH255" s="2250"/>
      <c r="II255" s="2250"/>
      <c r="IJ255" s="2250"/>
      <c r="IK255" s="2250"/>
      <c r="IL255" s="2250"/>
    </row>
    <row r="256" spans="1:246" ht="21.95" customHeight="1">
      <c r="A256" s="2275"/>
      <c r="B256" s="2275"/>
      <c r="C256" s="2275"/>
      <c r="D256" s="2275"/>
      <c r="E256" s="2275"/>
      <c r="F256" s="2275"/>
      <c r="G256" s="2275"/>
      <c r="H256" s="2275"/>
      <c r="I256" s="2275"/>
      <c r="J256" s="2275"/>
      <c r="K256" s="2275"/>
      <c r="L256" s="2275"/>
      <c r="M256" s="2275"/>
      <c r="N256" s="2275"/>
      <c r="O256" s="2275"/>
      <c r="P256" s="2275"/>
      <c r="Q256" s="2275"/>
      <c r="R256" s="2275"/>
      <c r="S256" s="2275"/>
      <c r="T256" s="2275"/>
      <c r="U256" s="2275"/>
      <c r="V256" s="2275"/>
      <c r="W256" s="2275"/>
      <c r="X256" s="2275"/>
      <c r="Y256" s="2275"/>
      <c r="Z256" s="2275"/>
      <c r="AA256" s="2275"/>
      <c r="AB256" s="2275"/>
      <c r="AC256" s="2275"/>
      <c r="AD256" s="2275"/>
      <c r="AE256" s="2346"/>
      <c r="AF256" s="2275"/>
      <c r="AG256" s="2276">
        <f>HLOOKUP(AG242,D243:AD255,12,0)</f>
        <v>147.62</v>
      </c>
      <c r="AH256" s="2276">
        <f t="shared" si="256"/>
        <v>213.96</v>
      </c>
      <c r="AI256" s="2275">
        <v>1650</v>
      </c>
      <c r="AJ256" s="2275"/>
      <c r="AK256" s="2275"/>
      <c r="AL256" s="2275"/>
      <c r="AM256" s="2275"/>
      <c r="AN256" s="2275"/>
      <c r="AO256" s="2275"/>
      <c r="AP256" s="2250"/>
      <c r="AQ256" s="2250"/>
      <c r="AR256" s="2250"/>
      <c r="AS256" s="2250"/>
      <c r="AT256" s="2250"/>
      <c r="AU256" s="2250"/>
      <c r="AV256" s="2250"/>
      <c r="AW256" s="2250"/>
      <c r="AX256" s="2250"/>
      <c r="AY256" s="2250"/>
      <c r="AZ256" s="2250"/>
      <c r="BA256" s="2250"/>
      <c r="BB256" s="2250"/>
      <c r="BC256" s="2250"/>
      <c r="BD256" s="2250"/>
      <c r="BE256" s="2250"/>
      <c r="BF256" s="2276"/>
      <c r="BG256" s="2276"/>
      <c r="BH256" s="2250"/>
      <c r="BI256" s="2275"/>
      <c r="BJ256" s="2275"/>
      <c r="BK256" s="2275"/>
      <c r="BL256" s="2275"/>
      <c r="BM256" s="2275"/>
      <c r="BN256" s="2275"/>
      <c r="BO256" s="2275"/>
      <c r="BP256" s="2275"/>
      <c r="BQ256" s="2275"/>
      <c r="BR256" s="2275"/>
      <c r="BS256" s="2275"/>
      <c r="BT256" s="2275"/>
      <c r="BU256" s="2275"/>
      <c r="BV256" s="2275"/>
      <c r="BW256" s="2275"/>
      <c r="BX256" s="2275"/>
      <c r="BY256" s="2275"/>
      <c r="BZ256" s="2275"/>
      <c r="CA256" s="2275"/>
      <c r="CB256" s="2275"/>
      <c r="CC256" s="2275"/>
      <c r="CD256" s="2275"/>
      <c r="CE256" s="2275"/>
      <c r="CF256" s="2275"/>
      <c r="CG256" s="2275"/>
      <c r="CH256" s="2275"/>
      <c r="CI256" s="2275"/>
      <c r="CJ256" s="2275"/>
      <c r="CK256" s="2275"/>
      <c r="CL256" s="2275"/>
      <c r="CM256" s="2346"/>
      <c r="CN256" s="2275"/>
      <c r="CO256" s="2276">
        <f>HLOOKUP(CO242,BL243:CL255,12,0)</f>
        <v>133.27000000000001</v>
      </c>
      <c r="CP256" s="2276">
        <f t="shared" si="257"/>
        <v>193.66</v>
      </c>
      <c r="CQ256" s="2275">
        <v>1650</v>
      </c>
      <c r="CR256" s="2275"/>
      <c r="CS256" s="2275"/>
      <c r="CT256" s="2275"/>
      <c r="CU256" s="2275"/>
      <c r="CV256" s="2275"/>
      <c r="CW256" s="2275"/>
      <c r="CX256" s="2250"/>
      <c r="CY256" s="2250"/>
      <c r="CZ256" s="2250"/>
      <c r="DA256" s="2250"/>
      <c r="DB256" s="2250"/>
      <c r="DC256" s="2250"/>
      <c r="DD256" s="2250"/>
      <c r="DE256" s="2250"/>
      <c r="DF256" s="2250"/>
      <c r="DG256" s="2250"/>
      <c r="DH256" s="2250"/>
      <c r="DI256" s="2250"/>
      <c r="DJ256" s="2250"/>
      <c r="DK256" s="2250"/>
      <c r="DL256" s="2250"/>
      <c r="DM256" s="2250"/>
      <c r="DN256" s="2250"/>
      <c r="DO256" s="2250"/>
      <c r="DP256" s="2250"/>
      <c r="DQ256" s="2277"/>
      <c r="DR256" s="2277"/>
      <c r="DS256" s="2278"/>
      <c r="DT256" s="2250"/>
      <c r="DU256" s="2250"/>
      <c r="DV256" s="2250"/>
      <c r="DW256" s="2250"/>
      <c r="DX256" s="2275"/>
      <c r="DY256" s="2275"/>
      <c r="DZ256" s="2345">
        <v>1650</v>
      </c>
      <c r="EA256" s="2346">
        <v>171.78</v>
      </c>
      <c r="EB256" s="2346">
        <v>193.66</v>
      </c>
      <c r="EC256" s="2346">
        <v>213.96</v>
      </c>
      <c r="ED256" s="2346">
        <v>213.96</v>
      </c>
      <c r="EE256" s="2346">
        <v>225.54</v>
      </c>
      <c r="EF256" s="2346">
        <v>244.16</v>
      </c>
      <c r="EG256" s="2346">
        <v>256.44</v>
      </c>
      <c r="EH256" s="2346">
        <v>284.06</v>
      </c>
      <c r="EI256" s="2346">
        <v>300.79000000000002</v>
      </c>
      <c r="EJ256" s="2346">
        <v>322.27999999999997</v>
      </c>
      <c r="EK256" s="2346">
        <v>338.02</v>
      </c>
      <c r="EL256" s="2346">
        <v>393.37</v>
      </c>
      <c r="EM256" s="2346">
        <v>399.8</v>
      </c>
      <c r="EN256" s="2346">
        <v>427.92</v>
      </c>
      <c r="EO256" s="2346">
        <v>443.66</v>
      </c>
      <c r="EP256" s="2346">
        <v>470.3</v>
      </c>
      <c r="EQ256" s="2346">
        <v>496.04</v>
      </c>
      <c r="ER256" s="2346">
        <v>521.09</v>
      </c>
      <c r="ES256" s="2346">
        <v>545.64</v>
      </c>
      <c r="ET256" s="2346">
        <v>601.88</v>
      </c>
      <c r="EU256" s="2346">
        <v>656.83</v>
      </c>
      <c r="EV256" s="2346">
        <v>722.67</v>
      </c>
      <c r="EW256" s="2346">
        <v>783.27</v>
      </c>
      <c r="EX256" s="2346">
        <v>839.5</v>
      </c>
      <c r="EY256" s="2346">
        <v>938.42</v>
      </c>
      <c r="EZ256" s="2346">
        <v>1039.31</v>
      </c>
      <c r="FA256" s="2346">
        <v>1051.58</v>
      </c>
      <c r="FB256" s="2347">
        <v>1650</v>
      </c>
      <c r="FC256" s="2275"/>
      <c r="FD256" s="2276">
        <f>HLOOKUP(FD243,EA244:FA256,11,0)</f>
        <v>141.19</v>
      </c>
      <c r="FE256" s="2276">
        <f t="shared" si="258"/>
        <v>224.16</v>
      </c>
      <c r="FF256" s="2275">
        <v>1450</v>
      </c>
      <c r="FG256" s="2275"/>
      <c r="FH256" s="2275"/>
      <c r="FI256" s="2275"/>
      <c r="FJ256" s="2275"/>
      <c r="FK256" s="2275"/>
      <c r="FL256" s="2275"/>
      <c r="FM256" s="2250"/>
      <c r="FN256" s="2250"/>
      <c r="FO256" s="2250"/>
      <c r="FP256" s="2250"/>
      <c r="FQ256" s="2250"/>
      <c r="FR256" s="2250"/>
      <c r="FS256" s="2250"/>
      <c r="FT256" s="2250"/>
      <c r="FU256" s="2250"/>
      <c r="FV256" s="2250"/>
      <c r="FW256" s="2250"/>
      <c r="FX256" s="2250"/>
      <c r="FY256" s="2250"/>
      <c r="FZ256" s="2250"/>
      <c r="GA256" s="2250"/>
      <c r="GB256" s="2250"/>
      <c r="GC256" s="2276"/>
      <c r="GD256" s="2276"/>
      <c r="GE256" s="2250"/>
      <c r="GF256" s="2275"/>
      <c r="GG256" s="2275"/>
      <c r="GH256" s="2345">
        <v>1650</v>
      </c>
      <c r="GI256" s="2346">
        <v>171.78</v>
      </c>
      <c r="GJ256" s="2346">
        <v>193.66</v>
      </c>
      <c r="GK256" s="2346">
        <v>213.96</v>
      </c>
      <c r="GL256" s="2346">
        <v>213.96</v>
      </c>
      <c r="GM256" s="2346">
        <v>225.54</v>
      </c>
      <c r="GN256" s="2346">
        <v>244.16</v>
      </c>
      <c r="GO256" s="2346">
        <v>256.44</v>
      </c>
      <c r="GP256" s="2346">
        <v>284.06</v>
      </c>
      <c r="GQ256" s="2346">
        <v>300.79000000000002</v>
      </c>
      <c r="GR256" s="2346">
        <v>322.27999999999997</v>
      </c>
      <c r="GS256" s="2346">
        <v>338.02</v>
      </c>
      <c r="GT256" s="2346">
        <v>393.37</v>
      </c>
      <c r="GU256" s="2346">
        <v>399.8</v>
      </c>
      <c r="GV256" s="2346">
        <v>427.92</v>
      </c>
      <c r="GW256" s="2346">
        <v>443.66</v>
      </c>
      <c r="GX256" s="2346">
        <v>470.3</v>
      </c>
      <c r="GY256" s="2346">
        <v>496.04</v>
      </c>
      <c r="GZ256" s="2346">
        <v>521.09</v>
      </c>
      <c r="HA256" s="2346">
        <v>545.64</v>
      </c>
      <c r="HB256" s="2346">
        <v>601.88</v>
      </c>
      <c r="HC256" s="2346">
        <v>656.83</v>
      </c>
      <c r="HD256" s="2346">
        <v>722.67</v>
      </c>
      <c r="HE256" s="2346">
        <v>783.27</v>
      </c>
      <c r="HF256" s="2346">
        <v>839.5</v>
      </c>
      <c r="HG256" s="2346">
        <v>938.42</v>
      </c>
      <c r="HH256" s="2346">
        <v>1039.31</v>
      </c>
      <c r="HI256" s="2346">
        <v>1051.58</v>
      </c>
      <c r="HJ256" s="2347">
        <v>1650</v>
      </c>
      <c r="HK256" s="2275"/>
      <c r="HL256" s="2276">
        <f>HLOOKUP(HL243,GI244:HI256,11,0)</f>
        <v>132.57</v>
      </c>
      <c r="HM256" s="2276">
        <f t="shared" si="259"/>
        <v>210.5</v>
      </c>
      <c r="HN256" s="2275">
        <v>1450</v>
      </c>
      <c r="HO256" s="2275"/>
      <c r="HP256" s="2275"/>
      <c r="HQ256" s="2275"/>
      <c r="HR256" s="2275"/>
      <c r="HS256" s="2275"/>
      <c r="HT256" s="2275"/>
      <c r="HU256" s="2250"/>
      <c r="HV256" s="2250"/>
      <c r="HW256" s="2250"/>
      <c r="HX256" s="2250"/>
      <c r="HY256" s="2250"/>
      <c r="HZ256" s="2250"/>
      <c r="IA256" s="2250"/>
      <c r="IB256" s="2250"/>
      <c r="IC256" s="2250"/>
      <c r="ID256" s="2250"/>
      <c r="IE256" s="2250"/>
      <c r="IF256" s="2250"/>
      <c r="IG256" s="2250"/>
      <c r="IH256" s="2250"/>
      <c r="II256" s="2250"/>
      <c r="IJ256" s="2250"/>
      <c r="IK256" s="2250"/>
      <c r="IL256" s="2250"/>
    </row>
    <row r="257" spans="1:246" ht="21.95" customHeight="1">
      <c r="A257" s="2275"/>
      <c r="B257" s="2276">
        <f>AG242</f>
        <v>190.4</v>
      </c>
      <c r="C257" s="2275">
        <v>0</v>
      </c>
      <c r="D257" s="2276">
        <f>VLOOKUP(B259,C245:AD255,2,0)</f>
        <v>19.21</v>
      </c>
      <c r="E257" s="2276">
        <f>VLOOKUP(B259,C245:E255,3,0)</f>
        <v>21.68</v>
      </c>
      <c r="F257" s="2276">
        <f>VLOOKUP(B259,C245:F255,4,0)</f>
        <v>23.76</v>
      </c>
      <c r="G257" s="2276">
        <f>VLOOKUP(B259,C245:G255,5,0)</f>
        <v>25.54</v>
      </c>
      <c r="H257" s="2276">
        <f>VLOOKUP(B259,C245:H255,6,0)</f>
        <v>27.13</v>
      </c>
      <c r="I257" s="2276">
        <f>VLOOKUP(B259,C245:I255,7,0)</f>
        <v>27.33</v>
      </c>
      <c r="J257" s="2276">
        <f>VLOOKUP(B259,C245:J255,8,0)</f>
        <v>29.5</v>
      </c>
      <c r="K257" s="2276">
        <f>VLOOKUP(B259,C245:K255,9,0)</f>
        <v>31.58</v>
      </c>
      <c r="L257" s="2276">
        <f>VLOOKUP(B259,C245:L255,10,0)</f>
        <v>33.47</v>
      </c>
      <c r="M257" s="2276">
        <f>VLOOKUP(B259,C245:M255,11,0)</f>
        <v>35.64</v>
      </c>
      <c r="N257" s="2276">
        <f>VLOOKUP(B259,C245:N255,12,0)</f>
        <v>39.409999999999997</v>
      </c>
      <c r="O257" s="2276">
        <f>VLOOKUP(B259,C245:O255,13,0)</f>
        <v>42.38</v>
      </c>
      <c r="P257" s="2276">
        <f>VLOOKUP(B259,C245:P255,14,0)</f>
        <v>44.46</v>
      </c>
      <c r="Q257" s="2276">
        <f>VLOOKUP(B259,C245:Q255,15,0)</f>
        <v>46.73</v>
      </c>
      <c r="R257" s="2276">
        <f>VLOOKUP(B259,C245:R255,16,0)</f>
        <v>48.12</v>
      </c>
      <c r="S257" s="2276">
        <f>VLOOKUP(B259,C245:S255,17,0)</f>
        <v>50.89</v>
      </c>
      <c r="T257" s="2276">
        <f>VLOOKUP(B259,C245:T255,18,0)</f>
        <v>54.06</v>
      </c>
      <c r="U257" s="2276">
        <f>VLOOKUP(B259,C245:U255,19,0)</f>
        <v>58.61</v>
      </c>
      <c r="V257" s="2276">
        <f>VLOOKUP(B259,C245:V255,20,0)</f>
        <v>62.48</v>
      </c>
      <c r="W257" s="2276">
        <f>VLOOKUP(B259,C245:W255,21,0)</f>
        <v>66.83</v>
      </c>
      <c r="X257" s="2276">
        <f>VLOOKUP(B259,C245:X255,22,0)</f>
        <v>71.290000000000006</v>
      </c>
      <c r="Y257" s="2276">
        <f>VLOOKUP(B259,C245:Y255,23,0)</f>
        <v>78.709999999999994</v>
      </c>
      <c r="Z257" s="2276">
        <f>VLOOKUP(B259,C245:Z255,24,0)</f>
        <v>86.04</v>
      </c>
      <c r="AA257" s="2276">
        <f>VLOOKUP(B259,C245:AA255,25,0)</f>
        <v>95.35</v>
      </c>
      <c r="AB257" s="2276">
        <f>VLOOKUP(B259,C245:AB255,26,0)</f>
        <v>107.03</v>
      </c>
      <c r="AC257" s="2276">
        <f>VLOOKUP(B259,C245:AC255,27,0)</f>
        <v>122.48</v>
      </c>
      <c r="AD257" s="2276">
        <f>VLOOKUP(B259,C245:AD255,28,0)</f>
        <v>131.49</v>
      </c>
      <c r="AE257" s="2346"/>
      <c r="AF257" s="2275"/>
      <c r="AG257" s="2276">
        <f>HLOOKUP(AG242,D243:AD255,13,0)</f>
        <v>213.96</v>
      </c>
      <c r="AH257" s="2275"/>
      <c r="AI257" s="2275"/>
      <c r="AJ257" s="2275"/>
      <c r="AK257" s="2275"/>
      <c r="AL257" s="2275"/>
      <c r="AM257" s="2275"/>
      <c r="AN257" s="2275"/>
      <c r="AO257" s="2275"/>
      <c r="AP257" s="2250"/>
      <c r="AQ257" s="2250"/>
      <c r="AR257" s="2250"/>
      <c r="AS257" s="2250"/>
      <c r="AT257" s="2250"/>
      <c r="AU257" s="2250"/>
      <c r="AV257" s="2250"/>
      <c r="AW257" s="2250"/>
      <c r="AX257" s="2250"/>
      <c r="AY257" s="2250"/>
      <c r="AZ257" s="2250"/>
      <c r="BA257" s="2250"/>
      <c r="BB257" s="2250"/>
      <c r="BC257" s="2250"/>
      <c r="BD257" s="2250"/>
      <c r="BE257" s="2250"/>
      <c r="BF257" s="2276"/>
      <c r="BG257" s="2276"/>
      <c r="BH257" s="2250"/>
      <c r="BI257" s="2275"/>
      <c r="BJ257" s="2276">
        <f>CO242</f>
        <v>206.43</v>
      </c>
      <c r="BK257" s="2275">
        <v>0</v>
      </c>
      <c r="BL257" s="2276">
        <f>VLOOKUP(BJ259,BK245:CL255,2,0)</f>
        <v>19.21</v>
      </c>
      <c r="BM257" s="2276">
        <f>VLOOKUP(BJ259,BK245:BM255,3,0)</f>
        <v>21.68</v>
      </c>
      <c r="BN257" s="2276">
        <f>VLOOKUP(BJ259,BK245:BN255,4,0)</f>
        <v>23.76</v>
      </c>
      <c r="BO257" s="2276">
        <f>VLOOKUP(BJ259,BK245:BO255,5,0)</f>
        <v>25.54</v>
      </c>
      <c r="BP257" s="2276">
        <f>VLOOKUP(BJ259,BK245:BP255,6,0)</f>
        <v>27.13</v>
      </c>
      <c r="BQ257" s="2276">
        <f>VLOOKUP(BJ259,BK245:BQ255,7,0)</f>
        <v>27.33</v>
      </c>
      <c r="BR257" s="2276">
        <f>VLOOKUP(BJ259,BK245:BR255,8,0)</f>
        <v>29.5</v>
      </c>
      <c r="BS257" s="2276">
        <f>VLOOKUP(BJ259,BK245:BS255,9,0)</f>
        <v>31.58</v>
      </c>
      <c r="BT257" s="2276">
        <f>VLOOKUP(BJ259,BK245:BT255,10,0)</f>
        <v>33.47</v>
      </c>
      <c r="BU257" s="2276">
        <f>VLOOKUP(BJ259,BK245:BU255,11,0)</f>
        <v>35.64</v>
      </c>
      <c r="BV257" s="2276">
        <f>VLOOKUP(BJ259,BK245:BV255,12,0)</f>
        <v>39.409999999999997</v>
      </c>
      <c r="BW257" s="2276">
        <f>VLOOKUP(BJ259,BK245:BW255,13,0)</f>
        <v>42.38</v>
      </c>
      <c r="BX257" s="2276">
        <f>VLOOKUP(BJ259,BK245:BX255,14,0)</f>
        <v>44.46</v>
      </c>
      <c r="BY257" s="2276">
        <f>VLOOKUP(BJ259,BK245:BY255,15,0)</f>
        <v>46.73</v>
      </c>
      <c r="BZ257" s="2276">
        <f>VLOOKUP(BJ259,BK245:BZ255,16,0)</f>
        <v>48.12</v>
      </c>
      <c r="CA257" s="2276">
        <f>VLOOKUP(BJ259,BK245:CA255,17,0)</f>
        <v>50.89</v>
      </c>
      <c r="CB257" s="2276">
        <f>VLOOKUP(BJ259,BK245:CB255,18,0)</f>
        <v>54.06</v>
      </c>
      <c r="CC257" s="2276">
        <f>VLOOKUP(BJ259,BK245:CC255,19,0)</f>
        <v>58.61</v>
      </c>
      <c r="CD257" s="2276">
        <f>VLOOKUP(BJ259,BK245:CD255,20,0)</f>
        <v>62.48</v>
      </c>
      <c r="CE257" s="2276">
        <f>VLOOKUP(BJ259,BK245:CE255,21,0)</f>
        <v>66.83</v>
      </c>
      <c r="CF257" s="2276">
        <f>VLOOKUP(BJ259,BK245:CF255,22,0)</f>
        <v>71.290000000000006</v>
      </c>
      <c r="CG257" s="2276">
        <f>VLOOKUP(BJ259,BK245:CG255,23,0)</f>
        <v>78.709999999999994</v>
      </c>
      <c r="CH257" s="2276">
        <f>VLOOKUP(BJ259,BK245:CH255,24,0)</f>
        <v>86.04</v>
      </c>
      <c r="CI257" s="2276">
        <f>VLOOKUP(BJ259,BK245:CI255,25,0)</f>
        <v>95.35</v>
      </c>
      <c r="CJ257" s="2276">
        <f>VLOOKUP(BJ259,BK245:CJ255,26,0)</f>
        <v>107.03</v>
      </c>
      <c r="CK257" s="2276">
        <f>VLOOKUP(BJ259,BK245:CK255,27,0)</f>
        <v>122.48</v>
      </c>
      <c r="CL257" s="2276">
        <f>VLOOKUP(BJ259,BK245:CL255,28,0)</f>
        <v>131.49</v>
      </c>
      <c r="CM257" s="2346"/>
      <c r="CN257" s="2275"/>
      <c r="CO257" s="2276">
        <f>HLOOKUP(CO242,BL243:CL255,13,0)</f>
        <v>193.66</v>
      </c>
      <c r="CP257" s="2275"/>
      <c r="CQ257" s="2275"/>
      <c r="CR257" s="2275"/>
      <c r="CS257" s="2275"/>
      <c r="CT257" s="2275"/>
      <c r="CU257" s="2275"/>
      <c r="CV257" s="2275"/>
      <c r="CW257" s="2275"/>
      <c r="CX257" s="2250"/>
      <c r="CY257" s="2250"/>
      <c r="CZ257" s="2250"/>
      <c r="DA257" s="2250"/>
      <c r="DB257" s="2250"/>
      <c r="DC257" s="2250"/>
      <c r="DD257" s="2250"/>
      <c r="DE257" s="2250"/>
      <c r="DF257" s="2250"/>
      <c r="DG257" s="2250"/>
      <c r="DH257" s="2250"/>
      <c r="DI257" s="2250"/>
      <c r="DJ257" s="2250"/>
      <c r="DK257" s="2250"/>
      <c r="DL257" s="2250"/>
      <c r="DM257" s="2250"/>
      <c r="DN257" s="2250"/>
      <c r="DO257" s="2250"/>
      <c r="DP257" s="2250"/>
      <c r="DQ257" s="2277"/>
      <c r="DR257" s="2277"/>
      <c r="DS257" s="2278"/>
      <c r="DT257" s="2250"/>
      <c r="DU257" s="2250"/>
      <c r="DV257" s="2250"/>
      <c r="DW257" s="2250"/>
      <c r="DX257" s="2275"/>
      <c r="DY257" s="2275"/>
      <c r="DZ257" s="2275"/>
      <c r="EA257" s="2275"/>
      <c r="EB257" s="2275"/>
      <c r="EC257" s="2275"/>
      <c r="ED257" s="2275"/>
      <c r="EE257" s="2275"/>
      <c r="EF257" s="2275"/>
      <c r="EG257" s="2275"/>
      <c r="EH257" s="2275"/>
      <c r="EI257" s="2275"/>
      <c r="EJ257" s="2275"/>
      <c r="EK257" s="2275"/>
      <c r="EL257" s="2275"/>
      <c r="EM257" s="2275"/>
      <c r="EN257" s="2275"/>
      <c r="EO257" s="2275"/>
      <c r="EP257" s="2275"/>
      <c r="EQ257" s="2275"/>
      <c r="ER257" s="2275"/>
      <c r="ES257" s="2275"/>
      <c r="ET257" s="2275"/>
      <c r="EU257" s="2275"/>
      <c r="EV257" s="2275"/>
      <c r="EW257" s="2275"/>
      <c r="EX257" s="2275"/>
      <c r="EY257" s="2275"/>
      <c r="EZ257" s="2275"/>
      <c r="FA257" s="2275"/>
      <c r="FB257" s="2346"/>
      <c r="FC257" s="2275"/>
      <c r="FD257" s="2276">
        <f>HLOOKUP(FD243,EA244:FA256,12,0)</f>
        <v>224.16</v>
      </c>
      <c r="FE257" s="2276">
        <f t="shared" si="258"/>
        <v>322.27999999999997</v>
      </c>
      <c r="FF257" s="2275">
        <v>1650</v>
      </c>
      <c r="FG257" s="2275"/>
      <c r="FH257" s="2275"/>
      <c r="FI257" s="2275"/>
      <c r="FJ257" s="2275"/>
      <c r="FK257" s="2275"/>
      <c r="FL257" s="2275"/>
      <c r="FM257" s="2250"/>
      <c r="FN257" s="2250"/>
      <c r="FO257" s="2250"/>
      <c r="FP257" s="2250"/>
      <c r="FQ257" s="2250"/>
      <c r="FR257" s="2250"/>
      <c r="FS257" s="2250"/>
      <c r="FT257" s="2250"/>
      <c r="FU257" s="2250"/>
      <c r="FV257" s="2250"/>
      <c r="FW257" s="2250"/>
      <c r="FX257" s="2250"/>
      <c r="FY257" s="2250"/>
      <c r="FZ257" s="2250"/>
      <c r="GA257" s="2250"/>
      <c r="GB257" s="2250"/>
      <c r="GC257" s="2276"/>
      <c r="GD257" s="2276"/>
      <c r="GE257" s="2250"/>
      <c r="GF257" s="2275"/>
      <c r="GG257" s="2275"/>
      <c r="GH257" s="2275"/>
      <c r="GI257" s="2275"/>
      <c r="GJ257" s="2275"/>
      <c r="GK257" s="2275"/>
      <c r="GL257" s="2275"/>
      <c r="GM257" s="2275"/>
      <c r="GN257" s="2275"/>
      <c r="GO257" s="2275"/>
      <c r="GP257" s="2275"/>
      <c r="GQ257" s="2275"/>
      <c r="GR257" s="2275"/>
      <c r="GS257" s="2275"/>
      <c r="GT257" s="2275"/>
      <c r="GU257" s="2275"/>
      <c r="GV257" s="2275"/>
      <c r="GW257" s="2275"/>
      <c r="GX257" s="2275"/>
      <c r="GY257" s="2275"/>
      <c r="GZ257" s="2275"/>
      <c r="HA257" s="2275"/>
      <c r="HB257" s="2275"/>
      <c r="HC257" s="2275"/>
      <c r="HD257" s="2275"/>
      <c r="HE257" s="2275"/>
      <c r="HF257" s="2275"/>
      <c r="HG257" s="2275"/>
      <c r="HH257" s="2275"/>
      <c r="HI257" s="2275"/>
      <c r="HJ257" s="2346"/>
      <c r="HK257" s="2275"/>
      <c r="HL257" s="2276">
        <f>HLOOKUP(HL243,GI244:HI256,12,0)</f>
        <v>210.5</v>
      </c>
      <c r="HM257" s="2276">
        <f t="shared" si="259"/>
        <v>300.79000000000002</v>
      </c>
      <c r="HN257" s="2275">
        <v>1650</v>
      </c>
      <c r="HO257" s="2275"/>
      <c r="HP257" s="2275"/>
      <c r="HQ257" s="2275"/>
      <c r="HR257" s="2275"/>
      <c r="HS257" s="2275"/>
      <c r="HT257" s="2275"/>
      <c r="HU257" s="2250"/>
      <c r="HV257" s="2250"/>
      <c r="HW257" s="2250"/>
      <c r="HX257" s="2250"/>
      <c r="HY257" s="2250"/>
      <c r="HZ257" s="2250"/>
      <c r="IA257" s="2250"/>
      <c r="IB257" s="2250"/>
      <c r="IC257" s="2250"/>
      <c r="ID257" s="2250"/>
      <c r="IE257" s="2250"/>
      <c r="IF257" s="2250"/>
      <c r="IG257" s="2250"/>
      <c r="IH257" s="2250"/>
      <c r="II257" s="2250"/>
      <c r="IJ257" s="2250"/>
      <c r="IK257" s="2250"/>
      <c r="IL257" s="2250"/>
    </row>
    <row r="258" spans="1:246" ht="21.95" customHeight="1">
      <c r="A258" s="2275"/>
      <c r="B258" s="2276">
        <f>AH259</f>
        <v>23.76</v>
      </c>
      <c r="C258" s="2275"/>
      <c r="D258" s="2275"/>
      <c r="E258" s="2275"/>
      <c r="F258" s="2275"/>
      <c r="G258" s="2275"/>
      <c r="H258" s="2275"/>
      <c r="I258" s="2275"/>
      <c r="J258" s="2275"/>
      <c r="K258" s="2275"/>
      <c r="L258" s="2275"/>
      <c r="M258" s="2275"/>
      <c r="N258" s="2275"/>
      <c r="O258" s="2275"/>
      <c r="P258" s="2275"/>
      <c r="Q258" s="2275"/>
      <c r="R258" s="2275"/>
      <c r="S258" s="2275"/>
      <c r="T258" s="2275"/>
      <c r="U258" s="2275"/>
      <c r="V258" s="2275"/>
      <c r="W258" s="2275"/>
      <c r="X258" s="2275"/>
      <c r="Y258" s="2275"/>
      <c r="Z258" s="2275"/>
      <c r="AA258" s="2275"/>
      <c r="AB258" s="2275"/>
      <c r="AC258" s="2275"/>
      <c r="AD258" s="2275"/>
      <c r="AE258" s="2275"/>
      <c r="AF258" s="2275"/>
      <c r="AG258" s="2276">
        <f>VLOOKUP(AG243,AG245:AG257,1)</f>
        <v>14.95</v>
      </c>
      <c r="AH258" s="2276">
        <f>IFERROR(VLOOKUP(AG243,AH245:AH255,2,0),0)</f>
        <v>0</v>
      </c>
      <c r="AI258" s="2275"/>
      <c r="AJ258" s="2275"/>
      <c r="AK258" s="2275"/>
      <c r="AL258" s="2275"/>
      <c r="AM258" s="2275"/>
      <c r="AN258" s="2275"/>
      <c r="AO258" s="2275"/>
      <c r="AP258" s="2250"/>
      <c r="AQ258" s="2250"/>
      <c r="AR258" s="2250"/>
      <c r="AS258" s="2250"/>
      <c r="AT258" s="2250"/>
      <c r="AU258" s="2250"/>
      <c r="AV258" s="2250"/>
      <c r="AW258" s="2250"/>
      <c r="AX258" s="2250"/>
      <c r="AY258" s="2250"/>
      <c r="AZ258" s="2250"/>
      <c r="BA258" s="2250"/>
      <c r="BB258" s="2250"/>
      <c r="BC258" s="2250"/>
      <c r="BD258" s="2250"/>
      <c r="BE258" s="2250"/>
      <c r="BF258" s="2276"/>
      <c r="BG258" s="2276"/>
      <c r="BH258" s="2250"/>
      <c r="BI258" s="2275"/>
      <c r="BJ258" s="2276">
        <f>CP259</f>
        <v>21.68</v>
      </c>
      <c r="BK258" s="2275"/>
      <c r="BL258" s="2275"/>
      <c r="BM258" s="2275"/>
      <c r="BN258" s="2275"/>
      <c r="BO258" s="2275"/>
      <c r="BP258" s="2275"/>
      <c r="BQ258" s="2275"/>
      <c r="BR258" s="2275"/>
      <c r="BS258" s="2275"/>
      <c r="BT258" s="2275"/>
      <c r="BU258" s="2275"/>
      <c r="BV258" s="2275"/>
      <c r="BW258" s="2275"/>
      <c r="BX258" s="2275"/>
      <c r="BY258" s="2275"/>
      <c r="BZ258" s="2275"/>
      <c r="CA258" s="2275"/>
      <c r="CB258" s="2275"/>
      <c r="CC258" s="2275"/>
      <c r="CD258" s="2275"/>
      <c r="CE258" s="2275"/>
      <c r="CF258" s="2275"/>
      <c r="CG258" s="2275"/>
      <c r="CH258" s="2275"/>
      <c r="CI258" s="2275"/>
      <c r="CJ258" s="2275"/>
      <c r="CK258" s="2275"/>
      <c r="CL258" s="2275"/>
      <c r="CM258" s="2275"/>
      <c r="CN258" s="2275"/>
      <c r="CO258" s="2276">
        <f>VLOOKUP(CO243,CO245:CO257,1)</f>
        <v>13.86</v>
      </c>
      <c r="CP258" s="2276">
        <f>IFERROR(VLOOKUP(CO243,CP245:CP255,2,0),0)</f>
        <v>0</v>
      </c>
      <c r="CQ258" s="2275"/>
      <c r="CR258" s="2275"/>
      <c r="CS258" s="2275"/>
      <c r="CT258" s="2275"/>
      <c r="CU258" s="2275"/>
      <c r="CV258" s="2275"/>
      <c r="CW258" s="2275"/>
      <c r="CX258" s="2250"/>
      <c r="CY258" s="2250"/>
      <c r="CZ258" s="2250"/>
      <c r="DA258" s="2250"/>
      <c r="DB258" s="2250"/>
      <c r="DC258" s="2250"/>
      <c r="DD258" s="2250"/>
      <c r="DE258" s="2250"/>
      <c r="DF258" s="2250"/>
      <c r="DG258" s="2250"/>
      <c r="DH258" s="2250"/>
      <c r="DI258" s="2250"/>
      <c r="DJ258" s="2250"/>
      <c r="DK258" s="2250"/>
      <c r="DL258" s="2250"/>
      <c r="DM258" s="2250"/>
      <c r="DN258" s="2250"/>
      <c r="DO258" s="2250"/>
      <c r="DP258" s="2250"/>
      <c r="DQ258" s="2277"/>
      <c r="DR258" s="2277"/>
      <c r="DS258" s="2278"/>
      <c r="DT258" s="2250"/>
      <c r="DU258" s="2250"/>
      <c r="DV258" s="2250"/>
      <c r="DW258" s="2250"/>
      <c r="DX258" s="2275"/>
      <c r="DY258" s="2276">
        <f>FD243</f>
        <v>120.7</v>
      </c>
      <c r="DZ258" s="2275">
        <v>0</v>
      </c>
      <c r="EA258" s="2276">
        <f>VLOOKUP(DY260,DZ246:FA256,2,0)</f>
        <v>12.48</v>
      </c>
      <c r="EB258" s="2276">
        <f>VLOOKUP(DY260,DZ246:EB256,3,0)</f>
        <v>13.86</v>
      </c>
      <c r="EC258" s="2276">
        <f>VLOOKUP(DY260,DZ246:EC256,4,0)</f>
        <v>14.95</v>
      </c>
      <c r="ED258" s="2276">
        <f>VLOOKUP(DY260,DZ246:ED256,5,0)</f>
        <v>16.04</v>
      </c>
      <c r="EE258" s="2276">
        <f>VLOOKUP(DY260,DZ246:EE256,6,0)</f>
        <v>16.440000000000001</v>
      </c>
      <c r="EF258" s="2276">
        <f>VLOOKUP(DY260,DZ246:EF256,7,0)</f>
        <v>17.329999999999998</v>
      </c>
      <c r="EG258" s="2276">
        <f>VLOOKUP(DY260,DZ246:EG256,8,0)</f>
        <v>18.61</v>
      </c>
      <c r="EH258" s="2276">
        <f>VLOOKUP(DY260,DZ246:EH256,9,0)</f>
        <v>19.899999999999999</v>
      </c>
      <c r="EI258" s="2276">
        <f>VLOOKUP(DY260,DZ246:EI256,10,0)</f>
        <v>21.09</v>
      </c>
      <c r="EJ258" s="2276">
        <f>VLOOKUP(DY260,DZ246:EJ256,11,0)</f>
        <v>22.48</v>
      </c>
      <c r="EK258" s="2276">
        <f>VLOOKUP(DY260,DZ246:EK256,12,0)</f>
        <v>24.85</v>
      </c>
      <c r="EL258" s="2276">
        <f>VLOOKUP(DY260,DZ246:EL256,13,0)</f>
        <v>26.93</v>
      </c>
      <c r="EM258" s="2276">
        <f>VLOOKUP(DY260,DZ246:EM256,14,0)</f>
        <v>27.82</v>
      </c>
      <c r="EN258" s="2276">
        <f>VLOOKUP(DY260,DZ246:EN256,15,0)</f>
        <v>29.41</v>
      </c>
      <c r="EO258" s="2276">
        <f>VLOOKUP(DY260,DZ246:EO256,16,0)</f>
        <v>30.99</v>
      </c>
      <c r="EP258" s="2276">
        <f>VLOOKUP(DY260,DZ246:EP256,17,0)</f>
        <v>31.98</v>
      </c>
      <c r="EQ258" s="2276">
        <f>VLOOKUP(DY260,DZ246:EQ256,18,0)</f>
        <v>34.06</v>
      </c>
      <c r="ER258" s="2276">
        <f>VLOOKUP(DY260,DZ246:ER256,19,0)</f>
        <v>36.14</v>
      </c>
      <c r="ES258" s="2276">
        <f>VLOOKUP(DY260,DZ246:ES256,20,0)</f>
        <v>38.909999999999997</v>
      </c>
      <c r="ET258" s="2276">
        <f>VLOOKUP(DY260,DZ246:ET256,21,0)</f>
        <v>42.18</v>
      </c>
      <c r="EU258" s="2276">
        <f>VLOOKUP(DY260,DZ246:EU256,22,0)</f>
        <v>45.45</v>
      </c>
      <c r="EV258" s="2276">
        <f>VLOOKUP(DY260,DZ246:EV256,23,0)</f>
        <v>48.71</v>
      </c>
      <c r="EW258" s="2276">
        <f>VLOOKUP(DY260,DZ246:EW256,24,0)</f>
        <v>52.97</v>
      </c>
      <c r="EX258" s="2276">
        <f>VLOOKUP(DY260,DZ246:EX256,25,0)</f>
        <v>58.12</v>
      </c>
      <c r="EY258" s="2276">
        <f>VLOOKUP(DY260,DZ246:EY256,26,0)</f>
        <v>65.150000000000006</v>
      </c>
      <c r="EZ258" s="2276">
        <f>VLOOKUP(DY260,DZ246:EZ256,27,0)</f>
        <v>76.44</v>
      </c>
      <c r="FA258" s="2276">
        <f>VLOOKUP(DY260,DZ246:FA256,28,0)</f>
        <v>33.270000000000003</v>
      </c>
      <c r="FB258" s="2346"/>
      <c r="FC258" s="2275"/>
      <c r="FD258" s="2276">
        <f>HLOOKUP(FD243,EA244:FA256,13,0)</f>
        <v>322.27999999999997</v>
      </c>
      <c r="FE258" s="2275"/>
      <c r="FF258" s="2275"/>
      <c r="FG258" s="2275"/>
      <c r="FH258" s="2275"/>
      <c r="FI258" s="2275"/>
      <c r="FJ258" s="2275"/>
      <c r="FK258" s="2275"/>
      <c r="FL258" s="2275"/>
      <c r="FM258" s="2250"/>
      <c r="FN258" s="2250"/>
      <c r="FO258" s="2250"/>
      <c r="FP258" s="2250"/>
      <c r="FQ258" s="2250"/>
      <c r="FR258" s="2250"/>
      <c r="FS258" s="2250"/>
      <c r="FT258" s="2250"/>
      <c r="FU258" s="2250"/>
      <c r="FV258" s="2250"/>
      <c r="FW258" s="2250"/>
      <c r="FX258" s="2250"/>
      <c r="FY258" s="2250"/>
      <c r="FZ258" s="2250"/>
      <c r="GA258" s="2250"/>
      <c r="GB258" s="2250"/>
      <c r="GC258" s="2276"/>
      <c r="GD258" s="2276"/>
      <c r="GE258" s="2250"/>
      <c r="GF258" s="2275"/>
      <c r="GG258" s="2276">
        <f>HL243</f>
        <v>129.80000000000001</v>
      </c>
      <c r="GH258" s="2275">
        <v>0</v>
      </c>
      <c r="GI258" s="2276">
        <f>VLOOKUP(GG260,GH246:HI256,2,0)</f>
        <v>12.48</v>
      </c>
      <c r="GJ258" s="2276">
        <f>VLOOKUP(GG260,GH246:GJ256,3,0)</f>
        <v>13.86</v>
      </c>
      <c r="GK258" s="2276">
        <f>VLOOKUP(GG260,GH246:GK256,4,0)</f>
        <v>14.95</v>
      </c>
      <c r="GL258" s="2276">
        <f>VLOOKUP(GG260,GH246:GL256,5,0)</f>
        <v>16.04</v>
      </c>
      <c r="GM258" s="2276">
        <f>VLOOKUP(GG260,GH246:GM256,6,0)</f>
        <v>16.440000000000001</v>
      </c>
      <c r="GN258" s="2276">
        <f>VLOOKUP(GG260,GH246:GN256,7,0)</f>
        <v>17.329999999999998</v>
      </c>
      <c r="GO258" s="2276">
        <f>VLOOKUP(GG260,GH246:GO256,8,0)</f>
        <v>18.61</v>
      </c>
      <c r="GP258" s="2276">
        <f>VLOOKUP(GG260,GH246:GP256,9,0)</f>
        <v>19.899999999999999</v>
      </c>
      <c r="GQ258" s="2276">
        <f>VLOOKUP(GG260,GH246:GQ256,10,0)</f>
        <v>21.09</v>
      </c>
      <c r="GR258" s="2276">
        <f>VLOOKUP(GG260,GH246:GR256,11,0)</f>
        <v>22.48</v>
      </c>
      <c r="GS258" s="2276">
        <f>VLOOKUP(GG260,GH246:GS256,12,0)</f>
        <v>24.85</v>
      </c>
      <c r="GT258" s="2276">
        <f>VLOOKUP(GG260,GH246:GT256,13,0)</f>
        <v>26.93</v>
      </c>
      <c r="GU258" s="2276">
        <f>VLOOKUP(GG260,GH246:GU256,14,0)</f>
        <v>27.82</v>
      </c>
      <c r="GV258" s="2276">
        <f>VLOOKUP(GG260,GH246:GV256,15,0)</f>
        <v>29.41</v>
      </c>
      <c r="GW258" s="2276">
        <f>VLOOKUP(GG260,GH246:GW256,16,0)</f>
        <v>30.99</v>
      </c>
      <c r="GX258" s="2276">
        <f>VLOOKUP(GG260,GH246:GX256,17,0)</f>
        <v>31.98</v>
      </c>
      <c r="GY258" s="2276">
        <f>VLOOKUP(GG260,GH246:GY256,18,0)</f>
        <v>34.06</v>
      </c>
      <c r="GZ258" s="2276">
        <f>VLOOKUP(GG260,GH246:GZ256,19,0)</f>
        <v>36.14</v>
      </c>
      <c r="HA258" s="2276">
        <f>VLOOKUP(GG260,GH246:HA256,20,0)</f>
        <v>38.909999999999997</v>
      </c>
      <c r="HB258" s="2276">
        <f>VLOOKUP(GG260,GH246:HB256,21,0)</f>
        <v>42.18</v>
      </c>
      <c r="HC258" s="2276">
        <f>VLOOKUP(GG260,GH246:HC256,22,0)</f>
        <v>45.45</v>
      </c>
      <c r="HD258" s="2276">
        <f>VLOOKUP(GG260,GH246:HD256,23,0)</f>
        <v>48.71</v>
      </c>
      <c r="HE258" s="2276">
        <f>VLOOKUP(GG260,GH246:HE256,24,0)</f>
        <v>52.97</v>
      </c>
      <c r="HF258" s="2276">
        <f>VLOOKUP(GG260,GH246:HF256,25,0)</f>
        <v>58.12</v>
      </c>
      <c r="HG258" s="2276">
        <f>VLOOKUP(GG260,GH246:HG256,26,0)</f>
        <v>65.150000000000006</v>
      </c>
      <c r="HH258" s="2276">
        <f>VLOOKUP(GG260,GH246:HH256,27,0)</f>
        <v>76.44</v>
      </c>
      <c r="HI258" s="2276">
        <f>VLOOKUP(GG260,GH246:HI256,28,0)</f>
        <v>33.270000000000003</v>
      </c>
      <c r="HJ258" s="2346"/>
      <c r="HK258" s="2275"/>
      <c r="HL258" s="2276">
        <f>HLOOKUP(HL243,GI244:HI256,13,0)</f>
        <v>300.79000000000002</v>
      </c>
      <c r="HM258" s="2275"/>
      <c r="HN258" s="2275"/>
      <c r="HO258" s="2275"/>
      <c r="HP258" s="2275"/>
      <c r="HQ258" s="2275"/>
      <c r="HR258" s="2275"/>
      <c r="HS258" s="2275"/>
      <c r="HT258" s="2275"/>
      <c r="HU258" s="2250"/>
      <c r="HV258" s="2250"/>
      <c r="HW258" s="2250"/>
      <c r="HX258" s="2250"/>
      <c r="HY258" s="2250"/>
      <c r="HZ258" s="2250"/>
      <c r="IA258" s="2250"/>
      <c r="IB258" s="2250"/>
      <c r="IC258" s="2250"/>
      <c r="ID258" s="2250"/>
      <c r="IE258" s="2250"/>
      <c r="IF258" s="2250"/>
      <c r="IG258" s="2250"/>
      <c r="IH258" s="2250"/>
      <c r="II258" s="2250"/>
      <c r="IJ258" s="2250"/>
      <c r="IK258" s="2250"/>
      <c r="IL258" s="2250"/>
    </row>
    <row r="259" spans="1:246" ht="21.95" customHeight="1">
      <c r="A259" s="2275"/>
      <c r="B259" s="3693">
        <f>AI259</f>
        <v>775</v>
      </c>
      <c r="C259" s="2346" t="s">
        <v>739</v>
      </c>
      <c r="D259" s="3693">
        <f>HLOOKUP(B257,D243:AD257,15,0)</f>
        <v>23.76</v>
      </c>
      <c r="E259" s="3693" t="str">
        <f>IF(B258=D259,"Right","Wrong")</f>
        <v>Right</v>
      </c>
      <c r="F259" s="2275"/>
      <c r="G259" s="2275"/>
      <c r="H259" s="2275"/>
      <c r="I259" s="2275"/>
      <c r="J259" s="2275"/>
      <c r="K259" s="2275"/>
      <c r="L259" s="2275"/>
      <c r="M259" s="2275"/>
      <c r="N259" s="2275"/>
      <c r="O259" s="2275"/>
      <c r="P259" s="2275"/>
      <c r="Q259" s="2275"/>
      <c r="R259" s="2275"/>
      <c r="S259" s="2275"/>
      <c r="T259" s="2275"/>
      <c r="U259" s="2275"/>
      <c r="V259" s="2275"/>
      <c r="W259" s="2275"/>
      <c r="X259" s="2275"/>
      <c r="Y259" s="2275"/>
      <c r="Z259" s="2275"/>
      <c r="AA259" s="2275"/>
      <c r="AB259" s="2275"/>
      <c r="AC259" s="2275"/>
      <c r="AD259" s="2275"/>
      <c r="AE259" s="2275"/>
      <c r="AF259" s="2275"/>
      <c r="AG259" s="2276">
        <f>VLOOKUP(AG258,AG245:AH256,2,0)</f>
        <v>23.76</v>
      </c>
      <c r="AH259" s="2276">
        <f>IF(AH258&gt;0,AH258,AG259)</f>
        <v>23.76</v>
      </c>
      <c r="AI259" s="2276">
        <f>VLOOKUP(AH259,AH246:AI256,2,0)</f>
        <v>775</v>
      </c>
      <c r="AJ259" s="2275"/>
      <c r="AK259" s="2275"/>
      <c r="AL259" s="2275"/>
      <c r="AM259" s="2275"/>
      <c r="AN259" s="2275"/>
      <c r="AO259" s="2275"/>
      <c r="AP259" s="2250"/>
      <c r="AQ259" s="2250"/>
      <c r="AR259" s="2250"/>
      <c r="AS259" s="2250"/>
      <c r="AT259" s="2250"/>
      <c r="AU259" s="2250"/>
      <c r="AV259" s="2250"/>
      <c r="AW259" s="2250"/>
      <c r="AX259" s="2250"/>
      <c r="AY259" s="2250"/>
      <c r="AZ259" s="2250"/>
      <c r="BA259" s="2250"/>
      <c r="BB259" s="2250"/>
      <c r="BC259" s="2250"/>
      <c r="BD259" s="2250"/>
      <c r="BE259" s="2250"/>
      <c r="BF259" s="2276"/>
      <c r="BG259" s="2276"/>
      <c r="BH259" s="2250"/>
      <c r="BI259" s="2275"/>
      <c r="BJ259" s="3693">
        <f>CQ259</f>
        <v>775</v>
      </c>
      <c r="BK259" s="2346" t="s">
        <v>739</v>
      </c>
      <c r="BL259" s="3693">
        <f>HLOOKUP(BJ257,BL243:CL257,15,0)</f>
        <v>21.68</v>
      </c>
      <c r="BM259" s="3693" t="str">
        <f>IF(BJ258=BL259,"Right","Wrong")</f>
        <v>Right</v>
      </c>
      <c r="BN259" s="2275"/>
      <c r="BO259" s="2275"/>
      <c r="BP259" s="2275"/>
      <c r="BQ259" s="2275"/>
      <c r="BR259" s="2275"/>
      <c r="BS259" s="2275"/>
      <c r="BT259" s="2275"/>
      <c r="BU259" s="2275"/>
      <c r="BV259" s="2275"/>
      <c r="BW259" s="2275"/>
      <c r="BX259" s="2275"/>
      <c r="BY259" s="2275"/>
      <c r="BZ259" s="2275"/>
      <c r="CA259" s="2275"/>
      <c r="CB259" s="2275"/>
      <c r="CC259" s="2275"/>
      <c r="CD259" s="2275"/>
      <c r="CE259" s="2275"/>
      <c r="CF259" s="2275"/>
      <c r="CG259" s="2275"/>
      <c r="CH259" s="2275"/>
      <c r="CI259" s="2275"/>
      <c r="CJ259" s="2275"/>
      <c r="CK259" s="2275"/>
      <c r="CL259" s="2275"/>
      <c r="CM259" s="2275"/>
      <c r="CN259" s="2275"/>
      <c r="CO259" s="2276">
        <f>VLOOKUP(CO258,CO245:CP256,2,0)</f>
        <v>21.68</v>
      </c>
      <c r="CP259" s="2276">
        <f>IF(CP258&gt;0,CP258,CO259)</f>
        <v>21.68</v>
      </c>
      <c r="CQ259" s="2276">
        <f>VLOOKUP(CP259,CP246:CQ256,2,0)</f>
        <v>775</v>
      </c>
      <c r="CR259" s="2275"/>
      <c r="CS259" s="2275"/>
      <c r="CT259" s="2275"/>
      <c r="CU259" s="2275"/>
      <c r="CV259" s="2275"/>
      <c r="CW259" s="2275"/>
      <c r="CX259" s="2250"/>
      <c r="CY259" s="2250"/>
      <c r="CZ259" s="2250"/>
      <c r="DA259" s="2250"/>
      <c r="DB259" s="2250"/>
      <c r="DC259" s="2250"/>
      <c r="DD259" s="2250"/>
      <c r="DE259" s="2250"/>
      <c r="DF259" s="2250"/>
      <c r="DG259" s="2250"/>
      <c r="DH259" s="2250"/>
      <c r="DI259" s="2250"/>
      <c r="DJ259" s="2250"/>
      <c r="DK259" s="2250"/>
      <c r="DL259" s="2250"/>
      <c r="DM259" s="2250"/>
      <c r="DN259" s="2250"/>
      <c r="DO259" s="2250"/>
      <c r="DP259" s="2250"/>
      <c r="DQ259" s="2277"/>
      <c r="DR259" s="2277"/>
      <c r="DS259" s="2278"/>
      <c r="DT259" s="2250"/>
      <c r="DU259" s="2250"/>
      <c r="DV259" s="2250"/>
      <c r="DW259" s="2250"/>
      <c r="DX259" s="2275"/>
      <c r="DY259" s="2276">
        <f>FE260</f>
        <v>22.48</v>
      </c>
      <c r="DZ259" s="2275"/>
      <c r="EA259" s="2275"/>
      <c r="EB259" s="2275"/>
      <c r="EC259" s="2275"/>
      <c r="ED259" s="2275"/>
      <c r="EE259" s="2275"/>
      <c r="EF259" s="2275"/>
      <c r="EG259" s="2275"/>
      <c r="EH259" s="2275"/>
      <c r="EI259" s="2275"/>
      <c r="EJ259" s="2275"/>
      <c r="EK259" s="2275"/>
      <c r="EL259" s="2275"/>
      <c r="EM259" s="2275"/>
      <c r="EN259" s="2275"/>
      <c r="EO259" s="2275"/>
      <c r="EP259" s="2275"/>
      <c r="EQ259" s="2275"/>
      <c r="ER259" s="2275"/>
      <c r="ES259" s="2275"/>
      <c r="ET259" s="2275"/>
      <c r="EU259" s="2275"/>
      <c r="EV259" s="2275"/>
      <c r="EW259" s="2275"/>
      <c r="EX259" s="2275"/>
      <c r="EY259" s="2275"/>
      <c r="EZ259" s="2275"/>
      <c r="FA259" s="2275"/>
      <c r="FB259" s="2275"/>
      <c r="FC259" s="2275"/>
      <c r="FD259" s="2276">
        <f>VLOOKUP(FD244,FD246:FD258,1)</f>
        <v>12.97</v>
      </c>
      <c r="FE259" s="2276">
        <f>IFERROR(VLOOKUP(FD244,FE246:FE256,2,0),0)</f>
        <v>0</v>
      </c>
      <c r="FF259" s="2275"/>
      <c r="FG259" s="2275"/>
      <c r="FH259" s="2275"/>
      <c r="FI259" s="2275"/>
      <c r="FJ259" s="2275"/>
      <c r="FK259" s="2275"/>
      <c r="FL259" s="2275"/>
      <c r="FM259" s="2250"/>
      <c r="FN259" s="2250"/>
      <c r="FO259" s="2250"/>
      <c r="FP259" s="2250"/>
      <c r="FQ259" s="2250"/>
      <c r="FR259" s="2250"/>
      <c r="FS259" s="2250"/>
      <c r="FT259" s="2250"/>
      <c r="FU259" s="2250"/>
      <c r="FV259" s="2250"/>
      <c r="FW259" s="2250"/>
      <c r="FX259" s="2250"/>
      <c r="FY259" s="2250"/>
      <c r="FZ259" s="2250"/>
      <c r="GA259" s="2250"/>
      <c r="GB259" s="2250"/>
      <c r="GC259" s="2276"/>
      <c r="GD259" s="2276"/>
      <c r="GE259" s="2250"/>
      <c r="GF259" s="2275"/>
      <c r="GG259" s="2276">
        <f>HM260</f>
        <v>21.09</v>
      </c>
      <c r="GH259" s="2275"/>
      <c r="GI259" s="2275"/>
      <c r="GJ259" s="2275"/>
      <c r="GK259" s="2275"/>
      <c r="GL259" s="2275"/>
      <c r="GM259" s="2275"/>
      <c r="GN259" s="2275"/>
      <c r="GO259" s="2275"/>
      <c r="GP259" s="2275"/>
      <c r="GQ259" s="2275"/>
      <c r="GR259" s="2275"/>
      <c r="GS259" s="2275"/>
      <c r="GT259" s="2275"/>
      <c r="GU259" s="2275"/>
      <c r="GV259" s="2275"/>
      <c r="GW259" s="2275"/>
      <c r="GX259" s="2275"/>
      <c r="GY259" s="2275"/>
      <c r="GZ259" s="2275"/>
      <c r="HA259" s="2275"/>
      <c r="HB259" s="2275"/>
      <c r="HC259" s="2275"/>
      <c r="HD259" s="2275"/>
      <c r="HE259" s="2275"/>
      <c r="HF259" s="2275"/>
      <c r="HG259" s="2275"/>
      <c r="HH259" s="2275"/>
      <c r="HI259" s="2275"/>
      <c r="HJ259" s="2275"/>
      <c r="HK259" s="2275"/>
      <c r="HL259" s="2276">
        <f>VLOOKUP(HL244,HL246:HL258,1)</f>
        <v>12.18</v>
      </c>
      <c r="HM259" s="2276">
        <f>IFERROR(VLOOKUP(HL244,HM246:HM256,2,0),0)</f>
        <v>0</v>
      </c>
      <c r="HN259" s="2275"/>
      <c r="HO259" s="2275"/>
      <c r="HP259" s="2275"/>
      <c r="HQ259" s="2275"/>
      <c r="HR259" s="2275"/>
      <c r="HS259" s="2275"/>
      <c r="HT259" s="2275"/>
      <c r="HU259" s="2250"/>
      <c r="HV259" s="2250"/>
      <c r="HW259" s="2250"/>
      <c r="HX259" s="2250"/>
      <c r="HY259" s="2250"/>
      <c r="HZ259" s="2250"/>
      <c r="IA259" s="2250"/>
      <c r="IB259" s="2250"/>
      <c r="IC259" s="2250"/>
      <c r="ID259" s="2250"/>
      <c r="IE259" s="2250"/>
      <c r="IF259" s="2250"/>
      <c r="IG259" s="2250"/>
      <c r="IH259" s="2250"/>
      <c r="II259" s="2250"/>
      <c r="IJ259" s="2250"/>
      <c r="IK259" s="2250"/>
      <c r="IL259" s="2250"/>
    </row>
    <row r="260" spans="1:246" ht="21.95" customHeight="1">
      <c r="A260" s="2275"/>
      <c r="B260" s="2250"/>
      <c r="C260" s="2275"/>
      <c r="D260" s="2276">
        <f>+IF(B283&lt;=D245,D245,IF(B283&lt;=D246,D246,IF(B283&lt;=D247,D247,IF(B283&lt;=D248,D248,IF(B283&lt;=D249,D249,IF(B283&lt;=D250,D250,IF(B283&lt;=D251,D251,IF(B283&lt;=D252,D252,0))))))))</f>
        <v>28.02</v>
      </c>
      <c r="E260" s="2276">
        <f>+IF(B283&lt;=E245,E245,IF(B283&lt;=E246,E246,IF(B283&lt;=E247,E247,IF(B283&lt;=E248,E248,IF(B283&lt;=E249,E249,IF(B283&lt;=E250,E250,IF(B283&lt;=E251,E251,IF(B283&lt;=E252,E252,0))))))))</f>
        <v>21.68</v>
      </c>
      <c r="F260" s="2276">
        <f>+IF(B283&lt;=F245,F245,IF(B283&lt;=F246,F246,IF(B283&lt;=F247,F247,IF(B283&lt;=F248,F248,IF(B283&lt;=F249,F249,IF(B283&lt;=F250,F250,IF(B283&lt;=F251,F251,IF(B283&lt;=F252,F252,0))))))))</f>
        <v>23.76</v>
      </c>
      <c r="G260" s="2276">
        <f>+IF(B283&lt;=G245,G245,IF(B283&lt;=G246,G246,IF(B283&lt;=G247,G247,IF(B283&lt;=G248,G248,IF(B283&lt;=G249,G249,IF(B283&lt;=G250,G250,IF(B283&lt;=G251,G251,IF(B283&lt;=G252,G252,0))))))))</f>
        <v>25.54</v>
      </c>
      <c r="H260" s="2276">
        <f>+IF(B283&lt;=H245,H245,IF(B283&lt;=H246,H246,IF(B283&lt;=H247,H247,IF(B283&lt;=H248,H248,IF(B283&lt;=H249,H249,IF(B283&lt;=H250,H250,IF(B283&lt;=H251,H251,IF(B283&lt;=H252,H252,0))))))))</f>
        <v>27.13</v>
      </c>
      <c r="I260" s="2276">
        <f>+IF(B283&lt;=I245,I245,IF(B283&lt;=I246,I246,IF(B283&lt;=I247,I247,IF(B283&lt;=I248,I248,IF(B283&lt;=I249,I249,IF(B283&lt;=I250,I250,IF(B283&lt;=I251,I251,IF(B283&lt;=I252,I252,0))))))))</f>
        <v>27.33</v>
      </c>
      <c r="J260" s="2276">
        <f>+IF(B283&lt;=J245,J245,IF(B283&lt;=J246,J246,IF(B283&lt;=J247,J247,IF(B283&lt;=J248,J248,IF(B283&lt;=J249,J249,IF(B283&lt;=J250,J250,IF(B283&lt;=J251,J251,IF(B283&lt;=J252,J252,0))))))))</f>
        <v>29.5</v>
      </c>
      <c r="K260" s="2276">
        <f>+IF(B283&lt;=K245,K245,IF(B283&lt;=K246,K246,IF(B283&lt;=K247,K247,IF(B283&lt;=K248,K248,IF(B283&lt;=K249,K249,IF(B283&lt;=K250,K250,IF(B283&lt;=K251,K251,IF(B283&lt;=K252,K252,0))))))))</f>
        <v>31.58</v>
      </c>
      <c r="L260" s="2276">
        <f>+IF(B283&lt;=L245,L245,IF(B283&lt;=L246,L246,IF(B283&lt;=L247,L247,IF(B283&lt;=L248,L248,IF(B283&lt;=L249,L249,IF(B283&lt;=L250,L250,IF(B283&lt;=L251,L251,IF(B283&lt;=L252,L252,0))))))))</f>
        <v>21.09</v>
      </c>
      <c r="M260" s="2276">
        <f>+IF(B283&lt;=M245,M245,IF(B283&lt;=M246,M246,IF(B283&lt;=M247,M247,IF(B283&lt;=M248,M248,IF(B283&lt;=M249,M249,IF(B283&lt;=M250,M250,IF(B283&lt;=M251,M251,IF(B283&lt;=M252,M252,0))))))))</f>
        <v>22.48</v>
      </c>
      <c r="N260" s="2276">
        <f>+IF(B283&lt;=N245,N245,IF(B283&lt;=N246,N246,IF(B283&lt;=N247,N247,IF(B283&lt;=N248,N248,IF(B283&lt;=N249,N249,IF(B283&lt;=N250,N250,IF(B283&lt;=N251,N251,IF(B283&lt;=N252,N252,0))))))))</f>
        <v>24.85</v>
      </c>
      <c r="O260" s="2276">
        <f>+IF(B283&lt;=O245,O245,IF(B283&lt;=O246,O246,IF(B283&lt;=O247,O247,IF(B283&lt;=O248,O248,IF(B283&lt;=O249,O249,IF(B283&lt;=O250,O250,IF(B283&lt;=O251,O251,IF(B283&lt;=O252,O252,0))))))))</f>
        <v>26.93</v>
      </c>
      <c r="P260" s="2276">
        <f>+IF(B283&lt;=P245,P245,IF(B283&lt;=P246,P246,IF(B283&lt;=P247,P247,IF(B283&lt;=P248,P248,IF(B283&lt;=P249,P249,IF(B283&lt;=P250,P250,IF(B283&lt;=P251,P251,IF(B283&lt;=P252,P252,0))))))))</f>
        <v>27.82</v>
      </c>
      <c r="Q260" s="2276">
        <f>+IF(B283&lt;=Q245,Q245,IF(B283&lt;=Q246,Q246,IF(B283&lt;=Q247,Q247,IF(B283&lt;=Q248,Q248,IF(B283&lt;=Q249,Q249,IF(B283&lt;=Q250,Q250,IF(B283&lt;=Q251,Q251,IF(B283&lt;=Q252,Q252,0))))))))</f>
        <v>29.41</v>
      </c>
      <c r="R260" s="2276">
        <f>+IF(B283&lt;=R245,R245,IF(B283&lt;=R246,R246,IF(B283&lt;=R247,R247,IF(B283&lt;=R248,R248,IF(B283&lt;=R249,R249,IF(B283&lt;=R250,R250,IF(B283&lt;=R251,R251,IF(B283&lt;=R252,R252,0))))))))</f>
        <v>30.99</v>
      </c>
      <c r="S260" s="2276">
        <f>+IF(B283&lt;=S245,S245,IF(B283&lt;=S246,S246,IF(B283&lt;=S247,S247,IF(B283&lt;=S248,S248,IF(B283&lt;=S249,S249,IF(B283&lt;=S250,S250,IF(B283&lt;=S251,S251,IF(B283&lt;=S252,S252,0))))))))</f>
        <v>31.98</v>
      </c>
      <c r="T260" s="2276">
        <f>+IF(B283&lt;=T245,T245,IF(B283&lt;=T246,T246,IF(B283&lt;=T247,T247,IF(B283&lt;=T248,T248,IF(B283&lt;=T249,T249,IF(B283&lt;=T250,T250,IF(B283&lt;=T251,T251,IF(B283&lt;=T252,T252,0))))))))</f>
        <v>20</v>
      </c>
      <c r="U260" s="2276">
        <f>+IF(B283&lt;=U245,U245,IF(B283&lt;=U246,U246,IF(B283&lt;=U247,U247,IF(B283&lt;=U248,U248,IF(B283&lt;=U249,U249,IF(B283&lt;=U250,U250,IF(B283&lt;=U251,U251,IF(B283&lt;=U252,U252,0))))))))</f>
        <v>21.39</v>
      </c>
      <c r="V260" s="2276">
        <f>+IF(B283&lt;=V245,V245,IF(B283&lt;=V246,V246,IF(B283&lt;=V247,V247,IF(B283&lt;=V248,V248,IF(B283&lt;=V249,V249,IF(B283&lt;=V250,V250,IF(B283&lt;=V251,V251,IF(B283&lt;=V252,V252,0))))))))</f>
        <v>22.77</v>
      </c>
      <c r="W260" s="2276">
        <f>+IF(B283&lt;=W245,W245,IF(B283&lt;=W246,W246,IF(B283&lt;=W247,W247,IF(B283&lt;=W248,W248,IF(B283&lt;=W249,W249,IF(B283&lt;=W250,W250,IF(B283&lt;=W251,W251,IF(B283&lt;=W252,W252,0))))))))</f>
        <v>24.55</v>
      </c>
      <c r="X260" s="2276">
        <f>+IF(B283&lt;=X245,X245,IF(B283&lt;=X246,X246,IF(B283&lt;=X247,X247,IF(B283&lt;=X248,X248,IF(B283&lt;=X249,X249,IF(B283&lt;=X250,X250,IF(B283&lt;=X251,X251,IF(B283&lt;=X252,X252,0))))))))</f>
        <v>26.24</v>
      </c>
      <c r="Y260" s="2276">
        <f>+IF(B283&lt;=Y245,Y245,IF(B283&lt;=Y246,Y246,IF(B283&lt;=Y247,Y247,IF(B283&lt;=Y248,Y248,IF(B283&lt;=Y249,Y249,IF(B283&lt;=Y250,Y250,IF(B283&lt;=Y251,Y251,IF(B283&lt;=Y252,Y252,0))))))))</f>
        <v>28.71</v>
      </c>
      <c r="Z260" s="2276">
        <f>+IF(B283&lt;=Z245,Z245,IF(B283&lt;=Z246,Z246,IF(B283&lt;=Z247,Z247,IF(B283&lt;=Z248,Z248,IF(B283&lt;=Z249,Z249,IF(B283&lt;=Z250,Z250,IF(B283&lt;=Z251,Z251,IF(B283&lt;=Z252,Z252,0))))))))</f>
        <v>31.19</v>
      </c>
      <c r="AA260" s="2276">
        <f>+IF(B283&lt;=AA245,AA245,IF(B283&lt;=AA246,AA246,IF(B283&lt;=AA247,AA247,IF(B283&lt;=AA248,AA248,IF(B283&lt;=AA249,AA249,IF(B283&lt;=AA250,AA250,IF(B283&lt;=AA251,AA251,IF(B283&lt;=AA252,AA252,0))))))))</f>
        <v>34.75</v>
      </c>
      <c r="AB260" s="2276">
        <f>+IF(B283&lt;=AB245,AB245,IF(B283&lt;=AB246,AB246,IF(B283&lt;=AB247,AB247,IF(B283&lt;=AB248,AB248,IF(B283&lt;=AB249,AB249,IF(B283&lt;=AB250,AB250,IF(B283&lt;=AB251,AB251,IF(B283&lt;=AB252,AB252,0))))))))</f>
        <v>20.100000000000001</v>
      </c>
      <c r="AC260" s="2276">
        <f>+IF(B283&lt;=AC245,AC245,IF(B283&lt;=AC246,AC246,IF(B283&lt;=AC247,AC247,IF(B283&lt;=AC248,AC248,IF(B283&lt;=AC249,AC249,IF(B283&lt;=AC250,AC250,IF(B283&lt;=AC251,AC251,IF(B283&lt;=AC252,AC252,0))))))))</f>
        <v>22.87</v>
      </c>
      <c r="AD260" s="2276">
        <f>+IF(B283&lt;=AD245,AD245,IF(B283&lt;=AD246,AD246,IF(B283&lt;=AD247,AD247,IF(B283&lt;=AD248,AD248,IF(B283&lt;=AD249,AD249,IF(B283&lt;=AD250,AD250,IF(B283&lt;=AD251,AD251,IF(B283&lt;=AD252,AD252,0))))))))</f>
        <v>26.73</v>
      </c>
      <c r="AE260" s="2275"/>
      <c r="AF260" s="2275"/>
      <c r="AG260" s="2275"/>
      <c r="AH260" s="2275"/>
      <c r="AI260" s="2275"/>
      <c r="AJ260" s="2275"/>
      <c r="AK260" s="2275"/>
      <c r="AL260" s="2275"/>
      <c r="AM260" s="2275"/>
      <c r="AN260" s="2275"/>
      <c r="AO260" s="2275"/>
      <c r="AP260" s="2250"/>
      <c r="AQ260" s="2250"/>
      <c r="AR260" s="2250"/>
      <c r="AS260" s="2250"/>
      <c r="AT260" s="2250"/>
      <c r="AU260" s="2250"/>
      <c r="AV260" s="2250"/>
      <c r="AW260" s="2250"/>
      <c r="AX260" s="2250"/>
      <c r="AY260" s="2250"/>
      <c r="AZ260" s="2250"/>
      <c r="BA260" s="2250"/>
      <c r="BB260" s="2250"/>
      <c r="BC260" s="2250"/>
      <c r="BD260" s="2250"/>
      <c r="BE260" s="2250"/>
      <c r="BF260" s="2276"/>
      <c r="BG260" s="2276"/>
      <c r="BH260" s="2250"/>
      <c r="BI260" s="2275"/>
      <c r="BJ260" s="2250"/>
      <c r="BK260" s="2275"/>
      <c r="BL260" s="2276">
        <f>+IF(BJ283&lt;=BL245,BL245,IF(BJ283&lt;=BL246,BL246,IF(BJ283&lt;=BL247,BL247,IF(BJ283&lt;=BL248,BL248,IF(BJ283&lt;=BL249,BL249,IF(BJ283&lt;=BL250,BL250,IF(BJ283&lt;=BL251,BL251,IF(BJ283&lt;=BL252,BL252,0))))))))</f>
        <v>28.02</v>
      </c>
      <c r="BM260" s="2276">
        <f>+IF(BJ283&lt;=BM245,BM245,IF(BJ283&lt;=BM246,BM246,IF(BJ283&lt;=BM247,BM247,IF(BJ283&lt;=BM248,BM248,IF(BJ283&lt;=BM249,BM249,IF(BJ283&lt;=BM250,BM250,IF(BJ283&lt;=BM251,BM251,IF(BJ283&lt;=BM252,BM252,0))))))))</f>
        <v>21.68</v>
      </c>
      <c r="BN260" s="2276">
        <f>+IF(BJ283&lt;=BN245,BN245,IF(BJ283&lt;=BN246,BN246,IF(BJ283&lt;=BN247,BN247,IF(BJ283&lt;=BN248,BN248,IF(BJ283&lt;=BN249,BN249,IF(BJ283&lt;=BN250,BN250,IF(BJ283&lt;=BN251,BN251,IF(BJ283&lt;=BN252,BN252,0))))))))</f>
        <v>23.76</v>
      </c>
      <c r="BO260" s="2276">
        <f>+IF(BJ283&lt;=BO245,BO245,IF(BJ283&lt;=BO246,BO246,IF(BJ283&lt;=BO247,BO247,IF(BJ283&lt;=BO248,BO248,IF(BJ283&lt;=BO249,BO249,IF(BJ283&lt;=BO250,BO250,IF(BJ283&lt;=BO251,BO251,IF(BJ283&lt;=BO252,BO252,0))))))))</f>
        <v>25.54</v>
      </c>
      <c r="BP260" s="2276">
        <f>+IF(BJ283&lt;=BP245,BP245,IF(BJ283&lt;=BP246,BP246,IF(BJ283&lt;=BP247,BP247,IF(BJ283&lt;=BP248,BP248,IF(BJ283&lt;=BP249,BP249,IF(BJ283&lt;=BP250,BP250,IF(BJ283&lt;=BP251,BP251,IF(BJ283&lt;=BP252,BP252,0))))))))</f>
        <v>27.13</v>
      </c>
      <c r="BQ260" s="2276">
        <f>+IF(BJ283&lt;=BQ245,BQ245,IF(BJ283&lt;=BQ246,BQ246,IF(BJ283&lt;=BQ247,BQ247,IF(BJ283&lt;=BQ248,BQ248,IF(BJ283&lt;=BQ249,BQ249,IF(BJ283&lt;=BQ250,BQ250,IF(BJ283&lt;=BQ251,BQ251,IF(BJ283&lt;=BQ252,BQ252,0))))))))</f>
        <v>27.33</v>
      </c>
      <c r="BR260" s="2276">
        <f>+IF(BJ283&lt;=BR245,BR245,IF(BJ283&lt;=BR246,BR246,IF(BJ283&lt;=BR247,BR247,IF(BJ283&lt;=BR248,BR248,IF(BJ283&lt;=BR249,BR249,IF(BJ283&lt;=BR250,BR250,IF(BJ283&lt;=BR251,BR251,IF(BJ283&lt;=BR252,BR252,0))))))))</f>
        <v>29.5</v>
      </c>
      <c r="BS260" s="2276">
        <f>+IF(BJ283&lt;=BS245,BS245,IF(BJ283&lt;=BS246,BS246,IF(BJ283&lt;=BS247,BS247,IF(BJ283&lt;=BS248,BS248,IF(BJ283&lt;=BS249,BS249,IF(BJ283&lt;=BS250,BS250,IF(BJ283&lt;=BS251,BS251,IF(BJ283&lt;=BS252,BS252,0))))))))</f>
        <v>31.58</v>
      </c>
      <c r="BT260" s="2276">
        <f>+IF(BJ283&lt;=BT245,BT245,IF(BJ283&lt;=BT246,BT246,IF(BJ283&lt;=BT247,BT247,IF(BJ283&lt;=BT248,BT248,IF(BJ283&lt;=BT249,BT249,IF(BJ283&lt;=BT250,BT250,IF(BJ283&lt;=BT251,BT251,IF(BJ283&lt;=BT252,BT252,0))))))))</f>
        <v>21.09</v>
      </c>
      <c r="BU260" s="2276">
        <f>+IF(BJ283&lt;=BU245,BU245,IF(BJ283&lt;=BU246,BU246,IF(BJ283&lt;=BU247,BU247,IF(BJ283&lt;=BU248,BU248,IF(BJ283&lt;=BU249,BU249,IF(BJ283&lt;=BU250,BU250,IF(BJ283&lt;=BU251,BU251,IF(BJ283&lt;=BU252,BU252,0))))))))</f>
        <v>22.48</v>
      </c>
      <c r="BV260" s="2276">
        <f>+IF(BJ283&lt;=BV245,BV245,IF(BJ283&lt;=BV246,BV246,IF(BJ283&lt;=BV247,BV247,IF(BJ283&lt;=BV248,BV248,IF(BJ283&lt;=BV249,BV249,IF(BJ283&lt;=BV250,BV250,IF(BJ283&lt;=BV251,BV251,IF(BJ283&lt;=BV252,BV252,0))))))))</f>
        <v>24.85</v>
      </c>
      <c r="BW260" s="2276">
        <f>+IF(BJ283&lt;=BW245,BW245,IF(BJ283&lt;=BW246,BW246,IF(BJ283&lt;=BW247,BW247,IF(BJ283&lt;=BW248,BW248,IF(BJ283&lt;=BW249,BW249,IF(BJ283&lt;=BW250,BW250,IF(BJ283&lt;=BW251,BW251,IF(BJ283&lt;=BW252,BW252,0))))))))</f>
        <v>26.93</v>
      </c>
      <c r="BX260" s="2276">
        <f>+IF(BJ283&lt;=BX245,BX245,IF(BJ283&lt;=BX246,BX246,IF(BJ283&lt;=BX247,BX247,IF(BJ283&lt;=BX248,BX248,IF(BJ283&lt;=BX249,BX249,IF(BJ283&lt;=BX250,BX250,IF(BJ283&lt;=BX251,BX251,IF(BJ283&lt;=BX252,BX252,0))))))))</f>
        <v>27.82</v>
      </c>
      <c r="BY260" s="2276">
        <f>+IF(BJ283&lt;=BY245,BY245,IF(BJ283&lt;=BY246,BY246,IF(BJ283&lt;=BY247,BY247,IF(BJ283&lt;=BY248,BY248,IF(BJ283&lt;=BY249,BY249,IF(BJ283&lt;=BY250,BY250,IF(BJ283&lt;=BY251,BY251,IF(BJ283&lt;=BY252,BY252,0))))))))</f>
        <v>29.41</v>
      </c>
      <c r="BZ260" s="2276">
        <f>+IF(BJ283&lt;=BZ245,BZ245,IF(BJ283&lt;=BZ246,BZ246,IF(BJ283&lt;=BZ247,BZ247,IF(BJ283&lt;=BZ248,BZ248,IF(BJ283&lt;=BZ249,BZ249,IF(BJ283&lt;=BZ250,BZ250,IF(BJ283&lt;=BZ251,BZ251,IF(BJ283&lt;=BZ252,BZ252,0))))))))</f>
        <v>30.99</v>
      </c>
      <c r="CA260" s="2276">
        <f>+IF(BJ283&lt;=CA245,CA245,IF(BJ283&lt;=CA246,CA246,IF(BJ283&lt;=CA247,CA247,IF(BJ283&lt;=CA248,CA248,IF(BJ283&lt;=CA249,CA249,IF(BJ283&lt;=CA250,CA250,IF(BJ283&lt;=CA251,CA251,IF(BJ283&lt;=CA252,CA252,0))))))))</f>
        <v>31.98</v>
      </c>
      <c r="CB260" s="2276">
        <f>+IF(BJ283&lt;=CB245,CB245,IF(BJ283&lt;=CB246,CB246,IF(BJ283&lt;=CB247,CB247,IF(BJ283&lt;=CB248,CB248,IF(BJ283&lt;=CB249,CB249,IF(BJ283&lt;=CB250,CB250,IF(BJ283&lt;=CB251,CB251,IF(BJ283&lt;=CB252,CB252,0))))))))</f>
        <v>20</v>
      </c>
      <c r="CC260" s="2276">
        <f>+IF(BJ283&lt;=CC245,CC245,IF(BJ283&lt;=CC246,CC246,IF(BJ283&lt;=CC247,CC247,IF(BJ283&lt;=CC248,CC248,IF(BJ283&lt;=CC249,CC249,IF(BJ283&lt;=CC250,CC250,IF(BJ283&lt;=CC251,CC251,IF(BJ283&lt;=CC252,CC252,0))))))))</f>
        <v>21.39</v>
      </c>
      <c r="CD260" s="2276">
        <f>+IF(BJ283&lt;=CD245,CD245,IF(BJ283&lt;=CD246,CD246,IF(BJ283&lt;=CD247,CD247,IF(BJ283&lt;=CD248,CD248,IF(BJ283&lt;=CD249,CD249,IF(BJ283&lt;=CD250,CD250,IF(BJ283&lt;=CD251,CD251,IF(BJ283&lt;=CD252,CD252,0))))))))</f>
        <v>22.77</v>
      </c>
      <c r="CE260" s="2276">
        <f>+IF(BJ283&lt;=CE245,CE245,IF(BJ283&lt;=CE246,CE246,IF(BJ283&lt;=CE247,CE247,IF(BJ283&lt;=CE248,CE248,IF(BJ283&lt;=CE249,CE249,IF(BJ283&lt;=CE250,CE250,IF(BJ283&lt;=CE251,CE251,IF(BJ283&lt;=CE252,CE252,0))))))))</f>
        <v>24.55</v>
      </c>
      <c r="CF260" s="2276">
        <f>+IF(BJ283&lt;=CF245,CF245,IF(BJ283&lt;=CF246,CF246,IF(BJ283&lt;=CF247,CF247,IF(BJ283&lt;=CF248,CF248,IF(BJ283&lt;=CF249,CF249,IF(BJ283&lt;=CF250,CF250,IF(BJ283&lt;=CF251,CF251,IF(BJ283&lt;=CF252,CF252,0))))))))</f>
        <v>26.24</v>
      </c>
      <c r="CG260" s="2276">
        <f>+IF(BJ283&lt;=CG245,CG245,IF(BJ283&lt;=CG246,CG246,IF(BJ283&lt;=CG247,CG247,IF(BJ283&lt;=CG248,CG248,IF(BJ283&lt;=CG249,CG249,IF(BJ283&lt;=CG250,CG250,IF(BJ283&lt;=CG251,CG251,IF(BJ283&lt;=CG252,CG252,0))))))))</f>
        <v>28.71</v>
      </c>
      <c r="CH260" s="2276">
        <f>+IF(BJ283&lt;=CH245,CH245,IF(BJ283&lt;=CH246,CH246,IF(BJ283&lt;=CH247,CH247,IF(BJ283&lt;=CH248,CH248,IF(BJ283&lt;=CH249,CH249,IF(BJ283&lt;=CH250,CH250,IF(BJ283&lt;=CH251,CH251,IF(BJ283&lt;=CH252,CH252,0))))))))</f>
        <v>31.19</v>
      </c>
      <c r="CI260" s="2276">
        <f>+IF(BJ283&lt;=CI245,CI245,IF(BJ283&lt;=CI246,CI246,IF(BJ283&lt;=CI247,CI247,IF(BJ283&lt;=CI248,CI248,IF(BJ283&lt;=CI249,CI249,IF(BJ283&lt;=CI250,CI250,IF(BJ283&lt;=CI251,CI251,IF(BJ283&lt;=CI252,CI252,0))))))))</f>
        <v>34.75</v>
      </c>
      <c r="CJ260" s="2276">
        <f>+IF(BJ283&lt;=CJ245,CJ245,IF(BJ283&lt;=CJ246,CJ246,IF(BJ283&lt;=CJ247,CJ247,IF(BJ283&lt;=CJ248,CJ248,IF(BJ283&lt;=CJ249,CJ249,IF(BJ283&lt;=CJ250,CJ250,IF(BJ283&lt;=CJ251,CJ251,IF(BJ283&lt;=CJ252,CJ252,0))))))))</f>
        <v>20.100000000000001</v>
      </c>
      <c r="CK260" s="2276">
        <f>+IF(BJ283&lt;=CK245,CK245,IF(BJ283&lt;=CK246,CK246,IF(BJ283&lt;=CK247,CK247,IF(BJ283&lt;=CK248,CK248,IF(BJ283&lt;=CK249,CK249,IF(BJ283&lt;=CK250,CK250,IF(BJ283&lt;=CK251,CK251,IF(BJ283&lt;=CK252,CK252,0))))))))</f>
        <v>22.87</v>
      </c>
      <c r="CL260" s="2276">
        <f>+IF(BJ283&lt;=CL245,CL245,IF(BJ283&lt;=CL246,CL246,IF(BJ283&lt;=CL247,CL247,IF(BJ283&lt;=CL248,CL248,IF(BJ283&lt;=CL249,CL249,IF(BJ283&lt;=CL250,CL250,IF(BJ283&lt;=CL251,CL251,IF(BJ283&lt;=CL252,CL252,0))))))))</f>
        <v>26.73</v>
      </c>
      <c r="CM260" s="2275"/>
      <c r="CN260" s="2275"/>
      <c r="CO260" s="2275"/>
      <c r="CP260" s="2275"/>
      <c r="CQ260" s="2275"/>
      <c r="CR260" s="2275"/>
      <c r="CS260" s="2275"/>
      <c r="CT260" s="2275"/>
      <c r="CU260" s="2275"/>
      <c r="CV260" s="2275"/>
      <c r="CW260" s="2275"/>
      <c r="CX260" s="2250"/>
      <c r="CY260" s="2250"/>
      <c r="CZ260" s="2250"/>
      <c r="DA260" s="2250"/>
      <c r="DB260" s="2250"/>
      <c r="DC260" s="2250"/>
      <c r="DD260" s="2250"/>
      <c r="DE260" s="2250"/>
      <c r="DF260" s="2250"/>
      <c r="DG260" s="2250"/>
      <c r="DH260" s="2250"/>
      <c r="DI260" s="2250"/>
      <c r="DJ260" s="2250"/>
      <c r="DK260" s="2250"/>
      <c r="DL260" s="2250"/>
      <c r="DM260" s="2250"/>
      <c r="DN260" s="2250"/>
      <c r="DO260" s="2250"/>
      <c r="DP260" s="2250"/>
      <c r="DQ260" s="2277"/>
      <c r="DR260" s="2277"/>
      <c r="DS260" s="2278"/>
      <c r="DT260" s="2250"/>
      <c r="DU260" s="2250"/>
      <c r="DV260" s="2250"/>
      <c r="DW260" s="2250"/>
      <c r="DX260" s="2275"/>
      <c r="DY260" s="3693">
        <f>FF260</f>
        <v>650</v>
      </c>
      <c r="DZ260" s="2346" t="s">
        <v>739</v>
      </c>
      <c r="EA260" s="3693">
        <f>HLOOKUP(DY258,EA244:FA258,15,0)</f>
        <v>22.48</v>
      </c>
      <c r="EB260" s="3693" t="str">
        <f>IF(DY259=EA260,"Right","Wrong")</f>
        <v>Right</v>
      </c>
      <c r="EC260" s="2275"/>
      <c r="ED260" s="2275"/>
      <c r="EE260" s="2275"/>
      <c r="EF260" s="2275"/>
      <c r="EG260" s="2275"/>
      <c r="EH260" s="2275"/>
      <c r="EI260" s="2275"/>
      <c r="EJ260" s="2275"/>
      <c r="EK260" s="2275"/>
      <c r="EL260" s="2275"/>
      <c r="EM260" s="2275"/>
      <c r="EN260" s="2275"/>
      <c r="EO260" s="2275"/>
      <c r="EP260" s="2275"/>
      <c r="EQ260" s="2275"/>
      <c r="ER260" s="2275"/>
      <c r="ES260" s="2275"/>
      <c r="ET260" s="2275"/>
      <c r="EU260" s="2275"/>
      <c r="EV260" s="2275"/>
      <c r="EW260" s="2275"/>
      <c r="EX260" s="2275"/>
      <c r="EY260" s="2275"/>
      <c r="EZ260" s="2275"/>
      <c r="FA260" s="2275"/>
      <c r="FB260" s="2275"/>
      <c r="FC260" s="2275"/>
      <c r="FD260" s="2276">
        <f>VLOOKUP(FD259,FD246:FE257,2,0)</f>
        <v>22.48</v>
      </c>
      <c r="FE260" s="2276">
        <f>IF(FE259&gt;0,FE259,FD260)</f>
        <v>22.48</v>
      </c>
      <c r="FF260" s="2276">
        <f>VLOOKUP(FE260,FE247:FF257,2,0)</f>
        <v>650</v>
      </c>
      <c r="FG260" s="2275"/>
      <c r="FH260" s="2275"/>
      <c r="FI260" s="2275"/>
      <c r="FJ260" s="2275"/>
      <c r="FK260" s="2275"/>
      <c r="FL260" s="2275"/>
      <c r="FM260" s="2250"/>
      <c r="FN260" s="2250"/>
      <c r="FO260" s="2250"/>
      <c r="FP260" s="2250"/>
      <c r="FQ260" s="2250"/>
      <c r="FR260" s="2250"/>
      <c r="FS260" s="2250"/>
      <c r="FT260" s="2250"/>
      <c r="FU260" s="2250"/>
      <c r="FV260" s="2250"/>
      <c r="FW260" s="2250"/>
      <c r="FX260" s="2250"/>
      <c r="FY260" s="2250"/>
      <c r="FZ260" s="2250"/>
      <c r="GA260" s="2250"/>
      <c r="GB260" s="2250"/>
      <c r="GC260" s="2276"/>
      <c r="GD260" s="2276"/>
      <c r="GE260" s="2250"/>
      <c r="GF260" s="2275"/>
      <c r="GG260" s="3693">
        <f>HN260</f>
        <v>650</v>
      </c>
      <c r="GH260" s="2346" t="s">
        <v>739</v>
      </c>
      <c r="GI260" s="3693">
        <f>HLOOKUP(GG258,GI244:HI258,15,0)</f>
        <v>21.09</v>
      </c>
      <c r="GJ260" s="3693" t="str">
        <f>IF(GG259=GI260,"Right","Wrong")</f>
        <v>Right</v>
      </c>
      <c r="GK260" s="2275"/>
      <c r="GL260" s="2275"/>
      <c r="GM260" s="2275"/>
      <c r="GN260" s="2275"/>
      <c r="GO260" s="2275"/>
      <c r="GP260" s="2275"/>
      <c r="GQ260" s="2275"/>
      <c r="GR260" s="2275"/>
      <c r="GS260" s="2275"/>
      <c r="GT260" s="2275"/>
      <c r="GU260" s="2275"/>
      <c r="GV260" s="2275"/>
      <c r="GW260" s="2275"/>
      <c r="GX260" s="2275"/>
      <c r="GY260" s="2275"/>
      <c r="GZ260" s="2275"/>
      <c r="HA260" s="2275"/>
      <c r="HB260" s="2275"/>
      <c r="HC260" s="2275"/>
      <c r="HD260" s="2275"/>
      <c r="HE260" s="2275"/>
      <c r="HF260" s="2275"/>
      <c r="HG260" s="2275"/>
      <c r="HH260" s="2275"/>
      <c r="HI260" s="2275"/>
      <c r="HJ260" s="2275"/>
      <c r="HK260" s="2275"/>
      <c r="HL260" s="2276">
        <f>VLOOKUP(HL259,HL246:HM257,2,0)</f>
        <v>21.09</v>
      </c>
      <c r="HM260" s="2276">
        <f>IF(HM259&gt;0,HM259,HL260)</f>
        <v>21.09</v>
      </c>
      <c r="HN260" s="2276">
        <f>VLOOKUP(HM260,HM247:HN257,2,0)</f>
        <v>650</v>
      </c>
      <c r="HO260" s="2275"/>
      <c r="HP260" s="2275"/>
      <c r="HQ260" s="2275"/>
      <c r="HR260" s="2275"/>
      <c r="HS260" s="2275"/>
      <c r="HT260" s="2275"/>
      <c r="HU260" s="2250"/>
      <c r="HV260" s="2250"/>
      <c r="HW260" s="2250"/>
      <c r="HX260" s="2250"/>
      <c r="HY260" s="2250"/>
      <c r="HZ260" s="2250"/>
      <c r="IA260" s="2250"/>
      <c r="IB260" s="2250"/>
      <c r="IC260" s="2250"/>
      <c r="ID260" s="2250"/>
      <c r="IE260" s="2250"/>
      <c r="IF260" s="2250"/>
      <c r="IG260" s="2250"/>
      <c r="IH260" s="2250"/>
      <c r="II260" s="2250"/>
      <c r="IJ260" s="2250"/>
      <c r="IK260" s="2250"/>
      <c r="IL260" s="2250"/>
    </row>
    <row r="261" spans="1:246" ht="21.95" customHeight="1">
      <c r="A261" s="2275"/>
      <c r="B261" s="2276">
        <f>B239</f>
        <v>19.915970774546171</v>
      </c>
      <c r="C261" s="2276">
        <f>HLOOKUP(B262,D243:AD263,20,0)</f>
        <v>23.76</v>
      </c>
      <c r="D261" s="2276">
        <f>+IF(B283&lt;=D253,D253,IF(B283&lt;=D254,D254,IF(B283&lt;=D255,D255,)))</f>
        <v>76.73</v>
      </c>
      <c r="E261" s="2276">
        <f>+IF(B283&lt;=E253,E253,IF(B283&lt;=E254,E254,IF(B283&lt;=E255,E255,)))</f>
        <v>86.53</v>
      </c>
      <c r="F261" s="2276">
        <f>+IF(B283&lt;=F253,F253,IF(B283&lt;=F254,F254,IF(B283&lt;=F255,F255,)))</f>
        <v>94.16</v>
      </c>
      <c r="G261" s="2276">
        <f>+IF(B283&lt;=G253,G253,IF(B283&lt;=G254,G254,IF(B283&lt;=G255,G255,)))</f>
        <v>100.99</v>
      </c>
      <c r="H261" s="2276">
        <f>+IF(B283&lt;=H253,H253,IF(B283&lt;=H254,H254,IF(B283&lt;=H255,H255,)))</f>
        <v>107.33</v>
      </c>
      <c r="I261" s="2276">
        <f>+IF(B283&lt;=I253,I253,IF(B283&lt;=I254,I254,IF(B283&lt;=I255,I255,)))</f>
        <v>109.01</v>
      </c>
      <c r="J261" s="2276">
        <f>+IF(B283&lt;=J253,J253,IF(B283&lt;=J254,J254,IF(B283&lt;=J255,J255,)))</f>
        <v>116.73</v>
      </c>
      <c r="K261" s="2276">
        <f>+IF(B283&lt;=K253,K253,IF(B283&lt;=K254,K254,IF(B283&lt;=K255,K255,)))</f>
        <v>124.95</v>
      </c>
      <c r="L261" s="2276">
        <f>+IF(B283&lt;=L253,L253,IF(B283&lt;=L254,L254,IF(B283&lt;=L255,L255,)))</f>
        <v>132.57</v>
      </c>
      <c r="M261" s="2276">
        <f>+IF(B283&lt;=M253,M253,IF(B283&lt;=M254,M254,IF(B283&lt;=M255,M255,)))</f>
        <v>141.19</v>
      </c>
      <c r="N261" s="2276">
        <f>+IF(B283&lt;=N253,N253,IF(B283&lt;=N254,N254,IF(B283&lt;=N255,N255,)))</f>
        <v>156.13999999999999</v>
      </c>
      <c r="O261" s="2276">
        <f>+IF(B283&lt;=O253,O253,IF(B283&lt;=O254,O254,IF(B283&lt;=O255,O255,)))</f>
        <v>168.61</v>
      </c>
      <c r="P261" s="2276">
        <f>+IF(B283&lt;=P253,P253,IF(B283&lt;=P254,P254,IF(B283&lt;=P255,P255,)))</f>
        <v>176.14</v>
      </c>
      <c r="Q261" s="2276">
        <f>+IF(B283&lt;=Q253,Q253,IF(B283&lt;=Q254,Q254,IF(B283&lt;=Q255,Q255,)))</f>
        <v>185.05</v>
      </c>
      <c r="R261" s="2276">
        <f>+IF(B283&lt;=R253,R253,IF(B283&lt;=R254,R254,IF(B283&lt;=R255,R255,)))</f>
        <v>194.85</v>
      </c>
      <c r="S261" s="2276">
        <f>+IF(B283&lt;=S253,S253,IF(B283&lt;=S254,S254,IF(B283&lt;=S255,S255,)))</f>
        <v>201.29</v>
      </c>
      <c r="T261" s="2276">
        <f>+IF(B283&lt;=T253,T253,IF(B283&lt;=T254,T254,IF(B283&lt;=T255,T255,)))</f>
        <v>214.16</v>
      </c>
      <c r="U261" s="2276">
        <f>+IF(B283&lt;=U253,U253,IF(B283&lt;=U254,U254,IF(B283&lt;=U255,U255,)))</f>
        <v>232.28</v>
      </c>
      <c r="V261" s="2276">
        <f>+IF(B283&lt;=V253,V253,IF(B283&lt;=V254,V254,IF(B283&lt;=V255,V255,)))</f>
        <v>247.43</v>
      </c>
      <c r="W261" s="2276">
        <f>+IF(B283&lt;=W253,W253,IF(B283&lt;=W254,W254,IF(B283&lt;=W255,W255,)))</f>
        <v>252.77</v>
      </c>
      <c r="X261" s="2276">
        <f>+IF(B283&lt;=X253,X253,IF(B283&lt;=X254,X254,IF(B283&lt;=X255,X255,)))</f>
        <v>263.37</v>
      </c>
      <c r="Y261" s="2276">
        <f>+IF(B283&lt;=Y253,Y253,IF(B283&lt;=Y254,Y254,IF(B283&lt;=Y255,Y255,)))</f>
        <v>295.54000000000002</v>
      </c>
      <c r="Z261" s="2276">
        <f>+IF(B283&lt;=Z253,Z253,IF(B283&lt;=Z254,Z254,IF(B283&lt;=Z255,Z255,)))</f>
        <v>337.72</v>
      </c>
      <c r="AA261" s="2276">
        <f>+IF(B283&lt;=AA253,AA253,IF(B283&lt;=AA254,AA254,IF(B283&lt;=AA255,AA255,)))</f>
        <v>372.28</v>
      </c>
      <c r="AB261" s="2276">
        <f>+IF(B283&lt;=AB253,AB253,IF(B283&lt;=AB254,AB254,IF(B283&lt;=AB255,AB255,)))</f>
        <v>383.27</v>
      </c>
      <c r="AC261" s="2276">
        <f>+IF(B283&lt;=AC253,AC253,IF(B283&lt;=AC254,AC254,IF(B283&lt;=AC255,AC255,)))</f>
        <v>383.27</v>
      </c>
      <c r="AD261" s="2276">
        <f>+IF(B283&lt;=AD253,AD253,IF(B283&lt;=AD254,AD254,IF(B283&lt;=AD255,AD255,)))</f>
        <v>383.27</v>
      </c>
      <c r="AE261" s="2275"/>
      <c r="AF261" s="2275"/>
      <c r="AG261" s="2275"/>
      <c r="AH261" s="2275"/>
      <c r="AI261" s="2275"/>
      <c r="AJ261" s="2275"/>
      <c r="AK261" s="2275"/>
      <c r="AL261" s="2275"/>
      <c r="AM261" s="2275"/>
      <c r="AN261" s="2275"/>
      <c r="AO261" s="2275"/>
      <c r="AP261" s="2250"/>
      <c r="AQ261" s="2250"/>
      <c r="AR261" s="2250"/>
      <c r="AS261" s="2250"/>
      <c r="AT261" s="2250"/>
      <c r="AU261" s="2250"/>
      <c r="AV261" s="2250"/>
      <c r="AW261" s="2250"/>
      <c r="AX261" s="2250"/>
      <c r="AY261" s="2250"/>
      <c r="AZ261" s="2250"/>
      <c r="BA261" s="2250"/>
      <c r="BB261" s="2250"/>
      <c r="BC261" s="2250"/>
      <c r="BD261" s="2250"/>
      <c r="BE261" s="2250"/>
      <c r="BF261" s="2276"/>
      <c r="BG261" s="2276"/>
      <c r="BH261" s="2250"/>
      <c r="BI261" s="2275"/>
      <c r="BJ261" s="2276">
        <f>BJ239</f>
        <v>19.915970774546171</v>
      </c>
      <c r="BK261" s="2276">
        <f>HLOOKUP(BJ262,BL243:CL263,20,0)</f>
        <v>21.68</v>
      </c>
      <c r="BL261" s="2276">
        <f>+IF(BJ283&lt;=BL253,BL253,IF(BJ283&lt;=BL254,BL254,IF(BJ283&lt;=BL255,BL255,)))</f>
        <v>76.73</v>
      </c>
      <c r="BM261" s="2276">
        <f>+IF(BJ283&lt;=BM253,BM253,IF(BJ283&lt;=BM254,BM254,IF(BJ283&lt;=BM255,BM255,)))</f>
        <v>86.53</v>
      </c>
      <c r="BN261" s="2276">
        <f>+IF(BJ283&lt;=BN253,BN253,IF(BJ283&lt;=BN254,BN254,IF(BJ283&lt;=BN255,BN255,)))</f>
        <v>94.16</v>
      </c>
      <c r="BO261" s="2276">
        <f>+IF(BJ283&lt;=BO253,BO253,IF(BJ283&lt;=BO254,BO254,IF(BJ283&lt;=BO255,BO255,)))</f>
        <v>100.99</v>
      </c>
      <c r="BP261" s="2276">
        <f>+IF(BJ283&lt;=BP253,BP253,IF(BJ283&lt;=BP254,BP254,IF(BJ283&lt;=BP255,BP255,)))</f>
        <v>107.33</v>
      </c>
      <c r="BQ261" s="2276">
        <f>+IF(BJ283&lt;=BQ253,BQ253,IF(BJ283&lt;=BQ254,BQ254,IF(BJ283&lt;=BQ255,BQ255,)))</f>
        <v>109.01</v>
      </c>
      <c r="BR261" s="2276">
        <f>+IF(BJ283&lt;=BR253,BR253,IF(BJ283&lt;=BR254,BR254,IF(BJ283&lt;=BR255,BR255,)))</f>
        <v>116.73</v>
      </c>
      <c r="BS261" s="2276">
        <f>+IF(BJ283&lt;=BS253,BS253,IF(BJ283&lt;=BS254,BS254,IF(BJ283&lt;=BS255,BS255,)))</f>
        <v>124.95</v>
      </c>
      <c r="BT261" s="2276">
        <f>+IF(BJ283&lt;=BT253,BT253,IF(BJ283&lt;=BT254,BT254,IF(BJ283&lt;=BT255,BT255,)))</f>
        <v>132.57</v>
      </c>
      <c r="BU261" s="2276">
        <f>+IF(BJ283&lt;=BU253,BU253,IF(BJ283&lt;=BU254,BU254,IF(BJ283&lt;=BU255,BU255,)))</f>
        <v>141.19</v>
      </c>
      <c r="BV261" s="2276">
        <f>+IF(BJ283&lt;=BV253,BV253,IF(BJ283&lt;=BV254,BV254,IF(BJ283&lt;=BV255,BV255,)))</f>
        <v>156.13999999999999</v>
      </c>
      <c r="BW261" s="2276">
        <f>+IF(BJ283&lt;=BW253,BW253,IF(BJ283&lt;=BW254,BW254,IF(BJ283&lt;=BW255,BW255,)))</f>
        <v>168.61</v>
      </c>
      <c r="BX261" s="2276">
        <f>+IF(BJ283&lt;=BX253,BX253,IF(BJ283&lt;=BX254,BX254,IF(BJ283&lt;=BX255,BX255,)))</f>
        <v>176.14</v>
      </c>
      <c r="BY261" s="2276">
        <f>+IF(BJ283&lt;=BY253,BY253,IF(BJ283&lt;=BY254,BY254,IF(BJ283&lt;=BY255,BY255,)))</f>
        <v>185.05</v>
      </c>
      <c r="BZ261" s="2276">
        <f>+IF(BJ283&lt;=BZ253,BZ253,IF(BJ283&lt;=BZ254,BZ254,IF(BJ283&lt;=BZ255,BZ255,)))</f>
        <v>194.85</v>
      </c>
      <c r="CA261" s="2276">
        <f>+IF(BJ283&lt;=CA253,CA253,IF(BJ283&lt;=CA254,CA254,IF(BJ283&lt;=CA255,CA255,)))</f>
        <v>201.29</v>
      </c>
      <c r="CB261" s="2276">
        <f>+IF(BJ283&lt;=CB253,CB253,IF(BJ283&lt;=CB254,CB254,IF(BJ283&lt;=CB255,CB255,)))</f>
        <v>214.16</v>
      </c>
      <c r="CC261" s="2276">
        <f>+IF(BJ283&lt;=CC253,CC253,IF(BJ283&lt;=CC254,CC254,IF(BJ283&lt;=CC255,CC255,)))</f>
        <v>232.28</v>
      </c>
      <c r="CD261" s="2276">
        <f>+IF(BJ283&lt;=CD253,CD253,IF(BJ283&lt;=CD254,CD254,IF(BJ283&lt;=CD255,CD255,)))</f>
        <v>247.43</v>
      </c>
      <c r="CE261" s="2276">
        <f>+IF(BJ283&lt;=CE253,CE253,IF(BJ283&lt;=CE254,CE254,IF(BJ283&lt;=CE255,CE255,)))</f>
        <v>252.77</v>
      </c>
      <c r="CF261" s="2276">
        <f>+IF(BJ283&lt;=CF253,CF253,IF(BJ283&lt;=CF254,CF254,IF(BJ283&lt;=CF255,CF255,)))</f>
        <v>263.37</v>
      </c>
      <c r="CG261" s="2276">
        <f>+IF(BJ283&lt;=CG253,CG253,IF(BJ283&lt;=CG254,CG254,IF(BJ283&lt;=CG255,CG255,)))</f>
        <v>295.54000000000002</v>
      </c>
      <c r="CH261" s="2276">
        <f>+IF(BJ283&lt;=CH253,CH253,IF(BJ283&lt;=CH254,CH254,IF(BJ283&lt;=CH255,CH255,)))</f>
        <v>337.72</v>
      </c>
      <c r="CI261" s="2276">
        <f>+IF(BJ283&lt;=CI253,CI253,IF(BJ283&lt;=CI254,CI254,IF(BJ283&lt;=CI255,CI255,)))</f>
        <v>372.28</v>
      </c>
      <c r="CJ261" s="2276">
        <f>+IF(BJ283&lt;=CJ253,CJ253,IF(BJ283&lt;=CJ254,CJ254,IF(BJ283&lt;=CJ255,CJ255,)))</f>
        <v>383.27</v>
      </c>
      <c r="CK261" s="2276">
        <f>+IF(BJ283&lt;=CK253,CK253,IF(BJ283&lt;=CK254,CK254,IF(BJ283&lt;=CK255,CK255,)))</f>
        <v>383.27</v>
      </c>
      <c r="CL261" s="2276">
        <f>+IF(BJ283&lt;=CL253,CL253,IF(BJ283&lt;=CL254,CL254,IF(BJ283&lt;=CL255,CL255,)))</f>
        <v>383.27</v>
      </c>
      <c r="CM261" s="2275"/>
      <c r="CN261" s="2275"/>
      <c r="CO261" s="2275"/>
      <c r="CP261" s="2275"/>
      <c r="CQ261" s="2275"/>
      <c r="CR261" s="2275"/>
      <c r="CS261" s="2275"/>
      <c r="CT261" s="2275"/>
      <c r="CU261" s="2275"/>
      <c r="CV261" s="2275"/>
      <c r="CW261" s="2275"/>
      <c r="CX261" s="2250"/>
      <c r="CY261" s="2250"/>
      <c r="CZ261" s="2250"/>
      <c r="DA261" s="2250"/>
      <c r="DB261" s="2250"/>
      <c r="DC261" s="2250"/>
      <c r="DD261" s="2250"/>
      <c r="DE261" s="2250"/>
      <c r="DF261" s="2250"/>
      <c r="DG261" s="2250"/>
      <c r="DH261" s="2250"/>
      <c r="DI261" s="2250"/>
      <c r="DJ261" s="2250"/>
      <c r="DK261" s="2250"/>
      <c r="DL261" s="2250"/>
      <c r="DM261" s="2250"/>
      <c r="DN261" s="2250"/>
      <c r="DO261" s="2250"/>
      <c r="DP261" s="2250"/>
      <c r="DQ261" s="2277"/>
      <c r="DR261" s="2277"/>
      <c r="DS261" s="2278"/>
      <c r="DT261" s="2250"/>
      <c r="DU261" s="2250"/>
      <c r="DV261" s="2250"/>
      <c r="DW261" s="2250"/>
      <c r="DX261" s="2275"/>
      <c r="DY261" s="2250"/>
      <c r="DZ261" s="2275"/>
      <c r="EA261" s="2276">
        <f>+IF(DY284&lt;=EA246,EA246,IF(DY284&lt;=EA247,EA247,IF(DY284&lt;=EA248,EA248,IF(DY284&lt;=EA249,EA249,IF(DY284&lt;=EA250,EA250,IF(DY284&lt;=EA251,EA251,IF(DY284&lt;=EA252,EA252,IF(DY284&lt;=EA253,EA253,0))))))))</f>
        <v>28.02</v>
      </c>
      <c r="EB261" s="2276">
        <f>+IF(DY284&lt;=EB246,EB246,IF(DY284&lt;=EB247,EB247,IF(DY284&lt;=EB248,EB248,IF(DY284&lt;=EB249,EB249,IF(DY284&lt;=EB250,EB250,IF(DY284&lt;=EB251,EB251,IF(DY284&lt;=EB252,EB252,IF(DY284&lt;=EB253,EB253,0))))))))</f>
        <v>21.68</v>
      </c>
      <c r="EC261" s="2276">
        <f>+IF(DY284&lt;=EC246,EC246,IF(DY284&lt;=EC247,EC247,IF(DY284&lt;=EC248,EC248,IF(DY284&lt;=EC249,EC249,IF(DY284&lt;=EC250,EC250,IF(DY284&lt;=EC251,EC251,IF(DY284&lt;=EC252,EC252,IF(DY284&lt;=EC253,EC253,0))))))))</f>
        <v>23.76</v>
      </c>
      <c r="ED261" s="2276">
        <f>+IF(DY284&lt;=ED246,ED246,IF(DY284&lt;=ED247,ED247,IF(DY284&lt;=ED248,ED248,IF(DY284&lt;=ED249,ED249,IF(DY284&lt;=ED250,ED250,IF(DY284&lt;=ED251,ED251,IF(DY284&lt;=ED252,ED252,IF(DY284&lt;=ED253,ED253,0))))))))</f>
        <v>25.54</v>
      </c>
      <c r="EE261" s="2276">
        <f>+IF(DY284&lt;=EE246,EE246,IF(DY284&lt;=EE247,EE247,IF(DY284&lt;=EE248,EE248,IF(DY284&lt;=EE249,EE249,IF(DY284&lt;=EE250,EE250,IF(DY284&lt;=EE251,EE251,IF(DY284&lt;=EE252,EE252,IF(DY284&lt;=EE253,EE253,0))))))))</f>
        <v>27.13</v>
      </c>
      <c r="EF261" s="2276">
        <f>+IF(DY284&lt;=EF246,EF246,IF(DY284&lt;=EF247,EF247,IF(DY284&lt;=EF248,EF248,IF(DY284&lt;=EF249,EF249,IF(DY284&lt;=EF250,EF250,IF(DY284&lt;=EF251,EF251,IF(DY284&lt;=EF252,EF252,IF(DY284&lt;=EF253,EF253,0))))))))</f>
        <v>27.33</v>
      </c>
      <c r="EG261" s="2276">
        <f>+IF(DY284&lt;=EG246,EG246,IF(DY284&lt;=EG247,EG247,IF(DY284&lt;=EG248,EG248,IF(DY284&lt;=EG249,EG249,IF(DY284&lt;=EG250,EG250,IF(DY284&lt;=EG251,EG251,IF(DY284&lt;=EG252,EG252,IF(DY284&lt;=EG253,EG253,0))))))))</f>
        <v>29.5</v>
      </c>
      <c r="EH261" s="2276">
        <f>+IF(DY284&lt;=EH246,EH246,IF(DY284&lt;=EH247,EH247,IF(DY284&lt;=EH248,EH248,IF(DY284&lt;=EH249,EH249,IF(DY284&lt;=EH250,EH250,IF(DY284&lt;=EH251,EH251,IF(DY284&lt;=EH252,EH252,IF(DY284&lt;=EH253,EH253,0))))))))</f>
        <v>31.58</v>
      </c>
      <c r="EI261" s="2276">
        <f>+IF(DY284&lt;=EI246,EI246,IF(DY284&lt;=EI247,EI247,IF(DY284&lt;=EI248,EI248,IF(DY284&lt;=EI249,EI249,IF(DY284&lt;=EI250,EI250,IF(DY284&lt;=EI251,EI251,IF(DY284&lt;=EI252,EI252,IF(DY284&lt;=EI253,EI253,0))))))))</f>
        <v>21.09</v>
      </c>
      <c r="EJ261" s="2276">
        <f>+IF(DY284&lt;=EJ246,EJ246,IF(DY284&lt;=EJ247,EJ247,IF(DY284&lt;=EJ248,EJ248,IF(DY284&lt;=EJ249,EJ249,IF(DY284&lt;=EJ250,EJ250,IF(DY284&lt;=EJ251,EJ251,IF(DY284&lt;=EJ252,EJ252,IF(DY284&lt;=EJ253,EJ253,0))))))))</f>
        <v>22.48</v>
      </c>
      <c r="EK261" s="2276">
        <f>+IF(DY284&lt;=EK246,EK246,IF(DY284&lt;=EK247,EK247,IF(DY284&lt;=EK248,EK248,IF(DY284&lt;=EK249,EK249,IF(DY284&lt;=EK250,EK250,IF(DY284&lt;=EK251,EK251,IF(DY284&lt;=EK252,EK252,IF(DY284&lt;=EK253,EK253,0))))))))</f>
        <v>24.85</v>
      </c>
      <c r="EL261" s="2276">
        <f>+IF(DY284&lt;=EL246,EL246,IF(DY284&lt;=EL247,EL247,IF(DY284&lt;=EL248,EL248,IF(DY284&lt;=EL249,EL249,IF(DY284&lt;=EL250,EL250,IF(DY284&lt;=EL251,EL251,IF(DY284&lt;=EL252,EL252,IF(DY284&lt;=EL253,EL253,0))))))))</f>
        <v>26.93</v>
      </c>
      <c r="EM261" s="2276">
        <f>+IF(DY284&lt;=EM246,EM246,IF(DY284&lt;=EM247,EM247,IF(DY284&lt;=EM248,EM248,IF(DY284&lt;=EM249,EM249,IF(DY284&lt;=EM250,EM250,IF(DY284&lt;=EM251,EM251,IF(DY284&lt;=EM252,EM252,IF(DY284&lt;=EM253,EM253,0))))))))</f>
        <v>27.82</v>
      </c>
      <c r="EN261" s="2276">
        <f>+IF(DY284&lt;=EN246,EN246,IF(DY284&lt;=EN247,EN247,IF(DY284&lt;=EN248,EN248,IF(DY284&lt;=EN249,EN249,IF(DY284&lt;=EN250,EN250,IF(DY284&lt;=EN251,EN251,IF(DY284&lt;=EN252,EN252,IF(DY284&lt;=EN253,EN253,0))))))))</f>
        <v>29.41</v>
      </c>
      <c r="EO261" s="2276">
        <f>+IF(DY284&lt;=EO246,EO246,IF(DY284&lt;=EO247,EO247,IF(DY284&lt;=EO248,EO248,IF(DY284&lt;=EO249,EO249,IF(DY284&lt;=EO250,EO250,IF(DY284&lt;=EO251,EO251,IF(DY284&lt;=EO252,EO252,IF(DY284&lt;=EO253,EO253,0))))))))</f>
        <v>30.99</v>
      </c>
      <c r="EP261" s="2276">
        <f>+IF(DY284&lt;=EP246,EP246,IF(DY284&lt;=EP247,EP247,IF(DY284&lt;=EP248,EP248,IF(DY284&lt;=EP249,EP249,IF(DY284&lt;=EP250,EP250,IF(DY284&lt;=EP251,EP251,IF(DY284&lt;=EP252,EP252,IF(DY284&lt;=EP253,EP253,0))))))))</f>
        <v>31.98</v>
      </c>
      <c r="EQ261" s="2276">
        <f>+IF(DY284&lt;=EQ246,EQ246,IF(DY284&lt;=EQ247,EQ247,IF(DY284&lt;=EQ248,EQ248,IF(DY284&lt;=EQ249,EQ249,IF(DY284&lt;=EQ250,EQ250,IF(DY284&lt;=EQ251,EQ251,IF(DY284&lt;=EQ252,EQ252,IF(DY284&lt;=EQ253,EQ253,0))))))))</f>
        <v>20</v>
      </c>
      <c r="ER261" s="2276">
        <f>+IF(DY284&lt;=ER246,ER246,IF(DY284&lt;=ER247,ER247,IF(DY284&lt;=ER248,ER248,IF(DY284&lt;=ER249,ER249,IF(DY284&lt;=ER250,ER250,IF(DY284&lt;=ER251,ER251,IF(DY284&lt;=ER252,ER252,IF(DY284&lt;=ER253,ER253,0))))))))</f>
        <v>21.39</v>
      </c>
      <c r="ES261" s="2276">
        <f>+IF(DY284&lt;=ES246,ES246,IF(DY284&lt;=ES247,ES247,IF(DY284&lt;=ES248,ES248,IF(DY284&lt;=ES249,ES249,IF(DY284&lt;=ES250,ES250,IF(DY284&lt;=ES251,ES251,IF(DY284&lt;=ES252,ES252,IF(DY284&lt;=ES253,ES253,0))))))))</f>
        <v>22.77</v>
      </c>
      <c r="ET261" s="2276">
        <f>+IF(DY284&lt;=ET246,ET246,IF(DY284&lt;=ET247,ET247,IF(DY284&lt;=ET248,ET248,IF(DY284&lt;=ET249,ET249,IF(DY284&lt;=ET250,ET250,IF(DY284&lt;=ET251,ET251,IF(DY284&lt;=ET252,ET252,IF(DY284&lt;=ET253,ET253,0))))))))</f>
        <v>24.55</v>
      </c>
      <c r="EU261" s="2276">
        <f>+IF(DY284&lt;=EU246,EU246,IF(DY284&lt;=EU247,EU247,IF(DY284&lt;=EU248,EU248,IF(DY284&lt;=EU249,EU249,IF(DY284&lt;=EU250,EU250,IF(DY284&lt;=EU251,EU251,IF(DY284&lt;=EU252,EU252,IF(DY284&lt;=EU253,EU253,0))))))))</f>
        <v>26.24</v>
      </c>
      <c r="EV261" s="2276">
        <f>+IF(DY284&lt;=EV246,EV246,IF(DY284&lt;=EV247,EV247,IF(DY284&lt;=EV248,EV248,IF(DY284&lt;=EV249,EV249,IF(DY284&lt;=EV250,EV250,IF(DY284&lt;=EV251,EV251,IF(DY284&lt;=EV252,EV252,IF(DY284&lt;=EV253,EV253,0))))))))</f>
        <v>28.71</v>
      </c>
      <c r="EW261" s="2276">
        <f>+IF(DY284&lt;=EW246,EW246,IF(DY284&lt;=EW247,EW247,IF(DY284&lt;=EW248,EW248,IF(DY284&lt;=EW249,EW249,IF(DY284&lt;=EW250,EW250,IF(DY284&lt;=EW251,EW251,IF(DY284&lt;=EW252,EW252,IF(DY284&lt;=EW253,EW253,0))))))))</f>
        <v>31.19</v>
      </c>
      <c r="EX261" s="2276">
        <f>+IF(DY284&lt;=EX246,EX246,IF(DY284&lt;=EX247,EX247,IF(DY284&lt;=EX248,EX248,IF(DY284&lt;=EX249,EX249,IF(DY284&lt;=EX250,EX250,IF(DY284&lt;=EX251,EX251,IF(DY284&lt;=EX252,EX252,IF(DY284&lt;=EX253,EX253,0))))))))</f>
        <v>34.75</v>
      </c>
      <c r="EY261" s="2276">
        <f>+IF(DY284&lt;=EY246,EY246,IF(DY284&lt;=EY247,EY247,IF(DY284&lt;=EY248,EY248,IF(DY284&lt;=EY249,EY249,IF(DY284&lt;=EY250,EY250,IF(DY284&lt;=EY251,EY251,IF(DY284&lt;=EY252,EY252,IF(DY284&lt;=EY253,EY253,0))))))))</f>
        <v>20.100000000000001</v>
      </c>
      <c r="EZ261" s="2276">
        <f>+IF(DY284&lt;=EZ246,EZ246,IF(DY284&lt;=EZ247,EZ247,IF(DY284&lt;=EZ248,EZ248,IF(DY284&lt;=EZ249,EZ249,IF(DY284&lt;=EZ250,EZ250,IF(DY284&lt;=EZ251,EZ251,IF(DY284&lt;=EZ252,EZ252,IF(DY284&lt;=EZ253,EZ253,0))))))))</f>
        <v>22.87</v>
      </c>
      <c r="FA261" s="2276">
        <f>+IF(DY284&lt;=FA246,FA246,IF(DY284&lt;=FA247,FA247,IF(DY284&lt;=FA248,FA248,IF(DY284&lt;=FA249,FA249,IF(DY284&lt;=FA250,FA250,IF(DY284&lt;=FA251,FA251,IF(DY284&lt;=FA252,FA252,IF(DY284&lt;=FA253,FA253,0))))))))</f>
        <v>26.73</v>
      </c>
      <c r="FB261" s="2275"/>
      <c r="FC261" s="2275"/>
      <c r="FD261" s="2275"/>
      <c r="FE261" s="2275"/>
      <c r="FF261" s="2275"/>
      <c r="FG261" s="2275"/>
      <c r="FH261" s="2275"/>
      <c r="FI261" s="2275"/>
      <c r="FJ261" s="2275"/>
      <c r="FK261" s="2275"/>
      <c r="FL261" s="2275"/>
      <c r="FM261" s="2250"/>
      <c r="FN261" s="2250"/>
      <c r="FO261" s="2250"/>
      <c r="FP261" s="2250"/>
      <c r="FQ261" s="2250"/>
      <c r="FR261" s="2250"/>
      <c r="FS261" s="2250"/>
      <c r="FT261" s="2250"/>
      <c r="FU261" s="2250"/>
      <c r="FV261" s="2250"/>
      <c r="FW261" s="2250"/>
      <c r="FX261" s="2250"/>
      <c r="FY261" s="2250"/>
      <c r="FZ261" s="2250"/>
      <c r="GA261" s="2250"/>
      <c r="GB261" s="2250"/>
      <c r="GC261" s="2276"/>
      <c r="GD261" s="2276"/>
      <c r="GE261" s="2250"/>
      <c r="GF261" s="2275"/>
      <c r="GG261" s="2250"/>
      <c r="GH261" s="2275"/>
      <c r="GI261" s="2276">
        <f>+IF(GG284&lt;=GI246,GI246,IF(GG284&lt;=GI247,GI247,IF(GG284&lt;=GI248,GI248,IF(GG284&lt;=GI249,GI249,IF(GG284&lt;=GI250,GI250,IF(GG284&lt;=GI251,GI251,IF(GG284&lt;=GI252,GI252,IF(GG284&lt;=GI253,GI253,0))))))))</f>
        <v>28.02</v>
      </c>
      <c r="GJ261" s="2276">
        <f>+IF(GG284&lt;=GJ246,GJ246,IF(GG284&lt;=GJ247,GJ247,IF(GG284&lt;=GJ248,GJ248,IF(GG284&lt;=GJ249,GJ249,IF(GG284&lt;=GJ250,GJ250,IF(GG284&lt;=GJ251,GJ251,IF(GG284&lt;=GJ252,GJ252,IF(GG284&lt;=GJ253,GJ253,0))))))))</f>
        <v>21.68</v>
      </c>
      <c r="GK261" s="2276">
        <f>+IF(GG284&lt;=GK246,GK246,IF(GG284&lt;=GK247,GK247,IF(GG284&lt;=GK248,GK248,IF(GG284&lt;=GK249,GK249,IF(GG284&lt;=GK250,GK250,IF(GG284&lt;=GK251,GK251,IF(GG284&lt;=GK252,GK252,IF(GG284&lt;=GK253,GK253,0))))))))</f>
        <v>23.76</v>
      </c>
      <c r="GL261" s="2276">
        <f>+IF(GG284&lt;=GL246,GL246,IF(GG284&lt;=GL247,GL247,IF(GG284&lt;=GL248,GL248,IF(GG284&lt;=GL249,GL249,IF(GG284&lt;=GL250,GL250,IF(GG284&lt;=GL251,GL251,IF(GG284&lt;=GL252,GL252,IF(GG284&lt;=GL253,GL253,0))))))))</f>
        <v>25.54</v>
      </c>
      <c r="GM261" s="2276">
        <f>+IF(GG284&lt;=GM246,GM246,IF(GG284&lt;=GM247,GM247,IF(GG284&lt;=GM248,GM248,IF(GG284&lt;=GM249,GM249,IF(GG284&lt;=GM250,GM250,IF(GG284&lt;=GM251,GM251,IF(GG284&lt;=GM252,GM252,IF(GG284&lt;=GM253,GM253,0))))))))</f>
        <v>27.13</v>
      </c>
      <c r="GN261" s="2276">
        <f>+IF(GG284&lt;=GN246,GN246,IF(GG284&lt;=GN247,GN247,IF(GG284&lt;=GN248,GN248,IF(GG284&lt;=GN249,GN249,IF(GG284&lt;=GN250,GN250,IF(GG284&lt;=GN251,GN251,IF(GG284&lt;=GN252,GN252,IF(GG284&lt;=GN253,GN253,0))))))))</f>
        <v>27.33</v>
      </c>
      <c r="GO261" s="2276">
        <f>+IF(GG284&lt;=GO246,GO246,IF(GG284&lt;=GO247,GO247,IF(GG284&lt;=GO248,GO248,IF(GG284&lt;=GO249,GO249,IF(GG284&lt;=GO250,GO250,IF(GG284&lt;=GO251,GO251,IF(GG284&lt;=GO252,GO252,IF(GG284&lt;=GO253,GO253,0))))))))</f>
        <v>29.5</v>
      </c>
      <c r="GP261" s="2276">
        <f>+IF(GG284&lt;=GP246,GP246,IF(GG284&lt;=GP247,GP247,IF(GG284&lt;=GP248,GP248,IF(GG284&lt;=GP249,GP249,IF(GG284&lt;=GP250,GP250,IF(GG284&lt;=GP251,GP251,IF(GG284&lt;=GP252,GP252,IF(GG284&lt;=GP253,GP253,0))))))))</f>
        <v>31.58</v>
      </c>
      <c r="GQ261" s="2276">
        <f>+IF(GG284&lt;=GQ246,GQ246,IF(GG284&lt;=GQ247,GQ247,IF(GG284&lt;=GQ248,GQ248,IF(GG284&lt;=GQ249,GQ249,IF(GG284&lt;=GQ250,GQ250,IF(GG284&lt;=GQ251,GQ251,IF(GG284&lt;=GQ252,GQ252,IF(GG284&lt;=GQ253,GQ253,0))))))))</f>
        <v>21.09</v>
      </c>
      <c r="GR261" s="2276">
        <f>+IF(GG284&lt;=GR246,GR246,IF(GG284&lt;=GR247,GR247,IF(GG284&lt;=GR248,GR248,IF(GG284&lt;=GR249,GR249,IF(GG284&lt;=GR250,GR250,IF(GG284&lt;=GR251,GR251,IF(GG284&lt;=GR252,GR252,IF(GG284&lt;=GR253,GR253,0))))))))</f>
        <v>22.48</v>
      </c>
      <c r="GS261" s="2276">
        <f>+IF(GG284&lt;=GS246,GS246,IF(GG284&lt;=GS247,GS247,IF(GG284&lt;=GS248,GS248,IF(GG284&lt;=GS249,GS249,IF(GG284&lt;=GS250,GS250,IF(GG284&lt;=GS251,GS251,IF(GG284&lt;=GS252,GS252,IF(GG284&lt;=GS253,GS253,0))))))))</f>
        <v>24.85</v>
      </c>
      <c r="GT261" s="2276">
        <f>+IF(GG284&lt;=GT246,GT246,IF(GG284&lt;=GT247,GT247,IF(GG284&lt;=GT248,GT248,IF(GG284&lt;=GT249,GT249,IF(GG284&lt;=GT250,GT250,IF(GG284&lt;=GT251,GT251,IF(GG284&lt;=GT252,GT252,IF(GG284&lt;=GT253,GT253,0))))))))</f>
        <v>26.93</v>
      </c>
      <c r="GU261" s="2276">
        <f>+IF(GG284&lt;=GU246,GU246,IF(GG284&lt;=GU247,GU247,IF(GG284&lt;=GU248,GU248,IF(GG284&lt;=GU249,GU249,IF(GG284&lt;=GU250,GU250,IF(GG284&lt;=GU251,GU251,IF(GG284&lt;=GU252,GU252,IF(GG284&lt;=GU253,GU253,0))))))))</f>
        <v>27.82</v>
      </c>
      <c r="GV261" s="2276">
        <f>+IF(GG284&lt;=GV246,GV246,IF(GG284&lt;=GV247,GV247,IF(GG284&lt;=GV248,GV248,IF(GG284&lt;=GV249,GV249,IF(GG284&lt;=GV250,GV250,IF(GG284&lt;=GV251,GV251,IF(GG284&lt;=GV252,GV252,IF(GG284&lt;=GV253,GV253,0))))))))</f>
        <v>29.41</v>
      </c>
      <c r="GW261" s="2276">
        <f>+IF(GG284&lt;=GW246,GW246,IF(GG284&lt;=GW247,GW247,IF(GG284&lt;=GW248,GW248,IF(GG284&lt;=GW249,GW249,IF(GG284&lt;=GW250,GW250,IF(GG284&lt;=GW251,GW251,IF(GG284&lt;=GW252,GW252,IF(GG284&lt;=GW253,GW253,0))))))))</f>
        <v>30.99</v>
      </c>
      <c r="GX261" s="2276">
        <f>+IF(GG284&lt;=GX246,GX246,IF(GG284&lt;=GX247,GX247,IF(GG284&lt;=GX248,GX248,IF(GG284&lt;=GX249,GX249,IF(GG284&lt;=GX250,GX250,IF(GG284&lt;=GX251,GX251,IF(GG284&lt;=GX252,GX252,IF(GG284&lt;=GX253,GX253,0))))))))</f>
        <v>31.98</v>
      </c>
      <c r="GY261" s="2276">
        <f>+IF(GG284&lt;=GY246,GY246,IF(GG284&lt;=GY247,GY247,IF(GG284&lt;=GY248,GY248,IF(GG284&lt;=GY249,GY249,IF(GG284&lt;=GY250,GY250,IF(GG284&lt;=GY251,GY251,IF(GG284&lt;=GY252,GY252,IF(GG284&lt;=GY253,GY253,0))))))))</f>
        <v>20</v>
      </c>
      <c r="GZ261" s="2276">
        <f>+IF(GG284&lt;=GZ246,GZ246,IF(GG284&lt;=GZ247,GZ247,IF(GG284&lt;=GZ248,GZ248,IF(GG284&lt;=GZ249,GZ249,IF(GG284&lt;=GZ250,GZ250,IF(GG284&lt;=GZ251,GZ251,IF(GG284&lt;=GZ252,GZ252,IF(GG284&lt;=GZ253,GZ253,0))))))))</f>
        <v>21.39</v>
      </c>
      <c r="HA261" s="2276">
        <f>+IF(GG284&lt;=HA246,HA246,IF(GG284&lt;=HA247,HA247,IF(GG284&lt;=HA248,HA248,IF(GG284&lt;=HA249,HA249,IF(GG284&lt;=HA250,HA250,IF(GG284&lt;=HA251,HA251,IF(GG284&lt;=HA252,HA252,IF(GG284&lt;=HA253,HA253,0))))))))</f>
        <v>22.77</v>
      </c>
      <c r="HB261" s="2276">
        <f>+IF(GG284&lt;=HB246,HB246,IF(GG284&lt;=HB247,HB247,IF(GG284&lt;=HB248,HB248,IF(GG284&lt;=HB249,HB249,IF(GG284&lt;=HB250,HB250,IF(GG284&lt;=HB251,HB251,IF(GG284&lt;=HB252,HB252,IF(GG284&lt;=HB253,HB253,0))))))))</f>
        <v>24.55</v>
      </c>
      <c r="HC261" s="2276">
        <f>+IF(GG284&lt;=HC246,HC246,IF(GG284&lt;=HC247,HC247,IF(GG284&lt;=HC248,HC248,IF(GG284&lt;=HC249,HC249,IF(GG284&lt;=HC250,HC250,IF(GG284&lt;=HC251,HC251,IF(GG284&lt;=HC252,HC252,IF(GG284&lt;=HC253,HC253,0))))))))</f>
        <v>26.24</v>
      </c>
      <c r="HD261" s="2276">
        <f>+IF(GG284&lt;=HD246,HD246,IF(GG284&lt;=HD247,HD247,IF(GG284&lt;=HD248,HD248,IF(GG284&lt;=HD249,HD249,IF(GG284&lt;=HD250,HD250,IF(GG284&lt;=HD251,HD251,IF(GG284&lt;=HD252,HD252,IF(GG284&lt;=HD253,HD253,0))))))))</f>
        <v>28.71</v>
      </c>
      <c r="HE261" s="2276">
        <f>+IF(GG284&lt;=HE246,HE246,IF(GG284&lt;=HE247,HE247,IF(GG284&lt;=HE248,HE248,IF(GG284&lt;=HE249,HE249,IF(GG284&lt;=HE250,HE250,IF(GG284&lt;=HE251,HE251,IF(GG284&lt;=HE252,HE252,IF(GG284&lt;=HE253,HE253,0))))))))</f>
        <v>31.19</v>
      </c>
      <c r="HF261" s="2276">
        <f>+IF(GG284&lt;=HF246,HF246,IF(GG284&lt;=HF247,HF247,IF(GG284&lt;=HF248,HF248,IF(GG284&lt;=HF249,HF249,IF(GG284&lt;=HF250,HF250,IF(GG284&lt;=HF251,HF251,IF(GG284&lt;=HF252,HF252,IF(GG284&lt;=HF253,HF253,0))))))))</f>
        <v>34.75</v>
      </c>
      <c r="HG261" s="2276">
        <f>+IF(GG284&lt;=HG246,HG246,IF(GG284&lt;=HG247,HG247,IF(GG284&lt;=HG248,HG248,IF(GG284&lt;=HG249,HG249,IF(GG284&lt;=HG250,HG250,IF(GG284&lt;=HG251,HG251,IF(GG284&lt;=HG252,HG252,IF(GG284&lt;=HG253,HG253,0))))))))</f>
        <v>20.100000000000001</v>
      </c>
      <c r="HH261" s="2276">
        <f>+IF(GG284&lt;=HH246,HH246,IF(GG284&lt;=HH247,HH247,IF(GG284&lt;=HH248,HH248,IF(GG284&lt;=HH249,HH249,IF(GG284&lt;=HH250,HH250,IF(GG284&lt;=HH251,HH251,IF(GG284&lt;=HH252,HH252,IF(GG284&lt;=HH253,HH253,0))))))))</f>
        <v>22.87</v>
      </c>
      <c r="HI261" s="2276">
        <f>+IF(GG284&lt;=HI246,HI246,IF(GG284&lt;=HI247,HI247,IF(GG284&lt;=HI248,HI248,IF(GG284&lt;=HI249,HI249,IF(GG284&lt;=HI250,HI250,IF(GG284&lt;=HI251,HI251,IF(GG284&lt;=HI252,HI252,IF(GG284&lt;=HI253,HI253,0))))))))</f>
        <v>26.73</v>
      </c>
      <c r="HJ261" s="2275"/>
      <c r="HK261" s="2275"/>
      <c r="HL261" s="2275"/>
      <c r="HM261" s="2275"/>
      <c r="HN261" s="2275"/>
      <c r="HO261" s="2275"/>
      <c r="HP261" s="2275"/>
      <c r="HQ261" s="2275"/>
      <c r="HR261" s="2275"/>
      <c r="HS261" s="2275"/>
      <c r="HT261" s="2275"/>
      <c r="HU261" s="2250"/>
      <c r="HV261" s="2250"/>
      <c r="HW261" s="2250"/>
      <c r="HX261" s="2250"/>
      <c r="HY261" s="2250"/>
      <c r="HZ261" s="2250"/>
      <c r="IA261" s="2250"/>
      <c r="IB261" s="2250"/>
      <c r="IC261" s="2250"/>
      <c r="ID261" s="2250"/>
      <c r="IE261" s="2250"/>
      <c r="IF261" s="2250"/>
      <c r="IG261" s="2250"/>
      <c r="IH261" s="2250"/>
      <c r="II261" s="2250"/>
      <c r="IJ261" s="2250"/>
      <c r="IK261" s="2250"/>
      <c r="IL261" s="2250"/>
    </row>
    <row r="262" spans="1:246" ht="21.95" customHeight="1">
      <c r="A262" s="2275"/>
      <c r="B262" s="2276">
        <f>B240</f>
        <v>190.4</v>
      </c>
      <c r="C262" s="2276">
        <f>HLOOKUP(B262,D243:AD263,21,0)</f>
        <v>775</v>
      </c>
      <c r="D262" s="2276">
        <f t="shared" ref="D262:AD262" si="260">IF(D260=0,D261,D260)</f>
        <v>28.02</v>
      </c>
      <c r="E262" s="2276">
        <f t="shared" si="260"/>
        <v>21.68</v>
      </c>
      <c r="F262" s="2276">
        <f t="shared" si="260"/>
        <v>23.76</v>
      </c>
      <c r="G262" s="2276">
        <f t="shared" si="260"/>
        <v>25.54</v>
      </c>
      <c r="H262" s="2276">
        <f t="shared" si="260"/>
        <v>27.13</v>
      </c>
      <c r="I262" s="2276">
        <f t="shared" si="260"/>
        <v>27.33</v>
      </c>
      <c r="J262" s="2276">
        <f t="shared" si="260"/>
        <v>29.5</v>
      </c>
      <c r="K262" s="2276">
        <f t="shared" si="260"/>
        <v>31.58</v>
      </c>
      <c r="L262" s="2276">
        <f t="shared" si="260"/>
        <v>21.09</v>
      </c>
      <c r="M262" s="2276">
        <f t="shared" si="260"/>
        <v>22.48</v>
      </c>
      <c r="N262" s="2276">
        <f t="shared" si="260"/>
        <v>24.85</v>
      </c>
      <c r="O262" s="2276">
        <f t="shared" si="260"/>
        <v>26.93</v>
      </c>
      <c r="P262" s="2276">
        <f t="shared" si="260"/>
        <v>27.82</v>
      </c>
      <c r="Q262" s="2276">
        <f t="shared" si="260"/>
        <v>29.41</v>
      </c>
      <c r="R262" s="2276">
        <f t="shared" si="260"/>
        <v>30.99</v>
      </c>
      <c r="S262" s="2276">
        <f t="shared" si="260"/>
        <v>31.98</v>
      </c>
      <c r="T262" s="2276">
        <f t="shared" si="260"/>
        <v>20</v>
      </c>
      <c r="U262" s="2276">
        <f t="shared" si="260"/>
        <v>21.39</v>
      </c>
      <c r="V262" s="2276">
        <f t="shared" si="260"/>
        <v>22.77</v>
      </c>
      <c r="W262" s="2276">
        <f t="shared" si="260"/>
        <v>24.55</v>
      </c>
      <c r="X262" s="2276">
        <f t="shared" si="260"/>
        <v>26.24</v>
      </c>
      <c r="Y262" s="2276">
        <f t="shared" si="260"/>
        <v>28.71</v>
      </c>
      <c r="Z262" s="2276">
        <f t="shared" si="260"/>
        <v>31.19</v>
      </c>
      <c r="AA262" s="2276">
        <f t="shared" si="260"/>
        <v>34.75</v>
      </c>
      <c r="AB262" s="2276">
        <f t="shared" si="260"/>
        <v>20.100000000000001</v>
      </c>
      <c r="AC262" s="2276">
        <f t="shared" si="260"/>
        <v>22.87</v>
      </c>
      <c r="AD262" s="2276">
        <f t="shared" si="260"/>
        <v>26.73</v>
      </c>
      <c r="AE262" s="2275"/>
      <c r="AF262" s="2275"/>
      <c r="AG262" s="2275"/>
      <c r="AH262" s="2275"/>
      <c r="AI262" s="2275"/>
      <c r="AJ262" s="2275"/>
      <c r="AK262" s="2275"/>
      <c r="AL262" s="2275"/>
      <c r="AM262" s="2275"/>
      <c r="AN262" s="2275"/>
      <c r="AO262" s="2275"/>
      <c r="AP262" s="2250"/>
      <c r="AQ262" s="2250"/>
      <c r="AR262" s="2250"/>
      <c r="AS262" s="2250"/>
      <c r="AT262" s="2250"/>
      <c r="AU262" s="2250"/>
      <c r="AV262" s="2250"/>
      <c r="AW262" s="2250"/>
      <c r="AX262" s="2250"/>
      <c r="AY262" s="2250"/>
      <c r="AZ262" s="2250"/>
      <c r="BA262" s="2250"/>
      <c r="BB262" s="2250"/>
      <c r="BC262" s="2250"/>
      <c r="BD262" s="2250"/>
      <c r="BE262" s="2250"/>
      <c r="BF262" s="2276"/>
      <c r="BG262" s="2276"/>
      <c r="BH262" s="2250"/>
      <c r="BI262" s="2275"/>
      <c r="BJ262" s="2276">
        <f>BJ240</f>
        <v>206.43</v>
      </c>
      <c r="BK262" s="2276">
        <f>HLOOKUP(BJ262,BL243:CL263,21,0)</f>
        <v>775</v>
      </c>
      <c r="BL262" s="2276">
        <f t="shared" ref="BL262:CL262" si="261">IF(BL260=0,BL261,BL260)</f>
        <v>28.02</v>
      </c>
      <c r="BM262" s="2276">
        <f t="shared" si="261"/>
        <v>21.68</v>
      </c>
      <c r="BN262" s="2276">
        <f t="shared" si="261"/>
        <v>23.76</v>
      </c>
      <c r="BO262" s="2276">
        <f t="shared" si="261"/>
        <v>25.54</v>
      </c>
      <c r="BP262" s="2276">
        <f t="shared" si="261"/>
        <v>27.13</v>
      </c>
      <c r="BQ262" s="2276">
        <f t="shared" si="261"/>
        <v>27.33</v>
      </c>
      <c r="BR262" s="2276">
        <f t="shared" si="261"/>
        <v>29.5</v>
      </c>
      <c r="BS262" s="2276">
        <f t="shared" si="261"/>
        <v>31.58</v>
      </c>
      <c r="BT262" s="2276">
        <f t="shared" si="261"/>
        <v>21.09</v>
      </c>
      <c r="BU262" s="2276">
        <f t="shared" si="261"/>
        <v>22.48</v>
      </c>
      <c r="BV262" s="2276">
        <f t="shared" si="261"/>
        <v>24.85</v>
      </c>
      <c r="BW262" s="2276">
        <f t="shared" si="261"/>
        <v>26.93</v>
      </c>
      <c r="BX262" s="2276">
        <f t="shared" si="261"/>
        <v>27.82</v>
      </c>
      <c r="BY262" s="2276">
        <f t="shared" si="261"/>
        <v>29.41</v>
      </c>
      <c r="BZ262" s="2276">
        <f t="shared" si="261"/>
        <v>30.99</v>
      </c>
      <c r="CA262" s="2276">
        <f t="shared" si="261"/>
        <v>31.98</v>
      </c>
      <c r="CB262" s="2276">
        <f t="shared" si="261"/>
        <v>20</v>
      </c>
      <c r="CC262" s="2276">
        <f t="shared" si="261"/>
        <v>21.39</v>
      </c>
      <c r="CD262" s="2276">
        <f t="shared" si="261"/>
        <v>22.77</v>
      </c>
      <c r="CE262" s="2276">
        <f t="shared" si="261"/>
        <v>24.55</v>
      </c>
      <c r="CF262" s="2276">
        <f t="shared" si="261"/>
        <v>26.24</v>
      </c>
      <c r="CG262" s="2276">
        <f t="shared" si="261"/>
        <v>28.71</v>
      </c>
      <c r="CH262" s="2276">
        <f t="shared" si="261"/>
        <v>31.19</v>
      </c>
      <c r="CI262" s="2276">
        <f t="shared" si="261"/>
        <v>34.75</v>
      </c>
      <c r="CJ262" s="2276">
        <f t="shared" si="261"/>
        <v>20.100000000000001</v>
      </c>
      <c r="CK262" s="2276">
        <f t="shared" si="261"/>
        <v>22.87</v>
      </c>
      <c r="CL262" s="2276">
        <f t="shared" si="261"/>
        <v>26.73</v>
      </c>
      <c r="CM262" s="2275"/>
      <c r="CN262" s="2275"/>
      <c r="CO262" s="2275"/>
      <c r="CP262" s="2275"/>
      <c r="CQ262" s="2275"/>
      <c r="CR262" s="2275"/>
      <c r="CS262" s="2275"/>
      <c r="CT262" s="2275"/>
      <c r="CU262" s="2275"/>
      <c r="CV262" s="2275"/>
      <c r="CW262" s="2275"/>
      <c r="CX262" s="2250"/>
      <c r="CY262" s="2250"/>
      <c r="CZ262" s="2250"/>
      <c r="DA262" s="2250"/>
      <c r="DB262" s="2250"/>
      <c r="DC262" s="2250"/>
      <c r="DD262" s="2250"/>
      <c r="DE262" s="2250"/>
      <c r="DF262" s="2250"/>
      <c r="DG262" s="2250"/>
      <c r="DH262" s="2250"/>
      <c r="DI262" s="2250"/>
      <c r="DJ262" s="2250"/>
      <c r="DK262" s="2250"/>
      <c r="DL262" s="2250"/>
      <c r="DM262" s="2250"/>
      <c r="DN262" s="2250"/>
      <c r="DO262" s="2250"/>
      <c r="DP262" s="2250"/>
      <c r="DQ262" s="2277"/>
      <c r="DR262" s="2277"/>
      <c r="DS262" s="2278"/>
      <c r="DT262" s="2250"/>
      <c r="DU262" s="2250"/>
      <c r="DV262" s="2250"/>
      <c r="DW262" s="2250"/>
      <c r="DX262" s="2275"/>
      <c r="DY262" s="2276">
        <f>DY240</f>
        <v>19.968225884687833</v>
      </c>
      <c r="DZ262" s="2276">
        <f>HLOOKUP(DY263,EA244:FA264,20,0)</f>
        <v>22.48</v>
      </c>
      <c r="EA262" s="2276">
        <f>+IF(DY284&lt;=EA254,EA254,IF(DY284&lt;=EA255,EA255,IF(DY284&lt;=EA256,EA256,)))</f>
        <v>76.73</v>
      </c>
      <c r="EB262" s="2276">
        <f>+IF(DY284&lt;=EB254,EB254,IF(DY284&lt;=EB255,EB255,IF(DY284&lt;=EB256,EB256,)))</f>
        <v>86.53</v>
      </c>
      <c r="EC262" s="2276">
        <f>+IF(DY284&lt;=EC254,EC254,IF(DY284&lt;=EC255,EC255,IF(DY284&lt;=EC256,EC256,)))</f>
        <v>94.16</v>
      </c>
      <c r="ED262" s="2276">
        <f>+IF(DY284&lt;=ED254,ED254,IF(DY284&lt;=ED255,ED255,IF(DY284&lt;=ED256,ED256,)))</f>
        <v>100.99</v>
      </c>
      <c r="EE262" s="2276">
        <f>+IF(DY284&lt;=EE254,EE254,IF(DY284&lt;=EE255,EE255,IF(DY284&lt;=EE256,EE256,)))</f>
        <v>107.33</v>
      </c>
      <c r="EF262" s="2276">
        <f>+IF(DY284&lt;=EF254,EF254,IF(DY284&lt;=EF255,EF255,IF(DY284&lt;=EF256,EF256,)))</f>
        <v>109.01</v>
      </c>
      <c r="EG262" s="2276">
        <f>+IF(DY284&lt;=EG254,EG254,IF(DY284&lt;=EG255,EG255,IF(DY284&lt;=EG256,EG256,)))</f>
        <v>116.73</v>
      </c>
      <c r="EH262" s="2276">
        <f>+IF(DY284&lt;=EH254,EH254,IF(DY284&lt;=EH255,EH255,IF(DY284&lt;=EH256,EH256,)))</f>
        <v>124.95</v>
      </c>
      <c r="EI262" s="2276">
        <f>+IF(DY284&lt;=EI254,EI254,IF(DY284&lt;=EI255,EI255,IF(DY284&lt;=EI256,EI256,)))</f>
        <v>132.57</v>
      </c>
      <c r="EJ262" s="2276">
        <f>+IF(DY284&lt;=EJ254,EJ254,IF(DY284&lt;=EJ255,EJ255,IF(DY284&lt;=EJ256,EJ256,)))</f>
        <v>141.19</v>
      </c>
      <c r="EK262" s="2276">
        <f>+IF(DY284&lt;=EK254,EK254,IF(DY284&lt;=EK255,EK255,IF(DY284&lt;=EK256,EK256,)))</f>
        <v>156.13999999999999</v>
      </c>
      <c r="EL262" s="2276">
        <f>+IF(DY284&lt;=EL254,EL254,IF(DY284&lt;=EL255,EL255,IF(DY284&lt;=EL256,EL256,)))</f>
        <v>168.61</v>
      </c>
      <c r="EM262" s="2276">
        <f>+IF(DY284&lt;=EM254,EM254,IF(DY284&lt;=EM255,EM255,IF(DY284&lt;=EM256,EM256,)))</f>
        <v>176.14</v>
      </c>
      <c r="EN262" s="2276">
        <f>+IF(DY284&lt;=EN254,EN254,IF(DY284&lt;=EN255,EN255,IF(DY284&lt;=EN256,EN256,)))</f>
        <v>185.05</v>
      </c>
      <c r="EO262" s="2276">
        <f>+IF(DY284&lt;=EO254,EO254,IF(DY284&lt;=EO255,EO255,IF(DY284&lt;=EO256,EO256,)))</f>
        <v>194.85</v>
      </c>
      <c r="EP262" s="2276">
        <f>+IF(DY284&lt;=EP254,EP254,IF(DY284&lt;=EP255,EP255,IF(DY284&lt;=EP256,EP256,)))</f>
        <v>201.29</v>
      </c>
      <c r="EQ262" s="2276">
        <f>+IF(DY284&lt;=EQ254,EQ254,IF(DY284&lt;=EQ255,EQ255,IF(DY284&lt;=EQ256,EQ256,)))</f>
        <v>214.16</v>
      </c>
      <c r="ER262" s="2276">
        <f>+IF(DY284&lt;=ER254,ER254,IF(DY284&lt;=ER255,ER255,IF(DY284&lt;=ER256,ER256,)))</f>
        <v>232.28</v>
      </c>
      <c r="ES262" s="2276">
        <f>+IF(DY284&lt;=ES254,ES254,IF(DY284&lt;=ES255,ES255,IF(DY284&lt;=ES256,ES256,)))</f>
        <v>247.43</v>
      </c>
      <c r="ET262" s="2276">
        <f>+IF(DY284&lt;=ET254,ET254,IF(DY284&lt;=ET255,ET255,IF(DY284&lt;=ET256,ET256,)))</f>
        <v>252.77</v>
      </c>
      <c r="EU262" s="2276">
        <f>+IF(DY284&lt;=EU254,EU254,IF(DY284&lt;=EU255,EU255,IF(DY284&lt;=EU256,EU256,)))</f>
        <v>263.37</v>
      </c>
      <c r="EV262" s="2276">
        <f>+IF(DY284&lt;=EV254,EV254,IF(DY284&lt;=EV255,EV255,IF(DY284&lt;=EV256,EV256,)))</f>
        <v>295.54000000000002</v>
      </c>
      <c r="EW262" s="2276">
        <f>+IF(DY284&lt;=EW254,EW254,IF(DY284&lt;=EW255,EW255,IF(DY284&lt;=EW256,EW256,)))</f>
        <v>337.72</v>
      </c>
      <c r="EX262" s="2276">
        <f>+IF(DY284&lt;=EX254,EX254,IF(DY284&lt;=EX255,EX255,IF(DY284&lt;=EX256,EX256,)))</f>
        <v>372.28</v>
      </c>
      <c r="EY262" s="2276">
        <f>+IF(DY284&lt;=EY254,EY254,IF(DY284&lt;=EY255,EY255,IF(DY284&lt;=EY256,EY256,)))</f>
        <v>383.27</v>
      </c>
      <c r="EZ262" s="2276">
        <f>+IF(DY284&lt;=EZ254,EZ254,IF(DY284&lt;=EZ255,EZ255,IF(DY284&lt;=EZ256,EZ256,)))</f>
        <v>383.27</v>
      </c>
      <c r="FA262" s="2276">
        <f>+IF(DY284&lt;=FA254,FA254,IF(DY284&lt;=FA255,FA255,IF(DY284&lt;=FA256,FA256,)))</f>
        <v>383.27</v>
      </c>
      <c r="FB262" s="2275"/>
      <c r="FC262" s="2275"/>
      <c r="FD262" s="2275"/>
      <c r="FE262" s="2275"/>
      <c r="FF262" s="2275"/>
      <c r="FG262" s="2275"/>
      <c r="FH262" s="2275"/>
      <c r="FI262" s="2275"/>
      <c r="FJ262" s="2275"/>
      <c r="FK262" s="2275"/>
      <c r="FL262" s="2275"/>
      <c r="FM262" s="2250"/>
      <c r="FN262" s="2250"/>
      <c r="FO262" s="2250"/>
      <c r="FP262" s="2250"/>
      <c r="FQ262" s="2250"/>
      <c r="FR262" s="2250"/>
      <c r="FS262" s="2250"/>
      <c r="FT262" s="2250"/>
      <c r="FU262" s="2250"/>
      <c r="FV262" s="2250"/>
      <c r="FW262" s="2250"/>
      <c r="FX262" s="2250"/>
      <c r="FY262" s="2250"/>
      <c r="FZ262" s="2250"/>
      <c r="GA262" s="2250"/>
      <c r="GB262" s="2250"/>
      <c r="GC262" s="2276"/>
      <c r="GD262" s="2276"/>
      <c r="GE262" s="2250"/>
      <c r="GF262" s="2275"/>
      <c r="GG262" s="2276">
        <f>GG240</f>
        <v>19.968225884687833</v>
      </c>
      <c r="GH262" s="2276">
        <f>HLOOKUP(GG263,GI244:HI264,20,0)</f>
        <v>21.09</v>
      </c>
      <c r="GI262" s="2276">
        <f>+IF(GG284&lt;=GI254,GI254,IF(GG284&lt;=GI255,GI255,IF(GG284&lt;=GI256,GI256,)))</f>
        <v>76.73</v>
      </c>
      <c r="GJ262" s="2276">
        <f>+IF(GG284&lt;=GJ254,GJ254,IF(GG284&lt;=GJ255,GJ255,IF(GG284&lt;=GJ256,GJ256,)))</f>
        <v>86.53</v>
      </c>
      <c r="GK262" s="2276">
        <f>+IF(GG284&lt;=GK254,GK254,IF(GG284&lt;=GK255,GK255,IF(GG284&lt;=GK256,GK256,)))</f>
        <v>94.16</v>
      </c>
      <c r="GL262" s="2276">
        <f>+IF(GG284&lt;=GL254,GL254,IF(GG284&lt;=GL255,GL255,IF(GG284&lt;=GL256,GL256,)))</f>
        <v>100.99</v>
      </c>
      <c r="GM262" s="2276">
        <f>+IF(GG284&lt;=GM254,GM254,IF(GG284&lt;=GM255,GM255,IF(GG284&lt;=GM256,GM256,)))</f>
        <v>107.33</v>
      </c>
      <c r="GN262" s="2276">
        <f>+IF(GG284&lt;=GN254,GN254,IF(GG284&lt;=GN255,GN255,IF(GG284&lt;=GN256,GN256,)))</f>
        <v>109.01</v>
      </c>
      <c r="GO262" s="2276">
        <f>+IF(GG284&lt;=GO254,GO254,IF(GG284&lt;=GO255,GO255,IF(GG284&lt;=GO256,GO256,)))</f>
        <v>116.73</v>
      </c>
      <c r="GP262" s="2276">
        <f>+IF(GG284&lt;=GP254,GP254,IF(GG284&lt;=GP255,GP255,IF(GG284&lt;=GP256,GP256,)))</f>
        <v>124.95</v>
      </c>
      <c r="GQ262" s="2276">
        <f>+IF(GG284&lt;=GQ254,GQ254,IF(GG284&lt;=GQ255,GQ255,IF(GG284&lt;=GQ256,GQ256,)))</f>
        <v>132.57</v>
      </c>
      <c r="GR262" s="2276">
        <f>+IF(GG284&lt;=GR254,GR254,IF(GG284&lt;=GR255,GR255,IF(GG284&lt;=GR256,GR256,)))</f>
        <v>141.19</v>
      </c>
      <c r="GS262" s="2276">
        <f>+IF(GG284&lt;=GS254,GS254,IF(GG284&lt;=GS255,GS255,IF(GG284&lt;=GS256,GS256,)))</f>
        <v>156.13999999999999</v>
      </c>
      <c r="GT262" s="2276">
        <f>+IF(GG284&lt;=GT254,GT254,IF(GG284&lt;=GT255,GT255,IF(GG284&lt;=GT256,GT256,)))</f>
        <v>168.61</v>
      </c>
      <c r="GU262" s="2276">
        <f>+IF(GG284&lt;=GU254,GU254,IF(GG284&lt;=GU255,GU255,IF(GG284&lt;=GU256,GU256,)))</f>
        <v>176.14</v>
      </c>
      <c r="GV262" s="2276">
        <f>+IF(GG284&lt;=GV254,GV254,IF(GG284&lt;=GV255,GV255,IF(GG284&lt;=GV256,GV256,)))</f>
        <v>185.05</v>
      </c>
      <c r="GW262" s="2276">
        <f>+IF(GG284&lt;=GW254,GW254,IF(GG284&lt;=GW255,GW255,IF(GG284&lt;=GW256,GW256,)))</f>
        <v>194.85</v>
      </c>
      <c r="GX262" s="2276">
        <f>+IF(GG284&lt;=GX254,GX254,IF(GG284&lt;=GX255,GX255,IF(GG284&lt;=GX256,GX256,)))</f>
        <v>201.29</v>
      </c>
      <c r="GY262" s="2276">
        <f>+IF(GG284&lt;=GY254,GY254,IF(GG284&lt;=GY255,GY255,IF(GG284&lt;=GY256,GY256,)))</f>
        <v>214.16</v>
      </c>
      <c r="GZ262" s="2276">
        <f>+IF(GG284&lt;=GZ254,GZ254,IF(GG284&lt;=GZ255,GZ255,IF(GG284&lt;=GZ256,GZ256,)))</f>
        <v>232.28</v>
      </c>
      <c r="HA262" s="2276">
        <f>+IF(GG284&lt;=HA254,HA254,IF(GG284&lt;=HA255,HA255,IF(GG284&lt;=HA256,HA256,)))</f>
        <v>247.43</v>
      </c>
      <c r="HB262" s="2276">
        <f>+IF(GG284&lt;=HB254,HB254,IF(GG284&lt;=HB255,HB255,IF(GG284&lt;=HB256,HB256,)))</f>
        <v>252.77</v>
      </c>
      <c r="HC262" s="2276">
        <f>+IF(GG284&lt;=HC254,HC254,IF(GG284&lt;=HC255,HC255,IF(GG284&lt;=HC256,HC256,)))</f>
        <v>263.37</v>
      </c>
      <c r="HD262" s="2276">
        <f>+IF(GG284&lt;=HD254,HD254,IF(GG284&lt;=HD255,HD255,IF(GG284&lt;=HD256,HD256,)))</f>
        <v>295.54000000000002</v>
      </c>
      <c r="HE262" s="2276">
        <f>+IF(GG284&lt;=HE254,HE254,IF(GG284&lt;=HE255,HE255,IF(GG284&lt;=HE256,HE256,)))</f>
        <v>337.72</v>
      </c>
      <c r="HF262" s="2276">
        <f>+IF(GG284&lt;=HF254,HF254,IF(GG284&lt;=HF255,HF255,IF(GG284&lt;=HF256,HF256,)))</f>
        <v>372.28</v>
      </c>
      <c r="HG262" s="2276">
        <f>+IF(GG284&lt;=HG254,HG254,IF(GG284&lt;=HG255,HG255,IF(GG284&lt;=HG256,HG256,)))</f>
        <v>383.27</v>
      </c>
      <c r="HH262" s="2276">
        <f>+IF(GG284&lt;=HH254,HH254,IF(GG284&lt;=HH255,HH255,IF(GG284&lt;=HH256,HH256,)))</f>
        <v>383.27</v>
      </c>
      <c r="HI262" s="2276">
        <f>+IF(GG284&lt;=HI254,HI254,IF(GG284&lt;=HI255,HI255,IF(GG284&lt;=HI256,HI256,)))</f>
        <v>383.27</v>
      </c>
      <c r="HJ262" s="2275"/>
      <c r="HK262" s="2275"/>
      <c r="HL262" s="2275"/>
      <c r="HM262" s="2275"/>
      <c r="HN262" s="2275"/>
      <c r="HO262" s="2275"/>
      <c r="HP262" s="2275"/>
      <c r="HQ262" s="2275"/>
      <c r="HR262" s="2275"/>
      <c r="HS262" s="2275"/>
      <c r="HT262" s="2275"/>
      <c r="HU262" s="2250"/>
      <c r="HV262" s="2250"/>
      <c r="HW262" s="2250"/>
      <c r="HX262" s="2250"/>
      <c r="HY262" s="2250"/>
      <c r="HZ262" s="2250"/>
      <c r="IA262" s="2250"/>
      <c r="IB262" s="2250"/>
      <c r="IC262" s="2250"/>
      <c r="ID262" s="2250"/>
      <c r="IE262" s="2250"/>
      <c r="IF262" s="2250"/>
      <c r="IG262" s="2250"/>
      <c r="IH262" s="2250"/>
      <c r="II262" s="2250"/>
      <c r="IJ262" s="2250"/>
      <c r="IK262" s="2250"/>
      <c r="IL262" s="2250"/>
    </row>
    <row r="263" spans="1:246" ht="21.95" customHeight="1">
      <c r="A263" s="2275"/>
      <c r="B263" s="2250"/>
      <c r="C263" s="2276" t="str">
        <f>IF(C261=AH259,IF(C262=AI259,"Right","Wrong"))</f>
        <v>Right</v>
      </c>
      <c r="D263" s="2276">
        <f>VLOOKUP(D262,D245:AE255,28,0)</f>
        <v>825</v>
      </c>
      <c r="E263" s="2276">
        <f>VLOOKUP(E262,E245:AE255,27,0)</f>
        <v>775</v>
      </c>
      <c r="F263" s="2276">
        <f>VLOOKUP(F262,F245:AE255,26,0)</f>
        <v>775</v>
      </c>
      <c r="G263" s="2276">
        <f>VLOOKUP(G262,G245:AE255,25,0)</f>
        <v>775</v>
      </c>
      <c r="H263" s="2276">
        <f>VLOOKUP(H262,H245:AE255,24,0)</f>
        <v>775</v>
      </c>
      <c r="I263" s="2276">
        <f>VLOOKUP(I262,I245:AE255,23,0)</f>
        <v>775</v>
      </c>
      <c r="J263" s="2276">
        <f>VLOOKUP(J262,J245:AE255,22,0)</f>
        <v>775</v>
      </c>
      <c r="K263" s="2276">
        <f>VLOOKUP(K262,K245:AE255,21,0)</f>
        <v>775</v>
      </c>
      <c r="L263" s="2276">
        <f>VLOOKUP(L262,L245:AE255,20,0)</f>
        <v>650</v>
      </c>
      <c r="M263" s="2276">
        <f>VLOOKUP(M262,M245:AE255,19,0)</f>
        <v>650</v>
      </c>
      <c r="N263" s="2276">
        <f>VLOOKUP(N262,N245:AE255,18,0)</f>
        <v>650</v>
      </c>
      <c r="O263" s="2276">
        <f>VLOOKUP(O262,O245:AE255,17,0)</f>
        <v>650</v>
      </c>
      <c r="P263" s="2276">
        <f>VLOOKUP(P262,P245:AE255,16,0)</f>
        <v>650</v>
      </c>
      <c r="Q263" s="2276">
        <f>VLOOKUP(Q262,Q245:AE255,15,0)</f>
        <v>650</v>
      </c>
      <c r="R263" s="2276">
        <f>VLOOKUP(R262,R245:AE255,14,0)</f>
        <v>650</v>
      </c>
      <c r="S263" s="2276">
        <f>VLOOKUP(S262,S245:AE255,13,0)</f>
        <v>650</v>
      </c>
      <c r="T263" s="2276">
        <f>VLOOKUP(T262,T245:AE255,12,0)</f>
        <v>550</v>
      </c>
      <c r="U263" s="2276">
        <f>VLOOKUP(U262,U245:AE255,11,0)</f>
        <v>550</v>
      </c>
      <c r="V263" s="2276">
        <f>VLOOKUP(V262,V245:AE255,10,0)</f>
        <v>550</v>
      </c>
      <c r="W263" s="2276">
        <f>VLOOKUP(W262,W245:AE255,9,0)</f>
        <v>550</v>
      </c>
      <c r="X263" s="2276">
        <f>VLOOKUP(X262,X245:AE255,8,0)</f>
        <v>550</v>
      </c>
      <c r="Y263" s="2276">
        <f>VLOOKUP(Y262,Y245:AE255,7,0)</f>
        <v>550</v>
      </c>
      <c r="Z263" s="2276">
        <f>VLOOKUP(Z262,Z245:AE255,6,0)</f>
        <v>550</v>
      </c>
      <c r="AA263" s="2276">
        <f>VLOOKUP(AA262,AA245:AE255,5,0)</f>
        <v>550</v>
      </c>
      <c r="AB263" s="2276">
        <f>VLOOKUP(AB262,AB245:AE255,4,0)</f>
        <v>475</v>
      </c>
      <c r="AC263" s="2276">
        <f>VLOOKUP(AC262,AC245:AE255,3,0)</f>
        <v>475</v>
      </c>
      <c r="AD263" s="2276">
        <f>VLOOKUP(AD262,AD245:AE255,2,0)</f>
        <v>475</v>
      </c>
      <c r="AE263" s="2275"/>
      <c r="AF263" s="2275"/>
      <c r="AG263" s="2275"/>
      <c r="AH263" s="2275"/>
      <c r="AI263" s="2275"/>
      <c r="AJ263" s="2275"/>
      <c r="AK263" s="2275"/>
      <c r="AL263" s="2275"/>
      <c r="AM263" s="2275"/>
      <c r="AN263" s="2275"/>
      <c r="AO263" s="2275"/>
      <c r="AP263" s="2250"/>
      <c r="AQ263" s="2250"/>
      <c r="AR263" s="2250"/>
      <c r="AS263" s="2250"/>
      <c r="AT263" s="2250"/>
      <c r="AU263" s="2250"/>
      <c r="AV263" s="2250"/>
      <c r="AW263" s="2250"/>
      <c r="AX263" s="2250"/>
      <c r="AY263" s="2250"/>
      <c r="AZ263" s="2250"/>
      <c r="BA263" s="2250"/>
      <c r="BB263" s="2250"/>
      <c r="BC263" s="2250"/>
      <c r="BD263" s="2250"/>
      <c r="BE263" s="2250"/>
      <c r="BF263" s="2276"/>
      <c r="BG263" s="2276"/>
      <c r="BH263" s="2250"/>
      <c r="BI263" s="2275"/>
      <c r="BJ263" s="2250"/>
      <c r="BK263" s="2276" t="str">
        <f>IF(BK261=CP259,IF(BK262=CQ259,"Right","Wrong"))</f>
        <v>Right</v>
      </c>
      <c r="BL263" s="2276">
        <f>VLOOKUP(BL262,BL245:CM255,28,0)</f>
        <v>825</v>
      </c>
      <c r="BM263" s="2276">
        <f>VLOOKUP(BM262,BM245:CM255,27,0)</f>
        <v>775</v>
      </c>
      <c r="BN263" s="2276">
        <f>VLOOKUP(BN262,BN245:CM255,26,0)</f>
        <v>775</v>
      </c>
      <c r="BO263" s="2276">
        <f>VLOOKUP(BO262,BO245:CM255,25,0)</f>
        <v>775</v>
      </c>
      <c r="BP263" s="2276">
        <f>VLOOKUP(BP262,BP245:CM255,24,0)</f>
        <v>775</v>
      </c>
      <c r="BQ263" s="2276">
        <f>VLOOKUP(BQ262,BQ245:CM255,23,0)</f>
        <v>775</v>
      </c>
      <c r="BR263" s="2276">
        <f>VLOOKUP(BR262,BR245:CM255,22,0)</f>
        <v>775</v>
      </c>
      <c r="BS263" s="2276">
        <f>VLOOKUP(BS262,BS245:CM255,21,0)</f>
        <v>775</v>
      </c>
      <c r="BT263" s="2276">
        <f>VLOOKUP(BT262,BT245:CM255,20,0)</f>
        <v>650</v>
      </c>
      <c r="BU263" s="2276">
        <f>VLOOKUP(BU262,BU245:CM255,19,0)</f>
        <v>650</v>
      </c>
      <c r="BV263" s="2276">
        <f>VLOOKUP(BV262,BV245:CM255,18,0)</f>
        <v>650</v>
      </c>
      <c r="BW263" s="2276">
        <f>VLOOKUP(BW262,BW245:CM255,17,0)</f>
        <v>650</v>
      </c>
      <c r="BX263" s="2276">
        <f>VLOOKUP(BX262,BX245:CM255,16,0)</f>
        <v>650</v>
      </c>
      <c r="BY263" s="2276">
        <f>VLOOKUP(BY262,BY245:CM255,15,0)</f>
        <v>650</v>
      </c>
      <c r="BZ263" s="2276">
        <f>VLOOKUP(BZ262,BZ245:CM255,14,0)</f>
        <v>650</v>
      </c>
      <c r="CA263" s="2276">
        <f>VLOOKUP(CA262,CA245:CM255,13,0)</f>
        <v>650</v>
      </c>
      <c r="CB263" s="2276">
        <f>VLOOKUP(CB262,CB245:CM255,12,0)</f>
        <v>550</v>
      </c>
      <c r="CC263" s="2276">
        <f>VLOOKUP(CC262,CC245:CM255,11,0)</f>
        <v>550</v>
      </c>
      <c r="CD263" s="2276">
        <f>VLOOKUP(CD262,CD245:CM255,10,0)</f>
        <v>550</v>
      </c>
      <c r="CE263" s="2276">
        <f>VLOOKUP(CE262,CE245:CM255,9,0)</f>
        <v>550</v>
      </c>
      <c r="CF263" s="2276">
        <f>VLOOKUP(CF262,CF245:CM255,8,0)</f>
        <v>550</v>
      </c>
      <c r="CG263" s="2276">
        <f>VLOOKUP(CG262,CG245:CM255,7,0)</f>
        <v>550</v>
      </c>
      <c r="CH263" s="2276">
        <f>VLOOKUP(CH262,CH245:CM255,6,0)</f>
        <v>550</v>
      </c>
      <c r="CI263" s="2276">
        <f>VLOOKUP(CI262,CI245:CM255,5,0)</f>
        <v>550</v>
      </c>
      <c r="CJ263" s="2276">
        <f>VLOOKUP(CJ262,CJ245:CM255,4,0)</f>
        <v>475</v>
      </c>
      <c r="CK263" s="2276">
        <f>VLOOKUP(CK262,CK245:CM255,3,0)</f>
        <v>475</v>
      </c>
      <c r="CL263" s="2276">
        <f>VLOOKUP(CL262,CL245:CM255,2,0)</f>
        <v>475</v>
      </c>
      <c r="CM263" s="2275"/>
      <c r="CN263" s="2275"/>
      <c r="CO263" s="2275"/>
      <c r="CP263" s="2275"/>
      <c r="CQ263" s="2275"/>
      <c r="CR263" s="2275"/>
      <c r="CS263" s="2275"/>
      <c r="CT263" s="2275"/>
      <c r="CU263" s="2275"/>
      <c r="CV263" s="2275"/>
      <c r="CW263" s="2275"/>
      <c r="CX263" s="2250"/>
      <c r="CY263" s="2250"/>
      <c r="CZ263" s="2250"/>
      <c r="DA263" s="2250"/>
      <c r="DB263" s="2250"/>
      <c r="DC263" s="2250"/>
      <c r="DD263" s="2250"/>
      <c r="DE263" s="2250"/>
      <c r="DF263" s="2250"/>
      <c r="DG263" s="2250"/>
      <c r="DH263" s="2250"/>
      <c r="DI263" s="2250"/>
      <c r="DJ263" s="2250"/>
      <c r="DK263" s="2250"/>
      <c r="DL263" s="2250"/>
      <c r="DM263" s="2250"/>
      <c r="DN263" s="2250"/>
      <c r="DO263" s="2250"/>
      <c r="DP263" s="2250"/>
      <c r="DQ263" s="2277"/>
      <c r="DR263" s="2277"/>
      <c r="DS263" s="2278"/>
      <c r="DT263" s="2250"/>
      <c r="DU263" s="2250"/>
      <c r="DV263" s="2250"/>
      <c r="DW263" s="2250"/>
      <c r="DX263" s="2275"/>
      <c r="DY263" s="2276">
        <f>DY241</f>
        <v>120.7</v>
      </c>
      <c r="DZ263" s="2276">
        <f>HLOOKUP(DY263,EA244:FA264,21,0)</f>
        <v>650</v>
      </c>
      <c r="EA263" s="2276">
        <f t="shared" ref="EA263:FA263" si="262">IF(EA261=0,EA262,EA261)</f>
        <v>28.02</v>
      </c>
      <c r="EB263" s="2276">
        <f t="shared" si="262"/>
        <v>21.68</v>
      </c>
      <c r="EC263" s="2276">
        <f t="shared" si="262"/>
        <v>23.76</v>
      </c>
      <c r="ED263" s="2276">
        <f t="shared" si="262"/>
        <v>25.54</v>
      </c>
      <c r="EE263" s="2276">
        <f t="shared" si="262"/>
        <v>27.13</v>
      </c>
      <c r="EF263" s="2276">
        <f t="shared" si="262"/>
        <v>27.33</v>
      </c>
      <c r="EG263" s="2276">
        <f t="shared" si="262"/>
        <v>29.5</v>
      </c>
      <c r="EH263" s="2276">
        <f t="shared" si="262"/>
        <v>31.58</v>
      </c>
      <c r="EI263" s="2276">
        <f t="shared" si="262"/>
        <v>21.09</v>
      </c>
      <c r="EJ263" s="2276">
        <f t="shared" si="262"/>
        <v>22.48</v>
      </c>
      <c r="EK263" s="2276">
        <f t="shared" si="262"/>
        <v>24.85</v>
      </c>
      <c r="EL263" s="2276">
        <f t="shared" si="262"/>
        <v>26.93</v>
      </c>
      <c r="EM263" s="2276">
        <f t="shared" si="262"/>
        <v>27.82</v>
      </c>
      <c r="EN263" s="2276">
        <f t="shared" si="262"/>
        <v>29.41</v>
      </c>
      <c r="EO263" s="2276">
        <f t="shared" si="262"/>
        <v>30.99</v>
      </c>
      <c r="EP263" s="2276">
        <f t="shared" si="262"/>
        <v>31.98</v>
      </c>
      <c r="EQ263" s="2276">
        <f t="shared" si="262"/>
        <v>20</v>
      </c>
      <c r="ER263" s="2276">
        <f t="shared" si="262"/>
        <v>21.39</v>
      </c>
      <c r="ES263" s="2276">
        <f t="shared" si="262"/>
        <v>22.77</v>
      </c>
      <c r="ET263" s="2276">
        <f t="shared" si="262"/>
        <v>24.55</v>
      </c>
      <c r="EU263" s="2276">
        <f t="shared" si="262"/>
        <v>26.24</v>
      </c>
      <c r="EV263" s="2276">
        <f t="shared" si="262"/>
        <v>28.71</v>
      </c>
      <c r="EW263" s="2276">
        <f t="shared" si="262"/>
        <v>31.19</v>
      </c>
      <c r="EX263" s="2276">
        <f t="shared" si="262"/>
        <v>34.75</v>
      </c>
      <c r="EY263" s="2276">
        <f t="shared" si="262"/>
        <v>20.100000000000001</v>
      </c>
      <c r="EZ263" s="2276">
        <f t="shared" si="262"/>
        <v>22.87</v>
      </c>
      <c r="FA263" s="2276">
        <f t="shared" si="262"/>
        <v>26.73</v>
      </c>
      <c r="FB263" s="2275"/>
      <c r="FC263" s="2275"/>
      <c r="FD263" s="2275"/>
      <c r="FE263" s="2275"/>
      <c r="FF263" s="2275"/>
      <c r="FG263" s="2275"/>
      <c r="FH263" s="2275"/>
      <c r="FI263" s="2275"/>
      <c r="FJ263" s="2275"/>
      <c r="FK263" s="2275"/>
      <c r="FL263" s="2275"/>
      <c r="FM263" s="2250"/>
      <c r="FN263" s="2250"/>
      <c r="FO263" s="2250"/>
      <c r="FP263" s="2250"/>
      <c r="FQ263" s="2250"/>
      <c r="FR263" s="2250"/>
      <c r="FS263" s="2250"/>
      <c r="FT263" s="2250"/>
      <c r="FU263" s="2250"/>
      <c r="FV263" s="2250"/>
      <c r="FW263" s="2250"/>
      <c r="FX263" s="2250"/>
      <c r="FY263" s="2250"/>
      <c r="FZ263" s="2250"/>
      <c r="GA263" s="2250"/>
      <c r="GB263" s="2250"/>
      <c r="GC263" s="2276"/>
      <c r="GD263" s="2276"/>
      <c r="GE263" s="2250"/>
      <c r="GF263" s="2275"/>
      <c r="GG263" s="2276">
        <f>GG241</f>
        <v>129.80000000000001</v>
      </c>
      <c r="GH263" s="2276">
        <f>HLOOKUP(GG263,GI244:HI264,21,0)</f>
        <v>650</v>
      </c>
      <c r="GI263" s="2276">
        <f t="shared" ref="GI263:HI263" si="263">IF(GI261=0,GI262,GI261)</f>
        <v>28.02</v>
      </c>
      <c r="GJ263" s="2276">
        <f t="shared" si="263"/>
        <v>21.68</v>
      </c>
      <c r="GK263" s="2276">
        <f t="shared" si="263"/>
        <v>23.76</v>
      </c>
      <c r="GL263" s="2276">
        <f t="shared" si="263"/>
        <v>25.54</v>
      </c>
      <c r="GM263" s="2276">
        <f t="shared" si="263"/>
        <v>27.13</v>
      </c>
      <c r="GN263" s="2276">
        <f t="shared" si="263"/>
        <v>27.33</v>
      </c>
      <c r="GO263" s="2276">
        <f t="shared" si="263"/>
        <v>29.5</v>
      </c>
      <c r="GP263" s="2276">
        <f t="shared" si="263"/>
        <v>31.58</v>
      </c>
      <c r="GQ263" s="2276">
        <f t="shared" si="263"/>
        <v>21.09</v>
      </c>
      <c r="GR263" s="2276">
        <f t="shared" si="263"/>
        <v>22.48</v>
      </c>
      <c r="GS263" s="2276">
        <f t="shared" si="263"/>
        <v>24.85</v>
      </c>
      <c r="GT263" s="2276">
        <f t="shared" si="263"/>
        <v>26.93</v>
      </c>
      <c r="GU263" s="2276">
        <f t="shared" si="263"/>
        <v>27.82</v>
      </c>
      <c r="GV263" s="2276">
        <f t="shared" si="263"/>
        <v>29.41</v>
      </c>
      <c r="GW263" s="2276">
        <f t="shared" si="263"/>
        <v>30.99</v>
      </c>
      <c r="GX263" s="2276">
        <f t="shared" si="263"/>
        <v>31.98</v>
      </c>
      <c r="GY263" s="2276">
        <f t="shared" si="263"/>
        <v>20</v>
      </c>
      <c r="GZ263" s="2276">
        <f t="shared" si="263"/>
        <v>21.39</v>
      </c>
      <c r="HA263" s="2276">
        <f t="shared" si="263"/>
        <v>22.77</v>
      </c>
      <c r="HB263" s="2276">
        <f t="shared" si="263"/>
        <v>24.55</v>
      </c>
      <c r="HC263" s="2276">
        <f t="shared" si="263"/>
        <v>26.24</v>
      </c>
      <c r="HD263" s="2276">
        <f t="shared" si="263"/>
        <v>28.71</v>
      </c>
      <c r="HE263" s="2276">
        <f t="shared" si="263"/>
        <v>31.19</v>
      </c>
      <c r="HF263" s="2276">
        <f t="shared" si="263"/>
        <v>34.75</v>
      </c>
      <c r="HG263" s="2276">
        <f t="shared" si="263"/>
        <v>20.100000000000001</v>
      </c>
      <c r="HH263" s="2276">
        <f t="shared" si="263"/>
        <v>22.87</v>
      </c>
      <c r="HI263" s="2276">
        <f t="shared" si="263"/>
        <v>26.73</v>
      </c>
      <c r="HJ263" s="2275"/>
      <c r="HK263" s="2275"/>
      <c r="HL263" s="2275"/>
      <c r="HM263" s="2275"/>
      <c r="HN263" s="2275"/>
      <c r="HO263" s="2275"/>
      <c r="HP263" s="2275"/>
      <c r="HQ263" s="2275"/>
      <c r="HR263" s="2275"/>
      <c r="HS263" s="2275"/>
      <c r="HT263" s="2275"/>
      <c r="HU263" s="2250"/>
      <c r="HV263" s="2250"/>
      <c r="HW263" s="2250"/>
      <c r="HX263" s="2250"/>
      <c r="HY263" s="2250"/>
      <c r="HZ263" s="2250"/>
      <c r="IA263" s="2250"/>
      <c r="IB263" s="2250"/>
      <c r="IC263" s="2250"/>
      <c r="ID263" s="2250"/>
      <c r="IE263" s="2250"/>
      <c r="IF263" s="2250"/>
      <c r="IG263" s="2250"/>
      <c r="IH263" s="2250"/>
      <c r="II263" s="2250"/>
      <c r="IJ263" s="2250"/>
      <c r="IK263" s="2250"/>
      <c r="IL263" s="2250"/>
    </row>
    <row r="264" spans="1:246" ht="21.95" customHeight="1">
      <c r="A264" s="2275"/>
      <c r="B264" s="2275"/>
      <c r="C264" s="2275"/>
      <c r="D264" s="2275"/>
      <c r="E264" s="2275"/>
      <c r="F264" s="2275"/>
      <c r="G264" s="2275"/>
      <c r="H264" s="2275"/>
      <c r="I264" s="2275"/>
      <c r="J264" s="2275"/>
      <c r="K264" s="2275"/>
      <c r="L264" s="2275"/>
      <c r="M264" s="2275"/>
      <c r="N264" s="2275"/>
      <c r="O264" s="2275"/>
      <c r="P264" s="2275"/>
      <c r="Q264" s="2275"/>
      <c r="R264" s="2275"/>
      <c r="S264" s="2275"/>
      <c r="T264" s="2275"/>
      <c r="U264" s="2275"/>
      <c r="V264" s="2275"/>
      <c r="W264" s="2275"/>
      <c r="X264" s="2275"/>
      <c r="Y264" s="2275"/>
      <c r="Z264" s="2275"/>
      <c r="AA264" s="2275"/>
      <c r="AB264" s="2275"/>
      <c r="AC264" s="2275"/>
      <c r="AD264" s="2275"/>
      <c r="AE264" s="2275"/>
      <c r="AF264" s="2275" t="s">
        <v>655</v>
      </c>
      <c r="AG264" s="2276">
        <f>AG220</f>
        <v>190.4</v>
      </c>
      <c r="AH264" s="2275"/>
      <c r="AI264" s="2275"/>
      <c r="AJ264" s="2275"/>
      <c r="AK264" s="2275"/>
      <c r="AL264" s="2275"/>
      <c r="AM264" s="2275"/>
      <c r="AN264" s="2275"/>
      <c r="AO264" s="2275"/>
      <c r="AP264" s="2250"/>
      <c r="AQ264" s="2250"/>
      <c r="AR264" s="2250"/>
      <c r="AS264" s="2250"/>
      <c r="AT264" s="2250"/>
      <c r="AU264" s="2250"/>
      <c r="AV264" s="2250"/>
      <c r="AW264" s="2250"/>
      <c r="AX264" s="2250"/>
      <c r="AY264" s="2250"/>
      <c r="AZ264" s="2250"/>
      <c r="BA264" s="2250"/>
      <c r="BB264" s="2250"/>
      <c r="BC264" s="2250"/>
      <c r="BD264" s="2250"/>
      <c r="BE264" s="2250"/>
      <c r="BF264" s="2276"/>
      <c r="BG264" s="2276"/>
      <c r="BH264" s="2250"/>
      <c r="BI264" s="2275"/>
      <c r="BJ264" s="2275"/>
      <c r="BK264" s="2275"/>
      <c r="BL264" s="2275"/>
      <c r="BM264" s="2275"/>
      <c r="BN264" s="2275"/>
      <c r="BO264" s="2275"/>
      <c r="BP264" s="2275"/>
      <c r="BQ264" s="2275"/>
      <c r="BR264" s="2275"/>
      <c r="BS264" s="2275"/>
      <c r="BT264" s="2275"/>
      <c r="BU264" s="2275"/>
      <c r="BV264" s="2275"/>
      <c r="BW264" s="2275"/>
      <c r="BX264" s="2275"/>
      <c r="BY264" s="2275"/>
      <c r="BZ264" s="2275"/>
      <c r="CA264" s="2275"/>
      <c r="CB264" s="2275"/>
      <c r="CC264" s="2275"/>
      <c r="CD264" s="2275"/>
      <c r="CE264" s="2275"/>
      <c r="CF264" s="2275"/>
      <c r="CG264" s="2275"/>
      <c r="CH264" s="2275"/>
      <c r="CI264" s="2275"/>
      <c r="CJ264" s="2275"/>
      <c r="CK264" s="2275"/>
      <c r="CL264" s="2275"/>
      <c r="CM264" s="2275"/>
      <c r="CN264" s="2275" t="s">
        <v>655</v>
      </c>
      <c r="CO264" s="2276">
        <f>CO220</f>
        <v>206.43</v>
      </c>
      <c r="CP264" s="2275"/>
      <c r="CQ264" s="2275"/>
      <c r="CR264" s="2275"/>
      <c r="CS264" s="2275"/>
      <c r="CT264" s="2275"/>
      <c r="CU264" s="2275"/>
      <c r="CV264" s="2275"/>
      <c r="CW264" s="2275"/>
      <c r="CX264" s="2250"/>
      <c r="CY264" s="2250"/>
      <c r="CZ264" s="2250"/>
      <c r="DA264" s="2250"/>
      <c r="DB264" s="2250"/>
      <c r="DC264" s="2250"/>
      <c r="DD264" s="2250"/>
      <c r="DE264" s="2250"/>
      <c r="DF264" s="2250"/>
      <c r="DG264" s="2250"/>
      <c r="DH264" s="2250"/>
      <c r="DI264" s="2250"/>
      <c r="DJ264" s="2250"/>
      <c r="DK264" s="2250"/>
      <c r="DL264" s="2250"/>
      <c r="DM264" s="2250"/>
      <c r="DN264" s="2250"/>
      <c r="DO264" s="2250"/>
      <c r="DP264" s="2250"/>
      <c r="DQ264" s="2277"/>
      <c r="DR264" s="2277"/>
      <c r="DS264" s="2278"/>
      <c r="DT264" s="2250"/>
      <c r="DU264" s="2250"/>
      <c r="DV264" s="2250"/>
      <c r="DW264" s="2250"/>
      <c r="DX264" s="2275"/>
      <c r="DY264" s="2250"/>
      <c r="DZ264" s="2276" t="str">
        <f>IF(DZ262=FE260,IF(DZ263=FF260,"Right","Wrong"))</f>
        <v>Right</v>
      </c>
      <c r="EA264" s="2276">
        <f>VLOOKUP(EA263,EA246:FB256,28,0)</f>
        <v>825</v>
      </c>
      <c r="EB264" s="2276">
        <f>VLOOKUP(EB263,EB246:FB256,27,0)</f>
        <v>775</v>
      </c>
      <c r="EC264" s="2276">
        <f>VLOOKUP(EC263,EC246:FB256,26,0)</f>
        <v>775</v>
      </c>
      <c r="ED264" s="2276">
        <f>VLOOKUP(ED263,ED246:FB256,25,0)</f>
        <v>775</v>
      </c>
      <c r="EE264" s="2276">
        <f>VLOOKUP(EE263,EE246:FB256,24,0)</f>
        <v>775</v>
      </c>
      <c r="EF264" s="2276">
        <f>VLOOKUP(EF263,EF246:FB256,23,0)</f>
        <v>775</v>
      </c>
      <c r="EG264" s="2276">
        <f>VLOOKUP(EG263,EG246:FB256,22,0)</f>
        <v>775</v>
      </c>
      <c r="EH264" s="2276">
        <f>VLOOKUP(EH263,EH246:FB256,21,0)</f>
        <v>775</v>
      </c>
      <c r="EI264" s="2276">
        <f>VLOOKUP(EI263,EI246:FB256,20,0)</f>
        <v>650</v>
      </c>
      <c r="EJ264" s="2276">
        <f>VLOOKUP(EJ263,EJ246:FB256,19,0)</f>
        <v>650</v>
      </c>
      <c r="EK264" s="2276">
        <f>VLOOKUP(EK263,EK246:FB256,18,0)</f>
        <v>650</v>
      </c>
      <c r="EL264" s="2276">
        <f>VLOOKUP(EL263,EL246:FB256,17,0)</f>
        <v>650</v>
      </c>
      <c r="EM264" s="2276">
        <f>VLOOKUP(EM263,EM246:FB256,16,0)</f>
        <v>650</v>
      </c>
      <c r="EN264" s="2276">
        <f>VLOOKUP(EN263,EN246:FB256,15,0)</f>
        <v>650</v>
      </c>
      <c r="EO264" s="2276">
        <f>VLOOKUP(EO263,EO246:FB256,14,0)</f>
        <v>650</v>
      </c>
      <c r="EP264" s="2276">
        <f>VLOOKUP(EP263,EP246:FB256,13,0)</f>
        <v>650</v>
      </c>
      <c r="EQ264" s="2276">
        <f>VLOOKUP(EQ263,EQ246:FB256,12,0)</f>
        <v>550</v>
      </c>
      <c r="ER264" s="2276">
        <f>VLOOKUP(ER263,ER246:FB256,11,0)</f>
        <v>550</v>
      </c>
      <c r="ES264" s="2276">
        <f>VLOOKUP(ES263,ES246:FB256,10,0)</f>
        <v>550</v>
      </c>
      <c r="ET264" s="2276">
        <f>VLOOKUP(ET263,ET246:FB256,9,0)</f>
        <v>550</v>
      </c>
      <c r="EU264" s="2276">
        <f>VLOOKUP(EU263,EU246:FB256,8,0)</f>
        <v>550</v>
      </c>
      <c r="EV264" s="2276">
        <f>VLOOKUP(EV263,EV246:FB256,7,0)</f>
        <v>550</v>
      </c>
      <c r="EW264" s="2276">
        <f>VLOOKUP(EW263,EW246:FB256,6,0)</f>
        <v>550</v>
      </c>
      <c r="EX264" s="2276">
        <f>VLOOKUP(EX263,EX246:FB256,5,0)</f>
        <v>550</v>
      </c>
      <c r="EY264" s="2276">
        <f>VLOOKUP(EY263,EY246:FB256,4,0)</f>
        <v>475</v>
      </c>
      <c r="EZ264" s="2276">
        <f>VLOOKUP(EZ263,EZ246:FB256,3,0)</f>
        <v>475</v>
      </c>
      <c r="FA264" s="2276">
        <f>VLOOKUP(FA263,FA246:FB256,2,0)</f>
        <v>475</v>
      </c>
      <c r="FB264" s="2275"/>
      <c r="FC264" s="2275"/>
      <c r="FD264" s="2275"/>
      <c r="FE264" s="2275"/>
      <c r="FF264" s="2275"/>
      <c r="FG264" s="2275"/>
      <c r="FH264" s="2275"/>
      <c r="FI264" s="2275"/>
      <c r="FJ264" s="2275"/>
      <c r="FK264" s="2275"/>
      <c r="FL264" s="2275"/>
      <c r="FM264" s="2250"/>
      <c r="FN264" s="2250"/>
      <c r="FO264" s="2250"/>
      <c r="FP264" s="2250"/>
      <c r="FQ264" s="2250"/>
      <c r="FR264" s="2250"/>
      <c r="FS264" s="2250"/>
      <c r="FT264" s="2250"/>
      <c r="FU264" s="2250"/>
      <c r="FV264" s="2250"/>
      <c r="FW264" s="2250"/>
      <c r="FX264" s="2250"/>
      <c r="FY264" s="2250"/>
      <c r="FZ264" s="2250"/>
      <c r="GA264" s="2250"/>
      <c r="GB264" s="2250"/>
      <c r="GC264" s="2276"/>
      <c r="GD264" s="2276"/>
      <c r="GE264" s="2250"/>
      <c r="GF264" s="2275"/>
      <c r="GG264" s="2250"/>
      <c r="GH264" s="2276" t="str">
        <f>IF(GH262=HM260,IF(GH263=HN260,"Right","Wrong"))</f>
        <v>Right</v>
      </c>
      <c r="GI264" s="2276">
        <f>VLOOKUP(GI263,GI246:HJ256,28,0)</f>
        <v>825</v>
      </c>
      <c r="GJ264" s="2276">
        <f>VLOOKUP(GJ263,GJ246:HJ256,27,0)</f>
        <v>775</v>
      </c>
      <c r="GK264" s="2276">
        <f>VLOOKUP(GK263,GK246:HJ256,26,0)</f>
        <v>775</v>
      </c>
      <c r="GL264" s="2276">
        <f>VLOOKUP(GL263,GL246:HJ256,25,0)</f>
        <v>775</v>
      </c>
      <c r="GM264" s="2276">
        <f>VLOOKUP(GM263,GM246:HJ256,24,0)</f>
        <v>775</v>
      </c>
      <c r="GN264" s="2276">
        <f>VLOOKUP(GN263,GN246:HJ256,23,0)</f>
        <v>775</v>
      </c>
      <c r="GO264" s="2276">
        <f>VLOOKUP(GO263,GO246:HJ256,22,0)</f>
        <v>775</v>
      </c>
      <c r="GP264" s="2276">
        <f>VLOOKUP(GP263,GP246:HJ256,21,0)</f>
        <v>775</v>
      </c>
      <c r="GQ264" s="2276">
        <f>VLOOKUP(GQ263,GQ246:HJ256,20,0)</f>
        <v>650</v>
      </c>
      <c r="GR264" s="2276">
        <f>VLOOKUP(GR263,GR246:HJ256,19,0)</f>
        <v>650</v>
      </c>
      <c r="GS264" s="2276">
        <f>VLOOKUP(GS263,GS246:HJ256,18,0)</f>
        <v>650</v>
      </c>
      <c r="GT264" s="2276">
        <f>VLOOKUP(GT263,GT246:HJ256,17,0)</f>
        <v>650</v>
      </c>
      <c r="GU264" s="2276">
        <f>VLOOKUP(GU263,GU246:HJ256,16,0)</f>
        <v>650</v>
      </c>
      <c r="GV264" s="2276">
        <f>VLOOKUP(GV263,GV246:HJ256,15,0)</f>
        <v>650</v>
      </c>
      <c r="GW264" s="2276">
        <f>VLOOKUP(GW263,GW246:HJ256,14,0)</f>
        <v>650</v>
      </c>
      <c r="GX264" s="2276">
        <f>VLOOKUP(GX263,GX246:HJ256,13,0)</f>
        <v>650</v>
      </c>
      <c r="GY264" s="2276">
        <f>VLOOKUP(GY263,GY246:HJ256,12,0)</f>
        <v>550</v>
      </c>
      <c r="GZ264" s="2276">
        <f>VLOOKUP(GZ263,GZ246:HJ256,11,0)</f>
        <v>550</v>
      </c>
      <c r="HA264" s="2276">
        <f>VLOOKUP(HA263,HA246:HJ256,10,0)</f>
        <v>550</v>
      </c>
      <c r="HB264" s="2276">
        <f>VLOOKUP(HB263,HB246:HJ256,9,0)</f>
        <v>550</v>
      </c>
      <c r="HC264" s="2276">
        <f>VLOOKUP(HC263,HC246:HJ256,8,0)</f>
        <v>550</v>
      </c>
      <c r="HD264" s="2276">
        <f>VLOOKUP(HD263,HD246:HJ256,7,0)</f>
        <v>550</v>
      </c>
      <c r="HE264" s="2276">
        <f>VLOOKUP(HE263,HE246:HJ256,6,0)</f>
        <v>550</v>
      </c>
      <c r="HF264" s="2276">
        <f>VLOOKUP(HF263,HF246:HJ256,5,0)</f>
        <v>550</v>
      </c>
      <c r="HG264" s="2276">
        <f>VLOOKUP(HG263,HG246:HJ256,4,0)</f>
        <v>475</v>
      </c>
      <c r="HH264" s="2276">
        <f>VLOOKUP(HH263,HH246:HJ256,3,0)</f>
        <v>475</v>
      </c>
      <c r="HI264" s="2276">
        <f>VLOOKUP(HI263,HI246:HJ256,2,0)</f>
        <v>475</v>
      </c>
      <c r="HJ264" s="2275"/>
      <c r="HK264" s="2275"/>
      <c r="HL264" s="2275"/>
      <c r="HM264" s="2275"/>
      <c r="HN264" s="2275"/>
      <c r="HO264" s="2275"/>
      <c r="HP264" s="2275"/>
      <c r="HQ264" s="2275"/>
      <c r="HR264" s="2275"/>
      <c r="HS264" s="2275"/>
      <c r="HT264" s="2275"/>
      <c r="HU264" s="2250"/>
      <c r="HV264" s="2250"/>
      <c r="HW264" s="2250"/>
      <c r="HX264" s="2250"/>
      <c r="HY264" s="2250"/>
      <c r="HZ264" s="2250"/>
      <c r="IA264" s="2250"/>
      <c r="IB264" s="2250"/>
      <c r="IC264" s="2250"/>
      <c r="ID264" s="2250"/>
      <c r="IE264" s="2250"/>
      <c r="IF264" s="2250"/>
      <c r="IG264" s="2250"/>
      <c r="IH264" s="2250"/>
      <c r="II264" s="2250"/>
      <c r="IJ264" s="2250"/>
      <c r="IK264" s="2250"/>
      <c r="IL264" s="2250"/>
    </row>
    <row r="265" spans="1:246" ht="21.95" customHeight="1">
      <c r="A265" s="2275"/>
      <c r="B265" s="2275"/>
      <c r="C265" s="2333" t="s">
        <v>736</v>
      </c>
      <c r="D265" s="2333">
        <v>223.8</v>
      </c>
      <c r="E265" s="2333">
        <v>206.43</v>
      </c>
      <c r="F265" s="2333">
        <v>190.4</v>
      </c>
      <c r="G265" s="2333">
        <v>177.81</v>
      </c>
      <c r="H265" s="2333">
        <v>165.9</v>
      </c>
      <c r="I265" s="2333">
        <v>162.68</v>
      </c>
      <c r="J265" s="2333">
        <v>151.30000000000001</v>
      </c>
      <c r="K265" s="2333">
        <v>140.1</v>
      </c>
      <c r="L265" s="2333">
        <v>129.80000000000001</v>
      </c>
      <c r="M265" s="2333">
        <v>120.7</v>
      </c>
      <c r="N265" s="2333">
        <v>107.9</v>
      </c>
      <c r="O265" s="2333">
        <v>97.1</v>
      </c>
      <c r="P265" s="2333">
        <v>92.9</v>
      </c>
      <c r="Q265" s="2333">
        <v>88.2</v>
      </c>
      <c r="R265" s="2333">
        <v>83.3</v>
      </c>
      <c r="S265" s="2333">
        <v>78.2</v>
      </c>
      <c r="T265" s="2333">
        <v>73.7</v>
      </c>
      <c r="U265" s="2333">
        <v>68.3</v>
      </c>
      <c r="V265" s="2333">
        <v>63.4</v>
      </c>
      <c r="W265" s="2333">
        <v>58.1</v>
      </c>
      <c r="X265" s="2333">
        <v>53.7</v>
      </c>
      <c r="Y265" s="2333">
        <v>48.8</v>
      </c>
      <c r="Z265" s="2333">
        <v>43.9</v>
      </c>
      <c r="AA265" s="2333">
        <v>38.799999999999997</v>
      </c>
      <c r="AB265" s="2333">
        <v>34.200000000000003</v>
      </c>
      <c r="AC265" s="2333">
        <v>29.3</v>
      </c>
      <c r="AD265" s="2345">
        <v>24.5</v>
      </c>
      <c r="AE265" s="2333" t="s">
        <v>736</v>
      </c>
      <c r="AF265" s="2275" t="s">
        <v>738</v>
      </c>
      <c r="AG265" s="2276">
        <f>AG221</f>
        <v>19.915970774546171</v>
      </c>
      <c r="AH265" s="2275"/>
      <c r="AI265" s="2275"/>
      <c r="AJ265" s="2275"/>
      <c r="AK265" s="2275"/>
      <c r="AL265" s="2275"/>
      <c r="AM265" s="2275"/>
      <c r="AN265" s="2275"/>
      <c r="AO265" s="2275"/>
      <c r="AP265" s="2250"/>
      <c r="AQ265" s="2250"/>
      <c r="AR265" s="2250"/>
      <c r="AS265" s="2250"/>
      <c r="AT265" s="2250"/>
      <c r="AU265" s="2250"/>
      <c r="AV265" s="2250"/>
      <c r="AW265" s="2250"/>
      <c r="AX265" s="2250"/>
      <c r="AY265" s="2250"/>
      <c r="AZ265" s="2250"/>
      <c r="BA265" s="2250"/>
      <c r="BB265" s="2250"/>
      <c r="BC265" s="2250"/>
      <c r="BD265" s="2250"/>
      <c r="BE265" s="2250"/>
      <c r="BF265" s="2276"/>
      <c r="BG265" s="2276"/>
      <c r="BH265" s="2250"/>
      <c r="BI265" s="2275"/>
      <c r="BJ265" s="2275"/>
      <c r="BK265" s="2333" t="s">
        <v>736</v>
      </c>
      <c r="BL265" s="2333">
        <v>223.8</v>
      </c>
      <c r="BM265" s="2333">
        <v>206.43</v>
      </c>
      <c r="BN265" s="2333">
        <v>190.4</v>
      </c>
      <c r="BO265" s="2333">
        <v>177.81</v>
      </c>
      <c r="BP265" s="2333">
        <v>165.9</v>
      </c>
      <c r="BQ265" s="2333">
        <v>162.68</v>
      </c>
      <c r="BR265" s="2333">
        <v>151.30000000000001</v>
      </c>
      <c r="BS265" s="2333">
        <v>140.1</v>
      </c>
      <c r="BT265" s="2333">
        <v>129.80000000000001</v>
      </c>
      <c r="BU265" s="2333">
        <v>120.7</v>
      </c>
      <c r="BV265" s="2333">
        <v>107.9</v>
      </c>
      <c r="BW265" s="2333">
        <v>97.1</v>
      </c>
      <c r="BX265" s="2333">
        <v>92.9</v>
      </c>
      <c r="BY265" s="2333">
        <v>88.2</v>
      </c>
      <c r="BZ265" s="2333">
        <v>83.3</v>
      </c>
      <c r="CA265" s="2333">
        <v>78.2</v>
      </c>
      <c r="CB265" s="2333">
        <v>73.7</v>
      </c>
      <c r="CC265" s="2333">
        <v>68.3</v>
      </c>
      <c r="CD265" s="2333">
        <v>63.4</v>
      </c>
      <c r="CE265" s="2333">
        <v>58.1</v>
      </c>
      <c r="CF265" s="2333">
        <v>53.7</v>
      </c>
      <c r="CG265" s="2333">
        <v>48.8</v>
      </c>
      <c r="CH265" s="2333">
        <v>43.9</v>
      </c>
      <c r="CI265" s="2333">
        <v>38.799999999999997</v>
      </c>
      <c r="CJ265" s="2333">
        <v>34.200000000000003</v>
      </c>
      <c r="CK265" s="2333">
        <v>29.3</v>
      </c>
      <c r="CL265" s="2345">
        <v>24.5</v>
      </c>
      <c r="CM265" s="2333" t="s">
        <v>736</v>
      </c>
      <c r="CN265" s="2275" t="s">
        <v>738</v>
      </c>
      <c r="CO265" s="2276">
        <f>CO221</f>
        <v>19.915970774546171</v>
      </c>
      <c r="CP265" s="2275"/>
      <c r="CQ265" s="2275"/>
      <c r="CR265" s="2275"/>
      <c r="CS265" s="2275"/>
      <c r="CT265" s="2275"/>
      <c r="CU265" s="2275"/>
      <c r="CV265" s="2275"/>
      <c r="CW265" s="2275"/>
      <c r="CX265" s="2250"/>
      <c r="CY265" s="2250"/>
      <c r="CZ265" s="2250"/>
      <c r="DA265" s="2250"/>
      <c r="DB265" s="2250"/>
      <c r="DC265" s="2250"/>
      <c r="DD265" s="2250"/>
      <c r="DE265" s="2250"/>
      <c r="DF265" s="2250"/>
      <c r="DG265" s="2250"/>
      <c r="DH265" s="2250"/>
      <c r="DI265" s="2250"/>
      <c r="DJ265" s="2250"/>
      <c r="DK265" s="2250"/>
      <c r="DL265" s="2250"/>
      <c r="DM265" s="2250"/>
      <c r="DN265" s="2250"/>
      <c r="DO265" s="2250"/>
      <c r="DP265" s="2250"/>
      <c r="DQ265" s="2277"/>
      <c r="DR265" s="2277"/>
      <c r="DS265" s="2278"/>
      <c r="DT265" s="2250"/>
      <c r="DU265" s="2250"/>
      <c r="DV265" s="2250"/>
      <c r="DW265" s="2250"/>
      <c r="DX265" s="2275"/>
      <c r="DY265" s="2275"/>
      <c r="DZ265" s="2275"/>
      <c r="EA265" s="2275"/>
      <c r="EB265" s="2275"/>
      <c r="EC265" s="2275"/>
      <c r="ED265" s="2275"/>
      <c r="EE265" s="2275"/>
      <c r="EF265" s="2275"/>
      <c r="EG265" s="2275"/>
      <c r="EH265" s="2275"/>
      <c r="EI265" s="2275"/>
      <c r="EJ265" s="2275"/>
      <c r="EK265" s="2275"/>
      <c r="EL265" s="2275"/>
      <c r="EM265" s="2275"/>
      <c r="EN265" s="2275"/>
      <c r="EO265" s="2275"/>
      <c r="EP265" s="2275"/>
      <c r="EQ265" s="2275"/>
      <c r="ER265" s="2275"/>
      <c r="ES265" s="2275"/>
      <c r="ET265" s="2275"/>
      <c r="EU265" s="2275"/>
      <c r="EV265" s="2275"/>
      <c r="EW265" s="2275"/>
      <c r="EX265" s="2275"/>
      <c r="EY265" s="2275"/>
      <c r="EZ265" s="2275"/>
      <c r="FA265" s="2275"/>
      <c r="FB265" s="2275"/>
      <c r="FC265" s="2275" t="s">
        <v>655</v>
      </c>
      <c r="FD265" s="2276">
        <f>FD221</f>
        <v>120.7</v>
      </c>
      <c r="FE265" s="2275"/>
      <c r="FF265" s="2275"/>
      <c r="FG265" s="2275"/>
      <c r="FH265" s="2275"/>
      <c r="FI265" s="2275"/>
      <c r="FJ265" s="2275"/>
      <c r="FK265" s="2275"/>
      <c r="FL265" s="2275"/>
      <c r="FM265" s="2250"/>
      <c r="FN265" s="2250"/>
      <c r="FO265" s="2250"/>
      <c r="FP265" s="2250"/>
      <c r="FQ265" s="2250"/>
      <c r="FR265" s="2250"/>
      <c r="FS265" s="2250"/>
      <c r="FT265" s="2250"/>
      <c r="FU265" s="2250"/>
      <c r="FV265" s="2250"/>
      <c r="FW265" s="2250"/>
      <c r="FX265" s="2250"/>
      <c r="FY265" s="2250"/>
      <c r="FZ265" s="2250"/>
      <c r="GA265" s="2250"/>
      <c r="GB265" s="2250"/>
      <c r="GC265" s="2276"/>
      <c r="GD265" s="2276"/>
      <c r="GE265" s="2250"/>
      <c r="GF265" s="2275"/>
      <c r="GG265" s="2275"/>
      <c r="GH265" s="2275"/>
      <c r="GI265" s="2275"/>
      <c r="GJ265" s="2275"/>
      <c r="GK265" s="2275"/>
      <c r="GL265" s="2275"/>
      <c r="GM265" s="2275"/>
      <c r="GN265" s="2275"/>
      <c r="GO265" s="2275"/>
      <c r="GP265" s="2275"/>
      <c r="GQ265" s="2275"/>
      <c r="GR265" s="2275"/>
      <c r="GS265" s="2275"/>
      <c r="GT265" s="2275"/>
      <c r="GU265" s="2275"/>
      <c r="GV265" s="2275"/>
      <c r="GW265" s="2275"/>
      <c r="GX265" s="2275"/>
      <c r="GY265" s="2275"/>
      <c r="GZ265" s="2275"/>
      <c r="HA265" s="2275"/>
      <c r="HB265" s="2275"/>
      <c r="HC265" s="2275"/>
      <c r="HD265" s="2275"/>
      <c r="HE265" s="2275"/>
      <c r="HF265" s="2275"/>
      <c r="HG265" s="2275"/>
      <c r="HH265" s="2275"/>
      <c r="HI265" s="2275"/>
      <c r="HJ265" s="2275"/>
      <c r="HK265" s="2275" t="s">
        <v>655</v>
      </c>
      <c r="HL265" s="2276">
        <f>HL221</f>
        <v>129.80000000000001</v>
      </c>
      <c r="HM265" s="2275"/>
      <c r="HN265" s="2275"/>
      <c r="HO265" s="2275"/>
      <c r="HP265" s="2275"/>
      <c r="HQ265" s="2275"/>
      <c r="HR265" s="2275"/>
      <c r="HS265" s="2275"/>
      <c r="HT265" s="2275"/>
      <c r="HU265" s="2250"/>
      <c r="HV265" s="2250"/>
      <c r="HW265" s="2250"/>
      <c r="HX265" s="2250"/>
      <c r="HY265" s="2250"/>
      <c r="HZ265" s="2250"/>
      <c r="IA265" s="2250"/>
      <c r="IB265" s="2250"/>
      <c r="IC265" s="2250"/>
      <c r="ID265" s="2250"/>
      <c r="IE265" s="2250"/>
      <c r="IF265" s="2250"/>
      <c r="IG265" s="2250"/>
      <c r="IH265" s="2250"/>
      <c r="II265" s="2250"/>
      <c r="IJ265" s="2250"/>
      <c r="IK265" s="2250"/>
      <c r="IL265" s="2250"/>
    </row>
    <row r="266" spans="1:246" ht="21.95" customHeight="1">
      <c r="A266" s="2275"/>
      <c r="B266" s="2275"/>
      <c r="C266" s="2333"/>
      <c r="D266" s="2344">
        <v>0</v>
      </c>
      <c r="E266" s="2344">
        <v>0</v>
      </c>
      <c r="F266" s="2344">
        <v>0</v>
      </c>
      <c r="G266" s="2344">
        <v>0</v>
      </c>
      <c r="H266" s="2344">
        <v>0</v>
      </c>
      <c r="I266" s="2344">
        <v>0</v>
      </c>
      <c r="J266" s="2344">
        <v>0</v>
      </c>
      <c r="K266" s="2344">
        <v>0</v>
      </c>
      <c r="L266" s="2344">
        <v>0</v>
      </c>
      <c r="M266" s="2344">
        <v>0</v>
      </c>
      <c r="N266" s="2344">
        <v>0</v>
      </c>
      <c r="O266" s="2344">
        <v>0</v>
      </c>
      <c r="P266" s="2344">
        <v>0</v>
      </c>
      <c r="Q266" s="2344">
        <v>0</v>
      </c>
      <c r="R266" s="2344">
        <v>0</v>
      </c>
      <c r="S266" s="2344">
        <v>0</v>
      </c>
      <c r="T266" s="2344">
        <v>0</v>
      </c>
      <c r="U266" s="2344">
        <v>0</v>
      </c>
      <c r="V266" s="2344">
        <v>0</v>
      </c>
      <c r="W266" s="2344">
        <v>0</v>
      </c>
      <c r="X266" s="2344">
        <v>0</v>
      </c>
      <c r="Y266" s="2344">
        <v>0</v>
      </c>
      <c r="Z266" s="2344">
        <v>0</v>
      </c>
      <c r="AA266" s="2344">
        <v>0</v>
      </c>
      <c r="AB266" s="2344">
        <v>0</v>
      </c>
      <c r="AC266" s="2344">
        <v>0</v>
      </c>
      <c r="AD266" s="2348">
        <v>0</v>
      </c>
      <c r="AE266" s="2333"/>
      <c r="AF266" s="2275" t="s">
        <v>682</v>
      </c>
      <c r="AG266" s="2276">
        <f>HLOOKUP(AG264,D265:AD277,1,0)</f>
        <v>190.4</v>
      </c>
      <c r="AH266" s="2275" t="s">
        <v>706</v>
      </c>
      <c r="AI266" s="2275" t="s">
        <v>682</v>
      </c>
      <c r="AJ266" s="2275"/>
      <c r="AK266" s="2275"/>
      <c r="AL266" s="2275"/>
      <c r="AM266" s="2275"/>
      <c r="AN266" s="2275"/>
      <c r="AO266" s="2275"/>
      <c r="AP266" s="2250"/>
      <c r="AQ266" s="2250"/>
      <c r="AR266" s="2250"/>
      <c r="AS266" s="2250"/>
      <c r="AT266" s="2250"/>
      <c r="AU266" s="2250"/>
      <c r="AV266" s="2250"/>
      <c r="AW266" s="2250"/>
      <c r="AX266" s="2250"/>
      <c r="AY266" s="2250"/>
      <c r="AZ266" s="2250"/>
      <c r="BA266" s="2250"/>
      <c r="BB266" s="2250"/>
      <c r="BC266" s="2250"/>
      <c r="BD266" s="2250"/>
      <c r="BE266" s="2250"/>
      <c r="BF266" s="2276"/>
      <c r="BG266" s="2276"/>
      <c r="BH266" s="2250"/>
      <c r="BI266" s="2275"/>
      <c r="BJ266" s="2275"/>
      <c r="BK266" s="2333"/>
      <c r="BL266" s="2344">
        <v>0</v>
      </c>
      <c r="BM266" s="2344">
        <v>0</v>
      </c>
      <c r="BN266" s="2344">
        <v>0</v>
      </c>
      <c r="BO266" s="2344">
        <v>0</v>
      </c>
      <c r="BP266" s="2344">
        <v>0</v>
      </c>
      <c r="BQ266" s="2344">
        <v>0</v>
      </c>
      <c r="BR266" s="2344">
        <v>0</v>
      </c>
      <c r="BS266" s="2344">
        <v>0</v>
      </c>
      <c r="BT266" s="2344">
        <v>0</v>
      </c>
      <c r="BU266" s="2344">
        <v>0</v>
      </c>
      <c r="BV266" s="2344">
        <v>0</v>
      </c>
      <c r="BW266" s="2344">
        <v>0</v>
      </c>
      <c r="BX266" s="2344">
        <v>0</v>
      </c>
      <c r="BY266" s="2344">
        <v>0</v>
      </c>
      <c r="BZ266" s="2344">
        <v>0</v>
      </c>
      <c r="CA266" s="2344">
        <v>0</v>
      </c>
      <c r="CB266" s="2344">
        <v>0</v>
      </c>
      <c r="CC266" s="2344">
        <v>0</v>
      </c>
      <c r="CD266" s="2344">
        <v>0</v>
      </c>
      <c r="CE266" s="2344">
        <v>0</v>
      </c>
      <c r="CF266" s="2344">
        <v>0</v>
      </c>
      <c r="CG266" s="2344">
        <v>0</v>
      </c>
      <c r="CH266" s="2344">
        <v>0</v>
      </c>
      <c r="CI266" s="2344">
        <v>0</v>
      </c>
      <c r="CJ266" s="2344">
        <v>0</v>
      </c>
      <c r="CK266" s="2344">
        <v>0</v>
      </c>
      <c r="CL266" s="2348">
        <v>0</v>
      </c>
      <c r="CM266" s="2333"/>
      <c r="CN266" s="2275" t="s">
        <v>682</v>
      </c>
      <c r="CO266" s="2276">
        <f>HLOOKUP(CO264,BL265:CL277,1,0)</f>
        <v>206.43</v>
      </c>
      <c r="CP266" s="2275" t="s">
        <v>706</v>
      </c>
      <c r="CQ266" s="2275" t="s">
        <v>682</v>
      </c>
      <c r="CR266" s="2275"/>
      <c r="CS266" s="2275"/>
      <c r="CT266" s="2275"/>
      <c r="CU266" s="2275"/>
      <c r="CV266" s="2275"/>
      <c r="CW266" s="2275"/>
      <c r="CX266" s="2250"/>
      <c r="CY266" s="2250"/>
      <c r="CZ266" s="2250"/>
      <c r="DA266" s="2250"/>
      <c r="DB266" s="2250"/>
      <c r="DC266" s="2250"/>
      <c r="DD266" s="2250"/>
      <c r="DE266" s="2250"/>
      <c r="DF266" s="2250"/>
      <c r="DG266" s="2250"/>
      <c r="DH266" s="2250"/>
      <c r="DI266" s="2250"/>
      <c r="DJ266" s="2250"/>
      <c r="DK266" s="2250"/>
      <c r="DL266" s="2250"/>
      <c r="DM266" s="2250"/>
      <c r="DN266" s="2250"/>
      <c r="DO266" s="2250"/>
      <c r="DP266" s="2250"/>
      <c r="DQ266" s="2277"/>
      <c r="DR266" s="2277"/>
      <c r="DS266" s="2278"/>
      <c r="DT266" s="2250"/>
      <c r="DU266" s="2250"/>
      <c r="DV266" s="2250"/>
      <c r="DW266" s="2250"/>
      <c r="DX266" s="2275"/>
      <c r="DY266" s="2275"/>
      <c r="DZ266" s="2333" t="s">
        <v>736</v>
      </c>
      <c r="EA266" s="2333">
        <v>223.8</v>
      </c>
      <c r="EB266" s="2333">
        <v>206.43</v>
      </c>
      <c r="EC266" s="2333">
        <v>190.4</v>
      </c>
      <c r="ED266" s="2333">
        <v>177.81</v>
      </c>
      <c r="EE266" s="2333">
        <v>165.9</v>
      </c>
      <c r="EF266" s="2333">
        <v>162.68</v>
      </c>
      <c r="EG266" s="2333">
        <v>151.30000000000001</v>
      </c>
      <c r="EH266" s="2333">
        <v>140.1</v>
      </c>
      <c r="EI266" s="2333">
        <v>129.80000000000001</v>
      </c>
      <c r="EJ266" s="2333">
        <v>120.7</v>
      </c>
      <c r="EK266" s="2333">
        <v>107.9</v>
      </c>
      <c r="EL266" s="2333">
        <v>97.1</v>
      </c>
      <c r="EM266" s="2333">
        <v>92.9</v>
      </c>
      <c r="EN266" s="2333">
        <v>88.2</v>
      </c>
      <c r="EO266" s="2333">
        <v>83.3</v>
      </c>
      <c r="EP266" s="2333">
        <v>78.2</v>
      </c>
      <c r="EQ266" s="2333">
        <v>73.7</v>
      </c>
      <c r="ER266" s="2333">
        <v>68.3</v>
      </c>
      <c r="ES266" s="2333">
        <v>63.4</v>
      </c>
      <c r="ET266" s="2333">
        <v>58.1</v>
      </c>
      <c r="EU266" s="2333">
        <v>53.7</v>
      </c>
      <c r="EV266" s="2333">
        <v>48.8</v>
      </c>
      <c r="EW266" s="2333">
        <v>43.9</v>
      </c>
      <c r="EX266" s="2333">
        <v>38.799999999999997</v>
      </c>
      <c r="EY266" s="2333">
        <v>34.200000000000003</v>
      </c>
      <c r="EZ266" s="2333">
        <v>29.3</v>
      </c>
      <c r="FA266" s="2345">
        <v>24.5</v>
      </c>
      <c r="FB266" s="2333" t="s">
        <v>736</v>
      </c>
      <c r="FC266" s="2275" t="s">
        <v>738</v>
      </c>
      <c r="FD266" s="2276">
        <f>FD222</f>
        <v>19.968225884687833</v>
      </c>
      <c r="FE266" s="2275"/>
      <c r="FF266" s="2275"/>
      <c r="FG266" s="2275"/>
      <c r="FH266" s="2275"/>
      <c r="FI266" s="2275"/>
      <c r="FJ266" s="2275"/>
      <c r="FK266" s="2275"/>
      <c r="FL266" s="2275"/>
      <c r="FM266" s="2250"/>
      <c r="FN266" s="2250"/>
      <c r="FO266" s="2250"/>
      <c r="FP266" s="2250"/>
      <c r="FQ266" s="2250"/>
      <c r="FR266" s="2250"/>
      <c r="FS266" s="2250"/>
      <c r="FT266" s="2250"/>
      <c r="FU266" s="2250"/>
      <c r="FV266" s="2250"/>
      <c r="FW266" s="2250"/>
      <c r="FX266" s="2250"/>
      <c r="FY266" s="2250"/>
      <c r="FZ266" s="2250"/>
      <c r="GA266" s="2250"/>
      <c r="GB266" s="2250"/>
      <c r="GC266" s="2276"/>
      <c r="GD266" s="2276"/>
      <c r="GE266" s="2250"/>
      <c r="GF266" s="2275"/>
      <c r="GG266" s="2275"/>
      <c r="GH266" s="2333" t="s">
        <v>736</v>
      </c>
      <c r="GI266" s="2333">
        <v>223.8</v>
      </c>
      <c r="GJ266" s="2333">
        <v>206.43</v>
      </c>
      <c r="GK266" s="2333">
        <v>190.4</v>
      </c>
      <c r="GL266" s="2333">
        <v>177.81</v>
      </c>
      <c r="GM266" s="2333">
        <v>165.9</v>
      </c>
      <c r="GN266" s="2333">
        <v>162.68</v>
      </c>
      <c r="GO266" s="2333">
        <v>151.30000000000001</v>
      </c>
      <c r="GP266" s="2333">
        <v>140.1</v>
      </c>
      <c r="GQ266" s="2333">
        <v>129.80000000000001</v>
      </c>
      <c r="GR266" s="2333">
        <v>120.7</v>
      </c>
      <c r="GS266" s="2333">
        <v>107.9</v>
      </c>
      <c r="GT266" s="2333">
        <v>97.1</v>
      </c>
      <c r="GU266" s="2333">
        <v>92.9</v>
      </c>
      <c r="GV266" s="2333">
        <v>88.2</v>
      </c>
      <c r="GW266" s="2333">
        <v>83.3</v>
      </c>
      <c r="GX266" s="2333">
        <v>78.2</v>
      </c>
      <c r="GY266" s="2333">
        <v>73.7</v>
      </c>
      <c r="GZ266" s="2333">
        <v>68.3</v>
      </c>
      <c r="HA266" s="2333">
        <v>63.4</v>
      </c>
      <c r="HB266" s="2333">
        <v>58.1</v>
      </c>
      <c r="HC266" s="2333">
        <v>53.7</v>
      </c>
      <c r="HD266" s="2333">
        <v>48.8</v>
      </c>
      <c r="HE266" s="2333">
        <v>43.9</v>
      </c>
      <c r="HF266" s="2333">
        <v>38.799999999999997</v>
      </c>
      <c r="HG266" s="2333">
        <v>34.200000000000003</v>
      </c>
      <c r="HH266" s="2333">
        <v>29.3</v>
      </c>
      <c r="HI266" s="2345">
        <v>24.5</v>
      </c>
      <c r="HJ266" s="2333" t="s">
        <v>736</v>
      </c>
      <c r="HK266" s="2275" t="s">
        <v>738</v>
      </c>
      <c r="HL266" s="2276">
        <f>HL222</f>
        <v>19.968225884687833</v>
      </c>
      <c r="HM266" s="2275"/>
      <c r="HN266" s="2275"/>
      <c r="HO266" s="2275"/>
      <c r="HP266" s="2275"/>
      <c r="HQ266" s="2275"/>
      <c r="HR266" s="2275"/>
      <c r="HS266" s="2275"/>
      <c r="HT266" s="2275"/>
      <c r="HU266" s="2250"/>
      <c r="HV266" s="2250"/>
      <c r="HW266" s="2250"/>
      <c r="HX266" s="2250"/>
      <c r="HY266" s="2250"/>
      <c r="HZ266" s="2250"/>
      <c r="IA266" s="2250"/>
      <c r="IB266" s="2250"/>
      <c r="IC266" s="2250"/>
      <c r="ID266" s="2250"/>
      <c r="IE266" s="2250"/>
      <c r="IF266" s="2250"/>
      <c r="IG266" s="2250"/>
      <c r="IH266" s="2250"/>
      <c r="II266" s="2250"/>
      <c r="IJ266" s="2250"/>
      <c r="IK266" s="2250"/>
      <c r="IL266" s="2250"/>
    </row>
    <row r="267" spans="1:246" ht="21.95" customHeight="1">
      <c r="A267" s="2275"/>
      <c r="B267" s="4670" t="s">
        <v>734</v>
      </c>
      <c r="C267" s="2345">
        <v>400</v>
      </c>
      <c r="D267" s="2346">
        <v>2.0299999999999998</v>
      </c>
      <c r="E267" s="2346">
        <v>2.37</v>
      </c>
      <c r="F267" s="2346">
        <v>2.6</v>
      </c>
      <c r="G267" s="2346">
        <v>2.71</v>
      </c>
      <c r="H267" s="2346">
        <v>2.93</v>
      </c>
      <c r="I267" s="2346">
        <v>2.93</v>
      </c>
      <c r="J267" s="2346">
        <v>3.16</v>
      </c>
      <c r="K267" s="2346">
        <v>3.39</v>
      </c>
      <c r="L267" s="2346">
        <v>3.61</v>
      </c>
      <c r="M267" s="2346">
        <v>3.84</v>
      </c>
      <c r="N267" s="2346">
        <v>4.29</v>
      </c>
      <c r="O267" s="2346">
        <v>4.63</v>
      </c>
      <c r="P267" s="2346">
        <v>4.74</v>
      </c>
      <c r="Q267" s="2346">
        <v>5.08</v>
      </c>
      <c r="R267" s="2346">
        <v>5.3</v>
      </c>
      <c r="S267" s="2346">
        <v>5.53</v>
      </c>
      <c r="T267" s="2346">
        <v>5.87</v>
      </c>
      <c r="U267" s="2346">
        <v>6.43</v>
      </c>
      <c r="V267" s="2346">
        <v>6.77</v>
      </c>
      <c r="W267" s="2346">
        <v>7.34</v>
      </c>
      <c r="X267" s="2346">
        <v>7.79</v>
      </c>
      <c r="Y267" s="2346">
        <v>8.58</v>
      </c>
      <c r="Z267" s="2346">
        <v>9.26</v>
      </c>
      <c r="AA267" s="2346">
        <v>10.38</v>
      </c>
      <c r="AB267" s="2346">
        <v>11.4</v>
      </c>
      <c r="AC267" s="2346">
        <v>12.42</v>
      </c>
      <c r="AD267" s="2346">
        <v>14.45</v>
      </c>
      <c r="AE267" s="2347">
        <v>400</v>
      </c>
      <c r="AF267" s="2275"/>
      <c r="AG267" s="4671"/>
      <c r="AH267" s="4671"/>
      <c r="AI267" s="4671"/>
      <c r="AJ267" s="2275"/>
      <c r="AK267" s="2275"/>
      <c r="AL267" s="2275"/>
      <c r="AM267" s="2275"/>
      <c r="AN267" s="2275"/>
      <c r="AO267" s="2275"/>
      <c r="AP267" s="2250"/>
      <c r="AQ267" s="2250"/>
      <c r="AR267" s="2250"/>
      <c r="AS267" s="2250"/>
      <c r="AT267" s="2250"/>
      <c r="AU267" s="2250"/>
      <c r="AV267" s="2250"/>
      <c r="AW267" s="2250"/>
      <c r="AX267" s="2250"/>
      <c r="AY267" s="2250"/>
      <c r="AZ267" s="2250"/>
      <c r="BA267" s="2250"/>
      <c r="BB267" s="2250"/>
      <c r="BC267" s="2250"/>
      <c r="BD267" s="2250"/>
      <c r="BE267" s="2250"/>
      <c r="BF267" s="2276"/>
      <c r="BG267" s="2276"/>
      <c r="BH267" s="2250"/>
      <c r="BI267" s="2275"/>
      <c r="BJ267" s="4670" t="s">
        <v>734</v>
      </c>
      <c r="BK267" s="2345">
        <v>400</v>
      </c>
      <c r="BL267" s="2346">
        <v>2.0299999999999998</v>
      </c>
      <c r="BM267" s="2346">
        <v>2.37</v>
      </c>
      <c r="BN267" s="2346">
        <v>2.6</v>
      </c>
      <c r="BO267" s="2346">
        <v>2.71</v>
      </c>
      <c r="BP267" s="2346">
        <v>2.93</v>
      </c>
      <c r="BQ267" s="2346">
        <v>2.93</v>
      </c>
      <c r="BR267" s="2346">
        <v>3.16</v>
      </c>
      <c r="BS267" s="2346">
        <v>3.39</v>
      </c>
      <c r="BT267" s="2346">
        <v>3.61</v>
      </c>
      <c r="BU267" s="2346">
        <v>3.84</v>
      </c>
      <c r="BV267" s="2346">
        <v>4.29</v>
      </c>
      <c r="BW267" s="2346">
        <v>4.63</v>
      </c>
      <c r="BX267" s="2346">
        <v>4.74</v>
      </c>
      <c r="BY267" s="2346">
        <v>5.08</v>
      </c>
      <c r="BZ267" s="2346">
        <v>5.3</v>
      </c>
      <c r="CA267" s="2346">
        <v>5.53</v>
      </c>
      <c r="CB267" s="2346">
        <v>5.87</v>
      </c>
      <c r="CC267" s="2346">
        <v>6.43</v>
      </c>
      <c r="CD267" s="2346">
        <v>6.77</v>
      </c>
      <c r="CE267" s="2346">
        <v>7.34</v>
      </c>
      <c r="CF267" s="2346">
        <v>7.79</v>
      </c>
      <c r="CG267" s="2346">
        <v>8.58</v>
      </c>
      <c r="CH267" s="2346">
        <v>9.26</v>
      </c>
      <c r="CI267" s="2346">
        <v>10.38</v>
      </c>
      <c r="CJ267" s="2346">
        <v>11.4</v>
      </c>
      <c r="CK267" s="2346">
        <v>12.42</v>
      </c>
      <c r="CL267" s="2346">
        <v>14.45</v>
      </c>
      <c r="CM267" s="2347">
        <v>400</v>
      </c>
      <c r="CN267" s="2275"/>
      <c r="CO267" s="4671"/>
      <c r="CP267" s="4671"/>
      <c r="CQ267" s="4671"/>
      <c r="CR267" s="2275"/>
      <c r="CS267" s="2275"/>
      <c r="CT267" s="2275"/>
      <c r="CU267" s="2275"/>
      <c r="CV267" s="2275"/>
      <c r="CW267" s="2275"/>
      <c r="CX267" s="2250"/>
      <c r="CY267" s="2250"/>
      <c r="CZ267" s="2250"/>
      <c r="DA267" s="2250"/>
      <c r="DB267" s="2250"/>
      <c r="DC267" s="2250"/>
      <c r="DD267" s="2250"/>
      <c r="DE267" s="2250"/>
      <c r="DF267" s="2250"/>
      <c r="DG267" s="2250"/>
      <c r="DH267" s="2250"/>
      <c r="DI267" s="2250"/>
      <c r="DJ267" s="2250"/>
      <c r="DK267" s="2250"/>
      <c r="DL267" s="2250"/>
      <c r="DM267" s="2250"/>
      <c r="DN267" s="2250"/>
      <c r="DO267" s="2250"/>
      <c r="DP267" s="2250"/>
      <c r="DQ267" s="2277"/>
      <c r="DR267" s="2277"/>
      <c r="DS267" s="2278"/>
      <c r="DT267" s="2250"/>
      <c r="DU267" s="2250"/>
      <c r="DV267" s="2250"/>
      <c r="DW267" s="2250"/>
      <c r="DX267" s="2275"/>
      <c r="DY267" s="2275"/>
      <c r="DZ267" s="2333"/>
      <c r="EA267" s="2344">
        <v>0</v>
      </c>
      <c r="EB267" s="2344">
        <v>0</v>
      </c>
      <c r="EC267" s="2344">
        <v>0</v>
      </c>
      <c r="ED267" s="2344">
        <v>0</v>
      </c>
      <c r="EE267" s="2344">
        <v>0</v>
      </c>
      <c r="EF267" s="2344">
        <v>0</v>
      </c>
      <c r="EG267" s="2344">
        <v>0</v>
      </c>
      <c r="EH267" s="2344">
        <v>0</v>
      </c>
      <c r="EI267" s="2344">
        <v>0</v>
      </c>
      <c r="EJ267" s="2344">
        <v>0</v>
      </c>
      <c r="EK267" s="2344">
        <v>0</v>
      </c>
      <c r="EL267" s="2344">
        <v>0</v>
      </c>
      <c r="EM267" s="2344">
        <v>0</v>
      </c>
      <c r="EN267" s="2344">
        <v>0</v>
      </c>
      <c r="EO267" s="2344">
        <v>0</v>
      </c>
      <c r="EP267" s="2344">
        <v>0</v>
      </c>
      <c r="EQ267" s="2344">
        <v>0</v>
      </c>
      <c r="ER267" s="2344">
        <v>0</v>
      </c>
      <c r="ES267" s="2344">
        <v>0</v>
      </c>
      <c r="ET267" s="2344">
        <v>0</v>
      </c>
      <c r="EU267" s="2344">
        <v>0</v>
      </c>
      <c r="EV267" s="2344">
        <v>0</v>
      </c>
      <c r="EW267" s="2344">
        <v>0</v>
      </c>
      <c r="EX267" s="2344">
        <v>0</v>
      </c>
      <c r="EY267" s="2344">
        <v>0</v>
      </c>
      <c r="EZ267" s="2344">
        <v>0</v>
      </c>
      <c r="FA267" s="2348">
        <v>0</v>
      </c>
      <c r="FB267" s="2333"/>
      <c r="FC267" s="2275" t="s">
        <v>682</v>
      </c>
      <c r="FD267" s="2276">
        <f>HLOOKUP(FD265,EA266:FA278,1,0)</f>
        <v>120.7</v>
      </c>
      <c r="FE267" s="2275" t="s">
        <v>706</v>
      </c>
      <c r="FF267" s="2275" t="s">
        <v>682</v>
      </c>
      <c r="FG267" s="2275"/>
      <c r="FH267" s="2275"/>
      <c r="FI267" s="2275"/>
      <c r="FJ267" s="2275"/>
      <c r="FK267" s="2275"/>
      <c r="FL267" s="2275"/>
      <c r="FM267" s="2250"/>
      <c r="FN267" s="2250"/>
      <c r="FO267" s="2250"/>
      <c r="FP267" s="2250"/>
      <c r="FQ267" s="2250"/>
      <c r="FR267" s="2250"/>
      <c r="FS267" s="2250"/>
      <c r="FT267" s="2250"/>
      <c r="FU267" s="2250"/>
      <c r="FV267" s="2250"/>
      <c r="FW267" s="2250"/>
      <c r="FX267" s="2250"/>
      <c r="FY267" s="2250"/>
      <c r="FZ267" s="2250"/>
      <c r="GA267" s="2250"/>
      <c r="GB267" s="2250"/>
      <c r="GC267" s="2276"/>
      <c r="GD267" s="2276"/>
      <c r="GE267" s="2250"/>
      <c r="GF267" s="2275"/>
      <c r="GG267" s="2275"/>
      <c r="GH267" s="2333"/>
      <c r="GI267" s="2344">
        <v>0</v>
      </c>
      <c r="GJ267" s="2344">
        <v>0</v>
      </c>
      <c r="GK267" s="2344">
        <v>0</v>
      </c>
      <c r="GL267" s="2344">
        <v>0</v>
      </c>
      <c r="GM267" s="2344">
        <v>0</v>
      </c>
      <c r="GN267" s="2344">
        <v>0</v>
      </c>
      <c r="GO267" s="2344">
        <v>0</v>
      </c>
      <c r="GP267" s="2344">
        <v>0</v>
      </c>
      <c r="GQ267" s="2344">
        <v>0</v>
      </c>
      <c r="GR267" s="2344">
        <v>0</v>
      </c>
      <c r="GS267" s="2344">
        <v>0</v>
      </c>
      <c r="GT267" s="2344">
        <v>0</v>
      </c>
      <c r="GU267" s="2344">
        <v>0</v>
      </c>
      <c r="GV267" s="2344">
        <v>0</v>
      </c>
      <c r="GW267" s="2344">
        <v>0</v>
      </c>
      <c r="GX267" s="2344">
        <v>0</v>
      </c>
      <c r="GY267" s="2344">
        <v>0</v>
      </c>
      <c r="GZ267" s="2344">
        <v>0</v>
      </c>
      <c r="HA267" s="2344">
        <v>0</v>
      </c>
      <c r="HB267" s="2344">
        <v>0</v>
      </c>
      <c r="HC267" s="2344">
        <v>0</v>
      </c>
      <c r="HD267" s="2344">
        <v>0</v>
      </c>
      <c r="HE267" s="2344">
        <v>0</v>
      </c>
      <c r="HF267" s="2344">
        <v>0</v>
      </c>
      <c r="HG267" s="2344">
        <v>0</v>
      </c>
      <c r="HH267" s="2344">
        <v>0</v>
      </c>
      <c r="HI267" s="2348">
        <v>0</v>
      </c>
      <c r="HJ267" s="2333"/>
      <c r="HK267" s="2275" t="s">
        <v>682</v>
      </c>
      <c r="HL267" s="2276">
        <f>HLOOKUP(HL265,GI266:HI278,1,0)</f>
        <v>129.80000000000001</v>
      </c>
      <c r="HM267" s="2275" t="s">
        <v>706</v>
      </c>
      <c r="HN267" s="2275" t="s">
        <v>682</v>
      </c>
      <c r="HO267" s="2275"/>
      <c r="HP267" s="2275"/>
      <c r="HQ267" s="2275"/>
      <c r="HR267" s="2275"/>
      <c r="HS267" s="2275"/>
      <c r="HT267" s="2275"/>
      <c r="HU267" s="2250"/>
      <c r="HV267" s="2250"/>
      <c r="HW267" s="2250"/>
      <c r="HX267" s="2250"/>
      <c r="HY267" s="2250"/>
      <c r="HZ267" s="2250"/>
      <c r="IA267" s="2250"/>
      <c r="IB267" s="2250"/>
      <c r="IC267" s="2250"/>
      <c r="ID267" s="2250"/>
      <c r="IE267" s="2250"/>
      <c r="IF267" s="2250"/>
      <c r="IG267" s="2250"/>
      <c r="IH267" s="2250"/>
      <c r="II267" s="2250"/>
      <c r="IJ267" s="2250"/>
      <c r="IK267" s="2250"/>
      <c r="IL267" s="2250"/>
    </row>
    <row r="268" spans="1:246" ht="21.95" customHeight="1">
      <c r="A268" s="2275"/>
      <c r="B268" s="4670"/>
      <c r="C268" s="2345">
        <v>475</v>
      </c>
      <c r="D268" s="2346">
        <v>3.05</v>
      </c>
      <c r="E268" s="2346">
        <v>3.39</v>
      </c>
      <c r="F268" s="2346">
        <v>3.72</v>
      </c>
      <c r="G268" s="2346">
        <v>4.0599999999999996</v>
      </c>
      <c r="H268" s="2346">
        <v>4.4000000000000004</v>
      </c>
      <c r="I268" s="2346">
        <v>4.29</v>
      </c>
      <c r="J268" s="2346">
        <v>4.74</v>
      </c>
      <c r="K268" s="2346">
        <v>5.08</v>
      </c>
      <c r="L268" s="2346">
        <v>5.42</v>
      </c>
      <c r="M268" s="2346">
        <v>5.76</v>
      </c>
      <c r="N268" s="2346">
        <v>6.32</v>
      </c>
      <c r="O268" s="2346">
        <v>6.77</v>
      </c>
      <c r="P268" s="2346">
        <v>7.11</v>
      </c>
      <c r="Q268" s="2346">
        <v>7.56</v>
      </c>
      <c r="R268" s="2346">
        <v>7.79</v>
      </c>
      <c r="S268" s="2346">
        <v>8.24</v>
      </c>
      <c r="T268" s="2346">
        <v>8.8000000000000007</v>
      </c>
      <c r="U268" s="2346">
        <v>9.59</v>
      </c>
      <c r="V268" s="2346">
        <v>10.16</v>
      </c>
      <c r="W268" s="2346">
        <v>10.84</v>
      </c>
      <c r="X268" s="2346">
        <v>11.63</v>
      </c>
      <c r="Y268" s="2346">
        <v>12.75</v>
      </c>
      <c r="Z268" s="2346">
        <v>13.88</v>
      </c>
      <c r="AA268" s="2346">
        <v>15.58</v>
      </c>
      <c r="AB268" s="2346">
        <v>17.489999999999998</v>
      </c>
      <c r="AC268" s="2346">
        <v>19.98</v>
      </c>
      <c r="AD268" s="2346">
        <v>23.36</v>
      </c>
      <c r="AE268" s="2347">
        <v>475</v>
      </c>
      <c r="AF268" s="2275"/>
      <c r="AG268" s="2276">
        <f>HLOOKUP(AG264,D265:AD277,2,0)</f>
        <v>0</v>
      </c>
      <c r="AH268" s="2276">
        <f t="shared" ref="AH268:AH278" si="264">+AG269</f>
        <v>2.6</v>
      </c>
      <c r="AI268" s="2275">
        <v>400</v>
      </c>
      <c r="AJ268" s="2275"/>
      <c r="AK268" s="2275"/>
      <c r="AL268" s="2275"/>
      <c r="AM268" s="2275"/>
      <c r="AN268" s="2275"/>
      <c r="AO268" s="2275"/>
      <c r="AP268" s="2250"/>
      <c r="AQ268" s="2250"/>
      <c r="AR268" s="2250"/>
      <c r="AS268" s="2250"/>
      <c r="AT268" s="2250"/>
      <c r="AU268" s="2250"/>
      <c r="AV268" s="2250"/>
      <c r="AW268" s="2250"/>
      <c r="AX268" s="2250"/>
      <c r="AY268" s="2250"/>
      <c r="AZ268" s="2250"/>
      <c r="BA268" s="2250"/>
      <c r="BB268" s="2250"/>
      <c r="BC268" s="2250"/>
      <c r="BD268" s="2250"/>
      <c r="BE268" s="2250"/>
      <c r="BF268" s="2276"/>
      <c r="BG268" s="2276"/>
      <c r="BH268" s="2250"/>
      <c r="BI268" s="2275"/>
      <c r="BJ268" s="4670"/>
      <c r="BK268" s="2345">
        <v>475</v>
      </c>
      <c r="BL268" s="2346">
        <v>3.05</v>
      </c>
      <c r="BM268" s="2346">
        <v>3.39</v>
      </c>
      <c r="BN268" s="2346">
        <v>3.72</v>
      </c>
      <c r="BO268" s="2346">
        <v>4.0599999999999996</v>
      </c>
      <c r="BP268" s="2346">
        <v>4.4000000000000004</v>
      </c>
      <c r="BQ268" s="2346">
        <v>4.29</v>
      </c>
      <c r="BR268" s="2346">
        <v>4.74</v>
      </c>
      <c r="BS268" s="2346">
        <v>5.08</v>
      </c>
      <c r="BT268" s="2346">
        <v>5.42</v>
      </c>
      <c r="BU268" s="2346">
        <v>5.76</v>
      </c>
      <c r="BV268" s="2346">
        <v>6.32</v>
      </c>
      <c r="BW268" s="2346">
        <v>6.77</v>
      </c>
      <c r="BX268" s="2346">
        <v>7.11</v>
      </c>
      <c r="BY268" s="2346">
        <v>7.56</v>
      </c>
      <c r="BZ268" s="2346">
        <v>7.79</v>
      </c>
      <c r="CA268" s="2346">
        <v>8.24</v>
      </c>
      <c r="CB268" s="2346">
        <v>8.8000000000000007</v>
      </c>
      <c r="CC268" s="2346">
        <v>9.59</v>
      </c>
      <c r="CD268" s="2346">
        <v>10.16</v>
      </c>
      <c r="CE268" s="2346">
        <v>10.84</v>
      </c>
      <c r="CF268" s="2346">
        <v>11.63</v>
      </c>
      <c r="CG268" s="2346">
        <v>12.75</v>
      </c>
      <c r="CH268" s="2346">
        <v>13.88</v>
      </c>
      <c r="CI268" s="2346">
        <v>15.58</v>
      </c>
      <c r="CJ268" s="2346">
        <v>17.489999999999998</v>
      </c>
      <c r="CK268" s="2346">
        <v>19.98</v>
      </c>
      <c r="CL268" s="2346">
        <v>23.36</v>
      </c>
      <c r="CM268" s="2347">
        <v>475</v>
      </c>
      <c r="CN268" s="2275"/>
      <c r="CO268" s="2276">
        <f>HLOOKUP(CO264,BL265:CL277,2,0)</f>
        <v>0</v>
      </c>
      <c r="CP268" s="2276">
        <f t="shared" ref="CP268:CP278" si="265">+CO269</f>
        <v>2.37</v>
      </c>
      <c r="CQ268" s="2275">
        <v>400</v>
      </c>
      <c r="CR268" s="2275"/>
      <c r="CS268" s="2275"/>
      <c r="CT268" s="2275"/>
      <c r="CU268" s="2275"/>
      <c r="CV268" s="2275"/>
      <c r="CW268" s="2275"/>
      <c r="CX268" s="2250"/>
      <c r="CY268" s="2250"/>
      <c r="CZ268" s="2250"/>
      <c r="DA268" s="2250"/>
      <c r="DB268" s="2250"/>
      <c r="DC268" s="2250"/>
      <c r="DD268" s="2250"/>
      <c r="DE268" s="2250"/>
      <c r="DF268" s="2250"/>
      <c r="DG268" s="2250"/>
      <c r="DH268" s="2250"/>
      <c r="DI268" s="2250"/>
      <c r="DJ268" s="2250"/>
      <c r="DK268" s="2250"/>
      <c r="DL268" s="2250"/>
      <c r="DM268" s="2250"/>
      <c r="DN268" s="2250"/>
      <c r="DO268" s="2250"/>
      <c r="DP268" s="2250"/>
      <c r="DQ268" s="2277"/>
      <c r="DR268" s="2277"/>
      <c r="DS268" s="2278"/>
      <c r="DT268" s="2250"/>
      <c r="DU268" s="2250"/>
      <c r="DV268" s="2250"/>
      <c r="DW268" s="2250"/>
      <c r="DX268" s="2275"/>
      <c r="DY268" s="4670" t="s">
        <v>734</v>
      </c>
      <c r="DZ268" s="2345">
        <v>400</v>
      </c>
      <c r="EA268" s="2346">
        <v>2.0299999999999998</v>
      </c>
      <c r="EB268" s="2346">
        <v>2.37</v>
      </c>
      <c r="EC268" s="2346">
        <v>2.6</v>
      </c>
      <c r="ED268" s="2346">
        <v>2.71</v>
      </c>
      <c r="EE268" s="2346">
        <v>2.93</v>
      </c>
      <c r="EF268" s="2346">
        <v>2.93</v>
      </c>
      <c r="EG268" s="2346">
        <v>3.16</v>
      </c>
      <c r="EH268" s="2346">
        <v>3.39</v>
      </c>
      <c r="EI268" s="2346">
        <v>3.61</v>
      </c>
      <c r="EJ268" s="2346">
        <v>3.84</v>
      </c>
      <c r="EK268" s="2346">
        <v>4.29</v>
      </c>
      <c r="EL268" s="2346">
        <v>4.63</v>
      </c>
      <c r="EM268" s="2346">
        <v>4.74</v>
      </c>
      <c r="EN268" s="2346">
        <v>5.08</v>
      </c>
      <c r="EO268" s="2346">
        <v>5.3</v>
      </c>
      <c r="EP268" s="2346">
        <v>5.53</v>
      </c>
      <c r="EQ268" s="2346">
        <v>5.87</v>
      </c>
      <c r="ER268" s="2346">
        <v>6.43</v>
      </c>
      <c r="ES268" s="2346">
        <v>6.77</v>
      </c>
      <c r="ET268" s="2346">
        <v>7.34</v>
      </c>
      <c r="EU268" s="2346">
        <v>7.79</v>
      </c>
      <c r="EV268" s="2346">
        <v>8.58</v>
      </c>
      <c r="EW268" s="2346">
        <v>9.26</v>
      </c>
      <c r="EX268" s="2346">
        <v>10.38</v>
      </c>
      <c r="EY268" s="2346">
        <v>11.4</v>
      </c>
      <c r="EZ268" s="2346">
        <v>12.42</v>
      </c>
      <c r="FA268" s="2346">
        <v>14.45</v>
      </c>
      <c r="FB268" s="2347">
        <v>400</v>
      </c>
      <c r="FC268" s="2275"/>
      <c r="FD268" s="4671"/>
      <c r="FE268" s="4671"/>
      <c r="FF268" s="4671"/>
      <c r="FG268" s="2275"/>
      <c r="FH268" s="2275"/>
      <c r="FI268" s="2275"/>
      <c r="FJ268" s="2275"/>
      <c r="FK268" s="2275"/>
      <c r="FL268" s="2275"/>
      <c r="FM268" s="2250"/>
      <c r="FN268" s="2250"/>
      <c r="FO268" s="2250"/>
      <c r="FP268" s="2250"/>
      <c r="FQ268" s="2250"/>
      <c r="FR268" s="2250"/>
      <c r="FS268" s="2250"/>
      <c r="FT268" s="2250"/>
      <c r="FU268" s="2250"/>
      <c r="FV268" s="2250"/>
      <c r="FW268" s="2250"/>
      <c r="FX268" s="2250"/>
      <c r="FY268" s="2250"/>
      <c r="FZ268" s="2250"/>
      <c r="GA268" s="2250"/>
      <c r="GB268" s="2250"/>
      <c r="GC268" s="2276"/>
      <c r="GD268" s="2276"/>
      <c r="GE268" s="2250"/>
      <c r="GF268" s="2275"/>
      <c r="GG268" s="4670" t="s">
        <v>734</v>
      </c>
      <c r="GH268" s="2345">
        <v>400</v>
      </c>
      <c r="GI268" s="2346">
        <v>2.0299999999999998</v>
      </c>
      <c r="GJ268" s="2346">
        <v>2.37</v>
      </c>
      <c r="GK268" s="2346">
        <v>2.6</v>
      </c>
      <c r="GL268" s="2346">
        <v>2.71</v>
      </c>
      <c r="GM268" s="2346">
        <v>2.93</v>
      </c>
      <c r="GN268" s="2346">
        <v>2.93</v>
      </c>
      <c r="GO268" s="2346">
        <v>3.16</v>
      </c>
      <c r="GP268" s="2346">
        <v>3.39</v>
      </c>
      <c r="GQ268" s="2346">
        <v>3.61</v>
      </c>
      <c r="GR268" s="2346">
        <v>3.84</v>
      </c>
      <c r="GS268" s="2346">
        <v>4.29</v>
      </c>
      <c r="GT268" s="2346">
        <v>4.63</v>
      </c>
      <c r="GU268" s="2346">
        <v>4.74</v>
      </c>
      <c r="GV268" s="2346">
        <v>5.08</v>
      </c>
      <c r="GW268" s="2346">
        <v>5.3</v>
      </c>
      <c r="GX268" s="2346">
        <v>5.53</v>
      </c>
      <c r="GY268" s="2346">
        <v>5.87</v>
      </c>
      <c r="GZ268" s="2346">
        <v>6.43</v>
      </c>
      <c r="HA268" s="2346">
        <v>6.77</v>
      </c>
      <c r="HB268" s="2346">
        <v>7.34</v>
      </c>
      <c r="HC268" s="2346">
        <v>7.79</v>
      </c>
      <c r="HD268" s="2346">
        <v>8.58</v>
      </c>
      <c r="HE268" s="2346">
        <v>9.26</v>
      </c>
      <c r="HF268" s="2346">
        <v>10.38</v>
      </c>
      <c r="HG268" s="2346">
        <v>11.4</v>
      </c>
      <c r="HH268" s="2346">
        <v>12.42</v>
      </c>
      <c r="HI268" s="2346">
        <v>14.45</v>
      </c>
      <c r="HJ268" s="2347">
        <v>400</v>
      </c>
      <c r="HK268" s="2275"/>
      <c r="HL268" s="4671"/>
      <c r="HM268" s="4671"/>
      <c r="HN268" s="4671"/>
      <c r="HO268" s="2275"/>
      <c r="HP268" s="2275"/>
      <c r="HQ268" s="2275"/>
      <c r="HR268" s="2275"/>
      <c r="HS268" s="2275"/>
      <c r="HT268" s="2275"/>
      <c r="HU268" s="2250"/>
      <c r="HV268" s="2250"/>
      <c r="HW268" s="2250"/>
      <c r="HX268" s="2250"/>
      <c r="HY268" s="2250"/>
      <c r="HZ268" s="2250"/>
      <c r="IA268" s="2250"/>
      <c r="IB268" s="2250"/>
      <c r="IC268" s="2250"/>
      <c r="ID268" s="2250"/>
      <c r="IE268" s="2250"/>
      <c r="IF268" s="2250"/>
      <c r="IG268" s="2250"/>
      <c r="IH268" s="2250"/>
      <c r="II268" s="2250"/>
      <c r="IJ268" s="2250"/>
      <c r="IK268" s="2250"/>
      <c r="IL268" s="2250"/>
    </row>
    <row r="269" spans="1:246" ht="21.95" customHeight="1">
      <c r="A269" s="2275"/>
      <c r="B269" s="4670"/>
      <c r="C269" s="2345">
        <v>550</v>
      </c>
      <c r="D269" s="2346">
        <v>5.64</v>
      </c>
      <c r="E269" s="2346">
        <v>6.32</v>
      </c>
      <c r="F269" s="2346">
        <v>7</v>
      </c>
      <c r="G269" s="2346">
        <v>7.79</v>
      </c>
      <c r="H269" s="2346">
        <v>8.4700000000000006</v>
      </c>
      <c r="I269" s="2346">
        <v>8.01</v>
      </c>
      <c r="J269" s="2346">
        <v>8.92</v>
      </c>
      <c r="K269" s="2346">
        <v>9.48</v>
      </c>
      <c r="L269" s="2346">
        <v>10.38</v>
      </c>
      <c r="M269" s="2346">
        <v>10.95</v>
      </c>
      <c r="N269" s="2346">
        <v>12.42</v>
      </c>
      <c r="O269" s="2346">
        <v>13.32</v>
      </c>
      <c r="P269" s="2346">
        <v>14</v>
      </c>
      <c r="Q269" s="2346">
        <v>14.33</v>
      </c>
      <c r="R269" s="2346">
        <v>15.12</v>
      </c>
      <c r="S269" s="2346">
        <v>16.14</v>
      </c>
      <c r="T269" s="2346">
        <v>17.16</v>
      </c>
      <c r="U269" s="2346">
        <v>18.510000000000002</v>
      </c>
      <c r="V269" s="2346">
        <v>19.64</v>
      </c>
      <c r="W269" s="2346">
        <v>21.44</v>
      </c>
      <c r="X269" s="2346">
        <v>22.12</v>
      </c>
      <c r="Y269" s="2346">
        <v>24.83</v>
      </c>
      <c r="Z269" s="2346">
        <v>25.96</v>
      </c>
      <c r="AA269" s="2346">
        <v>30.25</v>
      </c>
      <c r="AB269" s="2346">
        <v>32.049999999999997</v>
      </c>
      <c r="AC269" s="2346">
        <v>36.68</v>
      </c>
      <c r="AD269" s="2346">
        <v>41.08</v>
      </c>
      <c r="AE269" s="2347">
        <v>550</v>
      </c>
      <c r="AF269" s="2275"/>
      <c r="AG269" s="2276">
        <f>HLOOKUP(AG264,D265:AD277,3,0)</f>
        <v>2.6</v>
      </c>
      <c r="AH269" s="2276">
        <f t="shared" si="264"/>
        <v>3.72</v>
      </c>
      <c r="AI269" s="2275">
        <v>475</v>
      </c>
      <c r="AJ269" s="2275"/>
      <c r="AK269" s="2275"/>
      <c r="AL269" s="2275"/>
      <c r="AM269" s="2275"/>
      <c r="AN269" s="2275"/>
      <c r="AO269" s="2275"/>
      <c r="AP269" s="2250"/>
      <c r="AQ269" s="2250"/>
      <c r="AR269" s="2250"/>
      <c r="AS269" s="2250"/>
      <c r="AT269" s="2250"/>
      <c r="AU269" s="2250"/>
      <c r="AV269" s="2250"/>
      <c r="AW269" s="2250"/>
      <c r="AX269" s="2250"/>
      <c r="AY269" s="2250"/>
      <c r="AZ269" s="2250"/>
      <c r="BA269" s="2250"/>
      <c r="BB269" s="2250"/>
      <c r="BC269" s="2250"/>
      <c r="BD269" s="2250"/>
      <c r="BE269" s="2250"/>
      <c r="BF269" s="2276"/>
      <c r="BG269" s="2276"/>
      <c r="BH269" s="2250"/>
      <c r="BI269" s="2275"/>
      <c r="BJ269" s="4670"/>
      <c r="BK269" s="2345">
        <v>550</v>
      </c>
      <c r="BL269" s="2346">
        <v>5.64</v>
      </c>
      <c r="BM269" s="2346">
        <v>6.32</v>
      </c>
      <c r="BN269" s="2346">
        <v>7</v>
      </c>
      <c r="BO269" s="2346">
        <v>7.79</v>
      </c>
      <c r="BP269" s="2346">
        <v>8.4700000000000006</v>
      </c>
      <c r="BQ269" s="2346">
        <v>8.01</v>
      </c>
      <c r="BR269" s="2346">
        <v>8.92</v>
      </c>
      <c r="BS269" s="2346">
        <v>9.48</v>
      </c>
      <c r="BT269" s="2346">
        <v>10.38</v>
      </c>
      <c r="BU269" s="2346">
        <v>10.95</v>
      </c>
      <c r="BV269" s="2346">
        <v>12.42</v>
      </c>
      <c r="BW269" s="2346">
        <v>13.32</v>
      </c>
      <c r="BX269" s="2346">
        <v>14</v>
      </c>
      <c r="BY269" s="2346">
        <v>14.33</v>
      </c>
      <c r="BZ269" s="2346">
        <v>15.12</v>
      </c>
      <c r="CA269" s="2346">
        <v>16.14</v>
      </c>
      <c r="CB269" s="2346">
        <v>17.16</v>
      </c>
      <c r="CC269" s="2346">
        <v>18.510000000000002</v>
      </c>
      <c r="CD269" s="2346">
        <v>19.64</v>
      </c>
      <c r="CE269" s="2346">
        <v>21.44</v>
      </c>
      <c r="CF269" s="2346">
        <v>22.12</v>
      </c>
      <c r="CG269" s="2346">
        <v>24.83</v>
      </c>
      <c r="CH269" s="2346">
        <v>25.96</v>
      </c>
      <c r="CI269" s="2346">
        <v>30.25</v>
      </c>
      <c r="CJ269" s="2346">
        <v>32.049999999999997</v>
      </c>
      <c r="CK269" s="2346">
        <v>36.68</v>
      </c>
      <c r="CL269" s="2346">
        <v>41.08</v>
      </c>
      <c r="CM269" s="2347">
        <v>550</v>
      </c>
      <c r="CN269" s="2275"/>
      <c r="CO269" s="2276">
        <f>HLOOKUP(CO264,BL265:CL277,3,0)</f>
        <v>2.37</v>
      </c>
      <c r="CP269" s="2276">
        <f t="shared" si="265"/>
        <v>3.39</v>
      </c>
      <c r="CQ269" s="2275">
        <v>475</v>
      </c>
      <c r="CR269" s="2275"/>
      <c r="CS269" s="2275"/>
      <c r="CT269" s="2275"/>
      <c r="CU269" s="2275"/>
      <c r="CV269" s="2275"/>
      <c r="CW269" s="2275"/>
      <c r="CX269" s="2250"/>
      <c r="CY269" s="2250"/>
      <c r="CZ269" s="2250"/>
      <c r="DA269" s="2250"/>
      <c r="DB269" s="2250"/>
      <c r="DC269" s="2250"/>
      <c r="DD269" s="2250"/>
      <c r="DE269" s="2250"/>
      <c r="DF269" s="2250"/>
      <c r="DG269" s="2250"/>
      <c r="DH269" s="2250"/>
      <c r="DI269" s="2250"/>
      <c r="DJ269" s="2250"/>
      <c r="DK269" s="2250"/>
      <c r="DL269" s="2250"/>
      <c r="DM269" s="2250"/>
      <c r="DN269" s="2250"/>
      <c r="DO269" s="2250"/>
      <c r="DP269" s="2250"/>
      <c r="DQ269" s="2277"/>
      <c r="DR269" s="2277"/>
      <c r="DS269" s="2278"/>
      <c r="DT269" s="2250"/>
      <c r="DU269" s="2250"/>
      <c r="DV269" s="2250"/>
      <c r="DW269" s="2250"/>
      <c r="DX269" s="2275"/>
      <c r="DY269" s="4670"/>
      <c r="DZ269" s="2345">
        <v>475</v>
      </c>
      <c r="EA269" s="2346">
        <v>3.05</v>
      </c>
      <c r="EB269" s="2346">
        <v>3.39</v>
      </c>
      <c r="EC269" s="2346">
        <v>3.72</v>
      </c>
      <c r="ED269" s="2346">
        <v>4.0599999999999996</v>
      </c>
      <c r="EE269" s="2346">
        <v>4.4000000000000004</v>
      </c>
      <c r="EF269" s="2346">
        <v>4.29</v>
      </c>
      <c r="EG269" s="2346">
        <v>4.74</v>
      </c>
      <c r="EH269" s="2346">
        <v>5.08</v>
      </c>
      <c r="EI269" s="2346">
        <v>5.42</v>
      </c>
      <c r="EJ269" s="2346">
        <v>5.76</v>
      </c>
      <c r="EK269" s="2346">
        <v>6.32</v>
      </c>
      <c r="EL269" s="2346">
        <v>6.77</v>
      </c>
      <c r="EM269" s="2346">
        <v>7.11</v>
      </c>
      <c r="EN269" s="2346">
        <v>7.56</v>
      </c>
      <c r="EO269" s="2346">
        <v>7.79</v>
      </c>
      <c r="EP269" s="2346">
        <v>8.24</v>
      </c>
      <c r="EQ269" s="2346">
        <v>8.8000000000000007</v>
      </c>
      <c r="ER269" s="2346">
        <v>9.59</v>
      </c>
      <c r="ES269" s="2346">
        <v>10.16</v>
      </c>
      <c r="ET269" s="2346">
        <v>10.84</v>
      </c>
      <c r="EU269" s="2346">
        <v>11.63</v>
      </c>
      <c r="EV269" s="2346">
        <v>12.75</v>
      </c>
      <c r="EW269" s="2346">
        <v>13.88</v>
      </c>
      <c r="EX269" s="2346">
        <v>15.58</v>
      </c>
      <c r="EY269" s="2346">
        <v>17.489999999999998</v>
      </c>
      <c r="EZ269" s="2346">
        <v>19.98</v>
      </c>
      <c r="FA269" s="2346">
        <v>23.36</v>
      </c>
      <c r="FB269" s="2347">
        <v>475</v>
      </c>
      <c r="FC269" s="2275"/>
      <c r="FD269" s="2276">
        <f>HLOOKUP(FD265,EA266:FA278,2,0)</f>
        <v>0</v>
      </c>
      <c r="FE269" s="2276">
        <f t="shared" ref="FE269:FE279" si="266">+FD270</f>
        <v>3.84</v>
      </c>
      <c r="FF269" s="2275">
        <v>400</v>
      </c>
      <c r="FG269" s="2275"/>
      <c r="FH269" s="2275"/>
      <c r="FI269" s="2275"/>
      <c r="FJ269" s="2275"/>
      <c r="FK269" s="2275"/>
      <c r="FL269" s="2275"/>
      <c r="FM269" s="2250"/>
      <c r="FN269" s="2250"/>
      <c r="FO269" s="2250"/>
      <c r="FP269" s="2250"/>
      <c r="FQ269" s="2250"/>
      <c r="FR269" s="2250"/>
      <c r="FS269" s="2250"/>
      <c r="FT269" s="2250"/>
      <c r="FU269" s="2250"/>
      <c r="FV269" s="2250"/>
      <c r="FW269" s="2250"/>
      <c r="FX269" s="2250"/>
      <c r="FY269" s="2250"/>
      <c r="FZ269" s="2250"/>
      <c r="GA269" s="2250"/>
      <c r="GB269" s="2250"/>
      <c r="GC269" s="2276"/>
      <c r="GD269" s="2276"/>
      <c r="GE269" s="2250"/>
      <c r="GF269" s="2275"/>
      <c r="GG269" s="4670"/>
      <c r="GH269" s="2345">
        <v>475</v>
      </c>
      <c r="GI269" s="2346">
        <v>3.05</v>
      </c>
      <c r="GJ269" s="2346">
        <v>3.39</v>
      </c>
      <c r="GK269" s="2346">
        <v>3.72</v>
      </c>
      <c r="GL269" s="2346">
        <v>4.0599999999999996</v>
      </c>
      <c r="GM269" s="2346">
        <v>4.4000000000000004</v>
      </c>
      <c r="GN269" s="2346">
        <v>4.29</v>
      </c>
      <c r="GO269" s="2346">
        <v>4.74</v>
      </c>
      <c r="GP269" s="2346">
        <v>5.08</v>
      </c>
      <c r="GQ269" s="2346">
        <v>5.42</v>
      </c>
      <c r="GR269" s="2346">
        <v>5.76</v>
      </c>
      <c r="GS269" s="2346">
        <v>6.32</v>
      </c>
      <c r="GT269" s="2346">
        <v>6.77</v>
      </c>
      <c r="GU269" s="2346">
        <v>7.11</v>
      </c>
      <c r="GV269" s="2346">
        <v>7.56</v>
      </c>
      <c r="GW269" s="2346">
        <v>7.79</v>
      </c>
      <c r="GX269" s="2346">
        <v>8.24</v>
      </c>
      <c r="GY269" s="2346">
        <v>8.8000000000000007</v>
      </c>
      <c r="GZ269" s="2346">
        <v>9.59</v>
      </c>
      <c r="HA269" s="2346">
        <v>10.16</v>
      </c>
      <c r="HB269" s="2346">
        <v>10.84</v>
      </c>
      <c r="HC269" s="2346">
        <v>11.63</v>
      </c>
      <c r="HD269" s="2346">
        <v>12.75</v>
      </c>
      <c r="HE269" s="2346">
        <v>13.88</v>
      </c>
      <c r="HF269" s="2346">
        <v>15.58</v>
      </c>
      <c r="HG269" s="2346">
        <v>17.489999999999998</v>
      </c>
      <c r="HH269" s="2346">
        <v>19.98</v>
      </c>
      <c r="HI269" s="2346">
        <v>23.36</v>
      </c>
      <c r="HJ269" s="2347">
        <v>475</v>
      </c>
      <c r="HK269" s="2275"/>
      <c r="HL269" s="2276">
        <f>HLOOKUP(HL265,GI266:HI278,2,0)</f>
        <v>0</v>
      </c>
      <c r="HM269" s="2276">
        <f t="shared" ref="HM269:HM279" si="267">+HL270</f>
        <v>3.61</v>
      </c>
      <c r="HN269" s="2275">
        <v>400</v>
      </c>
      <c r="HO269" s="2275"/>
      <c r="HP269" s="2275"/>
      <c r="HQ269" s="2275"/>
      <c r="HR269" s="2275"/>
      <c r="HS269" s="2275"/>
      <c r="HT269" s="2275"/>
      <c r="HU269" s="2250"/>
      <c r="HV269" s="2250"/>
      <c r="HW269" s="2250"/>
      <c r="HX269" s="2250"/>
      <c r="HY269" s="2250"/>
      <c r="HZ269" s="2250"/>
      <c r="IA269" s="2250"/>
      <c r="IB269" s="2250"/>
      <c r="IC269" s="2250"/>
      <c r="ID269" s="2250"/>
      <c r="IE269" s="2250"/>
      <c r="IF269" s="2250"/>
      <c r="IG269" s="2250"/>
      <c r="IH269" s="2250"/>
      <c r="II269" s="2250"/>
      <c r="IJ269" s="2250"/>
      <c r="IK269" s="2250"/>
      <c r="IL269" s="2250"/>
    </row>
    <row r="270" spans="1:246" ht="21.95" customHeight="1">
      <c r="A270" s="2275"/>
      <c r="B270" s="2275"/>
      <c r="C270" s="2345">
        <v>650</v>
      </c>
      <c r="D270" s="2346">
        <v>9.3699999999999992</v>
      </c>
      <c r="E270" s="2346">
        <v>10.61</v>
      </c>
      <c r="F270" s="2346">
        <v>11.74</v>
      </c>
      <c r="G270" s="2346">
        <v>12.42</v>
      </c>
      <c r="H270" s="2346">
        <v>12.42</v>
      </c>
      <c r="I270" s="2346">
        <v>13.32</v>
      </c>
      <c r="J270" s="2346">
        <v>14.79</v>
      </c>
      <c r="K270" s="2346">
        <v>15.69</v>
      </c>
      <c r="L270" s="2346">
        <v>16.59</v>
      </c>
      <c r="M270" s="2346">
        <v>18.28</v>
      </c>
      <c r="N270" s="2346">
        <v>20.09</v>
      </c>
      <c r="O270" s="2346">
        <v>21.9</v>
      </c>
      <c r="P270" s="2346">
        <v>23.7</v>
      </c>
      <c r="Q270" s="2346">
        <v>23.93</v>
      </c>
      <c r="R270" s="2346">
        <v>25.17</v>
      </c>
      <c r="S270" s="2346">
        <v>27.09</v>
      </c>
      <c r="T270" s="2346">
        <v>28.67</v>
      </c>
      <c r="U270" s="2346">
        <v>31.6</v>
      </c>
      <c r="V270" s="2346">
        <v>29.91</v>
      </c>
      <c r="W270" s="2346">
        <v>34.76</v>
      </c>
      <c r="X270" s="2346">
        <v>35.33</v>
      </c>
      <c r="Y270" s="2346">
        <v>39.840000000000003</v>
      </c>
      <c r="Z270" s="2346">
        <v>43.68</v>
      </c>
      <c r="AA270" s="2346">
        <v>48.31</v>
      </c>
      <c r="AB270" s="2346">
        <v>53.72</v>
      </c>
      <c r="AC270" s="2346">
        <v>57.79</v>
      </c>
      <c r="AD270" s="2346">
        <v>68.510000000000005</v>
      </c>
      <c r="AE270" s="2347">
        <v>650</v>
      </c>
      <c r="AF270" s="2275"/>
      <c r="AG270" s="2276">
        <f>HLOOKUP(AG264,D265:AD277,4,0)</f>
        <v>3.72</v>
      </c>
      <c r="AH270" s="2276">
        <f t="shared" si="264"/>
        <v>7</v>
      </c>
      <c r="AI270" s="2275">
        <v>550</v>
      </c>
      <c r="AJ270" s="2275"/>
      <c r="AK270" s="2275"/>
      <c r="AL270" s="2275"/>
      <c r="AM270" s="2275"/>
      <c r="AN270" s="2275"/>
      <c r="AO270" s="2275"/>
      <c r="AP270" s="2250"/>
      <c r="AQ270" s="2250"/>
      <c r="AR270" s="2250"/>
      <c r="AS270" s="2250"/>
      <c r="AT270" s="2250"/>
      <c r="AU270" s="2250"/>
      <c r="AV270" s="2250"/>
      <c r="AW270" s="2250"/>
      <c r="AX270" s="2250"/>
      <c r="AY270" s="2250"/>
      <c r="AZ270" s="2250"/>
      <c r="BA270" s="2250"/>
      <c r="BB270" s="2250"/>
      <c r="BC270" s="2250"/>
      <c r="BD270" s="2250"/>
      <c r="BE270" s="2250"/>
      <c r="BF270" s="2276"/>
      <c r="BG270" s="2276"/>
      <c r="BH270" s="2250"/>
      <c r="BI270" s="2275"/>
      <c r="BJ270" s="2275"/>
      <c r="BK270" s="2345">
        <v>650</v>
      </c>
      <c r="BL270" s="2346">
        <v>9.3699999999999992</v>
      </c>
      <c r="BM270" s="2346">
        <v>10.61</v>
      </c>
      <c r="BN270" s="2346">
        <v>11.74</v>
      </c>
      <c r="BO270" s="2346">
        <v>12.42</v>
      </c>
      <c r="BP270" s="2346">
        <v>12.42</v>
      </c>
      <c r="BQ270" s="2346">
        <v>13.32</v>
      </c>
      <c r="BR270" s="2346">
        <v>14.79</v>
      </c>
      <c r="BS270" s="2346">
        <v>15.69</v>
      </c>
      <c r="BT270" s="2346">
        <v>16.59</v>
      </c>
      <c r="BU270" s="2346">
        <v>18.28</v>
      </c>
      <c r="BV270" s="2346">
        <v>20.09</v>
      </c>
      <c r="BW270" s="2346">
        <v>21.9</v>
      </c>
      <c r="BX270" s="2346">
        <v>23.7</v>
      </c>
      <c r="BY270" s="2346">
        <v>23.93</v>
      </c>
      <c r="BZ270" s="2346">
        <v>25.17</v>
      </c>
      <c r="CA270" s="2346">
        <v>27.09</v>
      </c>
      <c r="CB270" s="2346">
        <v>28.67</v>
      </c>
      <c r="CC270" s="2346">
        <v>31.6</v>
      </c>
      <c r="CD270" s="2346">
        <v>29.91</v>
      </c>
      <c r="CE270" s="2346">
        <v>34.76</v>
      </c>
      <c r="CF270" s="2346">
        <v>35.33</v>
      </c>
      <c r="CG270" s="2346">
        <v>39.840000000000003</v>
      </c>
      <c r="CH270" s="2346">
        <v>43.68</v>
      </c>
      <c r="CI270" s="2346">
        <v>48.31</v>
      </c>
      <c r="CJ270" s="2346">
        <v>53.72</v>
      </c>
      <c r="CK270" s="2346">
        <v>57.79</v>
      </c>
      <c r="CL270" s="2346">
        <v>68.510000000000005</v>
      </c>
      <c r="CM270" s="2347">
        <v>650</v>
      </c>
      <c r="CN270" s="2275"/>
      <c r="CO270" s="2276">
        <f>HLOOKUP(CO264,BL265:CL277,4,0)</f>
        <v>3.39</v>
      </c>
      <c r="CP270" s="2276">
        <f t="shared" si="265"/>
        <v>6.32</v>
      </c>
      <c r="CQ270" s="2275">
        <v>550</v>
      </c>
      <c r="CR270" s="2275"/>
      <c r="CS270" s="2275"/>
      <c r="CT270" s="2275"/>
      <c r="CU270" s="2275"/>
      <c r="CV270" s="2275"/>
      <c r="CW270" s="2275"/>
      <c r="CX270" s="2250"/>
      <c r="CY270" s="2250"/>
      <c r="CZ270" s="2250"/>
      <c r="DA270" s="2250"/>
      <c r="DB270" s="2250"/>
      <c r="DC270" s="2250"/>
      <c r="DD270" s="2250"/>
      <c r="DE270" s="2250"/>
      <c r="DF270" s="2250"/>
      <c r="DG270" s="2250"/>
      <c r="DH270" s="2250"/>
      <c r="DI270" s="2250"/>
      <c r="DJ270" s="2250"/>
      <c r="DK270" s="2250"/>
      <c r="DL270" s="2250"/>
      <c r="DM270" s="2250"/>
      <c r="DN270" s="2250"/>
      <c r="DO270" s="2250"/>
      <c r="DP270" s="2250"/>
      <c r="DQ270" s="2277"/>
      <c r="DR270" s="2277"/>
      <c r="DS270" s="2278"/>
      <c r="DT270" s="2250"/>
      <c r="DU270" s="2250"/>
      <c r="DV270" s="2250"/>
      <c r="DW270" s="2250"/>
      <c r="DX270" s="2275"/>
      <c r="DY270" s="4670"/>
      <c r="DZ270" s="2345">
        <v>550</v>
      </c>
      <c r="EA270" s="2346">
        <v>5.64</v>
      </c>
      <c r="EB270" s="2346">
        <v>6.32</v>
      </c>
      <c r="EC270" s="2346">
        <v>7</v>
      </c>
      <c r="ED270" s="2346">
        <v>7.79</v>
      </c>
      <c r="EE270" s="2346">
        <v>8.4700000000000006</v>
      </c>
      <c r="EF270" s="2346">
        <v>8.01</v>
      </c>
      <c r="EG270" s="2346">
        <v>8.92</v>
      </c>
      <c r="EH270" s="2346">
        <v>9.48</v>
      </c>
      <c r="EI270" s="2346">
        <v>10.38</v>
      </c>
      <c r="EJ270" s="2346">
        <v>10.95</v>
      </c>
      <c r="EK270" s="2346">
        <v>12.42</v>
      </c>
      <c r="EL270" s="2346">
        <v>13.32</v>
      </c>
      <c r="EM270" s="2346">
        <v>14</v>
      </c>
      <c r="EN270" s="2346">
        <v>14.33</v>
      </c>
      <c r="EO270" s="2346">
        <v>15.12</v>
      </c>
      <c r="EP270" s="2346">
        <v>16.14</v>
      </c>
      <c r="EQ270" s="2346">
        <v>17.16</v>
      </c>
      <c r="ER270" s="2346">
        <v>18.510000000000002</v>
      </c>
      <c r="ES270" s="2346">
        <v>19.64</v>
      </c>
      <c r="ET270" s="2346">
        <v>21.44</v>
      </c>
      <c r="EU270" s="2346">
        <v>22.12</v>
      </c>
      <c r="EV270" s="2346">
        <v>24.83</v>
      </c>
      <c r="EW270" s="2346">
        <v>25.96</v>
      </c>
      <c r="EX270" s="2346">
        <v>30.25</v>
      </c>
      <c r="EY270" s="2346">
        <v>32.049999999999997</v>
      </c>
      <c r="EZ270" s="2346">
        <v>36.68</v>
      </c>
      <c r="FA270" s="2346">
        <v>41.08</v>
      </c>
      <c r="FB270" s="2347">
        <v>550</v>
      </c>
      <c r="FC270" s="2275"/>
      <c r="FD270" s="2276">
        <f>HLOOKUP(FD265,EA266:FA278,3,0)</f>
        <v>3.84</v>
      </c>
      <c r="FE270" s="2276">
        <f t="shared" si="266"/>
        <v>5.76</v>
      </c>
      <c r="FF270" s="2275">
        <v>475</v>
      </c>
      <c r="FG270" s="2275"/>
      <c r="FH270" s="2275"/>
      <c r="FI270" s="2275"/>
      <c r="FJ270" s="2275"/>
      <c r="FK270" s="2275"/>
      <c r="FL270" s="2275"/>
      <c r="FM270" s="2250"/>
      <c r="FN270" s="2250"/>
      <c r="FO270" s="2250"/>
      <c r="FP270" s="2250"/>
      <c r="FQ270" s="2250"/>
      <c r="FR270" s="2250"/>
      <c r="FS270" s="2250"/>
      <c r="FT270" s="2250"/>
      <c r="FU270" s="2250"/>
      <c r="FV270" s="2250"/>
      <c r="FW270" s="2250"/>
      <c r="FX270" s="2250"/>
      <c r="FY270" s="2250"/>
      <c r="FZ270" s="2250"/>
      <c r="GA270" s="2250"/>
      <c r="GB270" s="2250"/>
      <c r="GC270" s="2276"/>
      <c r="GD270" s="2276"/>
      <c r="GE270" s="2250"/>
      <c r="GF270" s="2275"/>
      <c r="GG270" s="4670"/>
      <c r="GH270" s="2345">
        <v>550</v>
      </c>
      <c r="GI270" s="2346">
        <v>5.64</v>
      </c>
      <c r="GJ270" s="2346">
        <v>6.32</v>
      </c>
      <c r="GK270" s="2346">
        <v>7</v>
      </c>
      <c r="GL270" s="2346">
        <v>7.79</v>
      </c>
      <c r="GM270" s="2346">
        <v>8.4700000000000006</v>
      </c>
      <c r="GN270" s="2346">
        <v>8.01</v>
      </c>
      <c r="GO270" s="2346">
        <v>8.92</v>
      </c>
      <c r="GP270" s="2346">
        <v>9.48</v>
      </c>
      <c r="GQ270" s="2346">
        <v>10.38</v>
      </c>
      <c r="GR270" s="2346">
        <v>10.95</v>
      </c>
      <c r="GS270" s="2346">
        <v>12.42</v>
      </c>
      <c r="GT270" s="2346">
        <v>13.32</v>
      </c>
      <c r="GU270" s="2346">
        <v>14</v>
      </c>
      <c r="GV270" s="2346">
        <v>14.33</v>
      </c>
      <c r="GW270" s="2346">
        <v>15.12</v>
      </c>
      <c r="GX270" s="2346">
        <v>16.14</v>
      </c>
      <c r="GY270" s="2346">
        <v>17.16</v>
      </c>
      <c r="GZ270" s="2346">
        <v>18.510000000000002</v>
      </c>
      <c r="HA270" s="2346">
        <v>19.64</v>
      </c>
      <c r="HB270" s="2346">
        <v>21.44</v>
      </c>
      <c r="HC270" s="2346">
        <v>22.12</v>
      </c>
      <c r="HD270" s="2346">
        <v>24.83</v>
      </c>
      <c r="HE270" s="2346">
        <v>25.96</v>
      </c>
      <c r="HF270" s="2346">
        <v>30.25</v>
      </c>
      <c r="HG270" s="2346">
        <v>32.049999999999997</v>
      </c>
      <c r="HH270" s="2346">
        <v>36.68</v>
      </c>
      <c r="HI270" s="2346">
        <v>41.08</v>
      </c>
      <c r="HJ270" s="2347">
        <v>550</v>
      </c>
      <c r="HK270" s="2275"/>
      <c r="HL270" s="2276">
        <f>HLOOKUP(HL265,GI266:HI278,3,0)</f>
        <v>3.61</v>
      </c>
      <c r="HM270" s="2276">
        <f t="shared" si="267"/>
        <v>5.42</v>
      </c>
      <c r="HN270" s="2275">
        <v>475</v>
      </c>
      <c r="HO270" s="2275"/>
      <c r="HP270" s="2275"/>
      <c r="HQ270" s="2275"/>
      <c r="HR270" s="2275"/>
      <c r="HS270" s="2275"/>
      <c r="HT270" s="2275"/>
      <c r="HU270" s="2250"/>
      <c r="HV270" s="2250"/>
      <c r="HW270" s="2250"/>
      <c r="HX270" s="2250"/>
      <c r="HY270" s="2250"/>
      <c r="HZ270" s="2250"/>
      <c r="IA270" s="2250"/>
      <c r="IB270" s="2250"/>
      <c r="IC270" s="2250"/>
      <c r="ID270" s="2250"/>
      <c r="IE270" s="2250"/>
      <c r="IF270" s="2250"/>
      <c r="IG270" s="2250"/>
      <c r="IH270" s="2250"/>
      <c r="II270" s="2250"/>
      <c r="IJ270" s="2250"/>
      <c r="IK270" s="2250"/>
      <c r="IL270" s="2250"/>
    </row>
    <row r="271" spans="1:246" ht="21.95" customHeight="1">
      <c r="A271" s="2275"/>
      <c r="B271" s="2275"/>
      <c r="C271" s="2345">
        <v>775</v>
      </c>
      <c r="D271" s="2346">
        <v>14.45</v>
      </c>
      <c r="E271" s="2346">
        <v>16.25</v>
      </c>
      <c r="F271" s="2346">
        <v>17.95</v>
      </c>
      <c r="G271" s="2346">
        <v>19.98</v>
      </c>
      <c r="H271" s="2346">
        <v>21.9</v>
      </c>
      <c r="I271" s="2346">
        <v>20.54</v>
      </c>
      <c r="J271" s="2346">
        <v>22.69</v>
      </c>
      <c r="K271" s="2346">
        <v>24.15</v>
      </c>
      <c r="L271" s="2346">
        <v>26.52</v>
      </c>
      <c r="M271" s="2346">
        <v>28.22</v>
      </c>
      <c r="N271" s="2346">
        <v>33.409999999999997</v>
      </c>
      <c r="O271" s="2346">
        <v>35.89</v>
      </c>
      <c r="P271" s="2346">
        <v>37.58</v>
      </c>
      <c r="Q271" s="2346">
        <v>36.909999999999997</v>
      </c>
      <c r="R271" s="2346">
        <v>39.5</v>
      </c>
      <c r="S271" s="2346">
        <v>43</v>
      </c>
      <c r="T271" s="2346">
        <v>45.6</v>
      </c>
      <c r="U271" s="2346">
        <v>47.52</v>
      </c>
      <c r="V271" s="2346">
        <v>50.34</v>
      </c>
      <c r="W271" s="2346">
        <v>55.3</v>
      </c>
      <c r="X271" s="2346">
        <v>58.58</v>
      </c>
      <c r="Y271" s="2346">
        <v>63.77</v>
      </c>
      <c r="Z271" s="2346">
        <v>70.650000000000006</v>
      </c>
      <c r="AA271" s="2346">
        <v>77.88</v>
      </c>
      <c r="AB271" s="2346">
        <v>87.25</v>
      </c>
      <c r="AC271" s="2346">
        <v>98.98</v>
      </c>
      <c r="AD271" s="2346">
        <v>111.96</v>
      </c>
      <c r="AE271" s="2347">
        <v>775</v>
      </c>
      <c r="AF271" s="2275"/>
      <c r="AG271" s="2276">
        <f>HLOOKUP(AG264,D265:AD277,5,0)</f>
        <v>7</v>
      </c>
      <c r="AH271" s="2276">
        <f t="shared" si="264"/>
        <v>11.74</v>
      </c>
      <c r="AI271" s="2275">
        <v>650</v>
      </c>
      <c r="AJ271" s="2275"/>
      <c r="AK271" s="2275"/>
      <c r="AL271" s="2275"/>
      <c r="AM271" s="2275"/>
      <c r="AN271" s="2275"/>
      <c r="AO271" s="2275"/>
      <c r="AP271" s="2250"/>
      <c r="AQ271" s="2250"/>
      <c r="AR271" s="2250"/>
      <c r="AS271" s="2250"/>
      <c r="AT271" s="2250"/>
      <c r="AU271" s="2250"/>
      <c r="AV271" s="2250"/>
      <c r="AW271" s="2250"/>
      <c r="AX271" s="2250"/>
      <c r="AY271" s="2250"/>
      <c r="AZ271" s="2250"/>
      <c r="BA271" s="2250"/>
      <c r="BB271" s="2250"/>
      <c r="BC271" s="2250"/>
      <c r="BD271" s="2250"/>
      <c r="BE271" s="2250"/>
      <c r="BF271" s="2276"/>
      <c r="BG271" s="2276"/>
      <c r="BH271" s="2250"/>
      <c r="BI271" s="2275"/>
      <c r="BJ271" s="2275"/>
      <c r="BK271" s="2345">
        <v>775</v>
      </c>
      <c r="BL271" s="2346">
        <v>14.45</v>
      </c>
      <c r="BM271" s="2346">
        <v>16.25</v>
      </c>
      <c r="BN271" s="2346">
        <v>17.95</v>
      </c>
      <c r="BO271" s="2346">
        <v>19.98</v>
      </c>
      <c r="BP271" s="2346">
        <v>21.9</v>
      </c>
      <c r="BQ271" s="2346">
        <v>20.54</v>
      </c>
      <c r="BR271" s="2346">
        <v>22.69</v>
      </c>
      <c r="BS271" s="2346">
        <v>24.15</v>
      </c>
      <c r="BT271" s="2346">
        <v>26.52</v>
      </c>
      <c r="BU271" s="2346">
        <v>28.22</v>
      </c>
      <c r="BV271" s="2346">
        <v>33.409999999999997</v>
      </c>
      <c r="BW271" s="2346">
        <v>35.89</v>
      </c>
      <c r="BX271" s="2346">
        <v>37.58</v>
      </c>
      <c r="BY271" s="2346">
        <v>36.909999999999997</v>
      </c>
      <c r="BZ271" s="2346">
        <v>39.5</v>
      </c>
      <c r="CA271" s="2346">
        <v>43</v>
      </c>
      <c r="CB271" s="2346">
        <v>45.6</v>
      </c>
      <c r="CC271" s="2346">
        <v>47.52</v>
      </c>
      <c r="CD271" s="2346">
        <v>50.34</v>
      </c>
      <c r="CE271" s="2346">
        <v>55.3</v>
      </c>
      <c r="CF271" s="2346">
        <v>58.58</v>
      </c>
      <c r="CG271" s="2346">
        <v>63.77</v>
      </c>
      <c r="CH271" s="2346">
        <v>70.650000000000006</v>
      </c>
      <c r="CI271" s="2346">
        <v>77.88</v>
      </c>
      <c r="CJ271" s="2346">
        <v>87.25</v>
      </c>
      <c r="CK271" s="2346">
        <v>98.98</v>
      </c>
      <c r="CL271" s="2346">
        <v>111.96</v>
      </c>
      <c r="CM271" s="2347">
        <v>775</v>
      </c>
      <c r="CN271" s="2275"/>
      <c r="CO271" s="2276">
        <f>HLOOKUP(CO264,BL265:CL277,5,0)</f>
        <v>6.32</v>
      </c>
      <c r="CP271" s="2276">
        <f t="shared" si="265"/>
        <v>10.61</v>
      </c>
      <c r="CQ271" s="2275">
        <v>650</v>
      </c>
      <c r="CR271" s="2275"/>
      <c r="CS271" s="2275"/>
      <c r="CT271" s="2275"/>
      <c r="CU271" s="2275"/>
      <c r="CV271" s="2275"/>
      <c r="CW271" s="2275"/>
      <c r="CX271" s="2250"/>
      <c r="CY271" s="2250"/>
      <c r="CZ271" s="2250"/>
      <c r="DA271" s="2250"/>
      <c r="DB271" s="2250"/>
      <c r="DC271" s="2250"/>
      <c r="DD271" s="2250"/>
      <c r="DE271" s="2250"/>
      <c r="DF271" s="2250"/>
      <c r="DG271" s="2250"/>
      <c r="DH271" s="2250"/>
      <c r="DI271" s="2250"/>
      <c r="DJ271" s="2250"/>
      <c r="DK271" s="2250"/>
      <c r="DL271" s="2250"/>
      <c r="DM271" s="2250"/>
      <c r="DN271" s="2250"/>
      <c r="DO271" s="2250"/>
      <c r="DP271" s="2250"/>
      <c r="DQ271" s="2277"/>
      <c r="DR271" s="2277"/>
      <c r="DS271" s="2278"/>
      <c r="DT271" s="2250"/>
      <c r="DU271" s="2250"/>
      <c r="DV271" s="2250"/>
      <c r="DW271" s="2250"/>
      <c r="DX271" s="2275"/>
      <c r="DY271" s="2275"/>
      <c r="DZ271" s="2345">
        <v>650</v>
      </c>
      <c r="EA271" s="2346">
        <v>9.3699999999999992</v>
      </c>
      <c r="EB271" s="2346">
        <v>10.61</v>
      </c>
      <c r="EC271" s="2346">
        <v>11.74</v>
      </c>
      <c r="ED271" s="2346">
        <v>12.42</v>
      </c>
      <c r="EE271" s="2346">
        <v>12.42</v>
      </c>
      <c r="EF271" s="2346">
        <v>13.32</v>
      </c>
      <c r="EG271" s="2346">
        <v>14.79</v>
      </c>
      <c r="EH271" s="2346">
        <v>15.69</v>
      </c>
      <c r="EI271" s="2346">
        <v>16.59</v>
      </c>
      <c r="EJ271" s="2346">
        <v>18.28</v>
      </c>
      <c r="EK271" s="2346">
        <v>20.09</v>
      </c>
      <c r="EL271" s="2346">
        <v>21.9</v>
      </c>
      <c r="EM271" s="2346">
        <v>23.7</v>
      </c>
      <c r="EN271" s="2346">
        <v>23.93</v>
      </c>
      <c r="EO271" s="2346">
        <v>25.17</v>
      </c>
      <c r="EP271" s="2346">
        <v>27.09</v>
      </c>
      <c r="EQ271" s="2346">
        <v>28.67</v>
      </c>
      <c r="ER271" s="2346">
        <v>31.6</v>
      </c>
      <c r="ES271" s="2346">
        <v>29.91</v>
      </c>
      <c r="ET271" s="2346">
        <v>34.76</v>
      </c>
      <c r="EU271" s="2346">
        <v>35.33</v>
      </c>
      <c r="EV271" s="2346">
        <v>39.840000000000003</v>
      </c>
      <c r="EW271" s="2346">
        <v>43.68</v>
      </c>
      <c r="EX271" s="2346">
        <v>48.31</v>
      </c>
      <c r="EY271" s="2346">
        <v>53.72</v>
      </c>
      <c r="EZ271" s="2346">
        <v>57.79</v>
      </c>
      <c r="FA271" s="2346">
        <v>68.510000000000005</v>
      </c>
      <c r="FB271" s="2347">
        <v>650</v>
      </c>
      <c r="FC271" s="2275"/>
      <c r="FD271" s="2276">
        <f>HLOOKUP(FD265,EA266:FA278,4,0)</f>
        <v>5.76</v>
      </c>
      <c r="FE271" s="2276">
        <f t="shared" si="266"/>
        <v>10.95</v>
      </c>
      <c r="FF271" s="2275">
        <v>550</v>
      </c>
      <c r="FG271" s="2275"/>
      <c r="FH271" s="2275"/>
      <c r="FI271" s="2275"/>
      <c r="FJ271" s="2275"/>
      <c r="FK271" s="2275"/>
      <c r="FL271" s="2275"/>
      <c r="FM271" s="2250"/>
      <c r="FN271" s="2250"/>
      <c r="FO271" s="2250"/>
      <c r="FP271" s="2250"/>
      <c r="FQ271" s="2250"/>
      <c r="FR271" s="2250"/>
      <c r="FS271" s="2250"/>
      <c r="FT271" s="2250"/>
      <c r="FU271" s="2250"/>
      <c r="FV271" s="2250"/>
      <c r="FW271" s="2250"/>
      <c r="FX271" s="2250"/>
      <c r="FY271" s="2250"/>
      <c r="FZ271" s="2250"/>
      <c r="GA271" s="2250"/>
      <c r="GB271" s="2250"/>
      <c r="GC271" s="2276"/>
      <c r="GD271" s="2276"/>
      <c r="GE271" s="2250"/>
      <c r="GF271" s="2275"/>
      <c r="GG271" s="2275"/>
      <c r="GH271" s="2345">
        <v>650</v>
      </c>
      <c r="GI271" s="2346">
        <v>9.3699999999999992</v>
      </c>
      <c r="GJ271" s="2346">
        <v>10.61</v>
      </c>
      <c r="GK271" s="2346">
        <v>11.74</v>
      </c>
      <c r="GL271" s="2346">
        <v>12.42</v>
      </c>
      <c r="GM271" s="2346">
        <v>12.42</v>
      </c>
      <c r="GN271" s="2346">
        <v>13.32</v>
      </c>
      <c r="GO271" s="2346">
        <v>14.79</v>
      </c>
      <c r="GP271" s="2346">
        <v>15.69</v>
      </c>
      <c r="GQ271" s="2346">
        <v>16.59</v>
      </c>
      <c r="GR271" s="2346">
        <v>18.28</v>
      </c>
      <c r="GS271" s="2346">
        <v>20.09</v>
      </c>
      <c r="GT271" s="2346">
        <v>21.9</v>
      </c>
      <c r="GU271" s="2346">
        <v>23.7</v>
      </c>
      <c r="GV271" s="2346">
        <v>23.93</v>
      </c>
      <c r="GW271" s="2346">
        <v>25.17</v>
      </c>
      <c r="GX271" s="2346">
        <v>27.09</v>
      </c>
      <c r="GY271" s="2346">
        <v>28.67</v>
      </c>
      <c r="GZ271" s="2346">
        <v>31.6</v>
      </c>
      <c r="HA271" s="2346">
        <v>29.91</v>
      </c>
      <c r="HB271" s="2346">
        <v>34.76</v>
      </c>
      <c r="HC271" s="2346">
        <v>35.33</v>
      </c>
      <c r="HD271" s="2346">
        <v>39.840000000000003</v>
      </c>
      <c r="HE271" s="2346">
        <v>43.68</v>
      </c>
      <c r="HF271" s="2346">
        <v>48.31</v>
      </c>
      <c r="HG271" s="2346">
        <v>53.72</v>
      </c>
      <c r="HH271" s="2346">
        <v>57.79</v>
      </c>
      <c r="HI271" s="2346">
        <v>68.510000000000005</v>
      </c>
      <c r="HJ271" s="2347">
        <v>650</v>
      </c>
      <c r="HK271" s="2275"/>
      <c r="HL271" s="2276">
        <f>HLOOKUP(HL265,GI266:HI278,4,0)</f>
        <v>5.42</v>
      </c>
      <c r="HM271" s="2276">
        <f t="shared" si="267"/>
        <v>10.38</v>
      </c>
      <c r="HN271" s="2275">
        <v>550</v>
      </c>
      <c r="HO271" s="2275"/>
      <c r="HP271" s="2275"/>
      <c r="HQ271" s="2275"/>
      <c r="HR271" s="2275"/>
      <c r="HS271" s="2275"/>
      <c r="HT271" s="2275"/>
      <c r="HU271" s="2250"/>
      <c r="HV271" s="2250"/>
      <c r="HW271" s="2250"/>
      <c r="HX271" s="2250"/>
      <c r="HY271" s="2250"/>
      <c r="HZ271" s="2250"/>
      <c r="IA271" s="2250"/>
      <c r="IB271" s="2250"/>
      <c r="IC271" s="2250"/>
      <c r="ID271" s="2250"/>
      <c r="IE271" s="2250"/>
      <c r="IF271" s="2250"/>
      <c r="IG271" s="2250"/>
      <c r="IH271" s="2250"/>
      <c r="II271" s="2250"/>
      <c r="IJ271" s="2250"/>
      <c r="IK271" s="2250"/>
      <c r="IL271" s="2250"/>
    </row>
    <row r="272" spans="1:246" ht="21.95" customHeight="1">
      <c r="A272" s="2275"/>
      <c r="B272" s="2275"/>
      <c r="C272" s="2345">
        <v>825</v>
      </c>
      <c r="D272" s="2346">
        <v>20.99</v>
      </c>
      <c r="E272" s="2346">
        <v>23.25</v>
      </c>
      <c r="F272" s="2346">
        <v>25.17</v>
      </c>
      <c r="G272" s="2346">
        <v>25.28</v>
      </c>
      <c r="H272" s="2346">
        <v>28.1</v>
      </c>
      <c r="I272" s="2346">
        <v>28.67</v>
      </c>
      <c r="J272" s="2346">
        <v>31.6</v>
      </c>
      <c r="K272" s="2346">
        <v>33.75</v>
      </c>
      <c r="L272" s="2346">
        <v>35.89</v>
      </c>
      <c r="M272" s="2346">
        <v>38.04</v>
      </c>
      <c r="N272" s="2346">
        <v>40.520000000000003</v>
      </c>
      <c r="O272" s="2346">
        <v>45.49</v>
      </c>
      <c r="P272" s="2346">
        <v>47.74</v>
      </c>
      <c r="Q272" s="2346">
        <v>48.31</v>
      </c>
      <c r="R272" s="2346">
        <v>49.89</v>
      </c>
      <c r="S272" s="2346">
        <v>54.63</v>
      </c>
      <c r="T272" s="2346">
        <v>54.85</v>
      </c>
      <c r="U272" s="2346">
        <v>60.72</v>
      </c>
      <c r="V272" s="2346">
        <v>64.11</v>
      </c>
      <c r="W272" s="2346">
        <v>67.489999999999995</v>
      </c>
      <c r="X272" s="2346">
        <v>73.59</v>
      </c>
      <c r="Y272" s="2346">
        <v>79.8</v>
      </c>
      <c r="Z272" s="2346">
        <v>89.84</v>
      </c>
      <c r="AA272" s="2346">
        <v>99.55</v>
      </c>
      <c r="AB272" s="2346">
        <v>110.5</v>
      </c>
      <c r="AC272" s="2346">
        <v>112.87</v>
      </c>
      <c r="AD272" s="2346">
        <v>112.87</v>
      </c>
      <c r="AE272" s="2347">
        <v>825</v>
      </c>
      <c r="AF272" s="2275"/>
      <c r="AG272" s="2276">
        <f>HLOOKUP(AG264,D265:AD277,6,0)</f>
        <v>11.74</v>
      </c>
      <c r="AH272" s="2276">
        <f t="shared" si="264"/>
        <v>17.95</v>
      </c>
      <c r="AI272" s="2275">
        <v>775</v>
      </c>
      <c r="AJ272" s="2275"/>
      <c r="AK272" s="2275"/>
      <c r="AL272" s="2275"/>
      <c r="AM272" s="2275"/>
      <c r="AN272" s="2275"/>
      <c r="AO272" s="2275"/>
      <c r="AP272" s="2250"/>
      <c r="AQ272" s="2250"/>
      <c r="AR272" s="2250"/>
      <c r="AS272" s="2250"/>
      <c r="AT272" s="2250"/>
      <c r="AU272" s="2250"/>
      <c r="AV272" s="2250"/>
      <c r="AW272" s="2250"/>
      <c r="AX272" s="2250"/>
      <c r="AY272" s="2250"/>
      <c r="AZ272" s="2250"/>
      <c r="BA272" s="2250"/>
      <c r="BB272" s="2250"/>
      <c r="BC272" s="2250"/>
      <c r="BD272" s="2250"/>
      <c r="BE272" s="2250"/>
      <c r="BF272" s="2276"/>
      <c r="BG272" s="2276"/>
      <c r="BH272" s="2250"/>
      <c r="BI272" s="2275"/>
      <c r="BJ272" s="2275"/>
      <c r="BK272" s="2345">
        <v>825</v>
      </c>
      <c r="BL272" s="2346">
        <v>20.99</v>
      </c>
      <c r="BM272" s="2346">
        <v>23.25</v>
      </c>
      <c r="BN272" s="2346">
        <v>25.17</v>
      </c>
      <c r="BO272" s="2346">
        <v>25.28</v>
      </c>
      <c r="BP272" s="2346">
        <v>28.1</v>
      </c>
      <c r="BQ272" s="2346">
        <v>28.67</v>
      </c>
      <c r="BR272" s="2346">
        <v>31.6</v>
      </c>
      <c r="BS272" s="2346">
        <v>33.75</v>
      </c>
      <c r="BT272" s="2346">
        <v>35.89</v>
      </c>
      <c r="BU272" s="2346">
        <v>38.04</v>
      </c>
      <c r="BV272" s="2346">
        <v>40.520000000000003</v>
      </c>
      <c r="BW272" s="2346">
        <v>45.49</v>
      </c>
      <c r="BX272" s="2346">
        <v>47.74</v>
      </c>
      <c r="BY272" s="2346">
        <v>48.31</v>
      </c>
      <c r="BZ272" s="2346">
        <v>49.89</v>
      </c>
      <c r="CA272" s="2346">
        <v>54.63</v>
      </c>
      <c r="CB272" s="2346">
        <v>54.85</v>
      </c>
      <c r="CC272" s="2346">
        <v>60.72</v>
      </c>
      <c r="CD272" s="2346">
        <v>64.11</v>
      </c>
      <c r="CE272" s="2346">
        <v>67.489999999999995</v>
      </c>
      <c r="CF272" s="2346">
        <v>73.59</v>
      </c>
      <c r="CG272" s="2346">
        <v>79.8</v>
      </c>
      <c r="CH272" s="2346">
        <v>89.84</v>
      </c>
      <c r="CI272" s="2346">
        <v>99.55</v>
      </c>
      <c r="CJ272" s="2346">
        <v>110.5</v>
      </c>
      <c r="CK272" s="2346">
        <v>112.87</v>
      </c>
      <c r="CL272" s="2346">
        <v>112.87</v>
      </c>
      <c r="CM272" s="2347">
        <v>825</v>
      </c>
      <c r="CN272" s="2275"/>
      <c r="CO272" s="2276">
        <f>HLOOKUP(CO264,BL265:CL277,6,0)</f>
        <v>10.61</v>
      </c>
      <c r="CP272" s="2276">
        <f t="shared" si="265"/>
        <v>16.25</v>
      </c>
      <c r="CQ272" s="2275">
        <v>775</v>
      </c>
      <c r="CR272" s="2275"/>
      <c r="CS272" s="2275"/>
      <c r="CT272" s="2275"/>
      <c r="CU272" s="2275"/>
      <c r="CV272" s="2275"/>
      <c r="CW272" s="2275"/>
      <c r="CX272" s="2250"/>
      <c r="CY272" s="2250"/>
      <c r="CZ272" s="2250"/>
      <c r="DA272" s="2250"/>
      <c r="DB272" s="2250"/>
      <c r="DC272" s="2250"/>
      <c r="DD272" s="2250"/>
      <c r="DE272" s="2250"/>
      <c r="DF272" s="2250"/>
      <c r="DG272" s="2250"/>
      <c r="DH272" s="2250"/>
      <c r="DI272" s="2250"/>
      <c r="DJ272" s="2250"/>
      <c r="DK272" s="2250"/>
      <c r="DL272" s="2250"/>
      <c r="DM272" s="2250"/>
      <c r="DN272" s="2250"/>
      <c r="DO272" s="2250"/>
      <c r="DP272" s="2250"/>
      <c r="DQ272" s="2277"/>
      <c r="DR272" s="2277"/>
      <c r="DS272" s="2278"/>
      <c r="DT272" s="2250"/>
      <c r="DU272" s="2250"/>
      <c r="DV272" s="2250"/>
      <c r="DW272" s="2250"/>
      <c r="DX272" s="2275"/>
      <c r="DY272" s="2275"/>
      <c r="DZ272" s="2345">
        <v>775</v>
      </c>
      <c r="EA272" s="2346">
        <v>14.45</v>
      </c>
      <c r="EB272" s="2346">
        <v>16.25</v>
      </c>
      <c r="EC272" s="2346">
        <v>17.95</v>
      </c>
      <c r="ED272" s="2346">
        <v>19.98</v>
      </c>
      <c r="EE272" s="2346">
        <v>21.9</v>
      </c>
      <c r="EF272" s="2346">
        <v>20.54</v>
      </c>
      <c r="EG272" s="2346">
        <v>22.69</v>
      </c>
      <c r="EH272" s="2346">
        <v>24.15</v>
      </c>
      <c r="EI272" s="2346">
        <v>26.52</v>
      </c>
      <c r="EJ272" s="2346">
        <v>28.22</v>
      </c>
      <c r="EK272" s="2346">
        <v>33.409999999999997</v>
      </c>
      <c r="EL272" s="2346">
        <v>35.89</v>
      </c>
      <c r="EM272" s="2346">
        <v>37.58</v>
      </c>
      <c r="EN272" s="2346">
        <v>36.909999999999997</v>
      </c>
      <c r="EO272" s="2346">
        <v>39.5</v>
      </c>
      <c r="EP272" s="2346">
        <v>43</v>
      </c>
      <c r="EQ272" s="2346">
        <v>45.6</v>
      </c>
      <c r="ER272" s="2346">
        <v>47.52</v>
      </c>
      <c r="ES272" s="2346">
        <v>50.34</v>
      </c>
      <c r="ET272" s="2346">
        <v>55.3</v>
      </c>
      <c r="EU272" s="2346">
        <v>58.58</v>
      </c>
      <c r="EV272" s="2346">
        <v>63.77</v>
      </c>
      <c r="EW272" s="2346">
        <v>70.650000000000006</v>
      </c>
      <c r="EX272" s="2346">
        <v>77.88</v>
      </c>
      <c r="EY272" s="2346">
        <v>87.25</v>
      </c>
      <c r="EZ272" s="2346">
        <v>98.98</v>
      </c>
      <c r="FA272" s="2346">
        <v>111.96</v>
      </c>
      <c r="FB272" s="2347">
        <v>775</v>
      </c>
      <c r="FC272" s="2275"/>
      <c r="FD272" s="2276">
        <f>HLOOKUP(FD265,EA266:FA278,5,0)</f>
        <v>10.95</v>
      </c>
      <c r="FE272" s="2276">
        <f t="shared" si="266"/>
        <v>18.28</v>
      </c>
      <c r="FF272" s="2275">
        <v>650</v>
      </c>
      <c r="FG272" s="2275"/>
      <c r="FH272" s="2275"/>
      <c r="FI272" s="2275"/>
      <c r="FJ272" s="2275"/>
      <c r="FK272" s="2275"/>
      <c r="FL272" s="2275"/>
      <c r="FM272" s="2250"/>
      <c r="FN272" s="2250"/>
      <c r="FO272" s="2250"/>
      <c r="FP272" s="2250"/>
      <c r="FQ272" s="2250"/>
      <c r="FR272" s="2250"/>
      <c r="FS272" s="2250"/>
      <c r="FT272" s="2250"/>
      <c r="FU272" s="2250"/>
      <c r="FV272" s="2250"/>
      <c r="FW272" s="2250"/>
      <c r="FX272" s="2250"/>
      <c r="FY272" s="2250"/>
      <c r="FZ272" s="2250"/>
      <c r="GA272" s="2250"/>
      <c r="GB272" s="2250"/>
      <c r="GC272" s="2276"/>
      <c r="GD272" s="2276"/>
      <c r="GE272" s="2250"/>
      <c r="GF272" s="2275"/>
      <c r="GG272" s="2275"/>
      <c r="GH272" s="2345">
        <v>775</v>
      </c>
      <c r="GI272" s="2346">
        <v>14.45</v>
      </c>
      <c r="GJ272" s="2346">
        <v>16.25</v>
      </c>
      <c r="GK272" s="2346">
        <v>17.95</v>
      </c>
      <c r="GL272" s="2346">
        <v>19.98</v>
      </c>
      <c r="GM272" s="2346">
        <v>21.9</v>
      </c>
      <c r="GN272" s="2346">
        <v>20.54</v>
      </c>
      <c r="GO272" s="2346">
        <v>22.69</v>
      </c>
      <c r="GP272" s="2346">
        <v>24.15</v>
      </c>
      <c r="GQ272" s="2346">
        <v>26.52</v>
      </c>
      <c r="GR272" s="2346">
        <v>28.22</v>
      </c>
      <c r="GS272" s="2346">
        <v>33.409999999999997</v>
      </c>
      <c r="GT272" s="2346">
        <v>35.89</v>
      </c>
      <c r="GU272" s="2346">
        <v>37.58</v>
      </c>
      <c r="GV272" s="2346">
        <v>36.909999999999997</v>
      </c>
      <c r="GW272" s="2346">
        <v>39.5</v>
      </c>
      <c r="GX272" s="2346">
        <v>43</v>
      </c>
      <c r="GY272" s="2346">
        <v>45.6</v>
      </c>
      <c r="GZ272" s="2346">
        <v>47.52</v>
      </c>
      <c r="HA272" s="2346">
        <v>50.34</v>
      </c>
      <c r="HB272" s="2346">
        <v>55.3</v>
      </c>
      <c r="HC272" s="2346">
        <v>58.58</v>
      </c>
      <c r="HD272" s="2346">
        <v>63.77</v>
      </c>
      <c r="HE272" s="2346">
        <v>70.650000000000006</v>
      </c>
      <c r="HF272" s="2346">
        <v>77.88</v>
      </c>
      <c r="HG272" s="2346">
        <v>87.25</v>
      </c>
      <c r="HH272" s="2346">
        <v>98.98</v>
      </c>
      <c r="HI272" s="2346">
        <v>111.96</v>
      </c>
      <c r="HJ272" s="2347">
        <v>775</v>
      </c>
      <c r="HK272" s="2275"/>
      <c r="HL272" s="2276">
        <f>HLOOKUP(HL265,GI266:HI278,5,0)</f>
        <v>10.38</v>
      </c>
      <c r="HM272" s="2276">
        <f t="shared" si="267"/>
        <v>16.59</v>
      </c>
      <c r="HN272" s="2275">
        <v>650</v>
      </c>
      <c r="HO272" s="2275"/>
      <c r="HP272" s="2275"/>
      <c r="HQ272" s="2275"/>
      <c r="HR272" s="2275"/>
      <c r="HS272" s="2275"/>
      <c r="HT272" s="2275"/>
      <c r="HU272" s="2250"/>
      <c r="HV272" s="2250"/>
      <c r="HW272" s="2250"/>
      <c r="HX272" s="2250"/>
      <c r="HY272" s="2250"/>
      <c r="HZ272" s="2250"/>
      <c r="IA272" s="2250"/>
      <c r="IB272" s="2250"/>
      <c r="IC272" s="2250"/>
      <c r="ID272" s="2250"/>
      <c r="IE272" s="2250"/>
      <c r="IF272" s="2250"/>
      <c r="IG272" s="2250"/>
      <c r="IH272" s="2250"/>
      <c r="II272" s="2250"/>
      <c r="IJ272" s="2250"/>
      <c r="IK272" s="2250"/>
      <c r="IL272" s="2250"/>
    </row>
    <row r="273" spans="1:246" ht="21.95" customHeight="1">
      <c r="A273" s="2275"/>
      <c r="B273" s="2275"/>
      <c r="C273" s="2345">
        <v>950</v>
      </c>
      <c r="D273" s="2346">
        <v>29.12</v>
      </c>
      <c r="E273" s="2346">
        <v>32.840000000000003</v>
      </c>
      <c r="F273" s="2346">
        <v>36.340000000000003</v>
      </c>
      <c r="G273" s="2346">
        <v>38.83</v>
      </c>
      <c r="H273" s="2346">
        <v>38.83</v>
      </c>
      <c r="I273" s="2346">
        <v>41.53</v>
      </c>
      <c r="J273" s="2346">
        <v>45.94</v>
      </c>
      <c r="K273" s="2346">
        <v>48.87</v>
      </c>
      <c r="L273" s="2346">
        <v>52.14</v>
      </c>
      <c r="M273" s="2346">
        <v>57</v>
      </c>
      <c r="N273" s="2346">
        <v>58.35</v>
      </c>
      <c r="O273" s="2346">
        <v>68.17</v>
      </c>
      <c r="P273" s="2346">
        <v>69.069999999999993</v>
      </c>
      <c r="Q273" s="2346">
        <v>69.41</v>
      </c>
      <c r="R273" s="2346">
        <v>72.69</v>
      </c>
      <c r="S273" s="2346">
        <v>79.91</v>
      </c>
      <c r="T273" s="2346">
        <v>85.44</v>
      </c>
      <c r="U273" s="2346">
        <v>89.62</v>
      </c>
      <c r="V273" s="2346">
        <v>93.23</v>
      </c>
      <c r="W273" s="2346">
        <v>102.48</v>
      </c>
      <c r="X273" s="2346">
        <v>109.82</v>
      </c>
      <c r="Y273" s="2346">
        <v>119.07</v>
      </c>
      <c r="Z273" s="2346">
        <v>129.46</v>
      </c>
      <c r="AA273" s="2346">
        <v>142.33000000000001</v>
      </c>
      <c r="AB273" s="2346">
        <v>158.24</v>
      </c>
      <c r="AC273" s="2346">
        <v>168.4</v>
      </c>
      <c r="AD273" s="2346">
        <v>168.4</v>
      </c>
      <c r="AE273" s="2347">
        <v>950</v>
      </c>
      <c r="AF273" s="2275"/>
      <c r="AG273" s="2276">
        <f>HLOOKUP(AG264,D265:AD277,7,0)</f>
        <v>17.95</v>
      </c>
      <c r="AH273" s="2276">
        <f t="shared" si="264"/>
        <v>25.17</v>
      </c>
      <c r="AI273" s="2275">
        <v>825</v>
      </c>
      <c r="AJ273" s="2275"/>
      <c r="AK273" s="2275"/>
      <c r="AL273" s="2275"/>
      <c r="AM273" s="2275"/>
      <c r="AN273" s="2275"/>
      <c r="AO273" s="2275"/>
      <c r="AP273" s="2250"/>
      <c r="AQ273" s="2250"/>
      <c r="AR273" s="2250"/>
      <c r="AS273" s="2250"/>
      <c r="AT273" s="2250"/>
      <c r="AU273" s="2250"/>
      <c r="AV273" s="2250"/>
      <c r="AW273" s="2250"/>
      <c r="AX273" s="2250"/>
      <c r="AY273" s="2250"/>
      <c r="AZ273" s="2250"/>
      <c r="BA273" s="2250"/>
      <c r="BB273" s="2250"/>
      <c r="BC273" s="2250"/>
      <c r="BD273" s="2250"/>
      <c r="BE273" s="2250"/>
      <c r="BF273" s="2276"/>
      <c r="BG273" s="2276"/>
      <c r="BH273" s="2250"/>
      <c r="BI273" s="2275"/>
      <c r="BJ273" s="2275"/>
      <c r="BK273" s="2345">
        <v>950</v>
      </c>
      <c r="BL273" s="2346">
        <v>29.12</v>
      </c>
      <c r="BM273" s="2346">
        <v>32.840000000000003</v>
      </c>
      <c r="BN273" s="2346">
        <v>36.340000000000003</v>
      </c>
      <c r="BO273" s="2346">
        <v>38.83</v>
      </c>
      <c r="BP273" s="2346">
        <v>38.83</v>
      </c>
      <c r="BQ273" s="2346">
        <v>41.53</v>
      </c>
      <c r="BR273" s="2346">
        <v>45.94</v>
      </c>
      <c r="BS273" s="2346">
        <v>48.87</v>
      </c>
      <c r="BT273" s="2346">
        <v>52.14</v>
      </c>
      <c r="BU273" s="2346">
        <v>57</v>
      </c>
      <c r="BV273" s="2346">
        <v>58.35</v>
      </c>
      <c r="BW273" s="2346">
        <v>68.17</v>
      </c>
      <c r="BX273" s="2346">
        <v>69.069999999999993</v>
      </c>
      <c r="BY273" s="2346">
        <v>69.41</v>
      </c>
      <c r="BZ273" s="2346">
        <v>72.69</v>
      </c>
      <c r="CA273" s="2346">
        <v>79.91</v>
      </c>
      <c r="CB273" s="2346">
        <v>85.44</v>
      </c>
      <c r="CC273" s="2346">
        <v>89.62</v>
      </c>
      <c r="CD273" s="2346">
        <v>93.23</v>
      </c>
      <c r="CE273" s="2346">
        <v>102.48</v>
      </c>
      <c r="CF273" s="2346">
        <v>109.82</v>
      </c>
      <c r="CG273" s="2346">
        <v>119.07</v>
      </c>
      <c r="CH273" s="2346">
        <v>129.46</v>
      </c>
      <c r="CI273" s="2346">
        <v>142.33000000000001</v>
      </c>
      <c r="CJ273" s="2346">
        <v>158.24</v>
      </c>
      <c r="CK273" s="2346">
        <v>168.4</v>
      </c>
      <c r="CL273" s="2346">
        <v>168.4</v>
      </c>
      <c r="CM273" s="2347">
        <v>950</v>
      </c>
      <c r="CN273" s="2275"/>
      <c r="CO273" s="2276">
        <f>HLOOKUP(CO264,BL265:CL277,7,0)</f>
        <v>16.25</v>
      </c>
      <c r="CP273" s="2276">
        <f t="shared" si="265"/>
        <v>23.25</v>
      </c>
      <c r="CQ273" s="2275">
        <v>825</v>
      </c>
      <c r="CR273" s="2275"/>
      <c r="CS273" s="2275"/>
      <c r="CT273" s="2275"/>
      <c r="CU273" s="2275"/>
      <c r="CV273" s="2275"/>
      <c r="CW273" s="2275"/>
      <c r="CX273" s="2250"/>
      <c r="CY273" s="2250"/>
      <c r="CZ273" s="2250"/>
      <c r="DA273" s="2250"/>
      <c r="DB273" s="2250"/>
      <c r="DC273" s="2250"/>
      <c r="DD273" s="2250"/>
      <c r="DE273" s="2250"/>
      <c r="DF273" s="2250"/>
      <c r="DG273" s="2250"/>
      <c r="DH273" s="2250"/>
      <c r="DI273" s="2250"/>
      <c r="DJ273" s="2250"/>
      <c r="DK273" s="2250"/>
      <c r="DL273" s="2250"/>
      <c r="DM273" s="2250"/>
      <c r="DN273" s="2250"/>
      <c r="DO273" s="2250"/>
      <c r="DP273" s="2250"/>
      <c r="DQ273" s="2277"/>
      <c r="DR273" s="2277"/>
      <c r="DS273" s="2278"/>
      <c r="DT273" s="2250"/>
      <c r="DU273" s="2250"/>
      <c r="DV273" s="2250"/>
      <c r="DW273" s="2250"/>
      <c r="DX273" s="2275"/>
      <c r="DY273" s="2275"/>
      <c r="DZ273" s="2345">
        <v>825</v>
      </c>
      <c r="EA273" s="2346">
        <v>20.99</v>
      </c>
      <c r="EB273" s="2346">
        <v>23.25</v>
      </c>
      <c r="EC273" s="2346">
        <v>25.17</v>
      </c>
      <c r="ED273" s="2346">
        <v>25.28</v>
      </c>
      <c r="EE273" s="2346">
        <v>28.1</v>
      </c>
      <c r="EF273" s="2346">
        <v>28.67</v>
      </c>
      <c r="EG273" s="2346">
        <v>31.6</v>
      </c>
      <c r="EH273" s="2346">
        <v>33.75</v>
      </c>
      <c r="EI273" s="2346">
        <v>35.89</v>
      </c>
      <c r="EJ273" s="2346">
        <v>38.04</v>
      </c>
      <c r="EK273" s="2346">
        <v>40.520000000000003</v>
      </c>
      <c r="EL273" s="2346">
        <v>45.49</v>
      </c>
      <c r="EM273" s="2346">
        <v>47.74</v>
      </c>
      <c r="EN273" s="2346">
        <v>48.31</v>
      </c>
      <c r="EO273" s="2346">
        <v>49.89</v>
      </c>
      <c r="EP273" s="2346">
        <v>54.63</v>
      </c>
      <c r="EQ273" s="2346">
        <v>54.85</v>
      </c>
      <c r="ER273" s="2346">
        <v>60.72</v>
      </c>
      <c r="ES273" s="2346">
        <v>64.11</v>
      </c>
      <c r="ET273" s="2346">
        <v>67.489999999999995</v>
      </c>
      <c r="EU273" s="2346">
        <v>73.59</v>
      </c>
      <c r="EV273" s="2346">
        <v>79.8</v>
      </c>
      <c r="EW273" s="2346">
        <v>89.84</v>
      </c>
      <c r="EX273" s="2346">
        <v>99.55</v>
      </c>
      <c r="EY273" s="2346">
        <v>110.5</v>
      </c>
      <c r="EZ273" s="2346">
        <v>112.87</v>
      </c>
      <c r="FA273" s="2346">
        <v>112.87</v>
      </c>
      <c r="FB273" s="2347">
        <v>825</v>
      </c>
      <c r="FC273" s="2275"/>
      <c r="FD273" s="2276">
        <f>HLOOKUP(FD265,EA266:FA278,6,0)</f>
        <v>18.28</v>
      </c>
      <c r="FE273" s="2276">
        <f t="shared" si="266"/>
        <v>28.22</v>
      </c>
      <c r="FF273" s="2275">
        <v>775</v>
      </c>
      <c r="FG273" s="2275"/>
      <c r="FH273" s="2275"/>
      <c r="FI273" s="2275"/>
      <c r="FJ273" s="2275"/>
      <c r="FK273" s="2275"/>
      <c r="FL273" s="2275"/>
      <c r="FM273" s="2250"/>
      <c r="FN273" s="2250"/>
      <c r="FO273" s="2250"/>
      <c r="FP273" s="2250"/>
      <c r="FQ273" s="2250"/>
      <c r="FR273" s="2250"/>
      <c r="FS273" s="2250"/>
      <c r="FT273" s="2250"/>
      <c r="FU273" s="2250"/>
      <c r="FV273" s="2250"/>
      <c r="FW273" s="2250"/>
      <c r="FX273" s="2250"/>
      <c r="FY273" s="2250"/>
      <c r="FZ273" s="2250"/>
      <c r="GA273" s="2250"/>
      <c r="GB273" s="2250"/>
      <c r="GC273" s="2276"/>
      <c r="GD273" s="2276"/>
      <c r="GE273" s="2250"/>
      <c r="GF273" s="2275"/>
      <c r="GG273" s="2275"/>
      <c r="GH273" s="2345">
        <v>825</v>
      </c>
      <c r="GI273" s="2346">
        <v>20.99</v>
      </c>
      <c r="GJ273" s="2346">
        <v>23.25</v>
      </c>
      <c r="GK273" s="2346">
        <v>25.17</v>
      </c>
      <c r="GL273" s="2346">
        <v>25.28</v>
      </c>
      <c r="GM273" s="2346">
        <v>28.1</v>
      </c>
      <c r="GN273" s="2346">
        <v>28.67</v>
      </c>
      <c r="GO273" s="2346">
        <v>31.6</v>
      </c>
      <c r="GP273" s="2346">
        <v>33.75</v>
      </c>
      <c r="GQ273" s="2346">
        <v>35.89</v>
      </c>
      <c r="GR273" s="2346">
        <v>38.04</v>
      </c>
      <c r="GS273" s="2346">
        <v>40.520000000000003</v>
      </c>
      <c r="GT273" s="2346">
        <v>45.49</v>
      </c>
      <c r="GU273" s="2346">
        <v>47.74</v>
      </c>
      <c r="GV273" s="2346">
        <v>48.31</v>
      </c>
      <c r="GW273" s="2346">
        <v>49.89</v>
      </c>
      <c r="GX273" s="2346">
        <v>54.63</v>
      </c>
      <c r="GY273" s="2346">
        <v>54.85</v>
      </c>
      <c r="GZ273" s="2346">
        <v>60.72</v>
      </c>
      <c r="HA273" s="2346">
        <v>64.11</v>
      </c>
      <c r="HB273" s="2346">
        <v>67.489999999999995</v>
      </c>
      <c r="HC273" s="2346">
        <v>73.59</v>
      </c>
      <c r="HD273" s="2346">
        <v>79.8</v>
      </c>
      <c r="HE273" s="2346">
        <v>89.84</v>
      </c>
      <c r="HF273" s="2346">
        <v>99.55</v>
      </c>
      <c r="HG273" s="2346">
        <v>110.5</v>
      </c>
      <c r="HH273" s="2346">
        <v>112.87</v>
      </c>
      <c r="HI273" s="2346">
        <v>112.87</v>
      </c>
      <c r="HJ273" s="2347">
        <v>825</v>
      </c>
      <c r="HK273" s="2275"/>
      <c r="HL273" s="2276">
        <f>HLOOKUP(HL265,GI266:HI278,6,0)</f>
        <v>16.59</v>
      </c>
      <c r="HM273" s="2276">
        <f t="shared" si="267"/>
        <v>26.52</v>
      </c>
      <c r="HN273" s="2275">
        <v>775</v>
      </c>
      <c r="HO273" s="2275"/>
      <c r="HP273" s="2275"/>
      <c r="HQ273" s="2275"/>
      <c r="HR273" s="2275"/>
      <c r="HS273" s="2275"/>
      <c r="HT273" s="2275"/>
      <c r="HU273" s="2250"/>
      <c r="HV273" s="2250"/>
      <c r="HW273" s="2250"/>
      <c r="HX273" s="2250"/>
      <c r="HY273" s="2250"/>
      <c r="HZ273" s="2250"/>
      <c r="IA273" s="2250"/>
      <c r="IB273" s="2250"/>
      <c r="IC273" s="2250"/>
      <c r="ID273" s="2250"/>
      <c r="IE273" s="2250"/>
      <c r="IF273" s="2250"/>
      <c r="IG273" s="2250"/>
      <c r="IH273" s="2250"/>
      <c r="II273" s="2250"/>
      <c r="IJ273" s="2250"/>
      <c r="IK273" s="2250"/>
      <c r="IL273" s="2250"/>
    </row>
    <row r="274" spans="1:246" ht="21.95" customHeight="1">
      <c r="A274" s="2275"/>
      <c r="B274" s="2275"/>
      <c r="C274" s="2345">
        <v>1100</v>
      </c>
      <c r="D274" s="2346">
        <v>39.159999999999997</v>
      </c>
      <c r="E274" s="2346">
        <v>44.13</v>
      </c>
      <c r="F274" s="2346">
        <v>48.87</v>
      </c>
      <c r="G274" s="2346">
        <v>54.18</v>
      </c>
      <c r="H274" s="2346">
        <v>59.14</v>
      </c>
      <c r="I274" s="2346">
        <v>55.76</v>
      </c>
      <c r="J274" s="2346">
        <v>61.74</v>
      </c>
      <c r="K274" s="2346">
        <v>67.61</v>
      </c>
      <c r="L274" s="2346">
        <v>72.010000000000005</v>
      </c>
      <c r="M274" s="2346">
        <v>76.52</v>
      </c>
      <c r="N274" s="2346">
        <v>90.52</v>
      </c>
      <c r="O274" s="2346">
        <v>96.61</v>
      </c>
      <c r="P274" s="2346">
        <v>102.14</v>
      </c>
      <c r="Q274" s="2346">
        <v>100.23</v>
      </c>
      <c r="R274" s="2346">
        <v>107.34</v>
      </c>
      <c r="S274" s="2346">
        <v>113.77</v>
      </c>
      <c r="T274" s="2346">
        <v>123.7</v>
      </c>
      <c r="U274" s="2346">
        <v>129.12</v>
      </c>
      <c r="V274" s="2346">
        <v>136.57</v>
      </c>
      <c r="W274" s="2346">
        <v>151.13</v>
      </c>
      <c r="X274" s="2346">
        <v>158.91999999999999</v>
      </c>
      <c r="Y274" s="2346">
        <v>173.14</v>
      </c>
      <c r="Z274" s="2346">
        <v>189.39</v>
      </c>
      <c r="AA274" s="2346">
        <v>211.51</v>
      </c>
      <c r="AB274" s="2346">
        <v>232.51</v>
      </c>
      <c r="AC274" s="2346">
        <v>268.74</v>
      </c>
      <c r="AD274" s="2346">
        <v>303.83999999999997</v>
      </c>
      <c r="AE274" s="2347">
        <v>1100</v>
      </c>
      <c r="AF274" s="2275"/>
      <c r="AG274" s="2276">
        <f>HLOOKUP(AG264,D265:AD277,8,0)</f>
        <v>25.17</v>
      </c>
      <c r="AH274" s="2276">
        <f t="shared" si="264"/>
        <v>36.340000000000003</v>
      </c>
      <c r="AI274" s="2275">
        <v>950</v>
      </c>
      <c r="AJ274" s="2275"/>
      <c r="AK274" s="2275"/>
      <c r="AL274" s="2275"/>
      <c r="AM274" s="2275"/>
      <c r="AN274" s="2275"/>
      <c r="AO274" s="2275"/>
      <c r="AP274" s="2250"/>
      <c r="AQ274" s="2250"/>
      <c r="AR274" s="2250"/>
      <c r="AS274" s="2250"/>
      <c r="AT274" s="2250"/>
      <c r="AU274" s="2250"/>
      <c r="AV274" s="2250"/>
      <c r="AW274" s="2250"/>
      <c r="AX274" s="2250"/>
      <c r="AY274" s="2250"/>
      <c r="AZ274" s="2250"/>
      <c r="BA274" s="2250"/>
      <c r="BB274" s="2250"/>
      <c r="BC274" s="2250"/>
      <c r="BD274" s="2250"/>
      <c r="BE274" s="2250"/>
      <c r="BF274" s="2276"/>
      <c r="BG274" s="2276"/>
      <c r="BH274" s="2250"/>
      <c r="BI274" s="2275"/>
      <c r="BJ274" s="2275"/>
      <c r="BK274" s="2345">
        <v>1100</v>
      </c>
      <c r="BL274" s="2346">
        <v>39.159999999999997</v>
      </c>
      <c r="BM274" s="2346">
        <v>44.13</v>
      </c>
      <c r="BN274" s="2346">
        <v>48.87</v>
      </c>
      <c r="BO274" s="2346">
        <v>54.18</v>
      </c>
      <c r="BP274" s="2346">
        <v>59.14</v>
      </c>
      <c r="BQ274" s="2346">
        <v>55.76</v>
      </c>
      <c r="BR274" s="2346">
        <v>61.74</v>
      </c>
      <c r="BS274" s="2346">
        <v>67.61</v>
      </c>
      <c r="BT274" s="2346">
        <v>72.010000000000005</v>
      </c>
      <c r="BU274" s="2346">
        <v>76.52</v>
      </c>
      <c r="BV274" s="2346">
        <v>90.52</v>
      </c>
      <c r="BW274" s="2346">
        <v>96.61</v>
      </c>
      <c r="BX274" s="2346">
        <v>102.14</v>
      </c>
      <c r="BY274" s="2346">
        <v>100.23</v>
      </c>
      <c r="BZ274" s="2346">
        <v>107.34</v>
      </c>
      <c r="CA274" s="2346">
        <v>113.77</v>
      </c>
      <c r="CB274" s="2346">
        <v>123.7</v>
      </c>
      <c r="CC274" s="2346">
        <v>129.12</v>
      </c>
      <c r="CD274" s="2346">
        <v>136.57</v>
      </c>
      <c r="CE274" s="2346">
        <v>151.13</v>
      </c>
      <c r="CF274" s="2346">
        <v>158.91999999999999</v>
      </c>
      <c r="CG274" s="2346">
        <v>173.14</v>
      </c>
      <c r="CH274" s="2346">
        <v>189.39</v>
      </c>
      <c r="CI274" s="2346">
        <v>211.51</v>
      </c>
      <c r="CJ274" s="2346">
        <v>232.51</v>
      </c>
      <c r="CK274" s="2346">
        <v>268.74</v>
      </c>
      <c r="CL274" s="2346">
        <v>303.83999999999997</v>
      </c>
      <c r="CM274" s="2347">
        <v>1100</v>
      </c>
      <c r="CN274" s="2275"/>
      <c r="CO274" s="2276">
        <f>HLOOKUP(CO264,BL265:CL277,8,0)</f>
        <v>23.25</v>
      </c>
      <c r="CP274" s="2276">
        <f t="shared" si="265"/>
        <v>32.840000000000003</v>
      </c>
      <c r="CQ274" s="2275">
        <v>950</v>
      </c>
      <c r="CR274" s="2275"/>
      <c r="CS274" s="2275"/>
      <c r="CT274" s="2275"/>
      <c r="CU274" s="2275"/>
      <c r="CV274" s="2275"/>
      <c r="CW274" s="2275"/>
      <c r="CX274" s="2250"/>
      <c r="CY274" s="2250"/>
      <c r="CZ274" s="2250"/>
      <c r="DA274" s="2250"/>
      <c r="DB274" s="2250"/>
      <c r="DC274" s="2250"/>
      <c r="DD274" s="2250"/>
      <c r="DE274" s="2250"/>
      <c r="DF274" s="2250"/>
      <c r="DG274" s="2250"/>
      <c r="DH274" s="2250"/>
      <c r="DI274" s="2250"/>
      <c r="DJ274" s="2250"/>
      <c r="DK274" s="2250"/>
      <c r="DL274" s="2250"/>
      <c r="DM274" s="2250"/>
      <c r="DN274" s="2250"/>
      <c r="DO274" s="2250"/>
      <c r="DP274" s="2250"/>
      <c r="DQ274" s="2277"/>
      <c r="DR274" s="2277"/>
      <c r="DS274" s="2278"/>
      <c r="DT274" s="2250"/>
      <c r="DU274" s="2250"/>
      <c r="DV274" s="2250"/>
      <c r="DW274" s="2250"/>
      <c r="DX274" s="2275"/>
      <c r="DY274" s="2275"/>
      <c r="DZ274" s="2345">
        <v>950</v>
      </c>
      <c r="EA274" s="2346">
        <v>29.12</v>
      </c>
      <c r="EB274" s="2346">
        <v>32.840000000000003</v>
      </c>
      <c r="EC274" s="2346">
        <v>36.340000000000003</v>
      </c>
      <c r="ED274" s="2346">
        <v>38.83</v>
      </c>
      <c r="EE274" s="2346">
        <v>38.83</v>
      </c>
      <c r="EF274" s="2346">
        <v>41.53</v>
      </c>
      <c r="EG274" s="2346">
        <v>45.94</v>
      </c>
      <c r="EH274" s="2346">
        <v>48.87</v>
      </c>
      <c r="EI274" s="2346">
        <v>52.14</v>
      </c>
      <c r="EJ274" s="2346">
        <v>57</v>
      </c>
      <c r="EK274" s="2346">
        <v>58.35</v>
      </c>
      <c r="EL274" s="2346">
        <v>68.17</v>
      </c>
      <c r="EM274" s="2346">
        <v>69.069999999999993</v>
      </c>
      <c r="EN274" s="2346">
        <v>69.41</v>
      </c>
      <c r="EO274" s="2346">
        <v>72.69</v>
      </c>
      <c r="EP274" s="2346">
        <v>79.91</v>
      </c>
      <c r="EQ274" s="2346">
        <v>85.44</v>
      </c>
      <c r="ER274" s="2346">
        <v>89.62</v>
      </c>
      <c r="ES274" s="2346">
        <v>93.23</v>
      </c>
      <c r="ET274" s="2346">
        <v>102.48</v>
      </c>
      <c r="EU274" s="2346">
        <v>109.82</v>
      </c>
      <c r="EV274" s="2346">
        <v>119.07</v>
      </c>
      <c r="EW274" s="2346">
        <v>129.46</v>
      </c>
      <c r="EX274" s="2346">
        <v>142.33000000000001</v>
      </c>
      <c r="EY274" s="2346">
        <v>158.24</v>
      </c>
      <c r="EZ274" s="2346">
        <v>168.4</v>
      </c>
      <c r="FA274" s="2346">
        <v>168.4</v>
      </c>
      <c r="FB274" s="2347">
        <v>950</v>
      </c>
      <c r="FC274" s="2275"/>
      <c r="FD274" s="2276">
        <f>HLOOKUP(FD265,EA266:FA278,7,0)</f>
        <v>28.22</v>
      </c>
      <c r="FE274" s="2276">
        <f t="shared" si="266"/>
        <v>38.04</v>
      </c>
      <c r="FF274" s="2275">
        <v>825</v>
      </c>
      <c r="FG274" s="2275"/>
      <c r="FH274" s="2275"/>
      <c r="FI274" s="2275"/>
      <c r="FJ274" s="2275"/>
      <c r="FK274" s="2275"/>
      <c r="FL274" s="2275"/>
      <c r="FM274" s="2250"/>
      <c r="FN274" s="2250"/>
      <c r="FO274" s="2250"/>
      <c r="FP274" s="2250"/>
      <c r="FQ274" s="2250"/>
      <c r="FR274" s="2250"/>
      <c r="FS274" s="2250"/>
      <c r="FT274" s="2250"/>
      <c r="FU274" s="2250"/>
      <c r="FV274" s="2250"/>
      <c r="FW274" s="2250"/>
      <c r="FX274" s="2250"/>
      <c r="FY274" s="2250"/>
      <c r="FZ274" s="2250"/>
      <c r="GA274" s="2250"/>
      <c r="GB274" s="2250"/>
      <c r="GC274" s="2276"/>
      <c r="GD274" s="2276"/>
      <c r="GE274" s="2250"/>
      <c r="GF274" s="2275"/>
      <c r="GG274" s="2275"/>
      <c r="GH274" s="2345">
        <v>950</v>
      </c>
      <c r="GI274" s="2346">
        <v>29.12</v>
      </c>
      <c r="GJ274" s="2346">
        <v>32.840000000000003</v>
      </c>
      <c r="GK274" s="2346">
        <v>36.340000000000003</v>
      </c>
      <c r="GL274" s="2346">
        <v>38.83</v>
      </c>
      <c r="GM274" s="2346">
        <v>38.83</v>
      </c>
      <c r="GN274" s="2346">
        <v>41.53</v>
      </c>
      <c r="GO274" s="2346">
        <v>45.94</v>
      </c>
      <c r="GP274" s="2346">
        <v>48.87</v>
      </c>
      <c r="GQ274" s="2346">
        <v>52.14</v>
      </c>
      <c r="GR274" s="2346">
        <v>57</v>
      </c>
      <c r="GS274" s="2346">
        <v>58.35</v>
      </c>
      <c r="GT274" s="2346">
        <v>68.17</v>
      </c>
      <c r="GU274" s="2346">
        <v>69.069999999999993</v>
      </c>
      <c r="GV274" s="2346">
        <v>69.41</v>
      </c>
      <c r="GW274" s="2346">
        <v>72.69</v>
      </c>
      <c r="GX274" s="2346">
        <v>79.91</v>
      </c>
      <c r="GY274" s="2346">
        <v>85.44</v>
      </c>
      <c r="GZ274" s="2346">
        <v>89.62</v>
      </c>
      <c r="HA274" s="2346">
        <v>93.23</v>
      </c>
      <c r="HB274" s="2346">
        <v>102.48</v>
      </c>
      <c r="HC274" s="2346">
        <v>109.82</v>
      </c>
      <c r="HD274" s="2346">
        <v>119.07</v>
      </c>
      <c r="HE274" s="2346">
        <v>129.46</v>
      </c>
      <c r="HF274" s="2346">
        <v>142.33000000000001</v>
      </c>
      <c r="HG274" s="2346">
        <v>158.24</v>
      </c>
      <c r="HH274" s="2346">
        <v>168.4</v>
      </c>
      <c r="HI274" s="2346">
        <v>168.4</v>
      </c>
      <c r="HJ274" s="2347">
        <v>950</v>
      </c>
      <c r="HK274" s="2275"/>
      <c r="HL274" s="2276">
        <f>HLOOKUP(HL265,GI266:HI278,7,0)</f>
        <v>26.52</v>
      </c>
      <c r="HM274" s="2276">
        <f t="shared" si="267"/>
        <v>35.89</v>
      </c>
      <c r="HN274" s="2275">
        <v>825</v>
      </c>
      <c r="HO274" s="2275"/>
      <c r="HP274" s="2275"/>
      <c r="HQ274" s="2275"/>
      <c r="HR274" s="2275"/>
      <c r="HS274" s="2275"/>
      <c r="HT274" s="2275"/>
      <c r="HU274" s="2250"/>
      <c r="HV274" s="2250"/>
      <c r="HW274" s="2250"/>
      <c r="HX274" s="2250"/>
      <c r="HY274" s="2250"/>
      <c r="HZ274" s="2250"/>
      <c r="IA274" s="2250"/>
      <c r="IB274" s="2250"/>
      <c r="IC274" s="2250"/>
      <c r="ID274" s="2250"/>
      <c r="IE274" s="2250"/>
      <c r="IF274" s="2250"/>
      <c r="IG274" s="2250"/>
      <c r="IH274" s="2250"/>
      <c r="II274" s="2250"/>
      <c r="IJ274" s="2250"/>
      <c r="IK274" s="2250"/>
      <c r="IL274" s="2250"/>
    </row>
    <row r="275" spans="1:246" ht="21.95" customHeight="1">
      <c r="A275" s="2275"/>
      <c r="B275" s="2275"/>
      <c r="C275" s="2345">
        <v>1250</v>
      </c>
      <c r="D275" s="2346">
        <v>57.45</v>
      </c>
      <c r="E275" s="2346">
        <v>64.790000000000006</v>
      </c>
      <c r="F275" s="2346">
        <v>71.78</v>
      </c>
      <c r="G275" s="2346">
        <v>79.459999999999994</v>
      </c>
      <c r="H275" s="2346">
        <v>86.79</v>
      </c>
      <c r="I275" s="2346">
        <v>81.83</v>
      </c>
      <c r="J275" s="2346">
        <v>90.63</v>
      </c>
      <c r="K275" s="2346">
        <v>96.5</v>
      </c>
      <c r="L275" s="2346">
        <v>105.87</v>
      </c>
      <c r="M275" s="2346">
        <v>107.9</v>
      </c>
      <c r="N275" s="2346">
        <v>119.53</v>
      </c>
      <c r="O275" s="2346">
        <v>139.05000000000001</v>
      </c>
      <c r="P275" s="2346">
        <v>140.41</v>
      </c>
      <c r="Q275" s="2346">
        <v>147.18</v>
      </c>
      <c r="R275" s="2346">
        <v>154.85</v>
      </c>
      <c r="S275" s="2346">
        <v>166.37</v>
      </c>
      <c r="T275" s="2346">
        <v>173.81</v>
      </c>
      <c r="U275" s="2346">
        <v>188.37</v>
      </c>
      <c r="V275" s="2346">
        <v>200.56</v>
      </c>
      <c r="W275" s="2346">
        <v>216.25</v>
      </c>
      <c r="X275" s="2346">
        <v>228.67</v>
      </c>
      <c r="Y275" s="2346">
        <v>238.83</v>
      </c>
      <c r="Z275" s="2346">
        <v>265.01</v>
      </c>
      <c r="AA275" s="2346">
        <v>291.31</v>
      </c>
      <c r="AB275" s="2346">
        <v>327.31</v>
      </c>
      <c r="AC275" s="2346">
        <v>329.01</v>
      </c>
      <c r="AD275" s="2346">
        <v>329.01</v>
      </c>
      <c r="AE275" s="2347">
        <v>1250</v>
      </c>
      <c r="AF275" s="2275"/>
      <c r="AG275" s="2276">
        <f>HLOOKUP(AG264,D265:AD277,9,0)</f>
        <v>36.340000000000003</v>
      </c>
      <c r="AH275" s="2276">
        <f t="shared" si="264"/>
        <v>48.87</v>
      </c>
      <c r="AI275" s="2275">
        <v>1100</v>
      </c>
      <c r="AJ275" s="2275"/>
      <c r="AK275" s="2275"/>
      <c r="AL275" s="2275"/>
      <c r="AM275" s="2275"/>
      <c r="AN275" s="2275"/>
      <c r="AO275" s="2275"/>
      <c r="AP275" s="2250"/>
      <c r="AQ275" s="2250"/>
      <c r="AR275" s="2250"/>
      <c r="AS275" s="2250"/>
      <c r="AT275" s="2250"/>
      <c r="AU275" s="2250"/>
      <c r="AV275" s="2250"/>
      <c r="AW275" s="2250"/>
      <c r="AX275" s="2250"/>
      <c r="AY275" s="2250"/>
      <c r="AZ275" s="2250"/>
      <c r="BA275" s="2250"/>
      <c r="BB275" s="2250"/>
      <c r="BC275" s="2250"/>
      <c r="BD275" s="2250"/>
      <c r="BE275" s="2250"/>
      <c r="BF275" s="2276"/>
      <c r="BG275" s="2276"/>
      <c r="BH275" s="2250"/>
      <c r="BI275" s="2275"/>
      <c r="BJ275" s="2275"/>
      <c r="BK275" s="2345">
        <v>1250</v>
      </c>
      <c r="BL275" s="2346">
        <v>57.45</v>
      </c>
      <c r="BM275" s="2346">
        <v>64.790000000000006</v>
      </c>
      <c r="BN275" s="2346">
        <v>71.78</v>
      </c>
      <c r="BO275" s="2346">
        <v>79.459999999999994</v>
      </c>
      <c r="BP275" s="2346">
        <v>86.79</v>
      </c>
      <c r="BQ275" s="2346">
        <v>81.83</v>
      </c>
      <c r="BR275" s="2346">
        <v>90.63</v>
      </c>
      <c r="BS275" s="2346">
        <v>96.5</v>
      </c>
      <c r="BT275" s="2346">
        <v>105.87</v>
      </c>
      <c r="BU275" s="2346">
        <v>107.9</v>
      </c>
      <c r="BV275" s="2346">
        <v>119.53</v>
      </c>
      <c r="BW275" s="2346">
        <v>139.05000000000001</v>
      </c>
      <c r="BX275" s="2346">
        <v>140.41</v>
      </c>
      <c r="BY275" s="2346">
        <v>147.18</v>
      </c>
      <c r="BZ275" s="2346">
        <v>154.85</v>
      </c>
      <c r="CA275" s="2346">
        <v>166.37</v>
      </c>
      <c r="CB275" s="2346">
        <v>173.81</v>
      </c>
      <c r="CC275" s="2346">
        <v>188.37</v>
      </c>
      <c r="CD275" s="2346">
        <v>200.56</v>
      </c>
      <c r="CE275" s="2346">
        <v>216.25</v>
      </c>
      <c r="CF275" s="2346">
        <v>228.67</v>
      </c>
      <c r="CG275" s="2346">
        <v>238.83</v>
      </c>
      <c r="CH275" s="2346">
        <v>265.01</v>
      </c>
      <c r="CI275" s="2346">
        <v>291.31</v>
      </c>
      <c r="CJ275" s="2346">
        <v>327.31</v>
      </c>
      <c r="CK275" s="2346">
        <v>329.01</v>
      </c>
      <c r="CL275" s="2346">
        <v>329.01</v>
      </c>
      <c r="CM275" s="2347">
        <v>1250</v>
      </c>
      <c r="CN275" s="2275"/>
      <c r="CO275" s="2276">
        <f>HLOOKUP(CO264,BL265:CL277,9,0)</f>
        <v>32.840000000000003</v>
      </c>
      <c r="CP275" s="2276">
        <f t="shared" si="265"/>
        <v>44.13</v>
      </c>
      <c r="CQ275" s="2275">
        <v>1100</v>
      </c>
      <c r="CR275" s="2275"/>
      <c r="CS275" s="2275"/>
      <c r="CT275" s="2275"/>
      <c r="CU275" s="2275"/>
      <c r="CV275" s="2275"/>
      <c r="CW275" s="2275"/>
      <c r="CX275" s="2250"/>
      <c r="CY275" s="2250"/>
      <c r="CZ275" s="2250"/>
      <c r="DA275" s="2250"/>
      <c r="DB275" s="2250"/>
      <c r="DC275" s="2250"/>
      <c r="DD275" s="2250"/>
      <c r="DE275" s="2250"/>
      <c r="DF275" s="2250"/>
      <c r="DG275" s="2250"/>
      <c r="DH275" s="2250"/>
      <c r="DI275" s="2250"/>
      <c r="DJ275" s="2250"/>
      <c r="DK275" s="2250"/>
      <c r="DL275" s="2250"/>
      <c r="DM275" s="2250"/>
      <c r="DN275" s="2250"/>
      <c r="DO275" s="2250"/>
      <c r="DP275" s="2250"/>
      <c r="DQ275" s="2277"/>
      <c r="DR275" s="2277"/>
      <c r="DS275" s="2278"/>
      <c r="DT275" s="2250"/>
      <c r="DU275" s="2250"/>
      <c r="DV275" s="2250"/>
      <c r="DW275" s="2250"/>
      <c r="DX275" s="2275"/>
      <c r="DY275" s="2275"/>
      <c r="DZ275" s="2345">
        <v>1100</v>
      </c>
      <c r="EA275" s="2346">
        <v>39.159999999999997</v>
      </c>
      <c r="EB275" s="2346">
        <v>44.13</v>
      </c>
      <c r="EC275" s="2346">
        <v>48.87</v>
      </c>
      <c r="ED275" s="2346">
        <v>54.18</v>
      </c>
      <c r="EE275" s="2346">
        <v>59.14</v>
      </c>
      <c r="EF275" s="2346">
        <v>55.76</v>
      </c>
      <c r="EG275" s="2346">
        <v>61.74</v>
      </c>
      <c r="EH275" s="2346">
        <v>67.61</v>
      </c>
      <c r="EI275" s="2346">
        <v>72.010000000000005</v>
      </c>
      <c r="EJ275" s="2346">
        <v>76.52</v>
      </c>
      <c r="EK275" s="2346">
        <v>90.52</v>
      </c>
      <c r="EL275" s="2346">
        <v>96.61</v>
      </c>
      <c r="EM275" s="2346">
        <v>102.14</v>
      </c>
      <c r="EN275" s="2346">
        <v>100.23</v>
      </c>
      <c r="EO275" s="2346">
        <v>107.34</v>
      </c>
      <c r="EP275" s="2346">
        <v>113.77</v>
      </c>
      <c r="EQ275" s="2346">
        <v>123.7</v>
      </c>
      <c r="ER275" s="2346">
        <v>129.12</v>
      </c>
      <c r="ES275" s="2346">
        <v>136.57</v>
      </c>
      <c r="ET275" s="2346">
        <v>151.13</v>
      </c>
      <c r="EU275" s="2346">
        <v>158.91999999999999</v>
      </c>
      <c r="EV275" s="2346">
        <v>173.14</v>
      </c>
      <c r="EW275" s="2346">
        <v>189.39</v>
      </c>
      <c r="EX275" s="2346">
        <v>211.51</v>
      </c>
      <c r="EY275" s="2346">
        <v>232.51</v>
      </c>
      <c r="EZ275" s="2346">
        <v>268.74</v>
      </c>
      <c r="FA275" s="2346">
        <v>303.83999999999997</v>
      </c>
      <c r="FB275" s="2347">
        <v>1100</v>
      </c>
      <c r="FC275" s="2275"/>
      <c r="FD275" s="2276">
        <f>HLOOKUP(FD265,EA266:FA278,8,0)</f>
        <v>38.04</v>
      </c>
      <c r="FE275" s="2276">
        <f t="shared" si="266"/>
        <v>57</v>
      </c>
      <c r="FF275" s="2275">
        <v>950</v>
      </c>
      <c r="FG275" s="2275"/>
      <c r="FH275" s="2275"/>
      <c r="FI275" s="2275"/>
      <c r="FJ275" s="2275"/>
      <c r="FK275" s="2275"/>
      <c r="FL275" s="2275"/>
      <c r="FM275" s="2250"/>
      <c r="FN275" s="2250"/>
      <c r="FO275" s="2250"/>
      <c r="FP275" s="2250"/>
      <c r="FQ275" s="2250"/>
      <c r="FR275" s="2250"/>
      <c r="FS275" s="2250"/>
      <c r="FT275" s="2250"/>
      <c r="FU275" s="2250"/>
      <c r="FV275" s="2250"/>
      <c r="FW275" s="2250"/>
      <c r="FX275" s="2250"/>
      <c r="FY275" s="2250"/>
      <c r="FZ275" s="2250"/>
      <c r="GA275" s="2250"/>
      <c r="GB275" s="2250"/>
      <c r="GC275" s="2276"/>
      <c r="GD275" s="2276"/>
      <c r="GE275" s="2250"/>
      <c r="GF275" s="2275"/>
      <c r="GG275" s="2275"/>
      <c r="GH275" s="2345">
        <v>1100</v>
      </c>
      <c r="GI275" s="2346">
        <v>39.159999999999997</v>
      </c>
      <c r="GJ275" s="2346">
        <v>44.13</v>
      </c>
      <c r="GK275" s="2346">
        <v>48.87</v>
      </c>
      <c r="GL275" s="2346">
        <v>54.18</v>
      </c>
      <c r="GM275" s="2346">
        <v>59.14</v>
      </c>
      <c r="GN275" s="2346">
        <v>55.76</v>
      </c>
      <c r="GO275" s="2346">
        <v>61.74</v>
      </c>
      <c r="GP275" s="2346">
        <v>67.61</v>
      </c>
      <c r="GQ275" s="2346">
        <v>72.010000000000005</v>
      </c>
      <c r="GR275" s="2346">
        <v>76.52</v>
      </c>
      <c r="GS275" s="2346">
        <v>90.52</v>
      </c>
      <c r="GT275" s="2346">
        <v>96.61</v>
      </c>
      <c r="GU275" s="2346">
        <v>102.14</v>
      </c>
      <c r="GV275" s="2346">
        <v>100.23</v>
      </c>
      <c r="GW275" s="2346">
        <v>107.34</v>
      </c>
      <c r="GX275" s="2346">
        <v>113.77</v>
      </c>
      <c r="GY275" s="2346">
        <v>123.7</v>
      </c>
      <c r="GZ275" s="2346">
        <v>129.12</v>
      </c>
      <c r="HA275" s="2346">
        <v>136.57</v>
      </c>
      <c r="HB275" s="2346">
        <v>151.13</v>
      </c>
      <c r="HC275" s="2346">
        <v>158.91999999999999</v>
      </c>
      <c r="HD275" s="2346">
        <v>173.14</v>
      </c>
      <c r="HE275" s="2346">
        <v>189.39</v>
      </c>
      <c r="HF275" s="2346">
        <v>211.51</v>
      </c>
      <c r="HG275" s="2346">
        <v>232.51</v>
      </c>
      <c r="HH275" s="2346">
        <v>268.74</v>
      </c>
      <c r="HI275" s="2346">
        <v>303.83999999999997</v>
      </c>
      <c r="HJ275" s="2347">
        <v>1100</v>
      </c>
      <c r="HK275" s="2275"/>
      <c r="HL275" s="2276">
        <f>HLOOKUP(HL265,GI266:HI278,8,0)</f>
        <v>35.89</v>
      </c>
      <c r="HM275" s="2276">
        <f t="shared" si="267"/>
        <v>52.14</v>
      </c>
      <c r="HN275" s="2275">
        <v>950</v>
      </c>
      <c r="HO275" s="2275"/>
      <c r="HP275" s="2275"/>
      <c r="HQ275" s="2275"/>
      <c r="HR275" s="2275"/>
      <c r="HS275" s="2275"/>
      <c r="HT275" s="2275"/>
      <c r="HU275" s="2250"/>
      <c r="HV275" s="2250"/>
      <c r="HW275" s="2250"/>
      <c r="HX275" s="2250"/>
      <c r="HY275" s="2250"/>
      <c r="HZ275" s="2250"/>
      <c r="IA275" s="2250"/>
      <c r="IB275" s="2250"/>
      <c r="IC275" s="2250"/>
      <c r="ID275" s="2250"/>
      <c r="IE275" s="2250"/>
      <c r="IF275" s="2250"/>
      <c r="IG275" s="2250"/>
      <c r="IH275" s="2250"/>
      <c r="II275" s="2250"/>
      <c r="IJ275" s="2250"/>
      <c r="IK275" s="2250"/>
      <c r="IL275" s="2250"/>
    </row>
    <row r="276" spans="1:246" ht="21.95" customHeight="1">
      <c r="A276" s="2275"/>
      <c r="B276" s="2275"/>
      <c r="C276" s="2345">
        <v>1450</v>
      </c>
      <c r="D276" s="2346">
        <v>88.49</v>
      </c>
      <c r="E276" s="2346">
        <v>99.77</v>
      </c>
      <c r="F276" s="2346">
        <v>110.5</v>
      </c>
      <c r="G276" s="2346">
        <v>120.77</v>
      </c>
      <c r="H276" s="2346">
        <v>120.77</v>
      </c>
      <c r="I276" s="2346">
        <v>125.96</v>
      </c>
      <c r="J276" s="2346">
        <v>139.5</v>
      </c>
      <c r="K276" s="2346">
        <v>148.65</v>
      </c>
      <c r="L276" s="2346">
        <v>160.84</v>
      </c>
      <c r="M276" s="2346">
        <v>173.02</v>
      </c>
      <c r="N276" s="2346">
        <v>177.09</v>
      </c>
      <c r="O276" s="2346">
        <v>200.9</v>
      </c>
      <c r="P276" s="2346">
        <v>209.82</v>
      </c>
      <c r="Q276" s="2346">
        <v>217.38</v>
      </c>
      <c r="R276" s="2346">
        <v>227.43</v>
      </c>
      <c r="S276" s="2346">
        <v>248.76</v>
      </c>
      <c r="T276" s="2346">
        <v>266.48</v>
      </c>
      <c r="U276" s="2346">
        <v>286.12</v>
      </c>
      <c r="V276" s="2346">
        <v>290.07</v>
      </c>
      <c r="W276" s="2346">
        <v>328.44</v>
      </c>
      <c r="X276" s="2346">
        <v>343.34</v>
      </c>
      <c r="Y276" s="2346">
        <v>371.67</v>
      </c>
      <c r="Z276" s="2346">
        <v>404.74</v>
      </c>
      <c r="AA276" s="2346">
        <v>417.04</v>
      </c>
      <c r="AB276" s="2346">
        <v>491.31</v>
      </c>
      <c r="AC276" s="2346">
        <v>542.78</v>
      </c>
      <c r="AD276" s="2346">
        <v>568.51</v>
      </c>
      <c r="AE276" s="2347">
        <v>1450</v>
      </c>
      <c r="AF276" s="2275"/>
      <c r="AG276" s="2276">
        <f>HLOOKUP(AG264,D265:AD277,10,0)</f>
        <v>48.87</v>
      </c>
      <c r="AH276" s="2276">
        <f t="shared" si="264"/>
        <v>71.78</v>
      </c>
      <c r="AI276" s="2275">
        <v>1250</v>
      </c>
      <c r="AJ276" s="2275"/>
      <c r="AK276" s="2275"/>
      <c r="AL276" s="2275"/>
      <c r="AM276" s="2275"/>
      <c r="AN276" s="2275"/>
      <c r="AO276" s="2275"/>
      <c r="AP276" s="2250"/>
      <c r="AQ276" s="2250"/>
      <c r="AR276" s="2250"/>
      <c r="AS276" s="2250"/>
      <c r="AT276" s="2250"/>
      <c r="AU276" s="2250"/>
      <c r="AV276" s="2250"/>
      <c r="AW276" s="2250"/>
      <c r="AX276" s="2250"/>
      <c r="AY276" s="2250"/>
      <c r="AZ276" s="2250"/>
      <c r="BA276" s="2250"/>
      <c r="BB276" s="2250"/>
      <c r="BC276" s="2250"/>
      <c r="BD276" s="2250"/>
      <c r="BE276" s="2250"/>
      <c r="BF276" s="2276"/>
      <c r="BG276" s="2276"/>
      <c r="BH276" s="2250"/>
      <c r="BI276" s="2275"/>
      <c r="BJ276" s="2275"/>
      <c r="BK276" s="2345">
        <v>1450</v>
      </c>
      <c r="BL276" s="2346">
        <v>88.49</v>
      </c>
      <c r="BM276" s="2346">
        <v>99.77</v>
      </c>
      <c r="BN276" s="2346">
        <v>110.5</v>
      </c>
      <c r="BO276" s="2346">
        <v>120.77</v>
      </c>
      <c r="BP276" s="2346">
        <v>120.77</v>
      </c>
      <c r="BQ276" s="2346">
        <v>125.96</v>
      </c>
      <c r="BR276" s="2346">
        <v>139.5</v>
      </c>
      <c r="BS276" s="2346">
        <v>148.65</v>
      </c>
      <c r="BT276" s="2346">
        <v>160.84</v>
      </c>
      <c r="BU276" s="2346">
        <v>173.02</v>
      </c>
      <c r="BV276" s="2346">
        <v>177.09</v>
      </c>
      <c r="BW276" s="2346">
        <v>200.9</v>
      </c>
      <c r="BX276" s="2346">
        <v>209.82</v>
      </c>
      <c r="BY276" s="2346">
        <v>217.38</v>
      </c>
      <c r="BZ276" s="2346">
        <v>227.43</v>
      </c>
      <c r="CA276" s="2346">
        <v>248.76</v>
      </c>
      <c r="CB276" s="2346">
        <v>266.48</v>
      </c>
      <c r="CC276" s="2346">
        <v>286.12</v>
      </c>
      <c r="CD276" s="2346">
        <v>290.07</v>
      </c>
      <c r="CE276" s="2346">
        <v>328.44</v>
      </c>
      <c r="CF276" s="2346">
        <v>343.34</v>
      </c>
      <c r="CG276" s="2346">
        <v>371.67</v>
      </c>
      <c r="CH276" s="2346">
        <v>404.74</v>
      </c>
      <c r="CI276" s="2346">
        <v>417.04</v>
      </c>
      <c r="CJ276" s="2346">
        <v>491.31</v>
      </c>
      <c r="CK276" s="2346">
        <v>542.78</v>
      </c>
      <c r="CL276" s="2346">
        <v>568.51</v>
      </c>
      <c r="CM276" s="2347">
        <v>1450</v>
      </c>
      <c r="CN276" s="2275"/>
      <c r="CO276" s="2276">
        <f>HLOOKUP(CO264,BL265:CL277,10,0)</f>
        <v>44.13</v>
      </c>
      <c r="CP276" s="2276">
        <f t="shared" si="265"/>
        <v>64.790000000000006</v>
      </c>
      <c r="CQ276" s="2275">
        <v>1250</v>
      </c>
      <c r="CR276" s="2275"/>
      <c r="CS276" s="2275"/>
      <c r="CT276" s="2275"/>
      <c r="CU276" s="2275"/>
      <c r="CV276" s="2275"/>
      <c r="CW276" s="2275"/>
      <c r="CX276" s="2250"/>
      <c r="CY276" s="2250"/>
      <c r="CZ276" s="2250"/>
      <c r="DA276" s="2250"/>
      <c r="DB276" s="2250"/>
      <c r="DC276" s="2250"/>
      <c r="DD276" s="2250"/>
      <c r="DE276" s="2250"/>
      <c r="DF276" s="2250"/>
      <c r="DG276" s="2250"/>
      <c r="DH276" s="2250"/>
      <c r="DI276" s="2250"/>
      <c r="DJ276" s="2250"/>
      <c r="DK276" s="2250"/>
      <c r="DL276" s="2250"/>
      <c r="DM276" s="2250"/>
      <c r="DN276" s="2250"/>
      <c r="DO276" s="2250"/>
      <c r="DP276" s="2250"/>
      <c r="DQ276" s="2277"/>
      <c r="DR276" s="2277"/>
      <c r="DS276" s="2278"/>
      <c r="DT276" s="2250"/>
      <c r="DU276" s="2250"/>
      <c r="DV276" s="2250"/>
      <c r="DW276" s="2250"/>
      <c r="DX276" s="2275"/>
      <c r="DY276" s="2275"/>
      <c r="DZ276" s="2345">
        <v>1250</v>
      </c>
      <c r="EA276" s="2346">
        <v>57.45</v>
      </c>
      <c r="EB276" s="2346">
        <v>64.790000000000006</v>
      </c>
      <c r="EC276" s="2346">
        <v>71.78</v>
      </c>
      <c r="ED276" s="2346">
        <v>79.459999999999994</v>
      </c>
      <c r="EE276" s="2346">
        <v>86.79</v>
      </c>
      <c r="EF276" s="2346">
        <v>81.83</v>
      </c>
      <c r="EG276" s="2346">
        <v>90.63</v>
      </c>
      <c r="EH276" s="2346">
        <v>96.5</v>
      </c>
      <c r="EI276" s="2346">
        <v>105.87</v>
      </c>
      <c r="EJ276" s="2346">
        <v>107.9</v>
      </c>
      <c r="EK276" s="2346">
        <v>119.53</v>
      </c>
      <c r="EL276" s="2346">
        <v>139.05000000000001</v>
      </c>
      <c r="EM276" s="2346">
        <v>140.41</v>
      </c>
      <c r="EN276" s="2346">
        <v>147.18</v>
      </c>
      <c r="EO276" s="2346">
        <v>154.85</v>
      </c>
      <c r="EP276" s="2346">
        <v>166.37</v>
      </c>
      <c r="EQ276" s="2346">
        <v>173.81</v>
      </c>
      <c r="ER276" s="2346">
        <v>188.37</v>
      </c>
      <c r="ES276" s="2346">
        <v>200.56</v>
      </c>
      <c r="ET276" s="2346">
        <v>216.25</v>
      </c>
      <c r="EU276" s="2346">
        <v>228.67</v>
      </c>
      <c r="EV276" s="2346">
        <v>238.83</v>
      </c>
      <c r="EW276" s="2346">
        <v>265.01</v>
      </c>
      <c r="EX276" s="2346">
        <v>291.31</v>
      </c>
      <c r="EY276" s="2346">
        <v>327.31</v>
      </c>
      <c r="EZ276" s="2346">
        <v>329.01</v>
      </c>
      <c r="FA276" s="2346">
        <v>329.01</v>
      </c>
      <c r="FB276" s="2347">
        <v>1250</v>
      </c>
      <c r="FC276" s="2275"/>
      <c r="FD276" s="2276">
        <f>HLOOKUP(FD265,EA266:FA278,9,0)</f>
        <v>57</v>
      </c>
      <c r="FE276" s="2276">
        <f t="shared" si="266"/>
        <v>76.52</v>
      </c>
      <c r="FF276" s="2275">
        <v>1100</v>
      </c>
      <c r="FG276" s="2275"/>
      <c r="FH276" s="2275"/>
      <c r="FI276" s="2275"/>
      <c r="FJ276" s="2275"/>
      <c r="FK276" s="2275"/>
      <c r="FL276" s="2275"/>
      <c r="FM276" s="2250"/>
      <c r="FN276" s="2250"/>
      <c r="FO276" s="2250"/>
      <c r="FP276" s="2250"/>
      <c r="FQ276" s="2250"/>
      <c r="FR276" s="2250"/>
      <c r="FS276" s="2250"/>
      <c r="FT276" s="2250"/>
      <c r="FU276" s="2250"/>
      <c r="FV276" s="2250"/>
      <c r="FW276" s="2250"/>
      <c r="FX276" s="2250"/>
      <c r="FY276" s="2250"/>
      <c r="FZ276" s="2250"/>
      <c r="GA276" s="2250"/>
      <c r="GB276" s="2250"/>
      <c r="GC276" s="2276"/>
      <c r="GD276" s="2276"/>
      <c r="GE276" s="2250"/>
      <c r="GF276" s="2275"/>
      <c r="GG276" s="2275"/>
      <c r="GH276" s="2345">
        <v>1250</v>
      </c>
      <c r="GI276" s="2346">
        <v>57.45</v>
      </c>
      <c r="GJ276" s="2346">
        <v>64.790000000000006</v>
      </c>
      <c r="GK276" s="2346">
        <v>71.78</v>
      </c>
      <c r="GL276" s="2346">
        <v>79.459999999999994</v>
      </c>
      <c r="GM276" s="2346">
        <v>86.79</v>
      </c>
      <c r="GN276" s="2346">
        <v>81.83</v>
      </c>
      <c r="GO276" s="2346">
        <v>90.63</v>
      </c>
      <c r="GP276" s="2346">
        <v>96.5</v>
      </c>
      <c r="GQ276" s="2346">
        <v>105.87</v>
      </c>
      <c r="GR276" s="2346">
        <v>107.9</v>
      </c>
      <c r="GS276" s="2346">
        <v>119.53</v>
      </c>
      <c r="GT276" s="2346">
        <v>139.05000000000001</v>
      </c>
      <c r="GU276" s="2346">
        <v>140.41</v>
      </c>
      <c r="GV276" s="2346">
        <v>147.18</v>
      </c>
      <c r="GW276" s="2346">
        <v>154.85</v>
      </c>
      <c r="GX276" s="2346">
        <v>166.37</v>
      </c>
      <c r="GY276" s="2346">
        <v>173.81</v>
      </c>
      <c r="GZ276" s="2346">
        <v>188.37</v>
      </c>
      <c r="HA276" s="2346">
        <v>200.56</v>
      </c>
      <c r="HB276" s="2346">
        <v>216.25</v>
      </c>
      <c r="HC276" s="2346">
        <v>228.67</v>
      </c>
      <c r="HD276" s="2346">
        <v>238.83</v>
      </c>
      <c r="HE276" s="2346">
        <v>265.01</v>
      </c>
      <c r="HF276" s="2346">
        <v>291.31</v>
      </c>
      <c r="HG276" s="2346">
        <v>327.31</v>
      </c>
      <c r="HH276" s="2346">
        <v>329.01</v>
      </c>
      <c r="HI276" s="2346">
        <v>329.01</v>
      </c>
      <c r="HJ276" s="2347">
        <v>1250</v>
      </c>
      <c r="HK276" s="2275"/>
      <c r="HL276" s="2276">
        <f>HLOOKUP(HL265,GI266:HI278,9,0)</f>
        <v>52.14</v>
      </c>
      <c r="HM276" s="2276">
        <f t="shared" si="267"/>
        <v>72.010000000000005</v>
      </c>
      <c r="HN276" s="2275">
        <v>1100</v>
      </c>
      <c r="HO276" s="2275"/>
      <c r="HP276" s="2275"/>
      <c r="HQ276" s="2275"/>
      <c r="HR276" s="2275"/>
      <c r="HS276" s="2275"/>
      <c r="HT276" s="2275"/>
      <c r="HU276" s="2250"/>
      <c r="HV276" s="2250"/>
      <c r="HW276" s="2250"/>
      <c r="HX276" s="2250"/>
      <c r="HY276" s="2250"/>
      <c r="HZ276" s="2250"/>
      <c r="IA276" s="2250"/>
      <c r="IB276" s="2250"/>
      <c r="IC276" s="2250"/>
      <c r="ID276" s="2250"/>
      <c r="IE276" s="2250"/>
      <c r="IF276" s="2250"/>
      <c r="IG276" s="2250"/>
      <c r="IH276" s="2250"/>
      <c r="II276" s="2250"/>
      <c r="IJ276" s="2250"/>
      <c r="IK276" s="2250"/>
      <c r="IL276" s="2250"/>
    </row>
    <row r="277" spans="1:246" ht="21.95" customHeight="1">
      <c r="A277" s="2275"/>
      <c r="B277" s="2275"/>
      <c r="C277" s="2345">
        <v>1650</v>
      </c>
      <c r="D277" s="2346">
        <v>158.01</v>
      </c>
      <c r="E277" s="2346">
        <v>145.03</v>
      </c>
      <c r="F277" s="2346">
        <v>160.61000000000001</v>
      </c>
      <c r="G277" s="2346">
        <v>162.19</v>
      </c>
      <c r="H277" s="2346">
        <v>170.43</v>
      </c>
      <c r="I277" s="2346">
        <v>183.18</v>
      </c>
      <c r="J277" s="2346">
        <v>194.92</v>
      </c>
      <c r="K277" s="2346">
        <v>216.03</v>
      </c>
      <c r="L277" s="2346">
        <v>229.57</v>
      </c>
      <c r="M277" s="2346">
        <v>243.91</v>
      </c>
      <c r="N277" s="2346">
        <v>257.45</v>
      </c>
      <c r="O277" s="2346">
        <v>299.20999999999998</v>
      </c>
      <c r="P277" s="2346">
        <v>305.08</v>
      </c>
      <c r="Q277" s="2346">
        <v>319.3</v>
      </c>
      <c r="R277" s="2346">
        <v>339.39</v>
      </c>
      <c r="S277" s="2346">
        <v>358.8</v>
      </c>
      <c r="T277" s="2346">
        <v>377.31</v>
      </c>
      <c r="U277" s="2346">
        <v>400.45</v>
      </c>
      <c r="V277" s="2346">
        <v>412.98</v>
      </c>
      <c r="W277" s="2346">
        <v>455.53</v>
      </c>
      <c r="X277" s="2346">
        <v>501.81</v>
      </c>
      <c r="Y277" s="2346">
        <v>547.4</v>
      </c>
      <c r="Z277" s="2346">
        <v>600.34</v>
      </c>
      <c r="AA277" s="2346">
        <v>652.03</v>
      </c>
      <c r="AB277" s="2346">
        <v>726.75</v>
      </c>
      <c r="AC277" s="2346">
        <v>792.66</v>
      </c>
      <c r="AD277" s="2346">
        <v>902.82</v>
      </c>
      <c r="AE277" s="2347">
        <v>1650</v>
      </c>
      <c r="AF277" s="2275"/>
      <c r="AG277" s="2276">
        <f>HLOOKUP(AG264,D265:AD277,11,0)</f>
        <v>71.78</v>
      </c>
      <c r="AH277" s="2276">
        <f t="shared" si="264"/>
        <v>110.5</v>
      </c>
      <c r="AI277" s="2275">
        <v>1450</v>
      </c>
      <c r="AJ277" s="2275"/>
      <c r="AK277" s="2275"/>
      <c r="AL277" s="2275"/>
      <c r="AM277" s="2275"/>
      <c r="AN277" s="2275"/>
      <c r="AO277" s="2275"/>
      <c r="AP277" s="2250"/>
      <c r="AQ277" s="2250"/>
      <c r="AR277" s="2250"/>
      <c r="AS277" s="2250"/>
      <c r="AT277" s="2250"/>
      <c r="AU277" s="2250"/>
      <c r="AV277" s="2250"/>
      <c r="AW277" s="2250"/>
      <c r="AX277" s="2250"/>
      <c r="AY277" s="2250"/>
      <c r="AZ277" s="2250"/>
      <c r="BA277" s="2250"/>
      <c r="BB277" s="2250"/>
      <c r="BC277" s="2250"/>
      <c r="BD277" s="2250"/>
      <c r="BE277" s="2250"/>
      <c r="BF277" s="2276"/>
      <c r="BG277" s="2276"/>
      <c r="BH277" s="2250"/>
      <c r="BI277" s="2275"/>
      <c r="BJ277" s="2275"/>
      <c r="BK277" s="2345">
        <v>1650</v>
      </c>
      <c r="BL277" s="2346">
        <v>158.01</v>
      </c>
      <c r="BM277" s="2346">
        <v>145.03</v>
      </c>
      <c r="BN277" s="2346">
        <v>160.61000000000001</v>
      </c>
      <c r="BO277" s="2346">
        <v>162.19</v>
      </c>
      <c r="BP277" s="2346">
        <v>170.43</v>
      </c>
      <c r="BQ277" s="2346">
        <v>183.18</v>
      </c>
      <c r="BR277" s="2346">
        <v>194.92</v>
      </c>
      <c r="BS277" s="2346">
        <v>216.03</v>
      </c>
      <c r="BT277" s="2346">
        <v>229.57</v>
      </c>
      <c r="BU277" s="2346">
        <v>243.91</v>
      </c>
      <c r="BV277" s="2346">
        <v>257.45</v>
      </c>
      <c r="BW277" s="2346">
        <v>299.20999999999998</v>
      </c>
      <c r="BX277" s="2346">
        <v>305.08</v>
      </c>
      <c r="BY277" s="2346">
        <v>319.3</v>
      </c>
      <c r="BZ277" s="2346">
        <v>339.39</v>
      </c>
      <c r="CA277" s="2346">
        <v>358.8</v>
      </c>
      <c r="CB277" s="2346">
        <v>377.31</v>
      </c>
      <c r="CC277" s="2346">
        <v>400.45</v>
      </c>
      <c r="CD277" s="2346">
        <v>412.98</v>
      </c>
      <c r="CE277" s="2346">
        <v>455.53</v>
      </c>
      <c r="CF277" s="2346">
        <v>501.81</v>
      </c>
      <c r="CG277" s="2346">
        <v>547.4</v>
      </c>
      <c r="CH277" s="2346">
        <v>600.34</v>
      </c>
      <c r="CI277" s="2346">
        <v>652.03</v>
      </c>
      <c r="CJ277" s="2346">
        <v>726.75</v>
      </c>
      <c r="CK277" s="2346">
        <v>792.66</v>
      </c>
      <c r="CL277" s="2346">
        <v>902.82</v>
      </c>
      <c r="CM277" s="2347">
        <v>1650</v>
      </c>
      <c r="CN277" s="2275"/>
      <c r="CO277" s="2276">
        <f>HLOOKUP(CO264,BL265:CL277,11,0)</f>
        <v>64.790000000000006</v>
      </c>
      <c r="CP277" s="2276">
        <f t="shared" si="265"/>
        <v>99.77</v>
      </c>
      <c r="CQ277" s="2275">
        <v>1450</v>
      </c>
      <c r="CR277" s="2275"/>
      <c r="CS277" s="2275"/>
      <c r="CT277" s="2275"/>
      <c r="CU277" s="2275"/>
      <c r="CV277" s="2275"/>
      <c r="CW277" s="2275"/>
      <c r="CX277" s="2250"/>
      <c r="CY277" s="2250"/>
      <c r="CZ277" s="2250"/>
      <c r="DA277" s="2250"/>
      <c r="DB277" s="2250"/>
      <c r="DC277" s="2250"/>
      <c r="DD277" s="2250"/>
      <c r="DE277" s="2250"/>
      <c r="DF277" s="2250"/>
      <c r="DG277" s="2250"/>
      <c r="DH277" s="2250"/>
      <c r="DI277" s="2250"/>
      <c r="DJ277" s="2250"/>
      <c r="DK277" s="2250"/>
      <c r="DL277" s="2250"/>
      <c r="DM277" s="2250"/>
      <c r="DN277" s="2250"/>
      <c r="DO277" s="2250"/>
      <c r="DP277" s="2250"/>
      <c r="DQ277" s="2277"/>
      <c r="DR277" s="2277"/>
      <c r="DS277" s="2278"/>
      <c r="DT277" s="2250"/>
      <c r="DU277" s="2250"/>
      <c r="DV277" s="2250"/>
      <c r="DW277" s="2250"/>
      <c r="DX277" s="2275"/>
      <c r="DY277" s="2275"/>
      <c r="DZ277" s="2345">
        <v>1450</v>
      </c>
      <c r="EA277" s="2346">
        <v>88.49</v>
      </c>
      <c r="EB277" s="2346">
        <v>99.77</v>
      </c>
      <c r="EC277" s="2346">
        <v>110.5</v>
      </c>
      <c r="ED277" s="2346">
        <v>120.77</v>
      </c>
      <c r="EE277" s="2346">
        <v>120.77</v>
      </c>
      <c r="EF277" s="2346">
        <v>125.96</v>
      </c>
      <c r="EG277" s="2346">
        <v>139.5</v>
      </c>
      <c r="EH277" s="2346">
        <v>148.65</v>
      </c>
      <c r="EI277" s="2346">
        <v>160.84</v>
      </c>
      <c r="EJ277" s="2346">
        <v>173.02</v>
      </c>
      <c r="EK277" s="2346">
        <v>177.09</v>
      </c>
      <c r="EL277" s="2346">
        <v>200.9</v>
      </c>
      <c r="EM277" s="2346">
        <v>209.82</v>
      </c>
      <c r="EN277" s="2346">
        <v>217.38</v>
      </c>
      <c r="EO277" s="2346">
        <v>227.43</v>
      </c>
      <c r="EP277" s="2346">
        <v>248.76</v>
      </c>
      <c r="EQ277" s="2346">
        <v>266.48</v>
      </c>
      <c r="ER277" s="2346">
        <v>286.12</v>
      </c>
      <c r="ES277" s="2346">
        <v>290.07</v>
      </c>
      <c r="ET277" s="2346">
        <v>328.44</v>
      </c>
      <c r="EU277" s="2346">
        <v>343.34</v>
      </c>
      <c r="EV277" s="2346">
        <v>371.67</v>
      </c>
      <c r="EW277" s="2346">
        <v>404.74</v>
      </c>
      <c r="EX277" s="2346">
        <v>417.04</v>
      </c>
      <c r="EY277" s="2346">
        <v>491.31</v>
      </c>
      <c r="EZ277" s="2346">
        <v>542.78</v>
      </c>
      <c r="FA277" s="2346">
        <v>568.51</v>
      </c>
      <c r="FB277" s="2347">
        <v>1450</v>
      </c>
      <c r="FC277" s="2275"/>
      <c r="FD277" s="2276">
        <f>HLOOKUP(FD265,EA266:FA278,10,0)</f>
        <v>76.52</v>
      </c>
      <c r="FE277" s="2276">
        <f t="shared" si="266"/>
        <v>107.9</v>
      </c>
      <c r="FF277" s="2275">
        <v>1250</v>
      </c>
      <c r="FG277" s="2275"/>
      <c r="FH277" s="2275"/>
      <c r="FI277" s="2275"/>
      <c r="FJ277" s="2275"/>
      <c r="FK277" s="2275"/>
      <c r="FL277" s="2275"/>
      <c r="FM277" s="2250"/>
      <c r="FN277" s="2250"/>
      <c r="FO277" s="2250"/>
      <c r="FP277" s="2250"/>
      <c r="FQ277" s="2250"/>
      <c r="FR277" s="2250"/>
      <c r="FS277" s="2250"/>
      <c r="FT277" s="2250"/>
      <c r="FU277" s="2250"/>
      <c r="FV277" s="2250"/>
      <c r="FW277" s="2250"/>
      <c r="FX277" s="2250"/>
      <c r="FY277" s="2250"/>
      <c r="FZ277" s="2250"/>
      <c r="GA277" s="2250"/>
      <c r="GB277" s="2250"/>
      <c r="GC277" s="2276"/>
      <c r="GD277" s="2276"/>
      <c r="GE277" s="2250"/>
      <c r="GF277" s="2275"/>
      <c r="GG277" s="2275"/>
      <c r="GH277" s="2345">
        <v>1450</v>
      </c>
      <c r="GI277" s="2346">
        <v>88.49</v>
      </c>
      <c r="GJ277" s="2346">
        <v>99.77</v>
      </c>
      <c r="GK277" s="2346">
        <v>110.5</v>
      </c>
      <c r="GL277" s="2346">
        <v>120.77</v>
      </c>
      <c r="GM277" s="2346">
        <v>120.77</v>
      </c>
      <c r="GN277" s="2346">
        <v>125.96</v>
      </c>
      <c r="GO277" s="2346">
        <v>139.5</v>
      </c>
      <c r="GP277" s="2346">
        <v>148.65</v>
      </c>
      <c r="GQ277" s="2346">
        <v>160.84</v>
      </c>
      <c r="GR277" s="2346">
        <v>173.02</v>
      </c>
      <c r="GS277" s="2346">
        <v>177.09</v>
      </c>
      <c r="GT277" s="2346">
        <v>200.9</v>
      </c>
      <c r="GU277" s="2346">
        <v>209.82</v>
      </c>
      <c r="GV277" s="2346">
        <v>217.38</v>
      </c>
      <c r="GW277" s="2346">
        <v>227.43</v>
      </c>
      <c r="GX277" s="2346">
        <v>248.76</v>
      </c>
      <c r="GY277" s="2346">
        <v>266.48</v>
      </c>
      <c r="GZ277" s="2346">
        <v>286.12</v>
      </c>
      <c r="HA277" s="2346">
        <v>290.07</v>
      </c>
      <c r="HB277" s="2346">
        <v>328.44</v>
      </c>
      <c r="HC277" s="2346">
        <v>343.34</v>
      </c>
      <c r="HD277" s="2346">
        <v>371.67</v>
      </c>
      <c r="HE277" s="2346">
        <v>404.74</v>
      </c>
      <c r="HF277" s="2346">
        <v>417.04</v>
      </c>
      <c r="HG277" s="2346">
        <v>491.31</v>
      </c>
      <c r="HH277" s="2346">
        <v>542.78</v>
      </c>
      <c r="HI277" s="2346">
        <v>568.51</v>
      </c>
      <c r="HJ277" s="2347">
        <v>1450</v>
      </c>
      <c r="HK277" s="2275"/>
      <c r="HL277" s="2276">
        <f>HLOOKUP(HL265,GI266:HI278,10,0)</f>
        <v>72.010000000000005</v>
      </c>
      <c r="HM277" s="2276">
        <f t="shared" si="267"/>
        <v>105.87</v>
      </c>
      <c r="HN277" s="2275">
        <v>1250</v>
      </c>
      <c r="HO277" s="2275"/>
      <c r="HP277" s="2275"/>
      <c r="HQ277" s="2275"/>
      <c r="HR277" s="2275"/>
      <c r="HS277" s="2275"/>
      <c r="HT277" s="2275"/>
      <c r="HU277" s="2250"/>
      <c r="HV277" s="2250"/>
      <c r="HW277" s="2250"/>
      <c r="HX277" s="2250"/>
      <c r="HY277" s="2250"/>
      <c r="HZ277" s="2250"/>
      <c r="IA277" s="2250"/>
      <c r="IB277" s="2250"/>
      <c r="IC277" s="2250"/>
      <c r="ID277" s="2250"/>
      <c r="IE277" s="2250"/>
      <c r="IF277" s="2250"/>
      <c r="IG277" s="2250"/>
      <c r="IH277" s="2250"/>
      <c r="II277" s="2250"/>
      <c r="IJ277" s="2250"/>
      <c r="IK277" s="2250"/>
      <c r="IL277" s="2250"/>
    </row>
    <row r="278" spans="1:246" ht="21.95" customHeight="1">
      <c r="A278" s="2275"/>
      <c r="B278" s="2275"/>
      <c r="C278" s="2275"/>
      <c r="D278" s="2275"/>
      <c r="E278" s="2275"/>
      <c r="F278" s="2275"/>
      <c r="G278" s="2275"/>
      <c r="H278" s="2275"/>
      <c r="I278" s="2275"/>
      <c r="J278" s="2275"/>
      <c r="K278" s="2275"/>
      <c r="L278" s="2275"/>
      <c r="M278" s="2275"/>
      <c r="N278" s="2275"/>
      <c r="O278" s="2275"/>
      <c r="P278" s="2275"/>
      <c r="Q278" s="2275"/>
      <c r="R278" s="2275"/>
      <c r="S278" s="2275"/>
      <c r="T278" s="2275"/>
      <c r="U278" s="2275"/>
      <c r="V278" s="2275"/>
      <c r="W278" s="2275"/>
      <c r="X278" s="2275"/>
      <c r="Y278" s="2275"/>
      <c r="Z278" s="2275"/>
      <c r="AA278" s="2275"/>
      <c r="AB278" s="2275"/>
      <c r="AC278" s="2275"/>
      <c r="AD278" s="2275"/>
      <c r="AE278" s="2346"/>
      <c r="AF278" s="2275"/>
      <c r="AG278" s="2276">
        <f>HLOOKUP(AG264,D265:AD277,12,0)</f>
        <v>110.5</v>
      </c>
      <c r="AH278" s="2276">
        <f t="shared" si="264"/>
        <v>160.61000000000001</v>
      </c>
      <c r="AI278" s="2275">
        <v>1650</v>
      </c>
      <c r="AJ278" s="2275"/>
      <c r="AK278" s="2275"/>
      <c r="AL278" s="2275"/>
      <c r="AM278" s="2275"/>
      <c r="AN278" s="2275"/>
      <c r="AO278" s="2275"/>
      <c r="AP278" s="2250"/>
      <c r="AQ278" s="2250"/>
      <c r="AR278" s="2250"/>
      <c r="AS278" s="2250"/>
      <c r="AT278" s="2250"/>
      <c r="AU278" s="2250"/>
      <c r="AV278" s="2250"/>
      <c r="AW278" s="2250"/>
      <c r="AX278" s="2250"/>
      <c r="AY278" s="2250"/>
      <c r="AZ278" s="2250"/>
      <c r="BA278" s="2250"/>
      <c r="BB278" s="2250"/>
      <c r="BC278" s="2250"/>
      <c r="BD278" s="2250"/>
      <c r="BE278" s="2250"/>
      <c r="BF278" s="2276"/>
      <c r="BG278" s="2276"/>
      <c r="BH278" s="2250"/>
      <c r="BI278" s="2275"/>
      <c r="BJ278" s="2275"/>
      <c r="BK278" s="2275"/>
      <c r="BL278" s="2275"/>
      <c r="BM278" s="2275"/>
      <c r="BN278" s="2275"/>
      <c r="BO278" s="2275"/>
      <c r="BP278" s="2275"/>
      <c r="BQ278" s="2275"/>
      <c r="BR278" s="2275"/>
      <c r="BS278" s="2275"/>
      <c r="BT278" s="2275"/>
      <c r="BU278" s="2275"/>
      <c r="BV278" s="2275"/>
      <c r="BW278" s="2275"/>
      <c r="BX278" s="2275"/>
      <c r="BY278" s="2275"/>
      <c r="BZ278" s="2275"/>
      <c r="CA278" s="2275"/>
      <c r="CB278" s="2275"/>
      <c r="CC278" s="2275"/>
      <c r="CD278" s="2275"/>
      <c r="CE278" s="2275"/>
      <c r="CF278" s="2275"/>
      <c r="CG278" s="2275"/>
      <c r="CH278" s="2275"/>
      <c r="CI278" s="2275"/>
      <c r="CJ278" s="2275"/>
      <c r="CK278" s="2275"/>
      <c r="CL278" s="2275"/>
      <c r="CM278" s="2346"/>
      <c r="CN278" s="2275"/>
      <c r="CO278" s="2276">
        <f>HLOOKUP(CO264,BL265:CL277,12,0)</f>
        <v>99.77</v>
      </c>
      <c r="CP278" s="2276">
        <f t="shared" si="265"/>
        <v>145.03</v>
      </c>
      <c r="CQ278" s="2275">
        <v>1650</v>
      </c>
      <c r="CR278" s="2275"/>
      <c r="CS278" s="2275"/>
      <c r="CT278" s="2275"/>
      <c r="CU278" s="2275"/>
      <c r="CV278" s="2275"/>
      <c r="CW278" s="2275"/>
      <c r="CX278" s="2250"/>
      <c r="CY278" s="2250"/>
      <c r="CZ278" s="2250"/>
      <c r="DA278" s="2250"/>
      <c r="DB278" s="2250"/>
      <c r="DC278" s="2250"/>
      <c r="DD278" s="2250"/>
      <c r="DE278" s="2250"/>
      <c r="DF278" s="2250"/>
      <c r="DG278" s="2250"/>
      <c r="DH278" s="2250"/>
      <c r="DI278" s="2250"/>
      <c r="DJ278" s="2250"/>
      <c r="DK278" s="2250"/>
      <c r="DL278" s="2250"/>
      <c r="DM278" s="2250"/>
      <c r="DN278" s="2250"/>
      <c r="DO278" s="2250"/>
      <c r="DP278" s="2250"/>
      <c r="DQ278" s="2277"/>
      <c r="DR278" s="2277"/>
      <c r="DS278" s="2278"/>
      <c r="DT278" s="2250"/>
      <c r="DU278" s="2250"/>
      <c r="DV278" s="2250"/>
      <c r="DW278" s="2250"/>
      <c r="DX278" s="2275"/>
      <c r="DY278" s="2275"/>
      <c r="DZ278" s="2345">
        <v>1650</v>
      </c>
      <c r="EA278" s="2346">
        <v>158.01</v>
      </c>
      <c r="EB278" s="2346">
        <v>145.03</v>
      </c>
      <c r="EC278" s="2346">
        <v>160.61000000000001</v>
      </c>
      <c r="ED278" s="2346">
        <v>162.19</v>
      </c>
      <c r="EE278" s="2346">
        <v>170.43</v>
      </c>
      <c r="EF278" s="2346">
        <v>183.18</v>
      </c>
      <c r="EG278" s="2346">
        <v>194.92</v>
      </c>
      <c r="EH278" s="2346">
        <v>216.03</v>
      </c>
      <c r="EI278" s="2346">
        <v>229.57</v>
      </c>
      <c r="EJ278" s="2346">
        <v>243.91</v>
      </c>
      <c r="EK278" s="2346">
        <v>257.45</v>
      </c>
      <c r="EL278" s="2346">
        <v>299.20999999999998</v>
      </c>
      <c r="EM278" s="2346">
        <v>305.08</v>
      </c>
      <c r="EN278" s="2346">
        <v>319.3</v>
      </c>
      <c r="EO278" s="2346">
        <v>339.39</v>
      </c>
      <c r="EP278" s="2346">
        <v>358.8</v>
      </c>
      <c r="EQ278" s="2346">
        <v>377.31</v>
      </c>
      <c r="ER278" s="2346">
        <v>400.45</v>
      </c>
      <c r="ES278" s="2346">
        <v>412.98</v>
      </c>
      <c r="ET278" s="2346">
        <v>455.53</v>
      </c>
      <c r="EU278" s="2346">
        <v>501.81</v>
      </c>
      <c r="EV278" s="2346">
        <v>547.4</v>
      </c>
      <c r="EW278" s="2346">
        <v>600.34</v>
      </c>
      <c r="EX278" s="2346">
        <v>652.03</v>
      </c>
      <c r="EY278" s="2346">
        <v>726.75</v>
      </c>
      <c r="EZ278" s="2346">
        <v>792.66</v>
      </c>
      <c r="FA278" s="2346">
        <v>902.82</v>
      </c>
      <c r="FB278" s="2347">
        <v>1650</v>
      </c>
      <c r="FC278" s="2275"/>
      <c r="FD278" s="2276">
        <f>HLOOKUP(FD265,EA266:FA278,11,0)</f>
        <v>107.9</v>
      </c>
      <c r="FE278" s="2276">
        <f t="shared" si="266"/>
        <v>173.02</v>
      </c>
      <c r="FF278" s="2275">
        <v>1450</v>
      </c>
      <c r="FG278" s="2275"/>
      <c r="FH278" s="2275"/>
      <c r="FI278" s="2275"/>
      <c r="FJ278" s="2275"/>
      <c r="FK278" s="2275"/>
      <c r="FL278" s="2275"/>
      <c r="FM278" s="2250"/>
      <c r="FN278" s="2250"/>
      <c r="FO278" s="2250"/>
      <c r="FP278" s="2250"/>
      <c r="FQ278" s="2250"/>
      <c r="FR278" s="2250"/>
      <c r="FS278" s="2250"/>
      <c r="FT278" s="2250"/>
      <c r="FU278" s="2250"/>
      <c r="FV278" s="2250"/>
      <c r="FW278" s="2250"/>
      <c r="FX278" s="2250"/>
      <c r="FY278" s="2250"/>
      <c r="FZ278" s="2250"/>
      <c r="GA278" s="2250"/>
      <c r="GB278" s="2250"/>
      <c r="GC278" s="2276"/>
      <c r="GD278" s="2276"/>
      <c r="GE278" s="2250"/>
      <c r="GF278" s="2275"/>
      <c r="GG278" s="2275"/>
      <c r="GH278" s="2345">
        <v>1650</v>
      </c>
      <c r="GI278" s="2346">
        <v>158.01</v>
      </c>
      <c r="GJ278" s="2346">
        <v>145.03</v>
      </c>
      <c r="GK278" s="2346">
        <v>160.61000000000001</v>
      </c>
      <c r="GL278" s="2346">
        <v>162.19</v>
      </c>
      <c r="GM278" s="2346">
        <v>170.43</v>
      </c>
      <c r="GN278" s="2346">
        <v>183.18</v>
      </c>
      <c r="GO278" s="2346">
        <v>194.92</v>
      </c>
      <c r="GP278" s="2346">
        <v>216.03</v>
      </c>
      <c r="GQ278" s="2346">
        <v>229.57</v>
      </c>
      <c r="GR278" s="2346">
        <v>243.91</v>
      </c>
      <c r="GS278" s="2346">
        <v>257.45</v>
      </c>
      <c r="GT278" s="2346">
        <v>299.20999999999998</v>
      </c>
      <c r="GU278" s="2346">
        <v>305.08</v>
      </c>
      <c r="GV278" s="2346">
        <v>319.3</v>
      </c>
      <c r="GW278" s="2346">
        <v>339.39</v>
      </c>
      <c r="GX278" s="2346">
        <v>358.8</v>
      </c>
      <c r="GY278" s="2346">
        <v>377.31</v>
      </c>
      <c r="GZ278" s="2346">
        <v>400.45</v>
      </c>
      <c r="HA278" s="2346">
        <v>412.98</v>
      </c>
      <c r="HB278" s="2346">
        <v>455.53</v>
      </c>
      <c r="HC278" s="2346">
        <v>501.81</v>
      </c>
      <c r="HD278" s="2346">
        <v>547.4</v>
      </c>
      <c r="HE278" s="2346">
        <v>600.34</v>
      </c>
      <c r="HF278" s="2346">
        <v>652.03</v>
      </c>
      <c r="HG278" s="2346">
        <v>726.75</v>
      </c>
      <c r="HH278" s="2346">
        <v>792.66</v>
      </c>
      <c r="HI278" s="2346">
        <v>902.82</v>
      </c>
      <c r="HJ278" s="2347">
        <v>1650</v>
      </c>
      <c r="HK278" s="2275"/>
      <c r="HL278" s="2276">
        <f>HLOOKUP(HL265,GI266:HI278,11,0)</f>
        <v>105.87</v>
      </c>
      <c r="HM278" s="2276">
        <f t="shared" si="267"/>
        <v>160.84</v>
      </c>
      <c r="HN278" s="2275">
        <v>1450</v>
      </c>
      <c r="HO278" s="2275"/>
      <c r="HP278" s="2275"/>
      <c r="HQ278" s="2275"/>
      <c r="HR278" s="2275"/>
      <c r="HS278" s="2275"/>
      <c r="HT278" s="2275"/>
      <c r="HU278" s="2250"/>
      <c r="HV278" s="2250"/>
      <c r="HW278" s="2250"/>
      <c r="HX278" s="2250"/>
      <c r="HY278" s="2250"/>
      <c r="HZ278" s="2250"/>
      <c r="IA278" s="2250"/>
      <c r="IB278" s="2250"/>
      <c r="IC278" s="2250"/>
      <c r="ID278" s="2250"/>
      <c r="IE278" s="2250"/>
      <c r="IF278" s="2250"/>
      <c r="IG278" s="2250"/>
      <c r="IH278" s="2250"/>
      <c r="II278" s="2250"/>
      <c r="IJ278" s="2250"/>
      <c r="IK278" s="2250"/>
      <c r="IL278" s="2250"/>
    </row>
    <row r="279" spans="1:246" ht="21.95" customHeight="1">
      <c r="A279" s="2275"/>
      <c r="B279" s="2276">
        <f>AG264</f>
        <v>190.4</v>
      </c>
      <c r="C279" s="2275">
        <v>0</v>
      </c>
      <c r="D279" s="2276">
        <f>VLOOKUP(B281,C267:AD277,2,0)</f>
        <v>20.99</v>
      </c>
      <c r="E279" s="2276">
        <f>VLOOKUP(B281,C267:E277,3,0)</f>
        <v>23.25</v>
      </c>
      <c r="F279" s="2276">
        <f>VLOOKUP(B281,C267:F277,4,0)</f>
        <v>25.17</v>
      </c>
      <c r="G279" s="2276">
        <f>VLOOKUP(B281,C267:G277,5,0)</f>
        <v>25.28</v>
      </c>
      <c r="H279" s="2276">
        <f>VLOOKUP(B281,C267:H277,6,0)</f>
        <v>28.1</v>
      </c>
      <c r="I279" s="2276">
        <f>VLOOKUP(B281,C267:I277,7,0)</f>
        <v>28.67</v>
      </c>
      <c r="J279" s="2276">
        <f>VLOOKUP(B281,C267:J277,8,0)</f>
        <v>31.6</v>
      </c>
      <c r="K279" s="2276">
        <f>VLOOKUP(B281,C267:K277,9,0)</f>
        <v>33.75</v>
      </c>
      <c r="L279" s="2276">
        <f>VLOOKUP(B281,C267:L277,10,0)</f>
        <v>35.89</v>
      </c>
      <c r="M279" s="2276">
        <f>VLOOKUP(B281,C267:M277,11,0)</f>
        <v>38.04</v>
      </c>
      <c r="N279" s="2276">
        <f>VLOOKUP(B281,C267:N277,12,0)</f>
        <v>40.520000000000003</v>
      </c>
      <c r="O279" s="2276">
        <f>VLOOKUP(B281,C267:O277,13,0)</f>
        <v>45.49</v>
      </c>
      <c r="P279" s="2276">
        <f>VLOOKUP(B281,C267:P277,14,0)</f>
        <v>47.74</v>
      </c>
      <c r="Q279" s="2276">
        <f>VLOOKUP(B281,C267:Q277,15,0)</f>
        <v>48.31</v>
      </c>
      <c r="R279" s="2276">
        <f>VLOOKUP(B281,C267:R277,16,0)</f>
        <v>49.89</v>
      </c>
      <c r="S279" s="2276">
        <f>VLOOKUP(B281,C267:S277,17,0)</f>
        <v>54.63</v>
      </c>
      <c r="T279" s="2276">
        <f>VLOOKUP(B281,C267:T277,18,0)</f>
        <v>54.85</v>
      </c>
      <c r="U279" s="2276">
        <f>VLOOKUP(B281,C267:U277,19,0)</f>
        <v>60.72</v>
      </c>
      <c r="V279" s="2276">
        <f>VLOOKUP(B281,C267:V277,20,0)</f>
        <v>64.11</v>
      </c>
      <c r="W279" s="2276">
        <f>VLOOKUP(B281,C267:W277,21,0)</f>
        <v>67.489999999999995</v>
      </c>
      <c r="X279" s="2276">
        <f>VLOOKUP(B281,C267:X277,22,0)</f>
        <v>73.59</v>
      </c>
      <c r="Y279" s="2276">
        <f>VLOOKUP(B281,C267:Y277,23,0)</f>
        <v>79.8</v>
      </c>
      <c r="Z279" s="2276">
        <f>VLOOKUP(B281,C267:Z277,24,0)</f>
        <v>89.84</v>
      </c>
      <c r="AA279" s="2276">
        <f>VLOOKUP(B281,C267:AA277,25,0)</f>
        <v>99.55</v>
      </c>
      <c r="AB279" s="2276">
        <f>VLOOKUP(B281,C267:AB277,26,0)</f>
        <v>110.5</v>
      </c>
      <c r="AC279" s="2276">
        <f>VLOOKUP(B281,C267:AC277,27,0)</f>
        <v>112.87</v>
      </c>
      <c r="AD279" s="2276">
        <f>VLOOKUP(B281,C267:AD277,28,0)</f>
        <v>112.87</v>
      </c>
      <c r="AE279" s="2346"/>
      <c r="AF279" s="2275"/>
      <c r="AG279" s="2276">
        <f>HLOOKUP(AG264,D265:AD277,13,0)</f>
        <v>160.61000000000001</v>
      </c>
      <c r="AH279" s="2275"/>
      <c r="AI279" s="2275"/>
      <c r="AJ279" s="2275"/>
      <c r="AK279" s="2275"/>
      <c r="AL279" s="2275"/>
      <c r="AM279" s="2275"/>
      <c r="AN279" s="2275"/>
      <c r="AO279" s="2275"/>
      <c r="AP279" s="2250"/>
      <c r="AQ279" s="2250"/>
      <c r="AR279" s="2250"/>
      <c r="AS279" s="2250"/>
      <c r="AT279" s="2250"/>
      <c r="AU279" s="2250"/>
      <c r="AV279" s="2250"/>
      <c r="AW279" s="2250"/>
      <c r="AX279" s="2250"/>
      <c r="AY279" s="2250"/>
      <c r="AZ279" s="2250"/>
      <c r="BA279" s="2250"/>
      <c r="BB279" s="2250"/>
      <c r="BC279" s="2250"/>
      <c r="BD279" s="2250"/>
      <c r="BE279" s="2250"/>
      <c r="BF279" s="2276"/>
      <c r="BG279" s="2276"/>
      <c r="BH279" s="2250"/>
      <c r="BI279" s="2275"/>
      <c r="BJ279" s="2276">
        <f>CO264</f>
        <v>206.43</v>
      </c>
      <c r="BK279" s="2275">
        <v>0</v>
      </c>
      <c r="BL279" s="2276">
        <f>VLOOKUP(BJ281,BK267:CL277,2,0)</f>
        <v>20.99</v>
      </c>
      <c r="BM279" s="2276">
        <f>VLOOKUP(BJ281,BK267:BM277,3,0)</f>
        <v>23.25</v>
      </c>
      <c r="BN279" s="2276">
        <f>VLOOKUP(BJ281,BK267:BN277,4,0)</f>
        <v>25.17</v>
      </c>
      <c r="BO279" s="2276">
        <f>VLOOKUP(BJ281,BK267:BO277,5,0)</f>
        <v>25.28</v>
      </c>
      <c r="BP279" s="2276">
        <f>VLOOKUP(BJ281,BK267:BP277,6,0)</f>
        <v>28.1</v>
      </c>
      <c r="BQ279" s="2276">
        <f>VLOOKUP(BJ281,BK267:BQ277,7,0)</f>
        <v>28.67</v>
      </c>
      <c r="BR279" s="2276">
        <f>VLOOKUP(BJ281,BK267:BR277,8,0)</f>
        <v>31.6</v>
      </c>
      <c r="BS279" s="2276">
        <f>VLOOKUP(BJ281,BK267:BS277,9,0)</f>
        <v>33.75</v>
      </c>
      <c r="BT279" s="2276">
        <f>VLOOKUP(BJ281,BK267:BT277,10,0)</f>
        <v>35.89</v>
      </c>
      <c r="BU279" s="2276">
        <f>VLOOKUP(BJ281,BK267:BU277,11,0)</f>
        <v>38.04</v>
      </c>
      <c r="BV279" s="2276">
        <f>VLOOKUP(BJ281,BK267:BV277,12,0)</f>
        <v>40.520000000000003</v>
      </c>
      <c r="BW279" s="2276">
        <f>VLOOKUP(BJ281,BK267:BW277,13,0)</f>
        <v>45.49</v>
      </c>
      <c r="BX279" s="2276">
        <f>VLOOKUP(BJ281,BK267:BX277,14,0)</f>
        <v>47.74</v>
      </c>
      <c r="BY279" s="2276">
        <f>VLOOKUP(BJ281,BK267:BY277,15,0)</f>
        <v>48.31</v>
      </c>
      <c r="BZ279" s="2276">
        <f>VLOOKUP(BJ281,BK267:BZ277,16,0)</f>
        <v>49.89</v>
      </c>
      <c r="CA279" s="2276">
        <f>VLOOKUP(BJ281,BK267:CA277,17,0)</f>
        <v>54.63</v>
      </c>
      <c r="CB279" s="2276">
        <f>VLOOKUP(BJ281,BK267:CB277,18,0)</f>
        <v>54.85</v>
      </c>
      <c r="CC279" s="2276">
        <f>VLOOKUP(BJ281,BK267:CC277,19,0)</f>
        <v>60.72</v>
      </c>
      <c r="CD279" s="2276">
        <f>VLOOKUP(BJ281,BK267:CD277,20,0)</f>
        <v>64.11</v>
      </c>
      <c r="CE279" s="2276">
        <f>VLOOKUP(BJ281,BK267:CE277,21,0)</f>
        <v>67.489999999999995</v>
      </c>
      <c r="CF279" s="2276">
        <f>VLOOKUP(BJ281,BK267:CF277,22,0)</f>
        <v>73.59</v>
      </c>
      <c r="CG279" s="2276">
        <f>VLOOKUP(BJ281,BK267:CG277,23,0)</f>
        <v>79.8</v>
      </c>
      <c r="CH279" s="2276">
        <f>VLOOKUP(BJ281,BK267:CH277,24,0)</f>
        <v>89.84</v>
      </c>
      <c r="CI279" s="2276">
        <f>VLOOKUP(BJ281,BK267:CI277,25,0)</f>
        <v>99.55</v>
      </c>
      <c r="CJ279" s="2276">
        <f>VLOOKUP(BJ281,BK267:CJ277,26,0)</f>
        <v>110.5</v>
      </c>
      <c r="CK279" s="2276">
        <f>VLOOKUP(BJ281,BK267:CK277,27,0)</f>
        <v>112.87</v>
      </c>
      <c r="CL279" s="2276">
        <f>VLOOKUP(BJ281,BK267:CL277,28,0)</f>
        <v>112.87</v>
      </c>
      <c r="CM279" s="2346"/>
      <c r="CN279" s="2275"/>
      <c r="CO279" s="2276">
        <f>HLOOKUP(CO264,BL265:CL277,13,0)</f>
        <v>145.03</v>
      </c>
      <c r="CP279" s="2275"/>
      <c r="CQ279" s="2275"/>
      <c r="CR279" s="2275"/>
      <c r="CS279" s="2275"/>
      <c r="CT279" s="2275"/>
      <c r="CU279" s="2275"/>
      <c r="CV279" s="2275"/>
      <c r="CW279" s="2275"/>
      <c r="CX279" s="2250"/>
      <c r="CY279" s="2250"/>
      <c r="CZ279" s="2250"/>
      <c r="DA279" s="2250"/>
      <c r="DB279" s="2250"/>
      <c r="DC279" s="2250"/>
      <c r="DD279" s="2250"/>
      <c r="DE279" s="2250"/>
      <c r="DF279" s="2250"/>
      <c r="DG279" s="2250"/>
      <c r="DH279" s="2250"/>
      <c r="DI279" s="2250"/>
      <c r="DJ279" s="2250"/>
      <c r="DK279" s="2250"/>
      <c r="DL279" s="2250"/>
      <c r="DM279" s="2250"/>
      <c r="DN279" s="2250"/>
      <c r="DO279" s="2250"/>
      <c r="DP279" s="2250"/>
      <c r="DQ279" s="2277"/>
      <c r="DR279" s="2277"/>
      <c r="DS279" s="2278"/>
      <c r="DT279" s="2250"/>
      <c r="DU279" s="2250"/>
      <c r="DV279" s="2250"/>
      <c r="DW279" s="2250"/>
      <c r="DX279" s="2275"/>
      <c r="DY279" s="2275"/>
      <c r="DZ279" s="2275"/>
      <c r="EA279" s="2275"/>
      <c r="EB279" s="2275"/>
      <c r="EC279" s="2275"/>
      <c r="ED279" s="2275"/>
      <c r="EE279" s="2275"/>
      <c r="EF279" s="2275"/>
      <c r="EG279" s="2275"/>
      <c r="EH279" s="2275"/>
      <c r="EI279" s="2275"/>
      <c r="EJ279" s="2275"/>
      <c r="EK279" s="2275"/>
      <c r="EL279" s="2275"/>
      <c r="EM279" s="2275"/>
      <c r="EN279" s="2275"/>
      <c r="EO279" s="2275"/>
      <c r="EP279" s="2275"/>
      <c r="EQ279" s="2275"/>
      <c r="ER279" s="2275"/>
      <c r="ES279" s="2275"/>
      <c r="ET279" s="2275"/>
      <c r="EU279" s="2275"/>
      <c r="EV279" s="2275"/>
      <c r="EW279" s="2275"/>
      <c r="EX279" s="2275"/>
      <c r="EY279" s="2275"/>
      <c r="EZ279" s="2275"/>
      <c r="FA279" s="2275"/>
      <c r="FB279" s="2346"/>
      <c r="FC279" s="2275"/>
      <c r="FD279" s="2276">
        <f>HLOOKUP(FD265,EA266:FA278,12,0)</f>
        <v>173.02</v>
      </c>
      <c r="FE279" s="2276">
        <f t="shared" si="266"/>
        <v>243.91</v>
      </c>
      <c r="FF279" s="2275">
        <v>1650</v>
      </c>
      <c r="FG279" s="2275"/>
      <c r="FH279" s="2275"/>
      <c r="FI279" s="2275"/>
      <c r="FJ279" s="2275"/>
      <c r="FK279" s="2275"/>
      <c r="FL279" s="2275"/>
      <c r="FM279" s="2250"/>
      <c r="FN279" s="2250"/>
      <c r="FO279" s="2250"/>
      <c r="FP279" s="2250"/>
      <c r="FQ279" s="2250"/>
      <c r="FR279" s="2250"/>
      <c r="FS279" s="2250"/>
      <c r="FT279" s="2250"/>
      <c r="FU279" s="2250"/>
      <c r="FV279" s="2250"/>
      <c r="FW279" s="2250"/>
      <c r="FX279" s="2250"/>
      <c r="FY279" s="2250"/>
      <c r="FZ279" s="2250"/>
      <c r="GA279" s="2250"/>
      <c r="GB279" s="2250"/>
      <c r="GC279" s="2276"/>
      <c r="GD279" s="2276"/>
      <c r="GE279" s="2250"/>
      <c r="GF279" s="2275"/>
      <c r="GG279" s="2275"/>
      <c r="GH279" s="2275"/>
      <c r="GI279" s="2275"/>
      <c r="GJ279" s="2275"/>
      <c r="GK279" s="2275"/>
      <c r="GL279" s="2275"/>
      <c r="GM279" s="2275"/>
      <c r="GN279" s="2275"/>
      <c r="GO279" s="2275"/>
      <c r="GP279" s="2275"/>
      <c r="GQ279" s="2275"/>
      <c r="GR279" s="2275"/>
      <c r="GS279" s="2275"/>
      <c r="GT279" s="2275"/>
      <c r="GU279" s="2275"/>
      <c r="GV279" s="2275"/>
      <c r="GW279" s="2275"/>
      <c r="GX279" s="2275"/>
      <c r="GY279" s="2275"/>
      <c r="GZ279" s="2275"/>
      <c r="HA279" s="2275"/>
      <c r="HB279" s="2275"/>
      <c r="HC279" s="2275"/>
      <c r="HD279" s="2275"/>
      <c r="HE279" s="2275"/>
      <c r="HF279" s="2275"/>
      <c r="HG279" s="2275"/>
      <c r="HH279" s="2275"/>
      <c r="HI279" s="2275"/>
      <c r="HJ279" s="2346"/>
      <c r="HK279" s="2275"/>
      <c r="HL279" s="2276">
        <f>HLOOKUP(HL265,GI266:HI278,12,0)</f>
        <v>160.84</v>
      </c>
      <c r="HM279" s="2276">
        <f t="shared" si="267"/>
        <v>229.57</v>
      </c>
      <c r="HN279" s="2275">
        <v>1650</v>
      </c>
      <c r="HO279" s="2275"/>
      <c r="HP279" s="2275"/>
      <c r="HQ279" s="2275"/>
      <c r="HR279" s="2275"/>
      <c r="HS279" s="2275"/>
      <c r="HT279" s="2275"/>
      <c r="HU279" s="2250"/>
      <c r="HV279" s="2250"/>
      <c r="HW279" s="2250"/>
      <c r="HX279" s="2250"/>
      <c r="HY279" s="2250"/>
      <c r="HZ279" s="2250"/>
      <c r="IA279" s="2250"/>
      <c r="IB279" s="2250"/>
      <c r="IC279" s="2250"/>
      <c r="ID279" s="2250"/>
      <c r="IE279" s="2250"/>
      <c r="IF279" s="2250"/>
      <c r="IG279" s="2250"/>
      <c r="IH279" s="2250"/>
      <c r="II279" s="2250"/>
      <c r="IJ279" s="2250"/>
      <c r="IK279" s="2250"/>
      <c r="IL279" s="2250"/>
    </row>
    <row r="280" spans="1:246" ht="21.95" customHeight="1">
      <c r="A280" s="2275"/>
      <c r="B280" s="2276">
        <f>AH281</f>
        <v>25.17</v>
      </c>
      <c r="C280" s="2250"/>
      <c r="D280" s="2275"/>
      <c r="E280" s="2275"/>
      <c r="F280" s="2275"/>
      <c r="G280" s="2275"/>
      <c r="H280" s="2275"/>
      <c r="I280" s="2275"/>
      <c r="J280" s="2275"/>
      <c r="K280" s="2275"/>
      <c r="L280" s="2275"/>
      <c r="M280" s="2275"/>
      <c r="N280" s="2275"/>
      <c r="O280" s="2275"/>
      <c r="P280" s="2275"/>
      <c r="Q280" s="2275"/>
      <c r="R280" s="2275"/>
      <c r="S280" s="2275"/>
      <c r="T280" s="2275"/>
      <c r="U280" s="2275"/>
      <c r="V280" s="2275"/>
      <c r="W280" s="2275"/>
      <c r="X280" s="2275"/>
      <c r="Y280" s="2275"/>
      <c r="Z280" s="2275"/>
      <c r="AA280" s="2275"/>
      <c r="AB280" s="2275"/>
      <c r="AC280" s="2275"/>
      <c r="AD280" s="2275"/>
      <c r="AE280" s="2275"/>
      <c r="AF280" s="2275"/>
      <c r="AG280" s="2276">
        <f>VLOOKUP(AG265,AG267:AG279,1)</f>
        <v>17.95</v>
      </c>
      <c r="AH280" s="2276">
        <f>IFERROR(VLOOKUP(AG265,AH267:AH277,2,0),0)</f>
        <v>0</v>
      </c>
      <c r="AI280" s="2275"/>
      <c r="AJ280" s="2275"/>
      <c r="AK280" s="2275"/>
      <c r="AL280" s="2275"/>
      <c r="AM280" s="2275"/>
      <c r="AN280" s="2275"/>
      <c r="AO280" s="2275"/>
      <c r="AP280" s="2250"/>
      <c r="AQ280" s="2250"/>
      <c r="AR280" s="2250"/>
      <c r="AS280" s="2250"/>
      <c r="AT280" s="2250"/>
      <c r="AU280" s="2250"/>
      <c r="AV280" s="2250"/>
      <c r="AW280" s="2250"/>
      <c r="AX280" s="2250"/>
      <c r="AY280" s="2250"/>
      <c r="AZ280" s="2250"/>
      <c r="BA280" s="2250"/>
      <c r="BB280" s="2250"/>
      <c r="BC280" s="2250"/>
      <c r="BD280" s="2250"/>
      <c r="BE280" s="2250"/>
      <c r="BF280" s="2276"/>
      <c r="BG280" s="2276"/>
      <c r="BH280" s="2250"/>
      <c r="BI280" s="2275"/>
      <c r="BJ280" s="2276">
        <f>CP281</f>
        <v>23.25</v>
      </c>
      <c r="BK280" s="2250"/>
      <c r="BL280" s="2275"/>
      <c r="BM280" s="2275"/>
      <c r="BN280" s="2275"/>
      <c r="BO280" s="2275"/>
      <c r="BP280" s="2275"/>
      <c r="BQ280" s="2275"/>
      <c r="BR280" s="2275"/>
      <c r="BS280" s="2275"/>
      <c r="BT280" s="2275"/>
      <c r="BU280" s="2275"/>
      <c r="BV280" s="2275"/>
      <c r="BW280" s="2275"/>
      <c r="BX280" s="2275"/>
      <c r="BY280" s="2275"/>
      <c r="BZ280" s="2275"/>
      <c r="CA280" s="2275"/>
      <c r="CB280" s="2275"/>
      <c r="CC280" s="2275"/>
      <c r="CD280" s="2275"/>
      <c r="CE280" s="2275"/>
      <c r="CF280" s="2275"/>
      <c r="CG280" s="2275"/>
      <c r="CH280" s="2275"/>
      <c r="CI280" s="2275"/>
      <c r="CJ280" s="2275"/>
      <c r="CK280" s="2275"/>
      <c r="CL280" s="2275"/>
      <c r="CM280" s="2275"/>
      <c r="CN280" s="2275"/>
      <c r="CO280" s="2276">
        <f>VLOOKUP(CO265,CO267:CO279,1)</f>
        <v>16.25</v>
      </c>
      <c r="CP280" s="2276">
        <f>IFERROR(VLOOKUP(CO265,CP267:CP277,2,0),0)</f>
        <v>0</v>
      </c>
      <c r="CQ280" s="2275"/>
      <c r="CR280" s="2275"/>
      <c r="CS280" s="2275"/>
      <c r="CT280" s="2275"/>
      <c r="CU280" s="2275"/>
      <c r="CV280" s="2275"/>
      <c r="CW280" s="2275"/>
      <c r="CX280" s="2250"/>
      <c r="CY280" s="2250"/>
      <c r="CZ280" s="2250"/>
      <c r="DA280" s="2250"/>
      <c r="DB280" s="2250"/>
      <c r="DC280" s="2250"/>
      <c r="DD280" s="2250"/>
      <c r="DE280" s="2250"/>
      <c r="DF280" s="2250"/>
      <c r="DG280" s="2250"/>
      <c r="DH280" s="2250"/>
      <c r="DI280" s="2250"/>
      <c r="DJ280" s="2250"/>
      <c r="DK280" s="2250"/>
      <c r="DL280" s="2250"/>
      <c r="DM280" s="2250"/>
      <c r="DN280" s="2250"/>
      <c r="DO280" s="2250"/>
      <c r="DP280" s="2250"/>
      <c r="DQ280" s="2277"/>
      <c r="DR280" s="2277"/>
      <c r="DS280" s="2278"/>
      <c r="DT280" s="2250"/>
      <c r="DU280" s="2250"/>
      <c r="DV280" s="2250"/>
      <c r="DW280" s="2250"/>
      <c r="DX280" s="2275"/>
      <c r="DY280" s="2276">
        <f>FD265</f>
        <v>120.7</v>
      </c>
      <c r="DZ280" s="2275">
        <v>0</v>
      </c>
      <c r="EA280" s="2276">
        <f>VLOOKUP(DY282,DZ268:FA278,2,0)</f>
        <v>14.45</v>
      </c>
      <c r="EB280" s="2276">
        <f>VLOOKUP(DY282,DZ268:EB278,3,0)</f>
        <v>16.25</v>
      </c>
      <c r="EC280" s="2276">
        <f>VLOOKUP(DY282,DZ268:EC278,4,0)</f>
        <v>17.95</v>
      </c>
      <c r="ED280" s="2276">
        <f>VLOOKUP(DY282,DZ268:ED278,5,0)</f>
        <v>19.98</v>
      </c>
      <c r="EE280" s="2276">
        <f>VLOOKUP(DY282,DZ268:EE278,6,0)</f>
        <v>21.9</v>
      </c>
      <c r="EF280" s="2276">
        <f>VLOOKUP(DY282,DZ268:EF278,7,0)</f>
        <v>20.54</v>
      </c>
      <c r="EG280" s="2276">
        <f>VLOOKUP(DY282,DZ268:EG278,8,0)</f>
        <v>22.69</v>
      </c>
      <c r="EH280" s="2276">
        <f>VLOOKUP(DY282,DZ268:EH278,9,0)</f>
        <v>24.15</v>
      </c>
      <c r="EI280" s="2276">
        <f>VLOOKUP(DY282,DZ268:EI278,10,0)</f>
        <v>26.52</v>
      </c>
      <c r="EJ280" s="2276">
        <f>VLOOKUP(DY282,DZ268:EJ278,11,0)</f>
        <v>28.22</v>
      </c>
      <c r="EK280" s="2276">
        <f>VLOOKUP(DY282,DZ268:EK278,12,0)</f>
        <v>33.409999999999997</v>
      </c>
      <c r="EL280" s="2276">
        <f>VLOOKUP(DY282,DZ268:EL278,13,0)</f>
        <v>35.89</v>
      </c>
      <c r="EM280" s="2276">
        <f>VLOOKUP(DY282,DZ268:EM278,14,0)</f>
        <v>37.58</v>
      </c>
      <c r="EN280" s="2276">
        <f>VLOOKUP(DY282,DZ268:EN278,15,0)</f>
        <v>36.909999999999997</v>
      </c>
      <c r="EO280" s="2276">
        <f>VLOOKUP(DY282,DZ268:EO278,16,0)</f>
        <v>39.5</v>
      </c>
      <c r="EP280" s="2276">
        <f>VLOOKUP(DY282,DZ268:EP278,17,0)</f>
        <v>43</v>
      </c>
      <c r="EQ280" s="2276">
        <f>VLOOKUP(DY282,DZ268:EQ278,18,0)</f>
        <v>45.6</v>
      </c>
      <c r="ER280" s="2276">
        <f>VLOOKUP(DY282,DZ268:ER278,19,0)</f>
        <v>47.52</v>
      </c>
      <c r="ES280" s="2276">
        <f>VLOOKUP(DY282,DZ268:ES278,20,0)</f>
        <v>50.34</v>
      </c>
      <c r="ET280" s="2276">
        <f>VLOOKUP(DY282,DZ268:ET278,21,0)</f>
        <v>55.3</v>
      </c>
      <c r="EU280" s="2276">
        <f>VLOOKUP(DY282,DZ268:EU278,22,0)</f>
        <v>58.58</v>
      </c>
      <c r="EV280" s="2276">
        <f>VLOOKUP(DY282,DZ268:EV278,23,0)</f>
        <v>63.77</v>
      </c>
      <c r="EW280" s="2276">
        <f>VLOOKUP(DY282,DZ268:EW278,24,0)</f>
        <v>70.650000000000006</v>
      </c>
      <c r="EX280" s="2276">
        <f>VLOOKUP(DY282,DZ268:EX278,25,0)</f>
        <v>77.88</v>
      </c>
      <c r="EY280" s="2276">
        <f>VLOOKUP(DY282,DZ268:EY278,26,0)</f>
        <v>87.25</v>
      </c>
      <c r="EZ280" s="2276">
        <f>VLOOKUP(DY282,DZ268:EZ278,27,0)</f>
        <v>98.98</v>
      </c>
      <c r="FA280" s="2276">
        <f>VLOOKUP(DY282,DZ268:FA278,28,0)</f>
        <v>111.96</v>
      </c>
      <c r="FB280" s="2346"/>
      <c r="FC280" s="2275"/>
      <c r="FD280" s="2276">
        <f>HLOOKUP(FD265,EA266:FA278,13,0)</f>
        <v>243.91</v>
      </c>
      <c r="FE280" s="2275"/>
      <c r="FF280" s="2275"/>
      <c r="FG280" s="2275"/>
      <c r="FH280" s="2275"/>
      <c r="FI280" s="2275"/>
      <c r="FJ280" s="2275"/>
      <c r="FK280" s="2275"/>
      <c r="FL280" s="2275"/>
      <c r="FM280" s="2250"/>
      <c r="FN280" s="2250"/>
      <c r="FO280" s="2250"/>
      <c r="FP280" s="2250"/>
      <c r="FQ280" s="2250"/>
      <c r="FR280" s="2250"/>
      <c r="FS280" s="2250"/>
      <c r="FT280" s="2250"/>
      <c r="FU280" s="2250"/>
      <c r="FV280" s="2250"/>
      <c r="FW280" s="2250"/>
      <c r="FX280" s="2250"/>
      <c r="FY280" s="2250"/>
      <c r="FZ280" s="2250"/>
      <c r="GA280" s="2250"/>
      <c r="GB280" s="2250"/>
      <c r="GC280" s="2276"/>
      <c r="GD280" s="2276"/>
      <c r="GE280" s="2250"/>
      <c r="GF280" s="2275"/>
      <c r="GG280" s="2276">
        <f>HL265</f>
        <v>129.80000000000001</v>
      </c>
      <c r="GH280" s="2275">
        <v>0</v>
      </c>
      <c r="GI280" s="2276">
        <f>VLOOKUP(GG282,GH268:HI278,2,0)</f>
        <v>14.45</v>
      </c>
      <c r="GJ280" s="2276">
        <f>VLOOKUP(GG282,GH268:GJ278,3,0)</f>
        <v>16.25</v>
      </c>
      <c r="GK280" s="2276">
        <f>VLOOKUP(GG282,GH268:GK278,4,0)</f>
        <v>17.95</v>
      </c>
      <c r="GL280" s="2276">
        <f>VLOOKUP(GG282,GH268:GL278,5,0)</f>
        <v>19.98</v>
      </c>
      <c r="GM280" s="2276">
        <f>VLOOKUP(GG282,GH268:GM278,6,0)</f>
        <v>21.9</v>
      </c>
      <c r="GN280" s="2276">
        <f>VLOOKUP(GG282,GH268:GN278,7,0)</f>
        <v>20.54</v>
      </c>
      <c r="GO280" s="2276">
        <f>VLOOKUP(GG282,GH268:GO278,8,0)</f>
        <v>22.69</v>
      </c>
      <c r="GP280" s="2276">
        <f>VLOOKUP(GG282,GH268:GP278,9,0)</f>
        <v>24.15</v>
      </c>
      <c r="GQ280" s="2276">
        <f>VLOOKUP(GG282,GH268:GQ278,10,0)</f>
        <v>26.52</v>
      </c>
      <c r="GR280" s="2276">
        <f>VLOOKUP(GG282,GH268:GR278,11,0)</f>
        <v>28.22</v>
      </c>
      <c r="GS280" s="2276">
        <f>VLOOKUP(GG282,GH268:GS278,12,0)</f>
        <v>33.409999999999997</v>
      </c>
      <c r="GT280" s="2276">
        <f>VLOOKUP(GG282,GH268:GT278,13,0)</f>
        <v>35.89</v>
      </c>
      <c r="GU280" s="2276">
        <f>VLOOKUP(GG282,GH268:GU278,14,0)</f>
        <v>37.58</v>
      </c>
      <c r="GV280" s="2276">
        <f>VLOOKUP(GG282,GH268:GV278,15,0)</f>
        <v>36.909999999999997</v>
      </c>
      <c r="GW280" s="2276">
        <f>VLOOKUP(GG282,GH268:GW278,16,0)</f>
        <v>39.5</v>
      </c>
      <c r="GX280" s="2276">
        <f>VLOOKUP(GG282,GH268:GX278,17,0)</f>
        <v>43</v>
      </c>
      <c r="GY280" s="2276">
        <f>VLOOKUP(GG282,GH268:GY278,18,0)</f>
        <v>45.6</v>
      </c>
      <c r="GZ280" s="2276">
        <f>VLOOKUP(GG282,GH268:GZ278,19,0)</f>
        <v>47.52</v>
      </c>
      <c r="HA280" s="2276">
        <f>VLOOKUP(GG282,GH268:HA278,20,0)</f>
        <v>50.34</v>
      </c>
      <c r="HB280" s="2276">
        <f>VLOOKUP(GG282,GH268:HB278,21,0)</f>
        <v>55.3</v>
      </c>
      <c r="HC280" s="2276">
        <f>VLOOKUP(GG282,GH268:HC278,22,0)</f>
        <v>58.58</v>
      </c>
      <c r="HD280" s="2276">
        <f>VLOOKUP(GG282,GH268:HD278,23,0)</f>
        <v>63.77</v>
      </c>
      <c r="HE280" s="2276">
        <f>VLOOKUP(GG282,GH268:HE278,24,0)</f>
        <v>70.650000000000006</v>
      </c>
      <c r="HF280" s="2276">
        <f>VLOOKUP(GG282,GH268:HF278,25,0)</f>
        <v>77.88</v>
      </c>
      <c r="HG280" s="2276">
        <f>VLOOKUP(GG282,GH268:HG278,26,0)</f>
        <v>87.25</v>
      </c>
      <c r="HH280" s="2276">
        <f>VLOOKUP(GG282,GH268:HH278,27,0)</f>
        <v>98.98</v>
      </c>
      <c r="HI280" s="2276">
        <f>VLOOKUP(GG282,GH268:HI278,28,0)</f>
        <v>111.96</v>
      </c>
      <c r="HJ280" s="2346"/>
      <c r="HK280" s="2275"/>
      <c r="HL280" s="2276">
        <f>HLOOKUP(HL265,GI266:HI278,13,0)</f>
        <v>229.57</v>
      </c>
      <c r="HM280" s="2275"/>
      <c r="HN280" s="2275"/>
      <c r="HO280" s="2275"/>
      <c r="HP280" s="2275"/>
      <c r="HQ280" s="2275"/>
      <c r="HR280" s="2275"/>
      <c r="HS280" s="2275"/>
      <c r="HT280" s="2275"/>
      <c r="HU280" s="2250"/>
      <c r="HV280" s="2250"/>
      <c r="HW280" s="2250"/>
      <c r="HX280" s="2250"/>
      <c r="HY280" s="2250"/>
      <c r="HZ280" s="2250"/>
      <c r="IA280" s="2250"/>
      <c r="IB280" s="2250"/>
      <c r="IC280" s="2250"/>
      <c r="ID280" s="2250"/>
      <c r="IE280" s="2250"/>
      <c r="IF280" s="2250"/>
      <c r="IG280" s="2250"/>
      <c r="IH280" s="2250"/>
      <c r="II280" s="2250"/>
      <c r="IJ280" s="2250"/>
      <c r="IK280" s="2250"/>
      <c r="IL280" s="2250"/>
    </row>
    <row r="281" spans="1:246" ht="21.95" customHeight="1">
      <c r="A281" s="2275"/>
      <c r="B281" s="3693">
        <f>AI281</f>
        <v>825</v>
      </c>
      <c r="C281" s="2346" t="s">
        <v>739</v>
      </c>
      <c r="D281" s="3693">
        <f>HLOOKUP(B279,D265:AD279,15,0)</f>
        <v>25.17</v>
      </c>
      <c r="E281" s="3693" t="str">
        <f>IF(B280=D281,"Right","Wrong")</f>
        <v>Right</v>
      </c>
      <c r="F281" s="2275"/>
      <c r="G281" s="2275"/>
      <c r="H281" s="2275"/>
      <c r="I281" s="2275"/>
      <c r="J281" s="2275"/>
      <c r="K281" s="2275"/>
      <c r="L281" s="2275"/>
      <c r="M281" s="2275"/>
      <c r="N281" s="2275"/>
      <c r="O281" s="2275"/>
      <c r="P281" s="2275"/>
      <c r="Q281" s="2275"/>
      <c r="R281" s="2275"/>
      <c r="S281" s="2275"/>
      <c r="T281" s="2275"/>
      <c r="U281" s="2275"/>
      <c r="V281" s="2275"/>
      <c r="W281" s="2275"/>
      <c r="X281" s="2275"/>
      <c r="Y281" s="2275"/>
      <c r="Z281" s="2275"/>
      <c r="AA281" s="2275"/>
      <c r="AB281" s="2275"/>
      <c r="AC281" s="2275"/>
      <c r="AD281" s="2275"/>
      <c r="AE281" s="2275"/>
      <c r="AF281" s="2275"/>
      <c r="AG281" s="2276">
        <f>VLOOKUP(AG280,AG267:AH278,2,0)</f>
        <v>25.17</v>
      </c>
      <c r="AH281" s="2276">
        <f>IF(AH280&gt;0,AH280,AG281)</f>
        <v>25.17</v>
      </c>
      <c r="AI281" s="2276">
        <f>VLOOKUP(AH281,AH268:AI278,2,0)</f>
        <v>825</v>
      </c>
      <c r="AJ281" s="2275"/>
      <c r="AK281" s="2275"/>
      <c r="AL281" s="2275"/>
      <c r="AM281" s="2275"/>
      <c r="AN281" s="2275"/>
      <c r="AO281" s="2275"/>
      <c r="AP281" s="2250"/>
      <c r="AQ281" s="2250"/>
      <c r="AR281" s="2250"/>
      <c r="AS281" s="2250"/>
      <c r="AT281" s="2250"/>
      <c r="AU281" s="2250"/>
      <c r="AV281" s="2250"/>
      <c r="AW281" s="2250"/>
      <c r="AX281" s="2250"/>
      <c r="AY281" s="2250"/>
      <c r="AZ281" s="2250"/>
      <c r="BA281" s="2250"/>
      <c r="BB281" s="2250"/>
      <c r="BC281" s="2250"/>
      <c r="BD281" s="2250"/>
      <c r="BE281" s="2250"/>
      <c r="BF281" s="2276"/>
      <c r="BG281" s="2276"/>
      <c r="BH281" s="2250"/>
      <c r="BI281" s="2275"/>
      <c r="BJ281" s="3693">
        <f>CQ281</f>
        <v>825</v>
      </c>
      <c r="BK281" s="2346" t="s">
        <v>739</v>
      </c>
      <c r="BL281" s="3693">
        <f>HLOOKUP(BJ279,BL265:CL279,15,0)</f>
        <v>23.25</v>
      </c>
      <c r="BM281" s="3693" t="str">
        <f>IF(BJ280=BL281,"Right","Wrong")</f>
        <v>Right</v>
      </c>
      <c r="BN281" s="2275"/>
      <c r="BO281" s="2275"/>
      <c r="BP281" s="2275"/>
      <c r="BQ281" s="2275"/>
      <c r="BR281" s="2275"/>
      <c r="BS281" s="2275"/>
      <c r="BT281" s="2275"/>
      <c r="BU281" s="2275"/>
      <c r="BV281" s="2275"/>
      <c r="BW281" s="2275"/>
      <c r="BX281" s="2275"/>
      <c r="BY281" s="2275"/>
      <c r="BZ281" s="2275"/>
      <c r="CA281" s="2275"/>
      <c r="CB281" s="2275"/>
      <c r="CC281" s="2275"/>
      <c r="CD281" s="2275"/>
      <c r="CE281" s="2275"/>
      <c r="CF281" s="2275"/>
      <c r="CG281" s="2275"/>
      <c r="CH281" s="2275"/>
      <c r="CI281" s="2275"/>
      <c r="CJ281" s="2275"/>
      <c r="CK281" s="2275"/>
      <c r="CL281" s="2275"/>
      <c r="CM281" s="2275"/>
      <c r="CN281" s="2275"/>
      <c r="CO281" s="2276">
        <f>VLOOKUP(CO280,CO267:CP278,2,0)</f>
        <v>23.25</v>
      </c>
      <c r="CP281" s="2276">
        <f>IF(CP280&gt;0,CP280,CO281)</f>
        <v>23.25</v>
      </c>
      <c r="CQ281" s="2276">
        <f>VLOOKUP(CP281,CP268:CQ278,2,0)</f>
        <v>825</v>
      </c>
      <c r="CR281" s="2275"/>
      <c r="CS281" s="2275"/>
      <c r="CT281" s="2275"/>
      <c r="CU281" s="2275"/>
      <c r="CV281" s="2275"/>
      <c r="CW281" s="2275"/>
      <c r="CX281" s="2250"/>
      <c r="CY281" s="2250"/>
      <c r="CZ281" s="2250"/>
      <c r="DA281" s="2250"/>
      <c r="DB281" s="2250"/>
      <c r="DC281" s="2250"/>
      <c r="DD281" s="2250"/>
      <c r="DE281" s="2250"/>
      <c r="DF281" s="2250"/>
      <c r="DG281" s="2250"/>
      <c r="DH281" s="2250"/>
      <c r="DI281" s="2250"/>
      <c r="DJ281" s="2250"/>
      <c r="DK281" s="2250"/>
      <c r="DL281" s="2250"/>
      <c r="DM281" s="2250"/>
      <c r="DN281" s="2250"/>
      <c r="DO281" s="2250"/>
      <c r="DP281" s="2250"/>
      <c r="DQ281" s="2277"/>
      <c r="DR281" s="2277"/>
      <c r="DS281" s="2278"/>
      <c r="DT281" s="2250"/>
      <c r="DU281" s="2250"/>
      <c r="DV281" s="2250"/>
      <c r="DW281" s="2250"/>
      <c r="DX281" s="2275"/>
      <c r="DY281" s="2276">
        <f>FE282</f>
        <v>28.22</v>
      </c>
      <c r="DZ281" s="2250"/>
      <c r="EA281" s="2275"/>
      <c r="EB281" s="2275"/>
      <c r="EC281" s="2275"/>
      <c r="ED281" s="2275"/>
      <c r="EE281" s="2275"/>
      <c r="EF281" s="2275"/>
      <c r="EG281" s="2275"/>
      <c r="EH281" s="2275"/>
      <c r="EI281" s="2275"/>
      <c r="EJ281" s="2275"/>
      <c r="EK281" s="2275"/>
      <c r="EL281" s="2275"/>
      <c r="EM281" s="2275"/>
      <c r="EN281" s="2275"/>
      <c r="EO281" s="2275"/>
      <c r="EP281" s="2275"/>
      <c r="EQ281" s="2275"/>
      <c r="ER281" s="2275"/>
      <c r="ES281" s="2275"/>
      <c r="ET281" s="2275"/>
      <c r="EU281" s="2275"/>
      <c r="EV281" s="2275"/>
      <c r="EW281" s="2275"/>
      <c r="EX281" s="2275"/>
      <c r="EY281" s="2275"/>
      <c r="EZ281" s="2275"/>
      <c r="FA281" s="2275"/>
      <c r="FB281" s="2275"/>
      <c r="FC281" s="2275"/>
      <c r="FD281" s="2276">
        <f>VLOOKUP(FD266,FD268:FD280,1)</f>
        <v>18.28</v>
      </c>
      <c r="FE281" s="2276">
        <f>IFERROR(VLOOKUP(FD266,FE268:FE278,2,0),0)</f>
        <v>0</v>
      </c>
      <c r="FF281" s="2275"/>
      <c r="FG281" s="2275"/>
      <c r="FH281" s="2275"/>
      <c r="FI281" s="2275"/>
      <c r="FJ281" s="2275"/>
      <c r="FK281" s="2275"/>
      <c r="FL281" s="2275"/>
      <c r="FM281" s="2250"/>
      <c r="FN281" s="2250"/>
      <c r="FO281" s="2250"/>
      <c r="FP281" s="2250"/>
      <c r="FQ281" s="2250"/>
      <c r="FR281" s="2250"/>
      <c r="FS281" s="2250"/>
      <c r="FT281" s="2250"/>
      <c r="FU281" s="2250"/>
      <c r="FV281" s="2250"/>
      <c r="FW281" s="2250"/>
      <c r="FX281" s="2250"/>
      <c r="FY281" s="2250"/>
      <c r="FZ281" s="2250"/>
      <c r="GA281" s="2250"/>
      <c r="GB281" s="2250"/>
      <c r="GC281" s="2276"/>
      <c r="GD281" s="2276"/>
      <c r="GE281" s="2250"/>
      <c r="GF281" s="2275"/>
      <c r="GG281" s="2276">
        <f>HM282</f>
        <v>26.52</v>
      </c>
      <c r="GH281" s="2250"/>
      <c r="GI281" s="2275"/>
      <c r="GJ281" s="2275"/>
      <c r="GK281" s="2275"/>
      <c r="GL281" s="2275"/>
      <c r="GM281" s="2275"/>
      <c r="GN281" s="2275"/>
      <c r="GO281" s="2275"/>
      <c r="GP281" s="2275"/>
      <c r="GQ281" s="2275"/>
      <c r="GR281" s="2275"/>
      <c r="GS281" s="2275"/>
      <c r="GT281" s="2275"/>
      <c r="GU281" s="2275"/>
      <c r="GV281" s="2275"/>
      <c r="GW281" s="2275"/>
      <c r="GX281" s="2275"/>
      <c r="GY281" s="2275"/>
      <c r="GZ281" s="2275"/>
      <c r="HA281" s="2275"/>
      <c r="HB281" s="2275"/>
      <c r="HC281" s="2275"/>
      <c r="HD281" s="2275"/>
      <c r="HE281" s="2275"/>
      <c r="HF281" s="2275"/>
      <c r="HG281" s="2275"/>
      <c r="HH281" s="2275"/>
      <c r="HI281" s="2275"/>
      <c r="HJ281" s="2275"/>
      <c r="HK281" s="2275"/>
      <c r="HL281" s="2276">
        <f>VLOOKUP(HL266,HL268:HL280,1)</f>
        <v>16.59</v>
      </c>
      <c r="HM281" s="2276">
        <f>IFERROR(VLOOKUP(HL266,HM268:HM278,2,0),0)</f>
        <v>0</v>
      </c>
      <c r="HN281" s="2275"/>
      <c r="HO281" s="2275"/>
      <c r="HP281" s="2275"/>
      <c r="HQ281" s="2275"/>
      <c r="HR281" s="2275"/>
      <c r="HS281" s="2275"/>
      <c r="HT281" s="2275"/>
      <c r="HU281" s="2250"/>
      <c r="HV281" s="2250"/>
      <c r="HW281" s="2250"/>
      <c r="HX281" s="2250"/>
      <c r="HY281" s="2250"/>
      <c r="HZ281" s="2250"/>
      <c r="IA281" s="2250"/>
      <c r="IB281" s="2250"/>
      <c r="IC281" s="2250"/>
      <c r="ID281" s="2250"/>
      <c r="IE281" s="2250"/>
      <c r="IF281" s="2250"/>
      <c r="IG281" s="2250"/>
      <c r="IH281" s="2250"/>
      <c r="II281" s="2250"/>
      <c r="IJ281" s="2250"/>
      <c r="IK281" s="2250"/>
      <c r="IL281" s="2250"/>
    </row>
    <row r="282" spans="1:246" ht="21.95" customHeight="1">
      <c r="A282" s="2275"/>
      <c r="B282" s="2250"/>
      <c r="C282" s="2275"/>
      <c r="D282" s="2276">
        <f>+IF(B283&lt;=D267,D267,IF(B283&lt;=D268,D268,IF(B283&lt;=D269,D269,IF(B283&lt;=D270,D270,IF(B283&lt;=D271,D271,IF(B283&lt;=D272,D272,IF(B283&lt;=D273,D273,IF(B283&lt;=D274,D274,0))))))))</f>
        <v>20.99</v>
      </c>
      <c r="E282" s="2276">
        <f>+IF(B283&lt;=E267,E267,IF(B283&lt;=E268,E268,IF(B283&lt;=E269,E269,IF(B283&lt;=E270,E270,IF(B283&lt;=E271,E271,IF(B283&lt;=E272,E272,IF(B283&lt;=E273,E273,IF(B283&lt;=E274,E274,0))))))))</f>
        <v>23.25</v>
      </c>
      <c r="F282" s="2276">
        <f>+IF(B283&lt;=F267,F267,IF(B283&lt;=F268,F268,IF(B283&lt;=F269,F269,IF(B283&lt;=F270,F270,IF(B283&lt;=F271,F271,IF(B283&lt;=F272,F272,IF(B283&lt;=F273,F273,IF(B283&lt;=F274,F274,0))))))))</f>
        <v>25.17</v>
      </c>
      <c r="G282" s="2276">
        <f>+IF(B283&lt;=G267,G267,IF(B283&lt;=G268,G268,IF(B283&lt;=G269,G269,IF(B283&lt;=G270,G270,IF(B283&lt;=G271,G271,IF(B283&lt;=G272,G272,IF(B283&lt;=G273,G273,IF(B283&lt;=G274,G274,0))))))))</f>
        <v>19.98</v>
      </c>
      <c r="H282" s="2276">
        <f>+IF(B283&lt;=H267,H267,IF(B283&lt;=H268,H268,IF(B283&lt;=H269,H269,IF(B283&lt;=H270,H270,IF(B283&lt;=H271,H271,IF(B283&lt;=H272,H272,IF(B283&lt;=H273,H273,IF(B283&lt;=H274,H274,0))))))))</f>
        <v>21.9</v>
      </c>
      <c r="I282" s="2276">
        <f>+IF(B283&lt;=I267,I267,IF(B283&lt;=I268,I268,IF(B283&lt;=I269,I269,IF(B283&lt;=I270,I270,IF(B283&lt;=I271,I271,IF(B283&lt;=I272,I272,IF(B283&lt;=I273,I273,IF(B283&lt;=I274,I274,0))))))))</f>
        <v>20.54</v>
      </c>
      <c r="J282" s="2276">
        <f>+IF(B283&lt;=J267,J267,IF(B283&lt;=J268,J268,IF(B283&lt;=J269,J269,IF(B283&lt;=J270,J270,IF(B283&lt;=J271,J271,IF(B283&lt;=J272,J272,IF(B283&lt;=J273,J273,IF(B283&lt;=J274,J274,0))))))))</f>
        <v>22.69</v>
      </c>
      <c r="K282" s="2276">
        <f>+IF(B283&lt;=K267,K267,IF(B283&lt;=K268,K268,IF(B283&lt;=K269,K269,IF(B283&lt;=K270,K270,IF(B283&lt;=K271,K271,IF(B283&lt;=K272,K272,IF(B283&lt;=K273,K273,IF(B283&lt;=K274,K274,0))))))))</f>
        <v>24.15</v>
      </c>
      <c r="L282" s="2276">
        <f>+IF(B283&lt;=L267,L267,IF(B283&lt;=L268,L268,IF(B283&lt;=L269,L269,IF(B283&lt;=L270,L270,IF(B283&lt;=L271,L271,IF(B283&lt;=L272,L272,IF(B283&lt;=L273,L273,IF(B283&lt;=L274,L274,0))))))))</f>
        <v>26.52</v>
      </c>
      <c r="M282" s="2276">
        <f>+IF(B283&lt;=M267,M267,IF(B283&lt;=M268,M268,IF(B283&lt;=M269,M269,IF(B283&lt;=M270,M270,IF(B283&lt;=M271,M271,IF(B283&lt;=M272,M272,IF(B283&lt;=M273,M273,IF(B283&lt;=M274,M274,0))))))))</f>
        <v>28.22</v>
      </c>
      <c r="N282" s="2276">
        <f>+IF(B283&lt;=N267,N267,IF(B283&lt;=N268,N268,IF(B283&lt;=N269,N269,IF(B283&lt;=N270,N270,IF(B283&lt;=N271,N271,IF(B283&lt;=N272,N272,IF(B283&lt;=N273,N273,IF(B283&lt;=N274,N274,0))))))))</f>
        <v>20.09</v>
      </c>
      <c r="O282" s="2276">
        <f>+IF(B283&lt;=O267,O267,IF(B283&lt;=O268,O268,IF(B283&lt;=O269,O269,IF(B283&lt;=O270,O270,IF(B283&lt;=O271,O271,IF(B283&lt;=O272,O272,IF(B283&lt;=O273,O273,IF(B283&lt;=O274,O274,0))))))))</f>
        <v>21.9</v>
      </c>
      <c r="P282" s="2276">
        <f>+IF(B283&lt;=P267,P267,IF(B283&lt;=P268,P268,IF(B283&lt;=P269,P269,IF(B283&lt;=P270,P270,IF(B283&lt;=P271,P271,IF(B283&lt;=P272,P272,IF(B283&lt;=P273,P273,IF(B283&lt;=P274,P274,0))))))))</f>
        <v>23.7</v>
      </c>
      <c r="Q282" s="2276">
        <f>+IF(B283&lt;=Q267,Q267,IF(B283&lt;=Q268,Q268,IF(B283&lt;=Q269,Q269,IF(B283&lt;=Q270,Q270,IF(B283&lt;=Q271,Q271,IF(B283&lt;=Q272,Q272,IF(B283&lt;=Q273,Q273,IF(B283&lt;=Q274,Q274,0))))))))</f>
        <v>23.93</v>
      </c>
      <c r="R282" s="2276">
        <f>+IF(B283&lt;=R267,R267,IF(B283&lt;=R268,R268,IF(B283&lt;=R269,R269,IF(B283&lt;=R270,R270,IF(B283&lt;=R271,R271,IF(B283&lt;=R272,R272,IF(B283&lt;=R273,R273,IF(B283&lt;=R274,R274,0))))))))</f>
        <v>25.17</v>
      </c>
      <c r="S282" s="2276">
        <f>+IF(B283&lt;=S267,S267,IF(B283&lt;=S268,S268,IF(B283&lt;=S269,S269,IF(B283&lt;=S270,S270,IF(B283&lt;=S271,S271,IF(B283&lt;=S272,S272,IF(B283&lt;=S273,S273,IF(B283&lt;=S274,S274,0))))))))</f>
        <v>27.09</v>
      </c>
      <c r="T282" s="2276">
        <f>+IF(B283&lt;=T267,T267,IF(B283&lt;=T268,T268,IF(B283&lt;=T269,T269,IF(B283&lt;=T270,T270,IF(B283&lt;=T271,T271,IF(B283&lt;=T272,T272,IF(B283&lt;=T273,T273,IF(B283&lt;=T274,T274,0))))))))</f>
        <v>28.67</v>
      </c>
      <c r="U282" s="2276">
        <f>+IF(B283&lt;=U267,U267,IF(B283&lt;=U268,U268,IF(B283&lt;=U269,U269,IF(B283&lt;=U270,U270,IF(B283&lt;=U271,U271,IF(B283&lt;=U272,U272,IF(B283&lt;=U273,U273,IF(B283&lt;=U274,U274,0))))))))</f>
        <v>31.6</v>
      </c>
      <c r="V282" s="2276">
        <f>+IF(B283&lt;=V267,V267,IF(B283&lt;=V268,V268,IF(B283&lt;=V269,V269,IF(B283&lt;=V270,V270,IF(B283&lt;=V271,V271,IF(B283&lt;=V272,V272,IF(B283&lt;=V273,V273,IF(B283&lt;=V274,V274,0))))))))</f>
        <v>29.91</v>
      </c>
      <c r="W282" s="2276">
        <f>+IF(B283&lt;=W267,W267,IF(B283&lt;=W268,W268,IF(B283&lt;=W269,W269,IF(B283&lt;=W270,W270,IF(B283&lt;=W271,W271,IF(B283&lt;=W272,W272,IF(B283&lt;=W273,W273,IF(B283&lt;=W274,W274,0))))))))</f>
        <v>21.44</v>
      </c>
      <c r="X282" s="2276">
        <f>+IF(B283&lt;=X267,X267,IF(B283&lt;=X268,X268,IF(B283&lt;=X269,X269,IF(B283&lt;=X270,X270,IF(B283&lt;=X271,X271,IF(B283&lt;=X272,X272,IF(B283&lt;=X273,X273,IF(B283&lt;=X274,X274,0))))))))</f>
        <v>22.12</v>
      </c>
      <c r="Y282" s="2276">
        <f>+IF(B283&lt;=Y267,Y267,IF(B283&lt;=Y268,Y268,IF(B283&lt;=Y269,Y269,IF(B283&lt;=Y270,Y270,IF(B283&lt;=Y271,Y271,IF(B283&lt;=Y272,Y272,IF(B283&lt;=Y273,Y273,IF(B283&lt;=Y274,Y274,0))))))))</f>
        <v>24.83</v>
      </c>
      <c r="Z282" s="2276">
        <f>+IF(B283&lt;=Z267,Z267,IF(B283&lt;=Z268,Z268,IF(B283&lt;=Z269,Z269,IF(B283&lt;=Z270,Z270,IF(B283&lt;=Z271,Z271,IF(B283&lt;=Z272,Z272,IF(B283&lt;=Z273,Z273,IF(B283&lt;=Z274,Z274,0))))))))</f>
        <v>25.96</v>
      </c>
      <c r="AA282" s="2276">
        <f>+IF(B283&lt;=AA267,AA267,IF(B283&lt;=AA268,AA268,IF(B283&lt;=AA269,AA269,IF(B283&lt;=AA270,AA270,IF(B283&lt;=AA271,AA271,IF(B283&lt;=AA272,AA272,IF(B283&lt;=AA273,AA273,IF(B283&lt;=AA274,AA274,0))))))))</f>
        <v>30.25</v>
      </c>
      <c r="AB282" s="2276">
        <f>+IF(B283&lt;=AB267,AB267,IF(B283&lt;=AB268,AB268,IF(B283&lt;=AB269,AB269,IF(B283&lt;=AB270,AB270,IF(B283&lt;=AB271,AB271,IF(B283&lt;=AB272,AB272,IF(B283&lt;=AB273,AB273,IF(B283&lt;=AB274,AB274,0))))))))</f>
        <v>32.049999999999997</v>
      </c>
      <c r="AC282" s="2276">
        <f>+IF(B283&lt;=AC267,AC267,IF(B283&lt;=AC268,AC268,IF(B283&lt;=AC269,AC269,IF(B283&lt;=AC270,AC270,IF(B283&lt;=AC271,AC271,IF(B283&lt;=AC272,AC272,IF(B283&lt;=AC273,AC273,IF(B283&lt;=AC274,AC274,0))))))))</f>
        <v>19.98</v>
      </c>
      <c r="AD282" s="2276">
        <f>+IF(B283&lt;=AD267,AD267,IF(B283&lt;=AD268,AD268,IF(B283&lt;=AD269,AD269,IF(B283&lt;=AD270,AD270,IF(B283&lt;=AD271,AD271,IF(B283&lt;=AD272,AD272,IF(B283&lt;=AD273,AD273,IF(B283&lt;=AD274,AD274,0))))))))</f>
        <v>23.36</v>
      </c>
      <c r="AE282" s="2275"/>
      <c r="AF282" s="2275"/>
      <c r="AG282" s="2275"/>
      <c r="AH282" s="2275"/>
      <c r="AI282" s="2275"/>
      <c r="AJ282" s="2275"/>
      <c r="AK282" s="2275"/>
      <c r="AL282" s="2275"/>
      <c r="AM282" s="2275"/>
      <c r="AN282" s="2275"/>
      <c r="AO282" s="2275"/>
      <c r="AP282" s="2250"/>
      <c r="AQ282" s="2250"/>
      <c r="AR282" s="2250"/>
      <c r="AS282" s="2250"/>
      <c r="AT282" s="2250"/>
      <c r="AU282" s="2250"/>
      <c r="AV282" s="2250"/>
      <c r="AW282" s="2250"/>
      <c r="AX282" s="2250"/>
      <c r="AY282" s="2250"/>
      <c r="AZ282" s="2250"/>
      <c r="BA282" s="2250"/>
      <c r="BB282" s="2250"/>
      <c r="BC282" s="2250"/>
      <c r="BD282" s="2250"/>
      <c r="BE282" s="2250"/>
      <c r="BF282" s="2276"/>
      <c r="BG282" s="2276"/>
      <c r="BH282" s="2250"/>
      <c r="BI282" s="2275"/>
      <c r="BJ282" s="2250"/>
      <c r="BK282" s="2275"/>
      <c r="BL282" s="2276">
        <f>+IF(BJ283&lt;=BL267,BL267,IF(BJ283&lt;=BL268,BL268,IF(BJ283&lt;=BL269,BL269,IF(BJ283&lt;=BL270,BL270,IF(BJ283&lt;=BL271,BL271,IF(BJ283&lt;=BL272,BL272,IF(BJ283&lt;=BL273,BL273,IF(BJ283&lt;=BL274,BL274,0))))))))</f>
        <v>20.99</v>
      </c>
      <c r="BM282" s="2276">
        <f>+IF(BJ283&lt;=BM267,BM267,IF(BJ283&lt;=BM268,BM268,IF(BJ283&lt;=BM269,BM269,IF(BJ283&lt;=BM270,BM270,IF(BJ283&lt;=BM271,BM271,IF(BJ283&lt;=BM272,BM272,IF(BJ283&lt;=BM273,BM273,IF(BJ283&lt;=BM274,BM274,0))))))))</f>
        <v>23.25</v>
      </c>
      <c r="BN282" s="2276">
        <f>+IF(BJ283&lt;=BN267,BN267,IF(BJ283&lt;=BN268,BN268,IF(BJ283&lt;=BN269,BN269,IF(BJ283&lt;=BN270,BN270,IF(BJ283&lt;=BN271,BN271,IF(BJ283&lt;=BN272,BN272,IF(BJ283&lt;=BN273,BN273,IF(BJ283&lt;=BN274,BN274,0))))))))</f>
        <v>25.17</v>
      </c>
      <c r="BO282" s="2276">
        <f>+IF(BJ283&lt;=BO267,BO267,IF(BJ283&lt;=BO268,BO268,IF(BJ283&lt;=BO269,BO269,IF(BJ283&lt;=BO270,BO270,IF(BJ283&lt;=BO271,BO271,IF(BJ283&lt;=BO272,BO272,IF(BJ283&lt;=BO273,BO273,IF(BJ283&lt;=BO274,BO274,0))))))))</f>
        <v>19.98</v>
      </c>
      <c r="BP282" s="2276">
        <f>+IF(BJ283&lt;=BP267,BP267,IF(BJ283&lt;=BP268,BP268,IF(BJ283&lt;=BP269,BP269,IF(BJ283&lt;=BP270,BP270,IF(BJ283&lt;=BP271,BP271,IF(BJ283&lt;=BP272,BP272,IF(BJ283&lt;=BP273,BP273,IF(BJ283&lt;=BP274,BP274,0))))))))</f>
        <v>21.9</v>
      </c>
      <c r="BQ282" s="2276">
        <f>+IF(BJ283&lt;=BQ267,BQ267,IF(BJ283&lt;=BQ268,BQ268,IF(BJ283&lt;=BQ269,BQ269,IF(BJ283&lt;=BQ270,BQ270,IF(BJ283&lt;=BQ271,BQ271,IF(BJ283&lt;=BQ272,BQ272,IF(BJ283&lt;=BQ273,BQ273,IF(BJ283&lt;=BQ274,BQ274,0))))))))</f>
        <v>20.54</v>
      </c>
      <c r="BR282" s="2276">
        <f>+IF(BJ283&lt;=BR267,BR267,IF(BJ283&lt;=BR268,BR268,IF(BJ283&lt;=BR269,BR269,IF(BJ283&lt;=BR270,BR270,IF(BJ283&lt;=BR271,BR271,IF(BJ283&lt;=BR272,BR272,IF(BJ283&lt;=BR273,BR273,IF(BJ283&lt;=BR274,BR274,0))))))))</f>
        <v>22.69</v>
      </c>
      <c r="BS282" s="2276">
        <f>+IF(BJ283&lt;=BS267,BS267,IF(BJ283&lt;=BS268,BS268,IF(BJ283&lt;=BS269,BS269,IF(BJ283&lt;=BS270,BS270,IF(BJ283&lt;=BS271,BS271,IF(BJ283&lt;=BS272,BS272,IF(BJ283&lt;=BS273,BS273,IF(BJ283&lt;=BS274,BS274,0))))))))</f>
        <v>24.15</v>
      </c>
      <c r="BT282" s="2276">
        <f>+IF(BJ283&lt;=BT267,BT267,IF(BJ283&lt;=BT268,BT268,IF(BJ283&lt;=BT269,BT269,IF(BJ283&lt;=BT270,BT270,IF(BJ283&lt;=BT271,BT271,IF(BJ283&lt;=BT272,BT272,IF(BJ283&lt;=BT273,BT273,IF(BJ283&lt;=BT274,BT274,0))))))))</f>
        <v>26.52</v>
      </c>
      <c r="BU282" s="2276">
        <f>+IF(BJ283&lt;=BU267,BU267,IF(BJ283&lt;=BU268,BU268,IF(BJ283&lt;=BU269,BU269,IF(BJ283&lt;=BU270,BU270,IF(BJ283&lt;=BU271,BU271,IF(BJ283&lt;=BU272,BU272,IF(BJ283&lt;=BU273,BU273,IF(BJ283&lt;=BU274,BU274,0))))))))</f>
        <v>28.22</v>
      </c>
      <c r="BV282" s="2276">
        <f>+IF(BJ283&lt;=BV267,BV267,IF(BJ283&lt;=BV268,BV268,IF(BJ283&lt;=BV269,BV269,IF(BJ283&lt;=BV270,BV270,IF(BJ283&lt;=BV271,BV271,IF(BJ283&lt;=BV272,BV272,IF(BJ283&lt;=BV273,BV273,IF(BJ283&lt;=BV274,BV274,0))))))))</f>
        <v>20.09</v>
      </c>
      <c r="BW282" s="2276">
        <f>+IF(BJ283&lt;=BW267,BW267,IF(BJ283&lt;=BW268,BW268,IF(BJ283&lt;=BW269,BW269,IF(BJ283&lt;=BW270,BW270,IF(BJ283&lt;=BW271,BW271,IF(BJ283&lt;=BW272,BW272,IF(BJ283&lt;=BW273,BW273,IF(BJ283&lt;=BW274,BW274,0))))))))</f>
        <v>21.9</v>
      </c>
      <c r="BX282" s="2276">
        <f>+IF(BJ283&lt;=BX267,BX267,IF(BJ283&lt;=BX268,BX268,IF(BJ283&lt;=BX269,BX269,IF(BJ283&lt;=BX270,BX270,IF(BJ283&lt;=BX271,BX271,IF(BJ283&lt;=BX272,BX272,IF(BJ283&lt;=BX273,BX273,IF(BJ283&lt;=BX274,BX274,0))))))))</f>
        <v>23.7</v>
      </c>
      <c r="BY282" s="2276">
        <f>+IF(BJ283&lt;=BY267,BY267,IF(BJ283&lt;=BY268,BY268,IF(BJ283&lt;=BY269,BY269,IF(BJ283&lt;=BY270,BY270,IF(BJ283&lt;=BY271,BY271,IF(BJ283&lt;=BY272,BY272,IF(BJ283&lt;=BY273,BY273,IF(BJ283&lt;=BY274,BY274,0))))))))</f>
        <v>23.93</v>
      </c>
      <c r="BZ282" s="2276">
        <f>+IF(BJ283&lt;=BZ267,BZ267,IF(BJ283&lt;=BZ268,BZ268,IF(BJ283&lt;=BZ269,BZ269,IF(BJ283&lt;=BZ270,BZ270,IF(BJ283&lt;=BZ271,BZ271,IF(BJ283&lt;=BZ272,BZ272,IF(BJ283&lt;=BZ273,BZ273,IF(BJ283&lt;=BZ274,BZ274,0))))))))</f>
        <v>25.17</v>
      </c>
      <c r="CA282" s="2276">
        <f>+IF(BJ283&lt;=CA267,CA267,IF(BJ283&lt;=CA268,CA268,IF(BJ283&lt;=CA269,CA269,IF(BJ283&lt;=CA270,CA270,IF(BJ283&lt;=CA271,CA271,IF(BJ283&lt;=CA272,CA272,IF(BJ283&lt;=CA273,CA273,IF(BJ283&lt;=CA274,CA274,0))))))))</f>
        <v>27.09</v>
      </c>
      <c r="CB282" s="2276">
        <f>+IF(BJ283&lt;=CB267,CB267,IF(BJ283&lt;=CB268,CB268,IF(BJ283&lt;=CB269,CB269,IF(BJ283&lt;=CB270,CB270,IF(BJ283&lt;=CB271,CB271,IF(BJ283&lt;=CB272,CB272,IF(BJ283&lt;=CB273,CB273,IF(BJ283&lt;=CB274,CB274,0))))))))</f>
        <v>28.67</v>
      </c>
      <c r="CC282" s="2276">
        <f>+IF(BJ283&lt;=CC267,CC267,IF(BJ283&lt;=CC268,CC268,IF(BJ283&lt;=CC269,CC269,IF(BJ283&lt;=CC270,CC270,IF(BJ283&lt;=CC271,CC271,IF(BJ283&lt;=CC272,CC272,IF(BJ283&lt;=CC273,CC273,IF(BJ283&lt;=CC274,CC274,0))))))))</f>
        <v>31.6</v>
      </c>
      <c r="CD282" s="2276">
        <f>+IF(BJ283&lt;=CD267,CD267,IF(BJ283&lt;=CD268,CD268,IF(BJ283&lt;=CD269,CD269,IF(BJ283&lt;=CD270,CD270,IF(BJ283&lt;=CD271,CD271,IF(BJ283&lt;=CD272,CD272,IF(BJ283&lt;=CD273,CD273,IF(BJ283&lt;=CD274,CD274,0))))))))</f>
        <v>29.91</v>
      </c>
      <c r="CE282" s="2276">
        <f>+IF(BJ283&lt;=CE267,CE267,IF(BJ283&lt;=CE268,CE268,IF(BJ283&lt;=CE269,CE269,IF(BJ283&lt;=CE270,CE270,IF(BJ283&lt;=CE271,CE271,IF(BJ283&lt;=CE272,CE272,IF(BJ283&lt;=CE273,CE273,IF(BJ283&lt;=CE274,CE274,0))))))))</f>
        <v>21.44</v>
      </c>
      <c r="CF282" s="2276">
        <f>+IF(BJ283&lt;=CF267,CF267,IF(BJ283&lt;=CF268,CF268,IF(BJ283&lt;=CF269,CF269,IF(BJ283&lt;=CF270,CF270,IF(BJ283&lt;=CF271,CF271,IF(BJ283&lt;=CF272,CF272,IF(BJ283&lt;=CF273,CF273,IF(BJ283&lt;=CF274,CF274,0))))))))</f>
        <v>22.12</v>
      </c>
      <c r="CG282" s="2276">
        <f>+IF(BJ283&lt;=CG267,CG267,IF(BJ283&lt;=CG268,CG268,IF(BJ283&lt;=CG269,CG269,IF(BJ283&lt;=CG270,CG270,IF(BJ283&lt;=CG271,CG271,IF(BJ283&lt;=CG272,CG272,IF(BJ283&lt;=CG273,CG273,IF(BJ283&lt;=CG274,CG274,0))))))))</f>
        <v>24.83</v>
      </c>
      <c r="CH282" s="2276">
        <f>+IF(BJ283&lt;=CH267,CH267,IF(BJ283&lt;=CH268,CH268,IF(BJ283&lt;=CH269,CH269,IF(BJ283&lt;=CH270,CH270,IF(BJ283&lt;=CH271,CH271,IF(BJ283&lt;=CH272,CH272,IF(BJ283&lt;=CH273,CH273,IF(BJ283&lt;=CH274,CH274,0))))))))</f>
        <v>25.96</v>
      </c>
      <c r="CI282" s="2276">
        <f>+IF(BJ283&lt;=CI267,CI267,IF(BJ283&lt;=CI268,CI268,IF(BJ283&lt;=CI269,CI269,IF(BJ283&lt;=CI270,CI270,IF(BJ283&lt;=CI271,CI271,IF(BJ283&lt;=CI272,CI272,IF(BJ283&lt;=CI273,CI273,IF(BJ283&lt;=CI274,CI274,0))))))))</f>
        <v>30.25</v>
      </c>
      <c r="CJ282" s="2276">
        <f>+IF(BJ283&lt;=CJ267,CJ267,IF(BJ283&lt;=CJ268,CJ268,IF(BJ283&lt;=CJ269,CJ269,IF(BJ283&lt;=CJ270,CJ270,IF(BJ283&lt;=CJ271,CJ271,IF(BJ283&lt;=CJ272,CJ272,IF(BJ283&lt;=CJ273,CJ273,IF(BJ283&lt;=CJ274,CJ274,0))))))))</f>
        <v>32.049999999999997</v>
      </c>
      <c r="CK282" s="2276">
        <f>+IF(BJ283&lt;=CK267,CK267,IF(BJ283&lt;=CK268,CK268,IF(BJ283&lt;=CK269,CK269,IF(BJ283&lt;=CK270,CK270,IF(BJ283&lt;=CK271,CK271,IF(BJ283&lt;=CK272,CK272,IF(BJ283&lt;=CK273,CK273,IF(BJ283&lt;=CK274,CK274,0))))))))</f>
        <v>19.98</v>
      </c>
      <c r="CL282" s="2276">
        <f>+IF(BJ283&lt;=CL267,CL267,IF(BJ283&lt;=CL268,CL268,IF(BJ283&lt;=CL269,CL269,IF(BJ283&lt;=CL270,CL270,IF(BJ283&lt;=CL271,CL271,IF(BJ283&lt;=CL272,CL272,IF(BJ283&lt;=CL273,CL273,IF(BJ283&lt;=CL274,CL274,0))))))))</f>
        <v>23.36</v>
      </c>
      <c r="CM282" s="2275"/>
      <c r="CN282" s="2275"/>
      <c r="CO282" s="2275"/>
      <c r="CP282" s="2275"/>
      <c r="CQ282" s="2275"/>
      <c r="CR282" s="2275"/>
      <c r="CS282" s="2275"/>
      <c r="CT282" s="2275"/>
      <c r="CU282" s="2275"/>
      <c r="CV282" s="2275"/>
      <c r="CW282" s="2275"/>
      <c r="CX282" s="2250"/>
      <c r="CY282" s="2250"/>
      <c r="CZ282" s="2250"/>
      <c r="DA282" s="2250"/>
      <c r="DB282" s="2250"/>
      <c r="DC282" s="2250"/>
      <c r="DD282" s="2250"/>
      <c r="DE282" s="2250"/>
      <c r="DF282" s="2250"/>
      <c r="DG282" s="2250"/>
      <c r="DH282" s="2250"/>
      <c r="DI282" s="2250"/>
      <c r="DJ282" s="2250"/>
      <c r="DK282" s="2250"/>
      <c r="DL282" s="2250"/>
      <c r="DM282" s="2250"/>
      <c r="DN282" s="2250"/>
      <c r="DO282" s="2250"/>
      <c r="DP282" s="2250"/>
      <c r="DQ282" s="2277"/>
      <c r="DR282" s="2277"/>
      <c r="DS282" s="2278"/>
      <c r="DT282" s="2250"/>
      <c r="DU282" s="2250"/>
      <c r="DV282" s="2250"/>
      <c r="DW282" s="2250"/>
      <c r="DX282" s="2275"/>
      <c r="DY282" s="3693">
        <f>FF282</f>
        <v>775</v>
      </c>
      <c r="DZ282" s="2346" t="s">
        <v>739</v>
      </c>
      <c r="EA282" s="3693">
        <f>HLOOKUP(DY280,EA266:FA280,15,0)</f>
        <v>28.22</v>
      </c>
      <c r="EB282" s="3693" t="str">
        <f>IF(DY281=EA282,"Right","Wrong")</f>
        <v>Right</v>
      </c>
      <c r="EC282" s="2275"/>
      <c r="ED282" s="2275"/>
      <c r="EE282" s="2275"/>
      <c r="EF282" s="2275"/>
      <c r="EG282" s="2275"/>
      <c r="EH282" s="2275"/>
      <c r="EI282" s="2275"/>
      <c r="EJ282" s="2275"/>
      <c r="EK282" s="2275"/>
      <c r="EL282" s="2275"/>
      <c r="EM282" s="2275"/>
      <c r="EN282" s="2275"/>
      <c r="EO282" s="2275"/>
      <c r="EP282" s="2275"/>
      <c r="EQ282" s="2275"/>
      <c r="ER282" s="2275"/>
      <c r="ES282" s="2275"/>
      <c r="ET282" s="2275"/>
      <c r="EU282" s="2275"/>
      <c r="EV282" s="2275"/>
      <c r="EW282" s="2275"/>
      <c r="EX282" s="2275"/>
      <c r="EY282" s="2275"/>
      <c r="EZ282" s="2275"/>
      <c r="FA282" s="2275"/>
      <c r="FB282" s="2275"/>
      <c r="FC282" s="2275"/>
      <c r="FD282" s="2276">
        <f>VLOOKUP(FD281,FD268:FE279,2,0)</f>
        <v>28.22</v>
      </c>
      <c r="FE282" s="2276">
        <f>IF(FE281&gt;0,FE281,FD282)</f>
        <v>28.22</v>
      </c>
      <c r="FF282" s="2276">
        <f>VLOOKUP(FE282,FE269:FF279,2,0)</f>
        <v>775</v>
      </c>
      <c r="FG282" s="2275"/>
      <c r="FH282" s="2275"/>
      <c r="FI282" s="2275"/>
      <c r="FJ282" s="2275"/>
      <c r="FK282" s="2275"/>
      <c r="FL282" s="2275"/>
      <c r="FM282" s="2250"/>
      <c r="FN282" s="2250"/>
      <c r="FO282" s="2250"/>
      <c r="FP282" s="2250"/>
      <c r="FQ282" s="2250"/>
      <c r="FR282" s="2250"/>
      <c r="FS282" s="2250"/>
      <c r="FT282" s="2250"/>
      <c r="FU282" s="2250"/>
      <c r="FV282" s="2250"/>
      <c r="FW282" s="2250"/>
      <c r="FX282" s="2250"/>
      <c r="FY282" s="2250"/>
      <c r="FZ282" s="2250"/>
      <c r="GA282" s="2250"/>
      <c r="GB282" s="2250"/>
      <c r="GC282" s="2276"/>
      <c r="GD282" s="2276"/>
      <c r="GE282" s="2250"/>
      <c r="GF282" s="2275"/>
      <c r="GG282" s="3693">
        <f>HN282</f>
        <v>775</v>
      </c>
      <c r="GH282" s="2346" t="s">
        <v>739</v>
      </c>
      <c r="GI282" s="3693">
        <f>HLOOKUP(GG280,GI266:HI280,15,0)</f>
        <v>26.52</v>
      </c>
      <c r="GJ282" s="3693" t="str">
        <f>IF(GG281=GI282,"Right","Wrong")</f>
        <v>Right</v>
      </c>
      <c r="GK282" s="2275"/>
      <c r="GL282" s="2275"/>
      <c r="GM282" s="2275"/>
      <c r="GN282" s="2275"/>
      <c r="GO282" s="2275"/>
      <c r="GP282" s="2275"/>
      <c r="GQ282" s="2275"/>
      <c r="GR282" s="2275"/>
      <c r="GS282" s="2275"/>
      <c r="GT282" s="2275"/>
      <c r="GU282" s="2275"/>
      <c r="GV282" s="2275"/>
      <c r="GW282" s="2275"/>
      <c r="GX282" s="2275"/>
      <c r="GY282" s="2275"/>
      <c r="GZ282" s="2275"/>
      <c r="HA282" s="2275"/>
      <c r="HB282" s="2275"/>
      <c r="HC282" s="2275"/>
      <c r="HD282" s="2275"/>
      <c r="HE282" s="2275"/>
      <c r="HF282" s="2275"/>
      <c r="HG282" s="2275"/>
      <c r="HH282" s="2275"/>
      <c r="HI282" s="2275"/>
      <c r="HJ282" s="2275"/>
      <c r="HK282" s="2275"/>
      <c r="HL282" s="2276">
        <f>VLOOKUP(HL281,HL268:HM279,2,0)</f>
        <v>26.52</v>
      </c>
      <c r="HM282" s="2276">
        <f>IF(HM281&gt;0,HM281,HL282)</f>
        <v>26.52</v>
      </c>
      <c r="HN282" s="2276">
        <f>VLOOKUP(HM282,HM269:HN279,2,0)</f>
        <v>775</v>
      </c>
      <c r="HO282" s="2275"/>
      <c r="HP282" s="2275"/>
      <c r="HQ282" s="2275"/>
      <c r="HR282" s="2275"/>
      <c r="HS282" s="2275"/>
      <c r="HT282" s="2275"/>
      <c r="HU282" s="2250"/>
      <c r="HV282" s="2250"/>
      <c r="HW282" s="2250"/>
      <c r="HX282" s="2250"/>
      <c r="HY282" s="2250"/>
      <c r="HZ282" s="2250"/>
      <c r="IA282" s="2250"/>
      <c r="IB282" s="2250"/>
      <c r="IC282" s="2250"/>
      <c r="ID282" s="2250"/>
      <c r="IE282" s="2250"/>
      <c r="IF282" s="2250"/>
      <c r="IG282" s="2250"/>
      <c r="IH282" s="2250"/>
      <c r="II282" s="2250"/>
      <c r="IJ282" s="2250"/>
      <c r="IK282" s="2250"/>
      <c r="IL282" s="2250"/>
    </row>
    <row r="283" spans="1:246" ht="21.95" customHeight="1">
      <c r="A283" s="2275"/>
      <c r="B283" s="2276">
        <f>B239</f>
        <v>19.915970774546171</v>
      </c>
      <c r="C283" s="2276">
        <f>HLOOKUP(B284,D265:AD285,20,0)</f>
        <v>25.17</v>
      </c>
      <c r="D283" s="2276">
        <f>+IF(B283&lt;=D275,D275,IF(B283&lt;=D276,D276,IF(B283&lt;=D277,D277,)))</f>
        <v>57.45</v>
      </c>
      <c r="E283" s="2276">
        <f>+IF(B283&lt;=E275,E275,IF(B283&lt;=E276,E276,IF(B283&lt;=E277,E277,)))</f>
        <v>64.790000000000006</v>
      </c>
      <c r="F283" s="2276">
        <f>+IF(B283&lt;=F275,F275,IF(B283&lt;=F276,F276,IF(B283&lt;=F277,F277,)))</f>
        <v>71.78</v>
      </c>
      <c r="G283" s="2276">
        <f>+IF(B283&lt;=G275,G275,IF(B283&lt;=G276,G276,IF(B283&lt;=G277,G277,)))</f>
        <v>79.459999999999994</v>
      </c>
      <c r="H283" s="2276">
        <f>+IF(B283&lt;=H275,H275,IF(B283&lt;=H276,H276,IF(B283&lt;=H277,H277,)))</f>
        <v>86.79</v>
      </c>
      <c r="I283" s="2276">
        <f>+IF(B283&lt;=I275,I275,IF(B283&lt;=I276,I276,IF(B283&lt;=I277,I277,)))</f>
        <v>81.83</v>
      </c>
      <c r="J283" s="2276">
        <f>+IF(B283&lt;=J275,J275,IF(B283&lt;=J276,J276,IF(B283&lt;=J277,J277,)))</f>
        <v>90.63</v>
      </c>
      <c r="K283" s="2276">
        <f>+IF(B283&lt;=K275,K275,IF(B283&lt;=K276,K276,IF(B283&lt;=K277,K277,)))</f>
        <v>96.5</v>
      </c>
      <c r="L283" s="2276">
        <f>+IF(B283&lt;=L275,L275,IF(B283&lt;=L276,L276,IF(B283&lt;=L277,L277,)))</f>
        <v>105.87</v>
      </c>
      <c r="M283" s="2276">
        <f>+IF(B283&lt;=M275,M275,IF(B283&lt;=M276,M276,IF(B283&lt;=M277,M277,)))</f>
        <v>107.9</v>
      </c>
      <c r="N283" s="2276">
        <f>+IF(B283&lt;=N275,N275,IF(B283&lt;=N276,N276,IF(B283&lt;=N277,N277,)))</f>
        <v>119.53</v>
      </c>
      <c r="O283" s="2276">
        <f>+IF(B283&lt;=O275,O275,IF(B283&lt;=O276,O276,IF(B283&lt;=O277,O277,)))</f>
        <v>139.05000000000001</v>
      </c>
      <c r="P283" s="2276">
        <f>+IF(B283&lt;=P275,P275,IF(B283&lt;=P276,P276,IF(B283&lt;=P277,P277,)))</f>
        <v>140.41</v>
      </c>
      <c r="Q283" s="2276">
        <f>+IF(B283&lt;=Q275,Q275,IF(B283&lt;=Q276,Q276,IF(B283&lt;=Q277,Q277,)))</f>
        <v>147.18</v>
      </c>
      <c r="R283" s="2276">
        <f>+IF(B283&lt;=R275,R275,IF(B283&lt;=R276,R276,IF(B283&lt;=R277,R277,)))</f>
        <v>154.85</v>
      </c>
      <c r="S283" s="2276">
        <f>+IF(B283&lt;=S275,S275,IF(B283&lt;=S276,S276,IF(B283&lt;=S277,S277,)))</f>
        <v>166.37</v>
      </c>
      <c r="T283" s="2276">
        <f>+IF(B283&lt;=T275,T275,IF(B283&lt;=T276,T276,IF(B283&lt;=T277,T277,)))</f>
        <v>173.81</v>
      </c>
      <c r="U283" s="2276">
        <f>+IF(B283&lt;=U275,U275,IF(B283&lt;=U276,U276,IF(B283&lt;=U277,U277,)))</f>
        <v>188.37</v>
      </c>
      <c r="V283" s="2276">
        <f>+IF(B283&lt;=V275,V275,IF(B283&lt;=V276,V276,IF(B283&lt;=V277,V277,)))</f>
        <v>200.56</v>
      </c>
      <c r="W283" s="2276">
        <f>+IF(B283&lt;=W275,W275,IF(B283&lt;=W276,W276,IF(B283&lt;=W277,W277,)))</f>
        <v>216.25</v>
      </c>
      <c r="X283" s="2276">
        <f>+IF(B283&lt;=X275,X275,IF(B283&lt;=X276,X276,IF(B283&lt;=X277,X277,)))</f>
        <v>228.67</v>
      </c>
      <c r="Y283" s="2276">
        <f>+IF(B283&lt;=Y275,Y275,IF(B283&lt;=Y276,Y276,IF(B283&lt;=Y277,Y277,)))</f>
        <v>238.83</v>
      </c>
      <c r="Z283" s="2276">
        <f>+IF(B283&lt;=Z275,Z275,IF(B283&lt;=Z276,Z276,IF(B283&lt;=Z277,Z277,)))</f>
        <v>265.01</v>
      </c>
      <c r="AA283" s="2276">
        <f>+IF(B283&lt;=AA275,AA275,IF(B283&lt;=AA276,AA276,IF(B283&lt;=AA277,AA277,)))</f>
        <v>291.31</v>
      </c>
      <c r="AB283" s="2276">
        <f>+IF(B283&lt;=AB275,AB275,IF(B283&lt;=AB276,AB276,IF(B283&lt;=AB277,AB277,)))</f>
        <v>327.31</v>
      </c>
      <c r="AC283" s="2276">
        <f>+IF(B283&lt;=AC275,AC275,IF(B283&lt;=AC276,AC276,IF(B283&lt;=AC277,AC277,)))</f>
        <v>329.01</v>
      </c>
      <c r="AD283" s="2276">
        <f>+IF(B283&lt;=AD275,AD275,IF(B283&lt;=AD276,AD276,IF(B283&lt;=AD277,AD277,)))</f>
        <v>329.01</v>
      </c>
      <c r="AE283" s="2275"/>
      <c r="AF283" s="2275"/>
      <c r="AG283" s="2275"/>
      <c r="AH283" s="2275"/>
      <c r="AI283" s="2275"/>
      <c r="AJ283" s="2275"/>
      <c r="AK283" s="2275"/>
      <c r="AL283" s="2275"/>
      <c r="AM283" s="2275"/>
      <c r="AN283" s="2275"/>
      <c r="AO283" s="2275"/>
      <c r="AP283" s="2250"/>
      <c r="AQ283" s="2250"/>
      <c r="AR283" s="2250"/>
      <c r="AS283" s="2250"/>
      <c r="AT283" s="2250"/>
      <c r="AU283" s="2250"/>
      <c r="AV283" s="2250"/>
      <c r="AW283" s="2250"/>
      <c r="AX283" s="2250"/>
      <c r="AY283" s="2250"/>
      <c r="AZ283" s="2250"/>
      <c r="BA283" s="2250"/>
      <c r="BB283" s="2250"/>
      <c r="BC283" s="2250"/>
      <c r="BD283" s="2250"/>
      <c r="BE283" s="2250"/>
      <c r="BF283" s="2276"/>
      <c r="BG283" s="2276"/>
      <c r="BH283" s="2250"/>
      <c r="BI283" s="2275"/>
      <c r="BJ283" s="2276">
        <f>BJ239</f>
        <v>19.915970774546171</v>
      </c>
      <c r="BK283" s="2276">
        <f>HLOOKUP(BJ284,BL265:CL285,20,0)</f>
        <v>23.25</v>
      </c>
      <c r="BL283" s="2276">
        <f>+IF(BJ283&lt;=BL275,BL275,IF(BJ283&lt;=BL276,BL276,IF(BJ283&lt;=BL277,BL277,)))</f>
        <v>57.45</v>
      </c>
      <c r="BM283" s="2276">
        <f>+IF(BJ283&lt;=BM275,BM275,IF(BJ283&lt;=BM276,BM276,IF(BJ283&lt;=BM277,BM277,)))</f>
        <v>64.790000000000006</v>
      </c>
      <c r="BN283" s="2276">
        <f>+IF(BJ283&lt;=BN275,BN275,IF(BJ283&lt;=BN276,BN276,IF(BJ283&lt;=BN277,BN277,)))</f>
        <v>71.78</v>
      </c>
      <c r="BO283" s="2276">
        <f>+IF(BJ283&lt;=BO275,BO275,IF(BJ283&lt;=BO276,BO276,IF(BJ283&lt;=BO277,BO277,)))</f>
        <v>79.459999999999994</v>
      </c>
      <c r="BP283" s="2276">
        <f>+IF(BJ283&lt;=BP275,BP275,IF(BJ283&lt;=BP276,BP276,IF(BJ283&lt;=BP277,BP277,)))</f>
        <v>86.79</v>
      </c>
      <c r="BQ283" s="2276">
        <f>+IF(BJ283&lt;=BQ275,BQ275,IF(BJ283&lt;=BQ276,BQ276,IF(BJ283&lt;=BQ277,BQ277,)))</f>
        <v>81.83</v>
      </c>
      <c r="BR283" s="2276">
        <f>+IF(BJ283&lt;=BR275,BR275,IF(BJ283&lt;=BR276,BR276,IF(BJ283&lt;=BR277,BR277,)))</f>
        <v>90.63</v>
      </c>
      <c r="BS283" s="2276">
        <f>+IF(BJ283&lt;=BS275,BS275,IF(BJ283&lt;=BS276,BS276,IF(BJ283&lt;=BS277,BS277,)))</f>
        <v>96.5</v>
      </c>
      <c r="BT283" s="2276">
        <f>+IF(BJ283&lt;=BT275,BT275,IF(BJ283&lt;=BT276,BT276,IF(BJ283&lt;=BT277,BT277,)))</f>
        <v>105.87</v>
      </c>
      <c r="BU283" s="2276">
        <f>+IF(BJ283&lt;=BU275,BU275,IF(BJ283&lt;=BU276,BU276,IF(BJ283&lt;=BU277,BU277,)))</f>
        <v>107.9</v>
      </c>
      <c r="BV283" s="2276">
        <f>+IF(BJ283&lt;=BV275,BV275,IF(BJ283&lt;=BV276,BV276,IF(BJ283&lt;=BV277,BV277,)))</f>
        <v>119.53</v>
      </c>
      <c r="BW283" s="2276">
        <f>+IF(BJ283&lt;=BW275,BW275,IF(BJ283&lt;=BW276,BW276,IF(BJ283&lt;=BW277,BW277,)))</f>
        <v>139.05000000000001</v>
      </c>
      <c r="BX283" s="2276">
        <f>+IF(BJ283&lt;=BX275,BX275,IF(BJ283&lt;=BX276,BX276,IF(BJ283&lt;=BX277,BX277,)))</f>
        <v>140.41</v>
      </c>
      <c r="BY283" s="2276">
        <f>+IF(BJ283&lt;=BY275,BY275,IF(BJ283&lt;=BY276,BY276,IF(BJ283&lt;=BY277,BY277,)))</f>
        <v>147.18</v>
      </c>
      <c r="BZ283" s="2276">
        <f>+IF(BJ283&lt;=BZ275,BZ275,IF(BJ283&lt;=BZ276,BZ276,IF(BJ283&lt;=BZ277,BZ277,)))</f>
        <v>154.85</v>
      </c>
      <c r="CA283" s="2276">
        <f>+IF(BJ283&lt;=CA275,CA275,IF(BJ283&lt;=CA276,CA276,IF(BJ283&lt;=CA277,CA277,)))</f>
        <v>166.37</v>
      </c>
      <c r="CB283" s="2276">
        <f>+IF(BJ283&lt;=CB275,CB275,IF(BJ283&lt;=CB276,CB276,IF(BJ283&lt;=CB277,CB277,)))</f>
        <v>173.81</v>
      </c>
      <c r="CC283" s="2276">
        <f>+IF(BJ283&lt;=CC275,CC275,IF(BJ283&lt;=CC276,CC276,IF(BJ283&lt;=CC277,CC277,)))</f>
        <v>188.37</v>
      </c>
      <c r="CD283" s="2276">
        <f>+IF(BJ283&lt;=CD275,CD275,IF(BJ283&lt;=CD276,CD276,IF(BJ283&lt;=CD277,CD277,)))</f>
        <v>200.56</v>
      </c>
      <c r="CE283" s="2276">
        <f>+IF(BJ283&lt;=CE275,CE275,IF(BJ283&lt;=CE276,CE276,IF(BJ283&lt;=CE277,CE277,)))</f>
        <v>216.25</v>
      </c>
      <c r="CF283" s="2276">
        <f>+IF(BJ283&lt;=CF275,CF275,IF(BJ283&lt;=CF276,CF276,IF(BJ283&lt;=CF277,CF277,)))</f>
        <v>228.67</v>
      </c>
      <c r="CG283" s="2276">
        <f>+IF(BJ283&lt;=CG275,CG275,IF(BJ283&lt;=CG276,CG276,IF(BJ283&lt;=CG277,CG277,)))</f>
        <v>238.83</v>
      </c>
      <c r="CH283" s="2276">
        <f>+IF(BJ283&lt;=CH275,CH275,IF(BJ283&lt;=CH276,CH276,IF(BJ283&lt;=CH277,CH277,)))</f>
        <v>265.01</v>
      </c>
      <c r="CI283" s="2276">
        <f>+IF(BJ283&lt;=CI275,CI275,IF(BJ283&lt;=CI276,CI276,IF(BJ283&lt;=CI277,CI277,)))</f>
        <v>291.31</v>
      </c>
      <c r="CJ283" s="2276">
        <f>+IF(BJ283&lt;=CJ275,CJ275,IF(BJ283&lt;=CJ276,CJ276,IF(BJ283&lt;=CJ277,CJ277,)))</f>
        <v>327.31</v>
      </c>
      <c r="CK283" s="2276">
        <f>+IF(BJ283&lt;=CK275,CK275,IF(BJ283&lt;=CK276,CK276,IF(BJ283&lt;=CK277,CK277,)))</f>
        <v>329.01</v>
      </c>
      <c r="CL283" s="2276">
        <f>+IF(BJ283&lt;=CL275,CL275,IF(BJ283&lt;=CL276,CL276,IF(BJ283&lt;=CL277,CL277,)))</f>
        <v>329.01</v>
      </c>
      <c r="CM283" s="2275"/>
      <c r="CN283" s="2275"/>
      <c r="CO283" s="2275"/>
      <c r="CP283" s="2275"/>
      <c r="CQ283" s="2275"/>
      <c r="CR283" s="2275"/>
      <c r="CS283" s="2275"/>
      <c r="CT283" s="2275"/>
      <c r="CU283" s="2275"/>
      <c r="CV283" s="2275"/>
      <c r="CW283" s="2275"/>
      <c r="CX283" s="2250"/>
      <c r="CY283" s="2250"/>
      <c r="CZ283" s="2250"/>
      <c r="DA283" s="2250"/>
      <c r="DB283" s="2250"/>
      <c r="DC283" s="2250"/>
      <c r="DD283" s="2250"/>
      <c r="DE283" s="2250"/>
      <c r="DF283" s="2250"/>
      <c r="DG283" s="2250"/>
      <c r="DH283" s="2250"/>
      <c r="DI283" s="2250"/>
      <c r="DJ283" s="2250"/>
      <c r="DK283" s="2250"/>
      <c r="DL283" s="2250"/>
      <c r="DM283" s="2250"/>
      <c r="DN283" s="2250"/>
      <c r="DO283" s="2250"/>
      <c r="DP283" s="2250"/>
      <c r="DQ283" s="2277"/>
      <c r="DR283" s="2277"/>
      <c r="DS283" s="2278"/>
      <c r="DT283" s="2250"/>
      <c r="DU283" s="2250"/>
      <c r="DV283" s="2250"/>
      <c r="DW283" s="2250"/>
      <c r="DX283" s="2275"/>
      <c r="DY283" s="2250"/>
      <c r="DZ283" s="2275"/>
      <c r="EA283" s="2276">
        <f>+IF(DY284&lt;=EA268,EA268,IF(DY284&lt;=EA269,EA269,IF(DY284&lt;=EA270,EA270,IF(DY284&lt;=EA271,EA271,IF(DY284&lt;=EA272,EA272,IF(DY284&lt;=EA273,EA273,IF(DY284&lt;=EA274,EA274,IF(DY284&lt;=EA275,EA275,0))))))))</f>
        <v>20.99</v>
      </c>
      <c r="EB283" s="2276">
        <f>+IF(DY284&lt;=EB268,EB268,IF(DY284&lt;=EB269,EB269,IF(DY284&lt;=EB270,EB270,IF(DY284&lt;=EB271,EB271,IF(DY284&lt;=EB272,EB272,IF(DY284&lt;=EB273,EB273,IF(DY284&lt;=EB274,EB274,IF(DY284&lt;=EB275,EB275,0))))))))</f>
        <v>23.25</v>
      </c>
      <c r="EC283" s="2276">
        <f>+IF(DY284&lt;=EC268,EC268,IF(DY284&lt;=EC269,EC269,IF(DY284&lt;=EC270,EC270,IF(DY284&lt;=EC271,EC271,IF(DY284&lt;=EC272,EC272,IF(DY284&lt;=EC273,EC273,IF(DY284&lt;=EC274,EC274,IF(DY284&lt;=EC275,EC275,0))))))))</f>
        <v>25.17</v>
      </c>
      <c r="ED283" s="2276">
        <f>+IF(DY284&lt;=ED268,ED268,IF(DY284&lt;=ED269,ED269,IF(DY284&lt;=ED270,ED270,IF(DY284&lt;=ED271,ED271,IF(DY284&lt;=ED272,ED272,IF(DY284&lt;=ED273,ED273,IF(DY284&lt;=ED274,ED274,IF(DY284&lt;=ED275,ED275,0))))))))</f>
        <v>19.98</v>
      </c>
      <c r="EE283" s="2276">
        <f>+IF(DY284&lt;=EE268,EE268,IF(DY284&lt;=EE269,EE269,IF(DY284&lt;=EE270,EE270,IF(DY284&lt;=EE271,EE271,IF(DY284&lt;=EE272,EE272,IF(DY284&lt;=EE273,EE273,IF(DY284&lt;=EE274,EE274,IF(DY284&lt;=EE275,EE275,0))))))))</f>
        <v>21.9</v>
      </c>
      <c r="EF283" s="2276">
        <f>+IF(DY284&lt;=EF268,EF268,IF(DY284&lt;=EF269,EF269,IF(DY284&lt;=EF270,EF270,IF(DY284&lt;=EF271,EF271,IF(DY284&lt;=EF272,EF272,IF(DY284&lt;=EF273,EF273,IF(DY284&lt;=EF274,EF274,IF(DY284&lt;=EF275,EF275,0))))))))</f>
        <v>20.54</v>
      </c>
      <c r="EG283" s="2276">
        <f>+IF(DY284&lt;=EG268,EG268,IF(DY284&lt;=EG269,EG269,IF(DY284&lt;=EG270,EG270,IF(DY284&lt;=EG271,EG271,IF(DY284&lt;=EG272,EG272,IF(DY284&lt;=EG273,EG273,IF(DY284&lt;=EG274,EG274,IF(DY284&lt;=EG275,EG275,0))))))))</f>
        <v>22.69</v>
      </c>
      <c r="EH283" s="2276">
        <f>+IF(DY284&lt;=EH268,EH268,IF(DY284&lt;=EH269,EH269,IF(DY284&lt;=EH270,EH270,IF(DY284&lt;=EH271,EH271,IF(DY284&lt;=EH272,EH272,IF(DY284&lt;=EH273,EH273,IF(DY284&lt;=EH274,EH274,IF(DY284&lt;=EH275,EH275,0))))))))</f>
        <v>24.15</v>
      </c>
      <c r="EI283" s="2276">
        <f>+IF(DY284&lt;=EI268,EI268,IF(DY284&lt;=EI269,EI269,IF(DY284&lt;=EI270,EI270,IF(DY284&lt;=EI271,EI271,IF(DY284&lt;=EI272,EI272,IF(DY284&lt;=EI273,EI273,IF(DY284&lt;=EI274,EI274,IF(DY284&lt;=EI275,EI275,0))))))))</f>
        <v>26.52</v>
      </c>
      <c r="EJ283" s="2276">
        <f>+IF(DY284&lt;=EJ268,EJ268,IF(DY284&lt;=EJ269,EJ269,IF(DY284&lt;=EJ270,EJ270,IF(DY284&lt;=EJ271,EJ271,IF(DY284&lt;=EJ272,EJ272,IF(DY284&lt;=EJ273,EJ273,IF(DY284&lt;=EJ274,EJ274,IF(DY284&lt;=EJ275,EJ275,0))))))))</f>
        <v>28.22</v>
      </c>
      <c r="EK283" s="2276">
        <f>+IF(DY284&lt;=EK268,EK268,IF(DY284&lt;=EK269,EK269,IF(DY284&lt;=EK270,EK270,IF(DY284&lt;=EK271,EK271,IF(DY284&lt;=EK272,EK272,IF(DY284&lt;=EK273,EK273,IF(DY284&lt;=EK274,EK274,IF(DY284&lt;=EK275,EK275,0))))))))</f>
        <v>20.09</v>
      </c>
      <c r="EL283" s="2276">
        <f>+IF(DY284&lt;=EL268,EL268,IF(DY284&lt;=EL269,EL269,IF(DY284&lt;=EL270,EL270,IF(DY284&lt;=EL271,EL271,IF(DY284&lt;=EL272,EL272,IF(DY284&lt;=EL273,EL273,IF(DY284&lt;=EL274,EL274,IF(DY284&lt;=EL275,EL275,0))))))))</f>
        <v>21.9</v>
      </c>
      <c r="EM283" s="2276">
        <f>+IF(DY284&lt;=EM268,EM268,IF(DY284&lt;=EM269,EM269,IF(DY284&lt;=EM270,EM270,IF(DY284&lt;=EM271,EM271,IF(DY284&lt;=EM272,EM272,IF(DY284&lt;=EM273,EM273,IF(DY284&lt;=EM274,EM274,IF(DY284&lt;=EM275,EM275,0))))))))</f>
        <v>23.7</v>
      </c>
      <c r="EN283" s="2276">
        <f>+IF(DY284&lt;=EN268,EN268,IF(DY284&lt;=EN269,EN269,IF(DY284&lt;=EN270,EN270,IF(DY284&lt;=EN271,EN271,IF(DY284&lt;=EN272,EN272,IF(DY284&lt;=EN273,EN273,IF(DY284&lt;=EN274,EN274,IF(DY284&lt;=EN275,EN275,0))))))))</f>
        <v>23.93</v>
      </c>
      <c r="EO283" s="2276">
        <f>+IF(DY284&lt;=EO268,EO268,IF(DY284&lt;=EO269,EO269,IF(DY284&lt;=EO270,EO270,IF(DY284&lt;=EO271,EO271,IF(DY284&lt;=EO272,EO272,IF(DY284&lt;=EO273,EO273,IF(DY284&lt;=EO274,EO274,IF(DY284&lt;=EO275,EO275,0))))))))</f>
        <v>25.17</v>
      </c>
      <c r="EP283" s="2276">
        <f>+IF(DY284&lt;=EP268,EP268,IF(DY284&lt;=EP269,EP269,IF(DY284&lt;=EP270,EP270,IF(DY284&lt;=EP271,EP271,IF(DY284&lt;=EP272,EP272,IF(DY284&lt;=EP273,EP273,IF(DY284&lt;=EP274,EP274,IF(DY284&lt;=EP275,EP275,0))))))))</f>
        <v>27.09</v>
      </c>
      <c r="EQ283" s="2276">
        <f>+IF(DY284&lt;=EQ268,EQ268,IF(DY284&lt;=EQ269,EQ269,IF(DY284&lt;=EQ270,EQ270,IF(DY284&lt;=EQ271,EQ271,IF(DY284&lt;=EQ272,EQ272,IF(DY284&lt;=EQ273,EQ273,IF(DY284&lt;=EQ274,EQ274,IF(DY284&lt;=EQ275,EQ275,0))))))))</f>
        <v>28.67</v>
      </c>
      <c r="ER283" s="2276">
        <f>+IF(DY284&lt;=ER268,ER268,IF(DY284&lt;=ER269,ER269,IF(DY284&lt;=ER270,ER270,IF(DY284&lt;=ER271,ER271,IF(DY284&lt;=ER272,ER272,IF(DY284&lt;=ER273,ER273,IF(DY284&lt;=ER274,ER274,IF(DY284&lt;=ER275,ER275,0))))))))</f>
        <v>31.6</v>
      </c>
      <c r="ES283" s="2276">
        <f>+IF(DY284&lt;=ES268,ES268,IF(DY284&lt;=ES269,ES269,IF(DY284&lt;=ES270,ES270,IF(DY284&lt;=ES271,ES271,IF(DY284&lt;=ES272,ES272,IF(DY284&lt;=ES273,ES273,IF(DY284&lt;=ES274,ES274,IF(DY284&lt;=ES275,ES275,0))))))))</f>
        <v>29.91</v>
      </c>
      <c r="ET283" s="2276">
        <f>+IF(DY284&lt;=ET268,ET268,IF(DY284&lt;=ET269,ET269,IF(DY284&lt;=ET270,ET270,IF(DY284&lt;=ET271,ET271,IF(DY284&lt;=ET272,ET272,IF(DY284&lt;=ET273,ET273,IF(DY284&lt;=ET274,ET274,IF(DY284&lt;=ET275,ET275,0))))))))</f>
        <v>21.44</v>
      </c>
      <c r="EU283" s="2276">
        <f>+IF(DY284&lt;=EU268,EU268,IF(DY284&lt;=EU269,EU269,IF(DY284&lt;=EU270,EU270,IF(DY284&lt;=EU271,EU271,IF(DY284&lt;=EU272,EU272,IF(DY284&lt;=EU273,EU273,IF(DY284&lt;=EU274,EU274,IF(DY284&lt;=EU275,EU275,0))))))))</f>
        <v>22.12</v>
      </c>
      <c r="EV283" s="2276">
        <f>+IF(DY284&lt;=EV268,EV268,IF(DY284&lt;=EV269,EV269,IF(DY284&lt;=EV270,EV270,IF(DY284&lt;=EV271,EV271,IF(DY284&lt;=EV272,EV272,IF(DY284&lt;=EV273,EV273,IF(DY284&lt;=EV274,EV274,IF(DY284&lt;=EV275,EV275,0))))))))</f>
        <v>24.83</v>
      </c>
      <c r="EW283" s="2276">
        <f>+IF(DY284&lt;=EW268,EW268,IF(DY284&lt;=EW269,EW269,IF(DY284&lt;=EW270,EW270,IF(DY284&lt;=EW271,EW271,IF(DY284&lt;=EW272,EW272,IF(DY284&lt;=EW273,EW273,IF(DY284&lt;=EW274,EW274,IF(DY284&lt;=EW275,EW275,0))))))))</f>
        <v>25.96</v>
      </c>
      <c r="EX283" s="2276">
        <f>+IF(DY284&lt;=EX268,EX268,IF(DY284&lt;=EX269,EX269,IF(DY284&lt;=EX270,EX270,IF(DY284&lt;=EX271,EX271,IF(DY284&lt;=EX272,EX272,IF(DY284&lt;=EX273,EX273,IF(DY284&lt;=EX274,EX274,IF(DY284&lt;=EX275,EX275,0))))))))</f>
        <v>30.25</v>
      </c>
      <c r="EY283" s="2276">
        <f>+IF(DY284&lt;=EY268,EY268,IF(DY284&lt;=EY269,EY269,IF(DY284&lt;=EY270,EY270,IF(DY284&lt;=EY271,EY271,IF(DY284&lt;=EY272,EY272,IF(DY284&lt;=EY273,EY273,IF(DY284&lt;=EY274,EY274,IF(DY284&lt;=EY275,EY275,0))))))))</f>
        <v>32.049999999999997</v>
      </c>
      <c r="EZ283" s="2276">
        <f>+IF(DY284&lt;=EZ268,EZ268,IF(DY284&lt;=EZ269,EZ269,IF(DY284&lt;=EZ270,EZ270,IF(DY284&lt;=EZ271,EZ271,IF(DY284&lt;=EZ272,EZ272,IF(DY284&lt;=EZ273,EZ273,IF(DY284&lt;=EZ274,EZ274,IF(DY284&lt;=EZ275,EZ275,0))))))))</f>
        <v>19.98</v>
      </c>
      <c r="FA283" s="2276">
        <f>+IF(DY284&lt;=FA268,FA268,IF(DY284&lt;=FA269,FA269,IF(DY284&lt;=FA270,FA270,IF(DY284&lt;=FA271,FA271,IF(DY284&lt;=FA272,FA272,IF(DY284&lt;=FA273,FA273,IF(DY284&lt;=FA274,FA274,IF(DY284&lt;=FA275,FA275,0))))))))</f>
        <v>23.36</v>
      </c>
      <c r="FB283" s="2275"/>
      <c r="FC283" s="2275"/>
      <c r="FD283" s="2275"/>
      <c r="FE283" s="2275"/>
      <c r="FF283" s="2275"/>
      <c r="FG283" s="2275"/>
      <c r="FH283" s="2275"/>
      <c r="FI283" s="2275"/>
      <c r="FJ283" s="2275"/>
      <c r="FK283" s="2275"/>
      <c r="FL283" s="2275"/>
      <c r="FM283" s="2250"/>
      <c r="FN283" s="2250"/>
      <c r="FO283" s="2250"/>
      <c r="FP283" s="2250"/>
      <c r="FQ283" s="2250"/>
      <c r="FR283" s="2250"/>
      <c r="FS283" s="2250"/>
      <c r="FT283" s="2250"/>
      <c r="FU283" s="2250"/>
      <c r="FV283" s="2250"/>
      <c r="FW283" s="2250"/>
      <c r="FX283" s="2250"/>
      <c r="FY283" s="2250"/>
      <c r="FZ283" s="2250"/>
      <c r="GA283" s="2250"/>
      <c r="GB283" s="2250"/>
      <c r="GC283" s="2276"/>
      <c r="GD283" s="2276"/>
      <c r="GE283" s="2250"/>
      <c r="GF283" s="2275"/>
      <c r="GG283" s="2250"/>
      <c r="GH283" s="2275"/>
      <c r="GI283" s="2276">
        <f>+IF(GG284&lt;=GI268,GI268,IF(GG284&lt;=GI269,GI269,IF(GG284&lt;=GI270,GI270,IF(GG284&lt;=GI271,GI271,IF(GG284&lt;=GI272,GI272,IF(GG284&lt;=GI273,GI273,IF(GG284&lt;=GI274,GI274,IF(GG284&lt;=GI275,GI275,0))))))))</f>
        <v>20.99</v>
      </c>
      <c r="GJ283" s="2276">
        <f>+IF(GG284&lt;=GJ268,GJ268,IF(GG284&lt;=GJ269,GJ269,IF(GG284&lt;=GJ270,GJ270,IF(GG284&lt;=GJ271,GJ271,IF(GG284&lt;=GJ272,GJ272,IF(GG284&lt;=GJ273,GJ273,IF(GG284&lt;=GJ274,GJ274,IF(GG284&lt;=GJ275,GJ275,0))))))))</f>
        <v>23.25</v>
      </c>
      <c r="GK283" s="2276">
        <f>+IF(GG284&lt;=GK268,GK268,IF(GG284&lt;=GK269,GK269,IF(GG284&lt;=GK270,GK270,IF(GG284&lt;=GK271,GK271,IF(GG284&lt;=GK272,GK272,IF(GG284&lt;=GK273,GK273,IF(GG284&lt;=GK274,GK274,IF(GG284&lt;=GK275,GK275,0))))))))</f>
        <v>25.17</v>
      </c>
      <c r="GL283" s="2276">
        <f>+IF(GG284&lt;=GL268,GL268,IF(GG284&lt;=GL269,GL269,IF(GG284&lt;=GL270,GL270,IF(GG284&lt;=GL271,GL271,IF(GG284&lt;=GL272,GL272,IF(GG284&lt;=GL273,GL273,IF(GG284&lt;=GL274,GL274,IF(GG284&lt;=GL275,GL275,0))))))))</f>
        <v>19.98</v>
      </c>
      <c r="GM283" s="2276">
        <f>+IF(GG284&lt;=GM268,GM268,IF(GG284&lt;=GM269,GM269,IF(GG284&lt;=GM270,GM270,IF(GG284&lt;=GM271,GM271,IF(GG284&lt;=GM272,GM272,IF(GG284&lt;=GM273,GM273,IF(GG284&lt;=GM274,GM274,IF(GG284&lt;=GM275,GM275,0))))))))</f>
        <v>21.9</v>
      </c>
      <c r="GN283" s="2276">
        <f>+IF(GG284&lt;=GN268,GN268,IF(GG284&lt;=GN269,GN269,IF(GG284&lt;=GN270,GN270,IF(GG284&lt;=GN271,GN271,IF(GG284&lt;=GN272,GN272,IF(GG284&lt;=GN273,GN273,IF(GG284&lt;=GN274,GN274,IF(GG284&lt;=GN275,GN275,0))))))))</f>
        <v>20.54</v>
      </c>
      <c r="GO283" s="2276">
        <f>+IF(GG284&lt;=GO268,GO268,IF(GG284&lt;=GO269,GO269,IF(GG284&lt;=GO270,GO270,IF(GG284&lt;=GO271,GO271,IF(GG284&lt;=GO272,GO272,IF(GG284&lt;=GO273,GO273,IF(GG284&lt;=GO274,GO274,IF(GG284&lt;=GO275,GO275,0))))))))</f>
        <v>22.69</v>
      </c>
      <c r="GP283" s="2276">
        <f>+IF(GG284&lt;=GP268,GP268,IF(GG284&lt;=GP269,GP269,IF(GG284&lt;=GP270,GP270,IF(GG284&lt;=GP271,GP271,IF(GG284&lt;=GP272,GP272,IF(GG284&lt;=GP273,GP273,IF(GG284&lt;=GP274,GP274,IF(GG284&lt;=GP275,GP275,0))))))))</f>
        <v>24.15</v>
      </c>
      <c r="GQ283" s="2276">
        <f>+IF(GG284&lt;=GQ268,GQ268,IF(GG284&lt;=GQ269,GQ269,IF(GG284&lt;=GQ270,GQ270,IF(GG284&lt;=GQ271,GQ271,IF(GG284&lt;=GQ272,GQ272,IF(GG284&lt;=GQ273,GQ273,IF(GG284&lt;=GQ274,GQ274,IF(GG284&lt;=GQ275,GQ275,0))))))))</f>
        <v>26.52</v>
      </c>
      <c r="GR283" s="2276">
        <f>+IF(GG284&lt;=GR268,GR268,IF(GG284&lt;=GR269,GR269,IF(GG284&lt;=GR270,GR270,IF(GG284&lt;=GR271,GR271,IF(GG284&lt;=GR272,GR272,IF(GG284&lt;=GR273,GR273,IF(GG284&lt;=GR274,GR274,IF(GG284&lt;=GR275,GR275,0))))))))</f>
        <v>28.22</v>
      </c>
      <c r="GS283" s="2276">
        <f>+IF(GG284&lt;=GS268,GS268,IF(GG284&lt;=GS269,GS269,IF(GG284&lt;=GS270,GS270,IF(GG284&lt;=GS271,GS271,IF(GG284&lt;=GS272,GS272,IF(GG284&lt;=GS273,GS273,IF(GG284&lt;=GS274,GS274,IF(GG284&lt;=GS275,GS275,0))))))))</f>
        <v>20.09</v>
      </c>
      <c r="GT283" s="2276">
        <f>+IF(GG284&lt;=GT268,GT268,IF(GG284&lt;=GT269,GT269,IF(GG284&lt;=GT270,GT270,IF(GG284&lt;=GT271,GT271,IF(GG284&lt;=GT272,GT272,IF(GG284&lt;=GT273,GT273,IF(GG284&lt;=GT274,GT274,IF(GG284&lt;=GT275,GT275,0))))))))</f>
        <v>21.9</v>
      </c>
      <c r="GU283" s="2276">
        <f>+IF(GG284&lt;=GU268,GU268,IF(GG284&lt;=GU269,GU269,IF(GG284&lt;=GU270,GU270,IF(GG284&lt;=GU271,GU271,IF(GG284&lt;=GU272,GU272,IF(GG284&lt;=GU273,GU273,IF(GG284&lt;=GU274,GU274,IF(GG284&lt;=GU275,GU275,0))))))))</f>
        <v>23.7</v>
      </c>
      <c r="GV283" s="2276">
        <f>+IF(GG284&lt;=GV268,GV268,IF(GG284&lt;=GV269,GV269,IF(GG284&lt;=GV270,GV270,IF(GG284&lt;=GV271,GV271,IF(GG284&lt;=GV272,GV272,IF(GG284&lt;=GV273,GV273,IF(GG284&lt;=GV274,GV274,IF(GG284&lt;=GV275,GV275,0))))))))</f>
        <v>23.93</v>
      </c>
      <c r="GW283" s="2276">
        <f>+IF(GG284&lt;=GW268,GW268,IF(GG284&lt;=GW269,GW269,IF(GG284&lt;=GW270,GW270,IF(GG284&lt;=GW271,GW271,IF(GG284&lt;=GW272,GW272,IF(GG284&lt;=GW273,GW273,IF(GG284&lt;=GW274,GW274,IF(GG284&lt;=GW275,GW275,0))))))))</f>
        <v>25.17</v>
      </c>
      <c r="GX283" s="2276">
        <f>+IF(GG284&lt;=GX268,GX268,IF(GG284&lt;=GX269,GX269,IF(GG284&lt;=GX270,GX270,IF(GG284&lt;=GX271,GX271,IF(GG284&lt;=GX272,GX272,IF(GG284&lt;=GX273,GX273,IF(GG284&lt;=GX274,GX274,IF(GG284&lt;=GX275,GX275,0))))))))</f>
        <v>27.09</v>
      </c>
      <c r="GY283" s="2276">
        <f>+IF(GG284&lt;=GY268,GY268,IF(GG284&lt;=GY269,GY269,IF(GG284&lt;=GY270,GY270,IF(GG284&lt;=GY271,GY271,IF(GG284&lt;=GY272,GY272,IF(GG284&lt;=GY273,GY273,IF(GG284&lt;=GY274,GY274,IF(GG284&lt;=GY275,GY275,0))))))))</f>
        <v>28.67</v>
      </c>
      <c r="GZ283" s="2276">
        <f>+IF(GG284&lt;=GZ268,GZ268,IF(GG284&lt;=GZ269,GZ269,IF(GG284&lt;=GZ270,GZ270,IF(GG284&lt;=GZ271,GZ271,IF(GG284&lt;=GZ272,GZ272,IF(GG284&lt;=GZ273,GZ273,IF(GG284&lt;=GZ274,GZ274,IF(GG284&lt;=GZ275,GZ275,0))))))))</f>
        <v>31.6</v>
      </c>
      <c r="HA283" s="2276">
        <f>+IF(GG284&lt;=HA268,HA268,IF(GG284&lt;=HA269,HA269,IF(GG284&lt;=HA270,HA270,IF(GG284&lt;=HA271,HA271,IF(GG284&lt;=HA272,HA272,IF(GG284&lt;=HA273,HA273,IF(GG284&lt;=HA274,HA274,IF(GG284&lt;=HA275,HA275,0))))))))</f>
        <v>29.91</v>
      </c>
      <c r="HB283" s="2276">
        <f>+IF(GG284&lt;=HB268,HB268,IF(GG284&lt;=HB269,HB269,IF(GG284&lt;=HB270,HB270,IF(GG284&lt;=HB271,HB271,IF(GG284&lt;=HB272,HB272,IF(GG284&lt;=HB273,HB273,IF(GG284&lt;=HB274,HB274,IF(GG284&lt;=HB275,HB275,0))))))))</f>
        <v>21.44</v>
      </c>
      <c r="HC283" s="2276">
        <f>+IF(GG284&lt;=HC268,HC268,IF(GG284&lt;=HC269,HC269,IF(GG284&lt;=HC270,HC270,IF(GG284&lt;=HC271,HC271,IF(GG284&lt;=HC272,HC272,IF(GG284&lt;=HC273,HC273,IF(GG284&lt;=HC274,HC274,IF(GG284&lt;=HC275,HC275,0))))))))</f>
        <v>22.12</v>
      </c>
      <c r="HD283" s="2276">
        <f>+IF(GG284&lt;=HD268,HD268,IF(GG284&lt;=HD269,HD269,IF(GG284&lt;=HD270,HD270,IF(GG284&lt;=HD271,HD271,IF(GG284&lt;=HD272,HD272,IF(GG284&lt;=HD273,HD273,IF(GG284&lt;=HD274,HD274,IF(GG284&lt;=HD275,HD275,0))))))))</f>
        <v>24.83</v>
      </c>
      <c r="HE283" s="2276">
        <f>+IF(GG284&lt;=HE268,HE268,IF(GG284&lt;=HE269,HE269,IF(GG284&lt;=HE270,HE270,IF(GG284&lt;=HE271,HE271,IF(GG284&lt;=HE272,HE272,IF(GG284&lt;=HE273,HE273,IF(GG284&lt;=HE274,HE274,IF(GG284&lt;=HE275,HE275,0))))))))</f>
        <v>25.96</v>
      </c>
      <c r="HF283" s="2276">
        <f>+IF(GG284&lt;=HF268,HF268,IF(GG284&lt;=HF269,HF269,IF(GG284&lt;=HF270,HF270,IF(GG284&lt;=HF271,HF271,IF(GG284&lt;=HF272,HF272,IF(GG284&lt;=HF273,HF273,IF(GG284&lt;=HF274,HF274,IF(GG284&lt;=HF275,HF275,0))))))))</f>
        <v>30.25</v>
      </c>
      <c r="HG283" s="2276">
        <f>+IF(GG284&lt;=HG268,HG268,IF(GG284&lt;=HG269,HG269,IF(GG284&lt;=HG270,HG270,IF(GG284&lt;=HG271,HG271,IF(GG284&lt;=HG272,HG272,IF(GG284&lt;=HG273,HG273,IF(GG284&lt;=HG274,HG274,IF(GG284&lt;=HG275,HG275,0))))))))</f>
        <v>32.049999999999997</v>
      </c>
      <c r="HH283" s="2276">
        <f>+IF(GG284&lt;=HH268,HH268,IF(GG284&lt;=HH269,HH269,IF(GG284&lt;=HH270,HH270,IF(GG284&lt;=HH271,HH271,IF(GG284&lt;=HH272,HH272,IF(GG284&lt;=HH273,HH273,IF(GG284&lt;=HH274,HH274,IF(GG284&lt;=HH275,HH275,0))))))))</f>
        <v>19.98</v>
      </c>
      <c r="HI283" s="2276">
        <f>+IF(GG284&lt;=HI268,HI268,IF(GG284&lt;=HI269,HI269,IF(GG284&lt;=HI270,HI270,IF(GG284&lt;=HI271,HI271,IF(GG284&lt;=HI272,HI272,IF(GG284&lt;=HI273,HI273,IF(GG284&lt;=HI274,HI274,IF(GG284&lt;=HI275,HI275,0))))))))</f>
        <v>23.36</v>
      </c>
      <c r="HJ283" s="2275"/>
      <c r="HK283" s="2275"/>
      <c r="HL283" s="2275"/>
      <c r="HM283" s="2275"/>
      <c r="HN283" s="2275"/>
      <c r="HO283" s="2275"/>
      <c r="HP283" s="2275"/>
      <c r="HQ283" s="2275"/>
      <c r="HR283" s="2275"/>
      <c r="HS283" s="2275"/>
      <c r="HT283" s="2275"/>
      <c r="HU283" s="2250"/>
      <c r="HV283" s="2250"/>
      <c r="HW283" s="2250"/>
      <c r="HX283" s="2250"/>
      <c r="HY283" s="2250"/>
      <c r="HZ283" s="2250"/>
      <c r="IA283" s="2250"/>
      <c r="IB283" s="2250"/>
      <c r="IC283" s="2250"/>
      <c r="ID283" s="2250"/>
      <c r="IE283" s="2250"/>
      <c r="IF283" s="2250"/>
      <c r="IG283" s="2250"/>
      <c r="IH283" s="2250"/>
      <c r="II283" s="2250"/>
      <c r="IJ283" s="2250"/>
      <c r="IK283" s="2250"/>
      <c r="IL283" s="2250"/>
    </row>
    <row r="284" spans="1:246" ht="21.95" customHeight="1">
      <c r="A284" s="2275"/>
      <c r="B284" s="2276">
        <f>B240</f>
        <v>190.4</v>
      </c>
      <c r="C284" s="2276">
        <f>HLOOKUP(B284,D265:AD285,21,0)</f>
        <v>825</v>
      </c>
      <c r="D284" s="2276">
        <f t="shared" ref="D284:AD284" si="268">IF(D282=0,D283,D282)</f>
        <v>20.99</v>
      </c>
      <c r="E284" s="2276">
        <f t="shared" si="268"/>
        <v>23.25</v>
      </c>
      <c r="F284" s="2276">
        <f t="shared" si="268"/>
        <v>25.17</v>
      </c>
      <c r="G284" s="2276">
        <f t="shared" si="268"/>
        <v>19.98</v>
      </c>
      <c r="H284" s="2276">
        <f t="shared" si="268"/>
        <v>21.9</v>
      </c>
      <c r="I284" s="2276">
        <f t="shared" si="268"/>
        <v>20.54</v>
      </c>
      <c r="J284" s="2276">
        <f t="shared" si="268"/>
        <v>22.69</v>
      </c>
      <c r="K284" s="2276">
        <f t="shared" si="268"/>
        <v>24.15</v>
      </c>
      <c r="L284" s="2276">
        <f t="shared" si="268"/>
        <v>26.52</v>
      </c>
      <c r="M284" s="2276">
        <f t="shared" si="268"/>
        <v>28.22</v>
      </c>
      <c r="N284" s="2276">
        <f t="shared" si="268"/>
        <v>20.09</v>
      </c>
      <c r="O284" s="2276">
        <f t="shared" si="268"/>
        <v>21.9</v>
      </c>
      <c r="P284" s="2276">
        <f t="shared" si="268"/>
        <v>23.7</v>
      </c>
      <c r="Q284" s="2276">
        <f t="shared" si="268"/>
        <v>23.93</v>
      </c>
      <c r="R284" s="2276">
        <f t="shared" si="268"/>
        <v>25.17</v>
      </c>
      <c r="S284" s="2276">
        <f t="shared" si="268"/>
        <v>27.09</v>
      </c>
      <c r="T284" s="2276">
        <f t="shared" si="268"/>
        <v>28.67</v>
      </c>
      <c r="U284" s="2276">
        <f t="shared" si="268"/>
        <v>31.6</v>
      </c>
      <c r="V284" s="2276">
        <f t="shared" si="268"/>
        <v>29.91</v>
      </c>
      <c r="W284" s="2276">
        <f t="shared" si="268"/>
        <v>21.44</v>
      </c>
      <c r="X284" s="2276">
        <f t="shared" si="268"/>
        <v>22.12</v>
      </c>
      <c r="Y284" s="2276">
        <f t="shared" si="268"/>
        <v>24.83</v>
      </c>
      <c r="Z284" s="2276">
        <f t="shared" si="268"/>
        <v>25.96</v>
      </c>
      <c r="AA284" s="2276">
        <f t="shared" si="268"/>
        <v>30.25</v>
      </c>
      <c r="AB284" s="2276">
        <f t="shared" si="268"/>
        <v>32.049999999999997</v>
      </c>
      <c r="AC284" s="2276">
        <f t="shared" si="268"/>
        <v>19.98</v>
      </c>
      <c r="AD284" s="2276">
        <f t="shared" si="268"/>
        <v>23.36</v>
      </c>
      <c r="AE284" s="2275"/>
      <c r="AF284" s="2275"/>
      <c r="AG284" s="2275"/>
      <c r="AH284" s="2275"/>
      <c r="AI284" s="2275"/>
      <c r="AJ284" s="2275"/>
      <c r="AK284" s="2275"/>
      <c r="AL284" s="2275"/>
      <c r="AM284" s="2275"/>
      <c r="AN284" s="2275"/>
      <c r="AO284" s="2275"/>
      <c r="AP284" s="2250"/>
      <c r="AQ284" s="2250"/>
      <c r="AR284" s="2250"/>
      <c r="AS284" s="2250"/>
      <c r="AT284" s="2250"/>
      <c r="AU284" s="2250"/>
      <c r="AV284" s="2250"/>
      <c r="AW284" s="2250"/>
      <c r="AX284" s="2250"/>
      <c r="AY284" s="2250"/>
      <c r="AZ284" s="2250"/>
      <c r="BA284" s="2250"/>
      <c r="BB284" s="2250"/>
      <c r="BC284" s="2250"/>
      <c r="BD284" s="2250"/>
      <c r="BE284" s="2250"/>
      <c r="BF284" s="2276"/>
      <c r="BG284" s="2276"/>
      <c r="BH284" s="2250"/>
      <c r="BI284" s="2275"/>
      <c r="BJ284" s="2276">
        <f>BJ240</f>
        <v>206.43</v>
      </c>
      <c r="BK284" s="2276">
        <f>HLOOKUP(BJ284,BL265:CL285,21,0)</f>
        <v>825</v>
      </c>
      <c r="BL284" s="2276">
        <f t="shared" ref="BL284:CL284" si="269">IF(BL282=0,BL283,BL282)</f>
        <v>20.99</v>
      </c>
      <c r="BM284" s="2276">
        <f t="shared" si="269"/>
        <v>23.25</v>
      </c>
      <c r="BN284" s="2276">
        <f t="shared" si="269"/>
        <v>25.17</v>
      </c>
      <c r="BO284" s="2276">
        <f t="shared" si="269"/>
        <v>19.98</v>
      </c>
      <c r="BP284" s="2276">
        <f t="shared" si="269"/>
        <v>21.9</v>
      </c>
      <c r="BQ284" s="2276">
        <f t="shared" si="269"/>
        <v>20.54</v>
      </c>
      <c r="BR284" s="2276">
        <f t="shared" si="269"/>
        <v>22.69</v>
      </c>
      <c r="BS284" s="2276">
        <f t="shared" si="269"/>
        <v>24.15</v>
      </c>
      <c r="BT284" s="2276">
        <f t="shared" si="269"/>
        <v>26.52</v>
      </c>
      <c r="BU284" s="2276">
        <f t="shared" si="269"/>
        <v>28.22</v>
      </c>
      <c r="BV284" s="2276">
        <f t="shared" si="269"/>
        <v>20.09</v>
      </c>
      <c r="BW284" s="2276">
        <f t="shared" si="269"/>
        <v>21.9</v>
      </c>
      <c r="BX284" s="2276">
        <f t="shared" si="269"/>
        <v>23.7</v>
      </c>
      <c r="BY284" s="2276">
        <f t="shared" si="269"/>
        <v>23.93</v>
      </c>
      <c r="BZ284" s="2276">
        <f t="shared" si="269"/>
        <v>25.17</v>
      </c>
      <c r="CA284" s="2276">
        <f t="shared" si="269"/>
        <v>27.09</v>
      </c>
      <c r="CB284" s="2276">
        <f t="shared" si="269"/>
        <v>28.67</v>
      </c>
      <c r="CC284" s="2276">
        <f t="shared" si="269"/>
        <v>31.6</v>
      </c>
      <c r="CD284" s="2276">
        <f t="shared" si="269"/>
        <v>29.91</v>
      </c>
      <c r="CE284" s="2276">
        <f t="shared" si="269"/>
        <v>21.44</v>
      </c>
      <c r="CF284" s="2276">
        <f t="shared" si="269"/>
        <v>22.12</v>
      </c>
      <c r="CG284" s="2276">
        <f t="shared" si="269"/>
        <v>24.83</v>
      </c>
      <c r="CH284" s="2276">
        <f t="shared" si="269"/>
        <v>25.96</v>
      </c>
      <c r="CI284" s="2276">
        <f t="shared" si="269"/>
        <v>30.25</v>
      </c>
      <c r="CJ284" s="2276">
        <f t="shared" si="269"/>
        <v>32.049999999999997</v>
      </c>
      <c r="CK284" s="2276">
        <f t="shared" si="269"/>
        <v>19.98</v>
      </c>
      <c r="CL284" s="2276">
        <f t="shared" si="269"/>
        <v>23.36</v>
      </c>
      <c r="CM284" s="2275"/>
      <c r="CN284" s="2275"/>
      <c r="CO284" s="2275"/>
      <c r="CP284" s="2275"/>
      <c r="CQ284" s="2275"/>
      <c r="CR284" s="2275"/>
      <c r="CS284" s="2275"/>
      <c r="CT284" s="2275"/>
      <c r="CU284" s="2275"/>
      <c r="CV284" s="2275"/>
      <c r="CW284" s="2275"/>
      <c r="CX284" s="2250"/>
      <c r="CY284" s="2250"/>
      <c r="CZ284" s="2250"/>
      <c r="DA284" s="2250"/>
      <c r="DB284" s="2250"/>
      <c r="DC284" s="2250"/>
      <c r="DD284" s="2250"/>
      <c r="DE284" s="2250"/>
      <c r="DF284" s="2250"/>
      <c r="DG284" s="2250"/>
      <c r="DH284" s="2250"/>
      <c r="DI284" s="2250"/>
      <c r="DJ284" s="2250"/>
      <c r="DK284" s="2250"/>
      <c r="DL284" s="2250"/>
      <c r="DM284" s="2250"/>
      <c r="DN284" s="2250"/>
      <c r="DO284" s="2250"/>
      <c r="DP284" s="2250"/>
      <c r="DQ284" s="2277"/>
      <c r="DR284" s="2277"/>
      <c r="DS284" s="2278"/>
      <c r="DT284" s="2250"/>
      <c r="DU284" s="2250"/>
      <c r="DV284" s="2250"/>
      <c r="DW284" s="2250"/>
      <c r="DX284" s="2275"/>
      <c r="DY284" s="2276">
        <f>DY240</f>
        <v>19.968225884687833</v>
      </c>
      <c r="DZ284" s="2276">
        <f>HLOOKUP(DY285,EA266:FA286,20,0)</f>
        <v>28.22</v>
      </c>
      <c r="EA284" s="2276">
        <f>+IF(DY284&lt;=EA276,EA276,IF(DY284&lt;=EA277,EA277,IF(DY284&lt;=EA278,EA278,)))</f>
        <v>57.45</v>
      </c>
      <c r="EB284" s="2276">
        <f>+IF(DY284&lt;=EB276,EB276,IF(DY284&lt;=EB277,EB277,IF(DY284&lt;=EB278,EB278,)))</f>
        <v>64.790000000000006</v>
      </c>
      <c r="EC284" s="2276">
        <f>+IF(DY284&lt;=EC276,EC276,IF(DY284&lt;=EC277,EC277,IF(DY284&lt;=EC278,EC278,)))</f>
        <v>71.78</v>
      </c>
      <c r="ED284" s="2276">
        <f>+IF(DY284&lt;=ED276,ED276,IF(DY284&lt;=ED277,ED277,IF(DY284&lt;=ED278,ED278,)))</f>
        <v>79.459999999999994</v>
      </c>
      <c r="EE284" s="2276">
        <f>+IF(DY284&lt;=EE276,EE276,IF(DY284&lt;=EE277,EE277,IF(DY284&lt;=EE278,EE278,)))</f>
        <v>86.79</v>
      </c>
      <c r="EF284" s="2276">
        <f>+IF(DY284&lt;=EF276,EF276,IF(DY284&lt;=EF277,EF277,IF(DY284&lt;=EF278,EF278,)))</f>
        <v>81.83</v>
      </c>
      <c r="EG284" s="2276">
        <f>+IF(DY284&lt;=EG276,EG276,IF(DY284&lt;=EG277,EG277,IF(DY284&lt;=EG278,EG278,)))</f>
        <v>90.63</v>
      </c>
      <c r="EH284" s="2276">
        <f>+IF(DY284&lt;=EH276,EH276,IF(DY284&lt;=EH277,EH277,IF(DY284&lt;=EH278,EH278,)))</f>
        <v>96.5</v>
      </c>
      <c r="EI284" s="2276">
        <f>+IF(DY284&lt;=EI276,EI276,IF(DY284&lt;=EI277,EI277,IF(DY284&lt;=EI278,EI278,)))</f>
        <v>105.87</v>
      </c>
      <c r="EJ284" s="2276">
        <f>+IF(DY284&lt;=EJ276,EJ276,IF(DY284&lt;=EJ277,EJ277,IF(DY284&lt;=EJ278,EJ278,)))</f>
        <v>107.9</v>
      </c>
      <c r="EK284" s="2276">
        <f>+IF(DY284&lt;=EK276,EK276,IF(DY284&lt;=EK277,EK277,IF(DY284&lt;=EK278,EK278,)))</f>
        <v>119.53</v>
      </c>
      <c r="EL284" s="2276">
        <f>+IF(DY284&lt;=EL276,EL276,IF(DY284&lt;=EL277,EL277,IF(DY284&lt;=EL278,EL278,)))</f>
        <v>139.05000000000001</v>
      </c>
      <c r="EM284" s="2276">
        <f>+IF(DY284&lt;=EM276,EM276,IF(DY284&lt;=EM277,EM277,IF(DY284&lt;=EM278,EM278,)))</f>
        <v>140.41</v>
      </c>
      <c r="EN284" s="2276">
        <f>+IF(DY284&lt;=EN276,EN276,IF(DY284&lt;=EN277,EN277,IF(DY284&lt;=EN278,EN278,)))</f>
        <v>147.18</v>
      </c>
      <c r="EO284" s="2276">
        <f>+IF(DY284&lt;=EO276,EO276,IF(DY284&lt;=EO277,EO277,IF(DY284&lt;=EO278,EO278,)))</f>
        <v>154.85</v>
      </c>
      <c r="EP284" s="2276">
        <f>+IF(DY284&lt;=EP276,EP276,IF(DY284&lt;=EP277,EP277,IF(DY284&lt;=EP278,EP278,)))</f>
        <v>166.37</v>
      </c>
      <c r="EQ284" s="2276">
        <f>+IF(DY284&lt;=EQ276,EQ276,IF(DY284&lt;=EQ277,EQ277,IF(DY284&lt;=EQ278,EQ278,)))</f>
        <v>173.81</v>
      </c>
      <c r="ER284" s="2276">
        <f>+IF(DY284&lt;=ER276,ER276,IF(DY284&lt;=ER277,ER277,IF(DY284&lt;=ER278,ER278,)))</f>
        <v>188.37</v>
      </c>
      <c r="ES284" s="2276">
        <f>+IF(DY284&lt;=ES276,ES276,IF(DY284&lt;=ES277,ES277,IF(DY284&lt;=ES278,ES278,)))</f>
        <v>200.56</v>
      </c>
      <c r="ET284" s="2276">
        <f>+IF(DY284&lt;=ET276,ET276,IF(DY284&lt;=ET277,ET277,IF(DY284&lt;=ET278,ET278,)))</f>
        <v>216.25</v>
      </c>
      <c r="EU284" s="2276">
        <f>+IF(DY284&lt;=EU276,EU276,IF(DY284&lt;=EU277,EU277,IF(DY284&lt;=EU278,EU278,)))</f>
        <v>228.67</v>
      </c>
      <c r="EV284" s="2276">
        <f>+IF(DY284&lt;=EV276,EV276,IF(DY284&lt;=EV277,EV277,IF(DY284&lt;=EV278,EV278,)))</f>
        <v>238.83</v>
      </c>
      <c r="EW284" s="2276">
        <f>+IF(DY284&lt;=EW276,EW276,IF(DY284&lt;=EW277,EW277,IF(DY284&lt;=EW278,EW278,)))</f>
        <v>265.01</v>
      </c>
      <c r="EX284" s="2276">
        <f>+IF(DY284&lt;=EX276,EX276,IF(DY284&lt;=EX277,EX277,IF(DY284&lt;=EX278,EX278,)))</f>
        <v>291.31</v>
      </c>
      <c r="EY284" s="2276">
        <f>+IF(DY284&lt;=EY276,EY276,IF(DY284&lt;=EY277,EY277,IF(DY284&lt;=EY278,EY278,)))</f>
        <v>327.31</v>
      </c>
      <c r="EZ284" s="2276">
        <f>+IF(DY284&lt;=EZ276,EZ276,IF(DY284&lt;=EZ277,EZ277,IF(DY284&lt;=EZ278,EZ278,)))</f>
        <v>329.01</v>
      </c>
      <c r="FA284" s="2276">
        <f>+IF(DY284&lt;=FA276,FA276,IF(DY284&lt;=FA277,FA277,IF(DY284&lt;=FA278,FA278,)))</f>
        <v>329.01</v>
      </c>
      <c r="FB284" s="2275"/>
      <c r="FC284" s="2275"/>
      <c r="FD284" s="2275"/>
      <c r="FE284" s="2275"/>
      <c r="FF284" s="2275"/>
      <c r="FG284" s="2275"/>
      <c r="FH284" s="2275"/>
      <c r="FI284" s="2275"/>
      <c r="FJ284" s="2275"/>
      <c r="FK284" s="2275"/>
      <c r="FL284" s="2275"/>
      <c r="FM284" s="2250"/>
      <c r="FN284" s="2250"/>
      <c r="FO284" s="2250"/>
      <c r="FP284" s="2250"/>
      <c r="FQ284" s="2250"/>
      <c r="FR284" s="2250"/>
      <c r="FS284" s="2250"/>
      <c r="FT284" s="2250"/>
      <c r="FU284" s="2250"/>
      <c r="FV284" s="2250"/>
      <c r="FW284" s="2250"/>
      <c r="FX284" s="2250"/>
      <c r="FY284" s="2250"/>
      <c r="FZ284" s="2250"/>
      <c r="GA284" s="2250"/>
      <c r="GB284" s="2250"/>
      <c r="GC284" s="2276"/>
      <c r="GD284" s="2276"/>
      <c r="GE284" s="2250"/>
      <c r="GF284" s="2275"/>
      <c r="GG284" s="2276">
        <f>GG240</f>
        <v>19.968225884687833</v>
      </c>
      <c r="GH284" s="2276">
        <f>HLOOKUP(GG285,GI266:HI286,20,0)</f>
        <v>26.52</v>
      </c>
      <c r="GI284" s="2276">
        <f>+IF(GG284&lt;=GI276,GI276,IF(GG284&lt;=GI277,GI277,IF(GG284&lt;=GI278,GI278,)))</f>
        <v>57.45</v>
      </c>
      <c r="GJ284" s="2276">
        <f>+IF(GG284&lt;=GJ276,GJ276,IF(GG284&lt;=GJ277,GJ277,IF(GG284&lt;=GJ278,GJ278,)))</f>
        <v>64.790000000000006</v>
      </c>
      <c r="GK284" s="2276">
        <f>+IF(GG284&lt;=GK276,GK276,IF(GG284&lt;=GK277,GK277,IF(GG284&lt;=GK278,GK278,)))</f>
        <v>71.78</v>
      </c>
      <c r="GL284" s="2276">
        <f>+IF(GG284&lt;=GL276,GL276,IF(GG284&lt;=GL277,GL277,IF(GG284&lt;=GL278,GL278,)))</f>
        <v>79.459999999999994</v>
      </c>
      <c r="GM284" s="2276">
        <f>+IF(GG284&lt;=GM276,GM276,IF(GG284&lt;=GM277,GM277,IF(GG284&lt;=GM278,GM278,)))</f>
        <v>86.79</v>
      </c>
      <c r="GN284" s="2276">
        <f>+IF(GG284&lt;=GN276,GN276,IF(GG284&lt;=GN277,GN277,IF(GG284&lt;=GN278,GN278,)))</f>
        <v>81.83</v>
      </c>
      <c r="GO284" s="2276">
        <f>+IF(GG284&lt;=GO276,GO276,IF(GG284&lt;=GO277,GO277,IF(GG284&lt;=GO278,GO278,)))</f>
        <v>90.63</v>
      </c>
      <c r="GP284" s="2276">
        <f>+IF(GG284&lt;=GP276,GP276,IF(GG284&lt;=GP277,GP277,IF(GG284&lt;=GP278,GP278,)))</f>
        <v>96.5</v>
      </c>
      <c r="GQ284" s="2276">
        <f>+IF(GG284&lt;=GQ276,GQ276,IF(GG284&lt;=GQ277,GQ277,IF(GG284&lt;=GQ278,GQ278,)))</f>
        <v>105.87</v>
      </c>
      <c r="GR284" s="2276">
        <f>+IF(GG284&lt;=GR276,GR276,IF(GG284&lt;=GR277,GR277,IF(GG284&lt;=GR278,GR278,)))</f>
        <v>107.9</v>
      </c>
      <c r="GS284" s="2276">
        <f>+IF(GG284&lt;=GS276,GS276,IF(GG284&lt;=GS277,GS277,IF(GG284&lt;=GS278,GS278,)))</f>
        <v>119.53</v>
      </c>
      <c r="GT284" s="2276">
        <f>+IF(GG284&lt;=GT276,GT276,IF(GG284&lt;=GT277,GT277,IF(GG284&lt;=GT278,GT278,)))</f>
        <v>139.05000000000001</v>
      </c>
      <c r="GU284" s="2276">
        <f>+IF(GG284&lt;=GU276,GU276,IF(GG284&lt;=GU277,GU277,IF(GG284&lt;=GU278,GU278,)))</f>
        <v>140.41</v>
      </c>
      <c r="GV284" s="2276">
        <f>+IF(GG284&lt;=GV276,GV276,IF(GG284&lt;=GV277,GV277,IF(GG284&lt;=GV278,GV278,)))</f>
        <v>147.18</v>
      </c>
      <c r="GW284" s="2276">
        <f>+IF(GG284&lt;=GW276,GW276,IF(GG284&lt;=GW277,GW277,IF(GG284&lt;=GW278,GW278,)))</f>
        <v>154.85</v>
      </c>
      <c r="GX284" s="2276">
        <f>+IF(GG284&lt;=GX276,GX276,IF(GG284&lt;=GX277,GX277,IF(GG284&lt;=GX278,GX278,)))</f>
        <v>166.37</v>
      </c>
      <c r="GY284" s="2276">
        <f>+IF(GG284&lt;=GY276,GY276,IF(GG284&lt;=GY277,GY277,IF(GG284&lt;=GY278,GY278,)))</f>
        <v>173.81</v>
      </c>
      <c r="GZ284" s="2276">
        <f>+IF(GG284&lt;=GZ276,GZ276,IF(GG284&lt;=GZ277,GZ277,IF(GG284&lt;=GZ278,GZ278,)))</f>
        <v>188.37</v>
      </c>
      <c r="HA284" s="2276">
        <f>+IF(GG284&lt;=HA276,HA276,IF(GG284&lt;=HA277,HA277,IF(GG284&lt;=HA278,HA278,)))</f>
        <v>200.56</v>
      </c>
      <c r="HB284" s="2276">
        <f>+IF(GG284&lt;=HB276,HB276,IF(GG284&lt;=HB277,HB277,IF(GG284&lt;=HB278,HB278,)))</f>
        <v>216.25</v>
      </c>
      <c r="HC284" s="2276">
        <f>+IF(GG284&lt;=HC276,HC276,IF(GG284&lt;=HC277,HC277,IF(GG284&lt;=HC278,HC278,)))</f>
        <v>228.67</v>
      </c>
      <c r="HD284" s="2276">
        <f>+IF(GG284&lt;=HD276,HD276,IF(GG284&lt;=HD277,HD277,IF(GG284&lt;=HD278,HD278,)))</f>
        <v>238.83</v>
      </c>
      <c r="HE284" s="2276">
        <f>+IF(GG284&lt;=HE276,HE276,IF(GG284&lt;=HE277,HE277,IF(GG284&lt;=HE278,HE278,)))</f>
        <v>265.01</v>
      </c>
      <c r="HF284" s="2276">
        <f>+IF(GG284&lt;=HF276,HF276,IF(GG284&lt;=HF277,HF277,IF(GG284&lt;=HF278,HF278,)))</f>
        <v>291.31</v>
      </c>
      <c r="HG284" s="2276">
        <f>+IF(GG284&lt;=HG276,HG276,IF(GG284&lt;=HG277,HG277,IF(GG284&lt;=HG278,HG278,)))</f>
        <v>327.31</v>
      </c>
      <c r="HH284" s="2276">
        <f>+IF(GG284&lt;=HH276,HH276,IF(GG284&lt;=HH277,HH277,IF(GG284&lt;=HH278,HH278,)))</f>
        <v>329.01</v>
      </c>
      <c r="HI284" s="2276">
        <f>+IF(GG284&lt;=HI276,HI276,IF(GG284&lt;=HI277,HI277,IF(GG284&lt;=HI278,HI278,)))</f>
        <v>329.01</v>
      </c>
      <c r="HJ284" s="2275"/>
      <c r="HK284" s="2275"/>
      <c r="HL284" s="2275"/>
      <c r="HM284" s="2275"/>
      <c r="HN284" s="2275"/>
      <c r="HO284" s="2275"/>
      <c r="HP284" s="2275"/>
      <c r="HQ284" s="2275"/>
      <c r="HR284" s="2275"/>
      <c r="HS284" s="2275"/>
      <c r="HT284" s="2275"/>
      <c r="HU284" s="2250"/>
      <c r="HV284" s="2250"/>
      <c r="HW284" s="2250"/>
      <c r="HX284" s="2250"/>
      <c r="HY284" s="2250"/>
      <c r="HZ284" s="2250"/>
      <c r="IA284" s="2250"/>
      <c r="IB284" s="2250"/>
      <c r="IC284" s="2250"/>
      <c r="ID284" s="2250"/>
      <c r="IE284" s="2250"/>
      <c r="IF284" s="2250"/>
      <c r="IG284" s="2250"/>
      <c r="IH284" s="2250"/>
      <c r="II284" s="2250"/>
      <c r="IJ284" s="2250"/>
      <c r="IK284" s="2250"/>
      <c r="IL284" s="2250"/>
    </row>
    <row r="285" spans="1:246" ht="21.95" customHeight="1">
      <c r="A285" s="2275"/>
      <c r="B285" s="2250"/>
      <c r="C285" s="2276" t="str">
        <f>IF(C283=AH281,IF(C284=AI281,"Right","Wrong"))</f>
        <v>Right</v>
      </c>
      <c r="D285" s="2276">
        <f>VLOOKUP(D284,D267:AE277,28,0)</f>
        <v>825</v>
      </c>
      <c r="E285" s="2276">
        <f>VLOOKUP(E284,E267:AE277,27,0)</f>
        <v>825</v>
      </c>
      <c r="F285" s="2276">
        <f>VLOOKUP(F284,F267:AE277,26,0)</f>
        <v>825</v>
      </c>
      <c r="G285" s="2276">
        <f>VLOOKUP(G284,G267:AE277,25,0)</f>
        <v>775</v>
      </c>
      <c r="H285" s="2276">
        <f>VLOOKUP(H284,H267:AE277,24,0)</f>
        <v>775</v>
      </c>
      <c r="I285" s="2276">
        <f>VLOOKUP(I284,I267:AE277,23,0)</f>
        <v>775</v>
      </c>
      <c r="J285" s="2276">
        <f>VLOOKUP(J284,J267:AE277,22,0)</f>
        <v>775</v>
      </c>
      <c r="K285" s="2276">
        <f>VLOOKUP(K284,K267:AE277,21,0)</f>
        <v>775</v>
      </c>
      <c r="L285" s="2276">
        <f>VLOOKUP(L284,L267:AE277,20,0)</f>
        <v>775</v>
      </c>
      <c r="M285" s="2276">
        <f>VLOOKUP(M284,M267:AE277,19,0)</f>
        <v>775</v>
      </c>
      <c r="N285" s="2276">
        <f>VLOOKUP(N284,N267:AE277,18,0)</f>
        <v>650</v>
      </c>
      <c r="O285" s="2276">
        <f>VLOOKUP(O284,O267:AE277,17,0)</f>
        <v>650</v>
      </c>
      <c r="P285" s="2276">
        <f>VLOOKUP(P284,P267:AE277,16,0)</f>
        <v>650</v>
      </c>
      <c r="Q285" s="2276">
        <f>VLOOKUP(Q284,Q267:AE277,15,0)</f>
        <v>650</v>
      </c>
      <c r="R285" s="2276">
        <f>VLOOKUP(R284,R267:AE277,14,0)</f>
        <v>650</v>
      </c>
      <c r="S285" s="2276">
        <f>VLOOKUP(S284,S267:AE277,13,0)</f>
        <v>650</v>
      </c>
      <c r="T285" s="2276">
        <f>VLOOKUP(T284,T267:AE277,12,0)</f>
        <v>650</v>
      </c>
      <c r="U285" s="2276">
        <f>VLOOKUP(U284,U267:AE277,11,0)</f>
        <v>650</v>
      </c>
      <c r="V285" s="2276">
        <f>VLOOKUP(V284,V267:AE277,10,0)</f>
        <v>650</v>
      </c>
      <c r="W285" s="2276">
        <f>VLOOKUP(W284,W267:AE277,9,0)</f>
        <v>550</v>
      </c>
      <c r="X285" s="2276">
        <f>VLOOKUP(X284,X267:AE277,8,0)</f>
        <v>550</v>
      </c>
      <c r="Y285" s="2276">
        <f>VLOOKUP(Y284,Y267:AE277,7,0)</f>
        <v>550</v>
      </c>
      <c r="Z285" s="2276">
        <f>VLOOKUP(Z284,Z267:AE277,6,0)</f>
        <v>550</v>
      </c>
      <c r="AA285" s="2276">
        <f>VLOOKUP(AA284,AA267:AE277,5,0)</f>
        <v>550</v>
      </c>
      <c r="AB285" s="2276">
        <f>VLOOKUP(AB284,AB267:AE277,4,0)</f>
        <v>550</v>
      </c>
      <c r="AC285" s="2276">
        <f>VLOOKUP(AC284,AC267:AE277,3,0)</f>
        <v>475</v>
      </c>
      <c r="AD285" s="2276">
        <f>VLOOKUP(AD284,AD267:AE277,2,0)</f>
        <v>475</v>
      </c>
      <c r="AE285" s="2275"/>
      <c r="AF285" s="2275"/>
      <c r="AG285" s="2275"/>
      <c r="AH285" s="2275"/>
      <c r="AI285" s="2275"/>
      <c r="AJ285" s="2275"/>
      <c r="AK285" s="2275"/>
      <c r="AL285" s="2275"/>
      <c r="AM285" s="2275"/>
      <c r="AN285" s="2275"/>
      <c r="AO285" s="2275"/>
      <c r="AP285" s="2250"/>
      <c r="AQ285" s="2250"/>
      <c r="AR285" s="2250"/>
      <c r="AS285" s="2250"/>
      <c r="AT285" s="2250"/>
      <c r="AU285" s="2250"/>
      <c r="AV285" s="2250"/>
      <c r="AW285" s="2250"/>
      <c r="AX285" s="2250"/>
      <c r="AY285" s="2250"/>
      <c r="AZ285" s="2250"/>
      <c r="BA285" s="2250"/>
      <c r="BB285" s="2250"/>
      <c r="BC285" s="2250"/>
      <c r="BD285" s="2250"/>
      <c r="BE285" s="2250"/>
      <c r="BF285" s="2276"/>
      <c r="BG285" s="2276"/>
      <c r="BH285" s="2250"/>
      <c r="BI285" s="2275"/>
      <c r="BJ285" s="2250"/>
      <c r="BK285" s="2276" t="str">
        <f>IF(BK283=CP281,IF(BK284=CQ281,"Right","Wrong"))</f>
        <v>Right</v>
      </c>
      <c r="BL285" s="2276">
        <f>VLOOKUP(BL284,BL267:CM277,28,0)</f>
        <v>825</v>
      </c>
      <c r="BM285" s="2276">
        <f>VLOOKUP(BM284,BM267:CM277,27,0)</f>
        <v>825</v>
      </c>
      <c r="BN285" s="2276">
        <f>VLOOKUP(BN284,BN267:CM277,26,0)</f>
        <v>825</v>
      </c>
      <c r="BO285" s="2276">
        <f>VLOOKUP(BO284,BO267:CM277,25,0)</f>
        <v>775</v>
      </c>
      <c r="BP285" s="2276">
        <f>VLOOKUP(BP284,BP267:CM277,24,0)</f>
        <v>775</v>
      </c>
      <c r="BQ285" s="2276">
        <f>VLOOKUP(BQ284,BQ267:CM277,23,0)</f>
        <v>775</v>
      </c>
      <c r="BR285" s="2276">
        <f>VLOOKUP(BR284,BR267:CM277,22,0)</f>
        <v>775</v>
      </c>
      <c r="BS285" s="2276">
        <f>VLOOKUP(BS284,BS267:CM277,21,0)</f>
        <v>775</v>
      </c>
      <c r="BT285" s="2276">
        <f>VLOOKUP(BT284,BT267:CM277,20,0)</f>
        <v>775</v>
      </c>
      <c r="BU285" s="2276">
        <f>VLOOKUP(BU284,BU267:CM277,19,0)</f>
        <v>775</v>
      </c>
      <c r="BV285" s="2276">
        <f>VLOOKUP(BV284,BV267:CM277,18,0)</f>
        <v>650</v>
      </c>
      <c r="BW285" s="2276">
        <f>VLOOKUP(BW284,BW267:CM277,17,0)</f>
        <v>650</v>
      </c>
      <c r="BX285" s="2276">
        <f>VLOOKUP(BX284,BX267:CM277,16,0)</f>
        <v>650</v>
      </c>
      <c r="BY285" s="2276">
        <f>VLOOKUP(BY284,BY267:CM277,15,0)</f>
        <v>650</v>
      </c>
      <c r="BZ285" s="2276">
        <f>VLOOKUP(BZ284,BZ267:CM277,14,0)</f>
        <v>650</v>
      </c>
      <c r="CA285" s="2276">
        <f>VLOOKUP(CA284,CA267:CM277,13,0)</f>
        <v>650</v>
      </c>
      <c r="CB285" s="2276">
        <f>VLOOKUP(CB284,CB267:CM277,12,0)</f>
        <v>650</v>
      </c>
      <c r="CC285" s="2276">
        <f>VLOOKUP(CC284,CC267:CM277,11,0)</f>
        <v>650</v>
      </c>
      <c r="CD285" s="2276">
        <f>VLOOKUP(CD284,CD267:CM277,10,0)</f>
        <v>650</v>
      </c>
      <c r="CE285" s="2276">
        <f>VLOOKUP(CE284,CE267:CM277,9,0)</f>
        <v>550</v>
      </c>
      <c r="CF285" s="2276">
        <f>VLOOKUP(CF284,CF267:CM277,8,0)</f>
        <v>550</v>
      </c>
      <c r="CG285" s="2276">
        <f>VLOOKUP(CG284,CG267:CM277,7,0)</f>
        <v>550</v>
      </c>
      <c r="CH285" s="2276">
        <f>VLOOKUP(CH284,CH267:CM277,6,0)</f>
        <v>550</v>
      </c>
      <c r="CI285" s="2276">
        <f>VLOOKUP(CI284,CI267:CM277,5,0)</f>
        <v>550</v>
      </c>
      <c r="CJ285" s="2276">
        <f>VLOOKUP(CJ284,CJ267:CM277,4,0)</f>
        <v>550</v>
      </c>
      <c r="CK285" s="2276">
        <f>VLOOKUP(CK284,CK267:CM277,3,0)</f>
        <v>475</v>
      </c>
      <c r="CL285" s="2276">
        <f>VLOOKUP(CL284,CL267:CM277,2,0)</f>
        <v>475</v>
      </c>
      <c r="CM285" s="2275"/>
      <c r="CN285" s="2275"/>
      <c r="CO285" s="2275"/>
      <c r="CP285" s="2275"/>
      <c r="CQ285" s="2275"/>
      <c r="CR285" s="2275"/>
      <c r="CS285" s="2275"/>
      <c r="CT285" s="2275"/>
      <c r="CU285" s="2275"/>
      <c r="CV285" s="2275"/>
      <c r="CW285" s="2275"/>
      <c r="CX285" s="2250"/>
      <c r="CY285" s="2250"/>
      <c r="CZ285" s="2250"/>
      <c r="DA285" s="2250"/>
      <c r="DB285" s="2250"/>
      <c r="DC285" s="2250"/>
      <c r="DD285" s="2250"/>
      <c r="DE285" s="2250"/>
      <c r="DF285" s="2250"/>
      <c r="DG285" s="2250"/>
      <c r="DH285" s="2250"/>
      <c r="DI285" s="2250"/>
      <c r="DJ285" s="2250"/>
      <c r="DK285" s="2250"/>
      <c r="DL285" s="2250"/>
      <c r="DM285" s="2250"/>
      <c r="DN285" s="2250"/>
      <c r="DO285" s="2250"/>
      <c r="DP285" s="2250"/>
      <c r="DQ285" s="2277"/>
      <c r="DR285" s="2277"/>
      <c r="DS285" s="2278"/>
      <c r="DT285" s="2250"/>
      <c r="DU285" s="2250"/>
      <c r="DV285" s="2250"/>
      <c r="DW285" s="2250"/>
      <c r="DX285" s="2275"/>
      <c r="DY285" s="2276">
        <f>DY241</f>
        <v>120.7</v>
      </c>
      <c r="DZ285" s="2276">
        <f>HLOOKUP(DY285,EA266:FA286,21,0)</f>
        <v>775</v>
      </c>
      <c r="EA285" s="2276">
        <f t="shared" ref="EA285:FA285" si="270">IF(EA283=0,EA284,EA283)</f>
        <v>20.99</v>
      </c>
      <c r="EB285" s="2276">
        <f t="shared" si="270"/>
        <v>23.25</v>
      </c>
      <c r="EC285" s="2276">
        <f t="shared" si="270"/>
        <v>25.17</v>
      </c>
      <c r="ED285" s="2276">
        <f t="shared" si="270"/>
        <v>19.98</v>
      </c>
      <c r="EE285" s="2276">
        <f t="shared" si="270"/>
        <v>21.9</v>
      </c>
      <c r="EF285" s="2276">
        <f t="shared" si="270"/>
        <v>20.54</v>
      </c>
      <c r="EG285" s="2276">
        <f t="shared" si="270"/>
        <v>22.69</v>
      </c>
      <c r="EH285" s="2276">
        <f t="shared" si="270"/>
        <v>24.15</v>
      </c>
      <c r="EI285" s="2276">
        <f t="shared" si="270"/>
        <v>26.52</v>
      </c>
      <c r="EJ285" s="2276">
        <f t="shared" si="270"/>
        <v>28.22</v>
      </c>
      <c r="EK285" s="2276">
        <f t="shared" si="270"/>
        <v>20.09</v>
      </c>
      <c r="EL285" s="2276">
        <f t="shared" si="270"/>
        <v>21.9</v>
      </c>
      <c r="EM285" s="2276">
        <f t="shared" si="270"/>
        <v>23.7</v>
      </c>
      <c r="EN285" s="2276">
        <f t="shared" si="270"/>
        <v>23.93</v>
      </c>
      <c r="EO285" s="2276">
        <f t="shared" si="270"/>
        <v>25.17</v>
      </c>
      <c r="EP285" s="2276">
        <f t="shared" si="270"/>
        <v>27.09</v>
      </c>
      <c r="EQ285" s="2276">
        <f t="shared" si="270"/>
        <v>28.67</v>
      </c>
      <c r="ER285" s="2276">
        <f t="shared" si="270"/>
        <v>31.6</v>
      </c>
      <c r="ES285" s="2276">
        <f t="shared" si="270"/>
        <v>29.91</v>
      </c>
      <c r="ET285" s="2276">
        <f t="shared" si="270"/>
        <v>21.44</v>
      </c>
      <c r="EU285" s="2276">
        <f t="shared" si="270"/>
        <v>22.12</v>
      </c>
      <c r="EV285" s="2276">
        <f t="shared" si="270"/>
        <v>24.83</v>
      </c>
      <c r="EW285" s="2276">
        <f t="shared" si="270"/>
        <v>25.96</v>
      </c>
      <c r="EX285" s="2276">
        <f t="shared" si="270"/>
        <v>30.25</v>
      </c>
      <c r="EY285" s="2276">
        <f t="shared" si="270"/>
        <v>32.049999999999997</v>
      </c>
      <c r="EZ285" s="2276">
        <f t="shared" si="270"/>
        <v>19.98</v>
      </c>
      <c r="FA285" s="2276">
        <f t="shared" si="270"/>
        <v>23.36</v>
      </c>
      <c r="FB285" s="2275"/>
      <c r="FC285" s="2275"/>
      <c r="FD285" s="2275"/>
      <c r="FE285" s="2275"/>
      <c r="FF285" s="2275"/>
      <c r="FG285" s="2275"/>
      <c r="FH285" s="2275"/>
      <c r="FI285" s="2275"/>
      <c r="FJ285" s="2275"/>
      <c r="FK285" s="2275"/>
      <c r="FL285" s="2275"/>
      <c r="FM285" s="2250"/>
      <c r="FN285" s="2250"/>
      <c r="FO285" s="2250"/>
      <c r="FP285" s="2250"/>
      <c r="FQ285" s="2250"/>
      <c r="FR285" s="2250"/>
      <c r="FS285" s="2250"/>
      <c r="FT285" s="2250"/>
      <c r="FU285" s="2250"/>
      <c r="FV285" s="2250"/>
      <c r="FW285" s="2250"/>
      <c r="FX285" s="2250"/>
      <c r="FY285" s="2250"/>
      <c r="FZ285" s="2250"/>
      <c r="GA285" s="2250"/>
      <c r="GB285" s="2250"/>
      <c r="GC285" s="2276"/>
      <c r="GD285" s="2276"/>
      <c r="GE285" s="2250"/>
      <c r="GF285" s="2275"/>
      <c r="GG285" s="2276">
        <f>GG241</f>
        <v>129.80000000000001</v>
      </c>
      <c r="GH285" s="2276">
        <f>HLOOKUP(GG285,GI266:HI286,21,0)</f>
        <v>775</v>
      </c>
      <c r="GI285" s="2276">
        <f t="shared" ref="GI285:HI285" si="271">IF(GI283=0,GI284,GI283)</f>
        <v>20.99</v>
      </c>
      <c r="GJ285" s="2276">
        <f t="shared" si="271"/>
        <v>23.25</v>
      </c>
      <c r="GK285" s="2276">
        <f t="shared" si="271"/>
        <v>25.17</v>
      </c>
      <c r="GL285" s="2276">
        <f t="shared" si="271"/>
        <v>19.98</v>
      </c>
      <c r="GM285" s="2276">
        <f t="shared" si="271"/>
        <v>21.9</v>
      </c>
      <c r="GN285" s="2276">
        <f t="shared" si="271"/>
        <v>20.54</v>
      </c>
      <c r="GO285" s="2276">
        <f t="shared" si="271"/>
        <v>22.69</v>
      </c>
      <c r="GP285" s="2276">
        <f t="shared" si="271"/>
        <v>24.15</v>
      </c>
      <c r="GQ285" s="2276">
        <f t="shared" si="271"/>
        <v>26.52</v>
      </c>
      <c r="GR285" s="2276">
        <f t="shared" si="271"/>
        <v>28.22</v>
      </c>
      <c r="GS285" s="2276">
        <f t="shared" si="271"/>
        <v>20.09</v>
      </c>
      <c r="GT285" s="2276">
        <f t="shared" si="271"/>
        <v>21.9</v>
      </c>
      <c r="GU285" s="2276">
        <f t="shared" si="271"/>
        <v>23.7</v>
      </c>
      <c r="GV285" s="2276">
        <f t="shared" si="271"/>
        <v>23.93</v>
      </c>
      <c r="GW285" s="2276">
        <f t="shared" si="271"/>
        <v>25.17</v>
      </c>
      <c r="GX285" s="2276">
        <f t="shared" si="271"/>
        <v>27.09</v>
      </c>
      <c r="GY285" s="2276">
        <f t="shared" si="271"/>
        <v>28.67</v>
      </c>
      <c r="GZ285" s="2276">
        <f t="shared" si="271"/>
        <v>31.6</v>
      </c>
      <c r="HA285" s="2276">
        <f t="shared" si="271"/>
        <v>29.91</v>
      </c>
      <c r="HB285" s="2276">
        <f t="shared" si="271"/>
        <v>21.44</v>
      </c>
      <c r="HC285" s="2276">
        <f t="shared" si="271"/>
        <v>22.12</v>
      </c>
      <c r="HD285" s="2276">
        <f t="shared" si="271"/>
        <v>24.83</v>
      </c>
      <c r="HE285" s="2276">
        <f t="shared" si="271"/>
        <v>25.96</v>
      </c>
      <c r="HF285" s="2276">
        <f t="shared" si="271"/>
        <v>30.25</v>
      </c>
      <c r="HG285" s="2276">
        <f t="shared" si="271"/>
        <v>32.049999999999997</v>
      </c>
      <c r="HH285" s="2276">
        <f t="shared" si="271"/>
        <v>19.98</v>
      </c>
      <c r="HI285" s="2276">
        <f t="shared" si="271"/>
        <v>23.36</v>
      </c>
      <c r="HJ285" s="2275"/>
      <c r="HK285" s="2275"/>
      <c r="HL285" s="2275"/>
      <c r="HM285" s="2275"/>
      <c r="HN285" s="2275"/>
      <c r="HO285" s="2275"/>
      <c r="HP285" s="2275"/>
      <c r="HQ285" s="2275"/>
      <c r="HR285" s="2275"/>
      <c r="HS285" s="2275"/>
      <c r="HT285" s="2275"/>
      <c r="HU285" s="2250"/>
      <c r="HV285" s="2250"/>
      <c r="HW285" s="2250"/>
      <c r="HX285" s="2250"/>
      <c r="HY285" s="2250"/>
      <c r="HZ285" s="2250"/>
      <c r="IA285" s="2250"/>
      <c r="IB285" s="2250"/>
      <c r="IC285" s="2250"/>
      <c r="ID285" s="2250"/>
      <c r="IE285" s="2250"/>
      <c r="IF285" s="2250"/>
      <c r="IG285" s="2250"/>
      <c r="IH285" s="2250"/>
      <c r="II285" s="2250"/>
      <c r="IJ285" s="2250"/>
      <c r="IK285" s="2250"/>
      <c r="IL285" s="2250"/>
    </row>
    <row r="286" spans="1:246" ht="21.95" customHeight="1">
      <c r="A286" s="2275"/>
      <c r="B286" s="2275"/>
      <c r="C286" s="2275"/>
      <c r="D286" s="2275"/>
      <c r="E286" s="2275"/>
      <c r="F286" s="2275"/>
      <c r="G286" s="2275"/>
      <c r="H286" s="2275"/>
      <c r="I286" s="2275"/>
      <c r="J286" s="2275"/>
      <c r="K286" s="2275"/>
      <c r="L286" s="2275"/>
      <c r="M286" s="2275"/>
      <c r="N286" s="2275"/>
      <c r="O286" s="2275"/>
      <c r="P286" s="2275"/>
      <c r="Q286" s="2275"/>
      <c r="R286" s="2275"/>
      <c r="S286" s="2275"/>
      <c r="T286" s="2275"/>
      <c r="U286" s="2275"/>
      <c r="V286" s="2275"/>
      <c r="W286" s="2275"/>
      <c r="X286" s="2275"/>
      <c r="Y286" s="2275"/>
      <c r="Z286" s="2275"/>
      <c r="AA286" s="2275"/>
      <c r="AB286" s="2275"/>
      <c r="AC286" s="2275"/>
      <c r="AD286" s="2275"/>
      <c r="AE286" s="2275"/>
      <c r="AF286" s="2275" t="s">
        <v>655</v>
      </c>
      <c r="AG286" s="2276">
        <f>AG220</f>
        <v>190.4</v>
      </c>
      <c r="AH286" s="2275"/>
      <c r="AI286" s="2275"/>
      <c r="AJ286" s="2275"/>
      <c r="AK286" s="2275"/>
      <c r="AL286" s="2275"/>
      <c r="AM286" s="2275"/>
      <c r="AN286" s="2275"/>
      <c r="AO286" s="2275"/>
      <c r="AP286" s="2250"/>
      <c r="AQ286" s="2250"/>
      <c r="AR286" s="2250"/>
      <c r="AS286" s="2250"/>
      <c r="AT286" s="2250"/>
      <c r="AU286" s="2250"/>
      <c r="AV286" s="2250"/>
      <c r="AW286" s="2250"/>
      <c r="AX286" s="2250"/>
      <c r="AY286" s="2250"/>
      <c r="AZ286" s="2250"/>
      <c r="BA286" s="2250"/>
      <c r="BB286" s="2250"/>
      <c r="BC286" s="2250"/>
      <c r="BD286" s="2250"/>
      <c r="BE286" s="2250"/>
      <c r="BF286" s="2276"/>
      <c r="BG286" s="2276"/>
      <c r="BH286" s="2250"/>
      <c r="BI286" s="2275"/>
      <c r="BJ286" s="2275"/>
      <c r="BK286" s="2275"/>
      <c r="BL286" s="2275"/>
      <c r="BM286" s="2275"/>
      <c r="BN286" s="2275"/>
      <c r="BO286" s="2275"/>
      <c r="BP286" s="2275"/>
      <c r="BQ286" s="2275"/>
      <c r="BR286" s="2275"/>
      <c r="BS286" s="2275"/>
      <c r="BT286" s="2275"/>
      <c r="BU286" s="2275"/>
      <c r="BV286" s="2275"/>
      <c r="BW286" s="2275"/>
      <c r="BX286" s="2275"/>
      <c r="BY286" s="2275"/>
      <c r="BZ286" s="2275"/>
      <c r="CA286" s="2275"/>
      <c r="CB286" s="2275"/>
      <c r="CC286" s="2275"/>
      <c r="CD286" s="2275"/>
      <c r="CE286" s="2275"/>
      <c r="CF286" s="2275"/>
      <c r="CG286" s="2275"/>
      <c r="CH286" s="2275"/>
      <c r="CI286" s="2275"/>
      <c r="CJ286" s="2275"/>
      <c r="CK286" s="2275"/>
      <c r="CL286" s="2275"/>
      <c r="CM286" s="2275"/>
      <c r="CN286" s="2275" t="s">
        <v>655</v>
      </c>
      <c r="CO286" s="2276">
        <f>CO220</f>
        <v>206.43</v>
      </c>
      <c r="CP286" s="2275"/>
      <c r="CQ286" s="2275"/>
      <c r="CR286" s="2275"/>
      <c r="CS286" s="2275"/>
      <c r="CT286" s="2275"/>
      <c r="CU286" s="2275"/>
      <c r="CV286" s="2275"/>
      <c r="CW286" s="2275"/>
      <c r="CX286" s="2250"/>
      <c r="CY286" s="2250"/>
      <c r="CZ286" s="2250"/>
      <c r="DA286" s="2250"/>
      <c r="DB286" s="2250"/>
      <c r="DC286" s="2250"/>
      <c r="DD286" s="2250"/>
      <c r="DE286" s="2250"/>
      <c r="DF286" s="2250"/>
      <c r="DG286" s="2250"/>
      <c r="DH286" s="2250"/>
      <c r="DI286" s="2250"/>
      <c r="DJ286" s="2250"/>
      <c r="DK286" s="2250"/>
      <c r="DL286" s="2250"/>
      <c r="DM286" s="2250"/>
      <c r="DN286" s="2250"/>
      <c r="DO286" s="2250"/>
      <c r="DP286" s="2250"/>
      <c r="DQ286" s="2277"/>
      <c r="DR286" s="2277"/>
      <c r="DS286" s="2278"/>
      <c r="DT286" s="2250"/>
      <c r="DU286" s="2250"/>
      <c r="DV286" s="2250"/>
      <c r="DW286" s="2250"/>
      <c r="DX286" s="2275"/>
      <c r="DY286" s="2250"/>
      <c r="DZ286" s="2276" t="str">
        <f>IF(DZ284=FE282,IF(DZ285=FF282,"Right","Wrong"))</f>
        <v>Right</v>
      </c>
      <c r="EA286" s="2276">
        <f>VLOOKUP(EA285,EA268:FB278,28,0)</f>
        <v>825</v>
      </c>
      <c r="EB286" s="2276">
        <f>VLOOKUP(EB285,EB268:FB278,27,0)</f>
        <v>825</v>
      </c>
      <c r="EC286" s="2276">
        <f>VLOOKUP(EC285,EC268:FB278,26,0)</f>
        <v>825</v>
      </c>
      <c r="ED286" s="2276">
        <f>VLOOKUP(ED285,ED268:FB278,25,0)</f>
        <v>775</v>
      </c>
      <c r="EE286" s="2276">
        <f>VLOOKUP(EE285,EE268:FB278,24,0)</f>
        <v>775</v>
      </c>
      <c r="EF286" s="2276">
        <f>VLOOKUP(EF285,EF268:FB278,23,0)</f>
        <v>775</v>
      </c>
      <c r="EG286" s="2276">
        <f>VLOOKUP(EG285,EG268:FB278,22,0)</f>
        <v>775</v>
      </c>
      <c r="EH286" s="2276">
        <f>VLOOKUP(EH285,EH268:FB278,21,0)</f>
        <v>775</v>
      </c>
      <c r="EI286" s="2276">
        <f>VLOOKUP(EI285,EI268:FB278,20,0)</f>
        <v>775</v>
      </c>
      <c r="EJ286" s="2276">
        <f>VLOOKUP(EJ285,EJ268:FB278,19,0)</f>
        <v>775</v>
      </c>
      <c r="EK286" s="2276">
        <f>VLOOKUP(EK285,EK268:FB278,18,0)</f>
        <v>650</v>
      </c>
      <c r="EL286" s="2276">
        <f>VLOOKUP(EL285,EL268:FB278,17,0)</f>
        <v>650</v>
      </c>
      <c r="EM286" s="2276">
        <f>VLOOKUP(EM285,EM268:FB278,16,0)</f>
        <v>650</v>
      </c>
      <c r="EN286" s="2276">
        <f>VLOOKUP(EN285,EN268:FB278,15,0)</f>
        <v>650</v>
      </c>
      <c r="EO286" s="2276">
        <f>VLOOKUP(EO285,EO268:FB278,14,0)</f>
        <v>650</v>
      </c>
      <c r="EP286" s="2276">
        <f>VLOOKUP(EP285,EP268:FB278,13,0)</f>
        <v>650</v>
      </c>
      <c r="EQ286" s="2276">
        <f>VLOOKUP(EQ285,EQ268:FB278,12,0)</f>
        <v>650</v>
      </c>
      <c r="ER286" s="2276">
        <f>VLOOKUP(ER285,ER268:FB278,11,0)</f>
        <v>650</v>
      </c>
      <c r="ES286" s="2276">
        <f>VLOOKUP(ES285,ES268:FB278,10,0)</f>
        <v>650</v>
      </c>
      <c r="ET286" s="2276">
        <f>VLOOKUP(ET285,ET268:FB278,9,0)</f>
        <v>550</v>
      </c>
      <c r="EU286" s="2276">
        <f>VLOOKUP(EU285,EU268:FB278,8,0)</f>
        <v>550</v>
      </c>
      <c r="EV286" s="2276">
        <f>VLOOKUP(EV285,EV268:FB278,7,0)</f>
        <v>550</v>
      </c>
      <c r="EW286" s="2276">
        <f>VLOOKUP(EW285,EW268:FB278,6,0)</f>
        <v>550</v>
      </c>
      <c r="EX286" s="2276">
        <f>VLOOKUP(EX285,EX268:FB278,5,0)</f>
        <v>550</v>
      </c>
      <c r="EY286" s="2276">
        <f>VLOOKUP(EY285,EY268:FB278,4,0)</f>
        <v>550</v>
      </c>
      <c r="EZ286" s="2276">
        <f>VLOOKUP(EZ285,EZ268:FB278,3,0)</f>
        <v>475</v>
      </c>
      <c r="FA286" s="2276">
        <f>VLOOKUP(FA285,FA268:FB278,2,0)</f>
        <v>475</v>
      </c>
      <c r="FB286" s="2275"/>
      <c r="FC286" s="2275"/>
      <c r="FD286" s="2275"/>
      <c r="FE286" s="2275"/>
      <c r="FF286" s="2275"/>
      <c r="FG286" s="2275"/>
      <c r="FH286" s="2275"/>
      <c r="FI286" s="2275"/>
      <c r="FJ286" s="2275"/>
      <c r="FK286" s="2275"/>
      <c r="FL286" s="2275"/>
      <c r="FM286" s="2250"/>
      <c r="FN286" s="2250"/>
      <c r="FO286" s="2250"/>
      <c r="FP286" s="2250"/>
      <c r="FQ286" s="2250"/>
      <c r="FR286" s="2250"/>
      <c r="FS286" s="2250"/>
      <c r="FT286" s="2250"/>
      <c r="FU286" s="2250"/>
      <c r="FV286" s="2250"/>
      <c r="FW286" s="2250"/>
      <c r="FX286" s="2250"/>
      <c r="FY286" s="2250"/>
      <c r="FZ286" s="2250"/>
      <c r="GA286" s="2250"/>
      <c r="GB286" s="2250"/>
      <c r="GC286" s="2276"/>
      <c r="GD286" s="2276"/>
      <c r="GE286" s="2250"/>
      <c r="GF286" s="2275"/>
      <c r="GG286" s="2250"/>
      <c r="GH286" s="2276" t="str">
        <f>IF(GH284=HM282,IF(GH285=HN282,"Right","Wrong"))</f>
        <v>Right</v>
      </c>
      <c r="GI286" s="2276">
        <f>VLOOKUP(GI285,GI268:HJ278,28,0)</f>
        <v>825</v>
      </c>
      <c r="GJ286" s="2276">
        <f>VLOOKUP(GJ285,GJ268:HJ278,27,0)</f>
        <v>825</v>
      </c>
      <c r="GK286" s="2276">
        <f>VLOOKUP(GK285,GK268:HJ278,26,0)</f>
        <v>825</v>
      </c>
      <c r="GL286" s="2276">
        <f>VLOOKUP(GL285,GL268:HJ278,25,0)</f>
        <v>775</v>
      </c>
      <c r="GM286" s="2276">
        <f>VLOOKUP(GM285,GM268:HJ278,24,0)</f>
        <v>775</v>
      </c>
      <c r="GN286" s="2276">
        <f>VLOOKUP(GN285,GN268:HJ278,23,0)</f>
        <v>775</v>
      </c>
      <c r="GO286" s="2276">
        <f>VLOOKUP(GO285,GO268:HJ278,22,0)</f>
        <v>775</v>
      </c>
      <c r="GP286" s="2276">
        <f>VLOOKUP(GP285,GP268:HJ278,21,0)</f>
        <v>775</v>
      </c>
      <c r="GQ286" s="2276">
        <f>VLOOKUP(GQ285,GQ268:HJ278,20,0)</f>
        <v>775</v>
      </c>
      <c r="GR286" s="2276">
        <f>VLOOKUP(GR285,GR268:HJ278,19,0)</f>
        <v>775</v>
      </c>
      <c r="GS286" s="2276">
        <f>VLOOKUP(GS285,GS268:HJ278,18,0)</f>
        <v>650</v>
      </c>
      <c r="GT286" s="2276">
        <f>VLOOKUP(GT285,GT268:HJ278,17,0)</f>
        <v>650</v>
      </c>
      <c r="GU286" s="2276">
        <f>VLOOKUP(GU285,GU268:HJ278,16,0)</f>
        <v>650</v>
      </c>
      <c r="GV286" s="2276">
        <f>VLOOKUP(GV285,GV268:HJ278,15,0)</f>
        <v>650</v>
      </c>
      <c r="GW286" s="2276">
        <f>VLOOKUP(GW285,GW268:HJ278,14,0)</f>
        <v>650</v>
      </c>
      <c r="GX286" s="2276">
        <f>VLOOKUP(GX285,GX268:HJ278,13,0)</f>
        <v>650</v>
      </c>
      <c r="GY286" s="2276">
        <f>VLOOKUP(GY285,GY268:HJ278,12,0)</f>
        <v>650</v>
      </c>
      <c r="GZ286" s="2276">
        <f>VLOOKUP(GZ285,GZ268:HJ278,11,0)</f>
        <v>650</v>
      </c>
      <c r="HA286" s="2276">
        <f>VLOOKUP(HA285,HA268:HJ278,10,0)</f>
        <v>650</v>
      </c>
      <c r="HB286" s="2276">
        <f>VLOOKUP(HB285,HB268:HJ278,9,0)</f>
        <v>550</v>
      </c>
      <c r="HC286" s="2276">
        <f>VLOOKUP(HC285,HC268:HJ278,8,0)</f>
        <v>550</v>
      </c>
      <c r="HD286" s="2276">
        <f>VLOOKUP(HD285,HD268:HJ278,7,0)</f>
        <v>550</v>
      </c>
      <c r="HE286" s="2276">
        <f>VLOOKUP(HE285,HE268:HJ278,6,0)</f>
        <v>550</v>
      </c>
      <c r="HF286" s="2276">
        <f>VLOOKUP(HF285,HF268:HJ278,5,0)</f>
        <v>550</v>
      </c>
      <c r="HG286" s="2276">
        <f>VLOOKUP(HG285,HG268:HJ278,4,0)</f>
        <v>550</v>
      </c>
      <c r="HH286" s="2276">
        <f>VLOOKUP(HH285,HH268:HJ278,3,0)</f>
        <v>475</v>
      </c>
      <c r="HI286" s="2276">
        <f>VLOOKUP(HI285,HI268:HJ278,2,0)</f>
        <v>475</v>
      </c>
      <c r="HJ286" s="2275"/>
      <c r="HK286" s="2275"/>
      <c r="HL286" s="2275"/>
      <c r="HM286" s="2275"/>
      <c r="HN286" s="2275"/>
      <c r="HO286" s="2275"/>
      <c r="HP286" s="2275"/>
      <c r="HQ286" s="2275"/>
      <c r="HR286" s="2275"/>
      <c r="HS286" s="2275"/>
      <c r="HT286" s="2275"/>
      <c r="HU286" s="2250"/>
      <c r="HV286" s="2250"/>
      <c r="HW286" s="2250"/>
      <c r="HX286" s="2250"/>
      <c r="HY286" s="2250"/>
      <c r="HZ286" s="2250"/>
      <c r="IA286" s="2250"/>
      <c r="IB286" s="2250"/>
      <c r="IC286" s="2250"/>
      <c r="ID286" s="2250"/>
      <c r="IE286" s="2250"/>
      <c r="IF286" s="2250"/>
      <c r="IG286" s="2250"/>
      <c r="IH286" s="2250"/>
      <c r="II286" s="2250"/>
      <c r="IJ286" s="2250"/>
      <c r="IK286" s="2250"/>
      <c r="IL286" s="2250"/>
    </row>
    <row r="287" spans="1:246" ht="21.95" customHeight="1">
      <c r="A287" s="2275"/>
      <c r="B287" s="2275"/>
      <c r="C287" s="2333" t="s">
        <v>736</v>
      </c>
      <c r="D287" s="2333">
        <v>223.8</v>
      </c>
      <c r="E287" s="2333">
        <v>206.43</v>
      </c>
      <c r="F287" s="2333">
        <v>190.4</v>
      </c>
      <c r="G287" s="2333">
        <v>177.81</v>
      </c>
      <c r="H287" s="2333">
        <v>165.9</v>
      </c>
      <c r="I287" s="2333">
        <v>162.68</v>
      </c>
      <c r="J287" s="2333">
        <v>151.30000000000001</v>
      </c>
      <c r="K287" s="2333">
        <v>140.1</v>
      </c>
      <c r="L287" s="2333">
        <v>129.80000000000001</v>
      </c>
      <c r="M287" s="2333">
        <v>120.7</v>
      </c>
      <c r="N287" s="2333">
        <v>107.9</v>
      </c>
      <c r="O287" s="2333">
        <v>97.1</v>
      </c>
      <c r="P287" s="2333">
        <v>92.9</v>
      </c>
      <c r="Q287" s="2333">
        <v>88.2</v>
      </c>
      <c r="R287" s="2333">
        <v>83.3</v>
      </c>
      <c r="S287" s="2333">
        <v>78.2</v>
      </c>
      <c r="T287" s="2333">
        <v>73.7</v>
      </c>
      <c r="U287" s="2333">
        <v>68.3</v>
      </c>
      <c r="V287" s="2333">
        <v>63.4</v>
      </c>
      <c r="W287" s="2333">
        <v>58.1</v>
      </c>
      <c r="X287" s="2333">
        <v>53.7</v>
      </c>
      <c r="Y287" s="2333">
        <v>48.8</v>
      </c>
      <c r="Z287" s="2333">
        <v>43.9</v>
      </c>
      <c r="AA287" s="2333">
        <v>38.799999999999997</v>
      </c>
      <c r="AB287" s="2333">
        <v>34.200000000000003</v>
      </c>
      <c r="AC287" s="2333">
        <v>29.3</v>
      </c>
      <c r="AD287" s="2333">
        <v>24.5</v>
      </c>
      <c r="AE287" s="2333" t="s">
        <v>736</v>
      </c>
      <c r="AF287" s="2275" t="s">
        <v>738</v>
      </c>
      <c r="AG287" s="2276">
        <f>AG221</f>
        <v>19.915970774546171</v>
      </c>
      <c r="AH287" s="2275"/>
      <c r="AI287" s="2275"/>
      <c r="AJ287" s="2275"/>
      <c r="AK287" s="2275"/>
      <c r="AL287" s="2275"/>
      <c r="AM287" s="2275"/>
      <c r="AN287" s="2275"/>
      <c r="AO287" s="2275"/>
      <c r="AP287" s="2250"/>
      <c r="AQ287" s="2250"/>
      <c r="AR287" s="2250"/>
      <c r="AS287" s="2250"/>
      <c r="AT287" s="2250"/>
      <c r="AU287" s="2250"/>
      <c r="AV287" s="2250"/>
      <c r="AW287" s="2250"/>
      <c r="AX287" s="2250"/>
      <c r="AY287" s="2250"/>
      <c r="AZ287" s="2250"/>
      <c r="BA287" s="2250"/>
      <c r="BB287" s="2250"/>
      <c r="BC287" s="2250"/>
      <c r="BD287" s="2250"/>
      <c r="BE287" s="2250"/>
      <c r="BF287" s="2276"/>
      <c r="BG287" s="2276"/>
      <c r="BH287" s="2250"/>
      <c r="BI287" s="2275"/>
      <c r="BJ287" s="2275"/>
      <c r="BK287" s="2333" t="s">
        <v>736</v>
      </c>
      <c r="BL287" s="2333">
        <v>223.8</v>
      </c>
      <c r="BM287" s="2333">
        <v>206.43</v>
      </c>
      <c r="BN287" s="2333">
        <v>190.4</v>
      </c>
      <c r="BO287" s="2333">
        <v>177.81</v>
      </c>
      <c r="BP287" s="2333">
        <v>165.9</v>
      </c>
      <c r="BQ287" s="2333">
        <v>162.68</v>
      </c>
      <c r="BR287" s="2333">
        <v>151.30000000000001</v>
      </c>
      <c r="BS287" s="2333">
        <v>140.1</v>
      </c>
      <c r="BT287" s="2333">
        <v>129.80000000000001</v>
      </c>
      <c r="BU287" s="2333">
        <v>120.7</v>
      </c>
      <c r="BV287" s="2333">
        <v>107.9</v>
      </c>
      <c r="BW287" s="2333">
        <v>97.1</v>
      </c>
      <c r="BX287" s="2333">
        <v>92.9</v>
      </c>
      <c r="BY287" s="2333">
        <v>88.2</v>
      </c>
      <c r="BZ287" s="2333">
        <v>83.3</v>
      </c>
      <c r="CA287" s="2333">
        <v>78.2</v>
      </c>
      <c r="CB287" s="2333">
        <v>73.7</v>
      </c>
      <c r="CC287" s="2333">
        <v>68.3</v>
      </c>
      <c r="CD287" s="2333">
        <v>63.4</v>
      </c>
      <c r="CE287" s="2333">
        <v>58.1</v>
      </c>
      <c r="CF287" s="2333">
        <v>53.7</v>
      </c>
      <c r="CG287" s="2333">
        <v>48.8</v>
      </c>
      <c r="CH287" s="2333">
        <v>43.9</v>
      </c>
      <c r="CI287" s="2333">
        <v>38.799999999999997</v>
      </c>
      <c r="CJ287" s="2333">
        <v>34.200000000000003</v>
      </c>
      <c r="CK287" s="2333">
        <v>29.3</v>
      </c>
      <c r="CL287" s="2333">
        <v>24.5</v>
      </c>
      <c r="CM287" s="2333" t="s">
        <v>736</v>
      </c>
      <c r="CN287" s="2275" t="s">
        <v>738</v>
      </c>
      <c r="CO287" s="2276">
        <f>CO221</f>
        <v>19.915970774546171</v>
      </c>
      <c r="CP287" s="2275"/>
      <c r="CQ287" s="2275"/>
      <c r="CR287" s="2275"/>
      <c r="CS287" s="2275"/>
      <c r="CT287" s="2275"/>
      <c r="CU287" s="2275"/>
      <c r="CV287" s="2275"/>
      <c r="CW287" s="2275"/>
      <c r="CX287" s="2250"/>
      <c r="CY287" s="2250"/>
      <c r="CZ287" s="2250"/>
      <c r="DA287" s="2250"/>
      <c r="DB287" s="2250"/>
      <c r="DC287" s="2250"/>
      <c r="DD287" s="2250"/>
      <c r="DE287" s="2250"/>
      <c r="DF287" s="2250"/>
      <c r="DG287" s="2250"/>
      <c r="DH287" s="2250"/>
      <c r="DI287" s="2250"/>
      <c r="DJ287" s="2250"/>
      <c r="DK287" s="2250"/>
      <c r="DL287" s="2250"/>
      <c r="DM287" s="2250"/>
      <c r="DN287" s="2250"/>
      <c r="DO287" s="2250"/>
      <c r="DP287" s="2250"/>
      <c r="DQ287" s="2277"/>
      <c r="DR287" s="2277"/>
      <c r="DS287" s="2278"/>
      <c r="DT287" s="2250"/>
      <c r="DU287" s="2250"/>
      <c r="DV287" s="2250"/>
      <c r="DW287" s="2250"/>
      <c r="DX287" s="2275"/>
      <c r="DY287" s="2275"/>
      <c r="DZ287" s="2275"/>
      <c r="EA287" s="2275"/>
      <c r="EB287" s="2275"/>
      <c r="EC287" s="2275"/>
      <c r="ED287" s="2275"/>
      <c r="EE287" s="2275"/>
      <c r="EF287" s="2275"/>
      <c r="EG287" s="2275"/>
      <c r="EH287" s="2275"/>
      <c r="EI287" s="2275"/>
      <c r="EJ287" s="2275"/>
      <c r="EK287" s="2275"/>
      <c r="EL287" s="2275"/>
      <c r="EM287" s="2275"/>
      <c r="EN287" s="2275"/>
      <c r="EO287" s="2275"/>
      <c r="EP287" s="2275"/>
      <c r="EQ287" s="2275"/>
      <c r="ER287" s="2275"/>
      <c r="ES287" s="2275"/>
      <c r="ET287" s="2275"/>
      <c r="EU287" s="2275"/>
      <c r="EV287" s="2275"/>
      <c r="EW287" s="2275"/>
      <c r="EX287" s="2275"/>
      <c r="EY287" s="2275"/>
      <c r="EZ287" s="2275"/>
      <c r="FA287" s="2275"/>
      <c r="FB287" s="2275"/>
      <c r="FC287" s="2275" t="s">
        <v>655</v>
      </c>
      <c r="FD287" s="2276">
        <f>FD221</f>
        <v>120.7</v>
      </c>
      <c r="FE287" s="2275"/>
      <c r="FF287" s="2275"/>
      <c r="FG287" s="2275"/>
      <c r="FH287" s="2275"/>
      <c r="FI287" s="2275"/>
      <c r="FJ287" s="2275"/>
      <c r="FK287" s="2275"/>
      <c r="FL287" s="2275"/>
      <c r="FM287" s="2250"/>
      <c r="FN287" s="2250"/>
      <c r="FO287" s="2250"/>
      <c r="FP287" s="2250"/>
      <c r="FQ287" s="2250"/>
      <c r="FR287" s="2250"/>
      <c r="FS287" s="2250"/>
      <c r="FT287" s="2250"/>
      <c r="FU287" s="2250"/>
      <c r="FV287" s="2250"/>
      <c r="FW287" s="2250"/>
      <c r="FX287" s="2250"/>
      <c r="FY287" s="2250"/>
      <c r="FZ287" s="2250"/>
      <c r="GA287" s="2250"/>
      <c r="GB287" s="2250"/>
      <c r="GC287" s="2276"/>
      <c r="GD287" s="2276"/>
      <c r="GE287" s="2250"/>
      <c r="GF287" s="2275"/>
      <c r="GG287" s="2275"/>
      <c r="GH287" s="2275"/>
      <c r="GI287" s="2275"/>
      <c r="GJ287" s="2275"/>
      <c r="GK287" s="2275"/>
      <c r="GL287" s="2275"/>
      <c r="GM287" s="2275"/>
      <c r="GN287" s="2275"/>
      <c r="GO287" s="2275"/>
      <c r="GP287" s="2275"/>
      <c r="GQ287" s="2275"/>
      <c r="GR287" s="2275"/>
      <c r="GS287" s="2275"/>
      <c r="GT287" s="2275"/>
      <c r="GU287" s="2275"/>
      <c r="GV287" s="2275"/>
      <c r="GW287" s="2275"/>
      <c r="GX287" s="2275"/>
      <c r="GY287" s="2275"/>
      <c r="GZ287" s="2275"/>
      <c r="HA287" s="2275"/>
      <c r="HB287" s="2275"/>
      <c r="HC287" s="2275"/>
      <c r="HD287" s="2275"/>
      <c r="HE287" s="2275"/>
      <c r="HF287" s="2275"/>
      <c r="HG287" s="2275"/>
      <c r="HH287" s="2275"/>
      <c r="HI287" s="2275"/>
      <c r="HJ287" s="2275"/>
      <c r="HK287" s="2275" t="s">
        <v>655</v>
      </c>
      <c r="HL287" s="2276">
        <f>HL221</f>
        <v>129.80000000000001</v>
      </c>
      <c r="HM287" s="2275"/>
      <c r="HN287" s="2275"/>
      <c r="HO287" s="2275"/>
      <c r="HP287" s="2275"/>
      <c r="HQ287" s="2275"/>
      <c r="HR287" s="2275"/>
      <c r="HS287" s="2275"/>
      <c r="HT287" s="2275"/>
      <c r="HU287" s="2250"/>
      <c r="HV287" s="2250"/>
      <c r="HW287" s="2250"/>
      <c r="HX287" s="2250"/>
      <c r="HY287" s="2250"/>
      <c r="HZ287" s="2250"/>
      <c r="IA287" s="2250"/>
      <c r="IB287" s="2250"/>
      <c r="IC287" s="2250"/>
      <c r="ID287" s="2250"/>
      <c r="IE287" s="2250"/>
      <c r="IF287" s="2250"/>
      <c r="IG287" s="2250"/>
      <c r="IH287" s="2250"/>
      <c r="II287" s="2250"/>
      <c r="IJ287" s="2250"/>
      <c r="IK287" s="2250"/>
      <c r="IL287" s="2250"/>
    </row>
    <row r="288" spans="1:246" ht="21.95" customHeight="1">
      <c r="A288" s="2275"/>
      <c r="B288" s="2275"/>
      <c r="C288" s="2333"/>
      <c r="D288" s="2344">
        <v>0</v>
      </c>
      <c r="E288" s="2344">
        <v>0</v>
      </c>
      <c r="F288" s="2344">
        <v>0</v>
      </c>
      <c r="G288" s="2344">
        <v>0</v>
      </c>
      <c r="H288" s="2344">
        <v>0</v>
      </c>
      <c r="I288" s="2344">
        <v>0</v>
      </c>
      <c r="J288" s="2344">
        <v>0</v>
      </c>
      <c r="K288" s="2344">
        <v>0</v>
      </c>
      <c r="L288" s="2344">
        <v>0</v>
      </c>
      <c r="M288" s="2344">
        <v>0</v>
      </c>
      <c r="N288" s="2344">
        <v>0</v>
      </c>
      <c r="O288" s="2344">
        <v>0</v>
      </c>
      <c r="P288" s="2344">
        <v>0</v>
      </c>
      <c r="Q288" s="2344">
        <v>0</v>
      </c>
      <c r="R288" s="2344">
        <v>0</v>
      </c>
      <c r="S288" s="2344">
        <v>0</v>
      </c>
      <c r="T288" s="2344">
        <v>0</v>
      </c>
      <c r="U288" s="2344">
        <v>0</v>
      </c>
      <c r="V288" s="2344">
        <v>0</v>
      </c>
      <c r="W288" s="2344">
        <v>0</v>
      </c>
      <c r="X288" s="2344">
        <v>0</v>
      </c>
      <c r="Y288" s="2344">
        <v>0</v>
      </c>
      <c r="Z288" s="2344">
        <v>0</v>
      </c>
      <c r="AA288" s="2344">
        <v>0</v>
      </c>
      <c r="AB288" s="2344">
        <v>0</v>
      </c>
      <c r="AC288" s="2344">
        <v>0</v>
      </c>
      <c r="AD288" s="2344">
        <v>0</v>
      </c>
      <c r="AE288" s="2333"/>
      <c r="AF288" s="2275" t="s">
        <v>682</v>
      </c>
      <c r="AG288" s="2276">
        <f>HLOOKUP(AG286,D287:AD299,1,0)</f>
        <v>190.4</v>
      </c>
      <c r="AH288" s="2275" t="s">
        <v>706</v>
      </c>
      <c r="AI288" s="2275" t="s">
        <v>682</v>
      </c>
      <c r="AJ288" s="2275"/>
      <c r="AK288" s="2275"/>
      <c r="AL288" s="2275"/>
      <c r="AM288" s="2275"/>
      <c r="AN288" s="2275"/>
      <c r="AO288" s="2275"/>
      <c r="AP288" s="2250"/>
      <c r="AQ288" s="2250"/>
      <c r="AR288" s="2250"/>
      <c r="AS288" s="2250"/>
      <c r="AT288" s="2250"/>
      <c r="AU288" s="2250"/>
      <c r="AV288" s="2250"/>
      <c r="AW288" s="2250"/>
      <c r="AX288" s="2250"/>
      <c r="AY288" s="2250"/>
      <c r="AZ288" s="2250"/>
      <c r="BA288" s="2250"/>
      <c r="BB288" s="2250"/>
      <c r="BC288" s="2250"/>
      <c r="BD288" s="2250"/>
      <c r="BE288" s="2250"/>
      <c r="BF288" s="2276"/>
      <c r="BG288" s="2276"/>
      <c r="BH288" s="2250"/>
      <c r="BI288" s="2275"/>
      <c r="BJ288" s="2275"/>
      <c r="BK288" s="2333"/>
      <c r="BL288" s="2344">
        <v>0</v>
      </c>
      <c r="BM288" s="2344">
        <v>0</v>
      </c>
      <c r="BN288" s="2344">
        <v>0</v>
      </c>
      <c r="BO288" s="2344">
        <v>0</v>
      </c>
      <c r="BP288" s="2344">
        <v>0</v>
      </c>
      <c r="BQ288" s="2344">
        <v>0</v>
      </c>
      <c r="BR288" s="2344">
        <v>0</v>
      </c>
      <c r="BS288" s="2344">
        <v>0</v>
      </c>
      <c r="BT288" s="2344">
        <v>0</v>
      </c>
      <c r="BU288" s="2344">
        <v>0</v>
      </c>
      <c r="BV288" s="2344">
        <v>0</v>
      </c>
      <c r="BW288" s="2344">
        <v>0</v>
      </c>
      <c r="BX288" s="2344">
        <v>0</v>
      </c>
      <c r="BY288" s="2344">
        <v>0</v>
      </c>
      <c r="BZ288" s="2344">
        <v>0</v>
      </c>
      <c r="CA288" s="2344">
        <v>0</v>
      </c>
      <c r="CB288" s="2344">
        <v>0</v>
      </c>
      <c r="CC288" s="2344">
        <v>0</v>
      </c>
      <c r="CD288" s="2344">
        <v>0</v>
      </c>
      <c r="CE288" s="2344">
        <v>0</v>
      </c>
      <c r="CF288" s="2344">
        <v>0</v>
      </c>
      <c r="CG288" s="2344">
        <v>0</v>
      </c>
      <c r="CH288" s="2344">
        <v>0</v>
      </c>
      <c r="CI288" s="2344">
        <v>0</v>
      </c>
      <c r="CJ288" s="2344">
        <v>0</v>
      </c>
      <c r="CK288" s="2344">
        <v>0</v>
      </c>
      <c r="CL288" s="2344">
        <v>0</v>
      </c>
      <c r="CM288" s="2333"/>
      <c r="CN288" s="2275" t="s">
        <v>682</v>
      </c>
      <c r="CO288" s="2276">
        <f>HLOOKUP(CO286,BL287:CL299,1,0)</f>
        <v>206.43</v>
      </c>
      <c r="CP288" s="2275" t="s">
        <v>706</v>
      </c>
      <c r="CQ288" s="2275" t="s">
        <v>682</v>
      </c>
      <c r="CR288" s="2275"/>
      <c r="CS288" s="2275"/>
      <c r="CT288" s="2275"/>
      <c r="CU288" s="2275"/>
      <c r="CV288" s="2275"/>
      <c r="CW288" s="2275"/>
      <c r="CX288" s="2250"/>
      <c r="CY288" s="2250"/>
      <c r="CZ288" s="2250"/>
      <c r="DA288" s="2250"/>
      <c r="DB288" s="2250"/>
      <c r="DC288" s="2250"/>
      <c r="DD288" s="2250"/>
      <c r="DE288" s="2250"/>
      <c r="DF288" s="2250"/>
      <c r="DG288" s="2250"/>
      <c r="DH288" s="2250"/>
      <c r="DI288" s="2250"/>
      <c r="DJ288" s="2250"/>
      <c r="DK288" s="2250"/>
      <c r="DL288" s="2250"/>
      <c r="DM288" s="2250"/>
      <c r="DN288" s="2250"/>
      <c r="DO288" s="2250"/>
      <c r="DP288" s="2250"/>
      <c r="DQ288" s="2277"/>
      <c r="DR288" s="2277"/>
      <c r="DS288" s="2278"/>
      <c r="DT288" s="2250"/>
      <c r="DU288" s="2250"/>
      <c r="DV288" s="2250"/>
      <c r="DW288" s="2250"/>
      <c r="DX288" s="2275"/>
      <c r="DY288" s="2275"/>
      <c r="DZ288" s="2333" t="s">
        <v>736</v>
      </c>
      <c r="EA288" s="2333">
        <v>223.8</v>
      </c>
      <c r="EB288" s="2333">
        <v>206.43</v>
      </c>
      <c r="EC288" s="2333">
        <v>190.4</v>
      </c>
      <c r="ED288" s="2333">
        <v>177.81</v>
      </c>
      <c r="EE288" s="2333">
        <v>165.9</v>
      </c>
      <c r="EF288" s="2333">
        <v>162.68</v>
      </c>
      <c r="EG288" s="2333">
        <v>151.30000000000001</v>
      </c>
      <c r="EH288" s="2333">
        <v>140.1</v>
      </c>
      <c r="EI288" s="2333">
        <v>129.80000000000001</v>
      </c>
      <c r="EJ288" s="2333">
        <v>120.7</v>
      </c>
      <c r="EK288" s="2333">
        <v>107.9</v>
      </c>
      <c r="EL288" s="2333">
        <v>97.1</v>
      </c>
      <c r="EM288" s="2333">
        <v>92.9</v>
      </c>
      <c r="EN288" s="2333">
        <v>88.2</v>
      </c>
      <c r="EO288" s="2333">
        <v>83.3</v>
      </c>
      <c r="EP288" s="2333">
        <v>78.2</v>
      </c>
      <c r="EQ288" s="2333">
        <v>73.7</v>
      </c>
      <c r="ER288" s="2333">
        <v>68.3</v>
      </c>
      <c r="ES288" s="2333">
        <v>63.4</v>
      </c>
      <c r="ET288" s="2333">
        <v>58.1</v>
      </c>
      <c r="EU288" s="2333">
        <v>53.7</v>
      </c>
      <c r="EV288" s="2333">
        <v>48.8</v>
      </c>
      <c r="EW288" s="2333">
        <v>43.9</v>
      </c>
      <c r="EX288" s="2333">
        <v>38.799999999999997</v>
      </c>
      <c r="EY288" s="2333">
        <v>34.200000000000003</v>
      </c>
      <c r="EZ288" s="2333">
        <v>29.3</v>
      </c>
      <c r="FA288" s="2333">
        <v>24.5</v>
      </c>
      <c r="FB288" s="2333" t="s">
        <v>736</v>
      </c>
      <c r="FC288" s="2275" t="s">
        <v>738</v>
      </c>
      <c r="FD288" s="2276">
        <f>FD222</f>
        <v>19.968225884687833</v>
      </c>
      <c r="FE288" s="2275"/>
      <c r="FF288" s="2275"/>
      <c r="FG288" s="2275"/>
      <c r="FH288" s="2275"/>
      <c r="FI288" s="2275"/>
      <c r="FJ288" s="2275"/>
      <c r="FK288" s="2275"/>
      <c r="FL288" s="2275"/>
      <c r="FM288" s="2250"/>
      <c r="FN288" s="2250"/>
      <c r="FO288" s="2250"/>
      <c r="FP288" s="2250"/>
      <c r="FQ288" s="2250"/>
      <c r="FR288" s="2250"/>
      <c r="FS288" s="2250"/>
      <c r="FT288" s="2250"/>
      <c r="FU288" s="2250"/>
      <c r="FV288" s="2250"/>
      <c r="FW288" s="2250"/>
      <c r="FX288" s="2250"/>
      <c r="FY288" s="2250"/>
      <c r="FZ288" s="2250"/>
      <c r="GA288" s="2250"/>
      <c r="GB288" s="2250"/>
      <c r="GC288" s="2276"/>
      <c r="GD288" s="2276"/>
      <c r="GE288" s="2250"/>
      <c r="GF288" s="2275"/>
      <c r="GG288" s="2275"/>
      <c r="GH288" s="2333" t="s">
        <v>736</v>
      </c>
      <c r="GI288" s="2333">
        <v>223.8</v>
      </c>
      <c r="GJ288" s="2333">
        <v>206.43</v>
      </c>
      <c r="GK288" s="2333">
        <v>190.4</v>
      </c>
      <c r="GL288" s="2333">
        <v>177.81</v>
      </c>
      <c r="GM288" s="2333">
        <v>165.9</v>
      </c>
      <c r="GN288" s="2333">
        <v>162.68</v>
      </c>
      <c r="GO288" s="2333">
        <v>151.30000000000001</v>
      </c>
      <c r="GP288" s="2333">
        <v>140.1</v>
      </c>
      <c r="GQ288" s="2333">
        <v>129.80000000000001</v>
      </c>
      <c r="GR288" s="2333">
        <v>120.7</v>
      </c>
      <c r="GS288" s="2333">
        <v>107.9</v>
      </c>
      <c r="GT288" s="2333">
        <v>97.1</v>
      </c>
      <c r="GU288" s="2333">
        <v>92.9</v>
      </c>
      <c r="GV288" s="2333">
        <v>88.2</v>
      </c>
      <c r="GW288" s="2333">
        <v>83.3</v>
      </c>
      <c r="GX288" s="2333">
        <v>78.2</v>
      </c>
      <c r="GY288" s="2333">
        <v>73.7</v>
      </c>
      <c r="GZ288" s="2333">
        <v>68.3</v>
      </c>
      <c r="HA288" s="2333">
        <v>63.4</v>
      </c>
      <c r="HB288" s="2333">
        <v>58.1</v>
      </c>
      <c r="HC288" s="2333">
        <v>53.7</v>
      </c>
      <c r="HD288" s="2333">
        <v>48.8</v>
      </c>
      <c r="HE288" s="2333">
        <v>43.9</v>
      </c>
      <c r="HF288" s="2333">
        <v>38.799999999999997</v>
      </c>
      <c r="HG288" s="2333">
        <v>34.200000000000003</v>
      </c>
      <c r="HH288" s="2333">
        <v>29.3</v>
      </c>
      <c r="HI288" s="2333">
        <v>24.5</v>
      </c>
      <c r="HJ288" s="2333" t="s">
        <v>736</v>
      </c>
      <c r="HK288" s="2275" t="s">
        <v>738</v>
      </c>
      <c r="HL288" s="2276">
        <f>HL222</f>
        <v>19.968225884687833</v>
      </c>
      <c r="HM288" s="2275"/>
      <c r="HN288" s="2275"/>
      <c r="HO288" s="2275"/>
      <c r="HP288" s="2275"/>
      <c r="HQ288" s="2275"/>
      <c r="HR288" s="2275"/>
      <c r="HS288" s="2275"/>
      <c r="HT288" s="2275"/>
      <c r="HU288" s="2250"/>
      <c r="HV288" s="2250"/>
      <c r="HW288" s="2250"/>
      <c r="HX288" s="2250"/>
      <c r="HY288" s="2250"/>
      <c r="HZ288" s="2250"/>
      <c r="IA288" s="2250"/>
      <c r="IB288" s="2250"/>
      <c r="IC288" s="2250"/>
      <c r="ID288" s="2250"/>
      <c r="IE288" s="2250"/>
      <c r="IF288" s="2250"/>
      <c r="IG288" s="2250"/>
      <c r="IH288" s="2250"/>
      <c r="II288" s="2250"/>
      <c r="IJ288" s="2250"/>
      <c r="IK288" s="2250"/>
      <c r="IL288" s="2250"/>
    </row>
    <row r="289" spans="1:246" ht="21.95" customHeight="1">
      <c r="A289" s="2275"/>
      <c r="B289" s="4670" t="s">
        <v>735</v>
      </c>
      <c r="C289" s="2345">
        <v>400</v>
      </c>
      <c r="D289" s="2346">
        <v>1.19</v>
      </c>
      <c r="E289" s="2346">
        <v>1.39</v>
      </c>
      <c r="F289" s="2346">
        <v>1.49</v>
      </c>
      <c r="G289" s="2346">
        <v>1.68</v>
      </c>
      <c r="H289" s="2346">
        <v>1.78</v>
      </c>
      <c r="I289" s="2346">
        <v>1.68</v>
      </c>
      <c r="J289" s="2346">
        <v>1.88</v>
      </c>
      <c r="K289" s="2346">
        <v>1.98</v>
      </c>
      <c r="L289" s="2346">
        <v>2.1800000000000002</v>
      </c>
      <c r="M289" s="2346">
        <v>2.38</v>
      </c>
      <c r="N289" s="2346">
        <v>2.57</v>
      </c>
      <c r="O289" s="2346">
        <v>2.67</v>
      </c>
      <c r="P289" s="2346">
        <v>3.07</v>
      </c>
      <c r="Q289" s="2346">
        <v>3.07</v>
      </c>
      <c r="R289" s="2346">
        <v>3.17</v>
      </c>
      <c r="S289" s="2346">
        <v>3.56</v>
      </c>
      <c r="T289" s="2346">
        <v>3.76</v>
      </c>
      <c r="U289" s="2346">
        <v>3.86</v>
      </c>
      <c r="V289" s="2346">
        <v>4.16</v>
      </c>
      <c r="W289" s="2346">
        <v>4.46</v>
      </c>
      <c r="X289" s="2346">
        <v>4.95</v>
      </c>
      <c r="Y289" s="2346">
        <v>5.25</v>
      </c>
      <c r="Z289" s="2346">
        <v>5.35</v>
      </c>
      <c r="AA289" s="2346">
        <v>6.44</v>
      </c>
      <c r="AB289" s="2346">
        <v>6.53</v>
      </c>
      <c r="AC289" s="2346">
        <v>8.61</v>
      </c>
      <c r="AD289" s="2346">
        <v>9.9</v>
      </c>
      <c r="AE289" s="2347">
        <v>400</v>
      </c>
      <c r="AF289" s="2275"/>
      <c r="AG289" s="4671"/>
      <c r="AH289" s="4671"/>
      <c r="AI289" s="4671"/>
      <c r="AJ289" s="2275"/>
      <c r="AK289" s="2275"/>
      <c r="AL289" s="2275"/>
      <c r="AM289" s="2275"/>
      <c r="AN289" s="2275"/>
      <c r="AO289" s="2275"/>
      <c r="AP289" s="2250"/>
      <c r="AQ289" s="2250"/>
      <c r="AR289" s="2250"/>
      <c r="AS289" s="2250"/>
      <c r="AT289" s="2250"/>
      <c r="AU289" s="2250"/>
      <c r="AV289" s="2250"/>
      <c r="AW289" s="2250"/>
      <c r="AX289" s="2250"/>
      <c r="AY289" s="2250"/>
      <c r="AZ289" s="2250"/>
      <c r="BA289" s="2250"/>
      <c r="BB289" s="2250"/>
      <c r="BC289" s="2250"/>
      <c r="BD289" s="2250"/>
      <c r="BE289" s="2250"/>
      <c r="BF289" s="2276"/>
      <c r="BG289" s="2276"/>
      <c r="BH289" s="2250"/>
      <c r="BI289" s="2275"/>
      <c r="BJ289" s="4670" t="s">
        <v>735</v>
      </c>
      <c r="BK289" s="2345">
        <v>400</v>
      </c>
      <c r="BL289" s="2346">
        <v>1.19</v>
      </c>
      <c r="BM289" s="2346">
        <v>1.39</v>
      </c>
      <c r="BN289" s="2346">
        <v>1.49</v>
      </c>
      <c r="BO289" s="2346">
        <v>1.68</v>
      </c>
      <c r="BP289" s="2346">
        <v>1.78</v>
      </c>
      <c r="BQ289" s="2346">
        <v>1.68</v>
      </c>
      <c r="BR289" s="2346">
        <v>1.88</v>
      </c>
      <c r="BS289" s="2346">
        <v>1.98</v>
      </c>
      <c r="BT289" s="2346">
        <v>2.1800000000000002</v>
      </c>
      <c r="BU289" s="2346">
        <v>2.38</v>
      </c>
      <c r="BV289" s="2346">
        <v>2.57</v>
      </c>
      <c r="BW289" s="2346">
        <v>2.67</v>
      </c>
      <c r="BX289" s="2346">
        <v>3.07</v>
      </c>
      <c r="BY289" s="2346">
        <v>3.07</v>
      </c>
      <c r="BZ289" s="2346">
        <v>3.17</v>
      </c>
      <c r="CA289" s="2346">
        <v>3.56</v>
      </c>
      <c r="CB289" s="2346">
        <v>3.76</v>
      </c>
      <c r="CC289" s="2346">
        <v>3.86</v>
      </c>
      <c r="CD289" s="2346">
        <v>4.16</v>
      </c>
      <c r="CE289" s="2346">
        <v>4.46</v>
      </c>
      <c r="CF289" s="2346">
        <v>4.95</v>
      </c>
      <c r="CG289" s="2346">
        <v>5.25</v>
      </c>
      <c r="CH289" s="2346">
        <v>5.35</v>
      </c>
      <c r="CI289" s="2346">
        <v>6.44</v>
      </c>
      <c r="CJ289" s="2346">
        <v>6.53</v>
      </c>
      <c r="CK289" s="2346">
        <v>8.61</v>
      </c>
      <c r="CL289" s="2346">
        <v>9.9</v>
      </c>
      <c r="CM289" s="2347">
        <v>400</v>
      </c>
      <c r="CN289" s="2275"/>
      <c r="CO289" s="4671"/>
      <c r="CP289" s="4671"/>
      <c r="CQ289" s="4671"/>
      <c r="CR289" s="2275"/>
      <c r="CS289" s="2275"/>
      <c r="CT289" s="2275"/>
      <c r="CU289" s="2275"/>
      <c r="CV289" s="2275"/>
      <c r="CW289" s="2275"/>
      <c r="CX289" s="2250"/>
      <c r="CY289" s="2250"/>
      <c r="CZ289" s="2250"/>
      <c r="DA289" s="2250"/>
      <c r="DB289" s="2250"/>
      <c r="DC289" s="2250"/>
      <c r="DD289" s="2250"/>
      <c r="DE289" s="2250"/>
      <c r="DF289" s="2250"/>
      <c r="DG289" s="2250"/>
      <c r="DH289" s="2250"/>
      <c r="DI289" s="2250"/>
      <c r="DJ289" s="2250"/>
      <c r="DK289" s="2250"/>
      <c r="DL289" s="2250"/>
      <c r="DM289" s="2250"/>
      <c r="DN289" s="2250"/>
      <c r="DO289" s="2250"/>
      <c r="DP289" s="2250"/>
      <c r="DQ289" s="2277"/>
      <c r="DR289" s="2277"/>
      <c r="DS289" s="2278"/>
      <c r="DT289" s="2250"/>
      <c r="DU289" s="2250"/>
      <c r="DV289" s="2250"/>
      <c r="DW289" s="2250"/>
      <c r="DX289" s="2275"/>
      <c r="DY289" s="2275"/>
      <c r="DZ289" s="2333"/>
      <c r="EA289" s="2344">
        <v>0</v>
      </c>
      <c r="EB289" s="2344">
        <v>0</v>
      </c>
      <c r="EC289" s="2344">
        <v>0</v>
      </c>
      <c r="ED289" s="2344">
        <v>0</v>
      </c>
      <c r="EE289" s="2344">
        <v>0</v>
      </c>
      <c r="EF289" s="2344">
        <v>0</v>
      </c>
      <c r="EG289" s="2344">
        <v>0</v>
      </c>
      <c r="EH289" s="2344">
        <v>0</v>
      </c>
      <c r="EI289" s="2344">
        <v>0</v>
      </c>
      <c r="EJ289" s="2344">
        <v>0</v>
      </c>
      <c r="EK289" s="2344">
        <v>0</v>
      </c>
      <c r="EL289" s="2344">
        <v>0</v>
      </c>
      <c r="EM289" s="2344">
        <v>0</v>
      </c>
      <c r="EN289" s="2344">
        <v>0</v>
      </c>
      <c r="EO289" s="2344">
        <v>0</v>
      </c>
      <c r="EP289" s="2344">
        <v>0</v>
      </c>
      <c r="EQ289" s="2344">
        <v>0</v>
      </c>
      <c r="ER289" s="2344">
        <v>0</v>
      </c>
      <c r="ES289" s="2344">
        <v>0</v>
      </c>
      <c r="ET289" s="2344">
        <v>0</v>
      </c>
      <c r="EU289" s="2344">
        <v>0</v>
      </c>
      <c r="EV289" s="2344">
        <v>0</v>
      </c>
      <c r="EW289" s="2344">
        <v>0</v>
      </c>
      <c r="EX289" s="2344">
        <v>0</v>
      </c>
      <c r="EY289" s="2344">
        <v>0</v>
      </c>
      <c r="EZ289" s="2344">
        <v>0</v>
      </c>
      <c r="FA289" s="2344">
        <v>0</v>
      </c>
      <c r="FB289" s="2333"/>
      <c r="FC289" s="2275" t="s">
        <v>682</v>
      </c>
      <c r="FD289" s="2276">
        <f>HLOOKUP(FD287,EA288:FA300,1,0)</f>
        <v>120.7</v>
      </c>
      <c r="FE289" s="2275" t="s">
        <v>706</v>
      </c>
      <c r="FF289" s="2275" t="s">
        <v>682</v>
      </c>
      <c r="FG289" s="2275"/>
      <c r="FH289" s="2275"/>
      <c r="FI289" s="2275"/>
      <c r="FJ289" s="2275"/>
      <c r="FK289" s="2275"/>
      <c r="FL289" s="2275"/>
      <c r="FM289" s="2250"/>
      <c r="FN289" s="2250"/>
      <c r="FO289" s="2250"/>
      <c r="FP289" s="2250"/>
      <c r="FQ289" s="2250"/>
      <c r="FR289" s="2250"/>
      <c r="FS289" s="2250"/>
      <c r="FT289" s="2250"/>
      <c r="FU289" s="2250"/>
      <c r="FV289" s="2250"/>
      <c r="FW289" s="2250"/>
      <c r="FX289" s="2250"/>
      <c r="FY289" s="2250"/>
      <c r="FZ289" s="2250"/>
      <c r="GA289" s="2250"/>
      <c r="GB289" s="2250"/>
      <c r="GC289" s="2276"/>
      <c r="GD289" s="2276"/>
      <c r="GE289" s="2250"/>
      <c r="GF289" s="2275"/>
      <c r="GG289" s="2275"/>
      <c r="GH289" s="2333"/>
      <c r="GI289" s="2344">
        <v>0</v>
      </c>
      <c r="GJ289" s="2344">
        <v>0</v>
      </c>
      <c r="GK289" s="2344">
        <v>0</v>
      </c>
      <c r="GL289" s="2344">
        <v>0</v>
      </c>
      <c r="GM289" s="2344">
        <v>0</v>
      </c>
      <c r="GN289" s="2344">
        <v>0</v>
      </c>
      <c r="GO289" s="2344">
        <v>0</v>
      </c>
      <c r="GP289" s="2344">
        <v>0</v>
      </c>
      <c r="GQ289" s="2344">
        <v>0</v>
      </c>
      <c r="GR289" s="2344">
        <v>0</v>
      </c>
      <c r="GS289" s="2344">
        <v>0</v>
      </c>
      <c r="GT289" s="2344">
        <v>0</v>
      </c>
      <c r="GU289" s="2344">
        <v>0</v>
      </c>
      <c r="GV289" s="2344">
        <v>0</v>
      </c>
      <c r="GW289" s="2344">
        <v>0</v>
      </c>
      <c r="GX289" s="2344">
        <v>0</v>
      </c>
      <c r="GY289" s="2344">
        <v>0</v>
      </c>
      <c r="GZ289" s="2344">
        <v>0</v>
      </c>
      <c r="HA289" s="2344">
        <v>0</v>
      </c>
      <c r="HB289" s="2344">
        <v>0</v>
      </c>
      <c r="HC289" s="2344">
        <v>0</v>
      </c>
      <c r="HD289" s="2344">
        <v>0</v>
      </c>
      <c r="HE289" s="2344">
        <v>0</v>
      </c>
      <c r="HF289" s="2344">
        <v>0</v>
      </c>
      <c r="HG289" s="2344">
        <v>0</v>
      </c>
      <c r="HH289" s="2344">
        <v>0</v>
      </c>
      <c r="HI289" s="2344">
        <v>0</v>
      </c>
      <c r="HJ289" s="2333"/>
      <c r="HK289" s="2275" t="s">
        <v>682</v>
      </c>
      <c r="HL289" s="2276">
        <f>HLOOKUP(HL287,GI288:HI300,1,0)</f>
        <v>129.80000000000001</v>
      </c>
      <c r="HM289" s="2275" t="s">
        <v>706</v>
      </c>
      <c r="HN289" s="2275" t="s">
        <v>682</v>
      </c>
      <c r="HO289" s="2275"/>
      <c r="HP289" s="2275"/>
      <c r="HQ289" s="2275"/>
      <c r="HR289" s="2275"/>
      <c r="HS289" s="2275"/>
      <c r="HT289" s="2275"/>
      <c r="HU289" s="2250"/>
      <c r="HV289" s="2250"/>
      <c r="HW289" s="2250"/>
      <c r="HX289" s="2250"/>
      <c r="HY289" s="2250"/>
      <c r="HZ289" s="2250"/>
      <c r="IA289" s="2250"/>
      <c r="IB289" s="2250"/>
      <c r="IC289" s="2250"/>
      <c r="ID289" s="2250"/>
      <c r="IE289" s="2250"/>
      <c r="IF289" s="2250"/>
      <c r="IG289" s="2250"/>
      <c r="IH289" s="2250"/>
      <c r="II289" s="2250"/>
      <c r="IJ289" s="2250"/>
      <c r="IK289" s="2250"/>
      <c r="IL289" s="2250"/>
    </row>
    <row r="290" spans="1:246" ht="21.95" customHeight="1">
      <c r="A290" s="2275"/>
      <c r="B290" s="4670"/>
      <c r="C290" s="2345">
        <v>475</v>
      </c>
      <c r="D290" s="2346">
        <v>1.78</v>
      </c>
      <c r="E290" s="2346">
        <v>1.98</v>
      </c>
      <c r="F290" s="2346">
        <v>2.1800000000000002</v>
      </c>
      <c r="G290" s="2346">
        <v>2.38</v>
      </c>
      <c r="H290" s="2346">
        <v>2.67</v>
      </c>
      <c r="I290" s="2346">
        <v>2.48</v>
      </c>
      <c r="J290" s="2346">
        <v>2.77</v>
      </c>
      <c r="K290" s="2346">
        <v>2.97</v>
      </c>
      <c r="L290" s="2346">
        <v>3.07</v>
      </c>
      <c r="M290" s="2346">
        <v>3.37</v>
      </c>
      <c r="N290" s="2346">
        <v>4.0599999999999996</v>
      </c>
      <c r="O290" s="2346">
        <v>3.96</v>
      </c>
      <c r="P290" s="2346">
        <v>4.3600000000000003</v>
      </c>
      <c r="Q290" s="2346">
        <v>4.3600000000000003</v>
      </c>
      <c r="R290" s="2346">
        <v>4.75</v>
      </c>
      <c r="S290" s="2346">
        <v>4.95</v>
      </c>
      <c r="T290" s="2346">
        <v>5.25</v>
      </c>
      <c r="U290" s="2346">
        <v>5.64</v>
      </c>
      <c r="V290" s="2346">
        <v>6.04</v>
      </c>
      <c r="W290" s="2346">
        <v>6.83</v>
      </c>
      <c r="X290" s="2346">
        <v>7.03</v>
      </c>
      <c r="Y290" s="2346">
        <v>7.72</v>
      </c>
      <c r="Z290" s="2346">
        <v>8.7100000000000009</v>
      </c>
      <c r="AA290" s="2346">
        <v>9.6999999999999993</v>
      </c>
      <c r="AB290" s="2346">
        <v>10.3</v>
      </c>
      <c r="AC290" s="2346">
        <v>11.88</v>
      </c>
      <c r="AD290" s="2346">
        <v>14.16</v>
      </c>
      <c r="AE290" s="2347">
        <v>475</v>
      </c>
      <c r="AF290" s="2275"/>
      <c r="AG290" s="2276">
        <f>HLOOKUP(AG286,D287:AD299,2,0)</f>
        <v>0</v>
      </c>
      <c r="AH290" s="2276">
        <f t="shared" ref="AH290:AH300" si="272">+AG291</f>
        <v>1.49</v>
      </c>
      <c r="AI290" s="2275">
        <v>400</v>
      </c>
      <c r="AJ290" s="2275"/>
      <c r="AK290" s="2275"/>
      <c r="AL290" s="2275"/>
      <c r="AM290" s="2275"/>
      <c r="AN290" s="2275"/>
      <c r="AO290" s="2275"/>
      <c r="AP290" s="2250"/>
      <c r="AQ290" s="2250"/>
      <c r="AR290" s="2250"/>
      <c r="AS290" s="2250"/>
      <c r="AT290" s="2250"/>
      <c r="AU290" s="2250"/>
      <c r="AV290" s="2250"/>
      <c r="AW290" s="2250"/>
      <c r="AX290" s="2250"/>
      <c r="AY290" s="2250"/>
      <c r="AZ290" s="2250"/>
      <c r="BA290" s="2250"/>
      <c r="BB290" s="2250"/>
      <c r="BC290" s="2250"/>
      <c r="BD290" s="2250"/>
      <c r="BE290" s="2250"/>
      <c r="BF290" s="2276"/>
      <c r="BG290" s="2276"/>
      <c r="BH290" s="2250"/>
      <c r="BI290" s="2275"/>
      <c r="BJ290" s="4670"/>
      <c r="BK290" s="2345">
        <v>475</v>
      </c>
      <c r="BL290" s="2346">
        <v>1.78</v>
      </c>
      <c r="BM290" s="2346">
        <v>1.98</v>
      </c>
      <c r="BN290" s="2346">
        <v>2.1800000000000002</v>
      </c>
      <c r="BO290" s="2346">
        <v>2.38</v>
      </c>
      <c r="BP290" s="2346">
        <v>2.67</v>
      </c>
      <c r="BQ290" s="2346">
        <v>2.48</v>
      </c>
      <c r="BR290" s="2346">
        <v>2.77</v>
      </c>
      <c r="BS290" s="2346">
        <v>2.97</v>
      </c>
      <c r="BT290" s="2346">
        <v>3.07</v>
      </c>
      <c r="BU290" s="2346">
        <v>3.37</v>
      </c>
      <c r="BV290" s="2346">
        <v>4.0599999999999996</v>
      </c>
      <c r="BW290" s="2346">
        <v>3.96</v>
      </c>
      <c r="BX290" s="2346">
        <v>4.3600000000000003</v>
      </c>
      <c r="BY290" s="2346">
        <v>4.3600000000000003</v>
      </c>
      <c r="BZ290" s="2346">
        <v>4.75</v>
      </c>
      <c r="CA290" s="2346">
        <v>4.95</v>
      </c>
      <c r="CB290" s="2346">
        <v>5.25</v>
      </c>
      <c r="CC290" s="2346">
        <v>5.64</v>
      </c>
      <c r="CD290" s="2346">
        <v>6.04</v>
      </c>
      <c r="CE290" s="2346">
        <v>6.83</v>
      </c>
      <c r="CF290" s="2346">
        <v>7.03</v>
      </c>
      <c r="CG290" s="2346">
        <v>7.72</v>
      </c>
      <c r="CH290" s="2346">
        <v>8.7100000000000009</v>
      </c>
      <c r="CI290" s="2346">
        <v>9.6999999999999993</v>
      </c>
      <c r="CJ290" s="2346">
        <v>10.3</v>
      </c>
      <c r="CK290" s="2346">
        <v>11.88</v>
      </c>
      <c r="CL290" s="2346">
        <v>14.16</v>
      </c>
      <c r="CM290" s="2347">
        <v>475</v>
      </c>
      <c r="CN290" s="2275"/>
      <c r="CO290" s="2276">
        <f>HLOOKUP(CO286,BL287:CL299,2,0)</f>
        <v>0</v>
      </c>
      <c r="CP290" s="2276">
        <f t="shared" ref="CP290:CP300" si="273">+CO291</f>
        <v>1.39</v>
      </c>
      <c r="CQ290" s="2275">
        <v>400</v>
      </c>
      <c r="CR290" s="2275"/>
      <c r="CS290" s="2275"/>
      <c r="CT290" s="2275"/>
      <c r="CU290" s="2275"/>
      <c r="CV290" s="2275"/>
      <c r="CW290" s="2275"/>
      <c r="CX290" s="2250"/>
      <c r="CY290" s="2250"/>
      <c r="CZ290" s="2250"/>
      <c r="DA290" s="2250"/>
      <c r="DB290" s="2250"/>
      <c r="DC290" s="2250"/>
      <c r="DD290" s="2250"/>
      <c r="DE290" s="2250"/>
      <c r="DF290" s="2250"/>
      <c r="DG290" s="2250"/>
      <c r="DH290" s="2250"/>
      <c r="DI290" s="2250"/>
      <c r="DJ290" s="2250"/>
      <c r="DK290" s="2250"/>
      <c r="DL290" s="2250"/>
      <c r="DM290" s="2250"/>
      <c r="DN290" s="2250"/>
      <c r="DO290" s="2250"/>
      <c r="DP290" s="2250"/>
      <c r="DQ290" s="2277"/>
      <c r="DR290" s="2277"/>
      <c r="DS290" s="2278"/>
      <c r="DT290" s="2250"/>
      <c r="DU290" s="2250"/>
      <c r="DV290" s="2250"/>
      <c r="DW290" s="2250"/>
      <c r="DX290" s="2275"/>
      <c r="DY290" s="4670" t="s">
        <v>735</v>
      </c>
      <c r="DZ290" s="2345">
        <v>400</v>
      </c>
      <c r="EA290" s="2346">
        <v>1.19</v>
      </c>
      <c r="EB290" s="2346">
        <v>1.39</v>
      </c>
      <c r="EC290" s="2346">
        <v>1.49</v>
      </c>
      <c r="ED290" s="2346">
        <v>1.68</v>
      </c>
      <c r="EE290" s="2346">
        <v>1.78</v>
      </c>
      <c r="EF290" s="2346">
        <v>1.68</v>
      </c>
      <c r="EG290" s="2346">
        <v>1.88</v>
      </c>
      <c r="EH290" s="2346">
        <v>1.98</v>
      </c>
      <c r="EI290" s="2346">
        <v>2.1800000000000002</v>
      </c>
      <c r="EJ290" s="2346">
        <v>2.38</v>
      </c>
      <c r="EK290" s="2346">
        <v>2.57</v>
      </c>
      <c r="EL290" s="2346">
        <v>2.67</v>
      </c>
      <c r="EM290" s="2346">
        <v>3.07</v>
      </c>
      <c r="EN290" s="2346">
        <v>3.07</v>
      </c>
      <c r="EO290" s="2346">
        <v>3.17</v>
      </c>
      <c r="EP290" s="2346">
        <v>3.56</v>
      </c>
      <c r="EQ290" s="2346">
        <v>3.76</v>
      </c>
      <c r="ER290" s="2346">
        <v>3.86</v>
      </c>
      <c r="ES290" s="2346">
        <v>4.16</v>
      </c>
      <c r="ET290" s="2346">
        <v>4.46</v>
      </c>
      <c r="EU290" s="2346">
        <v>4.95</v>
      </c>
      <c r="EV290" s="2346">
        <v>5.25</v>
      </c>
      <c r="EW290" s="2346">
        <v>5.35</v>
      </c>
      <c r="EX290" s="2346">
        <v>6.44</v>
      </c>
      <c r="EY290" s="2346">
        <v>6.53</v>
      </c>
      <c r="EZ290" s="2346">
        <v>8.61</v>
      </c>
      <c r="FA290" s="2346">
        <v>9.9</v>
      </c>
      <c r="FB290" s="2347">
        <v>400</v>
      </c>
      <c r="FC290" s="2275"/>
      <c r="FD290" s="4671"/>
      <c r="FE290" s="4671"/>
      <c r="FF290" s="4671"/>
      <c r="FG290" s="2275"/>
      <c r="FH290" s="2275"/>
      <c r="FI290" s="2275"/>
      <c r="FJ290" s="2275"/>
      <c r="FK290" s="2275"/>
      <c r="FL290" s="2275"/>
      <c r="FM290" s="2250"/>
      <c r="FN290" s="2250"/>
      <c r="FO290" s="2250"/>
      <c r="FP290" s="2250"/>
      <c r="FQ290" s="2250"/>
      <c r="FR290" s="2250"/>
      <c r="FS290" s="2250"/>
      <c r="FT290" s="2250"/>
      <c r="FU290" s="2250"/>
      <c r="FV290" s="2250"/>
      <c r="FW290" s="2250"/>
      <c r="FX290" s="2250"/>
      <c r="FY290" s="2250"/>
      <c r="FZ290" s="2250"/>
      <c r="GA290" s="2250"/>
      <c r="GB290" s="2250"/>
      <c r="GC290" s="2276"/>
      <c r="GD290" s="2276"/>
      <c r="GE290" s="2250"/>
      <c r="GF290" s="2275"/>
      <c r="GG290" s="4670" t="s">
        <v>735</v>
      </c>
      <c r="GH290" s="2345">
        <v>400</v>
      </c>
      <c r="GI290" s="2346">
        <v>1.19</v>
      </c>
      <c r="GJ290" s="2346">
        <v>1.39</v>
      </c>
      <c r="GK290" s="2346">
        <v>1.49</v>
      </c>
      <c r="GL290" s="2346">
        <v>1.68</v>
      </c>
      <c r="GM290" s="2346">
        <v>1.78</v>
      </c>
      <c r="GN290" s="2346">
        <v>1.68</v>
      </c>
      <c r="GO290" s="2346">
        <v>1.88</v>
      </c>
      <c r="GP290" s="2346">
        <v>1.98</v>
      </c>
      <c r="GQ290" s="2346">
        <v>2.1800000000000002</v>
      </c>
      <c r="GR290" s="2346">
        <v>2.38</v>
      </c>
      <c r="GS290" s="2346">
        <v>2.57</v>
      </c>
      <c r="GT290" s="2346">
        <v>2.67</v>
      </c>
      <c r="GU290" s="2346">
        <v>3.07</v>
      </c>
      <c r="GV290" s="2346">
        <v>3.07</v>
      </c>
      <c r="GW290" s="2346">
        <v>3.17</v>
      </c>
      <c r="GX290" s="2346">
        <v>3.56</v>
      </c>
      <c r="GY290" s="2346">
        <v>3.76</v>
      </c>
      <c r="GZ290" s="2346">
        <v>3.86</v>
      </c>
      <c r="HA290" s="2346">
        <v>4.16</v>
      </c>
      <c r="HB290" s="2346">
        <v>4.46</v>
      </c>
      <c r="HC290" s="2346">
        <v>4.95</v>
      </c>
      <c r="HD290" s="2346">
        <v>5.25</v>
      </c>
      <c r="HE290" s="2346">
        <v>5.35</v>
      </c>
      <c r="HF290" s="2346">
        <v>6.44</v>
      </c>
      <c r="HG290" s="2346">
        <v>6.53</v>
      </c>
      <c r="HH290" s="2346">
        <v>8.61</v>
      </c>
      <c r="HI290" s="2346">
        <v>9.9</v>
      </c>
      <c r="HJ290" s="2347">
        <v>400</v>
      </c>
      <c r="HK290" s="2275"/>
      <c r="HL290" s="4671"/>
      <c r="HM290" s="4671"/>
      <c r="HN290" s="4671"/>
      <c r="HO290" s="2275"/>
      <c r="HP290" s="2275"/>
      <c r="HQ290" s="2275"/>
      <c r="HR290" s="2275"/>
      <c r="HS290" s="2275"/>
      <c r="HT290" s="2275"/>
      <c r="HU290" s="2250"/>
      <c r="HV290" s="2250"/>
      <c r="HW290" s="2250"/>
      <c r="HX290" s="2250"/>
      <c r="HY290" s="2250"/>
      <c r="HZ290" s="2250"/>
      <c r="IA290" s="2250"/>
      <c r="IB290" s="2250"/>
      <c r="IC290" s="2250"/>
      <c r="ID290" s="2250"/>
      <c r="IE290" s="2250"/>
      <c r="IF290" s="2250"/>
      <c r="IG290" s="2250"/>
      <c r="IH290" s="2250"/>
      <c r="II290" s="2250"/>
      <c r="IJ290" s="2250"/>
      <c r="IK290" s="2250"/>
      <c r="IL290" s="2250"/>
    </row>
    <row r="291" spans="1:246" ht="21.95" customHeight="1">
      <c r="A291" s="2275"/>
      <c r="B291" s="4670"/>
      <c r="C291" s="2345">
        <v>550</v>
      </c>
      <c r="D291" s="2346">
        <v>3.27</v>
      </c>
      <c r="E291" s="2346">
        <v>3.66</v>
      </c>
      <c r="F291" s="2346">
        <v>4.0599999999999996</v>
      </c>
      <c r="G291" s="2346">
        <v>4.55</v>
      </c>
      <c r="H291" s="2346">
        <v>4.95</v>
      </c>
      <c r="I291" s="2346">
        <v>4.6500000000000004</v>
      </c>
      <c r="J291" s="2346">
        <v>5.15</v>
      </c>
      <c r="K291" s="2346">
        <v>5.45</v>
      </c>
      <c r="L291" s="2346">
        <v>5.94</v>
      </c>
      <c r="M291" s="2346">
        <v>6.34</v>
      </c>
      <c r="N291" s="2346">
        <v>7.43</v>
      </c>
      <c r="O291" s="2346">
        <v>7.92</v>
      </c>
      <c r="P291" s="2346">
        <v>8.51</v>
      </c>
      <c r="Q291" s="2346">
        <v>8.2200000000000006</v>
      </c>
      <c r="R291" s="2346">
        <v>8.81</v>
      </c>
      <c r="S291" s="2346">
        <v>9.31</v>
      </c>
      <c r="T291" s="2346">
        <v>9.8000000000000007</v>
      </c>
      <c r="U291" s="2346">
        <v>10.59</v>
      </c>
      <c r="V291" s="2346">
        <v>11.19</v>
      </c>
      <c r="W291" s="2346">
        <v>12.67</v>
      </c>
      <c r="X291" s="2346">
        <v>12.77</v>
      </c>
      <c r="Y291" s="2346">
        <v>14.36</v>
      </c>
      <c r="Z291" s="2346">
        <v>15.05</v>
      </c>
      <c r="AA291" s="2346">
        <v>17.52</v>
      </c>
      <c r="AB291" s="2346">
        <v>18.420000000000002</v>
      </c>
      <c r="AC291" s="2346">
        <v>21.19</v>
      </c>
      <c r="AD291" s="2346">
        <v>25.15</v>
      </c>
      <c r="AE291" s="2347">
        <v>550</v>
      </c>
      <c r="AF291" s="2275"/>
      <c r="AG291" s="2276">
        <f>HLOOKUP(AG286,D287:AD299,3,0)</f>
        <v>1.49</v>
      </c>
      <c r="AH291" s="2276">
        <f t="shared" si="272"/>
        <v>2.1800000000000002</v>
      </c>
      <c r="AI291" s="2275">
        <v>475</v>
      </c>
      <c r="AJ291" s="2275"/>
      <c r="AK291" s="2275"/>
      <c r="AL291" s="2275"/>
      <c r="AM291" s="2275"/>
      <c r="AN291" s="2275"/>
      <c r="AO291" s="2275"/>
      <c r="AP291" s="2250"/>
      <c r="AQ291" s="2250"/>
      <c r="AR291" s="2250"/>
      <c r="AS291" s="2250"/>
      <c r="AT291" s="2250"/>
      <c r="AU291" s="2250"/>
      <c r="AV291" s="2250"/>
      <c r="AW291" s="2250"/>
      <c r="AX291" s="2250"/>
      <c r="AY291" s="2250"/>
      <c r="AZ291" s="2250"/>
      <c r="BA291" s="2250"/>
      <c r="BB291" s="2250"/>
      <c r="BC291" s="2250"/>
      <c r="BD291" s="2250"/>
      <c r="BE291" s="2250"/>
      <c r="BF291" s="2276"/>
      <c r="BG291" s="2276"/>
      <c r="BH291" s="2250"/>
      <c r="BI291" s="2275"/>
      <c r="BJ291" s="4670"/>
      <c r="BK291" s="2345">
        <v>550</v>
      </c>
      <c r="BL291" s="2346">
        <v>3.27</v>
      </c>
      <c r="BM291" s="2346">
        <v>3.66</v>
      </c>
      <c r="BN291" s="2346">
        <v>4.0599999999999996</v>
      </c>
      <c r="BO291" s="2346">
        <v>4.55</v>
      </c>
      <c r="BP291" s="2346">
        <v>4.95</v>
      </c>
      <c r="BQ291" s="2346">
        <v>4.6500000000000004</v>
      </c>
      <c r="BR291" s="2346">
        <v>5.15</v>
      </c>
      <c r="BS291" s="2346">
        <v>5.45</v>
      </c>
      <c r="BT291" s="2346">
        <v>5.94</v>
      </c>
      <c r="BU291" s="2346">
        <v>6.34</v>
      </c>
      <c r="BV291" s="2346">
        <v>7.43</v>
      </c>
      <c r="BW291" s="2346">
        <v>7.92</v>
      </c>
      <c r="BX291" s="2346">
        <v>8.51</v>
      </c>
      <c r="BY291" s="2346">
        <v>8.2200000000000006</v>
      </c>
      <c r="BZ291" s="2346">
        <v>8.81</v>
      </c>
      <c r="CA291" s="2346">
        <v>9.31</v>
      </c>
      <c r="CB291" s="2346">
        <v>9.8000000000000007</v>
      </c>
      <c r="CC291" s="2346">
        <v>10.59</v>
      </c>
      <c r="CD291" s="2346">
        <v>11.19</v>
      </c>
      <c r="CE291" s="2346">
        <v>12.67</v>
      </c>
      <c r="CF291" s="2346">
        <v>12.77</v>
      </c>
      <c r="CG291" s="2346">
        <v>14.36</v>
      </c>
      <c r="CH291" s="2346">
        <v>15.05</v>
      </c>
      <c r="CI291" s="2346">
        <v>17.52</v>
      </c>
      <c r="CJ291" s="2346">
        <v>18.420000000000002</v>
      </c>
      <c r="CK291" s="2346">
        <v>21.19</v>
      </c>
      <c r="CL291" s="2346">
        <v>25.15</v>
      </c>
      <c r="CM291" s="2347">
        <v>550</v>
      </c>
      <c r="CN291" s="2275"/>
      <c r="CO291" s="2276">
        <f>HLOOKUP(CO286,BL287:CL299,3,0)</f>
        <v>1.39</v>
      </c>
      <c r="CP291" s="2276">
        <f t="shared" si="273"/>
        <v>1.98</v>
      </c>
      <c r="CQ291" s="2275">
        <v>475</v>
      </c>
      <c r="CR291" s="2275"/>
      <c r="CS291" s="2275"/>
      <c r="CT291" s="2275"/>
      <c r="CU291" s="2275"/>
      <c r="CV291" s="2275"/>
      <c r="CW291" s="2275"/>
      <c r="CX291" s="2250"/>
      <c r="CY291" s="2250"/>
      <c r="CZ291" s="2250"/>
      <c r="DA291" s="2250"/>
      <c r="DB291" s="2250"/>
      <c r="DC291" s="2250"/>
      <c r="DD291" s="2250"/>
      <c r="DE291" s="2250"/>
      <c r="DF291" s="2250"/>
      <c r="DG291" s="2250"/>
      <c r="DH291" s="2250"/>
      <c r="DI291" s="2250"/>
      <c r="DJ291" s="2250"/>
      <c r="DK291" s="2250"/>
      <c r="DL291" s="2250"/>
      <c r="DM291" s="2250"/>
      <c r="DN291" s="2250"/>
      <c r="DO291" s="2250"/>
      <c r="DP291" s="2250"/>
      <c r="DQ291" s="2277"/>
      <c r="DR291" s="2277"/>
      <c r="DS291" s="2278"/>
      <c r="DT291" s="2250"/>
      <c r="DU291" s="2250"/>
      <c r="DV291" s="2250"/>
      <c r="DW291" s="2250"/>
      <c r="DX291" s="2275"/>
      <c r="DY291" s="4670"/>
      <c r="DZ291" s="2345">
        <v>475</v>
      </c>
      <c r="EA291" s="2346">
        <v>1.78</v>
      </c>
      <c r="EB291" s="2346">
        <v>1.98</v>
      </c>
      <c r="EC291" s="2346">
        <v>2.1800000000000002</v>
      </c>
      <c r="ED291" s="2346">
        <v>2.38</v>
      </c>
      <c r="EE291" s="2346">
        <v>2.67</v>
      </c>
      <c r="EF291" s="2346">
        <v>2.48</v>
      </c>
      <c r="EG291" s="2346">
        <v>2.77</v>
      </c>
      <c r="EH291" s="2346">
        <v>2.97</v>
      </c>
      <c r="EI291" s="2346">
        <v>3.07</v>
      </c>
      <c r="EJ291" s="2346">
        <v>3.37</v>
      </c>
      <c r="EK291" s="2346">
        <v>4.0599999999999996</v>
      </c>
      <c r="EL291" s="2346">
        <v>3.96</v>
      </c>
      <c r="EM291" s="2346">
        <v>4.3600000000000003</v>
      </c>
      <c r="EN291" s="2346">
        <v>4.3600000000000003</v>
      </c>
      <c r="EO291" s="2346">
        <v>4.75</v>
      </c>
      <c r="EP291" s="2346">
        <v>4.95</v>
      </c>
      <c r="EQ291" s="2346">
        <v>5.25</v>
      </c>
      <c r="ER291" s="2346">
        <v>5.64</v>
      </c>
      <c r="ES291" s="2346">
        <v>6.04</v>
      </c>
      <c r="ET291" s="2346">
        <v>6.83</v>
      </c>
      <c r="EU291" s="2346">
        <v>7.03</v>
      </c>
      <c r="EV291" s="2346">
        <v>7.72</v>
      </c>
      <c r="EW291" s="2346">
        <v>8.7100000000000009</v>
      </c>
      <c r="EX291" s="2346">
        <v>9.6999999999999993</v>
      </c>
      <c r="EY291" s="2346">
        <v>10.3</v>
      </c>
      <c r="EZ291" s="2346">
        <v>11.88</v>
      </c>
      <c r="FA291" s="2346">
        <v>14.16</v>
      </c>
      <c r="FB291" s="2347">
        <v>475</v>
      </c>
      <c r="FC291" s="2275"/>
      <c r="FD291" s="2276">
        <f>HLOOKUP(FD287,EA288:FA300,2,0)</f>
        <v>0</v>
      </c>
      <c r="FE291" s="2276">
        <f t="shared" ref="FE291:FE301" si="274">+FD292</f>
        <v>2.38</v>
      </c>
      <c r="FF291" s="2275">
        <v>400</v>
      </c>
      <c r="FG291" s="2275"/>
      <c r="FH291" s="2275"/>
      <c r="FI291" s="2275"/>
      <c r="FJ291" s="2275"/>
      <c r="FK291" s="2275"/>
      <c r="FL291" s="2275"/>
      <c r="FM291" s="2250"/>
      <c r="FN291" s="2250"/>
      <c r="FO291" s="2250"/>
      <c r="FP291" s="2250"/>
      <c r="FQ291" s="2250"/>
      <c r="FR291" s="2250"/>
      <c r="FS291" s="2250"/>
      <c r="FT291" s="2250"/>
      <c r="FU291" s="2250"/>
      <c r="FV291" s="2250"/>
      <c r="FW291" s="2250"/>
      <c r="FX291" s="2250"/>
      <c r="FY291" s="2250"/>
      <c r="FZ291" s="2250"/>
      <c r="GA291" s="2250"/>
      <c r="GB291" s="2250"/>
      <c r="GC291" s="2276"/>
      <c r="GD291" s="2276"/>
      <c r="GE291" s="2250"/>
      <c r="GF291" s="2275"/>
      <c r="GG291" s="4670"/>
      <c r="GH291" s="2345">
        <v>475</v>
      </c>
      <c r="GI291" s="2346">
        <v>1.78</v>
      </c>
      <c r="GJ291" s="2346">
        <v>1.98</v>
      </c>
      <c r="GK291" s="2346">
        <v>2.1800000000000002</v>
      </c>
      <c r="GL291" s="2346">
        <v>2.38</v>
      </c>
      <c r="GM291" s="2346">
        <v>2.67</v>
      </c>
      <c r="GN291" s="2346">
        <v>2.48</v>
      </c>
      <c r="GO291" s="2346">
        <v>2.77</v>
      </c>
      <c r="GP291" s="2346">
        <v>2.97</v>
      </c>
      <c r="GQ291" s="2346">
        <v>3.07</v>
      </c>
      <c r="GR291" s="2346">
        <v>3.37</v>
      </c>
      <c r="GS291" s="2346">
        <v>4.0599999999999996</v>
      </c>
      <c r="GT291" s="2346">
        <v>3.96</v>
      </c>
      <c r="GU291" s="2346">
        <v>4.3600000000000003</v>
      </c>
      <c r="GV291" s="2346">
        <v>4.3600000000000003</v>
      </c>
      <c r="GW291" s="2346">
        <v>4.75</v>
      </c>
      <c r="GX291" s="2346">
        <v>4.95</v>
      </c>
      <c r="GY291" s="2346">
        <v>5.25</v>
      </c>
      <c r="GZ291" s="2346">
        <v>5.64</v>
      </c>
      <c r="HA291" s="2346">
        <v>6.04</v>
      </c>
      <c r="HB291" s="2346">
        <v>6.83</v>
      </c>
      <c r="HC291" s="2346">
        <v>7.03</v>
      </c>
      <c r="HD291" s="2346">
        <v>7.72</v>
      </c>
      <c r="HE291" s="2346">
        <v>8.7100000000000009</v>
      </c>
      <c r="HF291" s="2346">
        <v>9.6999999999999993</v>
      </c>
      <c r="HG291" s="2346">
        <v>10.3</v>
      </c>
      <c r="HH291" s="2346">
        <v>11.88</v>
      </c>
      <c r="HI291" s="2346">
        <v>14.16</v>
      </c>
      <c r="HJ291" s="2347">
        <v>475</v>
      </c>
      <c r="HK291" s="2275"/>
      <c r="HL291" s="2276">
        <f>HLOOKUP(HL287,GI288:HI300,2,0)</f>
        <v>0</v>
      </c>
      <c r="HM291" s="2276">
        <f t="shared" ref="HM291:HM301" si="275">+HL292</f>
        <v>2.1800000000000002</v>
      </c>
      <c r="HN291" s="2275">
        <v>400</v>
      </c>
      <c r="HO291" s="2275"/>
      <c r="HP291" s="2275"/>
      <c r="HQ291" s="2275"/>
      <c r="HR291" s="2275"/>
      <c r="HS291" s="2275"/>
      <c r="HT291" s="2275"/>
      <c r="HU291" s="2250"/>
      <c r="HV291" s="2250"/>
      <c r="HW291" s="2250"/>
      <c r="HX291" s="2250"/>
      <c r="HY291" s="2250"/>
      <c r="HZ291" s="2250"/>
      <c r="IA291" s="2250"/>
      <c r="IB291" s="2250"/>
      <c r="IC291" s="2250"/>
      <c r="ID291" s="2250"/>
      <c r="IE291" s="2250"/>
      <c r="IF291" s="2250"/>
      <c r="IG291" s="2250"/>
      <c r="IH291" s="2250"/>
      <c r="II291" s="2250"/>
      <c r="IJ291" s="2250"/>
      <c r="IK291" s="2250"/>
      <c r="IL291" s="2250"/>
    </row>
    <row r="292" spans="1:246" ht="21.95" customHeight="1">
      <c r="A292" s="2275"/>
      <c r="B292" s="2275"/>
      <c r="C292" s="2345">
        <v>650</v>
      </c>
      <c r="D292" s="2346">
        <v>5.45</v>
      </c>
      <c r="E292" s="2346">
        <v>6.14</v>
      </c>
      <c r="F292" s="2346">
        <v>6.73</v>
      </c>
      <c r="G292" s="2346">
        <v>7.13</v>
      </c>
      <c r="H292" s="2346">
        <v>7.13</v>
      </c>
      <c r="I292" s="2346">
        <v>7.72</v>
      </c>
      <c r="J292" s="2346">
        <v>8.51</v>
      </c>
      <c r="K292" s="2346">
        <v>9.11</v>
      </c>
      <c r="L292" s="2346">
        <v>9.5</v>
      </c>
      <c r="M292" s="2346">
        <v>10.5</v>
      </c>
      <c r="N292" s="2346">
        <v>11.68</v>
      </c>
      <c r="O292" s="2346">
        <v>12.57</v>
      </c>
      <c r="P292" s="2346">
        <v>13.66</v>
      </c>
      <c r="Q292" s="2346">
        <v>13.66</v>
      </c>
      <c r="R292" s="2346">
        <v>14.36</v>
      </c>
      <c r="S292" s="2346">
        <v>15.45</v>
      </c>
      <c r="T292" s="2346">
        <v>16.34</v>
      </c>
      <c r="U292" s="2346">
        <v>17.23</v>
      </c>
      <c r="V292" s="2346">
        <v>18.12</v>
      </c>
      <c r="W292" s="2346">
        <v>20</v>
      </c>
      <c r="X292" s="2346">
        <v>20.399999999999999</v>
      </c>
      <c r="Y292" s="2346">
        <v>23.07</v>
      </c>
      <c r="Z292" s="2346">
        <v>25.25</v>
      </c>
      <c r="AA292" s="2346">
        <v>27.82</v>
      </c>
      <c r="AB292" s="2346">
        <v>30.99</v>
      </c>
      <c r="AC292" s="2346">
        <v>33.270000000000003</v>
      </c>
      <c r="AD292" s="2346">
        <v>39.21</v>
      </c>
      <c r="AE292" s="2347">
        <v>650</v>
      </c>
      <c r="AF292" s="2275"/>
      <c r="AG292" s="2276">
        <f>HLOOKUP(AG286,D287:AD299,4,0)</f>
        <v>2.1800000000000002</v>
      </c>
      <c r="AH292" s="2276">
        <f t="shared" si="272"/>
        <v>4.0599999999999996</v>
      </c>
      <c r="AI292" s="2275">
        <v>550</v>
      </c>
      <c r="AJ292" s="2275"/>
      <c r="AK292" s="2275"/>
      <c r="AL292" s="2275"/>
      <c r="AM292" s="2275"/>
      <c r="AN292" s="2275"/>
      <c r="AO292" s="2275"/>
      <c r="AP292" s="2250"/>
      <c r="AQ292" s="2250"/>
      <c r="AR292" s="2250"/>
      <c r="AS292" s="2250"/>
      <c r="AT292" s="2250"/>
      <c r="AU292" s="2250"/>
      <c r="AV292" s="2250"/>
      <c r="AW292" s="2250"/>
      <c r="AX292" s="2250"/>
      <c r="AY292" s="2250"/>
      <c r="AZ292" s="2250"/>
      <c r="BA292" s="2250"/>
      <c r="BB292" s="2250"/>
      <c r="BC292" s="2250"/>
      <c r="BD292" s="2250"/>
      <c r="BE292" s="2250"/>
      <c r="BF292" s="2276"/>
      <c r="BG292" s="2276"/>
      <c r="BH292" s="2250"/>
      <c r="BI292" s="2275"/>
      <c r="BJ292" s="2275"/>
      <c r="BK292" s="2345">
        <v>650</v>
      </c>
      <c r="BL292" s="2346">
        <v>5.45</v>
      </c>
      <c r="BM292" s="2346">
        <v>6.14</v>
      </c>
      <c r="BN292" s="2346">
        <v>6.73</v>
      </c>
      <c r="BO292" s="2346">
        <v>7.13</v>
      </c>
      <c r="BP292" s="2346">
        <v>7.13</v>
      </c>
      <c r="BQ292" s="2346">
        <v>7.72</v>
      </c>
      <c r="BR292" s="2346">
        <v>8.51</v>
      </c>
      <c r="BS292" s="2346">
        <v>9.11</v>
      </c>
      <c r="BT292" s="2346">
        <v>9.5</v>
      </c>
      <c r="BU292" s="2346">
        <v>10.5</v>
      </c>
      <c r="BV292" s="2346">
        <v>11.68</v>
      </c>
      <c r="BW292" s="2346">
        <v>12.57</v>
      </c>
      <c r="BX292" s="2346">
        <v>13.66</v>
      </c>
      <c r="BY292" s="2346">
        <v>13.66</v>
      </c>
      <c r="BZ292" s="2346">
        <v>14.36</v>
      </c>
      <c r="CA292" s="2346">
        <v>15.45</v>
      </c>
      <c r="CB292" s="2346">
        <v>16.34</v>
      </c>
      <c r="CC292" s="2346">
        <v>17.23</v>
      </c>
      <c r="CD292" s="2346">
        <v>18.12</v>
      </c>
      <c r="CE292" s="2346">
        <v>20</v>
      </c>
      <c r="CF292" s="2346">
        <v>20.399999999999999</v>
      </c>
      <c r="CG292" s="2346">
        <v>23.07</v>
      </c>
      <c r="CH292" s="2346">
        <v>25.25</v>
      </c>
      <c r="CI292" s="2346">
        <v>27.82</v>
      </c>
      <c r="CJ292" s="2346">
        <v>30.99</v>
      </c>
      <c r="CK292" s="2346">
        <v>33.270000000000003</v>
      </c>
      <c r="CL292" s="2346">
        <v>39.21</v>
      </c>
      <c r="CM292" s="2347">
        <v>650</v>
      </c>
      <c r="CN292" s="2275"/>
      <c r="CO292" s="2276">
        <f>HLOOKUP(CO286,BL287:CL299,4,0)</f>
        <v>1.98</v>
      </c>
      <c r="CP292" s="2276">
        <f t="shared" si="273"/>
        <v>3.66</v>
      </c>
      <c r="CQ292" s="2275">
        <v>550</v>
      </c>
      <c r="CR292" s="2275"/>
      <c r="CS292" s="2275"/>
      <c r="CT292" s="2275"/>
      <c r="CU292" s="2275"/>
      <c r="CV292" s="2275"/>
      <c r="CW292" s="2275"/>
      <c r="CX292" s="2250"/>
      <c r="CY292" s="2250"/>
      <c r="CZ292" s="2250"/>
      <c r="DA292" s="2250"/>
      <c r="DB292" s="2250"/>
      <c r="DC292" s="2250"/>
      <c r="DD292" s="2250"/>
      <c r="DE292" s="2250"/>
      <c r="DF292" s="2250"/>
      <c r="DG292" s="2250"/>
      <c r="DH292" s="2250"/>
      <c r="DI292" s="2250"/>
      <c r="DJ292" s="2250"/>
      <c r="DK292" s="2250"/>
      <c r="DL292" s="2250"/>
      <c r="DM292" s="2250"/>
      <c r="DN292" s="2250"/>
      <c r="DO292" s="2250"/>
      <c r="DP292" s="2250"/>
      <c r="DQ292" s="2277"/>
      <c r="DR292" s="2277"/>
      <c r="DS292" s="2278"/>
      <c r="DT292" s="2250"/>
      <c r="DU292" s="2250"/>
      <c r="DV292" s="2250"/>
      <c r="DW292" s="2250"/>
      <c r="DX292" s="2275"/>
      <c r="DY292" s="4670"/>
      <c r="DZ292" s="2345">
        <v>550</v>
      </c>
      <c r="EA292" s="2346">
        <v>3.27</v>
      </c>
      <c r="EB292" s="2346">
        <v>3.66</v>
      </c>
      <c r="EC292" s="2346">
        <v>4.0599999999999996</v>
      </c>
      <c r="ED292" s="2346">
        <v>4.55</v>
      </c>
      <c r="EE292" s="2346">
        <v>4.95</v>
      </c>
      <c r="EF292" s="2346">
        <v>4.6500000000000004</v>
      </c>
      <c r="EG292" s="2346">
        <v>5.15</v>
      </c>
      <c r="EH292" s="2346">
        <v>5.45</v>
      </c>
      <c r="EI292" s="2346">
        <v>5.94</v>
      </c>
      <c r="EJ292" s="2346">
        <v>6.34</v>
      </c>
      <c r="EK292" s="2346">
        <v>7.43</v>
      </c>
      <c r="EL292" s="2346">
        <v>7.92</v>
      </c>
      <c r="EM292" s="2346">
        <v>8.51</v>
      </c>
      <c r="EN292" s="2346">
        <v>8.2200000000000006</v>
      </c>
      <c r="EO292" s="2346">
        <v>8.81</v>
      </c>
      <c r="EP292" s="2346">
        <v>9.31</v>
      </c>
      <c r="EQ292" s="2346">
        <v>9.8000000000000007</v>
      </c>
      <c r="ER292" s="2346">
        <v>10.59</v>
      </c>
      <c r="ES292" s="2346">
        <v>11.19</v>
      </c>
      <c r="ET292" s="2346">
        <v>12.67</v>
      </c>
      <c r="EU292" s="2346">
        <v>12.77</v>
      </c>
      <c r="EV292" s="2346">
        <v>14.36</v>
      </c>
      <c r="EW292" s="2346">
        <v>15.05</v>
      </c>
      <c r="EX292" s="2346">
        <v>17.52</v>
      </c>
      <c r="EY292" s="2346">
        <v>18.420000000000002</v>
      </c>
      <c r="EZ292" s="2346">
        <v>21.19</v>
      </c>
      <c r="FA292" s="2346">
        <v>25.15</v>
      </c>
      <c r="FB292" s="2347">
        <v>550</v>
      </c>
      <c r="FC292" s="2275"/>
      <c r="FD292" s="2276">
        <f>HLOOKUP(FD287,EA288:FA300,3,0)</f>
        <v>2.38</v>
      </c>
      <c r="FE292" s="2276">
        <f t="shared" si="274"/>
        <v>3.37</v>
      </c>
      <c r="FF292" s="2275">
        <v>475</v>
      </c>
      <c r="FG292" s="2275"/>
      <c r="FH292" s="2275"/>
      <c r="FI292" s="2275"/>
      <c r="FJ292" s="2275"/>
      <c r="FK292" s="2275"/>
      <c r="FL292" s="2275"/>
      <c r="FM292" s="2250"/>
      <c r="FN292" s="2250"/>
      <c r="FO292" s="2250"/>
      <c r="FP292" s="2250"/>
      <c r="FQ292" s="2250"/>
      <c r="FR292" s="2250"/>
      <c r="FS292" s="2250"/>
      <c r="FT292" s="2250"/>
      <c r="FU292" s="2250"/>
      <c r="FV292" s="2250"/>
      <c r="FW292" s="2250"/>
      <c r="FX292" s="2250"/>
      <c r="FY292" s="2250"/>
      <c r="FZ292" s="2250"/>
      <c r="GA292" s="2250"/>
      <c r="GB292" s="2250"/>
      <c r="GC292" s="2276"/>
      <c r="GD292" s="2276"/>
      <c r="GE292" s="2250"/>
      <c r="GF292" s="2275"/>
      <c r="GG292" s="4670"/>
      <c r="GH292" s="2345">
        <v>550</v>
      </c>
      <c r="GI292" s="2346">
        <v>3.27</v>
      </c>
      <c r="GJ292" s="2346">
        <v>3.66</v>
      </c>
      <c r="GK292" s="2346">
        <v>4.0599999999999996</v>
      </c>
      <c r="GL292" s="2346">
        <v>4.55</v>
      </c>
      <c r="GM292" s="2346">
        <v>4.95</v>
      </c>
      <c r="GN292" s="2346">
        <v>4.6500000000000004</v>
      </c>
      <c r="GO292" s="2346">
        <v>5.15</v>
      </c>
      <c r="GP292" s="2346">
        <v>5.45</v>
      </c>
      <c r="GQ292" s="2346">
        <v>5.94</v>
      </c>
      <c r="GR292" s="2346">
        <v>6.34</v>
      </c>
      <c r="GS292" s="2346">
        <v>7.43</v>
      </c>
      <c r="GT292" s="2346">
        <v>7.92</v>
      </c>
      <c r="GU292" s="2346">
        <v>8.51</v>
      </c>
      <c r="GV292" s="2346">
        <v>8.2200000000000006</v>
      </c>
      <c r="GW292" s="2346">
        <v>8.81</v>
      </c>
      <c r="GX292" s="2346">
        <v>9.31</v>
      </c>
      <c r="GY292" s="2346">
        <v>9.8000000000000007</v>
      </c>
      <c r="GZ292" s="2346">
        <v>10.59</v>
      </c>
      <c r="HA292" s="2346">
        <v>11.19</v>
      </c>
      <c r="HB292" s="2346">
        <v>12.67</v>
      </c>
      <c r="HC292" s="2346">
        <v>12.77</v>
      </c>
      <c r="HD292" s="2346">
        <v>14.36</v>
      </c>
      <c r="HE292" s="2346">
        <v>15.05</v>
      </c>
      <c r="HF292" s="2346">
        <v>17.52</v>
      </c>
      <c r="HG292" s="2346">
        <v>18.420000000000002</v>
      </c>
      <c r="HH292" s="2346">
        <v>21.19</v>
      </c>
      <c r="HI292" s="2346">
        <v>25.15</v>
      </c>
      <c r="HJ292" s="2347">
        <v>550</v>
      </c>
      <c r="HK292" s="2275"/>
      <c r="HL292" s="2276">
        <f>HLOOKUP(HL287,GI288:HI300,3,0)</f>
        <v>2.1800000000000002</v>
      </c>
      <c r="HM292" s="2276">
        <f t="shared" si="275"/>
        <v>3.07</v>
      </c>
      <c r="HN292" s="2275">
        <v>475</v>
      </c>
      <c r="HO292" s="2275"/>
      <c r="HP292" s="2275"/>
      <c r="HQ292" s="2275"/>
      <c r="HR292" s="2275"/>
      <c r="HS292" s="2275"/>
      <c r="HT292" s="2275"/>
      <c r="HU292" s="2250"/>
      <c r="HV292" s="2250"/>
      <c r="HW292" s="2250"/>
      <c r="HX292" s="2250"/>
      <c r="HY292" s="2250"/>
      <c r="HZ292" s="2250"/>
      <c r="IA292" s="2250"/>
      <c r="IB292" s="2250"/>
      <c r="IC292" s="2250"/>
      <c r="ID292" s="2250"/>
      <c r="IE292" s="2250"/>
      <c r="IF292" s="2250"/>
      <c r="IG292" s="2250"/>
      <c r="IH292" s="2250"/>
      <c r="II292" s="2250"/>
      <c r="IJ292" s="2250"/>
      <c r="IK292" s="2250"/>
      <c r="IL292" s="2250"/>
    </row>
    <row r="293" spans="1:246" ht="21.95" customHeight="1">
      <c r="A293" s="2275"/>
      <c r="B293" s="2275"/>
      <c r="C293" s="2345">
        <v>775</v>
      </c>
      <c r="D293" s="2346">
        <v>8.32</v>
      </c>
      <c r="E293" s="2346">
        <v>9.41</v>
      </c>
      <c r="F293" s="2346">
        <v>10.4</v>
      </c>
      <c r="G293" s="2346">
        <v>11.58</v>
      </c>
      <c r="H293" s="2346">
        <v>12.67</v>
      </c>
      <c r="I293" s="2346">
        <v>11.88</v>
      </c>
      <c r="J293" s="2346">
        <v>13.17</v>
      </c>
      <c r="K293" s="2346">
        <v>13.96</v>
      </c>
      <c r="L293" s="2346">
        <v>15.35</v>
      </c>
      <c r="M293" s="2346">
        <v>16.34</v>
      </c>
      <c r="N293" s="2346">
        <v>19.309999999999999</v>
      </c>
      <c r="O293" s="2346">
        <v>20.79</v>
      </c>
      <c r="P293" s="2346">
        <v>21.78</v>
      </c>
      <c r="Q293" s="2346">
        <v>21.09</v>
      </c>
      <c r="R293" s="2346">
        <v>22.67</v>
      </c>
      <c r="S293" s="2346">
        <v>24.65</v>
      </c>
      <c r="T293" s="2346">
        <v>25.94</v>
      </c>
      <c r="U293" s="2346">
        <v>27.13</v>
      </c>
      <c r="V293" s="2346">
        <v>28.81</v>
      </c>
      <c r="W293" s="2346">
        <v>31.68</v>
      </c>
      <c r="X293" s="2346">
        <v>33.56</v>
      </c>
      <c r="Y293" s="2346">
        <v>36.83</v>
      </c>
      <c r="Z293" s="2346">
        <v>40.89</v>
      </c>
      <c r="AA293" s="2346">
        <v>45.05</v>
      </c>
      <c r="AB293" s="2346">
        <v>50.2</v>
      </c>
      <c r="AC293" s="2346">
        <v>57.13</v>
      </c>
      <c r="AD293" s="2346">
        <v>64.459999999999994</v>
      </c>
      <c r="AE293" s="2347">
        <v>775</v>
      </c>
      <c r="AF293" s="2275"/>
      <c r="AG293" s="2276">
        <f>HLOOKUP(AG286,D287:AD299,5,0)</f>
        <v>4.0599999999999996</v>
      </c>
      <c r="AH293" s="2276">
        <f t="shared" si="272"/>
        <v>6.73</v>
      </c>
      <c r="AI293" s="2275">
        <v>650</v>
      </c>
      <c r="AJ293" s="2275"/>
      <c r="AK293" s="2275"/>
      <c r="AL293" s="2275"/>
      <c r="AM293" s="2275"/>
      <c r="AN293" s="2275"/>
      <c r="AO293" s="2275"/>
      <c r="AP293" s="2250"/>
      <c r="AQ293" s="2250"/>
      <c r="AR293" s="2250"/>
      <c r="AS293" s="2250"/>
      <c r="AT293" s="2250"/>
      <c r="AU293" s="2250"/>
      <c r="AV293" s="2250"/>
      <c r="AW293" s="2250"/>
      <c r="AX293" s="2250"/>
      <c r="AY293" s="2250"/>
      <c r="AZ293" s="2250"/>
      <c r="BA293" s="2250"/>
      <c r="BB293" s="2250"/>
      <c r="BC293" s="2250"/>
      <c r="BD293" s="2250"/>
      <c r="BE293" s="2250"/>
      <c r="BF293" s="2276"/>
      <c r="BG293" s="2276"/>
      <c r="BH293" s="2250"/>
      <c r="BI293" s="2275"/>
      <c r="BJ293" s="2275"/>
      <c r="BK293" s="2345">
        <v>775</v>
      </c>
      <c r="BL293" s="2346">
        <v>8.32</v>
      </c>
      <c r="BM293" s="2346">
        <v>9.41</v>
      </c>
      <c r="BN293" s="2346">
        <v>10.4</v>
      </c>
      <c r="BO293" s="2346">
        <v>11.58</v>
      </c>
      <c r="BP293" s="2346">
        <v>12.67</v>
      </c>
      <c r="BQ293" s="2346">
        <v>11.88</v>
      </c>
      <c r="BR293" s="2346">
        <v>13.17</v>
      </c>
      <c r="BS293" s="2346">
        <v>13.96</v>
      </c>
      <c r="BT293" s="2346">
        <v>15.35</v>
      </c>
      <c r="BU293" s="2346">
        <v>16.34</v>
      </c>
      <c r="BV293" s="2346">
        <v>19.309999999999999</v>
      </c>
      <c r="BW293" s="2346">
        <v>20.79</v>
      </c>
      <c r="BX293" s="2346">
        <v>21.78</v>
      </c>
      <c r="BY293" s="2346">
        <v>21.09</v>
      </c>
      <c r="BZ293" s="2346">
        <v>22.67</v>
      </c>
      <c r="CA293" s="2346">
        <v>24.65</v>
      </c>
      <c r="CB293" s="2346">
        <v>25.94</v>
      </c>
      <c r="CC293" s="2346">
        <v>27.13</v>
      </c>
      <c r="CD293" s="2346">
        <v>28.81</v>
      </c>
      <c r="CE293" s="2346">
        <v>31.68</v>
      </c>
      <c r="CF293" s="2346">
        <v>33.56</v>
      </c>
      <c r="CG293" s="2346">
        <v>36.83</v>
      </c>
      <c r="CH293" s="2346">
        <v>40.89</v>
      </c>
      <c r="CI293" s="2346">
        <v>45.05</v>
      </c>
      <c r="CJ293" s="2346">
        <v>50.2</v>
      </c>
      <c r="CK293" s="2346">
        <v>57.13</v>
      </c>
      <c r="CL293" s="2346">
        <v>64.459999999999994</v>
      </c>
      <c r="CM293" s="2347">
        <v>775</v>
      </c>
      <c r="CN293" s="2275"/>
      <c r="CO293" s="2276">
        <f>HLOOKUP(CO286,BL287:CL299,5,0)</f>
        <v>3.66</v>
      </c>
      <c r="CP293" s="2276">
        <f t="shared" si="273"/>
        <v>6.14</v>
      </c>
      <c r="CQ293" s="2275">
        <v>650</v>
      </c>
      <c r="CR293" s="2275"/>
      <c r="CS293" s="2275"/>
      <c r="CT293" s="2275"/>
      <c r="CU293" s="2275"/>
      <c r="CV293" s="2275"/>
      <c r="CW293" s="2275"/>
      <c r="CX293" s="2250"/>
      <c r="CY293" s="2250"/>
      <c r="CZ293" s="2250"/>
      <c r="DA293" s="2250"/>
      <c r="DB293" s="2250"/>
      <c r="DC293" s="2250"/>
      <c r="DD293" s="2250"/>
      <c r="DE293" s="2250"/>
      <c r="DF293" s="2250"/>
      <c r="DG293" s="2250"/>
      <c r="DH293" s="2250"/>
      <c r="DI293" s="2250"/>
      <c r="DJ293" s="2250"/>
      <c r="DK293" s="2250"/>
      <c r="DL293" s="2250"/>
      <c r="DM293" s="2250"/>
      <c r="DN293" s="2250"/>
      <c r="DO293" s="2250"/>
      <c r="DP293" s="2250"/>
      <c r="DQ293" s="2277"/>
      <c r="DR293" s="2277"/>
      <c r="DS293" s="2278"/>
      <c r="DT293" s="2250"/>
      <c r="DU293" s="2250"/>
      <c r="DV293" s="2250"/>
      <c r="DW293" s="2250"/>
      <c r="DX293" s="2275"/>
      <c r="DY293" s="2275"/>
      <c r="DZ293" s="2345">
        <v>650</v>
      </c>
      <c r="EA293" s="2346">
        <v>5.45</v>
      </c>
      <c r="EB293" s="2346">
        <v>6.14</v>
      </c>
      <c r="EC293" s="2346">
        <v>6.73</v>
      </c>
      <c r="ED293" s="2346">
        <v>7.13</v>
      </c>
      <c r="EE293" s="2346">
        <v>7.13</v>
      </c>
      <c r="EF293" s="2346">
        <v>7.72</v>
      </c>
      <c r="EG293" s="2346">
        <v>8.51</v>
      </c>
      <c r="EH293" s="2346">
        <v>9.11</v>
      </c>
      <c r="EI293" s="2346">
        <v>9.5</v>
      </c>
      <c r="EJ293" s="2346">
        <v>10.5</v>
      </c>
      <c r="EK293" s="2346">
        <v>11.68</v>
      </c>
      <c r="EL293" s="2346">
        <v>12.57</v>
      </c>
      <c r="EM293" s="2346">
        <v>13.66</v>
      </c>
      <c r="EN293" s="2346">
        <v>13.66</v>
      </c>
      <c r="EO293" s="2346">
        <v>14.36</v>
      </c>
      <c r="EP293" s="2346">
        <v>15.45</v>
      </c>
      <c r="EQ293" s="2346">
        <v>16.34</v>
      </c>
      <c r="ER293" s="2346">
        <v>17.23</v>
      </c>
      <c r="ES293" s="2346">
        <v>18.12</v>
      </c>
      <c r="ET293" s="2346">
        <v>20</v>
      </c>
      <c r="EU293" s="2346">
        <v>20.399999999999999</v>
      </c>
      <c r="EV293" s="2346">
        <v>23.07</v>
      </c>
      <c r="EW293" s="2346">
        <v>25.25</v>
      </c>
      <c r="EX293" s="2346">
        <v>27.82</v>
      </c>
      <c r="EY293" s="2346">
        <v>30.99</v>
      </c>
      <c r="EZ293" s="2346">
        <v>33.270000000000003</v>
      </c>
      <c r="FA293" s="2346">
        <v>39.21</v>
      </c>
      <c r="FB293" s="2347">
        <v>650</v>
      </c>
      <c r="FC293" s="2275"/>
      <c r="FD293" s="2276">
        <f>HLOOKUP(FD287,EA288:FA300,4,0)</f>
        <v>3.37</v>
      </c>
      <c r="FE293" s="2276">
        <f t="shared" si="274"/>
        <v>6.34</v>
      </c>
      <c r="FF293" s="2275">
        <v>550</v>
      </c>
      <c r="FG293" s="2275"/>
      <c r="FH293" s="2275"/>
      <c r="FI293" s="2275"/>
      <c r="FJ293" s="2275"/>
      <c r="FK293" s="2275"/>
      <c r="FL293" s="2275"/>
      <c r="FM293" s="2250"/>
      <c r="FN293" s="2250"/>
      <c r="FO293" s="2250"/>
      <c r="FP293" s="2250"/>
      <c r="FQ293" s="2250"/>
      <c r="FR293" s="2250"/>
      <c r="FS293" s="2250"/>
      <c r="FT293" s="2250"/>
      <c r="FU293" s="2250"/>
      <c r="FV293" s="2250"/>
      <c r="FW293" s="2250"/>
      <c r="FX293" s="2250"/>
      <c r="FY293" s="2250"/>
      <c r="FZ293" s="2250"/>
      <c r="GA293" s="2250"/>
      <c r="GB293" s="2250"/>
      <c r="GC293" s="2276"/>
      <c r="GD293" s="2276"/>
      <c r="GE293" s="2250"/>
      <c r="GF293" s="2275"/>
      <c r="GG293" s="2275"/>
      <c r="GH293" s="2345">
        <v>650</v>
      </c>
      <c r="GI293" s="2346">
        <v>5.45</v>
      </c>
      <c r="GJ293" s="2346">
        <v>6.14</v>
      </c>
      <c r="GK293" s="2346">
        <v>6.73</v>
      </c>
      <c r="GL293" s="2346">
        <v>7.13</v>
      </c>
      <c r="GM293" s="2346">
        <v>7.13</v>
      </c>
      <c r="GN293" s="2346">
        <v>7.72</v>
      </c>
      <c r="GO293" s="2346">
        <v>8.51</v>
      </c>
      <c r="GP293" s="2346">
        <v>9.11</v>
      </c>
      <c r="GQ293" s="2346">
        <v>9.5</v>
      </c>
      <c r="GR293" s="2346">
        <v>10.5</v>
      </c>
      <c r="GS293" s="2346">
        <v>11.68</v>
      </c>
      <c r="GT293" s="2346">
        <v>12.57</v>
      </c>
      <c r="GU293" s="2346">
        <v>13.66</v>
      </c>
      <c r="GV293" s="2346">
        <v>13.66</v>
      </c>
      <c r="GW293" s="2346">
        <v>14.36</v>
      </c>
      <c r="GX293" s="2346">
        <v>15.45</v>
      </c>
      <c r="GY293" s="2346">
        <v>16.34</v>
      </c>
      <c r="GZ293" s="2346">
        <v>17.23</v>
      </c>
      <c r="HA293" s="2346">
        <v>18.12</v>
      </c>
      <c r="HB293" s="2346">
        <v>20</v>
      </c>
      <c r="HC293" s="2346">
        <v>20.399999999999999</v>
      </c>
      <c r="HD293" s="2346">
        <v>23.07</v>
      </c>
      <c r="HE293" s="2346">
        <v>25.25</v>
      </c>
      <c r="HF293" s="2346">
        <v>27.82</v>
      </c>
      <c r="HG293" s="2346">
        <v>30.99</v>
      </c>
      <c r="HH293" s="2346">
        <v>33.270000000000003</v>
      </c>
      <c r="HI293" s="2346">
        <v>39.21</v>
      </c>
      <c r="HJ293" s="2347">
        <v>650</v>
      </c>
      <c r="HK293" s="2275"/>
      <c r="HL293" s="2276">
        <f>HLOOKUP(HL287,GI288:HI300,4,0)</f>
        <v>3.07</v>
      </c>
      <c r="HM293" s="2276">
        <f t="shared" si="275"/>
        <v>5.94</v>
      </c>
      <c r="HN293" s="2275">
        <v>550</v>
      </c>
      <c r="HO293" s="2275"/>
      <c r="HP293" s="2275"/>
      <c r="HQ293" s="2275"/>
      <c r="HR293" s="2275"/>
      <c r="HS293" s="2275"/>
      <c r="HT293" s="2275"/>
      <c r="HU293" s="2250"/>
      <c r="HV293" s="2250"/>
      <c r="HW293" s="2250"/>
      <c r="HX293" s="2250"/>
      <c r="HY293" s="2250"/>
      <c r="HZ293" s="2250"/>
      <c r="IA293" s="2250"/>
      <c r="IB293" s="2250"/>
      <c r="IC293" s="2250"/>
      <c r="ID293" s="2250"/>
      <c r="IE293" s="2250"/>
      <c r="IF293" s="2250"/>
      <c r="IG293" s="2250"/>
      <c r="IH293" s="2250"/>
      <c r="II293" s="2250"/>
      <c r="IJ293" s="2250"/>
      <c r="IK293" s="2250"/>
      <c r="IL293" s="2250"/>
    </row>
    <row r="294" spans="1:246" ht="21.95" customHeight="1">
      <c r="A294" s="2275"/>
      <c r="B294" s="2275"/>
      <c r="C294" s="2345">
        <v>825</v>
      </c>
      <c r="D294" s="2346">
        <v>12.18</v>
      </c>
      <c r="E294" s="2346">
        <v>13.37</v>
      </c>
      <c r="F294" s="2346">
        <v>14.55</v>
      </c>
      <c r="G294" s="2346">
        <v>14.65</v>
      </c>
      <c r="H294" s="2346">
        <v>16.239999999999998</v>
      </c>
      <c r="I294" s="2346">
        <v>16.63</v>
      </c>
      <c r="J294" s="2346">
        <v>18.22</v>
      </c>
      <c r="K294" s="2346">
        <v>19.5</v>
      </c>
      <c r="L294" s="2346">
        <v>20.69</v>
      </c>
      <c r="M294" s="2346">
        <v>21.98</v>
      </c>
      <c r="N294" s="2346">
        <v>23.17</v>
      </c>
      <c r="O294" s="2346">
        <v>25.94</v>
      </c>
      <c r="P294" s="2346">
        <v>27.13</v>
      </c>
      <c r="Q294" s="2346">
        <v>27.72</v>
      </c>
      <c r="R294" s="2346">
        <v>28.51</v>
      </c>
      <c r="S294" s="2346">
        <v>31.29</v>
      </c>
      <c r="T294" s="2346">
        <v>31.58</v>
      </c>
      <c r="U294" s="2346">
        <v>34.950000000000003</v>
      </c>
      <c r="V294" s="2346">
        <v>37.03</v>
      </c>
      <c r="W294" s="2346">
        <v>39.21</v>
      </c>
      <c r="X294" s="2346">
        <v>42.48</v>
      </c>
      <c r="Y294" s="2346">
        <v>45.94</v>
      </c>
      <c r="Z294" s="2346">
        <v>51.68</v>
      </c>
      <c r="AA294" s="2346">
        <v>57.43</v>
      </c>
      <c r="AB294" s="2346">
        <v>64.16</v>
      </c>
      <c r="AC294" s="2346">
        <v>69.7</v>
      </c>
      <c r="AD294" s="2346">
        <v>78.61</v>
      </c>
      <c r="AE294" s="2347">
        <v>825</v>
      </c>
      <c r="AF294" s="2275"/>
      <c r="AG294" s="2276">
        <f>HLOOKUP(AG286,D287:AD299,6,0)</f>
        <v>6.73</v>
      </c>
      <c r="AH294" s="2276">
        <f t="shared" si="272"/>
        <v>10.4</v>
      </c>
      <c r="AI294" s="2275">
        <v>775</v>
      </c>
      <c r="AJ294" s="2275"/>
      <c r="AK294" s="2275"/>
      <c r="AL294" s="2275"/>
      <c r="AM294" s="2275"/>
      <c r="AN294" s="2275"/>
      <c r="AO294" s="2275"/>
      <c r="AP294" s="2250"/>
      <c r="AQ294" s="2250"/>
      <c r="AR294" s="2250"/>
      <c r="AS294" s="2250"/>
      <c r="AT294" s="2250"/>
      <c r="AU294" s="2250"/>
      <c r="AV294" s="2250"/>
      <c r="AW294" s="2250"/>
      <c r="AX294" s="2250"/>
      <c r="AY294" s="2250"/>
      <c r="AZ294" s="2250"/>
      <c r="BA294" s="2250"/>
      <c r="BB294" s="2250"/>
      <c r="BC294" s="2250"/>
      <c r="BD294" s="2250"/>
      <c r="BE294" s="2250"/>
      <c r="BF294" s="2276"/>
      <c r="BG294" s="2276"/>
      <c r="BH294" s="2250"/>
      <c r="BI294" s="2275"/>
      <c r="BJ294" s="2275"/>
      <c r="BK294" s="2345">
        <v>825</v>
      </c>
      <c r="BL294" s="2346">
        <v>12.18</v>
      </c>
      <c r="BM294" s="2346">
        <v>13.37</v>
      </c>
      <c r="BN294" s="2346">
        <v>14.55</v>
      </c>
      <c r="BO294" s="2346">
        <v>14.65</v>
      </c>
      <c r="BP294" s="2346">
        <v>16.239999999999998</v>
      </c>
      <c r="BQ294" s="2346">
        <v>16.63</v>
      </c>
      <c r="BR294" s="2346">
        <v>18.22</v>
      </c>
      <c r="BS294" s="2346">
        <v>19.5</v>
      </c>
      <c r="BT294" s="2346">
        <v>20.69</v>
      </c>
      <c r="BU294" s="2346">
        <v>21.98</v>
      </c>
      <c r="BV294" s="2346">
        <v>23.17</v>
      </c>
      <c r="BW294" s="2346">
        <v>25.94</v>
      </c>
      <c r="BX294" s="2346">
        <v>27.13</v>
      </c>
      <c r="BY294" s="2346">
        <v>27.72</v>
      </c>
      <c r="BZ294" s="2346">
        <v>28.51</v>
      </c>
      <c r="CA294" s="2346">
        <v>31.29</v>
      </c>
      <c r="CB294" s="2346">
        <v>31.58</v>
      </c>
      <c r="CC294" s="2346">
        <v>34.950000000000003</v>
      </c>
      <c r="CD294" s="2346">
        <v>37.03</v>
      </c>
      <c r="CE294" s="2346">
        <v>39.21</v>
      </c>
      <c r="CF294" s="2346">
        <v>42.48</v>
      </c>
      <c r="CG294" s="2346">
        <v>45.94</v>
      </c>
      <c r="CH294" s="2346">
        <v>51.68</v>
      </c>
      <c r="CI294" s="2346">
        <v>57.43</v>
      </c>
      <c r="CJ294" s="2346">
        <v>64.16</v>
      </c>
      <c r="CK294" s="2346">
        <v>69.7</v>
      </c>
      <c r="CL294" s="2346">
        <v>78.61</v>
      </c>
      <c r="CM294" s="2347">
        <v>825</v>
      </c>
      <c r="CN294" s="2275"/>
      <c r="CO294" s="2276">
        <f>HLOOKUP(CO286,BL287:CL299,6,0)</f>
        <v>6.14</v>
      </c>
      <c r="CP294" s="2276">
        <f t="shared" si="273"/>
        <v>9.41</v>
      </c>
      <c r="CQ294" s="2275">
        <v>775</v>
      </c>
      <c r="CR294" s="2275"/>
      <c r="CS294" s="2275"/>
      <c r="CT294" s="2275"/>
      <c r="CU294" s="2275"/>
      <c r="CV294" s="2275"/>
      <c r="CW294" s="2275"/>
      <c r="CX294" s="2250"/>
      <c r="CY294" s="2250"/>
      <c r="CZ294" s="2250"/>
      <c r="DA294" s="2250"/>
      <c r="DB294" s="2250"/>
      <c r="DC294" s="2250"/>
      <c r="DD294" s="2250"/>
      <c r="DE294" s="2250"/>
      <c r="DF294" s="2250"/>
      <c r="DG294" s="2250"/>
      <c r="DH294" s="2250"/>
      <c r="DI294" s="2250"/>
      <c r="DJ294" s="2250"/>
      <c r="DK294" s="2250"/>
      <c r="DL294" s="2250"/>
      <c r="DM294" s="2250"/>
      <c r="DN294" s="2250"/>
      <c r="DO294" s="2250"/>
      <c r="DP294" s="2250"/>
      <c r="DQ294" s="2277"/>
      <c r="DR294" s="2277"/>
      <c r="DS294" s="2278"/>
      <c r="DT294" s="2250"/>
      <c r="DU294" s="2250"/>
      <c r="DV294" s="2250"/>
      <c r="DW294" s="2250"/>
      <c r="DX294" s="2275"/>
      <c r="DY294" s="2275"/>
      <c r="DZ294" s="2345">
        <v>775</v>
      </c>
      <c r="EA294" s="2346">
        <v>8.32</v>
      </c>
      <c r="EB294" s="2346">
        <v>9.41</v>
      </c>
      <c r="EC294" s="2346">
        <v>10.4</v>
      </c>
      <c r="ED294" s="2346">
        <v>11.58</v>
      </c>
      <c r="EE294" s="2346">
        <v>12.67</v>
      </c>
      <c r="EF294" s="2346">
        <v>11.88</v>
      </c>
      <c r="EG294" s="2346">
        <v>13.17</v>
      </c>
      <c r="EH294" s="2346">
        <v>13.96</v>
      </c>
      <c r="EI294" s="2346">
        <v>15.35</v>
      </c>
      <c r="EJ294" s="2346">
        <v>16.34</v>
      </c>
      <c r="EK294" s="2346">
        <v>19.309999999999999</v>
      </c>
      <c r="EL294" s="2346">
        <v>20.79</v>
      </c>
      <c r="EM294" s="2346">
        <v>21.78</v>
      </c>
      <c r="EN294" s="2346">
        <v>21.09</v>
      </c>
      <c r="EO294" s="2346">
        <v>22.67</v>
      </c>
      <c r="EP294" s="2346">
        <v>24.65</v>
      </c>
      <c r="EQ294" s="2346">
        <v>25.94</v>
      </c>
      <c r="ER294" s="2346">
        <v>27.13</v>
      </c>
      <c r="ES294" s="2346">
        <v>28.81</v>
      </c>
      <c r="ET294" s="2346">
        <v>31.68</v>
      </c>
      <c r="EU294" s="2346">
        <v>33.56</v>
      </c>
      <c r="EV294" s="2346">
        <v>36.83</v>
      </c>
      <c r="EW294" s="2346">
        <v>40.89</v>
      </c>
      <c r="EX294" s="2346">
        <v>45.05</v>
      </c>
      <c r="EY294" s="2346">
        <v>50.2</v>
      </c>
      <c r="EZ294" s="2346">
        <v>57.13</v>
      </c>
      <c r="FA294" s="2346">
        <v>64.459999999999994</v>
      </c>
      <c r="FB294" s="2347">
        <v>775</v>
      </c>
      <c r="FC294" s="2275"/>
      <c r="FD294" s="2276">
        <f>HLOOKUP(FD287,EA288:FA300,5,0)</f>
        <v>6.34</v>
      </c>
      <c r="FE294" s="2276">
        <f t="shared" si="274"/>
        <v>10.5</v>
      </c>
      <c r="FF294" s="2275">
        <v>650</v>
      </c>
      <c r="FG294" s="2275"/>
      <c r="FH294" s="2275"/>
      <c r="FI294" s="2275"/>
      <c r="FJ294" s="2275"/>
      <c r="FK294" s="2275"/>
      <c r="FL294" s="2275"/>
      <c r="FM294" s="2250"/>
      <c r="FN294" s="2250"/>
      <c r="FO294" s="2250"/>
      <c r="FP294" s="2250"/>
      <c r="FQ294" s="2250"/>
      <c r="FR294" s="2250"/>
      <c r="FS294" s="2250"/>
      <c r="FT294" s="2250"/>
      <c r="FU294" s="2250"/>
      <c r="FV294" s="2250"/>
      <c r="FW294" s="2250"/>
      <c r="FX294" s="2250"/>
      <c r="FY294" s="2250"/>
      <c r="FZ294" s="2250"/>
      <c r="GA294" s="2250"/>
      <c r="GB294" s="2250"/>
      <c r="GC294" s="2276"/>
      <c r="GD294" s="2276"/>
      <c r="GE294" s="2250"/>
      <c r="GF294" s="2275"/>
      <c r="GG294" s="2275"/>
      <c r="GH294" s="2345">
        <v>775</v>
      </c>
      <c r="GI294" s="2346">
        <v>8.32</v>
      </c>
      <c r="GJ294" s="2346">
        <v>9.41</v>
      </c>
      <c r="GK294" s="2346">
        <v>10.4</v>
      </c>
      <c r="GL294" s="2346">
        <v>11.58</v>
      </c>
      <c r="GM294" s="2346">
        <v>12.67</v>
      </c>
      <c r="GN294" s="2346">
        <v>11.88</v>
      </c>
      <c r="GO294" s="2346">
        <v>13.17</v>
      </c>
      <c r="GP294" s="2346">
        <v>13.96</v>
      </c>
      <c r="GQ294" s="2346">
        <v>15.35</v>
      </c>
      <c r="GR294" s="2346">
        <v>16.34</v>
      </c>
      <c r="GS294" s="2346">
        <v>19.309999999999999</v>
      </c>
      <c r="GT294" s="2346">
        <v>20.79</v>
      </c>
      <c r="GU294" s="2346">
        <v>21.78</v>
      </c>
      <c r="GV294" s="2346">
        <v>21.09</v>
      </c>
      <c r="GW294" s="2346">
        <v>22.67</v>
      </c>
      <c r="GX294" s="2346">
        <v>24.65</v>
      </c>
      <c r="GY294" s="2346">
        <v>25.94</v>
      </c>
      <c r="GZ294" s="2346">
        <v>27.13</v>
      </c>
      <c r="HA294" s="2346">
        <v>28.81</v>
      </c>
      <c r="HB294" s="2346">
        <v>31.68</v>
      </c>
      <c r="HC294" s="2346">
        <v>33.56</v>
      </c>
      <c r="HD294" s="2346">
        <v>36.83</v>
      </c>
      <c r="HE294" s="2346">
        <v>40.89</v>
      </c>
      <c r="HF294" s="2346">
        <v>45.05</v>
      </c>
      <c r="HG294" s="2346">
        <v>50.2</v>
      </c>
      <c r="HH294" s="2346">
        <v>57.13</v>
      </c>
      <c r="HI294" s="2346">
        <v>64.459999999999994</v>
      </c>
      <c r="HJ294" s="2347">
        <v>775</v>
      </c>
      <c r="HK294" s="2275"/>
      <c r="HL294" s="2276">
        <f>HLOOKUP(HL287,GI288:HI300,5,0)</f>
        <v>5.94</v>
      </c>
      <c r="HM294" s="2276">
        <f t="shared" si="275"/>
        <v>9.5</v>
      </c>
      <c r="HN294" s="2275">
        <v>650</v>
      </c>
      <c r="HO294" s="2275"/>
      <c r="HP294" s="2275"/>
      <c r="HQ294" s="2275"/>
      <c r="HR294" s="2275"/>
      <c r="HS294" s="2275"/>
      <c r="HT294" s="2275"/>
      <c r="HU294" s="2250"/>
      <c r="HV294" s="2250"/>
      <c r="HW294" s="2250"/>
      <c r="HX294" s="2250"/>
      <c r="HY294" s="2250"/>
      <c r="HZ294" s="2250"/>
      <c r="IA294" s="2250"/>
      <c r="IB294" s="2250"/>
      <c r="IC294" s="2250"/>
      <c r="ID294" s="2250"/>
      <c r="IE294" s="2250"/>
      <c r="IF294" s="2250"/>
      <c r="IG294" s="2250"/>
      <c r="IH294" s="2250"/>
      <c r="II294" s="2250"/>
      <c r="IJ294" s="2250"/>
      <c r="IK294" s="2250"/>
      <c r="IL294" s="2250"/>
    </row>
    <row r="295" spans="1:246" ht="21.95" customHeight="1">
      <c r="A295" s="2275"/>
      <c r="B295" s="2275"/>
      <c r="C295" s="2345">
        <v>950</v>
      </c>
      <c r="D295" s="2346">
        <v>16.93</v>
      </c>
      <c r="E295" s="2346">
        <v>19.010000000000002</v>
      </c>
      <c r="F295" s="2346">
        <v>21.09</v>
      </c>
      <c r="G295" s="2346">
        <v>22.28</v>
      </c>
      <c r="H295" s="2346">
        <v>22.28</v>
      </c>
      <c r="I295" s="2346">
        <v>23.96</v>
      </c>
      <c r="J295" s="2346">
        <v>26.53</v>
      </c>
      <c r="K295" s="2346">
        <v>28.32</v>
      </c>
      <c r="L295" s="2346">
        <v>30.1</v>
      </c>
      <c r="M295" s="2346">
        <v>32.770000000000003</v>
      </c>
      <c r="N295" s="2346">
        <v>33.47</v>
      </c>
      <c r="O295" s="2346">
        <v>39.21</v>
      </c>
      <c r="P295" s="2346">
        <v>39.409999999999997</v>
      </c>
      <c r="Q295" s="2346">
        <v>39.700000000000003</v>
      </c>
      <c r="R295" s="2346">
        <v>41.78</v>
      </c>
      <c r="S295" s="2346">
        <v>45.54</v>
      </c>
      <c r="T295" s="2346">
        <v>48.71</v>
      </c>
      <c r="U295" s="2346">
        <v>51.19</v>
      </c>
      <c r="V295" s="2346">
        <v>53.76</v>
      </c>
      <c r="W295" s="2346">
        <v>59.01</v>
      </c>
      <c r="X295" s="2346">
        <v>63.47</v>
      </c>
      <c r="Y295" s="2346">
        <v>68.91</v>
      </c>
      <c r="Z295" s="2346">
        <v>74.650000000000006</v>
      </c>
      <c r="AA295" s="2346">
        <v>81.98</v>
      </c>
      <c r="AB295" s="2346">
        <v>90.2</v>
      </c>
      <c r="AC295" s="2346">
        <v>99.41</v>
      </c>
      <c r="AD295" s="2346">
        <v>117.33</v>
      </c>
      <c r="AE295" s="2347">
        <v>950</v>
      </c>
      <c r="AF295" s="2275"/>
      <c r="AG295" s="2276">
        <f>HLOOKUP(AG286,D287:AD299,7,0)</f>
        <v>10.4</v>
      </c>
      <c r="AH295" s="2276">
        <f t="shared" si="272"/>
        <v>14.55</v>
      </c>
      <c r="AI295" s="2275">
        <v>825</v>
      </c>
      <c r="AJ295" s="2275"/>
      <c r="AK295" s="2275"/>
      <c r="AL295" s="2275"/>
      <c r="AM295" s="2275"/>
      <c r="AN295" s="2275"/>
      <c r="AO295" s="2275"/>
      <c r="AP295" s="2250"/>
      <c r="AQ295" s="2250"/>
      <c r="AR295" s="2250"/>
      <c r="AS295" s="2250"/>
      <c r="AT295" s="2250"/>
      <c r="AU295" s="2250"/>
      <c r="AV295" s="2250"/>
      <c r="AW295" s="2250"/>
      <c r="AX295" s="2250"/>
      <c r="AY295" s="2250"/>
      <c r="AZ295" s="2250"/>
      <c r="BA295" s="2250"/>
      <c r="BB295" s="2250"/>
      <c r="BC295" s="2250"/>
      <c r="BD295" s="2250"/>
      <c r="BE295" s="2250"/>
      <c r="BF295" s="2276"/>
      <c r="BG295" s="2276"/>
      <c r="BH295" s="2250"/>
      <c r="BI295" s="2275"/>
      <c r="BJ295" s="2275"/>
      <c r="BK295" s="2345">
        <v>950</v>
      </c>
      <c r="BL295" s="2346">
        <v>16.93</v>
      </c>
      <c r="BM295" s="2346">
        <v>19.010000000000002</v>
      </c>
      <c r="BN295" s="2346">
        <v>21.09</v>
      </c>
      <c r="BO295" s="2346">
        <v>22.28</v>
      </c>
      <c r="BP295" s="2346">
        <v>22.28</v>
      </c>
      <c r="BQ295" s="2346">
        <v>23.96</v>
      </c>
      <c r="BR295" s="2346">
        <v>26.53</v>
      </c>
      <c r="BS295" s="2346">
        <v>28.32</v>
      </c>
      <c r="BT295" s="2346">
        <v>30.1</v>
      </c>
      <c r="BU295" s="2346">
        <v>32.770000000000003</v>
      </c>
      <c r="BV295" s="2346">
        <v>33.47</v>
      </c>
      <c r="BW295" s="2346">
        <v>39.21</v>
      </c>
      <c r="BX295" s="2346">
        <v>39.409999999999997</v>
      </c>
      <c r="BY295" s="2346">
        <v>39.700000000000003</v>
      </c>
      <c r="BZ295" s="2346">
        <v>41.78</v>
      </c>
      <c r="CA295" s="2346">
        <v>45.54</v>
      </c>
      <c r="CB295" s="2346">
        <v>48.71</v>
      </c>
      <c r="CC295" s="2346">
        <v>51.19</v>
      </c>
      <c r="CD295" s="2346">
        <v>53.76</v>
      </c>
      <c r="CE295" s="2346">
        <v>59.01</v>
      </c>
      <c r="CF295" s="2346">
        <v>63.47</v>
      </c>
      <c r="CG295" s="2346">
        <v>68.91</v>
      </c>
      <c r="CH295" s="2346">
        <v>74.650000000000006</v>
      </c>
      <c r="CI295" s="2346">
        <v>81.98</v>
      </c>
      <c r="CJ295" s="2346">
        <v>90.2</v>
      </c>
      <c r="CK295" s="2346">
        <v>99.41</v>
      </c>
      <c r="CL295" s="2346">
        <v>117.33</v>
      </c>
      <c r="CM295" s="2347">
        <v>950</v>
      </c>
      <c r="CN295" s="2275"/>
      <c r="CO295" s="2276">
        <f>HLOOKUP(CO286,BL287:CL299,7,0)</f>
        <v>9.41</v>
      </c>
      <c r="CP295" s="2276">
        <f t="shared" si="273"/>
        <v>13.37</v>
      </c>
      <c r="CQ295" s="2275">
        <v>825</v>
      </c>
      <c r="CR295" s="2275"/>
      <c r="CS295" s="2275"/>
      <c r="CT295" s="2275"/>
      <c r="CU295" s="2275"/>
      <c r="CV295" s="2275"/>
      <c r="CW295" s="2275"/>
      <c r="CX295" s="2250"/>
      <c r="CY295" s="2250"/>
      <c r="CZ295" s="2250"/>
      <c r="DA295" s="2250"/>
      <c r="DB295" s="2250"/>
      <c r="DC295" s="2250"/>
      <c r="DD295" s="2250"/>
      <c r="DE295" s="2250"/>
      <c r="DF295" s="2250"/>
      <c r="DG295" s="2250"/>
      <c r="DH295" s="2250"/>
      <c r="DI295" s="2250"/>
      <c r="DJ295" s="2250"/>
      <c r="DK295" s="2250"/>
      <c r="DL295" s="2250"/>
      <c r="DM295" s="2250"/>
      <c r="DN295" s="2250"/>
      <c r="DO295" s="2250"/>
      <c r="DP295" s="2250"/>
      <c r="DQ295" s="2277"/>
      <c r="DR295" s="2277"/>
      <c r="DS295" s="2278"/>
      <c r="DT295" s="2250"/>
      <c r="DU295" s="2250"/>
      <c r="DV295" s="2250"/>
      <c r="DW295" s="2250"/>
      <c r="DX295" s="2275"/>
      <c r="DY295" s="2275"/>
      <c r="DZ295" s="2345">
        <v>825</v>
      </c>
      <c r="EA295" s="2346">
        <v>12.18</v>
      </c>
      <c r="EB295" s="2346">
        <v>13.37</v>
      </c>
      <c r="EC295" s="2346">
        <v>14.55</v>
      </c>
      <c r="ED295" s="2346">
        <v>14.65</v>
      </c>
      <c r="EE295" s="2346">
        <v>16.239999999999998</v>
      </c>
      <c r="EF295" s="2346">
        <v>16.63</v>
      </c>
      <c r="EG295" s="2346">
        <v>18.22</v>
      </c>
      <c r="EH295" s="2346">
        <v>19.5</v>
      </c>
      <c r="EI295" s="2346">
        <v>20.69</v>
      </c>
      <c r="EJ295" s="2346">
        <v>21.98</v>
      </c>
      <c r="EK295" s="2346">
        <v>23.17</v>
      </c>
      <c r="EL295" s="2346">
        <v>25.94</v>
      </c>
      <c r="EM295" s="2346">
        <v>27.13</v>
      </c>
      <c r="EN295" s="2346">
        <v>27.72</v>
      </c>
      <c r="EO295" s="2346">
        <v>28.51</v>
      </c>
      <c r="EP295" s="2346">
        <v>31.29</v>
      </c>
      <c r="EQ295" s="2346">
        <v>31.58</v>
      </c>
      <c r="ER295" s="2346">
        <v>34.950000000000003</v>
      </c>
      <c r="ES295" s="2346">
        <v>37.03</v>
      </c>
      <c r="ET295" s="2346">
        <v>39.21</v>
      </c>
      <c r="EU295" s="2346">
        <v>42.48</v>
      </c>
      <c r="EV295" s="2346">
        <v>45.94</v>
      </c>
      <c r="EW295" s="2346">
        <v>51.68</v>
      </c>
      <c r="EX295" s="2346">
        <v>57.43</v>
      </c>
      <c r="EY295" s="2346">
        <v>64.16</v>
      </c>
      <c r="EZ295" s="2346">
        <v>69.7</v>
      </c>
      <c r="FA295" s="2346">
        <v>78.61</v>
      </c>
      <c r="FB295" s="2347">
        <v>825</v>
      </c>
      <c r="FC295" s="2275"/>
      <c r="FD295" s="2276">
        <f>HLOOKUP(FD287,EA288:FA300,6,0)</f>
        <v>10.5</v>
      </c>
      <c r="FE295" s="2276">
        <f t="shared" si="274"/>
        <v>16.34</v>
      </c>
      <c r="FF295" s="2275">
        <v>775</v>
      </c>
      <c r="FG295" s="2275"/>
      <c r="FH295" s="2275"/>
      <c r="FI295" s="2275"/>
      <c r="FJ295" s="2275"/>
      <c r="FK295" s="2275"/>
      <c r="FL295" s="2275"/>
      <c r="FM295" s="2250"/>
      <c r="FN295" s="2250"/>
      <c r="FO295" s="2250"/>
      <c r="FP295" s="2250"/>
      <c r="FQ295" s="2250"/>
      <c r="FR295" s="2250"/>
      <c r="FS295" s="2250"/>
      <c r="FT295" s="2250"/>
      <c r="FU295" s="2250"/>
      <c r="FV295" s="2250"/>
      <c r="FW295" s="2250"/>
      <c r="FX295" s="2250"/>
      <c r="FY295" s="2250"/>
      <c r="FZ295" s="2250"/>
      <c r="GA295" s="2250"/>
      <c r="GB295" s="2250"/>
      <c r="GC295" s="2276"/>
      <c r="GD295" s="2276"/>
      <c r="GE295" s="2250"/>
      <c r="GF295" s="2275"/>
      <c r="GG295" s="2275"/>
      <c r="GH295" s="2345">
        <v>825</v>
      </c>
      <c r="GI295" s="2346">
        <v>12.18</v>
      </c>
      <c r="GJ295" s="2346">
        <v>13.37</v>
      </c>
      <c r="GK295" s="2346">
        <v>14.55</v>
      </c>
      <c r="GL295" s="2346">
        <v>14.65</v>
      </c>
      <c r="GM295" s="2346">
        <v>16.239999999999998</v>
      </c>
      <c r="GN295" s="2346">
        <v>16.63</v>
      </c>
      <c r="GO295" s="2346">
        <v>18.22</v>
      </c>
      <c r="GP295" s="2346">
        <v>19.5</v>
      </c>
      <c r="GQ295" s="2346">
        <v>20.69</v>
      </c>
      <c r="GR295" s="2346">
        <v>21.98</v>
      </c>
      <c r="GS295" s="2346">
        <v>23.17</v>
      </c>
      <c r="GT295" s="2346">
        <v>25.94</v>
      </c>
      <c r="GU295" s="2346">
        <v>27.13</v>
      </c>
      <c r="GV295" s="2346">
        <v>27.72</v>
      </c>
      <c r="GW295" s="2346">
        <v>28.51</v>
      </c>
      <c r="GX295" s="2346">
        <v>31.29</v>
      </c>
      <c r="GY295" s="2346">
        <v>31.58</v>
      </c>
      <c r="GZ295" s="2346">
        <v>34.950000000000003</v>
      </c>
      <c r="HA295" s="2346">
        <v>37.03</v>
      </c>
      <c r="HB295" s="2346">
        <v>39.21</v>
      </c>
      <c r="HC295" s="2346">
        <v>42.48</v>
      </c>
      <c r="HD295" s="2346">
        <v>45.94</v>
      </c>
      <c r="HE295" s="2346">
        <v>51.68</v>
      </c>
      <c r="HF295" s="2346">
        <v>57.43</v>
      </c>
      <c r="HG295" s="2346">
        <v>64.16</v>
      </c>
      <c r="HH295" s="2346">
        <v>69.7</v>
      </c>
      <c r="HI295" s="2346">
        <v>78.61</v>
      </c>
      <c r="HJ295" s="2347">
        <v>825</v>
      </c>
      <c r="HK295" s="2275"/>
      <c r="HL295" s="2276">
        <f>HLOOKUP(HL287,GI288:HI300,6,0)</f>
        <v>9.5</v>
      </c>
      <c r="HM295" s="2276">
        <f t="shared" si="275"/>
        <v>15.35</v>
      </c>
      <c r="HN295" s="2275">
        <v>775</v>
      </c>
      <c r="HO295" s="2275"/>
      <c r="HP295" s="2275"/>
      <c r="HQ295" s="2275"/>
      <c r="HR295" s="2275"/>
      <c r="HS295" s="2275"/>
      <c r="HT295" s="2275"/>
      <c r="HU295" s="2250"/>
      <c r="HV295" s="2250"/>
      <c r="HW295" s="2250"/>
      <c r="HX295" s="2250"/>
      <c r="HY295" s="2250"/>
      <c r="HZ295" s="2250"/>
      <c r="IA295" s="2250"/>
      <c r="IB295" s="2250"/>
      <c r="IC295" s="2250"/>
      <c r="ID295" s="2250"/>
      <c r="IE295" s="2250"/>
      <c r="IF295" s="2250"/>
      <c r="IG295" s="2250"/>
      <c r="IH295" s="2250"/>
      <c r="II295" s="2250"/>
      <c r="IJ295" s="2250"/>
      <c r="IK295" s="2250"/>
      <c r="IL295" s="2250"/>
    </row>
    <row r="296" spans="1:246" ht="21.95" customHeight="1">
      <c r="A296" s="2275"/>
      <c r="B296" s="2275"/>
      <c r="C296" s="2345">
        <v>1100</v>
      </c>
      <c r="D296" s="2346">
        <v>22.67</v>
      </c>
      <c r="E296" s="2346">
        <v>25.54</v>
      </c>
      <c r="F296" s="2346">
        <v>28.32</v>
      </c>
      <c r="G296" s="2346">
        <v>31.39</v>
      </c>
      <c r="H296" s="2346">
        <v>34.26</v>
      </c>
      <c r="I296" s="2346">
        <v>32.28</v>
      </c>
      <c r="J296" s="2346">
        <v>35.74</v>
      </c>
      <c r="K296" s="2346">
        <v>39.11</v>
      </c>
      <c r="L296" s="2346">
        <v>41.68</v>
      </c>
      <c r="M296" s="2346">
        <v>44.26</v>
      </c>
      <c r="N296" s="2346">
        <v>51.88</v>
      </c>
      <c r="O296" s="2346">
        <v>55.35</v>
      </c>
      <c r="P296" s="2346">
        <v>59.01</v>
      </c>
      <c r="Q296" s="2346">
        <v>57.33</v>
      </c>
      <c r="R296" s="2346">
        <v>61.49</v>
      </c>
      <c r="S296" s="2346">
        <v>64.849999999999994</v>
      </c>
      <c r="T296" s="2346">
        <v>70.5</v>
      </c>
      <c r="U296" s="2346">
        <v>73.66</v>
      </c>
      <c r="V296" s="2346">
        <v>78.12</v>
      </c>
      <c r="W296" s="2346">
        <v>86.53</v>
      </c>
      <c r="X296" s="2346">
        <v>91.19</v>
      </c>
      <c r="Y296" s="2346">
        <v>100</v>
      </c>
      <c r="Z296" s="2346">
        <v>109.6</v>
      </c>
      <c r="AA296" s="2346">
        <v>131.19</v>
      </c>
      <c r="AB296" s="2346">
        <v>133.86000000000001</v>
      </c>
      <c r="AC296" s="2346">
        <v>155.15</v>
      </c>
      <c r="AD296" s="2346">
        <v>175.05</v>
      </c>
      <c r="AE296" s="2347">
        <v>1100</v>
      </c>
      <c r="AF296" s="2275"/>
      <c r="AG296" s="2276">
        <f>HLOOKUP(AG286,D287:AD299,8,0)</f>
        <v>14.55</v>
      </c>
      <c r="AH296" s="2276">
        <f t="shared" si="272"/>
        <v>21.09</v>
      </c>
      <c r="AI296" s="2275">
        <v>950</v>
      </c>
      <c r="AJ296" s="2275"/>
      <c r="AK296" s="2275"/>
      <c r="AL296" s="2275"/>
      <c r="AM296" s="2275"/>
      <c r="AN296" s="2275"/>
      <c r="AO296" s="2275"/>
      <c r="AP296" s="2250"/>
      <c r="AQ296" s="2250"/>
      <c r="AR296" s="2250"/>
      <c r="AS296" s="2250"/>
      <c r="AT296" s="2250"/>
      <c r="AU296" s="2250"/>
      <c r="AV296" s="2250"/>
      <c r="AW296" s="2250"/>
      <c r="AX296" s="2250"/>
      <c r="AY296" s="2250"/>
      <c r="AZ296" s="2250"/>
      <c r="BA296" s="2250"/>
      <c r="BB296" s="2250"/>
      <c r="BC296" s="2250"/>
      <c r="BD296" s="2250"/>
      <c r="BE296" s="2250"/>
      <c r="BF296" s="2276"/>
      <c r="BG296" s="2276"/>
      <c r="BH296" s="2250"/>
      <c r="BI296" s="2275"/>
      <c r="BJ296" s="2275"/>
      <c r="BK296" s="2345">
        <v>1100</v>
      </c>
      <c r="BL296" s="2346">
        <v>22.67</v>
      </c>
      <c r="BM296" s="2346">
        <v>25.54</v>
      </c>
      <c r="BN296" s="2346">
        <v>28.32</v>
      </c>
      <c r="BO296" s="2346">
        <v>31.39</v>
      </c>
      <c r="BP296" s="2346">
        <v>34.26</v>
      </c>
      <c r="BQ296" s="2346">
        <v>32.28</v>
      </c>
      <c r="BR296" s="2346">
        <v>35.74</v>
      </c>
      <c r="BS296" s="2346">
        <v>39.11</v>
      </c>
      <c r="BT296" s="2346">
        <v>41.68</v>
      </c>
      <c r="BU296" s="2346">
        <v>44.26</v>
      </c>
      <c r="BV296" s="2346">
        <v>51.88</v>
      </c>
      <c r="BW296" s="2346">
        <v>55.35</v>
      </c>
      <c r="BX296" s="2346">
        <v>59.01</v>
      </c>
      <c r="BY296" s="2346">
        <v>57.33</v>
      </c>
      <c r="BZ296" s="2346">
        <v>61.49</v>
      </c>
      <c r="CA296" s="2346">
        <v>64.849999999999994</v>
      </c>
      <c r="CB296" s="2346">
        <v>70.5</v>
      </c>
      <c r="CC296" s="2346">
        <v>73.66</v>
      </c>
      <c r="CD296" s="2346">
        <v>78.12</v>
      </c>
      <c r="CE296" s="2346">
        <v>86.53</v>
      </c>
      <c r="CF296" s="2346">
        <v>91.19</v>
      </c>
      <c r="CG296" s="2346">
        <v>100</v>
      </c>
      <c r="CH296" s="2346">
        <v>109.6</v>
      </c>
      <c r="CI296" s="2346">
        <v>131.19</v>
      </c>
      <c r="CJ296" s="2346">
        <v>133.86000000000001</v>
      </c>
      <c r="CK296" s="2346">
        <v>155.15</v>
      </c>
      <c r="CL296" s="2346">
        <v>175.05</v>
      </c>
      <c r="CM296" s="2347">
        <v>1100</v>
      </c>
      <c r="CN296" s="2275"/>
      <c r="CO296" s="2276">
        <f>HLOOKUP(CO286,BL287:CL299,8,0)</f>
        <v>13.37</v>
      </c>
      <c r="CP296" s="2276">
        <f t="shared" si="273"/>
        <v>19.010000000000002</v>
      </c>
      <c r="CQ296" s="2275">
        <v>950</v>
      </c>
      <c r="CR296" s="2275"/>
      <c r="CS296" s="2275"/>
      <c r="CT296" s="2275"/>
      <c r="CU296" s="2275"/>
      <c r="CV296" s="2275"/>
      <c r="CW296" s="2275"/>
      <c r="CX296" s="2250"/>
      <c r="CY296" s="2250"/>
      <c r="CZ296" s="2250"/>
      <c r="DA296" s="2250"/>
      <c r="DB296" s="2250"/>
      <c r="DC296" s="2250"/>
      <c r="DD296" s="2250"/>
      <c r="DE296" s="2250"/>
      <c r="DF296" s="2250"/>
      <c r="DG296" s="2250"/>
      <c r="DH296" s="2250"/>
      <c r="DI296" s="2250"/>
      <c r="DJ296" s="2250"/>
      <c r="DK296" s="2250"/>
      <c r="DL296" s="2250"/>
      <c r="DM296" s="2250"/>
      <c r="DN296" s="2250"/>
      <c r="DO296" s="2250"/>
      <c r="DP296" s="2250"/>
      <c r="DQ296" s="2277"/>
      <c r="DR296" s="2277"/>
      <c r="DS296" s="2278"/>
      <c r="DT296" s="2250"/>
      <c r="DU296" s="2250"/>
      <c r="DV296" s="2250"/>
      <c r="DW296" s="2250"/>
      <c r="DX296" s="2275"/>
      <c r="DY296" s="2275"/>
      <c r="DZ296" s="2345">
        <v>950</v>
      </c>
      <c r="EA296" s="2346">
        <v>16.93</v>
      </c>
      <c r="EB296" s="2346">
        <v>19.010000000000002</v>
      </c>
      <c r="EC296" s="2346">
        <v>21.09</v>
      </c>
      <c r="ED296" s="2346">
        <v>22.28</v>
      </c>
      <c r="EE296" s="2346">
        <v>22.28</v>
      </c>
      <c r="EF296" s="2346">
        <v>23.96</v>
      </c>
      <c r="EG296" s="2346">
        <v>26.53</v>
      </c>
      <c r="EH296" s="2346">
        <v>28.32</v>
      </c>
      <c r="EI296" s="2346">
        <v>30.1</v>
      </c>
      <c r="EJ296" s="2346">
        <v>32.770000000000003</v>
      </c>
      <c r="EK296" s="2346">
        <v>33.47</v>
      </c>
      <c r="EL296" s="2346">
        <v>39.21</v>
      </c>
      <c r="EM296" s="2346">
        <v>39.409999999999997</v>
      </c>
      <c r="EN296" s="2346">
        <v>39.700000000000003</v>
      </c>
      <c r="EO296" s="2346">
        <v>41.78</v>
      </c>
      <c r="EP296" s="2346">
        <v>45.54</v>
      </c>
      <c r="EQ296" s="2346">
        <v>48.71</v>
      </c>
      <c r="ER296" s="2346">
        <v>51.19</v>
      </c>
      <c r="ES296" s="2346">
        <v>53.76</v>
      </c>
      <c r="ET296" s="2346">
        <v>59.01</v>
      </c>
      <c r="EU296" s="2346">
        <v>63.47</v>
      </c>
      <c r="EV296" s="2346">
        <v>68.91</v>
      </c>
      <c r="EW296" s="2346">
        <v>74.650000000000006</v>
      </c>
      <c r="EX296" s="2346">
        <v>81.98</v>
      </c>
      <c r="EY296" s="2346">
        <v>90.2</v>
      </c>
      <c r="EZ296" s="2346">
        <v>99.41</v>
      </c>
      <c r="FA296" s="2346">
        <v>117.33</v>
      </c>
      <c r="FB296" s="2347">
        <v>950</v>
      </c>
      <c r="FC296" s="2275"/>
      <c r="FD296" s="2276">
        <f>HLOOKUP(FD287,EA288:FA300,7,0)</f>
        <v>16.34</v>
      </c>
      <c r="FE296" s="2276">
        <f t="shared" si="274"/>
        <v>21.98</v>
      </c>
      <c r="FF296" s="2275">
        <v>825</v>
      </c>
      <c r="FG296" s="2275"/>
      <c r="FH296" s="2275"/>
      <c r="FI296" s="2275"/>
      <c r="FJ296" s="2275"/>
      <c r="FK296" s="2275"/>
      <c r="FL296" s="2275"/>
      <c r="FM296" s="2250"/>
      <c r="FN296" s="2250"/>
      <c r="FO296" s="2250"/>
      <c r="FP296" s="2250"/>
      <c r="FQ296" s="2250"/>
      <c r="FR296" s="2250"/>
      <c r="FS296" s="2250"/>
      <c r="FT296" s="2250"/>
      <c r="FU296" s="2250"/>
      <c r="FV296" s="2250"/>
      <c r="FW296" s="2250"/>
      <c r="FX296" s="2250"/>
      <c r="FY296" s="2250"/>
      <c r="FZ296" s="2250"/>
      <c r="GA296" s="2250"/>
      <c r="GB296" s="2250"/>
      <c r="GC296" s="2276"/>
      <c r="GD296" s="2276"/>
      <c r="GE296" s="2250"/>
      <c r="GF296" s="2275"/>
      <c r="GG296" s="2275"/>
      <c r="GH296" s="2345">
        <v>950</v>
      </c>
      <c r="GI296" s="2346">
        <v>16.93</v>
      </c>
      <c r="GJ296" s="2346">
        <v>19.010000000000002</v>
      </c>
      <c r="GK296" s="2346">
        <v>21.09</v>
      </c>
      <c r="GL296" s="2346">
        <v>22.28</v>
      </c>
      <c r="GM296" s="2346">
        <v>22.28</v>
      </c>
      <c r="GN296" s="2346">
        <v>23.96</v>
      </c>
      <c r="GO296" s="2346">
        <v>26.53</v>
      </c>
      <c r="GP296" s="2346">
        <v>28.32</v>
      </c>
      <c r="GQ296" s="2346">
        <v>30.1</v>
      </c>
      <c r="GR296" s="2346">
        <v>32.770000000000003</v>
      </c>
      <c r="GS296" s="2346">
        <v>33.47</v>
      </c>
      <c r="GT296" s="2346">
        <v>39.21</v>
      </c>
      <c r="GU296" s="2346">
        <v>39.409999999999997</v>
      </c>
      <c r="GV296" s="2346">
        <v>39.700000000000003</v>
      </c>
      <c r="GW296" s="2346">
        <v>41.78</v>
      </c>
      <c r="GX296" s="2346">
        <v>45.54</v>
      </c>
      <c r="GY296" s="2346">
        <v>48.71</v>
      </c>
      <c r="GZ296" s="2346">
        <v>51.19</v>
      </c>
      <c r="HA296" s="2346">
        <v>53.76</v>
      </c>
      <c r="HB296" s="2346">
        <v>59.01</v>
      </c>
      <c r="HC296" s="2346">
        <v>63.47</v>
      </c>
      <c r="HD296" s="2346">
        <v>68.91</v>
      </c>
      <c r="HE296" s="2346">
        <v>74.650000000000006</v>
      </c>
      <c r="HF296" s="2346">
        <v>81.98</v>
      </c>
      <c r="HG296" s="2346">
        <v>90.2</v>
      </c>
      <c r="HH296" s="2346">
        <v>99.41</v>
      </c>
      <c r="HI296" s="2346">
        <v>117.33</v>
      </c>
      <c r="HJ296" s="2347">
        <v>950</v>
      </c>
      <c r="HK296" s="2275"/>
      <c r="HL296" s="2276">
        <f>HLOOKUP(HL287,GI288:HI300,7,0)</f>
        <v>15.35</v>
      </c>
      <c r="HM296" s="2276">
        <f t="shared" si="275"/>
        <v>20.69</v>
      </c>
      <c r="HN296" s="2275">
        <v>825</v>
      </c>
      <c r="HO296" s="2275"/>
      <c r="HP296" s="2275"/>
      <c r="HQ296" s="2275"/>
      <c r="HR296" s="2275"/>
      <c r="HS296" s="2275"/>
      <c r="HT296" s="2275"/>
      <c r="HU296" s="2250"/>
      <c r="HV296" s="2250"/>
      <c r="HW296" s="2250"/>
      <c r="HX296" s="2250"/>
      <c r="HY296" s="2250"/>
      <c r="HZ296" s="2250"/>
      <c r="IA296" s="2250"/>
      <c r="IB296" s="2250"/>
      <c r="IC296" s="2250"/>
      <c r="ID296" s="2250"/>
      <c r="IE296" s="2250"/>
      <c r="IF296" s="2250"/>
      <c r="IG296" s="2250"/>
      <c r="IH296" s="2250"/>
      <c r="II296" s="2250"/>
      <c r="IJ296" s="2250"/>
      <c r="IK296" s="2250"/>
      <c r="IL296" s="2250"/>
    </row>
    <row r="297" spans="1:246" ht="21.95" customHeight="1">
      <c r="A297" s="2275"/>
      <c r="B297" s="2275"/>
      <c r="C297" s="2345">
        <v>1250</v>
      </c>
      <c r="D297" s="2346">
        <v>33.369999999999997</v>
      </c>
      <c r="E297" s="2346">
        <v>37.619999999999997</v>
      </c>
      <c r="F297" s="2346">
        <v>41.58</v>
      </c>
      <c r="G297" s="2346">
        <v>46.14</v>
      </c>
      <c r="H297" s="2346">
        <v>49.7</v>
      </c>
      <c r="I297" s="2346">
        <v>47.33</v>
      </c>
      <c r="J297" s="2346">
        <v>52.48</v>
      </c>
      <c r="K297" s="2346">
        <v>55.84</v>
      </c>
      <c r="L297" s="2346">
        <v>61.19</v>
      </c>
      <c r="M297" s="2346">
        <v>61.78</v>
      </c>
      <c r="N297" s="2346">
        <v>70.989999999999995</v>
      </c>
      <c r="O297" s="2346">
        <v>79.31</v>
      </c>
      <c r="P297" s="2346">
        <v>80.099999999999994</v>
      </c>
      <c r="Q297" s="2346">
        <v>84.16</v>
      </c>
      <c r="R297" s="2346">
        <v>88.12</v>
      </c>
      <c r="S297" s="2346">
        <v>94.85</v>
      </c>
      <c r="T297" s="2346">
        <v>99.5</v>
      </c>
      <c r="U297" s="2346">
        <v>108.22</v>
      </c>
      <c r="V297" s="2346">
        <v>114.75</v>
      </c>
      <c r="W297" s="2346">
        <v>123.76</v>
      </c>
      <c r="X297" s="2346">
        <v>131.88</v>
      </c>
      <c r="Y297" s="2346">
        <v>138.12</v>
      </c>
      <c r="Z297" s="2346">
        <v>153.27000000000001</v>
      </c>
      <c r="AA297" s="2346">
        <v>166.24</v>
      </c>
      <c r="AB297" s="2346">
        <v>188.71</v>
      </c>
      <c r="AC297" s="2346">
        <v>216.63</v>
      </c>
      <c r="AD297" s="2346">
        <v>228.42</v>
      </c>
      <c r="AE297" s="2347">
        <v>1250</v>
      </c>
      <c r="AF297" s="2275"/>
      <c r="AG297" s="2276">
        <f>HLOOKUP(AG286,D287:AD299,9,0)</f>
        <v>21.09</v>
      </c>
      <c r="AH297" s="2276">
        <f t="shared" si="272"/>
        <v>28.32</v>
      </c>
      <c r="AI297" s="2275">
        <v>1100</v>
      </c>
      <c r="AJ297" s="2275"/>
      <c r="AK297" s="2275"/>
      <c r="AL297" s="2275"/>
      <c r="AM297" s="2275"/>
      <c r="AN297" s="2275"/>
      <c r="AO297" s="2275"/>
      <c r="AP297" s="2250"/>
      <c r="AQ297" s="2250"/>
      <c r="AR297" s="2250"/>
      <c r="AS297" s="2250"/>
      <c r="AT297" s="2250"/>
      <c r="AU297" s="2250"/>
      <c r="AV297" s="2250"/>
      <c r="AW297" s="2250"/>
      <c r="AX297" s="2250"/>
      <c r="AY297" s="2250"/>
      <c r="AZ297" s="2250"/>
      <c r="BA297" s="2250"/>
      <c r="BB297" s="2250"/>
      <c r="BC297" s="2250"/>
      <c r="BD297" s="2250"/>
      <c r="BE297" s="2250"/>
      <c r="BF297" s="2276"/>
      <c r="BG297" s="2276"/>
      <c r="BH297" s="2250"/>
      <c r="BI297" s="2275"/>
      <c r="BJ297" s="2275"/>
      <c r="BK297" s="2345">
        <v>1250</v>
      </c>
      <c r="BL297" s="2346">
        <v>33.369999999999997</v>
      </c>
      <c r="BM297" s="2346">
        <v>37.619999999999997</v>
      </c>
      <c r="BN297" s="2346">
        <v>41.58</v>
      </c>
      <c r="BO297" s="2346">
        <v>46.14</v>
      </c>
      <c r="BP297" s="2346">
        <v>49.7</v>
      </c>
      <c r="BQ297" s="2346">
        <v>47.33</v>
      </c>
      <c r="BR297" s="2346">
        <v>52.48</v>
      </c>
      <c r="BS297" s="2346">
        <v>55.84</v>
      </c>
      <c r="BT297" s="2346">
        <v>61.19</v>
      </c>
      <c r="BU297" s="2346">
        <v>61.78</v>
      </c>
      <c r="BV297" s="2346">
        <v>70.989999999999995</v>
      </c>
      <c r="BW297" s="2346">
        <v>79.31</v>
      </c>
      <c r="BX297" s="2346">
        <v>80.099999999999994</v>
      </c>
      <c r="BY297" s="2346">
        <v>84.16</v>
      </c>
      <c r="BZ297" s="2346">
        <v>88.12</v>
      </c>
      <c r="CA297" s="2346">
        <v>94.85</v>
      </c>
      <c r="CB297" s="2346">
        <v>99.5</v>
      </c>
      <c r="CC297" s="2346">
        <v>108.22</v>
      </c>
      <c r="CD297" s="2346">
        <v>114.75</v>
      </c>
      <c r="CE297" s="2346">
        <v>123.76</v>
      </c>
      <c r="CF297" s="2346">
        <v>131.88</v>
      </c>
      <c r="CG297" s="2346">
        <v>138.12</v>
      </c>
      <c r="CH297" s="2346">
        <v>153.27000000000001</v>
      </c>
      <c r="CI297" s="2346">
        <v>166.24</v>
      </c>
      <c r="CJ297" s="2346">
        <v>188.71</v>
      </c>
      <c r="CK297" s="2346">
        <v>216.63</v>
      </c>
      <c r="CL297" s="2346">
        <v>228.42</v>
      </c>
      <c r="CM297" s="2347">
        <v>1250</v>
      </c>
      <c r="CN297" s="2275"/>
      <c r="CO297" s="2276">
        <f>HLOOKUP(CO286,BL287:CL299,9,0)</f>
        <v>19.010000000000002</v>
      </c>
      <c r="CP297" s="2276">
        <f t="shared" si="273"/>
        <v>25.54</v>
      </c>
      <c r="CQ297" s="2275">
        <v>1100</v>
      </c>
      <c r="CR297" s="2275"/>
      <c r="CS297" s="2275"/>
      <c r="CT297" s="2275"/>
      <c r="CU297" s="2275"/>
      <c r="CV297" s="2275"/>
      <c r="CW297" s="2275"/>
      <c r="CX297" s="2250"/>
      <c r="CY297" s="2250"/>
      <c r="CZ297" s="2250"/>
      <c r="DA297" s="2250"/>
      <c r="DB297" s="2250"/>
      <c r="DC297" s="2250"/>
      <c r="DD297" s="2250"/>
      <c r="DE297" s="2250"/>
      <c r="DF297" s="2250"/>
      <c r="DG297" s="2250"/>
      <c r="DH297" s="2250"/>
      <c r="DI297" s="2250"/>
      <c r="DJ297" s="2250"/>
      <c r="DK297" s="2250"/>
      <c r="DL297" s="2250"/>
      <c r="DM297" s="2250"/>
      <c r="DN297" s="2250"/>
      <c r="DO297" s="2250"/>
      <c r="DP297" s="2250"/>
      <c r="DQ297" s="2277"/>
      <c r="DR297" s="2277"/>
      <c r="DS297" s="2278"/>
      <c r="DT297" s="2250"/>
      <c r="DU297" s="2250"/>
      <c r="DV297" s="2250"/>
      <c r="DW297" s="2250"/>
      <c r="DX297" s="2275"/>
      <c r="DY297" s="2275"/>
      <c r="DZ297" s="2345">
        <v>1100</v>
      </c>
      <c r="EA297" s="2346">
        <v>22.67</v>
      </c>
      <c r="EB297" s="2346">
        <v>25.54</v>
      </c>
      <c r="EC297" s="2346">
        <v>28.32</v>
      </c>
      <c r="ED297" s="2346">
        <v>31.39</v>
      </c>
      <c r="EE297" s="2346">
        <v>34.26</v>
      </c>
      <c r="EF297" s="2346">
        <v>32.28</v>
      </c>
      <c r="EG297" s="2346">
        <v>35.74</v>
      </c>
      <c r="EH297" s="2346">
        <v>39.11</v>
      </c>
      <c r="EI297" s="2346">
        <v>41.68</v>
      </c>
      <c r="EJ297" s="2346">
        <v>44.26</v>
      </c>
      <c r="EK297" s="2346">
        <v>51.88</v>
      </c>
      <c r="EL297" s="2346">
        <v>55.35</v>
      </c>
      <c r="EM297" s="2346">
        <v>59.01</v>
      </c>
      <c r="EN297" s="2346">
        <v>57.33</v>
      </c>
      <c r="EO297" s="2346">
        <v>61.49</v>
      </c>
      <c r="EP297" s="2346">
        <v>64.849999999999994</v>
      </c>
      <c r="EQ297" s="2346">
        <v>70.5</v>
      </c>
      <c r="ER297" s="2346">
        <v>73.66</v>
      </c>
      <c r="ES297" s="2346">
        <v>78.12</v>
      </c>
      <c r="ET297" s="2346">
        <v>86.53</v>
      </c>
      <c r="EU297" s="2346">
        <v>91.19</v>
      </c>
      <c r="EV297" s="2346">
        <v>100</v>
      </c>
      <c r="EW297" s="2346">
        <v>109.6</v>
      </c>
      <c r="EX297" s="2346">
        <v>131.19</v>
      </c>
      <c r="EY297" s="2346">
        <v>133.86000000000001</v>
      </c>
      <c r="EZ297" s="2346">
        <v>155.15</v>
      </c>
      <c r="FA297" s="2346">
        <v>175.05</v>
      </c>
      <c r="FB297" s="2347">
        <v>1100</v>
      </c>
      <c r="FC297" s="2275"/>
      <c r="FD297" s="2276">
        <f>HLOOKUP(FD287,EA288:FA300,8,0)</f>
        <v>21.98</v>
      </c>
      <c r="FE297" s="2276">
        <f t="shared" si="274"/>
        <v>32.770000000000003</v>
      </c>
      <c r="FF297" s="2275">
        <v>950</v>
      </c>
      <c r="FG297" s="2275"/>
      <c r="FH297" s="2275"/>
      <c r="FI297" s="2275"/>
      <c r="FJ297" s="2275"/>
      <c r="FK297" s="2275"/>
      <c r="FL297" s="2275"/>
      <c r="FM297" s="2250"/>
      <c r="FN297" s="2250"/>
      <c r="FO297" s="2250"/>
      <c r="FP297" s="2250"/>
      <c r="FQ297" s="2250"/>
      <c r="FR297" s="2250"/>
      <c r="FS297" s="2250"/>
      <c r="FT297" s="2250"/>
      <c r="FU297" s="2250"/>
      <c r="FV297" s="2250"/>
      <c r="FW297" s="2250"/>
      <c r="FX297" s="2250"/>
      <c r="FY297" s="2250"/>
      <c r="FZ297" s="2250"/>
      <c r="GA297" s="2250"/>
      <c r="GB297" s="2250"/>
      <c r="GC297" s="2276"/>
      <c r="GD297" s="2276"/>
      <c r="GE297" s="2250"/>
      <c r="GF297" s="2275"/>
      <c r="GG297" s="2275"/>
      <c r="GH297" s="2345">
        <v>1100</v>
      </c>
      <c r="GI297" s="2346">
        <v>22.67</v>
      </c>
      <c r="GJ297" s="2346">
        <v>25.54</v>
      </c>
      <c r="GK297" s="2346">
        <v>28.32</v>
      </c>
      <c r="GL297" s="2346">
        <v>31.39</v>
      </c>
      <c r="GM297" s="2346">
        <v>34.26</v>
      </c>
      <c r="GN297" s="2346">
        <v>32.28</v>
      </c>
      <c r="GO297" s="2346">
        <v>35.74</v>
      </c>
      <c r="GP297" s="2346">
        <v>39.11</v>
      </c>
      <c r="GQ297" s="2346">
        <v>41.68</v>
      </c>
      <c r="GR297" s="2346">
        <v>44.26</v>
      </c>
      <c r="GS297" s="2346">
        <v>51.88</v>
      </c>
      <c r="GT297" s="2346">
        <v>55.35</v>
      </c>
      <c r="GU297" s="2346">
        <v>59.01</v>
      </c>
      <c r="GV297" s="2346">
        <v>57.33</v>
      </c>
      <c r="GW297" s="2346">
        <v>61.49</v>
      </c>
      <c r="GX297" s="2346">
        <v>64.849999999999994</v>
      </c>
      <c r="GY297" s="2346">
        <v>70.5</v>
      </c>
      <c r="GZ297" s="2346">
        <v>73.66</v>
      </c>
      <c r="HA297" s="2346">
        <v>78.12</v>
      </c>
      <c r="HB297" s="2346">
        <v>86.53</v>
      </c>
      <c r="HC297" s="2346">
        <v>91.19</v>
      </c>
      <c r="HD297" s="2346">
        <v>100</v>
      </c>
      <c r="HE297" s="2346">
        <v>109.6</v>
      </c>
      <c r="HF297" s="2346">
        <v>131.19</v>
      </c>
      <c r="HG297" s="2346">
        <v>133.86000000000001</v>
      </c>
      <c r="HH297" s="2346">
        <v>155.15</v>
      </c>
      <c r="HI297" s="2346">
        <v>175.05</v>
      </c>
      <c r="HJ297" s="2347">
        <v>1100</v>
      </c>
      <c r="HK297" s="2275"/>
      <c r="HL297" s="2276">
        <f>HLOOKUP(HL287,GI288:HI300,8,0)</f>
        <v>20.69</v>
      </c>
      <c r="HM297" s="2276">
        <f t="shared" si="275"/>
        <v>30.1</v>
      </c>
      <c r="HN297" s="2275">
        <v>950</v>
      </c>
      <c r="HO297" s="2275"/>
      <c r="HP297" s="2275"/>
      <c r="HQ297" s="2275"/>
      <c r="HR297" s="2275"/>
      <c r="HS297" s="2275"/>
      <c r="HT297" s="2275"/>
      <c r="HU297" s="2250"/>
      <c r="HV297" s="2250"/>
      <c r="HW297" s="2250"/>
      <c r="HX297" s="2250"/>
      <c r="HY297" s="2250"/>
      <c r="HZ297" s="2250"/>
      <c r="IA297" s="2250"/>
      <c r="IB297" s="2250"/>
      <c r="IC297" s="2250"/>
      <c r="ID297" s="2250"/>
      <c r="IE297" s="2250"/>
      <c r="IF297" s="2250"/>
      <c r="IG297" s="2250"/>
      <c r="IH297" s="2250"/>
      <c r="II297" s="2250"/>
      <c r="IJ297" s="2250"/>
      <c r="IK297" s="2250"/>
      <c r="IL297" s="2250"/>
    </row>
    <row r="298" spans="1:246" ht="21.95" customHeight="1">
      <c r="A298" s="2275"/>
      <c r="B298" s="2275"/>
      <c r="C298" s="2345">
        <v>1450</v>
      </c>
      <c r="D298" s="2346">
        <v>51.39</v>
      </c>
      <c r="E298" s="2346">
        <v>57.92</v>
      </c>
      <c r="F298" s="2346">
        <v>64.06</v>
      </c>
      <c r="G298" s="2346">
        <v>69.209999999999994</v>
      </c>
      <c r="H298" s="2346">
        <v>69.209999999999994</v>
      </c>
      <c r="I298" s="2346">
        <v>72.87</v>
      </c>
      <c r="J298" s="2346">
        <v>80.790000000000006</v>
      </c>
      <c r="K298" s="2346">
        <v>85.94</v>
      </c>
      <c r="L298" s="2346">
        <v>92.18</v>
      </c>
      <c r="M298" s="2346">
        <v>100</v>
      </c>
      <c r="N298" s="2346">
        <v>101.68</v>
      </c>
      <c r="O298" s="2346">
        <v>115.15</v>
      </c>
      <c r="P298" s="2346">
        <v>119.8</v>
      </c>
      <c r="Q298" s="2346">
        <v>123.76</v>
      </c>
      <c r="R298" s="2346">
        <v>129.5</v>
      </c>
      <c r="S298" s="2346">
        <v>141.88</v>
      </c>
      <c r="T298" s="2346">
        <v>152.47999999999999</v>
      </c>
      <c r="U298" s="2346">
        <v>163.16999999999999</v>
      </c>
      <c r="V298" s="2346">
        <v>167.23</v>
      </c>
      <c r="W298" s="2346">
        <v>188.81</v>
      </c>
      <c r="X298" s="2346">
        <v>197.62</v>
      </c>
      <c r="Y298" s="2346">
        <v>215.25</v>
      </c>
      <c r="Z298" s="2346">
        <v>234.16</v>
      </c>
      <c r="AA298" s="2346">
        <v>240.5</v>
      </c>
      <c r="AB298" s="2346">
        <v>280.79000000000002</v>
      </c>
      <c r="AC298" s="2346">
        <v>309.5</v>
      </c>
      <c r="AD298" s="2346">
        <v>380.59</v>
      </c>
      <c r="AE298" s="2347">
        <v>1450</v>
      </c>
      <c r="AF298" s="2275"/>
      <c r="AG298" s="2276">
        <f>HLOOKUP(AG286,D287:AD299,10,0)</f>
        <v>28.32</v>
      </c>
      <c r="AH298" s="2276">
        <f t="shared" si="272"/>
        <v>41.58</v>
      </c>
      <c r="AI298" s="2275">
        <v>1250</v>
      </c>
      <c r="AJ298" s="2275"/>
      <c r="AK298" s="2275"/>
      <c r="AL298" s="2275"/>
      <c r="AM298" s="2275"/>
      <c r="AN298" s="2275"/>
      <c r="AO298" s="2275"/>
      <c r="AP298" s="2250"/>
      <c r="AQ298" s="2250"/>
      <c r="AR298" s="2250"/>
      <c r="AS298" s="2250"/>
      <c r="AT298" s="2250"/>
      <c r="AU298" s="2250"/>
      <c r="AV298" s="2250"/>
      <c r="AW298" s="2250"/>
      <c r="AX298" s="2250"/>
      <c r="AY298" s="2250"/>
      <c r="AZ298" s="2250"/>
      <c r="BA298" s="2250"/>
      <c r="BB298" s="2250"/>
      <c r="BC298" s="2250"/>
      <c r="BD298" s="2250"/>
      <c r="BE298" s="2250"/>
      <c r="BF298" s="2276"/>
      <c r="BG298" s="2276"/>
      <c r="BH298" s="2250"/>
      <c r="BI298" s="2275"/>
      <c r="BJ298" s="2275"/>
      <c r="BK298" s="2345">
        <v>1450</v>
      </c>
      <c r="BL298" s="2346">
        <v>51.39</v>
      </c>
      <c r="BM298" s="2346">
        <v>57.92</v>
      </c>
      <c r="BN298" s="2346">
        <v>64.06</v>
      </c>
      <c r="BO298" s="2346">
        <v>69.209999999999994</v>
      </c>
      <c r="BP298" s="2346">
        <v>69.209999999999994</v>
      </c>
      <c r="BQ298" s="2346">
        <v>72.87</v>
      </c>
      <c r="BR298" s="2346">
        <v>80.790000000000006</v>
      </c>
      <c r="BS298" s="2346">
        <v>85.94</v>
      </c>
      <c r="BT298" s="2346">
        <v>92.18</v>
      </c>
      <c r="BU298" s="2346">
        <v>100</v>
      </c>
      <c r="BV298" s="2346">
        <v>101.68</v>
      </c>
      <c r="BW298" s="2346">
        <v>115.15</v>
      </c>
      <c r="BX298" s="2346">
        <v>119.8</v>
      </c>
      <c r="BY298" s="2346">
        <v>123.76</v>
      </c>
      <c r="BZ298" s="2346">
        <v>129.5</v>
      </c>
      <c r="CA298" s="2346">
        <v>141.88</v>
      </c>
      <c r="CB298" s="2346">
        <v>152.47999999999999</v>
      </c>
      <c r="CC298" s="2346">
        <v>163.16999999999999</v>
      </c>
      <c r="CD298" s="2346">
        <v>167.23</v>
      </c>
      <c r="CE298" s="2346">
        <v>188.81</v>
      </c>
      <c r="CF298" s="2346">
        <v>197.62</v>
      </c>
      <c r="CG298" s="2346">
        <v>215.25</v>
      </c>
      <c r="CH298" s="2346">
        <v>234.16</v>
      </c>
      <c r="CI298" s="2346">
        <v>240.5</v>
      </c>
      <c r="CJ298" s="2346">
        <v>280.79000000000002</v>
      </c>
      <c r="CK298" s="2346">
        <v>309.5</v>
      </c>
      <c r="CL298" s="2346">
        <v>380.59</v>
      </c>
      <c r="CM298" s="2347">
        <v>1450</v>
      </c>
      <c r="CN298" s="2275"/>
      <c r="CO298" s="2276">
        <f>HLOOKUP(CO286,BL287:CL299,10,0)</f>
        <v>25.54</v>
      </c>
      <c r="CP298" s="2276">
        <f t="shared" si="273"/>
        <v>37.619999999999997</v>
      </c>
      <c r="CQ298" s="2275">
        <v>1250</v>
      </c>
      <c r="CR298" s="2275"/>
      <c r="CS298" s="2275"/>
      <c r="CT298" s="2275"/>
      <c r="CU298" s="2275"/>
      <c r="CV298" s="2275"/>
      <c r="CW298" s="2275"/>
      <c r="CX298" s="2250"/>
      <c r="CY298" s="2250"/>
      <c r="CZ298" s="2250"/>
      <c r="DA298" s="2250"/>
      <c r="DB298" s="2250"/>
      <c r="DC298" s="2250"/>
      <c r="DD298" s="2250"/>
      <c r="DE298" s="2250"/>
      <c r="DF298" s="2250"/>
      <c r="DG298" s="2250"/>
      <c r="DH298" s="2250"/>
      <c r="DI298" s="2250"/>
      <c r="DJ298" s="2250"/>
      <c r="DK298" s="2250"/>
      <c r="DL298" s="2250"/>
      <c r="DM298" s="2250"/>
      <c r="DN298" s="2250"/>
      <c r="DO298" s="2250"/>
      <c r="DP298" s="2250"/>
      <c r="DQ298" s="2277"/>
      <c r="DR298" s="2277"/>
      <c r="DS298" s="2278"/>
      <c r="DT298" s="2250"/>
      <c r="DU298" s="2250"/>
      <c r="DV298" s="2250"/>
      <c r="DW298" s="2250"/>
      <c r="DX298" s="2275"/>
      <c r="DY298" s="2275"/>
      <c r="DZ298" s="2345">
        <v>1250</v>
      </c>
      <c r="EA298" s="2346">
        <v>33.369999999999997</v>
      </c>
      <c r="EB298" s="2346">
        <v>37.619999999999997</v>
      </c>
      <c r="EC298" s="2346">
        <v>41.58</v>
      </c>
      <c r="ED298" s="2346">
        <v>46.14</v>
      </c>
      <c r="EE298" s="2346">
        <v>49.7</v>
      </c>
      <c r="EF298" s="2346">
        <v>47.33</v>
      </c>
      <c r="EG298" s="2346">
        <v>52.48</v>
      </c>
      <c r="EH298" s="2346">
        <v>55.84</v>
      </c>
      <c r="EI298" s="2346">
        <v>61.19</v>
      </c>
      <c r="EJ298" s="2346">
        <v>61.78</v>
      </c>
      <c r="EK298" s="2346">
        <v>70.989999999999995</v>
      </c>
      <c r="EL298" s="2346">
        <v>79.31</v>
      </c>
      <c r="EM298" s="2346">
        <v>80.099999999999994</v>
      </c>
      <c r="EN298" s="2346">
        <v>84.16</v>
      </c>
      <c r="EO298" s="2346">
        <v>88.12</v>
      </c>
      <c r="EP298" s="2346">
        <v>94.85</v>
      </c>
      <c r="EQ298" s="2346">
        <v>99.5</v>
      </c>
      <c r="ER298" s="2346">
        <v>108.22</v>
      </c>
      <c r="ES298" s="2346">
        <v>114.75</v>
      </c>
      <c r="ET298" s="2346">
        <v>123.76</v>
      </c>
      <c r="EU298" s="2346">
        <v>131.88</v>
      </c>
      <c r="EV298" s="2346">
        <v>138.12</v>
      </c>
      <c r="EW298" s="2346">
        <v>153.27000000000001</v>
      </c>
      <c r="EX298" s="2346">
        <v>166.24</v>
      </c>
      <c r="EY298" s="2346">
        <v>188.71</v>
      </c>
      <c r="EZ298" s="2346">
        <v>216.63</v>
      </c>
      <c r="FA298" s="2346">
        <v>228.42</v>
      </c>
      <c r="FB298" s="2347">
        <v>1250</v>
      </c>
      <c r="FC298" s="2275"/>
      <c r="FD298" s="2276">
        <f>HLOOKUP(FD287,EA288:FA300,9,0)</f>
        <v>32.770000000000003</v>
      </c>
      <c r="FE298" s="2276">
        <f t="shared" si="274"/>
        <v>44.26</v>
      </c>
      <c r="FF298" s="2275">
        <v>1100</v>
      </c>
      <c r="FG298" s="2275"/>
      <c r="FH298" s="2275"/>
      <c r="FI298" s="2275"/>
      <c r="FJ298" s="2275"/>
      <c r="FK298" s="2275"/>
      <c r="FL298" s="2275"/>
      <c r="FM298" s="2250"/>
      <c r="FN298" s="2250"/>
      <c r="FO298" s="2250"/>
      <c r="FP298" s="2250"/>
      <c r="FQ298" s="2250"/>
      <c r="FR298" s="2250"/>
      <c r="FS298" s="2250"/>
      <c r="FT298" s="2250"/>
      <c r="FU298" s="2250"/>
      <c r="FV298" s="2250"/>
      <c r="FW298" s="2250"/>
      <c r="FX298" s="2250"/>
      <c r="FY298" s="2250"/>
      <c r="FZ298" s="2250"/>
      <c r="GA298" s="2250"/>
      <c r="GB298" s="2250"/>
      <c r="GC298" s="2276"/>
      <c r="GD298" s="2276"/>
      <c r="GE298" s="2250"/>
      <c r="GF298" s="2275"/>
      <c r="GG298" s="2275"/>
      <c r="GH298" s="2345">
        <v>1250</v>
      </c>
      <c r="GI298" s="2346">
        <v>33.369999999999997</v>
      </c>
      <c r="GJ298" s="2346">
        <v>37.619999999999997</v>
      </c>
      <c r="GK298" s="2346">
        <v>41.58</v>
      </c>
      <c r="GL298" s="2346">
        <v>46.14</v>
      </c>
      <c r="GM298" s="2346">
        <v>49.7</v>
      </c>
      <c r="GN298" s="2346">
        <v>47.33</v>
      </c>
      <c r="GO298" s="2346">
        <v>52.48</v>
      </c>
      <c r="GP298" s="2346">
        <v>55.84</v>
      </c>
      <c r="GQ298" s="2346">
        <v>61.19</v>
      </c>
      <c r="GR298" s="2346">
        <v>61.78</v>
      </c>
      <c r="GS298" s="2346">
        <v>70.989999999999995</v>
      </c>
      <c r="GT298" s="2346">
        <v>79.31</v>
      </c>
      <c r="GU298" s="2346">
        <v>80.099999999999994</v>
      </c>
      <c r="GV298" s="2346">
        <v>84.16</v>
      </c>
      <c r="GW298" s="2346">
        <v>88.12</v>
      </c>
      <c r="GX298" s="2346">
        <v>94.85</v>
      </c>
      <c r="GY298" s="2346">
        <v>99.5</v>
      </c>
      <c r="GZ298" s="2346">
        <v>108.22</v>
      </c>
      <c r="HA298" s="2346">
        <v>114.75</v>
      </c>
      <c r="HB298" s="2346">
        <v>123.76</v>
      </c>
      <c r="HC298" s="2346">
        <v>131.88</v>
      </c>
      <c r="HD298" s="2346">
        <v>138.12</v>
      </c>
      <c r="HE298" s="2346">
        <v>153.27000000000001</v>
      </c>
      <c r="HF298" s="2346">
        <v>166.24</v>
      </c>
      <c r="HG298" s="2346">
        <v>188.71</v>
      </c>
      <c r="HH298" s="2346">
        <v>216.63</v>
      </c>
      <c r="HI298" s="2346">
        <v>228.42</v>
      </c>
      <c r="HJ298" s="2347">
        <v>1250</v>
      </c>
      <c r="HK298" s="2275"/>
      <c r="HL298" s="2276">
        <f>HLOOKUP(HL287,GI288:HI300,9,0)</f>
        <v>30.1</v>
      </c>
      <c r="HM298" s="2276">
        <f t="shared" si="275"/>
        <v>41.68</v>
      </c>
      <c r="HN298" s="2275">
        <v>1100</v>
      </c>
      <c r="HO298" s="2275"/>
      <c r="HP298" s="2275"/>
      <c r="HQ298" s="2275"/>
      <c r="HR298" s="2275"/>
      <c r="HS298" s="2275"/>
      <c r="HT298" s="2275"/>
      <c r="HU298" s="2250"/>
      <c r="HV298" s="2250"/>
      <c r="HW298" s="2250"/>
      <c r="HX298" s="2250"/>
      <c r="HY298" s="2250"/>
      <c r="HZ298" s="2250"/>
      <c r="IA298" s="2250"/>
      <c r="IB298" s="2250"/>
      <c r="IC298" s="2250"/>
      <c r="ID298" s="2250"/>
      <c r="IE298" s="2250"/>
      <c r="IF298" s="2250"/>
      <c r="IG298" s="2250"/>
      <c r="IH298" s="2250"/>
      <c r="II298" s="2250"/>
      <c r="IJ298" s="2250"/>
      <c r="IK298" s="2250"/>
      <c r="IL298" s="2250"/>
    </row>
    <row r="299" spans="1:246" ht="21.95" customHeight="1">
      <c r="A299" s="2275"/>
      <c r="B299" s="2275"/>
      <c r="C299" s="2345">
        <v>1650</v>
      </c>
      <c r="D299" s="2346">
        <v>74.650000000000006</v>
      </c>
      <c r="E299" s="2346">
        <v>84.16</v>
      </c>
      <c r="F299" s="2346">
        <v>92.87</v>
      </c>
      <c r="G299" s="2346">
        <v>92.87</v>
      </c>
      <c r="H299" s="2346">
        <v>98.02</v>
      </c>
      <c r="I299" s="2346">
        <v>105.94</v>
      </c>
      <c r="J299" s="2346">
        <v>111.68</v>
      </c>
      <c r="K299" s="2346">
        <v>123.76</v>
      </c>
      <c r="L299" s="2346">
        <v>131.49</v>
      </c>
      <c r="M299" s="2346">
        <v>140.99</v>
      </c>
      <c r="N299" s="2346">
        <v>147.82</v>
      </c>
      <c r="O299" s="2346">
        <v>172.38</v>
      </c>
      <c r="P299" s="2346">
        <v>174.16</v>
      </c>
      <c r="Q299" s="2346">
        <v>182.97</v>
      </c>
      <c r="R299" s="2346">
        <v>144.46</v>
      </c>
      <c r="S299" s="2346">
        <v>204.26</v>
      </c>
      <c r="T299" s="2346">
        <v>215.15</v>
      </c>
      <c r="U299" s="2346">
        <v>228.32</v>
      </c>
      <c r="V299" s="2346">
        <v>237.72</v>
      </c>
      <c r="W299" s="2346">
        <v>262.27999999999997</v>
      </c>
      <c r="X299" s="2346">
        <v>287.13</v>
      </c>
      <c r="Y299" s="2346">
        <v>316.93</v>
      </c>
      <c r="Z299" s="2346">
        <v>347.13</v>
      </c>
      <c r="AA299" s="2346">
        <v>377.52</v>
      </c>
      <c r="AB299" s="2346">
        <v>424.65</v>
      </c>
      <c r="AC299" s="2346">
        <v>451.88</v>
      </c>
      <c r="AD299" s="2346">
        <v>539.21</v>
      </c>
      <c r="AE299" s="2347">
        <v>1650</v>
      </c>
      <c r="AF299" s="2275"/>
      <c r="AG299" s="2276">
        <f>HLOOKUP(AG286,D287:AD299,11,0)</f>
        <v>41.58</v>
      </c>
      <c r="AH299" s="2276">
        <f t="shared" si="272"/>
        <v>64.06</v>
      </c>
      <c r="AI299" s="2275">
        <v>1450</v>
      </c>
      <c r="AJ299" s="2275"/>
      <c r="AK299" s="2275"/>
      <c r="AL299" s="2275"/>
      <c r="AM299" s="2275"/>
      <c r="AN299" s="2275"/>
      <c r="AO299" s="2275"/>
      <c r="AP299" s="2250"/>
      <c r="AQ299" s="2250"/>
      <c r="AR299" s="2250"/>
      <c r="AS299" s="2250"/>
      <c r="AT299" s="2250"/>
      <c r="AU299" s="2250"/>
      <c r="AV299" s="2250"/>
      <c r="AW299" s="2250"/>
      <c r="AX299" s="2250"/>
      <c r="AY299" s="2250"/>
      <c r="AZ299" s="2250"/>
      <c r="BA299" s="2250"/>
      <c r="BB299" s="2250"/>
      <c r="BC299" s="2250"/>
      <c r="BD299" s="2250"/>
      <c r="BE299" s="2250"/>
      <c r="BF299" s="2276"/>
      <c r="BG299" s="2276"/>
      <c r="BH299" s="2250"/>
      <c r="BI299" s="2275"/>
      <c r="BJ299" s="2275"/>
      <c r="BK299" s="2345">
        <v>1650</v>
      </c>
      <c r="BL299" s="2346">
        <v>74.650000000000006</v>
      </c>
      <c r="BM299" s="2346">
        <v>84.16</v>
      </c>
      <c r="BN299" s="2346">
        <v>92.87</v>
      </c>
      <c r="BO299" s="2346">
        <v>92.87</v>
      </c>
      <c r="BP299" s="2346">
        <v>98.02</v>
      </c>
      <c r="BQ299" s="2346">
        <v>105.94</v>
      </c>
      <c r="BR299" s="2346">
        <v>111.68</v>
      </c>
      <c r="BS299" s="2346">
        <v>123.76</v>
      </c>
      <c r="BT299" s="2346">
        <v>131.49</v>
      </c>
      <c r="BU299" s="2346">
        <v>140.99</v>
      </c>
      <c r="BV299" s="2346">
        <v>147.82</v>
      </c>
      <c r="BW299" s="2346">
        <v>172.38</v>
      </c>
      <c r="BX299" s="2346">
        <v>174.16</v>
      </c>
      <c r="BY299" s="2346">
        <v>182.97</v>
      </c>
      <c r="BZ299" s="2346">
        <v>144.46</v>
      </c>
      <c r="CA299" s="2346">
        <v>204.26</v>
      </c>
      <c r="CB299" s="2346">
        <v>215.15</v>
      </c>
      <c r="CC299" s="2346">
        <v>228.32</v>
      </c>
      <c r="CD299" s="2346">
        <v>237.72</v>
      </c>
      <c r="CE299" s="2346">
        <v>262.27999999999997</v>
      </c>
      <c r="CF299" s="2346">
        <v>287.13</v>
      </c>
      <c r="CG299" s="2346">
        <v>316.93</v>
      </c>
      <c r="CH299" s="2346">
        <v>347.13</v>
      </c>
      <c r="CI299" s="2346">
        <v>377.52</v>
      </c>
      <c r="CJ299" s="2346">
        <v>424.65</v>
      </c>
      <c r="CK299" s="2346">
        <v>451.88</v>
      </c>
      <c r="CL299" s="2346">
        <v>539.21</v>
      </c>
      <c r="CM299" s="2347">
        <v>1650</v>
      </c>
      <c r="CN299" s="2275"/>
      <c r="CO299" s="2276">
        <f>HLOOKUP(CO286,BL287:CL299,11,0)</f>
        <v>37.619999999999997</v>
      </c>
      <c r="CP299" s="2276">
        <f t="shared" si="273"/>
        <v>57.92</v>
      </c>
      <c r="CQ299" s="2275">
        <v>1450</v>
      </c>
      <c r="CR299" s="2275"/>
      <c r="CS299" s="2275"/>
      <c r="CT299" s="2275"/>
      <c r="CU299" s="2275"/>
      <c r="CV299" s="2275"/>
      <c r="CW299" s="2275"/>
      <c r="CX299" s="2250"/>
      <c r="CY299" s="2250"/>
      <c r="CZ299" s="2250"/>
      <c r="DA299" s="2250"/>
      <c r="DB299" s="2250"/>
      <c r="DC299" s="2250"/>
      <c r="DD299" s="2250"/>
      <c r="DE299" s="2250"/>
      <c r="DF299" s="2250"/>
      <c r="DG299" s="2250"/>
      <c r="DH299" s="2250"/>
      <c r="DI299" s="2250"/>
      <c r="DJ299" s="2250"/>
      <c r="DK299" s="2250"/>
      <c r="DL299" s="2250"/>
      <c r="DM299" s="2250"/>
      <c r="DN299" s="2250"/>
      <c r="DO299" s="2250"/>
      <c r="DP299" s="2250"/>
      <c r="DQ299" s="2277"/>
      <c r="DR299" s="2277"/>
      <c r="DS299" s="2278"/>
      <c r="DT299" s="2250"/>
      <c r="DU299" s="2250"/>
      <c r="DV299" s="2250"/>
      <c r="DW299" s="2250"/>
      <c r="DX299" s="2275"/>
      <c r="DY299" s="2275"/>
      <c r="DZ299" s="2345">
        <v>1450</v>
      </c>
      <c r="EA299" s="2346">
        <v>51.39</v>
      </c>
      <c r="EB299" s="2346">
        <v>57.92</v>
      </c>
      <c r="EC299" s="2346">
        <v>64.06</v>
      </c>
      <c r="ED299" s="2346">
        <v>69.209999999999994</v>
      </c>
      <c r="EE299" s="2346">
        <v>69.209999999999994</v>
      </c>
      <c r="EF299" s="2346">
        <v>72.87</v>
      </c>
      <c r="EG299" s="2346">
        <v>80.790000000000006</v>
      </c>
      <c r="EH299" s="2346">
        <v>85.94</v>
      </c>
      <c r="EI299" s="2346">
        <v>92.18</v>
      </c>
      <c r="EJ299" s="2346">
        <v>100</v>
      </c>
      <c r="EK299" s="2346">
        <v>101.68</v>
      </c>
      <c r="EL299" s="2346">
        <v>115.15</v>
      </c>
      <c r="EM299" s="2346">
        <v>119.8</v>
      </c>
      <c r="EN299" s="2346">
        <v>123.76</v>
      </c>
      <c r="EO299" s="2346">
        <v>129.5</v>
      </c>
      <c r="EP299" s="2346">
        <v>141.88</v>
      </c>
      <c r="EQ299" s="2346">
        <v>152.47999999999999</v>
      </c>
      <c r="ER299" s="2346">
        <v>163.16999999999999</v>
      </c>
      <c r="ES299" s="2346">
        <v>167.23</v>
      </c>
      <c r="ET299" s="2346">
        <v>188.81</v>
      </c>
      <c r="EU299" s="2346">
        <v>197.62</v>
      </c>
      <c r="EV299" s="2346">
        <v>215.25</v>
      </c>
      <c r="EW299" s="2346">
        <v>234.16</v>
      </c>
      <c r="EX299" s="2346">
        <v>240.5</v>
      </c>
      <c r="EY299" s="2346">
        <v>280.79000000000002</v>
      </c>
      <c r="EZ299" s="2346">
        <v>309.5</v>
      </c>
      <c r="FA299" s="2346">
        <v>380.59</v>
      </c>
      <c r="FB299" s="2347">
        <v>1450</v>
      </c>
      <c r="FC299" s="2275"/>
      <c r="FD299" s="2276">
        <f>HLOOKUP(FD287,EA288:FA300,10,0)</f>
        <v>44.26</v>
      </c>
      <c r="FE299" s="2276">
        <f t="shared" si="274"/>
        <v>61.78</v>
      </c>
      <c r="FF299" s="2275">
        <v>1250</v>
      </c>
      <c r="FG299" s="2275"/>
      <c r="FH299" s="2275"/>
      <c r="FI299" s="2275"/>
      <c r="FJ299" s="2275"/>
      <c r="FK299" s="2275"/>
      <c r="FL299" s="2275"/>
      <c r="FM299" s="2250"/>
      <c r="FN299" s="2250"/>
      <c r="FO299" s="2250"/>
      <c r="FP299" s="2250"/>
      <c r="FQ299" s="2250"/>
      <c r="FR299" s="2250"/>
      <c r="FS299" s="2250"/>
      <c r="FT299" s="2250"/>
      <c r="FU299" s="2250"/>
      <c r="FV299" s="2250"/>
      <c r="FW299" s="2250"/>
      <c r="FX299" s="2250"/>
      <c r="FY299" s="2250"/>
      <c r="FZ299" s="2250"/>
      <c r="GA299" s="2250"/>
      <c r="GB299" s="2250"/>
      <c r="GC299" s="2276"/>
      <c r="GD299" s="2276"/>
      <c r="GE299" s="2250"/>
      <c r="GF299" s="2275"/>
      <c r="GG299" s="2275"/>
      <c r="GH299" s="2345">
        <v>1450</v>
      </c>
      <c r="GI299" s="2346">
        <v>51.39</v>
      </c>
      <c r="GJ299" s="2346">
        <v>57.92</v>
      </c>
      <c r="GK299" s="2346">
        <v>64.06</v>
      </c>
      <c r="GL299" s="2346">
        <v>69.209999999999994</v>
      </c>
      <c r="GM299" s="2346">
        <v>69.209999999999994</v>
      </c>
      <c r="GN299" s="2346">
        <v>72.87</v>
      </c>
      <c r="GO299" s="2346">
        <v>80.790000000000006</v>
      </c>
      <c r="GP299" s="2346">
        <v>85.94</v>
      </c>
      <c r="GQ299" s="2346">
        <v>92.18</v>
      </c>
      <c r="GR299" s="2346">
        <v>100</v>
      </c>
      <c r="GS299" s="2346">
        <v>101.68</v>
      </c>
      <c r="GT299" s="2346">
        <v>115.15</v>
      </c>
      <c r="GU299" s="2346">
        <v>119.8</v>
      </c>
      <c r="GV299" s="2346">
        <v>123.76</v>
      </c>
      <c r="GW299" s="2346">
        <v>129.5</v>
      </c>
      <c r="GX299" s="2346">
        <v>141.88</v>
      </c>
      <c r="GY299" s="2346">
        <v>152.47999999999999</v>
      </c>
      <c r="GZ299" s="2346">
        <v>163.16999999999999</v>
      </c>
      <c r="HA299" s="2346">
        <v>167.23</v>
      </c>
      <c r="HB299" s="2346">
        <v>188.81</v>
      </c>
      <c r="HC299" s="2346">
        <v>197.62</v>
      </c>
      <c r="HD299" s="2346">
        <v>215.25</v>
      </c>
      <c r="HE299" s="2346">
        <v>234.16</v>
      </c>
      <c r="HF299" s="2346">
        <v>240.5</v>
      </c>
      <c r="HG299" s="2346">
        <v>280.79000000000002</v>
      </c>
      <c r="HH299" s="2346">
        <v>309.5</v>
      </c>
      <c r="HI299" s="2346">
        <v>380.59</v>
      </c>
      <c r="HJ299" s="2347">
        <v>1450</v>
      </c>
      <c r="HK299" s="2275"/>
      <c r="HL299" s="2276">
        <f>HLOOKUP(HL287,GI288:HI300,10,0)</f>
        <v>41.68</v>
      </c>
      <c r="HM299" s="2276">
        <f t="shared" si="275"/>
        <v>61.19</v>
      </c>
      <c r="HN299" s="2275">
        <v>1250</v>
      </c>
      <c r="HO299" s="2275"/>
      <c r="HP299" s="2275"/>
      <c r="HQ299" s="2275"/>
      <c r="HR299" s="2275"/>
      <c r="HS299" s="2275"/>
      <c r="HT299" s="2275"/>
      <c r="HU299" s="2250"/>
      <c r="HV299" s="2250"/>
      <c r="HW299" s="2250"/>
      <c r="HX299" s="2250"/>
      <c r="HY299" s="2250"/>
      <c r="HZ299" s="2250"/>
      <c r="IA299" s="2250"/>
      <c r="IB299" s="2250"/>
      <c r="IC299" s="2250"/>
      <c r="ID299" s="2250"/>
      <c r="IE299" s="2250"/>
      <c r="IF299" s="2250"/>
      <c r="IG299" s="2250"/>
      <c r="IH299" s="2250"/>
      <c r="II299" s="2250"/>
      <c r="IJ299" s="2250"/>
      <c r="IK299" s="2250"/>
      <c r="IL299" s="2250"/>
    </row>
    <row r="300" spans="1:246" ht="21.95" customHeight="1">
      <c r="A300" s="2275"/>
      <c r="B300" s="2275"/>
      <c r="C300" s="2275"/>
      <c r="D300" s="2275"/>
      <c r="E300" s="2275"/>
      <c r="F300" s="2275"/>
      <c r="G300" s="2275"/>
      <c r="H300" s="2275"/>
      <c r="I300" s="2275"/>
      <c r="J300" s="2275"/>
      <c r="K300" s="2275"/>
      <c r="L300" s="2275"/>
      <c r="M300" s="2275"/>
      <c r="N300" s="2275"/>
      <c r="O300" s="2275"/>
      <c r="P300" s="2275"/>
      <c r="Q300" s="2275"/>
      <c r="R300" s="2275"/>
      <c r="S300" s="2275"/>
      <c r="T300" s="2275"/>
      <c r="U300" s="2275"/>
      <c r="V300" s="2275"/>
      <c r="W300" s="2275"/>
      <c r="X300" s="2275"/>
      <c r="Y300" s="2275"/>
      <c r="Z300" s="2275"/>
      <c r="AA300" s="2275"/>
      <c r="AB300" s="2275"/>
      <c r="AC300" s="2275"/>
      <c r="AD300" s="2275"/>
      <c r="AE300" s="2346"/>
      <c r="AF300" s="2275"/>
      <c r="AG300" s="2276">
        <f>HLOOKUP(AG286,D287:AD299,12,0)</f>
        <v>64.06</v>
      </c>
      <c r="AH300" s="2276">
        <f t="shared" si="272"/>
        <v>92.87</v>
      </c>
      <c r="AI300" s="2275">
        <v>1650</v>
      </c>
      <c r="AJ300" s="2275"/>
      <c r="AK300" s="2275"/>
      <c r="AL300" s="2275"/>
      <c r="AM300" s="2275"/>
      <c r="AN300" s="2275"/>
      <c r="AO300" s="2275"/>
      <c r="AP300" s="2250"/>
      <c r="AQ300" s="2250"/>
      <c r="AR300" s="2250"/>
      <c r="AS300" s="2250"/>
      <c r="AT300" s="2250"/>
      <c r="AU300" s="2250"/>
      <c r="AV300" s="2250"/>
      <c r="AW300" s="2250"/>
      <c r="AX300" s="2250"/>
      <c r="AY300" s="2250"/>
      <c r="AZ300" s="2250"/>
      <c r="BA300" s="2250"/>
      <c r="BB300" s="2250"/>
      <c r="BC300" s="2250"/>
      <c r="BD300" s="2250"/>
      <c r="BE300" s="2250"/>
      <c r="BF300" s="2276"/>
      <c r="BG300" s="2276"/>
      <c r="BH300" s="2250"/>
      <c r="BI300" s="2275"/>
      <c r="BJ300" s="2275"/>
      <c r="BK300" s="2275"/>
      <c r="BL300" s="2275"/>
      <c r="BM300" s="2275"/>
      <c r="BN300" s="2275"/>
      <c r="BO300" s="2275"/>
      <c r="BP300" s="2275"/>
      <c r="BQ300" s="2275"/>
      <c r="BR300" s="2275"/>
      <c r="BS300" s="2275"/>
      <c r="BT300" s="2275"/>
      <c r="BU300" s="2275"/>
      <c r="BV300" s="2275"/>
      <c r="BW300" s="2275"/>
      <c r="BX300" s="2275"/>
      <c r="BY300" s="2275"/>
      <c r="BZ300" s="2275"/>
      <c r="CA300" s="2275"/>
      <c r="CB300" s="2275"/>
      <c r="CC300" s="2275"/>
      <c r="CD300" s="2275"/>
      <c r="CE300" s="2275"/>
      <c r="CF300" s="2275"/>
      <c r="CG300" s="2275"/>
      <c r="CH300" s="2275"/>
      <c r="CI300" s="2275"/>
      <c r="CJ300" s="2275"/>
      <c r="CK300" s="2275"/>
      <c r="CL300" s="2275"/>
      <c r="CM300" s="2346"/>
      <c r="CN300" s="2275"/>
      <c r="CO300" s="2276">
        <f>HLOOKUP(CO286,BL287:CL299,12,0)</f>
        <v>57.92</v>
      </c>
      <c r="CP300" s="2276">
        <f t="shared" si="273"/>
        <v>84.16</v>
      </c>
      <c r="CQ300" s="2275">
        <v>1650</v>
      </c>
      <c r="CR300" s="2275"/>
      <c r="CS300" s="2275"/>
      <c r="CT300" s="2275"/>
      <c r="CU300" s="2275"/>
      <c r="CV300" s="2275"/>
      <c r="CW300" s="2275"/>
      <c r="CX300" s="2250"/>
      <c r="CY300" s="2250"/>
      <c r="CZ300" s="2250"/>
      <c r="DA300" s="2250"/>
      <c r="DB300" s="2250"/>
      <c r="DC300" s="2250"/>
      <c r="DD300" s="2250"/>
      <c r="DE300" s="2250"/>
      <c r="DF300" s="2250"/>
      <c r="DG300" s="2250"/>
      <c r="DH300" s="2250"/>
      <c r="DI300" s="2250"/>
      <c r="DJ300" s="2250"/>
      <c r="DK300" s="2250"/>
      <c r="DL300" s="2250"/>
      <c r="DM300" s="2250"/>
      <c r="DN300" s="2250"/>
      <c r="DO300" s="2250"/>
      <c r="DP300" s="2250"/>
      <c r="DQ300" s="2277"/>
      <c r="DR300" s="2277"/>
      <c r="DS300" s="2278"/>
      <c r="DT300" s="2250"/>
      <c r="DU300" s="2250"/>
      <c r="DV300" s="2250"/>
      <c r="DW300" s="2250"/>
      <c r="DX300" s="2275"/>
      <c r="DY300" s="2275"/>
      <c r="DZ300" s="2345">
        <v>1650</v>
      </c>
      <c r="EA300" s="2346">
        <v>74.650000000000006</v>
      </c>
      <c r="EB300" s="2346">
        <v>84.16</v>
      </c>
      <c r="EC300" s="2346">
        <v>92.87</v>
      </c>
      <c r="ED300" s="2346">
        <v>92.87</v>
      </c>
      <c r="EE300" s="2346">
        <v>98.02</v>
      </c>
      <c r="EF300" s="2346">
        <v>105.94</v>
      </c>
      <c r="EG300" s="2346">
        <v>111.68</v>
      </c>
      <c r="EH300" s="2346">
        <v>123.76</v>
      </c>
      <c r="EI300" s="2346">
        <v>131.49</v>
      </c>
      <c r="EJ300" s="2346">
        <v>140.99</v>
      </c>
      <c r="EK300" s="2346">
        <v>147.82</v>
      </c>
      <c r="EL300" s="2346">
        <v>172.38</v>
      </c>
      <c r="EM300" s="2346">
        <v>174.16</v>
      </c>
      <c r="EN300" s="2346">
        <v>182.97</v>
      </c>
      <c r="EO300" s="2346">
        <v>144.46</v>
      </c>
      <c r="EP300" s="2346">
        <v>204.26</v>
      </c>
      <c r="EQ300" s="2346">
        <v>215.15</v>
      </c>
      <c r="ER300" s="2346">
        <v>228.32</v>
      </c>
      <c r="ES300" s="2346">
        <v>237.72</v>
      </c>
      <c r="ET300" s="2346">
        <v>262.27999999999997</v>
      </c>
      <c r="EU300" s="2346">
        <v>287.13</v>
      </c>
      <c r="EV300" s="2346">
        <v>316.93</v>
      </c>
      <c r="EW300" s="2346">
        <v>347.13</v>
      </c>
      <c r="EX300" s="2346">
        <v>377.52</v>
      </c>
      <c r="EY300" s="2346">
        <v>424.65</v>
      </c>
      <c r="EZ300" s="2346">
        <v>451.88</v>
      </c>
      <c r="FA300" s="2346">
        <v>539.21</v>
      </c>
      <c r="FB300" s="2347">
        <v>1650</v>
      </c>
      <c r="FC300" s="2275"/>
      <c r="FD300" s="2276">
        <f>HLOOKUP(FD287,EA288:FA300,11,0)</f>
        <v>61.78</v>
      </c>
      <c r="FE300" s="2276">
        <f t="shared" si="274"/>
        <v>100</v>
      </c>
      <c r="FF300" s="2275">
        <v>1450</v>
      </c>
      <c r="FG300" s="2275"/>
      <c r="FH300" s="2275"/>
      <c r="FI300" s="2275"/>
      <c r="FJ300" s="2275"/>
      <c r="FK300" s="2275"/>
      <c r="FL300" s="2275"/>
      <c r="FM300" s="2250"/>
      <c r="FN300" s="2250"/>
      <c r="FO300" s="2250"/>
      <c r="FP300" s="2250"/>
      <c r="FQ300" s="2250"/>
      <c r="FR300" s="2250"/>
      <c r="FS300" s="2250"/>
      <c r="FT300" s="2250"/>
      <c r="FU300" s="2250"/>
      <c r="FV300" s="2250"/>
      <c r="FW300" s="2250"/>
      <c r="FX300" s="2250"/>
      <c r="FY300" s="2250"/>
      <c r="FZ300" s="2250"/>
      <c r="GA300" s="2250"/>
      <c r="GB300" s="2250"/>
      <c r="GC300" s="2276"/>
      <c r="GD300" s="2276"/>
      <c r="GE300" s="2250"/>
      <c r="GF300" s="2275"/>
      <c r="GG300" s="2275"/>
      <c r="GH300" s="2345">
        <v>1650</v>
      </c>
      <c r="GI300" s="2346">
        <v>74.650000000000006</v>
      </c>
      <c r="GJ300" s="2346">
        <v>84.16</v>
      </c>
      <c r="GK300" s="2346">
        <v>92.87</v>
      </c>
      <c r="GL300" s="2346">
        <v>92.87</v>
      </c>
      <c r="GM300" s="2346">
        <v>98.02</v>
      </c>
      <c r="GN300" s="2346">
        <v>105.94</v>
      </c>
      <c r="GO300" s="2346">
        <v>111.68</v>
      </c>
      <c r="GP300" s="2346">
        <v>123.76</v>
      </c>
      <c r="GQ300" s="2346">
        <v>131.49</v>
      </c>
      <c r="GR300" s="2346">
        <v>140.99</v>
      </c>
      <c r="GS300" s="2346">
        <v>147.82</v>
      </c>
      <c r="GT300" s="2346">
        <v>172.38</v>
      </c>
      <c r="GU300" s="2346">
        <v>174.16</v>
      </c>
      <c r="GV300" s="2346">
        <v>182.97</v>
      </c>
      <c r="GW300" s="2346">
        <v>144.46</v>
      </c>
      <c r="GX300" s="2346">
        <v>204.26</v>
      </c>
      <c r="GY300" s="2346">
        <v>215.15</v>
      </c>
      <c r="GZ300" s="2346">
        <v>228.32</v>
      </c>
      <c r="HA300" s="2346">
        <v>237.72</v>
      </c>
      <c r="HB300" s="2346">
        <v>262.27999999999997</v>
      </c>
      <c r="HC300" s="2346">
        <v>287.13</v>
      </c>
      <c r="HD300" s="2346">
        <v>316.93</v>
      </c>
      <c r="HE300" s="2346">
        <v>347.13</v>
      </c>
      <c r="HF300" s="2346">
        <v>377.52</v>
      </c>
      <c r="HG300" s="2346">
        <v>424.65</v>
      </c>
      <c r="HH300" s="2346">
        <v>451.88</v>
      </c>
      <c r="HI300" s="2346">
        <v>539.21</v>
      </c>
      <c r="HJ300" s="2347">
        <v>1650</v>
      </c>
      <c r="HK300" s="2275"/>
      <c r="HL300" s="2276">
        <f>HLOOKUP(HL287,GI288:HI300,11,0)</f>
        <v>61.19</v>
      </c>
      <c r="HM300" s="2276">
        <f t="shared" si="275"/>
        <v>92.18</v>
      </c>
      <c r="HN300" s="2275">
        <v>1450</v>
      </c>
      <c r="HO300" s="2275"/>
      <c r="HP300" s="2275"/>
      <c r="HQ300" s="2275"/>
      <c r="HR300" s="2275"/>
      <c r="HS300" s="2275"/>
      <c r="HT300" s="2275"/>
      <c r="HU300" s="2250"/>
      <c r="HV300" s="2250"/>
      <c r="HW300" s="2250"/>
      <c r="HX300" s="2250"/>
      <c r="HY300" s="2250"/>
      <c r="HZ300" s="2250"/>
      <c r="IA300" s="2250"/>
      <c r="IB300" s="2250"/>
      <c r="IC300" s="2250"/>
      <c r="ID300" s="2250"/>
      <c r="IE300" s="2250"/>
      <c r="IF300" s="2250"/>
      <c r="IG300" s="2250"/>
      <c r="IH300" s="2250"/>
      <c r="II300" s="2250"/>
      <c r="IJ300" s="2250"/>
      <c r="IK300" s="2250"/>
      <c r="IL300" s="2250"/>
    </row>
    <row r="301" spans="1:246" ht="21.95" customHeight="1">
      <c r="A301" s="2275"/>
      <c r="B301" s="2276">
        <f>AG286</f>
        <v>190.4</v>
      </c>
      <c r="C301" s="2275">
        <v>0</v>
      </c>
      <c r="D301" s="2276">
        <f>VLOOKUP(B303,C289:AD299,2,0)</f>
        <v>16.93</v>
      </c>
      <c r="E301" s="2276">
        <f>VLOOKUP(B303,C289:E299,3,0)</f>
        <v>19.010000000000002</v>
      </c>
      <c r="F301" s="2276">
        <f>VLOOKUP(B303,C289:F299,4,0)</f>
        <v>21.09</v>
      </c>
      <c r="G301" s="2276">
        <f>VLOOKUP(B303,C289:G299,5,0)</f>
        <v>22.28</v>
      </c>
      <c r="H301" s="2276">
        <f>VLOOKUP(B303,C289:H299,6,0)</f>
        <v>22.28</v>
      </c>
      <c r="I301" s="2276">
        <f>VLOOKUP(B303,C289:I299,7,0)</f>
        <v>23.96</v>
      </c>
      <c r="J301" s="2276">
        <f>VLOOKUP(B303,C289:J299,8,0)</f>
        <v>26.53</v>
      </c>
      <c r="K301" s="2276">
        <f>VLOOKUP(B303,C289:K299,9,0)</f>
        <v>28.32</v>
      </c>
      <c r="L301" s="2276">
        <f>VLOOKUP(B303,C289:L299,10,0)</f>
        <v>30.1</v>
      </c>
      <c r="M301" s="2276">
        <f>VLOOKUP(B303,C289:M299,11,0)</f>
        <v>32.770000000000003</v>
      </c>
      <c r="N301" s="2276">
        <f>VLOOKUP(B303,C289:N299,12,0)</f>
        <v>33.47</v>
      </c>
      <c r="O301" s="2276">
        <f>VLOOKUP(B303,C289:O299,13,0)</f>
        <v>39.21</v>
      </c>
      <c r="P301" s="2276">
        <f>VLOOKUP(B303,C289:P299,14,0)</f>
        <v>39.409999999999997</v>
      </c>
      <c r="Q301" s="2276">
        <f>VLOOKUP(B303,C289:Q299,15,0)</f>
        <v>39.700000000000003</v>
      </c>
      <c r="R301" s="2276">
        <f>VLOOKUP(B303,C289:R299,16,0)</f>
        <v>41.78</v>
      </c>
      <c r="S301" s="2276">
        <f>VLOOKUP(B303,C289:S299,17,0)</f>
        <v>45.54</v>
      </c>
      <c r="T301" s="2276">
        <f>VLOOKUP(B303,C289:T299,18,0)</f>
        <v>48.71</v>
      </c>
      <c r="U301" s="2276">
        <f>VLOOKUP(B303,C289:U299,19,0)</f>
        <v>51.19</v>
      </c>
      <c r="V301" s="2276">
        <f>VLOOKUP(B303,C289:V299,20,0)</f>
        <v>53.76</v>
      </c>
      <c r="W301" s="2276">
        <f>VLOOKUP(B303,C289:W299,21,0)</f>
        <v>59.01</v>
      </c>
      <c r="X301" s="2276">
        <f>VLOOKUP(B303,C289:X299,22,0)</f>
        <v>63.47</v>
      </c>
      <c r="Y301" s="2276">
        <f>VLOOKUP(B303,C289:Y299,23,0)</f>
        <v>68.91</v>
      </c>
      <c r="Z301" s="2276">
        <f>VLOOKUP(B303,C289:Z299,24,0)</f>
        <v>74.650000000000006</v>
      </c>
      <c r="AA301" s="2276">
        <f>VLOOKUP(B303,C289:AA299,25,0)</f>
        <v>81.98</v>
      </c>
      <c r="AB301" s="2276">
        <f>VLOOKUP(B303,C289:AB299,26,0)</f>
        <v>90.2</v>
      </c>
      <c r="AC301" s="2276">
        <f>VLOOKUP(B303,C289:AC299,27,0)</f>
        <v>99.41</v>
      </c>
      <c r="AD301" s="2276">
        <f>VLOOKUP(B303,C289:AD299,28,0)</f>
        <v>117.33</v>
      </c>
      <c r="AE301" s="2346"/>
      <c r="AF301" s="2275"/>
      <c r="AG301" s="2276">
        <f>HLOOKUP(AG286,D287:AD299,13,0)</f>
        <v>92.87</v>
      </c>
      <c r="AH301" s="2275"/>
      <c r="AI301" s="2275"/>
      <c r="AJ301" s="2275"/>
      <c r="AK301" s="2275"/>
      <c r="AL301" s="2275"/>
      <c r="AM301" s="2275"/>
      <c r="AN301" s="2275"/>
      <c r="AO301" s="2275"/>
      <c r="AP301" s="2250"/>
      <c r="AQ301" s="2250"/>
      <c r="AR301" s="2250"/>
      <c r="AS301" s="2250"/>
      <c r="AT301" s="2250"/>
      <c r="AU301" s="2250"/>
      <c r="AV301" s="2250"/>
      <c r="AW301" s="2250"/>
      <c r="AX301" s="2250"/>
      <c r="AY301" s="2250"/>
      <c r="AZ301" s="2250"/>
      <c r="BA301" s="2250"/>
      <c r="BB301" s="2250"/>
      <c r="BC301" s="2250"/>
      <c r="BD301" s="2250"/>
      <c r="BE301" s="2250"/>
      <c r="BF301" s="2276"/>
      <c r="BG301" s="2276"/>
      <c r="BH301" s="2250"/>
      <c r="BI301" s="2275"/>
      <c r="BJ301" s="2276">
        <f>CO286</f>
        <v>206.43</v>
      </c>
      <c r="BK301" s="2275">
        <v>0</v>
      </c>
      <c r="BL301" s="2276">
        <f>VLOOKUP(BJ303,BK289:CL299,2,0)</f>
        <v>22.67</v>
      </c>
      <c r="BM301" s="2276">
        <f>VLOOKUP(BJ303,BK289:BM299,3,0)</f>
        <v>25.54</v>
      </c>
      <c r="BN301" s="2276">
        <f>VLOOKUP(BJ303,BK289:BN299,4,0)</f>
        <v>28.32</v>
      </c>
      <c r="BO301" s="2276">
        <f>VLOOKUP(BJ303,BK289:BO299,5,0)</f>
        <v>31.39</v>
      </c>
      <c r="BP301" s="2276">
        <f>VLOOKUP(BJ303,BK289:BP299,6,0)</f>
        <v>34.26</v>
      </c>
      <c r="BQ301" s="2276">
        <f>VLOOKUP(BJ303,BK289:BQ299,7,0)</f>
        <v>32.28</v>
      </c>
      <c r="BR301" s="2276">
        <f>VLOOKUP(BJ303,BK289:BR299,8,0)</f>
        <v>35.74</v>
      </c>
      <c r="BS301" s="2276">
        <f>VLOOKUP(BJ303,BK289:BS299,9,0)</f>
        <v>39.11</v>
      </c>
      <c r="BT301" s="2276">
        <f>VLOOKUP(BJ303,BK289:BT299,10,0)</f>
        <v>41.68</v>
      </c>
      <c r="BU301" s="2276">
        <f>VLOOKUP(BJ303,BK289:BU299,11,0)</f>
        <v>44.26</v>
      </c>
      <c r="BV301" s="2276">
        <f>VLOOKUP(BJ303,BK289:BV299,12,0)</f>
        <v>51.88</v>
      </c>
      <c r="BW301" s="2276">
        <f>VLOOKUP(BJ303,BK289:BW299,13,0)</f>
        <v>55.35</v>
      </c>
      <c r="BX301" s="2276">
        <f>VLOOKUP(BJ303,BK289:BX299,14,0)</f>
        <v>59.01</v>
      </c>
      <c r="BY301" s="2276">
        <f>VLOOKUP(BJ303,BK289:BY299,15,0)</f>
        <v>57.33</v>
      </c>
      <c r="BZ301" s="2276">
        <f>VLOOKUP(BJ303,BK289:BZ299,16,0)</f>
        <v>61.49</v>
      </c>
      <c r="CA301" s="2276">
        <f>VLOOKUP(BJ303,BK289:CA299,17,0)</f>
        <v>64.849999999999994</v>
      </c>
      <c r="CB301" s="2276">
        <f>VLOOKUP(BJ303,BK289:CB299,18,0)</f>
        <v>70.5</v>
      </c>
      <c r="CC301" s="2276">
        <f>VLOOKUP(BJ303,BK289:CC299,19,0)</f>
        <v>73.66</v>
      </c>
      <c r="CD301" s="2276">
        <f>VLOOKUP(BJ303,BK289:CD299,20,0)</f>
        <v>78.12</v>
      </c>
      <c r="CE301" s="2276">
        <f>VLOOKUP(BJ303,BK289:CE299,21,0)</f>
        <v>86.53</v>
      </c>
      <c r="CF301" s="2276">
        <f>VLOOKUP(BJ303,BK289:CF299,22,0)</f>
        <v>91.19</v>
      </c>
      <c r="CG301" s="2276">
        <f>VLOOKUP(BJ303,BK289:CG299,23,0)</f>
        <v>100</v>
      </c>
      <c r="CH301" s="2276">
        <f>VLOOKUP(BJ303,BK289:CH299,24,0)</f>
        <v>109.6</v>
      </c>
      <c r="CI301" s="2276">
        <f>VLOOKUP(BJ303,BK289:CI299,25,0)</f>
        <v>131.19</v>
      </c>
      <c r="CJ301" s="2276">
        <f>VLOOKUP(BJ303,BK289:CJ299,26,0)</f>
        <v>133.86000000000001</v>
      </c>
      <c r="CK301" s="2276">
        <f>VLOOKUP(BJ303,BK289:CK299,27,0)</f>
        <v>155.15</v>
      </c>
      <c r="CL301" s="2276">
        <f>VLOOKUP(BJ303,BK289:CL299,28,0)</f>
        <v>175.05</v>
      </c>
      <c r="CM301" s="2346"/>
      <c r="CN301" s="2275"/>
      <c r="CO301" s="2276">
        <f>HLOOKUP(CO286,BL287:CL299,13,0)</f>
        <v>84.16</v>
      </c>
      <c r="CP301" s="2275"/>
      <c r="CQ301" s="2275"/>
      <c r="CR301" s="2275"/>
      <c r="CS301" s="2275"/>
      <c r="CT301" s="2275"/>
      <c r="CU301" s="2275"/>
      <c r="CV301" s="2275"/>
      <c r="CW301" s="2275"/>
      <c r="CX301" s="2250"/>
      <c r="CY301" s="2250"/>
      <c r="CZ301" s="2250"/>
      <c r="DA301" s="2250"/>
      <c r="DB301" s="2250"/>
      <c r="DC301" s="2250"/>
      <c r="DD301" s="2250"/>
      <c r="DE301" s="2250"/>
      <c r="DF301" s="2250"/>
      <c r="DG301" s="2250"/>
      <c r="DH301" s="2250"/>
      <c r="DI301" s="2250"/>
      <c r="DJ301" s="2250"/>
      <c r="DK301" s="2250"/>
      <c r="DL301" s="2250"/>
      <c r="DM301" s="2250"/>
      <c r="DN301" s="2250"/>
      <c r="DO301" s="2250"/>
      <c r="DP301" s="2250"/>
      <c r="DQ301" s="2277"/>
      <c r="DR301" s="2277"/>
      <c r="DS301" s="2278"/>
      <c r="DT301" s="2250"/>
      <c r="DU301" s="2250"/>
      <c r="DV301" s="2250"/>
      <c r="DW301" s="2250"/>
      <c r="DX301" s="2275"/>
      <c r="DY301" s="2275"/>
      <c r="DZ301" s="2275"/>
      <c r="EA301" s="2275"/>
      <c r="EB301" s="2275"/>
      <c r="EC301" s="2275"/>
      <c r="ED301" s="2275"/>
      <c r="EE301" s="2275"/>
      <c r="EF301" s="2275"/>
      <c r="EG301" s="2275"/>
      <c r="EH301" s="2275"/>
      <c r="EI301" s="2275"/>
      <c r="EJ301" s="2275"/>
      <c r="EK301" s="2275"/>
      <c r="EL301" s="2275"/>
      <c r="EM301" s="2275"/>
      <c r="EN301" s="2275"/>
      <c r="EO301" s="2275"/>
      <c r="EP301" s="2275"/>
      <c r="EQ301" s="2275"/>
      <c r="ER301" s="2275"/>
      <c r="ES301" s="2275"/>
      <c r="ET301" s="2275"/>
      <c r="EU301" s="2275"/>
      <c r="EV301" s="2275"/>
      <c r="EW301" s="2275"/>
      <c r="EX301" s="2275"/>
      <c r="EY301" s="2275"/>
      <c r="EZ301" s="2275"/>
      <c r="FA301" s="2275"/>
      <c r="FB301" s="2346"/>
      <c r="FC301" s="2275"/>
      <c r="FD301" s="2276">
        <f>HLOOKUP(FD287,EA288:FA300,12,0)</f>
        <v>100</v>
      </c>
      <c r="FE301" s="2276">
        <f t="shared" si="274"/>
        <v>140.99</v>
      </c>
      <c r="FF301" s="2275">
        <v>1650</v>
      </c>
      <c r="FG301" s="2275"/>
      <c r="FH301" s="2275"/>
      <c r="FI301" s="2275"/>
      <c r="FJ301" s="2275"/>
      <c r="FK301" s="2275"/>
      <c r="FL301" s="2275"/>
      <c r="FM301" s="2250"/>
      <c r="FN301" s="2250"/>
      <c r="FO301" s="2250"/>
      <c r="FP301" s="2250"/>
      <c r="FQ301" s="2250"/>
      <c r="FR301" s="2250"/>
      <c r="FS301" s="2250"/>
      <c r="FT301" s="2250"/>
      <c r="FU301" s="2250"/>
      <c r="FV301" s="2250"/>
      <c r="FW301" s="2250"/>
      <c r="FX301" s="2250"/>
      <c r="FY301" s="2250"/>
      <c r="FZ301" s="2250"/>
      <c r="GA301" s="2250"/>
      <c r="GB301" s="2250"/>
      <c r="GC301" s="2276"/>
      <c r="GD301" s="2276"/>
      <c r="GE301" s="2250"/>
      <c r="GF301" s="2275"/>
      <c r="GG301" s="2275"/>
      <c r="GH301" s="2275"/>
      <c r="GI301" s="2275"/>
      <c r="GJ301" s="2275"/>
      <c r="GK301" s="2275"/>
      <c r="GL301" s="2275"/>
      <c r="GM301" s="2275"/>
      <c r="GN301" s="2275"/>
      <c r="GO301" s="2275"/>
      <c r="GP301" s="2275"/>
      <c r="GQ301" s="2275"/>
      <c r="GR301" s="2275"/>
      <c r="GS301" s="2275"/>
      <c r="GT301" s="2275"/>
      <c r="GU301" s="2275"/>
      <c r="GV301" s="2275"/>
      <c r="GW301" s="2275"/>
      <c r="GX301" s="2275"/>
      <c r="GY301" s="2275"/>
      <c r="GZ301" s="2275"/>
      <c r="HA301" s="2275"/>
      <c r="HB301" s="2275"/>
      <c r="HC301" s="2275"/>
      <c r="HD301" s="2275"/>
      <c r="HE301" s="2275"/>
      <c r="HF301" s="2275"/>
      <c r="HG301" s="2275"/>
      <c r="HH301" s="2275"/>
      <c r="HI301" s="2275"/>
      <c r="HJ301" s="2346"/>
      <c r="HK301" s="2275"/>
      <c r="HL301" s="2276">
        <f>HLOOKUP(HL287,GI288:HI300,12,0)</f>
        <v>92.18</v>
      </c>
      <c r="HM301" s="2276">
        <f t="shared" si="275"/>
        <v>131.49</v>
      </c>
      <c r="HN301" s="2275">
        <v>1650</v>
      </c>
      <c r="HO301" s="2275"/>
      <c r="HP301" s="2275"/>
      <c r="HQ301" s="2275"/>
      <c r="HR301" s="2275"/>
      <c r="HS301" s="2275"/>
      <c r="HT301" s="2275"/>
      <c r="HU301" s="2250"/>
      <c r="HV301" s="2250"/>
      <c r="HW301" s="2250"/>
      <c r="HX301" s="2250"/>
      <c r="HY301" s="2250"/>
      <c r="HZ301" s="2250"/>
      <c r="IA301" s="2250"/>
      <c r="IB301" s="2250"/>
      <c r="IC301" s="2250"/>
      <c r="ID301" s="2250"/>
      <c r="IE301" s="2250"/>
      <c r="IF301" s="2250"/>
      <c r="IG301" s="2250"/>
      <c r="IH301" s="2250"/>
      <c r="II301" s="2250"/>
      <c r="IJ301" s="2250"/>
      <c r="IK301" s="2250"/>
      <c r="IL301" s="2250"/>
    </row>
    <row r="302" spans="1:246" ht="21.95" customHeight="1">
      <c r="A302" s="2275"/>
      <c r="B302" s="2276">
        <f>AH303</f>
        <v>21.09</v>
      </c>
      <c r="C302" s="2275"/>
      <c r="D302" s="2275"/>
      <c r="E302" s="2275"/>
      <c r="F302" s="2275"/>
      <c r="G302" s="2275"/>
      <c r="H302" s="2275"/>
      <c r="I302" s="2275"/>
      <c r="J302" s="2275"/>
      <c r="K302" s="2275"/>
      <c r="L302" s="2275"/>
      <c r="M302" s="2275"/>
      <c r="N302" s="2275"/>
      <c r="O302" s="2275"/>
      <c r="P302" s="2275"/>
      <c r="Q302" s="2275"/>
      <c r="R302" s="2275"/>
      <c r="S302" s="2275"/>
      <c r="T302" s="2275"/>
      <c r="U302" s="2275"/>
      <c r="V302" s="2275"/>
      <c r="W302" s="2275"/>
      <c r="X302" s="2275"/>
      <c r="Y302" s="2275"/>
      <c r="Z302" s="2275"/>
      <c r="AA302" s="2275"/>
      <c r="AB302" s="2275"/>
      <c r="AC302" s="2275"/>
      <c r="AD302" s="2275"/>
      <c r="AE302" s="2275"/>
      <c r="AF302" s="2275"/>
      <c r="AG302" s="2276">
        <f>VLOOKUP(AG287,AG289:AG301,1)</f>
        <v>14.55</v>
      </c>
      <c r="AH302" s="2276">
        <f>IFERROR(VLOOKUP(AG287,AH290:AH300,1,0),0)</f>
        <v>0</v>
      </c>
      <c r="AI302" s="2275"/>
      <c r="AJ302" s="2275"/>
      <c r="AK302" s="2275"/>
      <c r="AL302" s="2275"/>
      <c r="AM302" s="2275"/>
      <c r="AN302" s="2275"/>
      <c r="AO302" s="2275"/>
      <c r="AP302" s="2250"/>
      <c r="AQ302" s="2250"/>
      <c r="AR302" s="2250"/>
      <c r="AS302" s="2250"/>
      <c r="AT302" s="2250"/>
      <c r="AU302" s="2250"/>
      <c r="AV302" s="2250"/>
      <c r="AW302" s="2250"/>
      <c r="AX302" s="2250"/>
      <c r="AY302" s="2250"/>
      <c r="AZ302" s="2250"/>
      <c r="BA302" s="2250"/>
      <c r="BB302" s="2250"/>
      <c r="BC302" s="2250"/>
      <c r="BD302" s="2250"/>
      <c r="BE302" s="2250"/>
      <c r="BF302" s="2276"/>
      <c r="BG302" s="2276"/>
      <c r="BH302" s="2250"/>
      <c r="BI302" s="2275"/>
      <c r="BJ302" s="2276">
        <f>CP303</f>
        <v>25.54</v>
      </c>
      <c r="BK302" s="2275"/>
      <c r="BL302" s="2275"/>
      <c r="BM302" s="2275"/>
      <c r="BN302" s="2275"/>
      <c r="BO302" s="2275"/>
      <c r="BP302" s="2275"/>
      <c r="BQ302" s="2275"/>
      <c r="BR302" s="2275"/>
      <c r="BS302" s="2275"/>
      <c r="BT302" s="2275"/>
      <c r="BU302" s="2275"/>
      <c r="BV302" s="2275"/>
      <c r="BW302" s="2275"/>
      <c r="BX302" s="2275"/>
      <c r="BY302" s="2275"/>
      <c r="BZ302" s="2275"/>
      <c r="CA302" s="2275"/>
      <c r="CB302" s="2275"/>
      <c r="CC302" s="2275"/>
      <c r="CD302" s="2275"/>
      <c r="CE302" s="2275"/>
      <c r="CF302" s="2275"/>
      <c r="CG302" s="2275"/>
      <c r="CH302" s="2275"/>
      <c r="CI302" s="2275"/>
      <c r="CJ302" s="2275"/>
      <c r="CK302" s="2275"/>
      <c r="CL302" s="2275"/>
      <c r="CM302" s="2275"/>
      <c r="CN302" s="2275"/>
      <c r="CO302" s="2276">
        <f>VLOOKUP(CO287,CO289:CO301,1)</f>
        <v>19.010000000000002</v>
      </c>
      <c r="CP302" s="2276">
        <f>IFERROR(VLOOKUP(CO287,CP290:CP300,1,0),0)</f>
        <v>0</v>
      </c>
      <c r="CQ302" s="2275"/>
      <c r="CR302" s="2275"/>
      <c r="CS302" s="2275"/>
      <c r="CT302" s="2275"/>
      <c r="CU302" s="2275"/>
      <c r="CV302" s="2275"/>
      <c r="CW302" s="2275"/>
      <c r="CX302" s="2250"/>
      <c r="CY302" s="2250"/>
      <c r="CZ302" s="2250"/>
      <c r="DA302" s="2250"/>
      <c r="DB302" s="2250"/>
      <c r="DC302" s="2250"/>
      <c r="DD302" s="2250"/>
      <c r="DE302" s="2250"/>
      <c r="DF302" s="2250"/>
      <c r="DG302" s="2250"/>
      <c r="DH302" s="2250"/>
      <c r="DI302" s="2250"/>
      <c r="DJ302" s="2250"/>
      <c r="DK302" s="2250"/>
      <c r="DL302" s="2250"/>
      <c r="DM302" s="2250"/>
      <c r="DN302" s="2250"/>
      <c r="DO302" s="2250"/>
      <c r="DP302" s="2250"/>
      <c r="DQ302" s="2277"/>
      <c r="DR302" s="2277"/>
      <c r="DS302" s="2278"/>
      <c r="DT302" s="2250"/>
      <c r="DU302" s="2250"/>
      <c r="DV302" s="2250"/>
      <c r="DW302" s="2250"/>
      <c r="DX302" s="2275"/>
      <c r="DY302" s="2276">
        <f>FD287</f>
        <v>120.7</v>
      </c>
      <c r="DZ302" s="2275">
        <v>0</v>
      </c>
      <c r="EA302" s="2276">
        <f>VLOOKUP(DY304,DZ290:FA300,2,0)</f>
        <v>12.18</v>
      </c>
      <c r="EB302" s="2276">
        <f>VLOOKUP(DY304,DZ290:EB300,3,0)</f>
        <v>13.37</v>
      </c>
      <c r="EC302" s="2276">
        <f>VLOOKUP(DY304,DZ290:EC300,4,0)</f>
        <v>14.55</v>
      </c>
      <c r="ED302" s="2276">
        <f>VLOOKUP(DY304,DZ290:ED300,5,0)</f>
        <v>14.65</v>
      </c>
      <c r="EE302" s="2276">
        <f>VLOOKUP(DY304,DZ290:EE300,6,0)</f>
        <v>16.239999999999998</v>
      </c>
      <c r="EF302" s="2276">
        <f>VLOOKUP(DY304,DZ290:EF300,7,0)</f>
        <v>16.63</v>
      </c>
      <c r="EG302" s="2276">
        <f>VLOOKUP(DY304,DZ290:EG300,8,0)</f>
        <v>18.22</v>
      </c>
      <c r="EH302" s="2276">
        <f>VLOOKUP(DY304,DZ290:EH300,9,0)</f>
        <v>19.5</v>
      </c>
      <c r="EI302" s="2276">
        <f>VLOOKUP(DY304,DZ290:EI300,10,0)</f>
        <v>20.69</v>
      </c>
      <c r="EJ302" s="2276">
        <f>VLOOKUP(DY304,DZ290:EJ300,11,0)</f>
        <v>21.98</v>
      </c>
      <c r="EK302" s="2276">
        <f>VLOOKUP(DY304,DZ290:EK300,12,0)</f>
        <v>23.17</v>
      </c>
      <c r="EL302" s="2276">
        <f>VLOOKUP(DY304,DZ290:EL300,13,0)</f>
        <v>25.94</v>
      </c>
      <c r="EM302" s="2276">
        <f>VLOOKUP(DY304,DZ290:EM300,14,0)</f>
        <v>27.13</v>
      </c>
      <c r="EN302" s="2276">
        <f>VLOOKUP(DY304,DZ290:EN300,15,0)</f>
        <v>27.72</v>
      </c>
      <c r="EO302" s="2276">
        <f>VLOOKUP(DY304,DZ290:EO300,16,0)</f>
        <v>28.51</v>
      </c>
      <c r="EP302" s="2276">
        <f>VLOOKUP(DY304,DZ290:EP300,17,0)</f>
        <v>31.29</v>
      </c>
      <c r="EQ302" s="2276">
        <f>VLOOKUP(DY304,DZ290:EQ300,18,0)</f>
        <v>31.58</v>
      </c>
      <c r="ER302" s="2276">
        <f>VLOOKUP(DY304,DZ290:ER300,19,0)</f>
        <v>34.950000000000003</v>
      </c>
      <c r="ES302" s="2276">
        <f>VLOOKUP(DY304,DZ290:ES300,20,0)</f>
        <v>37.03</v>
      </c>
      <c r="ET302" s="2276">
        <f>VLOOKUP(DY304,DZ290:ET300,21,0)</f>
        <v>39.21</v>
      </c>
      <c r="EU302" s="2276">
        <f>VLOOKUP(DY304,DZ290:EU300,22,0)</f>
        <v>42.48</v>
      </c>
      <c r="EV302" s="2276">
        <f>VLOOKUP(DY304,DZ290:EV300,23,0)</f>
        <v>45.94</v>
      </c>
      <c r="EW302" s="2276">
        <f>VLOOKUP(DY304,DZ290:EW300,24,0)</f>
        <v>51.68</v>
      </c>
      <c r="EX302" s="2276">
        <f>VLOOKUP(DY304,DZ290:EX300,25,0)</f>
        <v>57.43</v>
      </c>
      <c r="EY302" s="2276">
        <f>VLOOKUP(DY304,DZ290:EY300,26,0)</f>
        <v>64.16</v>
      </c>
      <c r="EZ302" s="2276">
        <f>VLOOKUP(DY304,DZ290:EZ300,27,0)</f>
        <v>69.7</v>
      </c>
      <c r="FA302" s="2276">
        <f>VLOOKUP(DY304,DZ290:FA300,28,0)</f>
        <v>78.61</v>
      </c>
      <c r="FB302" s="2346"/>
      <c r="FC302" s="2275"/>
      <c r="FD302" s="2276">
        <f>HLOOKUP(FD287,EA288:FA300,13,0)</f>
        <v>140.99</v>
      </c>
      <c r="FE302" s="2275"/>
      <c r="FF302" s="2275"/>
      <c r="FG302" s="2275"/>
      <c r="FH302" s="2275"/>
      <c r="FI302" s="2275"/>
      <c r="FJ302" s="2275"/>
      <c r="FK302" s="2275"/>
      <c r="FL302" s="2275"/>
      <c r="FM302" s="2250"/>
      <c r="FN302" s="2250"/>
      <c r="FO302" s="2250"/>
      <c r="FP302" s="2250"/>
      <c r="FQ302" s="2250"/>
      <c r="FR302" s="2250"/>
      <c r="FS302" s="2250"/>
      <c r="FT302" s="2250"/>
      <c r="FU302" s="2250"/>
      <c r="FV302" s="2250"/>
      <c r="FW302" s="2250"/>
      <c r="FX302" s="2250"/>
      <c r="FY302" s="2250"/>
      <c r="FZ302" s="2250"/>
      <c r="GA302" s="2250"/>
      <c r="GB302" s="2250"/>
      <c r="GC302" s="2276"/>
      <c r="GD302" s="2276"/>
      <c r="GE302" s="2250"/>
      <c r="GF302" s="2275"/>
      <c r="GG302" s="2276">
        <f>HL287</f>
        <v>129.80000000000001</v>
      </c>
      <c r="GH302" s="2275">
        <v>0</v>
      </c>
      <c r="GI302" s="2276">
        <f>VLOOKUP(GG304,GH290:HI300,2,0)</f>
        <v>12.18</v>
      </c>
      <c r="GJ302" s="2276">
        <f>VLOOKUP(GG304,GH290:GJ300,3,0)</f>
        <v>13.37</v>
      </c>
      <c r="GK302" s="2276">
        <f>VLOOKUP(GG304,GH290:GK300,4,0)</f>
        <v>14.55</v>
      </c>
      <c r="GL302" s="2276">
        <f>VLOOKUP(GG304,GH290:GL300,5,0)</f>
        <v>14.65</v>
      </c>
      <c r="GM302" s="2276">
        <f>VLOOKUP(GG304,GH290:GM300,6,0)</f>
        <v>16.239999999999998</v>
      </c>
      <c r="GN302" s="2276">
        <f>VLOOKUP(GG304,GH290:GN300,7,0)</f>
        <v>16.63</v>
      </c>
      <c r="GO302" s="2276">
        <f>VLOOKUP(GG304,GH290:GO300,8,0)</f>
        <v>18.22</v>
      </c>
      <c r="GP302" s="2276">
        <f>VLOOKUP(GG304,GH290:GP300,9,0)</f>
        <v>19.5</v>
      </c>
      <c r="GQ302" s="2276">
        <f>VLOOKUP(GG304,GH290:GQ300,10,0)</f>
        <v>20.69</v>
      </c>
      <c r="GR302" s="2276">
        <f>VLOOKUP(GG304,GH290:GR300,11,0)</f>
        <v>21.98</v>
      </c>
      <c r="GS302" s="2276">
        <f>VLOOKUP(GG304,GH290:GS300,12,0)</f>
        <v>23.17</v>
      </c>
      <c r="GT302" s="2276">
        <f>VLOOKUP(GG304,GH290:GT300,13,0)</f>
        <v>25.94</v>
      </c>
      <c r="GU302" s="2276">
        <f>VLOOKUP(GG304,GH290:GU300,14,0)</f>
        <v>27.13</v>
      </c>
      <c r="GV302" s="2276">
        <f>VLOOKUP(GG304,GH290:GV300,15,0)</f>
        <v>27.72</v>
      </c>
      <c r="GW302" s="2276">
        <f>VLOOKUP(GG304,GH290:GW300,16,0)</f>
        <v>28.51</v>
      </c>
      <c r="GX302" s="2276">
        <f>VLOOKUP(GG304,GH290:GX300,17,0)</f>
        <v>31.29</v>
      </c>
      <c r="GY302" s="2276">
        <f>VLOOKUP(GG304,GH290:GY300,18,0)</f>
        <v>31.58</v>
      </c>
      <c r="GZ302" s="2276">
        <f>VLOOKUP(GG304,GH290:GZ300,19,0)</f>
        <v>34.950000000000003</v>
      </c>
      <c r="HA302" s="2276">
        <f>VLOOKUP(GG304,GH290:HA300,20,0)</f>
        <v>37.03</v>
      </c>
      <c r="HB302" s="2276">
        <f>VLOOKUP(GG304,GH290:HB300,21,0)</f>
        <v>39.21</v>
      </c>
      <c r="HC302" s="2276">
        <f>VLOOKUP(GG304,GH290:HC300,22,0)</f>
        <v>42.48</v>
      </c>
      <c r="HD302" s="2276">
        <f>VLOOKUP(GG304,GH290:HD300,23,0)</f>
        <v>45.94</v>
      </c>
      <c r="HE302" s="2276">
        <f>VLOOKUP(GG304,GH290:HE300,24,0)</f>
        <v>51.68</v>
      </c>
      <c r="HF302" s="2276">
        <f>VLOOKUP(GG304,GH290:HF300,25,0)</f>
        <v>57.43</v>
      </c>
      <c r="HG302" s="2276">
        <f>VLOOKUP(GG304,GH290:HG300,26,0)</f>
        <v>64.16</v>
      </c>
      <c r="HH302" s="2276">
        <f>VLOOKUP(GG304,GH290:HH300,27,0)</f>
        <v>69.7</v>
      </c>
      <c r="HI302" s="2276">
        <f>VLOOKUP(GG304,GH290:HI300,28,0)</f>
        <v>78.61</v>
      </c>
      <c r="HJ302" s="2346"/>
      <c r="HK302" s="2275"/>
      <c r="HL302" s="2276">
        <f>HLOOKUP(HL287,GI288:HI300,13,0)</f>
        <v>131.49</v>
      </c>
      <c r="HM302" s="2275"/>
      <c r="HN302" s="2275"/>
      <c r="HO302" s="2275"/>
      <c r="HP302" s="2275"/>
      <c r="HQ302" s="2275"/>
      <c r="HR302" s="2275"/>
      <c r="HS302" s="2275"/>
      <c r="HT302" s="2275"/>
      <c r="HU302" s="2250"/>
      <c r="HV302" s="2250"/>
      <c r="HW302" s="2250"/>
      <c r="HX302" s="2250"/>
      <c r="HY302" s="2250"/>
      <c r="HZ302" s="2250"/>
      <c r="IA302" s="2250"/>
      <c r="IB302" s="2250"/>
      <c r="IC302" s="2250"/>
      <c r="ID302" s="2250"/>
      <c r="IE302" s="2250"/>
      <c r="IF302" s="2250"/>
      <c r="IG302" s="2250"/>
      <c r="IH302" s="2250"/>
      <c r="II302" s="2250"/>
      <c r="IJ302" s="2250"/>
      <c r="IK302" s="2250"/>
      <c r="IL302" s="2250"/>
    </row>
    <row r="303" spans="1:246" ht="21.95" customHeight="1">
      <c r="A303" s="2275"/>
      <c r="B303" s="3693">
        <f>AI303</f>
        <v>950</v>
      </c>
      <c r="C303" s="2346" t="s">
        <v>739</v>
      </c>
      <c r="D303" s="3693">
        <f>HLOOKUP(B301,D287:AD301,15,0)</f>
        <v>21.09</v>
      </c>
      <c r="E303" s="3693" t="str">
        <f>IF(B302=D303,"Right","Wrong")</f>
        <v>Right</v>
      </c>
      <c r="F303" s="2275"/>
      <c r="G303" s="2275"/>
      <c r="H303" s="2275"/>
      <c r="I303" s="2275"/>
      <c r="J303" s="2275"/>
      <c r="K303" s="2275"/>
      <c r="L303" s="2275"/>
      <c r="M303" s="2275"/>
      <c r="N303" s="2275"/>
      <c r="O303" s="2275"/>
      <c r="P303" s="2275"/>
      <c r="Q303" s="2275"/>
      <c r="R303" s="2275"/>
      <c r="S303" s="2275"/>
      <c r="T303" s="2275"/>
      <c r="U303" s="2275"/>
      <c r="V303" s="2275"/>
      <c r="W303" s="2275"/>
      <c r="X303" s="2275"/>
      <c r="Y303" s="2275"/>
      <c r="Z303" s="2275"/>
      <c r="AA303" s="2275"/>
      <c r="AB303" s="2275"/>
      <c r="AC303" s="2275"/>
      <c r="AD303" s="2275"/>
      <c r="AE303" s="2275"/>
      <c r="AF303" s="2275"/>
      <c r="AG303" s="2276">
        <f>VLOOKUP(AG302,AG289:AH300,2,0)</f>
        <v>21.09</v>
      </c>
      <c r="AH303" s="2276">
        <f>IF(AH302&gt;0,AH302,AG303)</f>
        <v>21.09</v>
      </c>
      <c r="AI303" s="2276">
        <f>VLOOKUP(AH303,AH290:AI300,2,0)</f>
        <v>950</v>
      </c>
      <c r="AJ303" s="2275"/>
      <c r="AK303" s="2275"/>
      <c r="AL303" s="2275"/>
      <c r="AM303" s="2275"/>
      <c r="AN303" s="2275"/>
      <c r="AO303" s="2275"/>
      <c r="AP303" s="2250"/>
      <c r="AQ303" s="2250"/>
      <c r="AR303" s="2250"/>
      <c r="AS303" s="2250"/>
      <c r="AT303" s="2250"/>
      <c r="AU303" s="2250"/>
      <c r="AV303" s="2250"/>
      <c r="AW303" s="2250"/>
      <c r="AX303" s="2250"/>
      <c r="AY303" s="2250"/>
      <c r="AZ303" s="2250"/>
      <c r="BA303" s="2250"/>
      <c r="BB303" s="2250"/>
      <c r="BC303" s="2250"/>
      <c r="BD303" s="2250"/>
      <c r="BE303" s="2250"/>
      <c r="BF303" s="2276"/>
      <c r="BG303" s="2276"/>
      <c r="BH303" s="2250"/>
      <c r="BI303" s="2275"/>
      <c r="BJ303" s="3693">
        <f>CQ303</f>
        <v>1100</v>
      </c>
      <c r="BK303" s="2346" t="s">
        <v>739</v>
      </c>
      <c r="BL303" s="3693">
        <f>HLOOKUP(BJ301,BL287:CL301,15,0)</f>
        <v>25.54</v>
      </c>
      <c r="BM303" s="3693" t="str">
        <f>IF(BJ302=BL303,"Right","Wrong")</f>
        <v>Right</v>
      </c>
      <c r="BN303" s="2275"/>
      <c r="BO303" s="2275"/>
      <c r="BP303" s="2275"/>
      <c r="BQ303" s="2275"/>
      <c r="BR303" s="2275"/>
      <c r="BS303" s="2275"/>
      <c r="BT303" s="2275"/>
      <c r="BU303" s="2275"/>
      <c r="BV303" s="2275"/>
      <c r="BW303" s="2275"/>
      <c r="BX303" s="2275"/>
      <c r="BY303" s="2275"/>
      <c r="BZ303" s="2275"/>
      <c r="CA303" s="2275"/>
      <c r="CB303" s="2275"/>
      <c r="CC303" s="2275"/>
      <c r="CD303" s="2275"/>
      <c r="CE303" s="2275"/>
      <c r="CF303" s="2275"/>
      <c r="CG303" s="2275"/>
      <c r="CH303" s="2275"/>
      <c r="CI303" s="2275"/>
      <c r="CJ303" s="2275"/>
      <c r="CK303" s="2275"/>
      <c r="CL303" s="2275"/>
      <c r="CM303" s="2275"/>
      <c r="CN303" s="2275"/>
      <c r="CO303" s="2276">
        <f>VLOOKUP(CO302,CO289:CP300,2,0)</f>
        <v>25.54</v>
      </c>
      <c r="CP303" s="2276">
        <f>IF(CP302&gt;0,CP302,CO303)</f>
        <v>25.54</v>
      </c>
      <c r="CQ303" s="2276">
        <f>VLOOKUP(CP303,CP290:CQ300,2,0)</f>
        <v>1100</v>
      </c>
      <c r="CR303" s="2275"/>
      <c r="CS303" s="2275"/>
      <c r="CT303" s="2275"/>
      <c r="CU303" s="2275"/>
      <c r="CV303" s="2275"/>
      <c r="CW303" s="2275"/>
      <c r="CX303" s="2250"/>
      <c r="CY303" s="2250"/>
      <c r="CZ303" s="2250"/>
      <c r="DA303" s="2250"/>
      <c r="DB303" s="2250"/>
      <c r="DC303" s="2250"/>
      <c r="DD303" s="2250"/>
      <c r="DE303" s="2250"/>
      <c r="DF303" s="2250"/>
      <c r="DG303" s="2250"/>
      <c r="DH303" s="2250"/>
      <c r="DI303" s="2250"/>
      <c r="DJ303" s="2250"/>
      <c r="DK303" s="2250"/>
      <c r="DL303" s="2250"/>
      <c r="DM303" s="2250"/>
      <c r="DN303" s="2250"/>
      <c r="DO303" s="2250"/>
      <c r="DP303" s="2250"/>
      <c r="DQ303" s="2277"/>
      <c r="DR303" s="2277"/>
      <c r="DS303" s="2278"/>
      <c r="DT303" s="2250"/>
      <c r="DU303" s="2250"/>
      <c r="DV303" s="2250"/>
      <c r="DW303" s="2250"/>
      <c r="DX303" s="2275"/>
      <c r="DY303" s="2276">
        <f>FE304</f>
        <v>21.98</v>
      </c>
      <c r="DZ303" s="2275"/>
      <c r="EA303" s="2275"/>
      <c r="EB303" s="2275"/>
      <c r="EC303" s="2275"/>
      <c r="ED303" s="2275"/>
      <c r="EE303" s="2275"/>
      <c r="EF303" s="2275"/>
      <c r="EG303" s="2275"/>
      <c r="EH303" s="2275"/>
      <c r="EI303" s="2275"/>
      <c r="EJ303" s="2275"/>
      <c r="EK303" s="2275"/>
      <c r="EL303" s="2275"/>
      <c r="EM303" s="2275"/>
      <c r="EN303" s="2275"/>
      <c r="EO303" s="2275"/>
      <c r="EP303" s="2275"/>
      <c r="EQ303" s="2275"/>
      <c r="ER303" s="2275"/>
      <c r="ES303" s="2275"/>
      <c r="ET303" s="2275"/>
      <c r="EU303" s="2275"/>
      <c r="EV303" s="2275"/>
      <c r="EW303" s="2275"/>
      <c r="EX303" s="2275"/>
      <c r="EY303" s="2275"/>
      <c r="EZ303" s="2275"/>
      <c r="FA303" s="2275"/>
      <c r="FB303" s="2275"/>
      <c r="FC303" s="2275"/>
      <c r="FD303" s="2276">
        <f>VLOOKUP(FD288,FD290:FD302,1)</f>
        <v>16.34</v>
      </c>
      <c r="FE303" s="2276">
        <f>IFERROR(VLOOKUP(FD288,FE291:FE301,1,0),0)</f>
        <v>0</v>
      </c>
      <c r="FF303" s="2275"/>
      <c r="FG303" s="2275"/>
      <c r="FH303" s="2275"/>
      <c r="FI303" s="2275"/>
      <c r="FJ303" s="2275"/>
      <c r="FK303" s="2275"/>
      <c r="FL303" s="2275"/>
      <c r="FM303" s="2250"/>
      <c r="FN303" s="2250"/>
      <c r="FO303" s="2250"/>
      <c r="FP303" s="2250"/>
      <c r="FQ303" s="2250"/>
      <c r="FR303" s="2250"/>
      <c r="FS303" s="2250"/>
      <c r="FT303" s="2250"/>
      <c r="FU303" s="2250"/>
      <c r="FV303" s="2250"/>
      <c r="FW303" s="2250"/>
      <c r="FX303" s="2250"/>
      <c r="FY303" s="2250"/>
      <c r="FZ303" s="2250"/>
      <c r="GA303" s="2250"/>
      <c r="GB303" s="2250"/>
      <c r="GC303" s="2276"/>
      <c r="GD303" s="2276"/>
      <c r="GE303" s="2250"/>
      <c r="GF303" s="2275"/>
      <c r="GG303" s="2276">
        <f>HM304</f>
        <v>20.69</v>
      </c>
      <c r="GH303" s="2275"/>
      <c r="GI303" s="2275"/>
      <c r="GJ303" s="2275"/>
      <c r="GK303" s="2275"/>
      <c r="GL303" s="2275"/>
      <c r="GM303" s="2275"/>
      <c r="GN303" s="2275"/>
      <c r="GO303" s="2275"/>
      <c r="GP303" s="2275"/>
      <c r="GQ303" s="2275"/>
      <c r="GR303" s="2275"/>
      <c r="GS303" s="2275"/>
      <c r="GT303" s="2275"/>
      <c r="GU303" s="2275"/>
      <c r="GV303" s="2275"/>
      <c r="GW303" s="2275"/>
      <c r="GX303" s="2275"/>
      <c r="GY303" s="2275"/>
      <c r="GZ303" s="2275"/>
      <c r="HA303" s="2275"/>
      <c r="HB303" s="2275"/>
      <c r="HC303" s="2275"/>
      <c r="HD303" s="2275"/>
      <c r="HE303" s="2275"/>
      <c r="HF303" s="2275"/>
      <c r="HG303" s="2275"/>
      <c r="HH303" s="2275"/>
      <c r="HI303" s="2275"/>
      <c r="HJ303" s="2275"/>
      <c r="HK303" s="2275"/>
      <c r="HL303" s="2276">
        <f>VLOOKUP(HL288,HL290:HL302,1)</f>
        <v>15.35</v>
      </c>
      <c r="HM303" s="2276">
        <f>IFERROR(VLOOKUP(HL288,HM291:HM301,1,0),0)</f>
        <v>0</v>
      </c>
      <c r="HN303" s="2275"/>
      <c r="HO303" s="2275"/>
      <c r="HP303" s="2275"/>
      <c r="HQ303" s="2275"/>
      <c r="HR303" s="2275"/>
      <c r="HS303" s="2275"/>
      <c r="HT303" s="2275"/>
      <c r="HU303" s="2250"/>
      <c r="HV303" s="2250"/>
      <c r="HW303" s="2250"/>
      <c r="HX303" s="2250"/>
      <c r="HY303" s="2250"/>
      <c r="HZ303" s="2250"/>
      <c r="IA303" s="2250"/>
      <c r="IB303" s="2250"/>
      <c r="IC303" s="2250"/>
      <c r="ID303" s="2250"/>
      <c r="IE303" s="2250"/>
      <c r="IF303" s="2250"/>
      <c r="IG303" s="2250"/>
      <c r="IH303" s="2250"/>
      <c r="II303" s="2250"/>
      <c r="IJ303" s="2250"/>
      <c r="IK303" s="2250"/>
      <c r="IL303" s="2250"/>
    </row>
    <row r="304" spans="1:246" ht="21.95" customHeight="1">
      <c r="A304" s="2275"/>
      <c r="B304" s="2250"/>
      <c r="C304" s="2275"/>
      <c r="D304" s="2276">
        <f>+IF(B283&lt;=D289,D289,IF(B283&lt;=D290,D290,IF(B283&lt;=D291,D291,IF(B283&lt;=D292,D292,IF(B283&lt;=D293,D293,IF(B283&lt;=D294,D294,IF(B283&lt;=D295,D295,IF(B283&lt;=D296,D296,0))))))))</f>
        <v>22.67</v>
      </c>
      <c r="E304" s="2276">
        <f>+IF(B283&lt;=E289,E289,IF(B283&lt;=E290,E290,IF(B283&lt;=E291,E291,IF(B283&lt;=E292,E292,IF(B283&lt;=E293,E293,IF(B283&lt;=E294,E294,IF(B283&lt;=E295,E295,IF(B283&lt;=E296,E296,0))))))))</f>
        <v>25.54</v>
      </c>
      <c r="F304" s="2276">
        <f>+IF(B283&lt;=F289,F289,IF(B283&lt;=F290,F290,IF(B283&lt;=F291,F291,IF(B283&lt;=F292,F292,IF(B283&lt;=F293,F293,IF(B283&lt;=F294,F294,IF(B283&lt;=F295,F295,IF(B283&lt;=F296,F296,0))))))))</f>
        <v>21.09</v>
      </c>
      <c r="G304" s="2276">
        <f>+IF(B283&lt;=G289,G289,IF(B283&lt;=G290,G290,IF(B283&lt;=G291,G291,IF(B283&lt;=G292,G292,IF(B283&lt;=G293,G293,IF(B283&lt;=G294,G294,IF(B283&lt;=G295,G295,IF(B283&lt;=G296,G296,0))))))))</f>
        <v>22.28</v>
      </c>
      <c r="H304" s="2276">
        <f>+IF(B283&lt;=H289,H289,IF(B283&lt;=H290,H290,IF(B283&lt;=H291,H291,IF(B283&lt;=H292,H292,IF(B283&lt;=H293,H293,IF(B283&lt;=H294,H294,IF(B283&lt;=H295,H295,IF(B283&lt;=H296,H296,0))))))))</f>
        <v>22.28</v>
      </c>
      <c r="I304" s="2276">
        <f>+IF(B283&lt;=I289,I289,IF(B283&lt;=I290,I290,IF(B283&lt;=I291,I291,IF(B283&lt;=I292,I292,IF(B283&lt;=I293,I293,IF(B283&lt;=I294,I294,IF(B283&lt;=I295,I295,IF(B283&lt;=I296,I296,0))))))))</f>
        <v>23.96</v>
      </c>
      <c r="J304" s="2276">
        <f>+IF(B283&lt;=J289,J289,IF(B283&lt;=J290,J290,IF(B283&lt;=J291,J291,IF(B283&lt;=J292,J292,IF(B283&lt;=J293,J293,IF(B283&lt;=J294,J294,IF(B283&lt;=J295,J295,IF(B283&lt;=J296,J296,0))))))))</f>
        <v>26.53</v>
      </c>
      <c r="K304" s="2276">
        <f>+IF(B283&lt;=K289,K289,IF(B283&lt;=K290,K290,IF(B283&lt;=K291,K291,IF(B283&lt;=K292,K292,IF(B283&lt;=K293,K293,IF(B283&lt;=K294,K294,IF(B283&lt;=K295,K295,IF(B283&lt;=K296,K296,0))))))))</f>
        <v>28.32</v>
      </c>
      <c r="L304" s="2276">
        <f>+IF(B283&lt;=L289,L289,IF(B283&lt;=L290,L290,IF(B283&lt;=L291,L291,IF(B283&lt;=L292,L292,IF(B283&lt;=L293,L293,IF(B283&lt;=L294,L294,IF(B283&lt;=L295,L295,IF(B283&lt;=L296,L296,0))))))))</f>
        <v>20.69</v>
      </c>
      <c r="M304" s="2276">
        <f>+IF(B283&lt;=M289,M289,IF(B283&lt;=M290,M290,IF(B283&lt;=M291,M291,IF(B283&lt;=M292,M292,IF(B283&lt;=M293,M293,IF(B283&lt;=M294,M294,IF(B283&lt;=M295,M295,IF(B283&lt;=M296,M296,0))))))))</f>
        <v>21.98</v>
      </c>
      <c r="N304" s="2276">
        <f>+IF(B283&lt;=N289,N289,IF(B283&lt;=N290,N290,IF(B283&lt;=N291,N291,IF(B283&lt;=N292,N292,IF(B283&lt;=N293,N293,IF(B283&lt;=N294,N294,IF(B283&lt;=N295,N295,IF(B283&lt;=N296,N296,0))))))))</f>
        <v>23.17</v>
      </c>
      <c r="O304" s="2276">
        <f>+IF(B283&lt;=O289,O289,IF(B283&lt;=O290,O290,IF(B283&lt;=O291,O291,IF(B283&lt;=O292,O292,IF(B283&lt;=O293,O293,IF(B283&lt;=O294,O294,IF(B283&lt;=O295,O295,IF(B283&lt;=O296,O296,0))))))))</f>
        <v>20.79</v>
      </c>
      <c r="P304" s="2276">
        <f>+IF(B283&lt;=P289,P289,IF(B283&lt;=P290,P290,IF(B283&lt;=P291,P291,IF(B283&lt;=P292,P292,IF(B283&lt;=P293,P293,IF(B283&lt;=P294,P294,IF(B283&lt;=P295,P295,IF(B283&lt;=P296,P296,0))))))))</f>
        <v>21.78</v>
      </c>
      <c r="Q304" s="2276">
        <f>+IF(B283&lt;=Q289,Q289,IF(B283&lt;=Q290,Q290,IF(B283&lt;=Q291,Q291,IF(B283&lt;=Q292,Q292,IF(B283&lt;=Q293,Q293,IF(B283&lt;=Q294,Q294,IF(B283&lt;=Q295,Q295,IF(B283&lt;=Q296,Q296,0))))))))</f>
        <v>21.09</v>
      </c>
      <c r="R304" s="2276">
        <f>+IF(B283&lt;=R289,R289,IF(B283&lt;=R290,R290,IF(B283&lt;=R291,R291,IF(B283&lt;=R292,R292,IF(B283&lt;=R293,R293,IF(B283&lt;=R294,R294,IF(B283&lt;=R295,R295,IF(B283&lt;=R296,R296,0))))))))</f>
        <v>22.67</v>
      </c>
      <c r="S304" s="2276">
        <f>+IF(B283&lt;=S289,S289,IF(B283&lt;=S290,S290,IF(B283&lt;=S291,S291,IF(B283&lt;=S292,S292,IF(B283&lt;=S293,S293,IF(B283&lt;=S294,S294,IF(B283&lt;=S295,S295,IF(B283&lt;=S296,S296,0))))))))</f>
        <v>24.65</v>
      </c>
      <c r="T304" s="2276">
        <f>+IF(B283&lt;=T289,T289,IF(B283&lt;=T290,T290,IF(B283&lt;=T291,T291,IF(B283&lt;=T292,T292,IF(B283&lt;=T293,T293,IF(B283&lt;=T294,T294,IF(B283&lt;=T295,T295,IF(B283&lt;=T296,T296,0))))))))</f>
        <v>25.94</v>
      </c>
      <c r="U304" s="2276">
        <f>+IF(B283&lt;=U289,U289,IF(B283&lt;=U290,U290,IF(B283&lt;=U291,U291,IF(B283&lt;=U292,U292,IF(B283&lt;=U293,U293,IF(B283&lt;=U294,U294,IF(B283&lt;=U295,U295,IF(B283&lt;=U296,U296,0))))))))</f>
        <v>27.13</v>
      </c>
      <c r="V304" s="2276">
        <f>+IF(B283&lt;=V289,V289,IF(B283&lt;=V290,V290,IF(B283&lt;=V291,V291,IF(B283&lt;=V292,V292,IF(B283&lt;=V293,V293,IF(B283&lt;=V294,V294,IF(B283&lt;=V295,V295,IF(B283&lt;=V296,V296,0))))))))</f>
        <v>28.81</v>
      </c>
      <c r="W304" s="2276">
        <f>+IF(B283&lt;=W289,W289,IF(B283&lt;=W290,W290,IF(B283&lt;=W291,W291,IF(B283&lt;=W292,W292,IF(B283&lt;=W293,W293,IF(B283&lt;=W294,W294,IF(B283&lt;=W295,W295,IF(B283&lt;=W296,W296,0))))))))</f>
        <v>20</v>
      </c>
      <c r="X304" s="2276">
        <f>+IF(B283&lt;=X289,X289,IF(B283&lt;=X290,X290,IF(B283&lt;=X291,X291,IF(B283&lt;=X292,X292,IF(B283&lt;=X293,X293,IF(B283&lt;=X294,X294,IF(B283&lt;=X295,X295,IF(B283&lt;=X296,X296,0))))))))</f>
        <v>20.399999999999999</v>
      </c>
      <c r="Y304" s="2276">
        <f>+IF(B283&lt;=Y289,Y289,IF(B283&lt;=Y290,Y290,IF(B283&lt;=Y291,Y291,IF(B283&lt;=Y292,Y292,IF(B283&lt;=Y293,Y293,IF(B283&lt;=Y294,Y294,IF(B283&lt;=Y295,Y295,IF(B283&lt;=Y296,Y296,0))))))))</f>
        <v>23.07</v>
      </c>
      <c r="Z304" s="2276">
        <f>+IF(B283&lt;=Z289,Z289,IF(B283&lt;=Z290,Z290,IF(B283&lt;=Z291,Z291,IF(B283&lt;=Z292,Z292,IF(B283&lt;=Z293,Z293,IF(B283&lt;=Z294,Z294,IF(B283&lt;=Z295,Z295,IF(B283&lt;=Z296,Z296,0))))))))</f>
        <v>25.25</v>
      </c>
      <c r="AA304" s="2276">
        <f>+IF(B283&lt;=AA289,AA289,IF(B283&lt;=AA290,AA290,IF(B283&lt;=AA291,AA291,IF(B283&lt;=AA292,AA292,IF(B283&lt;=AA293,AA293,IF(B283&lt;=AA294,AA294,IF(B283&lt;=AA295,AA295,IF(B283&lt;=AA296,AA296,0))))))))</f>
        <v>27.82</v>
      </c>
      <c r="AB304" s="2276">
        <f>+IF(B283&lt;=AB289,AB289,IF(B283&lt;=AB290,AB290,IF(B283&lt;=AB291,AB291,IF(B283&lt;=AB292,AB292,IF(B283&lt;=AB293,AB293,IF(B283&lt;=AB294,AB294,IF(B283&lt;=AB295,AB295,IF(B283&lt;=AB296,AB296,0))))))))</f>
        <v>30.99</v>
      </c>
      <c r="AC304" s="2276">
        <f>+IF(B283&lt;=AC289,AC289,IF(B283&lt;=AC290,AC290,IF(B283&lt;=AC291,AC291,IF(B283&lt;=AC292,AC292,IF(B283&lt;=AC293,AC293,IF(B283&lt;=AC294,AC294,IF(B283&lt;=AC295,AC295,IF(B283&lt;=AC296,AC296,0))))))))</f>
        <v>21.19</v>
      </c>
      <c r="AD304" s="2276">
        <f>+IF(B283&lt;=AD289,AD289,IF(B283&lt;=AD290,AD290,IF(B283&lt;=AD291,AD291,IF(B283&lt;=AD292,AD292,IF(B283&lt;=AD293,AD293,IF(B283&lt;=AD294,AD294,IF(B283&lt;=AD295,AD295,IF(B283&lt;=AD296,AD296,0))))))))</f>
        <v>25.15</v>
      </c>
      <c r="AE304" s="2275"/>
      <c r="AF304" s="2275"/>
      <c r="AG304" s="2275"/>
      <c r="AH304" s="2275"/>
      <c r="AI304" s="2275"/>
      <c r="AJ304" s="2275"/>
      <c r="AK304" s="2275"/>
      <c r="AL304" s="2275"/>
      <c r="AM304" s="2275"/>
      <c r="AN304" s="2275"/>
      <c r="AO304" s="2275"/>
      <c r="AP304" s="2250"/>
      <c r="AQ304" s="2250"/>
      <c r="AR304" s="2250"/>
      <c r="AS304" s="2250"/>
      <c r="AT304" s="2250"/>
      <c r="AU304" s="2250"/>
      <c r="AV304" s="2250"/>
      <c r="AW304" s="2250"/>
      <c r="AX304" s="2250"/>
      <c r="AY304" s="2250"/>
      <c r="AZ304" s="2250"/>
      <c r="BA304" s="2250"/>
      <c r="BB304" s="2250"/>
      <c r="BC304" s="2250"/>
      <c r="BD304" s="2250"/>
      <c r="BE304" s="2250"/>
      <c r="BF304" s="2276"/>
      <c r="BG304" s="2276"/>
      <c r="BH304" s="2250"/>
      <c r="BI304" s="2275"/>
      <c r="BJ304" s="2250"/>
      <c r="BK304" s="2275"/>
      <c r="BL304" s="2276">
        <f>+IF(BJ283&lt;=BL289,BL289,IF(BJ283&lt;=BL290,BL290,IF(BJ283&lt;=BL291,BL291,IF(BJ283&lt;=BL292,BL292,IF(BJ283&lt;=BL293,BL293,IF(BJ283&lt;=BL294,BL294,IF(BJ283&lt;=BL295,BL295,IF(BJ283&lt;=BL296,BL296,0))))))))</f>
        <v>22.67</v>
      </c>
      <c r="BM304" s="2276">
        <f>+IF(BJ283&lt;=BM289,BM289,IF(BJ283&lt;=BM290,BM290,IF(BJ283&lt;=BM291,BM291,IF(BJ283&lt;=BM292,BM292,IF(BJ283&lt;=BM293,BM293,IF(BJ283&lt;=BM294,BM294,IF(BJ283&lt;=BM295,BM295,IF(BJ283&lt;=BM296,BM296,0))))))))</f>
        <v>25.54</v>
      </c>
      <c r="BN304" s="2276">
        <f>+IF(BJ283&lt;=BN289,BN289,IF(BJ283&lt;=BN290,BN290,IF(BJ283&lt;=BN291,BN291,IF(BJ283&lt;=BN292,BN292,IF(BJ283&lt;=BN293,BN293,IF(BJ283&lt;=BN294,BN294,IF(BJ283&lt;=BN295,BN295,IF(BJ283&lt;=BN296,BN296,0))))))))</f>
        <v>21.09</v>
      </c>
      <c r="BO304" s="2276">
        <f>+IF(BJ283&lt;=BO289,BO289,IF(BJ283&lt;=BO290,BO290,IF(BJ283&lt;=BO291,BO291,IF(BJ283&lt;=BO292,BO292,IF(BJ283&lt;=BO293,BO293,IF(BJ283&lt;=BO294,BO294,IF(BJ283&lt;=BO295,BO295,IF(BJ283&lt;=BO296,BO296,0))))))))</f>
        <v>22.28</v>
      </c>
      <c r="BP304" s="2276">
        <f>+IF(BJ283&lt;=BP289,BP289,IF(BJ283&lt;=BP290,BP290,IF(BJ283&lt;=BP291,BP291,IF(BJ283&lt;=BP292,BP292,IF(BJ283&lt;=BP293,BP293,IF(BJ283&lt;=BP294,BP294,IF(BJ283&lt;=BP295,BP295,IF(BJ283&lt;=BP296,BP296,0))))))))</f>
        <v>22.28</v>
      </c>
      <c r="BQ304" s="2276">
        <f>+IF(BJ283&lt;=BQ289,BQ289,IF(BJ283&lt;=BQ290,BQ290,IF(BJ283&lt;=BQ291,BQ291,IF(BJ283&lt;=BQ292,BQ292,IF(BJ283&lt;=BQ293,BQ293,IF(BJ283&lt;=BQ294,BQ294,IF(BJ283&lt;=BQ295,BQ295,IF(BJ283&lt;=BQ296,BQ296,0))))))))</f>
        <v>23.96</v>
      </c>
      <c r="BR304" s="2276">
        <f>+IF(BJ283&lt;=BR289,BR289,IF(BJ283&lt;=BR290,BR290,IF(BJ283&lt;=BR291,BR291,IF(BJ283&lt;=BR292,BR292,IF(BJ283&lt;=BR293,BR293,IF(BJ283&lt;=BR294,BR294,IF(BJ283&lt;=BR295,BR295,IF(BJ283&lt;=BR296,BR296,0))))))))</f>
        <v>26.53</v>
      </c>
      <c r="BS304" s="2276">
        <f>+IF(BJ283&lt;=BS289,BS289,IF(BJ283&lt;=BS290,BS290,IF(BJ283&lt;=BS291,BS291,IF(BJ283&lt;=BS292,BS292,IF(BJ283&lt;=BS293,BS293,IF(BJ283&lt;=BS294,BS294,IF(BJ283&lt;=BS295,BS295,IF(BJ283&lt;=BS296,BS296,0))))))))</f>
        <v>28.32</v>
      </c>
      <c r="BT304" s="2276">
        <f>+IF(BJ283&lt;=BT289,BT289,IF(BJ283&lt;=BT290,BT290,IF(BJ283&lt;=BT291,BT291,IF(BJ283&lt;=BT292,BT292,IF(BJ283&lt;=BT293,BT293,IF(BJ283&lt;=BT294,BT294,IF(BJ283&lt;=BT295,BT295,IF(BJ283&lt;=BT296,BT296,0))))))))</f>
        <v>20.69</v>
      </c>
      <c r="BU304" s="2276">
        <f>+IF(BJ283&lt;=BU289,BU289,IF(BJ283&lt;=BU290,BU290,IF(BJ283&lt;=BU291,BU291,IF(BJ283&lt;=BU292,BU292,IF(BJ283&lt;=BU293,BU293,IF(BJ283&lt;=BU294,BU294,IF(BJ283&lt;=BU295,BU295,IF(BJ283&lt;=BU296,BU296,0))))))))</f>
        <v>21.98</v>
      </c>
      <c r="BV304" s="2276">
        <f>+IF(BJ283&lt;=BV289,BV289,IF(BJ283&lt;=BV290,BV290,IF(BJ283&lt;=BV291,BV291,IF(BJ283&lt;=BV292,BV292,IF(BJ283&lt;=BV293,BV293,IF(BJ283&lt;=BV294,BV294,IF(BJ283&lt;=BV295,BV295,IF(BJ283&lt;=BV296,BV296,0))))))))</f>
        <v>23.17</v>
      </c>
      <c r="BW304" s="2276">
        <f>+IF(BJ283&lt;=BW289,BW289,IF(BJ283&lt;=BW290,BW290,IF(BJ283&lt;=BW291,BW291,IF(BJ283&lt;=BW292,BW292,IF(BJ283&lt;=BW293,BW293,IF(BJ283&lt;=BW294,BW294,IF(BJ283&lt;=BW295,BW295,IF(BJ283&lt;=BW296,BW296,0))))))))</f>
        <v>20.79</v>
      </c>
      <c r="BX304" s="2276">
        <f>+IF(BJ283&lt;=BX289,BX289,IF(BJ283&lt;=BX290,BX290,IF(BJ283&lt;=BX291,BX291,IF(BJ283&lt;=BX292,BX292,IF(BJ283&lt;=BX293,BX293,IF(BJ283&lt;=BX294,BX294,IF(BJ283&lt;=BX295,BX295,IF(BJ283&lt;=BX296,BX296,0))))))))</f>
        <v>21.78</v>
      </c>
      <c r="BY304" s="2276">
        <f>+IF(BJ283&lt;=BY289,BY289,IF(BJ283&lt;=BY290,BY290,IF(BJ283&lt;=BY291,BY291,IF(BJ283&lt;=BY292,BY292,IF(BJ283&lt;=BY293,BY293,IF(BJ283&lt;=BY294,BY294,IF(BJ283&lt;=BY295,BY295,IF(BJ283&lt;=BY296,BY296,0))))))))</f>
        <v>21.09</v>
      </c>
      <c r="BZ304" s="2276">
        <f>+IF(BJ283&lt;=BZ289,BZ289,IF(BJ283&lt;=BZ290,BZ290,IF(BJ283&lt;=BZ291,BZ291,IF(BJ283&lt;=BZ292,BZ292,IF(BJ283&lt;=BZ293,BZ293,IF(BJ283&lt;=BZ294,BZ294,IF(BJ283&lt;=BZ295,BZ295,IF(BJ283&lt;=BZ296,BZ296,0))))))))</f>
        <v>22.67</v>
      </c>
      <c r="CA304" s="2276">
        <f>+IF(BJ283&lt;=CA289,CA289,IF(BJ283&lt;=CA290,CA290,IF(BJ283&lt;=CA291,CA291,IF(BJ283&lt;=CA292,CA292,IF(BJ283&lt;=CA293,CA293,IF(BJ283&lt;=CA294,CA294,IF(BJ283&lt;=CA295,CA295,IF(BJ283&lt;=CA296,CA296,0))))))))</f>
        <v>24.65</v>
      </c>
      <c r="CB304" s="2276">
        <f>+IF(BJ283&lt;=CB289,CB289,IF(BJ283&lt;=CB290,CB290,IF(BJ283&lt;=CB291,CB291,IF(BJ283&lt;=CB292,CB292,IF(BJ283&lt;=CB293,CB293,IF(BJ283&lt;=CB294,CB294,IF(BJ283&lt;=CB295,CB295,IF(BJ283&lt;=CB296,CB296,0))))))))</f>
        <v>25.94</v>
      </c>
      <c r="CC304" s="2276">
        <f>+IF(BJ283&lt;=CC289,CC289,IF(BJ283&lt;=CC290,CC290,IF(BJ283&lt;=CC291,CC291,IF(BJ283&lt;=CC292,CC292,IF(BJ283&lt;=CC293,CC293,IF(BJ283&lt;=CC294,CC294,IF(BJ283&lt;=CC295,CC295,IF(BJ283&lt;=CC296,CC296,0))))))))</f>
        <v>27.13</v>
      </c>
      <c r="CD304" s="2276">
        <f>+IF(BJ283&lt;=CD289,CD289,IF(BJ283&lt;=CD290,CD290,IF(BJ283&lt;=CD291,CD291,IF(BJ283&lt;=CD292,CD292,IF(BJ283&lt;=CD293,CD293,IF(BJ283&lt;=CD294,CD294,IF(BJ283&lt;=CD295,CD295,IF(BJ283&lt;=CD296,CD296,0))))))))</f>
        <v>28.81</v>
      </c>
      <c r="CE304" s="2276">
        <f>+IF(BJ283&lt;=CE289,CE289,IF(BJ283&lt;=CE290,CE290,IF(BJ283&lt;=CE291,CE291,IF(BJ283&lt;=CE292,CE292,IF(BJ283&lt;=CE293,CE293,IF(BJ283&lt;=CE294,CE294,IF(BJ283&lt;=CE295,CE295,IF(BJ283&lt;=CE296,CE296,0))))))))</f>
        <v>20</v>
      </c>
      <c r="CF304" s="2276">
        <f>+IF(BJ283&lt;=CF289,CF289,IF(BJ283&lt;=CF290,CF290,IF(BJ283&lt;=CF291,CF291,IF(BJ283&lt;=CF292,CF292,IF(BJ283&lt;=CF293,CF293,IF(BJ283&lt;=CF294,CF294,IF(BJ283&lt;=CF295,CF295,IF(BJ283&lt;=CF296,CF296,0))))))))</f>
        <v>20.399999999999999</v>
      </c>
      <c r="CG304" s="2276">
        <f>+IF(BJ283&lt;=CG289,CG289,IF(BJ283&lt;=CG290,CG290,IF(BJ283&lt;=CG291,CG291,IF(BJ283&lt;=CG292,CG292,IF(BJ283&lt;=CG293,CG293,IF(BJ283&lt;=CG294,CG294,IF(BJ283&lt;=CG295,CG295,IF(BJ283&lt;=CG296,CG296,0))))))))</f>
        <v>23.07</v>
      </c>
      <c r="CH304" s="2276">
        <f>+IF(BJ283&lt;=CH289,CH289,IF(BJ283&lt;=CH290,CH290,IF(BJ283&lt;=CH291,CH291,IF(BJ283&lt;=CH292,CH292,IF(BJ283&lt;=CH293,CH293,IF(BJ283&lt;=CH294,CH294,IF(BJ283&lt;=CH295,CH295,IF(BJ283&lt;=CH296,CH296,0))))))))</f>
        <v>25.25</v>
      </c>
      <c r="CI304" s="2276">
        <f>+IF(BJ283&lt;=CI289,CI289,IF(BJ283&lt;=CI290,CI290,IF(BJ283&lt;=CI291,CI291,IF(BJ283&lt;=CI292,CI292,IF(BJ283&lt;=CI293,CI293,IF(BJ283&lt;=CI294,CI294,IF(BJ283&lt;=CI295,CI295,IF(BJ283&lt;=CI296,CI296,0))))))))</f>
        <v>27.82</v>
      </c>
      <c r="CJ304" s="2276">
        <f>+IF(BJ283&lt;=CJ289,CJ289,IF(BJ283&lt;=CJ290,CJ290,IF(BJ283&lt;=CJ291,CJ291,IF(BJ283&lt;=CJ292,CJ292,IF(BJ283&lt;=CJ293,CJ293,IF(BJ283&lt;=CJ294,CJ294,IF(BJ283&lt;=CJ295,CJ295,IF(BJ283&lt;=CJ296,CJ296,0))))))))</f>
        <v>30.99</v>
      </c>
      <c r="CK304" s="2276">
        <f>+IF(BJ283&lt;=CK289,CK289,IF(BJ283&lt;=CK290,CK290,IF(BJ283&lt;=CK291,CK291,IF(BJ283&lt;=CK292,CK292,IF(BJ283&lt;=CK293,CK293,IF(BJ283&lt;=CK294,CK294,IF(BJ283&lt;=CK295,CK295,IF(BJ283&lt;=CK296,CK296,0))))))))</f>
        <v>21.19</v>
      </c>
      <c r="CL304" s="2276">
        <f>+IF(BJ283&lt;=CL289,CL289,IF(BJ283&lt;=CL290,CL290,IF(BJ283&lt;=CL291,CL291,IF(BJ283&lt;=CL292,CL292,IF(BJ283&lt;=CL293,CL293,IF(BJ283&lt;=CL294,CL294,IF(BJ283&lt;=CL295,CL295,IF(BJ283&lt;=CL296,CL296,0))))))))</f>
        <v>25.15</v>
      </c>
      <c r="CM304" s="2275"/>
      <c r="CN304" s="2275"/>
      <c r="CO304" s="2275"/>
      <c r="CP304" s="2275"/>
      <c r="CQ304" s="2275"/>
      <c r="CR304" s="2275"/>
      <c r="CS304" s="2275"/>
      <c r="CT304" s="2275"/>
      <c r="CU304" s="2275"/>
      <c r="CV304" s="2275"/>
      <c r="CW304" s="2275"/>
      <c r="CX304" s="2250"/>
      <c r="CY304" s="2250"/>
      <c r="CZ304" s="2250"/>
      <c r="DA304" s="2250"/>
      <c r="DB304" s="2250"/>
      <c r="DC304" s="2250"/>
      <c r="DD304" s="2250"/>
      <c r="DE304" s="2250"/>
      <c r="DF304" s="2250"/>
      <c r="DG304" s="2250"/>
      <c r="DH304" s="2250"/>
      <c r="DI304" s="2250"/>
      <c r="DJ304" s="2250"/>
      <c r="DK304" s="2250"/>
      <c r="DL304" s="2250"/>
      <c r="DM304" s="2250"/>
      <c r="DN304" s="2250"/>
      <c r="DO304" s="2250"/>
      <c r="DP304" s="2250"/>
      <c r="DQ304" s="2277"/>
      <c r="DR304" s="2277"/>
      <c r="DS304" s="2278"/>
      <c r="DT304" s="2250"/>
      <c r="DU304" s="2250"/>
      <c r="DV304" s="2250"/>
      <c r="DW304" s="2250"/>
      <c r="DX304" s="2275"/>
      <c r="DY304" s="3693">
        <f>FF304</f>
        <v>825</v>
      </c>
      <c r="DZ304" s="2346" t="s">
        <v>739</v>
      </c>
      <c r="EA304" s="3693">
        <f>HLOOKUP(DY302,EA288:FA302,15,0)</f>
        <v>21.98</v>
      </c>
      <c r="EB304" s="3693" t="str">
        <f>IF(DY303=EA304,"Right","Wrong")</f>
        <v>Right</v>
      </c>
      <c r="EC304" s="2275"/>
      <c r="ED304" s="2275"/>
      <c r="EE304" s="2275"/>
      <c r="EF304" s="2275"/>
      <c r="EG304" s="2275"/>
      <c r="EH304" s="2275"/>
      <c r="EI304" s="2275"/>
      <c r="EJ304" s="2275"/>
      <c r="EK304" s="2275"/>
      <c r="EL304" s="2275"/>
      <c r="EM304" s="2275"/>
      <c r="EN304" s="2275"/>
      <c r="EO304" s="2275"/>
      <c r="EP304" s="2275"/>
      <c r="EQ304" s="2275"/>
      <c r="ER304" s="2275"/>
      <c r="ES304" s="2275"/>
      <c r="ET304" s="2275"/>
      <c r="EU304" s="2275"/>
      <c r="EV304" s="2275"/>
      <c r="EW304" s="2275"/>
      <c r="EX304" s="2275"/>
      <c r="EY304" s="2275"/>
      <c r="EZ304" s="2275"/>
      <c r="FA304" s="2275"/>
      <c r="FB304" s="2275"/>
      <c r="FC304" s="2275"/>
      <c r="FD304" s="2276">
        <f>VLOOKUP(FD303,FD290:FE301,2,0)</f>
        <v>21.98</v>
      </c>
      <c r="FE304" s="2276">
        <f>IF(FE303&gt;0,FE303,FD304)</f>
        <v>21.98</v>
      </c>
      <c r="FF304" s="2276">
        <f>VLOOKUP(FE304,FE291:FF301,2,0)</f>
        <v>825</v>
      </c>
      <c r="FG304" s="2275"/>
      <c r="FH304" s="2275"/>
      <c r="FI304" s="2275"/>
      <c r="FJ304" s="2275"/>
      <c r="FK304" s="2275"/>
      <c r="FL304" s="2275"/>
      <c r="FM304" s="2250"/>
      <c r="FN304" s="2250"/>
      <c r="FO304" s="2250"/>
      <c r="FP304" s="2250"/>
      <c r="FQ304" s="2250"/>
      <c r="FR304" s="2250"/>
      <c r="FS304" s="2250"/>
      <c r="FT304" s="2250"/>
      <c r="FU304" s="2250"/>
      <c r="FV304" s="2250"/>
      <c r="FW304" s="2250"/>
      <c r="FX304" s="2250"/>
      <c r="FY304" s="2250"/>
      <c r="FZ304" s="2250"/>
      <c r="GA304" s="2250"/>
      <c r="GB304" s="2250"/>
      <c r="GC304" s="2276"/>
      <c r="GD304" s="2276"/>
      <c r="GE304" s="2250"/>
      <c r="GF304" s="2275"/>
      <c r="GG304" s="3693">
        <f>HN304</f>
        <v>825</v>
      </c>
      <c r="GH304" s="2346" t="s">
        <v>739</v>
      </c>
      <c r="GI304" s="3693">
        <f>HLOOKUP(GG302,GI288:HI302,15,0)</f>
        <v>20.69</v>
      </c>
      <c r="GJ304" s="3693" t="str">
        <f>IF(GG303=GI304,"Right","Wrong")</f>
        <v>Right</v>
      </c>
      <c r="GK304" s="2275"/>
      <c r="GL304" s="2275"/>
      <c r="GM304" s="2275"/>
      <c r="GN304" s="2275"/>
      <c r="GO304" s="2275"/>
      <c r="GP304" s="2275"/>
      <c r="GQ304" s="2275"/>
      <c r="GR304" s="2275"/>
      <c r="GS304" s="2275"/>
      <c r="GT304" s="2275"/>
      <c r="GU304" s="2275"/>
      <c r="GV304" s="2275"/>
      <c r="GW304" s="2275"/>
      <c r="GX304" s="2275"/>
      <c r="GY304" s="2275"/>
      <c r="GZ304" s="2275"/>
      <c r="HA304" s="2275"/>
      <c r="HB304" s="2275"/>
      <c r="HC304" s="2275"/>
      <c r="HD304" s="2275"/>
      <c r="HE304" s="2275"/>
      <c r="HF304" s="2275"/>
      <c r="HG304" s="2275"/>
      <c r="HH304" s="2275"/>
      <c r="HI304" s="2275"/>
      <c r="HJ304" s="2275"/>
      <c r="HK304" s="2275"/>
      <c r="HL304" s="2276">
        <f>VLOOKUP(HL303,HL290:HM301,2,0)</f>
        <v>20.69</v>
      </c>
      <c r="HM304" s="2276">
        <f>IF(HM303&gt;0,HM303,HL304)</f>
        <v>20.69</v>
      </c>
      <c r="HN304" s="2276">
        <f>VLOOKUP(HM304,HM291:HN301,2,0)</f>
        <v>825</v>
      </c>
      <c r="HO304" s="2275"/>
      <c r="HP304" s="2275"/>
      <c r="HQ304" s="2275"/>
      <c r="HR304" s="2275"/>
      <c r="HS304" s="2275"/>
      <c r="HT304" s="2275"/>
      <c r="HU304" s="2250"/>
      <c r="HV304" s="2250"/>
      <c r="HW304" s="2250"/>
      <c r="HX304" s="2250"/>
      <c r="HY304" s="2250"/>
      <c r="HZ304" s="2250"/>
      <c r="IA304" s="2250"/>
      <c r="IB304" s="2250"/>
      <c r="IC304" s="2250"/>
      <c r="ID304" s="2250"/>
      <c r="IE304" s="2250"/>
      <c r="IF304" s="2250"/>
      <c r="IG304" s="2250"/>
      <c r="IH304" s="2250"/>
      <c r="II304" s="2250"/>
      <c r="IJ304" s="2250"/>
      <c r="IK304" s="2250"/>
      <c r="IL304" s="2250"/>
    </row>
    <row r="305" spans="1:249" ht="21.95" customHeight="1">
      <c r="A305" s="2275"/>
      <c r="B305" s="2276">
        <f>B239</f>
        <v>19.915970774546171</v>
      </c>
      <c r="C305" s="2276">
        <f>HLOOKUP(B306,D287:AD307,20,0)</f>
        <v>21.09</v>
      </c>
      <c r="D305" s="2276">
        <f>+IF(B283&lt;=D297,D297,IF(B283&lt;=D298,D298,IF(B283&lt;=D299,D299,)))</f>
        <v>33.369999999999997</v>
      </c>
      <c r="E305" s="2276">
        <f>+IF(B283&lt;=E297,E297,IF(B283&lt;=E298,E298,IF(B283&lt;=E299,E299,)))</f>
        <v>37.619999999999997</v>
      </c>
      <c r="F305" s="2276">
        <f>+IF(B283&lt;=F297,F297,IF(B283&lt;=F298,F298,IF(B283&lt;=F299,F299,)))</f>
        <v>41.58</v>
      </c>
      <c r="G305" s="2276">
        <f>+IF(B283&lt;=G297,G297,IF(B283&lt;=G298,G298,IF(B283&lt;=G299,G299,)))</f>
        <v>46.14</v>
      </c>
      <c r="H305" s="2276">
        <f>+IF(B283&lt;=H297,H297,IF(B283&lt;=H298,H298,IF(B283&lt;=H299,H299,)))</f>
        <v>49.7</v>
      </c>
      <c r="I305" s="2276">
        <f>+IF(B283&lt;=I297,I297,IF(B283&lt;=I298,I298,IF(B283&lt;=I299,I299,)))</f>
        <v>47.33</v>
      </c>
      <c r="J305" s="2276">
        <f>+IF(B283&lt;=J297,J297,IF(B283&lt;=J298,J298,IF(B283&lt;=J299,J299,)))</f>
        <v>52.48</v>
      </c>
      <c r="K305" s="2276">
        <f>+IF(B283&lt;=K297,K297,IF(B283&lt;=K298,K298,IF(B283&lt;=K299,K299,)))</f>
        <v>55.84</v>
      </c>
      <c r="L305" s="2276">
        <f>+IF(B283&lt;=L297,L297,IF(B283&lt;=L298,L298,IF(B283&lt;=L299,L299,)))</f>
        <v>61.19</v>
      </c>
      <c r="M305" s="2276">
        <f>+IF(B283&lt;=M297,M297,IF(B283&lt;=M298,M298,IF(B283&lt;=M299,M299,)))</f>
        <v>61.78</v>
      </c>
      <c r="N305" s="2276">
        <f>+IF(B283&lt;=N297,N297,IF(B283&lt;=N298,N298,IF(B283&lt;=N299,N299,)))</f>
        <v>70.989999999999995</v>
      </c>
      <c r="O305" s="2276">
        <f>+IF(B283&lt;=O297,O297,IF(B283&lt;=O298,O298,IF(B283&lt;=O299,O299,)))</f>
        <v>79.31</v>
      </c>
      <c r="P305" s="2276">
        <f>+IF(B283&lt;=P297,P297,IF(B283&lt;=P298,P298,IF(B283&lt;=P299,P299,)))</f>
        <v>80.099999999999994</v>
      </c>
      <c r="Q305" s="2276">
        <f>+IF(B283&lt;=Q297,Q297,IF(B283&lt;=Q298,Q298,IF(B283&lt;=Q299,Q299,)))</f>
        <v>84.16</v>
      </c>
      <c r="R305" s="2276">
        <f>+IF(B283&lt;=R297,R297,IF(B283&lt;=R298,R298,IF(B283&lt;=R299,R299,)))</f>
        <v>88.12</v>
      </c>
      <c r="S305" s="2276">
        <f>+IF(B283&lt;=S297,S297,IF(B283&lt;=S298,S298,IF(B283&lt;=S299,S299,)))</f>
        <v>94.85</v>
      </c>
      <c r="T305" s="2276">
        <f>+IF(B283&lt;=T297,T297,IF(B283&lt;=T298,T298,IF(B283&lt;=T299,T299,)))</f>
        <v>99.5</v>
      </c>
      <c r="U305" s="2276">
        <f>+IF(B283&lt;=U297,U297,IF(B283&lt;=U298,U298,IF(B283&lt;=U299,U299,)))</f>
        <v>108.22</v>
      </c>
      <c r="V305" s="2276">
        <f>+IF(B283&lt;=V297,V297,IF(B283&lt;=V298,V298,IF(B283&lt;=V299,V299,)))</f>
        <v>114.75</v>
      </c>
      <c r="W305" s="2276">
        <f>+IF(B283&lt;=W297,W297,IF(B283&lt;=W298,W298,IF(B283&lt;=W299,W299,)))</f>
        <v>123.76</v>
      </c>
      <c r="X305" s="2276">
        <f>+IF(B283&lt;=X297,X297,IF(B283&lt;=X298,X298,IF(B283&lt;=X299,X299,)))</f>
        <v>131.88</v>
      </c>
      <c r="Y305" s="2276">
        <f>+IF(B283&lt;=Y297,Y297,IF(B283&lt;=Y298,Y298,IF(B283&lt;=Y299,Y299,)))</f>
        <v>138.12</v>
      </c>
      <c r="Z305" s="2276">
        <f>+IF(B283&lt;=Z297,Z297,IF(B283&lt;=Z298,Z298,IF(B283&lt;=Z299,Z299,)))</f>
        <v>153.27000000000001</v>
      </c>
      <c r="AA305" s="2276">
        <f>+IF(B283&lt;=AA297,AA297,IF(B283&lt;=AA298,AA298,IF(B283&lt;=AA299,AA299,)))</f>
        <v>166.24</v>
      </c>
      <c r="AB305" s="2276">
        <f>+IF(B283&lt;=AB297,AB297,IF(B283&lt;=AB298,AB298,IF(B283&lt;=AB299,AB299,)))</f>
        <v>188.71</v>
      </c>
      <c r="AC305" s="2276">
        <f>+IF(B283&lt;=AC297,AC297,IF(B283&lt;=AC298,AC298,IF(B283&lt;=AC299,AC299,)))</f>
        <v>216.63</v>
      </c>
      <c r="AD305" s="2276">
        <f>+IF(B283&lt;=AD297,AD297,IF(B283&lt;=AD298,AD298,IF(B283&lt;=AD299,AD299,)))</f>
        <v>228.42</v>
      </c>
      <c r="AE305" s="2275"/>
      <c r="AF305" s="2275"/>
      <c r="AG305" s="2275"/>
      <c r="AH305" s="2275"/>
      <c r="AI305" s="2275"/>
      <c r="AJ305" s="2275"/>
      <c r="AK305" s="2275"/>
      <c r="AL305" s="2275"/>
      <c r="AM305" s="2275"/>
      <c r="AN305" s="2275"/>
      <c r="AO305" s="2275"/>
      <c r="AP305" s="2250"/>
      <c r="AQ305" s="2250"/>
      <c r="AR305" s="2250"/>
      <c r="AS305" s="2250"/>
      <c r="AT305" s="2250"/>
      <c r="AU305" s="2250"/>
      <c r="AV305" s="2250"/>
      <c r="AW305" s="2250"/>
      <c r="AX305" s="2250"/>
      <c r="AY305" s="2250"/>
      <c r="AZ305" s="2250"/>
      <c r="BA305" s="2250"/>
      <c r="BB305" s="2250"/>
      <c r="BC305" s="2250"/>
      <c r="BD305" s="2250"/>
      <c r="BE305" s="2250"/>
      <c r="BF305" s="2276"/>
      <c r="BG305" s="2276"/>
      <c r="BH305" s="2250"/>
      <c r="BI305" s="2275"/>
      <c r="BJ305" s="2276">
        <f>BJ239</f>
        <v>19.915970774546171</v>
      </c>
      <c r="BK305" s="2276">
        <f>HLOOKUP(BJ306,BL287:CL307,20,0)</f>
        <v>25.54</v>
      </c>
      <c r="BL305" s="2276">
        <f>+IF(BJ283&lt;=BL297,BL297,IF(BJ283&lt;=BL298,BL298,IF(BJ283&lt;=BL299,BL299,)))</f>
        <v>33.369999999999997</v>
      </c>
      <c r="BM305" s="2276">
        <f>+IF(BJ283&lt;=BM297,BM297,IF(BJ283&lt;=BM298,BM298,IF(BJ283&lt;=BM299,BM299,)))</f>
        <v>37.619999999999997</v>
      </c>
      <c r="BN305" s="2276">
        <f>+IF(BJ283&lt;=BN297,BN297,IF(BJ283&lt;=BN298,BN298,IF(BJ283&lt;=BN299,BN299,)))</f>
        <v>41.58</v>
      </c>
      <c r="BO305" s="2276">
        <f>+IF(BJ283&lt;=BO297,BO297,IF(BJ283&lt;=BO298,BO298,IF(BJ283&lt;=BO299,BO299,)))</f>
        <v>46.14</v>
      </c>
      <c r="BP305" s="2276">
        <f>+IF(BJ283&lt;=BP297,BP297,IF(BJ283&lt;=BP298,BP298,IF(BJ283&lt;=BP299,BP299,)))</f>
        <v>49.7</v>
      </c>
      <c r="BQ305" s="2276">
        <f>+IF(BJ283&lt;=BQ297,BQ297,IF(BJ283&lt;=BQ298,BQ298,IF(BJ283&lt;=BQ299,BQ299,)))</f>
        <v>47.33</v>
      </c>
      <c r="BR305" s="2276">
        <f>+IF(BJ283&lt;=BR297,BR297,IF(BJ283&lt;=BR298,BR298,IF(BJ283&lt;=BR299,BR299,)))</f>
        <v>52.48</v>
      </c>
      <c r="BS305" s="2276">
        <f>+IF(BJ283&lt;=BS297,BS297,IF(BJ283&lt;=BS298,BS298,IF(BJ283&lt;=BS299,BS299,)))</f>
        <v>55.84</v>
      </c>
      <c r="BT305" s="2276">
        <f>+IF(BJ283&lt;=BT297,BT297,IF(BJ283&lt;=BT298,BT298,IF(BJ283&lt;=BT299,BT299,)))</f>
        <v>61.19</v>
      </c>
      <c r="BU305" s="2276">
        <f>+IF(BJ283&lt;=BU297,BU297,IF(BJ283&lt;=BU298,BU298,IF(BJ283&lt;=BU299,BU299,)))</f>
        <v>61.78</v>
      </c>
      <c r="BV305" s="2276">
        <f>+IF(BJ283&lt;=BV297,BV297,IF(BJ283&lt;=BV298,BV298,IF(BJ283&lt;=BV299,BV299,)))</f>
        <v>70.989999999999995</v>
      </c>
      <c r="BW305" s="2276">
        <f>+IF(BJ283&lt;=BW297,BW297,IF(BJ283&lt;=BW298,BW298,IF(BJ283&lt;=BW299,BW299,)))</f>
        <v>79.31</v>
      </c>
      <c r="BX305" s="2276">
        <f>+IF(BJ283&lt;=BX297,BX297,IF(BJ283&lt;=BX298,BX298,IF(BJ283&lt;=BX299,BX299,)))</f>
        <v>80.099999999999994</v>
      </c>
      <c r="BY305" s="2276">
        <f>+IF(BJ283&lt;=BY297,BY297,IF(BJ283&lt;=BY298,BY298,IF(BJ283&lt;=BY299,BY299,)))</f>
        <v>84.16</v>
      </c>
      <c r="BZ305" s="2276">
        <f>+IF(BJ283&lt;=BZ297,BZ297,IF(BJ283&lt;=BZ298,BZ298,IF(BJ283&lt;=BZ299,BZ299,)))</f>
        <v>88.12</v>
      </c>
      <c r="CA305" s="2276">
        <f>+IF(BJ283&lt;=CA297,CA297,IF(BJ283&lt;=CA298,CA298,IF(BJ283&lt;=CA299,CA299,)))</f>
        <v>94.85</v>
      </c>
      <c r="CB305" s="2276">
        <f>+IF(BJ283&lt;=CB297,CB297,IF(BJ283&lt;=CB298,CB298,IF(BJ283&lt;=CB299,CB299,)))</f>
        <v>99.5</v>
      </c>
      <c r="CC305" s="2276">
        <f>+IF(BJ283&lt;=CC297,CC297,IF(BJ283&lt;=CC298,CC298,IF(BJ283&lt;=CC299,CC299,)))</f>
        <v>108.22</v>
      </c>
      <c r="CD305" s="2276">
        <f>+IF(BJ283&lt;=CD297,CD297,IF(BJ283&lt;=CD298,CD298,IF(BJ283&lt;=CD299,CD299,)))</f>
        <v>114.75</v>
      </c>
      <c r="CE305" s="2276">
        <f>+IF(BJ283&lt;=CE297,CE297,IF(BJ283&lt;=CE298,CE298,IF(BJ283&lt;=CE299,CE299,)))</f>
        <v>123.76</v>
      </c>
      <c r="CF305" s="2276">
        <f>+IF(BJ283&lt;=CF297,CF297,IF(BJ283&lt;=CF298,CF298,IF(BJ283&lt;=CF299,CF299,)))</f>
        <v>131.88</v>
      </c>
      <c r="CG305" s="2276">
        <f>+IF(BJ283&lt;=CG297,CG297,IF(BJ283&lt;=CG298,CG298,IF(BJ283&lt;=CG299,CG299,)))</f>
        <v>138.12</v>
      </c>
      <c r="CH305" s="2276">
        <f>+IF(BJ283&lt;=CH297,CH297,IF(BJ283&lt;=CH298,CH298,IF(BJ283&lt;=CH299,CH299,)))</f>
        <v>153.27000000000001</v>
      </c>
      <c r="CI305" s="2276">
        <f>+IF(BJ283&lt;=CI297,CI297,IF(BJ283&lt;=CI298,CI298,IF(BJ283&lt;=CI299,CI299,)))</f>
        <v>166.24</v>
      </c>
      <c r="CJ305" s="2276">
        <f>+IF(BJ283&lt;=CJ297,CJ297,IF(BJ283&lt;=CJ298,CJ298,IF(BJ283&lt;=CJ299,CJ299,)))</f>
        <v>188.71</v>
      </c>
      <c r="CK305" s="2276">
        <f>+IF(BJ283&lt;=CK297,CK297,IF(BJ283&lt;=CK298,CK298,IF(BJ283&lt;=CK299,CK299,)))</f>
        <v>216.63</v>
      </c>
      <c r="CL305" s="2276">
        <f>+IF(BJ283&lt;=CL297,CL297,IF(BJ283&lt;=CL298,CL298,IF(BJ283&lt;=CL299,CL299,)))</f>
        <v>228.42</v>
      </c>
      <c r="CM305" s="2275"/>
      <c r="CN305" s="2275"/>
      <c r="CO305" s="2275"/>
      <c r="CP305" s="2275"/>
      <c r="CQ305" s="2275"/>
      <c r="CR305" s="2275"/>
      <c r="CS305" s="2275"/>
      <c r="CT305" s="2275"/>
      <c r="CU305" s="2275"/>
      <c r="CV305" s="2275"/>
      <c r="CW305" s="2275"/>
      <c r="CX305" s="2250"/>
      <c r="CY305" s="2250"/>
      <c r="CZ305" s="2250"/>
      <c r="DA305" s="2250"/>
      <c r="DB305" s="2250"/>
      <c r="DC305" s="2250"/>
      <c r="DD305" s="2250"/>
      <c r="DE305" s="2250"/>
      <c r="DF305" s="2250"/>
      <c r="DG305" s="2250"/>
      <c r="DH305" s="2250"/>
      <c r="DI305" s="2250"/>
      <c r="DJ305" s="2250"/>
      <c r="DK305" s="2250"/>
      <c r="DL305" s="2250"/>
      <c r="DM305" s="2250"/>
      <c r="DN305" s="2250"/>
      <c r="DO305" s="2250"/>
      <c r="DP305" s="2250"/>
      <c r="DQ305" s="2277"/>
      <c r="DR305" s="2277"/>
      <c r="DS305" s="2278"/>
      <c r="DT305" s="2250"/>
      <c r="DU305" s="2250"/>
      <c r="DV305" s="2250"/>
      <c r="DW305" s="2250"/>
      <c r="DX305" s="2275"/>
      <c r="DY305" s="2250"/>
      <c r="DZ305" s="2275"/>
      <c r="EA305" s="2276">
        <f>+IF(DY284&lt;=EA290,EA290,IF(DY284&lt;=EA291,EA291,IF(DY284&lt;=EA292,EA292,IF(DY284&lt;=EA293,EA293,IF(DY284&lt;=EA294,EA294,IF(DY284&lt;=EA295,EA295,IF(DY284&lt;=EA296,EA296,IF(DY284&lt;=EA297,EA297,0))))))))</f>
        <v>22.67</v>
      </c>
      <c r="EB305" s="2276">
        <f>+IF(DY284&lt;=EB290,EB290,IF(DY284&lt;=EB291,EB291,IF(DY284&lt;=EB292,EB292,IF(DY284&lt;=EB293,EB293,IF(DY284&lt;=EB294,EB294,IF(DY284&lt;=EB295,EB295,IF(DY284&lt;=EB296,EB296,IF(DY284&lt;=EB297,EB297,0))))))))</f>
        <v>25.54</v>
      </c>
      <c r="EC305" s="2276">
        <f>+IF(DY284&lt;=EC290,EC290,IF(DY284&lt;=EC291,EC291,IF(DY284&lt;=EC292,EC292,IF(DY284&lt;=EC293,EC293,IF(DY284&lt;=EC294,EC294,IF(DY284&lt;=EC295,EC295,IF(DY284&lt;=EC296,EC296,IF(DY284&lt;=EC297,EC297,0))))))))</f>
        <v>21.09</v>
      </c>
      <c r="ED305" s="2276">
        <f>+IF(DY284&lt;=ED290,ED290,IF(DY284&lt;=ED291,ED291,IF(DY284&lt;=ED292,ED292,IF(DY284&lt;=ED293,ED293,IF(DY284&lt;=ED294,ED294,IF(DY284&lt;=ED295,ED295,IF(DY284&lt;=ED296,ED296,IF(DY284&lt;=ED297,ED297,0))))))))</f>
        <v>22.28</v>
      </c>
      <c r="EE305" s="2276">
        <f>+IF(DY284&lt;=EE290,EE290,IF(DY284&lt;=EE291,EE291,IF(DY284&lt;=EE292,EE292,IF(DY284&lt;=EE293,EE293,IF(DY284&lt;=EE294,EE294,IF(DY284&lt;=EE295,EE295,IF(DY284&lt;=EE296,EE296,IF(DY284&lt;=EE297,EE297,0))))))))</f>
        <v>22.28</v>
      </c>
      <c r="EF305" s="2276">
        <f>+IF(DY284&lt;=EF290,EF290,IF(DY284&lt;=EF291,EF291,IF(DY284&lt;=EF292,EF292,IF(DY284&lt;=EF293,EF293,IF(DY284&lt;=EF294,EF294,IF(DY284&lt;=EF295,EF295,IF(DY284&lt;=EF296,EF296,IF(DY284&lt;=EF297,EF297,0))))))))</f>
        <v>23.96</v>
      </c>
      <c r="EG305" s="2276">
        <f>+IF(DY284&lt;=EG290,EG290,IF(DY284&lt;=EG291,EG291,IF(DY284&lt;=EG292,EG292,IF(DY284&lt;=EG293,EG293,IF(DY284&lt;=EG294,EG294,IF(DY284&lt;=EG295,EG295,IF(DY284&lt;=EG296,EG296,IF(DY284&lt;=EG297,EG297,0))))))))</f>
        <v>26.53</v>
      </c>
      <c r="EH305" s="2276">
        <f>+IF(DY284&lt;=EH290,EH290,IF(DY284&lt;=EH291,EH291,IF(DY284&lt;=EH292,EH292,IF(DY284&lt;=EH293,EH293,IF(DY284&lt;=EH294,EH294,IF(DY284&lt;=EH295,EH295,IF(DY284&lt;=EH296,EH296,IF(DY284&lt;=EH297,EH297,0))))))))</f>
        <v>28.32</v>
      </c>
      <c r="EI305" s="2276">
        <f>+IF(DY284&lt;=EI290,EI290,IF(DY284&lt;=EI291,EI291,IF(DY284&lt;=EI292,EI292,IF(DY284&lt;=EI293,EI293,IF(DY284&lt;=EI294,EI294,IF(DY284&lt;=EI295,EI295,IF(DY284&lt;=EI296,EI296,IF(DY284&lt;=EI297,EI297,0))))))))</f>
        <v>20.69</v>
      </c>
      <c r="EJ305" s="2276">
        <f>+IF(DY284&lt;=EJ290,EJ290,IF(DY284&lt;=EJ291,EJ291,IF(DY284&lt;=EJ292,EJ292,IF(DY284&lt;=EJ293,EJ293,IF(DY284&lt;=EJ294,EJ294,IF(DY284&lt;=EJ295,EJ295,IF(DY284&lt;=EJ296,EJ296,IF(DY284&lt;=EJ297,EJ297,0))))))))</f>
        <v>21.98</v>
      </c>
      <c r="EK305" s="2276">
        <f>+IF(DY284&lt;=EK290,EK290,IF(DY284&lt;=EK291,EK291,IF(DY284&lt;=EK292,EK292,IF(DY284&lt;=EK293,EK293,IF(DY284&lt;=EK294,EK294,IF(DY284&lt;=EK295,EK295,IF(DY284&lt;=EK296,EK296,IF(DY284&lt;=EK297,EK297,0))))))))</f>
        <v>23.17</v>
      </c>
      <c r="EL305" s="2276">
        <f>+IF(DY284&lt;=EL290,EL290,IF(DY284&lt;=EL291,EL291,IF(DY284&lt;=EL292,EL292,IF(DY284&lt;=EL293,EL293,IF(DY284&lt;=EL294,EL294,IF(DY284&lt;=EL295,EL295,IF(DY284&lt;=EL296,EL296,IF(DY284&lt;=EL297,EL297,0))))))))</f>
        <v>20.79</v>
      </c>
      <c r="EM305" s="2276">
        <f>+IF(DY284&lt;=EM290,EM290,IF(DY284&lt;=EM291,EM291,IF(DY284&lt;=EM292,EM292,IF(DY284&lt;=EM293,EM293,IF(DY284&lt;=EM294,EM294,IF(DY284&lt;=EM295,EM295,IF(DY284&lt;=EM296,EM296,IF(DY284&lt;=EM297,EM297,0))))))))</f>
        <v>21.78</v>
      </c>
      <c r="EN305" s="2276">
        <f>+IF(DY284&lt;=EN290,EN290,IF(DY284&lt;=EN291,EN291,IF(DY284&lt;=EN292,EN292,IF(DY284&lt;=EN293,EN293,IF(DY284&lt;=EN294,EN294,IF(DY284&lt;=EN295,EN295,IF(DY284&lt;=EN296,EN296,IF(DY284&lt;=EN297,EN297,0))))))))</f>
        <v>21.09</v>
      </c>
      <c r="EO305" s="2276">
        <f>+IF(DY284&lt;=EO290,EO290,IF(DY284&lt;=EO291,EO291,IF(DY284&lt;=EO292,EO292,IF(DY284&lt;=EO293,EO293,IF(DY284&lt;=EO294,EO294,IF(DY284&lt;=EO295,EO295,IF(DY284&lt;=EO296,EO296,IF(DY284&lt;=EO297,EO297,0))))))))</f>
        <v>22.67</v>
      </c>
      <c r="EP305" s="2276">
        <f>+IF(DY284&lt;=EP290,EP290,IF(DY284&lt;=EP291,EP291,IF(DY284&lt;=EP292,EP292,IF(DY284&lt;=EP293,EP293,IF(DY284&lt;=EP294,EP294,IF(DY284&lt;=EP295,EP295,IF(DY284&lt;=EP296,EP296,IF(DY284&lt;=EP297,EP297,0))))))))</f>
        <v>24.65</v>
      </c>
      <c r="EQ305" s="2276">
        <f>+IF(DY284&lt;=EQ290,EQ290,IF(DY284&lt;=EQ291,EQ291,IF(DY284&lt;=EQ292,EQ292,IF(DY284&lt;=EQ293,EQ293,IF(DY284&lt;=EQ294,EQ294,IF(DY284&lt;=EQ295,EQ295,IF(DY284&lt;=EQ296,EQ296,IF(DY284&lt;=EQ297,EQ297,0))))))))</f>
        <v>25.94</v>
      </c>
      <c r="ER305" s="2276">
        <f>+IF(DY284&lt;=ER290,ER290,IF(DY284&lt;=ER291,ER291,IF(DY284&lt;=ER292,ER292,IF(DY284&lt;=ER293,ER293,IF(DY284&lt;=ER294,ER294,IF(DY284&lt;=ER295,ER295,IF(DY284&lt;=ER296,ER296,IF(DY284&lt;=ER297,ER297,0))))))))</f>
        <v>27.13</v>
      </c>
      <c r="ES305" s="2276">
        <f>+IF(DY284&lt;=ES290,ES290,IF(DY284&lt;=ES291,ES291,IF(DY284&lt;=ES292,ES292,IF(DY284&lt;=ES293,ES293,IF(DY284&lt;=ES294,ES294,IF(DY284&lt;=ES295,ES295,IF(DY284&lt;=ES296,ES296,IF(DY284&lt;=ES297,ES297,0))))))))</f>
        <v>28.81</v>
      </c>
      <c r="ET305" s="2276">
        <f>+IF(DY284&lt;=ET290,ET290,IF(DY284&lt;=ET291,ET291,IF(DY284&lt;=ET292,ET292,IF(DY284&lt;=ET293,ET293,IF(DY284&lt;=ET294,ET294,IF(DY284&lt;=ET295,ET295,IF(DY284&lt;=ET296,ET296,IF(DY284&lt;=ET297,ET297,0))))))))</f>
        <v>20</v>
      </c>
      <c r="EU305" s="2276">
        <f>+IF(DY284&lt;=EU290,EU290,IF(DY284&lt;=EU291,EU291,IF(DY284&lt;=EU292,EU292,IF(DY284&lt;=EU293,EU293,IF(DY284&lt;=EU294,EU294,IF(DY284&lt;=EU295,EU295,IF(DY284&lt;=EU296,EU296,IF(DY284&lt;=EU297,EU297,0))))))))</f>
        <v>20.399999999999999</v>
      </c>
      <c r="EV305" s="2276">
        <f>+IF(DY284&lt;=EV290,EV290,IF(DY284&lt;=EV291,EV291,IF(DY284&lt;=EV292,EV292,IF(DY284&lt;=EV293,EV293,IF(DY284&lt;=EV294,EV294,IF(DY284&lt;=EV295,EV295,IF(DY284&lt;=EV296,EV296,IF(DY284&lt;=EV297,EV297,0))))))))</f>
        <v>23.07</v>
      </c>
      <c r="EW305" s="2276">
        <f>+IF(DY284&lt;=EW290,EW290,IF(DY284&lt;=EW291,EW291,IF(DY284&lt;=EW292,EW292,IF(DY284&lt;=EW293,EW293,IF(DY284&lt;=EW294,EW294,IF(DY284&lt;=EW295,EW295,IF(DY284&lt;=EW296,EW296,IF(DY284&lt;=EW297,EW297,0))))))))</f>
        <v>25.25</v>
      </c>
      <c r="EX305" s="2276">
        <f>+IF(DY284&lt;=EX290,EX290,IF(DY284&lt;=EX291,EX291,IF(DY284&lt;=EX292,EX292,IF(DY284&lt;=EX293,EX293,IF(DY284&lt;=EX294,EX294,IF(DY284&lt;=EX295,EX295,IF(DY284&lt;=EX296,EX296,IF(DY284&lt;=EX297,EX297,0))))))))</f>
        <v>27.82</v>
      </c>
      <c r="EY305" s="2276">
        <f>+IF(DY284&lt;=EY290,EY290,IF(DY284&lt;=EY291,EY291,IF(DY284&lt;=EY292,EY292,IF(DY284&lt;=EY293,EY293,IF(DY284&lt;=EY294,EY294,IF(DY284&lt;=EY295,EY295,IF(DY284&lt;=EY296,EY296,IF(DY284&lt;=EY297,EY297,0))))))))</f>
        <v>30.99</v>
      </c>
      <c r="EZ305" s="2276">
        <f>+IF(DY284&lt;=EZ290,EZ290,IF(DY284&lt;=EZ291,EZ291,IF(DY284&lt;=EZ292,EZ292,IF(DY284&lt;=EZ293,EZ293,IF(DY284&lt;=EZ294,EZ294,IF(DY284&lt;=EZ295,EZ295,IF(DY284&lt;=EZ296,EZ296,IF(DY284&lt;=EZ297,EZ297,0))))))))</f>
        <v>21.19</v>
      </c>
      <c r="FA305" s="2276">
        <f>+IF(DY284&lt;=FA290,FA290,IF(DY284&lt;=FA291,FA291,IF(DY284&lt;=FA292,FA292,IF(DY284&lt;=FA293,FA293,IF(DY284&lt;=FA294,FA294,IF(DY284&lt;=FA295,FA295,IF(DY284&lt;=FA296,FA296,IF(DY284&lt;=FA297,FA297,0))))))))</f>
        <v>25.15</v>
      </c>
      <c r="FB305" s="2275"/>
      <c r="FC305" s="2275"/>
      <c r="FD305" s="2275"/>
      <c r="FE305" s="2275"/>
      <c r="FF305" s="2275"/>
      <c r="FG305" s="2275"/>
      <c r="FH305" s="2275"/>
      <c r="FI305" s="2275"/>
      <c r="FJ305" s="2275"/>
      <c r="FK305" s="2275"/>
      <c r="FL305" s="2275"/>
      <c r="FM305" s="2250"/>
      <c r="FN305" s="2250"/>
      <c r="FO305" s="2250"/>
      <c r="FP305" s="2250"/>
      <c r="FQ305" s="2250"/>
      <c r="FR305" s="2250"/>
      <c r="FS305" s="2250"/>
      <c r="FT305" s="2250"/>
      <c r="FU305" s="2250"/>
      <c r="FV305" s="2250"/>
      <c r="FW305" s="2250"/>
      <c r="FX305" s="2250"/>
      <c r="FY305" s="2250"/>
      <c r="FZ305" s="2250"/>
      <c r="GA305" s="2250"/>
      <c r="GB305" s="2250"/>
      <c r="GC305" s="2276"/>
      <c r="GD305" s="2276"/>
      <c r="GE305" s="2250"/>
      <c r="GF305" s="2275"/>
      <c r="GG305" s="2250"/>
      <c r="GH305" s="2275"/>
      <c r="GI305" s="2276">
        <f>+IF(GG284&lt;=GI290,GI290,IF(GG284&lt;=GI291,GI291,IF(GG284&lt;=GI292,GI292,IF(GG284&lt;=GI293,GI293,IF(GG284&lt;=GI294,GI294,IF(GG284&lt;=GI295,GI295,IF(GG284&lt;=GI296,GI296,IF(GG284&lt;=GI297,GI297,0))))))))</f>
        <v>22.67</v>
      </c>
      <c r="GJ305" s="2276">
        <f>+IF(GG284&lt;=GJ290,GJ290,IF(GG284&lt;=GJ291,GJ291,IF(GG284&lt;=GJ292,GJ292,IF(GG284&lt;=GJ293,GJ293,IF(GG284&lt;=GJ294,GJ294,IF(GG284&lt;=GJ295,GJ295,IF(GG284&lt;=GJ296,GJ296,IF(GG284&lt;=GJ297,GJ297,0))))))))</f>
        <v>25.54</v>
      </c>
      <c r="GK305" s="2276">
        <f>+IF(GG284&lt;=GK290,GK290,IF(GG284&lt;=GK291,GK291,IF(GG284&lt;=GK292,GK292,IF(GG284&lt;=GK293,GK293,IF(GG284&lt;=GK294,GK294,IF(GG284&lt;=GK295,GK295,IF(GG284&lt;=GK296,GK296,IF(GG284&lt;=GK297,GK297,0))))))))</f>
        <v>21.09</v>
      </c>
      <c r="GL305" s="2276">
        <f>+IF(GG284&lt;=GL290,GL290,IF(GG284&lt;=GL291,GL291,IF(GG284&lt;=GL292,GL292,IF(GG284&lt;=GL293,GL293,IF(GG284&lt;=GL294,GL294,IF(GG284&lt;=GL295,GL295,IF(GG284&lt;=GL296,GL296,IF(GG284&lt;=GL297,GL297,0))))))))</f>
        <v>22.28</v>
      </c>
      <c r="GM305" s="2276">
        <f>+IF(GG284&lt;=GM290,GM290,IF(GG284&lt;=GM291,GM291,IF(GG284&lt;=GM292,GM292,IF(GG284&lt;=GM293,GM293,IF(GG284&lt;=GM294,GM294,IF(GG284&lt;=GM295,GM295,IF(GG284&lt;=GM296,GM296,IF(GG284&lt;=GM297,GM297,0))))))))</f>
        <v>22.28</v>
      </c>
      <c r="GN305" s="2276">
        <f>+IF(GG284&lt;=GN290,GN290,IF(GG284&lt;=GN291,GN291,IF(GG284&lt;=GN292,GN292,IF(GG284&lt;=GN293,GN293,IF(GG284&lt;=GN294,GN294,IF(GG284&lt;=GN295,GN295,IF(GG284&lt;=GN296,GN296,IF(GG284&lt;=GN297,GN297,0))))))))</f>
        <v>23.96</v>
      </c>
      <c r="GO305" s="2276">
        <f>+IF(GG284&lt;=GO290,GO290,IF(GG284&lt;=GO291,GO291,IF(GG284&lt;=GO292,GO292,IF(GG284&lt;=GO293,GO293,IF(GG284&lt;=GO294,GO294,IF(GG284&lt;=GO295,GO295,IF(GG284&lt;=GO296,GO296,IF(GG284&lt;=GO297,GO297,0))))))))</f>
        <v>26.53</v>
      </c>
      <c r="GP305" s="2276">
        <f>+IF(GG284&lt;=GP290,GP290,IF(GG284&lt;=GP291,GP291,IF(GG284&lt;=GP292,GP292,IF(GG284&lt;=GP293,GP293,IF(GG284&lt;=GP294,GP294,IF(GG284&lt;=GP295,GP295,IF(GG284&lt;=GP296,GP296,IF(GG284&lt;=GP297,GP297,0))))))))</f>
        <v>28.32</v>
      </c>
      <c r="GQ305" s="2276">
        <f>+IF(GG284&lt;=GQ290,GQ290,IF(GG284&lt;=GQ291,GQ291,IF(GG284&lt;=GQ292,GQ292,IF(GG284&lt;=GQ293,GQ293,IF(GG284&lt;=GQ294,GQ294,IF(GG284&lt;=GQ295,GQ295,IF(GG284&lt;=GQ296,GQ296,IF(GG284&lt;=GQ297,GQ297,0))))))))</f>
        <v>20.69</v>
      </c>
      <c r="GR305" s="2276">
        <f>+IF(GG284&lt;=GR290,GR290,IF(GG284&lt;=GR291,GR291,IF(GG284&lt;=GR292,GR292,IF(GG284&lt;=GR293,GR293,IF(GG284&lt;=GR294,GR294,IF(GG284&lt;=GR295,GR295,IF(GG284&lt;=GR296,GR296,IF(GG284&lt;=GR297,GR297,0))))))))</f>
        <v>21.98</v>
      </c>
      <c r="GS305" s="2276">
        <f>+IF(GG284&lt;=GS290,GS290,IF(GG284&lt;=GS291,GS291,IF(GG284&lt;=GS292,GS292,IF(GG284&lt;=GS293,GS293,IF(GG284&lt;=GS294,GS294,IF(GG284&lt;=GS295,GS295,IF(GG284&lt;=GS296,GS296,IF(GG284&lt;=GS297,GS297,0))))))))</f>
        <v>23.17</v>
      </c>
      <c r="GT305" s="2276">
        <f>+IF(GG284&lt;=GT290,GT290,IF(GG284&lt;=GT291,GT291,IF(GG284&lt;=GT292,GT292,IF(GG284&lt;=GT293,GT293,IF(GG284&lt;=GT294,GT294,IF(GG284&lt;=GT295,GT295,IF(GG284&lt;=GT296,GT296,IF(GG284&lt;=GT297,GT297,0))))))))</f>
        <v>20.79</v>
      </c>
      <c r="GU305" s="2276">
        <f>+IF(GG284&lt;=GU290,GU290,IF(GG284&lt;=GU291,GU291,IF(GG284&lt;=GU292,GU292,IF(GG284&lt;=GU293,GU293,IF(GG284&lt;=GU294,GU294,IF(GG284&lt;=GU295,GU295,IF(GG284&lt;=GU296,GU296,IF(GG284&lt;=GU297,GU297,0))))))))</f>
        <v>21.78</v>
      </c>
      <c r="GV305" s="2276">
        <f>+IF(GG284&lt;=GV290,GV290,IF(GG284&lt;=GV291,GV291,IF(GG284&lt;=GV292,GV292,IF(GG284&lt;=GV293,GV293,IF(GG284&lt;=GV294,GV294,IF(GG284&lt;=GV295,GV295,IF(GG284&lt;=GV296,GV296,IF(GG284&lt;=GV297,GV297,0))))))))</f>
        <v>21.09</v>
      </c>
      <c r="GW305" s="2276">
        <f>+IF(GG284&lt;=GW290,GW290,IF(GG284&lt;=GW291,GW291,IF(GG284&lt;=GW292,GW292,IF(GG284&lt;=GW293,GW293,IF(GG284&lt;=GW294,GW294,IF(GG284&lt;=GW295,GW295,IF(GG284&lt;=GW296,GW296,IF(GG284&lt;=GW297,GW297,0))))))))</f>
        <v>22.67</v>
      </c>
      <c r="GX305" s="2276">
        <f>+IF(GG284&lt;=GX290,GX290,IF(GG284&lt;=GX291,GX291,IF(GG284&lt;=GX292,GX292,IF(GG284&lt;=GX293,GX293,IF(GG284&lt;=GX294,GX294,IF(GG284&lt;=GX295,GX295,IF(GG284&lt;=GX296,GX296,IF(GG284&lt;=GX297,GX297,0))))))))</f>
        <v>24.65</v>
      </c>
      <c r="GY305" s="2276">
        <f>+IF(GG284&lt;=GY290,GY290,IF(GG284&lt;=GY291,GY291,IF(GG284&lt;=GY292,GY292,IF(GG284&lt;=GY293,GY293,IF(GG284&lt;=GY294,GY294,IF(GG284&lt;=GY295,GY295,IF(GG284&lt;=GY296,GY296,IF(GG284&lt;=GY297,GY297,0))))))))</f>
        <v>25.94</v>
      </c>
      <c r="GZ305" s="2276">
        <f>+IF(GG284&lt;=GZ290,GZ290,IF(GG284&lt;=GZ291,GZ291,IF(GG284&lt;=GZ292,GZ292,IF(GG284&lt;=GZ293,GZ293,IF(GG284&lt;=GZ294,GZ294,IF(GG284&lt;=GZ295,GZ295,IF(GG284&lt;=GZ296,GZ296,IF(GG284&lt;=GZ297,GZ297,0))))))))</f>
        <v>27.13</v>
      </c>
      <c r="HA305" s="2276">
        <f>+IF(GG284&lt;=HA290,HA290,IF(GG284&lt;=HA291,HA291,IF(GG284&lt;=HA292,HA292,IF(GG284&lt;=HA293,HA293,IF(GG284&lt;=HA294,HA294,IF(GG284&lt;=HA295,HA295,IF(GG284&lt;=HA296,HA296,IF(GG284&lt;=HA297,HA297,0))))))))</f>
        <v>28.81</v>
      </c>
      <c r="HB305" s="2276">
        <f>+IF(GG284&lt;=HB290,HB290,IF(GG284&lt;=HB291,HB291,IF(GG284&lt;=HB292,HB292,IF(GG284&lt;=HB293,HB293,IF(GG284&lt;=HB294,HB294,IF(GG284&lt;=HB295,HB295,IF(GG284&lt;=HB296,HB296,IF(GG284&lt;=HB297,HB297,0))))))))</f>
        <v>20</v>
      </c>
      <c r="HC305" s="2276">
        <f>+IF(GG284&lt;=HC290,HC290,IF(GG284&lt;=HC291,HC291,IF(GG284&lt;=HC292,HC292,IF(GG284&lt;=HC293,HC293,IF(GG284&lt;=HC294,HC294,IF(GG284&lt;=HC295,HC295,IF(GG284&lt;=HC296,HC296,IF(GG284&lt;=HC297,HC297,0))))))))</f>
        <v>20.399999999999999</v>
      </c>
      <c r="HD305" s="2276">
        <f>+IF(GG284&lt;=HD290,HD290,IF(GG284&lt;=HD291,HD291,IF(GG284&lt;=HD292,HD292,IF(GG284&lt;=HD293,HD293,IF(GG284&lt;=HD294,HD294,IF(GG284&lt;=HD295,HD295,IF(GG284&lt;=HD296,HD296,IF(GG284&lt;=HD297,HD297,0))))))))</f>
        <v>23.07</v>
      </c>
      <c r="HE305" s="2276">
        <f>+IF(GG284&lt;=HE290,HE290,IF(GG284&lt;=HE291,HE291,IF(GG284&lt;=HE292,HE292,IF(GG284&lt;=HE293,HE293,IF(GG284&lt;=HE294,HE294,IF(GG284&lt;=HE295,HE295,IF(GG284&lt;=HE296,HE296,IF(GG284&lt;=HE297,HE297,0))))))))</f>
        <v>25.25</v>
      </c>
      <c r="HF305" s="2276">
        <f>+IF(GG284&lt;=HF290,HF290,IF(GG284&lt;=HF291,HF291,IF(GG284&lt;=HF292,HF292,IF(GG284&lt;=HF293,HF293,IF(GG284&lt;=HF294,HF294,IF(GG284&lt;=HF295,HF295,IF(GG284&lt;=HF296,HF296,IF(GG284&lt;=HF297,HF297,0))))))))</f>
        <v>27.82</v>
      </c>
      <c r="HG305" s="2276">
        <f>+IF(GG284&lt;=HG290,HG290,IF(GG284&lt;=HG291,HG291,IF(GG284&lt;=HG292,HG292,IF(GG284&lt;=HG293,HG293,IF(GG284&lt;=HG294,HG294,IF(GG284&lt;=HG295,HG295,IF(GG284&lt;=HG296,HG296,IF(GG284&lt;=HG297,HG297,0))))))))</f>
        <v>30.99</v>
      </c>
      <c r="HH305" s="2276">
        <f>+IF(GG284&lt;=HH290,HH290,IF(GG284&lt;=HH291,HH291,IF(GG284&lt;=HH292,HH292,IF(GG284&lt;=HH293,HH293,IF(GG284&lt;=HH294,HH294,IF(GG284&lt;=HH295,HH295,IF(GG284&lt;=HH296,HH296,IF(GG284&lt;=HH297,HH297,0))))))))</f>
        <v>21.19</v>
      </c>
      <c r="HI305" s="2276">
        <f>+IF(GG284&lt;=HI290,HI290,IF(GG284&lt;=HI291,HI291,IF(GG284&lt;=HI292,HI292,IF(GG284&lt;=HI293,HI293,IF(GG284&lt;=HI294,HI294,IF(GG284&lt;=HI295,HI295,IF(GG284&lt;=HI296,HI296,IF(GG284&lt;=HI297,HI297,0))))))))</f>
        <v>25.15</v>
      </c>
      <c r="HJ305" s="2275"/>
      <c r="HK305" s="2275"/>
      <c r="HL305" s="2275"/>
      <c r="HM305" s="2275"/>
      <c r="HN305" s="2275"/>
      <c r="HO305" s="2275"/>
      <c r="HP305" s="2275"/>
      <c r="HQ305" s="2275"/>
      <c r="HR305" s="2275"/>
      <c r="HS305" s="2275"/>
      <c r="HT305" s="2275"/>
      <c r="HU305" s="2250"/>
      <c r="HV305" s="2250"/>
      <c r="HW305" s="2250"/>
      <c r="HX305" s="2250"/>
      <c r="HY305" s="2250"/>
      <c r="HZ305" s="2250"/>
      <c r="IA305" s="2250"/>
      <c r="IB305" s="2250"/>
      <c r="IC305" s="2250"/>
      <c r="ID305" s="2250"/>
      <c r="IE305" s="2250"/>
      <c r="IF305" s="2250"/>
      <c r="IG305" s="2250"/>
      <c r="IH305" s="2250"/>
      <c r="II305" s="2250"/>
      <c r="IJ305" s="2250"/>
      <c r="IK305" s="2250"/>
      <c r="IL305" s="2250"/>
    </row>
    <row r="306" spans="1:249" ht="21.95" customHeight="1">
      <c r="A306" s="2275"/>
      <c r="B306" s="2276">
        <f>B240</f>
        <v>190.4</v>
      </c>
      <c r="C306" s="2276">
        <f>HLOOKUP(B306,D287:AD307,21,0)</f>
        <v>950</v>
      </c>
      <c r="D306" s="2276">
        <f t="shared" ref="D306:AD306" si="276">IF(D304=0,D305,D304)</f>
        <v>22.67</v>
      </c>
      <c r="E306" s="2276">
        <f t="shared" si="276"/>
        <v>25.54</v>
      </c>
      <c r="F306" s="2276">
        <f t="shared" si="276"/>
        <v>21.09</v>
      </c>
      <c r="G306" s="2276">
        <f t="shared" si="276"/>
        <v>22.28</v>
      </c>
      <c r="H306" s="2276">
        <f t="shared" si="276"/>
        <v>22.28</v>
      </c>
      <c r="I306" s="2276">
        <f t="shared" si="276"/>
        <v>23.96</v>
      </c>
      <c r="J306" s="2276">
        <f t="shared" si="276"/>
        <v>26.53</v>
      </c>
      <c r="K306" s="2276">
        <f t="shared" si="276"/>
        <v>28.32</v>
      </c>
      <c r="L306" s="2276">
        <f t="shared" si="276"/>
        <v>20.69</v>
      </c>
      <c r="M306" s="2276">
        <f t="shared" si="276"/>
        <v>21.98</v>
      </c>
      <c r="N306" s="2276">
        <f t="shared" si="276"/>
        <v>23.17</v>
      </c>
      <c r="O306" s="2276">
        <f t="shared" si="276"/>
        <v>20.79</v>
      </c>
      <c r="P306" s="2276">
        <f t="shared" si="276"/>
        <v>21.78</v>
      </c>
      <c r="Q306" s="2276">
        <f t="shared" si="276"/>
        <v>21.09</v>
      </c>
      <c r="R306" s="2276">
        <f t="shared" si="276"/>
        <v>22.67</v>
      </c>
      <c r="S306" s="2276">
        <f t="shared" si="276"/>
        <v>24.65</v>
      </c>
      <c r="T306" s="2276">
        <f t="shared" si="276"/>
        <v>25.94</v>
      </c>
      <c r="U306" s="2276">
        <f t="shared" si="276"/>
        <v>27.13</v>
      </c>
      <c r="V306" s="2276">
        <f t="shared" si="276"/>
        <v>28.81</v>
      </c>
      <c r="W306" s="2276">
        <f t="shared" si="276"/>
        <v>20</v>
      </c>
      <c r="X306" s="2276">
        <f t="shared" si="276"/>
        <v>20.399999999999999</v>
      </c>
      <c r="Y306" s="2276">
        <f t="shared" si="276"/>
        <v>23.07</v>
      </c>
      <c r="Z306" s="2276">
        <f t="shared" si="276"/>
        <v>25.25</v>
      </c>
      <c r="AA306" s="2276">
        <f t="shared" si="276"/>
        <v>27.82</v>
      </c>
      <c r="AB306" s="2276">
        <f t="shared" si="276"/>
        <v>30.99</v>
      </c>
      <c r="AC306" s="2276">
        <f t="shared" si="276"/>
        <v>21.19</v>
      </c>
      <c r="AD306" s="2276">
        <f t="shared" si="276"/>
        <v>25.15</v>
      </c>
      <c r="AE306" s="2275"/>
      <c r="AF306" s="2275"/>
      <c r="AG306" s="2275"/>
      <c r="AH306" s="2275"/>
      <c r="AI306" s="2275"/>
      <c r="AJ306" s="2275"/>
      <c r="AK306" s="2275"/>
      <c r="AL306" s="2275"/>
      <c r="AM306" s="2275"/>
      <c r="AN306" s="2275"/>
      <c r="AO306" s="2275"/>
      <c r="AP306" s="2250"/>
      <c r="AQ306" s="2250"/>
      <c r="AR306" s="2250"/>
      <c r="AS306" s="2250"/>
      <c r="AT306" s="2250"/>
      <c r="AU306" s="2250"/>
      <c r="AV306" s="2250"/>
      <c r="AW306" s="2250"/>
      <c r="AX306" s="2250"/>
      <c r="AY306" s="2250"/>
      <c r="AZ306" s="2250"/>
      <c r="BA306" s="2250"/>
      <c r="BB306" s="2250"/>
      <c r="BC306" s="2250"/>
      <c r="BD306" s="2250"/>
      <c r="BE306" s="2250"/>
      <c r="BF306" s="2276"/>
      <c r="BG306" s="2276"/>
      <c r="BH306" s="2250"/>
      <c r="BI306" s="2275"/>
      <c r="BJ306" s="2276">
        <f>BJ240</f>
        <v>206.43</v>
      </c>
      <c r="BK306" s="2276">
        <f>HLOOKUP(BJ306,BL287:CL307,21,0)</f>
        <v>1100</v>
      </c>
      <c r="BL306" s="2276">
        <f t="shared" ref="BL306:CL306" si="277">IF(BL304=0,BL305,BL304)</f>
        <v>22.67</v>
      </c>
      <c r="BM306" s="2276">
        <f t="shared" si="277"/>
        <v>25.54</v>
      </c>
      <c r="BN306" s="2276">
        <f t="shared" si="277"/>
        <v>21.09</v>
      </c>
      <c r="BO306" s="2276">
        <f t="shared" si="277"/>
        <v>22.28</v>
      </c>
      <c r="BP306" s="2276">
        <f t="shared" si="277"/>
        <v>22.28</v>
      </c>
      <c r="BQ306" s="2276">
        <f t="shared" si="277"/>
        <v>23.96</v>
      </c>
      <c r="BR306" s="2276">
        <f t="shared" si="277"/>
        <v>26.53</v>
      </c>
      <c r="BS306" s="2276">
        <f t="shared" si="277"/>
        <v>28.32</v>
      </c>
      <c r="BT306" s="2276">
        <f t="shared" si="277"/>
        <v>20.69</v>
      </c>
      <c r="BU306" s="2276">
        <f t="shared" si="277"/>
        <v>21.98</v>
      </c>
      <c r="BV306" s="2276">
        <f t="shared" si="277"/>
        <v>23.17</v>
      </c>
      <c r="BW306" s="2276">
        <f t="shared" si="277"/>
        <v>20.79</v>
      </c>
      <c r="BX306" s="2276">
        <f t="shared" si="277"/>
        <v>21.78</v>
      </c>
      <c r="BY306" s="2276">
        <f t="shared" si="277"/>
        <v>21.09</v>
      </c>
      <c r="BZ306" s="2276">
        <f t="shared" si="277"/>
        <v>22.67</v>
      </c>
      <c r="CA306" s="2276">
        <f t="shared" si="277"/>
        <v>24.65</v>
      </c>
      <c r="CB306" s="2276">
        <f t="shared" si="277"/>
        <v>25.94</v>
      </c>
      <c r="CC306" s="2276">
        <f t="shared" si="277"/>
        <v>27.13</v>
      </c>
      <c r="CD306" s="2276">
        <f t="shared" si="277"/>
        <v>28.81</v>
      </c>
      <c r="CE306" s="2276">
        <f t="shared" si="277"/>
        <v>20</v>
      </c>
      <c r="CF306" s="2276">
        <f t="shared" si="277"/>
        <v>20.399999999999999</v>
      </c>
      <c r="CG306" s="2276">
        <f t="shared" si="277"/>
        <v>23.07</v>
      </c>
      <c r="CH306" s="2276">
        <f t="shared" si="277"/>
        <v>25.25</v>
      </c>
      <c r="CI306" s="2276">
        <f t="shared" si="277"/>
        <v>27.82</v>
      </c>
      <c r="CJ306" s="2276">
        <f t="shared" si="277"/>
        <v>30.99</v>
      </c>
      <c r="CK306" s="2276">
        <f t="shared" si="277"/>
        <v>21.19</v>
      </c>
      <c r="CL306" s="2276">
        <f t="shared" si="277"/>
        <v>25.15</v>
      </c>
      <c r="CM306" s="2275"/>
      <c r="CN306" s="2275"/>
      <c r="CO306" s="2275"/>
      <c r="CP306" s="2275"/>
      <c r="CQ306" s="2275"/>
      <c r="CR306" s="2275"/>
      <c r="CS306" s="2275"/>
      <c r="CT306" s="2275"/>
      <c r="CU306" s="2275"/>
      <c r="CV306" s="2275"/>
      <c r="CW306" s="2275"/>
      <c r="CX306" s="2250"/>
      <c r="CY306" s="2250"/>
      <c r="CZ306" s="2250"/>
      <c r="DA306" s="2250"/>
      <c r="DB306" s="2250"/>
      <c r="DC306" s="2250"/>
      <c r="DD306" s="2250"/>
      <c r="DE306" s="2250"/>
      <c r="DF306" s="2250"/>
      <c r="DG306" s="2250"/>
      <c r="DH306" s="2250"/>
      <c r="DI306" s="2250"/>
      <c r="DJ306" s="2250"/>
      <c r="DK306" s="2250"/>
      <c r="DL306" s="2250"/>
      <c r="DM306" s="2250"/>
      <c r="DN306" s="2250"/>
      <c r="DO306" s="2250"/>
      <c r="DP306" s="2250"/>
      <c r="DQ306" s="2277"/>
      <c r="DR306" s="2277"/>
      <c r="DS306" s="2278"/>
      <c r="DT306" s="2250"/>
      <c r="DU306" s="2250"/>
      <c r="DV306" s="2250"/>
      <c r="DW306" s="2250"/>
      <c r="DX306" s="2275"/>
      <c r="DY306" s="2276">
        <f>DY240</f>
        <v>19.968225884687833</v>
      </c>
      <c r="DZ306" s="2276">
        <f>HLOOKUP(DY307,EA288:FA308,20,0)</f>
        <v>21.98</v>
      </c>
      <c r="EA306" s="2276">
        <f>+IF(DY284&lt;=EA298,EA298,IF(DY284&lt;=EA299,EA299,IF(DY284&lt;=EA300,EA300,)))</f>
        <v>33.369999999999997</v>
      </c>
      <c r="EB306" s="2276">
        <f>+IF(DY284&lt;=EB298,EB298,IF(DY284&lt;=EB299,EB299,IF(DY284&lt;=EB300,EB300,)))</f>
        <v>37.619999999999997</v>
      </c>
      <c r="EC306" s="2276">
        <f>+IF(DY284&lt;=EC298,EC298,IF(DY284&lt;=EC299,EC299,IF(DY284&lt;=EC300,EC300,)))</f>
        <v>41.58</v>
      </c>
      <c r="ED306" s="2276">
        <f>+IF(DY284&lt;=ED298,ED298,IF(DY284&lt;=ED299,ED299,IF(DY284&lt;=ED300,ED300,)))</f>
        <v>46.14</v>
      </c>
      <c r="EE306" s="2276">
        <f>+IF(DY284&lt;=EE298,EE298,IF(DY284&lt;=EE299,EE299,IF(DY284&lt;=EE300,EE300,)))</f>
        <v>49.7</v>
      </c>
      <c r="EF306" s="2276">
        <f>+IF(DY284&lt;=EF298,EF298,IF(DY284&lt;=EF299,EF299,IF(DY284&lt;=EF300,EF300,)))</f>
        <v>47.33</v>
      </c>
      <c r="EG306" s="2276">
        <f>+IF(DY284&lt;=EG298,EG298,IF(DY284&lt;=EG299,EG299,IF(DY284&lt;=EG300,EG300,)))</f>
        <v>52.48</v>
      </c>
      <c r="EH306" s="2276">
        <f>+IF(DY284&lt;=EH298,EH298,IF(DY284&lt;=EH299,EH299,IF(DY284&lt;=EH300,EH300,)))</f>
        <v>55.84</v>
      </c>
      <c r="EI306" s="2276">
        <f>+IF(DY284&lt;=EI298,EI298,IF(DY284&lt;=EI299,EI299,IF(DY284&lt;=EI300,EI300,)))</f>
        <v>61.19</v>
      </c>
      <c r="EJ306" s="2276">
        <f>+IF(DY284&lt;=EJ298,EJ298,IF(DY284&lt;=EJ299,EJ299,IF(DY284&lt;=EJ300,EJ300,)))</f>
        <v>61.78</v>
      </c>
      <c r="EK306" s="2276">
        <f>+IF(DY284&lt;=EK298,EK298,IF(DY284&lt;=EK299,EK299,IF(DY284&lt;=EK300,EK300,)))</f>
        <v>70.989999999999995</v>
      </c>
      <c r="EL306" s="2276">
        <f>+IF(DY284&lt;=EL298,EL298,IF(DY284&lt;=EL299,EL299,IF(DY284&lt;=EL300,EL300,)))</f>
        <v>79.31</v>
      </c>
      <c r="EM306" s="2276">
        <f>+IF(DY284&lt;=EM298,EM298,IF(DY284&lt;=EM299,EM299,IF(DY284&lt;=EM300,EM300,)))</f>
        <v>80.099999999999994</v>
      </c>
      <c r="EN306" s="2276">
        <f>+IF(DY284&lt;=EN298,EN298,IF(DY284&lt;=EN299,EN299,IF(DY284&lt;=EN300,EN300,)))</f>
        <v>84.16</v>
      </c>
      <c r="EO306" s="2276">
        <f>+IF(DY284&lt;=EO298,EO298,IF(DY284&lt;=EO299,EO299,IF(DY284&lt;=EO300,EO300,)))</f>
        <v>88.12</v>
      </c>
      <c r="EP306" s="2276">
        <f>+IF(DY284&lt;=EP298,EP298,IF(DY284&lt;=EP299,EP299,IF(DY284&lt;=EP300,EP300,)))</f>
        <v>94.85</v>
      </c>
      <c r="EQ306" s="2276">
        <f>+IF(DY284&lt;=EQ298,EQ298,IF(DY284&lt;=EQ299,EQ299,IF(DY284&lt;=EQ300,EQ300,)))</f>
        <v>99.5</v>
      </c>
      <c r="ER306" s="2276">
        <f>+IF(DY284&lt;=ER298,ER298,IF(DY284&lt;=ER299,ER299,IF(DY284&lt;=ER300,ER300,)))</f>
        <v>108.22</v>
      </c>
      <c r="ES306" s="2276">
        <f>+IF(DY284&lt;=ES298,ES298,IF(DY284&lt;=ES299,ES299,IF(DY284&lt;=ES300,ES300,)))</f>
        <v>114.75</v>
      </c>
      <c r="ET306" s="2276">
        <f>+IF(DY284&lt;=ET298,ET298,IF(DY284&lt;=ET299,ET299,IF(DY284&lt;=ET300,ET300,)))</f>
        <v>123.76</v>
      </c>
      <c r="EU306" s="2276">
        <f>+IF(DY284&lt;=EU298,EU298,IF(DY284&lt;=EU299,EU299,IF(DY284&lt;=EU300,EU300,)))</f>
        <v>131.88</v>
      </c>
      <c r="EV306" s="2276">
        <f>+IF(DY284&lt;=EV298,EV298,IF(DY284&lt;=EV299,EV299,IF(DY284&lt;=EV300,EV300,)))</f>
        <v>138.12</v>
      </c>
      <c r="EW306" s="2276">
        <f>+IF(DY284&lt;=EW298,EW298,IF(DY284&lt;=EW299,EW299,IF(DY284&lt;=EW300,EW300,)))</f>
        <v>153.27000000000001</v>
      </c>
      <c r="EX306" s="2276">
        <f>+IF(DY284&lt;=EX298,EX298,IF(DY284&lt;=EX299,EX299,IF(DY284&lt;=EX300,EX300,)))</f>
        <v>166.24</v>
      </c>
      <c r="EY306" s="2276">
        <f>+IF(DY284&lt;=EY298,EY298,IF(DY284&lt;=EY299,EY299,IF(DY284&lt;=EY300,EY300,)))</f>
        <v>188.71</v>
      </c>
      <c r="EZ306" s="2276">
        <f>+IF(DY284&lt;=EZ298,EZ298,IF(DY284&lt;=EZ299,EZ299,IF(DY284&lt;=EZ300,EZ300,)))</f>
        <v>216.63</v>
      </c>
      <c r="FA306" s="2276">
        <f>+IF(DY284&lt;=FA298,FA298,IF(DY284&lt;=FA299,FA299,IF(DY284&lt;=FA300,FA300,)))</f>
        <v>228.42</v>
      </c>
      <c r="FB306" s="2275"/>
      <c r="FC306" s="2275"/>
      <c r="FD306" s="2275"/>
      <c r="FE306" s="2275"/>
      <c r="FF306" s="2275"/>
      <c r="FG306" s="2275"/>
      <c r="FH306" s="2275"/>
      <c r="FI306" s="2275"/>
      <c r="FJ306" s="2275"/>
      <c r="FK306" s="2275"/>
      <c r="FL306" s="2275"/>
      <c r="FM306" s="2250"/>
      <c r="FN306" s="2250"/>
      <c r="FO306" s="2250"/>
      <c r="FP306" s="2250"/>
      <c r="FQ306" s="2250"/>
      <c r="FR306" s="2250"/>
      <c r="FS306" s="2250"/>
      <c r="FT306" s="2250"/>
      <c r="FU306" s="2250"/>
      <c r="FV306" s="2250"/>
      <c r="FW306" s="2250"/>
      <c r="FX306" s="2250"/>
      <c r="FY306" s="2250"/>
      <c r="FZ306" s="2250"/>
      <c r="GA306" s="2250"/>
      <c r="GB306" s="2250"/>
      <c r="GC306" s="2276"/>
      <c r="GD306" s="2276"/>
      <c r="GE306" s="2250"/>
      <c r="GF306" s="2275"/>
      <c r="GG306" s="2276">
        <f>GG240</f>
        <v>19.968225884687833</v>
      </c>
      <c r="GH306" s="2276">
        <f>HLOOKUP(GG307,GI288:HI308,20,0)</f>
        <v>20.69</v>
      </c>
      <c r="GI306" s="2276">
        <f>+IF(GG284&lt;=GI298,GI298,IF(GG284&lt;=GI299,GI299,IF(GG284&lt;=GI300,GI300,)))</f>
        <v>33.369999999999997</v>
      </c>
      <c r="GJ306" s="2276">
        <f>+IF(GG284&lt;=GJ298,GJ298,IF(GG284&lt;=GJ299,GJ299,IF(GG284&lt;=GJ300,GJ300,)))</f>
        <v>37.619999999999997</v>
      </c>
      <c r="GK306" s="2276">
        <f>+IF(GG284&lt;=GK298,GK298,IF(GG284&lt;=GK299,GK299,IF(GG284&lt;=GK300,GK300,)))</f>
        <v>41.58</v>
      </c>
      <c r="GL306" s="2276">
        <f>+IF(GG284&lt;=GL298,GL298,IF(GG284&lt;=GL299,GL299,IF(GG284&lt;=GL300,GL300,)))</f>
        <v>46.14</v>
      </c>
      <c r="GM306" s="2276">
        <f>+IF(GG284&lt;=GM298,GM298,IF(GG284&lt;=GM299,GM299,IF(GG284&lt;=GM300,GM300,)))</f>
        <v>49.7</v>
      </c>
      <c r="GN306" s="2276">
        <f>+IF(GG284&lt;=GN298,GN298,IF(GG284&lt;=GN299,GN299,IF(GG284&lt;=GN300,GN300,)))</f>
        <v>47.33</v>
      </c>
      <c r="GO306" s="2276">
        <f>+IF(GG284&lt;=GO298,GO298,IF(GG284&lt;=GO299,GO299,IF(GG284&lt;=GO300,GO300,)))</f>
        <v>52.48</v>
      </c>
      <c r="GP306" s="2276">
        <f>+IF(GG284&lt;=GP298,GP298,IF(GG284&lt;=GP299,GP299,IF(GG284&lt;=GP300,GP300,)))</f>
        <v>55.84</v>
      </c>
      <c r="GQ306" s="2276">
        <f>+IF(GG284&lt;=GQ298,GQ298,IF(GG284&lt;=GQ299,GQ299,IF(GG284&lt;=GQ300,GQ300,)))</f>
        <v>61.19</v>
      </c>
      <c r="GR306" s="2276">
        <f>+IF(GG284&lt;=GR298,GR298,IF(GG284&lt;=GR299,GR299,IF(GG284&lt;=GR300,GR300,)))</f>
        <v>61.78</v>
      </c>
      <c r="GS306" s="2276">
        <f>+IF(GG284&lt;=GS298,GS298,IF(GG284&lt;=GS299,GS299,IF(GG284&lt;=GS300,GS300,)))</f>
        <v>70.989999999999995</v>
      </c>
      <c r="GT306" s="2276">
        <f>+IF(GG284&lt;=GT298,GT298,IF(GG284&lt;=GT299,GT299,IF(GG284&lt;=GT300,GT300,)))</f>
        <v>79.31</v>
      </c>
      <c r="GU306" s="2276">
        <f>+IF(GG284&lt;=GU298,GU298,IF(GG284&lt;=GU299,GU299,IF(GG284&lt;=GU300,GU300,)))</f>
        <v>80.099999999999994</v>
      </c>
      <c r="GV306" s="2276">
        <f>+IF(GG284&lt;=GV298,GV298,IF(GG284&lt;=GV299,GV299,IF(GG284&lt;=GV300,GV300,)))</f>
        <v>84.16</v>
      </c>
      <c r="GW306" s="2276">
        <f>+IF(GG284&lt;=GW298,GW298,IF(GG284&lt;=GW299,GW299,IF(GG284&lt;=GW300,GW300,)))</f>
        <v>88.12</v>
      </c>
      <c r="GX306" s="2276">
        <f>+IF(GG284&lt;=GX298,GX298,IF(GG284&lt;=GX299,GX299,IF(GG284&lt;=GX300,GX300,)))</f>
        <v>94.85</v>
      </c>
      <c r="GY306" s="2276">
        <f>+IF(GG284&lt;=GY298,GY298,IF(GG284&lt;=GY299,GY299,IF(GG284&lt;=GY300,GY300,)))</f>
        <v>99.5</v>
      </c>
      <c r="GZ306" s="2276">
        <f>+IF(GG284&lt;=GZ298,GZ298,IF(GG284&lt;=GZ299,GZ299,IF(GG284&lt;=GZ300,GZ300,)))</f>
        <v>108.22</v>
      </c>
      <c r="HA306" s="2276">
        <f>+IF(GG284&lt;=HA298,HA298,IF(GG284&lt;=HA299,HA299,IF(GG284&lt;=HA300,HA300,)))</f>
        <v>114.75</v>
      </c>
      <c r="HB306" s="2276">
        <f>+IF(GG284&lt;=HB298,HB298,IF(GG284&lt;=HB299,HB299,IF(GG284&lt;=HB300,HB300,)))</f>
        <v>123.76</v>
      </c>
      <c r="HC306" s="2276">
        <f>+IF(GG284&lt;=HC298,HC298,IF(GG284&lt;=HC299,HC299,IF(GG284&lt;=HC300,HC300,)))</f>
        <v>131.88</v>
      </c>
      <c r="HD306" s="2276">
        <f>+IF(GG284&lt;=HD298,HD298,IF(GG284&lt;=HD299,HD299,IF(GG284&lt;=HD300,HD300,)))</f>
        <v>138.12</v>
      </c>
      <c r="HE306" s="2276">
        <f>+IF(GG284&lt;=HE298,HE298,IF(GG284&lt;=HE299,HE299,IF(GG284&lt;=HE300,HE300,)))</f>
        <v>153.27000000000001</v>
      </c>
      <c r="HF306" s="2276">
        <f>+IF(GG284&lt;=HF298,HF298,IF(GG284&lt;=HF299,HF299,IF(GG284&lt;=HF300,HF300,)))</f>
        <v>166.24</v>
      </c>
      <c r="HG306" s="2276">
        <f>+IF(GG284&lt;=HG298,HG298,IF(GG284&lt;=HG299,HG299,IF(GG284&lt;=HG300,HG300,)))</f>
        <v>188.71</v>
      </c>
      <c r="HH306" s="2276">
        <f>+IF(GG284&lt;=HH298,HH298,IF(GG284&lt;=HH299,HH299,IF(GG284&lt;=HH300,HH300,)))</f>
        <v>216.63</v>
      </c>
      <c r="HI306" s="2276">
        <f>+IF(GG284&lt;=HI298,HI298,IF(GG284&lt;=HI299,HI299,IF(GG284&lt;=HI300,HI300,)))</f>
        <v>228.42</v>
      </c>
      <c r="HJ306" s="2275"/>
      <c r="HK306" s="2275"/>
      <c r="HL306" s="2275"/>
      <c r="HM306" s="2275"/>
      <c r="HN306" s="2275"/>
      <c r="HO306" s="2275"/>
      <c r="HP306" s="2275"/>
      <c r="HQ306" s="2275"/>
      <c r="HR306" s="2275"/>
      <c r="HS306" s="2275"/>
      <c r="HT306" s="2275"/>
      <c r="HU306" s="2250"/>
      <c r="HV306" s="2250"/>
      <c r="HW306" s="2250"/>
      <c r="HX306" s="2250"/>
      <c r="HY306" s="2250"/>
      <c r="HZ306" s="2250"/>
      <c r="IA306" s="2250"/>
      <c r="IB306" s="2250"/>
      <c r="IC306" s="2250"/>
      <c r="ID306" s="2250"/>
      <c r="IE306" s="2250"/>
      <c r="IF306" s="2250"/>
      <c r="IG306" s="2250"/>
      <c r="IH306" s="2250"/>
      <c r="II306" s="2250"/>
      <c r="IJ306" s="2250"/>
      <c r="IK306" s="2250"/>
      <c r="IL306" s="2250"/>
    </row>
    <row r="307" spans="1:249" ht="21.95" customHeight="1">
      <c r="A307" s="2275"/>
      <c r="B307" s="2250"/>
      <c r="C307" s="2276" t="str">
        <f>IF(C305=AH303,IF(C306=AI303,"Right","Wrong"))</f>
        <v>Right</v>
      </c>
      <c r="D307" s="2276">
        <f>VLOOKUP(D306,D289:AE299,28,0)</f>
        <v>1100</v>
      </c>
      <c r="E307" s="2276">
        <f>VLOOKUP(E306,E289:AE299,27,0)</f>
        <v>1100</v>
      </c>
      <c r="F307" s="2276">
        <f>VLOOKUP(F306,F287:AE299,26,0)</f>
        <v>950</v>
      </c>
      <c r="G307" s="2276">
        <f>VLOOKUP(G306,G287:AE299,25,0)</f>
        <v>950</v>
      </c>
      <c r="H307" s="2276">
        <f>VLOOKUP(H306,H287:AE299,24,0)</f>
        <v>950</v>
      </c>
      <c r="I307" s="2276">
        <f>VLOOKUP(I306,I287:AE299,23,0)</f>
        <v>950</v>
      </c>
      <c r="J307" s="2276">
        <f>VLOOKUP(J306,J287:AE299,22,0)</f>
        <v>950</v>
      </c>
      <c r="K307" s="2276">
        <f>VLOOKUP(K306,K287:AE299,21,0)</f>
        <v>950</v>
      </c>
      <c r="L307" s="2276">
        <f>VLOOKUP(L306,L287:AE299,20,0)</f>
        <v>825</v>
      </c>
      <c r="M307" s="2276">
        <f>VLOOKUP(M306,M287:AE299,19,0)</f>
        <v>825</v>
      </c>
      <c r="N307" s="2276">
        <f>VLOOKUP(N306,N287:AE299,18,0)</f>
        <v>825</v>
      </c>
      <c r="O307" s="2276">
        <f>VLOOKUP(O306,O287:AE299,17,0)</f>
        <v>775</v>
      </c>
      <c r="P307" s="2276">
        <f>VLOOKUP(P306,P287:AE299,16,0)</f>
        <v>775</v>
      </c>
      <c r="Q307" s="2276">
        <f>VLOOKUP(Q306,Q287:AE299,15,0)</f>
        <v>775</v>
      </c>
      <c r="R307" s="2276">
        <f>VLOOKUP(R306,R287:AE299,14,0)</f>
        <v>775</v>
      </c>
      <c r="S307" s="2276">
        <f>VLOOKUP(S306,S287:AE299,13,0)</f>
        <v>775</v>
      </c>
      <c r="T307" s="2276">
        <f>VLOOKUP(T306,T287:AE299,12,0)</f>
        <v>775</v>
      </c>
      <c r="U307" s="2276">
        <f>VLOOKUP(U306,U287:AE299,11,0)</f>
        <v>775</v>
      </c>
      <c r="V307" s="2276">
        <f>VLOOKUP(V306,V287:AE299,10,0)</f>
        <v>775</v>
      </c>
      <c r="W307" s="2276">
        <f>VLOOKUP(W306,W287:AE299,9,0)</f>
        <v>650</v>
      </c>
      <c r="X307" s="2276">
        <f>VLOOKUP(X306,X287:AE299,8,0)</f>
        <v>650</v>
      </c>
      <c r="Y307" s="2276">
        <f>VLOOKUP(Y306,Y287:AE299,7,0)</f>
        <v>650</v>
      </c>
      <c r="Z307" s="2276">
        <f>VLOOKUP(Z306,Z287:AE299,6,0)</f>
        <v>650</v>
      </c>
      <c r="AA307" s="2276">
        <f>VLOOKUP(AA306,AA287:AE299,5,0)</f>
        <v>650</v>
      </c>
      <c r="AB307" s="2276">
        <f>VLOOKUP(AB306,AB287:AE299,4,0)</f>
        <v>650</v>
      </c>
      <c r="AC307" s="2276">
        <f>VLOOKUP(AC306,AC287:AE299,3,0)</f>
        <v>550</v>
      </c>
      <c r="AD307" s="2276">
        <f>VLOOKUP(AD306,AD287:AE299,2,0)</f>
        <v>550</v>
      </c>
      <c r="AE307" s="2275"/>
      <c r="AF307" s="2275"/>
      <c r="AG307" s="2275"/>
      <c r="AH307" s="2275"/>
      <c r="AI307" s="2275"/>
      <c r="AJ307" s="2275"/>
      <c r="AK307" s="2275"/>
      <c r="AL307" s="2275"/>
      <c r="AM307" s="2275"/>
      <c r="AN307" s="2275"/>
      <c r="AO307" s="2275"/>
      <c r="AP307" s="2250"/>
      <c r="AQ307" s="2250"/>
      <c r="AR307" s="2250"/>
      <c r="AS307" s="2250"/>
      <c r="AT307" s="2250"/>
      <c r="AU307" s="2250"/>
      <c r="AV307" s="2250"/>
      <c r="AW307" s="2250"/>
      <c r="AX307" s="2250"/>
      <c r="AY307" s="2250"/>
      <c r="AZ307" s="2250"/>
      <c r="BA307" s="2250"/>
      <c r="BB307" s="2250"/>
      <c r="BC307" s="2250"/>
      <c r="BD307" s="2250"/>
      <c r="BE307" s="2250"/>
      <c r="BF307" s="2276"/>
      <c r="BG307" s="2276"/>
      <c r="BH307" s="2250"/>
      <c r="BI307" s="2275"/>
      <c r="BJ307" s="2250"/>
      <c r="BK307" s="2276" t="str">
        <f>IF(BK305=CP303,IF(BK306=CQ303,"Right","Wrong"))</f>
        <v>Right</v>
      </c>
      <c r="BL307" s="2276">
        <f>VLOOKUP(BL306,BL289:CM299,28,0)</f>
        <v>1100</v>
      </c>
      <c r="BM307" s="2276">
        <f>VLOOKUP(BM306,BM289:CM299,27,0)</f>
        <v>1100</v>
      </c>
      <c r="BN307" s="2276">
        <f>VLOOKUP(BN306,BN287:CM299,26,0)</f>
        <v>950</v>
      </c>
      <c r="BO307" s="2276">
        <f>VLOOKUP(BO306,BO287:CM299,25,0)</f>
        <v>950</v>
      </c>
      <c r="BP307" s="2276">
        <f>VLOOKUP(BP306,BP287:CM299,24,0)</f>
        <v>950</v>
      </c>
      <c r="BQ307" s="2276">
        <f>VLOOKUP(BQ306,BQ287:CM299,23,0)</f>
        <v>950</v>
      </c>
      <c r="BR307" s="2276">
        <f>VLOOKUP(BR306,BR287:CM299,22,0)</f>
        <v>950</v>
      </c>
      <c r="BS307" s="2276">
        <f>VLOOKUP(BS306,BS287:CM299,21,0)</f>
        <v>950</v>
      </c>
      <c r="BT307" s="2276">
        <f>VLOOKUP(BT306,BT287:CM299,20,0)</f>
        <v>825</v>
      </c>
      <c r="BU307" s="2276">
        <f>VLOOKUP(BU306,BU287:CM299,19,0)</f>
        <v>825</v>
      </c>
      <c r="BV307" s="2276">
        <f>VLOOKUP(BV306,BV287:CM299,18,0)</f>
        <v>825</v>
      </c>
      <c r="BW307" s="2276">
        <f>VLOOKUP(BW306,BW287:CM299,17,0)</f>
        <v>775</v>
      </c>
      <c r="BX307" s="2276">
        <f>VLOOKUP(BX306,BX287:CM299,16,0)</f>
        <v>775</v>
      </c>
      <c r="BY307" s="2276">
        <f>VLOOKUP(BY306,BY287:CM299,15,0)</f>
        <v>775</v>
      </c>
      <c r="BZ307" s="2276">
        <f>VLOOKUP(BZ306,BZ287:CM299,14,0)</f>
        <v>775</v>
      </c>
      <c r="CA307" s="2276">
        <f>VLOOKUP(CA306,CA287:CM299,13,0)</f>
        <v>775</v>
      </c>
      <c r="CB307" s="2276">
        <f>VLOOKUP(CB306,CB287:CM299,12,0)</f>
        <v>775</v>
      </c>
      <c r="CC307" s="2276">
        <f>VLOOKUP(CC306,CC287:CM299,11,0)</f>
        <v>775</v>
      </c>
      <c r="CD307" s="2276">
        <f>VLOOKUP(CD306,CD287:CM299,10,0)</f>
        <v>775</v>
      </c>
      <c r="CE307" s="2276">
        <f>VLOOKUP(CE306,CE287:CM299,9,0)</f>
        <v>650</v>
      </c>
      <c r="CF307" s="2276">
        <f>VLOOKUP(CF306,CF287:CM299,8,0)</f>
        <v>650</v>
      </c>
      <c r="CG307" s="2276">
        <f>VLOOKUP(CG306,CG287:CM299,7,0)</f>
        <v>650</v>
      </c>
      <c r="CH307" s="2276">
        <f>VLOOKUP(CH306,CH287:CM299,6,0)</f>
        <v>650</v>
      </c>
      <c r="CI307" s="2276">
        <f>VLOOKUP(CI306,CI287:CM299,5,0)</f>
        <v>650</v>
      </c>
      <c r="CJ307" s="2276">
        <f>VLOOKUP(CJ306,CJ287:CM299,4,0)</f>
        <v>650</v>
      </c>
      <c r="CK307" s="2276">
        <f>VLOOKUP(CK306,CK287:CM299,3,0)</f>
        <v>550</v>
      </c>
      <c r="CL307" s="2276">
        <f>VLOOKUP(CL306,CL287:CM299,2,0)</f>
        <v>550</v>
      </c>
      <c r="CM307" s="2275"/>
      <c r="CN307" s="2275"/>
      <c r="CO307" s="2275"/>
      <c r="CP307" s="2275"/>
      <c r="CQ307" s="2275"/>
      <c r="CR307" s="2275"/>
      <c r="CS307" s="2275"/>
      <c r="CT307" s="2275"/>
      <c r="CU307" s="2275"/>
      <c r="CV307" s="2275"/>
      <c r="CW307" s="2275"/>
      <c r="CX307" s="2250"/>
      <c r="CY307" s="2250"/>
      <c r="CZ307" s="2250"/>
      <c r="DA307" s="2250"/>
      <c r="DB307" s="2250"/>
      <c r="DC307" s="2250"/>
      <c r="DD307" s="2250"/>
      <c r="DE307" s="2250"/>
      <c r="DF307" s="2250"/>
      <c r="DG307" s="2250"/>
      <c r="DH307" s="2250"/>
      <c r="DI307" s="2250"/>
      <c r="DJ307" s="2250"/>
      <c r="DK307" s="2250"/>
      <c r="DL307" s="2250"/>
      <c r="DM307" s="2250"/>
      <c r="DN307" s="2250"/>
      <c r="DO307" s="2250"/>
      <c r="DP307" s="2250"/>
      <c r="DQ307" s="2277"/>
      <c r="DR307" s="2277"/>
      <c r="DS307" s="2278"/>
      <c r="DT307" s="2250"/>
      <c r="DU307" s="2250"/>
      <c r="DV307" s="2250"/>
      <c r="DW307" s="2250"/>
      <c r="DX307" s="2275"/>
      <c r="DY307" s="2276">
        <f>DY241</f>
        <v>120.7</v>
      </c>
      <c r="DZ307" s="2276">
        <f>HLOOKUP(DY307,EA288:FA308,21,0)</f>
        <v>825</v>
      </c>
      <c r="EA307" s="2276">
        <f t="shared" ref="EA307:FA307" si="278">IF(EA305=0,EA306,EA305)</f>
        <v>22.67</v>
      </c>
      <c r="EB307" s="2276">
        <f t="shared" si="278"/>
        <v>25.54</v>
      </c>
      <c r="EC307" s="2276">
        <f t="shared" si="278"/>
        <v>21.09</v>
      </c>
      <c r="ED307" s="2276">
        <f t="shared" si="278"/>
        <v>22.28</v>
      </c>
      <c r="EE307" s="2276">
        <f t="shared" si="278"/>
        <v>22.28</v>
      </c>
      <c r="EF307" s="2276">
        <f t="shared" si="278"/>
        <v>23.96</v>
      </c>
      <c r="EG307" s="2276">
        <f t="shared" si="278"/>
        <v>26.53</v>
      </c>
      <c r="EH307" s="2276">
        <f t="shared" si="278"/>
        <v>28.32</v>
      </c>
      <c r="EI307" s="2276">
        <f t="shared" si="278"/>
        <v>20.69</v>
      </c>
      <c r="EJ307" s="2276">
        <f t="shared" si="278"/>
        <v>21.98</v>
      </c>
      <c r="EK307" s="2276">
        <f t="shared" si="278"/>
        <v>23.17</v>
      </c>
      <c r="EL307" s="2276">
        <f t="shared" si="278"/>
        <v>20.79</v>
      </c>
      <c r="EM307" s="2276">
        <f t="shared" si="278"/>
        <v>21.78</v>
      </c>
      <c r="EN307" s="2276">
        <f t="shared" si="278"/>
        <v>21.09</v>
      </c>
      <c r="EO307" s="2276">
        <f t="shared" si="278"/>
        <v>22.67</v>
      </c>
      <c r="EP307" s="2276">
        <f t="shared" si="278"/>
        <v>24.65</v>
      </c>
      <c r="EQ307" s="2276">
        <f t="shared" si="278"/>
        <v>25.94</v>
      </c>
      <c r="ER307" s="2276">
        <f t="shared" si="278"/>
        <v>27.13</v>
      </c>
      <c r="ES307" s="2276">
        <f t="shared" si="278"/>
        <v>28.81</v>
      </c>
      <c r="ET307" s="2276">
        <f t="shared" si="278"/>
        <v>20</v>
      </c>
      <c r="EU307" s="2276">
        <f t="shared" si="278"/>
        <v>20.399999999999999</v>
      </c>
      <c r="EV307" s="2276">
        <f t="shared" si="278"/>
        <v>23.07</v>
      </c>
      <c r="EW307" s="2276">
        <f t="shared" si="278"/>
        <v>25.25</v>
      </c>
      <c r="EX307" s="2276">
        <f t="shared" si="278"/>
        <v>27.82</v>
      </c>
      <c r="EY307" s="2276">
        <f t="shared" si="278"/>
        <v>30.99</v>
      </c>
      <c r="EZ307" s="2276">
        <f t="shared" si="278"/>
        <v>21.19</v>
      </c>
      <c r="FA307" s="2276">
        <f t="shared" si="278"/>
        <v>25.15</v>
      </c>
      <c r="FB307" s="2275"/>
      <c r="FC307" s="2275"/>
      <c r="FD307" s="2275"/>
      <c r="FE307" s="2275"/>
      <c r="FF307" s="2275"/>
      <c r="FG307" s="2275"/>
      <c r="FH307" s="2275"/>
      <c r="FI307" s="2275"/>
      <c r="FJ307" s="2275"/>
      <c r="FK307" s="2275"/>
      <c r="FL307" s="2275"/>
      <c r="FM307" s="2250"/>
      <c r="FN307" s="2250"/>
      <c r="FO307" s="2250"/>
      <c r="FP307" s="2250"/>
      <c r="FQ307" s="2250"/>
      <c r="FR307" s="2250"/>
      <c r="FS307" s="2250"/>
      <c r="FT307" s="2250"/>
      <c r="FU307" s="2250"/>
      <c r="FV307" s="2250"/>
      <c r="FW307" s="2250"/>
      <c r="FX307" s="2250"/>
      <c r="FY307" s="2250"/>
      <c r="FZ307" s="2250"/>
      <c r="GA307" s="2250"/>
      <c r="GB307" s="2250"/>
      <c r="GC307" s="2276"/>
      <c r="GD307" s="2276"/>
      <c r="GE307" s="2250"/>
      <c r="GF307" s="2275"/>
      <c r="GG307" s="2276">
        <f>GG241</f>
        <v>129.80000000000001</v>
      </c>
      <c r="GH307" s="2276">
        <f>HLOOKUP(GG307,GI288:HI308,21,0)</f>
        <v>825</v>
      </c>
      <c r="GI307" s="2276">
        <f t="shared" ref="GI307:HI307" si="279">IF(GI305=0,GI306,GI305)</f>
        <v>22.67</v>
      </c>
      <c r="GJ307" s="2276">
        <f t="shared" si="279"/>
        <v>25.54</v>
      </c>
      <c r="GK307" s="2276">
        <f t="shared" si="279"/>
        <v>21.09</v>
      </c>
      <c r="GL307" s="2276">
        <f t="shared" si="279"/>
        <v>22.28</v>
      </c>
      <c r="GM307" s="2276">
        <f t="shared" si="279"/>
        <v>22.28</v>
      </c>
      <c r="GN307" s="2276">
        <f t="shared" si="279"/>
        <v>23.96</v>
      </c>
      <c r="GO307" s="2276">
        <f t="shared" si="279"/>
        <v>26.53</v>
      </c>
      <c r="GP307" s="2276">
        <f t="shared" si="279"/>
        <v>28.32</v>
      </c>
      <c r="GQ307" s="2276">
        <f t="shared" si="279"/>
        <v>20.69</v>
      </c>
      <c r="GR307" s="2276">
        <f t="shared" si="279"/>
        <v>21.98</v>
      </c>
      <c r="GS307" s="2276">
        <f t="shared" si="279"/>
        <v>23.17</v>
      </c>
      <c r="GT307" s="2276">
        <f t="shared" si="279"/>
        <v>20.79</v>
      </c>
      <c r="GU307" s="2276">
        <f t="shared" si="279"/>
        <v>21.78</v>
      </c>
      <c r="GV307" s="2276">
        <f t="shared" si="279"/>
        <v>21.09</v>
      </c>
      <c r="GW307" s="2276">
        <f t="shared" si="279"/>
        <v>22.67</v>
      </c>
      <c r="GX307" s="2276">
        <f t="shared" si="279"/>
        <v>24.65</v>
      </c>
      <c r="GY307" s="2276">
        <f t="shared" si="279"/>
        <v>25.94</v>
      </c>
      <c r="GZ307" s="2276">
        <f t="shared" si="279"/>
        <v>27.13</v>
      </c>
      <c r="HA307" s="2276">
        <f t="shared" si="279"/>
        <v>28.81</v>
      </c>
      <c r="HB307" s="2276">
        <f t="shared" si="279"/>
        <v>20</v>
      </c>
      <c r="HC307" s="2276">
        <f t="shared" si="279"/>
        <v>20.399999999999999</v>
      </c>
      <c r="HD307" s="2276">
        <f t="shared" si="279"/>
        <v>23.07</v>
      </c>
      <c r="HE307" s="2276">
        <f t="shared" si="279"/>
        <v>25.25</v>
      </c>
      <c r="HF307" s="2276">
        <f t="shared" si="279"/>
        <v>27.82</v>
      </c>
      <c r="HG307" s="2276">
        <f t="shared" si="279"/>
        <v>30.99</v>
      </c>
      <c r="HH307" s="2276">
        <f t="shared" si="279"/>
        <v>21.19</v>
      </c>
      <c r="HI307" s="2276">
        <f t="shared" si="279"/>
        <v>25.15</v>
      </c>
      <c r="HJ307" s="2275"/>
      <c r="HK307" s="2275"/>
      <c r="HL307" s="2275"/>
      <c r="HM307" s="2275"/>
      <c r="HN307" s="2275"/>
      <c r="HO307" s="2275"/>
      <c r="HP307" s="2275"/>
      <c r="HQ307" s="2275"/>
      <c r="HR307" s="2275"/>
      <c r="HS307" s="2275"/>
      <c r="HT307" s="2275"/>
      <c r="HU307" s="2250"/>
      <c r="HV307" s="2250"/>
      <c r="HW307" s="2250"/>
      <c r="HX307" s="2250"/>
      <c r="HY307" s="2250"/>
      <c r="HZ307" s="2250"/>
      <c r="IA307" s="2250"/>
      <c r="IB307" s="2250"/>
      <c r="IC307" s="2250"/>
      <c r="ID307" s="2250"/>
      <c r="IE307" s="2250"/>
      <c r="IF307" s="2250"/>
      <c r="IG307" s="2250"/>
      <c r="IH307" s="2250"/>
      <c r="II307" s="2250"/>
      <c r="IJ307" s="2250"/>
      <c r="IK307" s="2250"/>
      <c r="IL307" s="2250"/>
    </row>
    <row r="308" spans="1:249" ht="21.95" customHeight="1">
      <c r="A308" s="2275"/>
      <c r="B308" s="2275"/>
      <c r="C308" s="2275"/>
      <c r="D308" s="2275"/>
      <c r="E308" s="2275"/>
      <c r="F308" s="2275"/>
      <c r="G308" s="2275"/>
      <c r="H308" s="2275"/>
      <c r="I308" s="2275"/>
      <c r="J308" s="2275"/>
      <c r="K308" s="2275"/>
      <c r="L308" s="2275"/>
      <c r="M308" s="2275"/>
      <c r="N308" s="2275"/>
      <c r="O308" s="2275"/>
      <c r="P308" s="2275"/>
      <c r="Q308" s="2275"/>
      <c r="R308" s="2275"/>
      <c r="S308" s="2275"/>
      <c r="T308" s="2275"/>
      <c r="U308" s="2275"/>
      <c r="V308" s="2275"/>
      <c r="W308" s="2275"/>
      <c r="X308" s="2275"/>
      <c r="Y308" s="2275"/>
      <c r="Z308" s="2275"/>
      <c r="AA308" s="2275"/>
      <c r="AB308" s="2275"/>
      <c r="AC308" s="2275"/>
      <c r="AD308" s="2275"/>
      <c r="AE308" s="2275"/>
      <c r="AF308" s="2275"/>
      <c r="AG308" s="2275"/>
      <c r="AH308" s="2275"/>
      <c r="AI308" s="2275"/>
      <c r="AJ308" s="2275"/>
      <c r="AK308" s="2275"/>
      <c r="AL308" s="2275"/>
      <c r="AM308" s="2275"/>
      <c r="AN308" s="2275"/>
      <c r="AO308" s="2275"/>
      <c r="AP308" s="2250"/>
      <c r="AQ308" s="2250"/>
      <c r="AR308" s="2250"/>
      <c r="AS308" s="2250"/>
      <c r="AT308" s="2250"/>
      <c r="AU308" s="2250"/>
      <c r="AV308" s="2250"/>
      <c r="AW308" s="2250"/>
      <c r="AX308" s="2250"/>
      <c r="AY308" s="2250"/>
      <c r="AZ308" s="2250"/>
      <c r="BA308" s="2250"/>
      <c r="BB308" s="2250"/>
      <c r="BC308" s="2250"/>
      <c r="BD308" s="2250"/>
      <c r="BE308" s="2250"/>
      <c r="BF308" s="2276"/>
      <c r="BG308" s="2276"/>
      <c r="BH308" s="2250"/>
      <c r="BI308" s="2275"/>
      <c r="BJ308" s="2275"/>
      <c r="BK308" s="2275"/>
      <c r="BL308" s="2275"/>
      <c r="BM308" s="2275"/>
      <c r="BN308" s="2275"/>
      <c r="BO308" s="2275"/>
      <c r="BP308" s="2275"/>
      <c r="BQ308" s="2275"/>
      <c r="BR308" s="2275"/>
      <c r="BS308" s="2275"/>
      <c r="BT308" s="2275"/>
      <c r="BU308" s="2275"/>
      <c r="BV308" s="2275"/>
      <c r="BW308" s="2275"/>
      <c r="BX308" s="2275"/>
      <c r="BY308" s="2275"/>
      <c r="BZ308" s="2275"/>
      <c r="CA308" s="2275"/>
      <c r="CB308" s="2275"/>
      <c r="CC308" s="2275"/>
      <c r="CD308" s="2275"/>
      <c r="CE308" s="2275"/>
      <c r="CF308" s="2275"/>
      <c r="CG308" s="2275"/>
      <c r="CH308" s="2275"/>
      <c r="CI308" s="2275"/>
      <c r="CJ308" s="2275"/>
      <c r="CK308" s="2275"/>
      <c r="CL308" s="2275"/>
      <c r="CM308" s="2275"/>
      <c r="CN308" s="2275"/>
      <c r="CO308" s="2275"/>
      <c r="CP308" s="2275"/>
      <c r="CQ308" s="2275"/>
      <c r="CR308" s="2275"/>
      <c r="CS308" s="2275"/>
      <c r="CT308" s="2275"/>
      <c r="CU308" s="2275"/>
      <c r="CV308" s="2275"/>
      <c r="CW308" s="2275"/>
      <c r="CX308" s="2250"/>
      <c r="CY308" s="2250"/>
      <c r="CZ308" s="2250"/>
      <c r="DA308" s="2250"/>
      <c r="DB308" s="2250"/>
      <c r="DC308" s="2250"/>
      <c r="DD308" s="2250"/>
      <c r="DE308" s="2250"/>
      <c r="DF308" s="2250"/>
      <c r="DG308" s="2250"/>
      <c r="DH308" s="2250"/>
      <c r="DI308" s="2250"/>
      <c r="DJ308" s="2250"/>
      <c r="DK308" s="2250"/>
      <c r="DL308" s="2250"/>
      <c r="DM308" s="2250"/>
      <c r="DN308" s="2250"/>
      <c r="DO308" s="2250"/>
      <c r="DP308" s="2250"/>
      <c r="DQ308" s="2277"/>
      <c r="DR308" s="2277"/>
      <c r="DS308" s="2278"/>
      <c r="DT308" s="2250"/>
      <c r="DU308" s="2250"/>
      <c r="DV308" s="2250"/>
      <c r="DW308" s="2250"/>
      <c r="DX308" s="2275"/>
      <c r="DY308" s="2250"/>
      <c r="DZ308" s="2276" t="str">
        <f>IF(DZ306=FE304,IF(DZ307=FF304,"Right","Wrong"))</f>
        <v>Right</v>
      </c>
      <c r="EA308" s="2276">
        <f>VLOOKUP(EA307,EA290:FB300,28,0)</f>
        <v>1100</v>
      </c>
      <c r="EB308" s="2276">
        <f>VLOOKUP(EB307,EB290:FB300,27,0)</f>
        <v>1100</v>
      </c>
      <c r="EC308" s="2276">
        <f>VLOOKUP(EC307,EC288:FB300,26,0)</f>
        <v>950</v>
      </c>
      <c r="ED308" s="2276">
        <f>VLOOKUP(ED307,ED288:FB300,25,0)</f>
        <v>950</v>
      </c>
      <c r="EE308" s="2276">
        <f>VLOOKUP(EE307,EE288:FB300,24,0)</f>
        <v>950</v>
      </c>
      <c r="EF308" s="2276">
        <f>VLOOKUP(EF307,EF288:FB300,23,0)</f>
        <v>950</v>
      </c>
      <c r="EG308" s="2276">
        <f>VLOOKUP(EG307,EG288:FB300,22,0)</f>
        <v>950</v>
      </c>
      <c r="EH308" s="2276">
        <f>VLOOKUP(EH307,EH288:FB300,21,0)</f>
        <v>950</v>
      </c>
      <c r="EI308" s="2276">
        <f>VLOOKUP(EI307,EI288:FB300,20,0)</f>
        <v>825</v>
      </c>
      <c r="EJ308" s="2276">
        <f>VLOOKUP(EJ307,EJ288:FB300,19,0)</f>
        <v>825</v>
      </c>
      <c r="EK308" s="2276">
        <f>VLOOKUP(EK307,EK288:FB300,18,0)</f>
        <v>825</v>
      </c>
      <c r="EL308" s="2276">
        <f>VLOOKUP(EL307,EL288:FB300,17,0)</f>
        <v>775</v>
      </c>
      <c r="EM308" s="2276">
        <f>VLOOKUP(EM307,EM288:FB300,16,0)</f>
        <v>775</v>
      </c>
      <c r="EN308" s="2276">
        <f>VLOOKUP(EN307,EN288:FB300,15,0)</f>
        <v>775</v>
      </c>
      <c r="EO308" s="2276">
        <f>VLOOKUP(EO307,EO288:FB300,14,0)</f>
        <v>775</v>
      </c>
      <c r="EP308" s="2276">
        <f>VLOOKUP(EP307,EP288:FB300,13,0)</f>
        <v>775</v>
      </c>
      <c r="EQ308" s="2276">
        <f>VLOOKUP(EQ307,EQ288:FB300,12,0)</f>
        <v>775</v>
      </c>
      <c r="ER308" s="2276">
        <f>VLOOKUP(ER307,ER288:FB300,11,0)</f>
        <v>775</v>
      </c>
      <c r="ES308" s="2276">
        <f>VLOOKUP(ES307,ES288:FB300,10,0)</f>
        <v>775</v>
      </c>
      <c r="ET308" s="2276">
        <f>VLOOKUP(ET307,ET288:FB300,9,0)</f>
        <v>650</v>
      </c>
      <c r="EU308" s="2276">
        <f>VLOOKUP(EU307,EU288:FB300,8,0)</f>
        <v>650</v>
      </c>
      <c r="EV308" s="2276">
        <f>VLOOKUP(EV307,EV288:FB300,7,0)</f>
        <v>650</v>
      </c>
      <c r="EW308" s="2276">
        <f>VLOOKUP(EW307,EW288:FB300,6,0)</f>
        <v>650</v>
      </c>
      <c r="EX308" s="2276">
        <f>VLOOKUP(EX307,EX288:FB300,5,0)</f>
        <v>650</v>
      </c>
      <c r="EY308" s="2276">
        <f>VLOOKUP(EY307,EY288:FB300,4,0)</f>
        <v>650</v>
      </c>
      <c r="EZ308" s="2276">
        <f>VLOOKUP(EZ307,EZ288:FB300,3,0)</f>
        <v>550</v>
      </c>
      <c r="FA308" s="2276">
        <f>VLOOKUP(FA307,FA288:FB300,2,0)</f>
        <v>550</v>
      </c>
      <c r="FB308" s="2275"/>
      <c r="FC308" s="2275"/>
      <c r="FD308" s="2275"/>
      <c r="FE308" s="2275"/>
      <c r="FF308" s="2275"/>
      <c r="FG308" s="2275"/>
      <c r="FH308" s="2275"/>
      <c r="FI308" s="2275"/>
      <c r="FJ308" s="2275"/>
      <c r="FK308" s="2275"/>
      <c r="FL308" s="2275"/>
      <c r="FM308" s="2250"/>
      <c r="FN308" s="2250"/>
      <c r="FO308" s="2250"/>
      <c r="FP308" s="2250"/>
      <c r="FQ308" s="2250"/>
      <c r="FR308" s="2250"/>
      <c r="FS308" s="2250"/>
      <c r="FT308" s="2250"/>
      <c r="FU308" s="2250"/>
      <c r="FV308" s="2250"/>
      <c r="FW308" s="2250"/>
      <c r="FX308" s="2250"/>
      <c r="FY308" s="2250"/>
      <c r="FZ308" s="2250"/>
      <c r="GA308" s="2250"/>
      <c r="GB308" s="2250"/>
      <c r="GC308" s="2276"/>
      <c r="GD308" s="2276"/>
      <c r="GE308" s="2250"/>
      <c r="GF308" s="2275"/>
      <c r="GG308" s="2250"/>
      <c r="GH308" s="2276" t="str">
        <f>IF(GH306=HM304,IF(GH307=HN304,"Right","Wrong"))</f>
        <v>Right</v>
      </c>
      <c r="GI308" s="2276">
        <f>VLOOKUP(GI307,GI290:HJ300,28,0)</f>
        <v>1100</v>
      </c>
      <c r="GJ308" s="2276">
        <f>VLOOKUP(GJ307,GJ290:HJ300,27,0)</f>
        <v>1100</v>
      </c>
      <c r="GK308" s="2276">
        <f>VLOOKUP(GK307,GK288:HJ300,26,0)</f>
        <v>950</v>
      </c>
      <c r="GL308" s="2276">
        <f>VLOOKUP(GL307,GL288:HJ300,25,0)</f>
        <v>950</v>
      </c>
      <c r="GM308" s="2276">
        <f>VLOOKUP(GM307,GM288:HJ300,24,0)</f>
        <v>950</v>
      </c>
      <c r="GN308" s="2276">
        <f>VLOOKUP(GN307,GN288:HJ300,23,0)</f>
        <v>950</v>
      </c>
      <c r="GO308" s="2276">
        <f>VLOOKUP(GO307,GO288:HJ300,22,0)</f>
        <v>950</v>
      </c>
      <c r="GP308" s="2276">
        <f>VLOOKUP(GP307,GP288:HJ300,21,0)</f>
        <v>950</v>
      </c>
      <c r="GQ308" s="2276">
        <f>VLOOKUP(GQ307,GQ288:HJ300,20,0)</f>
        <v>825</v>
      </c>
      <c r="GR308" s="2276">
        <f>VLOOKUP(GR307,GR288:HJ300,19,0)</f>
        <v>825</v>
      </c>
      <c r="GS308" s="2276">
        <f>VLOOKUP(GS307,GS288:HJ300,18,0)</f>
        <v>825</v>
      </c>
      <c r="GT308" s="2276">
        <f>VLOOKUP(GT307,GT288:HJ300,17,0)</f>
        <v>775</v>
      </c>
      <c r="GU308" s="2276">
        <f>VLOOKUP(GU307,GU288:HJ300,16,0)</f>
        <v>775</v>
      </c>
      <c r="GV308" s="2276">
        <f>VLOOKUP(GV307,GV288:HJ300,15,0)</f>
        <v>775</v>
      </c>
      <c r="GW308" s="2276">
        <f>VLOOKUP(GW307,GW288:HJ300,14,0)</f>
        <v>775</v>
      </c>
      <c r="GX308" s="2276">
        <f>VLOOKUP(GX307,GX288:HJ300,13,0)</f>
        <v>775</v>
      </c>
      <c r="GY308" s="2276">
        <f>VLOOKUP(GY307,GY288:HJ300,12,0)</f>
        <v>775</v>
      </c>
      <c r="GZ308" s="2276">
        <f>VLOOKUP(GZ307,GZ288:HJ300,11,0)</f>
        <v>775</v>
      </c>
      <c r="HA308" s="2276">
        <f>VLOOKUP(HA307,HA288:HJ300,10,0)</f>
        <v>775</v>
      </c>
      <c r="HB308" s="2276">
        <f>VLOOKUP(HB307,HB288:HJ300,9,0)</f>
        <v>650</v>
      </c>
      <c r="HC308" s="2276">
        <f>VLOOKUP(HC307,HC288:HJ300,8,0)</f>
        <v>650</v>
      </c>
      <c r="HD308" s="2276">
        <f>VLOOKUP(HD307,HD288:HJ300,7,0)</f>
        <v>650</v>
      </c>
      <c r="HE308" s="2276">
        <f>VLOOKUP(HE307,HE288:HJ300,6,0)</f>
        <v>650</v>
      </c>
      <c r="HF308" s="2276">
        <f>VLOOKUP(HF307,HF288:HJ300,5,0)</f>
        <v>650</v>
      </c>
      <c r="HG308" s="2276">
        <f>VLOOKUP(HG307,HG288:HJ300,4,0)</f>
        <v>650</v>
      </c>
      <c r="HH308" s="2276">
        <f>VLOOKUP(HH307,HH288:HJ300,3,0)</f>
        <v>550</v>
      </c>
      <c r="HI308" s="2276">
        <f>VLOOKUP(HI307,HI288:HJ300,2,0)</f>
        <v>550</v>
      </c>
      <c r="HJ308" s="2275"/>
      <c r="HK308" s="2275"/>
      <c r="HL308" s="2275"/>
      <c r="HM308" s="2275"/>
      <c r="HN308" s="2275"/>
      <c r="HO308" s="2275"/>
      <c r="HP308" s="2275"/>
      <c r="HQ308" s="2275"/>
      <c r="HR308" s="2275"/>
      <c r="HS308" s="2275"/>
      <c r="HT308" s="2275"/>
      <c r="HU308" s="2250"/>
      <c r="HV308" s="2250"/>
      <c r="HW308" s="2250"/>
      <c r="HX308" s="2250"/>
      <c r="HY308" s="2250"/>
      <c r="HZ308" s="2250"/>
      <c r="IA308" s="2250"/>
      <c r="IB308" s="2250"/>
      <c r="IC308" s="2250"/>
      <c r="ID308" s="2250"/>
      <c r="IE308" s="2250"/>
      <c r="IF308" s="2250"/>
      <c r="IG308" s="2250"/>
      <c r="IH308" s="2250"/>
      <c r="II308" s="2250"/>
      <c r="IJ308" s="2250"/>
      <c r="IK308" s="2250"/>
      <c r="IL308" s="2250"/>
    </row>
    <row r="309" spans="1:249" ht="21.95" customHeight="1">
      <c r="A309" s="2275"/>
      <c r="B309" s="2275"/>
      <c r="C309" s="2275"/>
      <c r="D309" s="2275"/>
      <c r="E309" s="2275"/>
      <c r="F309" s="2275"/>
      <c r="G309" s="2275"/>
      <c r="H309" s="2275"/>
      <c r="I309" s="2275"/>
      <c r="J309" s="2275"/>
      <c r="K309" s="2275"/>
      <c r="L309" s="2275"/>
      <c r="M309" s="2275"/>
      <c r="N309" s="2275"/>
      <c r="O309" s="2275"/>
      <c r="P309" s="2275"/>
      <c r="Q309" s="2275"/>
      <c r="R309" s="2275"/>
      <c r="S309" s="2275"/>
      <c r="T309" s="2275"/>
      <c r="U309" s="2275"/>
      <c r="V309" s="2275"/>
      <c r="W309" s="2275"/>
      <c r="X309" s="2275"/>
      <c r="Y309" s="2275"/>
      <c r="Z309" s="2275"/>
      <c r="AA309" s="2275"/>
      <c r="AB309" s="2275"/>
      <c r="AC309" s="2275"/>
      <c r="AD309" s="2275"/>
      <c r="AE309" s="2275"/>
      <c r="AF309" s="2275"/>
      <c r="AG309" s="2275"/>
      <c r="AH309" s="2275"/>
      <c r="AI309" s="2275"/>
      <c r="AJ309" s="2275"/>
      <c r="AK309" s="2275"/>
      <c r="AL309" s="2275"/>
      <c r="AM309" s="2275"/>
      <c r="AN309" s="2275"/>
      <c r="AO309" s="2275"/>
      <c r="AP309" s="2250"/>
      <c r="AQ309" s="2250"/>
      <c r="AR309" s="2250"/>
      <c r="AS309" s="2250"/>
      <c r="AT309" s="2250"/>
      <c r="AU309" s="2250"/>
      <c r="AV309" s="2250"/>
      <c r="AW309" s="2250"/>
      <c r="AX309" s="2250"/>
      <c r="AY309" s="2250"/>
      <c r="AZ309" s="2250"/>
      <c r="BA309" s="2250"/>
      <c r="BB309" s="2250"/>
      <c r="BC309" s="2250"/>
      <c r="BD309" s="2250"/>
      <c r="BE309" s="2250"/>
      <c r="BF309" s="2276"/>
      <c r="BG309" s="2276"/>
      <c r="BH309" s="2250"/>
      <c r="BI309" s="2275"/>
      <c r="BJ309" s="2275"/>
      <c r="BK309" s="2275"/>
      <c r="BL309" s="2275"/>
      <c r="BM309" s="2275"/>
      <c r="BN309" s="2275"/>
      <c r="BO309" s="2275"/>
      <c r="BP309" s="2275"/>
      <c r="BQ309" s="2275"/>
      <c r="BR309" s="2275"/>
      <c r="BS309" s="2275"/>
      <c r="BT309" s="2275"/>
      <c r="BU309" s="2275"/>
      <c r="BV309" s="2275"/>
      <c r="BW309" s="2275"/>
      <c r="BX309" s="2275"/>
      <c r="BY309" s="2275"/>
      <c r="BZ309" s="2275"/>
      <c r="CA309" s="2275"/>
      <c r="CB309" s="2275"/>
      <c r="CC309" s="2275"/>
      <c r="CD309" s="2275"/>
      <c r="CE309" s="2275"/>
      <c r="CF309" s="2275"/>
      <c r="CG309" s="2275"/>
      <c r="CH309" s="2275"/>
      <c r="CI309" s="2275"/>
      <c r="CJ309" s="2275"/>
      <c r="CK309" s="2275"/>
      <c r="CL309" s="2275"/>
      <c r="CM309" s="2275"/>
      <c r="CN309" s="2275"/>
      <c r="CO309" s="2275"/>
      <c r="CP309" s="2275"/>
      <c r="CQ309" s="2275"/>
      <c r="CR309" s="2275"/>
      <c r="CS309" s="2275"/>
      <c r="CT309" s="2275"/>
      <c r="CU309" s="2275"/>
      <c r="CV309" s="2275"/>
      <c r="CW309" s="2275"/>
      <c r="CX309" s="2250"/>
      <c r="CY309" s="2250"/>
      <c r="CZ309" s="2250"/>
      <c r="DA309" s="2250"/>
      <c r="DB309" s="2250"/>
      <c r="DC309" s="2250"/>
      <c r="DD309" s="2250"/>
      <c r="DE309" s="2250"/>
      <c r="DF309" s="2250"/>
      <c r="DG309" s="2250"/>
      <c r="DH309" s="2250"/>
      <c r="DI309" s="2250"/>
      <c r="DJ309" s="2250"/>
      <c r="DK309" s="2250"/>
      <c r="DL309" s="2250"/>
      <c r="DM309" s="2250"/>
      <c r="DN309" s="2250"/>
      <c r="DO309" s="2250"/>
      <c r="DP309" s="2250"/>
      <c r="DQ309" s="2277"/>
      <c r="DR309" s="2277"/>
      <c r="DS309" s="2278"/>
      <c r="DT309" s="2250"/>
      <c r="DU309" s="2250"/>
      <c r="DV309" s="2250"/>
      <c r="DW309" s="2250"/>
      <c r="DX309" s="2275"/>
      <c r="DY309" s="2275"/>
      <c r="DZ309" s="2275"/>
      <c r="EA309" s="2275"/>
      <c r="EB309" s="2275"/>
      <c r="EC309" s="2275"/>
      <c r="ED309" s="2275"/>
      <c r="EE309" s="2275"/>
      <c r="EF309" s="2275"/>
      <c r="EG309" s="2275"/>
      <c r="EH309" s="2275"/>
      <c r="EI309" s="2275"/>
      <c r="EJ309" s="2275"/>
      <c r="EK309" s="2275"/>
      <c r="EL309" s="2275"/>
      <c r="EM309" s="2275"/>
      <c r="EN309" s="2275"/>
      <c r="EO309" s="2275"/>
      <c r="EP309" s="2275"/>
      <c r="EQ309" s="2275"/>
      <c r="ER309" s="2275"/>
      <c r="ES309" s="2275"/>
      <c r="ET309" s="2275"/>
      <c r="EU309" s="2275"/>
      <c r="EV309" s="2275"/>
      <c r="EW309" s="2275"/>
      <c r="EX309" s="2275"/>
      <c r="EY309" s="2275"/>
      <c r="EZ309" s="2275"/>
      <c r="FA309" s="2275"/>
      <c r="FB309" s="2275"/>
      <c r="FC309" s="2275"/>
      <c r="FD309" s="2275"/>
      <c r="FE309" s="2275"/>
      <c r="FF309" s="2275"/>
      <c r="FG309" s="2275"/>
      <c r="FH309" s="2275"/>
      <c r="FI309" s="2275"/>
      <c r="FJ309" s="2275"/>
      <c r="FK309" s="2275"/>
      <c r="FL309" s="2275"/>
      <c r="FM309" s="2250"/>
      <c r="FN309" s="2250"/>
      <c r="FO309" s="2250"/>
      <c r="FP309" s="2250"/>
      <c r="FQ309" s="2250"/>
      <c r="FR309" s="2250"/>
      <c r="FS309" s="2250"/>
      <c r="FT309" s="2250"/>
      <c r="FU309" s="2250"/>
      <c r="FV309" s="2250"/>
      <c r="FW309" s="2250"/>
      <c r="FX309" s="2250"/>
      <c r="FY309" s="2250"/>
      <c r="FZ309" s="2250"/>
      <c r="GA309" s="2250"/>
      <c r="GB309" s="2250"/>
      <c r="GC309" s="2276"/>
      <c r="GD309" s="2276"/>
      <c r="GE309" s="2250"/>
      <c r="GF309" s="2275"/>
      <c r="GG309" s="2275"/>
      <c r="GH309" s="2275"/>
      <c r="GI309" s="2275"/>
      <c r="GJ309" s="2275"/>
      <c r="GK309" s="2275"/>
      <c r="GL309" s="2275"/>
      <c r="GM309" s="2275"/>
      <c r="GN309" s="2275"/>
      <c r="GO309" s="2275"/>
      <c r="GP309" s="2275"/>
      <c r="GQ309" s="2275"/>
      <c r="GR309" s="2275"/>
      <c r="GS309" s="2275"/>
      <c r="GT309" s="2275"/>
      <c r="GU309" s="2275"/>
      <c r="GV309" s="2275"/>
      <c r="GW309" s="2275"/>
      <c r="GX309" s="2275"/>
      <c r="GY309" s="2275"/>
      <c r="GZ309" s="2275"/>
      <c r="HA309" s="2275"/>
      <c r="HB309" s="2275"/>
      <c r="HC309" s="2275"/>
      <c r="HD309" s="2275"/>
      <c r="HE309" s="2275"/>
      <c r="HF309" s="2275"/>
      <c r="HG309" s="2275"/>
      <c r="HH309" s="2275"/>
      <c r="HI309" s="2275"/>
      <c r="HJ309" s="2275"/>
      <c r="HK309" s="2275"/>
      <c r="HL309" s="2275"/>
      <c r="HM309" s="2275"/>
      <c r="HN309" s="2275"/>
      <c r="HO309" s="2275"/>
      <c r="HP309" s="2275"/>
      <c r="HQ309" s="2275"/>
      <c r="HR309" s="2275"/>
      <c r="HS309" s="2275"/>
      <c r="HT309" s="2275"/>
      <c r="HU309" s="2250"/>
      <c r="HV309" s="2250"/>
      <c r="HW309" s="2250"/>
      <c r="HX309" s="2250"/>
      <c r="HY309" s="2250"/>
      <c r="HZ309" s="2250"/>
      <c r="IA309" s="2250"/>
      <c r="IB309" s="2250"/>
      <c r="IC309" s="2250"/>
      <c r="ID309" s="2250"/>
      <c r="IE309" s="2250"/>
      <c r="IF309" s="2250"/>
      <c r="IG309" s="2250"/>
      <c r="IH309" s="2250"/>
      <c r="II309" s="2250"/>
      <c r="IJ309" s="2250"/>
      <c r="IK309" s="2250"/>
      <c r="IL309" s="2250"/>
    </row>
    <row r="310" spans="1:249" ht="21.95" customHeight="1">
      <c r="A310" s="2275"/>
      <c r="B310" s="2275"/>
      <c r="C310" s="2275"/>
      <c r="D310" s="2275"/>
      <c r="E310" s="2275"/>
      <c r="F310" s="2275"/>
      <c r="G310" s="2275"/>
      <c r="H310" s="2275"/>
      <c r="I310" s="2275"/>
      <c r="J310" s="2275"/>
      <c r="K310" s="2275"/>
      <c r="L310" s="2275"/>
      <c r="M310" s="2275"/>
      <c r="N310" s="2275"/>
      <c r="O310" s="2275"/>
      <c r="P310" s="2275"/>
      <c r="Q310" s="2275"/>
      <c r="R310" s="2275"/>
      <c r="S310" s="2275"/>
      <c r="T310" s="2275"/>
      <c r="U310" s="2275"/>
      <c r="V310" s="2275"/>
      <c r="W310" s="2275"/>
      <c r="X310" s="2275"/>
      <c r="Y310" s="2275"/>
      <c r="Z310" s="2275"/>
      <c r="AA310" s="2275"/>
      <c r="AB310" s="2275"/>
      <c r="AC310" s="2275"/>
      <c r="AD310" s="2275"/>
      <c r="AE310" s="2275"/>
      <c r="AF310" s="2275"/>
      <c r="AG310" s="2275"/>
      <c r="AH310" s="2275"/>
      <c r="AI310" s="2275"/>
      <c r="AJ310" s="2275"/>
      <c r="AK310" s="2275"/>
      <c r="AL310" s="2275"/>
      <c r="AM310" s="2275"/>
      <c r="AN310" s="2275"/>
      <c r="AO310" s="2275"/>
      <c r="AP310" s="2250"/>
      <c r="AQ310" s="2250"/>
      <c r="AR310" s="2250"/>
      <c r="AS310" s="2250"/>
      <c r="AT310" s="2250"/>
      <c r="AU310" s="2250"/>
      <c r="AV310" s="2250"/>
      <c r="AW310" s="2250"/>
      <c r="AX310" s="2250"/>
      <c r="AY310" s="2250"/>
      <c r="AZ310" s="2250"/>
      <c r="BA310" s="2250"/>
      <c r="BB310" s="2250"/>
      <c r="BC310" s="2250"/>
      <c r="BD310" s="2250"/>
      <c r="BE310" s="2250"/>
      <c r="BF310" s="2276"/>
      <c r="BG310" s="2276"/>
      <c r="BH310" s="2250"/>
      <c r="BI310" s="2250"/>
      <c r="BJ310" s="2250"/>
      <c r="BK310" s="2250"/>
      <c r="BL310" s="2250"/>
      <c r="BM310" s="2250"/>
      <c r="BN310" s="2250"/>
      <c r="BO310" s="2250"/>
      <c r="BP310" s="2250"/>
      <c r="BQ310" s="2250"/>
      <c r="BR310" s="2250"/>
      <c r="BS310" s="2250"/>
      <c r="BT310" s="2250"/>
      <c r="BU310" s="2250"/>
      <c r="BV310" s="2250"/>
      <c r="BW310" s="2250"/>
      <c r="BX310" s="2250"/>
      <c r="BY310" s="2250"/>
      <c r="BZ310" s="2250"/>
      <c r="CA310" s="2250"/>
      <c r="CB310" s="2250"/>
      <c r="CC310" s="2250"/>
      <c r="CD310" s="2250"/>
      <c r="CE310" s="2250"/>
      <c r="CF310" s="2250"/>
      <c r="CG310" s="2250"/>
      <c r="CH310" s="2250"/>
      <c r="CI310" s="2250"/>
      <c r="CJ310" s="2250"/>
      <c r="CK310" s="2250"/>
      <c r="CL310" s="2250"/>
      <c r="CM310" s="2250"/>
      <c r="CN310" s="2250"/>
      <c r="CO310" s="2250"/>
      <c r="CP310" s="2250"/>
      <c r="CQ310" s="2250"/>
      <c r="CR310" s="2250"/>
      <c r="CS310" s="2250"/>
      <c r="CT310" s="2250"/>
      <c r="CU310" s="2250"/>
      <c r="CV310" s="2250"/>
      <c r="CW310" s="2250"/>
      <c r="CX310" s="2250"/>
      <c r="CY310" s="2250"/>
      <c r="CZ310" s="2250"/>
      <c r="DA310" s="2250"/>
      <c r="DB310" s="2250"/>
      <c r="DC310" s="2250"/>
      <c r="DD310" s="2250"/>
      <c r="DE310" s="2250"/>
      <c r="DF310" s="2250"/>
      <c r="DG310" s="2250"/>
      <c r="DH310" s="2250"/>
      <c r="DI310" s="2250"/>
      <c r="DJ310" s="2250"/>
      <c r="DK310" s="2250"/>
      <c r="DL310" s="2250"/>
      <c r="DM310" s="2250"/>
      <c r="DN310" s="2250"/>
      <c r="DO310" s="2250"/>
      <c r="DP310" s="2250"/>
      <c r="DQ310" s="2277"/>
      <c r="DR310" s="2277"/>
      <c r="DS310" s="2278"/>
      <c r="DT310" s="2250"/>
      <c r="DU310" s="2250"/>
      <c r="DV310" s="2250"/>
      <c r="DW310" s="2250"/>
      <c r="DX310" s="2275"/>
      <c r="DY310" s="2275"/>
      <c r="DZ310" s="2275"/>
      <c r="EA310" s="2275"/>
      <c r="EB310" s="2275"/>
      <c r="EC310" s="2275"/>
      <c r="ED310" s="2275"/>
      <c r="EE310" s="2275"/>
      <c r="EF310" s="2275"/>
      <c r="EG310" s="2275"/>
      <c r="EH310" s="2275"/>
      <c r="EI310" s="2275"/>
      <c r="EJ310" s="2275"/>
      <c r="EK310" s="2275"/>
      <c r="EL310" s="2275"/>
      <c r="EM310" s="2275"/>
      <c r="EN310" s="2275"/>
      <c r="EO310" s="2275"/>
      <c r="EP310" s="2275"/>
      <c r="EQ310" s="2275"/>
      <c r="ER310" s="2275"/>
      <c r="ES310" s="2275"/>
      <c r="ET310" s="2275"/>
      <c r="EU310" s="2275"/>
      <c r="EV310" s="2275"/>
      <c r="EW310" s="2275"/>
      <c r="EX310" s="2275"/>
      <c r="EY310" s="2275"/>
      <c r="EZ310" s="2275"/>
      <c r="FA310" s="2275"/>
      <c r="FB310" s="2275"/>
      <c r="FC310" s="2275"/>
      <c r="FD310" s="2275"/>
      <c r="FE310" s="2275"/>
      <c r="FF310" s="2275"/>
      <c r="FG310" s="2275"/>
      <c r="FH310" s="2275"/>
      <c r="FI310" s="2275"/>
      <c r="FJ310" s="2275"/>
      <c r="FK310" s="2275"/>
      <c r="FL310" s="2275"/>
      <c r="FM310" s="2250"/>
      <c r="FN310" s="2250"/>
      <c r="FO310" s="2250"/>
      <c r="FP310" s="2250"/>
      <c r="FQ310" s="2250"/>
      <c r="FR310" s="2250"/>
      <c r="FS310" s="2250"/>
      <c r="FT310" s="2250"/>
      <c r="FU310" s="2250"/>
      <c r="FV310" s="2250"/>
      <c r="FW310" s="2250"/>
      <c r="FX310" s="2250"/>
      <c r="FY310" s="2250"/>
      <c r="FZ310" s="2250"/>
      <c r="GA310" s="2250"/>
      <c r="GB310" s="2250"/>
      <c r="GC310" s="2276"/>
      <c r="GD310" s="2276"/>
      <c r="GE310" s="2250"/>
      <c r="GF310" s="2275"/>
      <c r="GG310" s="2275"/>
      <c r="GH310" s="2275"/>
      <c r="GI310" s="2275"/>
      <c r="GJ310" s="2275"/>
      <c r="GK310" s="2275"/>
      <c r="GL310" s="2275"/>
      <c r="GM310" s="2275"/>
      <c r="GN310" s="2275"/>
      <c r="GO310" s="2275"/>
      <c r="GP310" s="2275"/>
      <c r="GQ310" s="2275"/>
      <c r="GR310" s="2275"/>
      <c r="GS310" s="2275"/>
      <c r="GT310" s="2275"/>
      <c r="GU310" s="2275"/>
      <c r="GV310" s="2275"/>
      <c r="GW310" s="2275"/>
      <c r="GX310" s="2275"/>
      <c r="GY310" s="2275"/>
      <c r="GZ310" s="2275"/>
      <c r="HA310" s="2275"/>
      <c r="HB310" s="2275"/>
      <c r="HC310" s="2275"/>
      <c r="HD310" s="2275"/>
      <c r="HE310" s="2275"/>
      <c r="HF310" s="2275"/>
      <c r="HG310" s="2275"/>
      <c r="HH310" s="2275"/>
      <c r="HI310" s="2275"/>
      <c r="HJ310" s="2275"/>
      <c r="HK310" s="2275"/>
      <c r="HL310" s="2275"/>
      <c r="HM310" s="2275"/>
      <c r="HN310" s="2275"/>
      <c r="HO310" s="2275"/>
      <c r="HP310" s="2275"/>
      <c r="HQ310" s="2275"/>
      <c r="HR310" s="2275"/>
      <c r="HS310" s="2275"/>
      <c r="HT310" s="2275"/>
      <c r="HU310" s="2250"/>
      <c r="HV310" s="2250"/>
      <c r="HW310" s="2250"/>
      <c r="HX310" s="2250"/>
      <c r="HY310" s="2250"/>
      <c r="HZ310" s="2250"/>
      <c r="IA310" s="2250"/>
      <c r="IB310" s="2250"/>
      <c r="IC310" s="2250"/>
      <c r="ID310" s="2250"/>
      <c r="IE310" s="2250"/>
      <c r="IF310" s="2250"/>
      <c r="IG310" s="2250"/>
      <c r="IH310" s="2250"/>
      <c r="II310" s="2250"/>
      <c r="IJ310" s="2250"/>
      <c r="IK310" s="2250"/>
      <c r="IL310" s="2250"/>
    </row>
    <row r="311" spans="1:249" ht="21.95" customHeight="1">
      <c r="A311" s="2275"/>
      <c r="B311" s="2275"/>
      <c r="C311" s="2275"/>
      <c r="D311" s="2275"/>
      <c r="E311" s="2275"/>
      <c r="F311" s="2275"/>
      <c r="G311" s="2275"/>
      <c r="H311" s="2275"/>
      <c r="I311" s="2275"/>
      <c r="J311" s="2275"/>
      <c r="K311" s="2275"/>
      <c r="L311" s="2275"/>
      <c r="M311" s="2275"/>
      <c r="N311" s="2275"/>
      <c r="O311" s="2275"/>
      <c r="P311" s="2275"/>
      <c r="Q311" s="2275"/>
      <c r="R311" s="2275"/>
      <c r="S311" s="2275"/>
      <c r="T311" s="2275"/>
      <c r="U311" s="2275"/>
      <c r="V311" s="2275"/>
      <c r="W311" s="2275"/>
      <c r="X311" s="2275"/>
      <c r="Y311" s="2275"/>
      <c r="Z311" s="2275"/>
      <c r="AA311" s="2275"/>
      <c r="AB311" s="2275"/>
      <c r="AC311" s="2275"/>
      <c r="AD311" s="2275"/>
      <c r="AE311" s="2275"/>
      <c r="AF311" s="2275"/>
      <c r="AG311" s="2275"/>
      <c r="AH311" s="2275"/>
      <c r="AI311" s="2275"/>
      <c r="AJ311" s="2275"/>
      <c r="AK311" s="2275"/>
      <c r="AL311" s="2275"/>
      <c r="AM311" s="2275"/>
      <c r="AN311" s="2275"/>
      <c r="AO311" s="2275"/>
      <c r="AP311" s="2250"/>
      <c r="AQ311" s="2250"/>
      <c r="AR311" s="2250"/>
      <c r="AS311" s="2250"/>
      <c r="AT311" s="2250"/>
      <c r="AU311" s="2250"/>
      <c r="AV311" s="2250"/>
      <c r="AW311" s="2250"/>
      <c r="AX311" s="2250"/>
      <c r="AY311" s="2250"/>
      <c r="AZ311" s="2250"/>
      <c r="BA311" s="2250"/>
      <c r="BB311" s="2250"/>
      <c r="BC311" s="2250"/>
      <c r="BD311" s="2250"/>
      <c r="BE311" s="2250"/>
      <c r="BF311" s="2276"/>
      <c r="BG311" s="2276"/>
      <c r="BH311" s="2250"/>
      <c r="BI311" s="2250"/>
      <c r="BJ311" s="2250"/>
      <c r="BK311" s="2250"/>
      <c r="BL311" s="2250"/>
      <c r="BM311" s="2250"/>
      <c r="BN311" s="2250"/>
      <c r="BO311" s="2250"/>
      <c r="BP311" s="2250"/>
      <c r="BQ311" s="2250"/>
      <c r="BR311" s="2250"/>
      <c r="BS311" s="2250"/>
      <c r="BT311" s="2250"/>
      <c r="BU311" s="2250"/>
      <c r="BV311" s="2250"/>
      <c r="BW311" s="2250"/>
      <c r="BX311" s="2250"/>
      <c r="BY311" s="2250"/>
      <c r="BZ311" s="2250"/>
      <c r="CA311" s="2250"/>
      <c r="CB311" s="2250"/>
      <c r="CC311" s="2250"/>
      <c r="CD311" s="2250"/>
      <c r="CE311" s="2250"/>
      <c r="CF311" s="2250"/>
      <c r="CG311" s="2250"/>
      <c r="CH311" s="2250"/>
      <c r="CI311" s="2250"/>
      <c r="CJ311" s="2250"/>
      <c r="CK311" s="2250"/>
      <c r="CL311" s="2250"/>
      <c r="CM311" s="2250"/>
      <c r="CN311" s="2250"/>
      <c r="CO311" s="2250"/>
      <c r="CP311" s="2250"/>
      <c r="CQ311" s="2250"/>
      <c r="CR311" s="2250"/>
      <c r="CS311" s="2250"/>
      <c r="CT311" s="2250"/>
      <c r="CU311" s="2250"/>
      <c r="CV311" s="2250"/>
      <c r="CW311" s="2250"/>
      <c r="CX311" s="2250"/>
      <c r="CY311" s="2250"/>
      <c r="CZ311" s="2250"/>
      <c r="DA311" s="2250"/>
      <c r="DB311" s="2250"/>
      <c r="DC311" s="2250"/>
      <c r="DD311" s="2250"/>
      <c r="DE311" s="2250"/>
      <c r="DF311" s="2250"/>
      <c r="DG311" s="2250"/>
      <c r="DH311" s="2250"/>
      <c r="DI311" s="2250"/>
      <c r="DJ311" s="2250"/>
      <c r="DK311" s="2250"/>
      <c r="DL311" s="2250"/>
      <c r="DM311" s="2250"/>
      <c r="DN311" s="2250"/>
      <c r="DO311" s="2250"/>
      <c r="DP311" s="2250"/>
      <c r="DQ311" s="2277"/>
      <c r="DR311" s="2277"/>
      <c r="DS311" s="2278"/>
      <c r="DT311" s="2250"/>
      <c r="DU311" s="2250"/>
      <c r="DV311" s="2250"/>
      <c r="DW311" s="2250"/>
      <c r="DX311" s="2275"/>
      <c r="DY311" s="2275"/>
      <c r="DZ311" s="2275"/>
      <c r="EA311" s="2275"/>
      <c r="EB311" s="2275"/>
      <c r="EC311" s="2275"/>
      <c r="ED311" s="2275"/>
      <c r="EE311" s="2275"/>
      <c r="EF311" s="2275"/>
      <c r="EG311" s="2275"/>
      <c r="EH311" s="2275"/>
      <c r="EI311" s="2275"/>
      <c r="EJ311" s="2275"/>
      <c r="EK311" s="2275"/>
      <c r="EL311" s="2275"/>
      <c r="EM311" s="2275"/>
      <c r="EN311" s="2275"/>
      <c r="EO311" s="2275"/>
      <c r="EP311" s="2275"/>
      <c r="EQ311" s="2275"/>
      <c r="ER311" s="2275"/>
      <c r="ES311" s="2275"/>
      <c r="ET311" s="2275"/>
      <c r="EU311" s="2275"/>
      <c r="EV311" s="2275"/>
      <c r="EW311" s="2275"/>
      <c r="EX311" s="2275"/>
      <c r="EY311" s="2275"/>
      <c r="EZ311" s="2275"/>
      <c r="FA311" s="2275"/>
      <c r="FB311" s="2275"/>
      <c r="FC311" s="2275"/>
      <c r="FD311" s="2275"/>
      <c r="FE311" s="2275"/>
      <c r="FF311" s="2275"/>
      <c r="FG311" s="2275"/>
      <c r="FH311" s="2275"/>
      <c r="FI311" s="2275"/>
      <c r="FJ311" s="2275"/>
      <c r="FK311" s="2275"/>
      <c r="FL311" s="2275"/>
      <c r="FM311" s="2250"/>
      <c r="FN311" s="2250"/>
      <c r="FO311" s="2250"/>
      <c r="FP311" s="2250"/>
      <c r="FQ311" s="2250"/>
      <c r="FR311" s="2250"/>
      <c r="FS311" s="2250"/>
      <c r="FT311" s="2250"/>
      <c r="FU311" s="2250"/>
      <c r="FV311" s="2250"/>
      <c r="FW311" s="2250"/>
      <c r="FX311" s="2250"/>
      <c r="FY311" s="2250"/>
      <c r="FZ311" s="2250"/>
      <c r="GA311" s="2250"/>
      <c r="GB311" s="2250"/>
      <c r="GC311" s="2276"/>
      <c r="GD311" s="2276"/>
      <c r="GE311" s="2250"/>
      <c r="GF311" s="2250"/>
      <c r="GG311" s="2250"/>
      <c r="GH311" s="2250"/>
      <c r="GI311" s="2250"/>
      <c r="GJ311" s="2250"/>
      <c r="GK311" s="2250"/>
      <c r="GL311" s="2250"/>
      <c r="GM311" s="2250"/>
      <c r="GN311" s="2250"/>
      <c r="GO311" s="2250"/>
      <c r="GP311" s="2250"/>
      <c r="GQ311" s="2250"/>
      <c r="GR311" s="2250"/>
      <c r="GS311" s="2250"/>
      <c r="GT311" s="2250"/>
      <c r="GU311" s="2250"/>
      <c r="GV311" s="2250"/>
      <c r="GW311" s="2250"/>
      <c r="GX311" s="2250"/>
      <c r="GY311" s="2250"/>
      <c r="GZ311" s="2250"/>
      <c r="HA311" s="2250"/>
      <c r="HB311" s="2250"/>
      <c r="HC311" s="2250"/>
      <c r="HD311" s="2250"/>
      <c r="HE311" s="2250"/>
      <c r="HF311" s="2250"/>
      <c r="HG311" s="2250"/>
      <c r="HH311" s="2250"/>
      <c r="HI311" s="2250"/>
      <c r="HJ311" s="2250"/>
      <c r="HK311" s="2250"/>
      <c r="HL311" s="2250"/>
      <c r="HM311" s="2250"/>
      <c r="HN311" s="2250"/>
      <c r="HO311" s="2250"/>
      <c r="HP311" s="2250"/>
      <c r="HQ311" s="2250"/>
      <c r="HR311" s="2250"/>
      <c r="HS311" s="2250"/>
      <c r="HT311" s="2250"/>
      <c r="HU311" s="2250"/>
      <c r="HV311" s="2250"/>
      <c r="HW311" s="2250"/>
      <c r="HX311" s="2250"/>
      <c r="HY311" s="2250"/>
      <c r="HZ311" s="2250"/>
      <c r="IA311" s="2250"/>
      <c r="IB311" s="2250"/>
      <c r="IC311" s="2250"/>
      <c r="ID311" s="2250"/>
      <c r="IE311" s="2250"/>
      <c r="IF311" s="2250"/>
      <c r="IG311" s="2250"/>
      <c r="IH311" s="2250"/>
      <c r="II311" s="2250"/>
      <c r="IJ311" s="2250"/>
      <c r="IK311" s="2250"/>
      <c r="IL311" s="2250"/>
    </row>
    <row r="312" spans="1:249" ht="21.95" customHeight="1">
      <c r="A312" s="2275"/>
      <c r="B312" s="2275"/>
      <c r="C312" s="2275"/>
      <c r="D312" s="2275"/>
      <c r="E312" s="2275"/>
      <c r="F312" s="2275"/>
      <c r="G312" s="2275"/>
      <c r="H312" s="2275"/>
      <c r="I312" s="2275"/>
      <c r="J312" s="2275"/>
      <c r="K312" s="2275"/>
      <c r="L312" s="2275"/>
      <c r="M312" s="2275"/>
      <c r="N312" s="2275"/>
      <c r="O312" s="2275"/>
      <c r="P312" s="2275"/>
      <c r="Q312" s="2275"/>
      <c r="R312" s="2275"/>
      <c r="S312" s="2275"/>
      <c r="T312" s="2275"/>
      <c r="U312" s="2275"/>
      <c r="V312" s="2275"/>
      <c r="W312" s="2275"/>
      <c r="X312" s="2275"/>
      <c r="Y312" s="2275"/>
      <c r="Z312" s="2275"/>
      <c r="AA312" s="2275"/>
      <c r="AB312" s="2275"/>
      <c r="AC312" s="2275"/>
      <c r="AD312" s="2275"/>
      <c r="AE312" s="2275"/>
      <c r="AF312" s="2275"/>
      <c r="AG312" s="2275"/>
      <c r="AH312" s="2275"/>
      <c r="AI312" s="2275"/>
      <c r="AJ312" s="2275"/>
      <c r="AK312" s="2275"/>
      <c r="AL312" s="2275"/>
      <c r="AM312" s="2275"/>
      <c r="AN312" s="2275"/>
      <c r="AO312" s="2275"/>
      <c r="AP312" s="2250"/>
      <c r="AQ312" s="2250"/>
      <c r="AR312" s="2250"/>
      <c r="AS312" s="2250"/>
      <c r="AT312" s="2250"/>
      <c r="AU312" s="2250"/>
      <c r="AV312" s="2250"/>
      <c r="AW312" s="2250"/>
      <c r="AX312" s="2250"/>
      <c r="AY312" s="2250"/>
      <c r="AZ312" s="2250"/>
      <c r="BA312" s="2250"/>
      <c r="BB312" s="2250"/>
      <c r="BC312" s="2250"/>
      <c r="BD312" s="2250"/>
      <c r="BE312" s="2250"/>
      <c r="BF312" s="2276"/>
      <c r="BG312" s="2276"/>
      <c r="BH312" s="2250"/>
      <c r="BI312" s="2250"/>
      <c r="BJ312" s="2250"/>
      <c r="BK312" s="2250"/>
      <c r="BL312" s="2250"/>
      <c r="BM312" s="2250"/>
      <c r="BN312" s="2250"/>
      <c r="BO312" s="2250"/>
      <c r="BP312" s="2250"/>
      <c r="BQ312" s="2250"/>
      <c r="BR312" s="2250"/>
      <c r="BS312" s="2250"/>
      <c r="BT312" s="2250"/>
      <c r="BU312" s="2250"/>
      <c r="BV312" s="2250"/>
      <c r="BW312" s="2250"/>
      <c r="BX312" s="2250"/>
      <c r="BY312" s="2250"/>
      <c r="BZ312" s="2250"/>
      <c r="CA312" s="2250"/>
      <c r="CB312" s="2250"/>
      <c r="CC312" s="2250"/>
      <c r="CD312" s="2250"/>
      <c r="CE312" s="2250"/>
      <c r="CF312" s="2250"/>
      <c r="CG312" s="2250"/>
      <c r="CH312" s="2250"/>
      <c r="CI312" s="2250"/>
      <c r="CJ312" s="2250"/>
      <c r="CK312" s="2250"/>
      <c r="CL312" s="2250"/>
      <c r="CM312" s="2250"/>
      <c r="CN312" s="2250"/>
      <c r="CO312" s="2250"/>
      <c r="CP312" s="2250"/>
      <c r="CQ312" s="2250"/>
      <c r="CR312" s="2250"/>
      <c r="CS312" s="2250"/>
      <c r="CT312" s="2250"/>
      <c r="CU312" s="2250"/>
      <c r="CV312" s="2250"/>
      <c r="CW312" s="2250"/>
      <c r="CX312" s="2250"/>
      <c r="CY312" s="2250"/>
      <c r="CZ312" s="2250"/>
      <c r="DA312" s="2250"/>
      <c r="DB312" s="2250"/>
      <c r="DC312" s="2250"/>
      <c r="DD312" s="2250"/>
      <c r="DE312" s="2250"/>
      <c r="DF312" s="2250"/>
      <c r="DG312" s="2250"/>
      <c r="DH312" s="2250"/>
      <c r="DI312" s="2250"/>
      <c r="DJ312" s="2250"/>
      <c r="DK312" s="2250"/>
      <c r="DL312" s="2250"/>
      <c r="DM312" s="2250"/>
      <c r="DN312" s="2250"/>
      <c r="DO312" s="2250"/>
      <c r="DP312" s="2250"/>
      <c r="DQ312" s="2277"/>
      <c r="DR312" s="2277"/>
      <c r="DS312" s="2278"/>
      <c r="DT312" s="2250"/>
      <c r="DU312" s="2250"/>
      <c r="DV312" s="2250"/>
      <c r="DW312" s="2250"/>
      <c r="DX312" s="2275"/>
      <c r="DY312" s="2275"/>
      <c r="DZ312" s="2275"/>
      <c r="EA312" s="2275"/>
      <c r="EB312" s="2275"/>
      <c r="EC312" s="2275"/>
      <c r="ED312" s="2275"/>
      <c r="EE312" s="2275"/>
      <c r="EF312" s="2275"/>
      <c r="EG312" s="2275"/>
      <c r="EH312" s="2275"/>
      <c r="EI312" s="2275"/>
      <c r="EJ312" s="2275"/>
      <c r="EK312" s="2275"/>
      <c r="EL312" s="2275"/>
      <c r="EM312" s="2275"/>
      <c r="EN312" s="2275"/>
      <c r="EO312" s="2275"/>
      <c r="EP312" s="2275"/>
      <c r="EQ312" s="2275"/>
      <c r="ER312" s="2275"/>
      <c r="ES312" s="2275"/>
      <c r="ET312" s="2275"/>
      <c r="EU312" s="2275"/>
      <c r="EV312" s="2275"/>
      <c r="EW312" s="2275"/>
      <c r="EX312" s="2275"/>
      <c r="EY312" s="2275"/>
      <c r="EZ312" s="2275"/>
      <c r="FA312" s="2275"/>
      <c r="FB312" s="2275"/>
      <c r="FC312" s="2275"/>
      <c r="FD312" s="2275"/>
      <c r="FE312" s="2275"/>
      <c r="FF312" s="2275"/>
      <c r="FG312" s="2275"/>
      <c r="FH312" s="2275"/>
      <c r="FI312" s="2275"/>
      <c r="FJ312" s="2275"/>
      <c r="FK312" s="2275"/>
      <c r="FL312" s="2275"/>
      <c r="FM312" s="2250"/>
      <c r="FN312" s="2250"/>
      <c r="FO312" s="2250"/>
      <c r="FP312" s="2250"/>
      <c r="FQ312" s="2250"/>
      <c r="FR312" s="2250"/>
      <c r="FS312" s="2250"/>
      <c r="FT312" s="2250"/>
      <c r="FU312" s="2250"/>
      <c r="FV312" s="2250"/>
      <c r="FW312" s="2250"/>
      <c r="FX312" s="2250"/>
      <c r="FY312" s="2250"/>
      <c r="FZ312" s="2250"/>
      <c r="GA312" s="2250"/>
      <c r="GB312" s="2250"/>
      <c r="GC312" s="2276"/>
      <c r="GD312" s="2276"/>
      <c r="GE312" s="2250"/>
      <c r="GF312" s="2250"/>
      <c r="GG312" s="2250"/>
      <c r="GH312" s="2250"/>
      <c r="GI312" s="2250"/>
      <c r="GJ312" s="2250"/>
      <c r="GK312" s="2250"/>
      <c r="GL312" s="2250"/>
      <c r="GM312" s="2250"/>
      <c r="GN312" s="2250"/>
      <c r="GO312" s="2250"/>
      <c r="GP312" s="2250"/>
      <c r="GQ312" s="2250"/>
      <c r="GR312" s="2250"/>
      <c r="GS312" s="2250"/>
      <c r="GT312" s="2250"/>
      <c r="GU312" s="2250"/>
      <c r="GV312" s="2250"/>
      <c r="GW312" s="2250"/>
      <c r="GX312" s="2250"/>
      <c r="GY312" s="2250"/>
      <c r="GZ312" s="2250"/>
      <c r="HA312" s="2250"/>
      <c r="HB312" s="2250"/>
      <c r="HC312" s="2250"/>
      <c r="HD312" s="2250"/>
      <c r="HE312" s="2250"/>
      <c r="HF312" s="2250"/>
      <c r="HG312" s="2250"/>
      <c r="HH312" s="2250"/>
      <c r="HI312" s="2250"/>
      <c r="HJ312" s="2250"/>
      <c r="HK312" s="2250"/>
      <c r="HL312" s="2250"/>
      <c r="HM312" s="2250"/>
      <c r="HN312" s="2250"/>
      <c r="HO312" s="2250"/>
      <c r="HP312" s="2250"/>
      <c r="HQ312" s="2250"/>
      <c r="HR312" s="2250"/>
      <c r="HS312" s="2250"/>
      <c r="HT312" s="2250"/>
      <c r="HU312" s="2250"/>
      <c r="HV312" s="2250"/>
      <c r="HW312" s="2250"/>
      <c r="HX312" s="2250"/>
      <c r="HY312" s="2250"/>
      <c r="HZ312" s="2250"/>
      <c r="IA312" s="2250"/>
      <c r="IB312" s="2250"/>
      <c r="IC312" s="2250"/>
      <c r="ID312" s="2250"/>
      <c r="IE312" s="2250"/>
      <c r="IF312" s="2250"/>
      <c r="IG312" s="2250"/>
      <c r="IH312" s="2250"/>
      <c r="II312" s="2250"/>
      <c r="IJ312" s="2250"/>
      <c r="IK312" s="2250"/>
      <c r="IL312" s="2250"/>
    </row>
    <row r="313" spans="1:249" ht="21.95" customHeight="1">
      <c r="A313" s="2275"/>
      <c r="B313" s="2275"/>
      <c r="C313" s="2275"/>
      <c r="D313" s="2275"/>
      <c r="E313" s="2275"/>
      <c r="F313" s="2275"/>
      <c r="G313" s="2275"/>
      <c r="H313" s="2275"/>
      <c r="I313" s="2275"/>
      <c r="J313" s="2275"/>
      <c r="K313" s="2275"/>
      <c r="L313" s="2275"/>
      <c r="M313" s="2275"/>
      <c r="N313" s="2275"/>
      <c r="O313" s="2275"/>
      <c r="P313" s="2275"/>
      <c r="Q313" s="2275"/>
      <c r="R313" s="2275"/>
      <c r="S313" s="2275"/>
      <c r="T313" s="2275"/>
      <c r="U313" s="2275"/>
      <c r="V313" s="2275"/>
      <c r="W313" s="2275"/>
      <c r="X313" s="2275"/>
      <c r="Y313" s="2275"/>
      <c r="Z313" s="2275"/>
      <c r="AA313" s="2275"/>
      <c r="AB313" s="2275"/>
      <c r="AC313" s="2275"/>
      <c r="AD313" s="2275"/>
      <c r="AE313" s="2275"/>
      <c r="AF313" s="2275"/>
      <c r="AG313" s="2275"/>
      <c r="AH313" s="2275"/>
      <c r="AI313" s="2275"/>
      <c r="AJ313" s="2275"/>
      <c r="AK313" s="2275"/>
      <c r="AL313" s="2275"/>
      <c r="AM313" s="2275"/>
      <c r="AN313" s="2275"/>
      <c r="AO313" s="2275"/>
      <c r="AP313" s="2250"/>
      <c r="AQ313" s="2250"/>
      <c r="AR313" s="2250"/>
      <c r="AS313" s="2250"/>
      <c r="AT313" s="2250"/>
      <c r="AU313" s="2250"/>
      <c r="AV313" s="2250"/>
      <c r="AW313" s="2250"/>
      <c r="AX313" s="2250"/>
      <c r="AY313" s="2250"/>
      <c r="AZ313" s="2250"/>
      <c r="BA313" s="2250"/>
      <c r="BB313" s="2250"/>
      <c r="BC313" s="2250"/>
      <c r="BD313" s="2250"/>
      <c r="BE313" s="2250"/>
      <c r="BF313" s="2276"/>
      <c r="BG313" s="2276"/>
      <c r="BH313" s="2250"/>
      <c r="BI313" s="2250"/>
      <c r="BJ313" s="2250"/>
      <c r="BK313" s="2250"/>
      <c r="BL313" s="2250"/>
      <c r="BM313" s="2250"/>
      <c r="BN313" s="2250"/>
      <c r="BO313" s="2250"/>
      <c r="BP313" s="2250"/>
      <c r="BQ313" s="2250"/>
      <c r="BR313" s="2250"/>
      <c r="BS313" s="2250"/>
      <c r="BT313" s="2250"/>
      <c r="BU313" s="2250"/>
      <c r="BV313" s="2250"/>
      <c r="BW313" s="2250"/>
      <c r="BX313" s="2250"/>
      <c r="BY313" s="2250"/>
      <c r="BZ313" s="2250"/>
      <c r="CA313" s="2250"/>
      <c r="CB313" s="2250"/>
      <c r="CC313" s="2250"/>
      <c r="CD313" s="2250"/>
      <c r="CE313" s="2250"/>
      <c r="CF313" s="2250"/>
      <c r="CG313" s="2250"/>
      <c r="CH313" s="2250"/>
      <c r="CI313" s="2250"/>
      <c r="CJ313" s="2250"/>
      <c r="CK313" s="2250"/>
      <c r="CL313" s="2250"/>
      <c r="CM313" s="2250"/>
      <c r="CN313" s="2250"/>
      <c r="CO313" s="2250"/>
      <c r="CP313" s="2250"/>
      <c r="CQ313" s="2250"/>
      <c r="CR313" s="2250"/>
      <c r="CS313" s="2250"/>
      <c r="CT313" s="2250"/>
      <c r="CU313" s="2250"/>
      <c r="CV313" s="2250"/>
      <c r="CW313" s="2250"/>
      <c r="CX313" s="2250"/>
      <c r="CY313" s="2250"/>
      <c r="CZ313" s="2250"/>
      <c r="DA313" s="2250"/>
      <c r="DB313" s="2250"/>
      <c r="DC313" s="2250"/>
      <c r="DD313" s="2250"/>
      <c r="DE313" s="2250"/>
      <c r="DF313" s="2250"/>
      <c r="DG313" s="2250"/>
      <c r="DH313" s="2250"/>
      <c r="DI313" s="2250"/>
      <c r="DJ313" s="2250"/>
      <c r="DK313" s="2250"/>
      <c r="DL313" s="2250"/>
      <c r="DM313" s="2250"/>
      <c r="DN313" s="2250"/>
      <c r="DO313" s="2250"/>
      <c r="DP313" s="2250"/>
      <c r="DQ313" s="2277"/>
      <c r="DR313" s="2277"/>
      <c r="DS313" s="2278"/>
      <c r="DT313" s="2250"/>
      <c r="DU313" s="2250"/>
      <c r="DV313" s="2250"/>
      <c r="DW313" s="2250"/>
      <c r="DX313" s="2275"/>
      <c r="DY313" s="2275"/>
      <c r="DZ313" s="2275"/>
      <c r="EA313" s="2275"/>
      <c r="EB313" s="2275"/>
      <c r="EC313" s="2275"/>
      <c r="ED313" s="2275"/>
      <c r="EE313" s="2275"/>
      <c r="EF313" s="2275"/>
      <c r="EG313" s="2275"/>
      <c r="EH313" s="2275"/>
      <c r="EI313" s="2275"/>
      <c r="EJ313" s="2275"/>
      <c r="EK313" s="2275"/>
      <c r="EL313" s="2275"/>
      <c r="EM313" s="2275"/>
      <c r="EN313" s="2275"/>
      <c r="EO313" s="2275"/>
      <c r="EP313" s="2275"/>
      <c r="EQ313" s="2275"/>
      <c r="ER313" s="2275"/>
      <c r="ES313" s="2275"/>
      <c r="ET313" s="2275"/>
      <c r="EU313" s="2275"/>
      <c r="EV313" s="2275"/>
      <c r="EW313" s="2275"/>
      <c r="EX313" s="2275"/>
      <c r="EY313" s="2275"/>
      <c r="EZ313" s="2275"/>
      <c r="FA313" s="2275"/>
      <c r="FB313" s="2275"/>
      <c r="FC313" s="2275"/>
      <c r="FD313" s="2275"/>
      <c r="FE313" s="2275"/>
      <c r="FF313" s="2275"/>
      <c r="FG313" s="2275"/>
      <c r="FH313" s="2275"/>
      <c r="FI313" s="2275"/>
      <c r="FJ313" s="2275"/>
      <c r="FK313" s="2275"/>
      <c r="FL313" s="2275"/>
      <c r="FM313" s="2250"/>
      <c r="FN313" s="2250"/>
      <c r="FO313" s="2250"/>
      <c r="FP313" s="2250"/>
      <c r="FQ313" s="2250"/>
      <c r="FR313" s="2250"/>
      <c r="FS313" s="2250"/>
      <c r="FT313" s="2250"/>
      <c r="FU313" s="2250"/>
      <c r="FV313" s="2250"/>
      <c r="FW313" s="2250"/>
      <c r="FX313" s="2250"/>
      <c r="FY313" s="2250"/>
      <c r="FZ313" s="2250"/>
      <c r="GA313" s="2250"/>
      <c r="GB313" s="2250"/>
      <c r="GC313" s="2276"/>
      <c r="GD313" s="2276"/>
      <c r="GE313" s="2250"/>
      <c r="GF313" s="2250"/>
      <c r="GG313" s="2250"/>
      <c r="GH313" s="2250"/>
      <c r="GI313" s="2250"/>
      <c r="GJ313" s="2250"/>
      <c r="GK313" s="2250"/>
      <c r="GL313" s="2250"/>
      <c r="GM313" s="2250"/>
      <c r="GN313" s="2250"/>
      <c r="GO313" s="2250"/>
      <c r="GP313" s="2250"/>
      <c r="GQ313" s="2250"/>
      <c r="GR313" s="2250"/>
      <c r="GS313" s="2250"/>
      <c r="GT313" s="2250"/>
      <c r="GU313" s="2250"/>
      <c r="GV313" s="2250"/>
      <c r="GW313" s="2250"/>
      <c r="GX313" s="2250"/>
      <c r="GY313" s="2250"/>
      <c r="GZ313" s="2250"/>
      <c r="HA313" s="2250"/>
      <c r="HB313" s="2250"/>
      <c r="HC313" s="2250"/>
      <c r="HD313" s="2250"/>
      <c r="HE313" s="2250"/>
      <c r="HF313" s="2250"/>
      <c r="HG313" s="2250"/>
      <c r="HH313" s="2250"/>
      <c r="HI313" s="2250"/>
      <c r="HJ313" s="2250"/>
      <c r="HK313" s="2250"/>
      <c r="HL313" s="2250"/>
      <c r="HM313" s="2250"/>
      <c r="HN313" s="2250"/>
      <c r="HO313" s="2250"/>
      <c r="HP313" s="2250"/>
      <c r="HQ313" s="2250"/>
      <c r="HR313" s="2250"/>
      <c r="HS313" s="2250"/>
      <c r="HT313" s="2250"/>
      <c r="HU313" s="2250"/>
      <c r="HV313" s="2250"/>
      <c r="HW313" s="2250"/>
      <c r="HX313" s="2250"/>
      <c r="HY313" s="2250"/>
      <c r="HZ313" s="2250"/>
      <c r="IA313" s="2250"/>
      <c r="IB313" s="2250"/>
      <c r="IC313" s="2250"/>
      <c r="ID313" s="2250"/>
      <c r="IE313" s="2250"/>
      <c r="IF313" s="2250"/>
      <c r="IG313" s="2250"/>
      <c r="IH313" s="2250"/>
      <c r="II313" s="2250"/>
      <c r="IJ313" s="2250"/>
      <c r="IK313" s="2250"/>
      <c r="IL313" s="2250"/>
    </row>
    <row r="314" spans="1:249" ht="21.95" customHeight="1">
      <c r="A314" s="2275"/>
      <c r="B314" s="2275"/>
      <c r="C314" s="2275"/>
      <c r="D314" s="2275"/>
      <c r="E314" s="2275"/>
      <c r="F314" s="2275"/>
      <c r="G314" s="2275"/>
      <c r="H314" s="2275"/>
      <c r="I314" s="2275"/>
      <c r="J314" s="2275"/>
      <c r="K314" s="2275"/>
      <c r="L314" s="2275"/>
      <c r="M314" s="2275"/>
      <c r="N314" s="2275"/>
      <c r="O314" s="2275"/>
      <c r="P314" s="2275"/>
      <c r="Q314" s="2275"/>
      <c r="R314" s="2275"/>
      <c r="S314" s="2275"/>
      <c r="T314" s="2275"/>
      <c r="U314" s="2275"/>
      <c r="V314" s="2275"/>
      <c r="W314" s="2275"/>
      <c r="X314" s="2275"/>
      <c r="Y314" s="2275"/>
      <c r="Z314" s="2275"/>
      <c r="AA314" s="2275"/>
      <c r="AB314" s="2275"/>
      <c r="AC314" s="2275"/>
      <c r="AD314" s="2275"/>
      <c r="AE314" s="2275"/>
      <c r="AF314" s="2275"/>
      <c r="AG314" s="2275"/>
      <c r="AH314" s="2275"/>
      <c r="AI314" s="2275"/>
      <c r="AJ314" s="2275"/>
      <c r="AK314" s="2275"/>
      <c r="AL314" s="2275"/>
      <c r="AM314" s="2275"/>
      <c r="AN314" s="2275"/>
      <c r="AO314" s="2275"/>
      <c r="AP314" s="2250"/>
      <c r="AQ314" s="2250"/>
      <c r="AR314" s="2250"/>
      <c r="AS314" s="2250"/>
      <c r="AT314" s="2250"/>
      <c r="AU314" s="2250"/>
      <c r="AV314" s="2250"/>
      <c r="AW314" s="2250"/>
      <c r="AX314" s="2250"/>
      <c r="AY314" s="2250"/>
      <c r="AZ314" s="2250"/>
      <c r="BA314" s="2250"/>
      <c r="BB314" s="2250"/>
      <c r="BC314" s="2250"/>
      <c r="BD314" s="2250"/>
      <c r="BE314" s="2250"/>
      <c r="BF314" s="2276"/>
      <c r="BG314" s="2276"/>
      <c r="BH314" s="2250"/>
      <c r="BI314" s="2250"/>
      <c r="BJ314" s="2250"/>
      <c r="BK314" s="2250"/>
      <c r="BL314" s="2250"/>
      <c r="BM314" s="2250"/>
      <c r="BN314" s="2250"/>
      <c r="BO314" s="2250"/>
      <c r="BP314" s="2250"/>
      <c r="BQ314" s="2250"/>
      <c r="BR314" s="2250"/>
      <c r="BS314" s="2250"/>
      <c r="BT314" s="2250"/>
      <c r="BU314" s="2250"/>
      <c r="BV314" s="2250"/>
      <c r="BW314" s="2250"/>
      <c r="BX314" s="2250"/>
      <c r="BY314" s="2250"/>
      <c r="BZ314" s="2250"/>
      <c r="CA314" s="2250"/>
      <c r="CB314" s="2250"/>
      <c r="CC314" s="2250"/>
      <c r="CD314" s="2250"/>
      <c r="CE314" s="2250"/>
      <c r="CF314" s="2250"/>
      <c r="CG314" s="2250"/>
      <c r="CH314" s="2250"/>
      <c r="CI314" s="2250"/>
      <c r="CJ314" s="2250"/>
      <c r="CK314" s="2250"/>
      <c r="CL314" s="2250"/>
      <c r="CM314" s="2250"/>
      <c r="CN314" s="2250"/>
      <c r="CO314" s="2250"/>
      <c r="CP314" s="2250"/>
      <c r="CQ314" s="2250"/>
      <c r="CR314" s="2250"/>
      <c r="CS314" s="2250"/>
      <c r="CT314" s="2250"/>
      <c r="CU314" s="2250"/>
      <c r="CV314" s="2250"/>
      <c r="CW314" s="2250"/>
      <c r="CX314" s="2250"/>
      <c r="CY314" s="2250"/>
      <c r="CZ314" s="2250"/>
      <c r="DA314" s="2250"/>
      <c r="DB314" s="2250"/>
      <c r="DC314" s="2250"/>
      <c r="DD314" s="2250"/>
      <c r="DE314" s="2250"/>
      <c r="DF314" s="2250"/>
      <c r="DG314" s="2250"/>
      <c r="DH314" s="2250"/>
      <c r="DI314" s="2250"/>
      <c r="DJ314" s="2250"/>
      <c r="DK314" s="2250"/>
      <c r="DL314" s="2250"/>
      <c r="DM314" s="2250"/>
      <c r="DN314" s="2250"/>
      <c r="DO314" s="2250"/>
      <c r="DP314" s="2250"/>
      <c r="DQ314" s="2277"/>
      <c r="DR314" s="2277"/>
      <c r="DS314" s="2278"/>
      <c r="DT314" s="2250"/>
      <c r="DU314" s="2250"/>
      <c r="DV314" s="2250"/>
      <c r="DW314" s="2250"/>
      <c r="DX314" s="2275"/>
      <c r="DY314" s="2275"/>
      <c r="DZ314" s="2275"/>
      <c r="EA314" s="2275"/>
      <c r="EB314" s="2275"/>
      <c r="EC314" s="2275"/>
      <c r="ED314" s="2275"/>
      <c r="EE314" s="2275"/>
      <c r="EF314" s="2275"/>
      <c r="EG314" s="2275"/>
      <c r="EH314" s="2275"/>
      <c r="EI314" s="2275"/>
      <c r="EJ314" s="2275"/>
      <c r="EK314" s="2275"/>
      <c r="EL314" s="2275"/>
      <c r="EM314" s="2275"/>
      <c r="EN314" s="2275"/>
      <c r="EO314" s="2275"/>
      <c r="EP314" s="2275"/>
      <c r="EQ314" s="2275"/>
      <c r="ER314" s="2275"/>
      <c r="ES314" s="2275"/>
      <c r="ET314" s="2275"/>
      <c r="EU314" s="2275"/>
      <c r="EV314" s="2275"/>
      <c r="EW314" s="2275"/>
      <c r="EX314" s="2275"/>
      <c r="EY314" s="2275"/>
      <c r="EZ314" s="2275"/>
      <c r="FA314" s="2275"/>
      <c r="FB314" s="2275"/>
      <c r="FC314" s="2275"/>
      <c r="FD314" s="2275"/>
      <c r="FE314" s="2275"/>
      <c r="FF314" s="2275"/>
      <c r="FG314" s="2275"/>
      <c r="FH314" s="2275"/>
      <c r="FI314" s="2275"/>
      <c r="FJ314" s="2275"/>
      <c r="FK314" s="2275"/>
      <c r="FL314" s="2275"/>
      <c r="FM314" s="2250"/>
      <c r="FN314" s="2250"/>
      <c r="FO314" s="2250"/>
      <c r="FP314" s="2250"/>
      <c r="FQ314" s="2250"/>
      <c r="FR314" s="2250"/>
      <c r="FS314" s="2250"/>
      <c r="FT314" s="2250"/>
      <c r="FU314" s="2250"/>
      <c r="FV314" s="2250"/>
      <c r="FW314" s="2250"/>
      <c r="FX314" s="2250"/>
      <c r="FY314" s="2250"/>
      <c r="FZ314" s="2250"/>
      <c r="GA314" s="2250"/>
      <c r="GB314" s="2250"/>
      <c r="GC314" s="2276"/>
      <c r="GD314" s="2276"/>
      <c r="GE314" s="2250"/>
      <c r="GF314" s="2250"/>
      <c r="GG314" s="2250"/>
      <c r="GH314" s="2250"/>
      <c r="GI314" s="2250"/>
      <c r="GJ314" s="2250"/>
      <c r="GK314" s="2250"/>
      <c r="GL314" s="2250"/>
      <c r="GM314" s="2250"/>
      <c r="GN314" s="2250"/>
      <c r="GO314" s="2250"/>
      <c r="GP314" s="2250"/>
      <c r="GQ314" s="2250"/>
      <c r="GR314" s="2250"/>
      <c r="GS314" s="2250"/>
      <c r="GT314" s="2250"/>
      <c r="GU314" s="2250"/>
      <c r="GV314" s="2250"/>
      <c r="GW314" s="2250"/>
      <c r="GX314" s="2250"/>
      <c r="GY314" s="2250"/>
      <c r="GZ314" s="2250"/>
      <c r="HA314" s="2250"/>
      <c r="HB314" s="2250"/>
      <c r="HC314" s="2250"/>
      <c r="HD314" s="2250"/>
      <c r="HE314" s="2250"/>
      <c r="HF314" s="2250"/>
      <c r="HG314" s="2250"/>
      <c r="HH314" s="2250"/>
      <c r="HI314" s="2250"/>
      <c r="HJ314" s="2250"/>
      <c r="HK314" s="2250"/>
      <c r="HL314" s="2250"/>
      <c r="HM314" s="2250"/>
      <c r="HN314" s="2250"/>
      <c r="HO314" s="2250"/>
      <c r="HP314" s="2250"/>
      <c r="HQ314" s="2250"/>
      <c r="HR314" s="2250"/>
      <c r="HS314" s="2250"/>
      <c r="HT314" s="2250"/>
      <c r="HU314" s="2250"/>
      <c r="HV314" s="2250"/>
      <c r="HW314" s="2250"/>
      <c r="HX314" s="2250"/>
      <c r="HY314" s="2250"/>
      <c r="HZ314" s="2250"/>
      <c r="IA314" s="2250"/>
      <c r="IB314" s="2250"/>
      <c r="IC314" s="2250"/>
      <c r="ID314" s="2250"/>
      <c r="IE314" s="2250"/>
      <c r="IF314" s="2250"/>
      <c r="IG314" s="2250"/>
      <c r="IH314" s="2250"/>
      <c r="II314" s="2250"/>
      <c r="IJ314" s="2250"/>
      <c r="IK314" s="2250"/>
      <c r="IL314" s="2250"/>
    </row>
    <row r="315" spans="1:249" ht="21.95" customHeight="1">
      <c r="A315" s="2275"/>
      <c r="B315" s="2275"/>
      <c r="C315" s="2275"/>
      <c r="D315" s="2275"/>
      <c r="E315" s="2275"/>
      <c r="F315" s="2275"/>
      <c r="G315" s="2275"/>
      <c r="H315" s="2275"/>
      <c r="I315" s="2275"/>
      <c r="J315" s="2275"/>
      <c r="K315" s="2275"/>
      <c r="L315" s="2275"/>
      <c r="M315" s="2275"/>
      <c r="N315" s="2275"/>
      <c r="O315" s="2275"/>
      <c r="P315" s="2275"/>
      <c r="Q315" s="2275"/>
      <c r="R315" s="2275"/>
      <c r="S315" s="2275"/>
      <c r="T315" s="2275"/>
      <c r="U315" s="2275"/>
      <c r="V315" s="2275"/>
      <c r="W315" s="2275"/>
      <c r="X315" s="2275"/>
      <c r="Y315" s="2275"/>
      <c r="Z315" s="2275"/>
      <c r="AA315" s="2275"/>
      <c r="AB315" s="2275"/>
      <c r="AC315" s="2275"/>
      <c r="AD315" s="2275"/>
      <c r="AE315" s="2275"/>
      <c r="AF315" s="2275"/>
      <c r="AG315" s="2275"/>
      <c r="AH315" s="2275"/>
      <c r="AI315" s="2275"/>
      <c r="AJ315" s="2275"/>
      <c r="AK315" s="2275"/>
      <c r="AL315" s="2275"/>
      <c r="AM315" s="2275"/>
      <c r="AN315" s="2275"/>
      <c r="AO315" s="2275"/>
      <c r="AP315" s="2250"/>
      <c r="AQ315" s="2250"/>
      <c r="AR315" s="2250"/>
      <c r="AS315" s="2250"/>
      <c r="AT315" s="2250"/>
      <c r="AU315" s="2250"/>
      <c r="AV315" s="2250"/>
      <c r="AW315" s="2250"/>
      <c r="AX315" s="2250"/>
      <c r="AY315" s="2250"/>
      <c r="AZ315" s="2250"/>
      <c r="BA315" s="2250"/>
      <c r="BB315" s="2250"/>
      <c r="BC315" s="2250"/>
      <c r="BD315" s="2250"/>
      <c r="BE315" s="2250"/>
      <c r="BF315" s="2276"/>
      <c r="BG315" s="2276"/>
      <c r="BH315" s="2250"/>
      <c r="BI315" s="2250"/>
      <c r="BJ315" s="2250"/>
      <c r="BK315" s="2250"/>
      <c r="BL315" s="2250"/>
      <c r="BM315" s="2250"/>
      <c r="BN315" s="2250"/>
      <c r="BO315" s="2250"/>
      <c r="BP315" s="2250"/>
      <c r="BQ315" s="2250"/>
      <c r="BR315" s="2250"/>
      <c r="BS315" s="2250"/>
      <c r="BT315" s="2250"/>
      <c r="BU315" s="2250"/>
      <c r="BV315" s="2250"/>
      <c r="BW315" s="2250"/>
      <c r="BX315" s="2250"/>
      <c r="BY315" s="2250"/>
      <c r="BZ315" s="2250"/>
      <c r="CA315" s="2250"/>
      <c r="CB315" s="2250"/>
      <c r="CC315" s="2250"/>
      <c r="CD315" s="2250"/>
      <c r="CE315" s="2250"/>
      <c r="CF315" s="2250"/>
      <c r="CG315" s="2250"/>
      <c r="CH315" s="2250"/>
      <c r="CI315" s="2250"/>
      <c r="CJ315" s="2250"/>
      <c r="CK315" s="2250"/>
      <c r="CL315" s="2250"/>
      <c r="CM315" s="2250"/>
      <c r="CN315" s="2250"/>
      <c r="CO315" s="2250"/>
      <c r="CP315" s="2250"/>
      <c r="CQ315" s="2250"/>
      <c r="CR315" s="2250"/>
      <c r="CS315" s="2250"/>
      <c r="CT315" s="2250"/>
      <c r="CU315" s="2250"/>
      <c r="CV315" s="2250"/>
      <c r="CW315" s="2250"/>
      <c r="CX315" s="2250"/>
      <c r="CY315" s="2250"/>
      <c r="CZ315" s="2250"/>
      <c r="DA315" s="2250"/>
      <c r="DB315" s="2250"/>
      <c r="DC315" s="2250"/>
      <c r="DD315" s="2250"/>
      <c r="DE315" s="2250"/>
      <c r="DF315" s="2250"/>
      <c r="DG315" s="2250"/>
      <c r="DH315" s="2250"/>
      <c r="DI315" s="2250"/>
      <c r="DJ315" s="2250"/>
      <c r="DK315" s="2250"/>
      <c r="DL315" s="2250"/>
      <c r="DM315" s="2250"/>
      <c r="DN315" s="2250"/>
      <c r="DO315" s="2250"/>
      <c r="DP315" s="2250"/>
      <c r="DQ315" s="2277"/>
      <c r="DR315" s="2277"/>
      <c r="DS315" s="2278"/>
      <c r="DT315" s="2250"/>
      <c r="DU315" s="2250"/>
      <c r="DV315" s="2250"/>
      <c r="DW315" s="2250"/>
      <c r="DX315" s="2275"/>
      <c r="DY315" s="2275"/>
      <c r="DZ315" s="2275"/>
      <c r="EA315" s="2275"/>
      <c r="EB315" s="2275"/>
      <c r="EC315" s="2275"/>
      <c r="ED315" s="2275"/>
      <c r="EE315" s="2275"/>
      <c r="EF315" s="2275"/>
      <c r="EG315" s="2275"/>
      <c r="EH315" s="2275"/>
      <c r="EI315" s="2275"/>
      <c r="EJ315" s="2275"/>
      <c r="EK315" s="2275"/>
      <c r="EL315" s="2275"/>
      <c r="EM315" s="2275"/>
      <c r="EN315" s="2275"/>
      <c r="EO315" s="2275"/>
      <c r="EP315" s="2275"/>
      <c r="EQ315" s="2275"/>
      <c r="ER315" s="2275"/>
      <c r="ES315" s="2275"/>
      <c r="ET315" s="2275"/>
      <c r="EU315" s="2275"/>
      <c r="EV315" s="2275"/>
      <c r="EW315" s="2275"/>
      <c r="EX315" s="2275"/>
      <c r="EY315" s="2275"/>
      <c r="EZ315" s="2275"/>
      <c r="FA315" s="2275"/>
      <c r="FB315" s="2275"/>
      <c r="FC315" s="2275"/>
      <c r="FD315" s="2275"/>
      <c r="FE315" s="2275"/>
      <c r="FF315" s="2275"/>
      <c r="FG315" s="2275"/>
      <c r="FH315" s="2275"/>
      <c r="FI315" s="2275"/>
      <c r="FJ315" s="2275"/>
      <c r="FK315" s="2275"/>
      <c r="FL315" s="2275"/>
      <c r="FM315" s="2250"/>
      <c r="FN315" s="2250"/>
      <c r="FO315" s="2250"/>
      <c r="FP315" s="2250"/>
      <c r="FQ315" s="2250"/>
      <c r="FR315" s="2250"/>
      <c r="FS315" s="2250"/>
      <c r="FT315" s="2250"/>
      <c r="FU315" s="2250"/>
      <c r="FV315" s="2250"/>
      <c r="FW315" s="2250"/>
      <c r="FX315" s="2250"/>
      <c r="FY315" s="2250"/>
      <c r="FZ315" s="2250"/>
      <c r="GA315" s="2250"/>
      <c r="GB315" s="2250"/>
      <c r="GC315" s="2276"/>
      <c r="GD315" s="2276"/>
      <c r="GE315" s="2250"/>
      <c r="GF315" s="2250"/>
      <c r="GG315" s="2250"/>
      <c r="GH315" s="2250"/>
      <c r="GI315" s="2250"/>
      <c r="GJ315" s="2250"/>
      <c r="GK315" s="2250"/>
      <c r="GL315" s="2250"/>
      <c r="GM315" s="2250"/>
      <c r="GN315" s="2250"/>
      <c r="GO315" s="2250"/>
      <c r="GP315" s="2250"/>
      <c r="GQ315" s="2250"/>
      <c r="GR315" s="2250"/>
      <c r="GS315" s="2250"/>
      <c r="GT315" s="2250"/>
      <c r="GU315" s="2250"/>
      <c r="GV315" s="2250"/>
      <c r="GW315" s="2250"/>
      <c r="GX315" s="2250"/>
      <c r="GY315" s="2250"/>
      <c r="GZ315" s="2250"/>
      <c r="HA315" s="2250"/>
      <c r="HB315" s="2250"/>
      <c r="HC315" s="2250"/>
      <c r="HD315" s="2250"/>
      <c r="HE315" s="2250"/>
      <c r="HF315" s="2250"/>
      <c r="HG315" s="2250"/>
      <c r="HH315" s="2250"/>
      <c r="HI315" s="2250"/>
      <c r="HJ315" s="2250"/>
      <c r="HK315" s="2250"/>
      <c r="HL315" s="2250"/>
      <c r="HM315" s="2250"/>
      <c r="HN315" s="2250"/>
      <c r="HO315" s="2250"/>
      <c r="HP315" s="2250"/>
      <c r="HQ315" s="2250"/>
      <c r="HR315" s="2250"/>
      <c r="HS315" s="2250"/>
      <c r="HT315" s="2250"/>
      <c r="HU315" s="2250"/>
      <c r="HV315" s="2250"/>
      <c r="HW315" s="2250"/>
      <c r="HX315" s="2250"/>
      <c r="HY315" s="2250"/>
      <c r="HZ315" s="2250"/>
      <c r="IA315" s="2250"/>
      <c r="IB315" s="2250"/>
      <c r="IC315" s="2250"/>
      <c r="ID315" s="2250"/>
      <c r="IE315" s="2250"/>
      <c r="IF315" s="2250"/>
      <c r="IG315" s="2250"/>
      <c r="IH315" s="2250"/>
      <c r="II315" s="2250"/>
      <c r="IJ315" s="2250"/>
      <c r="IK315" s="2250"/>
      <c r="IL315" s="2250"/>
    </row>
    <row r="316" spans="1:249" ht="21.95" customHeight="1">
      <c r="A316" s="2275"/>
      <c r="B316" s="2275"/>
      <c r="C316" s="2275"/>
      <c r="D316" s="2275"/>
      <c r="E316" s="2275"/>
      <c r="F316" s="2275"/>
      <c r="G316" s="2275"/>
      <c r="H316" s="2275"/>
      <c r="I316" s="2275"/>
      <c r="J316" s="2275"/>
      <c r="K316" s="2275"/>
      <c r="L316" s="2275"/>
      <c r="M316" s="2275"/>
      <c r="N316" s="2275"/>
      <c r="O316" s="2275"/>
      <c r="P316" s="2275"/>
      <c r="Q316" s="2275"/>
      <c r="R316" s="2275"/>
      <c r="S316" s="2275"/>
      <c r="T316" s="2275"/>
      <c r="U316" s="2275"/>
      <c r="V316" s="2275"/>
      <c r="W316" s="2275"/>
      <c r="X316" s="2275"/>
      <c r="Y316" s="2275"/>
      <c r="Z316" s="2275"/>
      <c r="AA316" s="2275"/>
      <c r="AB316" s="2275"/>
      <c r="AC316" s="2275"/>
      <c r="AD316" s="2275"/>
      <c r="AE316" s="2275"/>
      <c r="AF316" s="2275"/>
      <c r="AG316" s="2275"/>
      <c r="AH316" s="2275"/>
      <c r="AI316" s="2275"/>
      <c r="AJ316" s="2275"/>
      <c r="AK316" s="2275"/>
      <c r="AL316" s="2275"/>
      <c r="AM316" s="2275"/>
      <c r="AN316" s="2275"/>
      <c r="AO316" s="2275"/>
      <c r="AP316" s="2250"/>
      <c r="AQ316" s="2250"/>
      <c r="AR316" s="2250"/>
      <c r="AS316" s="2250"/>
      <c r="AT316" s="2250"/>
      <c r="AU316" s="2250"/>
      <c r="AV316" s="2250"/>
      <c r="AW316" s="2250"/>
      <c r="AX316" s="2250"/>
      <c r="AY316" s="2250"/>
      <c r="AZ316" s="2250"/>
      <c r="BA316" s="2250"/>
      <c r="BB316" s="2250"/>
      <c r="BC316" s="2250"/>
      <c r="BD316" s="2250"/>
      <c r="BE316" s="2250"/>
      <c r="BF316" s="2276"/>
      <c r="BG316" s="2276"/>
      <c r="BH316" s="2250"/>
      <c r="BI316" s="2250"/>
      <c r="BJ316" s="2250"/>
      <c r="BK316" s="2250"/>
      <c r="BL316" s="2250"/>
      <c r="BM316" s="2250"/>
      <c r="BN316" s="2250"/>
      <c r="BO316" s="2250"/>
      <c r="BP316" s="2250"/>
      <c r="BQ316" s="2250"/>
      <c r="BR316" s="2250"/>
      <c r="BS316" s="2250"/>
      <c r="BT316" s="2250"/>
      <c r="BU316" s="2250"/>
      <c r="BV316" s="2250"/>
      <c r="BW316" s="2250"/>
      <c r="BX316" s="2250"/>
      <c r="BY316" s="2250"/>
      <c r="BZ316" s="2250"/>
      <c r="CA316" s="2250"/>
      <c r="CB316" s="2250"/>
      <c r="CC316" s="2250"/>
      <c r="CD316" s="2250"/>
      <c r="CE316" s="2250"/>
      <c r="CF316" s="2250"/>
      <c r="CG316" s="2250"/>
      <c r="CH316" s="2250"/>
      <c r="CI316" s="2250"/>
      <c r="CJ316" s="2250"/>
      <c r="CK316" s="2250"/>
      <c r="CL316" s="2250"/>
      <c r="CM316" s="2250"/>
      <c r="CN316" s="2250"/>
      <c r="CO316" s="2250"/>
      <c r="CP316" s="2250"/>
      <c r="CQ316" s="2250"/>
      <c r="CR316" s="2250"/>
      <c r="CS316" s="2250"/>
      <c r="CT316" s="2250"/>
      <c r="CU316" s="2250"/>
      <c r="CV316" s="2250"/>
      <c r="CW316" s="2250"/>
      <c r="CX316" s="2250"/>
      <c r="CY316" s="2250"/>
      <c r="CZ316" s="2250"/>
      <c r="DA316" s="2250"/>
      <c r="DB316" s="2250"/>
      <c r="DC316" s="2250"/>
      <c r="DD316" s="2250"/>
      <c r="DE316" s="2250"/>
      <c r="DF316" s="2250"/>
      <c r="DG316" s="2250"/>
      <c r="DH316" s="2250"/>
      <c r="DI316" s="2250"/>
      <c r="DJ316" s="2250"/>
      <c r="DK316" s="2250"/>
      <c r="DL316" s="2250"/>
      <c r="DM316" s="2250"/>
      <c r="DN316" s="2250"/>
      <c r="DO316" s="2250"/>
      <c r="DP316" s="2250"/>
      <c r="DQ316" s="2277"/>
      <c r="DR316" s="2277"/>
      <c r="DS316" s="2278"/>
      <c r="DT316" s="2250"/>
      <c r="DU316" s="2250"/>
      <c r="DV316" s="2250"/>
      <c r="DW316" s="2250"/>
      <c r="DX316" s="2250"/>
      <c r="DY316" s="2250"/>
      <c r="DZ316" s="2250"/>
      <c r="EA316" s="2250"/>
    </row>
    <row r="317" spans="1:249" ht="21.95" customHeight="1">
      <c r="A317" s="2275"/>
      <c r="B317" s="2275"/>
      <c r="C317" s="2275"/>
      <c r="D317" s="2275"/>
      <c r="E317" s="2275"/>
      <c r="F317" s="2275"/>
      <c r="G317" s="2275"/>
      <c r="H317" s="2275"/>
      <c r="I317" s="2275"/>
      <c r="J317" s="2275"/>
      <c r="K317" s="2275"/>
      <c r="L317" s="2275"/>
      <c r="M317" s="2275"/>
      <c r="N317" s="2275"/>
      <c r="O317" s="2275"/>
      <c r="P317" s="2275"/>
      <c r="Q317" s="2275"/>
      <c r="R317" s="2275"/>
      <c r="S317" s="2275"/>
      <c r="T317" s="2275"/>
      <c r="U317" s="2275"/>
      <c r="V317" s="2275"/>
      <c r="W317" s="2275"/>
      <c r="X317" s="2275"/>
      <c r="Y317" s="2275"/>
      <c r="Z317" s="2275"/>
      <c r="AA317" s="2275"/>
      <c r="AB317" s="2275"/>
      <c r="AC317" s="2275"/>
      <c r="AD317" s="2275"/>
      <c r="AE317" s="2275"/>
      <c r="AF317" s="2275"/>
      <c r="AG317" s="2275"/>
      <c r="AH317" s="2275"/>
      <c r="AI317" s="2275"/>
      <c r="AJ317" s="2275"/>
      <c r="AK317" s="2275"/>
      <c r="AL317" s="2275"/>
      <c r="AM317" s="2275"/>
      <c r="AN317" s="2275"/>
      <c r="AO317" s="2275"/>
      <c r="AP317" s="2250"/>
      <c r="AQ317" s="2250"/>
      <c r="AR317" s="2250"/>
      <c r="AS317" s="2250"/>
      <c r="AT317" s="2250"/>
      <c r="AU317" s="2250"/>
      <c r="AV317" s="2250"/>
      <c r="AW317" s="2250"/>
      <c r="AX317" s="2250"/>
      <c r="AY317" s="2250"/>
      <c r="AZ317" s="2250"/>
      <c r="BA317" s="2250"/>
      <c r="BB317" s="2250"/>
      <c r="BC317" s="2250"/>
      <c r="BD317" s="2250"/>
      <c r="BE317" s="2250"/>
      <c r="BF317" s="2276"/>
      <c r="BG317" s="2276"/>
      <c r="BH317" s="2250"/>
      <c r="BI317" s="2250"/>
      <c r="BJ317" s="2250"/>
      <c r="BK317" s="2250"/>
      <c r="BL317" s="2250"/>
      <c r="BM317" s="2250"/>
      <c r="BN317" s="2250"/>
      <c r="BO317" s="2250"/>
      <c r="BP317" s="2250"/>
      <c r="BQ317" s="2250"/>
      <c r="BR317" s="2250"/>
      <c r="BS317" s="2250"/>
      <c r="BT317" s="2250"/>
      <c r="BU317" s="2250"/>
      <c r="BV317" s="2250"/>
      <c r="BW317" s="2250"/>
      <c r="BX317" s="2250"/>
      <c r="BY317" s="2250"/>
      <c r="BZ317" s="2250"/>
      <c r="CA317" s="2250"/>
      <c r="CB317" s="2250"/>
      <c r="CC317" s="2250"/>
      <c r="CD317" s="2250"/>
      <c r="CE317" s="2250"/>
      <c r="CF317" s="2250"/>
      <c r="CG317" s="2250"/>
      <c r="CH317" s="2250"/>
      <c r="CI317" s="2250"/>
      <c r="CJ317" s="2250"/>
      <c r="CK317" s="2250"/>
      <c r="CL317" s="2250"/>
      <c r="CM317" s="2250"/>
      <c r="CN317" s="2250"/>
      <c r="CO317" s="2250"/>
      <c r="CP317" s="2250"/>
      <c r="CQ317" s="2250"/>
      <c r="CR317" s="2250"/>
      <c r="CS317" s="2250"/>
      <c r="CT317" s="2250"/>
      <c r="CU317" s="2250"/>
      <c r="CV317" s="2250"/>
      <c r="CW317" s="2250"/>
      <c r="CX317" s="2250"/>
      <c r="CY317" s="2250"/>
      <c r="CZ317" s="2250"/>
      <c r="DA317" s="2250"/>
      <c r="DB317" s="2250"/>
      <c r="DC317" s="2250"/>
      <c r="DD317" s="2250"/>
      <c r="DE317" s="2250"/>
      <c r="DF317" s="2250"/>
      <c r="DG317" s="2250"/>
      <c r="DH317" s="2250"/>
      <c r="DI317" s="2250"/>
      <c r="DJ317" s="2250"/>
      <c r="DK317" s="2250"/>
      <c r="DL317" s="2250"/>
      <c r="DM317" s="2250"/>
      <c r="DN317" s="2250"/>
      <c r="DO317" s="2250"/>
      <c r="DP317" s="2250"/>
      <c r="DQ317" s="2277"/>
      <c r="DR317" s="2277"/>
      <c r="DS317" s="2278"/>
      <c r="DT317" s="2250"/>
      <c r="DU317" s="2250"/>
      <c r="DV317" s="2250"/>
      <c r="DW317" s="2250"/>
      <c r="DX317" s="2250"/>
      <c r="DY317" s="2250"/>
      <c r="DZ317" s="2250"/>
      <c r="EA317" s="2250"/>
    </row>
    <row r="318" spans="1:249" s="2174" customFormat="1" ht="21.95" customHeight="1">
      <c r="A318" s="2349"/>
      <c r="B318" s="2349"/>
      <c r="C318" s="2349"/>
      <c r="D318" s="2349"/>
      <c r="E318" s="2349"/>
      <c r="F318" s="2349"/>
      <c r="G318" s="2349"/>
      <c r="H318" s="2349"/>
      <c r="I318" s="2349"/>
      <c r="J318" s="2349"/>
      <c r="K318" s="2349"/>
      <c r="L318" s="2349"/>
      <c r="M318" s="2349"/>
      <c r="N318" s="2349"/>
      <c r="O318" s="2349"/>
      <c r="P318" s="2349"/>
      <c r="Q318" s="2349"/>
      <c r="R318" s="2349"/>
      <c r="S318" s="2349"/>
      <c r="T318" s="2349"/>
      <c r="U318" s="2349"/>
      <c r="V318" s="2349"/>
      <c r="W318" s="2349"/>
      <c r="X318" s="2349"/>
      <c r="Y318" s="2349"/>
      <c r="Z318" s="2349"/>
      <c r="AA318" s="2349"/>
      <c r="AB318" s="2349"/>
      <c r="AC318" s="2349"/>
      <c r="AD318" s="2349"/>
      <c r="AE318" s="2349"/>
      <c r="AF318" s="2349"/>
      <c r="AG318" s="2349"/>
      <c r="AH318" s="2349"/>
      <c r="AI318" s="2349"/>
      <c r="AJ318" s="2349"/>
      <c r="AK318" s="2349"/>
      <c r="AL318" s="2349"/>
      <c r="AM318" s="2349"/>
      <c r="AN318" s="2349"/>
      <c r="AO318" s="2349"/>
      <c r="AP318" s="2349"/>
      <c r="AQ318" s="2349"/>
      <c r="AR318" s="2349"/>
      <c r="AS318" s="2349"/>
      <c r="AT318" s="2349"/>
      <c r="AU318" s="2349"/>
      <c r="AV318" s="2349"/>
      <c r="AW318" s="2349"/>
      <c r="AX318" s="2349"/>
      <c r="AY318" s="2349"/>
      <c r="AZ318" s="2349"/>
      <c r="BA318" s="2349"/>
      <c r="BB318" s="2349"/>
      <c r="BC318" s="2349"/>
      <c r="BD318" s="2349"/>
      <c r="BE318" s="2349"/>
      <c r="BF318" s="2349"/>
      <c r="BG318" s="2349"/>
      <c r="BH318" s="2349"/>
      <c r="BI318" s="2349"/>
      <c r="BJ318" s="2349"/>
      <c r="BK318" s="2349"/>
      <c r="BL318" s="2349"/>
      <c r="BM318" s="2349"/>
      <c r="BN318" s="2349"/>
      <c r="BO318" s="2349"/>
      <c r="BP318" s="2349"/>
      <c r="BQ318" s="2349"/>
      <c r="BR318" s="2349"/>
      <c r="BS318" s="2349"/>
      <c r="BT318" s="2349"/>
      <c r="BU318" s="2349"/>
      <c r="BV318" s="2349"/>
      <c r="BW318" s="2349"/>
      <c r="BX318" s="2349"/>
      <c r="BY318" s="2349"/>
      <c r="BZ318" s="2349"/>
      <c r="CA318" s="2349"/>
      <c r="CB318" s="2349"/>
      <c r="CC318" s="2349"/>
      <c r="CD318" s="2349"/>
      <c r="CE318" s="2349"/>
      <c r="CF318" s="2349"/>
      <c r="CG318" s="2349"/>
      <c r="CH318" s="2349"/>
      <c r="CI318" s="2349"/>
      <c r="CJ318" s="2349"/>
      <c r="CK318" s="2349"/>
      <c r="CL318" s="2349"/>
      <c r="CM318" s="2349"/>
      <c r="CN318" s="2349"/>
      <c r="CO318" s="2349"/>
      <c r="CP318" s="2349"/>
      <c r="CQ318" s="2349"/>
      <c r="CR318" s="2349"/>
      <c r="CS318" s="2349"/>
      <c r="CT318" s="2349"/>
      <c r="CU318" s="2349"/>
      <c r="CV318" s="2349"/>
      <c r="CW318" s="2349"/>
      <c r="CX318" s="2349"/>
      <c r="CY318" s="2349"/>
      <c r="CZ318" s="2349"/>
      <c r="DA318" s="2349"/>
      <c r="DB318" s="2349"/>
      <c r="DC318" s="2349"/>
      <c r="DD318" s="2349"/>
      <c r="DE318" s="2349"/>
      <c r="DF318" s="2349"/>
      <c r="DG318" s="2349"/>
      <c r="DH318" s="2349"/>
      <c r="DI318" s="2349"/>
      <c r="DJ318" s="2349"/>
      <c r="DK318" s="2349"/>
      <c r="DL318" s="2349"/>
      <c r="DM318" s="2349"/>
      <c r="DN318" s="2349"/>
      <c r="DO318" s="2349"/>
      <c r="DP318" s="2349"/>
      <c r="DQ318" s="2349"/>
      <c r="DR318" s="2349"/>
      <c r="DS318" s="2349"/>
      <c r="DT318" s="2349"/>
      <c r="DU318" s="2349"/>
      <c r="DV318" s="2349"/>
      <c r="DW318" s="2349"/>
      <c r="DX318" s="2349"/>
      <c r="DY318" s="2349"/>
      <c r="DZ318" s="2349"/>
      <c r="EA318" s="2349"/>
      <c r="IN318" s="2171"/>
      <c r="IO318" s="2171"/>
    </row>
    <row r="319" spans="1:249" s="2174" customFormat="1" ht="21.95" customHeight="1">
      <c r="A319" s="2349"/>
      <c r="B319" s="2349"/>
      <c r="C319" s="2349"/>
      <c r="D319" s="2349"/>
      <c r="E319" s="2349"/>
      <c r="F319" s="2349"/>
      <c r="G319" s="2349"/>
      <c r="H319" s="2349"/>
      <c r="I319" s="2349"/>
      <c r="J319" s="2349"/>
      <c r="K319" s="2349"/>
      <c r="L319" s="2349"/>
      <c r="M319" s="2349"/>
      <c r="N319" s="2349"/>
      <c r="O319" s="2349"/>
      <c r="P319" s="2349"/>
      <c r="Q319" s="2349"/>
      <c r="R319" s="2349"/>
      <c r="S319" s="2349"/>
      <c r="T319" s="2349"/>
      <c r="U319" s="2349"/>
      <c r="V319" s="2349"/>
      <c r="W319" s="2349"/>
      <c r="X319" s="2349"/>
      <c r="Y319" s="2349"/>
      <c r="Z319" s="2349"/>
      <c r="AA319" s="2349"/>
      <c r="AB319" s="2349"/>
      <c r="AC319" s="2349"/>
      <c r="AD319" s="2349"/>
      <c r="AE319" s="2349"/>
      <c r="AF319" s="2349"/>
      <c r="AG319" s="2349"/>
      <c r="AH319" s="2349"/>
      <c r="AI319" s="2349"/>
      <c r="AJ319" s="2349"/>
      <c r="AK319" s="2349"/>
      <c r="AL319" s="2349"/>
      <c r="AM319" s="2349"/>
      <c r="AN319" s="2349"/>
      <c r="AO319" s="2349"/>
      <c r="AP319" s="2349"/>
      <c r="AQ319" s="2349"/>
      <c r="AR319" s="2349"/>
      <c r="AS319" s="2349"/>
      <c r="AT319" s="2349"/>
      <c r="AU319" s="2349"/>
      <c r="AV319" s="2349"/>
      <c r="AW319" s="2349"/>
      <c r="AX319" s="2349"/>
      <c r="AY319" s="2349"/>
      <c r="AZ319" s="2349"/>
      <c r="BA319" s="2349"/>
      <c r="BB319" s="2349"/>
      <c r="BC319" s="2349"/>
      <c r="BD319" s="2349"/>
      <c r="BE319" s="2349"/>
      <c r="BF319" s="2349"/>
      <c r="BG319" s="2349"/>
      <c r="BH319" s="2349"/>
      <c r="BI319" s="2349"/>
      <c r="BJ319" s="2349"/>
      <c r="BK319" s="2349"/>
      <c r="BL319" s="2349"/>
      <c r="BM319" s="2349"/>
      <c r="BN319" s="2349"/>
      <c r="BO319" s="2349"/>
      <c r="BP319" s="2349"/>
      <c r="BQ319" s="2349"/>
      <c r="BR319" s="2349"/>
      <c r="BS319" s="2349"/>
      <c r="BT319" s="2349"/>
      <c r="BU319" s="2349"/>
      <c r="BV319" s="2349"/>
      <c r="BW319" s="2349"/>
      <c r="BX319" s="2349"/>
      <c r="BY319" s="2349"/>
      <c r="BZ319" s="2349"/>
      <c r="CA319" s="2349"/>
      <c r="CB319" s="2349"/>
      <c r="CC319" s="2349"/>
      <c r="CD319" s="2349"/>
      <c r="CE319" s="2349"/>
      <c r="CF319" s="2349"/>
      <c r="CG319" s="2349"/>
      <c r="CH319" s="2349"/>
      <c r="CI319" s="2349"/>
      <c r="CJ319" s="2349"/>
      <c r="CK319" s="2349"/>
      <c r="CL319" s="2349"/>
      <c r="CM319" s="2349"/>
      <c r="CN319" s="2349"/>
      <c r="CO319" s="2349"/>
      <c r="CP319" s="2349"/>
      <c r="CQ319" s="2349"/>
      <c r="CR319" s="2349"/>
      <c r="CS319" s="2349"/>
      <c r="CT319" s="2349"/>
      <c r="CU319" s="2349"/>
      <c r="CV319" s="2349"/>
      <c r="CW319" s="2349"/>
      <c r="CX319" s="2349"/>
      <c r="CY319" s="2349"/>
      <c r="CZ319" s="2349"/>
      <c r="DA319" s="2349"/>
      <c r="DB319" s="2349"/>
      <c r="DC319" s="2349"/>
      <c r="DD319" s="2349"/>
      <c r="DE319" s="2349"/>
      <c r="DF319" s="2349"/>
      <c r="DG319" s="2349"/>
      <c r="DH319" s="2349"/>
      <c r="DI319" s="2349"/>
      <c r="DJ319" s="2349"/>
      <c r="DK319" s="2349"/>
      <c r="DL319" s="2349"/>
      <c r="DM319" s="2349"/>
      <c r="DN319" s="2349"/>
      <c r="DO319" s="2349"/>
      <c r="DP319" s="2349"/>
      <c r="DQ319" s="2349"/>
      <c r="DR319" s="2349"/>
      <c r="DS319" s="2349"/>
      <c r="DT319" s="2349"/>
      <c r="DU319" s="2349"/>
      <c r="DV319" s="2349"/>
      <c r="DW319" s="2349"/>
      <c r="DX319" s="2349"/>
      <c r="DY319" s="2349"/>
      <c r="DZ319" s="2349"/>
      <c r="EA319" s="2349"/>
      <c r="IN319" s="2171"/>
      <c r="IO319" s="2171"/>
    </row>
    <row r="320" spans="1:249" ht="21.95" customHeight="1">
      <c r="A320" s="2275"/>
      <c r="B320" s="2250"/>
      <c r="C320" s="2250"/>
      <c r="D320" s="2250"/>
      <c r="E320" s="2250"/>
      <c r="F320" s="2250"/>
      <c r="G320" s="2250"/>
      <c r="H320" s="2250"/>
      <c r="I320" s="2250"/>
      <c r="J320" s="2250"/>
      <c r="K320" s="2250"/>
      <c r="L320" s="2250"/>
      <c r="M320" s="2250"/>
      <c r="N320" s="2250"/>
      <c r="O320" s="2250"/>
      <c r="P320" s="2250"/>
      <c r="Q320" s="2250"/>
      <c r="R320" s="2250"/>
      <c r="S320" s="2250"/>
      <c r="T320" s="2250"/>
      <c r="U320" s="2250"/>
      <c r="V320" s="2250"/>
      <c r="W320" s="2250"/>
      <c r="X320" s="2250"/>
      <c r="Y320" s="2250"/>
      <c r="Z320" s="2250"/>
      <c r="AA320" s="2250"/>
      <c r="AB320" s="2250"/>
      <c r="AC320" s="2250"/>
      <c r="AD320" s="2250"/>
      <c r="AE320" s="2250"/>
      <c r="AF320" s="2250"/>
      <c r="AG320" s="2250"/>
      <c r="AH320" s="2250"/>
      <c r="AI320" s="2250"/>
      <c r="AJ320" s="2250"/>
      <c r="AK320" s="2250"/>
      <c r="AL320" s="2250"/>
      <c r="AM320" s="2250"/>
      <c r="AN320" s="2250"/>
      <c r="AO320" s="2250"/>
      <c r="AP320" s="2250"/>
      <c r="AQ320" s="2250"/>
      <c r="AR320" s="2250"/>
      <c r="AS320" s="2250"/>
      <c r="AT320" s="2250"/>
      <c r="AU320" s="2250"/>
      <c r="AV320" s="2250"/>
      <c r="AW320" s="2250"/>
      <c r="AX320" s="2250"/>
      <c r="AY320" s="2250"/>
      <c r="AZ320" s="2250"/>
      <c r="BA320" s="2250"/>
      <c r="BB320" s="2250"/>
      <c r="BC320" s="2250"/>
      <c r="BD320" s="2250"/>
      <c r="BE320" s="2250"/>
      <c r="BF320" s="2276"/>
      <c r="BG320" s="2276"/>
      <c r="BH320" s="2250"/>
      <c r="BI320" s="2250"/>
      <c r="BJ320" s="2250"/>
      <c r="BK320" s="2250"/>
      <c r="BL320" s="2250"/>
      <c r="BM320" s="2250"/>
      <c r="BN320" s="2250"/>
      <c r="BO320" s="2250"/>
      <c r="BP320" s="2250"/>
      <c r="BQ320" s="2250"/>
      <c r="BR320" s="2250"/>
      <c r="BS320" s="2250"/>
      <c r="BT320" s="2250"/>
      <c r="BU320" s="2250"/>
      <c r="BV320" s="2250"/>
      <c r="BW320" s="2250"/>
      <c r="BX320" s="2250"/>
      <c r="BY320" s="2250"/>
      <c r="BZ320" s="2250"/>
      <c r="CA320" s="2250"/>
      <c r="CB320" s="2250"/>
      <c r="CC320" s="2250"/>
      <c r="CD320" s="2250"/>
      <c r="CE320" s="2250"/>
      <c r="CF320" s="2250"/>
      <c r="CG320" s="2250"/>
      <c r="CH320" s="2250"/>
      <c r="CI320" s="2250"/>
      <c r="CJ320" s="2250"/>
      <c r="CK320" s="2250"/>
      <c r="CL320" s="2250"/>
      <c r="CM320" s="2250"/>
      <c r="CN320" s="2250"/>
      <c r="CO320" s="2250"/>
      <c r="CP320" s="2250"/>
      <c r="CQ320" s="2250"/>
      <c r="CR320" s="2250"/>
      <c r="CS320" s="2250"/>
      <c r="CT320" s="2250"/>
      <c r="CU320" s="2250"/>
      <c r="CV320" s="2250"/>
      <c r="CW320" s="2250"/>
      <c r="CX320" s="2250"/>
      <c r="CY320" s="2250"/>
      <c r="CZ320" s="2250"/>
      <c r="DA320" s="2250"/>
      <c r="DB320" s="2250"/>
      <c r="DC320" s="2250"/>
      <c r="DD320" s="2250"/>
      <c r="DE320" s="2250"/>
      <c r="DF320" s="2250"/>
      <c r="DG320" s="2250"/>
      <c r="DH320" s="2250"/>
      <c r="DI320" s="2250"/>
      <c r="DJ320" s="2250"/>
      <c r="DK320" s="2250"/>
      <c r="DL320" s="2250"/>
      <c r="DM320" s="2250"/>
      <c r="DN320" s="2250"/>
      <c r="DO320" s="2250"/>
      <c r="DP320" s="2250"/>
      <c r="DQ320" s="2277"/>
      <c r="DR320" s="2277"/>
      <c r="DS320" s="2278"/>
      <c r="DT320" s="2250"/>
      <c r="DU320" s="2250"/>
      <c r="DV320" s="2250"/>
      <c r="DW320" s="2250"/>
      <c r="DX320" s="2250"/>
      <c r="DY320" s="2250"/>
      <c r="DZ320" s="2250"/>
      <c r="EA320" s="2250"/>
    </row>
    <row r="321" spans="1:247" ht="21.95" customHeight="1">
      <c r="A321" s="2275"/>
      <c r="B321" s="2250"/>
      <c r="C321" s="2250"/>
      <c r="D321" s="2250"/>
      <c r="E321" s="2250"/>
      <c r="F321" s="2250"/>
      <c r="G321" s="2250"/>
      <c r="H321" s="2250"/>
      <c r="I321" s="2250"/>
      <c r="J321" s="2250"/>
      <c r="K321" s="2250"/>
      <c r="L321" s="2250"/>
      <c r="M321" s="2250"/>
      <c r="N321" s="2250"/>
      <c r="O321" s="2250"/>
      <c r="P321" s="2250"/>
      <c r="Q321" s="2250"/>
      <c r="R321" s="2250"/>
      <c r="S321" s="2250"/>
      <c r="T321" s="2250"/>
      <c r="U321" s="2250"/>
      <c r="V321" s="2250"/>
      <c r="W321" s="2250"/>
      <c r="X321" s="2250"/>
      <c r="Y321" s="2250"/>
      <c r="Z321" s="2250"/>
      <c r="AA321" s="2250"/>
      <c r="AB321" s="2250"/>
      <c r="AC321" s="2250"/>
      <c r="AD321" s="2250"/>
      <c r="AE321" s="2250"/>
      <c r="AF321" s="2250"/>
      <c r="AG321" s="2250"/>
      <c r="AH321" s="2250"/>
      <c r="AI321" s="2250"/>
      <c r="AJ321" s="2250"/>
      <c r="AK321" s="2250"/>
      <c r="AL321" s="2250"/>
      <c r="AM321" s="2250"/>
      <c r="AN321" s="2250"/>
      <c r="AO321" s="2250"/>
      <c r="AP321" s="2250"/>
      <c r="AQ321" s="2250"/>
      <c r="AR321" s="2250"/>
      <c r="AS321" s="2250"/>
      <c r="AT321" s="2250"/>
      <c r="AU321" s="2250"/>
      <c r="AV321" s="2250"/>
      <c r="AW321" s="2250"/>
      <c r="AX321" s="2250"/>
      <c r="AY321" s="2250"/>
      <c r="AZ321" s="2250"/>
      <c r="BA321" s="2250"/>
      <c r="BB321" s="2250"/>
      <c r="BC321" s="2250"/>
      <c r="BD321" s="2250"/>
      <c r="BE321" s="2250"/>
      <c r="BF321" s="2276"/>
      <c r="BG321" s="2276"/>
      <c r="BH321" s="2250"/>
      <c r="BI321" s="2250"/>
      <c r="BJ321" s="2250"/>
      <c r="BK321" s="2250"/>
      <c r="BL321" s="2250"/>
      <c r="BM321" s="2250"/>
      <c r="BN321" s="2250"/>
      <c r="BO321" s="2250"/>
      <c r="BP321" s="2250"/>
      <c r="BQ321" s="2250"/>
      <c r="BR321" s="2250"/>
      <c r="BS321" s="2250"/>
      <c r="BT321" s="2250"/>
      <c r="BU321" s="2250"/>
      <c r="BV321" s="2250"/>
      <c r="BW321" s="2250"/>
      <c r="BX321" s="2250"/>
      <c r="BY321" s="2250"/>
      <c r="BZ321" s="2250"/>
      <c r="CA321" s="2250"/>
      <c r="CB321" s="2250"/>
      <c r="CC321" s="2250"/>
      <c r="CD321" s="2250"/>
      <c r="CE321" s="2250"/>
      <c r="CF321" s="2250"/>
      <c r="CG321" s="2250"/>
      <c r="CH321" s="2250"/>
      <c r="CI321" s="2250"/>
      <c r="CJ321" s="2250"/>
      <c r="CK321" s="2250"/>
      <c r="CL321" s="2250"/>
      <c r="CM321" s="2250"/>
      <c r="CN321" s="2250"/>
      <c r="CO321" s="2250"/>
      <c r="CP321" s="2250"/>
      <c r="CQ321" s="2250"/>
      <c r="CR321" s="2250"/>
      <c r="CS321" s="2250"/>
      <c r="CT321" s="2250"/>
      <c r="CU321" s="2250"/>
      <c r="CV321" s="2250"/>
      <c r="CW321" s="2250"/>
      <c r="CX321" s="2250"/>
      <c r="CY321" s="2250"/>
      <c r="CZ321" s="2250"/>
      <c r="DA321" s="2250"/>
      <c r="DB321" s="2250"/>
      <c r="DC321" s="2250"/>
      <c r="DD321" s="2250"/>
      <c r="DE321" s="2250"/>
      <c r="DF321" s="2250"/>
      <c r="DG321" s="2250"/>
      <c r="DH321" s="2250"/>
      <c r="DI321" s="2250"/>
      <c r="DJ321" s="2250"/>
      <c r="DK321" s="2250"/>
      <c r="DL321" s="2250"/>
      <c r="DM321" s="2250"/>
      <c r="DN321" s="2250"/>
      <c r="DO321" s="2250"/>
      <c r="DP321" s="2250"/>
      <c r="DQ321" s="2277"/>
      <c r="DR321" s="2277"/>
      <c r="DS321" s="2278"/>
      <c r="DT321" s="2250"/>
      <c r="DU321" s="2250"/>
      <c r="DV321" s="2250"/>
      <c r="DW321" s="2250"/>
      <c r="DX321" s="2250"/>
      <c r="DY321" s="2250"/>
      <c r="DZ321" s="2250"/>
      <c r="EA321" s="2250"/>
    </row>
    <row r="322" spans="1:247" ht="21.95" customHeight="1">
      <c r="A322" s="2275"/>
      <c r="B322" s="2250"/>
      <c r="C322" s="2250"/>
      <c r="D322" s="2250"/>
      <c r="E322" s="2250"/>
      <c r="F322" s="2250"/>
      <c r="G322" s="2250"/>
      <c r="H322" s="2250"/>
      <c r="I322" s="2250"/>
      <c r="J322" s="2250"/>
      <c r="K322" s="2250"/>
      <c r="L322" s="2250"/>
      <c r="M322" s="2250"/>
      <c r="N322" s="2250"/>
      <c r="O322" s="2250"/>
      <c r="P322" s="2250"/>
      <c r="Q322" s="2250"/>
      <c r="R322" s="2250"/>
      <c r="S322" s="2250"/>
      <c r="T322" s="2250"/>
      <c r="U322" s="2250"/>
      <c r="V322" s="2250"/>
      <c r="W322" s="2250"/>
      <c r="X322" s="2250"/>
      <c r="Y322" s="2250"/>
      <c r="Z322" s="2250"/>
      <c r="AA322" s="2250"/>
      <c r="AB322" s="2250"/>
      <c r="AC322" s="2250"/>
      <c r="AD322" s="2250"/>
      <c r="AE322" s="2250"/>
      <c r="AF322" s="2250"/>
      <c r="AG322" s="2250"/>
      <c r="AH322" s="2250"/>
      <c r="AI322" s="2250"/>
      <c r="AJ322" s="2250"/>
      <c r="AK322" s="2250"/>
      <c r="AL322" s="2250"/>
      <c r="AM322" s="2250"/>
      <c r="AN322" s="2250"/>
      <c r="AO322" s="2250"/>
      <c r="AP322" s="2250"/>
      <c r="AQ322" s="2250"/>
      <c r="AR322" s="2250"/>
      <c r="AS322" s="2250"/>
      <c r="AT322" s="2250"/>
      <c r="AU322" s="2250"/>
      <c r="AV322" s="2250"/>
      <c r="AW322" s="2250"/>
      <c r="AX322" s="2250"/>
      <c r="AY322" s="2250"/>
      <c r="AZ322" s="2250"/>
      <c r="BA322" s="2250"/>
      <c r="BB322" s="2250"/>
      <c r="BC322" s="2250"/>
      <c r="BD322" s="2250"/>
      <c r="BE322" s="2250"/>
      <c r="BF322" s="2276"/>
      <c r="BG322" s="2276"/>
      <c r="BH322" s="2250"/>
      <c r="BI322" s="2250"/>
      <c r="BJ322" s="2250"/>
      <c r="BK322" s="2250"/>
      <c r="BL322" s="2250"/>
      <c r="BM322" s="2250"/>
      <c r="BN322" s="2250"/>
      <c r="BO322" s="2250"/>
      <c r="BP322" s="2250"/>
      <c r="BQ322" s="2250"/>
      <c r="BR322" s="2250"/>
      <c r="BS322" s="2250"/>
      <c r="BT322" s="2250"/>
      <c r="BU322" s="2250"/>
      <c r="BV322" s="2250"/>
      <c r="BW322" s="2250"/>
      <c r="BX322" s="2250"/>
      <c r="BY322" s="2250"/>
      <c r="BZ322" s="2250"/>
      <c r="CA322" s="2250"/>
      <c r="CB322" s="2250"/>
      <c r="CC322" s="2250"/>
      <c r="CD322" s="2250"/>
      <c r="CE322" s="2250"/>
      <c r="CF322" s="2250"/>
      <c r="CG322" s="2250"/>
      <c r="CH322" s="2250"/>
      <c r="CI322" s="2250"/>
      <c r="CJ322" s="2250"/>
      <c r="CK322" s="2250"/>
      <c r="CL322" s="2250"/>
      <c r="CM322" s="2250"/>
      <c r="CN322" s="2250"/>
      <c r="CO322" s="2250"/>
      <c r="CP322" s="2250"/>
      <c r="CQ322" s="2250"/>
      <c r="CR322" s="2250"/>
      <c r="CS322" s="2250"/>
      <c r="CT322" s="2250"/>
      <c r="CU322" s="2250"/>
      <c r="CV322" s="2250"/>
      <c r="CW322" s="2250"/>
      <c r="CX322" s="2250"/>
      <c r="CY322" s="2250"/>
      <c r="CZ322" s="2250"/>
      <c r="DA322" s="2250"/>
      <c r="DB322" s="2250"/>
      <c r="DC322" s="2250"/>
      <c r="DD322" s="2250"/>
      <c r="DE322" s="2250"/>
      <c r="DF322" s="2250"/>
      <c r="DG322" s="2250"/>
      <c r="DH322" s="2250"/>
      <c r="DI322" s="2250"/>
      <c r="DJ322" s="2250"/>
      <c r="DK322" s="2250"/>
      <c r="DL322" s="2250"/>
      <c r="DM322" s="2250"/>
      <c r="DN322" s="2250"/>
      <c r="DO322" s="2250"/>
      <c r="DP322" s="2250"/>
      <c r="DQ322" s="2277"/>
      <c r="DR322" s="2277"/>
      <c r="DS322" s="2278"/>
      <c r="DT322" s="2250"/>
      <c r="DU322" s="2250"/>
      <c r="DV322" s="2250"/>
      <c r="DW322" s="2250"/>
      <c r="DX322" s="2250"/>
      <c r="DY322" s="2250"/>
      <c r="DZ322" s="2250"/>
      <c r="EA322" s="2250"/>
    </row>
    <row r="323" spans="1:247" ht="21.95" customHeight="1">
      <c r="A323" s="2275"/>
      <c r="S323" s="286"/>
      <c r="T323" s="286"/>
      <c r="AO323" s="286"/>
      <c r="BF323" s="2176"/>
      <c r="BG323" s="2176"/>
      <c r="BI323" s="286"/>
      <c r="BJ323" s="286"/>
      <c r="DO323" s="53"/>
      <c r="DP323" s="53"/>
      <c r="DQ323" s="2277"/>
      <c r="DR323" s="2277"/>
      <c r="DS323" s="2278"/>
      <c r="DT323" s="2250"/>
      <c r="DU323" s="2250"/>
      <c r="DV323" s="2250"/>
      <c r="DW323" s="2250"/>
      <c r="DX323" s="2250"/>
      <c r="EP323" s="286"/>
      <c r="EQ323" s="286"/>
      <c r="FL323" s="286"/>
      <c r="GC323" s="2176"/>
      <c r="GD323" s="2176"/>
      <c r="GF323" s="286"/>
      <c r="GG323" s="286"/>
      <c r="IL323" s="53"/>
      <c r="IM323" s="53"/>
    </row>
    <row r="324" spans="1:247" ht="21.95" customHeight="1">
      <c r="A324" s="2275"/>
      <c r="S324" s="286"/>
      <c r="T324" s="286"/>
      <c r="AO324" s="286"/>
      <c r="BF324" s="2176"/>
      <c r="BG324" s="2176"/>
      <c r="BI324" s="286"/>
      <c r="BJ324" s="286"/>
      <c r="DO324" s="53"/>
      <c r="DP324" s="53"/>
      <c r="DQ324" s="2277"/>
      <c r="DR324" s="2277"/>
      <c r="DS324" s="2278"/>
      <c r="DT324" s="2250"/>
      <c r="DU324" s="2250"/>
      <c r="DV324" s="2250"/>
      <c r="DW324" s="2250"/>
      <c r="DX324" s="2250"/>
      <c r="EP324" s="286"/>
      <c r="EQ324" s="286"/>
      <c r="FL324" s="286"/>
      <c r="GC324" s="2176"/>
      <c r="GD324" s="2176"/>
      <c r="GF324" s="286"/>
      <c r="GG324" s="286"/>
      <c r="IL324" s="53"/>
      <c r="IM324" s="53"/>
    </row>
    <row r="325" spans="1:247" ht="21.95" customHeight="1">
      <c r="A325" s="2275"/>
      <c r="B325" s="2250"/>
      <c r="C325" s="2250"/>
      <c r="D325" s="2250"/>
      <c r="E325" s="2250"/>
      <c r="F325" s="2250"/>
      <c r="G325" s="2250"/>
      <c r="H325" s="2250"/>
      <c r="I325" s="2250"/>
      <c r="J325" s="2250"/>
      <c r="K325" s="2250"/>
      <c r="L325" s="2250"/>
      <c r="M325" s="2250"/>
      <c r="N325" s="2250"/>
      <c r="O325" s="2250"/>
      <c r="P325" s="2250"/>
      <c r="Q325" s="2250"/>
      <c r="R325" s="2250"/>
      <c r="S325" s="2250"/>
      <c r="T325" s="2250"/>
      <c r="U325" s="2250"/>
      <c r="V325" s="2250"/>
      <c r="W325" s="2250"/>
      <c r="X325" s="2250"/>
      <c r="Y325" s="2250"/>
      <c r="Z325" s="2250"/>
      <c r="AA325" s="2250"/>
      <c r="AB325" s="2250"/>
      <c r="AC325" s="2250"/>
      <c r="AD325" s="2250"/>
      <c r="AE325" s="2250"/>
      <c r="AF325" s="2250"/>
      <c r="AG325" s="2250"/>
      <c r="AH325" s="2250"/>
      <c r="AI325" s="2250"/>
      <c r="AJ325" s="2250"/>
      <c r="AK325" s="2250"/>
      <c r="AL325" s="2250"/>
      <c r="AM325" s="2250"/>
      <c r="AN325" s="2250"/>
      <c r="AO325" s="2250"/>
      <c r="AP325" s="2250"/>
      <c r="AQ325" s="2250"/>
      <c r="AR325" s="2250"/>
      <c r="AS325" s="2250"/>
      <c r="AT325" s="2250"/>
      <c r="AU325" s="2250"/>
      <c r="AV325" s="2250"/>
      <c r="AW325" s="2250"/>
      <c r="AX325" s="2250"/>
      <c r="AY325" s="2250"/>
      <c r="AZ325" s="2250"/>
      <c r="BA325" s="2250"/>
      <c r="BB325" s="2250"/>
      <c r="BC325" s="2250"/>
      <c r="BD325" s="2250"/>
      <c r="BE325" s="2250"/>
      <c r="BF325" s="2276"/>
      <c r="BG325" s="2276"/>
      <c r="BH325" s="2250"/>
      <c r="BI325" s="2250"/>
      <c r="BJ325" s="2250"/>
      <c r="BK325" s="2250"/>
      <c r="BL325" s="2250"/>
      <c r="BM325" s="2250"/>
      <c r="BN325" s="2250"/>
      <c r="BO325" s="2250"/>
      <c r="BP325" s="2250"/>
      <c r="BQ325" s="2250"/>
      <c r="BR325" s="2250"/>
      <c r="BS325" s="2250"/>
      <c r="BT325" s="2250"/>
      <c r="BU325" s="2250"/>
      <c r="BV325" s="2250"/>
      <c r="BW325" s="2250"/>
      <c r="BX325" s="2250"/>
      <c r="BY325" s="2250"/>
      <c r="BZ325" s="2250"/>
      <c r="CA325" s="2250"/>
      <c r="CB325" s="2250"/>
      <c r="CC325" s="2250"/>
      <c r="CD325" s="2250"/>
      <c r="CE325" s="2250"/>
      <c r="CF325" s="2250"/>
      <c r="CG325" s="2250"/>
      <c r="CH325" s="2250"/>
      <c r="CI325" s="2250"/>
      <c r="CJ325" s="2250"/>
      <c r="CK325" s="2250"/>
      <c r="CL325" s="2250"/>
      <c r="CM325" s="2250"/>
      <c r="CN325" s="2250"/>
      <c r="CO325" s="2250"/>
      <c r="CP325" s="2250"/>
      <c r="CQ325" s="2250"/>
      <c r="CR325" s="2250"/>
      <c r="CS325" s="2250"/>
      <c r="CT325" s="2250"/>
      <c r="CU325" s="2250"/>
      <c r="CV325" s="2250"/>
      <c r="CW325" s="2250"/>
      <c r="CX325" s="2250"/>
      <c r="CY325" s="2250"/>
      <c r="CZ325" s="2250"/>
      <c r="DA325" s="2250"/>
      <c r="DB325" s="2250"/>
      <c r="DC325" s="2250"/>
      <c r="DD325" s="2250"/>
      <c r="DE325" s="2250"/>
      <c r="DF325" s="2250"/>
      <c r="DG325" s="2250"/>
      <c r="DH325" s="2250"/>
      <c r="DI325" s="2250"/>
      <c r="DJ325" s="2250"/>
      <c r="DK325" s="2250"/>
      <c r="DL325" s="2250"/>
      <c r="DM325" s="2250"/>
      <c r="DN325" s="2250"/>
      <c r="DO325" s="53"/>
      <c r="DP325" s="53"/>
      <c r="DQ325" s="2277"/>
      <c r="DR325" s="2277"/>
      <c r="DS325" s="2278"/>
      <c r="DT325" s="2250"/>
      <c r="DU325" s="2250"/>
      <c r="DV325" s="2250"/>
      <c r="DW325" s="2250"/>
      <c r="DX325" s="2250"/>
      <c r="DY325" s="2250"/>
      <c r="DZ325" s="2250"/>
      <c r="EA325" s="2250"/>
      <c r="EB325" s="2250"/>
      <c r="EC325" s="2250"/>
      <c r="ED325" s="2250"/>
      <c r="EE325" s="2250"/>
      <c r="EF325" s="2250"/>
      <c r="EG325" s="2250"/>
      <c r="EH325" s="2250"/>
      <c r="EI325" s="2250"/>
      <c r="EJ325" s="2250"/>
      <c r="EK325" s="2250"/>
      <c r="EL325" s="2250"/>
      <c r="EM325" s="2250"/>
      <c r="EN325" s="2250"/>
      <c r="EO325" s="2250"/>
      <c r="EP325" s="2250"/>
      <c r="EQ325" s="2250"/>
      <c r="ER325" s="2250"/>
      <c r="ES325" s="2250"/>
      <c r="ET325" s="2250"/>
      <c r="EU325" s="2250"/>
      <c r="EV325" s="2250"/>
      <c r="EW325" s="2250"/>
      <c r="EX325" s="2250"/>
      <c r="EY325" s="2250"/>
      <c r="EZ325" s="2250"/>
      <c r="FA325" s="2250"/>
      <c r="FB325" s="2250"/>
      <c r="FC325" s="2250"/>
      <c r="FD325" s="2250"/>
      <c r="FE325" s="2250"/>
      <c r="FF325" s="2250"/>
      <c r="FG325" s="2250"/>
      <c r="FH325" s="2250"/>
      <c r="FI325" s="2250"/>
      <c r="FJ325" s="2250"/>
      <c r="FK325" s="2250"/>
      <c r="FL325" s="2250"/>
      <c r="FM325" s="2250"/>
      <c r="FN325" s="2250"/>
      <c r="FO325" s="2250"/>
      <c r="FP325" s="2250"/>
      <c r="FQ325" s="2250"/>
      <c r="FR325" s="2250"/>
      <c r="FS325" s="2250"/>
      <c r="FT325" s="2250"/>
      <c r="FU325" s="2250"/>
      <c r="FV325" s="2250"/>
      <c r="FW325" s="2250"/>
      <c r="FX325" s="2250"/>
      <c r="FY325" s="2250"/>
      <c r="FZ325" s="2250"/>
      <c r="GA325" s="2250"/>
      <c r="GB325" s="2250"/>
      <c r="GC325" s="2276"/>
      <c r="GD325" s="2276"/>
      <c r="GE325" s="2250"/>
      <c r="GF325" s="2250"/>
      <c r="GG325" s="2250"/>
      <c r="GH325" s="2250"/>
      <c r="GI325" s="2250"/>
      <c r="GJ325" s="2250"/>
      <c r="GK325" s="2250"/>
      <c r="GL325" s="2250"/>
      <c r="GM325" s="2250"/>
      <c r="GN325" s="2250"/>
      <c r="GO325" s="2250"/>
      <c r="GP325" s="2250"/>
      <c r="GQ325" s="2250"/>
      <c r="GR325" s="2250"/>
      <c r="GS325" s="2250"/>
      <c r="GT325" s="2250"/>
      <c r="GU325" s="2250"/>
      <c r="GV325" s="2250"/>
      <c r="GW325" s="2250"/>
      <c r="GX325" s="2250"/>
      <c r="GY325" s="2250"/>
      <c r="GZ325" s="2250"/>
      <c r="HA325" s="2250"/>
      <c r="HB325" s="2250"/>
      <c r="HC325" s="2250"/>
      <c r="HD325" s="2250"/>
      <c r="HE325" s="2250"/>
      <c r="HF325" s="2250"/>
      <c r="HG325" s="2250"/>
      <c r="HH325" s="2250"/>
      <c r="HI325" s="2250"/>
      <c r="HJ325" s="2250"/>
      <c r="HK325" s="2250"/>
      <c r="HL325" s="2250"/>
      <c r="HM325" s="2250"/>
      <c r="HN325" s="2250"/>
      <c r="HO325" s="2250"/>
      <c r="HP325" s="2250"/>
      <c r="HQ325" s="2250"/>
      <c r="HR325" s="2250"/>
      <c r="HS325" s="2250"/>
      <c r="HT325" s="2250"/>
      <c r="HU325" s="2250"/>
      <c r="HV325" s="2250"/>
      <c r="HW325" s="2250"/>
      <c r="HX325" s="2250"/>
      <c r="HY325" s="2250"/>
      <c r="HZ325" s="2250"/>
      <c r="IA325" s="2250"/>
      <c r="IB325" s="2250"/>
      <c r="IC325" s="2250"/>
      <c r="ID325" s="2250"/>
      <c r="IE325" s="2250"/>
      <c r="IF325" s="2250"/>
      <c r="IG325" s="2250"/>
      <c r="IH325" s="2250"/>
      <c r="II325" s="2250"/>
      <c r="IJ325" s="2250"/>
      <c r="IK325" s="2250"/>
      <c r="IL325" s="53"/>
      <c r="IM325" s="53"/>
    </row>
    <row r="326" spans="1:247" ht="21.95" customHeight="1" thickBot="1">
      <c r="A326" s="2275"/>
      <c r="B326" s="2250"/>
      <c r="C326" s="2250"/>
      <c r="D326" s="2250"/>
      <c r="E326" s="2250"/>
      <c r="F326" s="2250"/>
      <c r="G326" s="2250"/>
      <c r="H326" s="2250"/>
      <c r="I326" s="2250"/>
      <c r="J326" s="2250"/>
      <c r="K326" s="2250"/>
      <c r="L326" s="2250"/>
      <c r="M326" s="2250"/>
      <c r="N326" s="2250"/>
      <c r="O326" s="2250"/>
      <c r="P326" s="2250"/>
      <c r="Q326" s="2250"/>
      <c r="R326" s="2250"/>
      <c r="S326" s="2250"/>
      <c r="T326" s="2250"/>
      <c r="U326" s="2250"/>
      <c r="V326" s="2250"/>
      <c r="W326" s="2250"/>
      <c r="X326" s="2250"/>
      <c r="Y326" s="2250"/>
      <c r="Z326" s="2250"/>
      <c r="AA326" s="2250"/>
      <c r="AB326" s="2250"/>
      <c r="AC326" s="2250"/>
      <c r="AD326" s="2250"/>
      <c r="AE326" s="2250"/>
      <c r="AF326" s="2250"/>
      <c r="AG326" s="2250"/>
      <c r="AH326" s="2250"/>
      <c r="AI326" s="2250"/>
      <c r="AJ326" s="2250"/>
      <c r="AK326" s="2250"/>
      <c r="AL326" s="2250"/>
      <c r="AM326" s="2250"/>
      <c r="AN326" s="2250"/>
      <c r="AO326" s="2250"/>
      <c r="AP326" s="2250"/>
      <c r="AQ326" s="2250"/>
      <c r="AR326" s="2250"/>
      <c r="AS326" s="2250"/>
      <c r="AT326" s="2250"/>
      <c r="AU326" s="2250"/>
      <c r="AV326" s="2250"/>
      <c r="AW326" s="2250"/>
      <c r="AX326" s="2250"/>
      <c r="AY326" s="2250"/>
      <c r="AZ326" s="2250"/>
      <c r="BA326" s="2250"/>
      <c r="BB326" s="2250"/>
      <c r="BC326" s="2250"/>
      <c r="BD326" s="2250"/>
      <c r="BE326" s="2250"/>
      <c r="BF326" s="2276"/>
      <c r="BG326" s="2276"/>
      <c r="BH326" s="2250"/>
      <c r="BI326" s="2275"/>
      <c r="BJ326" s="2250"/>
      <c r="BK326" s="2250"/>
      <c r="BL326" s="2250"/>
      <c r="BM326" s="2250"/>
      <c r="BN326" s="2250"/>
      <c r="BO326" s="2250"/>
      <c r="BP326" s="2250"/>
      <c r="BQ326" s="2250"/>
      <c r="BR326" s="2250"/>
      <c r="BS326" s="2250"/>
      <c r="BT326" s="2250"/>
      <c r="BU326" s="2250"/>
      <c r="BV326" s="2250"/>
      <c r="BW326" s="2250"/>
      <c r="BX326" s="2250"/>
      <c r="BY326" s="2250"/>
      <c r="BZ326" s="2250"/>
      <c r="CA326" s="2250"/>
      <c r="CB326" s="2250"/>
      <c r="CC326" s="2250"/>
      <c r="CD326" s="2250"/>
      <c r="CE326" s="2250"/>
      <c r="CF326" s="2250"/>
      <c r="CG326" s="2250"/>
      <c r="CH326" s="2250"/>
      <c r="CI326" s="2250"/>
      <c r="CJ326" s="2250"/>
      <c r="CK326" s="2250"/>
      <c r="CL326" s="2250"/>
      <c r="CM326" s="2250"/>
      <c r="CN326" s="2250"/>
      <c r="CO326" s="2250"/>
      <c r="CP326" s="2250"/>
      <c r="CQ326" s="2250"/>
      <c r="CR326" s="2250"/>
      <c r="CS326" s="2250"/>
      <c r="CT326" s="2250"/>
      <c r="CU326" s="2250"/>
      <c r="CV326" s="2250"/>
      <c r="CW326" s="2250"/>
      <c r="CX326" s="2250"/>
      <c r="CY326" s="2250"/>
      <c r="CZ326" s="2250"/>
      <c r="DA326" s="2250"/>
      <c r="DB326" s="2250"/>
      <c r="DC326" s="2250"/>
      <c r="DD326" s="2250"/>
      <c r="DE326" s="2250"/>
      <c r="DF326" s="2250"/>
      <c r="DG326" s="2250"/>
      <c r="DH326" s="2250"/>
      <c r="DI326" s="2250"/>
      <c r="DJ326" s="2250"/>
      <c r="DK326" s="2250"/>
      <c r="DL326" s="2250"/>
      <c r="DM326" s="2250"/>
      <c r="DN326" s="2250"/>
      <c r="DO326" s="53"/>
      <c r="DP326" s="53"/>
      <c r="DQ326" s="2277"/>
      <c r="DR326" s="2277"/>
      <c r="DS326" s="2278"/>
      <c r="DT326" s="2250"/>
      <c r="DU326" s="2250"/>
      <c r="DV326" s="2250"/>
      <c r="DW326" s="2250"/>
      <c r="DX326" s="2250"/>
      <c r="DY326" s="2250"/>
      <c r="DZ326" s="2250"/>
      <c r="EA326" s="2250"/>
      <c r="EB326" s="2250"/>
      <c r="EC326" s="2250"/>
      <c r="ED326" s="2250"/>
      <c r="EE326" s="2250"/>
      <c r="EF326" s="2250"/>
      <c r="EG326" s="2250"/>
      <c r="EH326" s="2250"/>
      <c r="EI326" s="2250"/>
      <c r="EJ326" s="2250"/>
      <c r="EK326" s="2250"/>
      <c r="EL326" s="2250"/>
      <c r="EM326" s="2250"/>
      <c r="EN326" s="2250"/>
      <c r="EO326" s="2250"/>
      <c r="EP326" s="2250"/>
      <c r="EQ326" s="2250"/>
      <c r="ER326" s="2250"/>
      <c r="ES326" s="2250"/>
      <c r="ET326" s="2250"/>
      <c r="EU326" s="2250"/>
      <c r="EV326" s="2250"/>
      <c r="EW326" s="2250"/>
      <c r="EX326" s="2250"/>
      <c r="EY326" s="2250"/>
      <c r="EZ326" s="2250"/>
      <c r="FA326" s="2250"/>
      <c r="FB326" s="2250"/>
      <c r="FC326" s="2250"/>
      <c r="FD326" s="2250"/>
      <c r="FE326" s="2250"/>
      <c r="FF326" s="2250"/>
      <c r="FG326" s="2250"/>
      <c r="FH326" s="2250"/>
      <c r="FI326" s="2250"/>
      <c r="FJ326" s="2250"/>
      <c r="FK326" s="2250"/>
      <c r="FL326" s="2250"/>
      <c r="FM326" s="2250"/>
      <c r="FN326" s="2250"/>
      <c r="FO326" s="2250"/>
      <c r="FP326" s="2250"/>
      <c r="FQ326" s="2250"/>
      <c r="FR326" s="2250"/>
      <c r="FS326" s="2250"/>
      <c r="FT326" s="2250"/>
      <c r="FU326" s="2250"/>
      <c r="FV326" s="2250"/>
      <c r="FW326" s="2250"/>
      <c r="FX326" s="2250"/>
      <c r="FY326" s="2250"/>
      <c r="FZ326" s="2250"/>
      <c r="GA326" s="2250"/>
      <c r="GB326" s="2250"/>
      <c r="GC326" s="2276"/>
      <c r="GD326" s="2276"/>
      <c r="GE326" s="2250"/>
      <c r="GF326" s="2275"/>
      <c r="GG326" s="2250"/>
      <c r="GH326" s="2250"/>
      <c r="GI326" s="2250"/>
      <c r="GJ326" s="2250"/>
      <c r="GK326" s="2250"/>
      <c r="GL326" s="2250"/>
      <c r="GM326" s="2250"/>
      <c r="GN326" s="2250"/>
      <c r="GO326" s="2250"/>
      <c r="GP326" s="2250"/>
      <c r="GQ326" s="2250"/>
      <c r="GR326" s="2250"/>
      <c r="GS326" s="2250"/>
      <c r="GT326" s="2250"/>
      <c r="GU326" s="2250"/>
      <c r="GV326" s="2250"/>
      <c r="GW326" s="2250"/>
      <c r="GX326" s="2250"/>
      <c r="GY326" s="2250"/>
      <c r="GZ326" s="2250"/>
      <c r="HA326" s="2250"/>
      <c r="HB326" s="2250"/>
      <c r="HC326" s="2250"/>
      <c r="HD326" s="2250"/>
      <c r="HE326" s="2250"/>
      <c r="HF326" s="2250"/>
      <c r="HG326" s="2250"/>
      <c r="HH326" s="2250"/>
      <c r="HI326" s="2250"/>
      <c r="HJ326" s="2250"/>
      <c r="HK326" s="2250"/>
      <c r="HL326" s="2250"/>
      <c r="HM326" s="2250"/>
      <c r="HN326" s="2250"/>
      <c r="HO326" s="2250"/>
      <c r="HP326" s="2250"/>
      <c r="HQ326" s="2250"/>
      <c r="HR326" s="2250"/>
      <c r="HS326" s="2250"/>
      <c r="HT326" s="2250"/>
      <c r="HU326" s="2250"/>
      <c r="HV326" s="2250"/>
      <c r="HW326" s="2250"/>
      <c r="HX326" s="2250"/>
      <c r="HY326" s="2250"/>
      <c r="HZ326" s="2250"/>
      <c r="IA326" s="2250"/>
      <c r="IB326" s="2250"/>
      <c r="IC326" s="2250"/>
      <c r="ID326" s="2250"/>
      <c r="IE326" s="2250"/>
      <c r="IF326" s="2250"/>
      <c r="IG326" s="2250"/>
      <c r="IH326" s="2250"/>
      <c r="II326" s="2250"/>
      <c r="IJ326" s="2250"/>
      <c r="IK326" s="2250"/>
      <c r="IL326" s="53"/>
      <c r="IM326" s="53"/>
    </row>
    <row r="327" spans="1:247" ht="21.95" customHeight="1" thickBot="1">
      <c r="A327" s="2275"/>
      <c r="B327" s="2250"/>
      <c r="C327" s="2250"/>
      <c r="D327" s="2250"/>
      <c r="E327" s="2250"/>
      <c r="F327" s="2250"/>
      <c r="G327" s="2250"/>
      <c r="H327" s="2250"/>
      <c r="I327" s="2250"/>
      <c r="J327" s="2250"/>
      <c r="K327" s="2250"/>
      <c r="L327" s="2250"/>
      <c r="M327" s="2250"/>
      <c r="N327" s="2250"/>
      <c r="O327" s="2250"/>
      <c r="P327" s="2250"/>
      <c r="Q327" s="2250"/>
      <c r="R327" s="2250"/>
      <c r="S327" s="2250"/>
      <c r="T327" s="2250"/>
      <c r="U327" s="2250"/>
      <c r="V327" s="2250"/>
      <c r="W327" s="2250"/>
      <c r="X327" s="2250"/>
      <c r="Y327" s="2250"/>
      <c r="Z327" s="2250"/>
      <c r="AA327" s="2250"/>
      <c r="AB327" s="2250"/>
      <c r="AC327" s="2250"/>
      <c r="AD327" s="4682" t="s">
        <v>2232</v>
      </c>
      <c r="AE327" s="4683"/>
      <c r="AF327" s="4684">
        <f>+E330</f>
        <v>19.915970774546171</v>
      </c>
      <c r="AG327" s="4685"/>
      <c r="AH327" s="2250"/>
      <c r="AI327" s="2250"/>
      <c r="AJ327" s="2250"/>
      <c r="AK327" s="2250"/>
      <c r="AL327" s="2279" t="s">
        <v>2233</v>
      </c>
      <c r="AM327" s="2280" t="s">
        <v>648</v>
      </c>
      <c r="AN327" s="2281" t="s">
        <v>706</v>
      </c>
      <c r="AO327" s="2282" t="s">
        <v>707</v>
      </c>
      <c r="AP327" s="3667" t="str">
        <f>IF(AP329="Right",IF(AP330="Right",IF(AP331="Right",IF(AP328="Right","Right","Wrong"),"Wrong"),"Wrong"),"Wrong")</f>
        <v>Right</v>
      </c>
      <c r="AQ327" s="2250"/>
      <c r="AR327" s="3666" t="str">
        <f>IF(AR329="Right",IF(AR330="Right",IF(AR331="Right",IF(AR328="Right","Right","Wrong"),"Wrong"),"Wrong"),"Wrong")</f>
        <v>Right</v>
      </c>
      <c r="AS327" s="2285" t="s">
        <v>648</v>
      </c>
      <c r="AT327" s="2281" t="s">
        <v>706</v>
      </c>
      <c r="AU327" s="2282" t="s">
        <v>707</v>
      </c>
      <c r="AV327" s="3656" t="str">
        <f>IF(AV329="Right",IF(AV330="Right",IF(AV331="Right",IF(AV328="Right","Right","Wrong"),"Wrong"),"Wrong"),"Wrong")</f>
        <v>Right</v>
      </c>
      <c r="AW327" s="2250"/>
      <c r="AX327" s="3657" t="str">
        <f>HYPERLINK("Z:\Marketing Common\Dhrumil\Selection\Anupam_Gear_Box.pdf","Anupam Gear Box")</f>
        <v>Anupam Gear Box</v>
      </c>
      <c r="AY327" s="2250"/>
      <c r="AZ327" s="2250"/>
      <c r="BA327" s="2250"/>
      <c r="BB327" s="2250"/>
      <c r="BC327" s="2250"/>
      <c r="BD327" s="2250"/>
      <c r="BE327" s="2250"/>
      <c r="BF327" s="2276"/>
      <c r="BG327" s="2276"/>
      <c r="BH327" s="2250"/>
      <c r="BI327" s="2275"/>
      <c r="BJ327" s="2250"/>
      <c r="BK327" s="2250"/>
      <c r="BL327" s="2250"/>
      <c r="BM327" s="2250"/>
      <c r="BN327" s="2250"/>
      <c r="BO327" s="2250"/>
      <c r="BP327" s="2250"/>
      <c r="BQ327" s="2250"/>
      <c r="BR327" s="2250"/>
      <c r="BS327" s="2250"/>
      <c r="BT327" s="2250"/>
      <c r="BU327" s="2250"/>
      <c r="BV327" s="2250"/>
      <c r="BW327" s="2250"/>
      <c r="BX327" s="2250"/>
      <c r="BY327" s="2250"/>
      <c r="BZ327" s="2250"/>
      <c r="CA327" s="2250"/>
      <c r="CB327" s="2250"/>
      <c r="CC327" s="2250"/>
      <c r="CD327" s="2250"/>
      <c r="CE327" s="2250"/>
      <c r="CF327" s="2250"/>
      <c r="CG327" s="2250"/>
      <c r="CH327" s="2250"/>
      <c r="CI327" s="2250"/>
      <c r="CJ327" s="2250"/>
      <c r="CK327" s="2250"/>
      <c r="CL327" s="4682" t="s">
        <v>2232</v>
      </c>
      <c r="CM327" s="4683"/>
      <c r="CN327" s="4684">
        <f>+E330</f>
        <v>19.915970774546171</v>
      </c>
      <c r="CO327" s="4685"/>
      <c r="CP327" s="2250"/>
      <c r="CQ327" s="2250"/>
      <c r="CR327" s="2250"/>
      <c r="CS327" s="2250"/>
      <c r="CT327" s="2279" t="s">
        <v>2233</v>
      </c>
      <c r="CU327" s="2280" t="s">
        <v>648</v>
      </c>
      <c r="CV327" s="2281" t="s">
        <v>706</v>
      </c>
      <c r="CW327" s="2282" t="s">
        <v>707</v>
      </c>
      <c r="CX327" s="3667" t="str">
        <f>IF(CX329="Right",IF(CX330="Right",IF(CX331="Right",IF(CX328="Right","Right","Wrong"),"Wrong"),"Wrong"),"Wrong")</f>
        <v>Right</v>
      </c>
      <c r="CY327" s="2250"/>
      <c r="CZ327" s="3666" t="str">
        <f>IF(CZ329="Right",IF(CZ330="Right",IF(CZ331="Right",IF(CZ328="Right","Right","Wrong"),"Wrong"),"Wrong"),"Wrong")</f>
        <v>Right</v>
      </c>
      <c r="DA327" s="2285" t="s">
        <v>648</v>
      </c>
      <c r="DB327" s="2281" t="s">
        <v>706</v>
      </c>
      <c r="DC327" s="2282" t="s">
        <v>707</v>
      </c>
      <c r="DD327" s="3656" t="str">
        <f>IF(DD329="Right",IF(DD330="Right",IF(DD331="Right",IF(DD328="Right","Right","Wrong"),"Wrong"),"Wrong"),"Wrong")</f>
        <v>Right</v>
      </c>
      <c r="DE327" s="2250"/>
      <c r="DF327" s="3657" t="str">
        <f>HYPERLINK("Z:\Marketing Common\Dhrumil\Selection\Anupam_Gear_Box.pdf","Anupam Gear Box")</f>
        <v>Anupam Gear Box</v>
      </c>
      <c r="DG327" s="2250"/>
      <c r="DH327" s="2250"/>
      <c r="DI327" s="2250"/>
      <c r="DJ327" s="2250"/>
      <c r="DK327" s="2250"/>
      <c r="DL327" s="2250"/>
      <c r="DM327" s="2250"/>
      <c r="DN327" s="2250"/>
      <c r="DO327" s="53"/>
      <c r="DP327" s="53"/>
      <c r="DQ327" s="2277"/>
      <c r="DR327" s="2277"/>
      <c r="DS327" s="2278"/>
      <c r="DT327" s="2250"/>
      <c r="DU327" s="2250"/>
      <c r="DV327" s="2250"/>
      <c r="DW327" s="2250"/>
      <c r="DX327" s="2250"/>
      <c r="DY327" s="2250"/>
      <c r="DZ327" s="2250"/>
      <c r="EA327" s="2250"/>
      <c r="EB327" s="2250"/>
      <c r="EC327" s="2250"/>
      <c r="ED327" s="2250"/>
      <c r="EE327" s="2250"/>
      <c r="EF327" s="2250"/>
      <c r="EG327" s="2250"/>
      <c r="EH327" s="2250"/>
      <c r="EI327" s="2250"/>
      <c r="EJ327" s="2250"/>
      <c r="EK327" s="2250"/>
      <c r="EL327" s="2250"/>
      <c r="EM327" s="2250"/>
      <c r="EN327" s="2250"/>
      <c r="EO327" s="2250"/>
      <c r="EP327" s="2250"/>
      <c r="EQ327" s="2250"/>
      <c r="ER327" s="2250"/>
      <c r="ES327" s="2250"/>
      <c r="ET327" s="2250"/>
      <c r="EU327" s="2250"/>
      <c r="EV327" s="2250"/>
      <c r="EW327" s="2250"/>
      <c r="EX327" s="2250"/>
      <c r="EY327" s="2250"/>
      <c r="EZ327" s="2250"/>
      <c r="FA327" s="4682" t="s">
        <v>2232</v>
      </c>
      <c r="FB327" s="4683"/>
      <c r="FC327" s="4684">
        <f>+EB330</f>
        <v>19.968225884687833</v>
      </c>
      <c r="FD327" s="4685"/>
      <c r="FE327" s="2250"/>
      <c r="FF327" s="2250"/>
      <c r="FG327" s="2250"/>
      <c r="FH327" s="2250"/>
      <c r="FI327" s="2279" t="s">
        <v>2233</v>
      </c>
      <c r="FJ327" s="2280" t="s">
        <v>648</v>
      </c>
      <c r="FK327" s="2281" t="s">
        <v>706</v>
      </c>
      <c r="FL327" s="2282" t="s">
        <v>707</v>
      </c>
      <c r="FM327" s="3667" t="str">
        <f>IF(FM329="Right",IF(FM330="Right",IF(FM331="Right",IF(FM328="Right","Right","Wrong"),"Wrong"),"Wrong"),"Wrong")</f>
        <v>Right</v>
      </c>
      <c r="FN327" s="2250"/>
      <c r="FO327" s="3666" t="str">
        <f>IF(FO329="Right",IF(FO330="Right",IF(FO331="Right",IF(FO328="Right","Right","Wrong"),"Wrong"),"Wrong"),"Wrong")</f>
        <v>Right</v>
      </c>
      <c r="FP327" s="2285" t="s">
        <v>648</v>
      </c>
      <c r="FQ327" s="2281" t="s">
        <v>706</v>
      </c>
      <c r="FR327" s="2282" t="s">
        <v>707</v>
      </c>
      <c r="FS327" s="3656" t="str">
        <f>IF(FS329="Right",IF(FS330="Right",IF(FS331="Right",IF(FS328="Right","Right","Wrong"),"Wrong"),"Wrong"),"Wrong")</f>
        <v>Right</v>
      </c>
      <c r="FT327" s="2250"/>
      <c r="FU327" s="3657" t="str">
        <f>HYPERLINK("Z:\Marketing Common\Dhrumil\Selection\Anupam_Gear_Box.pdf","Anupam Gear Box")</f>
        <v>Anupam Gear Box</v>
      </c>
      <c r="FV327" s="2250"/>
      <c r="FW327" s="2250"/>
      <c r="FX327" s="2250"/>
      <c r="FY327" s="2250"/>
      <c r="FZ327" s="2250"/>
      <c r="GA327" s="2250"/>
      <c r="GB327" s="2250"/>
      <c r="GC327" s="2276"/>
      <c r="GD327" s="2276"/>
      <c r="GE327" s="2250"/>
      <c r="GF327" s="2275"/>
      <c r="GG327" s="2250"/>
      <c r="GH327" s="2250"/>
      <c r="GI327" s="2250"/>
      <c r="GJ327" s="2250"/>
      <c r="GK327" s="2250"/>
      <c r="GL327" s="2250"/>
      <c r="GM327" s="2250"/>
      <c r="GN327" s="2250"/>
      <c r="GO327" s="2250"/>
      <c r="GP327" s="2250"/>
      <c r="GQ327" s="2250"/>
      <c r="GR327" s="2250"/>
      <c r="GS327" s="2250"/>
      <c r="GT327" s="2250"/>
      <c r="GU327" s="2250"/>
      <c r="GV327" s="2250"/>
      <c r="GW327" s="2250"/>
      <c r="GX327" s="2250"/>
      <c r="GY327" s="2250"/>
      <c r="GZ327" s="2250"/>
      <c r="HA327" s="2250"/>
      <c r="HB327" s="2250"/>
      <c r="HC327" s="2250"/>
      <c r="HD327" s="2250"/>
      <c r="HE327" s="2250"/>
      <c r="HF327" s="2250"/>
      <c r="HG327" s="2250"/>
      <c r="HH327" s="2250"/>
      <c r="HI327" s="4682" t="s">
        <v>2232</v>
      </c>
      <c r="HJ327" s="4683"/>
      <c r="HK327" s="4684">
        <f>+EB330</f>
        <v>19.968225884687833</v>
      </c>
      <c r="HL327" s="4685"/>
      <c r="HM327" s="2250"/>
      <c r="HN327" s="2250"/>
      <c r="HO327" s="2250"/>
      <c r="HP327" s="2250"/>
      <c r="HQ327" s="2279" t="s">
        <v>2233</v>
      </c>
      <c r="HR327" s="2280" t="s">
        <v>648</v>
      </c>
      <c r="HS327" s="2281" t="s">
        <v>706</v>
      </c>
      <c r="HT327" s="2282" t="s">
        <v>707</v>
      </c>
      <c r="HU327" s="3667" t="str">
        <f>IF(HU329="Right",IF(HU330="Right",IF(HU331="Right",IF(HU328="Right","Right","Wrong"),"Wrong"),"Wrong"),"Wrong")</f>
        <v>Right</v>
      </c>
      <c r="HV327" s="2250"/>
      <c r="HW327" s="3666" t="str">
        <f>IF(HW329="Right",IF(HW330="Right",IF(HW331="Right",IF(HW328="Right","Right","Wrong"),"Wrong"),"Wrong"),"Wrong")</f>
        <v>Right</v>
      </c>
      <c r="HX327" s="2285" t="s">
        <v>648</v>
      </c>
      <c r="HY327" s="2281" t="s">
        <v>706</v>
      </c>
      <c r="HZ327" s="2282" t="s">
        <v>707</v>
      </c>
      <c r="IA327" s="3656" t="str">
        <f>IF(IA329="Right",IF(IA330="Right",IF(IA331="Right",IF(IA328="Right","Right","Wrong"),"Wrong"),"Wrong"),"Wrong")</f>
        <v>Right</v>
      </c>
      <c r="IB327" s="2250"/>
      <c r="IC327" s="3657" t="str">
        <f>HYPERLINK("Z:\Marketing Common\Dhrumil\Selection\Anupam_Gear_Box.pdf","Anupam Gear Box")</f>
        <v>Anupam Gear Box</v>
      </c>
      <c r="ID327" s="2250"/>
      <c r="IE327" s="2250"/>
      <c r="IF327" s="2250"/>
      <c r="IG327" s="2250"/>
      <c r="IH327" s="2250"/>
      <c r="II327" s="2250"/>
      <c r="IJ327" s="2250"/>
      <c r="IK327" s="2250"/>
      <c r="IL327" s="53"/>
      <c r="IM327" s="53"/>
    </row>
    <row r="328" spans="1:247" ht="21.95" customHeight="1" thickBot="1">
      <c r="A328" s="2275"/>
      <c r="B328" s="2250"/>
      <c r="C328" s="2250"/>
      <c r="D328" s="2250"/>
      <c r="E328" s="2250"/>
      <c r="F328" s="2250"/>
      <c r="G328" s="2250"/>
      <c r="H328" s="2250"/>
      <c r="I328" s="2250"/>
      <c r="J328" s="2250"/>
      <c r="K328" s="2250"/>
      <c r="L328" s="2250"/>
      <c r="M328" s="2250"/>
      <c r="N328" s="2250"/>
      <c r="O328" s="2250"/>
      <c r="P328" s="2250"/>
      <c r="Q328" s="2250"/>
      <c r="R328" s="2250"/>
      <c r="S328" s="2250"/>
      <c r="T328" s="2250"/>
      <c r="U328" s="2250"/>
      <c r="V328" s="2250"/>
      <c r="W328" s="2250"/>
      <c r="X328" s="2250"/>
      <c r="Y328" s="2250"/>
      <c r="Z328" s="2250"/>
      <c r="AA328" s="2250"/>
      <c r="AB328" s="2250"/>
      <c r="AC328" s="2250"/>
      <c r="AD328" s="4694" t="s">
        <v>2234</v>
      </c>
      <c r="AE328" s="4695"/>
      <c r="AF328" s="4692">
        <f>BF371</f>
        <v>190.4</v>
      </c>
      <c r="AG328" s="4693"/>
      <c r="AH328" s="2250"/>
      <c r="AI328" s="2250"/>
      <c r="AJ328" s="2250"/>
      <c r="AK328" s="2250"/>
      <c r="AL328" s="2250"/>
      <c r="AM328" s="2288" t="s">
        <v>651</v>
      </c>
      <c r="AN328" s="3658">
        <f>D389</f>
        <v>0</v>
      </c>
      <c r="AO328" s="3659">
        <f>E389</f>
        <v>400</v>
      </c>
      <c r="AP328" s="2276" t="str">
        <f>IF(B399="Right",IF(B400="Right","Right","Wrong"),"Wrong")</f>
        <v>Right</v>
      </c>
      <c r="AQ328" s="2250"/>
      <c r="AR328" s="3618" t="str">
        <f>IF(AN328=AT328,IF(AN328=AN333,IF(AO328=AU328,IF(AO328=AO333,"Right","Wrong"),"Wrong")))</f>
        <v>Right</v>
      </c>
      <c r="AS328" s="2288" t="s">
        <v>651</v>
      </c>
      <c r="AT328" s="3658">
        <f>C428</f>
        <v>0</v>
      </c>
      <c r="AU328" s="3659">
        <f>+C429</f>
        <v>400</v>
      </c>
      <c r="AV328" s="3618" t="str">
        <f>IF(AN328=AT328,IF(AO328=AU328,IF(AN333=AT328,IF(AO333=AU328,"Right","Wrong"),"Wrong"),"Wrong"),"Wrong")</f>
        <v>Right</v>
      </c>
      <c r="AW328" s="2250"/>
      <c r="AX328" s="2250"/>
      <c r="AY328" s="2250"/>
      <c r="AZ328" s="2250"/>
      <c r="BA328" s="2250"/>
      <c r="BB328" s="2250"/>
      <c r="BC328" s="2250"/>
      <c r="BD328" s="2250"/>
      <c r="BE328" s="2250"/>
      <c r="BF328" s="2276"/>
      <c r="BG328" s="2276"/>
      <c r="BH328" s="2250"/>
      <c r="BI328" s="2275"/>
      <c r="BJ328" s="2250"/>
      <c r="BK328" s="2250"/>
      <c r="BL328" s="2250"/>
      <c r="BM328" s="2250"/>
      <c r="BN328" s="2250"/>
      <c r="BO328" s="2250"/>
      <c r="BP328" s="2250"/>
      <c r="BQ328" s="2250"/>
      <c r="BR328" s="2250"/>
      <c r="BS328" s="2250"/>
      <c r="BT328" s="2250"/>
      <c r="BU328" s="2250"/>
      <c r="BV328" s="2250"/>
      <c r="BW328" s="2250"/>
      <c r="BX328" s="2250"/>
      <c r="BY328" s="2250"/>
      <c r="BZ328" s="2250"/>
      <c r="CA328" s="2250"/>
      <c r="CB328" s="2250"/>
      <c r="CC328" s="2250"/>
      <c r="CD328" s="2250"/>
      <c r="CE328" s="2250"/>
      <c r="CF328" s="2250"/>
      <c r="CG328" s="2250"/>
      <c r="CH328" s="2250"/>
      <c r="CI328" s="2250"/>
      <c r="CJ328" s="2250"/>
      <c r="CK328" s="2250"/>
      <c r="CL328" s="4694" t="s">
        <v>2234</v>
      </c>
      <c r="CM328" s="4695"/>
      <c r="CN328" s="4692">
        <f>BG371</f>
        <v>206.43</v>
      </c>
      <c r="CO328" s="4693"/>
      <c r="CP328" s="2250"/>
      <c r="CQ328" s="2250"/>
      <c r="CR328" s="2250"/>
      <c r="CS328" s="2250"/>
      <c r="CT328" s="2250"/>
      <c r="CU328" s="2288" t="s">
        <v>651</v>
      </c>
      <c r="CV328" s="3658">
        <f>BL389</f>
        <v>0</v>
      </c>
      <c r="CW328" s="3659">
        <f>BM389</f>
        <v>400</v>
      </c>
      <c r="CX328" s="2276" t="str">
        <f>IF(BJ399="Right",IF(BJ400="Right","Right","Wrong"),"Wrong")</f>
        <v>Right</v>
      </c>
      <c r="CY328" s="2250"/>
      <c r="CZ328" s="3618" t="str">
        <f>IF(CV328=DB328,IF(CV328=CV333,IF(CW328=DC328,IF(CW328=CW333,"Right","Wrong"),"Wrong")))</f>
        <v>Right</v>
      </c>
      <c r="DA328" s="2288" t="s">
        <v>651</v>
      </c>
      <c r="DB328" s="3658">
        <f>BK428</f>
        <v>0</v>
      </c>
      <c r="DC328" s="3659">
        <f>+BK429</f>
        <v>400</v>
      </c>
      <c r="DD328" s="3618" t="str">
        <f>IF(CV328=DB328,IF(CW328=DC328,IF(CV333=DB328,IF(CW333=DC328,"Right","Wrong"),"Wrong"),"Wrong"),"Wrong")</f>
        <v>Right</v>
      </c>
      <c r="DE328" s="2250"/>
      <c r="DF328" s="2250"/>
      <c r="DG328" s="2250"/>
      <c r="DH328" s="2250"/>
      <c r="DI328" s="2250"/>
      <c r="DJ328" s="2250"/>
      <c r="DK328" s="2250"/>
      <c r="DL328" s="2250"/>
      <c r="DM328" s="2250"/>
      <c r="DN328" s="2250"/>
      <c r="DO328" s="53"/>
      <c r="DP328" s="53"/>
      <c r="DQ328" s="2277"/>
      <c r="DR328" s="2277"/>
      <c r="DS328" s="2278"/>
      <c r="DT328" s="2250"/>
      <c r="DU328" s="2250"/>
      <c r="DV328" s="2250"/>
      <c r="DW328" s="2250"/>
      <c r="DX328" s="2250"/>
      <c r="DY328" s="2250"/>
      <c r="DZ328" s="2250"/>
      <c r="EA328" s="2250"/>
      <c r="EB328" s="2250"/>
      <c r="EC328" s="2250"/>
      <c r="ED328" s="2250"/>
      <c r="EE328" s="2250"/>
      <c r="EF328" s="2250"/>
      <c r="EG328" s="2250"/>
      <c r="EH328" s="2250"/>
      <c r="EI328" s="2250"/>
      <c r="EJ328" s="2250"/>
      <c r="EK328" s="2250"/>
      <c r="EL328" s="2250"/>
      <c r="EM328" s="2250"/>
      <c r="EN328" s="2250"/>
      <c r="EO328" s="2250"/>
      <c r="EP328" s="2250"/>
      <c r="EQ328" s="2250"/>
      <c r="ER328" s="2250"/>
      <c r="ES328" s="2250"/>
      <c r="ET328" s="2250"/>
      <c r="EU328" s="2250"/>
      <c r="EV328" s="2250"/>
      <c r="EW328" s="2250"/>
      <c r="EX328" s="2250"/>
      <c r="EY328" s="2250"/>
      <c r="EZ328" s="2250"/>
      <c r="FA328" s="4694" t="s">
        <v>2234</v>
      </c>
      <c r="FB328" s="4695"/>
      <c r="FC328" s="4692">
        <f>GC371</f>
        <v>120.7</v>
      </c>
      <c r="FD328" s="4693"/>
      <c r="FE328" s="2250"/>
      <c r="FF328" s="2250"/>
      <c r="FG328" s="2250"/>
      <c r="FH328" s="2250"/>
      <c r="FI328" s="2250"/>
      <c r="FJ328" s="2288" t="s">
        <v>651</v>
      </c>
      <c r="FK328" s="3658">
        <f>EA389</f>
        <v>0</v>
      </c>
      <c r="FL328" s="3659">
        <f>EB389</f>
        <v>400</v>
      </c>
      <c r="FM328" s="2276" t="str">
        <f>IF(DY399="Right",IF(DY400="Right","Right","Wrong"),"Wrong")</f>
        <v>Right</v>
      </c>
      <c r="FN328" s="2250"/>
      <c r="FO328" s="3618" t="str">
        <f>IF(FK328=FQ328,IF(FK328=FK333,IF(FL328=FR328,IF(FL328=FL333,"Right","Wrong"),"Wrong")))</f>
        <v>Right</v>
      </c>
      <c r="FP328" s="2288" t="s">
        <v>651</v>
      </c>
      <c r="FQ328" s="3658">
        <f>DZ428</f>
        <v>0</v>
      </c>
      <c r="FR328" s="3659">
        <f>+DZ429</f>
        <v>400</v>
      </c>
      <c r="FS328" s="3618" t="str">
        <f>IF(FK328=FQ328,IF(FL328=FR328,IF(FK333=FQ328,IF(FL333=FR328,"Right","Wrong"),"Wrong"),"Wrong"),"Wrong")</f>
        <v>Right</v>
      </c>
      <c r="FT328" s="2250"/>
      <c r="FU328" s="2250"/>
      <c r="FV328" s="2250"/>
      <c r="FW328" s="2250"/>
      <c r="FX328" s="2250"/>
      <c r="FY328" s="2250"/>
      <c r="FZ328" s="2250"/>
      <c r="GA328" s="2250"/>
      <c r="GB328" s="2250"/>
      <c r="GC328" s="2276"/>
      <c r="GD328" s="2276"/>
      <c r="GE328" s="2250"/>
      <c r="GF328" s="2275"/>
      <c r="GG328" s="2250"/>
      <c r="GH328" s="2250"/>
      <c r="GI328" s="2250"/>
      <c r="GJ328" s="2250"/>
      <c r="GK328" s="2250"/>
      <c r="GL328" s="2250"/>
      <c r="GM328" s="2250"/>
      <c r="GN328" s="2250"/>
      <c r="GO328" s="2250"/>
      <c r="GP328" s="2250"/>
      <c r="GQ328" s="2250"/>
      <c r="GR328" s="2250"/>
      <c r="GS328" s="2250"/>
      <c r="GT328" s="2250"/>
      <c r="GU328" s="2250"/>
      <c r="GV328" s="2250"/>
      <c r="GW328" s="2250"/>
      <c r="GX328" s="2250"/>
      <c r="GY328" s="2250"/>
      <c r="GZ328" s="2250"/>
      <c r="HA328" s="2250"/>
      <c r="HB328" s="2250"/>
      <c r="HC328" s="2250"/>
      <c r="HD328" s="2250"/>
      <c r="HE328" s="2250"/>
      <c r="HF328" s="2250"/>
      <c r="HG328" s="2250"/>
      <c r="HH328" s="2250"/>
      <c r="HI328" s="4694" t="s">
        <v>2234</v>
      </c>
      <c r="HJ328" s="4695"/>
      <c r="HK328" s="4692">
        <f>GD371</f>
        <v>129.80000000000001</v>
      </c>
      <c r="HL328" s="4693"/>
      <c r="HM328" s="2250"/>
      <c r="HN328" s="2250"/>
      <c r="HO328" s="2250"/>
      <c r="HP328" s="2250"/>
      <c r="HQ328" s="2250"/>
      <c r="HR328" s="2288" t="s">
        <v>651</v>
      </c>
      <c r="HS328" s="3658">
        <f>GI389</f>
        <v>0</v>
      </c>
      <c r="HT328" s="3659">
        <f>GJ389</f>
        <v>400</v>
      </c>
      <c r="HU328" s="2276" t="str">
        <f>IF(GG399="Right",IF(GG400="Right","Right","Wrong"),"Wrong")</f>
        <v>Right</v>
      </c>
      <c r="HV328" s="2250"/>
      <c r="HW328" s="3618" t="str">
        <f>IF(HS328=HY328,IF(HS328=HS333,IF(HT328=HZ328,IF(HT328=HT333,"Right","Wrong"),"Wrong")))</f>
        <v>Right</v>
      </c>
      <c r="HX328" s="2288" t="s">
        <v>651</v>
      </c>
      <c r="HY328" s="3658">
        <f>GH428</f>
        <v>0</v>
      </c>
      <c r="HZ328" s="3659">
        <f>+GH429</f>
        <v>400</v>
      </c>
      <c r="IA328" s="3618" t="str">
        <f>IF(HS328=HY328,IF(HT328=HZ328,IF(HS333=HY328,IF(HT333=HZ328,"Right","Wrong"),"Wrong"),"Wrong"),"Wrong")</f>
        <v>Right</v>
      </c>
      <c r="IB328" s="2250"/>
      <c r="IC328" s="2250"/>
      <c r="ID328" s="2250"/>
      <c r="IE328" s="2250"/>
      <c r="IF328" s="2250"/>
      <c r="IG328" s="2250"/>
      <c r="IH328" s="2250"/>
      <c r="II328" s="2250"/>
      <c r="IJ328" s="2250"/>
      <c r="IK328" s="2250"/>
      <c r="IL328" s="53"/>
      <c r="IM328" s="53"/>
    </row>
    <row r="329" spans="1:247" ht="21.95" customHeight="1" thickBot="1">
      <c r="A329" s="2275"/>
      <c r="B329" s="2250"/>
      <c r="C329" s="2250"/>
      <c r="D329" s="2250"/>
      <c r="E329" s="2250"/>
      <c r="F329" s="2250"/>
      <c r="G329" s="2250"/>
      <c r="H329" s="2250"/>
      <c r="I329" s="2250"/>
      <c r="J329" s="2250"/>
      <c r="K329" s="2250"/>
      <c r="L329" s="2250"/>
      <c r="M329" s="2250"/>
      <c r="N329" s="2250"/>
      <c r="O329" s="2250"/>
      <c r="P329" s="2250"/>
      <c r="Q329" s="2250"/>
      <c r="R329" s="2250"/>
      <c r="S329" s="2250"/>
      <c r="T329" s="2250"/>
      <c r="U329" s="2250"/>
      <c r="V329" s="2250"/>
      <c r="W329" s="2250"/>
      <c r="X329" s="2250"/>
      <c r="Y329" s="2250"/>
      <c r="Z329" s="2250"/>
      <c r="AA329" s="2250"/>
      <c r="AB329" s="2250"/>
      <c r="AC329" s="2250"/>
      <c r="AD329" s="4686"/>
      <c r="AE329" s="4687"/>
      <c r="AF329" s="4688"/>
      <c r="AG329" s="4689"/>
      <c r="AH329" s="2250"/>
      <c r="AI329" s="2250"/>
      <c r="AJ329" s="2250"/>
      <c r="AK329" s="2250"/>
      <c r="AL329" s="2250"/>
      <c r="AM329" s="2291" t="s">
        <v>654</v>
      </c>
      <c r="AN329" s="3660">
        <f>R389</f>
        <v>20.86</v>
      </c>
      <c r="AO329" s="3661">
        <f>S389</f>
        <v>825</v>
      </c>
      <c r="AP329" s="2276" t="str">
        <f>IF(P399="Right",IF(P400="Right","Right","Wrong"),"Wrong")</f>
        <v>Right</v>
      </c>
      <c r="AQ329" s="2250"/>
      <c r="AR329" s="3618" t="str">
        <f>IF(AN329=AT329,IF(AN329=AN334,IF(AO329=AU329,IF(AO329=AO334,"Right","Wrong"),"Wrong"),"Wrong"),"Wrong")</f>
        <v>Right</v>
      </c>
      <c r="AS329" s="2291" t="s">
        <v>654</v>
      </c>
      <c r="AT329" s="3660">
        <f>C450</f>
        <v>20.86</v>
      </c>
      <c r="AU329" s="3661">
        <f>+C451</f>
        <v>825</v>
      </c>
      <c r="AV329" s="3618" t="str">
        <f>IF(AN329=AT329,IF(AO329=AU329,IF(AN334=AT329,IF(AO334=AU329,"Right","Wrong"),"Wrong"),"Wrong"),"Wrong")</f>
        <v>Right</v>
      </c>
      <c r="AW329" s="2250"/>
      <c r="AX329" s="2250"/>
      <c r="AY329" s="2250"/>
      <c r="AZ329" s="2250"/>
      <c r="BA329" s="2250"/>
      <c r="BB329" s="2250"/>
      <c r="BC329" s="2250"/>
      <c r="BD329" s="2250"/>
      <c r="BE329" s="2250"/>
      <c r="BF329" s="2276"/>
      <c r="BG329" s="2276"/>
      <c r="BH329" s="2250"/>
      <c r="BI329" s="2275"/>
      <c r="BJ329" s="2250"/>
      <c r="BK329" s="2250"/>
      <c r="BL329" s="2250"/>
      <c r="BM329" s="2250"/>
      <c r="BN329" s="2250"/>
      <c r="BO329" s="2250"/>
      <c r="BP329" s="2250"/>
      <c r="BQ329" s="2250"/>
      <c r="BR329" s="2250"/>
      <c r="BS329" s="2250"/>
      <c r="BT329" s="2250"/>
      <c r="BU329" s="2250"/>
      <c r="BV329" s="2250"/>
      <c r="BW329" s="2250"/>
      <c r="BX329" s="2250"/>
      <c r="BY329" s="2250"/>
      <c r="BZ329" s="2250"/>
      <c r="CA329" s="2250"/>
      <c r="CB329" s="2250"/>
      <c r="CC329" s="2250"/>
      <c r="CD329" s="2250"/>
      <c r="CE329" s="2250"/>
      <c r="CF329" s="2250"/>
      <c r="CG329" s="2250"/>
      <c r="CH329" s="2250"/>
      <c r="CI329" s="2250"/>
      <c r="CJ329" s="2250"/>
      <c r="CK329" s="2250"/>
      <c r="CL329" s="4686"/>
      <c r="CM329" s="4687"/>
      <c r="CN329" s="4688"/>
      <c r="CO329" s="4689"/>
      <c r="CP329" s="2250"/>
      <c r="CQ329" s="2250"/>
      <c r="CR329" s="2250"/>
      <c r="CS329" s="2250"/>
      <c r="CT329" s="2250"/>
      <c r="CU329" s="2291" t="s">
        <v>654</v>
      </c>
      <c r="CV329" s="3660">
        <f>BZ389</f>
        <v>27.18</v>
      </c>
      <c r="CW329" s="3661">
        <f>CA389</f>
        <v>950</v>
      </c>
      <c r="CX329" s="2276" t="str">
        <f>IF(BX399="Right",IF(BX400="Right","Right","Wrong"),"Wrong")</f>
        <v>Right</v>
      </c>
      <c r="CY329" s="2250"/>
      <c r="CZ329" s="3618" t="str">
        <f>IF(CV329=DB329,IF(CV329=CV334,IF(CW329=DC329,IF(CW329=CW334,"Right","Wrong"),"Wrong"),"Wrong"),"Wrong")</f>
        <v>Right</v>
      </c>
      <c r="DA329" s="2291" t="s">
        <v>654</v>
      </c>
      <c r="DB329" s="3660">
        <f>BK450</f>
        <v>27.18</v>
      </c>
      <c r="DC329" s="3661">
        <f>+BK451</f>
        <v>950</v>
      </c>
      <c r="DD329" s="3618" t="str">
        <f>IF(CV329=DB329,IF(CW329=DC329,IF(CV334=DB329,IF(CW334=DC329,"Right","Wrong"),"Wrong"),"Wrong"),"Wrong")</f>
        <v>Right</v>
      </c>
      <c r="DE329" s="2250"/>
      <c r="DF329" s="2250"/>
      <c r="DG329" s="2250"/>
      <c r="DH329" s="2250"/>
      <c r="DI329" s="2250"/>
      <c r="DJ329" s="2250"/>
      <c r="DK329" s="2250"/>
      <c r="DL329" s="2250"/>
      <c r="DM329" s="2250"/>
      <c r="DN329" s="2250"/>
      <c r="DO329" s="53"/>
      <c r="DP329" s="53"/>
      <c r="DQ329" s="2277"/>
      <c r="DR329" s="2277"/>
      <c r="DS329" s="2278"/>
      <c r="DT329" s="2250"/>
      <c r="DU329" s="2250"/>
      <c r="DV329" s="2250"/>
      <c r="DW329" s="2250"/>
      <c r="DX329" s="2250"/>
      <c r="DY329" s="2250"/>
      <c r="DZ329" s="2250"/>
      <c r="EA329" s="2250"/>
      <c r="EB329" s="2250"/>
      <c r="EC329" s="2250"/>
      <c r="ED329" s="2250"/>
      <c r="EE329" s="2250"/>
      <c r="EF329" s="2250"/>
      <c r="EG329" s="2250"/>
      <c r="EH329" s="2250"/>
      <c r="EI329" s="2250"/>
      <c r="EJ329" s="2250"/>
      <c r="EK329" s="2250"/>
      <c r="EL329" s="2250"/>
      <c r="EM329" s="2250"/>
      <c r="EN329" s="2250"/>
      <c r="EO329" s="2250"/>
      <c r="EP329" s="2250"/>
      <c r="EQ329" s="2250"/>
      <c r="ER329" s="2250"/>
      <c r="ES329" s="2250"/>
      <c r="ET329" s="2250"/>
      <c r="EU329" s="2250"/>
      <c r="EV329" s="2250"/>
      <c r="EW329" s="2250"/>
      <c r="EX329" s="2250"/>
      <c r="EY329" s="2250"/>
      <c r="EZ329" s="2250"/>
      <c r="FA329" s="4686"/>
      <c r="FB329" s="4687"/>
      <c r="FC329" s="4688"/>
      <c r="FD329" s="4689"/>
      <c r="FE329" s="2250"/>
      <c r="FF329" s="2250"/>
      <c r="FG329" s="2250"/>
      <c r="FH329" s="2250"/>
      <c r="FI329" s="2250"/>
      <c r="FJ329" s="2291" t="s">
        <v>654</v>
      </c>
      <c r="FK329" s="3660">
        <f>EO389</f>
        <v>22.09</v>
      </c>
      <c r="FL329" s="3661">
        <f>EP389</f>
        <v>775</v>
      </c>
      <c r="FM329" s="2276" t="str">
        <f>IF(EM399="Right",IF(EM400="Right","Right","Wrong"),"Wrong")</f>
        <v>Right</v>
      </c>
      <c r="FN329" s="2250"/>
      <c r="FO329" s="3618" t="str">
        <f>IF(FK329=FQ329,IF(FK329=FK334,IF(FL329=FR329,IF(FL329=FL334,"Right","Wrong"),"Wrong"),"Wrong"),"Wrong")</f>
        <v>Right</v>
      </c>
      <c r="FP329" s="2291" t="s">
        <v>654</v>
      </c>
      <c r="FQ329" s="3660">
        <f>DZ450</f>
        <v>22.09</v>
      </c>
      <c r="FR329" s="3661">
        <f>+DZ451</f>
        <v>775</v>
      </c>
      <c r="FS329" s="3618" t="str">
        <f>IF(FK329=FQ329,IF(FL329=FR329,IF(FK334=FQ329,IF(FL334=FR329,"Right","Wrong"),"Wrong"),"Wrong"),"Wrong")</f>
        <v>Right</v>
      </c>
      <c r="FT329" s="2250"/>
      <c r="FU329" s="2250"/>
      <c r="FV329" s="2250"/>
      <c r="FW329" s="2250"/>
      <c r="FX329" s="2250"/>
      <c r="FY329" s="2250"/>
      <c r="FZ329" s="2250"/>
      <c r="GA329" s="2250"/>
      <c r="GB329" s="2250"/>
      <c r="GC329" s="2276"/>
      <c r="GD329" s="2276"/>
      <c r="GE329" s="2250"/>
      <c r="GF329" s="2275"/>
      <c r="GG329" s="2250"/>
      <c r="GH329" s="2250"/>
      <c r="GI329" s="2250"/>
      <c r="GJ329" s="2250"/>
      <c r="GK329" s="2250"/>
      <c r="GL329" s="2250"/>
      <c r="GM329" s="2250"/>
      <c r="GN329" s="2250"/>
      <c r="GO329" s="2250"/>
      <c r="GP329" s="2250"/>
      <c r="GQ329" s="2250"/>
      <c r="GR329" s="2250"/>
      <c r="GS329" s="2250"/>
      <c r="GT329" s="2250"/>
      <c r="GU329" s="2250"/>
      <c r="GV329" s="2250"/>
      <c r="GW329" s="2250"/>
      <c r="GX329" s="2250"/>
      <c r="GY329" s="2250"/>
      <c r="GZ329" s="2250"/>
      <c r="HA329" s="2250"/>
      <c r="HB329" s="2250"/>
      <c r="HC329" s="2250"/>
      <c r="HD329" s="2250"/>
      <c r="HE329" s="2250"/>
      <c r="HF329" s="2250"/>
      <c r="HG329" s="2250"/>
      <c r="HH329" s="2250"/>
      <c r="HI329" s="4686"/>
      <c r="HJ329" s="4687"/>
      <c r="HK329" s="4688"/>
      <c r="HL329" s="4689"/>
      <c r="HM329" s="2250"/>
      <c r="HN329" s="2250"/>
      <c r="HO329" s="2250"/>
      <c r="HP329" s="2250"/>
      <c r="HQ329" s="2250"/>
      <c r="HR329" s="2291" t="s">
        <v>654</v>
      </c>
      <c r="HS329" s="3660">
        <f>GW389</f>
        <v>20.74</v>
      </c>
      <c r="HT329" s="3661">
        <f>GX389</f>
        <v>775</v>
      </c>
      <c r="HU329" s="2276" t="str">
        <f>IF(GU399="Right",IF(GU400="Right","Right","Wrong"),"Wrong")</f>
        <v>Right</v>
      </c>
      <c r="HV329" s="2250"/>
      <c r="HW329" s="3618" t="str">
        <f>IF(HS329=HY329,IF(HS329=HS334,IF(HT329=HZ329,IF(HT329=HT334,"Right","Wrong"),"Wrong"),"Wrong"),"Wrong")</f>
        <v>Right</v>
      </c>
      <c r="HX329" s="2291" t="s">
        <v>654</v>
      </c>
      <c r="HY329" s="3660">
        <f>GH450</f>
        <v>20.74</v>
      </c>
      <c r="HZ329" s="3661">
        <f>+GH451</f>
        <v>775</v>
      </c>
      <c r="IA329" s="3618" t="str">
        <f>IF(HS329=HY329,IF(HT329=HZ329,IF(HS334=HY329,IF(HT334=HZ329,"Right","Wrong"),"Wrong"),"Wrong"),"Wrong")</f>
        <v>Right</v>
      </c>
      <c r="IB329" s="2250"/>
      <c r="IC329" s="2250"/>
      <c r="ID329" s="2250"/>
      <c r="IE329" s="2250"/>
      <c r="IF329" s="2250"/>
      <c r="IG329" s="2250"/>
      <c r="IH329" s="2250"/>
      <c r="II329" s="2250"/>
      <c r="IJ329" s="2250"/>
      <c r="IK329" s="2250"/>
      <c r="IL329" s="53"/>
      <c r="IM329" s="53"/>
    </row>
    <row r="330" spans="1:247" ht="21.95" customHeight="1" thickBot="1">
      <c r="A330" s="2275"/>
      <c r="B330" s="2250"/>
      <c r="C330" s="2250"/>
      <c r="D330" s="2294" t="s">
        <v>2232</v>
      </c>
      <c r="E330" s="3665">
        <f>E4</f>
        <v>19.915970774546171</v>
      </c>
      <c r="F330" s="2250"/>
      <c r="G330" s="2250"/>
      <c r="H330" s="2250"/>
      <c r="I330" s="2250"/>
      <c r="J330" s="2250"/>
      <c r="K330" s="2250"/>
      <c r="L330" s="2250"/>
      <c r="M330" s="2250"/>
      <c r="N330" s="2250"/>
      <c r="O330" s="2250"/>
      <c r="P330" s="2250"/>
      <c r="Q330" s="2250"/>
      <c r="R330" s="2250"/>
      <c r="S330" s="2250"/>
      <c r="T330" s="2250"/>
      <c r="U330" s="2250"/>
      <c r="V330" s="2250"/>
      <c r="W330" s="2250"/>
      <c r="X330" s="2250"/>
      <c r="Y330" s="2250"/>
      <c r="Z330" s="2250"/>
      <c r="AA330" s="2250"/>
      <c r="AB330" s="2250"/>
      <c r="AC330" s="2250"/>
      <c r="AD330" s="4690" t="s">
        <v>646</v>
      </c>
      <c r="AE330" s="4691"/>
      <c r="AF330" s="2296" t="s">
        <v>706</v>
      </c>
      <c r="AG330" s="2297" t="s">
        <v>2185</v>
      </c>
      <c r="AH330" s="2250"/>
      <c r="AI330" s="3672" t="str">
        <f>HYPERLINK("Z:\Marketing Common\Dhrumil\Selection\Anupam_Gear_Box.pdf","Anupam Gear Box")</f>
        <v>Anupam Gear Box</v>
      </c>
      <c r="AJ330" s="2250"/>
      <c r="AK330" s="2250"/>
      <c r="AL330" s="2250"/>
      <c r="AM330" s="2291" t="s">
        <v>658</v>
      </c>
      <c r="AN330" s="3660">
        <f>AF389</f>
        <v>21.47</v>
      </c>
      <c r="AO330" s="3661">
        <f>AG389</f>
        <v>950</v>
      </c>
      <c r="AP330" s="2276" t="str">
        <f>IF(AD399="Right",IF(AD400="Right","Right","Wrong"),"Wrong")</f>
        <v>Right</v>
      </c>
      <c r="AQ330" s="2250"/>
      <c r="AR330" s="3618" t="str">
        <f>IF(AN330=AT330,IF(AN330=AN335,IF(AO330=AU330,IF(AO330=AO335,"Right","Wrong"),"Wrong"),"Wrong"),"Wrong")</f>
        <v>Right</v>
      </c>
      <c r="AS330" s="2291" t="s">
        <v>658</v>
      </c>
      <c r="AT330" s="3660">
        <f>C472</f>
        <v>21.47</v>
      </c>
      <c r="AU330" s="3661">
        <f>+C473</f>
        <v>950</v>
      </c>
      <c r="AV330" s="3618" t="str">
        <f>IF(AN330=AT330,IF(AO330=AU330,IF(AN335=AT330,IF(AO335=AU330,"Right","Wrong"),"Wrong"),"Wrong"),"Wrong")</f>
        <v>Right</v>
      </c>
      <c r="AW330" s="2250"/>
      <c r="AX330" s="2250"/>
      <c r="AY330" s="2250"/>
      <c r="AZ330" s="2250"/>
      <c r="BA330" s="2250"/>
      <c r="BB330" s="2250"/>
      <c r="BC330" s="2250"/>
      <c r="BD330" s="2250"/>
      <c r="BE330" s="2250"/>
      <c r="BF330" s="2276"/>
      <c r="BG330" s="2276"/>
      <c r="BH330" s="2250"/>
      <c r="BI330" s="2275"/>
      <c r="BJ330" s="2250"/>
      <c r="BK330" s="2250"/>
      <c r="BL330" s="2250"/>
      <c r="BM330" s="2250"/>
      <c r="BN330" s="2250"/>
      <c r="BO330" s="2250"/>
      <c r="BP330" s="2250"/>
      <c r="BQ330" s="2250"/>
      <c r="BR330" s="2250"/>
      <c r="BS330" s="2250"/>
      <c r="BT330" s="2250"/>
      <c r="BU330" s="2250"/>
      <c r="BV330" s="2250"/>
      <c r="BW330" s="2250"/>
      <c r="BX330" s="2250"/>
      <c r="BY330" s="2250"/>
      <c r="BZ330" s="2250"/>
      <c r="CA330" s="2250"/>
      <c r="CB330" s="2250"/>
      <c r="CC330" s="2250"/>
      <c r="CD330" s="2250"/>
      <c r="CE330" s="2250"/>
      <c r="CF330" s="2250"/>
      <c r="CG330" s="2250"/>
      <c r="CH330" s="2250"/>
      <c r="CI330" s="2250"/>
      <c r="CJ330" s="2250"/>
      <c r="CK330" s="2250"/>
      <c r="CL330" s="4690" t="s">
        <v>646</v>
      </c>
      <c r="CM330" s="4691"/>
      <c r="CN330" s="2296" t="s">
        <v>706</v>
      </c>
      <c r="CO330" s="2297" t="s">
        <v>2185</v>
      </c>
      <c r="CP330" s="2250"/>
      <c r="CQ330" s="3672" t="str">
        <f>HYPERLINK("Z:\Marketing Common\Dhrumil\Selection\Anupam_Gear_Box.pdf","Anupam Gear Box")</f>
        <v>Anupam Gear Box</v>
      </c>
      <c r="CR330" s="2250"/>
      <c r="CS330" s="2250"/>
      <c r="CT330" s="2250"/>
      <c r="CU330" s="2291" t="s">
        <v>658</v>
      </c>
      <c r="CV330" s="3660">
        <f>CN389</f>
        <v>26.07</v>
      </c>
      <c r="CW330" s="3661">
        <f>CO389</f>
        <v>1100</v>
      </c>
      <c r="CX330" s="2276" t="str">
        <f>IF(CL399="Right",IF(CL400="Right","Right","Wrong"),"Wrong")</f>
        <v>Right</v>
      </c>
      <c r="CY330" s="2250"/>
      <c r="CZ330" s="3618" t="str">
        <f>IF(CV330=DB330,IF(CV330=CV335,IF(CW330=DC330,IF(CW330=CW335,"Right","Wrong"),"Wrong"),"Wrong"),"Wrong")</f>
        <v>Right</v>
      </c>
      <c r="DA330" s="2291" t="s">
        <v>658</v>
      </c>
      <c r="DB330" s="3660">
        <f>BK472</f>
        <v>26.07</v>
      </c>
      <c r="DC330" s="3661">
        <f>+BK473</f>
        <v>1100</v>
      </c>
      <c r="DD330" s="3618" t="str">
        <f>IF(CV330=DB330,IF(CW330=DC330,IF(CV335=DB330,IF(CW335=DC330,"Right","Wrong"),"Wrong"),"Wrong"),"Wrong")</f>
        <v>Right</v>
      </c>
      <c r="DE330" s="2250"/>
      <c r="DF330" s="2250"/>
      <c r="DG330" s="2250"/>
      <c r="DH330" s="2250"/>
      <c r="DI330" s="2250"/>
      <c r="DJ330" s="2250"/>
      <c r="DK330" s="2250"/>
      <c r="DL330" s="2250"/>
      <c r="DM330" s="2250"/>
      <c r="DN330" s="2250"/>
      <c r="DO330" s="53"/>
      <c r="DP330" s="53"/>
      <c r="DQ330" s="2277"/>
      <c r="DR330" s="2277"/>
      <c r="DS330" s="2278"/>
      <c r="DT330" s="2250"/>
      <c r="DU330" s="2250"/>
      <c r="DV330" s="2250"/>
      <c r="DW330" s="2250"/>
      <c r="DX330" s="2250"/>
      <c r="DY330" s="2250"/>
      <c r="DZ330" s="2250"/>
      <c r="EA330" s="2294" t="s">
        <v>2232</v>
      </c>
      <c r="EB330" s="3665">
        <f>EB4</f>
        <v>19.968225884687833</v>
      </c>
      <c r="EC330" s="2250"/>
      <c r="ED330" s="2250"/>
      <c r="EE330" s="2250"/>
      <c r="EF330" s="2250"/>
      <c r="EG330" s="2250"/>
      <c r="EH330" s="2250"/>
      <c r="EI330" s="2250"/>
      <c r="EJ330" s="2250"/>
      <c r="EK330" s="2250"/>
      <c r="EL330" s="2250"/>
      <c r="EM330" s="2250"/>
      <c r="EN330" s="2250"/>
      <c r="EO330" s="2250"/>
      <c r="EP330" s="2250"/>
      <c r="EQ330" s="2250"/>
      <c r="ER330" s="2250"/>
      <c r="ES330" s="2250"/>
      <c r="ET330" s="2250"/>
      <c r="EU330" s="2250"/>
      <c r="EV330" s="2250"/>
      <c r="EW330" s="2250"/>
      <c r="EX330" s="2250"/>
      <c r="EY330" s="2250"/>
      <c r="EZ330" s="2250"/>
      <c r="FA330" s="4690" t="s">
        <v>646</v>
      </c>
      <c r="FB330" s="4691"/>
      <c r="FC330" s="2296" t="s">
        <v>706</v>
      </c>
      <c r="FD330" s="2297" t="s">
        <v>2185</v>
      </c>
      <c r="FE330" s="2250"/>
      <c r="FF330" s="3672" t="str">
        <f>HYPERLINK("Z:\Marketing Common\Dhrumil\Selection\Anupam_Gear_Box.pdf","Anupam Gear Box")</f>
        <v>Anupam Gear Box</v>
      </c>
      <c r="FG330" s="2250"/>
      <c r="FH330" s="2250"/>
      <c r="FI330" s="2250"/>
      <c r="FJ330" s="2291" t="s">
        <v>658</v>
      </c>
      <c r="FK330" s="3660">
        <f>FC389</f>
        <v>22.47</v>
      </c>
      <c r="FL330" s="3661">
        <f>FD389</f>
        <v>825</v>
      </c>
      <c r="FM330" s="2276" t="str">
        <f>IF(FA399="Right",IF(FA400="Right","Right","Wrong"),"Wrong")</f>
        <v>Right</v>
      </c>
      <c r="FN330" s="2250"/>
      <c r="FO330" s="3618" t="str">
        <f>IF(FK330=FQ330,IF(FK330=FK335,IF(FL330=FR330,IF(FL330=FL335,"Right","Wrong"),"Wrong"),"Wrong"),"Wrong")</f>
        <v>Right</v>
      </c>
      <c r="FP330" s="2291" t="s">
        <v>658</v>
      </c>
      <c r="FQ330" s="3660">
        <f>DZ472</f>
        <v>22.47</v>
      </c>
      <c r="FR330" s="3661">
        <f>+DZ473</f>
        <v>825</v>
      </c>
      <c r="FS330" s="3618" t="str">
        <f>IF(FK330=FQ330,IF(FL330=FR330,IF(FK335=FQ330,IF(FL335=FR330,"Right","Wrong"),"Wrong"),"Wrong"),"Wrong")</f>
        <v>Right</v>
      </c>
      <c r="FT330" s="2250"/>
      <c r="FU330" s="2250"/>
      <c r="FV330" s="2250"/>
      <c r="FW330" s="2250"/>
      <c r="FX330" s="2250"/>
      <c r="FY330" s="2250"/>
      <c r="FZ330" s="2250"/>
      <c r="GA330" s="2250"/>
      <c r="GB330" s="2250"/>
      <c r="GC330" s="2276"/>
      <c r="GD330" s="2276"/>
      <c r="GE330" s="2250"/>
      <c r="GF330" s="2275"/>
      <c r="GG330" s="2250"/>
      <c r="GH330" s="2250"/>
      <c r="GI330" s="2250"/>
      <c r="GJ330" s="2250"/>
      <c r="GK330" s="2250"/>
      <c r="GL330" s="2250"/>
      <c r="GM330" s="2250"/>
      <c r="GN330" s="2250"/>
      <c r="GO330" s="2250"/>
      <c r="GP330" s="2250"/>
      <c r="GQ330" s="2250"/>
      <c r="GR330" s="2250"/>
      <c r="GS330" s="2250"/>
      <c r="GT330" s="2250"/>
      <c r="GU330" s="2250"/>
      <c r="GV330" s="2250"/>
      <c r="GW330" s="2250"/>
      <c r="GX330" s="2250"/>
      <c r="GY330" s="2250"/>
      <c r="GZ330" s="2250"/>
      <c r="HA330" s="2250"/>
      <c r="HB330" s="2250"/>
      <c r="HC330" s="2250"/>
      <c r="HD330" s="2250"/>
      <c r="HE330" s="2250"/>
      <c r="HF330" s="2250"/>
      <c r="HG330" s="2250"/>
      <c r="HH330" s="2250"/>
      <c r="HI330" s="4690" t="s">
        <v>646</v>
      </c>
      <c r="HJ330" s="4691"/>
      <c r="HK330" s="2296" t="s">
        <v>706</v>
      </c>
      <c r="HL330" s="2297" t="s">
        <v>2185</v>
      </c>
      <c r="HM330" s="2250"/>
      <c r="HN330" s="3672" t="str">
        <f>HYPERLINK("Z:\Marketing Common\Dhrumil\Selection\Anupam_Gear_Box.pdf","Anupam Gear Box")</f>
        <v>Anupam Gear Box</v>
      </c>
      <c r="HO330" s="2250"/>
      <c r="HP330" s="2250"/>
      <c r="HQ330" s="2250"/>
      <c r="HR330" s="2291" t="s">
        <v>658</v>
      </c>
      <c r="HS330" s="3660">
        <f>HK389</f>
        <v>21.2</v>
      </c>
      <c r="HT330" s="3661">
        <f>HL389</f>
        <v>825</v>
      </c>
      <c r="HU330" s="2276" t="str">
        <f>IF(HI399="Right",IF(HI400="Right","Right","Wrong"),"Wrong")</f>
        <v>Right</v>
      </c>
      <c r="HV330" s="2250"/>
      <c r="HW330" s="3618" t="str">
        <f>IF(HS330=HY330,IF(HS330=HS335,IF(HT330=HZ330,IF(HT330=HT335,"Right","Wrong"),"Wrong"),"Wrong"),"Wrong")</f>
        <v>Right</v>
      </c>
      <c r="HX330" s="2291" t="s">
        <v>658</v>
      </c>
      <c r="HY330" s="3660">
        <f>GH472</f>
        <v>21.2</v>
      </c>
      <c r="HZ330" s="3661">
        <f>+GH473</f>
        <v>825</v>
      </c>
      <c r="IA330" s="3618" t="str">
        <f>IF(HS330=HY330,IF(HT330=HZ330,IF(HS335=HY330,IF(HT335=HZ330,"Right","Wrong"),"Wrong"),"Wrong"),"Wrong")</f>
        <v>Right</v>
      </c>
      <c r="IB330" s="2250"/>
      <c r="IC330" s="2250"/>
      <c r="ID330" s="2250"/>
      <c r="IE330" s="2250"/>
      <c r="IF330" s="2250"/>
      <c r="IG330" s="2250"/>
      <c r="IH330" s="2250"/>
      <c r="II330" s="2250"/>
      <c r="IJ330" s="2250"/>
      <c r="IK330" s="2250"/>
      <c r="IL330" s="53"/>
      <c r="IM330" s="53"/>
    </row>
    <row r="331" spans="1:247" ht="21.95" customHeight="1" thickBot="1">
      <c r="A331" s="2275"/>
      <c r="B331" s="2250"/>
      <c r="C331" s="2250"/>
      <c r="D331" s="2294" t="s">
        <v>2234</v>
      </c>
      <c r="E331" s="3665">
        <f>E5</f>
        <v>204.36114285714288</v>
      </c>
      <c r="F331" s="2250"/>
      <c r="G331" s="2250"/>
      <c r="H331" s="2250"/>
      <c r="I331" s="2250"/>
      <c r="J331" s="2250"/>
      <c r="K331" s="2250"/>
      <c r="L331" s="2250"/>
      <c r="M331" s="2250"/>
      <c r="N331" s="2250"/>
      <c r="O331" s="2250"/>
      <c r="P331" s="2250"/>
      <c r="Q331" s="2250"/>
      <c r="R331" s="2250"/>
      <c r="S331" s="2250"/>
      <c r="T331" s="2250"/>
      <c r="U331" s="2250"/>
      <c r="V331" s="2250"/>
      <c r="W331" s="2250"/>
      <c r="X331" s="2250"/>
      <c r="Y331" s="2250"/>
      <c r="Z331" s="2250"/>
      <c r="AA331" s="2250"/>
      <c r="AB331" s="2250"/>
      <c r="AD331" s="4673" t="s">
        <v>732</v>
      </c>
      <c r="AE331" s="4674"/>
      <c r="AF331" s="3669">
        <f t="shared" ref="AF331:AG334" si="280">+AN328</f>
        <v>0</v>
      </c>
      <c r="AG331" s="3674">
        <f t="shared" si="280"/>
        <v>400</v>
      </c>
      <c r="AH331" s="2250"/>
      <c r="AI331" s="3673" t="str">
        <f>IF(AT333="Right",IF(AR328="Right","Right","Wrong"),"Wrong")</f>
        <v>Right</v>
      </c>
      <c r="AJ331" s="2250"/>
      <c r="AK331" s="2250"/>
      <c r="AL331" s="2250"/>
      <c r="AM331" s="2301" t="s">
        <v>662</v>
      </c>
      <c r="AN331" s="3662">
        <f>AT389</f>
        <v>22</v>
      </c>
      <c r="AO331" s="3663">
        <f>AU389</f>
        <v>1100</v>
      </c>
      <c r="AP331" s="2276" t="str">
        <f>IF(AR399="Right",IF(AR400="Right","Right","Wrong"),"Wrong")</f>
        <v>Right</v>
      </c>
      <c r="AQ331" s="2250"/>
      <c r="AR331" s="3618" t="str">
        <f>IF(AN331=AT331,IF(AN331=AN336,IF(AO331=AU331,IF(AO331=AO336,"Right","Wrong"),"Wrong"),"Wrong"),"Wrong")</f>
        <v>Right</v>
      </c>
      <c r="AS331" s="2304" t="s">
        <v>662</v>
      </c>
      <c r="AT331" s="3662">
        <f>C494</f>
        <v>22</v>
      </c>
      <c r="AU331" s="3664">
        <f>+C495</f>
        <v>1100</v>
      </c>
      <c r="AV331" s="3618" t="str">
        <f>IF(AN331=AT331,IF(AO331=AU331,IF(AN336=AT331,IF(AO336=AU331,"Right","Wrong"),"Wrong"),"Wrong"),"Wrong")</f>
        <v>Right</v>
      </c>
      <c r="AW331" s="2250"/>
      <c r="AX331" s="2250"/>
      <c r="AY331" s="2250"/>
      <c r="AZ331" s="2250"/>
      <c r="BA331" s="2250"/>
      <c r="BB331" s="2250"/>
      <c r="BC331" s="2250"/>
      <c r="BD331" s="2250"/>
      <c r="BE331" s="2250"/>
      <c r="BF331" s="2276"/>
      <c r="BG331" s="2276"/>
      <c r="BH331" s="2250"/>
      <c r="BI331" s="2275"/>
      <c r="BJ331" s="2250"/>
      <c r="BK331" s="2250"/>
      <c r="BL331" s="2250"/>
      <c r="BM331" s="2250"/>
      <c r="BN331" s="2250"/>
      <c r="BO331" s="2250"/>
      <c r="BP331" s="2250"/>
      <c r="BQ331" s="2250"/>
      <c r="BR331" s="2250"/>
      <c r="BS331" s="2250"/>
      <c r="BT331" s="2250"/>
      <c r="BU331" s="2250"/>
      <c r="BV331" s="2250"/>
      <c r="BW331" s="2250"/>
      <c r="BX331" s="2250"/>
      <c r="BY331" s="2250"/>
      <c r="BZ331" s="2250"/>
      <c r="CA331" s="2250"/>
      <c r="CB331" s="2250"/>
      <c r="CC331" s="2250"/>
      <c r="CD331" s="2250"/>
      <c r="CE331" s="2250"/>
      <c r="CF331" s="2250"/>
      <c r="CG331" s="2250"/>
      <c r="CH331" s="2250"/>
      <c r="CI331" s="2250"/>
      <c r="CJ331" s="2250"/>
      <c r="CL331" s="4673" t="s">
        <v>732</v>
      </c>
      <c r="CM331" s="4674"/>
      <c r="CN331" s="3669">
        <f t="shared" ref="CN331:CO334" si="281">+CV328</f>
        <v>0</v>
      </c>
      <c r="CO331" s="3674">
        <f t="shared" si="281"/>
        <v>400</v>
      </c>
      <c r="CP331" s="2250"/>
      <c r="CQ331" s="3673" t="str">
        <f>IF(DB333="Right",IF(CZ328="Right","Right","Wrong"),"Wrong")</f>
        <v>Right</v>
      </c>
      <c r="CR331" s="2250"/>
      <c r="CS331" s="2250"/>
      <c r="CT331" s="2250"/>
      <c r="CU331" s="2301" t="s">
        <v>662</v>
      </c>
      <c r="CV331" s="3662">
        <f>DB389</f>
        <v>29.23</v>
      </c>
      <c r="CW331" s="3663">
        <f>DC389</f>
        <v>1250</v>
      </c>
      <c r="CX331" s="2276" t="str">
        <f>IF(CZ399="Right",IF(CZ400="Right","Right","Wrong"),"Wrong")</f>
        <v>Right</v>
      </c>
      <c r="CY331" s="2250"/>
      <c r="CZ331" s="3618" t="str">
        <f>IF(CV331=DB331,IF(CV331=CV336,IF(CW331=DC331,IF(CW331=CW336,"Right","Wrong"),"Wrong"),"Wrong"),"Wrong")</f>
        <v>Right</v>
      </c>
      <c r="DA331" s="2304" t="s">
        <v>662</v>
      </c>
      <c r="DB331" s="3662">
        <f>BK494</f>
        <v>29.23</v>
      </c>
      <c r="DC331" s="3664">
        <f>+BK495</f>
        <v>1250</v>
      </c>
      <c r="DD331" s="3618" t="str">
        <f>IF(CV331=DB331,IF(CW331=DC331,IF(CV336=DB331,IF(CW336=DC331,"Right","Wrong"),"Wrong"),"Wrong"),"Wrong")</f>
        <v>Right</v>
      </c>
      <c r="DE331" s="2250"/>
      <c r="DF331" s="2250"/>
      <c r="DG331" s="2250"/>
      <c r="DH331" s="2250"/>
      <c r="DI331" s="2250"/>
      <c r="DJ331" s="2250"/>
      <c r="DK331" s="2250"/>
      <c r="DL331" s="2250"/>
      <c r="DM331" s="2250"/>
      <c r="DN331" s="2250"/>
      <c r="DO331" s="53"/>
      <c r="DP331" s="53"/>
      <c r="DQ331" s="2277"/>
      <c r="DR331" s="2277"/>
      <c r="DS331" s="2278"/>
      <c r="DT331" s="2250"/>
      <c r="DU331" s="2250"/>
      <c r="DV331" s="2250"/>
      <c r="DW331" s="2250"/>
      <c r="DX331" s="2250"/>
      <c r="DY331" s="2250"/>
      <c r="DZ331" s="2250"/>
      <c r="EA331" s="2294" t="s">
        <v>2234</v>
      </c>
      <c r="EB331" s="3665">
        <f>EB5</f>
        <v>125.03040000000001</v>
      </c>
      <c r="EC331" s="2250"/>
      <c r="ED331" s="2250"/>
      <c r="EE331" s="2250"/>
      <c r="EF331" s="2250"/>
      <c r="EG331" s="2250"/>
      <c r="EH331" s="2250"/>
      <c r="EI331" s="2250"/>
      <c r="EJ331" s="2250"/>
      <c r="EK331" s="2250"/>
      <c r="EL331" s="2250"/>
      <c r="EM331" s="2250"/>
      <c r="EN331" s="2250"/>
      <c r="EO331" s="2250"/>
      <c r="EP331" s="2250"/>
      <c r="EQ331" s="2250"/>
      <c r="ER331" s="2250"/>
      <c r="ES331" s="2250"/>
      <c r="ET331" s="2250"/>
      <c r="EU331" s="2250"/>
      <c r="EV331" s="2250"/>
      <c r="EW331" s="2250"/>
      <c r="EX331" s="2250"/>
      <c r="EY331" s="2250"/>
      <c r="EZ331" s="2250"/>
      <c r="FA331" s="4673" t="s">
        <v>732</v>
      </c>
      <c r="FB331" s="4674"/>
      <c r="FC331" s="3669">
        <f t="shared" ref="FC331:FD334" si="282">+FK328</f>
        <v>0</v>
      </c>
      <c r="FD331" s="3674">
        <f t="shared" si="282"/>
        <v>400</v>
      </c>
      <c r="FE331" s="2250"/>
      <c r="FF331" s="3673" t="str">
        <f>IF(FQ333="Right",IF(FO328="Right","Right","Wrong"),"Wrong")</f>
        <v>Right</v>
      </c>
      <c r="FG331" s="2250"/>
      <c r="FH331" s="2250"/>
      <c r="FI331" s="2250"/>
      <c r="FJ331" s="2301" t="s">
        <v>662</v>
      </c>
      <c r="FK331" s="3662">
        <f>FQ389</f>
        <v>25.46</v>
      </c>
      <c r="FL331" s="3663">
        <f>FR389</f>
        <v>950</v>
      </c>
      <c r="FM331" s="2276" t="str">
        <f>IF(FO399="Right",IF(FO400="Right","Right","Wrong"),"Wrong")</f>
        <v>Right</v>
      </c>
      <c r="FN331" s="2250"/>
      <c r="FO331" s="3618" t="str">
        <f>IF(FK331=FQ331,IF(FK331=FK336,IF(FL331=FR331,IF(FL331=FL336,"Right","Wrong"),"Wrong"),"Wrong"),"Wrong")</f>
        <v>Right</v>
      </c>
      <c r="FP331" s="2304" t="s">
        <v>662</v>
      </c>
      <c r="FQ331" s="3662">
        <f>DZ494</f>
        <v>25.46</v>
      </c>
      <c r="FR331" s="3664">
        <f>+DZ495</f>
        <v>950</v>
      </c>
      <c r="FS331" s="3618" t="str">
        <f>IF(FK331=FQ331,IF(FL331=FR331,IF(FK336=FQ331,IF(FL336=FR331,"Right","Wrong"),"Wrong"),"Wrong"),"Wrong")</f>
        <v>Right</v>
      </c>
      <c r="FT331" s="2250"/>
      <c r="FU331" s="2250"/>
      <c r="FV331" s="2250"/>
      <c r="FW331" s="2250"/>
      <c r="FX331" s="2250"/>
      <c r="FY331" s="2250"/>
      <c r="FZ331" s="2250"/>
      <c r="GA331" s="2250"/>
      <c r="GB331" s="2250"/>
      <c r="GC331" s="2276"/>
      <c r="GD331" s="2276"/>
      <c r="GE331" s="2250"/>
      <c r="GF331" s="2275"/>
      <c r="GG331" s="2250"/>
      <c r="GH331" s="2250"/>
      <c r="GI331" s="2250"/>
      <c r="GJ331" s="2250"/>
      <c r="GK331" s="2250"/>
      <c r="GL331" s="2250"/>
      <c r="GM331" s="2250"/>
      <c r="GN331" s="2250"/>
      <c r="GO331" s="2250"/>
      <c r="GP331" s="2250"/>
      <c r="GQ331" s="2250"/>
      <c r="GR331" s="2250"/>
      <c r="GS331" s="2250"/>
      <c r="GT331" s="2250"/>
      <c r="GU331" s="2250"/>
      <c r="GV331" s="2250"/>
      <c r="GW331" s="2250"/>
      <c r="GX331" s="2250"/>
      <c r="GY331" s="2250"/>
      <c r="GZ331" s="2250"/>
      <c r="HA331" s="2250"/>
      <c r="HB331" s="2250"/>
      <c r="HC331" s="2250"/>
      <c r="HD331" s="2250"/>
      <c r="HE331" s="2250"/>
      <c r="HF331" s="2250"/>
      <c r="HG331" s="2250"/>
      <c r="HH331" s="2250"/>
      <c r="HI331" s="4673" t="s">
        <v>732</v>
      </c>
      <c r="HJ331" s="4674"/>
      <c r="HK331" s="3669">
        <f t="shared" ref="HK331:HL334" si="283">+HS328</f>
        <v>0</v>
      </c>
      <c r="HL331" s="3674">
        <f t="shared" si="283"/>
        <v>400</v>
      </c>
      <c r="HM331" s="2250"/>
      <c r="HN331" s="3673" t="str">
        <f>IF(HY333="Right",IF(HW328="Right","Right","Wrong"),"Wrong")</f>
        <v>Right</v>
      </c>
      <c r="HO331" s="2250"/>
      <c r="HP331" s="2250"/>
      <c r="HQ331" s="2250"/>
      <c r="HR331" s="2301" t="s">
        <v>662</v>
      </c>
      <c r="HS331" s="3662">
        <f>HY389</f>
        <v>23.38</v>
      </c>
      <c r="HT331" s="3663">
        <f>HZ389</f>
        <v>950</v>
      </c>
      <c r="HU331" s="2276" t="str">
        <f>IF(HW399="Right",IF(HW400="Right","Right","Wrong"),"Wrong")</f>
        <v>Right</v>
      </c>
      <c r="HV331" s="2250"/>
      <c r="HW331" s="3618" t="str">
        <f>IF(HS331=HY331,IF(HS331=HS336,IF(HT331=HZ331,IF(HT331=HT336,"Right","Wrong"),"Wrong"),"Wrong"),"Wrong")</f>
        <v>Right</v>
      </c>
      <c r="HX331" s="2304" t="s">
        <v>662</v>
      </c>
      <c r="HY331" s="3662">
        <f>GH494</f>
        <v>23.38</v>
      </c>
      <c r="HZ331" s="3664">
        <f>+GH495</f>
        <v>950</v>
      </c>
      <c r="IA331" s="3618" t="str">
        <f>IF(HS331=HY331,IF(HT331=HZ331,IF(HS336=HY331,IF(HT336=HZ331,"Right","Wrong"),"Wrong"),"Wrong"),"Wrong")</f>
        <v>Right</v>
      </c>
      <c r="IB331" s="2250"/>
      <c r="IC331" s="2250"/>
      <c r="ID331" s="2250"/>
      <c r="IE331" s="2250"/>
      <c r="IF331" s="2250"/>
      <c r="IG331" s="2250"/>
      <c r="IH331" s="2250"/>
      <c r="II331" s="2250"/>
      <c r="IJ331" s="2250"/>
      <c r="IK331" s="2250"/>
      <c r="IL331" s="53"/>
      <c r="IM331" s="53"/>
    </row>
    <row r="332" spans="1:247" ht="21.95" customHeight="1" thickBot="1">
      <c r="A332" s="2275"/>
      <c r="B332" s="2250"/>
      <c r="C332" s="2250"/>
      <c r="D332" s="2250"/>
      <c r="E332" s="2250"/>
      <c r="F332" s="2250"/>
      <c r="G332" s="2250"/>
      <c r="H332" s="2250"/>
      <c r="I332" s="2250"/>
      <c r="J332" s="2250"/>
      <c r="K332" s="2250"/>
      <c r="L332" s="2250"/>
      <c r="M332" s="2250"/>
      <c r="N332" s="2250"/>
      <c r="O332" s="2250"/>
      <c r="P332" s="2250"/>
      <c r="Q332" s="2250"/>
      <c r="R332" s="2250"/>
      <c r="S332" s="2250"/>
      <c r="T332" s="2250"/>
      <c r="U332" s="2250"/>
      <c r="V332" s="2250"/>
      <c r="W332" s="2250"/>
      <c r="X332" s="2250"/>
      <c r="Y332" s="2250"/>
      <c r="Z332" s="2250"/>
      <c r="AA332" s="2250"/>
      <c r="AB332" s="2250"/>
      <c r="AD332" s="4675" t="s">
        <v>733</v>
      </c>
      <c r="AE332" s="4676"/>
      <c r="AF332" s="3670">
        <f t="shared" si="280"/>
        <v>20.86</v>
      </c>
      <c r="AG332" s="3675">
        <f t="shared" si="280"/>
        <v>825</v>
      </c>
      <c r="AH332" s="2250"/>
      <c r="AI332" s="3673" t="str">
        <f>IF(AT334="Right",IF(AR329="Right","Right","Wrong"),"Wrong")</f>
        <v>Right</v>
      </c>
      <c r="AJ332" s="2250"/>
      <c r="AK332" s="2250"/>
      <c r="AL332" s="2279" t="s">
        <v>2235</v>
      </c>
      <c r="AM332" s="2280" t="s">
        <v>648</v>
      </c>
      <c r="AN332" s="2281" t="s">
        <v>706</v>
      </c>
      <c r="AO332" s="2282" t="s">
        <v>707</v>
      </c>
      <c r="AP332" s="3667" t="str">
        <f>IF(AP334="Right",IF(AP335="Right",IF(AP336="Right",IF(AP333="Right","Right","Wrong"),"Wrong"),"Wrong"),"Wrong")</f>
        <v>Right</v>
      </c>
      <c r="AQ332" s="2250"/>
      <c r="AR332" s="2250"/>
      <c r="AS332" s="2250"/>
      <c r="AT332" s="3666" t="str">
        <f>IF(AT334="Right",IF(AT335="Right",IF(AT336="Right",IF(AT333="Right","Right","Wrong"),"Wrong"),"Wrong"),"Wrong")</f>
        <v>Right</v>
      </c>
      <c r="AU332" s="2250"/>
      <c r="AV332" s="2250"/>
      <c r="AW332" s="2250"/>
      <c r="AX332" s="2250"/>
      <c r="AY332" s="2250"/>
      <c r="AZ332" s="2250"/>
      <c r="BA332" s="2250"/>
      <c r="BB332" s="2250"/>
      <c r="BC332" s="2250"/>
      <c r="BD332" s="2250"/>
      <c r="BE332" s="2250"/>
      <c r="BF332" s="2276"/>
      <c r="BG332" s="2276"/>
      <c r="BH332" s="2250"/>
      <c r="BI332" s="2275"/>
      <c r="BJ332" s="2250"/>
      <c r="BK332" s="2250"/>
      <c r="BL332" s="2250"/>
      <c r="BM332" s="2250"/>
      <c r="BN332" s="2250"/>
      <c r="BO332" s="2250"/>
      <c r="BP332" s="2250"/>
      <c r="BQ332" s="2250"/>
      <c r="BR332" s="2250"/>
      <c r="BS332" s="2250"/>
      <c r="BT332" s="2250"/>
      <c r="BU332" s="2250"/>
      <c r="BV332" s="2250"/>
      <c r="BW332" s="2250"/>
      <c r="BX332" s="2250"/>
      <c r="BY332" s="2250"/>
      <c r="BZ332" s="2250"/>
      <c r="CA332" s="2250"/>
      <c r="CB332" s="2250"/>
      <c r="CC332" s="2250"/>
      <c r="CD332" s="2250"/>
      <c r="CE332" s="2250"/>
      <c r="CF332" s="2250"/>
      <c r="CG332" s="2250"/>
      <c r="CH332" s="2250"/>
      <c r="CI332" s="2250"/>
      <c r="CJ332" s="2250"/>
      <c r="CL332" s="4675" t="s">
        <v>733</v>
      </c>
      <c r="CM332" s="4676"/>
      <c r="CN332" s="3670">
        <f t="shared" si="281"/>
        <v>27.18</v>
      </c>
      <c r="CO332" s="3675">
        <f t="shared" si="281"/>
        <v>950</v>
      </c>
      <c r="CP332" s="2250"/>
      <c r="CQ332" s="3673" t="str">
        <f>IF(DB334="Right",IF(CZ329="Right","Right","Wrong"),"Wrong")</f>
        <v>Right</v>
      </c>
      <c r="CR332" s="2250"/>
      <c r="CS332" s="2250"/>
      <c r="CT332" s="2279" t="s">
        <v>2235</v>
      </c>
      <c r="CU332" s="2280" t="s">
        <v>648</v>
      </c>
      <c r="CV332" s="2281" t="s">
        <v>706</v>
      </c>
      <c r="CW332" s="2282" t="s">
        <v>707</v>
      </c>
      <c r="CX332" s="3667" t="str">
        <f>IF(CX334="Right",IF(CX335="Right",IF(CX336="Right",IF(CX333="Right","Right","Wrong"),"Wrong"),"Wrong"),"Wrong")</f>
        <v>Right</v>
      </c>
      <c r="CY332" s="2250"/>
      <c r="CZ332" s="2250"/>
      <c r="DA332" s="2250"/>
      <c r="DB332" s="3666" t="str">
        <f>IF(DB334="Right",IF(DB335="Right",IF(DB336="Right",IF(DB333="Right","Right","Wrong"),"Wrong"),"Wrong"),"Wrong")</f>
        <v>Right</v>
      </c>
      <c r="DC332" s="2250"/>
      <c r="DD332" s="2250"/>
      <c r="DE332" s="2250"/>
      <c r="DF332" s="2250"/>
      <c r="DG332" s="2250"/>
      <c r="DH332" s="2250"/>
      <c r="DI332" s="2250"/>
      <c r="DJ332" s="2250"/>
      <c r="DK332" s="2250"/>
      <c r="DL332" s="2250"/>
      <c r="DM332" s="2250"/>
      <c r="DN332" s="2250"/>
      <c r="DO332" s="53"/>
      <c r="DP332" s="53"/>
      <c r="DQ332" s="2277"/>
      <c r="DR332" s="2277"/>
      <c r="DS332" s="2278"/>
      <c r="DT332" s="2250"/>
      <c r="DU332" s="2250"/>
      <c r="DV332" s="2250"/>
      <c r="DW332" s="2250"/>
      <c r="DX332" s="2250"/>
      <c r="DY332" s="2250"/>
      <c r="DZ332" s="2250"/>
      <c r="EA332" s="2250"/>
      <c r="EB332" s="2250"/>
      <c r="EC332" s="2250"/>
      <c r="ED332" s="2250"/>
      <c r="EE332" s="2250"/>
      <c r="EF332" s="2250"/>
      <c r="EG332" s="2250"/>
      <c r="EH332" s="2250"/>
      <c r="EI332" s="2250"/>
      <c r="EJ332" s="2250"/>
      <c r="EK332" s="2250"/>
      <c r="EL332" s="2250"/>
      <c r="EM332" s="2250"/>
      <c r="EN332" s="2250"/>
      <c r="EO332" s="2250"/>
      <c r="EP332" s="2250"/>
      <c r="EQ332" s="2250"/>
      <c r="ER332" s="2250"/>
      <c r="ES332" s="2250"/>
      <c r="ET332" s="2250"/>
      <c r="EU332" s="2250"/>
      <c r="EV332" s="2250"/>
      <c r="EW332" s="2250"/>
      <c r="EX332" s="2250"/>
      <c r="EY332" s="2250"/>
      <c r="EZ332" s="2250"/>
      <c r="FA332" s="4675" t="s">
        <v>733</v>
      </c>
      <c r="FB332" s="4676"/>
      <c r="FC332" s="3670">
        <f t="shared" si="282"/>
        <v>22.09</v>
      </c>
      <c r="FD332" s="3675">
        <f t="shared" si="282"/>
        <v>775</v>
      </c>
      <c r="FE332" s="2250"/>
      <c r="FF332" s="3673" t="str">
        <f>IF(FQ334="Right",IF(FO329="Right","Right","Wrong"),"Wrong")</f>
        <v>Right</v>
      </c>
      <c r="FG332" s="2250"/>
      <c r="FH332" s="2250"/>
      <c r="FI332" s="2279" t="s">
        <v>2235</v>
      </c>
      <c r="FJ332" s="2280" t="s">
        <v>648</v>
      </c>
      <c r="FK332" s="2281" t="s">
        <v>706</v>
      </c>
      <c r="FL332" s="2282" t="s">
        <v>707</v>
      </c>
      <c r="FM332" s="3667" t="str">
        <f>IF(FM334="Right",IF(FM335="Right",IF(FM336="Right",IF(FM333="Right","Right","Wrong"),"Wrong"),"Wrong"),"Wrong")</f>
        <v>Right</v>
      </c>
      <c r="FN332" s="2250"/>
      <c r="FO332" s="2250"/>
      <c r="FP332" s="2250"/>
      <c r="FQ332" s="3666" t="str">
        <f>IF(FQ334="Right",IF(FQ335="Right",IF(FQ336="Right",IF(FQ333="Right","Right","Wrong"),"Wrong"),"Wrong"),"Wrong")</f>
        <v>Right</v>
      </c>
      <c r="FR332" s="2250"/>
      <c r="FS332" s="2250"/>
      <c r="FT332" s="2250"/>
      <c r="FU332" s="2250"/>
      <c r="FV332" s="2250"/>
      <c r="FW332" s="2250"/>
      <c r="FX332" s="2250"/>
      <c r="FY332" s="2250"/>
      <c r="FZ332" s="2250"/>
      <c r="GA332" s="2250"/>
      <c r="GB332" s="2250"/>
      <c r="GC332" s="2276"/>
      <c r="GD332" s="2276"/>
      <c r="GE332" s="2250"/>
      <c r="GF332" s="2275"/>
      <c r="GG332" s="2250"/>
      <c r="GH332" s="2250"/>
      <c r="GI332" s="2250"/>
      <c r="GJ332" s="2250"/>
      <c r="GK332" s="2250"/>
      <c r="GL332" s="2250"/>
      <c r="GM332" s="2250"/>
      <c r="GN332" s="2250"/>
      <c r="GO332" s="2250"/>
      <c r="GP332" s="2250"/>
      <c r="GQ332" s="2250"/>
      <c r="GR332" s="2250"/>
      <c r="GS332" s="2250"/>
      <c r="GT332" s="2250"/>
      <c r="GU332" s="2250"/>
      <c r="GV332" s="2250"/>
      <c r="GW332" s="2250"/>
      <c r="GX332" s="2250"/>
      <c r="GY332" s="2250"/>
      <c r="GZ332" s="2250"/>
      <c r="HA332" s="2250"/>
      <c r="HB332" s="2250"/>
      <c r="HC332" s="2250"/>
      <c r="HD332" s="2250"/>
      <c r="HE332" s="2250"/>
      <c r="HF332" s="2250"/>
      <c r="HG332" s="2250"/>
      <c r="HH332" s="2250"/>
      <c r="HI332" s="4675" t="s">
        <v>733</v>
      </c>
      <c r="HJ332" s="4676"/>
      <c r="HK332" s="3670">
        <f t="shared" si="283"/>
        <v>20.74</v>
      </c>
      <c r="HL332" s="3675">
        <f t="shared" si="283"/>
        <v>775</v>
      </c>
      <c r="HM332" s="2250"/>
      <c r="HN332" s="3673" t="str">
        <f>IF(HY334="Right",IF(HW329="Right","Right","Wrong"),"Wrong")</f>
        <v>Right</v>
      </c>
      <c r="HO332" s="2250"/>
      <c r="HP332" s="2250"/>
      <c r="HQ332" s="2279" t="s">
        <v>2235</v>
      </c>
      <c r="HR332" s="2280" t="s">
        <v>648</v>
      </c>
      <c r="HS332" s="2281" t="s">
        <v>706</v>
      </c>
      <c r="HT332" s="2282" t="s">
        <v>707</v>
      </c>
      <c r="HU332" s="3667" t="str">
        <f>IF(HU334="Right",IF(HU335="Right",IF(HU336="Right",IF(HU333="Right","Right","Wrong"),"Wrong"),"Wrong"),"Wrong")</f>
        <v>Right</v>
      </c>
      <c r="HV332" s="2250"/>
      <c r="HW332" s="2250"/>
      <c r="HX332" s="2250"/>
      <c r="HY332" s="3666" t="str">
        <f>IF(HY334="Right",IF(HY335="Right",IF(HY336="Right",IF(HY333="Right","Right","Wrong"),"Wrong"),"Wrong"),"Wrong")</f>
        <v>Right</v>
      </c>
      <c r="HZ332" s="2250"/>
      <c r="IA332" s="2250"/>
      <c r="IB332" s="2250"/>
      <c r="IC332" s="2250"/>
      <c r="ID332" s="2250"/>
      <c r="IE332" s="2250"/>
      <c r="IF332" s="2250"/>
      <c r="IG332" s="2250"/>
      <c r="IH332" s="2250"/>
      <c r="II332" s="2250"/>
      <c r="IJ332" s="2250"/>
      <c r="IK332" s="2250"/>
      <c r="IL332" s="53"/>
      <c r="IM332" s="53"/>
    </row>
    <row r="333" spans="1:247" ht="21.95" customHeight="1" thickBot="1">
      <c r="A333" s="2275"/>
      <c r="B333" s="2250"/>
      <c r="C333" s="2250"/>
      <c r="D333" s="2309" t="s">
        <v>646</v>
      </c>
      <c r="E333" s="2310" t="s">
        <v>2171</v>
      </c>
      <c r="F333" s="2311" t="s">
        <v>2172</v>
      </c>
      <c r="G333" s="2312" t="s">
        <v>2175</v>
      </c>
      <c r="H333" s="2313" t="s">
        <v>2176</v>
      </c>
      <c r="I333" s="2250"/>
      <c r="J333" s="2250"/>
      <c r="K333" s="2250"/>
      <c r="L333" s="2250"/>
      <c r="M333" s="2250"/>
      <c r="N333" s="2250"/>
      <c r="O333" s="2250"/>
      <c r="P333" s="2250"/>
      <c r="Q333" s="2250"/>
      <c r="R333" s="2250"/>
      <c r="S333" s="2250"/>
      <c r="T333" s="2250"/>
      <c r="U333" s="2250"/>
      <c r="V333" s="2250"/>
      <c r="W333" s="2250"/>
      <c r="X333" s="2250"/>
      <c r="Y333" s="2250"/>
      <c r="Z333" s="2250"/>
      <c r="AA333" s="2250"/>
      <c r="AB333" s="2250"/>
      <c r="AD333" s="4675" t="s">
        <v>734</v>
      </c>
      <c r="AE333" s="4676"/>
      <c r="AF333" s="3670">
        <f t="shared" si="280"/>
        <v>21.47</v>
      </c>
      <c r="AG333" s="3675">
        <f t="shared" si="280"/>
        <v>950</v>
      </c>
      <c r="AH333" s="2250"/>
      <c r="AI333" s="3673" t="str">
        <f>IF(AT335="Right",IF(AR330="Right","Right","Wrong"),"Wrong")</f>
        <v>Right</v>
      </c>
      <c r="AJ333" s="2250"/>
      <c r="AK333" s="2250"/>
      <c r="AL333" s="2250"/>
      <c r="AM333" s="2288" t="s">
        <v>651</v>
      </c>
      <c r="AN333" s="3658">
        <f>AH426</f>
        <v>0</v>
      </c>
      <c r="AO333" s="3659">
        <f>AI426</f>
        <v>400</v>
      </c>
      <c r="AP333" s="2276" t="str">
        <f>E426</f>
        <v>Right</v>
      </c>
      <c r="AQ333" s="2250"/>
      <c r="AR333" s="2250"/>
      <c r="AS333" s="2250"/>
      <c r="AT333" s="3678" t="str">
        <f>IF(AP328="Right",IF(AV328="Right",IF(AP333="Right","Right","Wrong"),"Wrong"),"Wrong")</f>
        <v>Right</v>
      </c>
      <c r="AU333" s="2250"/>
      <c r="AV333" s="2250"/>
      <c r="AW333" s="2250"/>
      <c r="AX333" s="2250"/>
      <c r="AY333" s="2250"/>
      <c r="AZ333" s="2250"/>
      <c r="BA333" s="2250"/>
      <c r="BB333" s="2250"/>
      <c r="BC333" s="2250"/>
      <c r="BD333" s="2250"/>
      <c r="BE333" s="2250"/>
      <c r="BF333" s="2276"/>
      <c r="BG333" s="2276"/>
      <c r="BH333" s="2250"/>
      <c r="BI333" s="2275"/>
      <c r="BJ333" s="2250"/>
      <c r="BK333" s="2250"/>
      <c r="BL333" s="2250"/>
      <c r="BM333" s="2250"/>
      <c r="BN333" s="2250"/>
      <c r="BO333" s="2250"/>
      <c r="BP333" s="2250"/>
      <c r="BQ333" s="2250"/>
      <c r="BR333" s="2250"/>
      <c r="BS333" s="2250"/>
      <c r="BT333" s="2250"/>
      <c r="BU333" s="2250"/>
      <c r="BV333" s="2250"/>
      <c r="BW333" s="2250"/>
      <c r="BX333" s="2250"/>
      <c r="BY333" s="2250"/>
      <c r="BZ333" s="2250"/>
      <c r="CA333" s="2250"/>
      <c r="CB333" s="2250"/>
      <c r="CC333" s="2250"/>
      <c r="CD333" s="2250"/>
      <c r="CE333" s="2250"/>
      <c r="CF333" s="2250"/>
      <c r="CG333" s="2250"/>
      <c r="CH333" s="2250"/>
      <c r="CI333" s="2250"/>
      <c r="CJ333" s="2250"/>
      <c r="CL333" s="4675" t="s">
        <v>734</v>
      </c>
      <c r="CM333" s="4676"/>
      <c r="CN333" s="3670">
        <f t="shared" si="281"/>
        <v>26.07</v>
      </c>
      <c r="CO333" s="3675">
        <f t="shared" si="281"/>
        <v>1100</v>
      </c>
      <c r="CP333" s="2250"/>
      <c r="CQ333" s="3673" t="str">
        <f>IF(DB335="Right",IF(CZ330="Right","Right","Wrong"),"Wrong")</f>
        <v>Right</v>
      </c>
      <c r="CR333" s="2250"/>
      <c r="CS333" s="2250"/>
      <c r="CT333" s="2250"/>
      <c r="CU333" s="2288" t="s">
        <v>651</v>
      </c>
      <c r="CV333" s="3658">
        <f>CP426</f>
        <v>0</v>
      </c>
      <c r="CW333" s="3659">
        <f>CQ426</f>
        <v>400</v>
      </c>
      <c r="CX333" s="2276" t="str">
        <f>BM426</f>
        <v>Right</v>
      </c>
      <c r="CY333" s="2250"/>
      <c r="CZ333" s="2250"/>
      <c r="DA333" s="2250"/>
      <c r="DB333" s="3678" t="str">
        <f>IF(CX328="Right",IF(DD328="Right",IF(CX333="Right","Right","Wrong"),"Wrong"),"Wrong")</f>
        <v>Right</v>
      </c>
      <c r="DC333" s="2250"/>
      <c r="DD333" s="2250"/>
      <c r="DE333" s="2250"/>
      <c r="DF333" s="2250"/>
      <c r="DG333" s="2250"/>
      <c r="DH333" s="2250"/>
      <c r="DI333" s="2250"/>
      <c r="DJ333" s="2250"/>
      <c r="DK333" s="2250"/>
      <c r="DL333" s="2250"/>
      <c r="DM333" s="2250"/>
      <c r="DN333" s="2250"/>
      <c r="DO333" s="53"/>
      <c r="DP333" s="53"/>
      <c r="DQ333" s="2277"/>
      <c r="DR333" s="2277"/>
      <c r="DS333" s="2278"/>
      <c r="DT333" s="2250"/>
      <c r="DU333" s="2250"/>
      <c r="DV333" s="2250"/>
      <c r="DW333" s="2250"/>
      <c r="DX333" s="2250"/>
      <c r="DY333" s="2250"/>
      <c r="DZ333" s="2250"/>
      <c r="EA333" s="2309" t="s">
        <v>646</v>
      </c>
      <c r="EB333" s="2310" t="s">
        <v>2171</v>
      </c>
      <c r="EC333" s="2311" t="s">
        <v>2172</v>
      </c>
      <c r="ED333" s="2312" t="s">
        <v>2175</v>
      </c>
      <c r="EE333" s="2313" t="s">
        <v>2176</v>
      </c>
      <c r="EF333" s="2250"/>
      <c r="EG333" s="2250"/>
      <c r="EH333" s="2250"/>
      <c r="EI333" s="2250"/>
      <c r="EJ333" s="2250"/>
      <c r="EK333" s="2250"/>
      <c r="EL333" s="2250"/>
      <c r="EM333" s="2250"/>
      <c r="EN333" s="2250"/>
      <c r="EO333" s="2250"/>
      <c r="EP333" s="2250"/>
      <c r="EQ333" s="2250"/>
      <c r="ER333" s="2250"/>
      <c r="ES333" s="2250"/>
      <c r="ET333" s="2250"/>
      <c r="EU333" s="2250"/>
      <c r="EV333" s="2250"/>
      <c r="EW333" s="2250"/>
      <c r="EX333" s="2250"/>
      <c r="EY333" s="2250"/>
      <c r="EZ333" s="2250"/>
      <c r="FA333" s="4675" t="s">
        <v>734</v>
      </c>
      <c r="FB333" s="4676"/>
      <c r="FC333" s="3670">
        <f t="shared" si="282"/>
        <v>22.47</v>
      </c>
      <c r="FD333" s="3675">
        <f t="shared" si="282"/>
        <v>825</v>
      </c>
      <c r="FE333" s="2250"/>
      <c r="FF333" s="3673" t="str">
        <f>IF(FQ335="Right",IF(FO330="Right","Right","Wrong"),"Wrong")</f>
        <v>Right</v>
      </c>
      <c r="FG333" s="2250"/>
      <c r="FH333" s="2250"/>
      <c r="FI333" s="2250"/>
      <c r="FJ333" s="2288" t="s">
        <v>651</v>
      </c>
      <c r="FK333" s="3658">
        <f>FE426</f>
        <v>0</v>
      </c>
      <c r="FL333" s="3659">
        <f>FF426</f>
        <v>400</v>
      </c>
      <c r="FM333" s="2276" t="str">
        <f>EB426</f>
        <v>Right</v>
      </c>
      <c r="FN333" s="2250"/>
      <c r="FO333" s="2250"/>
      <c r="FP333" s="2250"/>
      <c r="FQ333" s="3678" t="str">
        <f>IF(FM328="Right",IF(FS328="Right",IF(FM333="Right","Right","Wrong"),"Wrong"),"Wrong")</f>
        <v>Right</v>
      </c>
      <c r="FR333" s="2250"/>
      <c r="FS333" s="2250"/>
      <c r="FT333" s="2250"/>
      <c r="FU333" s="2250"/>
      <c r="FV333" s="2250"/>
      <c r="FW333" s="2250"/>
      <c r="FX333" s="2250"/>
      <c r="FY333" s="2250"/>
      <c r="FZ333" s="2250"/>
      <c r="GA333" s="2250"/>
      <c r="GB333" s="2250"/>
      <c r="GC333" s="2276"/>
      <c r="GD333" s="2276"/>
      <c r="GE333" s="2250"/>
      <c r="GF333" s="2275"/>
      <c r="GG333" s="2250"/>
      <c r="GH333" s="2250"/>
      <c r="GI333" s="2250"/>
      <c r="GJ333" s="2250"/>
      <c r="GK333" s="2250"/>
      <c r="GL333" s="2250"/>
      <c r="GM333" s="2250"/>
      <c r="GN333" s="2250"/>
      <c r="GO333" s="2250"/>
      <c r="GP333" s="2250"/>
      <c r="GQ333" s="2250"/>
      <c r="GR333" s="2250"/>
      <c r="GS333" s="2250"/>
      <c r="GT333" s="2250"/>
      <c r="GU333" s="2250"/>
      <c r="GV333" s="2250"/>
      <c r="GW333" s="2250"/>
      <c r="GX333" s="2250"/>
      <c r="GY333" s="2250"/>
      <c r="GZ333" s="2250"/>
      <c r="HA333" s="2250"/>
      <c r="HB333" s="2250"/>
      <c r="HC333" s="2250"/>
      <c r="HD333" s="2250"/>
      <c r="HE333" s="2250"/>
      <c r="HF333" s="2250"/>
      <c r="HG333" s="2250"/>
      <c r="HH333" s="2250"/>
      <c r="HI333" s="4675" t="s">
        <v>734</v>
      </c>
      <c r="HJ333" s="4676"/>
      <c r="HK333" s="3670">
        <f t="shared" si="283"/>
        <v>21.2</v>
      </c>
      <c r="HL333" s="3675">
        <f t="shared" si="283"/>
        <v>825</v>
      </c>
      <c r="HM333" s="2250"/>
      <c r="HN333" s="3673" t="str">
        <f>IF(HY335="Right",IF(HW330="Right","Right","Wrong"),"Wrong")</f>
        <v>Right</v>
      </c>
      <c r="HO333" s="2250"/>
      <c r="HP333" s="2250"/>
      <c r="HQ333" s="2250"/>
      <c r="HR333" s="2288" t="s">
        <v>651</v>
      </c>
      <c r="HS333" s="3658">
        <f>HM426</f>
        <v>0</v>
      </c>
      <c r="HT333" s="3659">
        <f>HN426</f>
        <v>400</v>
      </c>
      <c r="HU333" s="2276" t="str">
        <f>GJ426</f>
        <v>Right</v>
      </c>
      <c r="HV333" s="2250"/>
      <c r="HW333" s="2250"/>
      <c r="HX333" s="2250"/>
      <c r="HY333" s="3678" t="str">
        <f>IF(HU328="Right",IF(IA328="Right",IF(HU333="Right","Right","Wrong"),"Wrong"),"Wrong")</f>
        <v>Right</v>
      </c>
      <c r="HZ333" s="2250"/>
      <c r="IA333" s="2250"/>
      <c r="IB333" s="2250"/>
      <c r="IC333" s="2250"/>
      <c r="ID333" s="2250"/>
      <c r="IE333" s="2250"/>
      <c r="IF333" s="2250"/>
      <c r="IG333" s="2250"/>
      <c r="IH333" s="2250"/>
      <c r="II333" s="2250"/>
      <c r="IJ333" s="2250"/>
      <c r="IK333" s="2250"/>
      <c r="IL333" s="53"/>
      <c r="IM333" s="53"/>
    </row>
    <row r="334" spans="1:247" ht="21.95" customHeight="1" thickBot="1">
      <c r="A334" s="2275"/>
      <c r="B334" s="2250"/>
      <c r="C334" s="2250"/>
      <c r="D334" s="2315" t="s">
        <v>732</v>
      </c>
      <c r="E334" s="3681">
        <f>AF331</f>
        <v>0</v>
      </c>
      <c r="F334" s="3684">
        <f>AG331</f>
        <v>400</v>
      </c>
      <c r="G334" s="3684">
        <f t="shared" ref="G334:H337" si="284">CN331</f>
        <v>0</v>
      </c>
      <c r="H334" s="3675">
        <f t="shared" si="284"/>
        <v>400</v>
      </c>
      <c r="I334" s="2276" t="str">
        <f>AI331</f>
        <v>Right</v>
      </c>
      <c r="J334" s="2276" t="str">
        <f>CQ331</f>
        <v>Right</v>
      </c>
      <c r="K334" s="2250"/>
      <c r="L334" s="2250"/>
      <c r="M334" s="2250"/>
      <c r="N334" s="2250"/>
      <c r="O334" s="2250"/>
      <c r="P334" s="2250"/>
      <c r="Q334" s="2250"/>
      <c r="R334" s="2250"/>
      <c r="S334" s="2250"/>
      <c r="T334" s="2250"/>
      <c r="U334" s="2250"/>
      <c r="V334" s="2250"/>
      <c r="W334" s="2250"/>
      <c r="X334" s="2250"/>
      <c r="Y334" s="2250"/>
      <c r="Z334" s="2250"/>
      <c r="AA334" s="2250"/>
      <c r="AB334" s="2250"/>
      <c r="AD334" s="4677" t="s">
        <v>735</v>
      </c>
      <c r="AE334" s="4678"/>
      <c r="AF334" s="3671">
        <f t="shared" si="280"/>
        <v>22</v>
      </c>
      <c r="AG334" s="3676">
        <f t="shared" si="280"/>
        <v>1100</v>
      </c>
      <c r="AH334" s="2250"/>
      <c r="AI334" s="3673" t="str">
        <f>IF(AT336="Right",IF(AR331="Right","Right","Wrong"),"Wrong")</f>
        <v>Right</v>
      </c>
      <c r="AJ334" s="2250"/>
      <c r="AK334" s="2250"/>
      <c r="AL334" s="2250"/>
      <c r="AM334" s="2291" t="s">
        <v>654</v>
      </c>
      <c r="AN334" s="3660">
        <f>AH448</f>
        <v>20.86</v>
      </c>
      <c r="AO334" s="3661">
        <f>AI448</f>
        <v>825</v>
      </c>
      <c r="AP334" s="2276" t="str">
        <f>E448</f>
        <v>Right</v>
      </c>
      <c r="AQ334" s="2250"/>
      <c r="AR334" s="2250"/>
      <c r="AS334" s="2250"/>
      <c r="AT334" s="3679" t="str">
        <f>IF(AP329="Right",IF(AV329="Right",IF(AP334="Right","Right","Wrong"),"Wrong"),"Wrong")</f>
        <v>Right</v>
      </c>
      <c r="AU334" s="2250"/>
      <c r="AV334" s="2250"/>
      <c r="AW334" s="2250"/>
      <c r="AX334" s="2250"/>
      <c r="AY334" s="2250"/>
      <c r="AZ334" s="2250"/>
      <c r="BA334" s="2250"/>
      <c r="BB334" s="2250"/>
      <c r="BC334" s="2250"/>
      <c r="BD334" s="2250"/>
      <c r="BE334" s="2250"/>
      <c r="BF334" s="2276"/>
      <c r="BG334" s="2276"/>
      <c r="BH334" s="2250"/>
      <c r="BI334" s="2275"/>
      <c r="BJ334" s="2250"/>
      <c r="BK334" s="2250"/>
      <c r="BL334" s="2250"/>
      <c r="BM334" s="2250"/>
      <c r="BN334" s="2250"/>
      <c r="BO334" s="2250"/>
      <c r="BP334" s="2250"/>
      <c r="BQ334" s="2250"/>
      <c r="BR334" s="2250"/>
      <c r="BS334" s="2250"/>
      <c r="BT334" s="2250"/>
      <c r="BU334" s="2250"/>
      <c r="BV334" s="2250"/>
      <c r="BW334" s="2250"/>
      <c r="BX334" s="2250"/>
      <c r="BY334" s="2250"/>
      <c r="BZ334" s="2250"/>
      <c r="CA334" s="2250"/>
      <c r="CB334" s="2250"/>
      <c r="CC334" s="2250"/>
      <c r="CD334" s="2250"/>
      <c r="CE334" s="2250"/>
      <c r="CF334" s="2250"/>
      <c r="CG334" s="2250"/>
      <c r="CH334" s="2250"/>
      <c r="CI334" s="2250"/>
      <c r="CJ334" s="2250"/>
      <c r="CL334" s="4677" t="s">
        <v>735</v>
      </c>
      <c r="CM334" s="4678"/>
      <c r="CN334" s="3671">
        <f t="shared" si="281"/>
        <v>29.23</v>
      </c>
      <c r="CO334" s="3676">
        <f t="shared" si="281"/>
        <v>1250</v>
      </c>
      <c r="CP334" s="2250"/>
      <c r="CQ334" s="3673" t="str">
        <f>IF(DB336="Right",IF(CZ331="Right","Right","Wrong"),"Wrong")</f>
        <v>Right</v>
      </c>
      <c r="CR334" s="2250"/>
      <c r="CS334" s="2250"/>
      <c r="CT334" s="2250"/>
      <c r="CU334" s="2291" t="s">
        <v>654</v>
      </c>
      <c r="CV334" s="3660">
        <f>CP448</f>
        <v>27.18</v>
      </c>
      <c r="CW334" s="3661">
        <f>CQ448</f>
        <v>950</v>
      </c>
      <c r="CX334" s="2276" t="str">
        <f>BM448</f>
        <v>Right</v>
      </c>
      <c r="CY334" s="2250"/>
      <c r="CZ334" s="2250"/>
      <c r="DA334" s="2250"/>
      <c r="DB334" s="3679" t="str">
        <f>IF(CX329="Right",IF(DD329="Right",IF(CX334="Right","Right","Wrong"),"Wrong"),"Wrong")</f>
        <v>Right</v>
      </c>
      <c r="DC334" s="2250"/>
      <c r="DD334" s="2250"/>
      <c r="DE334" s="2250"/>
      <c r="DF334" s="2250"/>
      <c r="DG334" s="2250"/>
      <c r="DH334" s="2250"/>
      <c r="DI334" s="2250"/>
      <c r="DJ334" s="2250"/>
      <c r="DK334" s="2250"/>
      <c r="DL334" s="2250"/>
      <c r="DM334" s="2250"/>
      <c r="DN334" s="2250"/>
      <c r="DO334" s="53"/>
      <c r="DP334" s="53"/>
      <c r="DQ334" s="2277"/>
      <c r="DR334" s="2277"/>
      <c r="DS334" s="2278"/>
      <c r="DT334" s="2250"/>
      <c r="DU334" s="2250"/>
      <c r="DV334" s="2250"/>
      <c r="DW334" s="2250"/>
      <c r="DX334" s="2250"/>
      <c r="DY334" s="2250"/>
      <c r="DZ334" s="2250"/>
      <c r="EA334" s="2315" t="s">
        <v>732</v>
      </c>
      <c r="EB334" s="3681">
        <f>FC331</f>
        <v>0</v>
      </c>
      <c r="EC334" s="3684">
        <f>FD331</f>
        <v>400</v>
      </c>
      <c r="ED334" s="3684">
        <f t="shared" ref="ED334:EE337" si="285">HK331</f>
        <v>0</v>
      </c>
      <c r="EE334" s="3675">
        <f t="shared" si="285"/>
        <v>400</v>
      </c>
      <c r="EF334" s="2276" t="str">
        <f>FF331</f>
        <v>Right</v>
      </c>
      <c r="EG334" s="2276" t="str">
        <f>HN331</f>
        <v>Right</v>
      </c>
      <c r="EH334" s="2250"/>
      <c r="EI334" s="2250"/>
      <c r="EJ334" s="2250"/>
      <c r="EK334" s="2250"/>
      <c r="EL334" s="2250"/>
      <c r="EM334" s="2250"/>
      <c r="EN334" s="2250"/>
      <c r="EO334" s="2250"/>
      <c r="EP334" s="2250"/>
      <c r="EQ334" s="2250"/>
      <c r="ER334" s="2250"/>
      <c r="ES334" s="2250"/>
      <c r="ET334" s="2250"/>
      <c r="EU334" s="2250"/>
      <c r="EV334" s="2250"/>
      <c r="EW334" s="2250"/>
      <c r="EX334" s="2250"/>
      <c r="EY334" s="2250"/>
      <c r="EZ334" s="2250"/>
      <c r="FA334" s="4677" t="s">
        <v>735</v>
      </c>
      <c r="FB334" s="4678"/>
      <c r="FC334" s="3671">
        <f t="shared" si="282"/>
        <v>25.46</v>
      </c>
      <c r="FD334" s="3676">
        <f t="shared" si="282"/>
        <v>950</v>
      </c>
      <c r="FE334" s="2250"/>
      <c r="FF334" s="3673" t="str">
        <f>IF(FQ336="Right",IF(FO331="Right","Right","Wrong"),"Wrong")</f>
        <v>Right</v>
      </c>
      <c r="FG334" s="2250"/>
      <c r="FH334" s="2250"/>
      <c r="FI334" s="2250"/>
      <c r="FJ334" s="2291" t="s">
        <v>654</v>
      </c>
      <c r="FK334" s="3660">
        <f>FE448</f>
        <v>22.09</v>
      </c>
      <c r="FL334" s="3661">
        <f>FF448</f>
        <v>775</v>
      </c>
      <c r="FM334" s="2276" t="str">
        <f>EB448</f>
        <v>Right</v>
      </c>
      <c r="FN334" s="2250"/>
      <c r="FO334" s="2250"/>
      <c r="FP334" s="2250"/>
      <c r="FQ334" s="3679" t="str">
        <f>IF(FM329="Right",IF(FS329="Right",IF(FM334="Right","Right","Wrong"),"Wrong"),"Wrong")</f>
        <v>Right</v>
      </c>
      <c r="FR334" s="2250"/>
      <c r="FS334" s="2250"/>
      <c r="FT334" s="2250"/>
      <c r="FU334" s="2250"/>
      <c r="FV334" s="2250"/>
      <c r="FW334" s="2250"/>
      <c r="FX334" s="2250"/>
      <c r="FY334" s="2250"/>
      <c r="FZ334" s="2250"/>
      <c r="GA334" s="2250"/>
      <c r="GB334" s="2250"/>
      <c r="GC334" s="2276"/>
      <c r="GD334" s="2276"/>
      <c r="GE334" s="2250"/>
      <c r="GF334" s="2275"/>
      <c r="GG334" s="2250"/>
      <c r="GH334" s="2250"/>
      <c r="GI334" s="2250"/>
      <c r="GJ334" s="2250"/>
      <c r="GK334" s="2250"/>
      <c r="GL334" s="2250"/>
      <c r="GM334" s="2250"/>
      <c r="GN334" s="2250"/>
      <c r="GO334" s="2250"/>
      <c r="GP334" s="2250"/>
      <c r="GQ334" s="2250"/>
      <c r="GR334" s="2250"/>
      <c r="GS334" s="2250"/>
      <c r="GT334" s="2250"/>
      <c r="GU334" s="2250"/>
      <c r="GV334" s="2250"/>
      <c r="GW334" s="2250"/>
      <c r="GX334" s="2250"/>
      <c r="GY334" s="2250"/>
      <c r="GZ334" s="2250"/>
      <c r="HA334" s="2250"/>
      <c r="HB334" s="2250"/>
      <c r="HC334" s="2250"/>
      <c r="HD334" s="2250"/>
      <c r="HE334" s="2250"/>
      <c r="HF334" s="2250"/>
      <c r="HG334" s="2250"/>
      <c r="HH334" s="2250"/>
      <c r="HI334" s="4677" t="s">
        <v>735</v>
      </c>
      <c r="HJ334" s="4678"/>
      <c r="HK334" s="3671">
        <f t="shared" si="283"/>
        <v>23.38</v>
      </c>
      <c r="HL334" s="3676">
        <f t="shared" si="283"/>
        <v>950</v>
      </c>
      <c r="HM334" s="2250"/>
      <c r="HN334" s="3673" t="str">
        <f>IF(HY336="Right",IF(HW331="Right","Right","Wrong"),"Wrong")</f>
        <v>Right</v>
      </c>
      <c r="HO334" s="2250"/>
      <c r="HP334" s="2250"/>
      <c r="HQ334" s="2250"/>
      <c r="HR334" s="2291" t="s">
        <v>654</v>
      </c>
      <c r="HS334" s="3660">
        <f>HM448</f>
        <v>20.74</v>
      </c>
      <c r="HT334" s="3661">
        <f>HN448</f>
        <v>775</v>
      </c>
      <c r="HU334" s="2276" t="str">
        <f>GJ448</f>
        <v>Right</v>
      </c>
      <c r="HV334" s="2250"/>
      <c r="HW334" s="2250"/>
      <c r="HX334" s="2250"/>
      <c r="HY334" s="3679" t="str">
        <f>IF(HU329="Right",IF(IA329="Right",IF(HU334="Right","Right","Wrong"),"Wrong"),"Wrong")</f>
        <v>Right</v>
      </c>
      <c r="HZ334" s="2250"/>
      <c r="IA334" s="2250"/>
      <c r="IB334" s="2250"/>
      <c r="IC334" s="2250"/>
      <c r="ID334" s="2250"/>
      <c r="IE334" s="2250"/>
      <c r="IF334" s="2250"/>
      <c r="IG334" s="2250"/>
      <c r="IH334" s="2250"/>
      <c r="II334" s="2250"/>
      <c r="IJ334" s="2250"/>
      <c r="IK334" s="2250"/>
      <c r="IL334" s="53"/>
      <c r="IM334" s="53"/>
    </row>
    <row r="335" spans="1:247" ht="21.95" customHeight="1" thickBot="1">
      <c r="A335" s="2275"/>
      <c r="B335" s="2250"/>
      <c r="C335" s="2250"/>
      <c r="D335" s="2321" t="s">
        <v>733</v>
      </c>
      <c r="E335" s="3682">
        <f>+AF332</f>
        <v>20.86</v>
      </c>
      <c r="F335" s="3685">
        <f>AG332</f>
        <v>825</v>
      </c>
      <c r="G335" s="3685">
        <f t="shared" si="284"/>
        <v>27.18</v>
      </c>
      <c r="H335" s="3688">
        <f t="shared" si="284"/>
        <v>950</v>
      </c>
      <c r="I335" s="2276" t="str">
        <f>AI332</f>
        <v>Right</v>
      </c>
      <c r="J335" s="2276" t="str">
        <f>CQ332</f>
        <v>Right</v>
      </c>
      <c r="K335" s="2250"/>
      <c r="L335" s="2250"/>
      <c r="M335" s="2250"/>
      <c r="N335" s="2250"/>
      <c r="O335" s="2250"/>
      <c r="P335" s="2250"/>
      <c r="Q335" s="2250"/>
      <c r="R335" s="2250"/>
      <c r="S335" s="2250"/>
      <c r="T335" s="2250"/>
      <c r="U335" s="2250"/>
      <c r="V335" s="2250"/>
      <c r="W335" s="2250"/>
      <c r="X335" s="2250"/>
      <c r="Y335" s="2250"/>
      <c r="Z335" s="2250"/>
      <c r="AA335" s="2250"/>
      <c r="AB335" s="2250"/>
      <c r="AD335" s="2250"/>
      <c r="AE335" s="2250"/>
      <c r="AF335" s="2250"/>
      <c r="AG335" s="3677" t="str">
        <f>AM338</f>
        <v>Right</v>
      </c>
      <c r="AH335" s="2250"/>
      <c r="AI335" s="2250"/>
      <c r="AJ335" s="2250"/>
      <c r="AK335" s="2250"/>
      <c r="AL335" s="2250"/>
      <c r="AM335" s="2291" t="s">
        <v>658</v>
      </c>
      <c r="AN335" s="3660">
        <f>AH470</f>
        <v>21.47</v>
      </c>
      <c r="AO335" s="3661">
        <f>AI470</f>
        <v>950</v>
      </c>
      <c r="AP335" s="2276" t="str">
        <f>E470</f>
        <v>Right</v>
      </c>
      <c r="AQ335" s="2250"/>
      <c r="AR335" s="2250"/>
      <c r="AS335" s="2250"/>
      <c r="AT335" s="3679" t="str">
        <f>IF(AP330="Right",IF(AV330="Right",IF(AP335="Right","Right","Wrong"),"Wrong"),"Wrong")</f>
        <v>Right</v>
      </c>
      <c r="AU335" s="2250"/>
      <c r="AV335" s="2250"/>
      <c r="AW335" s="2250"/>
      <c r="AX335" s="2250"/>
      <c r="AY335" s="2250"/>
      <c r="AZ335" s="2250"/>
      <c r="BA335" s="2250"/>
      <c r="BB335" s="2250"/>
      <c r="BC335" s="2250"/>
      <c r="BD335" s="2250"/>
      <c r="BE335" s="2250"/>
      <c r="BF335" s="2276"/>
      <c r="BG335" s="2276"/>
      <c r="BH335" s="2250"/>
      <c r="BI335" s="2275"/>
      <c r="BJ335" s="2250"/>
      <c r="BK335" s="2250"/>
      <c r="BL335" s="2250"/>
      <c r="BM335" s="2250"/>
      <c r="BN335" s="2250"/>
      <c r="BO335" s="2250"/>
      <c r="BP335" s="2250"/>
      <c r="BQ335" s="2250"/>
      <c r="BR335" s="2250"/>
      <c r="BS335" s="2250"/>
      <c r="BT335" s="2250"/>
      <c r="BU335" s="2250"/>
      <c r="BV335" s="2250"/>
      <c r="BW335" s="2250"/>
      <c r="BX335" s="2250"/>
      <c r="BY335" s="2250"/>
      <c r="BZ335" s="2250"/>
      <c r="CA335" s="2250"/>
      <c r="CB335" s="2250"/>
      <c r="CC335" s="2250"/>
      <c r="CD335" s="2250"/>
      <c r="CE335" s="2250"/>
      <c r="CF335" s="2250"/>
      <c r="CG335" s="2250"/>
      <c r="CH335" s="2250"/>
      <c r="CI335" s="2250"/>
      <c r="CJ335" s="2250"/>
      <c r="CK335" s="2250"/>
      <c r="CL335" s="2250"/>
      <c r="CM335" s="2250"/>
      <c r="CN335" s="2250"/>
      <c r="CO335" s="3677" t="str">
        <f>CU338</f>
        <v>Right</v>
      </c>
      <c r="CP335" s="2250"/>
      <c r="CQ335" s="2250"/>
      <c r="CR335" s="2250"/>
      <c r="CS335" s="2250"/>
      <c r="CT335" s="2250"/>
      <c r="CU335" s="2291" t="s">
        <v>658</v>
      </c>
      <c r="CV335" s="3660">
        <f>CP470</f>
        <v>26.07</v>
      </c>
      <c r="CW335" s="3661">
        <f>CQ470</f>
        <v>1100</v>
      </c>
      <c r="CX335" s="2276" t="str">
        <f>BM470</f>
        <v>Right</v>
      </c>
      <c r="CY335" s="2250"/>
      <c r="CZ335" s="2250"/>
      <c r="DA335" s="2250"/>
      <c r="DB335" s="3679" t="str">
        <f>IF(CX330="Right",IF(DD330="Right",IF(CX335="Right","Right","Wrong"),"Wrong"),"Wrong")</f>
        <v>Right</v>
      </c>
      <c r="DC335" s="2250"/>
      <c r="DD335" s="2250"/>
      <c r="DE335" s="2250"/>
      <c r="DF335" s="2250"/>
      <c r="DG335" s="2250"/>
      <c r="DH335" s="2250"/>
      <c r="DI335" s="2250"/>
      <c r="DJ335" s="2250"/>
      <c r="DK335" s="2250"/>
      <c r="DL335" s="2250"/>
      <c r="DM335" s="2250"/>
      <c r="DN335" s="2250"/>
      <c r="DO335" s="53"/>
      <c r="DP335" s="53"/>
      <c r="DQ335" s="2277"/>
      <c r="DR335" s="2277"/>
      <c r="DS335" s="2278"/>
      <c r="DT335" s="2250"/>
      <c r="DU335" s="2250"/>
      <c r="DV335" s="2250"/>
      <c r="DW335" s="2250"/>
      <c r="DX335" s="2250"/>
      <c r="DY335" s="2250"/>
      <c r="DZ335" s="2250"/>
      <c r="EA335" s="2321" t="s">
        <v>733</v>
      </c>
      <c r="EB335" s="3682">
        <f>+FC332</f>
        <v>22.09</v>
      </c>
      <c r="EC335" s="3685">
        <f>FD332</f>
        <v>775</v>
      </c>
      <c r="ED335" s="3685">
        <f t="shared" si="285"/>
        <v>20.74</v>
      </c>
      <c r="EE335" s="3688">
        <f t="shared" si="285"/>
        <v>775</v>
      </c>
      <c r="EF335" s="2276" t="str">
        <f>FF332</f>
        <v>Right</v>
      </c>
      <c r="EG335" s="2276" t="str">
        <f>HN332</f>
        <v>Right</v>
      </c>
      <c r="EH335" s="2250"/>
      <c r="EI335" s="2250"/>
      <c r="EJ335" s="2250"/>
      <c r="EK335" s="2250"/>
      <c r="EL335" s="2250"/>
      <c r="EM335" s="2250"/>
      <c r="EN335" s="2250"/>
      <c r="EO335" s="2250"/>
      <c r="EP335" s="2250"/>
      <c r="EQ335" s="2250"/>
      <c r="ER335" s="2250"/>
      <c r="ES335" s="2250"/>
      <c r="ET335" s="2250"/>
      <c r="EU335" s="2250"/>
      <c r="EV335" s="2250"/>
      <c r="EW335" s="2250"/>
      <c r="EX335" s="2250"/>
      <c r="EY335" s="2250"/>
      <c r="EZ335" s="2250"/>
      <c r="FA335" s="2250"/>
      <c r="FB335" s="2250"/>
      <c r="FC335" s="2250"/>
      <c r="FD335" s="3677" t="str">
        <f>FJ338</f>
        <v>Right</v>
      </c>
      <c r="FE335" s="2250"/>
      <c r="FF335" s="2250"/>
      <c r="FG335" s="2250"/>
      <c r="FH335" s="2250"/>
      <c r="FI335" s="2250"/>
      <c r="FJ335" s="2291" t="s">
        <v>658</v>
      </c>
      <c r="FK335" s="3660">
        <f>FE470</f>
        <v>22.47</v>
      </c>
      <c r="FL335" s="3661">
        <f>FF470</f>
        <v>825</v>
      </c>
      <c r="FM335" s="2276" t="str">
        <f>EB470</f>
        <v>Right</v>
      </c>
      <c r="FN335" s="2250"/>
      <c r="FO335" s="2250"/>
      <c r="FP335" s="2250"/>
      <c r="FQ335" s="3679" t="str">
        <f>IF(FM330="Right",IF(FS330="Right",IF(FM335="Right","Right","Wrong"),"Wrong"),"Wrong")</f>
        <v>Right</v>
      </c>
      <c r="FR335" s="2250"/>
      <c r="FS335" s="2250"/>
      <c r="FT335" s="2250"/>
      <c r="FU335" s="2250"/>
      <c r="FV335" s="2250"/>
      <c r="FW335" s="2250"/>
      <c r="FX335" s="2250"/>
      <c r="FY335" s="2250"/>
      <c r="FZ335" s="2250"/>
      <c r="GA335" s="2250"/>
      <c r="GB335" s="2250"/>
      <c r="GC335" s="2276"/>
      <c r="GD335" s="2276"/>
      <c r="GE335" s="2250"/>
      <c r="GF335" s="2275"/>
      <c r="GG335" s="2250"/>
      <c r="GH335" s="2250"/>
      <c r="GI335" s="2250"/>
      <c r="GJ335" s="2250"/>
      <c r="GK335" s="2250"/>
      <c r="GL335" s="2250"/>
      <c r="GM335" s="2250"/>
      <c r="GN335" s="2250"/>
      <c r="GO335" s="2250"/>
      <c r="GP335" s="2250"/>
      <c r="GQ335" s="2250"/>
      <c r="GR335" s="2250"/>
      <c r="GS335" s="2250"/>
      <c r="GT335" s="2250"/>
      <c r="GU335" s="2250"/>
      <c r="GV335" s="2250"/>
      <c r="GW335" s="2250"/>
      <c r="GX335" s="2250"/>
      <c r="GY335" s="2250"/>
      <c r="GZ335" s="2250"/>
      <c r="HA335" s="2250"/>
      <c r="HB335" s="2250"/>
      <c r="HC335" s="2250"/>
      <c r="HD335" s="2250"/>
      <c r="HE335" s="2250"/>
      <c r="HF335" s="2250"/>
      <c r="HG335" s="2250"/>
      <c r="HH335" s="2250"/>
      <c r="HI335" s="2250"/>
      <c r="HJ335" s="2250"/>
      <c r="HK335" s="2250"/>
      <c r="HL335" s="3677" t="str">
        <f>HR338</f>
        <v>Right</v>
      </c>
      <c r="HM335" s="2250"/>
      <c r="HN335" s="2250"/>
      <c r="HO335" s="2250"/>
      <c r="HP335" s="2250"/>
      <c r="HQ335" s="2250"/>
      <c r="HR335" s="2291" t="s">
        <v>658</v>
      </c>
      <c r="HS335" s="3660">
        <f>HM470</f>
        <v>21.2</v>
      </c>
      <c r="HT335" s="3661">
        <f>HN470</f>
        <v>825</v>
      </c>
      <c r="HU335" s="2276" t="str">
        <f>GJ470</f>
        <v>Right</v>
      </c>
      <c r="HV335" s="2250"/>
      <c r="HW335" s="2250"/>
      <c r="HX335" s="2250"/>
      <c r="HY335" s="3679" t="str">
        <f>IF(HU330="Right",IF(IA330="Right",IF(HU335="Right","Right","Wrong"),"Wrong"),"Wrong")</f>
        <v>Right</v>
      </c>
      <c r="HZ335" s="2250"/>
      <c r="IA335" s="2250"/>
      <c r="IB335" s="2250"/>
      <c r="IC335" s="2250"/>
      <c r="ID335" s="2250"/>
      <c r="IE335" s="2250"/>
      <c r="IF335" s="2250"/>
      <c r="IG335" s="2250"/>
      <c r="IH335" s="2250"/>
      <c r="II335" s="2250"/>
      <c r="IJ335" s="2250"/>
      <c r="IK335" s="2250"/>
      <c r="IL335" s="53"/>
      <c r="IM335" s="53"/>
    </row>
    <row r="336" spans="1:247" ht="21.95" customHeight="1" thickBot="1">
      <c r="A336" s="2275"/>
      <c r="B336" s="2250"/>
      <c r="C336" s="2250"/>
      <c r="D336" s="2321" t="s">
        <v>734</v>
      </c>
      <c r="E336" s="3682">
        <f>+AF333</f>
        <v>21.47</v>
      </c>
      <c r="F336" s="3685">
        <f>AG333</f>
        <v>950</v>
      </c>
      <c r="G336" s="3685">
        <f t="shared" si="284"/>
        <v>26.07</v>
      </c>
      <c r="H336" s="3688">
        <f t="shared" si="284"/>
        <v>1100</v>
      </c>
      <c r="I336" s="2276" t="str">
        <f>AI333</f>
        <v>Right</v>
      </c>
      <c r="J336" s="2276" t="str">
        <f>CQ333</f>
        <v>Right</v>
      </c>
      <c r="K336" s="2250"/>
      <c r="L336" s="2250"/>
      <c r="M336" s="2250"/>
      <c r="N336" s="2250"/>
      <c r="O336" s="2250"/>
      <c r="P336" s="2250"/>
      <c r="Q336" s="2250"/>
      <c r="R336" s="2250"/>
      <c r="S336" s="2250"/>
      <c r="T336" s="2250"/>
      <c r="U336" s="2250"/>
      <c r="V336" s="2250"/>
      <c r="W336" s="2250"/>
      <c r="X336" s="2250"/>
      <c r="Y336" s="2250"/>
      <c r="Z336" s="2250"/>
      <c r="AA336" s="2250"/>
      <c r="AB336" s="2250"/>
      <c r="AD336" s="2250"/>
      <c r="AE336" s="2250"/>
      <c r="AF336" s="2250"/>
      <c r="AG336" s="2250"/>
      <c r="AH336" s="2250"/>
      <c r="AI336" s="2250"/>
      <c r="AJ336" s="2250"/>
      <c r="AK336" s="2250"/>
      <c r="AL336" s="2250"/>
      <c r="AM336" s="2304" t="s">
        <v>662</v>
      </c>
      <c r="AN336" s="3668">
        <f>AH492</f>
        <v>22</v>
      </c>
      <c r="AO336" s="3664">
        <f>AI492</f>
        <v>1100</v>
      </c>
      <c r="AP336" s="2276" t="str">
        <f>E492</f>
        <v>Right</v>
      </c>
      <c r="AQ336" s="2250"/>
      <c r="AR336" s="2250"/>
      <c r="AS336" s="2250"/>
      <c r="AT336" s="3680" t="str">
        <f>IF(AP331="Right",IF(AV331="Right",IF(AP336="Right","Right","Wrong"),"Wrong"),"Wrong")</f>
        <v>Right</v>
      </c>
      <c r="AU336" s="2250"/>
      <c r="AV336" s="2250"/>
      <c r="AW336" s="2250"/>
      <c r="AX336" s="2250"/>
      <c r="AY336" s="2250"/>
      <c r="AZ336" s="2250"/>
      <c r="BA336" s="2250"/>
      <c r="BB336" s="2250"/>
      <c r="BC336" s="2250"/>
      <c r="BD336" s="2250"/>
      <c r="BE336" s="2250"/>
      <c r="BF336" s="2276"/>
      <c r="BG336" s="2276"/>
      <c r="BH336" s="2250"/>
      <c r="BI336" s="2275"/>
      <c r="BJ336" s="2250"/>
      <c r="BK336" s="2250"/>
      <c r="BL336" s="2250"/>
      <c r="BM336" s="2250"/>
      <c r="BN336" s="2250"/>
      <c r="BO336" s="2250"/>
      <c r="BP336" s="2250"/>
      <c r="BQ336" s="2250"/>
      <c r="BR336" s="2250"/>
      <c r="BS336" s="2250"/>
      <c r="BT336" s="2250"/>
      <c r="BU336" s="2250"/>
      <c r="BV336" s="2250"/>
      <c r="BW336" s="2250"/>
      <c r="BX336" s="2250"/>
      <c r="BY336" s="2250"/>
      <c r="BZ336" s="2250"/>
      <c r="CA336" s="2250"/>
      <c r="CB336" s="2250"/>
      <c r="CC336" s="2250"/>
      <c r="CD336" s="2250"/>
      <c r="CE336" s="2250"/>
      <c r="CF336" s="2250"/>
      <c r="CG336" s="2250"/>
      <c r="CH336" s="2250"/>
      <c r="CI336" s="2250"/>
      <c r="CJ336" s="2250"/>
      <c r="CK336" s="2250"/>
      <c r="CL336" s="2250"/>
      <c r="CM336" s="2250"/>
      <c r="CN336" s="2250"/>
      <c r="CO336" s="2250"/>
      <c r="CP336" s="2250"/>
      <c r="CQ336" s="2250"/>
      <c r="CR336" s="2250"/>
      <c r="CS336" s="2250"/>
      <c r="CT336" s="2250"/>
      <c r="CU336" s="2304" t="s">
        <v>662</v>
      </c>
      <c r="CV336" s="3668">
        <f>CP492</f>
        <v>29.23</v>
      </c>
      <c r="CW336" s="3664">
        <f>CQ492</f>
        <v>1250</v>
      </c>
      <c r="CX336" s="2276" t="str">
        <f>BM492</f>
        <v>Right</v>
      </c>
      <c r="CY336" s="2250"/>
      <c r="CZ336" s="2250"/>
      <c r="DA336" s="2250"/>
      <c r="DB336" s="3680" t="str">
        <f>IF(CX331="Right",IF(DD331="Right",IF(CX336="Right","Right","Wrong"),"Wrong"),"Wrong")</f>
        <v>Right</v>
      </c>
      <c r="DC336" s="2250"/>
      <c r="DD336" s="2250"/>
      <c r="DE336" s="2250"/>
      <c r="DF336" s="2250"/>
      <c r="DG336" s="2250"/>
      <c r="DH336" s="2250"/>
      <c r="DI336" s="2250"/>
      <c r="DJ336" s="2250"/>
      <c r="DK336" s="2250"/>
      <c r="DL336" s="2250"/>
      <c r="DM336" s="2250"/>
      <c r="DN336" s="2250"/>
      <c r="DO336" s="53"/>
      <c r="DP336" s="53"/>
      <c r="DQ336" s="2277"/>
      <c r="DR336" s="2277"/>
      <c r="DS336" s="2278"/>
      <c r="DT336" s="2250"/>
      <c r="DU336" s="2250"/>
      <c r="DV336" s="2250"/>
      <c r="DW336" s="2250"/>
      <c r="DX336" s="2250"/>
      <c r="DY336" s="2250"/>
      <c r="DZ336" s="2250"/>
      <c r="EA336" s="2321" t="s">
        <v>734</v>
      </c>
      <c r="EB336" s="3682">
        <f>+FC333</f>
        <v>22.47</v>
      </c>
      <c r="EC336" s="3685">
        <f>FD333</f>
        <v>825</v>
      </c>
      <c r="ED336" s="3685">
        <f t="shared" si="285"/>
        <v>21.2</v>
      </c>
      <c r="EE336" s="3688">
        <f t="shared" si="285"/>
        <v>825</v>
      </c>
      <c r="EF336" s="2276" t="str">
        <f>FF333</f>
        <v>Right</v>
      </c>
      <c r="EG336" s="2276" t="str">
        <f>HN333</f>
        <v>Right</v>
      </c>
      <c r="EH336" s="2250"/>
      <c r="EI336" s="2250"/>
      <c r="EJ336" s="2250"/>
      <c r="EK336" s="2250"/>
      <c r="EL336" s="2250"/>
      <c r="EM336" s="2250"/>
      <c r="EN336" s="2250"/>
      <c r="EO336" s="2250"/>
      <c r="EP336" s="2250"/>
      <c r="EQ336" s="2250"/>
      <c r="ER336" s="2250"/>
      <c r="ES336" s="2250"/>
      <c r="ET336" s="2250"/>
      <c r="EU336" s="2250"/>
      <c r="EV336" s="2250"/>
      <c r="EW336" s="2250"/>
      <c r="EX336" s="2250"/>
      <c r="EY336" s="2250"/>
      <c r="EZ336" s="2250"/>
      <c r="FA336" s="2250"/>
      <c r="FB336" s="2250"/>
      <c r="FC336" s="2250"/>
      <c r="FD336" s="2250"/>
      <c r="FE336" s="2250"/>
      <c r="FF336" s="2250"/>
      <c r="FG336" s="2250"/>
      <c r="FH336" s="2250"/>
      <c r="FI336" s="2250"/>
      <c r="FJ336" s="2304" t="s">
        <v>662</v>
      </c>
      <c r="FK336" s="3668">
        <f>FE492</f>
        <v>25.46</v>
      </c>
      <c r="FL336" s="3664">
        <f>FF492</f>
        <v>950</v>
      </c>
      <c r="FM336" s="2276" t="str">
        <f>EB492</f>
        <v>Right</v>
      </c>
      <c r="FN336" s="2250"/>
      <c r="FO336" s="2250"/>
      <c r="FP336" s="2250"/>
      <c r="FQ336" s="3680" t="str">
        <f>IF(FM331="Right",IF(FS331="Right",IF(FM336="Right","Right","Wrong"),"Wrong"),"Wrong")</f>
        <v>Right</v>
      </c>
      <c r="FR336" s="2250"/>
      <c r="FS336" s="2250"/>
      <c r="FT336" s="2250"/>
      <c r="FU336" s="2250"/>
      <c r="FV336" s="2250"/>
      <c r="FW336" s="2250"/>
      <c r="FX336" s="2250"/>
      <c r="FY336" s="2250"/>
      <c r="FZ336" s="2250"/>
      <c r="GA336" s="2250"/>
      <c r="GB336" s="2250"/>
      <c r="GC336" s="2276"/>
      <c r="GD336" s="2276"/>
      <c r="GE336" s="2250"/>
      <c r="GF336" s="2275"/>
      <c r="GG336" s="2250"/>
      <c r="GH336" s="2250"/>
      <c r="GI336" s="2250"/>
      <c r="GJ336" s="2250"/>
      <c r="GK336" s="2250"/>
      <c r="GL336" s="2250"/>
      <c r="GM336" s="2250"/>
      <c r="GN336" s="2250"/>
      <c r="GO336" s="2250"/>
      <c r="GP336" s="2250"/>
      <c r="GQ336" s="2250"/>
      <c r="GR336" s="2250"/>
      <c r="GS336" s="2250"/>
      <c r="GT336" s="2250"/>
      <c r="GU336" s="2250"/>
      <c r="GV336" s="2250"/>
      <c r="GW336" s="2250"/>
      <c r="GX336" s="2250"/>
      <c r="GY336" s="2250"/>
      <c r="GZ336" s="2250"/>
      <c r="HA336" s="2250"/>
      <c r="HB336" s="2250"/>
      <c r="HC336" s="2250"/>
      <c r="HD336" s="2250"/>
      <c r="HE336" s="2250"/>
      <c r="HF336" s="2250"/>
      <c r="HG336" s="2250"/>
      <c r="HH336" s="2250"/>
      <c r="HI336" s="2250"/>
      <c r="HJ336" s="2250"/>
      <c r="HK336" s="2250"/>
      <c r="HL336" s="2250"/>
      <c r="HM336" s="2250"/>
      <c r="HN336" s="2250"/>
      <c r="HO336" s="2250"/>
      <c r="HP336" s="2250"/>
      <c r="HQ336" s="2250"/>
      <c r="HR336" s="2304" t="s">
        <v>662</v>
      </c>
      <c r="HS336" s="3668">
        <f>HM492</f>
        <v>23.38</v>
      </c>
      <c r="HT336" s="3664">
        <f>HN492</f>
        <v>950</v>
      </c>
      <c r="HU336" s="2276" t="str">
        <f>GJ492</f>
        <v>Right</v>
      </c>
      <c r="HV336" s="2250"/>
      <c r="HW336" s="2250"/>
      <c r="HX336" s="2250"/>
      <c r="HY336" s="3680" t="str">
        <f>IF(HU331="Right",IF(IA331="Right",IF(HU336="Right","Right","Wrong"),"Wrong"),"Wrong")</f>
        <v>Right</v>
      </c>
      <c r="HZ336" s="2250"/>
      <c r="IA336" s="2250"/>
      <c r="IB336" s="2250"/>
      <c r="IC336" s="2250"/>
      <c r="ID336" s="2250"/>
      <c r="IE336" s="2250"/>
      <c r="IF336" s="2250"/>
      <c r="IG336" s="2250"/>
      <c r="IH336" s="2250"/>
      <c r="II336" s="2250"/>
      <c r="IJ336" s="2250"/>
      <c r="IK336" s="2250"/>
      <c r="IL336" s="53"/>
      <c r="IM336" s="53"/>
    </row>
    <row r="337" spans="1:247" ht="21.95" customHeight="1" thickBot="1">
      <c r="A337" s="2275"/>
      <c r="B337" s="2250"/>
      <c r="C337" s="2250"/>
      <c r="D337" s="2326" t="s">
        <v>735</v>
      </c>
      <c r="E337" s="3683">
        <f>+AF334</f>
        <v>22</v>
      </c>
      <c r="F337" s="3686">
        <f>AG334</f>
        <v>1100</v>
      </c>
      <c r="G337" s="3686">
        <f t="shared" si="284"/>
        <v>29.23</v>
      </c>
      <c r="H337" s="3689">
        <f t="shared" si="284"/>
        <v>1250</v>
      </c>
      <c r="I337" s="2276" t="str">
        <f>AI334</f>
        <v>Right</v>
      </c>
      <c r="J337" s="2276" t="str">
        <f>CQ334</f>
        <v>Right</v>
      </c>
      <c r="K337" s="2250"/>
      <c r="L337" s="2250"/>
      <c r="M337" s="2250"/>
      <c r="N337" s="2250"/>
      <c r="O337" s="2250"/>
      <c r="P337" s="2250"/>
      <c r="Q337" s="2250"/>
      <c r="R337" s="2250"/>
      <c r="S337" s="2250"/>
      <c r="T337" s="2250"/>
      <c r="U337" s="2250"/>
      <c r="V337" s="2250"/>
      <c r="W337" s="2250"/>
      <c r="X337" s="2250"/>
      <c r="Y337" s="2250"/>
      <c r="Z337" s="2250"/>
      <c r="AA337" s="2250"/>
      <c r="AB337" s="2250"/>
      <c r="AD337" s="2250"/>
      <c r="AE337" s="2250"/>
      <c r="AF337" s="2250"/>
      <c r="AG337" s="2329"/>
      <c r="AH337" s="2250"/>
      <c r="AI337" s="2250"/>
      <c r="AJ337" s="2250"/>
      <c r="AK337" s="2250"/>
      <c r="AL337" s="2250"/>
      <c r="AM337" s="2250"/>
      <c r="AN337" s="2250"/>
      <c r="AO337" s="2250"/>
      <c r="AP337" s="2250"/>
      <c r="AQ337" s="2250"/>
      <c r="AR337" s="2250"/>
      <c r="AS337" s="2250"/>
      <c r="AT337" s="2250"/>
      <c r="AU337" s="2250"/>
      <c r="AV337" s="2250"/>
      <c r="AW337" s="2250"/>
      <c r="AX337" s="2250"/>
      <c r="AY337" s="2250"/>
      <c r="AZ337" s="2250"/>
      <c r="BA337" s="2250"/>
      <c r="BB337" s="2250"/>
      <c r="BC337" s="2250"/>
      <c r="BD337" s="2250"/>
      <c r="BE337" s="2250"/>
      <c r="BF337" s="2276"/>
      <c r="BG337" s="2276"/>
      <c r="BH337" s="2250"/>
      <c r="BI337" s="2275"/>
      <c r="BJ337" s="2250"/>
      <c r="BK337" s="2250"/>
      <c r="BL337" s="2250"/>
      <c r="BM337" s="2250"/>
      <c r="BN337" s="2250"/>
      <c r="BO337" s="2250"/>
      <c r="BP337" s="2250"/>
      <c r="BQ337" s="2250"/>
      <c r="BR337" s="2250"/>
      <c r="BS337" s="2250"/>
      <c r="BT337" s="2250"/>
      <c r="BU337" s="2250"/>
      <c r="BV337" s="2250"/>
      <c r="BW337" s="2250"/>
      <c r="BX337" s="2250"/>
      <c r="BY337" s="2250"/>
      <c r="BZ337" s="2250"/>
      <c r="CA337" s="2250"/>
      <c r="CB337" s="2250"/>
      <c r="CC337" s="2250"/>
      <c r="CD337" s="2250"/>
      <c r="CE337" s="2250"/>
      <c r="CF337" s="2250"/>
      <c r="CG337" s="2250"/>
      <c r="CH337" s="2250"/>
      <c r="CI337" s="2250"/>
      <c r="CJ337" s="2250"/>
      <c r="CK337" s="2250"/>
      <c r="CL337" s="2250"/>
      <c r="CM337" s="2250"/>
      <c r="CN337" s="2250"/>
      <c r="CO337" s="2329"/>
      <c r="CP337" s="2250"/>
      <c r="CQ337" s="2250"/>
      <c r="CR337" s="2250"/>
      <c r="CS337" s="2250"/>
      <c r="CT337" s="2250"/>
      <c r="CU337" s="2250"/>
      <c r="CV337" s="2250"/>
      <c r="CW337" s="2250"/>
      <c r="CX337" s="2250"/>
      <c r="CY337" s="2250"/>
      <c r="CZ337" s="2250"/>
      <c r="DA337" s="2250"/>
      <c r="DB337" s="2250"/>
      <c r="DC337" s="2250"/>
      <c r="DD337" s="2250"/>
      <c r="DE337" s="2250"/>
      <c r="DF337" s="2250"/>
      <c r="DG337" s="2250"/>
      <c r="DH337" s="2250"/>
      <c r="DI337" s="2250"/>
      <c r="DJ337" s="2250"/>
      <c r="DK337" s="2250"/>
      <c r="DL337" s="2250"/>
      <c r="DM337" s="2250"/>
      <c r="DN337" s="2250"/>
      <c r="DO337" s="53"/>
      <c r="DP337" s="53"/>
      <c r="DQ337" s="2277"/>
      <c r="DR337" s="2277"/>
      <c r="DS337" s="2278"/>
      <c r="DT337" s="2250"/>
      <c r="DU337" s="2250"/>
      <c r="DV337" s="2250"/>
      <c r="DW337" s="2250"/>
      <c r="DX337" s="2250"/>
      <c r="DY337" s="2250"/>
      <c r="DZ337" s="2250"/>
      <c r="EA337" s="2326" t="s">
        <v>735</v>
      </c>
      <c r="EB337" s="3683">
        <f>+FC334</f>
        <v>25.46</v>
      </c>
      <c r="EC337" s="3686">
        <f>FD334</f>
        <v>950</v>
      </c>
      <c r="ED337" s="3686">
        <f t="shared" si="285"/>
        <v>23.38</v>
      </c>
      <c r="EE337" s="3689">
        <f t="shared" si="285"/>
        <v>950</v>
      </c>
      <c r="EF337" s="2276" t="str">
        <f>FF334</f>
        <v>Right</v>
      </c>
      <c r="EG337" s="2276" t="str">
        <f>HN334</f>
        <v>Right</v>
      </c>
      <c r="EH337" s="2250"/>
      <c r="EI337" s="2250"/>
      <c r="EJ337" s="2250"/>
      <c r="EK337" s="2250"/>
      <c r="EL337" s="2250"/>
      <c r="EM337" s="2250"/>
      <c r="EN337" s="2250"/>
      <c r="EO337" s="2250"/>
      <c r="EP337" s="2250"/>
      <c r="EQ337" s="2250"/>
      <c r="ER337" s="2250"/>
      <c r="ES337" s="2250"/>
      <c r="ET337" s="2250"/>
      <c r="EU337" s="2250"/>
      <c r="EV337" s="2250"/>
      <c r="EW337" s="2250"/>
      <c r="EX337" s="2250"/>
      <c r="EY337" s="2250"/>
      <c r="EZ337" s="2250"/>
      <c r="FA337" s="2250"/>
      <c r="FB337" s="2250"/>
      <c r="FC337" s="2250"/>
      <c r="FD337" s="2329"/>
      <c r="FE337" s="2250"/>
      <c r="FF337" s="2250"/>
      <c r="FG337" s="2250"/>
      <c r="FH337" s="2250"/>
      <c r="FI337" s="2250"/>
      <c r="FJ337" s="2250"/>
      <c r="FK337" s="2250"/>
      <c r="FL337" s="2250"/>
      <c r="FM337" s="2250"/>
      <c r="FN337" s="2250"/>
      <c r="FO337" s="2250"/>
      <c r="FP337" s="2250"/>
      <c r="FQ337" s="2250"/>
      <c r="FR337" s="2250"/>
      <c r="FS337" s="2250"/>
      <c r="FT337" s="2250"/>
      <c r="FU337" s="2250"/>
      <c r="FV337" s="2250"/>
      <c r="FW337" s="2250"/>
      <c r="FX337" s="2250"/>
      <c r="FY337" s="2250"/>
      <c r="FZ337" s="2250"/>
      <c r="GA337" s="2250"/>
      <c r="GB337" s="2250"/>
      <c r="GC337" s="2276"/>
      <c r="GD337" s="2276"/>
      <c r="GE337" s="2250"/>
      <c r="GF337" s="2275"/>
      <c r="GG337" s="2250"/>
      <c r="GH337" s="2250"/>
      <c r="GI337" s="2250"/>
      <c r="GJ337" s="2250"/>
      <c r="GK337" s="2250"/>
      <c r="GL337" s="2250"/>
      <c r="GM337" s="2250"/>
      <c r="GN337" s="2250"/>
      <c r="GO337" s="2250"/>
      <c r="GP337" s="2250"/>
      <c r="GQ337" s="2250"/>
      <c r="GR337" s="2250"/>
      <c r="GS337" s="2250"/>
      <c r="GT337" s="2250"/>
      <c r="GU337" s="2250"/>
      <c r="GV337" s="2250"/>
      <c r="GW337" s="2250"/>
      <c r="GX337" s="2250"/>
      <c r="GY337" s="2250"/>
      <c r="GZ337" s="2250"/>
      <c r="HA337" s="2250"/>
      <c r="HB337" s="2250"/>
      <c r="HC337" s="2250"/>
      <c r="HD337" s="2250"/>
      <c r="HE337" s="2250"/>
      <c r="HF337" s="2250"/>
      <c r="HG337" s="2250"/>
      <c r="HH337" s="2250"/>
      <c r="HI337" s="2250"/>
      <c r="HJ337" s="2250"/>
      <c r="HK337" s="2250"/>
      <c r="HL337" s="2329"/>
      <c r="HM337" s="2250"/>
      <c r="HN337" s="2250"/>
      <c r="HO337" s="2250"/>
      <c r="HP337" s="2250"/>
      <c r="HQ337" s="2250"/>
      <c r="HR337" s="2250"/>
      <c r="HS337" s="2250"/>
      <c r="HT337" s="2250"/>
      <c r="HU337" s="2250"/>
      <c r="HV337" s="2250"/>
      <c r="HW337" s="2250"/>
      <c r="HX337" s="2250"/>
      <c r="HY337" s="2250"/>
      <c r="HZ337" s="2250"/>
      <c r="IA337" s="2250"/>
      <c r="IB337" s="2250"/>
      <c r="IC337" s="2250"/>
      <c r="ID337" s="2250"/>
      <c r="IE337" s="2250"/>
      <c r="IF337" s="2250"/>
      <c r="IG337" s="2250"/>
      <c r="IH337" s="2250"/>
      <c r="II337" s="2250"/>
      <c r="IJ337" s="2250"/>
      <c r="IK337" s="2250"/>
      <c r="IL337" s="53"/>
      <c r="IM337" s="53"/>
    </row>
    <row r="338" spans="1:247" ht="21.95" customHeight="1" thickBot="1">
      <c r="A338" s="2275"/>
      <c r="B338" s="2250"/>
      <c r="C338" s="2250"/>
      <c r="D338" s="2250"/>
      <c r="E338" s="2250"/>
      <c r="F338" s="3687" t="str">
        <f>AG335</f>
        <v>Right</v>
      </c>
      <c r="G338" s="2250"/>
      <c r="H338" s="3687" t="str">
        <f>CO335</f>
        <v>Right</v>
      </c>
      <c r="I338" s="2250"/>
      <c r="J338" s="2250"/>
      <c r="K338" s="2250"/>
      <c r="L338" s="2250"/>
      <c r="M338" s="2250"/>
      <c r="N338" s="2250"/>
      <c r="O338" s="2250"/>
      <c r="P338" s="2250"/>
      <c r="Q338" s="2250"/>
      <c r="R338" s="2250"/>
      <c r="S338" s="2250"/>
      <c r="T338" s="2250"/>
      <c r="U338" s="2250"/>
      <c r="V338" s="2250"/>
      <c r="W338" s="2250"/>
      <c r="X338" s="2250"/>
      <c r="Y338" s="2250"/>
      <c r="Z338" s="2250"/>
      <c r="AA338" s="2250"/>
      <c r="AB338" s="2250"/>
      <c r="AD338" s="2250"/>
      <c r="AE338" s="2250"/>
      <c r="AF338" s="2250"/>
      <c r="AG338" s="2250"/>
      <c r="AH338" s="2250"/>
      <c r="AI338" s="2250"/>
      <c r="AJ338" s="2250"/>
      <c r="AK338" s="2250"/>
      <c r="AL338" s="2250"/>
      <c r="AM338" s="3690" t="str">
        <f>IF(AN338="Right",IF(AO338="Right",IF(AP338="Right",IF(AQ338="Right","Right","Wrong"),"Wrong"),"Wrong"),"Wrong")</f>
        <v>Right</v>
      </c>
      <c r="AN338" s="2276" t="str">
        <f>IF(AN328=AT328,IF(AN329=AT329,IF(AN330=AT330,IF(AN331=AT331,IF(AN328=AN333,IF(AN329=AN334,IF(AN330=AN335,IF(AN331=AN336,"Right","Wrong"),"Wrong"),"Wrong"),"Wrong"),"Wrong"),"Wrong"),"Wrong"),"Wrong")</f>
        <v>Right</v>
      </c>
      <c r="AO338" s="2276" t="str">
        <f>IF(AO328=AU328,IF(AO329=AU329,IF(AO330=AU330,IF(AO331=AU331,IF(AO328=AO333,IF(AO329=AO334,IF(AO330=AO335,IF(AO331=AO336,"Right","Wrong"),"Wrong"),"Wrong"),"Wrong"),"Wrong"),"Wrong"),"Wrong"),"Wrong")</f>
        <v>Right</v>
      </c>
      <c r="AP338" s="2276" t="str">
        <f>IF(AP327="Right",IF(AP332="Right",IF(AV327="Right","Right","Wrong"),"Wrong"),"Wrong")</f>
        <v>Right</v>
      </c>
      <c r="AQ338" s="2276" t="str">
        <f>IF(AT332="Right",IF(AR327="Right","Right","Wrong"),"Wrong")</f>
        <v>Right</v>
      </c>
      <c r="AR338" s="2250"/>
      <c r="AS338" s="2250"/>
      <c r="AT338" s="2250"/>
      <c r="AU338" s="2250"/>
      <c r="AV338" s="2250"/>
      <c r="AW338" s="2250"/>
      <c r="AX338" s="2250"/>
      <c r="AY338" s="2250"/>
      <c r="AZ338" s="2250"/>
      <c r="BA338" s="2250"/>
      <c r="BB338" s="2250"/>
      <c r="BC338" s="2250"/>
      <c r="BD338" s="2250"/>
      <c r="BE338" s="2250"/>
      <c r="BF338" s="2276"/>
      <c r="BG338" s="2276"/>
      <c r="BH338" s="2250"/>
      <c r="BI338" s="2275"/>
      <c r="BJ338" s="2250"/>
      <c r="BK338" s="2250"/>
      <c r="BL338" s="2250"/>
      <c r="BM338" s="2250"/>
      <c r="BN338" s="2250"/>
      <c r="BO338" s="2250"/>
      <c r="BP338" s="2250"/>
      <c r="BQ338" s="2250"/>
      <c r="BR338" s="2250"/>
      <c r="BS338" s="2250"/>
      <c r="BT338" s="2250"/>
      <c r="BU338" s="2250"/>
      <c r="BV338" s="2250"/>
      <c r="BW338" s="2250"/>
      <c r="BX338" s="2250"/>
      <c r="BY338" s="2250"/>
      <c r="BZ338" s="2250"/>
      <c r="CA338" s="2250"/>
      <c r="CB338" s="2250"/>
      <c r="CC338" s="2250"/>
      <c r="CD338" s="2250"/>
      <c r="CE338" s="2250"/>
      <c r="CF338" s="2250"/>
      <c r="CG338" s="2250"/>
      <c r="CH338" s="2250"/>
      <c r="CI338" s="2250"/>
      <c r="CJ338" s="2250"/>
      <c r="CK338" s="2250"/>
      <c r="CL338" s="2250"/>
      <c r="CM338" s="2250"/>
      <c r="CN338" s="2250"/>
      <c r="CO338" s="2250"/>
      <c r="CP338" s="2250"/>
      <c r="CQ338" s="2250"/>
      <c r="CR338" s="2250"/>
      <c r="CS338" s="2250"/>
      <c r="CT338" s="2250"/>
      <c r="CU338" s="3690" t="str">
        <f>IF(CV338="Right",IF(CW338="Right",IF(CX338="Right",IF(CY338="Right","Right","Wrong"),"Wrong"),"Wrong"),"Wrong")</f>
        <v>Right</v>
      </c>
      <c r="CV338" s="2276" t="str">
        <f>IF(CV328=DB328,IF(CV329=DB329,IF(CV330=DB330,IF(CV331=DB331,IF(CV328=CV333,IF(CV329=CV334,IF(CV330=CV335,IF(CV331=CV336,"Right","Wrong"),"Wrong"),"Wrong"),"Wrong"),"Wrong"),"Wrong"),"Wrong"),"Wrong")</f>
        <v>Right</v>
      </c>
      <c r="CW338" s="2276" t="str">
        <f>IF(CW328=DC328,IF(CW329=DC329,IF(CW330=DC330,IF(CW331=DC331,IF(CW328=CW333,IF(CW329=CW334,IF(CW330=CW335,IF(CW331=CW336,"Right","Wrong"),"Wrong"),"Wrong"),"Wrong"),"Wrong"),"Wrong"),"Wrong"),"Wrong")</f>
        <v>Right</v>
      </c>
      <c r="CX338" s="2276" t="str">
        <f>IF(CX327="Right",IF(CX332="Right",IF(DD327="Right","Right","Wrong"),"Wrong"),"Wrong")</f>
        <v>Right</v>
      </c>
      <c r="CY338" s="2276" t="str">
        <f>IF(DB332="Right",IF(CZ327="Right","Right","Wrong"),"Wrong")</f>
        <v>Right</v>
      </c>
      <c r="CZ338" s="2250"/>
      <c r="DA338" s="2250"/>
      <c r="DB338" s="2250"/>
      <c r="DC338" s="2250"/>
      <c r="DD338" s="2250"/>
      <c r="DE338" s="2250"/>
      <c r="DF338" s="2250"/>
      <c r="DG338" s="2250"/>
      <c r="DH338" s="2250"/>
      <c r="DI338" s="2250"/>
      <c r="DJ338" s="2250"/>
      <c r="DK338" s="2250"/>
      <c r="DL338" s="2250"/>
      <c r="DM338" s="2250"/>
      <c r="DN338" s="2250"/>
      <c r="DO338" s="53"/>
      <c r="DP338" s="53"/>
      <c r="DQ338" s="2277"/>
      <c r="DR338" s="2277"/>
      <c r="DS338" s="2278"/>
      <c r="DT338" s="2250"/>
      <c r="DU338" s="2250"/>
      <c r="DV338" s="2250"/>
      <c r="DW338" s="2250"/>
      <c r="DX338" s="2250"/>
      <c r="DY338" s="2250"/>
      <c r="DZ338" s="2250"/>
      <c r="EA338" s="2250"/>
      <c r="EB338" s="2250"/>
      <c r="EC338" s="3687" t="str">
        <f>FD335</f>
        <v>Right</v>
      </c>
      <c r="ED338" s="2250"/>
      <c r="EE338" s="3687" t="str">
        <f>HL335</f>
        <v>Right</v>
      </c>
      <c r="EF338" s="2250"/>
      <c r="EG338" s="2250"/>
      <c r="EH338" s="2250"/>
      <c r="EI338" s="2250"/>
      <c r="EJ338" s="2250"/>
      <c r="EK338" s="2250"/>
      <c r="EL338" s="2250"/>
      <c r="EM338" s="2250"/>
      <c r="EN338" s="2250"/>
      <c r="EO338" s="2250"/>
      <c r="EP338" s="2250"/>
      <c r="EQ338" s="2250"/>
      <c r="ER338" s="2250"/>
      <c r="ES338" s="2250"/>
      <c r="ET338" s="2250"/>
      <c r="EU338" s="2250"/>
      <c r="EV338" s="2250"/>
      <c r="EW338" s="2250"/>
      <c r="EX338" s="2250"/>
      <c r="EY338" s="2250"/>
      <c r="EZ338" s="2250"/>
      <c r="FA338" s="2250"/>
      <c r="FB338" s="2250"/>
      <c r="FC338" s="2250"/>
      <c r="FD338" s="2250"/>
      <c r="FE338" s="2250"/>
      <c r="FF338" s="2250"/>
      <c r="FG338" s="2250"/>
      <c r="FH338" s="2250"/>
      <c r="FI338" s="2250"/>
      <c r="FJ338" s="3690" t="str">
        <f>IF(FK338="Right",IF(FL338="Right",IF(FM338="Right",IF(FN338="Right","Right","Wrong"),"Wrong"),"Wrong"),"Wrong")</f>
        <v>Right</v>
      </c>
      <c r="FK338" s="2276" t="str">
        <f>IF(FK328=FQ328,IF(FK329=FQ329,IF(FK330=FQ330,IF(FK331=FQ331,IF(FK328=FK333,IF(FK329=FK334,IF(FK330=FK335,IF(FK331=FK336,"Right","Wrong"),"Wrong"),"Wrong"),"Wrong"),"Wrong"),"Wrong"),"Wrong"),"Wrong")</f>
        <v>Right</v>
      </c>
      <c r="FL338" s="2276" t="str">
        <f>IF(FL328=FR328,IF(FL329=FR329,IF(FL330=FR330,IF(FL331=FR331,IF(FL328=FL333,IF(FL329=FL334,IF(FL330=FL335,IF(FL331=FL336,"Right","Wrong"),"Wrong"),"Wrong"),"Wrong"),"Wrong"),"Wrong"),"Wrong"),"Wrong")</f>
        <v>Right</v>
      </c>
      <c r="FM338" s="2276" t="str">
        <f>IF(FM327="Right",IF(FM332="Right",IF(FS327="Right","Right","Wrong"),"Wrong"),"Wrong")</f>
        <v>Right</v>
      </c>
      <c r="FN338" s="2276" t="str">
        <f>IF(FQ332="Right",IF(FO327="Right","Right","Wrong"),"Wrong")</f>
        <v>Right</v>
      </c>
      <c r="FO338" s="2250"/>
      <c r="FP338" s="2250"/>
      <c r="FQ338" s="2250"/>
      <c r="FR338" s="2250"/>
      <c r="FS338" s="2250"/>
      <c r="FT338" s="2250"/>
      <c r="FU338" s="2250"/>
      <c r="FV338" s="2250"/>
      <c r="FW338" s="2250"/>
      <c r="FX338" s="2250"/>
      <c r="FY338" s="2250"/>
      <c r="FZ338" s="2250"/>
      <c r="GA338" s="2250"/>
      <c r="GB338" s="2250"/>
      <c r="GC338" s="2276"/>
      <c r="GD338" s="2276"/>
      <c r="GE338" s="2250"/>
      <c r="GF338" s="2275"/>
      <c r="GG338" s="2250"/>
      <c r="GH338" s="2250"/>
      <c r="GI338" s="2250"/>
      <c r="GJ338" s="2250"/>
      <c r="GK338" s="2250"/>
      <c r="GL338" s="2250"/>
      <c r="GM338" s="2250"/>
      <c r="GN338" s="2250"/>
      <c r="GO338" s="2250"/>
      <c r="GP338" s="2250"/>
      <c r="GQ338" s="2250"/>
      <c r="GR338" s="2250"/>
      <c r="GS338" s="2250"/>
      <c r="GT338" s="2250"/>
      <c r="GU338" s="2250"/>
      <c r="GV338" s="2250"/>
      <c r="GW338" s="2250"/>
      <c r="GX338" s="2250"/>
      <c r="GY338" s="2250"/>
      <c r="GZ338" s="2250"/>
      <c r="HA338" s="2250"/>
      <c r="HB338" s="2250"/>
      <c r="HC338" s="2250"/>
      <c r="HD338" s="2250"/>
      <c r="HE338" s="2250"/>
      <c r="HF338" s="2250"/>
      <c r="HG338" s="2250"/>
      <c r="HH338" s="2250"/>
      <c r="HI338" s="2250"/>
      <c r="HJ338" s="2250"/>
      <c r="HK338" s="2250"/>
      <c r="HL338" s="2250"/>
      <c r="HM338" s="2250"/>
      <c r="HN338" s="2250"/>
      <c r="HO338" s="2250"/>
      <c r="HP338" s="2250"/>
      <c r="HQ338" s="2250"/>
      <c r="HR338" s="3690" t="str">
        <f>IF(HS338="Right",IF(HT338="Right",IF(HU338="Right",IF(HV338="Right","Right","Wrong"),"Wrong"),"Wrong"),"Wrong")</f>
        <v>Right</v>
      </c>
      <c r="HS338" s="2276" t="str">
        <f>IF(HS328=HY328,IF(HS329=HY329,IF(HS330=HY330,IF(HS331=HY331,IF(HS328=HS333,IF(HS329=HS334,IF(HS330=HS335,IF(HS331=HS336,"Right","Wrong"),"Wrong"),"Wrong"),"Wrong"),"Wrong"),"Wrong"),"Wrong"),"Wrong")</f>
        <v>Right</v>
      </c>
      <c r="HT338" s="2276" t="str">
        <f>IF(HT328=HZ328,IF(HT329=HZ329,IF(HT330=HZ330,IF(HT331=HZ331,IF(HT328=HT333,IF(HT329=HT334,IF(HT330=HT335,IF(HT331=HT336,"Right","Wrong"),"Wrong"),"Wrong"),"Wrong"),"Wrong"),"Wrong"),"Wrong"),"Wrong")</f>
        <v>Right</v>
      </c>
      <c r="HU338" s="2276" t="str">
        <f>IF(HU327="Right",IF(HU332="Right",IF(IA327="Right","Right","Wrong"),"Wrong"),"Wrong")</f>
        <v>Right</v>
      </c>
      <c r="HV338" s="2276" t="str">
        <f>IF(HY332="Right",IF(HW327="Right","Right","Wrong"),"Wrong")</f>
        <v>Right</v>
      </c>
      <c r="HW338" s="2250"/>
      <c r="HX338" s="2250"/>
      <c r="HY338" s="2250"/>
      <c r="HZ338" s="2250"/>
      <c r="IA338" s="2250"/>
      <c r="IB338" s="2250"/>
      <c r="IC338" s="2250"/>
      <c r="ID338" s="2250"/>
      <c r="IE338" s="2250"/>
      <c r="IF338" s="2250"/>
      <c r="IG338" s="2250"/>
      <c r="IH338" s="2250"/>
      <c r="II338" s="2250"/>
      <c r="IJ338" s="2250"/>
      <c r="IK338" s="2250"/>
      <c r="IL338" s="53"/>
      <c r="IM338" s="53"/>
    </row>
    <row r="339" spans="1:247" ht="21.95" customHeight="1">
      <c r="A339" s="2275"/>
      <c r="B339" s="2250"/>
      <c r="C339" s="2250"/>
      <c r="D339" s="2250"/>
      <c r="E339" s="2250"/>
      <c r="F339" s="2250"/>
      <c r="G339" s="2250"/>
      <c r="H339" s="2250"/>
      <c r="I339" s="2250"/>
      <c r="J339" s="2250"/>
      <c r="K339" s="2250"/>
      <c r="L339" s="2250"/>
      <c r="M339" s="2250"/>
      <c r="N339" s="2250"/>
      <c r="O339" s="2250"/>
      <c r="P339" s="2250"/>
      <c r="Q339" s="2250"/>
      <c r="R339" s="2250"/>
      <c r="S339" s="2250"/>
      <c r="T339" s="2250"/>
      <c r="U339" s="2250"/>
      <c r="V339" s="2250"/>
      <c r="W339" s="2250"/>
      <c r="X339" s="2250"/>
      <c r="Y339" s="2250"/>
      <c r="Z339" s="2250"/>
      <c r="AA339" s="2250"/>
      <c r="AB339" s="2250"/>
      <c r="AC339" s="2250"/>
      <c r="AD339" s="2250"/>
      <c r="AE339" s="2250"/>
      <c r="AF339" s="2250"/>
      <c r="AG339" s="2250"/>
      <c r="AH339" s="2250"/>
      <c r="AI339" s="2250"/>
      <c r="AJ339" s="2250"/>
      <c r="AK339" s="2250"/>
      <c r="AL339" s="2250"/>
      <c r="AM339" s="2250"/>
      <c r="AN339" s="2275"/>
      <c r="AO339" s="2275"/>
      <c r="AP339" s="2250"/>
      <c r="AQ339" s="2250"/>
      <c r="AR339" s="2250"/>
      <c r="AS339" s="2250"/>
      <c r="AT339" s="2250"/>
      <c r="AU339" s="2250"/>
      <c r="AV339" s="2250"/>
      <c r="AW339" s="2250"/>
      <c r="AX339" s="2250"/>
      <c r="AY339" s="2250"/>
      <c r="AZ339" s="2250"/>
      <c r="BA339" s="2250"/>
      <c r="BB339" s="2250"/>
      <c r="BC339" s="2250"/>
      <c r="BD339" s="2250"/>
      <c r="BE339" s="2250"/>
      <c r="BF339" s="2276"/>
      <c r="BG339" s="2276"/>
      <c r="BH339" s="2250"/>
      <c r="BI339" s="2275"/>
      <c r="BJ339" s="2250"/>
      <c r="BK339" s="2250"/>
      <c r="BL339" s="2250"/>
      <c r="BM339" s="2250"/>
      <c r="BN339" s="2250"/>
      <c r="BO339" s="2250"/>
      <c r="BP339" s="2250"/>
      <c r="BQ339" s="2250"/>
      <c r="BR339" s="2250"/>
      <c r="BS339" s="2250"/>
      <c r="BT339" s="2250"/>
      <c r="BU339" s="2250"/>
      <c r="BV339" s="2250"/>
      <c r="BW339" s="2250"/>
      <c r="BX339" s="2250"/>
      <c r="BY339" s="2250"/>
      <c r="BZ339" s="2250"/>
      <c r="CA339" s="2250"/>
      <c r="CB339" s="2250"/>
      <c r="CC339" s="2250"/>
      <c r="CD339" s="2250"/>
      <c r="CE339" s="2250"/>
      <c r="CF339" s="2250"/>
      <c r="CG339" s="2250"/>
      <c r="CH339" s="2250"/>
      <c r="CI339" s="2250"/>
      <c r="CJ339" s="2250"/>
      <c r="CK339" s="2250"/>
      <c r="CL339" s="2250"/>
      <c r="CM339" s="2250"/>
      <c r="CN339" s="2250"/>
      <c r="CO339" s="2250"/>
      <c r="CP339" s="2250"/>
      <c r="CQ339" s="2250"/>
      <c r="CR339" s="2250"/>
      <c r="CS339" s="2250"/>
      <c r="CT339" s="2250"/>
      <c r="CU339" s="2250"/>
      <c r="CV339" s="2275"/>
      <c r="CW339" s="2275"/>
      <c r="CX339" s="2250"/>
      <c r="CY339" s="2250"/>
      <c r="CZ339" s="2250"/>
      <c r="DA339" s="2250"/>
      <c r="DB339" s="2250"/>
      <c r="DC339" s="2250"/>
      <c r="DD339" s="2250"/>
      <c r="DE339" s="2250"/>
      <c r="DF339" s="2250"/>
      <c r="DG339" s="2250"/>
      <c r="DH339" s="2250"/>
      <c r="DI339" s="2250"/>
      <c r="DJ339" s="2250"/>
      <c r="DK339" s="2250"/>
      <c r="DL339" s="2250"/>
      <c r="DM339" s="2250"/>
      <c r="DN339" s="2250"/>
      <c r="DO339" s="53"/>
      <c r="DP339" s="53"/>
      <c r="DQ339" s="2277"/>
      <c r="DR339" s="2277"/>
      <c r="DS339" s="2278"/>
      <c r="DT339" s="2250"/>
      <c r="DU339" s="2250"/>
      <c r="DV339" s="2250"/>
      <c r="DW339" s="2250"/>
      <c r="DX339" s="2250"/>
      <c r="DY339" s="2250"/>
      <c r="DZ339" s="2250"/>
      <c r="EA339" s="2250"/>
      <c r="EB339" s="2250"/>
      <c r="EC339" s="2250"/>
      <c r="ED339" s="2250"/>
      <c r="EE339" s="2250"/>
      <c r="EF339" s="2250"/>
      <c r="EG339" s="2250"/>
      <c r="EH339" s="2250"/>
      <c r="EI339" s="2250"/>
      <c r="EJ339" s="2250"/>
      <c r="EK339" s="2250"/>
      <c r="EL339" s="2250"/>
      <c r="EM339" s="2250"/>
      <c r="EN339" s="2250"/>
      <c r="EO339" s="2250"/>
      <c r="EP339" s="2250"/>
      <c r="EQ339" s="2250"/>
      <c r="ER339" s="2250"/>
      <c r="ES339" s="2250"/>
      <c r="ET339" s="2250"/>
      <c r="EU339" s="2250"/>
      <c r="EV339" s="2250"/>
      <c r="EW339" s="2250"/>
      <c r="EX339" s="2250"/>
      <c r="EY339" s="2250"/>
      <c r="EZ339" s="2250"/>
      <c r="FA339" s="2250"/>
      <c r="FB339" s="2250"/>
      <c r="FC339" s="2250"/>
      <c r="FD339" s="2250"/>
      <c r="FE339" s="2250"/>
      <c r="FF339" s="2250"/>
      <c r="FG339" s="2250"/>
      <c r="FH339" s="2250"/>
      <c r="FI339" s="2250"/>
      <c r="FJ339" s="2250"/>
      <c r="FK339" s="2275"/>
      <c r="FL339" s="2275"/>
      <c r="FM339" s="2250"/>
      <c r="FN339" s="2250"/>
      <c r="FO339" s="2250"/>
      <c r="FP339" s="2250"/>
      <c r="FQ339" s="2250"/>
      <c r="FR339" s="2250"/>
      <c r="FS339" s="2250"/>
      <c r="FT339" s="2250"/>
      <c r="FU339" s="2250"/>
      <c r="FV339" s="2250"/>
      <c r="FW339" s="2250"/>
      <c r="FX339" s="2250"/>
      <c r="FY339" s="2250"/>
      <c r="FZ339" s="2250"/>
      <c r="GA339" s="2250"/>
      <c r="GB339" s="2250"/>
      <c r="GC339" s="2276"/>
      <c r="GD339" s="2276"/>
      <c r="GE339" s="2250"/>
      <c r="GF339" s="2275"/>
      <c r="GG339" s="2250"/>
      <c r="GH339" s="2250"/>
      <c r="GI339" s="2250"/>
      <c r="GJ339" s="2250"/>
      <c r="GK339" s="2250"/>
      <c r="GL339" s="2250"/>
      <c r="GM339" s="2250"/>
      <c r="GN339" s="2250"/>
      <c r="GO339" s="2250"/>
      <c r="GP339" s="2250"/>
      <c r="GQ339" s="2250"/>
      <c r="GR339" s="2250"/>
      <c r="GS339" s="2250"/>
      <c r="GT339" s="2250"/>
      <c r="GU339" s="2250"/>
      <c r="GV339" s="2250"/>
      <c r="GW339" s="2250"/>
      <c r="GX339" s="2250"/>
      <c r="GY339" s="2250"/>
      <c r="GZ339" s="2250"/>
      <c r="HA339" s="2250"/>
      <c r="HB339" s="2250"/>
      <c r="HC339" s="2250"/>
      <c r="HD339" s="2250"/>
      <c r="HE339" s="2250"/>
      <c r="HF339" s="2250"/>
      <c r="HG339" s="2250"/>
      <c r="HH339" s="2250"/>
      <c r="HI339" s="2250"/>
      <c r="HJ339" s="2250"/>
      <c r="HK339" s="2250"/>
      <c r="HL339" s="2250"/>
      <c r="HM339" s="2250"/>
      <c r="HN339" s="2250"/>
      <c r="HO339" s="2250"/>
      <c r="HP339" s="2250"/>
      <c r="HQ339" s="2250"/>
      <c r="HR339" s="2250"/>
      <c r="HS339" s="2275"/>
      <c r="HT339" s="2275"/>
      <c r="HU339" s="2250"/>
      <c r="HV339" s="2250"/>
      <c r="HW339" s="2250"/>
      <c r="HX339" s="2250"/>
      <c r="HY339" s="2250"/>
      <c r="HZ339" s="2250"/>
      <c r="IA339" s="2250"/>
      <c r="IB339" s="2250"/>
      <c r="IC339" s="2250"/>
      <c r="ID339" s="2250"/>
      <c r="IE339" s="2250"/>
      <c r="IF339" s="2250"/>
      <c r="IG339" s="2250"/>
      <c r="IH339" s="2250"/>
      <c r="II339" s="2250"/>
      <c r="IJ339" s="2250"/>
      <c r="IK339" s="2250"/>
      <c r="IL339" s="53"/>
      <c r="IM339" s="53"/>
    </row>
    <row r="340" spans="1:247" ht="21.95" customHeight="1">
      <c r="A340" s="2275"/>
      <c r="B340" s="2250"/>
      <c r="C340" s="2250"/>
      <c r="D340" s="2250"/>
      <c r="E340" s="2250"/>
      <c r="F340" s="2250"/>
      <c r="G340" s="2250"/>
      <c r="H340" s="2250"/>
      <c r="I340" s="2250"/>
      <c r="J340" s="2250"/>
      <c r="K340" s="2250"/>
      <c r="L340" s="2332"/>
      <c r="M340" s="2250"/>
      <c r="N340" s="2250"/>
      <c r="O340" s="2250"/>
      <c r="P340" s="2250"/>
      <c r="Q340" s="2250"/>
      <c r="R340" s="2250"/>
      <c r="S340" s="2250"/>
      <c r="T340" s="2250"/>
      <c r="U340" s="2250"/>
      <c r="V340" s="2250"/>
      <c r="W340" s="2250"/>
      <c r="X340" s="2250"/>
      <c r="Y340" s="2250"/>
      <c r="Z340" s="2250"/>
      <c r="AA340" s="2250"/>
      <c r="AB340" s="2250"/>
      <c r="AC340" s="2250"/>
      <c r="AD340" s="2250"/>
      <c r="AE340" s="2250"/>
      <c r="AF340" s="2250"/>
      <c r="AG340" s="2250"/>
      <c r="AH340" s="2250"/>
      <c r="AI340" s="2250"/>
      <c r="AJ340" s="2250"/>
      <c r="AK340" s="2250"/>
      <c r="AL340" s="2250"/>
      <c r="AM340" s="2250"/>
      <c r="AN340" s="2250"/>
      <c r="AO340" s="2250"/>
      <c r="AP340" s="2250"/>
      <c r="AQ340" s="2250"/>
      <c r="AR340" s="2250"/>
      <c r="AS340" s="2250"/>
      <c r="AT340" s="2250"/>
      <c r="AU340" s="2250"/>
      <c r="AV340" s="2250"/>
      <c r="AW340" s="2250"/>
      <c r="AX340" s="2250"/>
      <c r="AY340" s="2250"/>
      <c r="AZ340" s="2250"/>
      <c r="BA340" s="2250"/>
      <c r="BB340" s="2250"/>
      <c r="BC340" s="2250"/>
      <c r="BD340" s="2250"/>
      <c r="BE340" s="2250"/>
      <c r="BF340" s="2276"/>
      <c r="BG340" s="2276"/>
      <c r="BH340" s="2250"/>
      <c r="BI340" s="2275"/>
      <c r="BJ340" s="2250"/>
      <c r="BK340" s="2250"/>
      <c r="BL340" s="2250"/>
      <c r="BM340" s="2250"/>
      <c r="BN340" s="2250"/>
      <c r="BO340" s="2250"/>
      <c r="BP340" s="2250"/>
      <c r="BQ340" s="2250"/>
      <c r="BR340" s="2250"/>
      <c r="BS340" s="2250"/>
      <c r="BT340" s="2250"/>
      <c r="BU340" s="2250"/>
      <c r="BV340" s="2250"/>
      <c r="BW340" s="2250"/>
      <c r="BX340" s="2250"/>
      <c r="BY340" s="2250"/>
      <c r="BZ340" s="2250"/>
      <c r="CA340" s="2250"/>
      <c r="CB340" s="2250"/>
      <c r="CC340" s="2250"/>
      <c r="CD340" s="2250"/>
      <c r="CE340" s="2250"/>
      <c r="CF340" s="2250"/>
      <c r="CG340" s="2250"/>
      <c r="CH340" s="2250"/>
      <c r="CI340" s="2250"/>
      <c r="CJ340" s="2250"/>
      <c r="CK340" s="2250"/>
      <c r="CL340" s="2250"/>
      <c r="CM340" s="2250"/>
      <c r="CN340" s="2250"/>
      <c r="CO340" s="2250"/>
      <c r="CP340" s="2250"/>
      <c r="CQ340" s="2250"/>
      <c r="CR340" s="2250"/>
      <c r="CS340" s="2250"/>
      <c r="CT340" s="2250"/>
      <c r="CU340" s="2250"/>
      <c r="CV340" s="2250"/>
      <c r="CW340" s="2250"/>
      <c r="CX340" s="2250"/>
      <c r="CY340" s="2250"/>
      <c r="CZ340" s="2250"/>
      <c r="DA340" s="2250"/>
      <c r="DB340" s="2250"/>
      <c r="DC340" s="2250"/>
      <c r="DD340" s="2250"/>
      <c r="DE340" s="2250"/>
      <c r="DF340" s="2250"/>
      <c r="DG340" s="2250"/>
      <c r="DH340" s="2250"/>
      <c r="DI340" s="2250"/>
      <c r="DJ340" s="2250"/>
      <c r="DK340" s="2250"/>
      <c r="DL340" s="2250"/>
      <c r="DM340" s="2250"/>
      <c r="DN340" s="2250"/>
      <c r="DO340" s="53"/>
      <c r="DP340" s="53"/>
      <c r="DQ340" s="2277"/>
      <c r="DR340" s="2277"/>
      <c r="DS340" s="2278"/>
      <c r="DT340" s="2250"/>
      <c r="DU340" s="2250"/>
      <c r="DV340" s="2250"/>
      <c r="DW340" s="2250"/>
      <c r="DX340" s="2250"/>
      <c r="DY340" s="2250"/>
      <c r="DZ340" s="2250"/>
      <c r="EA340" s="2250"/>
      <c r="EB340" s="2250"/>
      <c r="EC340" s="2250"/>
      <c r="ED340" s="2250"/>
      <c r="EE340" s="2250"/>
      <c r="EF340" s="2250"/>
      <c r="EG340" s="2250"/>
      <c r="EH340" s="2250"/>
      <c r="EI340" s="2332"/>
      <c r="EJ340" s="2250"/>
      <c r="EK340" s="2250"/>
      <c r="EL340" s="2250"/>
      <c r="EM340" s="2250"/>
      <c r="EN340" s="2250"/>
      <c r="EO340" s="2250"/>
      <c r="EP340" s="2250"/>
      <c r="EQ340" s="2250"/>
      <c r="ER340" s="2250"/>
      <c r="ES340" s="2250"/>
      <c r="ET340" s="2250"/>
      <c r="EU340" s="2250"/>
      <c r="EV340" s="2250"/>
      <c r="EW340" s="2250"/>
      <c r="EX340" s="2250"/>
      <c r="EY340" s="2250"/>
      <c r="EZ340" s="2250"/>
      <c r="FA340" s="2250"/>
      <c r="FB340" s="2250"/>
      <c r="FC340" s="2250"/>
      <c r="FD340" s="2250"/>
      <c r="FE340" s="2250"/>
      <c r="FF340" s="2250"/>
      <c r="FG340" s="2250"/>
      <c r="FH340" s="2250"/>
      <c r="FI340" s="2250"/>
      <c r="FJ340" s="2250"/>
      <c r="FK340" s="2250"/>
      <c r="FL340" s="2250"/>
      <c r="FM340" s="2250"/>
      <c r="FN340" s="2250"/>
      <c r="FO340" s="2250"/>
      <c r="FP340" s="2250"/>
      <c r="FQ340" s="2250"/>
      <c r="FR340" s="2250"/>
      <c r="FS340" s="2250"/>
      <c r="FT340" s="2250"/>
      <c r="FU340" s="2250"/>
      <c r="FV340" s="2250"/>
      <c r="FW340" s="2250"/>
      <c r="FX340" s="2250"/>
      <c r="FY340" s="2250"/>
      <c r="FZ340" s="2250"/>
      <c r="GA340" s="2250"/>
      <c r="GB340" s="2250"/>
      <c r="GC340" s="2276"/>
      <c r="GD340" s="2276"/>
      <c r="GE340" s="2250"/>
      <c r="GF340" s="2275"/>
      <c r="GG340" s="2250"/>
      <c r="GH340" s="2250"/>
      <c r="GI340" s="2250"/>
      <c r="GJ340" s="2250"/>
      <c r="GK340" s="2250"/>
      <c r="GL340" s="2250"/>
      <c r="GM340" s="2250"/>
      <c r="GN340" s="2250"/>
      <c r="GO340" s="2250"/>
      <c r="GP340" s="2250"/>
      <c r="GQ340" s="2250"/>
      <c r="GR340" s="2250"/>
      <c r="GS340" s="2250"/>
      <c r="GT340" s="2250"/>
      <c r="GU340" s="2250"/>
      <c r="GV340" s="2250"/>
      <c r="GW340" s="2250"/>
      <c r="GX340" s="2250"/>
      <c r="GY340" s="2250"/>
      <c r="GZ340" s="2250"/>
      <c r="HA340" s="2250"/>
      <c r="HB340" s="2250"/>
      <c r="HC340" s="2250"/>
      <c r="HD340" s="2250"/>
      <c r="HE340" s="2250"/>
      <c r="HF340" s="2250"/>
      <c r="HG340" s="2250"/>
      <c r="HH340" s="2250"/>
      <c r="HI340" s="2250"/>
      <c r="HJ340" s="2250"/>
      <c r="HK340" s="2250"/>
      <c r="HL340" s="2250"/>
      <c r="HM340" s="2250"/>
      <c r="HN340" s="2250"/>
      <c r="HO340" s="2250"/>
      <c r="HP340" s="2250"/>
      <c r="HQ340" s="2250"/>
      <c r="HR340" s="2250"/>
      <c r="HS340" s="2250"/>
      <c r="HT340" s="2250"/>
      <c r="HU340" s="2250"/>
      <c r="HV340" s="2250"/>
      <c r="HW340" s="2250"/>
      <c r="HX340" s="2250"/>
      <c r="HY340" s="2250"/>
      <c r="HZ340" s="2250"/>
      <c r="IA340" s="2250"/>
      <c r="IB340" s="2250"/>
      <c r="IC340" s="2250"/>
      <c r="ID340" s="2250"/>
      <c r="IE340" s="2250"/>
      <c r="IF340" s="2250"/>
      <c r="IG340" s="2250"/>
      <c r="IH340" s="2250"/>
      <c r="II340" s="2250"/>
      <c r="IJ340" s="2250"/>
      <c r="IK340" s="2250"/>
      <c r="IL340" s="53"/>
      <c r="IM340" s="53"/>
    </row>
    <row r="341" spans="1:247" ht="21.95" customHeight="1">
      <c r="A341" s="2275"/>
      <c r="B341" s="2333" t="s">
        <v>731</v>
      </c>
      <c r="C341" s="4670" t="s">
        <v>732</v>
      </c>
      <c r="D341" s="4670"/>
      <c r="E341" s="2334"/>
      <c r="F341" s="4680"/>
      <c r="G341" s="4672"/>
      <c r="H341" s="4672"/>
      <c r="I341" s="4672"/>
      <c r="J341" s="4672"/>
      <c r="K341" s="4672"/>
      <c r="L341" s="2334"/>
      <c r="M341" s="2334"/>
      <c r="N341" s="2250"/>
      <c r="O341" s="2250"/>
      <c r="P341" s="2333" t="s">
        <v>731</v>
      </c>
      <c r="Q341" s="4670" t="s">
        <v>733</v>
      </c>
      <c r="R341" s="4670"/>
      <c r="S341" s="2334"/>
      <c r="T341" s="4672"/>
      <c r="U341" s="4672"/>
      <c r="V341" s="4672"/>
      <c r="W341" s="4672"/>
      <c r="X341" s="4672"/>
      <c r="Y341" s="4672"/>
      <c r="Z341" s="2334"/>
      <c r="AA341" s="2334"/>
      <c r="AB341" s="2250"/>
      <c r="AC341" s="2250"/>
      <c r="AD341" s="2334"/>
      <c r="AE341" s="4670" t="s">
        <v>734</v>
      </c>
      <c r="AF341" s="4670"/>
      <c r="AG341" s="2334"/>
      <c r="AH341" s="2334"/>
      <c r="AI341" s="2334"/>
      <c r="AJ341" s="2334"/>
      <c r="AK341" s="2334"/>
      <c r="AL341" s="2334"/>
      <c r="AM341" s="2334"/>
      <c r="AN341" s="2334"/>
      <c r="AO341" s="2334"/>
      <c r="AP341" s="2250"/>
      <c r="AQ341" s="2250"/>
      <c r="AR341" s="2335"/>
      <c r="AS341" s="4670" t="s">
        <v>735</v>
      </c>
      <c r="AT341" s="4670"/>
      <c r="AU341" s="2335"/>
      <c r="AV341" s="2335"/>
      <c r="AW341" s="2335"/>
      <c r="AX341" s="2335"/>
      <c r="AY341" s="2335"/>
      <c r="AZ341" s="2335"/>
      <c r="BA341" s="2335"/>
      <c r="BB341" s="2335"/>
      <c r="BC341" s="2335"/>
      <c r="BD341" s="2250"/>
      <c r="BE341" s="2250"/>
      <c r="BF341" s="4679" t="s">
        <v>227</v>
      </c>
      <c r="BG341" s="4679"/>
      <c r="BH341" s="2250"/>
      <c r="BI341" s="2275"/>
      <c r="BJ341" s="2333" t="s">
        <v>731</v>
      </c>
      <c r="BK341" s="4670" t="s">
        <v>732</v>
      </c>
      <c r="BL341" s="4670"/>
      <c r="BM341" s="2334"/>
      <c r="BN341" s="4680"/>
      <c r="BO341" s="4672"/>
      <c r="BP341" s="4672"/>
      <c r="BQ341" s="4672"/>
      <c r="BR341" s="4672"/>
      <c r="BS341" s="4672"/>
      <c r="BT341" s="2334"/>
      <c r="BU341" s="2334"/>
      <c r="BV341" s="2250"/>
      <c r="BW341" s="2250"/>
      <c r="BX341" s="2333" t="s">
        <v>731</v>
      </c>
      <c r="BY341" s="4670" t="s">
        <v>733</v>
      </c>
      <c r="BZ341" s="4670"/>
      <c r="CA341" s="2334"/>
      <c r="CB341" s="4672"/>
      <c r="CC341" s="4672"/>
      <c r="CD341" s="4672"/>
      <c r="CE341" s="4672"/>
      <c r="CF341" s="4672"/>
      <c r="CG341" s="4672"/>
      <c r="CH341" s="2334"/>
      <c r="CI341" s="2334"/>
      <c r="CJ341" s="2250"/>
      <c r="CK341" s="2250"/>
      <c r="CL341" s="2334"/>
      <c r="CM341" s="4670" t="s">
        <v>734</v>
      </c>
      <c r="CN341" s="4670"/>
      <c r="CO341" s="2334"/>
      <c r="CP341" s="2334"/>
      <c r="CQ341" s="2334"/>
      <c r="CR341" s="2334"/>
      <c r="CS341" s="2334"/>
      <c r="CT341" s="2334"/>
      <c r="CU341" s="2334"/>
      <c r="CV341" s="2334"/>
      <c r="CW341" s="2334"/>
      <c r="CX341" s="2250"/>
      <c r="CY341" s="2250"/>
      <c r="CZ341" s="2335"/>
      <c r="DA341" s="4670" t="s">
        <v>735</v>
      </c>
      <c r="DB341" s="4670"/>
      <c r="DC341" s="2335"/>
      <c r="DD341" s="2335"/>
      <c r="DE341" s="2335"/>
      <c r="DF341" s="2335"/>
      <c r="DG341" s="2335"/>
      <c r="DH341" s="2335"/>
      <c r="DI341" s="2335"/>
      <c r="DJ341" s="2335"/>
      <c r="DK341" s="2335"/>
      <c r="DL341" s="2250"/>
      <c r="DM341" s="2250"/>
      <c r="DN341" s="2250"/>
      <c r="DO341" s="53"/>
      <c r="DP341" s="53"/>
      <c r="DQ341" s="2277"/>
      <c r="DR341" s="2277"/>
      <c r="DS341" s="2278"/>
      <c r="DT341" s="2250"/>
      <c r="DU341" s="2250"/>
      <c r="DV341" s="2250"/>
      <c r="DW341" s="2250"/>
      <c r="DX341" s="2250"/>
      <c r="DY341" s="2333" t="s">
        <v>731</v>
      </c>
      <c r="DZ341" s="4670" t="s">
        <v>732</v>
      </c>
      <c r="EA341" s="4670"/>
      <c r="EB341" s="2334"/>
      <c r="EC341" s="4680"/>
      <c r="ED341" s="4672"/>
      <c r="EE341" s="4672"/>
      <c r="EF341" s="4672"/>
      <c r="EG341" s="4672"/>
      <c r="EH341" s="4672"/>
      <c r="EI341" s="2334"/>
      <c r="EJ341" s="2334"/>
      <c r="EK341" s="2250"/>
      <c r="EL341" s="2250"/>
      <c r="EM341" s="2333" t="s">
        <v>731</v>
      </c>
      <c r="EN341" s="4670" t="s">
        <v>733</v>
      </c>
      <c r="EO341" s="4670"/>
      <c r="EP341" s="2334"/>
      <c r="EQ341" s="4672"/>
      <c r="ER341" s="4672"/>
      <c r="ES341" s="4672"/>
      <c r="ET341" s="4672"/>
      <c r="EU341" s="4672"/>
      <c r="EV341" s="4672"/>
      <c r="EW341" s="2334"/>
      <c r="EX341" s="2334"/>
      <c r="EY341" s="2250"/>
      <c r="EZ341" s="2250"/>
      <c r="FA341" s="2334"/>
      <c r="FB341" s="4670" t="s">
        <v>734</v>
      </c>
      <c r="FC341" s="4670"/>
      <c r="FD341" s="2334"/>
      <c r="FE341" s="2334"/>
      <c r="FF341" s="2334"/>
      <c r="FG341" s="2334"/>
      <c r="FH341" s="2334"/>
      <c r="FI341" s="2334"/>
      <c r="FJ341" s="2334"/>
      <c r="FK341" s="2334"/>
      <c r="FL341" s="2334"/>
      <c r="FM341" s="2250"/>
      <c r="FN341" s="2250"/>
      <c r="FO341" s="2335"/>
      <c r="FP341" s="4670" t="s">
        <v>735</v>
      </c>
      <c r="FQ341" s="4670"/>
      <c r="FR341" s="2335"/>
      <c r="FS341" s="2335"/>
      <c r="FT341" s="2335"/>
      <c r="FU341" s="2335"/>
      <c r="FV341" s="2335"/>
      <c r="FW341" s="2335"/>
      <c r="FX341" s="2335"/>
      <c r="FY341" s="2335"/>
      <c r="FZ341" s="2335"/>
      <c r="GA341" s="2250"/>
      <c r="GB341" s="2250"/>
      <c r="GC341" s="4679" t="s">
        <v>227</v>
      </c>
      <c r="GD341" s="4679"/>
      <c r="GE341" s="2250"/>
      <c r="GF341" s="2275"/>
      <c r="GG341" s="2333" t="s">
        <v>731</v>
      </c>
      <c r="GH341" s="4670" t="s">
        <v>732</v>
      </c>
      <c r="GI341" s="4670"/>
      <c r="GJ341" s="2334"/>
      <c r="GK341" s="4680"/>
      <c r="GL341" s="4672"/>
      <c r="GM341" s="4672"/>
      <c r="GN341" s="4672"/>
      <c r="GO341" s="4672"/>
      <c r="GP341" s="4672"/>
      <c r="GQ341" s="2334"/>
      <c r="GR341" s="2334"/>
      <c r="GS341" s="2250"/>
      <c r="GT341" s="2250"/>
      <c r="GU341" s="2333" t="s">
        <v>731</v>
      </c>
      <c r="GV341" s="4670" t="s">
        <v>733</v>
      </c>
      <c r="GW341" s="4670"/>
      <c r="GX341" s="2334"/>
      <c r="GY341" s="4672"/>
      <c r="GZ341" s="4672"/>
      <c r="HA341" s="4672"/>
      <c r="HB341" s="4672"/>
      <c r="HC341" s="4672"/>
      <c r="HD341" s="4672"/>
      <c r="HE341" s="2334"/>
      <c r="HF341" s="2334"/>
      <c r="HG341" s="2250"/>
      <c r="HH341" s="2250"/>
      <c r="HI341" s="2334"/>
      <c r="HJ341" s="4670" t="s">
        <v>734</v>
      </c>
      <c r="HK341" s="4670"/>
      <c r="HL341" s="2334"/>
      <c r="HM341" s="2334"/>
      <c r="HN341" s="2334"/>
      <c r="HO341" s="2334"/>
      <c r="HP341" s="2334"/>
      <c r="HQ341" s="2334"/>
      <c r="HR341" s="2334"/>
      <c r="HS341" s="2334"/>
      <c r="HT341" s="2334"/>
      <c r="HU341" s="2250"/>
      <c r="HV341" s="2250"/>
      <c r="HW341" s="2335"/>
      <c r="HX341" s="4670" t="s">
        <v>735</v>
      </c>
      <c r="HY341" s="4670"/>
      <c r="HZ341" s="2335"/>
      <c r="IA341" s="2335"/>
      <c r="IB341" s="2335"/>
      <c r="IC341" s="2335"/>
      <c r="ID341" s="2335"/>
      <c r="IE341" s="2335"/>
      <c r="IF341" s="2335"/>
      <c r="IG341" s="2335"/>
      <c r="IH341" s="2335"/>
      <c r="II341" s="2250"/>
      <c r="IJ341" s="2250"/>
      <c r="IK341" s="2250"/>
      <c r="IL341" s="53"/>
      <c r="IM341" s="53"/>
    </row>
    <row r="342" spans="1:247" ht="21.95" customHeight="1">
      <c r="A342" s="2275"/>
      <c r="B342" s="2333" t="s">
        <v>736</v>
      </c>
      <c r="C342" s="2333">
        <v>400</v>
      </c>
      <c r="D342" s="2333">
        <v>475</v>
      </c>
      <c r="E342" s="2333">
        <v>550</v>
      </c>
      <c r="F342" s="2333">
        <v>650</v>
      </c>
      <c r="G342" s="2333">
        <v>775</v>
      </c>
      <c r="H342" s="2333">
        <v>825</v>
      </c>
      <c r="I342" s="2333">
        <v>950</v>
      </c>
      <c r="J342" s="2333">
        <v>1100</v>
      </c>
      <c r="K342" s="2333">
        <v>1250</v>
      </c>
      <c r="L342" s="2333">
        <v>1450</v>
      </c>
      <c r="M342" s="2333">
        <v>1650</v>
      </c>
      <c r="N342" s="2250"/>
      <c r="O342" s="2250"/>
      <c r="P342" s="2333" t="s">
        <v>736</v>
      </c>
      <c r="Q342" s="2333">
        <v>400</v>
      </c>
      <c r="R342" s="2333">
        <v>475</v>
      </c>
      <c r="S342" s="2333">
        <v>550</v>
      </c>
      <c r="T342" s="2333">
        <v>650</v>
      </c>
      <c r="U342" s="2333">
        <v>775</v>
      </c>
      <c r="V342" s="2333">
        <v>825</v>
      </c>
      <c r="W342" s="2333">
        <v>950</v>
      </c>
      <c r="X342" s="2333">
        <v>1100</v>
      </c>
      <c r="Y342" s="2333">
        <v>1250</v>
      </c>
      <c r="Z342" s="2333">
        <v>1450</v>
      </c>
      <c r="AA342" s="2333">
        <v>1650</v>
      </c>
      <c r="AB342" s="2250"/>
      <c r="AC342" s="2250"/>
      <c r="AD342" s="2333" t="s">
        <v>736</v>
      </c>
      <c r="AE342" s="2333">
        <v>400</v>
      </c>
      <c r="AF342" s="2333">
        <v>475</v>
      </c>
      <c r="AG342" s="2333">
        <v>550</v>
      </c>
      <c r="AH342" s="2333">
        <v>650</v>
      </c>
      <c r="AI342" s="2333">
        <v>775</v>
      </c>
      <c r="AJ342" s="2333">
        <v>825</v>
      </c>
      <c r="AK342" s="2333">
        <v>950</v>
      </c>
      <c r="AL342" s="2333">
        <v>1100</v>
      </c>
      <c r="AM342" s="2333">
        <v>1250</v>
      </c>
      <c r="AN342" s="2333">
        <v>1450</v>
      </c>
      <c r="AO342" s="2333">
        <v>1650</v>
      </c>
      <c r="AP342" s="2250"/>
      <c r="AQ342" s="2250"/>
      <c r="AR342" s="2333" t="s">
        <v>736</v>
      </c>
      <c r="AS342" s="2333">
        <v>400</v>
      </c>
      <c r="AT342" s="2333">
        <v>475</v>
      </c>
      <c r="AU342" s="2333">
        <v>550</v>
      </c>
      <c r="AV342" s="2333">
        <v>650</v>
      </c>
      <c r="AW342" s="2333">
        <v>775</v>
      </c>
      <c r="AX342" s="2333">
        <v>825</v>
      </c>
      <c r="AY342" s="2333">
        <v>950</v>
      </c>
      <c r="AZ342" s="2333">
        <v>1100</v>
      </c>
      <c r="BA342" s="2333">
        <v>1250</v>
      </c>
      <c r="BB342" s="2333">
        <v>1450</v>
      </c>
      <c r="BC342" s="2333">
        <v>1650</v>
      </c>
      <c r="BD342" s="2250"/>
      <c r="BE342" s="2250"/>
      <c r="BF342" s="1201" t="s">
        <v>512</v>
      </c>
      <c r="BG342" s="1201" t="s">
        <v>682</v>
      </c>
      <c r="BH342" s="2250"/>
      <c r="BI342" s="2275"/>
      <c r="BJ342" s="2333" t="s">
        <v>736</v>
      </c>
      <c r="BK342" s="2333">
        <v>400</v>
      </c>
      <c r="BL342" s="2333">
        <v>475</v>
      </c>
      <c r="BM342" s="2333">
        <v>550</v>
      </c>
      <c r="BN342" s="2333">
        <v>650</v>
      </c>
      <c r="BO342" s="2333">
        <v>775</v>
      </c>
      <c r="BP342" s="2333">
        <v>825</v>
      </c>
      <c r="BQ342" s="2333">
        <v>950</v>
      </c>
      <c r="BR342" s="2333">
        <v>1100</v>
      </c>
      <c r="BS342" s="2333">
        <v>1250</v>
      </c>
      <c r="BT342" s="2333">
        <v>1450</v>
      </c>
      <c r="BU342" s="2333">
        <v>1650</v>
      </c>
      <c r="BV342" s="2250"/>
      <c r="BW342" s="2250"/>
      <c r="BX342" s="2333" t="s">
        <v>736</v>
      </c>
      <c r="BY342" s="2333">
        <v>400</v>
      </c>
      <c r="BZ342" s="2333">
        <v>475</v>
      </c>
      <c r="CA342" s="2333">
        <v>550</v>
      </c>
      <c r="CB342" s="2333">
        <v>650</v>
      </c>
      <c r="CC342" s="2333">
        <v>775</v>
      </c>
      <c r="CD342" s="2333">
        <v>825</v>
      </c>
      <c r="CE342" s="2333">
        <v>950</v>
      </c>
      <c r="CF342" s="2333">
        <v>1100</v>
      </c>
      <c r="CG342" s="2333">
        <v>1250</v>
      </c>
      <c r="CH342" s="2333">
        <v>1450</v>
      </c>
      <c r="CI342" s="2333">
        <v>1650</v>
      </c>
      <c r="CJ342" s="2250"/>
      <c r="CK342" s="2250"/>
      <c r="CL342" s="2333" t="s">
        <v>736</v>
      </c>
      <c r="CM342" s="2333">
        <v>400</v>
      </c>
      <c r="CN342" s="2333">
        <v>475</v>
      </c>
      <c r="CO342" s="2333">
        <v>550</v>
      </c>
      <c r="CP342" s="2333">
        <v>650</v>
      </c>
      <c r="CQ342" s="2333">
        <v>775</v>
      </c>
      <c r="CR342" s="2333">
        <v>825</v>
      </c>
      <c r="CS342" s="2333">
        <v>950</v>
      </c>
      <c r="CT342" s="2333">
        <v>1100</v>
      </c>
      <c r="CU342" s="2333">
        <v>1250</v>
      </c>
      <c r="CV342" s="2333">
        <v>1450</v>
      </c>
      <c r="CW342" s="2333">
        <v>1650</v>
      </c>
      <c r="CX342" s="2250"/>
      <c r="CY342" s="2250"/>
      <c r="CZ342" s="2333" t="s">
        <v>736</v>
      </c>
      <c r="DA342" s="2333">
        <v>400</v>
      </c>
      <c r="DB342" s="2333">
        <v>475</v>
      </c>
      <c r="DC342" s="2333">
        <v>550</v>
      </c>
      <c r="DD342" s="2333">
        <v>650</v>
      </c>
      <c r="DE342" s="2333">
        <v>775</v>
      </c>
      <c r="DF342" s="2333">
        <v>825</v>
      </c>
      <c r="DG342" s="2333">
        <v>950</v>
      </c>
      <c r="DH342" s="2333">
        <v>1100</v>
      </c>
      <c r="DI342" s="2333">
        <v>1250</v>
      </c>
      <c r="DJ342" s="2333">
        <v>1450</v>
      </c>
      <c r="DK342" s="2333">
        <v>1650</v>
      </c>
      <c r="DL342" s="2250"/>
      <c r="DM342" s="2250"/>
      <c r="DN342" s="2250"/>
      <c r="DO342" s="53"/>
      <c r="DP342" s="53"/>
      <c r="DQ342" s="2277"/>
      <c r="DR342" s="2277"/>
      <c r="DS342" s="2278"/>
      <c r="DT342" s="2250"/>
      <c r="DU342" s="2250"/>
      <c r="DV342" s="2250"/>
      <c r="DW342" s="2250"/>
      <c r="DX342" s="2250"/>
      <c r="DY342" s="2333" t="s">
        <v>736</v>
      </c>
      <c r="DZ342" s="2333">
        <v>400</v>
      </c>
      <c r="EA342" s="2333">
        <v>475</v>
      </c>
      <c r="EB342" s="2333">
        <v>550</v>
      </c>
      <c r="EC342" s="2333">
        <v>650</v>
      </c>
      <c r="ED342" s="2333">
        <v>775</v>
      </c>
      <c r="EE342" s="2333">
        <v>825</v>
      </c>
      <c r="EF342" s="2333">
        <v>950</v>
      </c>
      <c r="EG342" s="2333">
        <v>1100</v>
      </c>
      <c r="EH342" s="2333">
        <v>1250</v>
      </c>
      <c r="EI342" s="2333">
        <v>1450</v>
      </c>
      <c r="EJ342" s="2333">
        <v>1650</v>
      </c>
      <c r="EK342" s="2250"/>
      <c r="EL342" s="2250"/>
      <c r="EM342" s="2333" t="s">
        <v>736</v>
      </c>
      <c r="EN342" s="2333">
        <v>400</v>
      </c>
      <c r="EO342" s="2333">
        <v>475</v>
      </c>
      <c r="EP342" s="2333">
        <v>550</v>
      </c>
      <c r="EQ342" s="2333">
        <v>650</v>
      </c>
      <c r="ER342" s="2333">
        <v>775</v>
      </c>
      <c r="ES342" s="2333">
        <v>825</v>
      </c>
      <c r="ET342" s="2333">
        <v>950</v>
      </c>
      <c r="EU342" s="2333">
        <v>1100</v>
      </c>
      <c r="EV342" s="2333">
        <v>1250</v>
      </c>
      <c r="EW342" s="2333">
        <v>1450</v>
      </c>
      <c r="EX342" s="2333">
        <v>1650</v>
      </c>
      <c r="EY342" s="2250"/>
      <c r="EZ342" s="2250"/>
      <c r="FA342" s="2333" t="s">
        <v>736</v>
      </c>
      <c r="FB342" s="2333">
        <v>400</v>
      </c>
      <c r="FC342" s="2333">
        <v>475</v>
      </c>
      <c r="FD342" s="2333">
        <v>550</v>
      </c>
      <c r="FE342" s="2333">
        <v>650</v>
      </c>
      <c r="FF342" s="2333">
        <v>775</v>
      </c>
      <c r="FG342" s="2333">
        <v>825</v>
      </c>
      <c r="FH342" s="2333">
        <v>950</v>
      </c>
      <c r="FI342" s="2333">
        <v>1100</v>
      </c>
      <c r="FJ342" s="2333">
        <v>1250</v>
      </c>
      <c r="FK342" s="2333">
        <v>1450</v>
      </c>
      <c r="FL342" s="2333">
        <v>1650</v>
      </c>
      <c r="FM342" s="2250"/>
      <c r="FN342" s="2250"/>
      <c r="FO342" s="2333" t="s">
        <v>736</v>
      </c>
      <c r="FP342" s="2333">
        <v>400</v>
      </c>
      <c r="FQ342" s="2333">
        <v>475</v>
      </c>
      <c r="FR342" s="2333">
        <v>550</v>
      </c>
      <c r="FS342" s="2333">
        <v>650</v>
      </c>
      <c r="FT342" s="2333">
        <v>775</v>
      </c>
      <c r="FU342" s="2333">
        <v>825</v>
      </c>
      <c r="FV342" s="2333">
        <v>950</v>
      </c>
      <c r="FW342" s="2333">
        <v>1100</v>
      </c>
      <c r="FX342" s="2333">
        <v>1250</v>
      </c>
      <c r="FY342" s="2333">
        <v>1450</v>
      </c>
      <c r="FZ342" s="2333">
        <v>1650</v>
      </c>
      <c r="GA342" s="2250"/>
      <c r="GB342" s="2250"/>
      <c r="GC342" s="1201" t="s">
        <v>512</v>
      </c>
      <c r="GD342" s="1201" t="s">
        <v>682</v>
      </c>
      <c r="GE342" s="2250"/>
      <c r="GF342" s="2275"/>
      <c r="GG342" s="2333" t="s">
        <v>736</v>
      </c>
      <c r="GH342" s="2333">
        <v>400</v>
      </c>
      <c r="GI342" s="2333">
        <v>475</v>
      </c>
      <c r="GJ342" s="2333">
        <v>550</v>
      </c>
      <c r="GK342" s="2333">
        <v>650</v>
      </c>
      <c r="GL342" s="2333">
        <v>775</v>
      </c>
      <c r="GM342" s="2333">
        <v>825</v>
      </c>
      <c r="GN342" s="2333">
        <v>950</v>
      </c>
      <c r="GO342" s="2333">
        <v>1100</v>
      </c>
      <c r="GP342" s="2333">
        <v>1250</v>
      </c>
      <c r="GQ342" s="2333">
        <v>1450</v>
      </c>
      <c r="GR342" s="2333">
        <v>1650</v>
      </c>
      <c r="GS342" s="2250"/>
      <c r="GT342" s="2250"/>
      <c r="GU342" s="2333" t="s">
        <v>736</v>
      </c>
      <c r="GV342" s="2333">
        <v>400</v>
      </c>
      <c r="GW342" s="2333">
        <v>475</v>
      </c>
      <c r="GX342" s="2333">
        <v>550</v>
      </c>
      <c r="GY342" s="2333">
        <v>650</v>
      </c>
      <c r="GZ342" s="2333">
        <v>775</v>
      </c>
      <c r="HA342" s="2333">
        <v>825</v>
      </c>
      <c r="HB342" s="2333">
        <v>950</v>
      </c>
      <c r="HC342" s="2333">
        <v>1100</v>
      </c>
      <c r="HD342" s="2333">
        <v>1250</v>
      </c>
      <c r="HE342" s="2333">
        <v>1450</v>
      </c>
      <c r="HF342" s="2333">
        <v>1650</v>
      </c>
      <c r="HG342" s="2250"/>
      <c r="HH342" s="2250"/>
      <c r="HI342" s="2333" t="s">
        <v>736</v>
      </c>
      <c r="HJ342" s="2333">
        <v>400</v>
      </c>
      <c r="HK342" s="2333">
        <v>475</v>
      </c>
      <c r="HL342" s="2333">
        <v>550</v>
      </c>
      <c r="HM342" s="2333">
        <v>650</v>
      </c>
      <c r="HN342" s="2333">
        <v>775</v>
      </c>
      <c r="HO342" s="2333">
        <v>825</v>
      </c>
      <c r="HP342" s="2333">
        <v>950</v>
      </c>
      <c r="HQ342" s="2333">
        <v>1100</v>
      </c>
      <c r="HR342" s="2333">
        <v>1250</v>
      </c>
      <c r="HS342" s="2333">
        <v>1450</v>
      </c>
      <c r="HT342" s="2333">
        <v>1650</v>
      </c>
      <c r="HU342" s="2250"/>
      <c r="HV342" s="2250"/>
      <c r="HW342" s="2333" t="s">
        <v>736</v>
      </c>
      <c r="HX342" s="2333">
        <v>400</v>
      </c>
      <c r="HY342" s="2333">
        <v>475</v>
      </c>
      <c r="HZ342" s="2333">
        <v>550</v>
      </c>
      <c r="IA342" s="2333">
        <v>650</v>
      </c>
      <c r="IB342" s="2333">
        <v>775</v>
      </c>
      <c r="IC342" s="2333">
        <v>825</v>
      </c>
      <c r="ID342" s="2333">
        <v>950</v>
      </c>
      <c r="IE342" s="2333">
        <v>1100</v>
      </c>
      <c r="IF342" s="2333">
        <v>1250</v>
      </c>
      <c r="IG342" s="2333">
        <v>1450</v>
      </c>
      <c r="IH342" s="2333">
        <v>1650</v>
      </c>
      <c r="II342" s="2250"/>
      <c r="IJ342" s="2250"/>
      <c r="IK342" s="2250"/>
      <c r="IL342" s="53"/>
      <c r="IM342" s="53"/>
    </row>
    <row r="343" spans="1:247" ht="21.95" customHeight="1">
      <c r="A343" s="2275"/>
      <c r="B343" s="2333">
        <v>223.8</v>
      </c>
      <c r="C343" s="2336">
        <v>0</v>
      </c>
      <c r="D343" s="2336">
        <v>0</v>
      </c>
      <c r="E343" s="2336">
        <v>0</v>
      </c>
      <c r="F343" s="2336">
        <v>0</v>
      </c>
      <c r="G343" s="2336">
        <v>0</v>
      </c>
      <c r="H343" s="2336">
        <v>0</v>
      </c>
      <c r="I343" s="2336">
        <v>0</v>
      </c>
      <c r="J343" s="2336">
        <v>0</v>
      </c>
      <c r="K343" s="2336">
        <v>0</v>
      </c>
      <c r="L343" s="2336">
        <v>0</v>
      </c>
      <c r="M343" s="2336">
        <v>0</v>
      </c>
      <c r="N343" s="2250"/>
      <c r="O343" s="2250"/>
      <c r="P343" s="2333">
        <v>223.8</v>
      </c>
      <c r="Q343" s="2336">
        <v>0</v>
      </c>
      <c r="R343" s="2336">
        <v>2.33</v>
      </c>
      <c r="S343" s="2336">
        <v>4.5999999999999996</v>
      </c>
      <c r="T343" s="2336">
        <v>7.73</v>
      </c>
      <c r="U343" s="2336">
        <v>11.9</v>
      </c>
      <c r="V343" s="2336">
        <v>17.36</v>
      </c>
      <c r="W343" s="2336">
        <v>24.11</v>
      </c>
      <c r="X343" s="2336">
        <v>32.39</v>
      </c>
      <c r="Y343" s="2336">
        <v>47.55</v>
      </c>
      <c r="Z343" s="2336">
        <v>73.25</v>
      </c>
      <c r="AA343" s="2336">
        <v>106.44</v>
      </c>
      <c r="AB343" s="2250"/>
      <c r="AC343" s="2250"/>
      <c r="AD343" s="2333">
        <v>223.8</v>
      </c>
      <c r="AE343" s="2336">
        <v>0</v>
      </c>
      <c r="AF343" s="2336">
        <v>1.8</v>
      </c>
      <c r="AG343" s="2336">
        <v>3.33</v>
      </c>
      <c r="AH343" s="2336">
        <v>5.53</v>
      </c>
      <c r="AI343" s="2336">
        <v>8.5299999999999994</v>
      </c>
      <c r="AJ343" s="2336">
        <v>12.4</v>
      </c>
      <c r="AK343" s="2336">
        <v>17.2</v>
      </c>
      <c r="AL343" s="2336">
        <v>23.13</v>
      </c>
      <c r="AM343" s="2336">
        <v>33.93</v>
      </c>
      <c r="AN343" s="2336">
        <v>52.27</v>
      </c>
      <c r="AO343" s="2336">
        <v>93.33</v>
      </c>
      <c r="AP343" s="2250"/>
      <c r="AQ343" s="2250"/>
      <c r="AR343" s="2333">
        <v>223.8</v>
      </c>
      <c r="AS343" s="2336">
        <v>0</v>
      </c>
      <c r="AT343" s="2336">
        <v>1.38</v>
      </c>
      <c r="AU343" s="2336">
        <v>2.54</v>
      </c>
      <c r="AV343" s="2336">
        <v>4.2300000000000004</v>
      </c>
      <c r="AW343" s="2336">
        <v>6.46</v>
      </c>
      <c r="AX343" s="2336">
        <v>9.4600000000000009</v>
      </c>
      <c r="AY343" s="2336">
        <v>13.15</v>
      </c>
      <c r="AZ343" s="2336">
        <v>17.62</v>
      </c>
      <c r="BA343" s="2336">
        <v>25.92</v>
      </c>
      <c r="BB343" s="2336">
        <v>39.92</v>
      </c>
      <c r="BC343" s="2336">
        <v>58</v>
      </c>
      <c r="BD343" s="2250"/>
      <c r="BE343" s="2250"/>
      <c r="BF343" s="1201">
        <v>0</v>
      </c>
      <c r="BG343" s="1302">
        <v>24.5</v>
      </c>
      <c r="BH343" s="2250"/>
      <c r="BI343" s="2275"/>
      <c r="BJ343" s="2333">
        <v>223.8</v>
      </c>
      <c r="BK343" s="2336">
        <v>0</v>
      </c>
      <c r="BL343" s="2336">
        <v>0</v>
      </c>
      <c r="BM343" s="2336">
        <v>0</v>
      </c>
      <c r="BN343" s="2336">
        <v>0</v>
      </c>
      <c r="BO343" s="2336">
        <v>0</v>
      </c>
      <c r="BP343" s="2336">
        <v>0</v>
      </c>
      <c r="BQ343" s="2336">
        <v>0</v>
      </c>
      <c r="BR343" s="2336">
        <v>0</v>
      </c>
      <c r="BS343" s="2336">
        <v>0</v>
      </c>
      <c r="BT343" s="2336">
        <v>0</v>
      </c>
      <c r="BU343" s="2336">
        <v>0</v>
      </c>
      <c r="BV343" s="2250"/>
      <c r="BW343" s="2250"/>
      <c r="BX343" s="2333">
        <v>223.8</v>
      </c>
      <c r="BY343" s="2336">
        <v>0</v>
      </c>
      <c r="BZ343" s="2336">
        <v>2.33</v>
      </c>
      <c r="CA343" s="2336">
        <v>4.5999999999999996</v>
      </c>
      <c r="CB343" s="2336">
        <v>7.73</v>
      </c>
      <c r="CC343" s="2336">
        <v>11.9</v>
      </c>
      <c r="CD343" s="2336">
        <v>17.36</v>
      </c>
      <c r="CE343" s="2336">
        <v>24.11</v>
      </c>
      <c r="CF343" s="2336">
        <v>32.39</v>
      </c>
      <c r="CG343" s="2336">
        <v>47.55</v>
      </c>
      <c r="CH343" s="2336">
        <v>73.25</v>
      </c>
      <c r="CI343" s="2336">
        <v>106.44</v>
      </c>
      <c r="CJ343" s="2250"/>
      <c r="CK343" s="2250"/>
      <c r="CL343" s="2333">
        <v>223.8</v>
      </c>
      <c r="CM343" s="2336">
        <v>0</v>
      </c>
      <c r="CN343" s="2336">
        <v>1.8</v>
      </c>
      <c r="CO343" s="2336">
        <v>3.33</v>
      </c>
      <c r="CP343" s="2336">
        <v>5.53</v>
      </c>
      <c r="CQ343" s="2336">
        <v>8.5299999999999994</v>
      </c>
      <c r="CR343" s="2336">
        <v>12.4</v>
      </c>
      <c r="CS343" s="2336">
        <v>17.2</v>
      </c>
      <c r="CT343" s="2336">
        <v>23.13</v>
      </c>
      <c r="CU343" s="2336">
        <v>33.93</v>
      </c>
      <c r="CV343" s="2336">
        <v>52.27</v>
      </c>
      <c r="CW343" s="2336">
        <v>93.33</v>
      </c>
      <c r="CX343" s="2250"/>
      <c r="CY343" s="2250"/>
      <c r="CZ343" s="2333">
        <v>223.8</v>
      </c>
      <c r="DA343" s="2336">
        <v>0</v>
      </c>
      <c r="DB343" s="2336">
        <v>1.38</v>
      </c>
      <c r="DC343" s="2336">
        <v>2.54</v>
      </c>
      <c r="DD343" s="2336">
        <v>4.2300000000000004</v>
      </c>
      <c r="DE343" s="2336">
        <v>6.46</v>
      </c>
      <c r="DF343" s="2336">
        <v>9.4600000000000009</v>
      </c>
      <c r="DG343" s="2336">
        <v>13.15</v>
      </c>
      <c r="DH343" s="2336">
        <v>17.62</v>
      </c>
      <c r="DI343" s="2336">
        <v>25.92</v>
      </c>
      <c r="DJ343" s="2336">
        <v>39.92</v>
      </c>
      <c r="DK343" s="2336">
        <v>58</v>
      </c>
      <c r="DL343" s="2250"/>
      <c r="DM343" s="2250"/>
      <c r="DN343" s="2250"/>
      <c r="DO343" s="53"/>
      <c r="DP343" s="53"/>
      <c r="DQ343" s="2277"/>
      <c r="DR343" s="2277"/>
      <c r="DS343" s="2278"/>
      <c r="DT343" s="2250"/>
      <c r="DU343" s="2250"/>
      <c r="DV343" s="2250"/>
      <c r="DW343" s="2250"/>
      <c r="DX343" s="2250"/>
      <c r="DY343" s="2333">
        <v>223.8</v>
      </c>
      <c r="DZ343" s="2336">
        <v>0</v>
      </c>
      <c r="EA343" s="2336">
        <v>0</v>
      </c>
      <c r="EB343" s="2336">
        <v>0</v>
      </c>
      <c r="EC343" s="2336">
        <v>0</v>
      </c>
      <c r="ED343" s="2336">
        <v>0</v>
      </c>
      <c r="EE343" s="2336">
        <v>0</v>
      </c>
      <c r="EF343" s="2336">
        <v>0</v>
      </c>
      <c r="EG343" s="2336">
        <v>0</v>
      </c>
      <c r="EH343" s="2336">
        <v>0</v>
      </c>
      <c r="EI343" s="2336">
        <v>0</v>
      </c>
      <c r="EJ343" s="2336">
        <v>0</v>
      </c>
      <c r="EK343" s="2250"/>
      <c r="EL343" s="2250"/>
      <c r="EM343" s="2333">
        <v>223.8</v>
      </c>
      <c r="EN343" s="2336">
        <v>0</v>
      </c>
      <c r="EO343" s="2336">
        <v>2.33</v>
      </c>
      <c r="EP343" s="2336">
        <v>4.5999999999999996</v>
      </c>
      <c r="EQ343" s="2336">
        <v>7.73</v>
      </c>
      <c r="ER343" s="2336">
        <v>11.9</v>
      </c>
      <c r="ES343" s="2336">
        <v>17.36</v>
      </c>
      <c r="ET343" s="2336">
        <v>24.11</v>
      </c>
      <c r="EU343" s="2336">
        <v>32.39</v>
      </c>
      <c r="EV343" s="2336">
        <v>47.55</v>
      </c>
      <c r="EW343" s="2336">
        <v>73.25</v>
      </c>
      <c r="EX343" s="2336">
        <v>106.44</v>
      </c>
      <c r="EY343" s="2250"/>
      <c r="EZ343" s="2250"/>
      <c r="FA343" s="2333">
        <v>223.8</v>
      </c>
      <c r="FB343" s="2336">
        <v>0</v>
      </c>
      <c r="FC343" s="2336">
        <v>1.8</v>
      </c>
      <c r="FD343" s="2336">
        <v>3.33</v>
      </c>
      <c r="FE343" s="2336">
        <v>5.53</v>
      </c>
      <c r="FF343" s="2336">
        <v>8.5299999999999994</v>
      </c>
      <c r="FG343" s="2336">
        <v>12.4</v>
      </c>
      <c r="FH343" s="2336">
        <v>17.2</v>
      </c>
      <c r="FI343" s="2336">
        <v>23.13</v>
      </c>
      <c r="FJ343" s="2336">
        <v>33.93</v>
      </c>
      <c r="FK343" s="2336">
        <v>52.27</v>
      </c>
      <c r="FL343" s="2336">
        <v>93.33</v>
      </c>
      <c r="FM343" s="2250"/>
      <c r="FN343" s="2250"/>
      <c r="FO343" s="2333">
        <v>223.8</v>
      </c>
      <c r="FP343" s="2336">
        <v>0</v>
      </c>
      <c r="FQ343" s="2336">
        <v>1.38</v>
      </c>
      <c r="FR343" s="2336">
        <v>2.54</v>
      </c>
      <c r="FS343" s="2336">
        <v>4.2300000000000004</v>
      </c>
      <c r="FT343" s="2336">
        <v>6.46</v>
      </c>
      <c r="FU343" s="2336">
        <v>9.4600000000000009</v>
      </c>
      <c r="FV343" s="2336">
        <v>13.15</v>
      </c>
      <c r="FW343" s="2336">
        <v>17.62</v>
      </c>
      <c r="FX343" s="2336">
        <v>25.92</v>
      </c>
      <c r="FY343" s="2336">
        <v>39.92</v>
      </c>
      <c r="FZ343" s="2336">
        <v>58</v>
      </c>
      <c r="GA343" s="2250"/>
      <c r="GB343" s="2250"/>
      <c r="GC343" s="1201">
        <v>0</v>
      </c>
      <c r="GD343" s="1302">
        <v>24.5</v>
      </c>
      <c r="GE343" s="2250"/>
      <c r="GF343" s="2275"/>
      <c r="GG343" s="2333">
        <v>223.8</v>
      </c>
      <c r="GH343" s="2336">
        <v>0</v>
      </c>
      <c r="GI343" s="2336">
        <v>0</v>
      </c>
      <c r="GJ343" s="2336">
        <v>0</v>
      </c>
      <c r="GK343" s="2336">
        <v>0</v>
      </c>
      <c r="GL343" s="2336">
        <v>0</v>
      </c>
      <c r="GM343" s="2336">
        <v>0</v>
      </c>
      <c r="GN343" s="2336">
        <v>0</v>
      </c>
      <c r="GO343" s="2336">
        <v>0</v>
      </c>
      <c r="GP343" s="2336">
        <v>0</v>
      </c>
      <c r="GQ343" s="2336">
        <v>0</v>
      </c>
      <c r="GR343" s="2336">
        <v>0</v>
      </c>
      <c r="GS343" s="2250"/>
      <c r="GT343" s="2250"/>
      <c r="GU343" s="2333">
        <v>223.8</v>
      </c>
      <c r="GV343" s="2336">
        <v>0</v>
      </c>
      <c r="GW343" s="2336">
        <v>2.33</v>
      </c>
      <c r="GX343" s="2336">
        <v>4.5999999999999996</v>
      </c>
      <c r="GY343" s="2336">
        <v>7.73</v>
      </c>
      <c r="GZ343" s="2336">
        <v>11.9</v>
      </c>
      <c r="HA343" s="2336">
        <v>17.36</v>
      </c>
      <c r="HB343" s="2336">
        <v>24.11</v>
      </c>
      <c r="HC343" s="2336">
        <v>32.39</v>
      </c>
      <c r="HD343" s="2336">
        <v>47.55</v>
      </c>
      <c r="HE343" s="2336">
        <v>73.25</v>
      </c>
      <c r="HF343" s="2336">
        <v>106.44</v>
      </c>
      <c r="HG343" s="2250"/>
      <c r="HH343" s="2250"/>
      <c r="HI343" s="2333">
        <v>223.8</v>
      </c>
      <c r="HJ343" s="2336">
        <v>0</v>
      </c>
      <c r="HK343" s="2336">
        <v>1.8</v>
      </c>
      <c r="HL343" s="2336">
        <v>3.33</v>
      </c>
      <c r="HM343" s="2336">
        <v>5.53</v>
      </c>
      <c r="HN343" s="2336">
        <v>8.5299999999999994</v>
      </c>
      <c r="HO343" s="2336">
        <v>12.4</v>
      </c>
      <c r="HP343" s="2336">
        <v>17.2</v>
      </c>
      <c r="HQ343" s="2336">
        <v>23.13</v>
      </c>
      <c r="HR343" s="2336">
        <v>33.93</v>
      </c>
      <c r="HS343" s="2336">
        <v>52.27</v>
      </c>
      <c r="HT343" s="2336">
        <v>93.33</v>
      </c>
      <c r="HU343" s="2250"/>
      <c r="HV343" s="2250"/>
      <c r="HW343" s="2333">
        <v>223.8</v>
      </c>
      <c r="HX343" s="2336">
        <v>0</v>
      </c>
      <c r="HY343" s="2336">
        <v>1.38</v>
      </c>
      <c r="HZ343" s="2336">
        <v>2.54</v>
      </c>
      <c r="IA343" s="2336">
        <v>4.2300000000000004</v>
      </c>
      <c r="IB343" s="2336">
        <v>6.46</v>
      </c>
      <c r="IC343" s="2336">
        <v>9.4600000000000009</v>
      </c>
      <c r="ID343" s="2336">
        <v>13.15</v>
      </c>
      <c r="IE343" s="2336">
        <v>17.62</v>
      </c>
      <c r="IF343" s="2336">
        <v>25.92</v>
      </c>
      <c r="IG343" s="2336">
        <v>39.92</v>
      </c>
      <c r="IH343" s="2336">
        <v>58</v>
      </c>
      <c r="II343" s="2250"/>
      <c r="IJ343" s="2250"/>
      <c r="IK343" s="2250"/>
      <c r="IL343" s="53"/>
      <c r="IM343" s="53"/>
    </row>
    <row r="344" spans="1:247" ht="21.95" customHeight="1">
      <c r="A344" s="2275"/>
      <c r="B344" s="2333">
        <v>206.43</v>
      </c>
      <c r="C344" s="2336">
        <v>0</v>
      </c>
      <c r="D344" s="2336">
        <v>0</v>
      </c>
      <c r="E344" s="2336">
        <v>0</v>
      </c>
      <c r="F344" s="2336">
        <v>0</v>
      </c>
      <c r="G344" s="2336">
        <v>0</v>
      </c>
      <c r="H344" s="2336">
        <v>0</v>
      </c>
      <c r="I344" s="2336">
        <v>0</v>
      </c>
      <c r="J344" s="2336">
        <v>0</v>
      </c>
      <c r="K344" s="2336">
        <v>0</v>
      </c>
      <c r="L344" s="2336">
        <v>0</v>
      </c>
      <c r="M344" s="2336">
        <v>0</v>
      </c>
      <c r="N344" s="2250"/>
      <c r="O344" s="2250"/>
      <c r="P344" s="2333">
        <v>206.43</v>
      </c>
      <c r="Q344" s="2336">
        <v>0</v>
      </c>
      <c r="R344" s="2336">
        <v>2.58</v>
      </c>
      <c r="S344" s="2336">
        <v>4.97</v>
      </c>
      <c r="T344" s="2336">
        <v>8.59</v>
      </c>
      <c r="U344" s="2336">
        <v>13.44</v>
      </c>
      <c r="V344" s="2336">
        <v>19.02</v>
      </c>
      <c r="W344" s="2336">
        <v>27.18</v>
      </c>
      <c r="X344" s="2336">
        <v>36.5</v>
      </c>
      <c r="Y344" s="2336">
        <v>53.62</v>
      </c>
      <c r="Z344" s="2336">
        <v>82.58</v>
      </c>
      <c r="AA344" s="2336">
        <v>120</v>
      </c>
      <c r="AB344" s="2250"/>
      <c r="AC344" s="2250"/>
      <c r="AD344" s="2333">
        <v>206.43</v>
      </c>
      <c r="AE344" s="2336">
        <v>0</v>
      </c>
      <c r="AF344" s="2336">
        <v>2</v>
      </c>
      <c r="AG344" s="2336">
        <v>3.73</v>
      </c>
      <c r="AH344" s="2336">
        <v>6.27</v>
      </c>
      <c r="AI344" s="2336">
        <v>9.6</v>
      </c>
      <c r="AJ344" s="2336">
        <v>13.73</v>
      </c>
      <c r="AK344" s="2336">
        <v>19.399999999999999</v>
      </c>
      <c r="AL344" s="2336">
        <v>26.07</v>
      </c>
      <c r="AM344" s="2336">
        <v>38.270000000000003</v>
      </c>
      <c r="AN344" s="2336">
        <v>58.93</v>
      </c>
      <c r="AO344" s="2336">
        <v>85.67</v>
      </c>
      <c r="AP344" s="2250"/>
      <c r="AQ344" s="2250"/>
      <c r="AR344" s="2333">
        <v>206.43</v>
      </c>
      <c r="AS344" s="2336">
        <v>0</v>
      </c>
      <c r="AT344" s="2336">
        <v>1.54</v>
      </c>
      <c r="AU344" s="2336">
        <v>2.85</v>
      </c>
      <c r="AV344" s="2336">
        <v>4.7699999999999996</v>
      </c>
      <c r="AW344" s="2336">
        <v>7.31</v>
      </c>
      <c r="AX344" s="2336">
        <v>10.38</v>
      </c>
      <c r="AY344" s="2336">
        <v>14.77</v>
      </c>
      <c r="AZ344" s="2336">
        <v>19.850000000000001</v>
      </c>
      <c r="BA344" s="2336">
        <v>29.23</v>
      </c>
      <c r="BB344" s="2336">
        <v>45</v>
      </c>
      <c r="BC344" s="2336">
        <v>65.38</v>
      </c>
      <c r="BD344" s="2250"/>
      <c r="BE344" s="2250"/>
      <c r="BF344" s="1302">
        <v>24.5</v>
      </c>
      <c r="BG344" s="1302">
        <v>29.3</v>
      </c>
      <c r="BH344" s="2250"/>
      <c r="BI344" s="2275"/>
      <c r="BJ344" s="2333">
        <v>206.43</v>
      </c>
      <c r="BK344" s="2336">
        <v>0</v>
      </c>
      <c r="BL344" s="2336">
        <v>0</v>
      </c>
      <c r="BM344" s="2336">
        <v>0</v>
      </c>
      <c r="BN344" s="2336">
        <v>0</v>
      </c>
      <c r="BO344" s="2336">
        <v>0</v>
      </c>
      <c r="BP344" s="2336">
        <v>0</v>
      </c>
      <c r="BQ344" s="2336">
        <v>0</v>
      </c>
      <c r="BR344" s="2336">
        <v>0</v>
      </c>
      <c r="BS344" s="2336">
        <v>0</v>
      </c>
      <c r="BT344" s="2336">
        <v>0</v>
      </c>
      <c r="BU344" s="2336">
        <v>0</v>
      </c>
      <c r="BV344" s="2250"/>
      <c r="BW344" s="2250"/>
      <c r="BX344" s="2333">
        <v>206.43</v>
      </c>
      <c r="BY344" s="2336">
        <v>0</v>
      </c>
      <c r="BZ344" s="2336">
        <v>2.58</v>
      </c>
      <c r="CA344" s="2336">
        <v>4.97</v>
      </c>
      <c r="CB344" s="2336">
        <v>8.59</v>
      </c>
      <c r="CC344" s="2336">
        <v>13.44</v>
      </c>
      <c r="CD344" s="2336">
        <v>19.02</v>
      </c>
      <c r="CE344" s="2336">
        <v>27.18</v>
      </c>
      <c r="CF344" s="2336">
        <v>36.5</v>
      </c>
      <c r="CG344" s="2336">
        <v>53.62</v>
      </c>
      <c r="CH344" s="2336">
        <v>82.58</v>
      </c>
      <c r="CI344" s="2336">
        <v>120</v>
      </c>
      <c r="CJ344" s="2250"/>
      <c r="CK344" s="2250"/>
      <c r="CL344" s="2333">
        <v>206.43</v>
      </c>
      <c r="CM344" s="2336">
        <v>0</v>
      </c>
      <c r="CN344" s="2336">
        <v>2</v>
      </c>
      <c r="CO344" s="2336">
        <v>3.73</v>
      </c>
      <c r="CP344" s="2336">
        <v>6.27</v>
      </c>
      <c r="CQ344" s="2336">
        <v>9.6</v>
      </c>
      <c r="CR344" s="2336">
        <v>13.73</v>
      </c>
      <c r="CS344" s="2336">
        <v>19.399999999999999</v>
      </c>
      <c r="CT344" s="2336">
        <v>26.07</v>
      </c>
      <c r="CU344" s="2336">
        <v>38.270000000000003</v>
      </c>
      <c r="CV344" s="2336">
        <v>58.93</v>
      </c>
      <c r="CW344" s="2336">
        <v>85.67</v>
      </c>
      <c r="CX344" s="2250"/>
      <c r="CY344" s="2250"/>
      <c r="CZ344" s="2333">
        <v>206.43</v>
      </c>
      <c r="DA344" s="2336">
        <v>0</v>
      </c>
      <c r="DB344" s="2336">
        <v>1.54</v>
      </c>
      <c r="DC344" s="2336">
        <v>2.85</v>
      </c>
      <c r="DD344" s="2336">
        <v>4.7699999999999996</v>
      </c>
      <c r="DE344" s="2336">
        <v>7.31</v>
      </c>
      <c r="DF344" s="2336">
        <v>10.38</v>
      </c>
      <c r="DG344" s="2336">
        <v>14.77</v>
      </c>
      <c r="DH344" s="2336">
        <v>19.850000000000001</v>
      </c>
      <c r="DI344" s="2336">
        <v>29.23</v>
      </c>
      <c r="DJ344" s="2336">
        <v>45</v>
      </c>
      <c r="DK344" s="2336">
        <v>65.38</v>
      </c>
      <c r="DL344" s="2250"/>
      <c r="DM344" s="2250"/>
      <c r="DN344" s="2250"/>
      <c r="DO344" s="53"/>
      <c r="DP344" s="53"/>
      <c r="DQ344" s="2277"/>
      <c r="DR344" s="2277"/>
      <c r="DS344" s="2278"/>
      <c r="DT344" s="2250"/>
      <c r="DU344" s="2250"/>
      <c r="DV344" s="2250"/>
      <c r="DW344" s="2250"/>
      <c r="DX344" s="2250"/>
      <c r="DY344" s="2333">
        <v>206.43</v>
      </c>
      <c r="DZ344" s="2336">
        <v>0</v>
      </c>
      <c r="EA344" s="2336">
        <v>0</v>
      </c>
      <c r="EB344" s="2336">
        <v>0</v>
      </c>
      <c r="EC344" s="2336">
        <v>0</v>
      </c>
      <c r="ED344" s="2336">
        <v>0</v>
      </c>
      <c r="EE344" s="2336">
        <v>0</v>
      </c>
      <c r="EF344" s="2336">
        <v>0</v>
      </c>
      <c r="EG344" s="2336">
        <v>0</v>
      </c>
      <c r="EH344" s="2336">
        <v>0</v>
      </c>
      <c r="EI344" s="2336">
        <v>0</v>
      </c>
      <c r="EJ344" s="2336">
        <v>0</v>
      </c>
      <c r="EK344" s="2250"/>
      <c r="EL344" s="2250"/>
      <c r="EM344" s="2333">
        <v>206.43</v>
      </c>
      <c r="EN344" s="2336">
        <v>0</v>
      </c>
      <c r="EO344" s="2336">
        <v>2.58</v>
      </c>
      <c r="EP344" s="2336">
        <v>4.97</v>
      </c>
      <c r="EQ344" s="2336">
        <v>8.59</v>
      </c>
      <c r="ER344" s="2336">
        <v>13.44</v>
      </c>
      <c r="ES344" s="2336">
        <v>19.02</v>
      </c>
      <c r="ET344" s="2336">
        <v>27.18</v>
      </c>
      <c r="EU344" s="2336">
        <v>36.5</v>
      </c>
      <c r="EV344" s="2336">
        <v>53.62</v>
      </c>
      <c r="EW344" s="2336">
        <v>82.58</v>
      </c>
      <c r="EX344" s="2336">
        <v>120</v>
      </c>
      <c r="EY344" s="2250"/>
      <c r="EZ344" s="2250"/>
      <c r="FA344" s="2333">
        <v>206.43</v>
      </c>
      <c r="FB344" s="2336">
        <v>0</v>
      </c>
      <c r="FC344" s="2336">
        <v>2</v>
      </c>
      <c r="FD344" s="2336">
        <v>3.73</v>
      </c>
      <c r="FE344" s="2336">
        <v>6.27</v>
      </c>
      <c r="FF344" s="2336">
        <v>9.6</v>
      </c>
      <c r="FG344" s="2336">
        <v>13.73</v>
      </c>
      <c r="FH344" s="2336">
        <v>19.399999999999999</v>
      </c>
      <c r="FI344" s="2336">
        <v>26.07</v>
      </c>
      <c r="FJ344" s="2336">
        <v>38.270000000000003</v>
      </c>
      <c r="FK344" s="2336">
        <v>58.93</v>
      </c>
      <c r="FL344" s="2336">
        <v>85.67</v>
      </c>
      <c r="FM344" s="2250"/>
      <c r="FN344" s="2250"/>
      <c r="FO344" s="2333">
        <v>206.43</v>
      </c>
      <c r="FP344" s="2336">
        <v>0</v>
      </c>
      <c r="FQ344" s="2336">
        <v>1.54</v>
      </c>
      <c r="FR344" s="2336">
        <v>2.85</v>
      </c>
      <c r="FS344" s="2336">
        <v>4.7699999999999996</v>
      </c>
      <c r="FT344" s="2336">
        <v>7.31</v>
      </c>
      <c r="FU344" s="2336">
        <v>10.38</v>
      </c>
      <c r="FV344" s="2336">
        <v>14.77</v>
      </c>
      <c r="FW344" s="2336">
        <v>19.850000000000001</v>
      </c>
      <c r="FX344" s="2336">
        <v>29.23</v>
      </c>
      <c r="FY344" s="2336">
        <v>45</v>
      </c>
      <c r="FZ344" s="2336">
        <v>65.38</v>
      </c>
      <c r="GA344" s="2250"/>
      <c r="GB344" s="2250"/>
      <c r="GC344" s="1302">
        <v>24.5</v>
      </c>
      <c r="GD344" s="1302">
        <v>29.3</v>
      </c>
      <c r="GE344" s="2250"/>
      <c r="GF344" s="2275"/>
      <c r="GG344" s="2333">
        <v>206.43</v>
      </c>
      <c r="GH344" s="2336">
        <v>0</v>
      </c>
      <c r="GI344" s="2336">
        <v>0</v>
      </c>
      <c r="GJ344" s="2336">
        <v>0</v>
      </c>
      <c r="GK344" s="2336">
        <v>0</v>
      </c>
      <c r="GL344" s="2336">
        <v>0</v>
      </c>
      <c r="GM344" s="2336">
        <v>0</v>
      </c>
      <c r="GN344" s="2336">
        <v>0</v>
      </c>
      <c r="GO344" s="2336">
        <v>0</v>
      </c>
      <c r="GP344" s="2336">
        <v>0</v>
      </c>
      <c r="GQ344" s="2336">
        <v>0</v>
      </c>
      <c r="GR344" s="2336">
        <v>0</v>
      </c>
      <c r="GS344" s="2250"/>
      <c r="GT344" s="2250"/>
      <c r="GU344" s="2333">
        <v>206.43</v>
      </c>
      <c r="GV344" s="2336">
        <v>0</v>
      </c>
      <c r="GW344" s="2336">
        <v>2.58</v>
      </c>
      <c r="GX344" s="2336">
        <v>4.97</v>
      </c>
      <c r="GY344" s="2336">
        <v>8.59</v>
      </c>
      <c r="GZ344" s="2336">
        <v>13.44</v>
      </c>
      <c r="HA344" s="2336">
        <v>19.02</v>
      </c>
      <c r="HB344" s="2336">
        <v>27.18</v>
      </c>
      <c r="HC344" s="2336">
        <v>36.5</v>
      </c>
      <c r="HD344" s="2336">
        <v>53.62</v>
      </c>
      <c r="HE344" s="2336">
        <v>82.58</v>
      </c>
      <c r="HF344" s="2336">
        <v>120</v>
      </c>
      <c r="HG344" s="2250"/>
      <c r="HH344" s="2250"/>
      <c r="HI344" s="2333">
        <v>206.43</v>
      </c>
      <c r="HJ344" s="2336">
        <v>0</v>
      </c>
      <c r="HK344" s="2336">
        <v>2</v>
      </c>
      <c r="HL344" s="2336">
        <v>3.73</v>
      </c>
      <c r="HM344" s="2336">
        <v>6.27</v>
      </c>
      <c r="HN344" s="2336">
        <v>9.6</v>
      </c>
      <c r="HO344" s="2336">
        <v>13.73</v>
      </c>
      <c r="HP344" s="2336">
        <v>19.399999999999999</v>
      </c>
      <c r="HQ344" s="2336">
        <v>26.07</v>
      </c>
      <c r="HR344" s="2336">
        <v>38.270000000000003</v>
      </c>
      <c r="HS344" s="2336">
        <v>58.93</v>
      </c>
      <c r="HT344" s="2336">
        <v>85.67</v>
      </c>
      <c r="HU344" s="2250"/>
      <c r="HV344" s="2250"/>
      <c r="HW344" s="2333">
        <v>206.43</v>
      </c>
      <c r="HX344" s="2336">
        <v>0</v>
      </c>
      <c r="HY344" s="2336">
        <v>1.54</v>
      </c>
      <c r="HZ344" s="2336">
        <v>2.85</v>
      </c>
      <c r="IA344" s="2336">
        <v>4.7699999999999996</v>
      </c>
      <c r="IB344" s="2336">
        <v>7.31</v>
      </c>
      <c r="IC344" s="2336">
        <v>10.38</v>
      </c>
      <c r="ID344" s="2336">
        <v>14.77</v>
      </c>
      <c r="IE344" s="2336">
        <v>19.850000000000001</v>
      </c>
      <c r="IF344" s="2336">
        <v>29.23</v>
      </c>
      <c r="IG344" s="2336">
        <v>45</v>
      </c>
      <c r="IH344" s="2336">
        <v>65.38</v>
      </c>
      <c r="II344" s="2250"/>
      <c r="IJ344" s="2250"/>
      <c r="IK344" s="2250"/>
      <c r="IL344" s="53"/>
      <c r="IM344" s="53"/>
    </row>
    <row r="345" spans="1:247" ht="21.95" customHeight="1">
      <c r="A345" s="2275"/>
      <c r="B345" s="2333">
        <v>190.4</v>
      </c>
      <c r="C345" s="2336">
        <v>0</v>
      </c>
      <c r="D345" s="2336">
        <v>0</v>
      </c>
      <c r="E345" s="2336">
        <v>0</v>
      </c>
      <c r="F345" s="2336">
        <v>0</v>
      </c>
      <c r="G345" s="2336">
        <v>0</v>
      </c>
      <c r="H345" s="2336">
        <v>0</v>
      </c>
      <c r="I345" s="2336">
        <v>0</v>
      </c>
      <c r="J345" s="2336">
        <v>0</v>
      </c>
      <c r="K345" s="2336">
        <v>0</v>
      </c>
      <c r="L345" s="2336">
        <v>0</v>
      </c>
      <c r="M345" s="2336">
        <v>0</v>
      </c>
      <c r="N345" s="2250"/>
      <c r="O345" s="2250"/>
      <c r="P345" s="2333">
        <v>190.4</v>
      </c>
      <c r="Q345" s="2336">
        <v>0</v>
      </c>
      <c r="R345" s="2336">
        <v>2.76</v>
      </c>
      <c r="S345" s="2336">
        <v>5.34</v>
      </c>
      <c r="T345" s="2336">
        <v>9.26</v>
      </c>
      <c r="U345" s="2336">
        <v>14.72</v>
      </c>
      <c r="V345" s="2336">
        <v>20.86</v>
      </c>
      <c r="W345" s="2336">
        <v>30.12</v>
      </c>
      <c r="X345" s="2336">
        <v>40.43</v>
      </c>
      <c r="Y345" s="2336">
        <v>58.34</v>
      </c>
      <c r="Z345" s="2336">
        <v>91.47</v>
      </c>
      <c r="AA345" s="2336">
        <v>132.58000000000001</v>
      </c>
      <c r="AB345" s="2250"/>
      <c r="AC345" s="2250"/>
      <c r="AD345" s="2333">
        <v>190.4</v>
      </c>
      <c r="AE345" s="2336">
        <v>0</v>
      </c>
      <c r="AF345" s="2336">
        <v>2.2000000000000002</v>
      </c>
      <c r="AG345" s="2336">
        <v>4.13</v>
      </c>
      <c r="AH345" s="2336">
        <v>6.93</v>
      </c>
      <c r="AI345" s="2336">
        <v>10.6</v>
      </c>
      <c r="AJ345" s="2336">
        <v>14.87</v>
      </c>
      <c r="AK345" s="2336">
        <v>21.47</v>
      </c>
      <c r="AL345" s="2336">
        <v>28.87</v>
      </c>
      <c r="AM345" s="2336">
        <v>42.4</v>
      </c>
      <c r="AN345" s="2336">
        <v>65.27</v>
      </c>
      <c r="AO345" s="2336">
        <v>94.87</v>
      </c>
      <c r="AP345" s="2250"/>
      <c r="AQ345" s="2250"/>
      <c r="AR345" s="2333">
        <v>190.4</v>
      </c>
      <c r="AS345" s="2336">
        <v>0</v>
      </c>
      <c r="AT345" s="2336">
        <v>1.69</v>
      </c>
      <c r="AU345" s="2336">
        <v>3.15</v>
      </c>
      <c r="AV345" s="2336">
        <v>5.23</v>
      </c>
      <c r="AW345" s="2336">
        <v>8.08</v>
      </c>
      <c r="AX345" s="2336">
        <v>11.31</v>
      </c>
      <c r="AY345" s="2336">
        <v>16.38</v>
      </c>
      <c r="AZ345" s="2336">
        <v>22</v>
      </c>
      <c r="BA345" s="2336">
        <v>32.31</v>
      </c>
      <c r="BB345" s="2336">
        <v>49.77</v>
      </c>
      <c r="BC345" s="2336">
        <v>72.150000000000006</v>
      </c>
      <c r="BD345" s="2250"/>
      <c r="BE345" s="2250"/>
      <c r="BF345" s="1302">
        <v>29.3</v>
      </c>
      <c r="BG345" s="1302">
        <v>34.200000000000003</v>
      </c>
      <c r="BH345" s="2250"/>
      <c r="BI345" s="2275"/>
      <c r="BJ345" s="2333">
        <v>190.4</v>
      </c>
      <c r="BK345" s="2336">
        <v>0</v>
      </c>
      <c r="BL345" s="2336">
        <v>0</v>
      </c>
      <c r="BM345" s="2336">
        <v>0</v>
      </c>
      <c r="BN345" s="2336">
        <v>0</v>
      </c>
      <c r="BO345" s="2336">
        <v>0</v>
      </c>
      <c r="BP345" s="2336">
        <v>0</v>
      </c>
      <c r="BQ345" s="2336">
        <v>0</v>
      </c>
      <c r="BR345" s="2336">
        <v>0</v>
      </c>
      <c r="BS345" s="2336">
        <v>0</v>
      </c>
      <c r="BT345" s="2336">
        <v>0</v>
      </c>
      <c r="BU345" s="2336">
        <v>0</v>
      </c>
      <c r="BV345" s="2250"/>
      <c r="BW345" s="2250"/>
      <c r="BX345" s="2333">
        <v>190.4</v>
      </c>
      <c r="BY345" s="2336">
        <v>0</v>
      </c>
      <c r="BZ345" s="2336">
        <v>2.76</v>
      </c>
      <c r="CA345" s="2336">
        <v>5.34</v>
      </c>
      <c r="CB345" s="2336">
        <v>9.26</v>
      </c>
      <c r="CC345" s="2336">
        <v>14.72</v>
      </c>
      <c r="CD345" s="2336">
        <v>20.86</v>
      </c>
      <c r="CE345" s="2336">
        <v>30.12</v>
      </c>
      <c r="CF345" s="2336">
        <v>40.43</v>
      </c>
      <c r="CG345" s="2336">
        <v>58.34</v>
      </c>
      <c r="CH345" s="2336">
        <v>91.47</v>
      </c>
      <c r="CI345" s="2336">
        <v>132.58000000000001</v>
      </c>
      <c r="CJ345" s="2250"/>
      <c r="CK345" s="2250"/>
      <c r="CL345" s="2333">
        <v>190.4</v>
      </c>
      <c r="CM345" s="2336">
        <v>0</v>
      </c>
      <c r="CN345" s="2336">
        <v>2.2000000000000002</v>
      </c>
      <c r="CO345" s="2336">
        <v>4.13</v>
      </c>
      <c r="CP345" s="2336">
        <v>6.93</v>
      </c>
      <c r="CQ345" s="2336">
        <v>10.6</v>
      </c>
      <c r="CR345" s="2336">
        <v>14.87</v>
      </c>
      <c r="CS345" s="2336">
        <v>21.47</v>
      </c>
      <c r="CT345" s="2336">
        <v>28.87</v>
      </c>
      <c r="CU345" s="2336">
        <v>42.4</v>
      </c>
      <c r="CV345" s="2336">
        <v>65.27</v>
      </c>
      <c r="CW345" s="2336">
        <v>94.87</v>
      </c>
      <c r="CX345" s="2250"/>
      <c r="CY345" s="2250"/>
      <c r="CZ345" s="2333">
        <v>190.4</v>
      </c>
      <c r="DA345" s="2336">
        <v>0</v>
      </c>
      <c r="DB345" s="2336">
        <v>1.69</v>
      </c>
      <c r="DC345" s="2336">
        <v>3.15</v>
      </c>
      <c r="DD345" s="2336">
        <v>5.23</v>
      </c>
      <c r="DE345" s="2336">
        <v>8.08</v>
      </c>
      <c r="DF345" s="2336">
        <v>11.31</v>
      </c>
      <c r="DG345" s="2336">
        <v>16.38</v>
      </c>
      <c r="DH345" s="2336">
        <v>22</v>
      </c>
      <c r="DI345" s="2336">
        <v>32.31</v>
      </c>
      <c r="DJ345" s="2336">
        <v>49.77</v>
      </c>
      <c r="DK345" s="2336">
        <v>72.150000000000006</v>
      </c>
      <c r="DL345" s="2250"/>
      <c r="DM345" s="2250"/>
      <c r="DN345" s="2250"/>
      <c r="DO345" s="53"/>
      <c r="DP345" s="53"/>
      <c r="DQ345" s="2277"/>
      <c r="DR345" s="2277"/>
      <c r="DS345" s="2278"/>
      <c r="DT345" s="2250"/>
      <c r="DU345" s="2250"/>
      <c r="DV345" s="2250"/>
      <c r="DW345" s="2250"/>
      <c r="DX345" s="2250"/>
      <c r="DY345" s="2333">
        <v>190.4</v>
      </c>
      <c r="DZ345" s="2336">
        <v>0</v>
      </c>
      <c r="EA345" s="2336">
        <v>0</v>
      </c>
      <c r="EB345" s="2336">
        <v>0</v>
      </c>
      <c r="EC345" s="2336">
        <v>0</v>
      </c>
      <c r="ED345" s="2336">
        <v>0</v>
      </c>
      <c r="EE345" s="2336">
        <v>0</v>
      </c>
      <c r="EF345" s="2336">
        <v>0</v>
      </c>
      <c r="EG345" s="2336">
        <v>0</v>
      </c>
      <c r="EH345" s="2336">
        <v>0</v>
      </c>
      <c r="EI345" s="2336">
        <v>0</v>
      </c>
      <c r="EJ345" s="2336">
        <v>0</v>
      </c>
      <c r="EK345" s="2250"/>
      <c r="EL345" s="2250"/>
      <c r="EM345" s="2333">
        <v>190.4</v>
      </c>
      <c r="EN345" s="2336">
        <v>0</v>
      </c>
      <c r="EO345" s="2336">
        <v>2.76</v>
      </c>
      <c r="EP345" s="2336">
        <v>5.34</v>
      </c>
      <c r="EQ345" s="2336">
        <v>9.26</v>
      </c>
      <c r="ER345" s="2336">
        <v>14.72</v>
      </c>
      <c r="ES345" s="2336">
        <v>20.86</v>
      </c>
      <c r="ET345" s="2336">
        <v>30.12</v>
      </c>
      <c r="EU345" s="2336">
        <v>40.43</v>
      </c>
      <c r="EV345" s="2336">
        <v>58.34</v>
      </c>
      <c r="EW345" s="2336">
        <v>91.47</v>
      </c>
      <c r="EX345" s="2336">
        <v>132.58000000000001</v>
      </c>
      <c r="EY345" s="2250"/>
      <c r="EZ345" s="2250"/>
      <c r="FA345" s="2333">
        <v>190.4</v>
      </c>
      <c r="FB345" s="2336">
        <v>0</v>
      </c>
      <c r="FC345" s="2336">
        <v>2.2000000000000002</v>
      </c>
      <c r="FD345" s="2336">
        <v>4.13</v>
      </c>
      <c r="FE345" s="2336">
        <v>6.93</v>
      </c>
      <c r="FF345" s="2336">
        <v>10.6</v>
      </c>
      <c r="FG345" s="2336">
        <v>14.87</v>
      </c>
      <c r="FH345" s="2336">
        <v>21.47</v>
      </c>
      <c r="FI345" s="2336">
        <v>28.87</v>
      </c>
      <c r="FJ345" s="2336">
        <v>42.4</v>
      </c>
      <c r="FK345" s="2336">
        <v>65.27</v>
      </c>
      <c r="FL345" s="2336">
        <v>94.87</v>
      </c>
      <c r="FM345" s="2250"/>
      <c r="FN345" s="2250"/>
      <c r="FO345" s="2333">
        <v>190.4</v>
      </c>
      <c r="FP345" s="2336">
        <v>0</v>
      </c>
      <c r="FQ345" s="2336">
        <v>1.69</v>
      </c>
      <c r="FR345" s="2336">
        <v>3.15</v>
      </c>
      <c r="FS345" s="2336">
        <v>5.23</v>
      </c>
      <c r="FT345" s="2336">
        <v>8.08</v>
      </c>
      <c r="FU345" s="2336">
        <v>11.31</v>
      </c>
      <c r="FV345" s="2336">
        <v>16.38</v>
      </c>
      <c r="FW345" s="2336">
        <v>22</v>
      </c>
      <c r="FX345" s="2336">
        <v>32.31</v>
      </c>
      <c r="FY345" s="2336">
        <v>49.77</v>
      </c>
      <c r="FZ345" s="2336">
        <v>72.150000000000006</v>
      </c>
      <c r="GA345" s="2250"/>
      <c r="GB345" s="2250"/>
      <c r="GC345" s="1302">
        <v>29.3</v>
      </c>
      <c r="GD345" s="1302">
        <v>34.200000000000003</v>
      </c>
      <c r="GE345" s="2250"/>
      <c r="GF345" s="2275"/>
      <c r="GG345" s="2333">
        <v>190.4</v>
      </c>
      <c r="GH345" s="2336">
        <v>0</v>
      </c>
      <c r="GI345" s="2336">
        <v>0</v>
      </c>
      <c r="GJ345" s="2336">
        <v>0</v>
      </c>
      <c r="GK345" s="2336">
        <v>0</v>
      </c>
      <c r="GL345" s="2336">
        <v>0</v>
      </c>
      <c r="GM345" s="2336">
        <v>0</v>
      </c>
      <c r="GN345" s="2336">
        <v>0</v>
      </c>
      <c r="GO345" s="2336">
        <v>0</v>
      </c>
      <c r="GP345" s="2336">
        <v>0</v>
      </c>
      <c r="GQ345" s="2336">
        <v>0</v>
      </c>
      <c r="GR345" s="2336">
        <v>0</v>
      </c>
      <c r="GS345" s="2250"/>
      <c r="GT345" s="2250"/>
      <c r="GU345" s="2333">
        <v>190.4</v>
      </c>
      <c r="GV345" s="2336">
        <v>0</v>
      </c>
      <c r="GW345" s="2336">
        <v>2.76</v>
      </c>
      <c r="GX345" s="2336">
        <v>5.34</v>
      </c>
      <c r="GY345" s="2336">
        <v>9.26</v>
      </c>
      <c r="GZ345" s="2336">
        <v>14.72</v>
      </c>
      <c r="HA345" s="2336">
        <v>20.86</v>
      </c>
      <c r="HB345" s="2336">
        <v>30.12</v>
      </c>
      <c r="HC345" s="2336">
        <v>40.43</v>
      </c>
      <c r="HD345" s="2336">
        <v>58.34</v>
      </c>
      <c r="HE345" s="2336">
        <v>91.47</v>
      </c>
      <c r="HF345" s="2336">
        <v>132.58000000000001</v>
      </c>
      <c r="HG345" s="2250"/>
      <c r="HH345" s="2250"/>
      <c r="HI345" s="2333">
        <v>190.4</v>
      </c>
      <c r="HJ345" s="2336">
        <v>0</v>
      </c>
      <c r="HK345" s="2336">
        <v>2.2000000000000002</v>
      </c>
      <c r="HL345" s="2336">
        <v>4.13</v>
      </c>
      <c r="HM345" s="2336">
        <v>6.93</v>
      </c>
      <c r="HN345" s="2336">
        <v>10.6</v>
      </c>
      <c r="HO345" s="2336">
        <v>14.87</v>
      </c>
      <c r="HP345" s="2336">
        <v>21.47</v>
      </c>
      <c r="HQ345" s="2336">
        <v>28.87</v>
      </c>
      <c r="HR345" s="2336">
        <v>42.4</v>
      </c>
      <c r="HS345" s="2336">
        <v>65.27</v>
      </c>
      <c r="HT345" s="2336">
        <v>94.87</v>
      </c>
      <c r="HU345" s="2250"/>
      <c r="HV345" s="2250"/>
      <c r="HW345" s="2333">
        <v>190.4</v>
      </c>
      <c r="HX345" s="2336">
        <v>0</v>
      </c>
      <c r="HY345" s="2336">
        <v>1.69</v>
      </c>
      <c r="HZ345" s="2336">
        <v>3.15</v>
      </c>
      <c r="IA345" s="2336">
        <v>5.23</v>
      </c>
      <c r="IB345" s="2336">
        <v>8.08</v>
      </c>
      <c r="IC345" s="2336">
        <v>11.31</v>
      </c>
      <c r="ID345" s="2336">
        <v>16.38</v>
      </c>
      <c r="IE345" s="2336">
        <v>22</v>
      </c>
      <c r="IF345" s="2336">
        <v>32.31</v>
      </c>
      <c r="IG345" s="2336">
        <v>49.77</v>
      </c>
      <c r="IH345" s="2336">
        <v>72.150000000000006</v>
      </c>
      <c r="II345" s="2250"/>
      <c r="IJ345" s="2250"/>
      <c r="IK345" s="2250"/>
      <c r="IL345" s="53"/>
      <c r="IM345" s="53"/>
    </row>
    <row r="346" spans="1:247" ht="21.95" customHeight="1">
      <c r="A346" s="2275"/>
      <c r="B346" s="2333">
        <v>177.81</v>
      </c>
      <c r="C346" s="2336">
        <v>0</v>
      </c>
      <c r="D346" s="2336">
        <v>0</v>
      </c>
      <c r="E346" s="2336">
        <v>0</v>
      </c>
      <c r="F346" s="2336">
        <v>0</v>
      </c>
      <c r="G346" s="2336">
        <v>0</v>
      </c>
      <c r="H346" s="2336">
        <v>0</v>
      </c>
      <c r="I346" s="2336">
        <v>0</v>
      </c>
      <c r="J346" s="2336">
        <v>0</v>
      </c>
      <c r="K346" s="2336">
        <v>0</v>
      </c>
      <c r="L346" s="2336">
        <v>0</v>
      </c>
      <c r="M346" s="2336">
        <v>0</v>
      </c>
      <c r="N346" s="2250"/>
      <c r="O346" s="2250"/>
      <c r="P346" s="2333">
        <v>177.81</v>
      </c>
      <c r="Q346" s="2336">
        <v>0</v>
      </c>
      <c r="R346" s="2336">
        <v>2.94</v>
      </c>
      <c r="S346" s="2336">
        <v>5.77</v>
      </c>
      <c r="T346" s="2336">
        <v>9.94</v>
      </c>
      <c r="U346" s="2336">
        <v>15.83</v>
      </c>
      <c r="V346" s="2336">
        <v>20.86</v>
      </c>
      <c r="W346" s="2336">
        <v>31.72</v>
      </c>
      <c r="X346" s="2336">
        <v>47.85</v>
      </c>
      <c r="Y346" s="2336">
        <v>62.58</v>
      </c>
      <c r="Z346" s="2336">
        <v>98.71</v>
      </c>
      <c r="AA346" s="2336">
        <v>132.58000000000001</v>
      </c>
      <c r="AB346" s="2250"/>
      <c r="AC346" s="2250"/>
      <c r="AD346" s="2333">
        <v>177.81</v>
      </c>
      <c r="AE346" s="2336">
        <v>0</v>
      </c>
      <c r="AF346" s="2336">
        <v>2.4</v>
      </c>
      <c r="AG346" s="2336">
        <v>4.5999999999999996</v>
      </c>
      <c r="AH346" s="2336">
        <v>7.33</v>
      </c>
      <c r="AI346" s="2336">
        <v>11.8</v>
      </c>
      <c r="AJ346" s="2336">
        <v>14.93</v>
      </c>
      <c r="AK346" s="2336">
        <v>22.93</v>
      </c>
      <c r="AL346" s="2336">
        <v>32</v>
      </c>
      <c r="AM346" s="2336">
        <v>46.93</v>
      </c>
      <c r="AN346" s="2336">
        <v>71.33</v>
      </c>
      <c r="AO346" s="2336">
        <v>95.8</v>
      </c>
      <c r="AP346" s="2250"/>
      <c r="AQ346" s="2250"/>
      <c r="AR346" s="2333">
        <v>177.81</v>
      </c>
      <c r="AS346" s="2336">
        <v>0</v>
      </c>
      <c r="AT346" s="2336">
        <v>1.85</v>
      </c>
      <c r="AU346" s="2336">
        <v>3.54</v>
      </c>
      <c r="AV346" s="2336">
        <v>5.54</v>
      </c>
      <c r="AW346" s="2336">
        <v>9</v>
      </c>
      <c r="AX346" s="2336">
        <v>11.38</v>
      </c>
      <c r="AY346" s="2336">
        <v>17.309999999999999</v>
      </c>
      <c r="AZ346" s="2336">
        <v>24.38</v>
      </c>
      <c r="BA346" s="2336">
        <v>35.85</v>
      </c>
      <c r="BB346" s="2336">
        <v>53.77</v>
      </c>
      <c r="BC346" s="2336">
        <v>72.150000000000006</v>
      </c>
      <c r="BD346" s="2250"/>
      <c r="BE346" s="2250"/>
      <c r="BF346" s="1302">
        <v>34.200000000000003</v>
      </c>
      <c r="BG346" s="1302">
        <v>38.799999999999997</v>
      </c>
      <c r="BH346" s="2250"/>
      <c r="BI346" s="2275"/>
      <c r="BJ346" s="2333">
        <v>177.81</v>
      </c>
      <c r="BK346" s="2336">
        <v>0</v>
      </c>
      <c r="BL346" s="2336">
        <v>0</v>
      </c>
      <c r="BM346" s="2336">
        <v>0</v>
      </c>
      <c r="BN346" s="2336">
        <v>0</v>
      </c>
      <c r="BO346" s="2336">
        <v>0</v>
      </c>
      <c r="BP346" s="2336">
        <v>0</v>
      </c>
      <c r="BQ346" s="2336">
        <v>0</v>
      </c>
      <c r="BR346" s="2336">
        <v>0</v>
      </c>
      <c r="BS346" s="2336">
        <v>0</v>
      </c>
      <c r="BT346" s="2336">
        <v>0</v>
      </c>
      <c r="BU346" s="2336">
        <v>0</v>
      </c>
      <c r="BV346" s="2250"/>
      <c r="BW346" s="2250"/>
      <c r="BX346" s="2333">
        <v>177.81</v>
      </c>
      <c r="BY346" s="2336">
        <v>0</v>
      </c>
      <c r="BZ346" s="2336">
        <v>2.94</v>
      </c>
      <c r="CA346" s="2336">
        <v>5.77</v>
      </c>
      <c r="CB346" s="2336">
        <v>9.94</v>
      </c>
      <c r="CC346" s="2336">
        <v>15.83</v>
      </c>
      <c r="CD346" s="2336">
        <v>20.86</v>
      </c>
      <c r="CE346" s="2336">
        <v>31.72</v>
      </c>
      <c r="CF346" s="2336">
        <v>47.85</v>
      </c>
      <c r="CG346" s="2336">
        <v>62.58</v>
      </c>
      <c r="CH346" s="2336">
        <v>98.71</v>
      </c>
      <c r="CI346" s="2336">
        <v>132.58000000000001</v>
      </c>
      <c r="CJ346" s="2250"/>
      <c r="CK346" s="2250"/>
      <c r="CL346" s="2333">
        <v>177.81</v>
      </c>
      <c r="CM346" s="2336">
        <v>0</v>
      </c>
      <c r="CN346" s="2336">
        <v>2.4</v>
      </c>
      <c r="CO346" s="2336">
        <v>4.5999999999999996</v>
      </c>
      <c r="CP346" s="2336">
        <v>7.33</v>
      </c>
      <c r="CQ346" s="2336">
        <v>11.8</v>
      </c>
      <c r="CR346" s="2336">
        <v>14.93</v>
      </c>
      <c r="CS346" s="2336">
        <v>22.93</v>
      </c>
      <c r="CT346" s="2336">
        <v>32</v>
      </c>
      <c r="CU346" s="2336">
        <v>46.93</v>
      </c>
      <c r="CV346" s="2336">
        <v>71.33</v>
      </c>
      <c r="CW346" s="2336">
        <v>95.8</v>
      </c>
      <c r="CX346" s="2250"/>
      <c r="CY346" s="2250"/>
      <c r="CZ346" s="2333">
        <v>177.81</v>
      </c>
      <c r="DA346" s="2336">
        <v>0</v>
      </c>
      <c r="DB346" s="2336">
        <v>1.85</v>
      </c>
      <c r="DC346" s="2336">
        <v>3.54</v>
      </c>
      <c r="DD346" s="2336">
        <v>5.54</v>
      </c>
      <c r="DE346" s="2336">
        <v>9</v>
      </c>
      <c r="DF346" s="2336">
        <v>11.38</v>
      </c>
      <c r="DG346" s="2336">
        <v>17.309999999999999</v>
      </c>
      <c r="DH346" s="2336">
        <v>24.38</v>
      </c>
      <c r="DI346" s="2336">
        <v>35.85</v>
      </c>
      <c r="DJ346" s="2336">
        <v>53.77</v>
      </c>
      <c r="DK346" s="2336">
        <v>72.150000000000006</v>
      </c>
      <c r="DL346" s="2250"/>
      <c r="DM346" s="2250"/>
      <c r="DN346" s="2250"/>
      <c r="DO346" s="53"/>
      <c r="DP346" s="53"/>
      <c r="DQ346" s="2277"/>
      <c r="DR346" s="2277"/>
      <c r="DS346" s="2278"/>
      <c r="DT346" s="2250"/>
      <c r="DU346" s="2250"/>
      <c r="DV346" s="2250"/>
      <c r="DW346" s="2250"/>
      <c r="DX346" s="2250"/>
      <c r="DY346" s="2333">
        <v>177.81</v>
      </c>
      <c r="DZ346" s="2336">
        <v>0</v>
      </c>
      <c r="EA346" s="2336">
        <v>0</v>
      </c>
      <c r="EB346" s="2336">
        <v>0</v>
      </c>
      <c r="EC346" s="2336">
        <v>0</v>
      </c>
      <c r="ED346" s="2336">
        <v>0</v>
      </c>
      <c r="EE346" s="2336">
        <v>0</v>
      </c>
      <c r="EF346" s="2336">
        <v>0</v>
      </c>
      <c r="EG346" s="2336">
        <v>0</v>
      </c>
      <c r="EH346" s="2336">
        <v>0</v>
      </c>
      <c r="EI346" s="2336">
        <v>0</v>
      </c>
      <c r="EJ346" s="2336">
        <v>0</v>
      </c>
      <c r="EK346" s="2250"/>
      <c r="EL346" s="2250"/>
      <c r="EM346" s="2333">
        <v>177.81</v>
      </c>
      <c r="EN346" s="2336">
        <v>0</v>
      </c>
      <c r="EO346" s="2336">
        <v>2.94</v>
      </c>
      <c r="EP346" s="2336">
        <v>5.77</v>
      </c>
      <c r="EQ346" s="2336">
        <v>9.94</v>
      </c>
      <c r="ER346" s="2336">
        <v>15.83</v>
      </c>
      <c r="ES346" s="2336">
        <v>20.86</v>
      </c>
      <c r="ET346" s="2336">
        <v>31.72</v>
      </c>
      <c r="EU346" s="2336">
        <v>47.85</v>
      </c>
      <c r="EV346" s="2336">
        <v>62.58</v>
      </c>
      <c r="EW346" s="2336">
        <v>98.71</v>
      </c>
      <c r="EX346" s="2336">
        <v>132.58000000000001</v>
      </c>
      <c r="EY346" s="2250"/>
      <c r="EZ346" s="2250"/>
      <c r="FA346" s="2333">
        <v>177.81</v>
      </c>
      <c r="FB346" s="2336">
        <v>0</v>
      </c>
      <c r="FC346" s="2336">
        <v>2.4</v>
      </c>
      <c r="FD346" s="2336">
        <v>4.5999999999999996</v>
      </c>
      <c r="FE346" s="2336">
        <v>7.33</v>
      </c>
      <c r="FF346" s="2336">
        <v>11.8</v>
      </c>
      <c r="FG346" s="2336">
        <v>14.93</v>
      </c>
      <c r="FH346" s="2336">
        <v>22.93</v>
      </c>
      <c r="FI346" s="2336">
        <v>32</v>
      </c>
      <c r="FJ346" s="2336">
        <v>46.93</v>
      </c>
      <c r="FK346" s="2336">
        <v>71.33</v>
      </c>
      <c r="FL346" s="2336">
        <v>95.8</v>
      </c>
      <c r="FM346" s="2250"/>
      <c r="FN346" s="2250"/>
      <c r="FO346" s="2333">
        <v>177.81</v>
      </c>
      <c r="FP346" s="2336">
        <v>0</v>
      </c>
      <c r="FQ346" s="2336">
        <v>1.85</v>
      </c>
      <c r="FR346" s="2336">
        <v>3.54</v>
      </c>
      <c r="FS346" s="2336">
        <v>5.54</v>
      </c>
      <c r="FT346" s="2336">
        <v>9</v>
      </c>
      <c r="FU346" s="2336">
        <v>11.38</v>
      </c>
      <c r="FV346" s="2336">
        <v>17.309999999999999</v>
      </c>
      <c r="FW346" s="2336">
        <v>24.38</v>
      </c>
      <c r="FX346" s="2336">
        <v>35.85</v>
      </c>
      <c r="FY346" s="2336">
        <v>53.77</v>
      </c>
      <c r="FZ346" s="2336">
        <v>72.150000000000006</v>
      </c>
      <c r="GA346" s="2250"/>
      <c r="GB346" s="2250"/>
      <c r="GC346" s="1302">
        <v>34.200000000000003</v>
      </c>
      <c r="GD346" s="1302">
        <v>38.799999999999997</v>
      </c>
      <c r="GE346" s="2250"/>
      <c r="GF346" s="2275"/>
      <c r="GG346" s="2333">
        <v>177.81</v>
      </c>
      <c r="GH346" s="2336">
        <v>0</v>
      </c>
      <c r="GI346" s="2336">
        <v>0</v>
      </c>
      <c r="GJ346" s="2336">
        <v>0</v>
      </c>
      <c r="GK346" s="2336">
        <v>0</v>
      </c>
      <c r="GL346" s="2336">
        <v>0</v>
      </c>
      <c r="GM346" s="2336">
        <v>0</v>
      </c>
      <c r="GN346" s="2336">
        <v>0</v>
      </c>
      <c r="GO346" s="2336">
        <v>0</v>
      </c>
      <c r="GP346" s="2336">
        <v>0</v>
      </c>
      <c r="GQ346" s="2336">
        <v>0</v>
      </c>
      <c r="GR346" s="2336">
        <v>0</v>
      </c>
      <c r="GS346" s="2250"/>
      <c r="GT346" s="2250"/>
      <c r="GU346" s="2333">
        <v>177.81</v>
      </c>
      <c r="GV346" s="2336">
        <v>0</v>
      </c>
      <c r="GW346" s="2336">
        <v>2.94</v>
      </c>
      <c r="GX346" s="2336">
        <v>5.77</v>
      </c>
      <c r="GY346" s="2336">
        <v>9.94</v>
      </c>
      <c r="GZ346" s="2336">
        <v>15.83</v>
      </c>
      <c r="HA346" s="2336">
        <v>20.86</v>
      </c>
      <c r="HB346" s="2336">
        <v>31.72</v>
      </c>
      <c r="HC346" s="2336">
        <v>47.85</v>
      </c>
      <c r="HD346" s="2336">
        <v>62.58</v>
      </c>
      <c r="HE346" s="2336">
        <v>98.71</v>
      </c>
      <c r="HF346" s="2336">
        <v>132.58000000000001</v>
      </c>
      <c r="HG346" s="2250"/>
      <c r="HH346" s="2250"/>
      <c r="HI346" s="2333">
        <v>177.81</v>
      </c>
      <c r="HJ346" s="2336">
        <v>0</v>
      </c>
      <c r="HK346" s="2336">
        <v>2.4</v>
      </c>
      <c r="HL346" s="2336">
        <v>4.5999999999999996</v>
      </c>
      <c r="HM346" s="2336">
        <v>7.33</v>
      </c>
      <c r="HN346" s="2336">
        <v>11.8</v>
      </c>
      <c r="HO346" s="2336">
        <v>14.93</v>
      </c>
      <c r="HP346" s="2336">
        <v>22.93</v>
      </c>
      <c r="HQ346" s="2336">
        <v>32</v>
      </c>
      <c r="HR346" s="2336">
        <v>46.93</v>
      </c>
      <c r="HS346" s="2336">
        <v>71.33</v>
      </c>
      <c r="HT346" s="2336">
        <v>95.8</v>
      </c>
      <c r="HU346" s="2250"/>
      <c r="HV346" s="2250"/>
      <c r="HW346" s="2333">
        <v>177.81</v>
      </c>
      <c r="HX346" s="2336">
        <v>0</v>
      </c>
      <c r="HY346" s="2336">
        <v>1.85</v>
      </c>
      <c r="HZ346" s="2336">
        <v>3.54</v>
      </c>
      <c r="IA346" s="2336">
        <v>5.54</v>
      </c>
      <c r="IB346" s="2336">
        <v>9</v>
      </c>
      <c r="IC346" s="2336">
        <v>11.38</v>
      </c>
      <c r="ID346" s="2336">
        <v>17.309999999999999</v>
      </c>
      <c r="IE346" s="2336">
        <v>24.38</v>
      </c>
      <c r="IF346" s="2336">
        <v>35.85</v>
      </c>
      <c r="IG346" s="2336">
        <v>53.77</v>
      </c>
      <c r="IH346" s="2336">
        <v>72.150000000000006</v>
      </c>
      <c r="II346" s="2250"/>
      <c r="IJ346" s="2250"/>
      <c r="IK346" s="2250"/>
      <c r="IL346" s="53"/>
      <c r="IM346" s="53"/>
    </row>
    <row r="347" spans="1:247" ht="21.95" customHeight="1">
      <c r="B347" s="2333">
        <v>165.9</v>
      </c>
      <c r="C347" s="2336">
        <v>0</v>
      </c>
      <c r="D347" s="2336">
        <v>0</v>
      </c>
      <c r="E347" s="2336">
        <v>0</v>
      </c>
      <c r="F347" s="2336">
        <v>0</v>
      </c>
      <c r="G347" s="2336">
        <v>0</v>
      </c>
      <c r="H347" s="2336">
        <v>0</v>
      </c>
      <c r="I347" s="2336">
        <v>0</v>
      </c>
      <c r="J347" s="2336">
        <v>0</v>
      </c>
      <c r="K347" s="2336">
        <v>0</v>
      </c>
      <c r="L347" s="2336">
        <v>0</v>
      </c>
      <c r="M347" s="2336">
        <v>0</v>
      </c>
      <c r="N347" s="2250"/>
      <c r="O347" s="2250"/>
      <c r="P347" s="2333">
        <v>165.9</v>
      </c>
      <c r="Q347" s="2336">
        <v>0</v>
      </c>
      <c r="R347" s="2336">
        <v>3.13</v>
      </c>
      <c r="S347" s="2336">
        <v>6.13</v>
      </c>
      <c r="T347" s="2336">
        <v>10.18</v>
      </c>
      <c r="U347" s="2336">
        <v>16.809999999999999</v>
      </c>
      <c r="V347" s="2336">
        <v>23.19</v>
      </c>
      <c r="W347" s="2336">
        <v>31.72</v>
      </c>
      <c r="X347" s="2336">
        <v>48.71</v>
      </c>
      <c r="Y347" s="2336">
        <v>66.5</v>
      </c>
      <c r="Z347" s="2336">
        <v>98.71</v>
      </c>
      <c r="AA347" s="2336">
        <v>139.75</v>
      </c>
      <c r="AB347" s="2250"/>
      <c r="AC347" s="2250"/>
      <c r="AD347" s="2333">
        <v>165.9</v>
      </c>
      <c r="AE347" s="2336">
        <v>0</v>
      </c>
      <c r="AF347" s="2336">
        <v>2.6</v>
      </c>
      <c r="AG347" s="2336">
        <v>5</v>
      </c>
      <c r="AH347" s="2336">
        <v>7.33</v>
      </c>
      <c r="AI347" s="2336">
        <v>12.93</v>
      </c>
      <c r="AJ347" s="2336">
        <v>16.600000000000001</v>
      </c>
      <c r="AK347" s="2336">
        <v>22.93</v>
      </c>
      <c r="AL347" s="2336">
        <v>34.93</v>
      </c>
      <c r="AM347" s="2336">
        <v>51.27</v>
      </c>
      <c r="AN347" s="2336">
        <v>71.33</v>
      </c>
      <c r="AO347" s="2336">
        <v>100.67</v>
      </c>
      <c r="AP347" s="2250"/>
      <c r="AQ347" s="2250"/>
      <c r="AR347" s="2333">
        <v>165.9</v>
      </c>
      <c r="AS347" s="2336">
        <v>0</v>
      </c>
      <c r="AT347" s="2336">
        <v>2.08</v>
      </c>
      <c r="AU347" s="2336">
        <v>3.85</v>
      </c>
      <c r="AV347" s="2336">
        <v>5.54</v>
      </c>
      <c r="AW347" s="2336">
        <v>9.85</v>
      </c>
      <c r="AX347" s="2336">
        <v>12.62</v>
      </c>
      <c r="AY347" s="2336">
        <v>17.309999999999999</v>
      </c>
      <c r="AZ347" s="2336">
        <v>26.62</v>
      </c>
      <c r="BA347" s="2336">
        <v>38.619999999999997</v>
      </c>
      <c r="BB347" s="2336">
        <v>53.77</v>
      </c>
      <c r="BC347" s="2336">
        <v>76.150000000000006</v>
      </c>
      <c r="BD347" s="2250"/>
      <c r="BE347" s="2250"/>
      <c r="BF347" s="1302">
        <v>38.799999999999997</v>
      </c>
      <c r="BG347" s="1302">
        <v>43.9</v>
      </c>
      <c r="BH347" s="2250"/>
      <c r="BI347" s="2275"/>
      <c r="BJ347" s="2333">
        <v>165.9</v>
      </c>
      <c r="BK347" s="2336">
        <v>0</v>
      </c>
      <c r="BL347" s="2336">
        <v>0</v>
      </c>
      <c r="BM347" s="2336">
        <v>0</v>
      </c>
      <c r="BN347" s="2336">
        <v>0</v>
      </c>
      <c r="BO347" s="2336">
        <v>0</v>
      </c>
      <c r="BP347" s="2336">
        <v>0</v>
      </c>
      <c r="BQ347" s="2336">
        <v>0</v>
      </c>
      <c r="BR347" s="2336">
        <v>0</v>
      </c>
      <c r="BS347" s="2336">
        <v>0</v>
      </c>
      <c r="BT347" s="2336">
        <v>0</v>
      </c>
      <c r="BU347" s="2336">
        <v>0</v>
      </c>
      <c r="BV347" s="2250"/>
      <c r="BW347" s="2250"/>
      <c r="BX347" s="2333">
        <v>165.9</v>
      </c>
      <c r="BY347" s="2336">
        <v>0</v>
      </c>
      <c r="BZ347" s="2336">
        <v>3.13</v>
      </c>
      <c r="CA347" s="2336">
        <v>6.13</v>
      </c>
      <c r="CB347" s="2336">
        <v>10.18</v>
      </c>
      <c r="CC347" s="2336">
        <v>16.809999999999999</v>
      </c>
      <c r="CD347" s="2336">
        <v>23.19</v>
      </c>
      <c r="CE347" s="2336">
        <v>31.72</v>
      </c>
      <c r="CF347" s="2336">
        <v>48.71</v>
      </c>
      <c r="CG347" s="2336">
        <v>66.5</v>
      </c>
      <c r="CH347" s="2336">
        <v>98.71</v>
      </c>
      <c r="CI347" s="2336">
        <v>139.75</v>
      </c>
      <c r="CJ347" s="2250"/>
      <c r="CK347" s="2250"/>
      <c r="CL347" s="2333">
        <v>165.9</v>
      </c>
      <c r="CM347" s="2336">
        <v>0</v>
      </c>
      <c r="CN347" s="2336">
        <v>2.6</v>
      </c>
      <c r="CO347" s="2336">
        <v>5</v>
      </c>
      <c r="CP347" s="2336">
        <v>7.33</v>
      </c>
      <c r="CQ347" s="2336">
        <v>12.93</v>
      </c>
      <c r="CR347" s="2336">
        <v>16.600000000000001</v>
      </c>
      <c r="CS347" s="2336">
        <v>22.93</v>
      </c>
      <c r="CT347" s="2336">
        <v>34.93</v>
      </c>
      <c r="CU347" s="2336">
        <v>51.27</v>
      </c>
      <c r="CV347" s="2336">
        <v>71.33</v>
      </c>
      <c r="CW347" s="2336">
        <v>100.67</v>
      </c>
      <c r="CX347" s="2250"/>
      <c r="CY347" s="2250"/>
      <c r="CZ347" s="2333">
        <v>165.9</v>
      </c>
      <c r="DA347" s="2336">
        <v>0</v>
      </c>
      <c r="DB347" s="2336">
        <v>2.08</v>
      </c>
      <c r="DC347" s="2336">
        <v>3.85</v>
      </c>
      <c r="DD347" s="2336">
        <v>5.54</v>
      </c>
      <c r="DE347" s="2336">
        <v>9.85</v>
      </c>
      <c r="DF347" s="2336">
        <v>12.62</v>
      </c>
      <c r="DG347" s="2336">
        <v>17.309999999999999</v>
      </c>
      <c r="DH347" s="2336">
        <v>26.62</v>
      </c>
      <c r="DI347" s="2336">
        <v>38.619999999999997</v>
      </c>
      <c r="DJ347" s="2336">
        <v>53.77</v>
      </c>
      <c r="DK347" s="2336">
        <v>76.150000000000006</v>
      </c>
      <c r="DL347" s="2250"/>
      <c r="DM347" s="2250"/>
      <c r="DN347" s="2250"/>
      <c r="DO347" s="53"/>
      <c r="DP347" s="53"/>
      <c r="DY347" s="2333">
        <v>165.9</v>
      </c>
      <c r="DZ347" s="2336">
        <v>0</v>
      </c>
      <c r="EA347" s="2336">
        <v>0</v>
      </c>
      <c r="EB347" s="2336">
        <v>0</v>
      </c>
      <c r="EC347" s="2336">
        <v>0</v>
      </c>
      <c r="ED347" s="2336">
        <v>0</v>
      </c>
      <c r="EE347" s="2336">
        <v>0</v>
      </c>
      <c r="EF347" s="2336">
        <v>0</v>
      </c>
      <c r="EG347" s="2336">
        <v>0</v>
      </c>
      <c r="EH347" s="2336">
        <v>0</v>
      </c>
      <c r="EI347" s="2336">
        <v>0</v>
      </c>
      <c r="EJ347" s="2336">
        <v>0</v>
      </c>
      <c r="EK347" s="2250"/>
      <c r="EL347" s="2250"/>
      <c r="EM347" s="2333">
        <v>165.9</v>
      </c>
      <c r="EN347" s="2336">
        <v>0</v>
      </c>
      <c r="EO347" s="2336">
        <v>3.13</v>
      </c>
      <c r="EP347" s="2336">
        <v>6.13</v>
      </c>
      <c r="EQ347" s="2336">
        <v>10.18</v>
      </c>
      <c r="ER347" s="2336">
        <v>16.809999999999999</v>
      </c>
      <c r="ES347" s="2336">
        <v>23.19</v>
      </c>
      <c r="ET347" s="2336">
        <v>31.72</v>
      </c>
      <c r="EU347" s="2336">
        <v>48.71</v>
      </c>
      <c r="EV347" s="2336">
        <v>66.5</v>
      </c>
      <c r="EW347" s="2336">
        <v>98.71</v>
      </c>
      <c r="EX347" s="2336">
        <v>139.75</v>
      </c>
      <c r="EY347" s="2250"/>
      <c r="EZ347" s="2250"/>
      <c r="FA347" s="2333">
        <v>165.9</v>
      </c>
      <c r="FB347" s="2336">
        <v>0</v>
      </c>
      <c r="FC347" s="2336">
        <v>2.6</v>
      </c>
      <c r="FD347" s="2336">
        <v>5</v>
      </c>
      <c r="FE347" s="2336">
        <v>7.33</v>
      </c>
      <c r="FF347" s="2336">
        <v>12.93</v>
      </c>
      <c r="FG347" s="2336">
        <v>16.600000000000001</v>
      </c>
      <c r="FH347" s="2336">
        <v>22.93</v>
      </c>
      <c r="FI347" s="2336">
        <v>34.93</v>
      </c>
      <c r="FJ347" s="2336">
        <v>51.27</v>
      </c>
      <c r="FK347" s="2336">
        <v>71.33</v>
      </c>
      <c r="FL347" s="2336">
        <v>100.67</v>
      </c>
      <c r="FM347" s="2250"/>
      <c r="FN347" s="2250"/>
      <c r="FO347" s="2333">
        <v>165.9</v>
      </c>
      <c r="FP347" s="2336">
        <v>0</v>
      </c>
      <c r="FQ347" s="2336">
        <v>2.08</v>
      </c>
      <c r="FR347" s="2336">
        <v>3.85</v>
      </c>
      <c r="FS347" s="2336">
        <v>5.54</v>
      </c>
      <c r="FT347" s="2336">
        <v>9.85</v>
      </c>
      <c r="FU347" s="2336">
        <v>12.62</v>
      </c>
      <c r="FV347" s="2336">
        <v>17.309999999999999</v>
      </c>
      <c r="FW347" s="2336">
        <v>26.62</v>
      </c>
      <c r="FX347" s="2336">
        <v>38.619999999999997</v>
      </c>
      <c r="FY347" s="2336">
        <v>53.77</v>
      </c>
      <c r="FZ347" s="2336">
        <v>76.150000000000006</v>
      </c>
      <c r="GA347" s="2250"/>
      <c r="GB347" s="2250"/>
      <c r="GC347" s="1302">
        <v>38.799999999999997</v>
      </c>
      <c r="GD347" s="1302">
        <v>43.9</v>
      </c>
      <c r="GE347" s="2250"/>
      <c r="GF347" s="2275"/>
      <c r="GG347" s="2333">
        <v>165.9</v>
      </c>
      <c r="GH347" s="2336">
        <v>0</v>
      </c>
      <c r="GI347" s="2336">
        <v>0</v>
      </c>
      <c r="GJ347" s="2336">
        <v>0</v>
      </c>
      <c r="GK347" s="2336">
        <v>0</v>
      </c>
      <c r="GL347" s="2336">
        <v>0</v>
      </c>
      <c r="GM347" s="2336">
        <v>0</v>
      </c>
      <c r="GN347" s="2336">
        <v>0</v>
      </c>
      <c r="GO347" s="2336">
        <v>0</v>
      </c>
      <c r="GP347" s="2336">
        <v>0</v>
      </c>
      <c r="GQ347" s="2336">
        <v>0</v>
      </c>
      <c r="GR347" s="2336">
        <v>0</v>
      </c>
      <c r="GS347" s="2250"/>
      <c r="GT347" s="2250"/>
      <c r="GU347" s="2333">
        <v>165.9</v>
      </c>
      <c r="GV347" s="2336">
        <v>0</v>
      </c>
      <c r="GW347" s="2336">
        <v>3.13</v>
      </c>
      <c r="GX347" s="2336">
        <v>6.13</v>
      </c>
      <c r="GY347" s="2336">
        <v>10.18</v>
      </c>
      <c r="GZ347" s="2336">
        <v>16.809999999999999</v>
      </c>
      <c r="HA347" s="2336">
        <v>23.19</v>
      </c>
      <c r="HB347" s="2336">
        <v>31.72</v>
      </c>
      <c r="HC347" s="2336">
        <v>48.71</v>
      </c>
      <c r="HD347" s="2336">
        <v>66.5</v>
      </c>
      <c r="HE347" s="2336">
        <v>98.71</v>
      </c>
      <c r="HF347" s="2336">
        <v>139.75</v>
      </c>
      <c r="HG347" s="2250"/>
      <c r="HH347" s="2250"/>
      <c r="HI347" s="2333">
        <v>165.9</v>
      </c>
      <c r="HJ347" s="2336">
        <v>0</v>
      </c>
      <c r="HK347" s="2336">
        <v>2.6</v>
      </c>
      <c r="HL347" s="2336">
        <v>5</v>
      </c>
      <c r="HM347" s="2336">
        <v>7.33</v>
      </c>
      <c r="HN347" s="2336">
        <v>12.93</v>
      </c>
      <c r="HO347" s="2336">
        <v>16.600000000000001</v>
      </c>
      <c r="HP347" s="2336">
        <v>22.93</v>
      </c>
      <c r="HQ347" s="2336">
        <v>34.93</v>
      </c>
      <c r="HR347" s="2336">
        <v>51.27</v>
      </c>
      <c r="HS347" s="2336">
        <v>71.33</v>
      </c>
      <c r="HT347" s="2336">
        <v>100.67</v>
      </c>
      <c r="HU347" s="2250"/>
      <c r="HV347" s="2250"/>
      <c r="HW347" s="2333">
        <v>165.9</v>
      </c>
      <c r="HX347" s="2336">
        <v>0</v>
      </c>
      <c r="HY347" s="2336">
        <v>2.08</v>
      </c>
      <c r="HZ347" s="2336">
        <v>3.85</v>
      </c>
      <c r="IA347" s="2336">
        <v>5.54</v>
      </c>
      <c r="IB347" s="2336">
        <v>9.85</v>
      </c>
      <c r="IC347" s="2336">
        <v>12.62</v>
      </c>
      <c r="ID347" s="2336">
        <v>17.309999999999999</v>
      </c>
      <c r="IE347" s="2336">
        <v>26.62</v>
      </c>
      <c r="IF347" s="2336">
        <v>38.619999999999997</v>
      </c>
      <c r="IG347" s="2336">
        <v>53.77</v>
      </c>
      <c r="IH347" s="2336">
        <v>76.150000000000006</v>
      </c>
      <c r="II347" s="2250"/>
      <c r="IJ347" s="2250"/>
      <c r="IK347" s="2250"/>
      <c r="IL347" s="53"/>
      <c r="IM347" s="53"/>
    </row>
    <row r="348" spans="1:247" ht="21.95" customHeight="1">
      <c r="B348" s="2333">
        <v>162.68</v>
      </c>
      <c r="C348" s="2336">
        <v>0</v>
      </c>
      <c r="D348" s="2336">
        <v>0</v>
      </c>
      <c r="E348" s="2336">
        <v>0</v>
      </c>
      <c r="F348" s="2336">
        <v>0</v>
      </c>
      <c r="G348" s="2336">
        <v>0</v>
      </c>
      <c r="H348" s="2336">
        <v>0</v>
      </c>
      <c r="I348" s="2336">
        <v>0</v>
      </c>
      <c r="J348" s="2336">
        <v>0</v>
      </c>
      <c r="K348" s="2336">
        <v>0</v>
      </c>
      <c r="L348" s="2336">
        <v>0</v>
      </c>
      <c r="M348" s="2336">
        <v>0</v>
      </c>
      <c r="N348" s="2250"/>
      <c r="O348" s="2250"/>
      <c r="P348" s="2333">
        <v>162.68</v>
      </c>
      <c r="Q348" s="2336">
        <v>0</v>
      </c>
      <c r="R348" s="2336">
        <v>3.19</v>
      </c>
      <c r="S348" s="2336">
        <v>6.2</v>
      </c>
      <c r="T348" s="2336">
        <v>10.74</v>
      </c>
      <c r="U348" s="2336">
        <v>16.93</v>
      </c>
      <c r="V348" s="2336">
        <v>23.62</v>
      </c>
      <c r="W348" s="2336">
        <v>34.29</v>
      </c>
      <c r="X348" s="2336">
        <v>46.01</v>
      </c>
      <c r="Y348" s="2336">
        <v>67.55</v>
      </c>
      <c r="Z348" s="2336">
        <v>104.11</v>
      </c>
      <c r="AA348" s="2336">
        <v>151.29</v>
      </c>
      <c r="AB348" s="2250"/>
      <c r="AC348" s="2250"/>
      <c r="AD348" s="2333">
        <v>162.68</v>
      </c>
      <c r="AE348" s="2336">
        <v>0</v>
      </c>
      <c r="AF348" s="2336">
        <v>2.5299999999999998</v>
      </c>
      <c r="AG348" s="2336">
        <v>4.7300000000000004</v>
      </c>
      <c r="AH348" s="2336">
        <v>7.87</v>
      </c>
      <c r="AI348" s="2336">
        <v>12.13</v>
      </c>
      <c r="AJ348" s="2336">
        <v>16.93</v>
      </c>
      <c r="AK348" s="2336">
        <v>24.53</v>
      </c>
      <c r="AL348" s="2336">
        <v>32.93</v>
      </c>
      <c r="AM348" s="2336">
        <v>48.33</v>
      </c>
      <c r="AN348" s="2336">
        <v>74.400000000000006</v>
      </c>
      <c r="AO348" s="2336">
        <v>108.2</v>
      </c>
      <c r="AP348" s="2250"/>
      <c r="AQ348" s="2250"/>
      <c r="AR348" s="2333">
        <v>162.68</v>
      </c>
      <c r="AS348" s="2336">
        <v>0</v>
      </c>
      <c r="AT348" s="2336">
        <v>1.92</v>
      </c>
      <c r="AU348" s="2336">
        <v>3.62</v>
      </c>
      <c r="AV348" s="2336">
        <v>6</v>
      </c>
      <c r="AW348" s="2336">
        <v>9.23</v>
      </c>
      <c r="AX348" s="2336">
        <v>12.92</v>
      </c>
      <c r="AY348" s="2336">
        <v>18.62</v>
      </c>
      <c r="AZ348" s="2336">
        <v>25.08</v>
      </c>
      <c r="BA348" s="2336">
        <v>36.770000000000003</v>
      </c>
      <c r="BB348" s="2336">
        <v>56.62</v>
      </c>
      <c r="BC348" s="2336">
        <v>82.31</v>
      </c>
      <c r="BD348" s="2250"/>
      <c r="BE348" s="2250"/>
      <c r="BF348" s="1302">
        <v>43.9</v>
      </c>
      <c r="BG348" s="1302">
        <v>48.8</v>
      </c>
      <c r="BH348" s="2250"/>
      <c r="BI348" s="2275"/>
      <c r="BJ348" s="2333">
        <v>162.68</v>
      </c>
      <c r="BK348" s="2336">
        <v>0</v>
      </c>
      <c r="BL348" s="2336">
        <v>0</v>
      </c>
      <c r="BM348" s="2336">
        <v>0</v>
      </c>
      <c r="BN348" s="2336">
        <v>0</v>
      </c>
      <c r="BO348" s="2336">
        <v>0</v>
      </c>
      <c r="BP348" s="2336">
        <v>0</v>
      </c>
      <c r="BQ348" s="2336">
        <v>0</v>
      </c>
      <c r="BR348" s="2336">
        <v>0</v>
      </c>
      <c r="BS348" s="2336">
        <v>0</v>
      </c>
      <c r="BT348" s="2336">
        <v>0</v>
      </c>
      <c r="BU348" s="2336">
        <v>0</v>
      </c>
      <c r="BV348" s="2250"/>
      <c r="BW348" s="2250"/>
      <c r="BX348" s="2333">
        <v>162.68</v>
      </c>
      <c r="BY348" s="2336">
        <v>0</v>
      </c>
      <c r="BZ348" s="2336">
        <v>3.19</v>
      </c>
      <c r="CA348" s="2336">
        <v>6.2</v>
      </c>
      <c r="CB348" s="2336">
        <v>10.74</v>
      </c>
      <c r="CC348" s="2336">
        <v>16.93</v>
      </c>
      <c r="CD348" s="2336">
        <v>23.62</v>
      </c>
      <c r="CE348" s="2336">
        <v>34.29</v>
      </c>
      <c r="CF348" s="2336">
        <v>46.01</v>
      </c>
      <c r="CG348" s="2336">
        <v>67.55</v>
      </c>
      <c r="CH348" s="2336">
        <v>104.11</v>
      </c>
      <c r="CI348" s="2336">
        <v>151.29</v>
      </c>
      <c r="CJ348" s="2250"/>
      <c r="CK348" s="2250"/>
      <c r="CL348" s="2333">
        <v>162.68</v>
      </c>
      <c r="CM348" s="2336">
        <v>0</v>
      </c>
      <c r="CN348" s="2336">
        <v>2.5299999999999998</v>
      </c>
      <c r="CO348" s="2336">
        <v>4.7300000000000004</v>
      </c>
      <c r="CP348" s="2336">
        <v>7.87</v>
      </c>
      <c r="CQ348" s="2336">
        <v>12.13</v>
      </c>
      <c r="CR348" s="2336">
        <v>16.93</v>
      </c>
      <c r="CS348" s="2336">
        <v>24.53</v>
      </c>
      <c r="CT348" s="2336">
        <v>32.93</v>
      </c>
      <c r="CU348" s="2336">
        <v>48.33</v>
      </c>
      <c r="CV348" s="2336">
        <v>74.400000000000006</v>
      </c>
      <c r="CW348" s="2336">
        <v>108.2</v>
      </c>
      <c r="CX348" s="2250"/>
      <c r="CY348" s="2250"/>
      <c r="CZ348" s="2333">
        <v>162.68</v>
      </c>
      <c r="DA348" s="2336">
        <v>0</v>
      </c>
      <c r="DB348" s="2336">
        <v>1.92</v>
      </c>
      <c r="DC348" s="2336">
        <v>3.62</v>
      </c>
      <c r="DD348" s="2336">
        <v>6</v>
      </c>
      <c r="DE348" s="2336">
        <v>9.23</v>
      </c>
      <c r="DF348" s="2336">
        <v>12.92</v>
      </c>
      <c r="DG348" s="2336">
        <v>18.62</v>
      </c>
      <c r="DH348" s="2336">
        <v>25.08</v>
      </c>
      <c r="DI348" s="2336">
        <v>36.770000000000003</v>
      </c>
      <c r="DJ348" s="2336">
        <v>56.62</v>
      </c>
      <c r="DK348" s="2336">
        <v>82.31</v>
      </c>
      <c r="DL348" s="2250"/>
      <c r="DM348" s="2250"/>
      <c r="DN348" s="2250"/>
      <c r="DO348" s="53"/>
      <c r="DP348" s="53"/>
      <c r="DY348" s="2333">
        <v>162.68</v>
      </c>
      <c r="DZ348" s="2336">
        <v>0</v>
      </c>
      <c r="EA348" s="2336">
        <v>0</v>
      </c>
      <c r="EB348" s="2336">
        <v>0</v>
      </c>
      <c r="EC348" s="2336">
        <v>0</v>
      </c>
      <c r="ED348" s="2336">
        <v>0</v>
      </c>
      <c r="EE348" s="2336">
        <v>0</v>
      </c>
      <c r="EF348" s="2336">
        <v>0</v>
      </c>
      <c r="EG348" s="2336">
        <v>0</v>
      </c>
      <c r="EH348" s="2336">
        <v>0</v>
      </c>
      <c r="EI348" s="2336">
        <v>0</v>
      </c>
      <c r="EJ348" s="2336">
        <v>0</v>
      </c>
      <c r="EK348" s="2250"/>
      <c r="EL348" s="2250"/>
      <c r="EM348" s="2333">
        <v>162.68</v>
      </c>
      <c r="EN348" s="2336">
        <v>0</v>
      </c>
      <c r="EO348" s="2336">
        <v>3.19</v>
      </c>
      <c r="EP348" s="2336">
        <v>6.2</v>
      </c>
      <c r="EQ348" s="2336">
        <v>10.74</v>
      </c>
      <c r="ER348" s="2336">
        <v>16.93</v>
      </c>
      <c r="ES348" s="2336">
        <v>23.62</v>
      </c>
      <c r="ET348" s="2336">
        <v>34.29</v>
      </c>
      <c r="EU348" s="2336">
        <v>46.01</v>
      </c>
      <c r="EV348" s="2336">
        <v>67.55</v>
      </c>
      <c r="EW348" s="2336">
        <v>104.11</v>
      </c>
      <c r="EX348" s="2336">
        <v>151.29</v>
      </c>
      <c r="EY348" s="2250"/>
      <c r="EZ348" s="2250"/>
      <c r="FA348" s="2333">
        <v>162.68</v>
      </c>
      <c r="FB348" s="2336">
        <v>0</v>
      </c>
      <c r="FC348" s="2336">
        <v>2.5299999999999998</v>
      </c>
      <c r="FD348" s="2336">
        <v>4.7300000000000004</v>
      </c>
      <c r="FE348" s="2336">
        <v>7.87</v>
      </c>
      <c r="FF348" s="2336">
        <v>12.13</v>
      </c>
      <c r="FG348" s="2336">
        <v>16.93</v>
      </c>
      <c r="FH348" s="2336">
        <v>24.53</v>
      </c>
      <c r="FI348" s="2336">
        <v>32.93</v>
      </c>
      <c r="FJ348" s="2336">
        <v>48.33</v>
      </c>
      <c r="FK348" s="2336">
        <v>74.400000000000006</v>
      </c>
      <c r="FL348" s="2336">
        <v>108.2</v>
      </c>
      <c r="FM348" s="2250"/>
      <c r="FN348" s="2250"/>
      <c r="FO348" s="2333">
        <v>162.68</v>
      </c>
      <c r="FP348" s="2336">
        <v>0</v>
      </c>
      <c r="FQ348" s="2336">
        <v>1.92</v>
      </c>
      <c r="FR348" s="2336">
        <v>3.62</v>
      </c>
      <c r="FS348" s="2336">
        <v>6</v>
      </c>
      <c r="FT348" s="2336">
        <v>9.23</v>
      </c>
      <c r="FU348" s="2336">
        <v>12.92</v>
      </c>
      <c r="FV348" s="2336">
        <v>18.62</v>
      </c>
      <c r="FW348" s="2336">
        <v>25.08</v>
      </c>
      <c r="FX348" s="2336">
        <v>36.770000000000003</v>
      </c>
      <c r="FY348" s="2336">
        <v>56.62</v>
      </c>
      <c r="FZ348" s="2336">
        <v>82.31</v>
      </c>
      <c r="GA348" s="2250"/>
      <c r="GB348" s="2250"/>
      <c r="GC348" s="1302">
        <v>43.9</v>
      </c>
      <c r="GD348" s="1302">
        <v>48.8</v>
      </c>
      <c r="GE348" s="2250"/>
      <c r="GF348" s="2275"/>
      <c r="GG348" s="2333">
        <v>162.68</v>
      </c>
      <c r="GH348" s="2336">
        <v>0</v>
      </c>
      <c r="GI348" s="2336">
        <v>0</v>
      </c>
      <c r="GJ348" s="2336">
        <v>0</v>
      </c>
      <c r="GK348" s="2336">
        <v>0</v>
      </c>
      <c r="GL348" s="2336">
        <v>0</v>
      </c>
      <c r="GM348" s="2336">
        <v>0</v>
      </c>
      <c r="GN348" s="2336">
        <v>0</v>
      </c>
      <c r="GO348" s="2336">
        <v>0</v>
      </c>
      <c r="GP348" s="2336">
        <v>0</v>
      </c>
      <c r="GQ348" s="2336">
        <v>0</v>
      </c>
      <c r="GR348" s="2336">
        <v>0</v>
      </c>
      <c r="GS348" s="2250"/>
      <c r="GT348" s="2250"/>
      <c r="GU348" s="2333">
        <v>162.68</v>
      </c>
      <c r="GV348" s="2336">
        <v>0</v>
      </c>
      <c r="GW348" s="2336">
        <v>3.19</v>
      </c>
      <c r="GX348" s="2336">
        <v>6.2</v>
      </c>
      <c r="GY348" s="2336">
        <v>10.74</v>
      </c>
      <c r="GZ348" s="2336">
        <v>16.93</v>
      </c>
      <c r="HA348" s="2336">
        <v>23.62</v>
      </c>
      <c r="HB348" s="2336">
        <v>34.29</v>
      </c>
      <c r="HC348" s="2336">
        <v>46.01</v>
      </c>
      <c r="HD348" s="2336">
        <v>67.55</v>
      </c>
      <c r="HE348" s="2336">
        <v>104.11</v>
      </c>
      <c r="HF348" s="2336">
        <v>151.29</v>
      </c>
      <c r="HG348" s="2250"/>
      <c r="HH348" s="2250"/>
      <c r="HI348" s="2333">
        <v>162.68</v>
      </c>
      <c r="HJ348" s="2336">
        <v>0</v>
      </c>
      <c r="HK348" s="2336">
        <v>2.5299999999999998</v>
      </c>
      <c r="HL348" s="2336">
        <v>4.7300000000000004</v>
      </c>
      <c r="HM348" s="2336">
        <v>7.87</v>
      </c>
      <c r="HN348" s="2336">
        <v>12.13</v>
      </c>
      <c r="HO348" s="2336">
        <v>16.93</v>
      </c>
      <c r="HP348" s="2336">
        <v>24.53</v>
      </c>
      <c r="HQ348" s="2336">
        <v>32.93</v>
      </c>
      <c r="HR348" s="2336">
        <v>48.33</v>
      </c>
      <c r="HS348" s="2336">
        <v>74.400000000000006</v>
      </c>
      <c r="HT348" s="2336">
        <v>108.2</v>
      </c>
      <c r="HU348" s="2250"/>
      <c r="HV348" s="2250"/>
      <c r="HW348" s="2333">
        <v>162.68</v>
      </c>
      <c r="HX348" s="2336">
        <v>0</v>
      </c>
      <c r="HY348" s="2336">
        <v>1.92</v>
      </c>
      <c r="HZ348" s="2336">
        <v>3.62</v>
      </c>
      <c r="IA348" s="2336">
        <v>6</v>
      </c>
      <c r="IB348" s="2336">
        <v>9.23</v>
      </c>
      <c r="IC348" s="2336">
        <v>12.92</v>
      </c>
      <c r="ID348" s="2336">
        <v>18.62</v>
      </c>
      <c r="IE348" s="2336">
        <v>25.08</v>
      </c>
      <c r="IF348" s="2336">
        <v>36.770000000000003</v>
      </c>
      <c r="IG348" s="2336">
        <v>56.62</v>
      </c>
      <c r="IH348" s="2336">
        <v>82.31</v>
      </c>
      <c r="II348" s="2250"/>
      <c r="IJ348" s="2250"/>
      <c r="IK348" s="2250"/>
      <c r="IL348" s="53"/>
      <c r="IM348" s="53"/>
    </row>
    <row r="349" spans="1:247" ht="21.95" customHeight="1">
      <c r="B349" s="2333">
        <v>151.30000000000001</v>
      </c>
      <c r="C349" s="2336">
        <v>0</v>
      </c>
      <c r="D349" s="2336">
        <v>0</v>
      </c>
      <c r="E349" s="2336">
        <v>0</v>
      </c>
      <c r="F349" s="2336">
        <v>0</v>
      </c>
      <c r="G349" s="2336">
        <v>0</v>
      </c>
      <c r="H349" s="2336">
        <v>0</v>
      </c>
      <c r="I349" s="2336">
        <v>0</v>
      </c>
      <c r="J349" s="2336">
        <v>0</v>
      </c>
      <c r="K349" s="2336">
        <v>0</v>
      </c>
      <c r="L349" s="2336">
        <v>0</v>
      </c>
      <c r="M349" s="2336">
        <v>0</v>
      </c>
      <c r="N349" s="2250"/>
      <c r="O349" s="2250"/>
      <c r="P349" s="2333">
        <v>151.30000000000001</v>
      </c>
      <c r="Q349" s="2336">
        <v>0</v>
      </c>
      <c r="R349" s="2336">
        <v>3.44</v>
      </c>
      <c r="S349" s="2336">
        <v>6.69</v>
      </c>
      <c r="T349" s="2336">
        <v>11.53</v>
      </c>
      <c r="U349" s="2336">
        <v>18.28</v>
      </c>
      <c r="V349" s="2336">
        <v>26.01</v>
      </c>
      <c r="W349" s="2336">
        <v>37.979999999999997</v>
      </c>
      <c r="X349" s="2336">
        <v>50.98</v>
      </c>
      <c r="Y349" s="2336">
        <v>72.33</v>
      </c>
      <c r="Z349" s="2336">
        <v>114.91</v>
      </c>
      <c r="AA349" s="2336">
        <v>158.9</v>
      </c>
      <c r="AB349" s="2250"/>
      <c r="AC349" s="2250"/>
      <c r="AD349" s="2333">
        <v>151.30000000000001</v>
      </c>
      <c r="AE349" s="2336">
        <v>0</v>
      </c>
      <c r="AF349" s="2336">
        <v>2.8</v>
      </c>
      <c r="AG349" s="2336">
        <v>5.27</v>
      </c>
      <c r="AH349" s="2336">
        <v>8.73</v>
      </c>
      <c r="AI349" s="2336">
        <v>13.4</v>
      </c>
      <c r="AJ349" s="2336">
        <v>18.670000000000002</v>
      </c>
      <c r="AK349" s="2336">
        <v>27.13</v>
      </c>
      <c r="AL349" s="2336">
        <v>36.47</v>
      </c>
      <c r="AM349" s="2336">
        <v>53.53</v>
      </c>
      <c r="AN349" s="2336">
        <v>82.4</v>
      </c>
      <c r="AO349" s="2336">
        <v>115.13</v>
      </c>
      <c r="AP349" s="2250"/>
      <c r="AQ349" s="2250"/>
      <c r="AR349" s="2333">
        <v>151.30000000000001</v>
      </c>
      <c r="AS349" s="2336">
        <v>0</v>
      </c>
      <c r="AT349" s="2336">
        <v>2.15</v>
      </c>
      <c r="AU349" s="2336">
        <v>4</v>
      </c>
      <c r="AV349" s="2336">
        <v>6.62</v>
      </c>
      <c r="AW349" s="2336">
        <v>10.23</v>
      </c>
      <c r="AX349" s="2336">
        <v>14.15</v>
      </c>
      <c r="AY349" s="2336">
        <v>20.62</v>
      </c>
      <c r="AZ349" s="2336">
        <v>27.77</v>
      </c>
      <c r="BA349" s="2336">
        <v>40.770000000000003</v>
      </c>
      <c r="BB349" s="2336">
        <v>62.77</v>
      </c>
      <c r="BC349" s="2336">
        <v>86.77</v>
      </c>
      <c r="BD349" s="2250"/>
      <c r="BE349" s="2250"/>
      <c r="BF349" s="1302">
        <v>48.8</v>
      </c>
      <c r="BG349" s="1302">
        <v>53.7</v>
      </c>
      <c r="BH349" s="2250"/>
      <c r="BI349" s="2275"/>
      <c r="BJ349" s="2333">
        <v>151.30000000000001</v>
      </c>
      <c r="BK349" s="2336">
        <v>0</v>
      </c>
      <c r="BL349" s="2336">
        <v>0</v>
      </c>
      <c r="BM349" s="2336">
        <v>0</v>
      </c>
      <c r="BN349" s="2336">
        <v>0</v>
      </c>
      <c r="BO349" s="2336">
        <v>0</v>
      </c>
      <c r="BP349" s="2336">
        <v>0</v>
      </c>
      <c r="BQ349" s="2336">
        <v>0</v>
      </c>
      <c r="BR349" s="2336">
        <v>0</v>
      </c>
      <c r="BS349" s="2336">
        <v>0</v>
      </c>
      <c r="BT349" s="2336">
        <v>0</v>
      </c>
      <c r="BU349" s="2336">
        <v>0</v>
      </c>
      <c r="BV349" s="2250"/>
      <c r="BW349" s="2250"/>
      <c r="BX349" s="2333">
        <v>151.30000000000001</v>
      </c>
      <c r="BY349" s="2336">
        <v>0</v>
      </c>
      <c r="BZ349" s="2336">
        <v>3.44</v>
      </c>
      <c r="CA349" s="2336">
        <v>6.69</v>
      </c>
      <c r="CB349" s="2336">
        <v>11.53</v>
      </c>
      <c r="CC349" s="2336">
        <v>18.28</v>
      </c>
      <c r="CD349" s="2336">
        <v>26.01</v>
      </c>
      <c r="CE349" s="2336">
        <v>37.979999999999997</v>
      </c>
      <c r="CF349" s="2336">
        <v>50.98</v>
      </c>
      <c r="CG349" s="2336">
        <v>72.33</v>
      </c>
      <c r="CH349" s="2336">
        <v>114.91</v>
      </c>
      <c r="CI349" s="2336">
        <v>158.9</v>
      </c>
      <c r="CJ349" s="2250"/>
      <c r="CK349" s="2250"/>
      <c r="CL349" s="2333">
        <v>151.30000000000001</v>
      </c>
      <c r="CM349" s="2336">
        <v>0</v>
      </c>
      <c r="CN349" s="2336">
        <v>2.8</v>
      </c>
      <c r="CO349" s="2336">
        <v>5.27</v>
      </c>
      <c r="CP349" s="2336">
        <v>8.73</v>
      </c>
      <c r="CQ349" s="2336">
        <v>13.4</v>
      </c>
      <c r="CR349" s="2336">
        <v>18.670000000000002</v>
      </c>
      <c r="CS349" s="2336">
        <v>27.13</v>
      </c>
      <c r="CT349" s="2336">
        <v>36.47</v>
      </c>
      <c r="CU349" s="2336">
        <v>53.53</v>
      </c>
      <c r="CV349" s="2336">
        <v>82.4</v>
      </c>
      <c r="CW349" s="2336">
        <v>115.13</v>
      </c>
      <c r="CX349" s="2250"/>
      <c r="CY349" s="2250"/>
      <c r="CZ349" s="2333">
        <v>151.30000000000001</v>
      </c>
      <c r="DA349" s="2336">
        <v>0</v>
      </c>
      <c r="DB349" s="2336">
        <v>2.15</v>
      </c>
      <c r="DC349" s="2336">
        <v>4</v>
      </c>
      <c r="DD349" s="2336">
        <v>6.62</v>
      </c>
      <c r="DE349" s="2336">
        <v>10.23</v>
      </c>
      <c r="DF349" s="2336">
        <v>14.15</v>
      </c>
      <c r="DG349" s="2336">
        <v>20.62</v>
      </c>
      <c r="DH349" s="2336">
        <v>27.77</v>
      </c>
      <c r="DI349" s="2336">
        <v>40.770000000000003</v>
      </c>
      <c r="DJ349" s="2336">
        <v>62.77</v>
      </c>
      <c r="DK349" s="2336">
        <v>86.77</v>
      </c>
      <c r="DL349" s="2250"/>
      <c r="DM349" s="2250"/>
      <c r="DN349" s="2250"/>
      <c r="DO349" s="53"/>
      <c r="DP349" s="53"/>
      <c r="DY349" s="2333">
        <v>151.30000000000001</v>
      </c>
      <c r="DZ349" s="2336">
        <v>0</v>
      </c>
      <c r="EA349" s="2336">
        <v>0</v>
      </c>
      <c r="EB349" s="2336">
        <v>0</v>
      </c>
      <c r="EC349" s="2336">
        <v>0</v>
      </c>
      <c r="ED349" s="2336">
        <v>0</v>
      </c>
      <c r="EE349" s="2336">
        <v>0</v>
      </c>
      <c r="EF349" s="2336">
        <v>0</v>
      </c>
      <c r="EG349" s="2336">
        <v>0</v>
      </c>
      <c r="EH349" s="2336">
        <v>0</v>
      </c>
      <c r="EI349" s="2336">
        <v>0</v>
      </c>
      <c r="EJ349" s="2336">
        <v>0</v>
      </c>
      <c r="EK349" s="2250"/>
      <c r="EL349" s="2250"/>
      <c r="EM349" s="2333">
        <v>151.30000000000001</v>
      </c>
      <c r="EN349" s="2336">
        <v>0</v>
      </c>
      <c r="EO349" s="2336">
        <v>3.44</v>
      </c>
      <c r="EP349" s="2336">
        <v>6.69</v>
      </c>
      <c r="EQ349" s="2336">
        <v>11.53</v>
      </c>
      <c r="ER349" s="2336">
        <v>18.28</v>
      </c>
      <c r="ES349" s="2336">
        <v>26.01</v>
      </c>
      <c r="ET349" s="2336">
        <v>37.979999999999997</v>
      </c>
      <c r="EU349" s="2336">
        <v>50.98</v>
      </c>
      <c r="EV349" s="2336">
        <v>72.33</v>
      </c>
      <c r="EW349" s="2336">
        <v>114.91</v>
      </c>
      <c r="EX349" s="2336">
        <v>158.9</v>
      </c>
      <c r="EY349" s="2250"/>
      <c r="EZ349" s="2250"/>
      <c r="FA349" s="2333">
        <v>151.30000000000001</v>
      </c>
      <c r="FB349" s="2336">
        <v>0</v>
      </c>
      <c r="FC349" s="2336">
        <v>2.8</v>
      </c>
      <c r="FD349" s="2336">
        <v>5.27</v>
      </c>
      <c r="FE349" s="2336">
        <v>8.73</v>
      </c>
      <c r="FF349" s="2336">
        <v>13.4</v>
      </c>
      <c r="FG349" s="2336">
        <v>18.670000000000002</v>
      </c>
      <c r="FH349" s="2336">
        <v>27.13</v>
      </c>
      <c r="FI349" s="2336">
        <v>36.47</v>
      </c>
      <c r="FJ349" s="2336">
        <v>53.53</v>
      </c>
      <c r="FK349" s="2336">
        <v>82.4</v>
      </c>
      <c r="FL349" s="2336">
        <v>115.13</v>
      </c>
      <c r="FM349" s="2250"/>
      <c r="FN349" s="2250"/>
      <c r="FO349" s="2333">
        <v>151.30000000000001</v>
      </c>
      <c r="FP349" s="2336">
        <v>0</v>
      </c>
      <c r="FQ349" s="2336">
        <v>2.15</v>
      </c>
      <c r="FR349" s="2336">
        <v>4</v>
      </c>
      <c r="FS349" s="2336">
        <v>6.62</v>
      </c>
      <c r="FT349" s="2336">
        <v>10.23</v>
      </c>
      <c r="FU349" s="2336">
        <v>14.15</v>
      </c>
      <c r="FV349" s="2336">
        <v>20.62</v>
      </c>
      <c r="FW349" s="2336">
        <v>27.77</v>
      </c>
      <c r="FX349" s="2336">
        <v>40.770000000000003</v>
      </c>
      <c r="FY349" s="2336">
        <v>62.77</v>
      </c>
      <c r="FZ349" s="2336">
        <v>86.77</v>
      </c>
      <c r="GA349" s="2250"/>
      <c r="GB349" s="2250"/>
      <c r="GC349" s="1302">
        <v>48.8</v>
      </c>
      <c r="GD349" s="1302">
        <v>53.7</v>
      </c>
      <c r="GE349" s="2250"/>
      <c r="GF349" s="2275"/>
      <c r="GG349" s="2333">
        <v>151.30000000000001</v>
      </c>
      <c r="GH349" s="2336">
        <v>0</v>
      </c>
      <c r="GI349" s="2336">
        <v>0</v>
      </c>
      <c r="GJ349" s="2336">
        <v>0</v>
      </c>
      <c r="GK349" s="2336">
        <v>0</v>
      </c>
      <c r="GL349" s="2336">
        <v>0</v>
      </c>
      <c r="GM349" s="2336">
        <v>0</v>
      </c>
      <c r="GN349" s="2336">
        <v>0</v>
      </c>
      <c r="GO349" s="2336">
        <v>0</v>
      </c>
      <c r="GP349" s="2336">
        <v>0</v>
      </c>
      <c r="GQ349" s="2336">
        <v>0</v>
      </c>
      <c r="GR349" s="2336">
        <v>0</v>
      </c>
      <c r="GS349" s="2250"/>
      <c r="GT349" s="2250"/>
      <c r="GU349" s="2333">
        <v>151.30000000000001</v>
      </c>
      <c r="GV349" s="2336">
        <v>0</v>
      </c>
      <c r="GW349" s="2336">
        <v>3.44</v>
      </c>
      <c r="GX349" s="2336">
        <v>6.69</v>
      </c>
      <c r="GY349" s="2336">
        <v>11.53</v>
      </c>
      <c r="GZ349" s="2336">
        <v>18.28</v>
      </c>
      <c r="HA349" s="2336">
        <v>26.01</v>
      </c>
      <c r="HB349" s="2336">
        <v>37.979999999999997</v>
      </c>
      <c r="HC349" s="2336">
        <v>50.98</v>
      </c>
      <c r="HD349" s="2336">
        <v>72.33</v>
      </c>
      <c r="HE349" s="2336">
        <v>114.91</v>
      </c>
      <c r="HF349" s="2336">
        <v>158.9</v>
      </c>
      <c r="HG349" s="2250"/>
      <c r="HH349" s="2250"/>
      <c r="HI349" s="2333">
        <v>151.30000000000001</v>
      </c>
      <c r="HJ349" s="2336">
        <v>0</v>
      </c>
      <c r="HK349" s="2336">
        <v>2.8</v>
      </c>
      <c r="HL349" s="2336">
        <v>5.27</v>
      </c>
      <c r="HM349" s="2336">
        <v>8.73</v>
      </c>
      <c r="HN349" s="2336">
        <v>13.4</v>
      </c>
      <c r="HO349" s="2336">
        <v>18.670000000000002</v>
      </c>
      <c r="HP349" s="2336">
        <v>27.13</v>
      </c>
      <c r="HQ349" s="2336">
        <v>36.47</v>
      </c>
      <c r="HR349" s="2336">
        <v>53.53</v>
      </c>
      <c r="HS349" s="2336">
        <v>82.4</v>
      </c>
      <c r="HT349" s="2336">
        <v>115.13</v>
      </c>
      <c r="HU349" s="2250"/>
      <c r="HV349" s="2250"/>
      <c r="HW349" s="2333">
        <v>151.30000000000001</v>
      </c>
      <c r="HX349" s="2336">
        <v>0</v>
      </c>
      <c r="HY349" s="2336">
        <v>2.15</v>
      </c>
      <c r="HZ349" s="2336">
        <v>4</v>
      </c>
      <c r="IA349" s="2336">
        <v>6.62</v>
      </c>
      <c r="IB349" s="2336">
        <v>10.23</v>
      </c>
      <c r="IC349" s="2336">
        <v>14.15</v>
      </c>
      <c r="ID349" s="2336">
        <v>20.62</v>
      </c>
      <c r="IE349" s="2336">
        <v>27.77</v>
      </c>
      <c r="IF349" s="2336">
        <v>40.770000000000003</v>
      </c>
      <c r="IG349" s="2336">
        <v>62.77</v>
      </c>
      <c r="IH349" s="2336">
        <v>86.77</v>
      </c>
      <c r="II349" s="2250"/>
      <c r="IJ349" s="2250"/>
      <c r="IK349" s="2250"/>
      <c r="IL349" s="53"/>
      <c r="IM349" s="53"/>
    </row>
    <row r="350" spans="1:247" ht="21.95" customHeight="1">
      <c r="B350" s="2333">
        <v>140.1</v>
      </c>
      <c r="C350" s="2336">
        <v>0</v>
      </c>
      <c r="D350" s="2336">
        <v>0</v>
      </c>
      <c r="E350" s="2336">
        <v>0</v>
      </c>
      <c r="F350" s="2336">
        <v>0</v>
      </c>
      <c r="G350" s="2336">
        <v>0</v>
      </c>
      <c r="H350" s="2336">
        <v>0</v>
      </c>
      <c r="I350" s="2336">
        <v>0</v>
      </c>
      <c r="J350" s="2336">
        <v>0</v>
      </c>
      <c r="K350" s="2336">
        <v>0</v>
      </c>
      <c r="L350" s="2336">
        <v>0</v>
      </c>
      <c r="M350" s="2336">
        <v>0</v>
      </c>
      <c r="N350" s="2250"/>
      <c r="O350" s="2250"/>
      <c r="P350" s="2333">
        <v>140.1</v>
      </c>
      <c r="Q350" s="2336">
        <v>0</v>
      </c>
      <c r="R350" s="2336">
        <v>3.62</v>
      </c>
      <c r="S350" s="2336">
        <v>7.12</v>
      </c>
      <c r="T350" s="2336">
        <v>12.33</v>
      </c>
      <c r="U350" s="2336">
        <v>19.57</v>
      </c>
      <c r="V350" s="2336">
        <v>27.73</v>
      </c>
      <c r="W350" s="2336">
        <v>40.31</v>
      </c>
      <c r="X350" s="2336">
        <v>55.89</v>
      </c>
      <c r="Y350" s="2336">
        <v>77.42</v>
      </c>
      <c r="Z350" s="2336">
        <v>122.52</v>
      </c>
      <c r="AA350" s="2336">
        <v>176.01</v>
      </c>
      <c r="AB350" s="2250"/>
      <c r="AC350" s="2250"/>
      <c r="AD350" s="2333">
        <v>140.1</v>
      </c>
      <c r="AE350" s="2336">
        <v>0</v>
      </c>
      <c r="AF350" s="2336">
        <v>3</v>
      </c>
      <c r="AG350" s="2336">
        <v>5.6</v>
      </c>
      <c r="AH350" s="2336">
        <v>9.27</v>
      </c>
      <c r="AI350" s="2336">
        <v>14.27</v>
      </c>
      <c r="AJ350" s="2336">
        <v>19.93</v>
      </c>
      <c r="AK350" s="2336">
        <v>28.87</v>
      </c>
      <c r="AL350" s="2336">
        <v>39.93</v>
      </c>
      <c r="AM350" s="2336">
        <v>57</v>
      </c>
      <c r="AN350" s="2336">
        <v>87.8</v>
      </c>
      <c r="AO350" s="2336">
        <v>127.6</v>
      </c>
      <c r="AP350" s="2250"/>
      <c r="AQ350" s="2250"/>
      <c r="AR350" s="2333">
        <v>140.1</v>
      </c>
      <c r="AS350" s="2336">
        <v>0</v>
      </c>
      <c r="AT350" s="2336">
        <v>2.31</v>
      </c>
      <c r="AU350" s="2336">
        <v>4.2300000000000004</v>
      </c>
      <c r="AV350" s="2336">
        <v>7.08</v>
      </c>
      <c r="AW350" s="2336">
        <v>10.85</v>
      </c>
      <c r="AX350" s="2336">
        <v>15.15</v>
      </c>
      <c r="AY350" s="2336">
        <v>22</v>
      </c>
      <c r="AZ350" s="2336">
        <v>30.38</v>
      </c>
      <c r="BA350" s="2336">
        <v>43.38</v>
      </c>
      <c r="BB350" s="2336">
        <v>66.77</v>
      </c>
      <c r="BC350" s="2336">
        <v>96.15</v>
      </c>
      <c r="BD350" s="2250"/>
      <c r="BE350" s="2250"/>
      <c r="BF350" s="1302">
        <v>53.7</v>
      </c>
      <c r="BG350" s="1302">
        <v>58.1</v>
      </c>
      <c r="BH350" s="2250"/>
      <c r="BI350" s="2275"/>
      <c r="BJ350" s="2333">
        <v>140.1</v>
      </c>
      <c r="BK350" s="2336">
        <v>0</v>
      </c>
      <c r="BL350" s="2336">
        <v>0</v>
      </c>
      <c r="BM350" s="2336">
        <v>0</v>
      </c>
      <c r="BN350" s="2336">
        <v>0</v>
      </c>
      <c r="BO350" s="2336">
        <v>0</v>
      </c>
      <c r="BP350" s="2336">
        <v>0</v>
      </c>
      <c r="BQ350" s="2336">
        <v>0</v>
      </c>
      <c r="BR350" s="2336">
        <v>0</v>
      </c>
      <c r="BS350" s="2336">
        <v>0</v>
      </c>
      <c r="BT350" s="2336">
        <v>0</v>
      </c>
      <c r="BU350" s="2336">
        <v>0</v>
      </c>
      <c r="BV350" s="2250"/>
      <c r="BW350" s="2250"/>
      <c r="BX350" s="2333">
        <v>140.1</v>
      </c>
      <c r="BY350" s="2336">
        <v>0</v>
      </c>
      <c r="BZ350" s="2336">
        <v>3.62</v>
      </c>
      <c r="CA350" s="2336">
        <v>7.12</v>
      </c>
      <c r="CB350" s="2336">
        <v>12.33</v>
      </c>
      <c r="CC350" s="2336">
        <v>19.57</v>
      </c>
      <c r="CD350" s="2336">
        <v>27.73</v>
      </c>
      <c r="CE350" s="2336">
        <v>40.31</v>
      </c>
      <c r="CF350" s="2336">
        <v>55.89</v>
      </c>
      <c r="CG350" s="2336">
        <v>77.42</v>
      </c>
      <c r="CH350" s="2336">
        <v>122.52</v>
      </c>
      <c r="CI350" s="2336">
        <v>176.01</v>
      </c>
      <c r="CJ350" s="2250"/>
      <c r="CK350" s="2250"/>
      <c r="CL350" s="2333">
        <v>140.1</v>
      </c>
      <c r="CM350" s="2336">
        <v>0</v>
      </c>
      <c r="CN350" s="2336">
        <v>3</v>
      </c>
      <c r="CO350" s="2336">
        <v>5.6</v>
      </c>
      <c r="CP350" s="2336">
        <v>9.27</v>
      </c>
      <c r="CQ350" s="2336">
        <v>14.27</v>
      </c>
      <c r="CR350" s="2336">
        <v>19.93</v>
      </c>
      <c r="CS350" s="2336">
        <v>28.87</v>
      </c>
      <c r="CT350" s="2336">
        <v>39.93</v>
      </c>
      <c r="CU350" s="2336">
        <v>57</v>
      </c>
      <c r="CV350" s="2336">
        <v>87.8</v>
      </c>
      <c r="CW350" s="2336">
        <v>127.6</v>
      </c>
      <c r="CX350" s="2250"/>
      <c r="CY350" s="2250"/>
      <c r="CZ350" s="2333">
        <v>140.1</v>
      </c>
      <c r="DA350" s="2336">
        <v>0</v>
      </c>
      <c r="DB350" s="2336">
        <v>2.31</v>
      </c>
      <c r="DC350" s="2336">
        <v>4.2300000000000004</v>
      </c>
      <c r="DD350" s="2336">
        <v>7.08</v>
      </c>
      <c r="DE350" s="2336">
        <v>10.85</v>
      </c>
      <c r="DF350" s="2336">
        <v>15.15</v>
      </c>
      <c r="DG350" s="2336">
        <v>22</v>
      </c>
      <c r="DH350" s="2336">
        <v>30.38</v>
      </c>
      <c r="DI350" s="2336">
        <v>43.38</v>
      </c>
      <c r="DJ350" s="2336">
        <v>66.77</v>
      </c>
      <c r="DK350" s="2336">
        <v>96.15</v>
      </c>
      <c r="DL350" s="2250"/>
      <c r="DM350" s="2250"/>
      <c r="DN350" s="2250"/>
      <c r="DO350" s="53"/>
      <c r="DP350" s="53"/>
      <c r="DY350" s="2333">
        <v>140.1</v>
      </c>
      <c r="DZ350" s="2336">
        <v>0</v>
      </c>
      <c r="EA350" s="2336">
        <v>0</v>
      </c>
      <c r="EB350" s="2336">
        <v>0</v>
      </c>
      <c r="EC350" s="2336">
        <v>0</v>
      </c>
      <c r="ED350" s="2336">
        <v>0</v>
      </c>
      <c r="EE350" s="2336">
        <v>0</v>
      </c>
      <c r="EF350" s="2336">
        <v>0</v>
      </c>
      <c r="EG350" s="2336">
        <v>0</v>
      </c>
      <c r="EH350" s="2336">
        <v>0</v>
      </c>
      <c r="EI350" s="2336">
        <v>0</v>
      </c>
      <c r="EJ350" s="2336">
        <v>0</v>
      </c>
      <c r="EK350" s="2250"/>
      <c r="EL350" s="2250"/>
      <c r="EM350" s="2333">
        <v>140.1</v>
      </c>
      <c r="EN350" s="2336">
        <v>0</v>
      </c>
      <c r="EO350" s="2336">
        <v>3.62</v>
      </c>
      <c r="EP350" s="2336">
        <v>7.12</v>
      </c>
      <c r="EQ350" s="2336">
        <v>12.33</v>
      </c>
      <c r="ER350" s="2336">
        <v>19.57</v>
      </c>
      <c r="ES350" s="2336">
        <v>27.73</v>
      </c>
      <c r="ET350" s="2336">
        <v>40.31</v>
      </c>
      <c r="EU350" s="2336">
        <v>55.89</v>
      </c>
      <c r="EV350" s="2336">
        <v>77.42</v>
      </c>
      <c r="EW350" s="2336">
        <v>122.52</v>
      </c>
      <c r="EX350" s="2336">
        <v>176.01</v>
      </c>
      <c r="EY350" s="2250"/>
      <c r="EZ350" s="2250"/>
      <c r="FA350" s="2333">
        <v>140.1</v>
      </c>
      <c r="FB350" s="2336">
        <v>0</v>
      </c>
      <c r="FC350" s="2336">
        <v>3</v>
      </c>
      <c r="FD350" s="2336">
        <v>5.6</v>
      </c>
      <c r="FE350" s="2336">
        <v>9.27</v>
      </c>
      <c r="FF350" s="2336">
        <v>14.27</v>
      </c>
      <c r="FG350" s="2336">
        <v>19.93</v>
      </c>
      <c r="FH350" s="2336">
        <v>28.87</v>
      </c>
      <c r="FI350" s="2336">
        <v>39.93</v>
      </c>
      <c r="FJ350" s="2336">
        <v>57</v>
      </c>
      <c r="FK350" s="2336">
        <v>87.8</v>
      </c>
      <c r="FL350" s="2336">
        <v>127.6</v>
      </c>
      <c r="FM350" s="2250"/>
      <c r="FN350" s="2250"/>
      <c r="FO350" s="2333">
        <v>140.1</v>
      </c>
      <c r="FP350" s="2336">
        <v>0</v>
      </c>
      <c r="FQ350" s="2336">
        <v>2.31</v>
      </c>
      <c r="FR350" s="2336">
        <v>4.2300000000000004</v>
      </c>
      <c r="FS350" s="2336">
        <v>7.08</v>
      </c>
      <c r="FT350" s="2336">
        <v>10.85</v>
      </c>
      <c r="FU350" s="2336">
        <v>15.15</v>
      </c>
      <c r="FV350" s="2336">
        <v>22</v>
      </c>
      <c r="FW350" s="2336">
        <v>30.38</v>
      </c>
      <c r="FX350" s="2336">
        <v>43.38</v>
      </c>
      <c r="FY350" s="2336">
        <v>66.77</v>
      </c>
      <c r="FZ350" s="2336">
        <v>96.15</v>
      </c>
      <c r="GA350" s="2250"/>
      <c r="GB350" s="2250"/>
      <c r="GC350" s="1302">
        <v>53.7</v>
      </c>
      <c r="GD350" s="1302">
        <v>58.1</v>
      </c>
      <c r="GE350" s="2250"/>
      <c r="GF350" s="2275"/>
      <c r="GG350" s="2333">
        <v>140.1</v>
      </c>
      <c r="GH350" s="2336">
        <v>0</v>
      </c>
      <c r="GI350" s="2336">
        <v>0</v>
      </c>
      <c r="GJ350" s="2336">
        <v>0</v>
      </c>
      <c r="GK350" s="2336">
        <v>0</v>
      </c>
      <c r="GL350" s="2336">
        <v>0</v>
      </c>
      <c r="GM350" s="2336">
        <v>0</v>
      </c>
      <c r="GN350" s="2336">
        <v>0</v>
      </c>
      <c r="GO350" s="2336">
        <v>0</v>
      </c>
      <c r="GP350" s="2336">
        <v>0</v>
      </c>
      <c r="GQ350" s="2336">
        <v>0</v>
      </c>
      <c r="GR350" s="2336">
        <v>0</v>
      </c>
      <c r="GS350" s="2250"/>
      <c r="GT350" s="2250"/>
      <c r="GU350" s="2333">
        <v>140.1</v>
      </c>
      <c r="GV350" s="2336">
        <v>0</v>
      </c>
      <c r="GW350" s="2336">
        <v>3.62</v>
      </c>
      <c r="GX350" s="2336">
        <v>7.12</v>
      </c>
      <c r="GY350" s="2336">
        <v>12.33</v>
      </c>
      <c r="GZ350" s="2336">
        <v>19.57</v>
      </c>
      <c r="HA350" s="2336">
        <v>27.73</v>
      </c>
      <c r="HB350" s="2336">
        <v>40.31</v>
      </c>
      <c r="HC350" s="2336">
        <v>55.89</v>
      </c>
      <c r="HD350" s="2336">
        <v>77.42</v>
      </c>
      <c r="HE350" s="2336">
        <v>122.52</v>
      </c>
      <c r="HF350" s="2336">
        <v>176.01</v>
      </c>
      <c r="HG350" s="2250"/>
      <c r="HH350" s="2250"/>
      <c r="HI350" s="2333">
        <v>140.1</v>
      </c>
      <c r="HJ350" s="2336">
        <v>0</v>
      </c>
      <c r="HK350" s="2336">
        <v>3</v>
      </c>
      <c r="HL350" s="2336">
        <v>5.6</v>
      </c>
      <c r="HM350" s="2336">
        <v>9.27</v>
      </c>
      <c r="HN350" s="2336">
        <v>14.27</v>
      </c>
      <c r="HO350" s="2336">
        <v>19.93</v>
      </c>
      <c r="HP350" s="2336">
        <v>28.87</v>
      </c>
      <c r="HQ350" s="2336">
        <v>39.93</v>
      </c>
      <c r="HR350" s="2336">
        <v>57</v>
      </c>
      <c r="HS350" s="2336">
        <v>87.8</v>
      </c>
      <c r="HT350" s="2336">
        <v>127.6</v>
      </c>
      <c r="HU350" s="2250"/>
      <c r="HV350" s="2250"/>
      <c r="HW350" s="2333">
        <v>140.1</v>
      </c>
      <c r="HX350" s="2336">
        <v>0</v>
      </c>
      <c r="HY350" s="2336">
        <v>2.31</v>
      </c>
      <c r="HZ350" s="2336">
        <v>4.2300000000000004</v>
      </c>
      <c r="IA350" s="2336">
        <v>7.08</v>
      </c>
      <c r="IB350" s="2336">
        <v>10.85</v>
      </c>
      <c r="IC350" s="2336">
        <v>15.15</v>
      </c>
      <c r="ID350" s="2336">
        <v>22</v>
      </c>
      <c r="IE350" s="2336">
        <v>30.38</v>
      </c>
      <c r="IF350" s="2336">
        <v>43.38</v>
      </c>
      <c r="IG350" s="2336">
        <v>66.77</v>
      </c>
      <c r="IH350" s="2336">
        <v>96.15</v>
      </c>
      <c r="II350" s="2250"/>
      <c r="IJ350" s="2250"/>
      <c r="IK350" s="2250"/>
      <c r="IL350" s="53"/>
      <c r="IM350" s="53"/>
    </row>
    <row r="351" spans="1:247" ht="21.95" customHeight="1">
      <c r="B351" s="2333">
        <v>129.80000000000001</v>
      </c>
      <c r="C351" s="2336">
        <v>0</v>
      </c>
      <c r="D351" s="2336">
        <v>0</v>
      </c>
      <c r="E351" s="2336">
        <v>0</v>
      </c>
      <c r="F351" s="2336">
        <v>0</v>
      </c>
      <c r="G351" s="2336">
        <v>0</v>
      </c>
      <c r="H351" s="2336">
        <v>0</v>
      </c>
      <c r="I351" s="2336">
        <v>0</v>
      </c>
      <c r="J351" s="2336">
        <v>0</v>
      </c>
      <c r="K351" s="2336">
        <v>0</v>
      </c>
      <c r="L351" s="2336">
        <v>0</v>
      </c>
      <c r="M351" s="2336">
        <v>0</v>
      </c>
      <c r="N351" s="2250"/>
      <c r="O351" s="2250"/>
      <c r="P351" s="2333">
        <v>129.80000000000001</v>
      </c>
      <c r="Q351" s="2336">
        <v>0</v>
      </c>
      <c r="R351" s="2336">
        <v>3.93</v>
      </c>
      <c r="S351" s="2336">
        <v>7.55</v>
      </c>
      <c r="T351" s="2336">
        <v>13.07</v>
      </c>
      <c r="U351" s="2336">
        <v>20.74</v>
      </c>
      <c r="V351" s="2336">
        <v>29.39</v>
      </c>
      <c r="W351" s="2336">
        <v>42.82</v>
      </c>
      <c r="X351" s="2336">
        <v>59.39</v>
      </c>
      <c r="Y351" s="2336">
        <v>82.15</v>
      </c>
      <c r="Z351" s="2336">
        <v>130.43</v>
      </c>
      <c r="AA351" s="2336">
        <v>186.38</v>
      </c>
      <c r="AB351" s="2250"/>
      <c r="AC351" s="2250"/>
      <c r="AD351" s="2333">
        <v>129.80000000000001</v>
      </c>
      <c r="AE351" s="2336">
        <v>0</v>
      </c>
      <c r="AF351" s="2336">
        <v>3.2</v>
      </c>
      <c r="AG351" s="2336">
        <v>6.13</v>
      </c>
      <c r="AH351" s="2336">
        <v>9.8000000000000007</v>
      </c>
      <c r="AI351" s="2336">
        <v>15.67</v>
      </c>
      <c r="AJ351" s="2336">
        <v>21.2</v>
      </c>
      <c r="AK351" s="2336">
        <v>30.8</v>
      </c>
      <c r="AL351" s="2336">
        <v>42.53</v>
      </c>
      <c r="AM351" s="2336">
        <v>62.53</v>
      </c>
      <c r="AN351" s="2336">
        <v>95</v>
      </c>
      <c r="AO351" s="2336">
        <v>135.6</v>
      </c>
      <c r="AP351" s="2250"/>
      <c r="AQ351" s="2250"/>
      <c r="AR351" s="2333">
        <v>129.80000000000001</v>
      </c>
      <c r="AS351" s="2336">
        <v>0</v>
      </c>
      <c r="AT351" s="2336">
        <v>2.38</v>
      </c>
      <c r="AU351" s="2336">
        <v>4.62</v>
      </c>
      <c r="AV351" s="2336">
        <v>7.38</v>
      </c>
      <c r="AW351" s="2336">
        <v>11.92</v>
      </c>
      <c r="AX351" s="2336">
        <v>16.079999999999998</v>
      </c>
      <c r="AY351" s="2336">
        <v>23.38</v>
      </c>
      <c r="AZ351" s="2336">
        <v>32.380000000000003</v>
      </c>
      <c r="BA351" s="2336">
        <v>47.54</v>
      </c>
      <c r="BB351" s="2336">
        <v>71.62</v>
      </c>
      <c r="BC351" s="2336">
        <v>102.15</v>
      </c>
      <c r="BD351" s="2250"/>
      <c r="BE351" s="2250"/>
      <c r="BF351" s="1302">
        <v>58.1</v>
      </c>
      <c r="BG351" s="1302">
        <v>63.4</v>
      </c>
      <c r="BH351" s="2250"/>
      <c r="BI351" s="2275"/>
      <c r="BJ351" s="2333">
        <v>129.80000000000001</v>
      </c>
      <c r="BK351" s="2336">
        <v>0</v>
      </c>
      <c r="BL351" s="2336">
        <v>0</v>
      </c>
      <c r="BM351" s="2336">
        <v>0</v>
      </c>
      <c r="BN351" s="2336">
        <v>0</v>
      </c>
      <c r="BO351" s="2336">
        <v>0</v>
      </c>
      <c r="BP351" s="2336">
        <v>0</v>
      </c>
      <c r="BQ351" s="2336">
        <v>0</v>
      </c>
      <c r="BR351" s="2336">
        <v>0</v>
      </c>
      <c r="BS351" s="2336">
        <v>0</v>
      </c>
      <c r="BT351" s="2336">
        <v>0</v>
      </c>
      <c r="BU351" s="2336">
        <v>0</v>
      </c>
      <c r="BV351" s="2250"/>
      <c r="BW351" s="2250"/>
      <c r="BX351" s="2333">
        <v>129.80000000000001</v>
      </c>
      <c r="BY351" s="2336">
        <v>0</v>
      </c>
      <c r="BZ351" s="2336">
        <v>3.93</v>
      </c>
      <c r="CA351" s="2336">
        <v>7.55</v>
      </c>
      <c r="CB351" s="2336">
        <v>13.07</v>
      </c>
      <c r="CC351" s="2336">
        <v>20.74</v>
      </c>
      <c r="CD351" s="2336">
        <v>29.39</v>
      </c>
      <c r="CE351" s="2336">
        <v>42.82</v>
      </c>
      <c r="CF351" s="2336">
        <v>59.39</v>
      </c>
      <c r="CG351" s="2336">
        <v>82.15</v>
      </c>
      <c r="CH351" s="2336">
        <v>130.43</v>
      </c>
      <c r="CI351" s="2336">
        <v>186.38</v>
      </c>
      <c r="CJ351" s="2250"/>
      <c r="CK351" s="2250"/>
      <c r="CL351" s="2333">
        <v>129.80000000000001</v>
      </c>
      <c r="CM351" s="2336">
        <v>0</v>
      </c>
      <c r="CN351" s="2336">
        <v>3.2</v>
      </c>
      <c r="CO351" s="2336">
        <v>6.13</v>
      </c>
      <c r="CP351" s="2336">
        <v>9.8000000000000007</v>
      </c>
      <c r="CQ351" s="2336">
        <v>15.67</v>
      </c>
      <c r="CR351" s="2336">
        <v>21.2</v>
      </c>
      <c r="CS351" s="2336">
        <v>30.8</v>
      </c>
      <c r="CT351" s="2336">
        <v>42.53</v>
      </c>
      <c r="CU351" s="2336">
        <v>62.53</v>
      </c>
      <c r="CV351" s="2336">
        <v>95</v>
      </c>
      <c r="CW351" s="2336">
        <v>135.6</v>
      </c>
      <c r="CX351" s="2250"/>
      <c r="CY351" s="2250"/>
      <c r="CZ351" s="2333">
        <v>129.80000000000001</v>
      </c>
      <c r="DA351" s="2336">
        <v>0</v>
      </c>
      <c r="DB351" s="2336">
        <v>2.38</v>
      </c>
      <c r="DC351" s="2336">
        <v>4.62</v>
      </c>
      <c r="DD351" s="2336">
        <v>7.38</v>
      </c>
      <c r="DE351" s="2336">
        <v>11.92</v>
      </c>
      <c r="DF351" s="2336">
        <v>16.079999999999998</v>
      </c>
      <c r="DG351" s="2336">
        <v>23.38</v>
      </c>
      <c r="DH351" s="2336">
        <v>32.380000000000003</v>
      </c>
      <c r="DI351" s="2336">
        <v>47.54</v>
      </c>
      <c r="DJ351" s="2336">
        <v>71.62</v>
      </c>
      <c r="DK351" s="2336">
        <v>102.15</v>
      </c>
      <c r="DL351" s="2250"/>
      <c r="DM351" s="2250"/>
      <c r="DN351" s="2250"/>
      <c r="DO351" s="53"/>
      <c r="DP351" s="53"/>
      <c r="DY351" s="2333">
        <v>129.80000000000001</v>
      </c>
      <c r="DZ351" s="2336">
        <v>0</v>
      </c>
      <c r="EA351" s="2336">
        <v>0</v>
      </c>
      <c r="EB351" s="2336">
        <v>0</v>
      </c>
      <c r="EC351" s="2336">
        <v>0</v>
      </c>
      <c r="ED351" s="2336">
        <v>0</v>
      </c>
      <c r="EE351" s="2336">
        <v>0</v>
      </c>
      <c r="EF351" s="2336">
        <v>0</v>
      </c>
      <c r="EG351" s="2336">
        <v>0</v>
      </c>
      <c r="EH351" s="2336">
        <v>0</v>
      </c>
      <c r="EI351" s="2336">
        <v>0</v>
      </c>
      <c r="EJ351" s="2336">
        <v>0</v>
      </c>
      <c r="EK351" s="2250"/>
      <c r="EL351" s="2250"/>
      <c r="EM351" s="2333">
        <v>129.80000000000001</v>
      </c>
      <c r="EN351" s="2336">
        <v>0</v>
      </c>
      <c r="EO351" s="2336">
        <v>3.93</v>
      </c>
      <c r="EP351" s="2336">
        <v>7.55</v>
      </c>
      <c r="EQ351" s="2336">
        <v>13.07</v>
      </c>
      <c r="ER351" s="2336">
        <v>20.74</v>
      </c>
      <c r="ES351" s="2336">
        <v>29.39</v>
      </c>
      <c r="ET351" s="2336">
        <v>42.82</v>
      </c>
      <c r="EU351" s="2336">
        <v>59.39</v>
      </c>
      <c r="EV351" s="2336">
        <v>82.15</v>
      </c>
      <c r="EW351" s="2336">
        <v>130.43</v>
      </c>
      <c r="EX351" s="2336">
        <v>186.38</v>
      </c>
      <c r="EY351" s="2250"/>
      <c r="EZ351" s="2250"/>
      <c r="FA351" s="2333">
        <v>129.80000000000001</v>
      </c>
      <c r="FB351" s="2336">
        <v>0</v>
      </c>
      <c r="FC351" s="2336">
        <v>3.2</v>
      </c>
      <c r="FD351" s="2336">
        <v>6.13</v>
      </c>
      <c r="FE351" s="2336">
        <v>9.8000000000000007</v>
      </c>
      <c r="FF351" s="2336">
        <v>15.67</v>
      </c>
      <c r="FG351" s="2336">
        <v>21.2</v>
      </c>
      <c r="FH351" s="2336">
        <v>30.8</v>
      </c>
      <c r="FI351" s="2336">
        <v>42.53</v>
      </c>
      <c r="FJ351" s="2336">
        <v>62.53</v>
      </c>
      <c r="FK351" s="2336">
        <v>95</v>
      </c>
      <c r="FL351" s="2336">
        <v>135.6</v>
      </c>
      <c r="FM351" s="2250"/>
      <c r="FN351" s="2250"/>
      <c r="FO351" s="2333">
        <v>129.80000000000001</v>
      </c>
      <c r="FP351" s="2336">
        <v>0</v>
      </c>
      <c r="FQ351" s="2336">
        <v>2.38</v>
      </c>
      <c r="FR351" s="2336">
        <v>4.62</v>
      </c>
      <c r="FS351" s="2336">
        <v>7.38</v>
      </c>
      <c r="FT351" s="2336">
        <v>11.92</v>
      </c>
      <c r="FU351" s="2336">
        <v>16.079999999999998</v>
      </c>
      <c r="FV351" s="2336">
        <v>23.38</v>
      </c>
      <c r="FW351" s="2336">
        <v>32.380000000000003</v>
      </c>
      <c r="FX351" s="2336">
        <v>47.54</v>
      </c>
      <c r="FY351" s="2336">
        <v>71.62</v>
      </c>
      <c r="FZ351" s="2336">
        <v>102.15</v>
      </c>
      <c r="GA351" s="2250"/>
      <c r="GB351" s="2250"/>
      <c r="GC351" s="1302">
        <v>58.1</v>
      </c>
      <c r="GD351" s="1302">
        <v>63.4</v>
      </c>
      <c r="GE351" s="2250"/>
      <c r="GF351" s="2275"/>
      <c r="GG351" s="2333">
        <v>129.80000000000001</v>
      </c>
      <c r="GH351" s="2336">
        <v>0</v>
      </c>
      <c r="GI351" s="2336">
        <v>0</v>
      </c>
      <c r="GJ351" s="2336">
        <v>0</v>
      </c>
      <c r="GK351" s="2336">
        <v>0</v>
      </c>
      <c r="GL351" s="2336">
        <v>0</v>
      </c>
      <c r="GM351" s="2336">
        <v>0</v>
      </c>
      <c r="GN351" s="2336">
        <v>0</v>
      </c>
      <c r="GO351" s="2336">
        <v>0</v>
      </c>
      <c r="GP351" s="2336">
        <v>0</v>
      </c>
      <c r="GQ351" s="2336">
        <v>0</v>
      </c>
      <c r="GR351" s="2336">
        <v>0</v>
      </c>
      <c r="GS351" s="2250"/>
      <c r="GT351" s="2250"/>
      <c r="GU351" s="2333">
        <v>129.80000000000001</v>
      </c>
      <c r="GV351" s="2336">
        <v>0</v>
      </c>
      <c r="GW351" s="2336">
        <v>3.93</v>
      </c>
      <c r="GX351" s="2336">
        <v>7.55</v>
      </c>
      <c r="GY351" s="2336">
        <v>13.07</v>
      </c>
      <c r="GZ351" s="2336">
        <v>20.74</v>
      </c>
      <c r="HA351" s="2336">
        <v>29.39</v>
      </c>
      <c r="HB351" s="2336">
        <v>42.82</v>
      </c>
      <c r="HC351" s="2336">
        <v>59.39</v>
      </c>
      <c r="HD351" s="2336">
        <v>82.15</v>
      </c>
      <c r="HE351" s="2336">
        <v>130.43</v>
      </c>
      <c r="HF351" s="2336">
        <v>186.38</v>
      </c>
      <c r="HG351" s="2250"/>
      <c r="HH351" s="2250"/>
      <c r="HI351" s="2333">
        <v>129.80000000000001</v>
      </c>
      <c r="HJ351" s="2336">
        <v>0</v>
      </c>
      <c r="HK351" s="2336">
        <v>3.2</v>
      </c>
      <c r="HL351" s="2336">
        <v>6.13</v>
      </c>
      <c r="HM351" s="2336">
        <v>9.8000000000000007</v>
      </c>
      <c r="HN351" s="2336">
        <v>15.67</v>
      </c>
      <c r="HO351" s="2336">
        <v>21.2</v>
      </c>
      <c r="HP351" s="2336">
        <v>30.8</v>
      </c>
      <c r="HQ351" s="2336">
        <v>42.53</v>
      </c>
      <c r="HR351" s="2336">
        <v>62.53</v>
      </c>
      <c r="HS351" s="2336">
        <v>95</v>
      </c>
      <c r="HT351" s="2336">
        <v>135.6</v>
      </c>
      <c r="HU351" s="2250"/>
      <c r="HV351" s="2250"/>
      <c r="HW351" s="2333">
        <v>129.80000000000001</v>
      </c>
      <c r="HX351" s="2336">
        <v>0</v>
      </c>
      <c r="HY351" s="2336">
        <v>2.38</v>
      </c>
      <c r="HZ351" s="2336">
        <v>4.62</v>
      </c>
      <c r="IA351" s="2336">
        <v>7.38</v>
      </c>
      <c r="IB351" s="2336">
        <v>11.92</v>
      </c>
      <c r="IC351" s="2336">
        <v>16.079999999999998</v>
      </c>
      <c r="ID351" s="2336">
        <v>23.38</v>
      </c>
      <c r="IE351" s="2336">
        <v>32.380000000000003</v>
      </c>
      <c r="IF351" s="2336">
        <v>47.54</v>
      </c>
      <c r="IG351" s="2336">
        <v>71.62</v>
      </c>
      <c r="IH351" s="2336">
        <v>102.15</v>
      </c>
      <c r="II351" s="2250"/>
      <c r="IJ351" s="2250"/>
      <c r="IK351" s="2250"/>
      <c r="IL351" s="53"/>
      <c r="IM351" s="53"/>
    </row>
    <row r="352" spans="1:247" ht="21.95" customHeight="1">
      <c r="B352" s="2333">
        <v>120.7</v>
      </c>
      <c r="C352" s="2336">
        <v>0</v>
      </c>
      <c r="D352" s="2336">
        <v>0</v>
      </c>
      <c r="E352" s="2336">
        <v>0</v>
      </c>
      <c r="F352" s="2336">
        <v>0</v>
      </c>
      <c r="G352" s="2336">
        <v>0</v>
      </c>
      <c r="H352" s="2336">
        <v>0</v>
      </c>
      <c r="I352" s="2336">
        <v>0</v>
      </c>
      <c r="J352" s="2336">
        <v>0</v>
      </c>
      <c r="K352" s="2336">
        <v>0</v>
      </c>
      <c r="L352" s="2336">
        <v>0</v>
      </c>
      <c r="M352" s="2336">
        <v>0</v>
      </c>
      <c r="N352" s="2250"/>
      <c r="O352" s="2250"/>
      <c r="P352" s="2333">
        <v>120.7</v>
      </c>
      <c r="Q352" s="2336">
        <v>0</v>
      </c>
      <c r="R352" s="2336">
        <v>4.1100000000000003</v>
      </c>
      <c r="S352" s="2336">
        <v>8.0399999999999991</v>
      </c>
      <c r="T352" s="2336">
        <v>13.93</v>
      </c>
      <c r="U352" s="2336">
        <v>22.09</v>
      </c>
      <c r="V352" s="2336">
        <v>30.98</v>
      </c>
      <c r="W352" s="2336">
        <v>46.63</v>
      </c>
      <c r="X352" s="2336">
        <v>62.88</v>
      </c>
      <c r="Y352" s="2336">
        <v>87.48</v>
      </c>
      <c r="Z352" s="2336">
        <v>138.9</v>
      </c>
      <c r="AA352" s="2336">
        <v>199.69</v>
      </c>
      <c r="AB352" s="2250"/>
      <c r="AC352" s="2250"/>
      <c r="AD352" s="2333">
        <v>120.7</v>
      </c>
      <c r="AE352" s="2336">
        <v>0</v>
      </c>
      <c r="AF352" s="2336">
        <v>3.4</v>
      </c>
      <c r="AG352" s="2336">
        <v>6.47</v>
      </c>
      <c r="AH352" s="2336">
        <v>10.8</v>
      </c>
      <c r="AI352" s="2336">
        <v>16.670000000000002</v>
      </c>
      <c r="AJ352" s="2336">
        <v>22.47</v>
      </c>
      <c r="AK352" s="2336">
        <v>33.67</v>
      </c>
      <c r="AL352" s="2336">
        <v>45.2</v>
      </c>
      <c r="AM352" s="2336">
        <v>63.73</v>
      </c>
      <c r="AN352" s="2336">
        <v>102.2</v>
      </c>
      <c r="AO352" s="2336">
        <v>144.07</v>
      </c>
      <c r="AP352" s="2250"/>
      <c r="AQ352" s="2250"/>
      <c r="AR352" s="2333">
        <v>120.7</v>
      </c>
      <c r="AS352" s="2337">
        <v>0</v>
      </c>
      <c r="AT352" s="2337">
        <v>2.62</v>
      </c>
      <c r="AU352" s="2337">
        <v>4.92</v>
      </c>
      <c r="AV352" s="2337">
        <v>8.15</v>
      </c>
      <c r="AW352" s="2337">
        <v>12.69</v>
      </c>
      <c r="AX352" s="2337">
        <v>17.079999999999998</v>
      </c>
      <c r="AY352" s="2337">
        <v>25.46</v>
      </c>
      <c r="AZ352" s="2337">
        <v>34.380000000000003</v>
      </c>
      <c r="BA352" s="2337">
        <v>48</v>
      </c>
      <c r="BB352" s="2337">
        <v>77.69</v>
      </c>
      <c r="BC352" s="2337">
        <v>109.54</v>
      </c>
      <c r="BD352" s="2250"/>
      <c r="BE352" s="2250"/>
      <c r="BF352" s="1302">
        <v>63.4</v>
      </c>
      <c r="BG352" s="1302">
        <v>68.3</v>
      </c>
      <c r="BH352" s="2250"/>
      <c r="BI352" s="2275"/>
      <c r="BJ352" s="2333">
        <v>120.7</v>
      </c>
      <c r="BK352" s="2336">
        <v>0</v>
      </c>
      <c r="BL352" s="2336">
        <v>0</v>
      </c>
      <c r="BM352" s="2336">
        <v>0</v>
      </c>
      <c r="BN352" s="2336">
        <v>0</v>
      </c>
      <c r="BO352" s="2336">
        <v>0</v>
      </c>
      <c r="BP352" s="2336">
        <v>0</v>
      </c>
      <c r="BQ352" s="2336">
        <v>0</v>
      </c>
      <c r="BR352" s="2336">
        <v>0</v>
      </c>
      <c r="BS352" s="2336">
        <v>0</v>
      </c>
      <c r="BT352" s="2336">
        <v>0</v>
      </c>
      <c r="BU352" s="2336">
        <v>0</v>
      </c>
      <c r="BV352" s="2250"/>
      <c r="BW352" s="2250"/>
      <c r="BX352" s="2333">
        <v>120.7</v>
      </c>
      <c r="BY352" s="2336">
        <v>0</v>
      </c>
      <c r="BZ352" s="2336">
        <v>4.1100000000000003</v>
      </c>
      <c r="CA352" s="2336">
        <v>8.0399999999999991</v>
      </c>
      <c r="CB352" s="2336">
        <v>13.93</v>
      </c>
      <c r="CC352" s="2336">
        <v>22.09</v>
      </c>
      <c r="CD352" s="2336">
        <v>30.98</v>
      </c>
      <c r="CE352" s="2336">
        <v>46.63</v>
      </c>
      <c r="CF352" s="2336">
        <v>62.88</v>
      </c>
      <c r="CG352" s="2336">
        <v>87.48</v>
      </c>
      <c r="CH352" s="2336">
        <v>138.9</v>
      </c>
      <c r="CI352" s="2336">
        <v>199.69</v>
      </c>
      <c r="CJ352" s="2250"/>
      <c r="CK352" s="2250"/>
      <c r="CL352" s="2333">
        <v>120.7</v>
      </c>
      <c r="CM352" s="2336">
        <v>0</v>
      </c>
      <c r="CN352" s="2336">
        <v>3.4</v>
      </c>
      <c r="CO352" s="2336">
        <v>6.47</v>
      </c>
      <c r="CP352" s="2336">
        <v>10.8</v>
      </c>
      <c r="CQ352" s="2336">
        <v>16.670000000000002</v>
      </c>
      <c r="CR352" s="2336">
        <v>22.47</v>
      </c>
      <c r="CS352" s="2336">
        <v>33.67</v>
      </c>
      <c r="CT352" s="2336">
        <v>45.2</v>
      </c>
      <c r="CU352" s="2336">
        <v>63.73</v>
      </c>
      <c r="CV352" s="2336">
        <v>102.2</v>
      </c>
      <c r="CW352" s="2336">
        <v>144.07</v>
      </c>
      <c r="CX352" s="2250"/>
      <c r="CY352" s="2250"/>
      <c r="CZ352" s="2333">
        <v>120.7</v>
      </c>
      <c r="DA352" s="2337">
        <v>0</v>
      </c>
      <c r="DB352" s="2337">
        <v>2.62</v>
      </c>
      <c r="DC352" s="2337">
        <v>4.92</v>
      </c>
      <c r="DD352" s="2337">
        <v>8.15</v>
      </c>
      <c r="DE352" s="2337">
        <v>12.69</v>
      </c>
      <c r="DF352" s="2337">
        <v>17.079999999999998</v>
      </c>
      <c r="DG352" s="2337">
        <v>25.46</v>
      </c>
      <c r="DH352" s="2337">
        <v>34.380000000000003</v>
      </c>
      <c r="DI352" s="2337">
        <v>48</v>
      </c>
      <c r="DJ352" s="2337">
        <v>77.69</v>
      </c>
      <c r="DK352" s="2337">
        <v>109.54</v>
      </c>
      <c r="DL352" s="2250"/>
      <c r="DM352" s="2250"/>
      <c r="DN352" s="2250"/>
      <c r="DO352" s="53"/>
      <c r="DP352" s="53"/>
      <c r="DY352" s="2333">
        <v>120.7</v>
      </c>
      <c r="DZ352" s="2336">
        <v>0</v>
      </c>
      <c r="EA352" s="2336">
        <v>0</v>
      </c>
      <c r="EB352" s="2336">
        <v>0</v>
      </c>
      <c r="EC352" s="2336">
        <v>0</v>
      </c>
      <c r="ED352" s="2336">
        <v>0</v>
      </c>
      <c r="EE352" s="2336">
        <v>0</v>
      </c>
      <c r="EF352" s="2336">
        <v>0</v>
      </c>
      <c r="EG352" s="2336">
        <v>0</v>
      </c>
      <c r="EH352" s="2336">
        <v>0</v>
      </c>
      <c r="EI352" s="2336">
        <v>0</v>
      </c>
      <c r="EJ352" s="2336">
        <v>0</v>
      </c>
      <c r="EK352" s="2250"/>
      <c r="EL352" s="2250"/>
      <c r="EM352" s="2333">
        <v>120.7</v>
      </c>
      <c r="EN352" s="2336">
        <v>0</v>
      </c>
      <c r="EO352" s="2336">
        <v>4.1100000000000003</v>
      </c>
      <c r="EP352" s="2336">
        <v>8.0399999999999991</v>
      </c>
      <c r="EQ352" s="2336">
        <v>13.93</v>
      </c>
      <c r="ER352" s="2336">
        <v>22.09</v>
      </c>
      <c r="ES352" s="2336">
        <v>30.98</v>
      </c>
      <c r="ET352" s="2336">
        <v>46.63</v>
      </c>
      <c r="EU352" s="2336">
        <v>62.88</v>
      </c>
      <c r="EV352" s="2336">
        <v>87.48</v>
      </c>
      <c r="EW352" s="2336">
        <v>138.9</v>
      </c>
      <c r="EX352" s="2336">
        <v>199.69</v>
      </c>
      <c r="EY352" s="2250"/>
      <c r="EZ352" s="2250"/>
      <c r="FA352" s="2333">
        <v>120.7</v>
      </c>
      <c r="FB352" s="2336">
        <v>0</v>
      </c>
      <c r="FC352" s="2336">
        <v>3.4</v>
      </c>
      <c r="FD352" s="2336">
        <v>6.47</v>
      </c>
      <c r="FE352" s="2336">
        <v>10.8</v>
      </c>
      <c r="FF352" s="2336">
        <v>16.670000000000002</v>
      </c>
      <c r="FG352" s="2336">
        <v>22.47</v>
      </c>
      <c r="FH352" s="2336">
        <v>33.67</v>
      </c>
      <c r="FI352" s="2336">
        <v>45.2</v>
      </c>
      <c r="FJ352" s="2336">
        <v>63.73</v>
      </c>
      <c r="FK352" s="2336">
        <v>102.2</v>
      </c>
      <c r="FL352" s="2336">
        <v>144.07</v>
      </c>
      <c r="FM352" s="2250"/>
      <c r="FN352" s="2250"/>
      <c r="FO352" s="2333">
        <v>120.7</v>
      </c>
      <c r="FP352" s="2337">
        <v>0</v>
      </c>
      <c r="FQ352" s="2337">
        <v>2.62</v>
      </c>
      <c r="FR352" s="2337">
        <v>4.92</v>
      </c>
      <c r="FS352" s="2337">
        <v>8.15</v>
      </c>
      <c r="FT352" s="2337">
        <v>12.69</v>
      </c>
      <c r="FU352" s="2337">
        <v>17.079999999999998</v>
      </c>
      <c r="FV352" s="2337">
        <v>25.46</v>
      </c>
      <c r="FW352" s="2337">
        <v>34.380000000000003</v>
      </c>
      <c r="FX352" s="2337">
        <v>48</v>
      </c>
      <c r="FY352" s="2337">
        <v>77.69</v>
      </c>
      <c r="FZ352" s="2337">
        <v>109.54</v>
      </c>
      <c r="GA352" s="2250"/>
      <c r="GB352" s="2250"/>
      <c r="GC352" s="1302">
        <v>63.4</v>
      </c>
      <c r="GD352" s="1302">
        <v>68.3</v>
      </c>
      <c r="GE352" s="2250"/>
      <c r="GF352" s="2275"/>
      <c r="GG352" s="2333">
        <v>120.7</v>
      </c>
      <c r="GH352" s="2336">
        <v>0</v>
      </c>
      <c r="GI352" s="2336">
        <v>0</v>
      </c>
      <c r="GJ352" s="2336">
        <v>0</v>
      </c>
      <c r="GK352" s="2336">
        <v>0</v>
      </c>
      <c r="GL352" s="2336">
        <v>0</v>
      </c>
      <c r="GM352" s="2336">
        <v>0</v>
      </c>
      <c r="GN352" s="2336">
        <v>0</v>
      </c>
      <c r="GO352" s="2336">
        <v>0</v>
      </c>
      <c r="GP352" s="2336">
        <v>0</v>
      </c>
      <c r="GQ352" s="2336">
        <v>0</v>
      </c>
      <c r="GR352" s="2336">
        <v>0</v>
      </c>
      <c r="GS352" s="2250"/>
      <c r="GT352" s="2250"/>
      <c r="GU352" s="2333">
        <v>120.7</v>
      </c>
      <c r="GV352" s="2336">
        <v>0</v>
      </c>
      <c r="GW352" s="2336">
        <v>4.1100000000000003</v>
      </c>
      <c r="GX352" s="2336">
        <v>8.0399999999999991</v>
      </c>
      <c r="GY352" s="2336">
        <v>13.93</v>
      </c>
      <c r="GZ352" s="2336">
        <v>22.09</v>
      </c>
      <c r="HA352" s="2336">
        <v>30.98</v>
      </c>
      <c r="HB352" s="2336">
        <v>46.63</v>
      </c>
      <c r="HC352" s="2336">
        <v>62.88</v>
      </c>
      <c r="HD352" s="2336">
        <v>87.48</v>
      </c>
      <c r="HE352" s="2336">
        <v>138.9</v>
      </c>
      <c r="HF352" s="2336">
        <v>199.69</v>
      </c>
      <c r="HG352" s="2250"/>
      <c r="HH352" s="2250"/>
      <c r="HI352" s="2333">
        <v>120.7</v>
      </c>
      <c r="HJ352" s="2336">
        <v>0</v>
      </c>
      <c r="HK352" s="2336">
        <v>3.4</v>
      </c>
      <c r="HL352" s="2336">
        <v>6.47</v>
      </c>
      <c r="HM352" s="2336">
        <v>10.8</v>
      </c>
      <c r="HN352" s="2336">
        <v>16.670000000000002</v>
      </c>
      <c r="HO352" s="2336">
        <v>22.47</v>
      </c>
      <c r="HP352" s="2336">
        <v>33.67</v>
      </c>
      <c r="HQ352" s="2336">
        <v>45.2</v>
      </c>
      <c r="HR352" s="2336">
        <v>63.73</v>
      </c>
      <c r="HS352" s="2336">
        <v>102.2</v>
      </c>
      <c r="HT352" s="2336">
        <v>144.07</v>
      </c>
      <c r="HU352" s="2250"/>
      <c r="HV352" s="2250"/>
      <c r="HW352" s="2333">
        <v>120.7</v>
      </c>
      <c r="HX352" s="2337">
        <v>0</v>
      </c>
      <c r="HY352" s="2337">
        <v>2.62</v>
      </c>
      <c r="HZ352" s="2337">
        <v>4.92</v>
      </c>
      <c r="IA352" s="2337">
        <v>8.15</v>
      </c>
      <c r="IB352" s="2337">
        <v>12.69</v>
      </c>
      <c r="IC352" s="2337">
        <v>17.079999999999998</v>
      </c>
      <c r="ID352" s="2337">
        <v>25.46</v>
      </c>
      <c r="IE352" s="2337">
        <v>34.380000000000003</v>
      </c>
      <c r="IF352" s="2337">
        <v>48</v>
      </c>
      <c r="IG352" s="2337">
        <v>77.69</v>
      </c>
      <c r="IH352" s="2337">
        <v>109.54</v>
      </c>
      <c r="II352" s="2250"/>
      <c r="IJ352" s="2250"/>
      <c r="IK352" s="2250"/>
      <c r="IL352" s="53"/>
      <c r="IM352" s="53"/>
    </row>
    <row r="353" spans="2:247" ht="21.95" customHeight="1">
      <c r="B353" s="2333">
        <v>107.9</v>
      </c>
      <c r="C353" s="2336">
        <v>0</v>
      </c>
      <c r="D353" s="2336">
        <v>0</v>
      </c>
      <c r="E353" s="2336">
        <v>0</v>
      </c>
      <c r="F353" s="2336">
        <v>0</v>
      </c>
      <c r="G353" s="2336">
        <v>0</v>
      </c>
      <c r="H353" s="2336">
        <v>0</v>
      </c>
      <c r="I353" s="2336">
        <v>0</v>
      </c>
      <c r="J353" s="2336">
        <v>0</v>
      </c>
      <c r="K353" s="2336">
        <v>0</v>
      </c>
      <c r="L353" s="2336">
        <v>0</v>
      </c>
      <c r="M353" s="2336">
        <v>0</v>
      </c>
      <c r="N353" s="2250"/>
      <c r="O353" s="2250"/>
      <c r="P353" s="2333">
        <v>107.9</v>
      </c>
      <c r="Q353" s="2336">
        <v>0</v>
      </c>
      <c r="R353" s="2336">
        <v>4.54</v>
      </c>
      <c r="S353" s="2336">
        <v>8.9</v>
      </c>
      <c r="T353" s="2336">
        <v>15.4</v>
      </c>
      <c r="U353" s="2336">
        <v>24.42</v>
      </c>
      <c r="V353" s="2336">
        <v>32.880000000000003</v>
      </c>
      <c r="W353" s="2336">
        <v>47.42</v>
      </c>
      <c r="X353" s="2336">
        <v>71.099999999999994</v>
      </c>
      <c r="Y353" s="2336">
        <v>96.75</v>
      </c>
      <c r="Z353" s="2336">
        <v>144.11000000000001</v>
      </c>
      <c r="AA353" s="2336">
        <v>209.45</v>
      </c>
      <c r="AB353" s="2250"/>
      <c r="AC353" s="2250"/>
      <c r="AD353" s="2333">
        <v>107.9</v>
      </c>
      <c r="AE353" s="2336">
        <v>0</v>
      </c>
      <c r="AF353" s="2336">
        <v>3.73</v>
      </c>
      <c r="AG353" s="2336">
        <v>7.33</v>
      </c>
      <c r="AH353" s="2336">
        <v>11.87</v>
      </c>
      <c r="AI353" s="2336">
        <v>19.73</v>
      </c>
      <c r="AJ353" s="2336">
        <v>23.93</v>
      </c>
      <c r="AK353" s="2336">
        <v>34.47</v>
      </c>
      <c r="AL353" s="2336">
        <v>53.47</v>
      </c>
      <c r="AM353" s="2336">
        <v>70.599999999999994</v>
      </c>
      <c r="AN353" s="2336">
        <v>104.6</v>
      </c>
      <c r="AO353" s="2336">
        <v>152.07</v>
      </c>
      <c r="AP353" s="2250"/>
      <c r="AQ353" s="2250"/>
      <c r="AR353" s="2333">
        <v>107.9</v>
      </c>
      <c r="AS353" s="2337">
        <v>0</v>
      </c>
      <c r="AT353" s="2337">
        <v>3.15</v>
      </c>
      <c r="AU353" s="2337">
        <v>5.77</v>
      </c>
      <c r="AV353" s="2337">
        <v>9.08</v>
      </c>
      <c r="AW353" s="2337">
        <v>15</v>
      </c>
      <c r="AX353" s="2337">
        <v>18</v>
      </c>
      <c r="AY353" s="2337">
        <v>26</v>
      </c>
      <c r="AZ353" s="2337">
        <v>40.31</v>
      </c>
      <c r="BA353" s="2337">
        <v>55.15</v>
      </c>
      <c r="BB353" s="2337">
        <v>79</v>
      </c>
      <c r="BC353" s="2337">
        <v>114.85</v>
      </c>
      <c r="BD353" s="2250"/>
      <c r="BE353" s="2250"/>
      <c r="BF353" s="1302">
        <v>68.3</v>
      </c>
      <c r="BG353" s="1302">
        <v>73.7</v>
      </c>
      <c r="BH353" s="2250"/>
      <c r="BI353" s="2275"/>
      <c r="BJ353" s="2333">
        <v>107.9</v>
      </c>
      <c r="BK353" s="2336">
        <v>0</v>
      </c>
      <c r="BL353" s="2336">
        <v>0</v>
      </c>
      <c r="BM353" s="2336">
        <v>0</v>
      </c>
      <c r="BN353" s="2336">
        <v>0</v>
      </c>
      <c r="BO353" s="2336">
        <v>0</v>
      </c>
      <c r="BP353" s="2336">
        <v>0</v>
      </c>
      <c r="BQ353" s="2336">
        <v>0</v>
      </c>
      <c r="BR353" s="2336">
        <v>0</v>
      </c>
      <c r="BS353" s="2336">
        <v>0</v>
      </c>
      <c r="BT353" s="2336">
        <v>0</v>
      </c>
      <c r="BU353" s="2336">
        <v>0</v>
      </c>
      <c r="BV353" s="2250"/>
      <c r="BW353" s="2250"/>
      <c r="BX353" s="2333">
        <v>107.9</v>
      </c>
      <c r="BY353" s="2336">
        <v>0</v>
      </c>
      <c r="BZ353" s="2336">
        <v>4.54</v>
      </c>
      <c r="CA353" s="2336">
        <v>8.9</v>
      </c>
      <c r="CB353" s="2336">
        <v>15.4</v>
      </c>
      <c r="CC353" s="2336">
        <v>24.42</v>
      </c>
      <c r="CD353" s="2336">
        <v>32.880000000000003</v>
      </c>
      <c r="CE353" s="2336">
        <v>47.42</v>
      </c>
      <c r="CF353" s="2336">
        <v>71.099999999999994</v>
      </c>
      <c r="CG353" s="2336">
        <v>96.75</v>
      </c>
      <c r="CH353" s="2336">
        <v>144.11000000000001</v>
      </c>
      <c r="CI353" s="2336">
        <v>209.45</v>
      </c>
      <c r="CJ353" s="2250"/>
      <c r="CK353" s="2250"/>
      <c r="CL353" s="2333">
        <v>107.9</v>
      </c>
      <c r="CM353" s="2336">
        <v>0</v>
      </c>
      <c r="CN353" s="2336">
        <v>3.73</v>
      </c>
      <c r="CO353" s="2336">
        <v>7.33</v>
      </c>
      <c r="CP353" s="2336">
        <v>11.87</v>
      </c>
      <c r="CQ353" s="2336">
        <v>19.73</v>
      </c>
      <c r="CR353" s="2336">
        <v>23.93</v>
      </c>
      <c r="CS353" s="2336">
        <v>34.47</v>
      </c>
      <c r="CT353" s="2336">
        <v>53.47</v>
      </c>
      <c r="CU353" s="2336">
        <v>70.599999999999994</v>
      </c>
      <c r="CV353" s="2336">
        <v>104.6</v>
      </c>
      <c r="CW353" s="2336">
        <v>152.07</v>
      </c>
      <c r="CX353" s="2250"/>
      <c r="CY353" s="2250"/>
      <c r="CZ353" s="2333">
        <v>107.9</v>
      </c>
      <c r="DA353" s="2337">
        <v>0</v>
      </c>
      <c r="DB353" s="2337">
        <v>3.15</v>
      </c>
      <c r="DC353" s="2337">
        <v>5.77</v>
      </c>
      <c r="DD353" s="2337">
        <v>9.08</v>
      </c>
      <c r="DE353" s="2337">
        <v>15</v>
      </c>
      <c r="DF353" s="2337">
        <v>18</v>
      </c>
      <c r="DG353" s="2337">
        <v>26</v>
      </c>
      <c r="DH353" s="2337">
        <v>40.31</v>
      </c>
      <c r="DI353" s="2337">
        <v>55.15</v>
      </c>
      <c r="DJ353" s="2337">
        <v>79</v>
      </c>
      <c r="DK353" s="2337">
        <v>114.85</v>
      </c>
      <c r="DL353" s="2250"/>
      <c r="DM353" s="2250"/>
      <c r="DN353" s="2250"/>
      <c r="DO353" s="53"/>
      <c r="DP353" s="53"/>
      <c r="DY353" s="2333">
        <v>107.9</v>
      </c>
      <c r="DZ353" s="2336">
        <v>0</v>
      </c>
      <c r="EA353" s="2336">
        <v>0</v>
      </c>
      <c r="EB353" s="2336">
        <v>0</v>
      </c>
      <c r="EC353" s="2336">
        <v>0</v>
      </c>
      <c r="ED353" s="2336">
        <v>0</v>
      </c>
      <c r="EE353" s="2336">
        <v>0</v>
      </c>
      <c r="EF353" s="2336">
        <v>0</v>
      </c>
      <c r="EG353" s="2336">
        <v>0</v>
      </c>
      <c r="EH353" s="2336">
        <v>0</v>
      </c>
      <c r="EI353" s="2336">
        <v>0</v>
      </c>
      <c r="EJ353" s="2336">
        <v>0</v>
      </c>
      <c r="EK353" s="2250"/>
      <c r="EL353" s="2250"/>
      <c r="EM353" s="2333">
        <v>107.9</v>
      </c>
      <c r="EN353" s="2336">
        <v>0</v>
      </c>
      <c r="EO353" s="2336">
        <v>4.54</v>
      </c>
      <c r="EP353" s="2336">
        <v>8.9</v>
      </c>
      <c r="EQ353" s="2336">
        <v>15.4</v>
      </c>
      <c r="ER353" s="2336">
        <v>24.42</v>
      </c>
      <c r="ES353" s="2336">
        <v>32.880000000000003</v>
      </c>
      <c r="ET353" s="2336">
        <v>47.42</v>
      </c>
      <c r="EU353" s="2336">
        <v>71.099999999999994</v>
      </c>
      <c r="EV353" s="2336">
        <v>96.75</v>
      </c>
      <c r="EW353" s="2336">
        <v>144.11000000000001</v>
      </c>
      <c r="EX353" s="2336">
        <v>209.45</v>
      </c>
      <c r="EY353" s="2250"/>
      <c r="EZ353" s="2250"/>
      <c r="FA353" s="2333">
        <v>107.9</v>
      </c>
      <c r="FB353" s="2336">
        <v>0</v>
      </c>
      <c r="FC353" s="2336">
        <v>3.73</v>
      </c>
      <c r="FD353" s="2336">
        <v>7.33</v>
      </c>
      <c r="FE353" s="2336">
        <v>11.87</v>
      </c>
      <c r="FF353" s="2336">
        <v>19.73</v>
      </c>
      <c r="FG353" s="2336">
        <v>23.93</v>
      </c>
      <c r="FH353" s="2336">
        <v>34.47</v>
      </c>
      <c r="FI353" s="2336">
        <v>53.47</v>
      </c>
      <c r="FJ353" s="2336">
        <v>70.599999999999994</v>
      </c>
      <c r="FK353" s="2336">
        <v>104.6</v>
      </c>
      <c r="FL353" s="2336">
        <v>152.07</v>
      </c>
      <c r="FM353" s="2250"/>
      <c r="FN353" s="2250"/>
      <c r="FO353" s="2333">
        <v>107.9</v>
      </c>
      <c r="FP353" s="2337">
        <v>0</v>
      </c>
      <c r="FQ353" s="2337">
        <v>3.15</v>
      </c>
      <c r="FR353" s="2337">
        <v>5.77</v>
      </c>
      <c r="FS353" s="2337">
        <v>9.08</v>
      </c>
      <c r="FT353" s="2337">
        <v>15</v>
      </c>
      <c r="FU353" s="2337">
        <v>18</v>
      </c>
      <c r="FV353" s="2337">
        <v>26</v>
      </c>
      <c r="FW353" s="2337">
        <v>40.31</v>
      </c>
      <c r="FX353" s="2337">
        <v>55.15</v>
      </c>
      <c r="FY353" s="2337">
        <v>79</v>
      </c>
      <c r="FZ353" s="2337">
        <v>114.85</v>
      </c>
      <c r="GA353" s="2250"/>
      <c r="GB353" s="2250"/>
      <c r="GC353" s="1302">
        <v>68.3</v>
      </c>
      <c r="GD353" s="1302">
        <v>73.7</v>
      </c>
      <c r="GE353" s="2250"/>
      <c r="GF353" s="2275"/>
      <c r="GG353" s="2333">
        <v>107.9</v>
      </c>
      <c r="GH353" s="2336">
        <v>0</v>
      </c>
      <c r="GI353" s="2336">
        <v>0</v>
      </c>
      <c r="GJ353" s="2336">
        <v>0</v>
      </c>
      <c r="GK353" s="2336">
        <v>0</v>
      </c>
      <c r="GL353" s="2336">
        <v>0</v>
      </c>
      <c r="GM353" s="2336">
        <v>0</v>
      </c>
      <c r="GN353" s="2336">
        <v>0</v>
      </c>
      <c r="GO353" s="2336">
        <v>0</v>
      </c>
      <c r="GP353" s="2336">
        <v>0</v>
      </c>
      <c r="GQ353" s="2336">
        <v>0</v>
      </c>
      <c r="GR353" s="2336">
        <v>0</v>
      </c>
      <c r="GS353" s="2250"/>
      <c r="GT353" s="2250"/>
      <c r="GU353" s="2333">
        <v>107.9</v>
      </c>
      <c r="GV353" s="2336">
        <v>0</v>
      </c>
      <c r="GW353" s="2336">
        <v>4.54</v>
      </c>
      <c r="GX353" s="2336">
        <v>8.9</v>
      </c>
      <c r="GY353" s="2336">
        <v>15.4</v>
      </c>
      <c r="GZ353" s="2336">
        <v>24.42</v>
      </c>
      <c r="HA353" s="2336">
        <v>32.880000000000003</v>
      </c>
      <c r="HB353" s="2336">
        <v>47.42</v>
      </c>
      <c r="HC353" s="2336">
        <v>71.099999999999994</v>
      </c>
      <c r="HD353" s="2336">
        <v>96.75</v>
      </c>
      <c r="HE353" s="2336">
        <v>144.11000000000001</v>
      </c>
      <c r="HF353" s="2336">
        <v>209.45</v>
      </c>
      <c r="HG353" s="2250"/>
      <c r="HH353" s="2250"/>
      <c r="HI353" s="2333">
        <v>107.9</v>
      </c>
      <c r="HJ353" s="2336">
        <v>0</v>
      </c>
      <c r="HK353" s="2336">
        <v>3.73</v>
      </c>
      <c r="HL353" s="2336">
        <v>7.33</v>
      </c>
      <c r="HM353" s="2336">
        <v>11.87</v>
      </c>
      <c r="HN353" s="2336">
        <v>19.73</v>
      </c>
      <c r="HO353" s="2336">
        <v>23.93</v>
      </c>
      <c r="HP353" s="2336">
        <v>34.47</v>
      </c>
      <c r="HQ353" s="2336">
        <v>53.47</v>
      </c>
      <c r="HR353" s="2336">
        <v>70.599999999999994</v>
      </c>
      <c r="HS353" s="2336">
        <v>104.6</v>
      </c>
      <c r="HT353" s="2336">
        <v>152.07</v>
      </c>
      <c r="HU353" s="2250"/>
      <c r="HV353" s="2250"/>
      <c r="HW353" s="2333">
        <v>107.9</v>
      </c>
      <c r="HX353" s="2337">
        <v>0</v>
      </c>
      <c r="HY353" s="2337">
        <v>3.15</v>
      </c>
      <c r="HZ353" s="2337">
        <v>5.77</v>
      </c>
      <c r="IA353" s="2337">
        <v>9.08</v>
      </c>
      <c r="IB353" s="2337">
        <v>15</v>
      </c>
      <c r="IC353" s="2337">
        <v>18</v>
      </c>
      <c r="ID353" s="2337">
        <v>26</v>
      </c>
      <c r="IE353" s="2337">
        <v>40.31</v>
      </c>
      <c r="IF353" s="2337">
        <v>55.15</v>
      </c>
      <c r="IG353" s="2337">
        <v>79</v>
      </c>
      <c r="IH353" s="2337">
        <v>114.85</v>
      </c>
      <c r="II353" s="2250"/>
      <c r="IJ353" s="2250"/>
      <c r="IK353" s="2250"/>
      <c r="IL353" s="53"/>
      <c r="IM353" s="53"/>
    </row>
    <row r="354" spans="2:247" ht="21.95" customHeight="1">
      <c r="B354" s="2333">
        <v>97.1</v>
      </c>
      <c r="C354" s="2336">
        <v>0</v>
      </c>
      <c r="D354" s="2336">
        <v>0</v>
      </c>
      <c r="E354" s="2336">
        <v>0</v>
      </c>
      <c r="F354" s="2336">
        <v>0</v>
      </c>
      <c r="G354" s="2336">
        <v>0</v>
      </c>
      <c r="H354" s="2336">
        <v>0</v>
      </c>
      <c r="I354" s="2336">
        <v>0</v>
      </c>
      <c r="J354" s="2336">
        <v>0</v>
      </c>
      <c r="K354" s="2336">
        <v>0</v>
      </c>
      <c r="L354" s="2336">
        <v>0</v>
      </c>
      <c r="M354" s="2336">
        <v>0</v>
      </c>
      <c r="N354" s="2250"/>
      <c r="O354" s="2250"/>
      <c r="P354" s="2333">
        <v>97.1</v>
      </c>
      <c r="Q354" s="2336">
        <v>0</v>
      </c>
      <c r="R354" s="2336">
        <v>4.97</v>
      </c>
      <c r="S354" s="2336">
        <v>9.51</v>
      </c>
      <c r="T354" s="2336">
        <v>16.690000000000001</v>
      </c>
      <c r="U354" s="2336">
        <v>26.26</v>
      </c>
      <c r="V354" s="2336">
        <v>36.93</v>
      </c>
      <c r="W354" s="2336">
        <v>55.52</v>
      </c>
      <c r="X354" s="2336">
        <v>76.069999999999993</v>
      </c>
      <c r="Y354" s="2336">
        <v>104.48</v>
      </c>
      <c r="Z354" s="2336">
        <v>163.31</v>
      </c>
      <c r="AA354" s="2336">
        <v>243.74</v>
      </c>
      <c r="AB354" s="2250"/>
      <c r="AC354" s="2250"/>
      <c r="AD354" s="2333">
        <v>97.1</v>
      </c>
      <c r="AE354" s="2336">
        <v>0</v>
      </c>
      <c r="AF354" s="2336">
        <v>4</v>
      </c>
      <c r="AG354" s="2336">
        <v>7.87</v>
      </c>
      <c r="AH354" s="2336">
        <v>12.93</v>
      </c>
      <c r="AI354" s="2336">
        <v>21.2</v>
      </c>
      <c r="AJ354" s="2336">
        <v>26.87</v>
      </c>
      <c r="AK354" s="2336">
        <v>40.270000000000003</v>
      </c>
      <c r="AL354" s="2336">
        <v>57.07</v>
      </c>
      <c r="AM354" s="2336">
        <v>82.13</v>
      </c>
      <c r="AN354" s="2336">
        <v>118.67</v>
      </c>
      <c r="AO354" s="2336">
        <v>176.73</v>
      </c>
      <c r="AP354" s="2250"/>
      <c r="AQ354" s="2250"/>
      <c r="AR354" s="2333">
        <v>97.1</v>
      </c>
      <c r="AS354" s="2337">
        <v>0</v>
      </c>
      <c r="AT354" s="2337">
        <v>3.08</v>
      </c>
      <c r="AU354" s="2337">
        <v>6.15</v>
      </c>
      <c r="AV354" s="2337">
        <v>9.77</v>
      </c>
      <c r="AW354" s="2337">
        <v>16.149999999999999</v>
      </c>
      <c r="AX354" s="2337">
        <v>20.149999999999999</v>
      </c>
      <c r="AY354" s="2337">
        <v>30.46</v>
      </c>
      <c r="AZ354" s="2337">
        <v>43</v>
      </c>
      <c r="BA354" s="2337">
        <v>61.62</v>
      </c>
      <c r="BB354" s="2337">
        <v>89.46</v>
      </c>
      <c r="BC354" s="2337">
        <v>133.91999999999999</v>
      </c>
      <c r="BD354" s="2250"/>
      <c r="BE354" s="2250"/>
      <c r="BF354" s="1302">
        <v>73.7</v>
      </c>
      <c r="BG354" s="1302">
        <v>78.2</v>
      </c>
      <c r="BH354" s="2250"/>
      <c r="BI354" s="2275"/>
      <c r="BJ354" s="2333">
        <v>97.1</v>
      </c>
      <c r="BK354" s="2336">
        <v>0</v>
      </c>
      <c r="BL354" s="2336">
        <v>0</v>
      </c>
      <c r="BM354" s="2336">
        <v>0</v>
      </c>
      <c r="BN354" s="2336">
        <v>0</v>
      </c>
      <c r="BO354" s="2336">
        <v>0</v>
      </c>
      <c r="BP354" s="2336">
        <v>0</v>
      </c>
      <c r="BQ354" s="2336">
        <v>0</v>
      </c>
      <c r="BR354" s="2336">
        <v>0</v>
      </c>
      <c r="BS354" s="2336">
        <v>0</v>
      </c>
      <c r="BT354" s="2336">
        <v>0</v>
      </c>
      <c r="BU354" s="2336">
        <v>0</v>
      </c>
      <c r="BV354" s="2250"/>
      <c r="BW354" s="2250"/>
      <c r="BX354" s="2333">
        <v>97.1</v>
      </c>
      <c r="BY354" s="2336">
        <v>0</v>
      </c>
      <c r="BZ354" s="2336">
        <v>4.97</v>
      </c>
      <c r="CA354" s="2336">
        <v>9.51</v>
      </c>
      <c r="CB354" s="2336">
        <v>16.690000000000001</v>
      </c>
      <c r="CC354" s="2336">
        <v>26.26</v>
      </c>
      <c r="CD354" s="2336">
        <v>36.93</v>
      </c>
      <c r="CE354" s="2336">
        <v>55.52</v>
      </c>
      <c r="CF354" s="2336">
        <v>76.069999999999993</v>
      </c>
      <c r="CG354" s="2336">
        <v>104.48</v>
      </c>
      <c r="CH354" s="2336">
        <v>163.31</v>
      </c>
      <c r="CI354" s="2336">
        <v>243.74</v>
      </c>
      <c r="CJ354" s="2250"/>
      <c r="CK354" s="2250"/>
      <c r="CL354" s="2333">
        <v>97.1</v>
      </c>
      <c r="CM354" s="2336">
        <v>0</v>
      </c>
      <c r="CN354" s="2336">
        <v>4</v>
      </c>
      <c r="CO354" s="2336">
        <v>7.87</v>
      </c>
      <c r="CP354" s="2336">
        <v>12.93</v>
      </c>
      <c r="CQ354" s="2336">
        <v>21.2</v>
      </c>
      <c r="CR354" s="2336">
        <v>26.87</v>
      </c>
      <c r="CS354" s="2336">
        <v>40.270000000000003</v>
      </c>
      <c r="CT354" s="2336">
        <v>57.07</v>
      </c>
      <c r="CU354" s="2336">
        <v>82.13</v>
      </c>
      <c r="CV354" s="2336">
        <v>118.67</v>
      </c>
      <c r="CW354" s="2336">
        <v>176.73</v>
      </c>
      <c r="CX354" s="2250"/>
      <c r="CY354" s="2250"/>
      <c r="CZ354" s="2333">
        <v>97.1</v>
      </c>
      <c r="DA354" s="2337">
        <v>0</v>
      </c>
      <c r="DB354" s="2337">
        <v>3.08</v>
      </c>
      <c r="DC354" s="2337">
        <v>6.15</v>
      </c>
      <c r="DD354" s="2337">
        <v>9.77</v>
      </c>
      <c r="DE354" s="2337">
        <v>16.149999999999999</v>
      </c>
      <c r="DF354" s="2337">
        <v>20.149999999999999</v>
      </c>
      <c r="DG354" s="2337">
        <v>30.46</v>
      </c>
      <c r="DH354" s="2337">
        <v>43</v>
      </c>
      <c r="DI354" s="2337">
        <v>61.62</v>
      </c>
      <c r="DJ354" s="2337">
        <v>89.46</v>
      </c>
      <c r="DK354" s="2337">
        <v>133.91999999999999</v>
      </c>
      <c r="DL354" s="2250"/>
      <c r="DM354" s="2250"/>
      <c r="DN354" s="2250"/>
      <c r="DO354" s="53"/>
      <c r="DP354" s="53"/>
      <c r="DY354" s="2333">
        <v>97.1</v>
      </c>
      <c r="DZ354" s="2336">
        <v>0</v>
      </c>
      <c r="EA354" s="2336">
        <v>0</v>
      </c>
      <c r="EB354" s="2336">
        <v>0</v>
      </c>
      <c r="EC354" s="2336">
        <v>0</v>
      </c>
      <c r="ED354" s="2336">
        <v>0</v>
      </c>
      <c r="EE354" s="2336">
        <v>0</v>
      </c>
      <c r="EF354" s="2336">
        <v>0</v>
      </c>
      <c r="EG354" s="2336">
        <v>0</v>
      </c>
      <c r="EH354" s="2336">
        <v>0</v>
      </c>
      <c r="EI354" s="2336">
        <v>0</v>
      </c>
      <c r="EJ354" s="2336">
        <v>0</v>
      </c>
      <c r="EK354" s="2250"/>
      <c r="EL354" s="2250"/>
      <c r="EM354" s="2333">
        <v>97.1</v>
      </c>
      <c r="EN354" s="2336">
        <v>0</v>
      </c>
      <c r="EO354" s="2336">
        <v>4.97</v>
      </c>
      <c r="EP354" s="2336">
        <v>9.51</v>
      </c>
      <c r="EQ354" s="2336">
        <v>16.690000000000001</v>
      </c>
      <c r="ER354" s="2336">
        <v>26.26</v>
      </c>
      <c r="ES354" s="2336">
        <v>36.93</v>
      </c>
      <c r="ET354" s="2336">
        <v>55.52</v>
      </c>
      <c r="EU354" s="2336">
        <v>76.069999999999993</v>
      </c>
      <c r="EV354" s="2336">
        <v>104.48</v>
      </c>
      <c r="EW354" s="2336">
        <v>163.31</v>
      </c>
      <c r="EX354" s="2336">
        <v>243.74</v>
      </c>
      <c r="EY354" s="2250"/>
      <c r="EZ354" s="2250"/>
      <c r="FA354" s="2333">
        <v>97.1</v>
      </c>
      <c r="FB354" s="2336">
        <v>0</v>
      </c>
      <c r="FC354" s="2336">
        <v>4</v>
      </c>
      <c r="FD354" s="2336">
        <v>7.87</v>
      </c>
      <c r="FE354" s="2336">
        <v>12.93</v>
      </c>
      <c r="FF354" s="2336">
        <v>21.2</v>
      </c>
      <c r="FG354" s="2336">
        <v>26.87</v>
      </c>
      <c r="FH354" s="2336">
        <v>40.270000000000003</v>
      </c>
      <c r="FI354" s="2336">
        <v>57.07</v>
      </c>
      <c r="FJ354" s="2336">
        <v>82.13</v>
      </c>
      <c r="FK354" s="2336">
        <v>118.67</v>
      </c>
      <c r="FL354" s="2336">
        <v>176.73</v>
      </c>
      <c r="FM354" s="2250"/>
      <c r="FN354" s="2250"/>
      <c r="FO354" s="2333">
        <v>97.1</v>
      </c>
      <c r="FP354" s="2337">
        <v>0</v>
      </c>
      <c r="FQ354" s="2337">
        <v>3.08</v>
      </c>
      <c r="FR354" s="2337">
        <v>6.15</v>
      </c>
      <c r="FS354" s="2337">
        <v>9.77</v>
      </c>
      <c r="FT354" s="2337">
        <v>16.149999999999999</v>
      </c>
      <c r="FU354" s="2337">
        <v>20.149999999999999</v>
      </c>
      <c r="FV354" s="2337">
        <v>30.46</v>
      </c>
      <c r="FW354" s="2337">
        <v>43</v>
      </c>
      <c r="FX354" s="2337">
        <v>61.62</v>
      </c>
      <c r="FY354" s="2337">
        <v>89.46</v>
      </c>
      <c r="FZ354" s="2337">
        <v>133.91999999999999</v>
      </c>
      <c r="GA354" s="2250"/>
      <c r="GB354" s="2250"/>
      <c r="GC354" s="1302">
        <v>73.7</v>
      </c>
      <c r="GD354" s="1302">
        <v>78.2</v>
      </c>
      <c r="GE354" s="2250"/>
      <c r="GF354" s="2275"/>
      <c r="GG354" s="2333">
        <v>97.1</v>
      </c>
      <c r="GH354" s="2336">
        <v>0</v>
      </c>
      <c r="GI354" s="2336">
        <v>0</v>
      </c>
      <c r="GJ354" s="2336">
        <v>0</v>
      </c>
      <c r="GK354" s="2336">
        <v>0</v>
      </c>
      <c r="GL354" s="2336">
        <v>0</v>
      </c>
      <c r="GM354" s="2336">
        <v>0</v>
      </c>
      <c r="GN354" s="2336">
        <v>0</v>
      </c>
      <c r="GO354" s="2336">
        <v>0</v>
      </c>
      <c r="GP354" s="2336">
        <v>0</v>
      </c>
      <c r="GQ354" s="2336">
        <v>0</v>
      </c>
      <c r="GR354" s="2336">
        <v>0</v>
      </c>
      <c r="GS354" s="2250"/>
      <c r="GT354" s="2250"/>
      <c r="GU354" s="2333">
        <v>97.1</v>
      </c>
      <c r="GV354" s="2336">
        <v>0</v>
      </c>
      <c r="GW354" s="2336">
        <v>4.97</v>
      </c>
      <c r="GX354" s="2336">
        <v>9.51</v>
      </c>
      <c r="GY354" s="2336">
        <v>16.690000000000001</v>
      </c>
      <c r="GZ354" s="2336">
        <v>26.26</v>
      </c>
      <c r="HA354" s="2336">
        <v>36.93</v>
      </c>
      <c r="HB354" s="2336">
        <v>55.52</v>
      </c>
      <c r="HC354" s="2336">
        <v>76.069999999999993</v>
      </c>
      <c r="HD354" s="2336">
        <v>104.48</v>
      </c>
      <c r="HE354" s="2336">
        <v>163.31</v>
      </c>
      <c r="HF354" s="2336">
        <v>243.74</v>
      </c>
      <c r="HG354" s="2250"/>
      <c r="HH354" s="2250"/>
      <c r="HI354" s="2333">
        <v>97.1</v>
      </c>
      <c r="HJ354" s="2336">
        <v>0</v>
      </c>
      <c r="HK354" s="2336">
        <v>4</v>
      </c>
      <c r="HL354" s="2336">
        <v>7.87</v>
      </c>
      <c r="HM354" s="2336">
        <v>12.93</v>
      </c>
      <c r="HN354" s="2336">
        <v>21.2</v>
      </c>
      <c r="HO354" s="2336">
        <v>26.87</v>
      </c>
      <c r="HP354" s="2336">
        <v>40.270000000000003</v>
      </c>
      <c r="HQ354" s="2336">
        <v>57.07</v>
      </c>
      <c r="HR354" s="2336">
        <v>82.13</v>
      </c>
      <c r="HS354" s="2336">
        <v>118.67</v>
      </c>
      <c r="HT354" s="2336">
        <v>176.73</v>
      </c>
      <c r="HU354" s="2250"/>
      <c r="HV354" s="2250"/>
      <c r="HW354" s="2333">
        <v>97.1</v>
      </c>
      <c r="HX354" s="2337">
        <v>0</v>
      </c>
      <c r="HY354" s="2337">
        <v>3.08</v>
      </c>
      <c r="HZ354" s="2337">
        <v>6.15</v>
      </c>
      <c r="IA354" s="2337">
        <v>9.77</v>
      </c>
      <c r="IB354" s="2337">
        <v>16.149999999999999</v>
      </c>
      <c r="IC354" s="2337">
        <v>20.149999999999999</v>
      </c>
      <c r="ID354" s="2337">
        <v>30.46</v>
      </c>
      <c r="IE354" s="2337">
        <v>43</v>
      </c>
      <c r="IF354" s="2337">
        <v>61.62</v>
      </c>
      <c r="IG354" s="2337">
        <v>89.46</v>
      </c>
      <c r="IH354" s="2337">
        <v>133.91999999999999</v>
      </c>
      <c r="II354" s="2250"/>
      <c r="IJ354" s="2250"/>
      <c r="IK354" s="2250"/>
      <c r="IL354" s="53"/>
      <c r="IM354" s="53"/>
    </row>
    <row r="355" spans="2:247" ht="21.95" customHeight="1">
      <c r="B355" s="2333">
        <v>92.9</v>
      </c>
      <c r="C355" s="2336">
        <v>0</v>
      </c>
      <c r="D355" s="2336">
        <v>0</v>
      </c>
      <c r="E355" s="2336">
        <v>0</v>
      </c>
      <c r="F355" s="2336">
        <v>0</v>
      </c>
      <c r="G355" s="2336">
        <v>0</v>
      </c>
      <c r="H355" s="2336">
        <v>0</v>
      </c>
      <c r="I355" s="2336">
        <v>0</v>
      </c>
      <c r="J355" s="2336">
        <v>0</v>
      </c>
      <c r="K355" s="2336">
        <v>0</v>
      </c>
      <c r="L355" s="2336">
        <v>0</v>
      </c>
      <c r="M355" s="2336">
        <v>0</v>
      </c>
      <c r="N355" s="2250"/>
      <c r="O355" s="2250"/>
      <c r="P355" s="2333">
        <v>92.9</v>
      </c>
      <c r="Q355" s="2336">
        <v>0</v>
      </c>
      <c r="R355" s="2336">
        <v>5.15</v>
      </c>
      <c r="S355" s="2336">
        <v>10.06</v>
      </c>
      <c r="T355" s="2336">
        <v>17.239999999999998</v>
      </c>
      <c r="U355" s="2336">
        <v>27.55</v>
      </c>
      <c r="V355" s="2336">
        <v>38.770000000000003</v>
      </c>
      <c r="W355" s="2336">
        <v>56.13</v>
      </c>
      <c r="X355" s="2336">
        <v>80.31</v>
      </c>
      <c r="Y355" s="2336">
        <v>109.14</v>
      </c>
      <c r="Z355" s="2336">
        <v>170.43</v>
      </c>
      <c r="AA355" s="2336">
        <v>247.73</v>
      </c>
      <c r="AB355" s="2250"/>
      <c r="AC355" s="2250"/>
      <c r="AD355" s="2333">
        <v>92.9</v>
      </c>
      <c r="AE355" s="2336">
        <v>0</v>
      </c>
      <c r="AF355" s="2336">
        <v>4.2</v>
      </c>
      <c r="AG355" s="2336">
        <v>8.27</v>
      </c>
      <c r="AH355" s="2336">
        <v>14</v>
      </c>
      <c r="AI355" s="2336">
        <v>22.2</v>
      </c>
      <c r="AJ355" s="2336">
        <v>28.2</v>
      </c>
      <c r="AK355" s="2336">
        <v>40.799999999999997</v>
      </c>
      <c r="AL355" s="2336">
        <v>60.33</v>
      </c>
      <c r="AM355" s="2336">
        <v>82.93</v>
      </c>
      <c r="AN355" s="2336">
        <v>123.93</v>
      </c>
      <c r="AO355" s="2336">
        <v>180.2</v>
      </c>
      <c r="AP355" s="2250"/>
      <c r="AQ355" s="2250"/>
      <c r="AR355" s="2333">
        <v>92.9</v>
      </c>
      <c r="AS355" s="2337">
        <v>0</v>
      </c>
      <c r="AT355" s="2337">
        <v>3.38</v>
      </c>
      <c r="AU355" s="2337">
        <v>6.62</v>
      </c>
      <c r="AV355" s="2337">
        <v>10.62</v>
      </c>
      <c r="AW355" s="2337">
        <v>16.920000000000002</v>
      </c>
      <c r="AX355" s="2337">
        <v>21.08</v>
      </c>
      <c r="AY355" s="2337">
        <v>30.62</v>
      </c>
      <c r="AZ355" s="2337">
        <v>45.85</v>
      </c>
      <c r="BA355" s="2337">
        <v>62.23</v>
      </c>
      <c r="BB355" s="2337">
        <v>93.08</v>
      </c>
      <c r="BC355" s="2337">
        <v>135.31</v>
      </c>
      <c r="BD355" s="2250"/>
      <c r="BE355" s="2250"/>
      <c r="BF355" s="1302">
        <v>78.2</v>
      </c>
      <c r="BG355" s="1302">
        <v>83.3</v>
      </c>
      <c r="BH355" s="2250"/>
      <c r="BI355" s="2275"/>
      <c r="BJ355" s="2333">
        <v>92.9</v>
      </c>
      <c r="BK355" s="2336">
        <v>0</v>
      </c>
      <c r="BL355" s="2336">
        <v>0</v>
      </c>
      <c r="BM355" s="2336">
        <v>0</v>
      </c>
      <c r="BN355" s="2336">
        <v>0</v>
      </c>
      <c r="BO355" s="2336">
        <v>0</v>
      </c>
      <c r="BP355" s="2336">
        <v>0</v>
      </c>
      <c r="BQ355" s="2336">
        <v>0</v>
      </c>
      <c r="BR355" s="2336">
        <v>0</v>
      </c>
      <c r="BS355" s="2336">
        <v>0</v>
      </c>
      <c r="BT355" s="2336">
        <v>0</v>
      </c>
      <c r="BU355" s="2336">
        <v>0</v>
      </c>
      <c r="BV355" s="2250"/>
      <c r="BW355" s="2250"/>
      <c r="BX355" s="2333">
        <v>92.9</v>
      </c>
      <c r="BY355" s="2336">
        <v>0</v>
      </c>
      <c r="BZ355" s="2336">
        <v>5.15</v>
      </c>
      <c r="CA355" s="2336">
        <v>10.06</v>
      </c>
      <c r="CB355" s="2336">
        <v>17.239999999999998</v>
      </c>
      <c r="CC355" s="2336">
        <v>27.55</v>
      </c>
      <c r="CD355" s="2336">
        <v>38.770000000000003</v>
      </c>
      <c r="CE355" s="2336">
        <v>56.13</v>
      </c>
      <c r="CF355" s="2336">
        <v>80.31</v>
      </c>
      <c r="CG355" s="2336">
        <v>109.14</v>
      </c>
      <c r="CH355" s="2336">
        <v>170.43</v>
      </c>
      <c r="CI355" s="2336">
        <v>247.73</v>
      </c>
      <c r="CJ355" s="2250"/>
      <c r="CK355" s="2250"/>
      <c r="CL355" s="2333">
        <v>92.9</v>
      </c>
      <c r="CM355" s="2336">
        <v>0</v>
      </c>
      <c r="CN355" s="2336">
        <v>4.2</v>
      </c>
      <c r="CO355" s="2336">
        <v>8.27</v>
      </c>
      <c r="CP355" s="2336">
        <v>14</v>
      </c>
      <c r="CQ355" s="2336">
        <v>22.2</v>
      </c>
      <c r="CR355" s="2336">
        <v>28.2</v>
      </c>
      <c r="CS355" s="2336">
        <v>40.799999999999997</v>
      </c>
      <c r="CT355" s="2336">
        <v>60.33</v>
      </c>
      <c r="CU355" s="2336">
        <v>82.93</v>
      </c>
      <c r="CV355" s="2336">
        <v>123.93</v>
      </c>
      <c r="CW355" s="2336">
        <v>180.2</v>
      </c>
      <c r="CX355" s="2250"/>
      <c r="CY355" s="2250"/>
      <c r="CZ355" s="2333">
        <v>92.9</v>
      </c>
      <c r="DA355" s="2337">
        <v>0</v>
      </c>
      <c r="DB355" s="2337">
        <v>3.38</v>
      </c>
      <c r="DC355" s="2337">
        <v>6.62</v>
      </c>
      <c r="DD355" s="2337">
        <v>10.62</v>
      </c>
      <c r="DE355" s="2337">
        <v>16.920000000000002</v>
      </c>
      <c r="DF355" s="2337">
        <v>21.08</v>
      </c>
      <c r="DG355" s="2337">
        <v>30.62</v>
      </c>
      <c r="DH355" s="2337">
        <v>45.85</v>
      </c>
      <c r="DI355" s="2337">
        <v>62.23</v>
      </c>
      <c r="DJ355" s="2337">
        <v>93.08</v>
      </c>
      <c r="DK355" s="2337">
        <v>135.31</v>
      </c>
      <c r="DL355" s="2250"/>
      <c r="DM355" s="2250"/>
      <c r="DN355" s="2250"/>
      <c r="DO355" s="53"/>
      <c r="DP355" s="53"/>
      <c r="DY355" s="2333">
        <v>92.9</v>
      </c>
      <c r="DZ355" s="2336">
        <v>0</v>
      </c>
      <c r="EA355" s="2336">
        <v>0</v>
      </c>
      <c r="EB355" s="2336">
        <v>0</v>
      </c>
      <c r="EC355" s="2336">
        <v>0</v>
      </c>
      <c r="ED355" s="2336">
        <v>0</v>
      </c>
      <c r="EE355" s="2336">
        <v>0</v>
      </c>
      <c r="EF355" s="2336">
        <v>0</v>
      </c>
      <c r="EG355" s="2336">
        <v>0</v>
      </c>
      <c r="EH355" s="2336">
        <v>0</v>
      </c>
      <c r="EI355" s="2336">
        <v>0</v>
      </c>
      <c r="EJ355" s="2336">
        <v>0</v>
      </c>
      <c r="EK355" s="2250"/>
      <c r="EL355" s="2250"/>
      <c r="EM355" s="2333">
        <v>92.9</v>
      </c>
      <c r="EN355" s="2336">
        <v>0</v>
      </c>
      <c r="EO355" s="2336">
        <v>5.15</v>
      </c>
      <c r="EP355" s="2336">
        <v>10.06</v>
      </c>
      <c r="EQ355" s="2336">
        <v>17.239999999999998</v>
      </c>
      <c r="ER355" s="2336">
        <v>27.55</v>
      </c>
      <c r="ES355" s="2336">
        <v>38.770000000000003</v>
      </c>
      <c r="ET355" s="2336">
        <v>56.13</v>
      </c>
      <c r="EU355" s="2336">
        <v>80.31</v>
      </c>
      <c r="EV355" s="2336">
        <v>109.14</v>
      </c>
      <c r="EW355" s="2336">
        <v>170.43</v>
      </c>
      <c r="EX355" s="2336">
        <v>247.73</v>
      </c>
      <c r="EY355" s="2250"/>
      <c r="EZ355" s="2250"/>
      <c r="FA355" s="2333">
        <v>92.9</v>
      </c>
      <c r="FB355" s="2336">
        <v>0</v>
      </c>
      <c r="FC355" s="2336">
        <v>4.2</v>
      </c>
      <c r="FD355" s="2336">
        <v>8.27</v>
      </c>
      <c r="FE355" s="2336">
        <v>14</v>
      </c>
      <c r="FF355" s="2336">
        <v>22.2</v>
      </c>
      <c r="FG355" s="2336">
        <v>28.2</v>
      </c>
      <c r="FH355" s="2336">
        <v>40.799999999999997</v>
      </c>
      <c r="FI355" s="2336">
        <v>60.33</v>
      </c>
      <c r="FJ355" s="2336">
        <v>82.93</v>
      </c>
      <c r="FK355" s="2336">
        <v>123.93</v>
      </c>
      <c r="FL355" s="2336">
        <v>180.2</v>
      </c>
      <c r="FM355" s="2250"/>
      <c r="FN355" s="2250"/>
      <c r="FO355" s="2333">
        <v>92.9</v>
      </c>
      <c r="FP355" s="2337">
        <v>0</v>
      </c>
      <c r="FQ355" s="2337">
        <v>3.38</v>
      </c>
      <c r="FR355" s="2337">
        <v>6.62</v>
      </c>
      <c r="FS355" s="2337">
        <v>10.62</v>
      </c>
      <c r="FT355" s="2337">
        <v>16.920000000000002</v>
      </c>
      <c r="FU355" s="2337">
        <v>21.08</v>
      </c>
      <c r="FV355" s="2337">
        <v>30.62</v>
      </c>
      <c r="FW355" s="2337">
        <v>45.85</v>
      </c>
      <c r="FX355" s="2337">
        <v>62.23</v>
      </c>
      <c r="FY355" s="2337">
        <v>93.08</v>
      </c>
      <c r="FZ355" s="2337">
        <v>135.31</v>
      </c>
      <c r="GA355" s="2250"/>
      <c r="GB355" s="2250"/>
      <c r="GC355" s="1302">
        <v>78.2</v>
      </c>
      <c r="GD355" s="1302">
        <v>83.3</v>
      </c>
      <c r="GE355" s="2250"/>
      <c r="GF355" s="2275"/>
      <c r="GG355" s="2333">
        <v>92.9</v>
      </c>
      <c r="GH355" s="2336">
        <v>0</v>
      </c>
      <c r="GI355" s="2336">
        <v>0</v>
      </c>
      <c r="GJ355" s="2336">
        <v>0</v>
      </c>
      <c r="GK355" s="2336">
        <v>0</v>
      </c>
      <c r="GL355" s="2336">
        <v>0</v>
      </c>
      <c r="GM355" s="2336">
        <v>0</v>
      </c>
      <c r="GN355" s="2336">
        <v>0</v>
      </c>
      <c r="GO355" s="2336">
        <v>0</v>
      </c>
      <c r="GP355" s="2336">
        <v>0</v>
      </c>
      <c r="GQ355" s="2336">
        <v>0</v>
      </c>
      <c r="GR355" s="2336">
        <v>0</v>
      </c>
      <c r="GS355" s="2250"/>
      <c r="GT355" s="2250"/>
      <c r="GU355" s="2333">
        <v>92.9</v>
      </c>
      <c r="GV355" s="2336">
        <v>0</v>
      </c>
      <c r="GW355" s="2336">
        <v>5.15</v>
      </c>
      <c r="GX355" s="2336">
        <v>10.06</v>
      </c>
      <c r="GY355" s="2336">
        <v>17.239999999999998</v>
      </c>
      <c r="GZ355" s="2336">
        <v>27.55</v>
      </c>
      <c r="HA355" s="2336">
        <v>38.770000000000003</v>
      </c>
      <c r="HB355" s="2336">
        <v>56.13</v>
      </c>
      <c r="HC355" s="2336">
        <v>80.31</v>
      </c>
      <c r="HD355" s="2336">
        <v>109.14</v>
      </c>
      <c r="HE355" s="2336">
        <v>170.43</v>
      </c>
      <c r="HF355" s="2336">
        <v>247.73</v>
      </c>
      <c r="HG355" s="2250"/>
      <c r="HH355" s="2250"/>
      <c r="HI355" s="2333">
        <v>92.9</v>
      </c>
      <c r="HJ355" s="2336">
        <v>0</v>
      </c>
      <c r="HK355" s="2336">
        <v>4.2</v>
      </c>
      <c r="HL355" s="2336">
        <v>8.27</v>
      </c>
      <c r="HM355" s="2336">
        <v>14</v>
      </c>
      <c r="HN355" s="2336">
        <v>22.2</v>
      </c>
      <c r="HO355" s="2336">
        <v>28.2</v>
      </c>
      <c r="HP355" s="2336">
        <v>40.799999999999997</v>
      </c>
      <c r="HQ355" s="2336">
        <v>60.33</v>
      </c>
      <c r="HR355" s="2336">
        <v>82.93</v>
      </c>
      <c r="HS355" s="2336">
        <v>123.93</v>
      </c>
      <c r="HT355" s="2336">
        <v>180.2</v>
      </c>
      <c r="HU355" s="2250"/>
      <c r="HV355" s="2250"/>
      <c r="HW355" s="2333">
        <v>92.9</v>
      </c>
      <c r="HX355" s="2337">
        <v>0</v>
      </c>
      <c r="HY355" s="2337">
        <v>3.38</v>
      </c>
      <c r="HZ355" s="2337">
        <v>6.62</v>
      </c>
      <c r="IA355" s="2337">
        <v>10.62</v>
      </c>
      <c r="IB355" s="2337">
        <v>16.920000000000002</v>
      </c>
      <c r="IC355" s="2337">
        <v>21.08</v>
      </c>
      <c r="ID355" s="2337">
        <v>30.62</v>
      </c>
      <c r="IE355" s="2337">
        <v>45.85</v>
      </c>
      <c r="IF355" s="2337">
        <v>62.23</v>
      </c>
      <c r="IG355" s="2337">
        <v>93.08</v>
      </c>
      <c r="IH355" s="2337">
        <v>135.31</v>
      </c>
      <c r="II355" s="2250"/>
      <c r="IJ355" s="2250"/>
      <c r="IK355" s="2250"/>
      <c r="IL355" s="53"/>
      <c r="IM355" s="53"/>
    </row>
    <row r="356" spans="2:247" ht="21.95" customHeight="1">
      <c r="B356" s="2333">
        <v>88.2</v>
      </c>
      <c r="C356" s="2336">
        <v>0</v>
      </c>
      <c r="D356" s="2336">
        <v>0</v>
      </c>
      <c r="E356" s="2336">
        <v>0</v>
      </c>
      <c r="F356" s="2336">
        <v>0</v>
      </c>
      <c r="G356" s="2336">
        <v>0</v>
      </c>
      <c r="H356" s="2336">
        <v>0</v>
      </c>
      <c r="I356" s="2336">
        <v>0</v>
      </c>
      <c r="J356" s="2336">
        <v>0</v>
      </c>
      <c r="K356" s="2336">
        <v>0</v>
      </c>
      <c r="L356" s="2336">
        <v>0</v>
      </c>
      <c r="M356" s="2336">
        <v>0</v>
      </c>
      <c r="N356" s="2250"/>
      <c r="O356" s="2250"/>
      <c r="P356" s="2333">
        <v>88.2</v>
      </c>
      <c r="Q356" s="2336">
        <v>0</v>
      </c>
      <c r="R356" s="2336">
        <v>5.4</v>
      </c>
      <c r="S356" s="2336">
        <v>10.55</v>
      </c>
      <c r="T356" s="2336">
        <v>18.22</v>
      </c>
      <c r="U356" s="2336">
        <v>28.96</v>
      </c>
      <c r="V356" s="2336">
        <v>39.26</v>
      </c>
      <c r="W356" s="2336">
        <v>56.26</v>
      </c>
      <c r="X356" s="2336">
        <v>81.41</v>
      </c>
      <c r="Y356" s="2336">
        <v>114.66</v>
      </c>
      <c r="Z356" s="2336">
        <v>176.38</v>
      </c>
      <c r="AA356" s="2336">
        <v>265.14999999999998</v>
      </c>
      <c r="AB356" s="2250"/>
      <c r="AC356" s="2250"/>
      <c r="AD356" s="2333">
        <v>88.2</v>
      </c>
      <c r="AE356" s="2336">
        <v>0</v>
      </c>
      <c r="AF356" s="2336">
        <v>4.47</v>
      </c>
      <c r="AG356" s="2336">
        <v>8.4700000000000006</v>
      </c>
      <c r="AH356" s="2336">
        <v>14.13</v>
      </c>
      <c r="AI356" s="2336">
        <v>21.8</v>
      </c>
      <c r="AJ356" s="2336">
        <v>28.53</v>
      </c>
      <c r="AK356" s="2336">
        <v>41</v>
      </c>
      <c r="AL356" s="2336">
        <v>59.2</v>
      </c>
      <c r="AM356" s="2336">
        <v>86.93</v>
      </c>
      <c r="AN356" s="2336">
        <v>128.4</v>
      </c>
      <c r="AO356" s="2336">
        <v>188.6</v>
      </c>
      <c r="AP356" s="2250"/>
      <c r="AQ356" s="2250"/>
      <c r="AR356" s="2333">
        <v>88.2</v>
      </c>
      <c r="AS356" s="2337">
        <v>0</v>
      </c>
      <c r="AT356" s="2337">
        <v>3.38</v>
      </c>
      <c r="AU356" s="2337">
        <v>6.38</v>
      </c>
      <c r="AV356" s="2337">
        <v>10.62</v>
      </c>
      <c r="AW356" s="2337">
        <v>16.38</v>
      </c>
      <c r="AX356" s="2337">
        <v>21.54</v>
      </c>
      <c r="AY356" s="2337">
        <v>30.85</v>
      </c>
      <c r="AZ356" s="2337">
        <v>44.54</v>
      </c>
      <c r="BA356" s="2337">
        <v>65.38</v>
      </c>
      <c r="BB356" s="2337">
        <v>96.15</v>
      </c>
      <c r="BC356" s="2337">
        <v>142.15</v>
      </c>
      <c r="BD356" s="2250"/>
      <c r="BE356" s="2250"/>
      <c r="BF356" s="1302">
        <v>83.3</v>
      </c>
      <c r="BG356" s="1302">
        <v>88.2</v>
      </c>
      <c r="BH356" s="2250"/>
      <c r="BI356" s="2275"/>
      <c r="BJ356" s="2333">
        <v>88.2</v>
      </c>
      <c r="BK356" s="2336">
        <v>0</v>
      </c>
      <c r="BL356" s="2336">
        <v>0</v>
      </c>
      <c r="BM356" s="2336">
        <v>0</v>
      </c>
      <c r="BN356" s="2336">
        <v>0</v>
      </c>
      <c r="BO356" s="2336">
        <v>0</v>
      </c>
      <c r="BP356" s="2336">
        <v>0</v>
      </c>
      <c r="BQ356" s="2336">
        <v>0</v>
      </c>
      <c r="BR356" s="2336">
        <v>0</v>
      </c>
      <c r="BS356" s="2336">
        <v>0</v>
      </c>
      <c r="BT356" s="2336">
        <v>0</v>
      </c>
      <c r="BU356" s="2336">
        <v>0</v>
      </c>
      <c r="BV356" s="2250"/>
      <c r="BW356" s="2250"/>
      <c r="BX356" s="2333">
        <v>88.2</v>
      </c>
      <c r="BY356" s="2336">
        <v>0</v>
      </c>
      <c r="BZ356" s="2336">
        <v>5.4</v>
      </c>
      <c r="CA356" s="2336">
        <v>10.55</v>
      </c>
      <c r="CB356" s="2336">
        <v>18.22</v>
      </c>
      <c r="CC356" s="2336">
        <v>28.96</v>
      </c>
      <c r="CD356" s="2336">
        <v>39.26</v>
      </c>
      <c r="CE356" s="2336">
        <v>56.26</v>
      </c>
      <c r="CF356" s="2336">
        <v>81.41</v>
      </c>
      <c r="CG356" s="2336">
        <v>114.66</v>
      </c>
      <c r="CH356" s="2336">
        <v>176.38</v>
      </c>
      <c r="CI356" s="2336">
        <v>265.14999999999998</v>
      </c>
      <c r="CJ356" s="2250"/>
      <c r="CK356" s="2250"/>
      <c r="CL356" s="2333">
        <v>88.2</v>
      </c>
      <c r="CM356" s="2336">
        <v>0</v>
      </c>
      <c r="CN356" s="2336">
        <v>4.47</v>
      </c>
      <c r="CO356" s="2336">
        <v>8.4700000000000006</v>
      </c>
      <c r="CP356" s="2336">
        <v>14.13</v>
      </c>
      <c r="CQ356" s="2336">
        <v>21.8</v>
      </c>
      <c r="CR356" s="2336">
        <v>28.53</v>
      </c>
      <c r="CS356" s="2336">
        <v>41</v>
      </c>
      <c r="CT356" s="2336">
        <v>59.2</v>
      </c>
      <c r="CU356" s="2336">
        <v>86.93</v>
      </c>
      <c r="CV356" s="2336">
        <v>128.4</v>
      </c>
      <c r="CW356" s="2336">
        <v>188.6</v>
      </c>
      <c r="CX356" s="2250"/>
      <c r="CY356" s="2250"/>
      <c r="CZ356" s="2333">
        <v>88.2</v>
      </c>
      <c r="DA356" s="2337">
        <v>0</v>
      </c>
      <c r="DB356" s="2337">
        <v>3.38</v>
      </c>
      <c r="DC356" s="2337">
        <v>6.38</v>
      </c>
      <c r="DD356" s="2337">
        <v>10.62</v>
      </c>
      <c r="DE356" s="2337">
        <v>16.38</v>
      </c>
      <c r="DF356" s="2337">
        <v>21.54</v>
      </c>
      <c r="DG356" s="2337">
        <v>30.85</v>
      </c>
      <c r="DH356" s="2337">
        <v>44.54</v>
      </c>
      <c r="DI356" s="2337">
        <v>65.38</v>
      </c>
      <c r="DJ356" s="2337">
        <v>96.15</v>
      </c>
      <c r="DK356" s="2337">
        <v>142.15</v>
      </c>
      <c r="DL356" s="2250"/>
      <c r="DM356" s="2250"/>
      <c r="DN356" s="2250"/>
      <c r="DO356" s="53"/>
      <c r="DP356" s="53"/>
      <c r="DY356" s="2333">
        <v>88.2</v>
      </c>
      <c r="DZ356" s="2336">
        <v>0</v>
      </c>
      <c r="EA356" s="2336">
        <v>0</v>
      </c>
      <c r="EB356" s="2336">
        <v>0</v>
      </c>
      <c r="EC356" s="2336">
        <v>0</v>
      </c>
      <c r="ED356" s="2336">
        <v>0</v>
      </c>
      <c r="EE356" s="2336">
        <v>0</v>
      </c>
      <c r="EF356" s="2336">
        <v>0</v>
      </c>
      <c r="EG356" s="2336">
        <v>0</v>
      </c>
      <c r="EH356" s="2336">
        <v>0</v>
      </c>
      <c r="EI356" s="2336">
        <v>0</v>
      </c>
      <c r="EJ356" s="2336">
        <v>0</v>
      </c>
      <c r="EK356" s="2250"/>
      <c r="EL356" s="2250"/>
      <c r="EM356" s="2333">
        <v>88.2</v>
      </c>
      <c r="EN356" s="2336">
        <v>0</v>
      </c>
      <c r="EO356" s="2336">
        <v>5.4</v>
      </c>
      <c r="EP356" s="2336">
        <v>10.55</v>
      </c>
      <c r="EQ356" s="2336">
        <v>18.22</v>
      </c>
      <c r="ER356" s="2336">
        <v>28.96</v>
      </c>
      <c r="ES356" s="2336">
        <v>39.26</v>
      </c>
      <c r="ET356" s="2336">
        <v>56.26</v>
      </c>
      <c r="EU356" s="2336">
        <v>81.41</v>
      </c>
      <c r="EV356" s="2336">
        <v>114.66</v>
      </c>
      <c r="EW356" s="2336">
        <v>176.38</v>
      </c>
      <c r="EX356" s="2336">
        <v>265.14999999999998</v>
      </c>
      <c r="EY356" s="2250"/>
      <c r="EZ356" s="2250"/>
      <c r="FA356" s="2333">
        <v>88.2</v>
      </c>
      <c r="FB356" s="2336">
        <v>0</v>
      </c>
      <c r="FC356" s="2336">
        <v>4.47</v>
      </c>
      <c r="FD356" s="2336">
        <v>8.4700000000000006</v>
      </c>
      <c r="FE356" s="2336">
        <v>14.13</v>
      </c>
      <c r="FF356" s="2336">
        <v>21.8</v>
      </c>
      <c r="FG356" s="2336">
        <v>28.53</v>
      </c>
      <c r="FH356" s="2336">
        <v>41</v>
      </c>
      <c r="FI356" s="2336">
        <v>59.2</v>
      </c>
      <c r="FJ356" s="2336">
        <v>86.93</v>
      </c>
      <c r="FK356" s="2336">
        <v>128.4</v>
      </c>
      <c r="FL356" s="2336">
        <v>188.6</v>
      </c>
      <c r="FM356" s="2250"/>
      <c r="FN356" s="2250"/>
      <c r="FO356" s="2333">
        <v>88.2</v>
      </c>
      <c r="FP356" s="2337">
        <v>0</v>
      </c>
      <c r="FQ356" s="2337">
        <v>3.38</v>
      </c>
      <c r="FR356" s="2337">
        <v>6.38</v>
      </c>
      <c r="FS356" s="2337">
        <v>10.62</v>
      </c>
      <c r="FT356" s="2337">
        <v>16.38</v>
      </c>
      <c r="FU356" s="2337">
        <v>21.54</v>
      </c>
      <c r="FV356" s="2337">
        <v>30.85</v>
      </c>
      <c r="FW356" s="2337">
        <v>44.54</v>
      </c>
      <c r="FX356" s="2337">
        <v>65.38</v>
      </c>
      <c r="FY356" s="2337">
        <v>96.15</v>
      </c>
      <c r="FZ356" s="2337">
        <v>142.15</v>
      </c>
      <c r="GA356" s="2250"/>
      <c r="GB356" s="2250"/>
      <c r="GC356" s="1302">
        <v>83.3</v>
      </c>
      <c r="GD356" s="1302">
        <v>88.2</v>
      </c>
      <c r="GE356" s="2250"/>
      <c r="GF356" s="2275"/>
      <c r="GG356" s="2333">
        <v>88.2</v>
      </c>
      <c r="GH356" s="2336">
        <v>0</v>
      </c>
      <c r="GI356" s="2336">
        <v>0</v>
      </c>
      <c r="GJ356" s="2336">
        <v>0</v>
      </c>
      <c r="GK356" s="2336">
        <v>0</v>
      </c>
      <c r="GL356" s="2336">
        <v>0</v>
      </c>
      <c r="GM356" s="2336">
        <v>0</v>
      </c>
      <c r="GN356" s="2336">
        <v>0</v>
      </c>
      <c r="GO356" s="2336">
        <v>0</v>
      </c>
      <c r="GP356" s="2336">
        <v>0</v>
      </c>
      <c r="GQ356" s="2336">
        <v>0</v>
      </c>
      <c r="GR356" s="2336">
        <v>0</v>
      </c>
      <c r="GS356" s="2250"/>
      <c r="GT356" s="2250"/>
      <c r="GU356" s="2333">
        <v>88.2</v>
      </c>
      <c r="GV356" s="2336">
        <v>0</v>
      </c>
      <c r="GW356" s="2336">
        <v>5.4</v>
      </c>
      <c r="GX356" s="2336">
        <v>10.55</v>
      </c>
      <c r="GY356" s="2336">
        <v>18.22</v>
      </c>
      <c r="GZ356" s="2336">
        <v>28.96</v>
      </c>
      <c r="HA356" s="2336">
        <v>39.26</v>
      </c>
      <c r="HB356" s="2336">
        <v>56.26</v>
      </c>
      <c r="HC356" s="2336">
        <v>81.41</v>
      </c>
      <c r="HD356" s="2336">
        <v>114.66</v>
      </c>
      <c r="HE356" s="2336">
        <v>176.38</v>
      </c>
      <c r="HF356" s="2336">
        <v>265.14999999999998</v>
      </c>
      <c r="HG356" s="2250"/>
      <c r="HH356" s="2250"/>
      <c r="HI356" s="2333">
        <v>88.2</v>
      </c>
      <c r="HJ356" s="2336">
        <v>0</v>
      </c>
      <c r="HK356" s="2336">
        <v>4.47</v>
      </c>
      <c r="HL356" s="2336">
        <v>8.4700000000000006</v>
      </c>
      <c r="HM356" s="2336">
        <v>14.13</v>
      </c>
      <c r="HN356" s="2336">
        <v>21.8</v>
      </c>
      <c r="HO356" s="2336">
        <v>28.53</v>
      </c>
      <c r="HP356" s="2336">
        <v>41</v>
      </c>
      <c r="HQ356" s="2336">
        <v>59.2</v>
      </c>
      <c r="HR356" s="2336">
        <v>86.93</v>
      </c>
      <c r="HS356" s="2336">
        <v>128.4</v>
      </c>
      <c r="HT356" s="2336">
        <v>188.6</v>
      </c>
      <c r="HU356" s="2250"/>
      <c r="HV356" s="2250"/>
      <c r="HW356" s="2333">
        <v>88.2</v>
      </c>
      <c r="HX356" s="2337">
        <v>0</v>
      </c>
      <c r="HY356" s="2337">
        <v>3.38</v>
      </c>
      <c r="HZ356" s="2337">
        <v>6.38</v>
      </c>
      <c r="IA356" s="2337">
        <v>10.62</v>
      </c>
      <c r="IB356" s="2337">
        <v>16.38</v>
      </c>
      <c r="IC356" s="2337">
        <v>21.54</v>
      </c>
      <c r="ID356" s="2337">
        <v>30.85</v>
      </c>
      <c r="IE356" s="2337">
        <v>44.54</v>
      </c>
      <c r="IF356" s="2337">
        <v>65.38</v>
      </c>
      <c r="IG356" s="2337">
        <v>96.15</v>
      </c>
      <c r="IH356" s="2337">
        <v>142.15</v>
      </c>
      <c r="II356" s="2250"/>
      <c r="IJ356" s="2250"/>
      <c r="IK356" s="2250"/>
      <c r="IL356" s="53"/>
      <c r="IM356" s="53"/>
    </row>
    <row r="357" spans="2:247" ht="21.95" customHeight="1">
      <c r="B357" s="2333">
        <v>83.3</v>
      </c>
      <c r="C357" s="2336">
        <v>0</v>
      </c>
      <c r="D357" s="2336">
        <v>0</v>
      </c>
      <c r="E357" s="2336">
        <v>0</v>
      </c>
      <c r="F357" s="2336">
        <v>0</v>
      </c>
      <c r="G357" s="2336">
        <v>0</v>
      </c>
      <c r="H357" s="2336">
        <v>0</v>
      </c>
      <c r="I357" s="2336">
        <v>0</v>
      </c>
      <c r="J357" s="2336">
        <v>0</v>
      </c>
      <c r="K357" s="2336">
        <v>0</v>
      </c>
      <c r="L357" s="2336">
        <v>0</v>
      </c>
      <c r="M357" s="2336">
        <v>0</v>
      </c>
      <c r="N357" s="2250"/>
      <c r="O357" s="2250"/>
      <c r="P357" s="2333">
        <v>83.3</v>
      </c>
      <c r="Q357" s="2336">
        <v>0</v>
      </c>
      <c r="R357" s="2336">
        <v>5.58</v>
      </c>
      <c r="S357" s="2336">
        <v>10.86</v>
      </c>
      <c r="T357" s="2336">
        <v>19.2</v>
      </c>
      <c r="U357" s="2336">
        <v>29.82</v>
      </c>
      <c r="V357" s="2336">
        <v>40.799999999999997</v>
      </c>
      <c r="W357" s="2336">
        <v>59.08</v>
      </c>
      <c r="X357" s="2336">
        <v>86.93</v>
      </c>
      <c r="Y357" s="2336">
        <v>120.74</v>
      </c>
      <c r="Z357" s="2336">
        <v>184.91</v>
      </c>
      <c r="AA357" s="2336">
        <v>274.91000000000003</v>
      </c>
      <c r="AB357" s="2250"/>
      <c r="AC357" s="2250"/>
      <c r="AD357" s="2333">
        <v>83.3</v>
      </c>
      <c r="AE357" s="2336">
        <v>0</v>
      </c>
      <c r="AF357" s="2336">
        <v>4.5999999999999996</v>
      </c>
      <c r="AG357" s="2336">
        <v>8.93</v>
      </c>
      <c r="AH357" s="2336">
        <v>14.87</v>
      </c>
      <c r="AI357" s="2336">
        <v>23.33</v>
      </c>
      <c r="AJ357" s="2336">
        <v>29.47</v>
      </c>
      <c r="AK357" s="2336">
        <v>42.93</v>
      </c>
      <c r="AL357" s="2336">
        <v>63.4</v>
      </c>
      <c r="AM357" s="2336">
        <v>91.47</v>
      </c>
      <c r="AN357" s="2336">
        <v>134.33000000000001</v>
      </c>
      <c r="AO357" s="2336">
        <v>200.47</v>
      </c>
      <c r="AP357" s="2250"/>
      <c r="AQ357" s="2250"/>
      <c r="AR357" s="2333">
        <v>83.3</v>
      </c>
      <c r="AS357" s="2337">
        <v>0</v>
      </c>
      <c r="AT357" s="2337">
        <v>3.69</v>
      </c>
      <c r="AU357" s="2337">
        <v>6.85</v>
      </c>
      <c r="AV357" s="2337">
        <v>11.15</v>
      </c>
      <c r="AW357" s="2337">
        <v>17.62</v>
      </c>
      <c r="AX357" s="2337">
        <v>22.15</v>
      </c>
      <c r="AY357" s="2337">
        <v>32.46</v>
      </c>
      <c r="AZ357" s="2337">
        <v>47.77</v>
      </c>
      <c r="BA357" s="2337">
        <v>68.459999999999994</v>
      </c>
      <c r="BB357" s="2337">
        <v>100.62</v>
      </c>
      <c r="BC357" s="2337">
        <v>112.23</v>
      </c>
      <c r="BD357" s="2250"/>
      <c r="BE357" s="2250"/>
      <c r="BF357" s="1302">
        <v>88.2</v>
      </c>
      <c r="BG357" s="1302">
        <v>92.9</v>
      </c>
      <c r="BH357" s="2250"/>
      <c r="BI357" s="2275"/>
      <c r="BJ357" s="2333">
        <v>83.3</v>
      </c>
      <c r="BK357" s="2336">
        <v>0</v>
      </c>
      <c r="BL357" s="2336">
        <v>0</v>
      </c>
      <c r="BM357" s="2336">
        <v>0</v>
      </c>
      <c r="BN357" s="2336">
        <v>0</v>
      </c>
      <c r="BO357" s="2336">
        <v>0</v>
      </c>
      <c r="BP357" s="2336">
        <v>0</v>
      </c>
      <c r="BQ357" s="2336">
        <v>0</v>
      </c>
      <c r="BR357" s="2336">
        <v>0</v>
      </c>
      <c r="BS357" s="2336">
        <v>0</v>
      </c>
      <c r="BT357" s="2336">
        <v>0</v>
      </c>
      <c r="BU357" s="2336">
        <v>0</v>
      </c>
      <c r="BV357" s="2250"/>
      <c r="BW357" s="2250"/>
      <c r="BX357" s="2333">
        <v>83.3</v>
      </c>
      <c r="BY357" s="2336">
        <v>0</v>
      </c>
      <c r="BZ357" s="2336">
        <v>5.58</v>
      </c>
      <c r="CA357" s="2336">
        <v>10.86</v>
      </c>
      <c r="CB357" s="2336">
        <v>19.2</v>
      </c>
      <c r="CC357" s="2336">
        <v>29.82</v>
      </c>
      <c r="CD357" s="2336">
        <v>40.799999999999997</v>
      </c>
      <c r="CE357" s="2336">
        <v>59.08</v>
      </c>
      <c r="CF357" s="2336">
        <v>86.93</v>
      </c>
      <c r="CG357" s="2336">
        <v>120.74</v>
      </c>
      <c r="CH357" s="2336">
        <v>184.91</v>
      </c>
      <c r="CI357" s="2336">
        <v>274.91000000000003</v>
      </c>
      <c r="CJ357" s="2250"/>
      <c r="CK357" s="2250"/>
      <c r="CL357" s="2333">
        <v>83.3</v>
      </c>
      <c r="CM357" s="2336">
        <v>0</v>
      </c>
      <c r="CN357" s="2336">
        <v>4.5999999999999996</v>
      </c>
      <c r="CO357" s="2336">
        <v>8.93</v>
      </c>
      <c r="CP357" s="2336">
        <v>14.87</v>
      </c>
      <c r="CQ357" s="2336">
        <v>23.33</v>
      </c>
      <c r="CR357" s="2336">
        <v>29.47</v>
      </c>
      <c r="CS357" s="2336">
        <v>42.93</v>
      </c>
      <c r="CT357" s="2336">
        <v>63.4</v>
      </c>
      <c r="CU357" s="2336">
        <v>91.47</v>
      </c>
      <c r="CV357" s="2336">
        <v>134.33000000000001</v>
      </c>
      <c r="CW357" s="2336">
        <v>200.47</v>
      </c>
      <c r="CX357" s="2250"/>
      <c r="CY357" s="2250"/>
      <c r="CZ357" s="2333">
        <v>83.3</v>
      </c>
      <c r="DA357" s="2337">
        <v>0</v>
      </c>
      <c r="DB357" s="2337">
        <v>3.69</v>
      </c>
      <c r="DC357" s="2337">
        <v>6.85</v>
      </c>
      <c r="DD357" s="2337">
        <v>11.15</v>
      </c>
      <c r="DE357" s="2337">
        <v>17.62</v>
      </c>
      <c r="DF357" s="2337">
        <v>22.15</v>
      </c>
      <c r="DG357" s="2337">
        <v>32.46</v>
      </c>
      <c r="DH357" s="2337">
        <v>47.77</v>
      </c>
      <c r="DI357" s="2337">
        <v>68.459999999999994</v>
      </c>
      <c r="DJ357" s="2337">
        <v>100.62</v>
      </c>
      <c r="DK357" s="2337">
        <v>112.23</v>
      </c>
      <c r="DL357" s="2250"/>
      <c r="DM357" s="2250"/>
      <c r="DN357" s="2250"/>
      <c r="DO357" s="53"/>
      <c r="DP357" s="53"/>
      <c r="DY357" s="2333">
        <v>83.3</v>
      </c>
      <c r="DZ357" s="2336">
        <v>0</v>
      </c>
      <c r="EA357" s="2336">
        <v>0</v>
      </c>
      <c r="EB357" s="2336">
        <v>0</v>
      </c>
      <c r="EC357" s="2336">
        <v>0</v>
      </c>
      <c r="ED357" s="2336">
        <v>0</v>
      </c>
      <c r="EE357" s="2336">
        <v>0</v>
      </c>
      <c r="EF357" s="2336">
        <v>0</v>
      </c>
      <c r="EG357" s="2336">
        <v>0</v>
      </c>
      <c r="EH357" s="2336">
        <v>0</v>
      </c>
      <c r="EI357" s="2336">
        <v>0</v>
      </c>
      <c r="EJ357" s="2336">
        <v>0</v>
      </c>
      <c r="EK357" s="2250"/>
      <c r="EL357" s="2250"/>
      <c r="EM357" s="2333">
        <v>83.3</v>
      </c>
      <c r="EN357" s="2336">
        <v>0</v>
      </c>
      <c r="EO357" s="2336">
        <v>5.58</v>
      </c>
      <c r="EP357" s="2336">
        <v>10.86</v>
      </c>
      <c r="EQ357" s="2336">
        <v>19.2</v>
      </c>
      <c r="ER357" s="2336">
        <v>29.82</v>
      </c>
      <c r="ES357" s="2336">
        <v>40.799999999999997</v>
      </c>
      <c r="ET357" s="2336">
        <v>59.08</v>
      </c>
      <c r="EU357" s="2336">
        <v>86.93</v>
      </c>
      <c r="EV357" s="2336">
        <v>120.74</v>
      </c>
      <c r="EW357" s="2336">
        <v>184.91</v>
      </c>
      <c r="EX357" s="2336">
        <v>274.91000000000003</v>
      </c>
      <c r="EY357" s="2250"/>
      <c r="EZ357" s="2250"/>
      <c r="FA357" s="2333">
        <v>83.3</v>
      </c>
      <c r="FB357" s="2336">
        <v>0</v>
      </c>
      <c r="FC357" s="2336">
        <v>4.5999999999999996</v>
      </c>
      <c r="FD357" s="2336">
        <v>8.93</v>
      </c>
      <c r="FE357" s="2336">
        <v>14.87</v>
      </c>
      <c r="FF357" s="2336">
        <v>23.33</v>
      </c>
      <c r="FG357" s="2336">
        <v>29.47</v>
      </c>
      <c r="FH357" s="2336">
        <v>42.93</v>
      </c>
      <c r="FI357" s="2336">
        <v>63.4</v>
      </c>
      <c r="FJ357" s="2336">
        <v>91.47</v>
      </c>
      <c r="FK357" s="2336">
        <v>134.33000000000001</v>
      </c>
      <c r="FL357" s="2336">
        <v>200.47</v>
      </c>
      <c r="FM357" s="2250"/>
      <c r="FN357" s="2250"/>
      <c r="FO357" s="2333">
        <v>83.3</v>
      </c>
      <c r="FP357" s="2337">
        <v>0</v>
      </c>
      <c r="FQ357" s="2337">
        <v>3.69</v>
      </c>
      <c r="FR357" s="2337">
        <v>6.85</v>
      </c>
      <c r="FS357" s="2337">
        <v>11.15</v>
      </c>
      <c r="FT357" s="2337">
        <v>17.62</v>
      </c>
      <c r="FU357" s="2337">
        <v>22.15</v>
      </c>
      <c r="FV357" s="2337">
        <v>32.46</v>
      </c>
      <c r="FW357" s="2337">
        <v>47.77</v>
      </c>
      <c r="FX357" s="2337">
        <v>68.459999999999994</v>
      </c>
      <c r="FY357" s="2337">
        <v>100.62</v>
      </c>
      <c r="FZ357" s="2337">
        <v>112.23</v>
      </c>
      <c r="GA357" s="2250"/>
      <c r="GB357" s="2250"/>
      <c r="GC357" s="1302">
        <v>88.2</v>
      </c>
      <c r="GD357" s="1302">
        <v>92.9</v>
      </c>
      <c r="GE357" s="2250"/>
      <c r="GF357" s="2275"/>
      <c r="GG357" s="2333">
        <v>83.3</v>
      </c>
      <c r="GH357" s="2336">
        <v>0</v>
      </c>
      <c r="GI357" s="2336">
        <v>0</v>
      </c>
      <c r="GJ357" s="2336">
        <v>0</v>
      </c>
      <c r="GK357" s="2336">
        <v>0</v>
      </c>
      <c r="GL357" s="2336">
        <v>0</v>
      </c>
      <c r="GM357" s="2336">
        <v>0</v>
      </c>
      <c r="GN357" s="2336">
        <v>0</v>
      </c>
      <c r="GO357" s="2336">
        <v>0</v>
      </c>
      <c r="GP357" s="2336">
        <v>0</v>
      </c>
      <c r="GQ357" s="2336">
        <v>0</v>
      </c>
      <c r="GR357" s="2336">
        <v>0</v>
      </c>
      <c r="GS357" s="2250"/>
      <c r="GT357" s="2250"/>
      <c r="GU357" s="2333">
        <v>83.3</v>
      </c>
      <c r="GV357" s="2336">
        <v>0</v>
      </c>
      <c r="GW357" s="2336">
        <v>5.58</v>
      </c>
      <c r="GX357" s="2336">
        <v>10.86</v>
      </c>
      <c r="GY357" s="2336">
        <v>19.2</v>
      </c>
      <c r="GZ357" s="2336">
        <v>29.82</v>
      </c>
      <c r="HA357" s="2336">
        <v>40.799999999999997</v>
      </c>
      <c r="HB357" s="2336">
        <v>59.08</v>
      </c>
      <c r="HC357" s="2336">
        <v>86.93</v>
      </c>
      <c r="HD357" s="2336">
        <v>120.74</v>
      </c>
      <c r="HE357" s="2336">
        <v>184.91</v>
      </c>
      <c r="HF357" s="2336">
        <v>274.91000000000003</v>
      </c>
      <c r="HG357" s="2250"/>
      <c r="HH357" s="2250"/>
      <c r="HI357" s="2333">
        <v>83.3</v>
      </c>
      <c r="HJ357" s="2336">
        <v>0</v>
      </c>
      <c r="HK357" s="2336">
        <v>4.5999999999999996</v>
      </c>
      <c r="HL357" s="2336">
        <v>8.93</v>
      </c>
      <c r="HM357" s="2336">
        <v>14.87</v>
      </c>
      <c r="HN357" s="2336">
        <v>23.33</v>
      </c>
      <c r="HO357" s="2336">
        <v>29.47</v>
      </c>
      <c r="HP357" s="2336">
        <v>42.93</v>
      </c>
      <c r="HQ357" s="2336">
        <v>63.4</v>
      </c>
      <c r="HR357" s="2336">
        <v>91.47</v>
      </c>
      <c r="HS357" s="2336">
        <v>134.33000000000001</v>
      </c>
      <c r="HT357" s="2336">
        <v>200.47</v>
      </c>
      <c r="HU357" s="2250"/>
      <c r="HV357" s="2250"/>
      <c r="HW357" s="2333">
        <v>83.3</v>
      </c>
      <c r="HX357" s="2337">
        <v>0</v>
      </c>
      <c r="HY357" s="2337">
        <v>3.69</v>
      </c>
      <c r="HZ357" s="2337">
        <v>6.85</v>
      </c>
      <c r="IA357" s="2337">
        <v>11.15</v>
      </c>
      <c r="IB357" s="2337">
        <v>17.62</v>
      </c>
      <c r="IC357" s="2337">
        <v>22.15</v>
      </c>
      <c r="ID357" s="2337">
        <v>32.46</v>
      </c>
      <c r="IE357" s="2337">
        <v>47.77</v>
      </c>
      <c r="IF357" s="2337">
        <v>68.459999999999994</v>
      </c>
      <c r="IG357" s="2337">
        <v>100.62</v>
      </c>
      <c r="IH357" s="2337">
        <v>112.23</v>
      </c>
      <c r="II357" s="2250"/>
      <c r="IJ357" s="2250"/>
      <c r="IK357" s="2250"/>
      <c r="IL357" s="53"/>
      <c r="IM357" s="53"/>
    </row>
    <row r="358" spans="2:247" ht="21.95" customHeight="1">
      <c r="B358" s="2333">
        <v>78.2</v>
      </c>
      <c r="C358" s="2336">
        <v>0</v>
      </c>
      <c r="D358" s="2336">
        <v>0</v>
      </c>
      <c r="E358" s="2336">
        <v>0</v>
      </c>
      <c r="F358" s="2336">
        <v>0</v>
      </c>
      <c r="G358" s="2336">
        <v>0</v>
      </c>
      <c r="H358" s="2336">
        <v>0</v>
      </c>
      <c r="I358" s="2336">
        <v>0</v>
      </c>
      <c r="J358" s="2336">
        <v>0</v>
      </c>
      <c r="K358" s="2336">
        <v>0</v>
      </c>
      <c r="L358" s="2336">
        <v>0</v>
      </c>
      <c r="M358" s="2336">
        <v>0</v>
      </c>
      <c r="N358" s="2250"/>
      <c r="O358" s="2250"/>
      <c r="P358" s="2333">
        <v>78.2</v>
      </c>
      <c r="Q358" s="2336">
        <v>0</v>
      </c>
      <c r="R358" s="2336">
        <v>5.89</v>
      </c>
      <c r="S358" s="2336">
        <v>11.53</v>
      </c>
      <c r="T358" s="2336">
        <v>19.82</v>
      </c>
      <c r="U358" s="2336">
        <v>31.53</v>
      </c>
      <c r="V358" s="2336">
        <v>44.66</v>
      </c>
      <c r="W358" s="2336">
        <v>64.48</v>
      </c>
      <c r="X358" s="2336">
        <v>92.27</v>
      </c>
      <c r="Y358" s="2336">
        <v>124.72</v>
      </c>
      <c r="Z358" s="2336">
        <v>199.08</v>
      </c>
      <c r="AA358" s="2336">
        <v>291.41000000000003</v>
      </c>
      <c r="AB358" s="2250"/>
      <c r="AC358" s="2250"/>
      <c r="AD358" s="2333">
        <v>78.2</v>
      </c>
      <c r="AE358" s="2336">
        <v>0</v>
      </c>
      <c r="AF358" s="2336">
        <v>4.87</v>
      </c>
      <c r="AG358" s="2336">
        <v>9.5299999999999994</v>
      </c>
      <c r="AH358" s="2336">
        <v>16</v>
      </c>
      <c r="AI358" s="2336">
        <v>25.4</v>
      </c>
      <c r="AJ358" s="2336">
        <v>32.270000000000003</v>
      </c>
      <c r="AK358" s="2336">
        <v>47.2</v>
      </c>
      <c r="AL358" s="2336">
        <v>67.2</v>
      </c>
      <c r="AM358" s="2336">
        <v>98.27</v>
      </c>
      <c r="AN358" s="2336">
        <v>146.93</v>
      </c>
      <c r="AO358" s="2336">
        <v>211.93</v>
      </c>
      <c r="AP358" s="2250"/>
      <c r="AQ358" s="2250"/>
      <c r="AR358" s="2333">
        <v>78.2</v>
      </c>
      <c r="AS358" s="2337">
        <v>0</v>
      </c>
      <c r="AT358" s="2337">
        <v>3.85</v>
      </c>
      <c r="AU358" s="2337">
        <v>7.23</v>
      </c>
      <c r="AV358" s="2337">
        <v>12</v>
      </c>
      <c r="AW358" s="2337">
        <v>19.149999999999999</v>
      </c>
      <c r="AX358" s="2337">
        <v>24.31</v>
      </c>
      <c r="AY358" s="2337">
        <v>35.380000000000003</v>
      </c>
      <c r="AZ358" s="2337">
        <v>50.38</v>
      </c>
      <c r="BA358" s="2337">
        <v>73.69</v>
      </c>
      <c r="BB358" s="2337">
        <v>110.23</v>
      </c>
      <c r="BC358" s="2337">
        <v>158.69</v>
      </c>
      <c r="BD358" s="2250"/>
      <c r="BE358" s="2250"/>
      <c r="BF358" s="1302">
        <v>92.9</v>
      </c>
      <c r="BG358" s="1302">
        <v>97.1</v>
      </c>
      <c r="BH358" s="2250"/>
      <c r="BI358" s="2275"/>
      <c r="BJ358" s="2333">
        <v>78.2</v>
      </c>
      <c r="BK358" s="2336">
        <v>0</v>
      </c>
      <c r="BL358" s="2336">
        <v>0</v>
      </c>
      <c r="BM358" s="2336">
        <v>0</v>
      </c>
      <c r="BN358" s="2336">
        <v>0</v>
      </c>
      <c r="BO358" s="2336">
        <v>0</v>
      </c>
      <c r="BP358" s="2336">
        <v>0</v>
      </c>
      <c r="BQ358" s="2336">
        <v>0</v>
      </c>
      <c r="BR358" s="2336">
        <v>0</v>
      </c>
      <c r="BS358" s="2336">
        <v>0</v>
      </c>
      <c r="BT358" s="2336">
        <v>0</v>
      </c>
      <c r="BU358" s="2336">
        <v>0</v>
      </c>
      <c r="BV358" s="2250"/>
      <c r="BW358" s="2250"/>
      <c r="BX358" s="2333">
        <v>78.2</v>
      </c>
      <c r="BY358" s="2336">
        <v>0</v>
      </c>
      <c r="BZ358" s="2336">
        <v>5.89</v>
      </c>
      <c r="CA358" s="2336">
        <v>11.53</v>
      </c>
      <c r="CB358" s="2336">
        <v>19.82</v>
      </c>
      <c r="CC358" s="2336">
        <v>31.53</v>
      </c>
      <c r="CD358" s="2336">
        <v>44.66</v>
      </c>
      <c r="CE358" s="2336">
        <v>64.48</v>
      </c>
      <c r="CF358" s="2336">
        <v>92.27</v>
      </c>
      <c r="CG358" s="2336">
        <v>124.72</v>
      </c>
      <c r="CH358" s="2336">
        <v>199.08</v>
      </c>
      <c r="CI358" s="2336">
        <v>291.41000000000003</v>
      </c>
      <c r="CJ358" s="2250"/>
      <c r="CK358" s="2250"/>
      <c r="CL358" s="2333">
        <v>78.2</v>
      </c>
      <c r="CM358" s="2336">
        <v>0</v>
      </c>
      <c r="CN358" s="2336">
        <v>4.87</v>
      </c>
      <c r="CO358" s="2336">
        <v>9.5299999999999994</v>
      </c>
      <c r="CP358" s="2336">
        <v>16</v>
      </c>
      <c r="CQ358" s="2336">
        <v>25.4</v>
      </c>
      <c r="CR358" s="2336">
        <v>32.270000000000003</v>
      </c>
      <c r="CS358" s="2336">
        <v>47.2</v>
      </c>
      <c r="CT358" s="2336">
        <v>67.2</v>
      </c>
      <c r="CU358" s="2336">
        <v>98.27</v>
      </c>
      <c r="CV358" s="2336">
        <v>146.93</v>
      </c>
      <c r="CW358" s="2336">
        <v>211.93</v>
      </c>
      <c r="CX358" s="2250"/>
      <c r="CY358" s="2250"/>
      <c r="CZ358" s="2333">
        <v>78.2</v>
      </c>
      <c r="DA358" s="2337">
        <v>0</v>
      </c>
      <c r="DB358" s="2337">
        <v>3.85</v>
      </c>
      <c r="DC358" s="2337">
        <v>7.23</v>
      </c>
      <c r="DD358" s="2337">
        <v>12</v>
      </c>
      <c r="DE358" s="2337">
        <v>19.149999999999999</v>
      </c>
      <c r="DF358" s="2337">
        <v>24.31</v>
      </c>
      <c r="DG358" s="2337">
        <v>35.380000000000003</v>
      </c>
      <c r="DH358" s="2337">
        <v>50.38</v>
      </c>
      <c r="DI358" s="2337">
        <v>73.69</v>
      </c>
      <c r="DJ358" s="2337">
        <v>110.23</v>
      </c>
      <c r="DK358" s="2337">
        <v>158.69</v>
      </c>
      <c r="DL358" s="2250"/>
      <c r="DM358" s="2250"/>
      <c r="DN358" s="2250"/>
      <c r="DO358" s="53"/>
      <c r="DP358" s="53"/>
      <c r="DY358" s="2333">
        <v>78.2</v>
      </c>
      <c r="DZ358" s="2336">
        <v>0</v>
      </c>
      <c r="EA358" s="2336">
        <v>0</v>
      </c>
      <c r="EB358" s="2336">
        <v>0</v>
      </c>
      <c r="EC358" s="2336">
        <v>0</v>
      </c>
      <c r="ED358" s="2336">
        <v>0</v>
      </c>
      <c r="EE358" s="2336">
        <v>0</v>
      </c>
      <c r="EF358" s="2336">
        <v>0</v>
      </c>
      <c r="EG358" s="2336">
        <v>0</v>
      </c>
      <c r="EH358" s="2336">
        <v>0</v>
      </c>
      <c r="EI358" s="2336">
        <v>0</v>
      </c>
      <c r="EJ358" s="2336">
        <v>0</v>
      </c>
      <c r="EK358" s="2250"/>
      <c r="EL358" s="2250"/>
      <c r="EM358" s="2333">
        <v>78.2</v>
      </c>
      <c r="EN358" s="2336">
        <v>0</v>
      </c>
      <c r="EO358" s="2336">
        <v>5.89</v>
      </c>
      <c r="EP358" s="2336">
        <v>11.53</v>
      </c>
      <c r="EQ358" s="2336">
        <v>19.82</v>
      </c>
      <c r="ER358" s="2336">
        <v>31.53</v>
      </c>
      <c r="ES358" s="2336">
        <v>44.66</v>
      </c>
      <c r="ET358" s="2336">
        <v>64.48</v>
      </c>
      <c r="EU358" s="2336">
        <v>92.27</v>
      </c>
      <c r="EV358" s="2336">
        <v>124.72</v>
      </c>
      <c r="EW358" s="2336">
        <v>199.08</v>
      </c>
      <c r="EX358" s="2336">
        <v>291.41000000000003</v>
      </c>
      <c r="EY358" s="2250"/>
      <c r="EZ358" s="2250"/>
      <c r="FA358" s="2333">
        <v>78.2</v>
      </c>
      <c r="FB358" s="2336">
        <v>0</v>
      </c>
      <c r="FC358" s="2336">
        <v>4.87</v>
      </c>
      <c r="FD358" s="2336">
        <v>9.5299999999999994</v>
      </c>
      <c r="FE358" s="2336">
        <v>16</v>
      </c>
      <c r="FF358" s="2336">
        <v>25.4</v>
      </c>
      <c r="FG358" s="2336">
        <v>32.270000000000003</v>
      </c>
      <c r="FH358" s="2336">
        <v>47.2</v>
      </c>
      <c r="FI358" s="2336">
        <v>67.2</v>
      </c>
      <c r="FJ358" s="2336">
        <v>98.27</v>
      </c>
      <c r="FK358" s="2336">
        <v>146.93</v>
      </c>
      <c r="FL358" s="2336">
        <v>211.93</v>
      </c>
      <c r="FM358" s="2250"/>
      <c r="FN358" s="2250"/>
      <c r="FO358" s="2333">
        <v>78.2</v>
      </c>
      <c r="FP358" s="2337">
        <v>0</v>
      </c>
      <c r="FQ358" s="2337">
        <v>3.85</v>
      </c>
      <c r="FR358" s="2337">
        <v>7.23</v>
      </c>
      <c r="FS358" s="2337">
        <v>12</v>
      </c>
      <c r="FT358" s="2337">
        <v>19.149999999999999</v>
      </c>
      <c r="FU358" s="2337">
        <v>24.31</v>
      </c>
      <c r="FV358" s="2337">
        <v>35.380000000000003</v>
      </c>
      <c r="FW358" s="2337">
        <v>50.38</v>
      </c>
      <c r="FX358" s="2337">
        <v>73.69</v>
      </c>
      <c r="FY358" s="2337">
        <v>110.23</v>
      </c>
      <c r="FZ358" s="2337">
        <v>158.69</v>
      </c>
      <c r="GA358" s="2250"/>
      <c r="GB358" s="2250"/>
      <c r="GC358" s="1302">
        <v>92.9</v>
      </c>
      <c r="GD358" s="1302">
        <v>97.1</v>
      </c>
      <c r="GE358" s="2250"/>
      <c r="GF358" s="2275"/>
      <c r="GG358" s="2333">
        <v>78.2</v>
      </c>
      <c r="GH358" s="2336">
        <v>0</v>
      </c>
      <c r="GI358" s="2336">
        <v>0</v>
      </c>
      <c r="GJ358" s="2336">
        <v>0</v>
      </c>
      <c r="GK358" s="2336">
        <v>0</v>
      </c>
      <c r="GL358" s="2336">
        <v>0</v>
      </c>
      <c r="GM358" s="2336">
        <v>0</v>
      </c>
      <c r="GN358" s="2336">
        <v>0</v>
      </c>
      <c r="GO358" s="2336">
        <v>0</v>
      </c>
      <c r="GP358" s="2336">
        <v>0</v>
      </c>
      <c r="GQ358" s="2336">
        <v>0</v>
      </c>
      <c r="GR358" s="2336">
        <v>0</v>
      </c>
      <c r="GS358" s="2250"/>
      <c r="GT358" s="2250"/>
      <c r="GU358" s="2333">
        <v>78.2</v>
      </c>
      <c r="GV358" s="2336">
        <v>0</v>
      </c>
      <c r="GW358" s="2336">
        <v>5.89</v>
      </c>
      <c r="GX358" s="2336">
        <v>11.53</v>
      </c>
      <c r="GY358" s="2336">
        <v>19.82</v>
      </c>
      <c r="GZ358" s="2336">
        <v>31.53</v>
      </c>
      <c r="HA358" s="2336">
        <v>44.66</v>
      </c>
      <c r="HB358" s="2336">
        <v>64.48</v>
      </c>
      <c r="HC358" s="2336">
        <v>92.27</v>
      </c>
      <c r="HD358" s="2336">
        <v>124.72</v>
      </c>
      <c r="HE358" s="2336">
        <v>199.08</v>
      </c>
      <c r="HF358" s="2336">
        <v>291.41000000000003</v>
      </c>
      <c r="HG358" s="2250"/>
      <c r="HH358" s="2250"/>
      <c r="HI358" s="2333">
        <v>78.2</v>
      </c>
      <c r="HJ358" s="2336">
        <v>0</v>
      </c>
      <c r="HK358" s="2336">
        <v>4.87</v>
      </c>
      <c r="HL358" s="2336">
        <v>9.5299999999999994</v>
      </c>
      <c r="HM358" s="2336">
        <v>16</v>
      </c>
      <c r="HN358" s="2336">
        <v>25.4</v>
      </c>
      <c r="HO358" s="2336">
        <v>32.270000000000003</v>
      </c>
      <c r="HP358" s="2336">
        <v>47.2</v>
      </c>
      <c r="HQ358" s="2336">
        <v>67.2</v>
      </c>
      <c r="HR358" s="2336">
        <v>98.27</v>
      </c>
      <c r="HS358" s="2336">
        <v>146.93</v>
      </c>
      <c r="HT358" s="2336">
        <v>211.93</v>
      </c>
      <c r="HU358" s="2250"/>
      <c r="HV358" s="2250"/>
      <c r="HW358" s="2333">
        <v>78.2</v>
      </c>
      <c r="HX358" s="2337">
        <v>0</v>
      </c>
      <c r="HY358" s="2337">
        <v>3.85</v>
      </c>
      <c r="HZ358" s="2337">
        <v>7.23</v>
      </c>
      <c r="IA358" s="2337">
        <v>12</v>
      </c>
      <c r="IB358" s="2337">
        <v>19.149999999999999</v>
      </c>
      <c r="IC358" s="2337">
        <v>24.31</v>
      </c>
      <c r="ID358" s="2337">
        <v>35.380000000000003</v>
      </c>
      <c r="IE358" s="2337">
        <v>50.38</v>
      </c>
      <c r="IF358" s="2337">
        <v>73.69</v>
      </c>
      <c r="IG358" s="2337">
        <v>110.23</v>
      </c>
      <c r="IH358" s="2337">
        <v>158.69</v>
      </c>
      <c r="II358" s="2250"/>
      <c r="IJ358" s="2250"/>
      <c r="IK358" s="2250"/>
      <c r="IL358" s="53"/>
      <c r="IM358" s="53"/>
    </row>
    <row r="359" spans="2:247" ht="21.95" customHeight="1">
      <c r="B359" s="2333">
        <v>73.7</v>
      </c>
      <c r="C359" s="2336">
        <v>0</v>
      </c>
      <c r="D359" s="2336">
        <v>0</v>
      </c>
      <c r="E359" s="2336">
        <v>0</v>
      </c>
      <c r="F359" s="2336">
        <v>0</v>
      </c>
      <c r="G359" s="2336">
        <v>0</v>
      </c>
      <c r="H359" s="2336">
        <v>0</v>
      </c>
      <c r="I359" s="2336">
        <v>0</v>
      </c>
      <c r="J359" s="2336">
        <v>0</v>
      </c>
      <c r="K359" s="2336">
        <v>0</v>
      </c>
      <c r="L359" s="2336">
        <v>0</v>
      </c>
      <c r="M359" s="2336">
        <v>0</v>
      </c>
      <c r="N359" s="2250"/>
      <c r="O359" s="2250"/>
      <c r="P359" s="2333">
        <v>73.7</v>
      </c>
      <c r="Q359" s="2336">
        <v>0</v>
      </c>
      <c r="R359" s="2336">
        <v>6.26</v>
      </c>
      <c r="S359" s="2336">
        <v>12.39</v>
      </c>
      <c r="T359" s="2336">
        <v>21.1</v>
      </c>
      <c r="U359" s="2336">
        <v>33.5</v>
      </c>
      <c r="V359" s="2336">
        <v>44.91</v>
      </c>
      <c r="W359" s="2336">
        <v>69.39</v>
      </c>
      <c r="X359" s="2336">
        <v>97.61</v>
      </c>
      <c r="Y359" s="2336">
        <v>132.69999999999999</v>
      </c>
      <c r="Z359" s="2336">
        <v>211.23</v>
      </c>
      <c r="AA359" s="2336">
        <v>307.36</v>
      </c>
      <c r="AB359" s="2250"/>
      <c r="AC359" s="2250"/>
      <c r="AD359" s="2333">
        <v>73.7</v>
      </c>
      <c r="AE359" s="2336">
        <v>0</v>
      </c>
      <c r="AF359" s="2336">
        <v>5.2</v>
      </c>
      <c r="AG359" s="2336">
        <v>10.130000000000001</v>
      </c>
      <c r="AH359" s="2336">
        <v>16.93</v>
      </c>
      <c r="AI359" s="2336">
        <v>26.93</v>
      </c>
      <c r="AJ359" s="2336">
        <v>32.4</v>
      </c>
      <c r="AK359" s="2336">
        <v>50.47</v>
      </c>
      <c r="AL359" s="2336">
        <v>73.069999999999993</v>
      </c>
      <c r="AM359" s="2336">
        <v>102.67</v>
      </c>
      <c r="AN359" s="2336">
        <v>157.4</v>
      </c>
      <c r="AO359" s="2336">
        <v>222.87</v>
      </c>
      <c r="AP359" s="2250"/>
      <c r="AQ359" s="2250"/>
      <c r="AR359" s="2333">
        <v>73.7</v>
      </c>
      <c r="AS359" s="2337">
        <v>0</v>
      </c>
      <c r="AT359" s="2337">
        <v>4.08</v>
      </c>
      <c r="AU359" s="2337">
        <v>7.62</v>
      </c>
      <c r="AV359" s="2337">
        <v>12.69</v>
      </c>
      <c r="AW359" s="2337">
        <v>20.149999999999999</v>
      </c>
      <c r="AX359" s="2337">
        <v>24.54</v>
      </c>
      <c r="AY359" s="2337">
        <v>37.85</v>
      </c>
      <c r="AZ359" s="2337">
        <v>54.77</v>
      </c>
      <c r="BA359" s="2337">
        <v>77.31</v>
      </c>
      <c r="BB359" s="2337">
        <v>118.46</v>
      </c>
      <c r="BC359" s="2337">
        <v>167.15</v>
      </c>
      <c r="BD359" s="2250"/>
      <c r="BE359" s="2250"/>
      <c r="BF359" s="1302">
        <v>97.1</v>
      </c>
      <c r="BG359" s="1302">
        <v>107.9</v>
      </c>
      <c r="BH359" s="2250"/>
      <c r="BI359" s="2275"/>
      <c r="BJ359" s="2333">
        <v>73.7</v>
      </c>
      <c r="BK359" s="2336">
        <v>0</v>
      </c>
      <c r="BL359" s="2336">
        <v>0</v>
      </c>
      <c r="BM359" s="2336">
        <v>0</v>
      </c>
      <c r="BN359" s="2336">
        <v>0</v>
      </c>
      <c r="BO359" s="2336">
        <v>0</v>
      </c>
      <c r="BP359" s="2336">
        <v>0</v>
      </c>
      <c r="BQ359" s="2336">
        <v>0</v>
      </c>
      <c r="BR359" s="2336">
        <v>0</v>
      </c>
      <c r="BS359" s="2336">
        <v>0</v>
      </c>
      <c r="BT359" s="2336">
        <v>0</v>
      </c>
      <c r="BU359" s="2336">
        <v>0</v>
      </c>
      <c r="BV359" s="2250"/>
      <c r="BW359" s="2250"/>
      <c r="BX359" s="2333">
        <v>73.7</v>
      </c>
      <c r="BY359" s="2336">
        <v>0</v>
      </c>
      <c r="BZ359" s="2336">
        <v>6.26</v>
      </c>
      <c r="CA359" s="2336">
        <v>12.39</v>
      </c>
      <c r="CB359" s="2336">
        <v>21.1</v>
      </c>
      <c r="CC359" s="2336">
        <v>33.5</v>
      </c>
      <c r="CD359" s="2336">
        <v>44.91</v>
      </c>
      <c r="CE359" s="2336">
        <v>69.39</v>
      </c>
      <c r="CF359" s="2336">
        <v>97.61</v>
      </c>
      <c r="CG359" s="2336">
        <v>132.69999999999999</v>
      </c>
      <c r="CH359" s="2336">
        <v>211.23</v>
      </c>
      <c r="CI359" s="2336">
        <v>307.36</v>
      </c>
      <c r="CJ359" s="2250"/>
      <c r="CK359" s="2250"/>
      <c r="CL359" s="2333">
        <v>73.7</v>
      </c>
      <c r="CM359" s="2336">
        <v>0</v>
      </c>
      <c r="CN359" s="2336">
        <v>5.2</v>
      </c>
      <c r="CO359" s="2336">
        <v>10.130000000000001</v>
      </c>
      <c r="CP359" s="2336">
        <v>16.93</v>
      </c>
      <c r="CQ359" s="2336">
        <v>26.93</v>
      </c>
      <c r="CR359" s="2336">
        <v>32.4</v>
      </c>
      <c r="CS359" s="2336">
        <v>50.47</v>
      </c>
      <c r="CT359" s="2336">
        <v>73.069999999999993</v>
      </c>
      <c r="CU359" s="2336">
        <v>102.67</v>
      </c>
      <c r="CV359" s="2336">
        <v>157.4</v>
      </c>
      <c r="CW359" s="2336">
        <v>222.87</v>
      </c>
      <c r="CX359" s="2250"/>
      <c r="CY359" s="2250"/>
      <c r="CZ359" s="2333">
        <v>73.7</v>
      </c>
      <c r="DA359" s="2337">
        <v>0</v>
      </c>
      <c r="DB359" s="2337">
        <v>4.08</v>
      </c>
      <c r="DC359" s="2337">
        <v>7.62</v>
      </c>
      <c r="DD359" s="2337">
        <v>12.69</v>
      </c>
      <c r="DE359" s="2337">
        <v>20.149999999999999</v>
      </c>
      <c r="DF359" s="2337">
        <v>24.54</v>
      </c>
      <c r="DG359" s="2337">
        <v>37.85</v>
      </c>
      <c r="DH359" s="2337">
        <v>54.77</v>
      </c>
      <c r="DI359" s="2337">
        <v>77.31</v>
      </c>
      <c r="DJ359" s="2337">
        <v>118.46</v>
      </c>
      <c r="DK359" s="2337">
        <v>167.15</v>
      </c>
      <c r="DL359" s="2250"/>
      <c r="DM359" s="2250"/>
      <c r="DN359" s="2250"/>
      <c r="DO359" s="53"/>
      <c r="DP359" s="53"/>
      <c r="DY359" s="2333">
        <v>73.7</v>
      </c>
      <c r="DZ359" s="2336">
        <v>0</v>
      </c>
      <c r="EA359" s="2336">
        <v>0</v>
      </c>
      <c r="EB359" s="2336">
        <v>0</v>
      </c>
      <c r="EC359" s="2336">
        <v>0</v>
      </c>
      <c r="ED359" s="2336">
        <v>0</v>
      </c>
      <c r="EE359" s="2336">
        <v>0</v>
      </c>
      <c r="EF359" s="2336">
        <v>0</v>
      </c>
      <c r="EG359" s="2336">
        <v>0</v>
      </c>
      <c r="EH359" s="2336">
        <v>0</v>
      </c>
      <c r="EI359" s="2336">
        <v>0</v>
      </c>
      <c r="EJ359" s="2336">
        <v>0</v>
      </c>
      <c r="EK359" s="2250"/>
      <c r="EL359" s="2250"/>
      <c r="EM359" s="2333">
        <v>73.7</v>
      </c>
      <c r="EN359" s="2336">
        <v>0</v>
      </c>
      <c r="EO359" s="2336">
        <v>6.26</v>
      </c>
      <c r="EP359" s="2336">
        <v>12.39</v>
      </c>
      <c r="EQ359" s="2336">
        <v>21.1</v>
      </c>
      <c r="ER359" s="2336">
        <v>33.5</v>
      </c>
      <c r="ES359" s="2336">
        <v>44.91</v>
      </c>
      <c r="ET359" s="2336">
        <v>69.39</v>
      </c>
      <c r="EU359" s="2336">
        <v>97.61</v>
      </c>
      <c r="EV359" s="2336">
        <v>132.69999999999999</v>
      </c>
      <c r="EW359" s="2336">
        <v>211.23</v>
      </c>
      <c r="EX359" s="2336">
        <v>307.36</v>
      </c>
      <c r="EY359" s="2250"/>
      <c r="EZ359" s="2250"/>
      <c r="FA359" s="2333">
        <v>73.7</v>
      </c>
      <c r="FB359" s="2336">
        <v>0</v>
      </c>
      <c r="FC359" s="2336">
        <v>5.2</v>
      </c>
      <c r="FD359" s="2336">
        <v>10.130000000000001</v>
      </c>
      <c r="FE359" s="2336">
        <v>16.93</v>
      </c>
      <c r="FF359" s="2336">
        <v>26.93</v>
      </c>
      <c r="FG359" s="2336">
        <v>32.4</v>
      </c>
      <c r="FH359" s="2336">
        <v>50.47</v>
      </c>
      <c r="FI359" s="2336">
        <v>73.069999999999993</v>
      </c>
      <c r="FJ359" s="2336">
        <v>102.67</v>
      </c>
      <c r="FK359" s="2336">
        <v>157.4</v>
      </c>
      <c r="FL359" s="2336">
        <v>222.87</v>
      </c>
      <c r="FM359" s="2250"/>
      <c r="FN359" s="2250"/>
      <c r="FO359" s="2333">
        <v>73.7</v>
      </c>
      <c r="FP359" s="2337">
        <v>0</v>
      </c>
      <c r="FQ359" s="2337">
        <v>4.08</v>
      </c>
      <c r="FR359" s="2337">
        <v>7.62</v>
      </c>
      <c r="FS359" s="2337">
        <v>12.69</v>
      </c>
      <c r="FT359" s="2337">
        <v>20.149999999999999</v>
      </c>
      <c r="FU359" s="2337">
        <v>24.54</v>
      </c>
      <c r="FV359" s="2337">
        <v>37.85</v>
      </c>
      <c r="FW359" s="2337">
        <v>54.77</v>
      </c>
      <c r="FX359" s="2337">
        <v>77.31</v>
      </c>
      <c r="FY359" s="2337">
        <v>118.46</v>
      </c>
      <c r="FZ359" s="2337">
        <v>167.15</v>
      </c>
      <c r="GA359" s="2250"/>
      <c r="GB359" s="2250"/>
      <c r="GC359" s="1302">
        <v>97.1</v>
      </c>
      <c r="GD359" s="1302">
        <v>107.9</v>
      </c>
      <c r="GE359" s="2250"/>
      <c r="GF359" s="2275"/>
      <c r="GG359" s="2333">
        <v>73.7</v>
      </c>
      <c r="GH359" s="2336">
        <v>0</v>
      </c>
      <c r="GI359" s="2336">
        <v>0</v>
      </c>
      <c r="GJ359" s="2336">
        <v>0</v>
      </c>
      <c r="GK359" s="2336">
        <v>0</v>
      </c>
      <c r="GL359" s="2336">
        <v>0</v>
      </c>
      <c r="GM359" s="2336">
        <v>0</v>
      </c>
      <c r="GN359" s="2336">
        <v>0</v>
      </c>
      <c r="GO359" s="2336">
        <v>0</v>
      </c>
      <c r="GP359" s="2336">
        <v>0</v>
      </c>
      <c r="GQ359" s="2336">
        <v>0</v>
      </c>
      <c r="GR359" s="2336">
        <v>0</v>
      </c>
      <c r="GS359" s="2250"/>
      <c r="GT359" s="2250"/>
      <c r="GU359" s="2333">
        <v>73.7</v>
      </c>
      <c r="GV359" s="2336">
        <v>0</v>
      </c>
      <c r="GW359" s="2336">
        <v>6.26</v>
      </c>
      <c r="GX359" s="2336">
        <v>12.39</v>
      </c>
      <c r="GY359" s="2336">
        <v>21.1</v>
      </c>
      <c r="GZ359" s="2336">
        <v>33.5</v>
      </c>
      <c r="HA359" s="2336">
        <v>44.91</v>
      </c>
      <c r="HB359" s="2336">
        <v>69.39</v>
      </c>
      <c r="HC359" s="2336">
        <v>97.61</v>
      </c>
      <c r="HD359" s="2336">
        <v>132.69999999999999</v>
      </c>
      <c r="HE359" s="2336">
        <v>211.23</v>
      </c>
      <c r="HF359" s="2336">
        <v>307.36</v>
      </c>
      <c r="HG359" s="2250"/>
      <c r="HH359" s="2250"/>
      <c r="HI359" s="2333">
        <v>73.7</v>
      </c>
      <c r="HJ359" s="2336">
        <v>0</v>
      </c>
      <c r="HK359" s="2336">
        <v>5.2</v>
      </c>
      <c r="HL359" s="2336">
        <v>10.130000000000001</v>
      </c>
      <c r="HM359" s="2336">
        <v>16.93</v>
      </c>
      <c r="HN359" s="2336">
        <v>26.93</v>
      </c>
      <c r="HO359" s="2336">
        <v>32.4</v>
      </c>
      <c r="HP359" s="2336">
        <v>50.47</v>
      </c>
      <c r="HQ359" s="2336">
        <v>73.069999999999993</v>
      </c>
      <c r="HR359" s="2336">
        <v>102.67</v>
      </c>
      <c r="HS359" s="2336">
        <v>157.4</v>
      </c>
      <c r="HT359" s="2336">
        <v>222.87</v>
      </c>
      <c r="HU359" s="2250"/>
      <c r="HV359" s="2250"/>
      <c r="HW359" s="2333">
        <v>73.7</v>
      </c>
      <c r="HX359" s="2337">
        <v>0</v>
      </c>
      <c r="HY359" s="2337">
        <v>4.08</v>
      </c>
      <c r="HZ359" s="2337">
        <v>7.62</v>
      </c>
      <c r="IA359" s="2337">
        <v>12.69</v>
      </c>
      <c r="IB359" s="2337">
        <v>20.149999999999999</v>
      </c>
      <c r="IC359" s="2337">
        <v>24.54</v>
      </c>
      <c r="ID359" s="2337">
        <v>37.85</v>
      </c>
      <c r="IE359" s="2337">
        <v>54.77</v>
      </c>
      <c r="IF359" s="2337">
        <v>77.31</v>
      </c>
      <c r="IG359" s="2337">
        <v>118.46</v>
      </c>
      <c r="IH359" s="2337">
        <v>167.15</v>
      </c>
      <c r="II359" s="2250"/>
      <c r="IJ359" s="2250"/>
      <c r="IK359" s="2250"/>
      <c r="IL359" s="53"/>
      <c r="IM359" s="53"/>
    </row>
    <row r="360" spans="2:247" ht="21.95" customHeight="1">
      <c r="B360" s="2333">
        <v>68.3</v>
      </c>
      <c r="C360" s="2336">
        <v>0</v>
      </c>
      <c r="D360" s="2336">
        <v>0</v>
      </c>
      <c r="E360" s="2336">
        <v>0</v>
      </c>
      <c r="F360" s="2336">
        <v>0</v>
      </c>
      <c r="G360" s="2336">
        <v>0</v>
      </c>
      <c r="H360" s="2336">
        <v>0</v>
      </c>
      <c r="I360" s="2336">
        <v>0</v>
      </c>
      <c r="J360" s="2336">
        <v>0</v>
      </c>
      <c r="K360" s="2336">
        <v>0</v>
      </c>
      <c r="L360" s="2336">
        <v>0</v>
      </c>
      <c r="M360" s="2336">
        <v>0</v>
      </c>
      <c r="N360" s="2250"/>
      <c r="O360" s="2250"/>
      <c r="P360" s="2333">
        <v>68.3</v>
      </c>
      <c r="Q360" s="2336">
        <v>0</v>
      </c>
      <c r="R360" s="2336">
        <v>6.81</v>
      </c>
      <c r="S360" s="2336">
        <v>13.25</v>
      </c>
      <c r="T360" s="2336">
        <v>22.39</v>
      </c>
      <c r="U360" s="2336">
        <v>36.32</v>
      </c>
      <c r="V360" s="2336">
        <v>49.69</v>
      </c>
      <c r="W360" s="2336">
        <v>73.010000000000005</v>
      </c>
      <c r="X360" s="2336">
        <v>105.28</v>
      </c>
      <c r="Y360" s="2336">
        <v>143.93</v>
      </c>
      <c r="Z360" s="2336">
        <v>223.44</v>
      </c>
      <c r="AA360" s="2336">
        <v>322.88</v>
      </c>
      <c r="AB360" s="2250"/>
      <c r="AC360" s="2250"/>
      <c r="AD360" s="2333">
        <v>68.3</v>
      </c>
      <c r="AE360" s="2336">
        <v>0</v>
      </c>
      <c r="AF360" s="2336">
        <v>5.67</v>
      </c>
      <c r="AG360" s="2336">
        <v>10.93</v>
      </c>
      <c r="AH360" s="2336">
        <v>18.670000000000002</v>
      </c>
      <c r="AI360" s="2336">
        <v>28.07</v>
      </c>
      <c r="AJ360" s="2336">
        <v>35.869999999999997</v>
      </c>
      <c r="AK360" s="2336">
        <v>52.93</v>
      </c>
      <c r="AL360" s="2336">
        <v>76.27</v>
      </c>
      <c r="AM360" s="2336">
        <v>111.27</v>
      </c>
      <c r="AN360" s="2336">
        <v>169</v>
      </c>
      <c r="AO360" s="2336">
        <v>236.53</v>
      </c>
      <c r="AP360" s="2250"/>
      <c r="AQ360" s="2250"/>
      <c r="AR360" s="2333">
        <v>68.3</v>
      </c>
      <c r="AS360" s="2337">
        <v>0</v>
      </c>
      <c r="AT360" s="2337">
        <v>4.38</v>
      </c>
      <c r="AU360" s="2337">
        <v>8.23</v>
      </c>
      <c r="AV360" s="2337">
        <v>13.38</v>
      </c>
      <c r="AW360" s="2337">
        <v>21.08</v>
      </c>
      <c r="AX360" s="2337">
        <v>27.15</v>
      </c>
      <c r="AY360" s="2337">
        <v>39.770000000000003</v>
      </c>
      <c r="AZ360" s="2337">
        <v>57.23</v>
      </c>
      <c r="BA360" s="2337">
        <v>84.08</v>
      </c>
      <c r="BB360" s="2337">
        <v>126.77</v>
      </c>
      <c r="BC360" s="2337">
        <v>177.38</v>
      </c>
      <c r="BD360" s="2250"/>
      <c r="BE360" s="2250"/>
      <c r="BF360" s="1302">
        <v>107.9</v>
      </c>
      <c r="BG360" s="1302">
        <v>120.7</v>
      </c>
      <c r="BH360" s="2250"/>
      <c r="BI360" s="2275"/>
      <c r="BJ360" s="2333">
        <v>68.3</v>
      </c>
      <c r="BK360" s="2336">
        <v>0</v>
      </c>
      <c r="BL360" s="2336">
        <v>0</v>
      </c>
      <c r="BM360" s="2336">
        <v>0</v>
      </c>
      <c r="BN360" s="2336">
        <v>0</v>
      </c>
      <c r="BO360" s="2336">
        <v>0</v>
      </c>
      <c r="BP360" s="2336">
        <v>0</v>
      </c>
      <c r="BQ360" s="2336">
        <v>0</v>
      </c>
      <c r="BR360" s="2336">
        <v>0</v>
      </c>
      <c r="BS360" s="2336">
        <v>0</v>
      </c>
      <c r="BT360" s="2336">
        <v>0</v>
      </c>
      <c r="BU360" s="2336">
        <v>0</v>
      </c>
      <c r="BV360" s="2250"/>
      <c r="BW360" s="2250"/>
      <c r="BX360" s="2333">
        <v>68.3</v>
      </c>
      <c r="BY360" s="2336">
        <v>0</v>
      </c>
      <c r="BZ360" s="2336">
        <v>6.81</v>
      </c>
      <c r="CA360" s="2336">
        <v>13.25</v>
      </c>
      <c r="CB360" s="2336">
        <v>22.39</v>
      </c>
      <c r="CC360" s="2336">
        <v>36.32</v>
      </c>
      <c r="CD360" s="2336">
        <v>49.69</v>
      </c>
      <c r="CE360" s="2336">
        <v>73.010000000000005</v>
      </c>
      <c r="CF360" s="2336">
        <v>105.28</v>
      </c>
      <c r="CG360" s="2336">
        <v>143.93</v>
      </c>
      <c r="CH360" s="2336">
        <v>223.44</v>
      </c>
      <c r="CI360" s="2336">
        <v>322.88</v>
      </c>
      <c r="CJ360" s="2250"/>
      <c r="CK360" s="2250"/>
      <c r="CL360" s="2333">
        <v>68.3</v>
      </c>
      <c r="CM360" s="2336">
        <v>0</v>
      </c>
      <c r="CN360" s="2336">
        <v>5.67</v>
      </c>
      <c r="CO360" s="2336">
        <v>10.93</v>
      </c>
      <c r="CP360" s="2336">
        <v>18.670000000000002</v>
      </c>
      <c r="CQ360" s="2336">
        <v>28.07</v>
      </c>
      <c r="CR360" s="2336">
        <v>35.869999999999997</v>
      </c>
      <c r="CS360" s="2336">
        <v>52.93</v>
      </c>
      <c r="CT360" s="2336">
        <v>76.27</v>
      </c>
      <c r="CU360" s="2336">
        <v>111.27</v>
      </c>
      <c r="CV360" s="2336">
        <v>169</v>
      </c>
      <c r="CW360" s="2336">
        <v>236.53</v>
      </c>
      <c r="CX360" s="2250"/>
      <c r="CY360" s="2250"/>
      <c r="CZ360" s="2333">
        <v>68.3</v>
      </c>
      <c r="DA360" s="2337">
        <v>0</v>
      </c>
      <c r="DB360" s="2337">
        <v>4.38</v>
      </c>
      <c r="DC360" s="2337">
        <v>8.23</v>
      </c>
      <c r="DD360" s="2337">
        <v>13.38</v>
      </c>
      <c r="DE360" s="2337">
        <v>21.08</v>
      </c>
      <c r="DF360" s="2337">
        <v>27.15</v>
      </c>
      <c r="DG360" s="2337">
        <v>39.770000000000003</v>
      </c>
      <c r="DH360" s="2337">
        <v>57.23</v>
      </c>
      <c r="DI360" s="2337">
        <v>84.08</v>
      </c>
      <c r="DJ360" s="2337">
        <v>126.77</v>
      </c>
      <c r="DK360" s="2337">
        <v>177.38</v>
      </c>
      <c r="DL360" s="2250"/>
      <c r="DM360" s="2250"/>
      <c r="DN360" s="2250"/>
      <c r="DO360" s="53"/>
      <c r="DP360" s="53"/>
      <c r="DY360" s="2333">
        <v>68.3</v>
      </c>
      <c r="DZ360" s="2336">
        <v>0</v>
      </c>
      <c r="EA360" s="2336">
        <v>0</v>
      </c>
      <c r="EB360" s="2336">
        <v>0</v>
      </c>
      <c r="EC360" s="2336">
        <v>0</v>
      </c>
      <c r="ED360" s="2336">
        <v>0</v>
      </c>
      <c r="EE360" s="2336">
        <v>0</v>
      </c>
      <c r="EF360" s="2336">
        <v>0</v>
      </c>
      <c r="EG360" s="2336">
        <v>0</v>
      </c>
      <c r="EH360" s="2336">
        <v>0</v>
      </c>
      <c r="EI360" s="2336">
        <v>0</v>
      </c>
      <c r="EJ360" s="2336">
        <v>0</v>
      </c>
      <c r="EK360" s="2250"/>
      <c r="EL360" s="2250"/>
      <c r="EM360" s="2333">
        <v>68.3</v>
      </c>
      <c r="EN360" s="2336">
        <v>0</v>
      </c>
      <c r="EO360" s="2336">
        <v>6.81</v>
      </c>
      <c r="EP360" s="2336">
        <v>13.25</v>
      </c>
      <c r="EQ360" s="2336">
        <v>22.39</v>
      </c>
      <c r="ER360" s="2336">
        <v>36.32</v>
      </c>
      <c r="ES360" s="2336">
        <v>49.69</v>
      </c>
      <c r="ET360" s="2336">
        <v>73.010000000000005</v>
      </c>
      <c r="EU360" s="2336">
        <v>105.28</v>
      </c>
      <c r="EV360" s="2336">
        <v>143.93</v>
      </c>
      <c r="EW360" s="2336">
        <v>223.44</v>
      </c>
      <c r="EX360" s="2336">
        <v>322.88</v>
      </c>
      <c r="EY360" s="2250"/>
      <c r="EZ360" s="2250"/>
      <c r="FA360" s="2333">
        <v>68.3</v>
      </c>
      <c r="FB360" s="2336">
        <v>0</v>
      </c>
      <c r="FC360" s="2336">
        <v>5.67</v>
      </c>
      <c r="FD360" s="2336">
        <v>10.93</v>
      </c>
      <c r="FE360" s="2336">
        <v>18.670000000000002</v>
      </c>
      <c r="FF360" s="2336">
        <v>28.07</v>
      </c>
      <c r="FG360" s="2336">
        <v>35.869999999999997</v>
      </c>
      <c r="FH360" s="2336">
        <v>52.93</v>
      </c>
      <c r="FI360" s="2336">
        <v>76.27</v>
      </c>
      <c r="FJ360" s="2336">
        <v>111.27</v>
      </c>
      <c r="FK360" s="2336">
        <v>169</v>
      </c>
      <c r="FL360" s="2336">
        <v>236.53</v>
      </c>
      <c r="FM360" s="2250"/>
      <c r="FN360" s="2250"/>
      <c r="FO360" s="2333">
        <v>68.3</v>
      </c>
      <c r="FP360" s="2337">
        <v>0</v>
      </c>
      <c r="FQ360" s="2337">
        <v>4.38</v>
      </c>
      <c r="FR360" s="2337">
        <v>8.23</v>
      </c>
      <c r="FS360" s="2337">
        <v>13.38</v>
      </c>
      <c r="FT360" s="2337">
        <v>21.08</v>
      </c>
      <c r="FU360" s="2337">
        <v>27.15</v>
      </c>
      <c r="FV360" s="2337">
        <v>39.770000000000003</v>
      </c>
      <c r="FW360" s="2337">
        <v>57.23</v>
      </c>
      <c r="FX360" s="2337">
        <v>84.08</v>
      </c>
      <c r="FY360" s="2337">
        <v>126.77</v>
      </c>
      <c r="FZ360" s="2337">
        <v>177.38</v>
      </c>
      <c r="GA360" s="2250"/>
      <c r="GB360" s="2250"/>
      <c r="GC360" s="1302">
        <v>107.9</v>
      </c>
      <c r="GD360" s="1302">
        <v>120.7</v>
      </c>
      <c r="GE360" s="2250"/>
      <c r="GF360" s="2275"/>
      <c r="GG360" s="2333">
        <v>68.3</v>
      </c>
      <c r="GH360" s="2336">
        <v>0</v>
      </c>
      <c r="GI360" s="2336">
        <v>0</v>
      </c>
      <c r="GJ360" s="2336">
        <v>0</v>
      </c>
      <c r="GK360" s="2336">
        <v>0</v>
      </c>
      <c r="GL360" s="2336">
        <v>0</v>
      </c>
      <c r="GM360" s="2336">
        <v>0</v>
      </c>
      <c r="GN360" s="2336">
        <v>0</v>
      </c>
      <c r="GO360" s="2336">
        <v>0</v>
      </c>
      <c r="GP360" s="2336">
        <v>0</v>
      </c>
      <c r="GQ360" s="2336">
        <v>0</v>
      </c>
      <c r="GR360" s="2336">
        <v>0</v>
      </c>
      <c r="GS360" s="2250"/>
      <c r="GT360" s="2250"/>
      <c r="GU360" s="2333">
        <v>68.3</v>
      </c>
      <c r="GV360" s="2336">
        <v>0</v>
      </c>
      <c r="GW360" s="2336">
        <v>6.81</v>
      </c>
      <c r="GX360" s="2336">
        <v>13.25</v>
      </c>
      <c r="GY360" s="2336">
        <v>22.39</v>
      </c>
      <c r="GZ360" s="2336">
        <v>36.32</v>
      </c>
      <c r="HA360" s="2336">
        <v>49.69</v>
      </c>
      <c r="HB360" s="2336">
        <v>73.010000000000005</v>
      </c>
      <c r="HC360" s="2336">
        <v>105.28</v>
      </c>
      <c r="HD360" s="2336">
        <v>143.93</v>
      </c>
      <c r="HE360" s="2336">
        <v>223.44</v>
      </c>
      <c r="HF360" s="2336">
        <v>322.88</v>
      </c>
      <c r="HG360" s="2250"/>
      <c r="HH360" s="2250"/>
      <c r="HI360" s="2333">
        <v>68.3</v>
      </c>
      <c r="HJ360" s="2336">
        <v>0</v>
      </c>
      <c r="HK360" s="2336">
        <v>5.67</v>
      </c>
      <c r="HL360" s="2336">
        <v>10.93</v>
      </c>
      <c r="HM360" s="2336">
        <v>18.670000000000002</v>
      </c>
      <c r="HN360" s="2336">
        <v>28.07</v>
      </c>
      <c r="HO360" s="2336">
        <v>35.869999999999997</v>
      </c>
      <c r="HP360" s="2336">
        <v>52.93</v>
      </c>
      <c r="HQ360" s="2336">
        <v>76.27</v>
      </c>
      <c r="HR360" s="2336">
        <v>111.27</v>
      </c>
      <c r="HS360" s="2336">
        <v>169</v>
      </c>
      <c r="HT360" s="2336">
        <v>236.53</v>
      </c>
      <c r="HU360" s="2250"/>
      <c r="HV360" s="2250"/>
      <c r="HW360" s="2333">
        <v>68.3</v>
      </c>
      <c r="HX360" s="2337">
        <v>0</v>
      </c>
      <c r="HY360" s="2337">
        <v>4.38</v>
      </c>
      <c r="HZ360" s="2337">
        <v>8.23</v>
      </c>
      <c r="IA360" s="2337">
        <v>13.38</v>
      </c>
      <c r="IB360" s="2337">
        <v>21.08</v>
      </c>
      <c r="IC360" s="2337">
        <v>27.15</v>
      </c>
      <c r="ID360" s="2337">
        <v>39.770000000000003</v>
      </c>
      <c r="IE360" s="2337">
        <v>57.23</v>
      </c>
      <c r="IF360" s="2337">
        <v>84.08</v>
      </c>
      <c r="IG360" s="2337">
        <v>126.77</v>
      </c>
      <c r="IH360" s="2337">
        <v>177.38</v>
      </c>
      <c r="II360" s="2250"/>
      <c r="IJ360" s="2250"/>
      <c r="IK360" s="2250"/>
      <c r="IL360" s="53"/>
      <c r="IM360" s="53"/>
    </row>
    <row r="361" spans="2:247" ht="21.95" customHeight="1">
      <c r="B361" s="2333">
        <v>63.4</v>
      </c>
      <c r="C361" s="2336">
        <v>0</v>
      </c>
      <c r="D361" s="2336">
        <v>0</v>
      </c>
      <c r="E361" s="2336">
        <v>0</v>
      </c>
      <c r="F361" s="2336">
        <v>0</v>
      </c>
      <c r="G361" s="2336">
        <v>0</v>
      </c>
      <c r="H361" s="2336">
        <v>0</v>
      </c>
      <c r="I361" s="2336">
        <v>0</v>
      </c>
      <c r="J361" s="2336">
        <v>0</v>
      </c>
      <c r="K361" s="2336">
        <v>0</v>
      </c>
      <c r="L361" s="2336">
        <v>0</v>
      </c>
      <c r="M361" s="2336">
        <v>0</v>
      </c>
      <c r="N361" s="2250"/>
      <c r="O361" s="2250"/>
      <c r="P361" s="2333">
        <v>63.4</v>
      </c>
      <c r="Q361" s="2336">
        <v>0</v>
      </c>
      <c r="R361" s="2336">
        <v>7.24</v>
      </c>
      <c r="S361" s="2336">
        <v>14.11</v>
      </c>
      <c r="T361" s="2336">
        <v>24.11</v>
      </c>
      <c r="U361" s="2336">
        <v>38.71</v>
      </c>
      <c r="V361" s="2336">
        <v>52.58</v>
      </c>
      <c r="W361" s="2336">
        <v>75.95</v>
      </c>
      <c r="X361" s="2336">
        <v>111.66</v>
      </c>
      <c r="Y361" s="2336">
        <v>153.31</v>
      </c>
      <c r="Z361" s="2336">
        <v>236.32</v>
      </c>
      <c r="AA361" s="2336">
        <v>338.1</v>
      </c>
      <c r="AB361" s="2250"/>
      <c r="AC361" s="2250"/>
      <c r="AD361" s="2333">
        <v>63.4</v>
      </c>
      <c r="AE361" s="2336">
        <v>0</v>
      </c>
      <c r="AF361" s="2336">
        <v>6</v>
      </c>
      <c r="AG361" s="2336">
        <v>11.6</v>
      </c>
      <c r="AH361" s="2336">
        <v>17.670000000000002</v>
      </c>
      <c r="AI361" s="2336">
        <v>29.73</v>
      </c>
      <c r="AJ361" s="2336">
        <v>37.869999999999997</v>
      </c>
      <c r="AK361" s="2336">
        <v>55.07</v>
      </c>
      <c r="AL361" s="2336">
        <v>80.67</v>
      </c>
      <c r="AM361" s="2336">
        <v>118.47</v>
      </c>
      <c r="AN361" s="2336">
        <v>171.33</v>
      </c>
      <c r="AO361" s="2336">
        <v>243.93</v>
      </c>
      <c r="AP361" s="2250"/>
      <c r="AQ361" s="2250"/>
      <c r="AR361" s="2333">
        <v>63.4</v>
      </c>
      <c r="AS361" s="2337">
        <v>0</v>
      </c>
      <c r="AT361" s="2337">
        <v>4.6900000000000004</v>
      </c>
      <c r="AU361" s="2337">
        <v>8.69</v>
      </c>
      <c r="AV361" s="2337">
        <v>14.08</v>
      </c>
      <c r="AW361" s="2337">
        <v>22.38</v>
      </c>
      <c r="AX361" s="2337">
        <v>28.77</v>
      </c>
      <c r="AY361" s="2337">
        <v>41.77</v>
      </c>
      <c r="AZ361" s="2337">
        <v>60.69</v>
      </c>
      <c r="BA361" s="2337">
        <v>89.15</v>
      </c>
      <c r="BB361" s="2337">
        <v>129.91999999999999</v>
      </c>
      <c r="BC361" s="2337">
        <v>184.69</v>
      </c>
      <c r="BD361" s="2250"/>
      <c r="BE361" s="2250"/>
      <c r="BF361" s="1302">
        <v>120.7</v>
      </c>
      <c r="BG361" s="1302">
        <v>129.80000000000001</v>
      </c>
      <c r="BH361" s="2250"/>
      <c r="BI361" s="2275"/>
      <c r="BJ361" s="2333">
        <v>63.4</v>
      </c>
      <c r="BK361" s="2336">
        <v>0</v>
      </c>
      <c r="BL361" s="2336">
        <v>0</v>
      </c>
      <c r="BM361" s="2336">
        <v>0</v>
      </c>
      <c r="BN361" s="2336">
        <v>0</v>
      </c>
      <c r="BO361" s="2336">
        <v>0</v>
      </c>
      <c r="BP361" s="2336">
        <v>0</v>
      </c>
      <c r="BQ361" s="2336">
        <v>0</v>
      </c>
      <c r="BR361" s="2336">
        <v>0</v>
      </c>
      <c r="BS361" s="2336">
        <v>0</v>
      </c>
      <c r="BT361" s="2336">
        <v>0</v>
      </c>
      <c r="BU361" s="2336">
        <v>0</v>
      </c>
      <c r="BV361" s="2250"/>
      <c r="BW361" s="2250"/>
      <c r="BX361" s="2333">
        <v>63.4</v>
      </c>
      <c r="BY361" s="2336">
        <v>0</v>
      </c>
      <c r="BZ361" s="2336">
        <v>7.24</v>
      </c>
      <c r="CA361" s="2336">
        <v>14.11</v>
      </c>
      <c r="CB361" s="2336">
        <v>24.11</v>
      </c>
      <c r="CC361" s="2336">
        <v>38.71</v>
      </c>
      <c r="CD361" s="2336">
        <v>52.58</v>
      </c>
      <c r="CE361" s="2336">
        <v>75.95</v>
      </c>
      <c r="CF361" s="2336">
        <v>111.66</v>
      </c>
      <c r="CG361" s="2336">
        <v>153.31</v>
      </c>
      <c r="CH361" s="2336">
        <v>236.32</v>
      </c>
      <c r="CI361" s="2336">
        <v>338.1</v>
      </c>
      <c r="CJ361" s="2250"/>
      <c r="CK361" s="2250"/>
      <c r="CL361" s="2333">
        <v>63.4</v>
      </c>
      <c r="CM361" s="2336">
        <v>0</v>
      </c>
      <c r="CN361" s="2336">
        <v>6</v>
      </c>
      <c r="CO361" s="2336">
        <v>11.6</v>
      </c>
      <c r="CP361" s="2336">
        <v>17.670000000000002</v>
      </c>
      <c r="CQ361" s="2336">
        <v>29.73</v>
      </c>
      <c r="CR361" s="2336">
        <v>37.869999999999997</v>
      </c>
      <c r="CS361" s="2336">
        <v>55.07</v>
      </c>
      <c r="CT361" s="2336">
        <v>80.67</v>
      </c>
      <c r="CU361" s="2336">
        <v>118.47</v>
      </c>
      <c r="CV361" s="2336">
        <v>171.33</v>
      </c>
      <c r="CW361" s="2336">
        <v>243.93</v>
      </c>
      <c r="CX361" s="2250"/>
      <c r="CY361" s="2250"/>
      <c r="CZ361" s="2333">
        <v>63.4</v>
      </c>
      <c r="DA361" s="2337">
        <v>0</v>
      </c>
      <c r="DB361" s="2337">
        <v>4.6900000000000004</v>
      </c>
      <c r="DC361" s="2337">
        <v>8.69</v>
      </c>
      <c r="DD361" s="2337">
        <v>14.08</v>
      </c>
      <c r="DE361" s="2337">
        <v>22.38</v>
      </c>
      <c r="DF361" s="2337">
        <v>28.77</v>
      </c>
      <c r="DG361" s="2337">
        <v>41.77</v>
      </c>
      <c r="DH361" s="2337">
        <v>60.69</v>
      </c>
      <c r="DI361" s="2337">
        <v>89.15</v>
      </c>
      <c r="DJ361" s="2337">
        <v>129.91999999999999</v>
      </c>
      <c r="DK361" s="2337">
        <v>184.69</v>
      </c>
      <c r="DL361" s="2250"/>
      <c r="DM361" s="2250"/>
      <c r="DN361" s="2250"/>
      <c r="DO361" s="53"/>
      <c r="DP361" s="53"/>
      <c r="DY361" s="2333">
        <v>63.4</v>
      </c>
      <c r="DZ361" s="2336">
        <v>0</v>
      </c>
      <c r="EA361" s="2336">
        <v>0</v>
      </c>
      <c r="EB361" s="2336">
        <v>0</v>
      </c>
      <c r="EC361" s="2336">
        <v>0</v>
      </c>
      <c r="ED361" s="2336">
        <v>0</v>
      </c>
      <c r="EE361" s="2336">
        <v>0</v>
      </c>
      <c r="EF361" s="2336">
        <v>0</v>
      </c>
      <c r="EG361" s="2336">
        <v>0</v>
      </c>
      <c r="EH361" s="2336">
        <v>0</v>
      </c>
      <c r="EI361" s="2336">
        <v>0</v>
      </c>
      <c r="EJ361" s="2336">
        <v>0</v>
      </c>
      <c r="EK361" s="2250"/>
      <c r="EL361" s="2250"/>
      <c r="EM361" s="2333">
        <v>63.4</v>
      </c>
      <c r="EN361" s="2336">
        <v>0</v>
      </c>
      <c r="EO361" s="2336">
        <v>7.24</v>
      </c>
      <c r="EP361" s="2336">
        <v>14.11</v>
      </c>
      <c r="EQ361" s="2336">
        <v>24.11</v>
      </c>
      <c r="ER361" s="2336">
        <v>38.71</v>
      </c>
      <c r="ES361" s="2336">
        <v>52.58</v>
      </c>
      <c r="ET361" s="2336">
        <v>75.95</v>
      </c>
      <c r="EU361" s="2336">
        <v>111.66</v>
      </c>
      <c r="EV361" s="2336">
        <v>153.31</v>
      </c>
      <c r="EW361" s="2336">
        <v>236.32</v>
      </c>
      <c r="EX361" s="2336">
        <v>338.1</v>
      </c>
      <c r="EY361" s="2250"/>
      <c r="EZ361" s="2250"/>
      <c r="FA361" s="2333">
        <v>63.4</v>
      </c>
      <c r="FB361" s="2336">
        <v>0</v>
      </c>
      <c r="FC361" s="2336">
        <v>6</v>
      </c>
      <c r="FD361" s="2336">
        <v>11.6</v>
      </c>
      <c r="FE361" s="2336">
        <v>17.670000000000002</v>
      </c>
      <c r="FF361" s="2336">
        <v>29.73</v>
      </c>
      <c r="FG361" s="2336">
        <v>37.869999999999997</v>
      </c>
      <c r="FH361" s="2336">
        <v>55.07</v>
      </c>
      <c r="FI361" s="2336">
        <v>80.67</v>
      </c>
      <c r="FJ361" s="2336">
        <v>118.47</v>
      </c>
      <c r="FK361" s="2336">
        <v>171.33</v>
      </c>
      <c r="FL361" s="2336">
        <v>243.93</v>
      </c>
      <c r="FM361" s="2250"/>
      <c r="FN361" s="2250"/>
      <c r="FO361" s="2333">
        <v>63.4</v>
      </c>
      <c r="FP361" s="2337">
        <v>0</v>
      </c>
      <c r="FQ361" s="2337">
        <v>4.6900000000000004</v>
      </c>
      <c r="FR361" s="2337">
        <v>8.69</v>
      </c>
      <c r="FS361" s="2337">
        <v>14.08</v>
      </c>
      <c r="FT361" s="2337">
        <v>22.38</v>
      </c>
      <c r="FU361" s="2337">
        <v>28.77</v>
      </c>
      <c r="FV361" s="2337">
        <v>41.77</v>
      </c>
      <c r="FW361" s="2337">
        <v>60.69</v>
      </c>
      <c r="FX361" s="2337">
        <v>89.15</v>
      </c>
      <c r="FY361" s="2337">
        <v>129.91999999999999</v>
      </c>
      <c r="FZ361" s="2337">
        <v>184.69</v>
      </c>
      <c r="GA361" s="2250"/>
      <c r="GB361" s="2250"/>
      <c r="GC361" s="1302">
        <v>120.7</v>
      </c>
      <c r="GD361" s="1302">
        <v>129.80000000000001</v>
      </c>
      <c r="GE361" s="2250"/>
      <c r="GF361" s="2275"/>
      <c r="GG361" s="2333">
        <v>63.4</v>
      </c>
      <c r="GH361" s="2336">
        <v>0</v>
      </c>
      <c r="GI361" s="2336">
        <v>0</v>
      </c>
      <c r="GJ361" s="2336">
        <v>0</v>
      </c>
      <c r="GK361" s="2336">
        <v>0</v>
      </c>
      <c r="GL361" s="2336">
        <v>0</v>
      </c>
      <c r="GM361" s="2336">
        <v>0</v>
      </c>
      <c r="GN361" s="2336">
        <v>0</v>
      </c>
      <c r="GO361" s="2336">
        <v>0</v>
      </c>
      <c r="GP361" s="2336">
        <v>0</v>
      </c>
      <c r="GQ361" s="2336">
        <v>0</v>
      </c>
      <c r="GR361" s="2336">
        <v>0</v>
      </c>
      <c r="GS361" s="2250"/>
      <c r="GT361" s="2250"/>
      <c r="GU361" s="2333">
        <v>63.4</v>
      </c>
      <c r="GV361" s="2336">
        <v>0</v>
      </c>
      <c r="GW361" s="2336">
        <v>7.24</v>
      </c>
      <c r="GX361" s="2336">
        <v>14.11</v>
      </c>
      <c r="GY361" s="2336">
        <v>24.11</v>
      </c>
      <c r="GZ361" s="2336">
        <v>38.71</v>
      </c>
      <c r="HA361" s="2336">
        <v>52.58</v>
      </c>
      <c r="HB361" s="2336">
        <v>75.95</v>
      </c>
      <c r="HC361" s="2336">
        <v>111.66</v>
      </c>
      <c r="HD361" s="2336">
        <v>153.31</v>
      </c>
      <c r="HE361" s="2336">
        <v>236.32</v>
      </c>
      <c r="HF361" s="2336">
        <v>338.1</v>
      </c>
      <c r="HG361" s="2250"/>
      <c r="HH361" s="2250"/>
      <c r="HI361" s="2333">
        <v>63.4</v>
      </c>
      <c r="HJ361" s="2336">
        <v>0</v>
      </c>
      <c r="HK361" s="2336">
        <v>6</v>
      </c>
      <c r="HL361" s="2336">
        <v>11.6</v>
      </c>
      <c r="HM361" s="2336">
        <v>17.670000000000002</v>
      </c>
      <c r="HN361" s="2336">
        <v>29.73</v>
      </c>
      <c r="HO361" s="2336">
        <v>37.869999999999997</v>
      </c>
      <c r="HP361" s="2336">
        <v>55.07</v>
      </c>
      <c r="HQ361" s="2336">
        <v>80.67</v>
      </c>
      <c r="HR361" s="2336">
        <v>118.47</v>
      </c>
      <c r="HS361" s="2336">
        <v>171.33</v>
      </c>
      <c r="HT361" s="2336">
        <v>243.93</v>
      </c>
      <c r="HU361" s="2250"/>
      <c r="HV361" s="2250"/>
      <c r="HW361" s="2333">
        <v>63.4</v>
      </c>
      <c r="HX361" s="2337">
        <v>0</v>
      </c>
      <c r="HY361" s="2337">
        <v>4.6900000000000004</v>
      </c>
      <c r="HZ361" s="2337">
        <v>8.69</v>
      </c>
      <c r="IA361" s="2337">
        <v>14.08</v>
      </c>
      <c r="IB361" s="2337">
        <v>22.38</v>
      </c>
      <c r="IC361" s="2337">
        <v>28.77</v>
      </c>
      <c r="ID361" s="2337">
        <v>41.77</v>
      </c>
      <c r="IE361" s="2337">
        <v>60.69</v>
      </c>
      <c r="IF361" s="2337">
        <v>89.15</v>
      </c>
      <c r="IG361" s="2337">
        <v>129.91999999999999</v>
      </c>
      <c r="IH361" s="2337">
        <v>184.69</v>
      </c>
      <c r="II361" s="2250"/>
      <c r="IJ361" s="2250"/>
      <c r="IK361" s="2250"/>
      <c r="IL361" s="53"/>
      <c r="IM361" s="53"/>
    </row>
    <row r="362" spans="2:247" ht="21.95" customHeight="1">
      <c r="B362" s="2333">
        <v>58.1</v>
      </c>
      <c r="C362" s="2336">
        <v>0</v>
      </c>
      <c r="D362" s="2336">
        <v>0</v>
      </c>
      <c r="E362" s="2336">
        <v>0</v>
      </c>
      <c r="F362" s="2336">
        <v>0</v>
      </c>
      <c r="G362" s="2336">
        <v>0</v>
      </c>
      <c r="H362" s="2336">
        <v>0</v>
      </c>
      <c r="I362" s="2336">
        <v>0</v>
      </c>
      <c r="J362" s="2336">
        <v>0</v>
      </c>
      <c r="K362" s="2336">
        <v>0</v>
      </c>
      <c r="L362" s="2336">
        <v>0</v>
      </c>
      <c r="M362" s="2336">
        <v>0</v>
      </c>
      <c r="N362" s="2250"/>
      <c r="O362" s="2250"/>
      <c r="P362" s="2333">
        <v>58.1</v>
      </c>
      <c r="Q362" s="2336">
        <v>0</v>
      </c>
      <c r="R362" s="2336">
        <v>7.67</v>
      </c>
      <c r="S362" s="2336">
        <v>15.21</v>
      </c>
      <c r="T362" s="2336">
        <v>26.13</v>
      </c>
      <c r="U362" s="2336">
        <v>41.41</v>
      </c>
      <c r="V362" s="2336">
        <v>55.34</v>
      </c>
      <c r="W362" s="2336">
        <v>83.56</v>
      </c>
      <c r="X362" s="2336">
        <v>121.66</v>
      </c>
      <c r="Y362" s="2336">
        <v>156.63</v>
      </c>
      <c r="Z362" s="2336">
        <v>261.17</v>
      </c>
      <c r="AA362" s="2336">
        <v>372.94</v>
      </c>
      <c r="AB362" s="2250"/>
      <c r="AC362" s="2250"/>
      <c r="AD362" s="2333">
        <v>58.1</v>
      </c>
      <c r="AE362" s="2336">
        <v>0</v>
      </c>
      <c r="AF362" s="2336">
        <v>6.4</v>
      </c>
      <c r="AG362" s="2336">
        <v>12.67</v>
      </c>
      <c r="AH362" s="2336">
        <v>20.53</v>
      </c>
      <c r="AI362" s="2336">
        <v>32.67</v>
      </c>
      <c r="AJ362" s="2336">
        <v>39.869999999999997</v>
      </c>
      <c r="AK362" s="2336">
        <v>60.53</v>
      </c>
      <c r="AL362" s="2336">
        <v>89.27</v>
      </c>
      <c r="AM362" s="2336">
        <v>127.73</v>
      </c>
      <c r="AN362" s="2336">
        <v>194</v>
      </c>
      <c r="AO362" s="2336">
        <v>269.07</v>
      </c>
      <c r="AP362" s="2250"/>
      <c r="AQ362" s="2250"/>
      <c r="AR362" s="2333">
        <v>58.1</v>
      </c>
      <c r="AS362" s="2337">
        <v>0</v>
      </c>
      <c r="AT362" s="2337">
        <v>5.31</v>
      </c>
      <c r="AU362" s="2337">
        <v>9.85</v>
      </c>
      <c r="AV362" s="2337">
        <v>15.54</v>
      </c>
      <c r="AW362" s="2337">
        <v>24.62</v>
      </c>
      <c r="AX362" s="2337">
        <v>30.46</v>
      </c>
      <c r="AY362" s="2337">
        <v>45.85</v>
      </c>
      <c r="AZ362" s="2337">
        <v>67.23</v>
      </c>
      <c r="BA362" s="2337">
        <v>96.15</v>
      </c>
      <c r="BB362" s="2337">
        <v>146.69</v>
      </c>
      <c r="BC362" s="2337">
        <v>203.77</v>
      </c>
      <c r="BD362" s="2250"/>
      <c r="BE362" s="2250"/>
      <c r="BF362" s="1302">
        <v>129.80000000000001</v>
      </c>
      <c r="BG362" s="1302">
        <v>140.1</v>
      </c>
      <c r="BH362" s="2250"/>
      <c r="BI362" s="2275"/>
      <c r="BJ362" s="2333">
        <v>58.1</v>
      </c>
      <c r="BK362" s="2336">
        <v>0</v>
      </c>
      <c r="BL362" s="2336">
        <v>0</v>
      </c>
      <c r="BM362" s="2336">
        <v>0</v>
      </c>
      <c r="BN362" s="2336">
        <v>0</v>
      </c>
      <c r="BO362" s="2336">
        <v>0</v>
      </c>
      <c r="BP362" s="2336">
        <v>0</v>
      </c>
      <c r="BQ362" s="2336">
        <v>0</v>
      </c>
      <c r="BR362" s="2336">
        <v>0</v>
      </c>
      <c r="BS362" s="2336">
        <v>0</v>
      </c>
      <c r="BT362" s="2336">
        <v>0</v>
      </c>
      <c r="BU362" s="2336">
        <v>0</v>
      </c>
      <c r="BV362" s="2250"/>
      <c r="BW362" s="2250"/>
      <c r="BX362" s="2333">
        <v>58.1</v>
      </c>
      <c r="BY362" s="2336">
        <v>0</v>
      </c>
      <c r="BZ362" s="2336">
        <v>7.67</v>
      </c>
      <c r="CA362" s="2336">
        <v>15.21</v>
      </c>
      <c r="CB362" s="2336">
        <v>26.13</v>
      </c>
      <c r="CC362" s="2336">
        <v>41.41</v>
      </c>
      <c r="CD362" s="2336">
        <v>55.34</v>
      </c>
      <c r="CE362" s="2336">
        <v>83.56</v>
      </c>
      <c r="CF362" s="2336">
        <v>121.66</v>
      </c>
      <c r="CG362" s="2336">
        <v>156.63</v>
      </c>
      <c r="CH362" s="2336">
        <v>261.17</v>
      </c>
      <c r="CI362" s="2336">
        <v>372.94</v>
      </c>
      <c r="CJ362" s="2250"/>
      <c r="CK362" s="2250"/>
      <c r="CL362" s="2333">
        <v>58.1</v>
      </c>
      <c r="CM362" s="2336">
        <v>0</v>
      </c>
      <c r="CN362" s="2336">
        <v>6.4</v>
      </c>
      <c r="CO362" s="2336">
        <v>12.67</v>
      </c>
      <c r="CP362" s="2336">
        <v>20.53</v>
      </c>
      <c r="CQ362" s="2336">
        <v>32.67</v>
      </c>
      <c r="CR362" s="2336">
        <v>39.869999999999997</v>
      </c>
      <c r="CS362" s="2336">
        <v>60.53</v>
      </c>
      <c r="CT362" s="2336">
        <v>89.27</v>
      </c>
      <c r="CU362" s="2336">
        <v>127.73</v>
      </c>
      <c r="CV362" s="2336">
        <v>194</v>
      </c>
      <c r="CW362" s="2336">
        <v>269.07</v>
      </c>
      <c r="CX362" s="2250"/>
      <c r="CY362" s="2250"/>
      <c r="CZ362" s="2333">
        <v>58.1</v>
      </c>
      <c r="DA362" s="2337">
        <v>0</v>
      </c>
      <c r="DB362" s="2337">
        <v>5.31</v>
      </c>
      <c r="DC362" s="2337">
        <v>9.85</v>
      </c>
      <c r="DD362" s="2337">
        <v>15.54</v>
      </c>
      <c r="DE362" s="2337">
        <v>24.62</v>
      </c>
      <c r="DF362" s="2337">
        <v>30.46</v>
      </c>
      <c r="DG362" s="2337">
        <v>45.85</v>
      </c>
      <c r="DH362" s="2337">
        <v>67.23</v>
      </c>
      <c r="DI362" s="2337">
        <v>96.15</v>
      </c>
      <c r="DJ362" s="2337">
        <v>146.69</v>
      </c>
      <c r="DK362" s="2337">
        <v>203.77</v>
      </c>
      <c r="DL362" s="2250"/>
      <c r="DM362" s="2250"/>
      <c r="DN362" s="2250"/>
      <c r="DO362" s="53"/>
      <c r="DP362" s="53"/>
      <c r="DY362" s="2333">
        <v>58.1</v>
      </c>
      <c r="DZ362" s="2336">
        <v>0</v>
      </c>
      <c r="EA362" s="2336">
        <v>0</v>
      </c>
      <c r="EB362" s="2336">
        <v>0</v>
      </c>
      <c r="EC362" s="2336">
        <v>0</v>
      </c>
      <c r="ED362" s="2336">
        <v>0</v>
      </c>
      <c r="EE362" s="2336">
        <v>0</v>
      </c>
      <c r="EF362" s="2336">
        <v>0</v>
      </c>
      <c r="EG362" s="2336">
        <v>0</v>
      </c>
      <c r="EH362" s="2336">
        <v>0</v>
      </c>
      <c r="EI362" s="2336">
        <v>0</v>
      </c>
      <c r="EJ362" s="2336">
        <v>0</v>
      </c>
      <c r="EK362" s="2250"/>
      <c r="EL362" s="2250"/>
      <c r="EM362" s="2333">
        <v>58.1</v>
      </c>
      <c r="EN362" s="2336">
        <v>0</v>
      </c>
      <c r="EO362" s="2336">
        <v>7.67</v>
      </c>
      <c r="EP362" s="2336">
        <v>15.21</v>
      </c>
      <c r="EQ362" s="2336">
        <v>26.13</v>
      </c>
      <c r="ER362" s="2336">
        <v>41.41</v>
      </c>
      <c r="ES362" s="2336">
        <v>55.34</v>
      </c>
      <c r="ET362" s="2336">
        <v>83.56</v>
      </c>
      <c r="EU362" s="2336">
        <v>121.66</v>
      </c>
      <c r="EV362" s="2336">
        <v>156.63</v>
      </c>
      <c r="EW362" s="2336">
        <v>261.17</v>
      </c>
      <c r="EX362" s="2336">
        <v>372.94</v>
      </c>
      <c r="EY362" s="2250"/>
      <c r="EZ362" s="2250"/>
      <c r="FA362" s="2333">
        <v>58.1</v>
      </c>
      <c r="FB362" s="2336">
        <v>0</v>
      </c>
      <c r="FC362" s="2336">
        <v>6.4</v>
      </c>
      <c r="FD362" s="2336">
        <v>12.67</v>
      </c>
      <c r="FE362" s="2336">
        <v>20.53</v>
      </c>
      <c r="FF362" s="2336">
        <v>32.67</v>
      </c>
      <c r="FG362" s="2336">
        <v>39.869999999999997</v>
      </c>
      <c r="FH362" s="2336">
        <v>60.53</v>
      </c>
      <c r="FI362" s="2336">
        <v>89.27</v>
      </c>
      <c r="FJ362" s="2336">
        <v>127.73</v>
      </c>
      <c r="FK362" s="2336">
        <v>194</v>
      </c>
      <c r="FL362" s="2336">
        <v>269.07</v>
      </c>
      <c r="FM362" s="2250"/>
      <c r="FN362" s="2250"/>
      <c r="FO362" s="2333">
        <v>58.1</v>
      </c>
      <c r="FP362" s="2337">
        <v>0</v>
      </c>
      <c r="FQ362" s="2337">
        <v>5.31</v>
      </c>
      <c r="FR362" s="2337">
        <v>9.85</v>
      </c>
      <c r="FS362" s="2337">
        <v>15.54</v>
      </c>
      <c r="FT362" s="2337">
        <v>24.62</v>
      </c>
      <c r="FU362" s="2337">
        <v>30.46</v>
      </c>
      <c r="FV362" s="2337">
        <v>45.85</v>
      </c>
      <c r="FW362" s="2337">
        <v>67.23</v>
      </c>
      <c r="FX362" s="2337">
        <v>96.15</v>
      </c>
      <c r="FY362" s="2337">
        <v>146.69</v>
      </c>
      <c r="FZ362" s="2337">
        <v>203.77</v>
      </c>
      <c r="GA362" s="2250"/>
      <c r="GB362" s="2250"/>
      <c r="GC362" s="1302">
        <v>129.80000000000001</v>
      </c>
      <c r="GD362" s="1302">
        <v>140.1</v>
      </c>
      <c r="GE362" s="2250"/>
      <c r="GF362" s="2275"/>
      <c r="GG362" s="2333">
        <v>58.1</v>
      </c>
      <c r="GH362" s="2336">
        <v>0</v>
      </c>
      <c r="GI362" s="2336">
        <v>0</v>
      </c>
      <c r="GJ362" s="2336">
        <v>0</v>
      </c>
      <c r="GK362" s="2336">
        <v>0</v>
      </c>
      <c r="GL362" s="2336">
        <v>0</v>
      </c>
      <c r="GM362" s="2336">
        <v>0</v>
      </c>
      <c r="GN362" s="2336">
        <v>0</v>
      </c>
      <c r="GO362" s="2336">
        <v>0</v>
      </c>
      <c r="GP362" s="2336">
        <v>0</v>
      </c>
      <c r="GQ362" s="2336">
        <v>0</v>
      </c>
      <c r="GR362" s="2336">
        <v>0</v>
      </c>
      <c r="GS362" s="2250"/>
      <c r="GT362" s="2250"/>
      <c r="GU362" s="2333">
        <v>58.1</v>
      </c>
      <c r="GV362" s="2336">
        <v>0</v>
      </c>
      <c r="GW362" s="2336">
        <v>7.67</v>
      </c>
      <c r="GX362" s="2336">
        <v>15.21</v>
      </c>
      <c r="GY362" s="2336">
        <v>26.13</v>
      </c>
      <c r="GZ362" s="2336">
        <v>41.41</v>
      </c>
      <c r="HA362" s="2336">
        <v>55.34</v>
      </c>
      <c r="HB362" s="2336">
        <v>83.56</v>
      </c>
      <c r="HC362" s="2336">
        <v>121.66</v>
      </c>
      <c r="HD362" s="2336">
        <v>156.63</v>
      </c>
      <c r="HE362" s="2336">
        <v>261.17</v>
      </c>
      <c r="HF362" s="2336">
        <v>372.94</v>
      </c>
      <c r="HG362" s="2250"/>
      <c r="HH362" s="2250"/>
      <c r="HI362" s="2333">
        <v>58.1</v>
      </c>
      <c r="HJ362" s="2336">
        <v>0</v>
      </c>
      <c r="HK362" s="2336">
        <v>6.4</v>
      </c>
      <c r="HL362" s="2336">
        <v>12.67</v>
      </c>
      <c r="HM362" s="2336">
        <v>20.53</v>
      </c>
      <c r="HN362" s="2336">
        <v>32.67</v>
      </c>
      <c r="HO362" s="2336">
        <v>39.869999999999997</v>
      </c>
      <c r="HP362" s="2336">
        <v>60.53</v>
      </c>
      <c r="HQ362" s="2336">
        <v>89.27</v>
      </c>
      <c r="HR362" s="2336">
        <v>127.73</v>
      </c>
      <c r="HS362" s="2336">
        <v>194</v>
      </c>
      <c r="HT362" s="2336">
        <v>269.07</v>
      </c>
      <c r="HU362" s="2250"/>
      <c r="HV362" s="2250"/>
      <c r="HW362" s="2333">
        <v>58.1</v>
      </c>
      <c r="HX362" s="2337">
        <v>0</v>
      </c>
      <c r="HY362" s="2337">
        <v>5.31</v>
      </c>
      <c r="HZ362" s="2337">
        <v>9.85</v>
      </c>
      <c r="IA362" s="2337">
        <v>15.54</v>
      </c>
      <c r="IB362" s="2337">
        <v>24.62</v>
      </c>
      <c r="IC362" s="2337">
        <v>30.46</v>
      </c>
      <c r="ID362" s="2337">
        <v>45.85</v>
      </c>
      <c r="IE362" s="2337">
        <v>67.23</v>
      </c>
      <c r="IF362" s="2337">
        <v>96.15</v>
      </c>
      <c r="IG362" s="2337">
        <v>146.69</v>
      </c>
      <c r="IH362" s="2337">
        <v>203.77</v>
      </c>
      <c r="II362" s="2250"/>
      <c r="IJ362" s="2250"/>
      <c r="IK362" s="2250"/>
      <c r="IL362" s="53"/>
      <c r="IM362" s="53"/>
    </row>
    <row r="363" spans="2:247" ht="21.95" customHeight="1">
      <c r="B363" s="2333">
        <v>53.7</v>
      </c>
      <c r="C363" s="2336">
        <v>0</v>
      </c>
      <c r="D363" s="2336">
        <v>0</v>
      </c>
      <c r="E363" s="2336">
        <v>0</v>
      </c>
      <c r="F363" s="2336">
        <v>0</v>
      </c>
      <c r="G363" s="2336">
        <v>0</v>
      </c>
      <c r="H363" s="2336">
        <v>0</v>
      </c>
      <c r="I363" s="2336">
        <v>0</v>
      </c>
      <c r="J363" s="2336">
        <v>0</v>
      </c>
      <c r="K363" s="2336">
        <v>0</v>
      </c>
      <c r="L363" s="2336">
        <v>0</v>
      </c>
      <c r="M363" s="2336">
        <v>0</v>
      </c>
      <c r="N363" s="2250"/>
      <c r="O363" s="2250"/>
      <c r="P363" s="2333">
        <v>53.7</v>
      </c>
      <c r="Q363" s="2336">
        <v>0</v>
      </c>
      <c r="R363" s="2336">
        <v>8.2200000000000006</v>
      </c>
      <c r="S363" s="2336">
        <v>16.260000000000002</v>
      </c>
      <c r="T363" s="2336">
        <v>28.16</v>
      </c>
      <c r="U363" s="2336">
        <v>44.17</v>
      </c>
      <c r="V363" s="2336">
        <v>59.88</v>
      </c>
      <c r="W363" s="2336">
        <v>90</v>
      </c>
      <c r="X363" s="2336">
        <v>128.77000000000001</v>
      </c>
      <c r="Y363" s="2336">
        <v>163.19</v>
      </c>
      <c r="Z363" s="2336">
        <v>274.48</v>
      </c>
      <c r="AA363" s="2336">
        <v>406.99</v>
      </c>
      <c r="AB363" s="2250"/>
      <c r="AC363" s="2250"/>
      <c r="AD363" s="2333">
        <v>53.7</v>
      </c>
      <c r="AE363" s="2336">
        <v>0</v>
      </c>
      <c r="AF363" s="2336">
        <v>6.87</v>
      </c>
      <c r="AG363" s="2336">
        <v>13.07</v>
      </c>
      <c r="AH363" s="2336">
        <v>20.87</v>
      </c>
      <c r="AI363" s="2336">
        <v>34.6</v>
      </c>
      <c r="AJ363" s="2336">
        <v>43.47</v>
      </c>
      <c r="AK363" s="2336">
        <v>64.87</v>
      </c>
      <c r="AL363" s="2336">
        <v>93.87</v>
      </c>
      <c r="AM363" s="2336">
        <v>135.07</v>
      </c>
      <c r="AN363" s="2336">
        <v>202.8</v>
      </c>
      <c r="AO363" s="2336">
        <v>296.39999999999998</v>
      </c>
      <c r="AP363" s="2250"/>
      <c r="AQ363" s="2250"/>
      <c r="AR363" s="2333">
        <v>53.7</v>
      </c>
      <c r="AS363" s="2337">
        <v>0</v>
      </c>
      <c r="AT363" s="2337">
        <v>5.46</v>
      </c>
      <c r="AU363" s="2337">
        <v>9.92</v>
      </c>
      <c r="AV363" s="2337">
        <v>15.85</v>
      </c>
      <c r="AW363" s="2337">
        <v>26.08</v>
      </c>
      <c r="AX363" s="2337">
        <v>33</v>
      </c>
      <c r="AY363" s="2337">
        <v>49.31</v>
      </c>
      <c r="AZ363" s="2337">
        <v>70.849999999999994</v>
      </c>
      <c r="BA363" s="2337">
        <v>102.46</v>
      </c>
      <c r="BB363" s="2337">
        <v>153.54</v>
      </c>
      <c r="BC363" s="2337">
        <v>223.08</v>
      </c>
      <c r="BD363" s="2250"/>
      <c r="BE363" s="2250"/>
      <c r="BF363" s="1302">
        <v>140.1</v>
      </c>
      <c r="BG363" s="1302">
        <v>151.30000000000001</v>
      </c>
      <c r="BH363" s="2250"/>
      <c r="BI363" s="2275"/>
      <c r="BJ363" s="2333">
        <v>53.7</v>
      </c>
      <c r="BK363" s="2336">
        <v>0</v>
      </c>
      <c r="BL363" s="2336">
        <v>0</v>
      </c>
      <c r="BM363" s="2336">
        <v>0</v>
      </c>
      <c r="BN363" s="2336">
        <v>0</v>
      </c>
      <c r="BO363" s="2336">
        <v>0</v>
      </c>
      <c r="BP363" s="2336">
        <v>0</v>
      </c>
      <c r="BQ363" s="2336">
        <v>0</v>
      </c>
      <c r="BR363" s="2336">
        <v>0</v>
      </c>
      <c r="BS363" s="2336">
        <v>0</v>
      </c>
      <c r="BT363" s="2336">
        <v>0</v>
      </c>
      <c r="BU363" s="2336">
        <v>0</v>
      </c>
      <c r="BV363" s="2250"/>
      <c r="BW363" s="2250"/>
      <c r="BX363" s="2333">
        <v>53.7</v>
      </c>
      <c r="BY363" s="2336">
        <v>0</v>
      </c>
      <c r="BZ363" s="2336">
        <v>8.2200000000000006</v>
      </c>
      <c r="CA363" s="2336">
        <v>16.260000000000002</v>
      </c>
      <c r="CB363" s="2336">
        <v>28.16</v>
      </c>
      <c r="CC363" s="2336">
        <v>44.17</v>
      </c>
      <c r="CD363" s="2336">
        <v>59.88</v>
      </c>
      <c r="CE363" s="2336">
        <v>90</v>
      </c>
      <c r="CF363" s="2336">
        <v>128.77000000000001</v>
      </c>
      <c r="CG363" s="2336">
        <v>163.19</v>
      </c>
      <c r="CH363" s="2336">
        <v>274.48</v>
      </c>
      <c r="CI363" s="2336">
        <v>406.99</v>
      </c>
      <c r="CJ363" s="2250"/>
      <c r="CK363" s="2250"/>
      <c r="CL363" s="2333">
        <v>53.7</v>
      </c>
      <c r="CM363" s="2336">
        <v>0</v>
      </c>
      <c r="CN363" s="2336">
        <v>6.87</v>
      </c>
      <c r="CO363" s="2336">
        <v>13.07</v>
      </c>
      <c r="CP363" s="2336">
        <v>20.87</v>
      </c>
      <c r="CQ363" s="2336">
        <v>34.6</v>
      </c>
      <c r="CR363" s="2336">
        <v>43.47</v>
      </c>
      <c r="CS363" s="2336">
        <v>64.87</v>
      </c>
      <c r="CT363" s="2336">
        <v>93.87</v>
      </c>
      <c r="CU363" s="2336">
        <v>135.07</v>
      </c>
      <c r="CV363" s="2336">
        <v>202.8</v>
      </c>
      <c r="CW363" s="2336">
        <v>296.39999999999998</v>
      </c>
      <c r="CX363" s="2250"/>
      <c r="CY363" s="2250"/>
      <c r="CZ363" s="2333">
        <v>53.7</v>
      </c>
      <c r="DA363" s="2337">
        <v>0</v>
      </c>
      <c r="DB363" s="2337">
        <v>5.46</v>
      </c>
      <c r="DC363" s="2337">
        <v>9.92</v>
      </c>
      <c r="DD363" s="2337">
        <v>15.85</v>
      </c>
      <c r="DE363" s="2337">
        <v>26.08</v>
      </c>
      <c r="DF363" s="2337">
        <v>33</v>
      </c>
      <c r="DG363" s="2337">
        <v>49.31</v>
      </c>
      <c r="DH363" s="2337">
        <v>70.849999999999994</v>
      </c>
      <c r="DI363" s="2337">
        <v>102.46</v>
      </c>
      <c r="DJ363" s="2337">
        <v>153.54</v>
      </c>
      <c r="DK363" s="2337">
        <v>223.08</v>
      </c>
      <c r="DL363" s="2250"/>
      <c r="DM363" s="2250"/>
      <c r="DN363" s="2250"/>
      <c r="DO363" s="53"/>
      <c r="DP363" s="53"/>
      <c r="DY363" s="2333">
        <v>53.7</v>
      </c>
      <c r="DZ363" s="2336">
        <v>0</v>
      </c>
      <c r="EA363" s="2336">
        <v>0</v>
      </c>
      <c r="EB363" s="2336">
        <v>0</v>
      </c>
      <c r="EC363" s="2336">
        <v>0</v>
      </c>
      <c r="ED363" s="2336">
        <v>0</v>
      </c>
      <c r="EE363" s="2336">
        <v>0</v>
      </c>
      <c r="EF363" s="2336">
        <v>0</v>
      </c>
      <c r="EG363" s="2336">
        <v>0</v>
      </c>
      <c r="EH363" s="2336">
        <v>0</v>
      </c>
      <c r="EI363" s="2336">
        <v>0</v>
      </c>
      <c r="EJ363" s="2336">
        <v>0</v>
      </c>
      <c r="EK363" s="2250"/>
      <c r="EL363" s="2250"/>
      <c r="EM363" s="2333">
        <v>53.7</v>
      </c>
      <c r="EN363" s="2336">
        <v>0</v>
      </c>
      <c r="EO363" s="2336">
        <v>8.2200000000000006</v>
      </c>
      <c r="EP363" s="2336">
        <v>16.260000000000002</v>
      </c>
      <c r="EQ363" s="2336">
        <v>28.16</v>
      </c>
      <c r="ER363" s="2336">
        <v>44.17</v>
      </c>
      <c r="ES363" s="2336">
        <v>59.88</v>
      </c>
      <c r="ET363" s="2336">
        <v>90</v>
      </c>
      <c r="EU363" s="2336">
        <v>128.77000000000001</v>
      </c>
      <c r="EV363" s="2336">
        <v>163.19</v>
      </c>
      <c r="EW363" s="2336">
        <v>274.48</v>
      </c>
      <c r="EX363" s="2336">
        <v>406.99</v>
      </c>
      <c r="EY363" s="2250"/>
      <c r="EZ363" s="2250"/>
      <c r="FA363" s="2333">
        <v>53.7</v>
      </c>
      <c r="FB363" s="2336">
        <v>0</v>
      </c>
      <c r="FC363" s="2336">
        <v>6.87</v>
      </c>
      <c r="FD363" s="2336">
        <v>13.07</v>
      </c>
      <c r="FE363" s="2336">
        <v>20.87</v>
      </c>
      <c r="FF363" s="2336">
        <v>34.6</v>
      </c>
      <c r="FG363" s="2336">
        <v>43.47</v>
      </c>
      <c r="FH363" s="2336">
        <v>64.87</v>
      </c>
      <c r="FI363" s="2336">
        <v>93.87</v>
      </c>
      <c r="FJ363" s="2336">
        <v>135.07</v>
      </c>
      <c r="FK363" s="2336">
        <v>202.8</v>
      </c>
      <c r="FL363" s="2336">
        <v>296.39999999999998</v>
      </c>
      <c r="FM363" s="2250"/>
      <c r="FN363" s="2250"/>
      <c r="FO363" s="2333">
        <v>53.7</v>
      </c>
      <c r="FP363" s="2337">
        <v>0</v>
      </c>
      <c r="FQ363" s="2337">
        <v>5.46</v>
      </c>
      <c r="FR363" s="2337">
        <v>9.92</v>
      </c>
      <c r="FS363" s="2337">
        <v>15.85</v>
      </c>
      <c r="FT363" s="2337">
        <v>26.08</v>
      </c>
      <c r="FU363" s="2337">
        <v>33</v>
      </c>
      <c r="FV363" s="2337">
        <v>49.31</v>
      </c>
      <c r="FW363" s="2337">
        <v>70.849999999999994</v>
      </c>
      <c r="FX363" s="2337">
        <v>102.46</v>
      </c>
      <c r="FY363" s="2337">
        <v>153.54</v>
      </c>
      <c r="FZ363" s="2337">
        <v>223.08</v>
      </c>
      <c r="GA363" s="2250"/>
      <c r="GB363" s="2250"/>
      <c r="GC363" s="1302">
        <v>140.1</v>
      </c>
      <c r="GD363" s="1302">
        <v>151.30000000000001</v>
      </c>
      <c r="GE363" s="2250"/>
      <c r="GF363" s="2275"/>
      <c r="GG363" s="2333">
        <v>53.7</v>
      </c>
      <c r="GH363" s="2336">
        <v>0</v>
      </c>
      <c r="GI363" s="2336">
        <v>0</v>
      </c>
      <c r="GJ363" s="2336">
        <v>0</v>
      </c>
      <c r="GK363" s="2336">
        <v>0</v>
      </c>
      <c r="GL363" s="2336">
        <v>0</v>
      </c>
      <c r="GM363" s="2336">
        <v>0</v>
      </c>
      <c r="GN363" s="2336">
        <v>0</v>
      </c>
      <c r="GO363" s="2336">
        <v>0</v>
      </c>
      <c r="GP363" s="2336">
        <v>0</v>
      </c>
      <c r="GQ363" s="2336">
        <v>0</v>
      </c>
      <c r="GR363" s="2336">
        <v>0</v>
      </c>
      <c r="GS363" s="2250"/>
      <c r="GT363" s="2250"/>
      <c r="GU363" s="2333">
        <v>53.7</v>
      </c>
      <c r="GV363" s="2336">
        <v>0</v>
      </c>
      <c r="GW363" s="2336">
        <v>8.2200000000000006</v>
      </c>
      <c r="GX363" s="2336">
        <v>16.260000000000002</v>
      </c>
      <c r="GY363" s="2336">
        <v>28.16</v>
      </c>
      <c r="GZ363" s="2336">
        <v>44.17</v>
      </c>
      <c r="HA363" s="2336">
        <v>59.88</v>
      </c>
      <c r="HB363" s="2336">
        <v>90</v>
      </c>
      <c r="HC363" s="2336">
        <v>128.77000000000001</v>
      </c>
      <c r="HD363" s="2336">
        <v>163.19</v>
      </c>
      <c r="HE363" s="2336">
        <v>274.48</v>
      </c>
      <c r="HF363" s="2336">
        <v>406.99</v>
      </c>
      <c r="HG363" s="2250"/>
      <c r="HH363" s="2250"/>
      <c r="HI363" s="2333">
        <v>53.7</v>
      </c>
      <c r="HJ363" s="2336">
        <v>0</v>
      </c>
      <c r="HK363" s="2336">
        <v>6.87</v>
      </c>
      <c r="HL363" s="2336">
        <v>13.07</v>
      </c>
      <c r="HM363" s="2336">
        <v>20.87</v>
      </c>
      <c r="HN363" s="2336">
        <v>34.6</v>
      </c>
      <c r="HO363" s="2336">
        <v>43.47</v>
      </c>
      <c r="HP363" s="2336">
        <v>64.87</v>
      </c>
      <c r="HQ363" s="2336">
        <v>93.87</v>
      </c>
      <c r="HR363" s="2336">
        <v>135.07</v>
      </c>
      <c r="HS363" s="2336">
        <v>202.8</v>
      </c>
      <c r="HT363" s="2336">
        <v>296.39999999999998</v>
      </c>
      <c r="HU363" s="2250"/>
      <c r="HV363" s="2250"/>
      <c r="HW363" s="2333">
        <v>53.7</v>
      </c>
      <c r="HX363" s="2337">
        <v>0</v>
      </c>
      <c r="HY363" s="2337">
        <v>5.46</v>
      </c>
      <c r="HZ363" s="2337">
        <v>9.92</v>
      </c>
      <c r="IA363" s="2337">
        <v>15.85</v>
      </c>
      <c r="IB363" s="2337">
        <v>26.08</v>
      </c>
      <c r="IC363" s="2337">
        <v>33</v>
      </c>
      <c r="ID363" s="2337">
        <v>49.31</v>
      </c>
      <c r="IE363" s="2337">
        <v>70.849999999999994</v>
      </c>
      <c r="IF363" s="2337">
        <v>102.46</v>
      </c>
      <c r="IG363" s="2337">
        <v>153.54</v>
      </c>
      <c r="IH363" s="2337">
        <v>223.08</v>
      </c>
      <c r="II363" s="2250"/>
      <c r="IJ363" s="2250"/>
      <c r="IK363" s="2250"/>
      <c r="IL363" s="53"/>
      <c r="IM363" s="53"/>
    </row>
    <row r="364" spans="2:247" ht="21.95" customHeight="1">
      <c r="B364" s="2333">
        <v>48.8</v>
      </c>
      <c r="C364" s="2336">
        <v>0</v>
      </c>
      <c r="D364" s="2336">
        <v>0</v>
      </c>
      <c r="E364" s="2336">
        <v>0</v>
      </c>
      <c r="F364" s="2336">
        <v>0</v>
      </c>
      <c r="G364" s="2336">
        <v>0</v>
      </c>
      <c r="H364" s="2336">
        <v>0</v>
      </c>
      <c r="I364" s="2336">
        <v>0</v>
      </c>
      <c r="J364" s="2336">
        <v>0</v>
      </c>
      <c r="K364" s="2336">
        <v>0</v>
      </c>
      <c r="L364" s="2336">
        <v>0</v>
      </c>
      <c r="M364" s="2336">
        <v>0</v>
      </c>
      <c r="N364" s="2250"/>
      <c r="O364" s="2250"/>
      <c r="P364" s="2333">
        <v>48.8</v>
      </c>
      <c r="Q364" s="2336">
        <v>0</v>
      </c>
      <c r="R364" s="2336">
        <v>9.08</v>
      </c>
      <c r="S364" s="2336">
        <v>17.79</v>
      </c>
      <c r="T364" s="2336">
        <v>30.18</v>
      </c>
      <c r="U364" s="2336">
        <v>48.77</v>
      </c>
      <c r="V364" s="2336">
        <v>64.72</v>
      </c>
      <c r="W364" s="2336">
        <v>97.3</v>
      </c>
      <c r="X364" s="2336">
        <v>141.84</v>
      </c>
      <c r="Y364" s="2336">
        <v>183.13</v>
      </c>
      <c r="Z364" s="2336">
        <v>301.52999999999997</v>
      </c>
      <c r="AA364" s="2336">
        <v>447.79</v>
      </c>
      <c r="AB364" s="2250"/>
      <c r="AC364" s="2250"/>
      <c r="AD364" s="2333">
        <v>48.8</v>
      </c>
      <c r="AE364" s="2336">
        <v>0</v>
      </c>
      <c r="AF364" s="2336">
        <v>7.53</v>
      </c>
      <c r="AG364" s="2336">
        <v>14.67</v>
      </c>
      <c r="AH364" s="2336">
        <v>23.53</v>
      </c>
      <c r="AI364" s="2336">
        <v>37.67</v>
      </c>
      <c r="AJ364" s="2336">
        <v>47.13</v>
      </c>
      <c r="AK364" s="2336">
        <v>70.33</v>
      </c>
      <c r="AL364" s="2336">
        <v>102.27</v>
      </c>
      <c r="AM364" s="2336">
        <v>141.07</v>
      </c>
      <c r="AN364" s="2336">
        <v>219.53</v>
      </c>
      <c r="AO364" s="2336">
        <v>323.33</v>
      </c>
      <c r="AP364" s="2250"/>
      <c r="AQ364" s="2250"/>
      <c r="AR364" s="2333">
        <v>48.8</v>
      </c>
      <c r="AS364" s="2337">
        <v>0</v>
      </c>
      <c r="AT364" s="2337">
        <v>6</v>
      </c>
      <c r="AU364" s="2337">
        <v>11.15</v>
      </c>
      <c r="AV364" s="2337">
        <v>17.920000000000002</v>
      </c>
      <c r="AW364" s="2337">
        <v>28.62</v>
      </c>
      <c r="AX364" s="2337">
        <v>35.69</v>
      </c>
      <c r="AY364" s="2337">
        <v>53.54</v>
      </c>
      <c r="AZ364" s="2337">
        <v>77.69</v>
      </c>
      <c r="BA364" s="2337">
        <v>107.31</v>
      </c>
      <c r="BB364" s="2337">
        <v>167.23</v>
      </c>
      <c r="BC364" s="2337">
        <v>246.23</v>
      </c>
      <c r="BD364" s="2250"/>
      <c r="BE364" s="2250"/>
      <c r="BF364" s="1302">
        <v>151.30000000000001</v>
      </c>
      <c r="BG364" s="1302">
        <v>162.68</v>
      </c>
      <c r="BH364" s="2250"/>
      <c r="BI364" s="2275"/>
      <c r="BJ364" s="2333">
        <v>48.8</v>
      </c>
      <c r="BK364" s="2336">
        <v>0</v>
      </c>
      <c r="BL364" s="2336">
        <v>0</v>
      </c>
      <c r="BM364" s="2336">
        <v>0</v>
      </c>
      <c r="BN364" s="2336">
        <v>0</v>
      </c>
      <c r="BO364" s="2336">
        <v>0</v>
      </c>
      <c r="BP364" s="2336">
        <v>0</v>
      </c>
      <c r="BQ364" s="2336">
        <v>0</v>
      </c>
      <c r="BR364" s="2336">
        <v>0</v>
      </c>
      <c r="BS364" s="2336">
        <v>0</v>
      </c>
      <c r="BT364" s="2336">
        <v>0</v>
      </c>
      <c r="BU364" s="2336">
        <v>0</v>
      </c>
      <c r="BV364" s="2250"/>
      <c r="BW364" s="2250"/>
      <c r="BX364" s="2333">
        <v>48.8</v>
      </c>
      <c r="BY364" s="2336">
        <v>0</v>
      </c>
      <c r="BZ364" s="2336">
        <v>9.08</v>
      </c>
      <c r="CA364" s="2336">
        <v>17.79</v>
      </c>
      <c r="CB364" s="2336">
        <v>30.18</v>
      </c>
      <c r="CC364" s="2336">
        <v>48.77</v>
      </c>
      <c r="CD364" s="2336">
        <v>64.72</v>
      </c>
      <c r="CE364" s="2336">
        <v>97.3</v>
      </c>
      <c r="CF364" s="2336">
        <v>141.84</v>
      </c>
      <c r="CG364" s="2336">
        <v>183.13</v>
      </c>
      <c r="CH364" s="2336">
        <v>301.52999999999997</v>
      </c>
      <c r="CI364" s="2336">
        <v>447.79</v>
      </c>
      <c r="CJ364" s="2250"/>
      <c r="CK364" s="2250"/>
      <c r="CL364" s="2333">
        <v>48.8</v>
      </c>
      <c r="CM364" s="2336">
        <v>0</v>
      </c>
      <c r="CN364" s="2336">
        <v>7.53</v>
      </c>
      <c r="CO364" s="2336">
        <v>14.67</v>
      </c>
      <c r="CP364" s="2336">
        <v>23.53</v>
      </c>
      <c r="CQ364" s="2336">
        <v>37.67</v>
      </c>
      <c r="CR364" s="2336">
        <v>47.13</v>
      </c>
      <c r="CS364" s="2336">
        <v>70.33</v>
      </c>
      <c r="CT364" s="2336">
        <v>102.27</v>
      </c>
      <c r="CU364" s="2336">
        <v>141.07</v>
      </c>
      <c r="CV364" s="2336">
        <v>219.53</v>
      </c>
      <c r="CW364" s="2336">
        <v>323.33</v>
      </c>
      <c r="CX364" s="2250"/>
      <c r="CY364" s="2250"/>
      <c r="CZ364" s="2333">
        <v>48.8</v>
      </c>
      <c r="DA364" s="2337">
        <v>0</v>
      </c>
      <c r="DB364" s="2337">
        <v>6</v>
      </c>
      <c r="DC364" s="2337">
        <v>11.15</v>
      </c>
      <c r="DD364" s="2337">
        <v>17.920000000000002</v>
      </c>
      <c r="DE364" s="2337">
        <v>28.62</v>
      </c>
      <c r="DF364" s="2337">
        <v>35.69</v>
      </c>
      <c r="DG364" s="2337">
        <v>53.54</v>
      </c>
      <c r="DH364" s="2337">
        <v>77.69</v>
      </c>
      <c r="DI364" s="2337">
        <v>107.31</v>
      </c>
      <c r="DJ364" s="2337">
        <v>167.23</v>
      </c>
      <c r="DK364" s="2337">
        <v>246.23</v>
      </c>
      <c r="DL364" s="2250"/>
      <c r="DM364" s="2250"/>
      <c r="DN364" s="2250"/>
      <c r="DO364" s="53"/>
      <c r="DP364" s="53"/>
      <c r="DY364" s="2333">
        <v>48.8</v>
      </c>
      <c r="DZ364" s="2336">
        <v>0</v>
      </c>
      <c r="EA364" s="2336">
        <v>0</v>
      </c>
      <c r="EB364" s="2336">
        <v>0</v>
      </c>
      <c r="EC364" s="2336">
        <v>0</v>
      </c>
      <c r="ED364" s="2336">
        <v>0</v>
      </c>
      <c r="EE364" s="2336">
        <v>0</v>
      </c>
      <c r="EF364" s="2336">
        <v>0</v>
      </c>
      <c r="EG364" s="2336">
        <v>0</v>
      </c>
      <c r="EH364" s="2336">
        <v>0</v>
      </c>
      <c r="EI364" s="2336">
        <v>0</v>
      </c>
      <c r="EJ364" s="2336">
        <v>0</v>
      </c>
      <c r="EK364" s="2250"/>
      <c r="EL364" s="2250"/>
      <c r="EM364" s="2333">
        <v>48.8</v>
      </c>
      <c r="EN364" s="2336">
        <v>0</v>
      </c>
      <c r="EO364" s="2336">
        <v>9.08</v>
      </c>
      <c r="EP364" s="2336">
        <v>17.79</v>
      </c>
      <c r="EQ364" s="2336">
        <v>30.18</v>
      </c>
      <c r="ER364" s="2336">
        <v>48.77</v>
      </c>
      <c r="ES364" s="2336">
        <v>64.72</v>
      </c>
      <c r="ET364" s="2336">
        <v>97.3</v>
      </c>
      <c r="EU364" s="2336">
        <v>141.84</v>
      </c>
      <c r="EV364" s="2336">
        <v>183.13</v>
      </c>
      <c r="EW364" s="2336">
        <v>301.52999999999997</v>
      </c>
      <c r="EX364" s="2336">
        <v>447.79</v>
      </c>
      <c r="EY364" s="2250"/>
      <c r="EZ364" s="2250"/>
      <c r="FA364" s="2333">
        <v>48.8</v>
      </c>
      <c r="FB364" s="2336">
        <v>0</v>
      </c>
      <c r="FC364" s="2336">
        <v>7.53</v>
      </c>
      <c r="FD364" s="2336">
        <v>14.67</v>
      </c>
      <c r="FE364" s="2336">
        <v>23.53</v>
      </c>
      <c r="FF364" s="2336">
        <v>37.67</v>
      </c>
      <c r="FG364" s="2336">
        <v>47.13</v>
      </c>
      <c r="FH364" s="2336">
        <v>70.33</v>
      </c>
      <c r="FI364" s="2336">
        <v>102.27</v>
      </c>
      <c r="FJ364" s="2336">
        <v>141.07</v>
      </c>
      <c r="FK364" s="2336">
        <v>219.53</v>
      </c>
      <c r="FL364" s="2336">
        <v>323.33</v>
      </c>
      <c r="FM364" s="2250"/>
      <c r="FN364" s="2250"/>
      <c r="FO364" s="2333">
        <v>48.8</v>
      </c>
      <c r="FP364" s="2337">
        <v>0</v>
      </c>
      <c r="FQ364" s="2337">
        <v>6</v>
      </c>
      <c r="FR364" s="2337">
        <v>11.15</v>
      </c>
      <c r="FS364" s="2337">
        <v>17.920000000000002</v>
      </c>
      <c r="FT364" s="2337">
        <v>28.62</v>
      </c>
      <c r="FU364" s="2337">
        <v>35.69</v>
      </c>
      <c r="FV364" s="2337">
        <v>53.54</v>
      </c>
      <c r="FW364" s="2337">
        <v>77.69</v>
      </c>
      <c r="FX364" s="2337">
        <v>107.31</v>
      </c>
      <c r="FY364" s="2337">
        <v>167.23</v>
      </c>
      <c r="FZ364" s="2337">
        <v>246.23</v>
      </c>
      <c r="GA364" s="2250"/>
      <c r="GB364" s="2250"/>
      <c r="GC364" s="1302">
        <v>151.30000000000001</v>
      </c>
      <c r="GD364" s="1302">
        <v>162.68</v>
      </c>
      <c r="GE364" s="2250"/>
      <c r="GF364" s="2275"/>
      <c r="GG364" s="2333">
        <v>48.8</v>
      </c>
      <c r="GH364" s="2336">
        <v>0</v>
      </c>
      <c r="GI364" s="2336">
        <v>0</v>
      </c>
      <c r="GJ364" s="2336">
        <v>0</v>
      </c>
      <c r="GK364" s="2336">
        <v>0</v>
      </c>
      <c r="GL364" s="2336">
        <v>0</v>
      </c>
      <c r="GM364" s="2336">
        <v>0</v>
      </c>
      <c r="GN364" s="2336">
        <v>0</v>
      </c>
      <c r="GO364" s="2336">
        <v>0</v>
      </c>
      <c r="GP364" s="2336">
        <v>0</v>
      </c>
      <c r="GQ364" s="2336">
        <v>0</v>
      </c>
      <c r="GR364" s="2336">
        <v>0</v>
      </c>
      <c r="GS364" s="2250"/>
      <c r="GT364" s="2250"/>
      <c r="GU364" s="2333">
        <v>48.8</v>
      </c>
      <c r="GV364" s="2336">
        <v>0</v>
      </c>
      <c r="GW364" s="2336">
        <v>9.08</v>
      </c>
      <c r="GX364" s="2336">
        <v>17.79</v>
      </c>
      <c r="GY364" s="2336">
        <v>30.18</v>
      </c>
      <c r="GZ364" s="2336">
        <v>48.77</v>
      </c>
      <c r="HA364" s="2336">
        <v>64.72</v>
      </c>
      <c r="HB364" s="2336">
        <v>97.3</v>
      </c>
      <c r="HC364" s="2336">
        <v>141.84</v>
      </c>
      <c r="HD364" s="2336">
        <v>183.13</v>
      </c>
      <c r="HE364" s="2336">
        <v>301.52999999999997</v>
      </c>
      <c r="HF364" s="2336">
        <v>447.79</v>
      </c>
      <c r="HG364" s="2250"/>
      <c r="HH364" s="2250"/>
      <c r="HI364" s="2333">
        <v>48.8</v>
      </c>
      <c r="HJ364" s="2336">
        <v>0</v>
      </c>
      <c r="HK364" s="2336">
        <v>7.53</v>
      </c>
      <c r="HL364" s="2336">
        <v>14.67</v>
      </c>
      <c r="HM364" s="2336">
        <v>23.53</v>
      </c>
      <c r="HN364" s="2336">
        <v>37.67</v>
      </c>
      <c r="HO364" s="2336">
        <v>47.13</v>
      </c>
      <c r="HP364" s="2336">
        <v>70.33</v>
      </c>
      <c r="HQ364" s="2336">
        <v>102.27</v>
      </c>
      <c r="HR364" s="2336">
        <v>141.07</v>
      </c>
      <c r="HS364" s="2336">
        <v>219.53</v>
      </c>
      <c r="HT364" s="2336">
        <v>323.33</v>
      </c>
      <c r="HU364" s="2250"/>
      <c r="HV364" s="2250"/>
      <c r="HW364" s="2333">
        <v>48.8</v>
      </c>
      <c r="HX364" s="2337">
        <v>0</v>
      </c>
      <c r="HY364" s="2337">
        <v>6</v>
      </c>
      <c r="HZ364" s="2337">
        <v>11.15</v>
      </c>
      <c r="IA364" s="2337">
        <v>17.920000000000002</v>
      </c>
      <c r="IB364" s="2337">
        <v>28.62</v>
      </c>
      <c r="IC364" s="2337">
        <v>35.69</v>
      </c>
      <c r="ID364" s="2337">
        <v>53.54</v>
      </c>
      <c r="IE364" s="2337">
        <v>77.69</v>
      </c>
      <c r="IF364" s="2337">
        <v>107.31</v>
      </c>
      <c r="IG364" s="2337">
        <v>167.23</v>
      </c>
      <c r="IH364" s="2337">
        <v>246.23</v>
      </c>
      <c r="II364" s="2250"/>
      <c r="IJ364" s="2250"/>
      <c r="IK364" s="2250"/>
      <c r="IL364" s="53"/>
      <c r="IM364" s="53"/>
    </row>
    <row r="365" spans="2:247" ht="21.95" customHeight="1">
      <c r="B365" s="2333">
        <v>43.9</v>
      </c>
      <c r="C365" s="2336">
        <v>0</v>
      </c>
      <c r="D365" s="2336">
        <v>0</v>
      </c>
      <c r="E365" s="2336">
        <v>0</v>
      </c>
      <c r="F365" s="2336">
        <v>0</v>
      </c>
      <c r="G365" s="2336">
        <v>0</v>
      </c>
      <c r="H365" s="2336">
        <v>0</v>
      </c>
      <c r="I365" s="2336">
        <v>0</v>
      </c>
      <c r="J365" s="2336">
        <v>0</v>
      </c>
      <c r="K365" s="2336">
        <v>0</v>
      </c>
      <c r="L365" s="2336">
        <v>0</v>
      </c>
      <c r="M365" s="2336">
        <v>0</v>
      </c>
      <c r="N365" s="2250"/>
      <c r="O365" s="2250"/>
      <c r="P365" s="2333">
        <v>43.9</v>
      </c>
      <c r="Q365" s="2336">
        <v>0</v>
      </c>
      <c r="R365" s="2336">
        <v>9.8800000000000008</v>
      </c>
      <c r="S365" s="2336">
        <v>19.329999999999998</v>
      </c>
      <c r="T365" s="2336">
        <v>32.82</v>
      </c>
      <c r="U365" s="2336">
        <v>53.31</v>
      </c>
      <c r="V365" s="2336">
        <v>71.099999999999994</v>
      </c>
      <c r="W365" s="2336">
        <v>105.15</v>
      </c>
      <c r="X365" s="2336">
        <v>154.29</v>
      </c>
      <c r="Y365" s="2336">
        <v>209.26</v>
      </c>
      <c r="Z365" s="2336">
        <v>327.55</v>
      </c>
      <c r="AA365" s="2336">
        <v>485.34</v>
      </c>
      <c r="AB365" s="2250"/>
      <c r="AC365" s="2250"/>
      <c r="AD365" s="2333">
        <v>43.9</v>
      </c>
      <c r="AE365" s="2336">
        <v>0</v>
      </c>
      <c r="AF365" s="2336">
        <v>8.1999999999999993</v>
      </c>
      <c r="AG365" s="2336">
        <v>15.33</v>
      </c>
      <c r="AH365" s="2336">
        <v>25.8</v>
      </c>
      <c r="AI365" s="2336">
        <v>41.73</v>
      </c>
      <c r="AJ365" s="2336">
        <v>53.07</v>
      </c>
      <c r="AK365" s="2336">
        <v>76.47</v>
      </c>
      <c r="AL365" s="2336">
        <v>111.87</v>
      </c>
      <c r="AM365" s="2336">
        <v>156.53</v>
      </c>
      <c r="AN365" s="2336">
        <v>239.07</v>
      </c>
      <c r="AO365" s="2336">
        <v>354.6</v>
      </c>
      <c r="AP365" s="2250"/>
      <c r="AQ365" s="2250"/>
      <c r="AR365" s="2333">
        <v>43.9</v>
      </c>
      <c r="AS365" s="2337">
        <v>0</v>
      </c>
      <c r="AT365" s="2337">
        <v>6.77</v>
      </c>
      <c r="AU365" s="2337">
        <v>11.69</v>
      </c>
      <c r="AV365" s="2337">
        <v>19.62</v>
      </c>
      <c r="AW365" s="2337">
        <v>31.77</v>
      </c>
      <c r="AX365" s="2337">
        <v>40.15</v>
      </c>
      <c r="AY365" s="2337">
        <v>58</v>
      </c>
      <c r="AZ365" s="2337">
        <v>85.15</v>
      </c>
      <c r="BA365" s="2337">
        <v>119.08</v>
      </c>
      <c r="BB365" s="2337">
        <v>181.92</v>
      </c>
      <c r="BC365" s="2337">
        <v>269.69</v>
      </c>
      <c r="BD365" s="2250"/>
      <c r="BE365" s="2250"/>
      <c r="BF365" s="1302">
        <v>162.68</v>
      </c>
      <c r="BG365" s="1302">
        <v>165.9</v>
      </c>
      <c r="BH365" s="2250"/>
      <c r="BI365" s="2275"/>
      <c r="BJ365" s="2333">
        <v>43.9</v>
      </c>
      <c r="BK365" s="2336">
        <v>0</v>
      </c>
      <c r="BL365" s="2336">
        <v>0</v>
      </c>
      <c r="BM365" s="2336">
        <v>0</v>
      </c>
      <c r="BN365" s="2336">
        <v>0</v>
      </c>
      <c r="BO365" s="2336">
        <v>0</v>
      </c>
      <c r="BP365" s="2336">
        <v>0</v>
      </c>
      <c r="BQ365" s="2336">
        <v>0</v>
      </c>
      <c r="BR365" s="2336">
        <v>0</v>
      </c>
      <c r="BS365" s="2336">
        <v>0</v>
      </c>
      <c r="BT365" s="2336">
        <v>0</v>
      </c>
      <c r="BU365" s="2336">
        <v>0</v>
      </c>
      <c r="BV365" s="2250"/>
      <c r="BW365" s="2250"/>
      <c r="BX365" s="2333">
        <v>43.9</v>
      </c>
      <c r="BY365" s="2336">
        <v>0</v>
      </c>
      <c r="BZ365" s="2336">
        <v>9.8800000000000008</v>
      </c>
      <c r="CA365" s="2336">
        <v>19.329999999999998</v>
      </c>
      <c r="CB365" s="2336">
        <v>32.82</v>
      </c>
      <c r="CC365" s="2336">
        <v>53.31</v>
      </c>
      <c r="CD365" s="2336">
        <v>71.099999999999994</v>
      </c>
      <c r="CE365" s="2336">
        <v>105.15</v>
      </c>
      <c r="CF365" s="2336">
        <v>154.29</v>
      </c>
      <c r="CG365" s="2336">
        <v>209.26</v>
      </c>
      <c r="CH365" s="2336">
        <v>327.55</v>
      </c>
      <c r="CI365" s="2336">
        <v>485.34</v>
      </c>
      <c r="CJ365" s="2250"/>
      <c r="CK365" s="2250"/>
      <c r="CL365" s="2333">
        <v>43.9</v>
      </c>
      <c r="CM365" s="2336">
        <v>0</v>
      </c>
      <c r="CN365" s="2336">
        <v>8.1999999999999993</v>
      </c>
      <c r="CO365" s="2336">
        <v>15.33</v>
      </c>
      <c r="CP365" s="2336">
        <v>25.8</v>
      </c>
      <c r="CQ365" s="2336">
        <v>41.73</v>
      </c>
      <c r="CR365" s="2336">
        <v>53.07</v>
      </c>
      <c r="CS365" s="2336">
        <v>76.47</v>
      </c>
      <c r="CT365" s="2336">
        <v>111.87</v>
      </c>
      <c r="CU365" s="2336">
        <v>156.53</v>
      </c>
      <c r="CV365" s="2336">
        <v>239.07</v>
      </c>
      <c r="CW365" s="2336">
        <v>354.6</v>
      </c>
      <c r="CX365" s="2250"/>
      <c r="CY365" s="2250"/>
      <c r="CZ365" s="2333">
        <v>43.9</v>
      </c>
      <c r="DA365" s="2337">
        <v>0</v>
      </c>
      <c r="DB365" s="2337">
        <v>6.77</v>
      </c>
      <c r="DC365" s="2337">
        <v>11.69</v>
      </c>
      <c r="DD365" s="2337">
        <v>19.62</v>
      </c>
      <c r="DE365" s="2337">
        <v>31.77</v>
      </c>
      <c r="DF365" s="2337">
        <v>40.15</v>
      </c>
      <c r="DG365" s="2337">
        <v>58</v>
      </c>
      <c r="DH365" s="2337">
        <v>85.15</v>
      </c>
      <c r="DI365" s="2337">
        <v>119.08</v>
      </c>
      <c r="DJ365" s="2337">
        <v>181.92</v>
      </c>
      <c r="DK365" s="2337">
        <v>269.69</v>
      </c>
      <c r="DL365" s="2250"/>
      <c r="DM365" s="2250"/>
      <c r="DN365" s="2250"/>
      <c r="DO365" s="53"/>
      <c r="DP365" s="53"/>
      <c r="DY365" s="2333">
        <v>43.9</v>
      </c>
      <c r="DZ365" s="2336">
        <v>0</v>
      </c>
      <c r="EA365" s="2336">
        <v>0</v>
      </c>
      <c r="EB365" s="2336">
        <v>0</v>
      </c>
      <c r="EC365" s="2336">
        <v>0</v>
      </c>
      <c r="ED365" s="2336">
        <v>0</v>
      </c>
      <c r="EE365" s="2336">
        <v>0</v>
      </c>
      <c r="EF365" s="2336">
        <v>0</v>
      </c>
      <c r="EG365" s="2336">
        <v>0</v>
      </c>
      <c r="EH365" s="2336">
        <v>0</v>
      </c>
      <c r="EI365" s="2336">
        <v>0</v>
      </c>
      <c r="EJ365" s="2336">
        <v>0</v>
      </c>
      <c r="EK365" s="2250"/>
      <c r="EL365" s="2250"/>
      <c r="EM365" s="2333">
        <v>43.9</v>
      </c>
      <c r="EN365" s="2336">
        <v>0</v>
      </c>
      <c r="EO365" s="2336">
        <v>9.8800000000000008</v>
      </c>
      <c r="EP365" s="2336">
        <v>19.329999999999998</v>
      </c>
      <c r="EQ365" s="2336">
        <v>32.82</v>
      </c>
      <c r="ER365" s="2336">
        <v>53.31</v>
      </c>
      <c r="ES365" s="2336">
        <v>71.099999999999994</v>
      </c>
      <c r="ET365" s="2336">
        <v>105.15</v>
      </c>
      <c r="EU365" s="2336">
        <v>154.29</v>
      </c>
      <c r="EV365" s="2336">
        <v>209.26</v>
      </c>
      <c r="EW365" s="2336">
        <v>327.55</v>
      </c>
      <c r="EX365" s="2336">
        <v>485.34</v>
      </c>
      <c r="EY365" s="2250"/>
      <c r="EZ365" s="2250"/>
      <c r="FA365" s="2333">
        <v>43.9</v>
      </c>
      <c r="FB365" s="2336">
        <v>0</v>
      </c>
      <c r="FC365" s="2336">
        <v>8.1999999999999993</v>
      </c>
      <c r="FD365" s="2336">
        <v>15.33</v>
      </c>
      <c r="FE365" s="2336">
        <v>25.8</v>
      </c>
      <c r="FF365" s="2336">
        <v>41.73</v>
      </c>
      <c r="FG365" s="2336">
        <v>53.07</v>
      </c>
      <c r="FH365" s="2336">
        <v>76.47</v>
      </c>
      <c r="FI365" s="2336">
        <v>111.87</v>
      </c>
      <c r="FJ365" s="2336">
        <v>156.53</v>
      </c>
      <c r="FK365" s="2336">
        <v>239.07</v>
      </c>
      <c r="FL365" s="2336">
        <v>354.6</v>
      </c>
      <c r="FM365" s="2250"/>
      <c r="FN365" s="2250"/>
      <c r="FO365" s="2333">
        <v>43.9</v>
      </c>
      <c r="FP365" s="2337">
        <v>0</v>
      </c>
      <c r="FQ365" s="2337">
        <v>6.77</v>
      </c>
      <c r="FR365" s="2337">
        <v>11.69</v>
      </c>
      <c r="FS365" s="2337">
        <v>19.62</v>
      </c>
      <c r="FT365" s="2337">
        <v>31.77</v>
      </c>
      <c r="FU365" s="2337">
        <v>40.15</v>
      </c>
      <c r="FV365" s="2337">
        <v>58</v>
      </c>
      <c r="FW365" s="2337">
        <v>85.15</v>
      </c>
      <c r="FX365" s="2337">
        <v>119.08</v>
      </c>
      <c r="FY365" s="2337">
        <v>181.92</v>
      </c>
      <c r="FZ365" s="2337">
        <v>269.69</v>
      </c>
      <c r="GA365" s="2250"/>
      <c r="GB365" s="2250"/>
      <c r="GC365" s="1302">
        <v>162.68</v>
      </c>
      <c r="GD365" s="1302">
        <v>165.9</v>
      </c>
      <c r="GE365" s="2250"/>
      <c r="GF365" s="2275"/>
      <c r="GG365" s="2333">
        <v>43.9</v>
      </c>
      <c r="GH365" s="2336">
        <v>0</v>
      </c>
      <c r="GI365" s="2336">
        <v>0</v>
      </c>
      <c r="GJ365" s="2336">
        <v>0</v>
      </c>
      <c r="GK365" s="2336">
        <v>0</v>
      </c>
      <c r="GL365" s="2336">
        <v>0</v>
      </c>
      <c r="GM365" s="2336">
        <v>0</v>
      </c>
      <c r="GN365" s="2336">
        <v>0</v>
      </c>
      <c r="GO365" s="2336">
        <v>0</v>
      </c>
      <c r="GP365" s="2336">
        <v>0</v>
      </c>
      <c r="GQ365" s="2336">
        <v>0</v>
      </c>
      <c r="GR365" s="2336">
        <v>0</v>
      </c>
      <c r="GS365" s="2250"/>
      <c r="GT365" s="2250"/>
      <c r="GU365" s="2333">
        <v>43.9</v>
      </c>
      <c r="GV365" s="2336">
        <v>0</v>
      </c>
      <c r="GW365" s="2336">
        <v>9.8800000000000008</v>
      </c>
      <c r="GX365" s="2336">
        <v>19.329999999999998</v>
      </c>
      <c r="GY365" s="2336">
        <v>32.82</v>
      </c>
      <c r="GZ365" s="2336">
        <v>53.31</v>
      </c>
      <c r="HA365" s="2336">
        <v>71.099999999999994</v>
      </c>
      <c r="HB365" s="2336">
        <v>105.15</v>
      </c>
      <c r="HC365" s="2336">
        <v>154.29</v>
      </c>
      <c r="HD365" s="2336">
        <v>209.26</v>
      </c>
      <c r="HE365" s="2336">
        <v>327.55</v>
      </c>
      <c r="HF365" s="2336">
        <v>485.34</v>
      </c>
      <c r="HG365" s="2250"/>
      <c r="HH365" s="2250"/>
      <c r="HI365" s="2333">
        <v>43.9</v>
      </c>
      <c r="HJ365" s="2336">
        <v>0</v>
      </c>
      <c r="HK365" s="2336">
        <v>8.1999999999999993</v>
      </c>
      <c r="HL365" s="2336">
        <v>15.33</v>
      </c>
      <c r="HM365" s="2336">
        <v>25.8</v>
      </c>
      <c r="HN365" s="2336">
        <v>41.73</v>
      </c>
      <c r="HO365" s="2336">
        <v>53.07</v>
      </c>
      <c r="HP365" s="2336">
        <v>76.47</v>
      </c>
      <c r="HQ365" s="2336">
        <v>111.87</v>
      </c>
      <c r="HR365" s="2336">
        <v>156.53</v>
      </c>
      <c r="HS365" s="2336">
        <v>239.07</v>
      </c>
      <c r="HT365" s="2336">
        <v>354.6</v>
      </c>
      <c r="HU365" s="2250"/>
      <c r="HV365" s="2250"/>
      <c r="HW365" s="2333">
        <v>43.9</v>
      </c>
      <c r="HX365" s="2337">
        <v>0</v>
      </c>
      <c r="HY365" s="2337">
        <v>6.77</v>
      </c>
      <c r="HZ365" s="2337">
        <v>11.69</v>
      </c>
      <c r="IA365" s="2337">
        <v>19.62</v>
      </c>
      <c r="IB365" s="2337">
        <v>31.77</v>
      </c>
      <c r="IC365" s="2337">
        <v>40.15</v>
      </c>
      <c r="ID365" s="2337">
        <v>58</v>
      </c>
      <c r="IE365" s="2337">
        <v>85.15</v>
      </c>
      <c r="IF365" s="2337">
        <v>119.08</v>
      </c>
      <c r="IG365" s="2337">
        <v>181.92</v>
      </c>
      <c r="IH365" s="2337">
        <v>269.69</v>
      </c>
      <c r="II365" s="2250"/>
      <c r="IJ365" s="2250"/>
      <c r="IK365" s="2250"/>
      <c r="IL365" s="53"/>
      <c r="IM365" s="53"/>
    </row>
    <row r="366" spans="2:247" ht="21.95" customHeight="1">
      <c r="B366" s="2333">
        <v>38.799999999999997</v>
      </c>
      <c r="C366" s="2336">
        <v>0</v>
      </c>
      <c r="D366" s="2336">
        <v>0</v>
      </c>
      <c r="E366" s="2336">
        <v>0</v>
      </c>
      <c r="F366" s="2336">
        <v>0</v>
      </c>
      <c r="G366" s="2336">
        <v>0</v>
      </c>
      <c r="H366" s="2336">
        <v>0</v>
      </c>
      <c r="I366" s="2336">
        <v>0</v>
      </c>
      <c r="J366" s="2336">
        <v>0</v>
      </c>
      <c r="K366" s="2336">
        <v>0</v>
      </c>
      <c r="L366" s="2336">
        <v>0</v>
      </c>
      <c r="M366" s="2336">
        <v>0</v>
      </c>
      <c r="N366" s="2250"/>
      <c r="O366" s="2250"/>
      <c r="P366" s="2333">
        <v>38.799999999999997</v>
      </c>
      <c r="Q366" s="2336">
        <v>0</v>
      </c>
      <c r="R366" s="2336">
        <v>11.1</v>
      </c>
      <c r="S366" s="2336">
        <v>21.53</v>
      </c>
      <c r="T366" s="2336">
        <v>36.01</v>
      </c>
      <c r="U366" s="2336">
        <v>59.08</v>
      </c>
      <c r="V366" s="2336">
        <v>72.7</v>
      </c>
      <c r="W366" s="2336">
        <v>115.71</v>
      </c>
      <c r="X366" s="2336">
        <v>172.33</v>
      </c>
      <c r="Y366" s="2336">
        <v>230.67</v>
      </c>
      <c r="Z366" s="2336">
        <v>340.43</v>
      </c>
      <c r="AA366" s="2336">
        <v>520.17999999999995</v>
      </c>
      <c r="AB366" s="2250"/>
      <c r="AC366" s="2250"/>
      <c r="AD366" s="2333">
        <v>38.799999999999997</v>
      </c>
      <c r="AE366" s="2336">
        <v>0</v>
      </c>
      <c r="AF366" s="2336">
        <v>9.1999999999999993</v>
      </c>
      <c r="AG366" s="2336">
        <v>17.87</v>
      </c>
      <c r="AH366" s="2336">
        <v>28.53</v>
      </c>
      <c r="AI366" s="2336">
        <v>46</v>
      </c>
      <c r="AJ366" s="2336">
        <v>58.8</v>
      </c>
      <c r="AK366" s="2336">
        <v>84.07</v>
      </c>
      <c r="AL366" s="2336">
        <v>124.93</v>
      </c>
      <c r="AM366" s="2336">
        <v>172.07</v>
      </c>
      <c r="AN366" s="2336">
        <v>246.33</v>
      </c>
      <c r="AO366" s="2336">
        <v>385.13</v>
      </c>
      <c r="AP366" s="2250"/>
      <c r="AQ366" s="2250"/>
      <c r="AR366" s="2333">
        <v>38.799999999999997</v>
      </c>
      <c r="AS366" s="2337">
        <v>0</v>
      </c>
      <c r="AT366" s="2337">
        <v>7.54</v>
      </c>
      <c r="AU366" s="2337">
        <v>13.62</v>
      </c>
      <c r="AV366" s="2337">
        <v>21.62</v>
      </c>
      <c r="AW366" s="2337">
        <v>35</v>
      </c>
      <c r="AX366" s="2337">
        <v>44.62</v>
      </c>
      <c r="AY366" s="2337">
        <v>63.69</v>
      </c>
      <c r="AZ366" s="2337">
        <v>101.92</v>
      </c>
      <c r="BA366" s="2337">
        <v>129.15</v>
      </c>
      <c r="BB366" s="2337">
        <v>186.85</v>
      </c>
      <c r="BC366" s="2337">
        <v>293.31</v>
      </c>
      <c r="BD366" s="2250"/>
      <c r="BE366" s="2250"/>
      <c r="BF366" s="1302">
        <v>165.9</v>
      </c>
      <c r="BG366" s="1302">
        <v>177.81</v>
      </c>
      <c r="BH366" s="2250"/>
      <c r="BI366" s="2275"/>
      <c r="BJ366" s="2333">
        <v>38.799999999999997</v>
      </c>
      <c r="BK366" s="2336">
        <v>0</v>
      </c>
      <c r="BL366" s="2336">
        <v>0</v>
      </c>
      <c r="BM366" s="2336">
        <v>0</v>
      </c>
      <c r="BN366" s="2336">
        <v>0</v>
      </c>
      <c r="BO366" s="2336">
        <v>0</v>
      </c>
      <c r="BP366" s="2336">
        <v>0</v>
      </c>
      <c r="BQ366" s="2336">
        <v>0</v>
      </c>
      <c r="BR366" s="2336">
        <v>0</v>
      </c>
      <c r="BS366" s="2336">
        <v>0</v>
      </c>
      <c r="BT366" s="2336">
        <v>0</v>
      </c>
      <c r="BU366" s="2336">
        <v>0</v>
      </c>
      <c r="BV366" s="2250"/>
      <c r="BW366" s="2250"/>
      <c r="BX366" s="2333">
        <v>38.799999999999997</v>
      </c>
      <c r="BY366" s="2336">
        <v>0</v>
      </c>
      <c r="BZ366" s="2336">
        <v>11.1</v>
      </c>
      <c r="CA366" s="2336">
        <v>21.53</v>
      </c>
      <c r="CB366" s="2336">
        <v>36.01</v>
      </c>
      <c r="CC366" s="2336">
        <v>59.08</v>
      </c>
      <c r="CD366" s="2336">
        <v>72.7</v>
      </c>
      <c r="CE366" s="2336">
        <v>115.71</v>
      </c>
      <c r="CF366" s="2336">
        <v>172.33</v>
      </c>
      <c r="CG366" s="2336">
        <v>230.67</v>
      </c>
      <c r="CH366" s="2336">
        <v>340.43</v>
      </c>
      <c r="CI366" s="2336">
        <v>520.17999999999995</v>
      </c>
      <c r="CJ366" s="2250"/>
      <c r="CK366" s="2250"/>
      <c r="CL366" s="2333">
        <v>38.799999999999997</v>
      </c>
      <c r="CM366" s="2336">
        <v>0</v>
      </c>
      <c r="CN366" s="2336">
        <v>9.1999999999999993</v>
      </c>
      <c r="CO366" s="2336">
        <v>17.87</v>
      </c>
      <c r="CP366" s="2336">
        <v>28.53</v>
      </c>
      <c r="CQ366" s="2336">
        <v>46</v>
      </c>
      <c r="CR366" s="2336">
        <v>58.8</v>
      </c>
      <c r="CS366" s="2336">
        <v>84.07</v>
      </c>
      <c r="CT366" s="2336">
        <v>124.93</v>
      </c>
      <c r="CU366" s="2336">
        <v>172.07</v>
      </c>
      <c r="CV366" s="2336">
        <v>246.33</v>
      </c>
      <c r="CW366" s="2336">
        <v>385.13</v>
      </c>
      <c r="CX366" s="2250"/>
      <c r="CY366" s="2250"/>
      <c r="CZ366" s="2333">
        <v>38.799999999999997</v>
      </c>
      <c r="DA366" s="2337">
        <v>0</v>
      </c>
      <c r="DB366" s="2337">
        <v>7.54</v>
      </c>
      <c r="DC366" s="2337">
        <v>13.62</v>
      </c>
      <c r="DD366" s="2337">
        <v>21.62</v>
      </c>
      <c r="DE366" s="2337">
        <v>35</v>
      </c>
      <c r="DF366" s="2337">
        <v>44.62</v>
      </c>
      <c r="DG366" s="2337">
        <v>63.69</v>
      </c>
      <c r="DH366" s="2337">
        <v>101.92</v>
      </c>
      <c r="DI366" s="2337">
        <v>129.15</v>
      </c>
      <c r="DJ366" s="2337">
        <v>186.85</v>
      </c>
      <c r="DK366" s="2337">
        <v>293.31</v>
      </c>
      <c r="DL366" s="2250"/>
      <c r="DM366" s="2250"/>
      <c r="DN366" s="2250"/>
      <c r="DO366" s="53"/>
      <c r="DP366" s="53"/>
      <c r="DY366" s="2333">
        <v>38.799999999999997</v>
      </c>
      <c r="DZ366" s="2336">
        <v>0</v>
      </c>
      <c r="EA366" s="2336">
        <v>0</v>
      </c>
      <c r="EB366" s="2336">
        <v>0</v>
      </c>
      <c r="EC366" s="2336">
        <v>0</v>
      </c>
      <c r="ED366" s="2336">
        <v>0</v>
      </c>
      <c r="EE366" s="2336">
        <v>0</v>
      </c>
      <c r="EF366" s="2336">
        <v>0</v>
      </c>
      <c r="EG366" s="2336">
        <v>0</v>
      </c>
      <c r="EH366" s="2336">
        <v>0</v>
      </c>
      <c r="EI366" s="2336">
        <v>0</v>
      </c>
      <c r="EJ366" s="2336">
        <v>0</v>
      </c>
      <c r="EK366" s="2250"/>
      <c r="EL366" s="2250"/>
      <c r="EM366" s="2333">
        <v>38.799999999999997</v>
      </c>
      <c r="EN366" s="2336">
        <v>0</v>
      </c>
      <c r="EO366" s="2336">
        <v>11.1</v>
      </c>
      <c r="EP366" s="2336">
        <v>21.53</v>
      </c>
      <c r="EQ366" s="2336">
        <v>36.01</v>
      </c>
      <c r="ER366" s="2336">
        <v>59.08</v>
      </c>
      <c r="ES366" s="2336">
        <v>72.7</v>
      </c>
      <c r="ET366" s="2336">
        <v>115.71</v>
      </c>
      <c r="EU366" s="2336">
        <v>172.33</v>
      </c>
      <c r="EV366" s="2336">
        <v>230.67</v>
      </c>
      <c r="EW366" s="2336">
        <v>340.43</v>
      </c>
      <c r="EX366" s="2336">
        <v>520.17999999999995</v>
      </c>
      <c r="EY366" s="2250"/>
      <c r="EZ366" s="2250"/>
      <c r="FA366" s="2333">
        <v>38.799999999999997</v>
      </c>
      <c r="FB366" s="2336">
        <v>0</v>
      </c>
      <c r="FC366" s="2336">
        <v>9.1999999999999993</v>
      </c>
      <c r="FD366" s="2336">
        <v>17.87</v>
      </c>
      <c r="FE366" s="2336">
        <v>28.53</v>
      </c>
      <c r="FF366" s="2336">
        <v>46</v>
      </c>
      <c r="FG366" s="2336">
        <v>58.8</v>
      </c>
      <c r="FH366" s="2336">
        <v>84.07</v>
      </c>
      <c r="FI366" s="2336">
        <v>124.93</v>
      </c>
      <c r="FJ366" s="2336">
        <v>172.07</v>
      </c>
      <c r="FK366" s="2336">
        <v>246.33</v>
      </c>
      <c r="FL366" s="2336">
        <v>385.13</v>
      </c>
      <c r="FM366" s="2250"/>
      <c r="FN366" s="2250"/>
      <c r="FO366" s="2333">
        <v>38.799999999999997</v>
      </c>
      <c r="FP366" s="2337">
        <v>0</v>
      </c>
      <c r="FQ366" s="2337">
        <v>7.54</v>
      </c>
      <c r="FR366" s="2337">
        <v>13.62</v>
      </c>
      <c r="FS366" s="2337">
        <v>21.62</v>
      </c>
      <c r="FT366" s="2337">
        <v>35</v>
      </c>
      <c r="FU366" s="2337">
        <v>44.62</v>
      </c>
      <c r="FV366" s="2337">
        <v>63.69</v>
      </c>
      <c r="FW366" s="2337">
        <v>101.92</v>
      </c>
      <c r="FX366" s="2337">
        <v>129.15</v>
      </c>
      <c r="FY366" s="2337">
        <v>186.85</v>
      </c>
      <c r="FZ366" s="2337">
        <v>293.31</v>
      </c>
      <c r="GA366" s="2250"/>
      <c r="GB366" s="2250"/>
      <c r="GC366" s="1302">
        <v>165.9</v>
      </c>
      <c r="GD366" s="1302">
        <v>177.81</v>
      </c>
      <c r="GE366" s="2250"/>
      <c r="GF366" s="2275"/>
      <c r="GG366" s="2333">
        <v>38.799999999999997</v>
      </c>
      <c r="GH366" s="2336">
        <v>0</v>
      </c>
      <c r="GI366" s="2336">
        <v>0</v>
      </c>
      <c r="GJ366" s="2336">
        <v>0</v>
      </c>
      <c r="GK366" s="2336">
        <v>0</v>
      </c>
      <c r="GL366" s="2336">
        <v>0</v>
      </c>
      <c r="GM366" s="2336">
        <v>0</v>
      </c>
      <c r="GN366" s="2336">
        <v>0</v>
      </c>
      <c r="GO366" s="2336">
        <v>0</v>
      </c>
      <c r="GP366" s="2336">
        <v>0</v>
      </c>
      <c r="GQ366" s="2336">
        <v>0</v>
      </c>
      <c r="GR366" s="2336">
        <v>0</v>
      </c>
      <c r="GS366" s="2250"/>
      <c r="GT366" s="2250"/>
      <c r="GU366" s="2333">
        <v>38.799999999999997</v>
      </c>
      <c r="GV366" s="2336">
        <v>0</v>
      </c>
      <c r="GW366" s="2336">
        <v>11.1</v>
      </c>
      <c r="GX366" s="2336">
        <v>21.53</v>
      </c>
      <c r="GY366" s="2336">
        <v>36.01</v>
      </c>
      <c r="GZ366" s="2336">
        <v>59.08</v>
      </c>
      <c r="HA366" s="2336">
        <v>72.7</v>
      </c>
      <c r="HB366" s="2336">
        <v>115.71</v>
      </c>
      <c r="HC366" s="2336">
        <v>172.33</v>
      </c>
      <c r="HD366" s="2336">
        <v>230.67</v>
      </c>
      <c r="HE366" s="2336">
        <v>340.43</v>
      </c>
      <c r="HF366" s="2336">
        <v>520.17999999999995</v>
      </c>
      <c r="HG366" s="2250"/>
      <c r="HH366" s="2250"/>
      <c r="HI366" s="2333">
        <v>38.799999999999997</v>
      </c>
      <c r="HJ366" s="2336">
        <v>0</v>
      </c>
      <c r="HK366" s="2336">
        <v>9.1999999999999993</v>
      </c>
      <c r="HL366" s="2336">
        <v>17.87</v>
      </c>
      <c r="HM366" s="2336">
        <v>28.53</v>
      </c>
      <c r="HN366" s="2336">
        <v>46</v>
      </c>
      <c r="HO366" s="2336">
        <v>58.8</v>
      </c>
      <c r="HP366" s="2336">
        <v>84.07</v>
      </c>
      <c r="HQ366" s="2336">
        <v>124.93</v>
      </c>
      <c r="HR366" s="2336">
        <v>172.07</v>
      </c>
      <c r="HS366" s="2336">
        <v>246.33</v>
      </c>
      <c r="HT366" s="2336">
        <v>385.13</v>
      </c>
      <c r="HU366" s="2250"/>
      <c r="HV366" s="2250"/>
      <c r="HW366" s="2333">
        <v>38.799999999999997</v>
      </c>
      <c r="HX366" s="2337">
        <v>0</v>
      </c>
      <c r="HY366" s="2337">
        <v>7.54</v>
      </c>
      <c r="HZ366" s="2337">
        <v>13.62</v>
      </c>
      <c r="IA366" s="2337">
        <v>21.62</v>
      </c>
      <c r="IB366" s="2337">
        <v>35</v>
      </c>
      <c r="IC366" s="2337">
        <v>44.62</v>
      </c>
      <c r="ID366" s="2337">
        <v>63.69</v>
      </c>
      <c r="IE366" s="2337">
        <v>101.92</v>
      </c>
      <c r="IF366" s="2337">
        <v>129.15</v>
      </c>
      <c r="IG366" s="2337">
        <v>186.85</v>
      </c>
      <c r="IH366" s="2337">
        <v>293.31</v>
      </c>
      <c r="II366" s="2250"/>
      <c r="IJ366" s="2250"/>
      <c r="IK366" s="2250"/>
      <c r="IL366" s="53"/>
      <c r="IM366" s="53"/>
    </row>
    <row r="367" spans="2:247" ht="21.95" customHeight="1">
      <c r="B367" s="2333">
        <v>34.200000000000003</v>
      </c>
      <c r="C367" s="2336">
        <v>0</v>
      </c>
      <c r="D367" s="2336">
        <v>0</v>
      </c>
      <c r="E367" s="2336">
        <v>0</v>
      </c>
      <c r="F367" s="2336">
        <v>0</v>
      </c>
      <c r="G367" s="2336">
        <v>0</v>
      </c>
      <c r="H367" s="2336">
        <v>0</v>
      </c>
      <c r="I367" s="2336">
        <v>0</v>
      </c>
      <c r="J367" s="2336">
        <v>0</v>
      </c>
      <c r="K367" s="2336">
        <v>0</v>
      </c>
      <c r="L367" s="2336">
        <v>0</v>
      </c>
      <c r="M367" s="2336">
        <v>0</v>
      </c>
      <c r="N367" s="2250"/>
      <c r="O367" s="2250"/>
      <c r="P367" s="2333">
        <v>34.200000000000003</v>
      </c>
      <c r="Q367" s="2336">
        <v>0</v>
      </c>
      <c r="R367" s="2336">
        <v>12.45</v>
      </c>
      <c r="S367" s="2336">
        <v>24.05</v>
      </c>
      <c r="T367" s="2336">
        <v>40.369999999999997</v>
      </c>
      <c r="U367" s="2336">
        <v>66.319999999999993</v>
      </c>
      <c r="V367" s="2336">
        <v>79.510000000000005</v>
      </c>
      <c r="W367" s="2336">
        <v>121.6</v>
      </c>
      <c r="X367" s="2336">
        <v>189.08</v>
      </c>
      <c r="Y367" s="2336">
        <v>237.48</v>
      </c>
      <c r="Z367" s="2336">
        <v>400.12</v>
      </c>
      <c r="AA367" s="2336">
        <v>581.47</v>
      </c>
      <c r="AB367" s="2250"/>
      <c r="AC367" s="2250"/>
      <c r="AD367" s="2333">
        <v>34.200000000000003</v>
      </c>
      <c r="AE367" s="2336">
        <v>0</v>
      </c>
      <c r="AF367" s="2336">
        <v>10.33</v>
      </c>
      <c r="AG367" s="2336">
        <v>18.93</v>
      </c>
      <c r="AH367" s="2336">
        <v>31.73</v>
      </c>
      <c r="AI367" s="2336">
        <v>51.53</v>
      </c>
      <c r="AJ367" s="2336">
        <v>65.27</v>
      </c>
      <c r="AK367" s="2336">
        <v>93.47</v>
      </c>
      <c r="AL367" s="2336">
        <v>137.33000000000001</v>
      </c>
      <c r="AM367" s="2336">
        <v>193.33</v>
      </c>
      <c r="AN367" s="2336">
        <v>290.2</v>
      </c>
      <c r="AO367" s="2336">
        <v>429.27</v>
      </c>
      <c r="AP367" s="2250"/>
      <c r="AQ367" s="2250"/>
      <c r="AR367" s="2333">
        <v>34.200000000000003</v>
      </c>
      <c r="AS367" s="2337">
        <v>0</v>
      </c>
      <c r="AT367" s="2337">
        <v>8</v>
      </c>
      <c r="AU367" s="2337">
        <v>14.31</v>
      </c>
      <c r="AV367" s="2337">
        <v>24.08</v>
      </c>
      <c r="AW367" s="2337">
        <v>39</v>
      </c>
      <c r="AX367" s="2337">
        <v>49.85</v>
      </c>
      <c r="AY367" s="2337">
        <v>70.08</v>
      </c>
      <c r="AZ367" s="2337">
        <v>104</v>
      </c>
      <c r="BA367" s="2337">
        <v>146.62</v>
      </c>
      <c r="BB367" s="2337">
        <v>218.15</v>
      </c>
      <c r="BC367" s="2337">
        <v>329.92</v>
      </c>
      <c r="BD367" s="2250"/>
      <c r="BE367" s="2250"/>
      <c r="BF367" s="1302">
        <v>177.81</v>
      </c>
      <c r="BG367" s="1302">
        <v>190.4</v>
      </c>
      <c r="BH367" s="2250"/>
      <c r="BI367" s="2275"/>
      <c r="BJ367" s="2333">
        <v>34.200000000000003</v>
      </c>
      <c r="BK367" s="2336">
        <v>0</v>
      </c>
      <c r="BL367" s="2336">
        <v>0</v>
      </c>
      <c r="BM367" s="2336">
        <v>0</v>
      </c>
      <c r="BN367" s="2336">
        <v>0</v>
      </c>
      <c r="BO367" s="2336">
        <v>0</v>
      </c>
      <c r="BP367" s="2336">
        <v>0</v>
      </c>
      <c r="BQ367" s="2336">
        <v>0</v>
      </c>
      <c r="BR367" s="2336">
        <v>0</v>
      </c>
      <c r="BS367" s="2336">
        <v>0</v>
      </c>
      <c r="BT367" s="2336">
        <v>0</v>
      </c>
      <c r="BU367" s="2336">
        <v>0</v>
      </c>
      <c r="BV367" s="2250"/>
      <c r="BW367" s="2250"/>
      <c r="BX367" s="2333">
        <v>34.200000000000003</v>
      </c>
      <c r="BY367" s="2336">
        <v>0</v>
      </c>
      <c r="BZ367" s="2336">
        <v>12.45</v>
      </c>
      <c r="CA367" s="2336">
        <v>24.05</v>
      </c>
      <c r="CB367" s="2336">
        <v>40.369999999999997</v>
      </c>
      <c r="CC367" s="2336">
        <v>66.319999999999993</v>
      </c>
      <c r="CD367" s="2336">
        <v>79.510000000000005</v>
      </c>
      <c r="CE367" s="2336">
        <v>121.6</v>
      </c>
      <c r="CF367" s="2336">
        <v>189.08</v>
      </c>
      <c r="CG367" s="2336">
        <v>237.48</v>
      </c>
      <c r="CH367" s="2336">
        <v>400.12</v>
      </c>
      <c r="CI367" s="2336">
        <v>581.47</v>
      </c>
      <c r="CJ367" s="2250"/>
      <c r="CK367" s="2250"/>
      <c r="CL367" s="2333">
        <v>34.200000000000003</v>
      </c>
      <c r="CM367" s="2336">
        <v>0</v>
      </c>
      <c r="CN367" s="2336">
        <v>10.33</v>
      </c>
      <c r="CO367" s="2336">
        <v>18.93</v>
      </c>
      <c r="CP367" s="2336">
        <v>31.73</v>
      </c>
      <c r="CQ367" s="2336">
        <v>51.53</v>
      </c>
      <c r="CR367" s="2336">
        <v>65.27</v>
      </c>
      <c r="CS367" s="2336">
        <v>93.47</v>
      </c>
      <c r="CT367" s="2336">
        <v>137.33000000000001</v>
      </c>
      <c r="CU367" s="2336">
        <v>193.33</v>
      </c>
      <c r="CV367" s="2336">
        <v>290.2</v>
      </c>
      <c r="CW367" s="2336">
        <v>429.27</v>
      </c>
      <c r="CX367" s="2250"/>
      <c r="CY367" s="2250"/>
      <c r="CZ367" s="2333">
        <v>34.200000000000003</v>
      </c>
      <c r="DA367" s="2337">
        <v>0</v>
      </c>
      <c r="DB367" s="2337">
        <v>8</v>
      </c>
      <c r="DC367" s="2337">
        <v>14.31</v>
      </c>
      <c r="DD367" s="2337">
        <v>24.08</v>
      </c>
      <c r="DE367" s="2337">
        <v>39</v>
      </c>
      <c r="DF367" s="2337">
        <v>49.85</v>
      </c>
      <c r="DG367" s="2337">
        <v>70.08</v>
      </c>
      <c r="DH367" s="2337">
        <v>104</v>
      </c>
      <c r="DI367" s="2337">
        <v>146.62</v>
      </c>
      <c r="DJ367" s="2337">
        <v>218.15</v>
      </c>
      <c r="DK367" s="2337">
        <v>329.92</v>
      </c>
      <c r="DL367" s="2250"/>
      <c r="DM367" s="2250"/>
      <c r="DN367" s="2250"/>
      <c r="DO367" s="53"/>
      <c r="DP367" s="53"/>
      <c r="DY367" s="2333">
        <v>34.200000000000003</v>
      </c>
      <c r="DZ367" s="2336">
        <v>0</v>
      </c>
      <c r="EA367" s="2336">
        <v>0</v>
      </c>
      <c r="EB367" s="2336">
        <v>0</v>
      </c>
      <c r="EC367" s="2336">
        <v>0</v>
      </c>
      <c r="ED367" s="2336">
        <v>0</v>
      </c>
      <c r="EE367" s="2336">
        <v>0</v>
      </c>
      <c r="EF367" s="2336">
        <v>0</v>
      </c>
      <c r="EG367" s="2336">
        <v>0</v>
      </c>
      <c r="EH367" s="2336">
        <v>0</v>
      </c>
      <c r="EI367" s="2336">
        <v>0</v>
      </c>
      <c r="EJ367" s="2336">
        <v>0</v>
      </c>
      <c r="EK367" s="2250"/>
      <c r="EL367" s="2250"/>
      <c r="EM367" s="2333">
        <v>34.200000000000003</v>
      </c>
      <c r="EN367" s="2336">
        <v>0</v>
      </c>
      <c r="EO367" s="2336">
        <v>12.45</v>
      </c>
      <c r="EP367" s="2336">
        <v>24.05</v>
      </c>
      <c r="EQ367" s="2336">
        <v>40.369999999999997</v>
      </c>
      <c r="ER367" s="2336">
        <v>66.319999999999993</v>
      </c>
      <c r="ES367" s="2336">
        <v>79.510000000000005</v>
      </c>
      <c r="ET367" s="2336">
        <v>121.6</v>
      </c>
      <c r="EU367" s="2336">
        <v>189.08</v>
      </c>
      <c r="EV367" s="2336">
        <v>237.48</v>
      </c>
      <c r="EW367" s="2336">
        <v>400.12</v>
      </c>
      <c r="EX367" s="2336">
        <v>581.47</v>
      </c>
      <c r="EY367" s="2250"/>
      <c r="EZ367" s="2250"/>
      <c r="FA367" s="2333">
        <v>34.200000000000003</v>
      </c>
      <c r="FB367" s="2336">
        <v>0</v>
      </c>
      <c r="FC367" s="2336">
        <v>10.33</v>
      </c>
      <c r="FD367" s="2336">
        <v>18.93</v>
      </c>
      <c r="FE367" s="2336">
        <v>31.73</v>
      </c>
      <c r="FF367" s="2336">
        <v>51.53</v>
      </c>
      <c r="FG367" s="2336">
        <v>65.27</v>
      </c>
      <c r="FH367" s="2336">
        <v>93.47</v>
      </c>
      <c r="FI367" s="2336">
        <v>137.33000000000001</v>
      </c>
      <c r="FJ367" s="2336">
        <v>193.33</v>
      </c>
      <c r="FK367" s="2336">
        <v>290.2</v>
      </c>
      <c r="FL367" s="2336">
        <v>429.27</v>
      </c>
      <c r="FM367" s="2250"/>
      <c r="FN367" s="2250"/>
      <c r="FO367" s="2333">
        <v>34.200000000000003</v>
      </c>
      <c r="FP367" s="2337">
        <v>0</v>
      </c>
      <c r="FQ367" s="2337">
        <v>8</v>
      </c>
      <c r="FR367" s="2337">
        <v>14.31</v>
      </c>
      <c r="FS367" s="2337">
        <v>24.08</v>
      </c>
      <c r="FT367" s="2337">
        <v>39</v>
      </c>
      <c r="FU367" s="2337">
        <v>49.85</v>
      </c>
      <c r="FV367" s="2337">
        <v>70.08</v>
      </c>
      <c r="FW367" s="2337">
        <v>104</v>
      </c>
      <c r="FX367" s="2337">
        <v>146.62</v>
      </c>
      <c r="FY367" s="2337">
        <v>218.15</v>
      </c>
      <c r="FZ367" s="2337">
        <v>329.92</v>
      </c>
      <c r="GA367" s="2250"/>
      <c r="GB367" s="2250"/>
      <c r="GC367" s="1302">
        <v>177.81</v>
      </c>
      <c r="GD367" s="1302">
        <v>190.4</v>
      </c>
      <c r="GE367" s="2250"/>
      <c r="GF367" s="2275"/>
      <c r="GG367" s="2333">
        <v>34.200000000000003</v>
      </c>
      <c r="GH367" s="2336">
        <v>0</v>
      </c>
      <c r="GI367" s="2336">
        <v>0</v>
      </c>
      <c r="GJ367" s="2336">
        <v>0</v>
      </c>
      <c r="GK367" s="2336">
        <v>0</v>
      </c>
      <c r="GL367" s="2336">
        <v>0</v>
      </c>
      <c r="GM367" s="2336">
        <v>0</v>
      </c>
      <c r="GN367" s="2336">
        <v>0</v>
      </c>
      <c r="GO367" s="2336">
        <v>0</v>
      </c>
      <c r="GP367" s="2336">
        <v>0</v>
      </c>
      <c r="GQ367" s="2336">
        <v>0</v>
      </c>
      <c r="GR367" s="2336">
        <v>0</v>
      </c>
      <c r="GS367" s="2250"/>
      <c r="GT367" s="2250"/>
      <c r="GU367" s="2333">
        <v>34.200000000000003</v>
      </c>
      <c r="GV367" s="2336">
        <v>0</v>
      </c>
      <c r="GW367" s="2336">
        <v>12.45</v>
      </c>
      <c r="GX367" s="2336">
        <v>24.05</v>
      </c>
      <c r="GY367" s="2336">
        <v>40.369999999999997</v>
      </c>
      <c r="GZ367" s="2336">
        <v>66.319999999999993</v>
      </c>
      <c r="HA367" s="2336">
        <v>79.510000000000005</v>
      </c>
      <c r="HB367" s="2336">
        <v>121.6</v>
      </c>
      <c r="HC367" s="2336">
        <v>189.08</v>
      </c>
      <c r="HD367" s="2336">
        <v>237.48</v>
      </c>
      <c r="HE367" s="2336">
        <v>400.12</v>
      </c>
      <c r="HF367" s="2336">
        <v>581.47</v>
      </c>
      <c r="HG367" s="2250"/>
      <c r="HH367" s="2250"/>
      <c r="HI367" s="2333">
        <v>34.200000000000003</v>
      </c>
      <c r="HJ367" s="2336">
        <v>0</v>
      </c>
      <c r="HK367" s="2336">
        <v>10.33</v>
      </c>
      <c r="HL367" s="2336">
        <v>18.93</v>
      </c>
      <c r="HM367" s="2336">
        <v>31.73</v>
      </c>
      <c r="HN367" s="2336">
        <v>51.53</v>
      </c>
      <c r="HO367" s="2336">
        <v>65.27</v>
      </c>
      <c r="HP367" s="2336">
        <v>93.47</v>
      </c>
      <c r="HQ367" s="2336">
        <v>137.33000000000001</v>
      </c>
      <c r="HR367" s="2336">
        <v>193.33</v>
      </c>
      <c r="HS367" s="2336">
        <v>290.2</v>
      </c>
      <c r="HT367" s="2336">
        <v>429.27</v>
      </c>
      <c r="HU367" s="2250"/>
      <c r="HV367" s="2250"/>
      <c r="HW367" s="2333">
        <v>34.200000000000003</v>
      </c>
      <c r="HX367" s="2337">
        <v>0</v>
      </c>
      <c r="HY367" s="2337">
        <v>8</v>
      </c>
      <c r="HZ367" s="2337">
        <v>14.31</v>
      </c>
      <c r="IA367" s="2337">
        <v>24.08</v>
      </c>
      <c r="IB367" s="2337">
        <v>39</v>
      </c>
      <c r="IC367" s="2337">
        <v>49.85</v>
      </c>
      <c r="ID367" s="2337">
        <v>70.08</v>
      </c>
      <c r="IE367" s="2337">
        <v>104</v>
      </c>
      <c r="IF367" s="2337">
        <v>146.62</v>
      </c>
      <c r="IG367" s="2337">
        <v>218.15</v>
      </c>
      <c r="IH367" s="2337">
        <v>329.92</v>
      </c>
      <c r="II367" s="2250"/>
      <c r="IJ367" s="2250"/>
      <c r="IK367" s="2250"/>
      <c r="IL367" s="53"/>
      <c r="IM367" s="53"/>
    </row>
    <row r="368" spans="2:247" ht="21.95" customHeight="1">
      <c r="B368" s="2333">
        <v>29.3</v>
      </c>
      <c r="C368" s="2336">
        <v>0</v>
      </c>
      <c r="D368" s="2336">
        <v>0</v>
      </c>
      <c r="E368" s="2336">
        <v>0</v>
      </c>
      <c r="F368" s="2336">
        <v>0</v>
      </c>
      <c r="G368" s="2336">
        <v>0</v>
      </c>
      <c r="H368" s="2336">
        <v>0</v>
      </c>
      <c r="I368" s="2336">
        <v>0</v>
      </c>
      <c r="J368" s="2336">
        <v>0</v>
      </c>
      <c r="K368" s="2336">
        <v>0</v>
      </c>
      <c r="L368" s="2336">
        <v>0</v>
      </c>
      <c r="M368" s="2336">
        <v>0</v>
      </c>
      <c r="N368" s="2250"/>
      <c r="O368" s="2250"/>
      <c r="P368" s="2333">
        <v>29.3</v>
      </c>
      <c r="Q368" s="2336">
        <v>0</v>
      </c>
      <c r="R368" s="2336">
        <v>14.17</v>
      </c>
      <c r="S368" s="2336">
        <v>26.87</v>
      </c>
      <c r="T368" s="2336">
        <v>47.36</v>
      </c>
      <c r="U368" s="2336">
        <v>75.89</v>
      </c>
      <c r="V368" s="2336">
        <v>81.47</v>
      </c>
      <c r="W368" s="2336">
        <v>121.6</v>
      </c>
      <c r="X368" s="2336">
        <v>220</v>
      </c>
      <c r="Y368" s="2336">
        <v>237.48</v>
      </c>
      <c r="Z368" s="2336">
        <v>410.37</v>
      </c>
      <c r="AA368" s="2336">
        <v>643.99</v>
      </c>
      <c r="AB368" s="2250"/>
      <c r="AC368" s="2250"/>
      <c r="AD368" s="2333">
        <v>29.3</v>
      </c>
      <c r="AE368" s="2336">
        <v>0</v>
      </c>
      <c r="AF368" s="2336">
        <v>11.8</v>
      </c>
      <c r="AG368" s="2336">
        <v>21.67</v>
      </c>
      <c r="AH368" s="2336">
        <v>34.130000000000003</v>
      </c>
      <c r="AI368" s="2336">
        <v>58.47</v>
      </c>
      <c r="AJ368" s="2336">
        <v>66.67</v>
      </c>
      <c r="AK368" s="2336">
        <v>99.47</v>
      </c>
      <c r="AL368" s="2336">
        <v>158.72999999999999</v>
      </c>
      <c r="AM368" s="2336">
        <v>194.33</v>
      </c>
      <c r="AN368" s="2336">
        <v>320.60000000000002</v>
      </c>
      <c r="AO368" s="2336">
        <v>468.2</v>
      </c>
      <c r="AP368" s="2250"/>
      <c r="AQ368" s="2250"/>
      <c r="AR368" s="2333">
        <v>29.3</v>
      </c>
      <c r="AS368" s="2337">
        <v>0</v>
      </c>
      <c r="AT368" s="2337">
        <v>9.23</v>
      </c>
      <c r="AU368" s="2337">
        <v>16.46</v>
      </c>
      <c r="AV368" s="2337">
        <v>25.85</v>
      </c>
      <c r="AW368" s="2337">
        <v>44.38</v>
      </c>
      <c r="AX368" s="2337">
        <v>54.15</v>
      </c>
      <c r="AY368" s="2337">
        <v>77.23</v>
      </c>
      <c r="AZ368" s="2337">
        <v>120.54</v>
      </c>
      <c r="BA368" s="2337">
        <v>168.31</v>
      </c>
      <c r="BB368" s="2337">
        <v>240.46</v>
      </c>
      <c r="BC368" s="2337">
        <v>351.08</v>
      </c>
      <c r="BD368" s="2250"/>
      <c r="BE368" s="2250"/>
      <c r="BF368" s="1302">
        <v>190.4</v>
      </c>
      <c r="BG368" s="1302">
        <v>206.43</v>
      </c>
      <c r="BH368" s="2250"/>
      <c r="BI368" s="2275"/>
      <c r="BJ368" s="2333">
        <v>29.3</v>
      </c>
      <c r="BK368" s="2336">
        <v>0</v>
      </c>
      <c r="BL368" s="2336">
        <v>0</v>
      </c>
      <c r="BM368" s="2336">
        <v>0</v>
      </c>
      <c r="BN368" s="2336">
        <v>0</v>
      </c>
      <c r="BO368" s="2336">
        <v>0</v>
      </c>
      <c r="BP368" s="2336">
        <v>0</v>
      </c>
      <c r="BQ368" s="2336">
        <v>0</v>
      </c>
      <c r="BR368" s="2336">
        <v>0</v>
      </c>
      <c r="BS368" s="2336">
        <v>0</v>
      </c>
      <c r="BT368" s="2336">
        <v>0</v>
      </c>
      <c r="BU368" s="2336">
        <v>0</v>
      </c>
      <c r="BV368" s="2250"/>
      <c r="BW368" s="2250"/>
      <c r="BX368" s="2333">
        <v>29.3</v>
      </c>
      <c r="BY368" s="2336">
        <v>0</v>
      </c>
      <c r="BZ368" s="2336">
        <v>14.17</v>
      </c>
      <c r="CA368" s="2336">
        <v>26.87</v>
      </c>
      <c r="CB368" s="2336">
        <v>47.36</v>
      </c>
      <c r="CC368" s="2336">
        <v>75.89</v>
      </c>
      <c r="CD368" s="2336">
        <v>81.47</v>
      </c>
      <c r="CE368" s="2336">
        <v>121.6</v>
      </c>
      <c r="CF368" s="2336">
        <v>220</v>
      </c>
      <c r="CG368" s="2336">
        <v>237.48</v>
      </c>
      <c r="CH368" s="2336">
        <v>410.37</v>
      </c>
      <c r="CI368" s="2336">
        <v>643.99</v>
      </c>
      <c r="CJ368" s="2250"/>
      <c r="CK368" s="2250"/>
      <c r="CL368" s="2333">
        <v>29.3</v>
      </c>
      <c r="CM368" s="2336">
        <v>0</v>
      </c>
      <c r="CN368" s="2336">
        <v>11.8</v>
      </c>
      <c r="CO368" s="2336">
        <v>21.67</v>
      </c>
      <c r="CP368" s="2336">
        <v>34.130000000000003</v>
      </c>
      <c r="CQ368" s="2336">
        <v>58.47</v>
      </c>
      <c r="CR368" s="2336">
        <v>66.67</v>
      </c>
      <c r="CS368" s="2336">
        <v>99.47</v>
      </c>
      <c r="CT368" s="2336">
        <v>158.72999999999999</v>
      </c>
      <c r="CU368" s="2336">
        <v>194.33</v>
      </c>
      <c r="CV368" s="2336">
        <v>320.60000000000002</v>
      </c>
      <c r="CW368" s="2336">
        <v>468.2</v>
      </c>
      <c r="CX368" s="2250"/>
      <c r="CY368" s="2250"/>
      <c r="CZ368" s="2333">
        <v>29.3</v>
      </c>
      <c r="DA368" s="2337">
        <v>0</v>
      </c>
      <c r="DB368" s="2337">
        <v>9.23</v>
      </c>
      <c r="DC368" s="2337">
        <v>16.46</v>
      </c>
      <c r="DD368" s="2337">
        <v>25.85</v>
      </c>
      <c r="DE368" s="2337">
        <v>44.38</v>
      </c>
      <c r="DF368" s="2337">
        <v>54.15</v>
      </c>
      <c r="DG368" s="2337">
        <v>77.23</v>
      </c>
      <c r="DH368" s="2337">
        <v>120.54</v>
      </c>
      <c r="DI368" s="2337">
        <v>168.31</v>
      </c>
      <c r="DJ368" s="2337">
        <v>240.46</v>
      </c>
      <c r="DK368" s="2337">
        <v>351.08</v>
      </c>
      <c r="DL368" s="2250"/>
      <c r="DM368" s="2250"/>
      <c r="DN368" s="2250"/>
      <c r="DO368" s="53"/>
      <c r="DP368" s="53"/>
      <c r="DY368" s="2333">
        <v>29.3</v>
      </c>
      <c r="DZ368" s="2336">
        <v>0</v>
      </c>
      <c r="EA368" s="2336">
        <v>0</v>
      </c>
      <c r="EB368" s="2336">
        <v>0</v>
      </c>
      <c r="EC368" s="2336">
        <v>0</v>
      </c>
      <c r="ED368" s="2336">
        <v>0</v>
      </c>
      <c r="EE368" s="2336">
        <v>0</v>
      </c>
      <c r="EF368" s="2336">
        <v>0</v>
      </c>
      <c r="EG368" s="2336">
        <v>0</v>
      </c>
      <c r="EH368" s="2336">
        <v>0</v>
      </c>
      <c r="EI368" s="2336">
        <v>0</v>
      </c>
      <c r="EJ368" s="2336">
        <v>0</v>
      </c>
      <c r="EK368" s="2250"/>
      <c r="EL368" s="2250"/>
      <c r="EM368" s="2333">
        <v>29.3</v>
      </c>
      <c r="EN368" s="2336">
        <v>0</v>
      </c>
      <c r="EO368" s="2336">
        <v>14.17</v>
      </c>
      <c r="EP368" s="2336">
        <v>26.87</v>
      </c>
      <c r="EQ368" s="2336">
        <v>47.36</v>
      </c>
      <c r="ER368" s="2336">
        <v>75.89</v>
      </c>
      <c r="ES368" s="2336">
        <v>81.47</v>
      </c>
      <c r="ET368" s="2336">
        <v>121.6</v>
      </c>
      <c r="EU368" s="2336">
        <v>220</v>
      </c>
      <c r="EV368" s="2336">
        <v>237.48</v>
      </c>
      <c r="EW368" s="2336">
        <v>410.37</v>
      </c>
      <c r="EX368" s="2336">
        <v>643.99</v>
      </c>
      <c r="EY368" s="2250"/>
      <c r="EZ368" s="2250"/>
      <c r="FA368" s="2333">
        <v>29.3</v>
      </c>
      <c r="FB368" s="2336">
        <v>0</v>
      </c>
      <c r="FC368" s="2336">
        <v>11.8</v>
      </c>
      <c r="FD368" s="2336">
        <v>21.67</v>
      </c>
      <c r="FE368" s="2336">
        <v>34.130000000000003</v>
      </c>
      <c r="FF368" s="2336">
        <v>58.47</v>
      </c>
      <c r="FG368" s="2336">
        <v>66.67</v>
      </c>
      <c r="FH368" s="2336">
        <v>99.47</v>
      </c>
      <c r="FI368" s="2336">
        <v>158.72999999999999</v>
      </c>
      <c r="FJ368" s="2336">
        <v>194.33</v>
      </c>
      <c r="FK368" s="2336">
        <v>320.60000000000002</v>
      </c>
      <c r="FL368" s="2336">
        <v>468.2</v>
      </c>
      <c r="FM368" s="2250"/>
      <c r="FN368" s="2250"/>
      <c r="FO368" s="2333">
        <v>29.3</v>
      </c>
      <c r="FP368" s="2337">
        <v>0</v>
      </c>
      <c r="FQ368" s="2337">
        <v>9.23</v>
      </c>
      <c r="FR368" s="2337">
        <v>16.46</v>
      </c>
      <c r="FS368" s="2337">
        <v>25.85</v>
      </c>
      <c r="FT368" s="2337">
        <v>44.38</v>
      </c>
      <c r="FU368" s="2337">
        <v>54.15</v>
      </c>
      <c r="FV368" s="2337">
        <v>77.23</v>
      </c>
      <c r="FW368" s="2337">
        <v>120.54</v>
      </c>
      <c r="FX368" s="2337">
        <v>168.31</v>
      </c>
      <c r="FY368" s="2337">
        <v>240.46</v>
      </c>
      <c r="FZ368" s="2337">
        <v>351.08</v>
      </c>
      <c r="GA368" s="2250"/>
      <c r="GB368" s="2250"/>
      <c r="GC368" s="1302">
        <v>190.4</v>
      </c>
      <c r="GD368" s="1302">
        <v>206.43</v>
      </c>
      <c r="GE368" s="2250"/>
      <c r="GF368" s="2275"/>
      <c r="GG368" s="2333">
        <v>29.3</v>
      </c>
      <c r="GH368" s="2336">
        <v>0</v>
      </c>
      <c r="GI368" s="2336">
        <v>0</v>
      </c>
      <c r="GJ368" s="2336">
        <v>0</v>
      </c>
      <c r="GK368" s="2336">
        <v>0</v>
      </c>
      <c r="GL368" s="2336">
        <v>0</v>
      </c>
      <c r="GM368" s="2336">
        <v>0</v>
      </c>
      <c r="GN368" s="2336">
        <v>0</v>
      </c>
      <c r="GO368" s="2336">
        <v>0</v>
      </c>
      <c r="GP368" s="2336">
        <v>0</v>
      </c>
      <c r="GQ368" s="2336">
        <v>0</v>
      </c>
      <c r="GR368" s="2336">
        <v>0</v>
      </c>
      <c r="GS368" s="2250"/>
      <c r="GT368" s="2250"/>
      <c r="GU368" s="2333">
        <v>29.3</v>
      </c>
      <c r="GV368" s="2336">
        <v>0</v>
      </c>
      <c r="GW368" s="2336">
        <v>14.17</v>
      </c>
      <c r="GX368" s="2336">
        <v>26.87</v>
      </c>
      <c r="GY368" s="2336">
        <v>47.36</v>
      </c>
      <c r="GZ368" s="2336">
        <v>75.89</v>
      </c>
      <c r="HA368" s="2336">
        <v>81.47</v>
      </c>
      <c r="HB368" s="2336">
        <v>121.6</v>
      </c>
      <c r="HC368" s="2336">
        <v>220</v>
      </c>
      <c r="HD368" s="2336">
        <v>237.48</v>
      </c>
      <c r="HE368" s="2336">
        <v>410.37</v>
      </c>
      <c r="HF368" s="2336">
        <v>643.99</v>
      </c>
      <c r="HG368" s="2250"/>
      <c r="HH368" s="2250"/>
      <c r="HI368" s="2333">
        <v>29.3</v>
      </c>
      <c r="HJ368" s="2336">
        <v>0</v>
      </c>
      <c r="HK368" s="2336">
        <v>11.8</v>
      </c>
      <c r="HL368" s="2336">
        <v>21.67</v>
      </c>
      <c r="HM368" s="2336">
        <v>34.130000000000003</v>
      </c>
      <c r="HN368" s="2336">
        <v>58.47</v>
      </c>
      <c r="HO368" s="2336">
        <v>66.67</v>
      </c>
      <c r="HP368" s="2336">
        <v>99.47</v>
      </c>
      <c r="HQ368" s="2336">
        <v>158.72999999999999</v>
      </c>
      <c r="HR368" s="2336">
        <v>194.33</v>
      </c>
      <c r="HS368" s="2336">
        <v>320.60000000000002</v>
      </c>
      <c r="HT368" s="2336">
        <v>468.2</v>
      </c>
      <c r="HU368" s="2250"/>
      <c r="HV368" s="2250"/>
      <c r="HW368" s="2333">
        <v>29.3</v>
      </c>
      <c r="HX368" s="2337">
        <v>0</v>
      </c>
      <c r="HY368" s="2337">
        <v>9.23</v>
      </c>
      <c r="HZ368" s="2337">
        <v>16.46</v>
      </c>
      <c r="IA368" s="2337">
        <v>25.85</v>
      </c>
      <c r="IB368" s="2337">
        <v>44.38</v>
      </c>
      <c r="IC368" s="2337">
        <v>54.15</v>
      </c>
      <c r="ID368" s="2337">
        <v>77.23</v>
      </c>
      <c r="IE368" s="2337">
        <v>120.54</v>
      </c>
      <c r="IF368" s="2337">
        <v>168.31</v>
      </c>
      <c r="IG368" s="2337">
        <v>240.46</v>
      </c>
      <c r="IH368" s="2337">
        <v>351.08</v>
      </c>
      <c r="II368" s="2250"/>
      <c r="IJ368" s="2250"/>
      <c r="IK368" s="2250"/>
      <c r="IL368" s="53"/>
      <c r="IM368" s="53"/>
    </row>
    <row r="369" spans="2:247" ht="21.95" customHeight="1">
      <c r="B369" s="2333">
        <v>24.5</v>
      </c>
      <c r="C369" s="2336">
        <v>0</v>
      </c>
      <c r="D369" s="2336">
        <v>0</v>
      </c>
      <c r="E369" s="2336">
        <v>0</v>
      </c>
      <c r="F369" s="2336">
        <v>0</v>
      </c>
      <c r="G369" s="2336">
        <v>0</v>
      </c>
      <c r="H369" s="2336">
        <v>0</v>
      </c>
      <c r="I369" s="2336">
        <v>0</v>
      </c>
      <c r="J369" s="2336">
        <v>0</v>
      </c>
      <c r="K369" s="2336">
        <v>0</v>
      </c>
      <c r="L369" s="2336">
        <v>0</v>
      </c>
      <c r="M369" s="2336">
        <v>0</v>
      </c>
      <c r="N369" s="2250"/>
      <c r="O369" s="2250"/>
      <c r="P369" s="2333">
        <v>24.5</v>
      </c>
      <c r="Q369" s="2336">
        <v>0</v>
      </c>
      <c r="R369" s="2336">
        <v>16.559999999999999</v>
      </c>
      <c r="S369" s="2336">
        <v>29.69</v>
      </c>
      <c r="T369" s="2336">
        <v>20.61</v>
      </c>
      <c r="U369" s="2336">
        <v>81.47</v>
      </c>
      <c r="V369" s="2336">
        <v>81.47</v>
      </c>
      <c r="W369" s="2336">
        <v>121.6</v>
      </c>
      <c r="X369" s="2336">
        <v>237.48</v>
      </c>
      <c r="Y369" s="2336">
        <v>237.48</v>
      </c>
      <c r="Z369" s="2336">
        <v>410.37</v>
      </c>
      <c r="AA369" s="2336">
        <v>651.6</v>
      </c>
      <c r="AB369" s="2250"/>
      <c r="AC369" s="2250"/>
      <c r="AD369" s="2333">
        <v>24.5</v>
      </c>
      <c r="AE369" s="2336">
        <v>0</v>
      </c>
      <c r="AF369" s="2336">
        <v>13.8</v>
      </c>
      <c r="AG369" s="2336">
        <v>24.27</v>
      </c>
      <c r="AH369" s="2336">
        <v>40.47</v>
      </c>
      <c r="AI369" s="2336">
        <v>66.13</v>
      </c>
      <c r="AJ369" s="2336">
        <v>66.67</v>
      </c>
      <c r="AK369" s="2336">
        <v>99.47</v>
      </c>
      <c r="AL369" s="2336">
        <v>179.47</v>
      </c>
      <c r="AM369" s="2336">
        <v>194.33</v>
      </c>
      <c r="AN369" s="2336">
        <v>335.8</v>
      </c>
      <c r="AO369" s="2336">
        <v>533.27</v>
      </c>
      <c r="AP369" s="2250"/>
      <c r="AQ369" s="2250"/>
      <c r="AR369" s="2333">
        <v>24.5</v>
      </c>
      <c r="AS369" s="2337">
        <v>0</v>
      </c>
      <c r="AT369" s="2337">
        <v>11</v>
      </c>
      <c r="AU369" s="2337">
        <v>19.54</v>
      </c>
      <c r="AV369" s="2337">
        <v>30.46</v>
      </c>
      <c r="AW369" s="2337">
        <v>50.08</v>
      </c>
      <c r="AX369" s="2337">
        <v>61.08</v>
      </c>
      <c r="AY369" s="2337">
        <v>91.15</v>
      </c>
      <c r="AZ369" s="2337">
        <v>136</v>
      </c>
      <c r="BA369" s="2337">
        <v>177.46</v>
      </c>
      <c r="BB369" s="2337">
        <v>295.69</v>
      </c>
      <c r="BC369" s="2337">
        <v>418.92</v>
      </c>
      <c r="BD369" s="2250"/>
      <c r="BE369" s="2250"/>
      <c r="BF369" s="1302">
        <v>206.43</v>
      </c>
      <c r="BG369" s="1302">
        <v>223.8</v>
      </c>
      <c r="BH369" s="2250"/>
      <c r="BI369" s="2275"/>
      <c r="BJ369" s="2333">
        <v>24.5</v>
      </c>
      <c r="BK369" s="2336">
        <v>0</v>
      </c>
      <c r="BL369" s="2336">
        <v>0</v>
      </c>
      <c r="BM369" s="2336">
        <v>0</v>
      </c>
      <c r="BN369" s="2336">
        <v>0</v>
      </c>
      <c r="BO369" s="2336">
        <v>0</v>
      </c>
      <c r="BP369" s="2336">
        <v>0</v>
      </c>
      <c r="BQ369" s="2336">
        <v>0</v>
      </c>
      <c r="BR369" s="2336">
        <v>0</v>
      </c>
      <c r="BS369" s="2336">
        <v>0</v>
      </c>
      <c r="BT369" s="2336">
        <v>0</v>
      </c>
      <c r="BU369" s="2336">
        <v>0</v>
      </c>
      <c r="BV369" s="2250"/>
      <c r="BW369" s="2250"/>
      <c r="BX369" s="2333">
        <v>24.5</v>
      </c>
      <c r="BY369" s="2336">
        <v>0</v>
      </c>
      <c r="BZ369" s="2336">
        <v>16.559999999999999</v>
      </c>
      <c r="CA369" s="2336">
        <v>29.69</v>
      </c>
      <c r="CB369" s="2336">
        <v>20.61</v>
      </c>
      <c r="CC369" s="2336">
        <v>81.47</v>
      </c>
      <c r="CD369" s="2336">
        <v>81.47</v>
      </c>
      <c r="CE369" s="2336">
        <v>121.6</v>
      </c>
      <c r="CF369" s="2336">
        <v>237.48</v>
      </c>
      <c r="CG369" s="2336">
        <v>237.48</v>
      </c>
      <c r="CH369" s="2336">
        <v>410.37</v>
      </c>
      <c r="CI369" s="2336">
        <v>651.6</v>
      </c>
      <c r="CJ369" s="2250"/>
      <c r="CK369" s="2250"/>
      <c r="CL369" s="2333">
        <v>24.5</v>
      </c>
      <c r="CM369" s="2336">
        <v>0</v>
      </c>
      <c r="CN369" s="2336">
        <v>13.8</v>
      </c>
      <c r="CO369" s="2336">
        <v>24.27</v>
      </c>
      <c r="CP369" s="2336">
        <v>40.47</v>
      </c>
      <c r="CQ369" s="2336">
        <v>66.13</v>
      </c>
      <c r="CR369" s="2336">
        <v>66.67</v>
      </c>
      <c r="CS369" s="2336">
        <v>99.47</v>
      </c>
      <c r="CT369" s="2336">
        <v>179.47</v>
      </c>
      <c r="CU369" s="2336">
        <v>194.33</v>
      </c>
      <c r="CV369" s="2336">
        <v>335.8</v>
      </c>
      <c r="CW369" s="2336">
        <v>533.27</v>
      </c>
      <c r="CX369" s="2250"/>
      <c r="CY369" s="2250"/>
      <c r="CZ369" s="2333">
        <v>24.5</v>
      </c>
      <c r="DA369" s="2337">
        <v>0</v>
      </c>
      <c r="DB369" s="2337">
        <v>11</v>
      </c>
      <c r="DC369" s="2337">
        <v>19.54</v>
      </c>
      <c r="DD369" s="2337">
        <v>30.46</v>
      </c>
      <c r="DE369" s="2337">
        <v>50.08</v>
      </c>
      <c r="DF369" s="2337">
        <v>61.08</v>
      </c>
      <c r="DG369" s="2337">
        <v>91.15</v>
      </c>
      <c r="DH369" s="2337">
        <v>136</v>
      </c>
      <c r="DI369" s="2337">
        <v>177.46</v>
      </c>
      <c r="DJ369" s="2337">
        <v>295.69</v>
      </c>
      <c r="DK369" s="2337">
        <v>418.92</v>
      </c>
      <c r="DL369" s="2250"/>
      <c r="DM369" s="2250"/>
      <c r="DN369" s="2250"/>
      <c r="DO369" s="53"/>
      <c r="DP369" s="53"/>
      <c r="DY369" s="2333">
        <v>24.5</v>
      </c>
      <c r="DZ369" s="2336">
        <v>0</v>
      </c>
      <c r="EA369" s="2336">
        <v>0</v>
      </c>
      <c r="EB369" s="2336">
        <v>0</v>
      </c>
      <c r="EC369" s="2336">
        <v>0</v>
      </c>
      <c r="ED369" s="2336">
        <v>0</v>
      </c>
      <c r="EE369" s="2336">
        <v>0</v>
      </c>
      <c r="EF369" s="2336">
        <v>0</v>
      </c>
      <c r="EG369" s="2336">
        <v>0</v>
      </c>
      <c r="EH369" s="2336">
        <v>0</v>
      </c>
      <c r="EI369" s="2336">
        <v>0</v>
      </c>
      <c r="EJ369" s="2336">
        <v>0</v>
      </c>
      <c r="EK369" s="2250"/>
      <c r="EL369" s="2250"/>
      <c r="EM369" s="2333">
        <v>24.5</v>
      </c>
      <c r="EN369" s="2336">
        <v>0</v>
      </c>
      <c r="EO369" s="2336">
        <v>16.559999999999999</v>
      </c>
      <c r="EP369" s="2336">
        <v>29.69</v>
      </c>
      <c r="EQ369" s="2336">
        <v>20.61</v>
      </c>
      <c r="ER369" s="2336">
        <v>81.47</v>
      </c>
      <c r="ES369" s="2336">
        <v>81.47</v>
      </c>
      <c r="ET369" s="2336">
        <v>121.6</v>
      </c>
      <c r="EU369" s="2336">
        <v>237.48</v>
      </c>
      <c r="EV369" s="2336">
        <v>237.48</v>
      </c>
      <c r="EW369" s="2336">
        <v>410.37</v>
      </c>
      <c r="EX369" s="2336">
        <v>651.6</v>
      </c>
      <c r="EY369" s="2250"/>
      <c r="EZ369" s="2250"/>
      <c r="FA369" s="2333">
        <v>24.5</v>
      </c>
      <c r="FB369" s="2336">
        <v>0</v>
      </c>
      <c r="FC369" s="2336">
        <v>13.8</v>
      </c>
      <c r="FD369" s="2336">
        <v>24.27</v>
      </c>
      <c r="FE369" s="2336">
        <v>40.47</v>
      </c>
      <c r="FF369" s="2336">
        <v>66.13</v>
      </c>
      <c r="FG369" s="2336">
        <v>66.67</v>
      </c>
      <c r="FH369" s="2336">
        <v>99.47</v>
      </c>
      <c r="FI369" s="2336">
        <v>179.47</v>
      </c>
      <c r="FJ369" s="2336">
        <v>194.33</v>
      </c>
      <c r="FK369" s="2336">
        <v>335.8</v>
      </c>
      <c r="FL369" s="2336">
        <v>533.27</v>
      </c>
      <c r="FM369" s="2250"/>
      <c r="FN369" s="2250"/>
      <c r="FO369" s="2333">
        <v>24.5</v>
      </c>
      <c r="FP369" s="2337">
        <v>0</v>
      </c>
      <c r="FQ369" s="2337">
        <v>11</v>
      </c>
      <c r="FR369" s="2337">
        <v>19.54</v>
      </c>
      <c r="FS369" s="2337">
        <v>30.46</v>
      </c>
      <c r="FT369" s="2337">
        <v>50.08</v>
      </c>
      <c r="FU369" s="2337">
        <v>61.08</v>
      </c>
      <c r="FV369" s="2337">
        <v>91.15</v>
      </c>
      <c r="FW369" s="2337">
        <v>136</v>
      </c>
      <c r="FX369" s="2337">
        <v>177.46</v>
      </c>
      <c r="FY369" s="2337">
        <v>295.69</v>
      </c>
      <c r="FZ369" s="2337">
        <v>418.92</v>
      </c>
      <c r="GA369" s="2250"/>
      <c r="GB369" s="2250"/>
      <c r="GC369" s="1302">
        <v>206.43</v>
      </c>
      <c r="GD369" s="1302">
        <v>223.8</v>
      </c>
      <c r="GE369" s="2250"/>
      <c r="GF369" s="2275"/>
      <c r="GG369" s="2333">
        <v>24.5</v>
      </c>
      <c r="GH369" s="2336">
        <v>0</v>
      </c>
      <c r="GI369" s="2336">
        <v>0</v>
      </c>
      <c r="GJ369" s="2336">
        <v>0</v>
      </c>
      <c r="GK369" s="2336">
        <v>0</v>
      </c>
      <c r="GL369" s="2336">
        <v>0</v>
      </c>
      <c r="GM369" s="2336">
        <v>0</v>
      </c>
      <c r="GN369" s="2336">
        <v>0</v>
      </c>
      <c r="GO369" s="2336">
        <v>0</v>
      </c>
      <c r="GP369" s="2336">
        <v>0</v>
      </c>
      <c r="GQ369" s="2336">
        <v>0</v>
      </c>
      <c r="GR369" s="2336">
        <v>0</v>
      </c>
      <c r="GS369" s="2250"/>
      <c r="GT369" s="2250"/>
      <c r="GU369" s="2333">
        <v>24.5</v>
      </c>
      <c r="GV369" s="2336">
        <v>0</v>
      </c>
      <c r="GW369" s="2336">
        <v>16.559999999999999</v>
      </c>
      <c r="GX369" s="2336">
        <v>29.69</v>
      </c>
      <c r="GY369" s="2336">
        <v>20.61</v>
      </c>
      <c r="GZ369" s="2336">
        <v>81.47</v>
      </c>
      <c r="HA369" s="2336">
        <v>81.47</v>
      </c>
      <c r="HB369" s="2336">
        <v>121.6</v>
      </c>
      <c r="HC369" s="2336">
        <v>237.48</v>
      </c>
      <c r="HD369" s="2336">
        <v>237.48</v>
      </c>
      <c r="HE369" s="2336">
        <v>410.37</v>
      </c>
      <c r="HF369" s="2336">
        <v>651.6</v>
      </c>
      <c r="HG369" s="2250"/>
      <c r="HH369" s="2250"/>
      <c r="HI369" s="2333">
        <v>24.5</v>
      </c>
      <c r="HJ369" s="2336">
        <v>0</v>
      </c>
      <c r="HK369" s="2336">
        <v>13.8</v>
      </c>
      <c r="HL369" s="2336">
        <v>24.27</v>
      </c>
      <c r="HM369" s="2336">
        <v>40.47</v>
      </c>
      <c r="HN369" s="2336">
        <v>66.13</v>
      </c>
      <c r="HO369" s="2336">
        <v>66.67</v>
      </c>
      <c r="HP369" s="2336">
        <v>99.47</v>
      </c>
      <c r="HQ369" s="2336">
        <v>179.47</v>
      </c>
      <c r="HR369" s="2336">
        <v>194.33</v>
      </c>
      <c r="HS369" s="2336">
        <v>335.8</v>
      </c>
      <c r="HT369" s="2336">
        <v>533.27</v>
      </c>
      <c r="HU369" s="2250"/>
      <c r="HV369" s="2250"/>
      <c r="HW369" s="2333">
        <v>24.5</v>
      </c>
      <c r="HX369" s="2337">
        <v>0</v>
      </c>
      <c r="HY369" s="2337">
        <v>11</v>
      </c>
      <c r="HZ369" s="2337">
        <v>19.54</v>
      </c>
      <c r="IA369" s="2337">
        <v>30.46</v>
      </c>
      <c r="IB369" s="2337">
        <v>50.08</v>
      </c>
      <c r="IC369" s="2337">
        <v>61.08</v>
      </c>
      <c r="ID369" s="2337">
        <v>91.15</v>
      </c>
      <c r="IE369" s="2337">
        <v>136</v>
      </c>
      <c r="IF369" s="2337">
        <v>177.46</v>
      </c>
      <c r="IG369" s="2337">
        <v>295.69</v>
      </c>
      <c r="IH369" s="2337">
        <v>418.92</v>
      </c>
      <c r="II369" s="2250"/>
      <c r="IJ369" s="2250"/>
      <c r="IK369" s="2250"/>
      <c r="IL369" s="53"/>
      <c r="IM369" s="53"/>
    </row>
    <row r="370" spans="2:247" ht="21.95" customHeight="1" thickBot="1">
      <c r="B370" s="2250"/>
      <c r="C370" s="2250"/>
      <c r="D370" s="2250"/>
      <c r="E370" s="2250"/>
      <c r="F370" s="2250"/>
      <c r="G370" s="2250"/>
      <c r="H370" s="2250"/>
      <c r="I370" s="2250"/>
      <c r="J370" s="2250"/>
      <c r="K370" s="2250"/>
      <c r="L370" s="2250"/>
      <c r="M370" s="2250"/>
      <c r="N370" s="2250"/>
      <c r="O370" s="2250"/>
      <c r="P370" s="2250"/>
      <c r="Q370" s="2250"/>
      <c r="R370" s="2250"/>
      <c r="S370" s="2250"/>
      <c r="T370" s="2250"/>
      <c r="U370" s="2250"/>
      <c r="V370" s="2250"/>
      <c r="W370" s="2250"/>
      <c r="X370" s="2250"/>
      <c r="Y370" s="2250"/>
      <c r="Z370" s="2250"/>
      <c r="AA370" s="2250"/>
      <c r="AB370" s="2250"/>
      <c r="AC370" s="2250"/>
      <c r="AD370" s="2250"/>
      <c r="AE370" s="2250"/>
      <c r="AF370" s="2250"/>
      <c r="AG370" s="2250"/>
      <c r="AH370" s="2250"/>
      <c r="AI370" s="2250"/>
      <c r="AJ370" s="2250"/>
      <c r="AK370" s="2250"/>
      <c r="AL370" s="2250"/>
      <c r="AM370" s="2250"/>
      <c r="AN370" s="2250"/>
      <c r="AO370" s="2250"/>
      <c r="AP370" s="2250"/>
      <c r="AQ370" s="2250"/>
      <c r="AR370" s="2250"/>
      <c r="AS370" s="2250"/>
      <c r="AT370" s="2250"/>
      <c r="AU370" s="2250"/>
      <c r="AV370" s="2250"/>
      <c r="AW370" s="2250"/>
      <c r="AX370" s="2250"/>
      <c r="AY370" s="2250"/>
      <c r="AZ370" s="2250"/>
      <c r="BA370" s="2250"/>
      <c r="BB370" s="2250"/>
      <c r="BC370" s="2250"/>
      <c r="BD370" s="2250"/>
      <c r="BE370" s="2250"/>
      <c r="BF370" s="1311">
        <f>+BG369</f>
        <v>223.8</v>
      </c>
      <c r="BG370" s="1311">
        <f>+BG369</f>
        <v>223.8</v>
      </c>
      <c r="BH370" s="2250"/>
      <c r="BI370" s="2275"/>
      <c r="BJ370" s="2250"/>
      <c r="BK370" s="2250"/>
      <c r="BL370" s="2250"/>
      <c r="BM370" s="2250"/>
      <c r="BN370" s="2250"/>
      <c r="BO370" s="2250"/>
      <c r="BP370" s="2250"/>
      <c r="BQ370" s="2250"/>
      <c r="BR370" s="2250"/>
      <c r="BS370" s="2250"/>
      <c r="BT370" s="2250"/>
      <c r="BU370" s="2250"/>
      <c r="BV370" s="2250"/>
      <c r="BW370" s="2250"/>
      <c r="BX370" s="2250"/>
      <c r="BY370" s="2250"/>
      <c r="BZ370" s="2250"/>
      <c r="CA370" s="2250"/>
      <c r="CB370" s="2250"/>
      <c r="CC370" s="2250"/>
      <c r="CD370" s="2250"/>
      <c r="CE370" s="2250"/>
      <c r="CF370" s="2250"/>
      <c r="CG370" s="2250"/>
      <c r="CH370" s="2250"/>
      <c r="CI370" s="2250"/>
      <c r="CJ370" s="2250"/>
      <c r="CK370" s="2250"/>
      <c r="CL370" s="2250"/>
      <c r="CM370" s="2250"/>
      <c r="CN370" s="2250"/>
      <c r="CO370" s="2250"/>
      <c r="CP370" s="2250"/>
      <c r="CQ370" s="2250"/>
      <c r="CR370" s="2250"/>
      <c r="CS370" s="2250"/>
      <c r="CT370" s="2250"/>
      <c r="CU370" s="2250"/>
      <c r="CV370" s="2250"/>
      <c r="CW370" s="2250"/>
      <c r="CX370" s="2250"/>
      <c r="CY370" s="2250"/>
      <c r="CZ370" s="2250"/>
      <c r="DA370" s="2250"/>
      <c r="DB370" s="2250"/>
      <c r="DC370" s="2250"/>
      <c r="DD370" s="2250"/>
      <c r="DE370" s="2250"/>
      <c r="DF370" s="2250"/>
      <c r="DG370" s="2250"/>
      <c r="DH370" s="2250"/>
      <c r="DI370" s="2250"/>
      <c r="DJ370" s="2250"/>
      <c r="DK370" s="2250"/>
      <c r="DL370" s="2250"/>
      <c r="DM370" s="2250"/>
      <c r="DN370" s="2250"/>
      <c r="DO370" s="53"/>
      <c r="DP370" s="53"/>
      <c r="DY370" s="2250"/>
      <c r="DZ370" s="2250"/>
      <c r="EA370" s="2250"/>
      <c r="EB370" s="2250"/>
      <c r="EC370" s="2250"/>
      <c r="ED370" s="2250"/>
      <c r="EE370" s="2250"/>
      <c r="EF370" s="2250"/>
      <c r="EG370" s="2250"/>
      <c r="EH370" s="2250"/>
      <c r="EI370" s="2250"/>
      <c r="EJ370" s="2250"/>
      <c r="EK370" s="2250"/>
      <c r="EL370" s="2250"/>
      <c r="EM370" s="2250"/>
      <c r="EN370" s="2250"/>
      <c r="EO370" s="2250"/>
      <c r="EP370" s="2250"/>
      <c r="EQ370" s="2250"/>
      <c r="ER370" s="2250"/>
      <c r="ES370" s="2250"/>
      <c r="ET370" s="2250"/>
      <c r="EU370" s="2250"/>
      <c r="EV370" s="2250"/>
      <c r="EW370" s="2250"/>
      <c r="EX370" s="2250"/>
      <c r="EY370" s="2250"/>
      <c r="EZ370" s="2250"/>
      <c r="FA370" s="2250"/>
      <c r="FB370" s="2250"/>
      <c r="FC370" s="2250"/>
      <c r="FD370" s="2250"/>
      <c r="FE370" s="2250"/>
      <c r="FF370" s="2250"/>
      <c r="FG370" s="2250"/>
      <c r="FH370" s="2250"/>
      <c r="FI370" s="2250"/>
      <c r="FJ370" s="2250"/>
      <c r="FK370" s="2250"/>
      <c r="FL370" s="2250"/>
      <c r="FM370" s="2250"/>
      <c r="FN370" s="2250"/>
      <c r="FO370" s="2250"/>
      <c r="FP370" s="2250"/>
      <c r="FQ370" s="2250"/>
      <c r="FR370" s="2250"/>
      <c r="FS370" s="2250"/>
      <c r="FT370" s="2250"/>
      <c r="FU370" s="2250"/>
      <c r="FV370" s="2250"/>
      <c r="FW370" s="2250"/>
      <c r="FX370" s="2250"/>
      <c r="FY370" s="2250"/>
      <c r="FZ370" s="2250"/>
      <c r="GA370" s="2250"/>
      <c r="GB370" s="2250"/>
      <c r="GC370" s="1311">
        <f>+GD369</f>
        <v>223.8</v>
      </c>
      <c r="GD370" s="1311">
        <f>+GD369</f>
        <v>223.8</v>
      </c>
      <c r="GE370" s="2250"/>
      <c r="GF370" s="2275"/>
      <c r="GG370" s="2250"/>
      <c r="GH370" s="2250"/>
      <c r="GI370" s="2250"/>
      <c r="GJ370" s="2250"/>
      <c r="GK370" s="2250"/>
      <c r="GL370" s="2250"/>
      <c r="GM370" s="2250"/>
      <c r="GN370" s="2250"/>
      <c r="GO370" s="2250"/>
      <c r="GP370" s="2250"/>
      <c r="GQ370" s="2250"/>
      <c r="GR370" s="2250"/>
      <c r="GS370" s="2250"/>
      <c r="GT370" s="2250"/>
      <c r="GU370" s="2250"/>
      <c r="GV370" s="2250"/>
      <c r="GW370" s="2250"/>
      <c r="GX370" s="2250"/>
      <c r="GY370" s="2250"/>
      <c r="GZ370" s="2250"/>
      <c r="HA370" s="2250"/>
      <c r="HB370" s="2250"/>
      <c r="HC370" s="2250"/>
      <c r="HD370" s="2250"/>
      <c r="HE370" s="2250"/>
      <c r="HF370" s="2250"/>
      <c r="HG370" s="2250"/>
      <c r="HH370" s="2250"/>
      <c r="HI370" s="2250"/>
      <c r="HJ370" s="2250"/>
      <c r="HK370" s="2250"/>
      <c r="HL370" s="2250"/>
      <c r="HM370" s="2250"/>
      <c r="HN370" s="2250"/>
      <c r="HO370" s="2250"/>
      <c r="HP370" s="2250"/>
      <c r="HQ370" s="2250"/>
      <c r="HR370" s="2250"/>
      <c r="HS370" s="2250"/>
      <c r="HT370" s="2250"/>
      <c r="HU370" s="2250"/>
      <c r="HV370" s="2250"/>
      <c r="HW370" s="2250"/>
      <c r="HX370" s="2250"/>
      <c r="HY370" s="2250"/>
      <c r="HZ370" s="2250"/>
      <c r="IA370" s="2250"/>
      <c r="IB370" s="2250"/>
      <c r="IC370" s="2250"/>
      <c r="ID370" s="2250"/>
      <c r="IE370" s="2250"/>
      <c r="IF370" s="2250"/>
      <c r="IG370" s="2250"/>
      <c r="IH370" s="2250"/>
      <c r="II370" s="2250"/>
      <c r="IJ370" s="2250"/>
      <c r="IK370" s="2250"/>
      <c r="IL370" s="53"/>
      <c r="IM370" s="53"/>
    </row>
    <row r="371" spans="2:247" ht="21.95" customHeight="1" thickBot="1">
      <c r="B371" s="284" t="s">
        <v>682</v>
      </c>
      <c r="C371" s="3620">
        <f>AF328</f>
        <v>190.4</v>
      </c>
      <c r="D371" s="2250"/>
      <c r="E371" s="2250"/>
      <c r="F371" s="2250"/>
      <c r="G371" s="2250"/>
      <c r="H371" s="2250"/>
      <c r="I371" s="2250"/>
      <c r="J371" s="2250"/>
      <c r="K371" s="2250"/>
      <c r="L371" s="2250"/>
      <c r="M371" s="2250"/>
      <c r="N371" s="2250"/>
      <c r="O371" s="2250"/>
      <c r="P371" s="284" t="s">
        <v>682</v>
      </c>
      <c r="Q371" s="3620">
        <f>C371</f>
        <v>190.4</v>
      </c>
      <c r="R371" s="2250"/>
      <c r="S371" s="2250"/>
      <c r="T371" s="2250"/>
      <c r="U371" s="2250"/>
      <c r="V371" s="2250"/>
      <c r="W371" s="2250"/>
      <c r="X371" s="2250"/>
      <c r="Y371" s="2250"/>
      <c r="Z371" s="2250"/>
      <c r="AA371" s="2250"/>
      <c r="AB371" s="2250"/>
      <c r="AC371" s="2250"/>
      <c r="AD371" s="284" t="s">
        <v>682</v>
      </c>
      <c r="AE371" s="3620">
        <f>C371</f>
        <v>190.4</v>
      </c>
      <c r="AF371" s="2250"/>
      <c r="AG371" s="2250"/>
      <c r="AH371" s="2250"/>
      <c r="AI371" s="2250"/>
      <c r="AJ371" s="2250"/>
      <c r="AK371" s="2250"/>
      <c r="AL371" s="2250"/>
      <c r="AM371" s="2250"/>
      <c r="AN371" s="2250"/>
      <c r="AO371" s="2250"/>
      <c r="AP371" s="2250"/>
      <c r="AQ371" s="2250"/>
      <c r="AR371" s="284" t="s">
        <v>682</v>
      </c>
      <c r="AS371" s="3620">
        <f>C371</f>
        <v>190.4</v>
      </c>
      <c r="AT371" s="2250"/>
      <c r="AU371" s="2250"/>
      <c r="AV371" s="2250"/>
      <c r="AW371" s="2250"/>
      <c r="AX371" s="2250"/>
      <c r="AY371" s="2250"/>
      <c r="AZ371" s="2250"/>
      <c r="BA371" s="2250"/>
      <c r="BB371" s="2250"/>
      <c r="BC371" s="2250"/>
      <c r="BD371" s="2250"/>
      <c r="BE371" s="2250"/>
      <c r="BF371" s="2339">
        <f>VLOOKUP(E331,BF343:BF370,1)</f>
        <v>190.4</v>
      </c>
      <c r="BG371" s="2340">
        <f>VLOOKUP(BF371,BF343:BG370,2,0)</f>
        <v>206.43</v>
      </c>
      <c r="BH371" s="2250"/>
      <c r="BI371" s="2275"/>
      <c r="BJ371" s="284" t="s">
        <v>682</v>
      </c>
      <c r="BK371" s="3620">
        <f>CN328</f>
        <v>206.43</v>
      </c>
      <c r="BL371" s="2250"/>
      <c r="BM371" s="2250"/>
      <c r="BN371" s="2250"/>
      <c r="BO371" s="2250"/>
      <c r="BP371" s="2250"/>
      <c r="BQ371" s="2250"/>
      <c r="BR371" s="2250"/>
      <c r="BS371" s="2250"/>
      <c r="BT371" s="2250"/>
      <c r="BU371" s="2250"/>
      <c r="BV371" s="2250"/>
      <c r="BW371" s="2250"/>
      <c r="BX371" s="284" t="s">
        <v>682</v>
      </c>
      <c r="BY371" s="3620">
        <f>BK371</f>
        <v>206.43</v>
      </c>
      <c r="BZ371" s="2250"/>
      <c r="CA371" s="2250"/>
      <c r="CB371" s="2250"/>
      <c r="CC371" s="2250"/>
      <c r="CD371" s="2250"/>
      <c r="CE371" s="2250"/>
      <c r="CF371" s="2250"/>
      <c r="CG371" s="2250"/>
      <c r="CH371" s="2250"/>
      <c r="CI371" s="2250"/>
      <c r="CJ371" s="2250"/>
      <c r="CK371" s="2250"/>
      <c r="CL371" s="284" t="s">
        <v>682</v>
      </c>
      <c r="CM371" s="3620">
        <f>BK371</f>
        <v>206.43</v>
      </c>
      <c r="CN371" s="2250"/>
      <c r="CO371" s="2250"/>
      <c r="CP371" s="2250"/>
      <c r="CQ371" s="2250"/>
      <c r="CR371" s="2250"/>
      <c r="CS371" s="2250"/>
      <c r="CT371" s="2250"/>
      <c r="CU371" s="2250"/>
      <c r="CV371" s="2250"/>
      <c r="CW371" s="2250"/>
      <c r="CX371" s="2250"/>
      <c r="CY371" s="2250"/>
      <c r="CZ371" s="284" t="s">
        <v>682</v>
      </c>
      <c r="DA371" s="3620">
        <f>BK371</f>
        <v>206.43</v>
      </c>
      <c r="DB371" s="2250"/>
      <c r="DC371" s="2250"/>
      <c r="DD371" s="2250"/>
      <c r="DE371" s="2250"/>
      <c r="DF371" s="2250"/>
      <c r="DG371" s="2250"/>
      <c r="DH371" s="2250"/>
      <c r="DI371" s="2250"/>
      <c r="DJ371" s="2250"/>
      <c r="DK371" s="2250"/>
      <c r="DL371" s="2250"/>
      <c r="DM371" s="2250"/>
      <c r="DN371" s="2250"/>
      <c r="DO371" s="53"/>
      <c r="DP371" s="53"/>
      <c r="DY371" s="284" t="s">
        <v>682</v>
      </c>
      <c r="DZ371" s="3620">
        <f>FC328</f>
        <v>120.7</v>
      </c>
      <c r="EA371" s="2250"/>
      <c r="EB371" s="2250"/>
      <c r="EC371" s="2250"/>
      <c r="ED371" s="2250"/>
      <c r="EE371" s="2250"/>
      <c r="EF371" s="2250"/>
      <c r="EG371" s="2250"/>
      <c r="EH371" s="2250"/>
      <c r="EI371" s="2250"/>
      <c r="EJ371" s="2250"/>
      <c r="EK371" s="2250"/>
      <c r="EL371" s="2250"/>
      <c r="EM371" s="284" t="s">
        <v>682</v>
      </c>
      <c r="EN371" s="3620">
        <f>DZ371</f>
        <v>120.7</v>
      </c>
      <c r="EO371" s="2250"/>
      <c r="EP371" s="2250"/>
      <c r="EQ371" s="2250"/>
      <c r="ER371" s="2250"/>
      <c r="ES371" s="2250"/>
      <c r="ET371" s="2250"/>
      <c r="EU371" s="2250"/>
      <c r="EV371" s="2250"/>
      <c r="EW371" s="2250"/>
      <c r="EX371" s="2250"/>
      <c r="EY371" s="2250"/>
      <c r="EZ371" s="2250"/>
      <c r="FA371" s="284" t="s">
        <v>682</v>
      </c>
      <c r="FB371" s="3620">
        <f>DZ371</f>
        <v>120.7</v>
      </c>
      <c r="FC371" s="2250"/>
      <c r="FD371" s="2250"/>
      <c r="FE371" s="2250"/>
      <c r="FF371" s="2250"/>
      <c r="FG371" s="2250"/>
      <c r="FH371" s="2250"/>
      <c r="FI371" s="2250"/>
      <c r="FJ371" s="2250"/>
      <c r="FK371" s="2250"/>
      <c r="FL371" s="2250"/>
      <c r="FM371" s="2250"/>
      <c r="FN371" s="2250"/>
      <c r="FO371" s="284" t="s">
        <v>682</v>
      </c>
      <c r="FP371" s="3620">
        <f>DZ371</f>
        <v>120.7</v>
      </c>
      <c r="FQ371" s="2250"/>
      <c r="FR371" s="2250"/>
      <c r="FS371" s="2250"/>
      <c r="FT371" s="2250"/>
      <c r="FU371" s="2250"/>
      <c r="FV371" s="2250"/>
      <c r="FW371" s="2250"/>
      <c r="FX371" s="2250"/>
      <c r="FY371" s="2250"/>
      <c r="FZ371" s="2250"/>
      <c r="GA371" s="2250"/>
      <c r="GB371" s="2250"/>
      <c r="GC371" s="2339">
        <f>VLOOKUP(EB331,GC343:GC370,1)</f>
        <v>120.7</v>
      </c>
      <c r="GD371" s="2340">
        <f>VLOOKUP(GC371,GC343:GD370,2,0)</f>
        <v>129.80000000000001</v>
      </c>
      <c r="GE371" s="2250"/>
      <c r="GF371" s="2275"/>
      <c r="GG371" s="284" t="s">
        <v>682</v>
      </c>
      <c r="GH371" s="3620">
        <f>HK328</f>
        <v>129.80000000000001</v>
      </c>
      <c r="GI371" s="2250"/>
      <c r="GJ371" s="2250"/>
      <c r="GK371" s="2250"/>
      <c r="GL371" s="2250"/>
      <c r="GM371" s="2250"/>
      <c r="GN371" s="2250"/>
      <c r="GO371" s="2250"/>
      <c r="GP371" s="2250"/>
      <c r="GQ371" s="2250"/>
      <c r="GR371" s="2250"/>
      <c r="GS371" s="2250"/>
      <c r="GT371" s="2250"/>
      <c r="GU371" s="284" t="s">
        <v>682</v>
      </c>
      <c r="GV371" s="3620">
        <f>GH371</f>
        <v>129.80000000000001</v>
      </c>
      <c r="GW371" s="2250"/>
      <c r="GX371" s="2250"/>
      <c r="GY371" s="2250"/>
      <c r="GZ371" s="2250"/>
      <c r="HA371" s="2250"/>
      <c r="HB371" s="2250"/>
      <c r="HC371" s="2250"/>
      <c r="HD371" s="2250"/>
      <c r="HE371" s="2250"/>
      <c r="HF371" s="2250"/>
      <c r="HG371" s="2250"/>
      <c r="HH371" s="2250"/>
      <c r="HI371" s="284" t="s">
        <v>682</v>
      </c>
      <c r="HJ371" s="3620">
        <f>GH371</f>
        <v>129.80000000000001</v>
      </c>
      <c r="HK371" s="2250"/>
      <c r="HL371" s="2250"/>
      <c r="HM371" s="2250"/>
      <c r="HN371" s="2250"/>
      <c r="HO371" s="2250"/>
      <c r="HP371" s="2250"/>
      <c r="HQ371" s="2250"/>
      <c r="HR371" s="2250"/>
      <c r="HS371" s="2250"/>
      <c r="HT371" s="2250"/>
      <c r="HU371" s="2250"/>
      <c r="HV371" s="2250"/>
      <c r="HW371" s="284" t="s">
        <v>682</v>
      </c>
      <c r="HX371" s="3620">
        <f>GH371</f>
        <v>129.80000000000001</v>
      </c>
      <c r="HY371" s="2250"/>
      <c r="HZ371" s="2250"/>
      <c r="IA371" s="2250"/>
      <c r="IB371" s="2250"/>
      <c r="IC371" s="2250"/>
      <c r="ID371" s="2250"/>
      <c r="IE371" s="2250"/>
      <c r="IF371" s="2250"/>
      <c r="IG371" s="2250"/>
      <c r="IH371" s="2250"/>
      <c r="II371" s="2250"/>
      <c r="IJ371" s="2250"/>
      <c r="IK371" s="2250"/>
      <c r="IL371" s="53"/>
      <c r="IM371" s="53"/>
    </row>
    <row r="372" spans="2:247" ht="21.95" customHeight="1">
      <c r="B372" s="284" t="s">
        <v>737</v>
      </c>
      <c r="C372" s="3620">
        <f>AF327</f>
        <v>19.915970774546171</v>
      </c>
      <c r="D372" s="2250"/>
      <c r="E372" s="2250"/>
      <c r="F372" s="2250"/>
      <c r="G372" s="2250"/>
      <c r="H372" s="2250"/>
      <c r="I372" s="2250"/>
      <c r="J372" s="2250"/>
      <c r="K372" s="2250"/>
      <c r="L372" s="2250"/>
      <c r="M372" s="2250"/>
      <c r="N372" s="2250"/>
      <c r="O372" s="2250"/>
      <c r="P372" s="284" t="s">
        <v>737</v>
      </c>
      <c r="Q372" s="3620">
        <f>C372</f>
        <v>19.915970774546171</v>
      </c>
      <c r="R372" s="2250"/>
      <c r="S372" s="2250"/>
      <c r="T372" s="2250"/>
      <c r="U372" s="2250"/>
      <c r="V372" s="2250"/>
      <c r="W372" s="2250"/>
      <c r="X372" s="2250"/>
      <c r="Y372" s="2250"/>
      <c r="Z372" s="2250"/>
      <c r="AA372" s="2250"/>
      <c r="AB372" s="2250"/>
      <c r="AC372" s="2250"/>
      <c r="AD372" s="284" t="s">
        <v>737</v>
      </c>
      <c r="AE372" s="3620">
        <f>C372</f>
        <v>19.915970774546171</v>
      </c>
      <c r="AF372" s="2250"/>
      <c r="AG372" s="2250"/>
      <c r="AH372" s="2250"/>
      <c r="AI372" s="2250"/>
      <c r="AJ372" s="2250"/>
      <c r="AK372" s="2250"/>
      <c r="AL372" s="2250"/>
      <c r="AM372" s="2250"/>
      <c r="AN372" s="2250"/>
      <c r="AO372" s="2250"/>
      <c r="AP372" s="2250"/>
      <c r="AQ372" s="2250"/>
      <c r="AR372" s="284" t="s">
        <v>737</v>
      </c>
      <c r="AS372" s="3620">
        <f>C372</f>
        <v>19.915970774546171</v>
      </c>
      <c r="AT372" s="2250"/>
      <c r="AU372" s="2250"/>
      <c r="AV372" s="2250"/>
      <c r="AW372" s="2250"/>
      <c r="AX372" s="2250"/>
      <c r="AY372" s="2250"/>
      <c r="AZ372" s="2250"/>
      <c r="BA372" s="2250"/>
      <c r="BB372" s="2250"/>
      <c r="BC372" s="2250"/>
      <c r="BD372" s="2250"/>
      <c r="BE372" s="2250"/>
      <c r="BF372" s="2276"/>
      <c r="BG372" s="2276"/>
      <c r="BH372" s="2250"/>
      <c r="BI372" s="2275"/>
      <c r="BJ372" s="284" t="s">
        <v>737</v>
      </c>
      <c r="BK372" s="3620">
        <f>CN327</f>
        <v>19.915970774546171</v>
      </c>
      <c r="BL372" s="2250"/>
      <c r="BM372" s="2250"/>
      <c r="BN372" s="2250"/>
      <c r="BO372" s="2250"/>
      <c r="BP372" s="2250"/>
      <c r="BQ372" s="2250"/>
      <c r="BR372" s="2250"/>
      <c r="BS372" s="2250"/>
      <c r="BT372" s="2250"/>
      <c r="BU372" s="2250"/>
      <c r="BV372" s="2250"/>
      <c r="BW372" s="2250"/>
      <c r="BX372" s="284" t="s">
        <v>737</v>
      </c>
      <c r="BY372" s="3620">
        <f>BK372</f>
        <v>19.915970774546171</v>
      </c>
      <c r="BZ372" s="2250"/>
      <c r="CA372" s="2250"/>
      <c r="CB372" s="2250"/>
      <c r="CC372" s="2250"/>
      <c r="CD372" s="2250"/>
      <c r="CE372" s="2250"/>
      <c r="CF372" s="2250"/>
      <c r="CG372" s="2250"/>
      <c r="CH372" s="2250"/>
      <c r="CI372" s="2250"/>
      <c r="CJ372" s="2250"/>
      <c r="CK372" s="2250"/>
      <c r="CL372" s="284" t="s">
        <v>737</v>
      </c>
      <c r="CM372" s="3620">
        <f>BK372</f>
        <v>19.915970774546171</v>
      </c>
      <c r="CN372" s="2250"/>
      <c r="CO372" s="2250"/>
      <c r="CP372" s="2250"/>
      <c r="CQ372" s="2250"/>
      <c r="CR372" s="2250"/>
      <c r="CS372" s="2250"/>
      <c r="CT372" s="2250"/>
      <c r="CU372" s="2250"/>
      <c r="CV372" s="2250"/>
      <c r="CW372" s="2250"/>
      <c r="CX372" s="2250"/>
      <c r="CY372" s="2250"/>
      <c r="CZ372" s="284" t="s">
        <v>737</v>
      </c>
      <c r="DA372" s="3620">
        <f>BK372</f>
        <v>19.915970774546171</v>
      </c>
      <c r="DB372" s="2250"/>
      <c r="DC372" s="2250"/>
      <c r="DD372" s="2250"/>
      <c r="DE372" s="2250"/>
      <c r="DF372" s="2250"/>
      <c r="DG372" s="2250"/>
      <c r="DH372" s="2250"/>
      <c r="DI372" s="2250"/>
      <c r="DJ372" s="2250"/>
      <c r="DK372" s="2250"/>
      <c r="DL372" s="2250"/>
      <c r="DM372" s="2250"/>
      <c r="DN372" s="2250"/>
      <c r="DO372" s="53"/>
      <c r="DP372" s="53"/>
      <c r="DY372" s="284" t="s">
        <v>737</v>
      </c>
      <c r="DZ372" s="3620">
        <f>FC327</f>
        <v>19.968225884687833</v>
      </c>
      <c r="EA372" s="2250"/>
      <c r="EB372" s="2250"/>
      <c r="EC372" s="2250"/>
      <c r="ED372" s="2250"/>
      <c r="EE372" s="2250"/>
      <c r="EF372" s="2250"/>
      <c r="EG372" s="2250"/>
      <c r="EH372" s="2250"/>
      <c r="EI372" s="2250"/>
      <c r="EJ372" s="2250"/>
      <c r="EK372" s="2250"/>
      <c r="EL372" s="2250"/>
      <c r="EM372" s="284" t="s">
        <v>737</v>
      </c>
      <c r="EN372" s="3620">
        <f>DZ372</f>
        <v>19.968225884687833</v>
      </c>
      <c r="EO372" s="2250"/>
      <c r="EP372" s="2250"/>
      <c r="EQ372" s="2250"/>
      <c r="ER372" s="2250"/>
      <c r="ES372" s="2250"/>
      <c r="ET372" s="2250"/>
      <c r="EU372" s="2250"/>
      <c r="EV372" s="2250"/>
      <c r="EW372" s="2250"/>
      <c r="EX372" s="2250"/>
      <c r="EY372" s="2250"/>
      <c r="EZ372" s="2250"/>
      <c r="FA372" s="284" t="s">
        <v>737</v>
      </c>
      <c r="FB372" s="3620">
        <f>DZ372</f>
        <v>19.968225884687833</v>
      </c>
      <c r="FC372" s="2250"/>
      <c r="FD372" s="2250"/>
      <c r="FE372" s="2250"/>
      <c r="FF372" s="2250"/>
      <c r="FG372" s="2250"/>
      <c r="FH372" s="2250"/>
      <c r="FI372" s="2250"/>
      <c r="FJ372" s="2250"/>
      <c r="FK372" s="2250"/>
      <c r="FL372" s="2250"/>
      <c r="FM372" s="2250"/>
      <c r="FN372" s="2250"/>
      <c r="FO372" s="284" t="s">
        <v>737</v>
      </c>
      <c r="FP372" s="3620">
        <f>DZ372</f>
        <v>19.968225884687833</v>
      </c>
      <c r="FQ372" s="2250"/>
      <c r="FR372" s="2250"/>
      <c r="FS372" s="2250"/>
      <c r="FT372" s="2250"/>
      <c r="FU372" s="2250"/>
      <c r="FV372" s="2250"/>
      <c r="FW372" s="2250"/>
      <c r="FX372" s="2250"/>
      <c r="FY372" s="2250"/>
      <c r="FZ372" s="2250"/>
      <c r="GA372" s="2250"/>
      <c r="GB372" s="2250"/>
      <c r="GC372" s="2276"/>
      <c r="GD372" s="2276"/>
      <c r="GE372" s="2250"/>
      <c r="GF372" s="2275"/>
      <c r="GG372" s="284" t="s">
        <v>737</v>
      </c>
      <c r="GH372" s="3620">
        <f>HK327</f>
        <v>19.968225884687833</v>
      </c>
      <c r="GI372" s="2250"/>
      <c r="GJ372" s="2250"/>
      <c r="GK372" s="2250"/>
      <c r="GL372" s="2250"/>
      <c r="GM372" s="2250"/>
      <c r="GN372" s="2250"/>
      <c r="GO372" s="2250"/>
      <c r="GP372" s="2250"/>
      <c r="GQ372" s="2250"/>
      <c r="GR372" s="2250"/>
      <c r="GS372" s="2250"/>
      <c r="GT372" s="2250"/>
      <c r="GU372" s="284" t="s">
        <v>737</v>
      </c>
      <c r="GV372" s="3620">
        <f>GH372</f>
        <v>19.968225884687833</v>
      </c>
      <c r="GW372" s="2250"/>
      <c r="GX372" s="2250"/>
      <c r="GY372" s="2250"/>
      <c r="GZ372" s="2250"/>
      <c r="HA372" s="2250"/>
      <c r="HB372" s="2250"/>
      <c r="HC372" s="2250"/>
      <c r="HD372" s="2250"/>
      <c r="HE372" s="2250"/>
      <c r="HF372" s="2250"/>
      <c r="HG372" s="2250"/>
      <c r="HH372" s="2250"/>
      <c r="HI372" s="284" t="s">
        <v>737</v>
      </c>
      <c r="HJ372" s="3620">
        <f>GH372</f>
        <v>19.968225884687833</v>
      </c>
      <c r="HK372" s="2250"/>
      <c r="HL372" s="2250"/>
      <c r="HM372" s="2250"/>
      <c r="HN372" s="2250"/>
      <c r="HO372" s="2250"/>
      <c r="HP372" s="2250"/>
      <c r="HQ372" s="2250"/>
      <c r="HR372" s="2250"/>
      <c r="HS372" s="2250"/>
      <c r="HT372" s="2250"/>
      <c r="HU372" s="2250"/>
      <c r="HV372" s="2250"/>
      <c r="HW372" s="284" t="s">
        <v>737</v>
      </c>
      <c r="HX372" s="3620">
        <f>GH372</f>
        <v>19.968225884687833</v>
      </c>
      <c r="HY372" s="2250"/>
      <c r="HZ372" s="2250"/>
      <c r="IA372" s="2250"/>
      <c r="IB372" s="2250"/>
      <c r="IC372" s="2250"/>
      <c r="ID372" s="2250"/>
      <c r="IE372" s="2250"/>
      <c r="IF372" s="2250"/>
      <c r="IG372" s="2250"/>
      <c r="IH372" s="2250"/>
      <c r="II372" s="2250"/>
      <c r="IJ372" s="2250"/>
      <c r="IK372" s="2250"/>
      <c r="IL372" s="53"/>
      <c r="IM372" s="53"/>
    </row>
    <row r="373" spans="2:247" ht="21.95" customHeight="1">
      <c r="B373" s="2250"/>
      <c r="C373" s="2250"/>
      <c r="D373" s="2250"/>
      <c r="E373" s="284" t="s">
        <v>707</v>
      </c>
      <c r="F373" s="2250"/>
      <c r="G373" s="2250"/>
      <c r="H373" s="2250"/>
      <c r="I373" s="2250"/>
      <c r="J373" s="2250"/>
      <c r="K373" s="2250"/>
      <c r="L373" s="2250"/>
      <c r="M373" s="2250"/>
      <c r="N373" s="2250"/>
      <c r="O373" s="2250"/>
      <c r="P373" s="2250"/>
      <c r="Q373" s="2250"/>
      <c r="R373" s="2250"/>
      <c r="S373" s="284" t="s">
        <v>707</v>
      </c>
      <c r="T373" s="2250"/>
      <c r="U373" s="2250"/>
      <c r="V373" s="2250"/>
      <c r="W373" s="2250"/>
      <c r="X373" s="2250"/>
      <c r="Y373" s="2250"/>
      <c r="Z373" s="2250"/>
      <c r="AA373" s="2250"/>
      <c r="AB373" s="2250"/>
      <c r="AC373" s="2250"/>
      <c r="AD373" s="2250"/>
      <c r="AE373" s="2250"/>
      <c r="AF373" s="2250"/>
      <c r="AG373" s="284" t="s">
        <v>707</v>
      </c>
      <c r="AH373" s="2250"/>
      <c r="AI373" s="2250"/>
      <c r="AJ373" s="2250"/>
      <c r="AK373" s="2250"/>
      <c r="AL373" s="2250"/>
      <c r="AM373" s="2250"/>
      <c r="AN373" s="2250"/>
      <c r="AO373" s="2250"/>
      <c r="AP373" s="2250"/>
      <c r="AQ373" s="2250"/>
      <c r="AR373" s="2250"/>
      <c r="AS373" s="2250"/>
      <c r="AT373" s="2250"/>
      <c r="AU373" s="284" t="s">
        <v>707</v>
      </c>
      <c r="AV373" s="2250"/>
      <c r="AW373" s="2250"/>
      <c r="AX373" s="2250"/>
      <c r="AY373" s="2250"/>
      <c r="AZ373" s="2250"/>
      <c r="BA373" s="2250"/>
      <c r="BB373" s="2250"/>
      <c r="BC373" s="2250"/>
      <c r="BD373" s="2250"/>
      <c r="BE373" s="2250"/>
      <c r="BF373" s="2276"/>
      <c r="BG373" s="2276"/>
      <c r="BH373" s="2250"/>
      <c r="BI373" s="2275"/>
      <c r="BJ373" s="2250"/>
      <c r="BK373" s="2250"/>
      <c r="BL373" s="2250"/>
      <c r="BM373" s="284" t="s">
        <v>707</v>
      </c>
      <c r="BN373" s="2250"/>
      <c r="BO373" s="2250"/>
      <c r="BP373" s="2250"/>
      <c r="BQ373" s="2250"/>
      <c r="BR373" s="2250"/>
      <c r="BS373" s="2250"/>
      <c r="BT373" s="2250"/>
      <c r="BU373" s="2250"/>
      <c r="BV373" s="2250"/>
      <c r="BW373" s="2250"/>
      <c r="BX373" s="2250"/>
      <c r="BY373" s="2250"/>
      <c r="BZ373" s="2250"/>
      <c r="CA373" s="284" t="s">
        <v>707</v>
      </c>
      <c r="CB373" s="2250"/>
      <c r="CC373" s="2250"/>
      <c r="CD373" s="2250"/>
      <c r="CE373" s="2250"/>
      <c r="CF373" s="2250"/>
      <c r="CG373" s="2250"/>
      <c r="CH373" s="2250"/>
      <c r="CI373" s="2250"/>
      <c r="CJ373" s="2250"/>
      <c r="CK373" s="2250"/>
      <c r="CL373" s="2250"/>
      <c r="CM373" s="2250"/>
      <c r="CN373" s="2250"/>
      <c r="CO373" s="284" t="s">
        <v>707</v>
      </c>
      <c r="CP373" s="2250"/>
      <c r="CQ373" s="2250"/>
      <c r="CR373" s="2250"/>
      <c r="CS373" s="2250"/>
      <c r="CT373" s="2250"/>
      <c r="CU373" s="2250"/>
      <c r="CV373" s="2250"/>
      <c r="CW373" s="2250"/>
      <c r="CX373" s="2250"/>
      <c r="CY373" s="2250"/>
      <c r="CZ373" s="2250"/>
      <c r="DA373" s="2250"/>
      <c r="DB373" s="2250"/>
      <c r="DC373" s="284" t="s">
        <v>707</v>
      </c>
      <c r="DD373" s="2250"/>
      <c r="DE373" s="2250"/>
      <c r="DF373" s="2250"/>
      <c r="DG373" s="2250"/>
      <c r="DH373" s="2250"/>
      <c r="DI373" s="2250"/>
      <c r="DJ373" s="2250"/>
      <c r="DK373" s="2250"/>
      <c r="DL373" s="2250"/>
      <c r="DM373" s="2250"/>
      <c r="DN373" s="2250"/>
      <c r="DO373" s="53"/>
      <c r="DP373" s="53"/>
      <c r="DY373" s="2250"/>
      <c r="DZ373" s="2250"/>
      <c r="EA373" s="2250"/>
      <c r="EB373" s="284" t="s">
        <v>707</v>
      </c>
      <c r="EC373" s="2250"/>
      <c r="ED373" s="2250"/>
      <c r="EE373" s="2250"/>
      <c r="EF373" s="2250"/>
      <c r="EG373" s="2250"/>
      <c r="EH373" s="2250"/>
      <c r="EI373" s="2250"/>
      <c r="EJ373" s="2250"/>
      <c r="EK373" s="2250"/>
      <c r="EL373" s="2250"/>
      <c r="EM373" s="2250"/>
      <c r="EN373" s="2250"/>
      <c r="EO373" s="2250"/>
      <c r="EP373" s="284" t="s">
        <v>707</v>
      </c>
      <c r="EQ373" s="2250"/>
      <c r="ER373" s="2250"/>
      <c r="ES373" s="2250"/>
      <c r="ET373" s="2250"/>
      <c r="EU373" s="2250"/>
      <c r="EV373" s="2250"/>
      <c r="EW373" s="2250"/>
      <c r="EX373" s="2250"/>
      <c r="EY373" s="2250"/>
      <c r="EZ373" s="2250"/>
      <c r="FA373" s="2250"/>
      <c r="FB373" s="2250"/>
      <c r="FC373" s="2250"/>
      <c r="FD373" s="284" t="s">
        <v>707</v>
      </c>
      <c r="FE373" s="2250"/>
      <c r="FF373" s="2250"/>
      <c r="FG373" s="2250"/>
      <c r="FH373" s="2250"/>
      <c r="FI373" s="2250"/>
      <c r="FJ373" s="2250"/>
      <c r="FK373" s="2250"/>
      <c r="FL373" s="2250"/>
      <c r="FM373" s="2250"/>
      <c r="FN373" s="2250"/>
      <c r="FO373" s="2250"/>
      <c r="FP373" s="2250"/>
      <c r="FQ373" s="2250"/>
      <c r="FR373" s="284" t="s">
        <v>707</v>
      </c>
      <c r="FS373" s="2250"/>
      <c r="FT373" s="2250"/>
      <c r="FU373" s="2250"/>
      <c r="FV373" s="2250"/>
      <c r="FW373" s="2250"/>
      <c r="FX373" s="2250"/>
      <c r="FY373" s="2250"/>
      <c r="FZ373" s="2250"/>
      <c r="GA373" s="2250"/>
      <c r="GB373" s="2250"/>
      <c r="GC373" s="2276"/>
      <c r="GD373" s="2276"/>
      <c r="GE373" s="2250"/>
      <c r="GF373" s="2275"/>
      <c r="GG373" s="2250"/>
      <c r="GH373" s="2250"/>
      <c r="GI373" s="2250"/>
      <c r="GJ373" s="284" t="s">
        <v>707</v>
      </c>
      <c r="GK373" s="2250"/>
      <c r="GL373" s="2250"/>
      <c r="GM373" s="2250"/>
      <c r="GN373" s="2250"/>
      <c r="GO373" s="2250"/>
      <c r="GP373" s="2250"/>
      <c r="GQ373" s="2250"/>
      <c r="GR373" s="2250"/>
      <c r="GS373" s="2250"/>
      <c r="GT373" s="2250"/>
      <c r="GU373" s="2250"/>
      <c r="GV373" s="2250"/>
      <c r="GW373" s="2250"/>
      <c r="GX373" s="284" t="s">
        <v>707</v>
      </c>
      <c r="GY373" s="2250"/>
      <c r="GZ373" s="2250"/>
      <c r="HA373" s="2250"/>
      <c r="HB373" s="2250"/>
      <c r="HC373" s="2250"/>
      <c r="HD373" s="2250"/>
      <c r="HE373" s="2250"/>
      <c r="HF373" s="2250"/>
      <c r="HG373" s="2250"/>
      <c r="HH373" s="2250"/>
      <c r="HI373" s="2250"/>
      <c r="HJ373" s="2250"/>
      <c r="HK373" s="2250"/>
      <c r="HL373" s="284" t="s">
        <v>707</v>
      </c>
      <c r="HM373" s="2250"/>
      <c r="HN373" s="2250"/>
      <c r="HO373" s="2250"/>
      <c r="HP373" s="2250"/>
      <c r="HQ373" s="2250"/>
      <c r="HR373" s="2250"/>
      <c r="HS373" s="2250"/>
      <c r="HT373" s="2250"/>
      <c r="HU373" s="2250"/>
      <c r="HV373" s="2250"/>
      <c r="HW373" s="2250"/>
      <c r="HX373" s="2250"/>
      <c r="HY373" s="2250"/>
      <c r="HZ373" s="284" t="s">
        <v>707</v>
      </c>
      <c r="IA373" s="2250"/>
      <c r="IB373" s="2250"/>
      <c r="IC373" s="2250"/>
      <c r="ID373" s="2250"/>
      <c r="IE373" s="2250"/>
      <c r="IF373" s="2250"/>
      <c r="IG373" s="2250"/>
      <c r="IH373" s="2250"/>
      <c r="II373" s="2250"/>
      <c r="IJ373" s="2250"/>
      <c r="IK373" s="2250"/>
      <c r="IL373" s="53"/>
      <c r="IM373" s="53"/>
    </row>
    <row r="374" spans="2:247" ht="21.95" customHeight="1">
      <c r="B374" s="284" t="s">
        <v>707</v>
      </c>
      <c r="C374" s="284">
        <v>0</v>
      </c>
      <c r="D374" s="3620">
        <f t="shared" ref="D374:D385" si="286">+C375</f>
        <v>0</v>
      </c>
      <c r="E374" s="284">
        <v>400</v>
      </c>
      <c r="F374" s="2250"/>
      <c r="G374" s="2250"/>
      <c r="H374" s="2250"/>
      <c r="I374" s="2250"/>
      <c r="J374" s="2250"/>
      <c r="K374" s="2250"/>
      <c r="L374" s="2250"/>
      <c r="M374" s="2250"/>
      <c r="N374" s="2250"/>
      <c r="O374" s="2250"/>
      <c r="P374" s="284" t="s">
        <v>707</v>
      </c>
      <c r="Q374" s="284">
        <v>0</v>
      </c>
      <c r="R374" s="3620">
        <f t="shared" ref="R374:R385" si="287">+Q375</f>
        <v>0</v>
      </c>
      <c r="S374" s="284">
        <v>400</v>
      </c>
      <c r="T374" s="2250"/>
      <c r="U374" s="2250"/>
      <c r="V374" s="2250"/>
      <c r="W374" s="2250"/>
      <c r="X374" s="2250"/>
      <c r="Y374" s="2250"/>
      <c r="Z374" s="2250"/>
      <c r="AA374" s="2250"/>
      <c r="AB374" s="2250"/>
      <c r="AC374" s="2250"/>
      <c r="AD374" s="284" t="s">
        <v>707</v>
      </c>
      <c r="AE374" s="284">
        <v>0</v>
      </c>
      <c r="AF374" s="3620">
        <f t="shared" ref="AF374:AF385" si="288">+AE375</f>
        <v>0</v>
      </c>
      <c r="AG374" s="284">
        <v>400</v>
      </c>
      <c r="AH374" s="2250"/>
      <c r="AI374" s="2250"/>
      <c r="AJ374" s="2250"/>
      <c r="AK374" s="2250"/>
      <c r="AL374" s="2250"/>
      <c r="AM374" s="2250"/>
      <c r="AN374" s="2250"/>
      <c r="AO374" s="2250"/>
      <c r="AP374" s="2250"/>
      <c r="AQ374" s="2250"/>
      <c r="AR374" s="284" t="s">
        <v>707</v>
      </c>
      <c r="AS374" s="284">
        <v>0</v>
      </c>
      <c r="AT374" s="3620">
        <f t="shared" ref="AT374:AT385" si="289">+AS375</f>
        <v>0</v>
      </c>
      <c r="AU374" s="284">
        <v>400</v>
      </c>
      <c r="AV374" s="2250"/>
      <c r="AW374" s="2250"/>
      <c r="AX374" s="2250"/>
      <c r="AY374" s="2250"/>
      <c r="AZ374" s="2250"/>
      <c r="BA374" s="2250"/>
      <c r="BB374" s="2250"/>
      <c r="BC374" s="2250"/>
      <c r="BD374" s="2250"/>
      <c r="BE374" s="2250"/>
      <c r="BF374" s="2276"/>
      <c r="BG374" s="2276"/>
      <c r="BH374" s="2250"/>
      <c r="BI374" s="2275"/>
      <c r="BJ374" s="284" t="s">
        <v>707</v>
      </c>
      <c r="BK374" s="284">
        <v>0</v>
      </c>
      <c r="BL374" s="3620">
        <f t="shared" ref="BL374:BL385" si="290">+BK375</f>
        <v>0</v>
      </c>
      <c r="BM374" s="284">
        <v>400</v>
      </c>
      <c r="BN374" s="2250"/>
      <c r="BO374" s="2250"/>
      <c r="BP374" s="2250"/>
      <c r="BQ374" s="2250"/>
      <c r="BR374" s="2250"/>
      <c r="BS374" s="2250"/>
      <c r="BT374" s="2250"/>
      <c r="BU374" s="2250"/>
      <c r="BV374" s="2250"/>
      <c r="BW374" s="2250"/>
      <c r="BX374" s="284" t="s">
        <v>707</v>
      </c>
      <c r="BY374" s="284">
        <v>0</v>
      </c>
      <c r="BZ374" s="3620">
        <f t="shared" ref="BZ374:BZ385" si="291">+BY375</f>
        <v>0</v>
      </c>
      <c r="CA374" s="284">
        <v>400</v>
      </c>
      <c r="CB374" s="2250"/>
      <c r="CC374" s="2250"/>
      <c r="CD374" s="2250"/>
      <c r="CE374" s="2250"/>
      <c r="CF374" s="2250"/>
      <c r="CG374" s="2250"/>
      <c r="CH374" s="2250"/>
      <c r="CI374" s="2250"/>
      <c r="CJ374" s="2250"/>
      <c r="CK374" s="2250"/>
      <c r="CL374" s="284" t="s">
        <v>707</v>
      </c>
      <c r="CM374" s="284">
        <v>0</v>
      </c>
      <c r="CN374" s="3620">
        <f t="shared" ref="CN374:CN385" si="292">+CM375</f>
        <v>0</v>
      </c>
      <c r="CO374" s="284">
        <v>400</v>
      </c>
      <c r="CP374" s="2250"/>
      <c r="CQ374" s="2250"/>
      <c r="CR374" s="2250"/>
      <c r="CS374" s="2250"/>
      <c r="CT374" s="2250"/>
      <c r="CU374" s="2250"/>
      <c r="CV374" s="2250"/>
      <c r="CW374" s="2250"/>
      <c r="CX374" s="2250"/>
      <c r="CY374" s="2250"/>
      <c r="CZ374" s="284" t="s">
        <v>707</v>
      </c>
      <c r="DA374" s="284">
        <v>0</v>
      </c>
      <c r="DB374" s="3620">
        <f t="shared" ref="DB374:DB385" si="293">+DA375</f>
        <v>0</v>
      </c>
      <c r="DC374" s="284">
        <v>400</v>
      </c>
      <c r="DD374" s="2250"/>
      <c r="DE374" s="2250"/>
      <c r="DF374" s="2250"/>
      <c r="DG374" s="2250"/>
      <c r="DH374" s="2250"/>
      <c r="DI374" s="2250"/>
      <c r="DJ374" s="2250"/>
      <c r="DK374" s="2250"/>
      <c r="DL374" s="2250"/>
      <c r="DM374" s="2250"/>
      <c r="DN374" s="2250"/>
      <c r="DO374" s="53"/>
      <c r="DP374" s="53"/>
      <c r="DY374" s="284" t="s">
        <v>707</v>
      </c>
      <c r="DZ374" s="284">
        <v>0</v>
      </c>
      <c r="EA374" s="3620">
        <f t="shared" ref="EA374:EA385" si="294">+DZ375</f>
        <v>0</v>
      </c>
      <c r="EB374" s="284">
        <v>400</v>
      </c>
      <c r="EC374" s="2250"/>
      <c r="ED374" s="2250"/>
      <c r="EE374" s="2250"/>
      <c r="EF374" s="2250"/>
      <c r="EG374" s="2250"/>
      <c r="EH374" s="2250"/>
      <c r="EI374" s="2250"/>
      <c r="EJ374" s="2250"/>
      <c r="EK374" s="2250"/>
      <c r="EL374" s="2250"/>
      <c r="EM374" s="284" t="s">
        <v>707</v>
      </c>
      <c r="EN374" s="284">
        <v>0</v>
      </c>
      <c r="EO374" s="3620">
        <f t="shared" ref="EO374:EO385" si="295">+EN375</f>
        <v>0</v>
      </c>
      <c r="EP374" s="284">
        <v>400</v>
      </c>
      <c r="EQ374" s="2250"/>
      <c r="ER374" s="2250"/>
      <c r="ES374" s="2250"/>
      <c r="ET374" s="2250"/>
      <c r="EU374" s="2250"/>
      <c r="EV374" s="2250"/>
      <c r="EW374" s="2250"/>
      <c r="EX374" s="2250"/>
      <c r="EY374" s="2250"/>
      <c r="EZ374" s="2250"/>
      <c r="FA374" s="284" t="s">
        <v>707</v>
      </c>
      <c r="FB374" s="284">
        <v>0</v>
      </c>
      <c r="FC374" s="3620">
        <f t="shared" ref="FC374:FC385" si="296">+FB375</f>
        <v>0</v>
      </c>
      <c r="FD374" s="284">
        <v>400</v>
      </c>
      <c r="FE374" s="2250"/>
      <c r="FF374" s="2250"/>
      <c r="FG374" s="2250"/>
      <c r="FH374" s="2250"/>
      <c r="FI374" s="2250"/>
      <c r="FJ374" s="2250"/>
      <c r="FK374" s="2250"/>
      <c r="FL374" s="2250"/>
      <c r="FM374" s="2250"/>
      <c r="FN374" s="2250"/>
      <c r="FO374" s="284" t="s">
        <v>707</v>
      </c>
      <c r="FP374" s="284">
        <v>0</v>
      </c>
      <c r="FQ374" s="3620">
        <f t="shared" ref="FQ374:FQ385" si="297">+FP375</f>
        <v>0</v>
      </c>
      <c r="FR374" s="284">
        <v>400</v>
      </c>
      <c r="FS374" s="2250"/>
      <c r="FT374" s="2250"/>
      <c r="FU374" s="2250"/>
      <c r="FV374" s="2250"/>
      <c r="FW374" s="2250"/>
      <c r="FX374" s="2250"/>
      <c r="FY374" s="2250"/>
      <c r="FZ374" s="2250"/>
      <c r="GA374" s="2250"/>
      <c r="GB374" s="2250"/>
      <c r="GC374" s="2276"/>
      <c r="GD374" s="2276"/>
      <c r="GE374" s="2250"/>
      <c r="GF374" s="2275"/>
      <c r="GG374" s="284" t="s">
        <v>707</v>
      </c>
      <c r="GH374" s="284">
        <v>0</v>
      </c>
      <c r="GI374" s="3620">
        <f t="shared" ref="GI374:GI385" si="298">+GH375</f>
        <v>0</v>
      </c>
      <c r="GJ374" s="284">
        <v>400</v>
      </c>
      <c r="GK374" s="2250"/>
      <c r="GL374" s="2250"/>
      <c r="GM374" s="2250"/>
      <c r="GN374" s="2250"/>
      <c r="GO374" s="2250"/>
      <c r="GP374" s="2250"/>
      <c r="GQ374" s="2250"/>
      <c r="GR374" s="2250"/>
      <c r="GS374" s="2250"/>
      <c r="GT374" s="2250"/>
      <c r="GU374" s="284" t="s">
        <v>707</v>
      </c>
      <c r="GV374" s="284">
        <v>0</v>
      </c>
      <c r="GW374" s="3620">
        <f t="shared" ref="GW374:GW385" si="299">+GV375</f>
        <v>0</v>
      </c>
      <c r="GX374" s="284">
        <v>400</v>
      </c>
      <c r="GY374" s="2250"/>
      <c r="GZ374" s="2250"/>
      <c r="HA374" s="2250"/>
      <c r="HB374" s="2250"/>
      <c r="HC374" s="2250"/>
      <c r="HD374" s="2250"/>
      <c r="HE374" s="2250"/>
      <c r="HF374" s="2250"/>
      <c r="HG374" s="2250"/>
      <c r="HH374" s="2250"/>
      <c r="HI374" s="284" t="s">
        <v>707</v>
      </c>
      <c r="HJ374" s="284">
        <v>0</v>
      </c>
      <c r="HK374" s="3620">
        <f t="shared" ref="HK374:HK385" si="300">+HJ375</f>
        <v>0</v>
      </c>
      <c r="HL374" s="284">
        <v>400</v>
      </c>
      <c r="HM374" s="2250"/>
      <c r="HN374" s="2250"/>
      <c r="HO374" s="2250"/>
      <c r="HP374" s="2250"/>
      <c r="HQ374" s="2250"/>
      <c r="HR374" s="2250"/>
      <c r="HS374" s="2250"/>
      <c r="HT374" s="2250"/>
      <c r="HU374" s="2250"/>
      <c r="HV374" s="2250"/>
      <c r="HW374" s="284" t="s">
        <v>707</v>
      </c>
      <c r="HX374" s="284">
        <v>0</v>
      </c>
      <c r="HY374" s="3620">
        <f t="shared" ref="HY374:HY385" si="301">+HX375</f>
        <v>0</v>
      </c>
      <c r="HZ374" s="284">
        <v>400</v>
      </c>
      <c r="IA374" s="2250"/>
      <c r="IB374" s="2250"/>
      <c r="IC374" s="2250"/>
      <c r="ID374" s="2250"/>
      <c r="IE374" s="2250"/>
      <c r="IF374" s="2250"/>
      <c r="IG374" s="2250"/>
      <c r="IH374" s="2250"/>
      <c r="II374" s="2250"/>
      <c r="IJ374" s="2250"/>
      <c r="IK374" s="2250"/>
      <c r="IL374" s="53"/>
      <c r="IM374" s="53"/>
    </row>
    <row r="375" spans="2:247" ht="21.95" customHeight="1">
      <c r="B375" s="284">
        <v>400</v>
      </c>
      <c r="C375" s="3620">
        <f>VLOOKUP(C371,B343:M369,2,0)</f>
        <v>0</v>
      </c>
      <c r="D375" s="3620">
        <f t="shared" si="286"/>
        <v>0</v>
      </c>
      <c r="E375" s="284">
        <v>475</v>
      </c>
      <c r="F375" s="2250"/>
      <c r="G375" s="2250"/>
      <c r="H375" s="2250"/>
      <c r="I375" s="2250"/>
      <c r="J375" s="2250"/>
      <c r="K375" s="2250"/>
      <c r="L375" s="2250"/>
      <c r="M375" s="2250"/>
      <c r="N375" s="2250"/>
      <c r="O375" s="2250"/>
      <c r="P375" s="284">
        <v>400</v>
      </c>
      <c r="Q375" s="3620">
        <f>VLOOKUP(Q371,P343:AA369,2,0)</f>
        <v>0</v>
      </c>
      <c r="R375" s="3620">
        <f t="shared" si="287"/>
        <v>2.76</v>
      </c>
      <c r="S375" s="284">
        <v>475</v>
      </c>
      <c r="T375" s="2250"/>
      <c r="U375" s="2250"/>
      <c r="V375" s="2250"/>
      <c r="W375" s="2250"/>
      <c r="X375" s="2250"/>
      <c r="Y375" s="2250"/>
      <c r="Z375" s="2250"/>
      <c r="AA375" s="2250"/>
      <c r="AB375" s="2250"/>
      <c r="AC375" s="2250"/>
      <c r="AD375" s="284">
        <v>400</v>
      </c>
      <c r="AE375" s="3620">
        <f>VLOOKUP(AE371,AD343:AO369,2,0)</f>
        <v>0</v>
      </c>
      <c r="AF375" s="3620">
        <f t="shared" si="288"/>
        <v>2.2000000000000002</v>
      </c>
      <c r="AG375" s="284">
        <v>475</v>
      </c>
      <c r="AH375" s="2250"/>
      <c r="AI375" s="2250"/>
      <c r="AJ375" s="2250"/>
      <c r="AK375" s="2250"/>
      <c r="AL375" s="2250"/>
      <c r="AM375" s="2250"/>
      <c r="AN375" s="2250"/>
      <c r="AO375" s="2250"/>
      <c r="AP375" s="2250"/>
      <c r="AQ375" s="2250"/>
      <c r="AR375" s="284">
        <v>400</v>
      </c>
      <c r="AS375" s="3620">
        <f>VLOOKUP(AS371,AR343:BC369,2,0)</f>
        <v>0</v>
      </c>
      <c r="AT375" s="3620">
        <f t="shared" si="289"/>
        <v>1.69</v>
      </c>
      <c r="AU375" s="284">
        <v>475</v>
      </c>
      <c r="AV375" s="2250"/>
      <c r="AW375" s="2250"/>
      <c r="AX375" s="2250"/>
      <c r="AY375" s="2250"/>
      <c r="AZ375" s="2250"/>
      <c r="BA375" s="2250"/>
      <c r="BB375" s="2250"/>
      <c r="BC375" s="2250"/>
      <c r="BD375" s="2250"/>
      <c r="BE375" s="2250"/>
      <c r="BF375" s="2276"/>
      <c r="BG375" s="2276"/>
      <c r="BH375" s="2250"/>
      <c r="BI375" s="2275"/>
      <c r="BJ375" s="284">
        <v>400</v>
      </c>
      <c r="BK375" s="3620">
        <f>VLOOKUP(BK371,BJ343:BU369,2,0)</f>
        <v>0</v>
      </c>
      <c r="BL375" s="3620">
        <f t="shared" si="290"/>
        <v>0</v>
      </c>
      <c r="BM375" s="284">
        <v>475</v>
      </c>
      <c r="BN375" s="2250"/>
      <c r="BO375" s="2250"/>
      <c r="BP375" s="2250"/>
      <c r="BQ375" s="2250"/>
      <c r="BR375" s="2250"/>
      <c r="BS375" s="2250"/>
      <c r="BT375" s="2250"/>
      <c r="BU375" s="2250"/>
      <c r="BV375" s="2250"/>
      <c r="BW375" s="2250"/>
      <c r="BX375" s="284">
        <v>400</v>
      </c>
      <c r="BY375" s="3620">
        <f>VLOOKUP(BY371,BX343:CI369,2,0)</f>
        <v>0</v>
      </c>
      <c r="BZ375" s="3620">
        <f t="shared" si="291"/>
        <v>2.58</v>
      </c>
      <c r="CA375" s="284">
        <v>475</v>
      </c>
      <c r="CB375" s="2250"/>
      <c r="CC375" s="2250"/>
      <c r="CD375" s="2250"/>
      <c r="CE375" s="2250"/>
      <c r="CF375" s="2250"/>
      <c r="CG375" s="2250"/>
      <c r="CH375" s="2250"/>
      <c r="CI375" s="2250"/>
      <c r="CJ375" s="2250"/>
      <c r="CK375" s="2250"/>
      <c r="CL375" s="284">
        <v>400</v>
      </c>
      <c r="CM375" s="3620">
        <f>VLOOKUP(CM371,CL343:CW369,2,0)</f>
        <v>0</v>
      </c>
      <c r="CN375" s="3620">
        <f t="shared" si="292"/>
        <v>2</v>
      </c>
      <c r="CO375" s="284">
        <v>475</v>
      </c>
      <c r="CP375" s="2250"/>
      <c r="CQ375" s="2250"/>
      <c r="CR375" s="2250"/>
      <c r="CS375" s="2250"/>
      <c r="CT375" s="2250"/>
      <c r="CU375" s="2250"/>
      <c r="CV375" s="2250"/>
      <c r="CW375" s="2250"/>
      <c r="CX375" s="2250"/>
      <c r="CY375" s="2250"/>
      <c r="CZ375" s="284">
        <v>400</v>
      </c>
      <c r="DA375" s="3620">
        <f>VLOOKUP(DA371,CZ343:DK369,2,0)</f>
        <v>0</v>
      </c>
      <c r="DB375" s="3620">
        <f t="shared" si="293"/>
        <v>1.54</v>
      </c>
      <c r="DC375" s="284">
        <v>475</v>
      </c>
      <c r="DD375" s="2250"/>
      <c r="DE375" s="2250"/>
      <c r="DF375" s="2250"/>
      <c r="DG375" s="2250"/>
      <c r="DH375" s="2250"/>
      <c r="DI375" s="2250"/>
      <c r="DJ375" s="2250"/>
      <c r="DK375" s="2250"/>
      <c r="DL375" s="2250"/>
      <c r="DM375" s="2250"/>
      <c r="DN375" s="2250"/>
      <c r="DO375" s="53"/>
      <c r="DP375" s="53"/>
      <c r="DY375" s="284">
        <v>400</v>
      </c>
      <c r="DZ375" s="3620">
        <f>VLOOKUP(DZ371,DY343:EJ369,2,0)</f>
        <v>0</v>
      </c>
      <c r="EA375" s="3620">
        <f t="shared" si="294"/>
        <v>0</v>
      </c>
      <c r="EB375" s="284">
        <v>475</v>
      </c>
      <c r="EC375" s="2250"/>
      <c r="ED375" s="2250"/>
      <c r="EE375" s="2250"/>
      <c r="EF375" s="2250"/>
      <c r="EG375" s="2250"/>
      <c r="EH375" s="2250"/>
      <c r="EI375" s="2250"/>
      <c r="EJ375" s="2250"/>
      <c r="EK375" s="2250"/>
      <c r="EL375" s="2250"/>
      <c r="EM375" s="284">
        <v>400</v>
      </c>
      <c r="EN375" s="3620">
        <f>VLOOKUP(EN371,EM343:EX369,2,0)</f>
        <v>0</v>
      </c>
      <c r="EO375" s="3620">
        <f t="shared" si="295"/>
        <v>4.1100000000000003</v>
      </c>
      <c r="EP375" s="284">
        <v>475</v>
      </c>
      <c r="EQ375" s="2250"/>
      <c r="ER375" s="2250"/>
      <c r="ES375" s="2250"/>
      <c r="ET375" s="2250"/>
      <c r="EU375" s="2250"/>
      <c r="EV375" s="2250"/>
      <c r="EW375" s="2250"/>
      <c r="EX375" s="2250"/>
      <c r="EY375" s="2250"/>
      <c r="EZ375" s="2250"/>
      <c r="FA375" s="284">
        <v>400</v>
      </c>
      <c r="FB375" s="3620">
        <f>VLOOKUP(FB371,FA343:FL369,2,0)</f>
        <v>0</v>
      </c>
      <c r="FC375" s="3620">
        <f t="shared" si="296"/>
        <v>3.4</v>
      </c>
      <c r="FD375" s="284">
        <v>475</v>
      </c>
      <c r="FE375" s="2250"/>
      <c r="FF375" s="2250"/>
      <c r="FG375" s="2250"/>
      <c r="FH375" s="2250"/>
      <c r="FI375" s="2250"/>
      <c r="FJ375" s="2250"/>
      <c r="FK375" s="2250"/>
      <c r="FL375" s="2250"/>
      <c r="FM375" s="2250"/>
      <c r="FN375" s="2250"/>
      <c r="FO375" s="284">
        <v>400</v>
      </c>
      <c r="FP375" s="3620">
        <f>VLOOKUP(FP371,FO343:FZ369,2,0)</f>
        <v>0</v>
      </c>
      <c r="FQ375" s="3620">
        <f t="shared" si="297"/>
        <v>2.62</v>
      </c>
      <c r="FR375" s="284">
        <v>475</v>
      </c>
      <c r="FS375" s="2250"/>
      <c r="FT375" s="2250"/>
      <c r="FU375" s="2250"/>
      <c r="FV375" s="2250"/>
      <c r="FW375" s="2250"/>
      <c r="FX375" s="2250"/>
      <c r="FY375" s="2250"/>
      <c r="FZ375" s="2250"/>
      <c r="GA375" s="2250"/>
      <c r="GB375" s="2250"/>
      <c r="GC375" s="2276"/>
      <c r="GD375" s="2276"/>
      <c r="GE375" s="2250"/>
      <c r="GF375" s="2275"/>
      <c r="GG375" s="284">
        <v>400</v>
      </c>
      <c r="GH375" s="3620">
        <f>VLOOKUP(GH371,GG343:GR369,2,0)</f>
        <v>0</v>
      </c>
      <c r="GI375" s="3620">
        <f t="shared" si="298"/>
        <v>0</v>
      </c>
      <c r="GJ375" s="284">
        <v>475</v>
      </c>
      <c r="GK375" s="2250"/>
      <c r="GL375" s="2250"/>
      <c r="GM375" s="2250"/>
      <c r="GN375" s="2250"/>
      <c r="GO375" s="2250"/>
      <c r="GP375" s="2250"/>
      <c r="GQ375" s="2250"/>
      <c r="GR375" s="2250"/>
      <c r="GS375" s="2250"/>
      <c r="GT375" s="2250"/>
      <c r="GU375" s="284">
        <v>400</v>
      </c>
      <c r="GV375" s="3620">
        <f>VLOOKUP(GV371,GU343:HF369,2,0)</f>
        <v>0</v>
      </c>
      <c r="GW375" s="3620">
        <f t="shared" si="299"/>
        <v>3.93</v>
      </c>
      <c r="GX375" s="284">
        <v>475</v>
      </c>
      <c r="GY375" s="2250"/>
      <c r="GZ375" s="2250"/>
      <c r="HA375" s="2250"/>
      <c r="HB375" s="2250"/>
      <c r="HC375" s="2250"/>
      <c r="HD375" s="2250"/>
      <c r="HE375" s="2250"/>
      <c r="HF375" s="2250"/>
      <c r="HG375" s="2250"/>
      <c r="HH375" s="2250"/>
      <c r="HI375" s="284">
        <v>400</v>
      </c>
      <c r="HJ375" s="3620">
        <f>VLOOKUP(HJ371,HI343:HT369,2,0)</f>
        <v>0</v>
      </c>
      <c r="HK375" s="3620">
        <f t="shared" si="300"/>
        <v>3.2</v>
      </c>
      <c r="HL375" s="284">
        <v>475</v>
      </c>
      <c r="HM375" s="2250"/>
      <c r="HN375" s="2250"/>
      <c r="HO375" s="2250"/>
      <c r="HP375" s="2250"/>
      <c r="HQ375" s="2250"/>
      <c r="HR375" s="2250"/>
      <c r="HS375" s="2250"/>
      <c r="HT375" s="2250"/>
      <c r="HU375" s="2250"/>
      <c r="HV375" s="2250"/>
      <c r="HW375" s="284">
        <v>400</v>
      </c>
      <c r="HX375" s="3620">
        <f>VLOOKUP(HX371,HW343:IH369,2,0)</f>
        <v>0</v>
      </c>
      <c r="HY375" s="3620">
        <f t="shared" si="301"/>
        <v>2.38</v>
      </c>
      <c r="HZ375" s="284">
        <v>475</v>
      </c>
      <c r="IA375" s="2250"/>
      <c r="IB375" s="2250"/>
      <c r="IC375" s="2250"/>
      <c r="ID375" s="2250"/>
      <c r="IE375" s="2250"/>
      <c r="IF375" s="2250"/>
      <c r="IG375" s="2250"/>
      <c r="IH375" s="2250"/>
      <c r="II375" s="2250"/>
      <c r="IJ375" s="2250"/>
      <c r="IK375" s="2250"/>
      <c r="IL375" s="53"/>
      <c r="IM375" s="53"/>
    </row>
    <row r="376" spans="2:247" ht="21.95" customHeight="1">
      <c r="B376" s="284">
        <v>475</v>
      </c>
      <c r="C376" s="3620">
        <f>VLOOKUP(C371,B343:M369,3,0)</f>
        <v>0</v>
      </c>
      <c r="D376" s="3620">
        <f t="shared" si="286"/>
        <v>0</v>
      </c>
      <c r="E376" s="284">
        <v>550</v>
      </c>
      <c r="F376" s="2250"/>
      <c r="G376" s="2250"/>
      <c r="H376" s="2250"/>
      <c r="I376" s="2250"/>
      <c r="J376" s="2250"/>
      <c r="K376" s="2250"/>
      <c r="L376" s="2250"/>
      <c r="M376" s="2250"/>
      <c r="N376" s="2250"/>
      <c r="O376" s="2250"/>
      <c r="P376" s="284">
        <v>475</v>
      </c>
      <c r="Q376" s="3620">
        <f>VLOOKUP(Q371,P343:AA369,3,0)</f>
        <v>2.76</v>
      </c>
      <c r="R376" s="3620">
        <f t="shared" si="287"/>
        <v>5.34</v>
      </c>
      <c r="S376" s="284">
        <v>550</v>
      </c>
      <c r="T376" s="2250"/>
      <c r="U376" s="2250"/>
      <c r="V376" s="2250"/>
      <c r="W376" s="2250"/>
      <c r="X376" s="2250"/>
      <c r="Y376" s="2250"/>
      <c r="Z376" s="2250"/>
      <c r="AA376" s="2250"/>
      <c r="AB376" s="2250"/>
      <c r="AC376" s="2250"/>
      <c r="AD376" s="284">
        <v>475</v>
      </c>
      <c r="AE376" s="3620">
        <f>VLOOKUP(AE371,AD343:AO369,3,0)</f>
        <v>2.2000000000000002</v>
      </c>
      <c r="AF376" s="3620">
        <f t="shared" si="288"/>
        <v>4.13</v>
      </c>
      <c r="AG376" s="284">
        <v>550</v>
      </c>
      <c r="AH376" s="2250"/>
      <c r="AI376" s="2250"/>
      <c r="AJ376" s="2250"/>
      <c r="AK376" s="2250"/>
      <c r="AL376" s="2250"/>
      <c r="AM376" s="2250"/>
      <c r="AN376" s="2250"/>
      <c r="AO376" s="2250"/>
      <c r="AP376" s="2250"/>
      <c r="AQ376" s="2250"/>
      <c r="AR376" s="284">
        <v>475</v>
      </c>
      <c r="AS376" s="3620">
        <f>VLOOKUP(AS371,AR343:BC369,3,0)</f>
        <v>1.69</v>
      </c>
      <c r="AT376" s="3620">
        <f t="shared" si="289"/>
        <v>3.15</v>
      </c>
      <c r="AU376" s="284">
        <v>550</v>
      </c>
      <c r="AV376" s="2250"/>
      <c r="AW376" s="2250"/>
      <c r="AX376" s="2250"/>
      <c r="AY376" s="2250"/>
      <c r="AZ376" s="2250"/>
      <c r="BA376" s="2250"/>
      <c r="BB376" s="2250"/>
      <c r="BC376" s="2250"/>
      <c r="BD376" s="2250"/>
      <c r="BE376" s="2250"/>
      <c r="BF376" s="2276"/>
      <c r="BG376" s="2276"/>
      <c r="BH376" s="2250"/>
      <c r="BI376" s="2275"/>
      <c r="BJ376" s="284">
        <v>475</v>
      </c>
      <c r="BK376" s="3620">
        <f>VLOOKUP(BK371,BJ343:BU369,3,0)</f>
        <v>0</v>
      </c>
      <c r="BL376" s="3620">
        <f t="shared" si="290"/>
        <v>0</v>
      </c>
      <c r="BM376" s="284">
        <v>550</v>
      </c>
      <c r="BN376" s="2250"/>
      <c r="BO376" s="2250"/>
      <c r="BP376" s="2250"/>
      <c r="BQ376" s="2250"/>
      <c r="BR376" s="2250"/>
      <c r="BS376" s="2250"/>
      <c r="BT376" s="2250"/>
      <c r="BU376" s="2250"/>
      <c r="BV376" s="2250"/>
      <c r="BW376" s="2250"/>
      <c r="BX376" s="284">
        <v>475</v>
      </c>
      <c r="BY376" s="3620">
        <f>VLOOKUP(BY371,BX343:CI369,3,0)</f>
        <v>2.58</v>
      </c>
      <c r="BZ376" s="3620">
        <f t="shared" si="291"/>
        <v>4.97</v>
      </c>
      <c r="CA376" s="284">
        <v>550</v>
      </c>
      <c r="CB376" s="2250"/>
      <c r="CC376" s="2250"/>
      <c r="CD376" s="2250"/>
      <c r="CE376" s="2250"/>
      <c r="CF376" s="2250"/>
      <c r="CG376" s="2250"/>
      <c r="CH376" s="2250"/>
      <c r="CI376" s="2250"/>
      <c r="CJ376" s="2250"/>
      <c r="CK376" s="2250"/>
      <c r="CL376" s="284">
        <v>475</v>
      </c>
      <c r="CM376" s="3620">
        <f>VLOOKUP(CM371,CL343:CW369,3,0)</f>
        <v>2</v>
      </c>
      <c r="CN376" s="3620">
        <f t="shared" si="292"/>
        <v>3.73</v>
      </c>
      <c r="CO376" s="284">
        <v>550</v>
      </c>
      <c r="CP376" s="2250"/>
      <c r="CQ376" s="2250"/>
      <c r="CR376" s="2250"/>
      <c r="CS376" s="2250"/>
      <c r="CT376" s="2250"/>
      <c r="CU376" s="2250"/>
      <c r="CV376" s="2250"/>
      <c r="CW376" s="2250"/>
      <c r="CX376" s="2250"/>
      <c r="CY376" s="2250"/>
      <c r="CZ376" s="284">
        <v>475</v>
      </c>
      <c r="DA376" s="3620">
        <f>VLOOKUP(DA371,CZ343:DK369,3,0)</f>
        <v>1.54</v>
      </c>
      <c r="DB376" s="3620">
        <f t="shared" si="293"/>
        <v>2.85</v>
      </c>
      <c r="DC376" s="284">
        <v>550</v>
      </c>
      <c r="DD376" s="2250"/>
      <c r="DE376" s="2250"/>
      <c r="DF376" s="2250"/>
      <c r="DG376" s="2250"/>
      <c r="DH376" s="2250"/>
      <c r="DI376" s="2250"/>
      <c r="DJ376" s="2250"/>
      <c r="DK376" s="2250"/>
      <c r="DL376" s="2250"/>
      <c r="DM376" s="2250"/>
      <c r="DN376" s="2250"/>
      <c r="DO376" s="53"/>
      <c r="DP376" s="53"/>
      <c r="DY376" s="284">
        <v>475</v>
      </c>
      <c r="DZ376" s="3620">
        <f>VLOOKUP(DZ371,DY343:EJ369,3,0)</f>
        <v>0</v>
      </c>
      <c r="EA376" s="3620">
        <f t="shared" si="294"/>
        <v>0</v>
      </c>
      <c r="EB376" s="284">
        <v>550</v>
      </c>
      <c r="EC376" s="2250"/>
      <c r="ED376" s="2250"/>
      <c r="EE376" s="2250"/>
      <c r="EF376" s="2250"/>
      <c r="EG376" s="2250"/>
      <c r="EH376" s="2250"/>
      <c r="EI376" s="2250"/>
      <c r="EJ376" s="2250"/>
      <c r="EK376" s="2250"/>
      <c r="EL376" s="2250"/>
      <c r="EM376" s="284">
        <v>475</v>
      </c>
      <c r="EN376" s="3620">
        <f>VLOOKUP(EN371,EM343:EX369,3,0)</f>
        <v>4.1100000000000003</v>
      </c>
      <c r="EO376" s="3620">
        <f t="shared" si="295"/>
        <v>8.0399999999999991</v>
      </c>
      <c r="EP376" s="284">
        <v>550</v>
      </c>
      <c r="EQ376" s="2250"/>
      <c r="ER376" s="2250"/>
      <c r="ES376" s="2250"/>
      <c r="ET376" s="2250"/>
      <c r="EU376" s="2250"/>
      <c r="EV376" s="2250"/>
      <c r="EW376" s="2250"/>
      <c r="EX376" s="2250"/>
      <c r="EY376" s="2250"/>
      <c r="EZ376" s="2250"/>
      <c r="FA376" s="284">
        <v>475</v>
      </c>
      <c r="FB376" s="3620">
        <f>VLOOKUP(FB371,FA343:FL369,3,0)</f>
        <v>3.4</v>
      </c>
      <c r="FC376" s="3620">
        <f t="shared" si="296"/>
        <v>6.47</v>
      </c>
      <c r="FD376" s="284">
        <v>550</v>
      </c>
      <c r="FE376" s="2250"/>
      <c r="FF376" s="2250"/>
      <c r="FG376" s="2250"/>
      <c r="FH376" s="2250"/>
      <c r="FI376" s="2250"/>
      <c r="FJ376" s="2250"/>
      <c r="FK376" s="2250"/>
      <c r="FL376" s="2250"/>
      <c r="FM376" s="2250"/>
      <c r="FN376" s="2250"/>
      <c r="FO376" s="284">
        <v>475</v>
      </c>
      <c r="FP376" s="3620">
        <f>VLOOKUP(FP371,FO343:FZ369,3,0)</f>
        <v>2.62</v>
      </c>
      <c r="FQ376" s="3620">
        <f t="shared" si="297"/>
        <v>4.92</v>
      </c>
      <c r="FR376" s="284">
        <v>550</v>
      </c>
      <c r="FS376" s="2250"/>
      <c r="FT376" s="2250"/>
      <c r="FU376" s="2250"/>
      <c r="FV376" s="2250"/>
      <c r="FW376" s="2250"/>
      <c r="FX376" s="2250"/>
      <c r="FY376" s="2250"/>
      <c r="FZ376" s="2250"/>
      <c r="GA376" s="2250"/>
      <c r="GB376" s="2250"/>
      <c r="GC376" s="2276"/>
      <c r="GD376" s="2276"/>
      <c r="GE376" s="2250"/>
      <c r="GF376" s="2275"/>
      <c r="GG376" s="284">
        <v>475</v>
      </c>
      <c r="GH376" s="3620">
        <f>VLOOKUP(GH371,GG343:GR369,3,0)</f>
        <v>0</v>
      </c>
      <c r="GI376" s="3620">
        <f t="shared" si="298"/>
        <v>0</v>
      </c>
      <c r="GJ376" s="284">
        <v>550</v>
      </c>
      <c r="GK376" s="2250"/>
      <c r="GL376" s="2250"/>
      <c r="GM376" s="2250"/>
      <c r="GN376" s="2250"/>
      <c r="GO376" s="2250"/>
      <c r="GP376" s="2250"/>
      <c r="GQ376" s="2250"/>
      <c r="GR376" s="2250"/>
      <c r="GS376" s="2250"/>
      <c r="GT376" s="2250"/>
      <c r="GU376" s="284">
        <v>475</v>
      </c>
      <c r="GV376" s="3620">
        <f>VLOOKUP(GV371,GU343:HF369,3,0)</f>
        <v>3.93</v>
      </c>
      <c r="GW376" s="3620">
        <f t="shared" si="299"/>
        <v>7.55</v>
      </c>
      <c r="GX376" s="284">
        <v>550</v>
      </c>
      <c r="GY376" s="2250"/>
      <c r="GZ376" s="2250"/>
      <c r="HA376" s="2250"/>
      <c r="HB376" s="2250"/>
      <c r="HC376" s="2250"/>
      <c r="HD376" s="2250"/>
      <c r="HE376" s="2250"/>
      <c r="HF376" s="2250"/>
      <c r="HG376" s="2250"/>
      <c r="HH376" s="2250"/>
      <c r="HI376" s="284">
        <v>475</v>
      </c>
      <c r="HJ376" s="3620">
        <f>VLOOKUP(HJ371,HI343:HT369,3,0)</f>
        <v>3.2</v>
      </c>
      <c r="HK376" s="3620">
        <f t="shared" si="300"/>
        <v>6.13</v>
      </c>
      <c r="HL376" s="284">
        <v>550</v>
      </c>
      <c r="HM376" s="2250"/>
      <c r="HN376" s="2250"/>
      <c r="HO376" s="2250"/>
      <c r="HP376" s="2250"/>
      <c r="HQ376" s="2250"/>
      <c r="HR376" s="2250"/>
      <c r="HS376" s="2250"/>
      <c r="HT376" s="2250"/>
      <c r="HU376" s="2250"/>
      <c r="HV376" s="2250"/>
      <c r="HW376" s="284">
        <v>475</v>
      </c>
      <c r="HX376" s="3620">
        <f>VLOOKUP(HX371,HW343:IH369,3,0)</f>
        <v>2.38</v>
      </c>
      <c r="HY376" s="3620">
        <f t="shared" si="301"/>
        <v>4.62</v>
      </c>
      <c r="HZ376" s="284">
        <v>550</v>
      </c>
      <c r="IA376" s="2250"/>
      <c r="IB376" s="2250"/>
      <c r="IC376" s="2250"/>
      <c r="ID376" s="2250"/>
      <c r="IE376" s="2250"/>
      <c r="IF376" s="2250"/>
      <c r="IG376" s="2250"/>
      <c r="IH376" s="2250"/>
      <c r="II376" s="2250"/>
      <c r="IJ376" s="2250"/>
      <c r="IK376" s="2250"/>
      <c r="IL376" s="53"/>
      <c r="IM376" s="53"/>
    </row>
    <row r="377" spans="2:247" ht="21.95" customHeight="1">
      <c r="B377" s="284">
        <v>550</v>
      </c>
      <c r="C377" s="3620">
        <f>VLOOKUP(C371,B343:M369,4,0)</f>
        <v>0</v>
      </c>
      <c r="D377" s="3620">
        <f t="shared" si="286"/>
        <v>0</v>
      </c>
      <c r="E377" s="284">
        <v>650</v>
      </c>
      <c r="F377" s="2250"/>
      <c r="G377" s="2250"/>
      <c r="H377" s="2250"/>
      <c r="I377" s="2250"/>
      <c r="J377" s="2250"/>
      <c r="K377" s="2250"/>
      <c r="L377" s="2250"/>
      <c r="M377" s="2250"/>
      <c r="N377" s="2250"/>
      <c r="O377" s="2250"/>
      <c r="P377" s="284">
        <v>550</v>
      </c>
      <c r="Q377" s="3620">
        <f>VLOOKUP(Q371,P343:AA369,4,0)</f>
        <v>5.34</v>
      </c>
      <c r="R377" s="3620">
        <f t="shared" si="287"/>
        <v>9.26</v>
      </c>
      <c r="S377" s="284">
        <v>650</v>
      </c>
      <c r="T377" s="2250"/>
      <c r="U377" s="2250"/>
      <c r="V377" s="2250"/>
      <c r="W377" s="2250"/>
      <c r="X377" s="2250"/>
      <c r="Y377" s="2250"/>
      <c r="Z377" s="2250"/>
      <c r="AA377" s="2250"/>
      <c r="AB377" s="2250"/>
      <c r="AC377" s="2250"/>
      <c r="AD377" s="284">
        <v>550</v>
      </c>
      <c r="AE377" s="3620">
        <f>VLOOKUP(AE371,AD343:AO369,4,0)</f>
        <v>4.13</v>
      </c>
      <c r="AF377" s="3620">
        <f t="shared" si="288"/>
        <v>6.93</v>
      </c>
      <c r="AG377" s="284">
        <v>650</v>
      </c>
      <c r="AH377" s="2250"/>
      <c r="AI377" s="2250"/>
      <c r="AJ377" s="2250"/>
      <c r="AK377" s="2250"/>
      <c r="AL377" s="2250"/>
      <c r="AM377" s="2250"/>
      <c r="AN377" s="2250"/>
      <c r="AO377" s="2250"/>
      <c r="AP377" s="2250"/>
      <c r="AQ377" s="2250"/>
      <c r="AR377" s="284">
        <v>550</v>
      </c>
      <c r="AS377" s="3620">
        <f>VLOOKUP(AS371,AR343:BC369,4,0)</f>
        <v>3.15</v>
      </c>
      <c r="AT377" s="3620">
        <f t="shared" si="289"/>
        <v>5.23</v>
      </c>
      <c r="AU377" s="284">
        <v>650</v>
      </c>
      <c r="AV377" s="2250"/>
      <c r="AW377" s="2250"/>
      <c r="AX377" s="2250"/>
      <c r="AY377" s="2250"/>
      <c r="AZ377" s="2250"/>
      <c r="BA377" s="2250"/>
      <c r="BB377" s="2250"/>
      <c r="BC377" s="2250"/>
      <c r="BD377" s="2250"/>
      <c r="BE377" s="2250"/>
      <c r="BF377" s="2276"/>
      <c r="BG377" s="2276"/>
      <c r="BH377" s="2250"/>
      <c r="BI377" s="2275"/>
      <c r="BJ377" s="284">
        <v>550</v>
      </c>
      <c r="BK377" s="3620">
        <f>VLOOKUP(BK371,BJ343:BU369,4,0)</f>
        <v>0</v>
      </c>
      <c r="BL377" s="3620">
        <f t="shared" si="290"/>
        <v>0</v>
      </c>
      <c r="BM377" s="284">
        <v>650</v>
      </c>
      <c r="BN377" s="2250"/>
      <c r="BO377" s="2250"/>
      <c r="BP377" s="2250"/>
      <c r="BQ377" s="2250"/>
      <c r="BR377" s="2250"/>
      <c r="BS377" s="2250"/>
      <c r="BT377" s="2250"/>
      <c r="BU377" s="2250"/>
      <c r="BV377" s="2250"/>
      <c r="BW377" s="2250"/>
      <c r="BX377" s="284">
        <v>550</v>
      </c>
      <c r="BY377" s="3620">
        <f>VLOOKUP(BY371,BX343:CI369,4,0)</f>
        <v>4.97</v>
      </c>
      <c r="BZ377" s="3620">
        <f t="shared" si="291"/>
        <v>8.59</v>
      </c>
      <c r="CA377" s="284">
        <v>650</v>
      </c>
      <c r="CB377" s="2250"/>
      <c r="CC377" s="2250"/>
      <c r="CD377" s="2250"/>
      <c r="CE377" s="2250"/>
      <c r="CF377" s="2250"/>
      <c r="CG377" s="2250"/>
      <c r="CH377" s="2250"/>
      <c r="CI377" s="2250"/>
      <c r="CJ377" s="2250"/>
      <c r="CK377" s="2250"/>
      <c r="CL377" s="284">
        <v>550</v>
      </c>
      <c r="CM377" s="3620">
        <f>VLOOKUP(CM371,CL343:CW369,4,0)</f>
        <v>3.73</v>
      </c>
      <c r="CN377" s="3620">
        <f t="shared" si="292"/>
        <v>6.27</v>
      </c>
      <c r="CO377" s="284">
        <v>650</v>
      </c>
      <c r="CP377" s="2250"/>
      <c r="CQ377" s="2250"/>
      <c r="CR377" s="2250"/>
      <c r="CS377" s="2250"/>
      <c r="CT377" s="2250"/>
      <c r="CU377" s="2250"/>
      <c r="CV377" s="2250"/>
      <c r="CW377" s="2250"/>
      <c r="CX377" s="2250"/>
      <c r="CY377" s="2250"/>
      <c r="CZ377" s="284">
        <v>550</v>
      </c>
      <c r="DA377" s="3620">
        <f>VLOOKUP(DA371,CZ343:DK369,4,0)</f>
        <v>2.85</v>
      </c>
      <c r="DB377" s="3620">
        <f t="shared" si="293"/>
        <v>4.7699999999999996</v>
      </c>
      <c r="DC377" s="284">
        <v>650</v>
      </c>
      <c r="DD377" s="2250"/>
      <c r="DE377" s="2250"/>
      <c r="DF377" s="2250"/>
      <c r="DG377" s="2250"/>
      <c r="DH377" s="2250"/>
      <c r="DI377" s="2250"/>
      <c r="DJ377" s="2250"/>
      <c r="DK377" s="2250"/>
      <c r="DL377" s="2250"/>
      <c r="DM377" s="2250"/>
      <c r="DN377" s="2250"/>
      <c r="DO377" s="53"/>
      <c r="DP377" s="53"/>
      <c r="DY377" s="284">
        <v>550</v>
      </c>
      <c r="DZ377" s="3620">
        <f>VLOOKUP(DZ371,DY343:EJ369,4,0)</f>
        <v>0</v>
      </c>
      <c r="EA377" s="3620">
        <f t="shared" si="294"/>
        <v>0</v>
      </c>
      <c r="EB377" s="284">
        <v>650</v>
      </c>
      <c r="EC377" s="2250"/>
      <c r="ED377" s="2250"/>
      <c r="EE377" s="2250"/>
      <c r="EF377" s="2250"/>
      <c r="EG377" s="2250"/>
      <c r="EH377" s="2250"/>
      <c r="EI377" s="2250"/>
      <c r="EJ377" s="2250"/>
      <c r="EK377" s="2250"/>
      <c r="EL377" s="2250"/>
      <c r="EM377" s="284">
        <v>550</v>
      </c>
      <c r="EN377" s="3620">
        <f>VLOOKUP(EN371,EM343:EX369,4,0)</f>
        <v>8.0399999999999991</v>
      </c>
      <c r="EO377" s="3620">
        <f t="shared" si="295"/>
        <v>13.93</v>
      </c>
      <c r="EP377" s="284">
        <v>650</v>
      </c>
      <c r="EQ377" s="2250"/>
      <c r="ER377" s="2250"/>
      <c r="ES377" s="2250"/>
      <c r="ET377" s="2250"/>
      <c r="EU377" s="2250"/>
      <c r="EV377" s="2250"/>
      <c r="EW377" s="2250"/>
      <c r="EX377" s="2250"/>
      <c r="EY377" s="2250"/>
      <c r="EZ377" s="2250"/>
      <c r="FA377" s="284">
        <v>550</v>
      </c>
      <c r="FB377" s="3620">
        <f>VLOOKUP(FB371,FA343:FL369,4,0)</f>
        <v>6.47</v>
      </c>
      <c r="FC377" s="3620">
        <f t="shared" si="296"/>
        <v>10.8</v>
      </c>
      <c r="FD377" s="284">
        <v>650</v>
      </c>
      <c r="FE377" s="2250"/>
      <c r="FF377" s="2250"/>
      <c r="FG377" s="2250"/>
      <c r="FH377" s="2250"/>
      <c r="FI377" s="2250"/>
      <c r="FJ377" s="2250"/>
      <c r="FK377" s="2250"/>
      <c r="FL377" s="2250"/>
      <c r="FM377" s="2250"/>
      <c r="FN377" s="2250"/>
      <c r="FO377" s="284">
        <v>550</v>
      </c>
      <c r="FP377" s="3620">
        <f>VLOOKUP(FP371,FO343:FZ369,4,0)</f>
        <v>4.92</v>
      </c>
      <c r="FQ377" s="3620">
        <f t="shared" si="297"/>
        <v>8.15</v>
      </c>
      <c r="FR377" s="284">
        <v>650</v>
      </c>
      <c r="FS377" s="2250"/>
      <c r="FT377" s="2250"/>
      <c r="FU377" s="2250"/>
      <c r="FV377" s="2250"/>
      <c r="FW377" s="2250"/>
      <c r="FX377" s="2250"/>
      <c r="FY377" s="2250"/>
      <c r="FZ377" s="2250"/>
      <c r="GA377" s="2250"/>
      <c r="GB377" s="2250"/>
      <c r="GC377" s="2276"/>
      <c r="GD377" s="2276"/>
      <c r="GE377" s="2250"/>
      <c r="GF377" s="2275"/>
      <c r="GG377" s="284">
        <v>550</v>
      </c>
      <c r="GH377" s="3620">
        <f>VLOOKUP(GH371,GG343:GR369,4,0)</f>
        <v>0</v>
      </c>
      <c r="GI377" s="3620">
        <f t="shared" si="298"/>
        <v>0</v>
      </c>
      <c r="GJ377" s="284">
        <v>650</v>
      </c>
      <c r="GK377" s="2250"/>
      <c r="GL377" s="2250"/>
      <c r="GM377" s="2250"/>
      <c r="GN377" s="2250"/>
      <c r="GO377" s="2250"/>
      <c r="GP377" s="2250"/>
      <c r="GQ377" s="2250"/>
      <c r="GR377" s="2250"/>
      <c r="GS377" s="2250"/>
      <c r="GT377" s="2250"/>
      <c r="GU377" s="284">
        <v>550</v>
      </c>
      <c r="GV377" s="3620">
        <f>VLOOKUP(GV371,GU343:HF369,4,0)</f>
        <v>7.55</v>
      </c>
      <c r="GW377" s="3620">
        <f t="shared" si="299"/>
        <v>13.07</v>
      </c>
      <c r="GX377" s="284">
        <v>650</v>
      </c>
      <c r="GY377" s="2250"/>
      <c r="GZ377" s="2250"/>
      <c r="HA377" s="2250"/>
      <c r="HB377" s="2250"/>
      <c r="HC377" s="2250"/>
      <c r="HD377" s="2250"/>
      <c r="HE377" s="2250"/>
      <c r="HF377" s="2250"/>
      <c r="HG377" s="2250"/>
      <c r="HH377" s="2250"/>
      <c r="HI377" s="284">
        <v>550</v>
      </c>
      <c r="HJ377" s="3620">
        <f>VLOOKUP(HJ371,HI343:HT369,4,0)</f>
        <v>6.13</v>
      </c>
      <c r="HK377" s="3620">
        <f t="shared" si="300"/>
        <v>9.8000000000000007</v>
      </c>
      <c r="HL377" s="284">
        <v>650</v>
      </c>
      <c r="HM377" s="2250"/>
      <c r="HN377" s="2250"/>
      <c r="HO377" s="2250"/>
      <c r="HP377" s="2250"/>
      <c r="HQ377" s="2250"/>
      <c r="HR377" s="2250"/>
      <c r="HS377" s="2250"/>
      <c r="HT377" s="2250"/>
      <c r="HU377" s="2250"/>
      <c r="HV377" s="2250"/>
      <c r="HW377" s="284">
        <v>550</v>
      </c>
      <c r="HX377" s="3620">
        <f>VLOOKUP(HX371,HW343:IH369,4,0)</f>
        <v>4.62</v>
      </c>
      <c r="HY377" s="3620">
        <f t="shared" si="301"/>
        <v>7.38</v>
      </c>
      <c r="HZ377" s="284">
        <v>650</v>
      </c>
      <c r="IA377" s="2250"/>
      <c r="IB377" s="2250"/>
      <c r="IC377" s="2250"/>
      <c r="ID377" s="2250"/>
      <c r="IE377" s="2250"/>
      <c r="IF377" s="2250"/>
      <c r="IG377" s="2250"/>
      <c r="IH377" s="2250"/>
      <c r="II377" s="2250"/>
      <c r="IJ377" s="2250"/>
      <c r="IK377" s="2250"/>
      <c r="IL377" s="53"/>
      <c r="IM377" s="53"/>
    </row>
    <row r="378" spans="2:247" ht="21.95" customHeight="1">
      <c r="B378" s="284">
        <v>650</v>
      </c>
      <c r="C378" s="3620">
        <f>VLOOKUP(C371,B343:M369,5,0)</f>
        <v>0</v>
      </c>
      <c r="D378" s="3620">
        <f t="shared" si="286"/>
        <v>0</v>
      </c>
      <c r="E378" s="284">
        <v>775</v>
      </c>
      <c r="F378" s="2250"/>
      <c r="G378" s="2250"/>
      <c r="H378" s="2250"/>
      <c r="I378" s="2250"/>
      <c r="J378" s="2250"/>
      <c r="K378" s="2250"/>
      <c r="L378" s="2250"/>
      <c r="M378" s="2250"/>
      <c r="N378" s="2250"/>
      <c r="O378" s="2250"/>
      <c r="P378" s="284">
        <v>650</v>
      </c>
      <c r="Q378" s="3620">
        <f>VLOOKUP(Q371,P343:AA369,5,0)</f>
        <v>9.26</v>
      </c>
      <c r="R378" s="3620">
        <f t="shared" si="287"/>
        <v>14.72</v>
      </c>
      <c r="S378" s="284">
        <v>775</v>
      </c>
      <c r="T378" s="2250"/>
      <c r="U378" s="2250"/>
      <c r="V378" s="2250"/>
      <c r="W378" s="2250"/>
      <c r="X378" s="2250"/>
      <c r="Y378" s="2250"/>
      <c r="Z378" s="2250"/>
      <c r="AA378" s="2250"/>
      <c r="AB378" s="2250"/>
      <c r="AC378" s="2250"/>
      <c r="AD378" s="284">
        <v>650</v>
      </c>
      <c r="AE378" s="3620">
        <f>VLOOKUP(AE371,AD343:AO369,5,0)</f>
        <v>6.93</v>
      </c>
      <c r="AF378" s="3620">
        <f t="shared" si="288"/>
        <v>10.6</v>
      </c>
      <c r="AG378" s="284">
        <v>775</v>
      </c>
      <c r="AH378" s="2250"/>
      <c r="AI378" s="2250"/>
      <c r="AJ378" s="2250"/>
      <c r="AK378" s="2250"/>
      <c r="AL378" s="2250"/>
      <c r="AM378" s="2250"/>
      <c r="AN378" s="2250"/>
      <c r="AO378" s="2250"/>
      <c r="AP378" s="2250"/>
      <c r="AQ378" s="2250"/>
      <c r="AR378" s="284">
        <v>650</v>
      </c>
      <c r="AS378" s="3620">
        <f>VLOOKUP(AS371,AR343:BC369,5,0)</f>
        <v>5.23</v>
      </c>
      <c r="AT378" s="3620">
        <f t="shared" si="289"/>
        <v>8.08</v>
      </c>
      <c r="AU378" s="284">
        <v>775</v>
      </c>
      <c r="AV378" s="2250"/>
      <c r="AW378" s="2250"/>
      <c r="AX378" s="2250"/>
      <c r="AY378" s="2250"/>
      <c r="AZ378" s="2250"/>
      <c r="BA378" s="2250"/>
      <c r="BB378" s="2250"/>
      <c r="BC378" s="2250"/>
      <c r="BD378" s="2250"/>
      <c r="BE378" s="2250"/>
      <c r="BF378" s="2276"/>
      <c r="BG378" s="2276"/>
      <c r="BH378" s="2250"/>
      <c r="BI378" s="2275"/>
      <c r="BJ378" s="284">
        <v>650</v>
      </c>
      <c r="BK378" s="3620">
        <f>VLOOKUP(BK371,BJ343:BU369,5,0)</f>
        <v>0</v>
      </c>
      <c r="BL378" s="3620">
        <f t="shared" si="290"/>
        <v>0</v>
      </c>
      <c r="BM378" s="284">
        <v>775</v>
      </c>
      <c r="BN378" s="2250"/>
      <c r="BO378" s="2250"/>
      <c r="BP378" s="2250"/>
      <c r="BQ378" s="2250"/>
      <c r="BR378" s="2250"/>
      <c r="BS378" s="2250"/>
      <c r="BT378" s="2250"/>
      <c r="BU378" s="2250"/>
      <c r="BV378" s="2250"/>
      <c r="BW378" s="2250"/>
      <c r="BX378" s="284">
        <v>650</v>
      </c>
      <c r="BY378" s="3620">
        <f>VLOOKUP(BY371,BX343:CI369,5,0)</f>
        <v>8.59</v>
      </c>
      <c r="BZ378" s="3620">
        <f t="shared" si="291"/>
        <v>13.44</v>
      </c>
      <c r="CA378" s="284">
        <v>775</v>
      </c>
      <c r="CB378" s="2250"/>
      <c r="CC378" s="2250"/>
      <c r="CD378" s="2250"/>
      <c r="CE378" s="2250"/>
      <c r="CF378" s="2250"/>
      <c r="CG378" s="2250"/>
      <c r="CH378" s="2250"/>
      <c r="CI378" s="2250"/>
      <c r="CJ378" s="2250"/>
      <c r="CK378" s="2250"/>
      <c r="CL378" s="284">
        <v>650</v>
      </c>
      <c r="CM378" s="3620">
        <f>VLOOKUP(CM371,CL343:CW369,5,0)</f>
        <v>6.27</v>
      </c>
      <c r="CN378" s="3620">
        <f t="shared" si="292"/>
        <v>9.6</v>
      </c>
      <c r="CO378" s="284">
        <v>775</v>
      </c>
      <c r="CP378" s="2250"/>
      <c r="CQ378" s="2250"/>
      <c r="CR378" s="2250"/>
      <c r="CS378" s="2250"/>
      <c r="CT378" s="2250"/>
      <c r="CU378" s="2250"/>
      <c r="CV378" s="2250"/>
      <c r="CW378" s="2250"/>
      <c r="CX378" s="2250"/>
      <c r="CY378" s="2250"/>
      <c r="CZ378" s="284">
        <v>650</v>
      </c>
      <c r="DA378" s="3620">
        <f>VLOOKUP(DA371,CZ343:DK369,5,0)</f>
        <v>4.7699999999999996</v>
      </c>
      <c r="DB378" s="3620">
        <f t="shared" si="293"/>
        <v>7.31</v>
      </c>
      <c r="DC378" s="284">
        <v>775</v>
      </c>
      <c r="DD378" s="2250"/>
      <c r="DE378" s="2250"/>
      <c r="DF378" s="2250"/>
      <c r="DG378" s="2250"/>
      <c r="DH378" s="2250"/>
      <c r="DI378" s="2250"/>
      <c r="DJ378" s="2250"/>
      <c r="DK378" s="2250"/>
      <c r="DL378" s="2250"/>
      <c r="DM378" s="2250"/>
      <c r="DN378" s="2250"/>
      <c r="DO378" s="53"/>
      <c r="DP378" s="53"/>
      <c r="DY378" s="284">
        <v>650</v>
      </c>
      <c r="DZ378" s="3620">
        <f>VLOOKUP(DZ371,DY343:EJ369,5,0)</f>
        <v>0</v>
      </c>
      <c r="EA378" s="3620">
        <f t="shared" si="294"/>
        <v>0</v>
      </c>
      <c r="EB378" s="284">
        <v>775</v>
      </c>
      <c r="EC378" s="2250"/>
      <c r="ED378" s="2250"/>
      <c r="EE378" s="2250"/>
      <c r="EF378" s="2250"/>
      <c r="EG378" s="2250"/>
      <c r="EH378" s="2250"/>
      <c r="EI378" s="2250"/>
      <c r="EJ378" s="2250"/>
      <c r="EK378" s="2250"/>
      <c r="EL378" s="2250"/>
      <c r="EM378" s="284">
        <v>650</v>
      </c>
      <c r="EN378" s="3620">
        <f>VLOOKUP(EN371,EM343:EX369,5,0)</f>
        <v>13.93</v>
      </c>
      <c r="EO378" s="3620">
        <f t="shared" si="295"/>
        <v>22.09</v>
      </c>
      <c r="EP378" s="284">
        <v>775</v>
      </c>
      <c r="EQ378" s="2250"/>
      <c r="ER378" s="2250"/>
      <c r="ES378" s="2250"/>
      <c r="ET378" s="2250"/>
      <c r="EU378" s="2250"/>
      <c r="EV378" s="2250"/>
      <c r="EW378" s="2250"/>
      <c r="EX378" s="2250"/>
      <c r="EY378" s="2250"/>
      <c r="EZ378" s="2250"/>
      <c r="FA378" s="284">
        <v>650</v>
      </c>
      <c r="FB378" s="3620">
        <f>VLOOKUP(FB371,FA343:FL369,5,0)</f>
        <v>10.8</v>
      </c>
      <c r="FC378" s="3620">
        <f t="shared" si="296"/>
        <v>16.670000000000002</v>
      </c>
      <c r="FD378" s="284">
        <v>775</v>
      </c>
      <c r="FE378" s="2250"/>
      <c r="FF378" s="2250"/>
      <c r="FG378" s="2250"/>
      <c r="FH378" s="2250"/>
      <c r="FI378" s="2250"/>
      <c r="FJ378" s="2250"/>
      <c r="FK378" s="2250"/>
      <c r="FL378" s="2250"/>
      <c r="FM378" s="2250"/>
      <c r="FN378" s="2250"/>
      <c r="FO378" s="284">
        <v>650</v>
      </c>
      <c r="FP378" s="3620">
        <f>VLOOKUP(FP371,FO343:FZ369,5,0)</f>
        <v>8.15</v>
      </c>
      <c r="FQ378" s="3620">
        <f t="shared" si="297"/>
        <v>12.69</v>
      </c>
      <c r="FR378" s="284">
        <v>775</v>
      </c>
      <c r="FS378" s="2250"/>
      <c r="FT378" s="2250"/>
      <c r="FU378" s="2250"/>
      <c r="FV378" s="2250"/>
      <c r="FW378" s="2250"/>
      <c r="FX378" s="2250"/>
      <c r="FY378" s="2250"/>
      <c r="FZ378" s="2250"/>
      <c r="GA378" s="2250"/>
      <c r="GB378" s="2250"/>
      <c r="GC378" s="2276"/>
      <c r="GD378" s="2276"/>
      <c r="GE378" s="2250"/>
      <c r="GF378" s="2275"/>
      <c r="GG378" s="284">
        <v>650</v>
      </c>
      <c r="GH378" s="3620">
        <f>VLOOKUP(GH371,GG343:GR369,5,0)</f>
        <v>0</v>
      </c>
      <c r="GI378" s="3620">
        <f t="shared" si="298"/>
        <v>0</v>
      </c>
      <c r="GJ378" s="284">
        <v>775</v>
      </c>
      <c r="GK378" s="2250"/>
      <c r="GL378" s="2250"/>
      <c r="GM378" s="2250"/>
      <c r="GN378" s="2250"/>
      <c r="GO378" s="2250"/>
      <c r="GP378" s="2250"/>
      <c r="GQ378" s="2250"/>
      <c r="GR378" s="2250"/>
      <c r="GS378" s="2250"/>
      <c r="GT378" s="2250"/>
      <c r="GU378" s="284">
        <v>650</v>
      </c>
      <c r="GV378" s="3620">
        <f>VLOOKUP(GV371,GU343:HF369,5,0)</f>
        <v>13.07</v>
      </c>
      <c r="GW378" s="3620">
        <f t="shared" si="299"/>
        <v>20.74</v>
      </c>
      <c r="GX378" s="284">
        <v>775</v>
      </c>
      <c r="GY378" s="2250"/>
      <c r="GZ378" s="2250"/>
      <c r="HA378" s="2250"/>
      <c r="HB378" s="2250"/>
      <c r="HC378" s="2250"/>
      <c r="HD378" s="2250"/>
      <c r="HE378" s="2250"/>
      <c r="HF378" s="2250"/>
      <c r="HG378" s="2250"/>
      <c r="HH378" s="2250"/>
      <c r="HI378" s="284">
        <v>650</v>
      </c>
      <c r="HJ378" s="3620">
        <f>VLOOKUP(HJ371,HI343:HT369,5,0)</f>
        <v>9.8000000000000007</v>
      </c>
      <c r="HK378" s="3620">
        <f t="shared" si="300"/>
        <v>15.67</v>
      </c>
      <c r="HL378" s="284">
        <v>775</v>
      </c>
      <c r="HM378" s="2250"/>
      <c r="HN378" s="2250"/>
      <c r="HO378" s="2250"/>
      <c r="HP378" s="2250"/>
      <c r="HQ378" s="2250"/>
      <c r="HR378" s="2250"/>
      <c r="HS378" s="2250"/>
      <c r="HT378" s="2250"/>
      <c r="HU378" s="2250"/>
      <c r="HV378" s="2250"/>
      <c r="HW378" s="284">
        <v>650</v>
      </c>
      <c r="HX378" s="3620">
        <f>VLOOKUP(HX371,HW343:IH369,5,0)</f>
        <v>7.38</v>
      </c>
      <c r="HY378" s="3620">
        <f t="shared" si="301"/>
        <v>11.92</v>
      </c>
      <c r="HZ378" s="284">
        <v>775</v>
      </c>
      <c r="IA378" s="2250"/>
      <c r="IB378" s="2250"/>
      <c r="IC378" s="2250"/>
      <c r="ID378" s="2250"/>
      <c r="IE378" s="2250"/>
      <c r="IF378" s="2250"/>
      <c r="IG378" s="2250"/>
      <c r="IH378" s="2250"/>
      <c r="II378" s="2250"/>
      <c r="IJ378" s="2250"/>
      <c r="IK378" s="2250"/>
      <c r="IL378" s="53"/>
      <c r="IM378" s="53"/>
    </row>
    <row r="379" spans="2:247" ht="21.95" customHeight="1">
      <c r="B379" s="284">
        <v>775</v>
      </c>
      <c r="C379" s="3620">
        <f>VLOOKUP(C371,B343:M369,6,0)</f>
        <v>0</v>
      </c>
      <c r="D379" s="3620">
        <f t="shared" si="286"/>
        <v>0</v>
      </c>
      <c r="E379" s="284">
        <v>825</v>
      </c>
      <c r="F379" s="2250"/>
      <c r="G379" s="2250"/>
      <c r="H379" s="2250"/>
      <c r="I379" s="2250"/>
      <c r="J379" s="2250"/>
      <c r="K379" s="2250"/>
      <c r="L379" s="2250"/>
      <c r="M379" s="2250"/>
      <c r="N379" s="2250"/>
      <c r="O379" s="2250"/>
      <c r="P379" s="284">
        <v>775</v>
      </c>
      <c r="Q379" s="3620">
        <f>VLOOKUP(Q371,P343:AA369,6,0)</f>
        <v>14.72</v>
      </c>
      <c r="R379" s="3620">
        <f t="shared" si="287"/>
        <v>20.86</v>
      </c>
      <c r="S379" s="284">
        <v>825</v>
      </c>
      <c r="T379" s="2250"/>
      <c r="U379" s="2250"/>
      <c r="V379" s="2250"/>
      <c r="W379" s="2250"/>
      <c r="X379" s="2250"/>
      <c r="Y379" s="2250"/>
      <c r="Z379" s="2250"/>
      <c r="AA379" s="2250"/>
      <c r="AB379" s="2250"/>
      <c r="AC379" s="2250"/>
      <c r="AD379" s="284">
        <v>775</v>
      </c>
      <c r="AE379" s="3620">
        <f>VLOOKUP(AE371,AD343:AO369,6,0)</f>
        <v>10.6</v>
      </c>
      <c r="AF379" s="3620">
        <f t="shared" si="288"/>
        <v>14.87</v>
      </c>
      <c r="AG379" s="284">
        <v>825</v>
      </c>
      <c r="AH379" s="2250"/>
      <c r="AI379" s="2250"/>
      <c r="AJ379" s="2250"/>
      <c r="AK379" s="2250"/>
      <c r="AL379" s="2250"/>
      <c r="AM379" s="2250"/>
      <c r="AN379" s="2250"/>
      <c r="AO379" s="2250"/>
      <c r="AP379" s="2250"/>
      <c r="AQ379" s="2250"/>
      <c r="AR379" s="284">
        <v>775</v>
      </c>
      <c r="AS379" s="3620">
        <f>VLOOKUP(AS371,AR343:BC369,6,0)</f>
        <v>8.08</v>
      </c>
      <c r="AT379" s="3620">
        <f t="shared" si="289"/>
        <v>11.31</v>
      </c>
      <c r="AU379" s="284">
        <v>825</v>
      </c>
      <c r="AV379" s="2250"/>
      <c r="AW379" s="2250"/>
      <c r="AX379" s="2250"/>
      <c r="AY379" s="2250"/>
      <c r="AZ379" s="2250"/>
      <c r="BA379" s="2250"/>
      <c r="BB379" s="2250"/>
      <c r="BC379" s="2250"/>
      <c r="BD379" s="2250"/>
      <c r="BE379" s="2250"/>
      <c r="BF379" s="2276"/>
      <c r="BG379" s="2276"/>
      <c r="BH379" s="2250"/>
      <c r="BI379" s="2275"/>
      <c r="BJ379" s="284">
        <v>775</v>
      </c>
      <c r="BK379" s="3620">
        <f>VLOOKUP(BK371,BJ343:BU369,6,0)</f>
        <v>0</v>
      </c>
      <c r="BL379" s="3620">
        <f t="shared" si="290"/>
        <v>0</v>
      </c>
      <c r="BM379" s="284">
        <v>825</v>
      </c>
      <c r="BN379" s="2250"/>
      <c r="BO379" s="2250"/>
      <c r="BP379" s="2250"/>
      <c r="BQ379" s="2250"/>
      <c r="BR379" s="2250"/>
      <c r="BS379" s="2250"/>
      <c r="BT379" s="2250"/>
      <c r="BU379" s="2250"/>
      <c r="BV379" s="2250"/>
      <c r="BW379" s="2250"/>
      <c r="BX379" s="284">
        <v>775</v>
      </c>
      <c r="BY379" s="3620">
        <f>VLOOKUP(BY371,BX343:CI369,6,0)</f>
        <v>13.44</v>
      </c>
      <c r="BZ379" s="3620">
        <f t="shared" si="291"/>
        <v>19.02</v>
      </c>
      <c r="CA379" s="284">
        <v>825</v>
      </c>
      <c r="CB379" s="2250"/>
      <c r="CC379" s="2250"/>
      <c r="CD379" s="2250"/>
      <c r="CE379" s="2250"/>
      <c r="CF379" s="2250"/>
      <c r="CG379" s="2250"/>
      <c r="CH379" s="2250"/>
      <c r="CI379" s="2250"/>
      <c r="CJ379" s="2250"/>
      <c r="CK379" s="2250"/>
      <c r="CL379" s="284">
        <v>775</v>
      </c>
      <c r="CM379" s="3620">
        <f>VLOOKUP(CM371,CL343:CW369,6,0)</f>
        <v>9.6</v>
      </c>
      <c r="CN379" s="3620">
        <f t="shared" si="292"/>
        <v>13.73</v>
      </c>
      <c r="CO379" s="284">
        <v>825</v>
      </c>
      <c r="CP379" s="2250"/>
      <c r="CQ379" s="2250"/>
      <c r="CR379" s="2250"/>
      <c r="CS379" s="2250"/>
      <c r="CT379" s="2250"/>
      <c r="CU379" s="2250"/>
      <c r="CV379" s="2250"/>
      <c r="CW379" s="2250"/>
      <c r="CX379" s="2250"/>
      <c r="CY379" s="2250"/>
      <c r="CZ379" s="284">
        <v>775</v>
      </c>
      <c r="DA379" s="3620">
        <f>VLOOKUP(DA371,CZ343:DK369,6,0)</f>
        <v>7.31</v>
      </c>
      <c r="DB379" s="3620">
        <f t="shared" si="293"/>
        <v>10.38</v>
      </c>
      <c r="DC379" s="284">
        <v>825</v>
      </c>
      <c r="DD379" s="2250"/>
      <c r="DE379" s="2250"/>
      <c r="DF379" s="2250"/>
      <c r="DG379" s="2250"/>
      <c r="DH379" s="2250"/>
      <c r="DI379" s="2250"/>
      <c r="DJ379" s="2250"/>
      <c r="DK379" s="2250"/>
      <c r="DL379" s="2250"/>
      <c r="DM379" s="2250"/>
      <c r="DN379" s="2250"/>
      <c r="DO379" s="53"/>
      <c r="DP379" s="53"/>
      <c r="DY379" s="284">
        <v>775</v>
      </c>
      <c r="DZ379" s="3620">
        <f>VLOOKUP(DZ371,DY343:EJ369,6,0)</f>
        <v>0</v>
      </c>
      <c r="EA379" s="3620">
        <f t="shared" si="294"/>
        <v>0</v>
      </c>
      <c r="EB379" s="284">
        <v>825</v>
      </c>
      <c r="EC379" s="2250"/>
      <c r="ED379" s="2250"/>
      <c r="EE379" s="2250"/>
      <c r="EF379" s="2250"/>
      <c r="EG379" s="2250"/>
      <c r="EH379" s="2250"/>
      <c r="EI379" s="2250"/>
      <c r="EJ379" s="2250"/>
      <c r="EK379" s="2250"/>
      <c r="EL379" s="2250"/>
      <c r="EM379" s="284">
        <v>775</v>
      </c>
      <c r="EN379" s="3620">
        <f>VLOOKUP(EN371,EM343:EX369,6,0)</f>
        <v>22.09</v>
      </c>
      <c r="EO379" s="3620">
        <f t="shared" si="295"/>
        <v>30.98</v>
      </c>
      <c r="EP379" s="284">
        <v>825</v>
      </c>
      <c r="EQ379" s="2250"/>
      <c r="ER379" s="2250"/>
      <c r="ES379" s="2250"/>
      <c r="ET379" s="2250"/>
      <c r="EU379" s="2250"/>
      <c r="EV379" s="2250"/>
      <c r="EW379" s="2250"/>
      <c r="EX379" s="2250"/>
      <c r="EY379" s="2250"/>
      <c r="EZ379" s="2250"/>
      <c r="FA379" s="284">
        <v>775</v>
      </c>
      <c r="FB379" s="3620">
        <f>VLOOKUP(FB371,FA343:FL369,6,0)</f>
        <v>16.670000000000002</v>
      </c>
      <c r="FC379" s="3620">
        <f t="shared" si="296"/>
        <v>22.47</v>
      </c>
      <c r="FD379" s="284">
        <v>825</v>
      </c>
      <c r="FE379" s="2250"/>
      <c r="FF379" s="2250"/>
      <c r="FG379" s="2250"/>
      <c r="FH379" s="2250"/>
      <c r="FI379" s="2250"/>
      <c r="FJ379" s="2250"/>
      <c r="FK379" s="2250"/>
      <c r="FL379" s="2250"/>
      <c r="FM379" s="2250"/>
      <c r="FN379" s="2250"/>
      <c r="FO379" s="284">
        <v>775</v>
      </c>
      <c r="FP379" s="3620">
        <f>VLOOKUP(FP371,FO343:FZ369,6,0)</f>
        <v>12.69</v>
      </c>
      <c r="FQ379" s="3620">
        <f t="shared" si="297"/>
        <v>17.079999999999998</v>
      </c>
      <c r="FR379" s="284">
        <v>825</v>
      </c>
      <c r="FS379" s="2250"/>
      <c r="FT379" s="2250"/>
      <c r="FU379" s="2250"/>
      <c r="FV379" s="2250"/>
      <c r="FW379" s="2250"/>
      <c r="FX379" s="2250"/>
      <c r="FY379" s="2250"/>
      <c r="FZ379" s="2250"/>
      <c r="GA379" s="2250"/>
      <c r="GB379" s="2250"/>
      <c r="GC379" s="2276"/>
      <c r="GD379" s="2276"/>
      <c r="GE379" s="2250"/>
      <c r="GF379" s="2275"/>
      <c r="GG379" s="284">
        <v>775</v>
      </c>
      <c r="GH379" s="3620">
        <f>VLOOKUP(GH371,GG343:GR369,6,0)</f>
        <v>0</v>
      </c>
      <c r="GI379" s="3620">
        <f t="shared" si="298"/>
        <v>0</v>
      </c>
      <c r="GJ379" s="284">
        <v>825</v>
      </c>
      <c r="GK379" s="2250"/>
      <c r="GL379" s="2250"/>
      <c r="GM379" s="2250"/>
      <c r="GN379" s="2250"/>
      <c r="GO379" s="2250"/>
      <c r="GP379" s="2250"/>
      <c r="GQ379" s="2250"/>
      <c r="GR379" s="2250"/>
      <c r="GS379" s="2250"/>
      <c r="GT379" s="2250"/>
      <c r="GU379" s="284">
        <v>775</v>
      </c>
      <c r="GV379" s="3620">
        <f>VLOOKUP(GV371,GU343:HF369,6,0)</f>
        <v>20.74</v>
      </c>
      <c r="GW379" s="3620">
        <f t="shared" si="299"/>
        <v>29.39</v>
      </c>
      <c r="GX379" s="284">
        <v>825</v>
      </c>
      <c r="GY379" s="2250"/>
      <c r="GZ379" s="2250"/>
      <c r="HA379" s="2250"/>
      <c r="HB379" s="2250"/>
      <c r="HC379" s="2250"/>
      <c r="HD379" s="2250"/>
      <c r="HE379" s="2250"/>
      <c r="HF379" s="2250"/>
      <c r="HG379" s="2250"/>
      <c r="HH379" s="2250"/>
      <c r="HI379" s="284">
        <v>775</v>
      </c>
      <c r="HJ379" s="3620">
        <f>VLOOKUP(HJ371,HI343:HT369,6,0)</f>
        <v>15.67</v>
      </c>
      <c r="HK379" s="3620">
        <f t="shared" si="300"/>
        <v>21.2</v>
      </c>
      <c r="HL379" s="284">
        <v>825</v>
      </c>
      <c r="HM379" s="2250"/>
      <c r="HN379" s="2250"/>
      <c r="HO379" s="2250"/>
      <c r="HP379" s="2250"/>
      <c r="HQ379" s="2250"/>
      <c r="HR379" s="2250"/>
      <c r="HS379" s="2250"/>
      <c r="HT379" s="2250"/>
      <c r="HU379" s="2250"/>
      <c r="HV379" s="2250"/>
      <c r="HW379" s="284">
        <v>775</v>
      </c>
      <c r="HX379" s="3620">
        <f>VLOOKUP(HX371,HW343:IH369,6,0)</f>
        <v>11.92</v>
      </c>
      <c r="HY379" s="3620">
        <f t="shared" si="301"/>
        <v>16.079999999999998</v>
      </c>
      <c r="HZ379" s="284">
        <v>825</v>
      </c>
      <c r="IA379" s="2250"/>
      <c r="IB379" s="2250"/>
      <c r="IC379" s="2250"/>
      <c r="ID379" s="2250"/>
      <c r="IE379" s="2250"/>
      <c r="IF379" s="2250"/>
      <c r="IG379" s="2250"/>
      <c r="IH379" s="2250"/>
      <c r="II379" s="2250"/>
      <c r="IJ379" s="2250"/>
      <c r="IK379" s="2250"/>
      <c r="IL379" s="53"/>
      <c r="IM379" s="53"/>
    </row>
    <row r="380" spans="2:247" ht="21.95" customHeight="1">
      <c r="B380" s="284">
        <v>825</v>
      </c>
      <c r="C380" s="3620">
        <f>VLOOKUP(C371,B343:M369,7,0)</f>
        <v>0</v>
      </c>
      <c r="D380" s="3620">
        <f t="shared" si="286"/>
        <v>0</v>
      </c>
      <c r="E380" s="284">
        <v>950</v>
      </c>
      <c r="F380" s="2250"/>
      <c r="G380" s="2250"/>
      <c r="H380" s="2250"/>
      <c r="I380" s="2250"/>
      <c r="J380" s="2250"/>
      <c r="K380" s="2250"/>
      <c r="L380" s="2250"/>
      <c r="M380" s="2250"/>
      <c r="N380" s="2250"/>
      <c r="O380" s="2250"/>
      <c r="P380" s="284">
        <v>825</v>
      </c>
      <c r="Q380" s="3620">
        <f>VLOOKUP(Q371,P343:AA369,7,0)</f>
        <v>20.86</v>
      </c>
      <c r="R380" s="3620">
        <f t="shared" si="287"/>
        <v>30.12</v>
      </c>
      <c r="S380" s="284">
        <v>950</v>
      </c>
      <c r="T380" s="2250"/>
      <c r="U380" s="2250"/>
      <c r="V380" s="2250"/>
      <c r="W380" s="2250"/>
      <c r="X380" s="2250"/>
      <c r="Y380" s="2250"/>
      <c r="Z380" s="2250"/>
      <c r="AA380" s="2250"/>
      <c r="AB380" s="2250"/>
      <c r="AC380" s="2250"/>
      <c r="AD380" s="284">
        <v>825</v>
      </c>
      <c r="AE380" s="3620">
        <f>VLOOKUP(AE371,AD343:AO369,7,0)</f>
        <v>14.87</v>
      </c>
      <c r="AF380" s="3620">
        <f t="shared" si="288"/>
        <v>21.47</v>
      </c>
      <c r="AG380" s="284">
        <v>950</v>
      </c>
      <c r="AH380" s="2250"/>
      <c r="AI380" s="2250"/>
      <c r="AJ380" s="2250"/>
      <c r="AK380" s="2250"/>
      <c r="AL380" s="2250"/>
      <c r="AM380" s="2250"/>
      <c r="AN380" s="2250"/>
      <c r="AO380" s="2250"/>
      <c r="AP380" s="2250"/>
      <c r="AQ380" s="2250"/>
      <c r="AR380" s="284">
        <v>825</v>
      </c>
      <c r="AS380" s="3620">
        <f>VLOOKUP(AS371,AR343:BC369,7,0)</f>
        <v>11.31</v>
      </c>
      <c r="AT380" s="3620">
        <f t="shared" si="289"/>
        <v>16.38</v>
      </c>
      <c r="AU380" s="284">
        <v>950</v>
      </c>
      <c r="AV380" s="2250"/>
      <c r="AW380" s="2250"/>
      <c r="AX380" s="2250"/>
      <c r="AY380" s="2250"/>
      <c r="AZ380" s="2250"/>
      <c r="BA380" s="2250"/>
      <c r="BB380" s="2250"/>
      <c r="BC380" s="2250"/>
      <c r="BD380" s="2250"/>
      <c r="BE380" s="2250"/>
      <c r="BF380" s="2276"/>
      <c r="BG380" s="2276"/>
      <c r="BH380" s="2250"/>
      <c r="BI380" s="2275"/>
      <c r="BJ380" s="284">
        <v>825</v>
      </c>
      <c r="BK380" s="3620">
        <f>VLOOKUP(BK371,BJ343:BU369,7,0)</f>
        <v>0</v>
      </c>
      <c r="BL380" s="3620">
        <f t="shared" si="290"/>
        <v>0</v>
      </c>
      <c r="BM380" s="284">
        <v>950</v>
      </c>
      <c r="BN380" s="2250"/>
      <c r="BO380" s="2250"/>
      <c r="BP380" s="2250"/>
      <c r="BQ380" s="2250"/>
      <c r="BR380" s="2250"/>
      <c r="BS380" s="2250"/>
      <c r="BT380" s="2250"/>
      <c r="BU380" s="2250"/>
      <c r="BV380" s="2250"/>
      <c r="BW380" s="2250"/>
      <c r="BX380" s="284">
        <v>825</v>
      </c>
      <c r="BY380" s="3620">
        <f>VLOOKUP(BY371,BX343:CI369,7,0)</f>
        <v>19.02</v>
      </c>
      <c r="BZ380" s="3620">
        <f t="shared" si="291"/>
        <v>27.18</v>
      </c>
      <c r="CA380" s="284">
        <v>950</v>
      </c>
      <c r="CB380" s="2250"/>
      <c r="CC380" s="2250"/>
      <c r="CD380" s="2250"/>
      <c r="CE380" s="2250"/>
      <c r="CF380" s="2250"/>
      <c r="CG380" s="2250"/>
      <c r="CH380" s="2250"/>
      <c r="CI380" s="2250"/>
      <c r="CJ380" s="2250"/>
      <c r="CK380" s="2250"/>
      <c r="CL380" s="284">
        <v>825</v>
      </c>
      <c r="CM380" s="3620">
        <f>VLOOKUP(CM371,CL343:CW369,7,0)</f>
        <v>13.73</v>
      </c>
      <c r="CN380" s="3620">
        <f t="shared" si="292"/>
        <v>19.399999999999999</v>
      </c>
      <c r="CO380" s="284">
        <v>950</v>
      </c>
      <c r="CP380" s="2250"/>
      <c r="CQ380" s="2250"/>
      <c r="CR380" s="2250"/>
      <c r="CS380" s="2250"/>
      <c r="CT380" s="2250"/>
      <c r="CU380" s="2250"/>
      <c r="CV380" s="2250"/>
      <c r="CW380" s="2250"/>
      <c r="CX380" s="2250"/>
      <c r="CY380" s="2250"/>
      <c r="CZ380" s="284">
        <v>825</v>
      </c>
      <c r="DA380" s="3620">
        <f>VLOOKUP(DA371,CZ343:DK369,7,0)</f>
        <v>10.38</v>
      </c>
      <c r="DB380" s="3620">
        <f t="shared" si="293"/>
        <v>14.77</v>
      </c>
      <c r="DC380" s="284">
        <v>950</v>
      </c>
      <c r="DD380" s="2250"/>
      <c r="DE380" s="2250"/>
      <c r="DF380" s="2250"/>
      <c r="DG380" s="2250"/>
      <c r="DH380" s="2250"/>
      <c r="DI380" s="2250"/>
      <c r="DJ380" s="2250"/>
      <c r="DK380" s="2250"/>
      <c r="DL380" s="2250"/>
      <c r="DM380" s="2250"/>
      <c r="DN380" s="2250"/>
      <c r="DO380" s="53"/>
      <c r="DP380" s="53"/>
      <c r="DY380" s="284">
        <v>825</v>
      </c>
      <c r="DZ380" s="3620">
        <f>VLOOKUP(DZ371,DY343:EJ369,7,0)</f>
        <v>0</v>
      </c>
      <c r="EA380" s="3620">
        <f t="shared" si="294"/>
        <v>0</v>
      </c>
      <c r="EB380" s="284">
        <v>950</v>
      </c>
      <c r="EC380" s="2250"/>
      <c r="ED380" s="2250"/>
      <c r="EE380" s="2250"/>
      <c r="EF380" s="2250"/>
      <c r="EG380" s="2250"/>
      <c r="EH380" s="2250"/>
      <c r="EI380" s="2250"/>
      <c r="EJ380" s="2250"/>
      <c r="EK380" s="2250"/>
      <c r="EL380" s="2250"/>
      <c r="EM380" s="284">
        <v>825</v>
      </c>
      <c r="EN380" s="3620">
        <f>VLOOKUP(EN371,EM343:EX369,7,0)</f>
        <v>30.98</v>
      </c>
      <c r="EO380" s="3620">
        <f t="shared" si="295"/>
        <v>46.63</v>
      </c>
      <c r="EP380" s="284">
        <v>950</v>
      </c>
      <c r="EQ380" s="2250"/>
      <c r="ER380" s="2250"/>
      <c r="ES380" s="2250"/>
      <c r="ET380" s="2250"/>
      <c r="EU380" s="2250"/>
      <c r="EV380" s="2250"/>
      <c r="EW380" s="2250"/>
      <c r="EX380" s="2250"/>
      <c r="EY380" s="2250"/>
      <c r="EZ380" s="2250"/>
      <c r="FA380" s="284">
        <v>825</v>
      </c>
      <c r="FB380" s="3620">
        <f>VLOOKUP(FB371,FA343:FL369,7,0)</f>
        <v>22.47</v>
      </c>
      <c r="FC380" s="3620">
        <f t="shared" si="296"/>
        <v>33.67</v>
      </c>
      <c r="FD380" s="284">
        <v>950</v>
      </c>
      <c r="FE380" s="2250"/>
      <c r="FF380" s="2250"/>
      <c r="FG380" s="2250"/>
      <c r="FH380" s="2250"/>
      <c r="FI380" s="2250"/>
      <c r="FJ380" s="2250"/>
      <c r="FK380" s="2250"/>
      <c r="FL380" s="2250"/>
      <c r="FM380" s="2250"/>
      <c r="FN380" s="2250"/>
      <c r="FO380" s="284">
        <v>825</v>
      </c>
      <c r="FP380" s="3620">
        <f>VLOOKUP(FP371,FO343:FZ369,7,0)</f>
        <v>17.079999999999998</v>
      </c>
      <c r="FQ380" s="3620">
        <f t="shared" si="297"/>
        <v>25.46</v>
      </c>
      <c r="FR380" s="284">
        <v>950</v>
      </c>
      <c r="FS380" s="2250"/>
      <c r="FT380" s="2250"/>
      <c r="FU380" s="2250"/>
      <c r="FV380" s="2250"/>
      <c r="FW380" s="2250"/>
      <c r="FX380" s="2250"/>
      <c r="FY380" s="2250"/>
      <c r="FZ380" s="2250"/>
      <c r="GA380" s="2250"/>
      <c r="GB380" s="2250"/>
      <c r="GC380" s="2276"/>
      <c r="GD380" s="2276"/>
      <c r="GE380" s="2250"/>
      <c r="GF380" s="2275"/>
      <c r="GG380" s="284">
        <v>825</v>
      </c>
      <c r="GH380" s="3620">
        <f>VLOOKUP(GH371,GG343:GR369,7,0)</f>
        <v>0</v>
      </c>
      <c r="GI380" s="3620">
        <f t="shared" si="298"/>
        <v>0</v>
      </c>
      <c r="GJ380" s="284">
        <v>950</v>
      </c>
      <c r="GK380" s="2250"/>
      <c r="GL380" s="2250"/>
      <c r="GM380" s="2250"/>
      <c r="GN380" s="2250"/>
      <c r="GO380" s="2250"/>
      <c r="GP380" s="2250"/>
      <c r="GQ380" s="2250"/>
      <c r="GR380" s="2250"/>
      <c r="GS380" s="2250"/>
      <c r="GT380" s="2250"/>
      <c r="GU380" s="284">
        <v>825</v>
      </c>
      <c r="GV380" s="3620">
        <f>VLOOKUP(GV371,GU343:HF369,7,0)</f>
        <v>29.39</v>
      </c>
      <c r="GW380" s="3620">
        <f t="shared" si="299"/>
        <v>42.82</v>
      </c>
      <c r="GX380" s="284">
        <v>950</v>
      </c>
      <c r="GY380" s="2250"/>
      <c r="GZ380" s="2250"/>
      <c r="HA380" s="2250"/>
      <c r="HB380" s="2250"/>
      <c r="HC380" s="2250"/>
      <c r="HD380" s="2250"/>
      <c r="HE380" s="2250"/>
      <c r="HF380" s="2250"/>
      <c r="HG380" s="2250"/>
      <c r="HH380" s="2250"/>
      <c r="HI380" s="284">
        <v>825</v>
      </c>
      <c r="HJ380" s="3620">
        <f>VLOOKUP(HJ371,HI343:HT369,7,0)</f>
        <v>21.2</v>
      </c>
      <c r="HK380" s="3620">
        <f t="shared" si="300"/>
        <v>30.8</v>
      </c>
      <c r="HL380" s="284">
        <v>950</v>
      </c>
      <c r="HM380" s="2250"/>
      <c r="HN380" s="2250"/>
      <c r="HO380" s="2250"/>
      <c r="HP380" s="2250"/>
      <c r="HQ380" s="2250"/>
      <c r="HR380" s="2250"/>
      <c r="HS380" s="2250"/>
      <c r="HT380" s="2250"/>
      <c r="HU380" s="2250"/>
      <c r="HV380" s="2250"/>
      <c r="HW380" s="284">
        <v>825</v>
      </c>
      <c r="HX380" s="3620">
        <f>VLOOKUP(HX371,HW343:IH369,7,0)</f>
        <v>16.079999999999998</v>
      </c>
      <c r="HY380" s="3620">
        <f t="shared" si="301"/>
        <v>23.38</v>
      </c>
      <c r="HZ380" s="284">
        <v>950</v>
      </c>
      <c r="IA380" s="2250"/>
      <c r="IB380" s="2250"/>
      <c r="IC380" s="2250"/>
      <c r="ID380" s="2250"/>
      <c r="IE380" s="2250"/>
      <c r="IF380" s="2250"/>
      <c r="IG380" s="2250"/>
      <c r="IH380" s="2250"/>
      <c r="II380" s="2250"/>
      <c r="IJ380" s="2250"/>
      <c r="IK380" s="2250"/>
      <c r="IL380" s="53"/>
      <c r="IM380" s="53"/>
    </row>
    <row r="381" spans="2:247" ht="21.95" customHeight="1">
      <c r="B381" s="284">
        <v>950</v>
      </c>
      <c r="C381" s="3620">
        <f>VLOOKUP(C371,B343:M369,8,0)</f>
        <v>0</v>
      </c>
      <c r="D381" s="3620">
        <f t="shared" si="286"/>
        <v>0</v>
      </c>
      <c r="E381" s="284">
        <v>1100</v>
      </c>
      <c r="F381" s="2250"/>
      <c r="G381" s="2250"/>
      <c r="H381" s="2250"/>
      <c r="I381" s="2250"/>
      <c r="J381" s="2250"/>
      <c r="K381" s="2250"/>
      <c r="L381" s="2250"/>
      <c r="M381" s="2250"/>
      <c r="N381" s="2250"/>
      <c r="O381" s="2250"/>
      <c r="P381" s="284">
        <v>950</v>
      </c>
      <c r="Q381" s="3620">
        <f>VLOOKUP(Q371,P343:AA369,8,0)</f>
        <v>30.12</v>
      </c>
      <c r="R381" s="3620">
        <f t="shared" si="287"/>
        <v>40.43</v>
      </c>
      <c r="S381" s="284">
        <v>1100</v>
      </c>
      <c r="T381" s="2250"/>
      <c r="U381" s="2250"/>
      <c r="V381" s="2250"/>
      <c r="W381" s="2250"/>
      <c r="X381" s="2250"/>
      <c r="Y381" s="2250"/>
      <c r="Z381" s="2250"/>
      <c r="AA381" s="2250"/>
      <c r="AB381" s="2250"/>
      <c r="AC381" s="2250"/>
      <c r="AD381" s="284">
        <v>950</v>
      </c>
      <c r="AE381" s="3620">
        <f>VLOOKUP(AE371,AD343:AO369,8,0)</f>
        <v>21.47</v>
      </c>
      <c r="AF381" s="3620">
        <f t="shared" si="288"/>
        <v>28.87</v>
      </c>
      <c r="AG381" s="284">
        <v>1100</v>
      </c>
      <c r="AH381" s="2250"/>
      <c r="AI381" s="2250"/>
      <c r="AJ381" s="2250"/>
      <c r="AK381" s="2250"/>
      <c r="AL381" s="2250"/>
      <c r="AM381" s="2250"/>
      <c r="AN381" s="2250"/>
      <c r="AO381" s="2250"/>
      <c r="AP381" s="2250"/>
      <c r="AQ381" s="2250"/>
      <c r="AR381" s="284">
        <v>950</v>
      </c>
      <c r="AS381" s="3620">
        <f>VLOOKUP(AS371,AR343:BC369,8,0)</f>
        <v>16.38</v>
      </c>
      <c r="AT381" s="3620">
        <f t="shared" si="289"/>
        <v>22</v>
      </c>
      <c r="AU381" s="284">
        <v>1100</v>
      </c>
      <c r="AV381" s="2250"/>
      <c r="AW381" s="2250"/>
      <c r="AX381" s="2250"/>
      <c r="AY381" s="2250"/>
      <c r="AZ381" s="2250"/>
      <c r="BA381" s="2250"/>
      <c r="BB381" s="2250"/>
      <c r="BC381" s="2250"/>
      <c r="BD381" s="2250"/>
      <c r="BE381" s="2250"/>
      <c r="BF381" s="2276"/>
      <c r="BG381" s="2276"/>
      <c r="BH381" s="2250"/>
      <c r="BI381" s="2275"/>
      <c r="BJ381" s="284">
        <v>950</v>
      </c>
      <c r="BK381" s="3620">
        <f>VLOOKUP(BK371,BJ343:BU369,8,0)</f>
        <v>0</v>
      </c>
      <c r="BL381" s="3620">
        <f t="shared" si="290"/>
        <v>0</v>
      </c>
      <c r="BM381" s="284">
        <v>1100</v>
      </c>
      <c r="BN381" s="2250"/>
      <c r="BO381" s="2250"/>
      <c r="BP381" s="2250"/>
      <c r="BQ381" s="2250"/>
      <c r="BR381" s="2250"/>
      <c r="BS381" s="2250"/>
      <c r="BT381" s="2250"/>
      <c r="BU381" s="2250"/>
      <c r="BV381" s="2250"/>
      <c r="BW381" s="2250"/>
      <c r="BX381" s="284">
        <v>950</v>
      </c>
      <c r="BY381" s="3620">
        <f>VLOOKUP(BY371,BX343:CI369,8,0)</f>
        <v>27.18</v>
      </c>
      <c r="BZ381" s="3620">
        <f t="shared" si="291"/>
        <v>36.5</v>
      </c>
      <c r="CA381" s="284">
        <v>1100</v>
      </c>
      <c r="CB381" s="2250"/>
      <c r="CC381" s="2250"/>
      <c r="CD381" s="2250"/>
      <c r="CE381" s="2250"/>
      <c r="CF381" s="2250"/>
      <c r="CG381" s="2250"/>
      <c r="CH381" s="2250"/>
      <c r="CI381" s="2250"/>
      <c r="CJ381" s="2250"/>
      <c r="CK381" s="2250"/>
      <c r="CL381" s="284">
        <v>950</v>
      </c>
      <c r="CM381" s="3620">
        <f>VLOOKUP(CM371,CL343:CW369,8,0)</f>
        <v>19.399999999999999</v>
      </c>
      <c r="CN381" s="3620">
        <f t="shared" si="292"/>
        <v>26.07</v>
      </c>
      <c r="CO381" s="284">
        <v>1100</v>
      </c>
      <c r="CP381" s="2250"/>
      <c r="CQ381" s="2250"/>
      <c r="CR381" s="2250"/>
      <c r="CS381" s="2250"/>
      <c r="CT381" s="2250"/>
      <c r="CU381" s="2250"/>
      <c r="CV381" s="2250"/>
      <c r="CW381" s="2250"/>
      <c r="CX381" s="2250"/>
      <c r="CY381" s="2250"/>
      <c r="CZ381" s="284">
        <v>950</v>
      </c>
      <c r="DA381" s="3620">
        <f>VLOOKUP(DA371,CZ343:DK369,8,0)</f>
        <v>14.77</v>
      </c>
      <c r="DB381" s="3620">
        <f t="shared" si="293"/>
        <v>19.850000000000001</v>
      </c>
      <c r="DC381" s="284">
        <v>1100</v>
      </c>
      <c r="DD381" s="2250"/>
      <c r="DE381" s="2250"/>
      <c r="DF381" s="2250"/>
      <c r="DG381" s="2250"/>
      <c r="DH381" s="2250"/>
      <c r="DI381" s="2250"/>
      <c r="DJ381" s="2250"/>
      <c r="DK381" s="2250"/>
      <c r="DL381" s="2250"/>
      <c r="DM381" s="2250"/>
      <c r="DN381" s="2250"/>
      <c r="DO381" s="53"/>
      <c r="DP381" s="53"/>
      <c r="DY381" s="284">
        <v>950</v>
      </c>
      <c r="DZ381" s="3620">
        <f>VLOOKUP(DZ371,DY343:EJ369,8,0)</f>
        <v>0</v>
      </c>
      <c r="EA381" s="3620">
        <f t="shared" si="294"/>
        <v>0</v>
      </c>
      <c r="EB381" s="284">
        <v>1100</v>
      </c>
      <c r="EC381" s="2250"/>
      <c r="ED381" s="2250"/>
      <c r="EE381" s="2250"/>
      <c r="EF381" s="2250"/>
      <c r="EG381" s="2250"/>
      <c r="EH381" s="2250"/>
      <c r="EI381" s="2250"/>
      <c r="EJ381" s="2250"/>
      <c r="EK381" s="2250"/>
      <c r="EL381" s="2250"/>
      <c r="EM381" s="284">
        <v>950</v>
      </c>
      <c r="EN381" s="3620">
        <f>VLOOKUP(EN371,EM343:EX369,8,0)</f>
        <v>46.63</v>
      </c>
      <c r="EO381" s="3620">
        <f t="shared" si="295"/>
        <v>62.88</v>
      </c>
      <c r="EP381" s="284">
        <v>1100</v>
      </c>
      <c r="EQ381" s="2250"/>
      <c r="ER381" s="2250"/>
      <c r="ES381" s="2250"/>
      <c r="ET381" s="2250"/>
      <c r="EU381" s="2250"/>
      <c r="EV381" s="2250"/>
      <c r="EW381" s="2250"/>
      <c r="EX381" s="2250"/>
      <c r="EY381" s="2250"/>
      <c r="EZ381" s="2250"/>
      <c r="FA381" s="284">
        <v>950</v>
      </c>
      <c r="FB381" s="3620">
        <f>VLOOKUP(FB371,FA343:FL369,8,0)</f>
        <v>33.67</v>
      </c>
      <c r="FC381" s="3620">
        <f t="shared" si="296"/>
        <v>45.2</v>
      </c>
      <c r="FD381" s="284">
        <v>1100</v>
      </c>
      <c r="FE381" s="2250"/>
      <c r="FF381" s="2250"/>
      <c r="FG381" s="2250"/>
      <c r="FH381" s="2250"/>
      <c r="FI381" s="2250"/>
      <c r="FJ381" s="2250"/>
      <c r="FK381" s="2250"/>
      <c r="FL381" s="2250"/>
      <c r="FM381" s="2250"/>
      <c r="FN381" s="2250"/>
      <c r="FO381" s="284">
        <v>950</v>
      </c>
      <c r="FP381" s="3620">
        <f>VLOOKUP(FP371,FO343:FZ369,8,0)</f>
        <v>25.46</v>
      </c>
      <c r="FQ381" s="3620">
        <f t="shared" si="297"/>
        <v>34.380000000000003</v>
      </c>
      <c r="FR381" s="284">
        <v>1100</v>
      </c>
      <c r="FS381" s="2250"/>
      <c r="FT381" s="2250"/>
      <c r="FU381" s="2250"/>
      <c r="FV381" s="2250"/>
      <c r="FW381" s="2250"/>
      <c r="FX381" s="2250"/>
      <c r="FY381" s="2250"/>
      <c r="FZ381" s="2250"/>
      <c r="GA381" s="2250"/>
      <c r="GB381" s="2250"/>
      <c r="GC381" s="2276"/>
      <c r="GD381" s="2276"/>
      <c r="GE381" s="2250"/>
      <c r="GF381" s="2275"/>
      <c r="GG381" s="284">
        <v>950</v>
      </c>
      <c r="GH381" s="3620">
        <f>VLOOKUP(GH371,GG343:GR369,8,0)</f>
        <v>0</v>
      </c>
      <c r="GI381" s="3620">
        <f t="shared" si="298"/>
        <v>0</v>
      </c>
      <c r="GJ381" s="284">
        <v>1100</v>
      </c>
      <c r="GK381" s="2250"/>
      <c r="GL381" s="2250"/>
      <c r="GM381" s="2250"/>
      <c r="GN381" s="2250"/>
      <c r="GO381" s="2250"/>
      <c r="GP381" s="2250"/>
      <c r="GQ381" s="2250"/>
      <c r="GR381" s="2250"/>
      <c r="GS381" s="2250"/>
      <c r="GT381" s="2250"/>
      <c r="GU381" s="284">
        <v>950</v>
      </c>
      <c r="GV381" s="3620">
        <f>VLOOKUP(GV371,GU343:HF369,8,0)</f>
        <v>42.82</v>
      </c>
      <c r="GW381" s="3620">
        <f t="shared" si="299"/>
        <v>59.39</v>
      </c>
      <c r="GX381" s="284">
        <v>1100</v>
      </c>
      <c r="GY381" s="2250"/>
      <c r="GZ381" s="2250"/>
      <c r="HA381" s="2250"/>
      <c r="HB381" s="2250"/>
      <c r="HC381" s="2250"/>
      <c r="HD381" s="2250"/>
      <c r="HE381" s="2250"/>
      <c r="HF381" s="2250"/>
      <c r="HG381" s="2250"/>
      <c r="HH381" s="2250"/>
      <c r="HI381" s="284">
        <v>950</v>
      </c>
      <c r="HJ381" s="3620">
        <f>VLOOKUP(HJ371,HI343:HT369,8,0)</f>
        <v>30.8</v>
      </c>
      <c r="HK381" s="3620">
        <f t="shared" si="300"/>
        <v>42.53</v>
      </c>
      <c r="HL381" s="284">
        <v>1100</v>
      </c>
      <c r="HM381" s="2250"/>
      <c r="HN381" s="2250"/>
      <c r="HO381" s="2250"/>
      <c r="HP381" s="2250"/>
      <c r="HQ381" s="2250"/>
      <c r="HR381" s="2250"/>
      <c r="HS381" s="2250"/>
      <c r="HT381" s="2250"/>
      <c r="HU381" s="2250"/>
      <c r="HV381" s="2250"/>
      <c r="HW381" s="284">
        <v>950</v>
      </c>
      <c r="HX381" s="3620">
        <f>VLOOKUP(HX371,HW343:IH369,8,0)</f>
        <v>23.38</v>
      </c>
      <c r="HY381" s="3620">
        <f t="shared" si="301"/>
        <v>32.380000000000003</v>
      </c>
      <c r="HZ381" s="284">
        <v>1100</v>
      </c>
      <c r="IA381" s="2250"/>
      <c r="IB381" s="2250"/>
      <c r="IC381" s="2250"/>
      <c r="ID381" s="2250"/>
      <c r="IE381" s="2250"/>
      <c r="IF381" s="2250"/>
      <c r="IG381" s="2250"/>
      <c r="IH381" s="2250"/>
      <c r="II381" s="2250"/>
      <c r="IJ381" s="2250"/>
      <c r="IK381" s="2250"/>
      <c r="IL381" s="53"/>
      <c r="IM381" s="53"/>
    </row>
    <row r="382" spans="2:247" ht="21.95" customHeight="1">
      <c r="B382" s="284">
        <v>1100</v>
      </c>
      <c r="C382" s="3620">
        <f>VLOOKUP(C371,B343:M369,9,0)</f>
        <v>0</v>
      </c>
      <c r="D382" s="3620">
        <f t="shared" si="286"/>
        <v>0</v>
      </c>
      <c r="E382" s="284">
        <v>1250</v>
      </c>
      <c r="F382" s="2250"/>
      <c r="G382" s="2250"/>
      <c r="H382" s="2250"/>
      <c r="I382" s="2250"/>
      <c r="J382" s="2250"/>
      <c r="K382" s="2250"/>
      <c r="L382" s="2250"/>
      <c r="M382" s="2250"/>
      <c r="N382" s="2250"/>
      <c r="O382" s="2250"/>
      <c r="P382" s="284">
        <v>1100</v>
      </c>
      <c r="Q382" s="3620">
        <f>VLOOKUP(Q371,P343:AA369,9,0)</f>
        <v>40.43</v>
      </c>
      <c r="R382" s="3620">
        <f t="shared" si="287"/>
        <v>58.34</v>
      </c>
      <c r="S382" s="284">
        <v>1250</v>
      </c>
      <c r="T382" s="2250"/>
      <c r="U382" s="2250"/>
      <c r="V382" s="2250"/>
      <c r="W382" s="2250"/>
      <c r="X382" s="2250"/>
      <c r="Y382" s="2250"/>
      <c r="Z382" s="2250"/>
      <c r="AA382" s="2250"/>
      <c r="AB382" s="2250"/>
      <c r="AC382" s="2250"/>
      <c r="AD382" s="284">
        <v>1100</v>
      </c>
      <c r="AE382" s="3620">
        <f>VLOOKUP(AE371,AD343:AO369,9,0)</f>
        <v>28.87</v>
      </c>
      <c r="AF382" s="3620">
        <f t="shared" si="288"/>
        <v>42.4</v>
      </c>
      <c r="AG382" s="284">
        <v>1250</v>
      </c>
      <c r="AH382" s="2250"/>
      <c r="AI382" s="2250"/>
      <c r="AJ382" s="2250"/>
      <c r="AK382" s="2250"/>
      <c r="AL382" s="2250"/>
      <c r="AM382" s="2250"/>
      <c r="AN382" s="2250"/>
      <c r="AO382" s="2250"/>
      <c r="AP382" s="2250"/>
      <c r="AQ382" s="2250"/>
      <c r="AR382" s="284">
        <v>1100</v>
      </c>
      <c r="AS382" s="3620">
        <f>VLOOKUP(AS371,AR343:BC369,9,0)</f>
        <v>22</v>
      </c>
      <c r="AT382" s="3620">
        <f t="shared" si="289"/>
        <v>32.31</v>
      </c>
      <c r="AU382" s="284">
        <v>1250</v>
      </c>
      <c r="AV382" s="2250"/>
      <c r="AW382" s="2250"/>
      <c r="AX382" s="2250"/>
      <c r="AY382" s="2250"/>
      <c r="AZ382" s="2250"/>
      <c r="BA382" s="2250"/>
      <c r="BB382" s="2250"/>
      <c r="BC382" s="2250"/>
      <c r="BD382" s="2250"/>
      <c r="BE382" s="2250"/>
      <c r="BF382" s="2276"/>
      <c r="BG382" s="2276"/>
      <c r="BH382" s="2250"/>
      <c r="BI382" s="2275"/>
      <c r="BJ382" s="284">
        <v>1100</v>
      </c>
      <c r="BK382" s="3620">
        <f>VLOOKUP(BK371,BJ343:BU369,9,0)</f>
        <v>0</v>
      </c>
      <c r="BL382" s="3620">
        <f t="shared" si="290"/>
        <v>0</v>
      </c>
      <c r="BM382" s="284">
        <v>1250</v>
      </c>
      <c r="BN382" s="2250"/>
      <c r="BO382" s="2250"/>
      <c r="BP382" s="2250"/>
      <c r="BQ382" s="2250"/>
      <c r="BR382" s="2250"/>
      <c r="BS382" s="2250"/>
      <c r="BT382" s="2250"/>
      <c r="BU382" s="2250"/>
      <c r="BV382" s="2250"/>
      <c r="BW382" s="2250"/>
      <c r="BX382" s="284">
        <v>1100</v>
      </c>
      <c r="BY382" s="3620">
        <f>VLOOKUP(BY371,BX343:CI369,9,0)</f>
        <v>36.5</v>
      </c>
      <c r="BZ382" s="3620">
        <f t="shared" si="291"/>
        <v>53.62</v>
      </c>
      <c r="CA382" s="284">
        <v>1250</v>
      </c>
      <c r="CB382" s="2250"/>
      <c r="CC382" s="2250"/>
      <c r="CD382" s="2250"/>
      <c r="CE382" s="2250"/>
      <c r="CF382" s="2250"/>
      <c r="CG382" s="2250"/>
      <c r="CH382" s="2250"/>
      <c r="CI382" s="2250"/>
      <c r="CJ382" s="2250"/>
      <c r="CK382" s="2250"/>
      <c r="CL382" s="284">
        <v>1100</v>
      </c>
      <c r="CM382" s="3620">
        <f>VLOOKUP(CM371,CL343:CW369,9,0)</f>
        <v>26.07</v>
      </c>
      <c r="CN382" s="3620">
        <f t="shared" si="292"/>
        <v>38.270000000000003</v>
      </c>
      <c r="CO382" s="284">
        <v>1250</v>
      </c>
      <c r="CP382" s="2250"/>
      <c r="CQ382" s="2250"/>
      <c r="CR382" s="2250"/>
      <c r="CS382" s="2250"/>
      <c r="CT382" s="2250"/>
      <c r="CU382" s="2250"/>
      <c r="CV382" s="2250"/>
      <c r="CW382" s="2250"/>
      <c r="CX382" s="2250"/>
      <c r="CY382" s="2250"/>
      <c r="CZ382" s="284">
        <v>1100</v>
      </c>
      <c r="DA382" s="3620">
        <f>VLOOKUP(DA371,CZ343:DK369,9,0)</f>
        <v>19.850000000000001</v>
      </c>
      <c r="DB382" s="3620">
        <f t="shared" si="293"/>
        <v>29.23</v>
      </c>
      <c r="DC382" s="284">
        <v>1250</v>
      </c>
      <c r="DD382" s="2250"/>
      <c r="DE382" s="2250"/>
      <c r="DF382" s="2250"/>
      <c r="DG382" s="2250"/>
      <c r="DH382" s="2250"/>
      <c r="DI382" s="2250"/>
      <c r="DJ382" s="2250"/>
      <c r="DK382" s="2250"/>
      <c r="DL382" s="2250"/>
      <c r="DM382" s="2250"/>
      <c r="DN382" s="2250"/>
      <c r="DO382" s="53"/>
      <c r="DP382" s="53"/>
      <c r="DY382" s="284">
        <v>1100</v>
      </c>
      <c r="DZ382" s="3620">
        <f>VLOOKUP(DZ371,DY343:EJ369,9,0)</f>
        <v>0</v>
      </c>
      <c r="EA382" s="3620">
        <f t="shared" si="294"/>
        <v>0</v>
      </c>
      <c r="EB382" s="284">
        <v>1250</v>
      </c>
      <c r="EC382" s="2250"/>
      <c r="ED382" s="2250"/>
      <c r="EE382" s="2250"/>
      <c r="EF382" s="2250"/>
      <c r="EG382" s="2250"/>
      <c r="EH382" s="2250"/>
      <c r="EI382" s="2250"/>
      <c r="EJ382" s="2250"/>
      <c r="EK382" s="2250"/>
      <c r="EL382" s="2250"/>
      <c r="EM382" s="284">
        <v>1100</v>
      </c>
      <c r="EN382" s="3620">
        <f>VLOOKUP(EN371,EM343:EX369,9,0)</f>
        <v>62.88</v>
      </c>
      <c r="EO382" s="3620">
        <f t="shared" si="295"/>
        <v>87.48</v>
      </c>
      <c r="EP382" s="284">
        <v>1250</v>
      </c>
      <c r="EQ382" s="2250"/>
      <c r="ER382" s="2250"/>
      <c r="ES382" s="2250"/>
      <c r="ET382" s="2250"/>
      <c r="EU382" s="2250"/>
      <c r="EV382" s="2250"/>
      <c r="EW382" s="2250"/>
      <c r="EX382" s="2250"/>
      <c r="EY382" s="2250"/>
      <c r="EZ382" s="2250"/>
      <c r="FA382" s="284">
        <v>1100</v>
      </c>
      <c r="FB382" s="3620">
        <f>VLOOKUP(FB371,FA343:FL369,9,0)</f>
        <v>45.2</v>
      </c>
      <c r="FC382" s="3620">
        <f t="shared" si="296"/>
        <v>63.73</v>
      </c>
      <c r="FD382" s="284">
        <v>1250</v>
      </c>
      <c r="FE382" s="2250"/>
      <c r="FF382" s="2250"/>
      <c r="FG382" s="2250"/>
      <c r="FH382" s="2250"/>
      <c r="FI382" s="2250"/>
      <c r="FJ382" s="2250"/>
      <c r="FK382" s="2250"/>
      <c r="FL382" s="2250"/>
      <c r="FM382" s="2250"/>
      <c r="FN382" s="2250"/>
      <c r="FO382" s="284">
        <v>1100</v>
      </c>
      <c r="FP382" s="3620">
        <f>VLOOKUP(FP371,FO343:FZ369,9,0)</f>
        <v>34.380000000000003</v>
      </c>
      <c r="FQ382" s="3620">
        <f t="shared" si="297"/>
        <v>48</v>
      </c>
      <c r="FR382" s="284">
        <v>1250</v>
      </c>
      <c r="FS382" s="2250"/>
      <c r="FT382" s="2250"/>
      <c r="FU382" s="2250"/>
      <c r="FV382" s="2250"/>
      <c r="FW382" s="2250"/>
      <c r="FX382" s="2250"/>
      <c r="FY382" s="2250"/>
      <c r="FZ382" s="2250"/>
      <c r="GA382" s="2250"/>
      <c r="GB382" s="2250"/>
      <c r="GC382" s="2276"/>
      <c r="GD382" s="2276"/>
      <c r="GE382" s="2250"/>
      <c r="GF382" s="2275"/>
      <c r="GG382" s="284">
        <v>1100</v>
      </c>
      <c r="GH382" s="3620">
        <f>VLOOKUP(GH371,GG343:GR369,9,0)</f>
        <v>0</v>
      </c>
      <c r="GI382" s="3620">
        <f t="shared" si="298"/>
        <v>0</v>
      </c>
      <c r="GJ382" s="284">
        <v>1250</v>
      </c>
      <c r="GK382" s="2250"/>
      <c r="GL382" s="2250"/>
      <c r="GM382" s="2250"/>
      <c r="GN382" s="2250"/>
      <c r="GO382" s="2250"/>
      <c r="GP382" s="2250"/>
      <c r="GQ382" s="2250"/>
      <c r="GR382" s="2250"/>
      <c r="GS382" s="2250"/>
      <c r="GT382" s="2250"/>
      <c r="GU382" s="284">
        <v>1100</v>
      </c>
      <c r="GV382" s="3620">
        <f>VLOOKUP(GV371,GU343:HF369,9,0)</f>
        <v>59.39</v>
      </c>
      <c r="GW382" s="3620">
        <f t="shared" si="299"/>
        <v>82.15</v>
      </c>
      <c r="GX382" s="284">
        <v>1250</v>
      </c>
      <c r="GY382" s="2250"/>
      <c r="GZ382" s="2250"/>
      <c r="HA382" s="2250"/>
      <c r="HB382" s="2250"/>
      <c r="HC382" s="2250"/>
      <c r="HD382" s="2250"/>
      <c r="HE382" s="2250"/>
      <c r="HF382" s="2250"/>
      <c r="HG382" s="2250"/>
      <c r="HH382" s="2250"/>
      <c r="HI382" s="284">
        <v>1100</v>
      </c>
      <c r="HJ382" s="3620">
        <f>VLOOKUP(HJ371,HI343:HT369,9,0)</f>
        <v>42.53</v>
      </c>
      <c r="HK382" s="3620">
        <f t="shared" si="300"/>
        <v>62.53</v>
      </c>
      <c r="HL382" s="284">
        <v>1250</v>
      </c>
      <c r="HM382" s="2250"/>
      <c r="HN382" s="2250"/>
      <c r="HO382" s="2250"/>
      <c r="HP382" s="2250"/>
      <c r="HQ382" s="2250"/>
      <c r="HR382" s="2250"/>
      <c r="HS382" s="2250"/>
      <c r="HT382" s="2250"/>
      <c r="HU382" s="2250"/>
      <c r="HV382" s="2250"/>
      <c r="HW382" s="284">
        <v>1100</v>
      </c>
      <c r="HX382" s="3620">
        <f>VLOOKUP(HX371,HW343:IH369,9,0)</f>
        <v>32.380000000000003</v>
      </c>
      <c r="HY382" s="3620">
        <f t="shared" si="301"/>
        <v>47.54</v>
      </c>
      <c r="HZ382" s="284">
        <v>1250</v>
      </c>
      <c r="IA382" s="2250"/>
      <c r="IB382" s="2250"/>
      <c r="IC382" s="2250"/>
      <c r="ID382" s="2250"/>
      <c r="IE382" s="2250"/>
      <c r="IF382" s="2250"/>
      <c r="IG382" s="2250"/>
      <c r="IH382" s="2250"/>
      <c r="II382" s="2250"/>
      <c r="IJ382" s="2250"/>
      <c r="IK382" s="2250"/>
      <c r="IL382" s="53"/>
      <c r="IM382" s="53"/>
    </row>
    <row r="383" spans="2:247" ht="21.95" customHeight="1">
      <c r="B383" s="284">
        <v>1250</v>
      </c>
      <c r="C383" s="3620">
        <f>VLOOKUP(C371,B343:M369,10,0)</f>
        <v>0</v>
      </c>
      <c r="D383" s="3620">
        <f t="shared" si="286"/>
        <v>0</v>
      </c>
      <c r="E383" s="284">
        <v>1450</v>
      </c>
      <c r="F383" s="2250"/>
      <c r="G383" s="2250"/>
      <c r="H383" s="2250"/>
      <c r="I383" s="2250"/>
      <c r="J383" s="2250"/>
      <c r="K383" s="2250"/>
      <c r="L383" s="2250"/>
      <c r="M383" s="2250"/>
      <c r="N383" s="2250"/>
      <c r="O383" s="2250"/>
      <c r="P383" s="284">
        <v>1250</v>
      </c>
      <c r="Q383" s="3620">
        <f>VLOOKUP(Q371,P343:AA369,10,0)</f>
        <v>58.34</v>
      </c>
      <c r="R383" s="3620">
        <f t="shared" si="287"/>
        <v>91.47</v>
      </c>
      <c r="S383" s="284">
        <v>1450</v>
      </c>
      <c r="T383" s="2250"/>
      <c r="U383" s="2250"/>
      <c r="V383" s="2250"/>
      <c r="W383" s="2250"/>
      <c r="X383" s="2250"/>
      <c r="Y383" s="2250"/>
      <c r="Z383" s="2250"/>
      <c r="AA383" s="2250"/>
      <c r="AB383" s="2250"/>
      <c r="AC383" s="2250"/>
      <c r="AD383" s="284">
        <v>1250</v>
      </c>
      <c r="AE383" s="3620">
        <f>VLOOKUP(AE371,AD343:AO369,10,0)</f>
        <v>42.4</v>
      </c>
      <c r="AF383" s="3620">
        <f t="shared" si="288"/>
        <v>65.27</v>
      </c>
      <c r="AG383" s="284">
        <v>1450</v>
      </c>
      <c r="AH383" s="2250"/>
      <c r="AI383" s="2250"/>
      <c r="AJ383" s="2250"/>
      <c r="AK383" s="2250"/>
      <c r="AL383" s="2250"/>
      <c r="AM383" s="2250"/>
      <c r="AN383" s="2250"/>
      <c r="AO383" s="2250"/>
      <c r="AP383" s="2250"/>
      <c r="AQ383" s="2250"/>
      <c r="AR383" s="284">
        <v>1250</v>
      </c>
      <c r="AS383" s="3620">
        <f>VLOOKUP(AS371,AR343:BC369,10,0)</f>
        <v>32.31</v>
      </c>
      <c r="AT383" s="3620">
        <f t="shared" si="289"/>
        <v>49.77</v>
      </c>
      <c r="AU383" s="284">
        <v>1450</v>
      </c>
      <c r="AV383" s="2250"/>
      <c r="AW383" s="2250"/>
      <c r="AX383" s="2250"/>
      <c r="AY383" s="2250"/>
      <c r="AZ383" s="2250"/>
      <c r="BA383" s="2250"/>
      <c r="BB383" s="2250"/>
      <c r="BC383" s="2250"/>
      <c r="BD383" s="2250"/>
      <c r="BE383" s="2250"/>
      <c r="BF383" s="2276"/>
      <c r="BG383" s="2276"/>
      <c r="BH383" s="2250"/>
      <c r="BI383" s="2275"/>
      <c r="BJ383" s="284">
        <v>1250</v>
      </c>
      <c r="BK383" s="3620">
        <f>VLOOKUP(BK371,BJ343:BU369,10,0)</f>
        <v>0</v>
      </c>
      <c r="BL383" s="3620">
        <f t="shared" si="290"/>
        <v>0</v>
      </c>
      <c r="BM383" s="284">
        <v>1450</v>
      </c>
      <c r="BN383" s="2250"/>
      <c r="BO383" s="2250"/>
      <c r="BP383" s="2250"/>
      <c r="BQ383" s="2250"/>
      <c r="BR383" s="2250"/>
      <c r="BS383" s="2250"/>
      <c r="BT383" s="2250"/>
      <c r="BU383" s="2250"/>
      <c r="BV383" s="2250"/>
      <c r="BW383" s="2250"/>
      <c r="BX383" s="284">
        <v>1250</v>
      </c>
      <c r="BY383" s="3620">
        <f>VLOOKUP(BY371,BX343:CI369,10,0)</f>
        <v>53.62</v>
      </c>
      <c r="BZ383" s="3620">
        <f t="shared" si="291"/>
        <v>82.58</v>
      </c>
      <c r="CA383" s="284">
        <v>1450</v>
      </c>
      <c r="CB383" s="2250"/>
      <c r="CC383" s="2250"/>
      <c r="CD383" s="2250"/>
      <c r="CE383" s="2250"/>
      <c r="CF383" s="2250"/>
      <c r="CG383" s="2250"/>
      <c r="CH383" s="2250"/>
      <c r="CI383" s="2250"/>
      <c r="CJ383" s="2250"/>
      <c r="CK383" s="2250"/>
      <c r="CL383" s="284">
        <v>1250</v>
      </c>
      <c r="CM383" s="3620">
        <f>VLOOKUP(CM371,CL343:CW369,10,0)</f>
        <v>38.270000000000003</v>
      </c>
      <c r="CN383" s="3620">
        <f t="shared" si="292"/>
        <v>58.93</v>
      </c>
      <c r="CO383" s="284">
        <v>1450</v>
      </c>
      <c r="CP383" s="2250"/>
      <c r="CQ383" s="2250"/>
      <c r="CR383" s="2250"/>
      <c r="CS383" s="2250"/>
      <c r="CT383" s="2250"/>
      <c r="CU383" s="2250"/>
      <c r="CV383" s="2250"/>
      <c r="CW383" s="2250"/>
      <c r="CX383" s="2250"/>
      <c r="CY383" s="2250"/>
      <c r="CZ383" s="284">
        <v>1250</v>
      </c>
      <c r="DA383" s="3620">
        <f>VLOOKUP(DA371,CZ343:DK369,10,0)</f>
        <v>29.23</v>
      </c>
      <c r="DB383" s="3620">
        <f t="shared" si="293"/>
        <v>45</v>
      </c>
      <c r="DC383" s="284">
        <v>1450</v>
      </c>
      <c r="DD383" s="2250"/>
      <c r="DE383" s="2250"/>
      <c r="DF383" s="2250"/>
      <c r="DG383" s="2250"/>
      <c r="DH383" s="2250"/>
      <c r="DI383" s="2250"/>
      <c r="DJ383" s="2250"/>
      <c r="DK383" s="2250"/>
      <c r="DL383" s="2250"/>
      <c r="DM383" s="2250"/>
      <c r="DN383" s="2250"/>
      <c r="DO383" s="53"/>
      <c r="DP383" s="53"/>
      <c r="DY383" s="284">
        <v>1250</v>
      </c>
      <c r="DZ383" s="3620">
        <f>VLOOKUP(DZ371,DY343:EJ369,10,0)</f>
        <v>0</v>
      </c>
      <c r="EA383" s="3620">
        <f t="shared" si="294"/>
        <v>0</v>
      </c>
      <c r="EB383" s="284">
        <v>1450</v>
      </c>
      <c r="EC383" s="2250"/>
      <c r="ED383" s="2250"/>
      <c r="EE383" s="2250"/>
      <c r="EF383" s="2250"/>
      <c r="EG383" s="2250"/>
      <c r="EH383" s="2250"/>
      <c r="EI383" s="2250"/>
      <c r="EJ383" s="2250"/>
      <c r="EK383" s="2250"/>
      <c r="EL383" s="2250"/>
      <c r="EM383" s="284">
        <v>1250</v>
      </c>
      <c r="EN383" s="3620">
        <f>VLOOKUP(EN371,EM343:EX369,10,0)</f>
        <v>87.48</v>
      </c>
      <c r="EO383" s="3620">
        <f t="shared" si="295"/>
        <v>138.9</v>
      </c>
      <c r="EP383" s="284">
        <v>1450</v>
      </c>
      <c r="EQ383" s="2250"/>
      <c r="ER383" s="2250"/>
      <c r="ES383" s="2250"/>
      <c r="ET383" s="2250"/>
      <c r="EU383" s="2250"/>
      <c r="EV383" s="2250"/>
      <c r="EW383" s="2250"/>
      <c r="EX383" s="2250"/>
      <c r="EY383" s="2250"/>
      <c r="EZ383" s="2250"/>
      <c r="FA383" s="284">
        <v>1250</v>
      </c>
      <c r="FB383" s="3620">
        <f>VLOOKUP(FB371,FA343:FL369,10,0)</f>
        <v>63.73</v>
      </c>
      <c r="FC383" s="3620">
        <f t="shared" si="296"/>
        <v>102.2</v>
      </c>
      <c r="FD383" s="284">
        <v>1450</v>
      </c>
      <c r="FE383" s="2250"/>
      <c r="FF383" s="2250"/>
      <c r="FG383" s="2250"/>
      <c r="FH383" s="2250"/>
      <c r="FI383" s="2250"/>
      <c r="FJ383" s="2250"/>
      <c r="FK383" s="2250"/>
      <c r="FL383" s="2250"/>
      <c r="FM383" s="2250"/>
      <c r="FN383" s="2250"/>
      <c r="FO383" s="284">
        <v>1250</v>
      </c>
      <c r="FP383" s="3620">
        <f>VLOOKUP(FP371,FO343:FZ369,10,0)</f>
        <v>48</v>
      </c>
      <c r="FQ383" s="3620">
        <f t="shared" si="297"/>
        <v>77.69</v>
      </c>
      <c r="FR383" s="284">
        <v>1450</v>
      </c>
      <c r="FS383" s="2250"/>
      <c r="FT383" s="2250"/>
      <c r="FU383" s="2250"/>
      <c r="FV383" s="2250"/>
      <c r="FW383" s="2250"/>
      <c r="FX383" s="2250"/>
      <c r="FY383" s="2250"/>
      <c r="FZ383" s="2250"/>
      <c r="GA383" s="2250"/>
      <c r="GB383" s="2250"/>
      <c r="GC383" s="2276"/>
      <c r="GD383" s="2276"/>
      <c r="GE383" s="2250"/>
      <c r="GF383" s="2275"/>
      <c r="GG383" s="284">
        <v>1250</v>
      </c>
      <c r="GH383" s="3620">
        <f>VLOOKUP(GH371,GG343:GR369,10,0)</f>
        <v>0</v>
      </c>
      <c r="GI383" s="3620">
        <f t="shared" si="298"/>
        <v>0</v>
      </c>
      <c r="GJ383" s="284">
        <v>1450</v>
      </c>
      <c r="GK383" s="2250"/>
      <c r="GL383" s="2250"/>
      <c r="GM383" s="2250"/>
      <c r="GN383" s="2250"/>
      <c r="GO383" s="2250"/>
      <c r="GP383" s="2250"/>
      <c r="GQ383" s="2250"/>
      <c r="GR383" s="2250"/>
      <c r="GS383" s="2250"/>
      <c r="GT383" s="2250"/>
      <c r="GU383" s="284">
        <v>1250</v>
      </c>
      <c r="GV383" s="3620">
        <f>VLOOKUP(GV371,GU343:HF369,10,0)</f>
        <v>82.15</v>
      </c>
      <c r="GW383" s="3620">
        <f t="shared" si="299"/>
        <v>130.43</v>
      </c>
      <c r="GX383" s="284">
        <v>1450</v>
      </c>
      <c r="GY383" s="2250"/>
      <c r="GZ383" s="2250"/>
      <c r="HA383" s="2250"/>
      <c r="HB383" s="2250"/>
      <c r="HC383" s="2250"/>
      <c r="HD383" s="2250"/>
      <c r="HE383" s="2250"/>
      <c r="HF383" s="2250"/>
      <c r="HG383" s="2250"/>
      <c r="HH383" s="2250"/>
      <c r="HI383" s="284">
        <v>1250</v>
      </c>
      <c r="HJ383" s="3620">
        <f>VLOOKUP(HJ371,HI343:HT369,10,0)</f>
        <v>62.53</v>
      </c>
      <c r="HK383" s="3620">
        <f t="shared" si="300"/>
        <v>95</v>
      </c>
      <c r="HL383" s="284">
        <v>1450</v>
      </c>
      <c r="HM383" s="2250"/>
      <c r="HN383" s="2250"/>
      <c r="HO383" s="2250"/>
      <c r="HP383" s="2250"/>
      <c r="HQ383" s="2250"/>
      <c r="HR383" s="2250"/>
      <c r="HS383" s="2250"/>
      <c r="HT383" s="2250"/>
      <c r="HU383" s="2250"/>
      <c r="HV383" s="2250"/>
      <c r="HW383" s="284">
        <v>1250</v>
      </c>
      <c r="HX383" s="3620">
        <f>VLOOKUP(HX371,HW343:IH369,10,0)</f>
        <v>47.54</v>
      </c>
      <c r="HY383" s="3620">
        <f t="shared" si="301"/>
        <v>71.62</v>
      </c>
      <c r="HZ383" s="284">
        <v>1450</v>
      </c>
      <c r="IA383" s="2250"/>
      <c r="IB383" s="2250"/>
      <c r="IC383" s="2250"/>
      <c r="ID383" s="2250"/>
      <c r="IE383" s="2250"/>
      <c r="IF383" s="2250"/>
      <c r="IG383" s="2250"/>
      <c r="IH383" s="2250"/>
      <c r="II383" s="2250"/>
      <c r="IJ383" s="2250"/>
      <c r="IK383" s="2250"/>
      <c r="IL383" s="53"/>
      <c r="IM383" s="53"/>
    </row>
    <row r="384" spans="2:247" ht="21.95" customHeight="1">
      <c r="B384" s="284">
        <v>1450</v>
      </c>
      <c r="C384" s="3620">
        <f>VLOOKUP(C371,B343:M369,11,0)</f>
        <v>0</v>
      </c>
      <c r="D384" s="3620">
        <f t="shared" si="286"/>
        <v>0</v>
      </c>
      <c r="E384" s="284">
        <v>1650</v>
      </c>
      <c r="F384" s="2250"/>
      <c r="G384" s="2250"/>
      <c r="H384" s="2250"/>
      <c r="I384" s="2250"/>
      <c r="J384" s="2250"/>
      <c r="K384" s="2250"/>
      <c r="L384" s="2250"/>
      <c r="M384" s="2250"/>
      <c r="N384" s="2250"/>
      <c r="O384" s="2250"/>
      <c r="P384" s="284">
        <v>1450</v>
      </c>
      <c r="Q384" s="3620">
        <f>VLOOKUP(Q371,P343:AA369,11,0)</f>
        <v>91.47</v>
      </c>
      <c r="R384" s="3620">
        <f t="shared" si="287"/>
        <v>132.58000000000001</v>
      </c>
      <c r="S384" s="284">
        <v>1650</v>
      </c>
      <c r="T384" s="2250"/>
      <c r="U384" s="2250"/>
      <c r="V384" s="2250"/>
      <c r="W384" s="2250"/>
      <c r="X384" s="2250"/>
      <c r="Y384" s="2250"/>
      <c r="Z384" s="2250"/>
      <c r="AA384" s="2250"/>
      <c r="AB384" s="2250"/>
      <c r="AC384" s="2250"/>
      <c r="AD384" s="284">
        <v>1450</v>
      </c>
      <c r="AE384" s="3620">
        <f>VLOOKUP(AE371,AD343:AO369,11,0)</f>
        <v>65.27</v>
      </c>
      <c r="AF384" s="3620">
        <f t="shared" si="288"/>
        <v>94.87</v>
      </c>
      <c r="AG384" s="284">
        <v>1650</v>
      </c>
      <c r="AH384" s="2250"/>
      <c r="AI384" s="2250"/>
      <c r="AJ384" s="2250"/>
      <c r="AK384" s="2250"/>
      <c r="AL384" s="2250"/>
      <c r="AM384" s="2250"/>
      <c r="AN384" s="2250"/>
      <c r="AO384" s="2250"/>
      <c r="AP384" s="2250"/>
      <c r="AQ384" s="2250"/>
      <c r="AR384" s="284">
        <v>1450</v>
      </c>
      <c r="AS384" s="3620">
        <f>VLOOKUP(AS371,AR343:BC369,11,0)</f>
        <v>49.77</v>
      </c>
      <c r="AT384" s="3620">
        <f t="shared" si="289"/>
        <v>72.150000000000006</v>
      </c>
      <c r="AU384" s="284">
        <v>1650</v>
      </c>
      <c r="AV384" s="2250"/>
      <c r="AW384" s="2250"/>
      <c r="AX384" s="2250"/>
      <c r="AY384" s="2250"/>
      <c r="AZ384" s="2250"/>
      <c r="BA384" s="2250"/>
      <c r="BB384" s="2250"/>
      <c r="BC384" s="2250"/>
      <c r="BD384" s="2250"/>
      <c r="BE384" s="2250"/>
      <c r="BF384" s="2276"/>
      <c r="BG384" s="2276"/>
      <c r="BH384" s="2250"/>
      <c r="BI384" s="2275"/>
      <c r="BJ384" s="284">
        <v>1450</v>
      </c>
      <c r="BK384" s="3620">
        <f>VLOOKUP(BK371,BJ343:BU369,11,0)</f>
        <v>0</v>
      </c>
      <c r="BL384" s="3620">
        <f t="shared" si="290"/>
        <v>0</v>
      </c>
      <c r="BM384" s="284">
        <v>1650</v>
      </c>
      <c r="BN384" s="2250"/>
      <c r="BO384" s="2250"/>
      <c r="BP384" s="2250"/>
      <c r="BQ384" s="2250"/>
      <c r="BR384" s="2250"/>
      <c r="BS384" s="2250"/>
      <c r="BT384" s="2250"/>
      <c r="BU384" s="2250"/>
      <c r="BV384" s="2250"/>
      <c r="BW384" s="2250"/>
      <c r="BX384" s="284">
        <v>1450</v>
      </c>
      <c r="BY384" s="3620">
        <f>VLOOKUP(BY371,BX343:CI369,11,0)</f>
        <v>82.58</v>
      </c>
      <c r="BZ384" s="3620">
        <f t="shared" si="291"/>
        <v>120</v>
      </c>
      <c r="CA384" s="284">
        <v>1650</v>
      </c>
      <c r="CB384" s="2250"/>
      <c r="CC384" s="2250"/>
      <c r="CD384" s="2250"/>
      <c r="CE384" s="2250"/>
      <c r="CF384" s="2250"/>
      <c r="CG384" s="2250"/>
      <c r="CH384" s="2250"/>
      <c r="CI384" s="2250"/>
      <c r="CJ384" s="2250"/>
      <c r="CK384" s="2250"/>
      <c r="CL384" s="284">
        <v>1450</v>
      </c>
      <c r="CM384" s="3620">
        <f>VLOOKUP(CM371,CL343:CW369,11,0)</f>
        <v>58.93</v>
      </c>
      <c r="CN384" s="3620">
        <f t="shared" si="292"/>
        <v>85.67</v>
      </c>
      <c r="CO384" s="284">
        <v>1650</v>
      </c>
      <c r="CP384" s="2250"/>
      <c r="CQ384" s="2250"/>
      <c r="CR384" s="2250"/>
      <c r="CS384" s="2250"/>
      <c r="CT384" s="2250"/>
      <c r="CU384" s="2250"/>
      <c r="CV384" s="2250"/>
      <c r="CW384" s="2250"/>
      <c r="CX384" s="2250"/>
      <c r="CY384" s="2250"/>
      <c r="CZ384" s="284">
        <v>1450</v>
      </c>
      <c r="DA384" s="3620">
        <f>VLOOKUP(DA371,CZ343:DK369,11,0)</f>
        <v>45</v>
      </c>
      <c r="DB384" s="3620">
        <f t="shared" si="293"/>
        <v>65.38</v>
      </c>
      <c r="DC384" s="284">
        <v>1650</v>
      </c>
      <c r="DD384" s="2250"/>
      <c r="DE384" s="2250"/>
      <c r="DF384" s="2250"/>
      <c r="DG384" s="2250"/>
      <c r="DH384" s="2250"/>
      <c r="DI384" s="2250"/>
      <c r="DJ384" s="2250"/>
      <c r="DK384" s="2250"/>
      <c r="DL384" s="2250"/>
      <c r="DM384" s="2250"/>
      <c r="DN384" s="2250"/>
      <c r="DO384" s="53"/>
      <c r="DP384" s="53"/>
      <c r="DY384" s="284">
        <v>1450</v>
      </c>
      <c r="DZ384" s="3620">
        <f>VLOOKUP(DZ371,DY343:EJ369,11,0)</f>
        <v>0</v>
      </c>
      <c r="EA384" s="3620">
        <f t="shared" si="294"/>
        <v>0</v>
      </c>
      <c r="EB384" s="284">
        <v>1650</v>
      </c>
      <c r="EC384" s="2250"/>
      <c r="ED384" s="2250"/>
      <c r="EE384" s="2250"/>
      <c r="EF384" s="2250"/>
      <c r="EG384" s="2250"/>
      <c r="EH384" s="2250"/>
      <c r="EI384" s="2250"/>
      <c r="EJ384" s="2250"/>
      <c r="EK384" s="2250"/>
      <c r="EL384" s="2250"/>
      <c r="EM384" s="284">
        <v>1450</v>
      </c>
      <c r="EN384" s="3620">
        <f>VLOOKUP(EN371,EM343:EX369,11,0)</f>
        <v>138.9</v>
      </c>
      <c r="EO384" s="3620">
        <f t="shared" si="295"/>
        <v>199.69</v>
      </c>
      <c r="EP384" s="284">
        <v>1650</v>
      </c>
      <c r="EQ384" s="2250"/>
      <c r="ER384" s="2250"/>
      <c r="ES384" s="2250"/>
      <c r="ET384" s="2250"/>
      <c r="EU384" s="2250"/>
      <c r="EV384" s="2250"/>
      <c r="EW384" s="2250"/>
      <c r="EX384" s="2250"/>
      <c r="EY384" s="2250"/>
      <c r="EZ384" s="2250"/>
      <c r="FA384" s="284">
        <v>1450</v>
      </c>
      <c r="FB384" s="3620">
        <f>VLOOKUP(FB371,FA343:FL369,11,0)</f>
        <v>102.2</v>
      </c>
      <c r="FC384" s="3620">
        <f t="shared" si="296"/>
        <v>144.07</v>
      </c>
      <c r="FD384" s="284">
        <v>1650</v>
      </c>
      <c r="FE384" s="2250"/>
      <c r="FF384" s="2250"/>
      <c r="FG384" s="2250"/>
      <c r="FH384" s="2250"/>
      <c r="FI384" s="2250"/>
      <c r="FJ384" s="2250"/>
      <c r="FK384" s="2250"/>
      <c r="FL384" s="2250"/>
      <c r="FM384" s="2250"/>
      <c r="FN384" s="2250"/>
      <c r="FO384" s="284">
        <v>1450</v>
      </c>
      <c r="FP384" s="3620">
        <f>VLOOKUP(FP371,FO343:FZ369,11,0)</f>
        <v>77.69</v>
      </c>
      <c r="FQ384" s="3620">
        <f t="shared" si="297"/>
        <v>109.54</v>
      </c>
      <c r="FR384" s="284">
        <v>1650</v>
      </c>
      <c r="FS384" s="2250"/>
      <c r="FT384" s="2250"/>
      <c r="FU384" s="2250"/>
      <c r="FV384" s="2250"/>
      <c r="FW384" s="2250"/>
      <c r="FX384" s="2250"/>
      <c r="FY384" s="2250"/>
      <c r="FZ384" s="2250"/>
      <c r="GA384" s="2250"/>
      <c r="GB384" s="2250"/>
      <c r="GC384" s="2276"/>
      <c r="GD384" s="2276"/>
      <c r="GE384" s="2250"/>
      <c r="GF384" s="2275"/>
      <c r="GG384" s="284">
        <v>1450</v>
      </c>
      <c r="GH384" s="3620">
        <f>VLOOKUP(GH371,GG343:GR369,11,0)</f>
        <v>0</v>
      </c>
      <c r="GI384" s="3620">
        <f t="shared" si="298"/>
        <v>0</v>
      </c>
      <c r="GJ384" s="284">
        <v>1650</v>
      </c>
      <c r="GK384" s="2250"/>
      <c r="GL384" s="2250"/>
      <c r="GM384" s="2250"/>
      <c r="GN384" s="2250"/>
      <c r="GO384" s="2250"/>
      <c r="GP384" s="2250"/>
      <c r="GQ384" s="2250"/>
      <c r="GR384" s="2250"/>
      <c r="GS384" s="2250"/>
      <c r="GT384" s="2250"/>
      <c r="GU384" s="284">
        <v>1450</v>
      </c>
      <c r="GV384" s="3620">
        <f>VLOOKUP(GV371,GU343:HF369,11,0)</f>
        <v>130.43</v>
      </c>
      <c r="GW384" s="3620">
        <f t="shared" si="299"/>
        <v>186.38</v>
      </c>
      <c r="GX384" s="284">
        <v>1650</v>
      </c>
      <c r="GY384" s="2250"/>
      <c r="GZ384" s="2250"/>
      <c r="HA384" s="2250"/>
      <c r="HB384" s="2250"/>
      <c r="HC384" s="2250"/>
      <c r="HD384" s="2250"/>
      <c r="HE384" s="2250"/>
      <c r="HF384" s="2250"/>
      <c r="HG384" s="2250"/>
      <c r="HH384" s="2250"/>
      <c r="HI384" s="284">
        <v>1450</v>
      </c>
      <c r="HJ384" s="3620">
        <f>VLOOKUP(HJ371,HI343:HT369,11,0)</f>
        <v>95</v>
      </c>
      <c r="HK384" s="3620">
        <f t="shared" si="300"/>
        <v>135.6</v>
      </c>
      <c r="HL384" s="284">
        <v>1650</v>
      </c>
      <c r="HM384" s="2250"/>
      <c r="HN384" s="2250"/>
      <c r="HO384" s="2250"/>
      <c r="HP384" s="2250"/>
      <c r="HQ384" s="2250"/>
      <c r="HR384" s="2250"/>
      <c r="HS384" s="2250"/>
      <c r="HT384" s="2250"/>
      <c r="HU384" s="2250"/>
      <c r="HV384" s="2250"/>
      <c r="HW384" s="284">
        <v>1450</v>
      </c>
      <c r="HX384" s="3620">
        <f>VLOOKUP(HX371,HW343:IH369,11,0)</f>
        <v>71.62</v>
      </c>
      <c r="HY384" s="3620">
        <f t="shared" si="301"/>
        <v>102.15</v>
      </c>
      <c r="HZ384" s="284">
        <v>1650</v>
      </c>
      <c r="IA384" s="2250"/>
      <c r="IB384" s="2250"/>
      <c r="IC384" s="2250"/>
      <c r="ID384" s="2250"/>
      <c r="IE384" s="2250"/>
      <c r="IF384" s="2250"/>
      <c r="IG384" s="2250"/>
      <c r="IH384" s="2250"/>
      <c r="II384" s="2250"/>
      <c r="IJ384" s="2250"/>
      <c r="IK384" s="2250"/>
      <c r="IL384" s="53"/>
      <c r="IM384" s="53"/>
    </row>
    <row r="385" spans="2:247" ht="21.95" customHeight="1">
      <c r="B385" s="284">
        <v>1650</v>
      </c>
      <c r="C385" s="3620">
        <f>VLOOKUP(C371,B343:M369,12,0)</f>
        <v>0</v>
      </c>
      <c r="D385" s="3620">
        <f t="shared" si="286"/>
        <v>0</v>
      </c>
      <c r="E385" s="2250"/>
      <c r="F385" s="2250"/>
      <c r="G385" s="2250"/>
      <c r="H385" s="2250"/>
      <c r="I385" s="2250"/>
      <c r="J385" s="2250"/>
      <c r="K385" s="2250"/>
      <c r="L385" s="2250"/>
      <c r="M385" s="2250"/>
      <c r="N385" s="2250"/>
      <c r="O385" s="2250"/>
      <c r="P385" s="284">
        <v>1650</v>
      </c>
      <c r="Q385" s="3620">
        <f>VLOOKUP(Q371,P343:AA369,12,0)</f>
        <v>132.58000000000001</v>
      </c>
      <c r="R385" s="3620">
        <f t="shared" si="287"/>
        <v>0</v>
      </c>
      <c r="S385" s="2250"/>
      <c r="T385" s="2250"/>
      <c r="U385" s="2250"/>
      <c r="V385" s="2250"/>
      <c r="W385" s="2250"/>
      <c r="X385" s="2250"/>
      <c r="Y385" s="2250"/>
      <c r="Z385" s="2250"/>
      <c r="AA385" s="2250"/>
      <c r="AB385" s="2250"/>
      <c r="AC385" s="2250"/>
      <c r="AD385" s="284">
        <v>1650</v>
      </c>
      <c r="AE385" s="3620">
        <f>VLOOKUP(AE371,AD343:AO369,12,0)</f>
        <v>94.87</v>
      </c>
      <c r="AF385" s="3620">
        <f t="shared" si="288"/>
        <v>0</v>
      </c>
      <c r="AG385" s="2250"/>
      <c r="AH385" s="2250"/>
      <c r="AI385" s="2250"/>
      <c r="AJ385" s="2250"/>
      <c r="AK385" s="2250"/>
      <c r="AL385" s="2250"/>
      <c r="AM385" s="2250"/>
      <c r="AN385" s="2250"/>
      <c r="AO385" s="2250"/>
      <c r="AP385" s="2250"/>
      <c r="AQ385" s="2250"/>
      <c r="AR385" s="284">
        <v>1650</v>
      </c>
      <c r="AS385" s="3620">
        <f>VLOOKUP(AS371,AR343:BC369,12,0)</f>
        <v>72.150000000000006</v>
      </c>
      <c r="AT385" s="3620">
        <f t="shared" si="289"/>
        <v>0</v>
      </c>
      <c r="AU385" s="2250"/>
      <c r="AV385" s="2250"/>
      <c r="AW385" s="2250"/>
      <c r="AX385" s="2250"/>
      <c r="AY385" s="2250"/>
      <c r="AZ385" s="2250"/>
      <c r="BA385" s="2250"/>
      <c r="BB385" s="2250"/>
      <c r="BC385" s="2250"/>
      <c r="BD385" s="2250"/>
      <c r="BE385" s="2250"/>
      <c r="BF385" s="2276"/>
      <c r="BG385" s="2276"/>
      <c r="BH385" s="2250"/>
      <c r="BI385" s="2275"/>
      <c r="BJ385" s="284">
        <v>1650</v>
      </c>
      <c r="BK385" s="3620">
        <f>VLOOKUP(BK371,BJ343:BU369,12,0)</f>
        <v>0</v>
      </c>
      <c r="BL385" s="3620">
        <f t="shared" si="290"/>
        <v>0</v>
      </c>
      <c r="BM385" s="2250"/>
      <c r="BN385" s="2250"/>
      <c r="BO385" s="2250"/>
      <c r="BP385" s="2250"/>
      <c r="BQ385" s="2250"/>
      <c r="BR385" s="2250"/>
      <c r="BS385" s="2250"/>
      <c r="BT385" s="2250"/>
      <c r="BU385" s="2250"/>
      <c r="BV385" s="2250"/>
      <c r="BW385" s="2250"/>
      <c r="BX385" s="284">
        <v>1650</v>
      </c>
      <c r="BY385" s="3620">
        <f>VLOOKUP(BY371,BX343:CI369,12,0)</f>
        <v>120</v>
      </c>
      <c r="BZ385" s="3620">
        <f t="shared" si="291"/>
        <v>0</v>
      </c>
      <c r="CA385" s="2250"/>
      <c r="CB385" s="2250"/>
      <c r="CC385" s="2250"/>
      <c r="CD385" s="2250"/>
      <c r="CE385" s="2250"/>
      <c r="CF385" s="2250"/>
      <c r="CG385" s="2250"/>
      <c r="CH385" s="2250"/>
      <c r="CI385" s="2250"/>
      <c r="CJ385" s="2250"/>
      <c r="CK385" s="2250"/>
      <c r="CL385" s="284">
        <v>1650</v>
      </c>
      <c r="CM385" s="3620">
        <f>VLOOKUP(CM371,CL343:CW369,12,0)</f>
        <v>85.67</v>
      </c>
      <c r="CN385" s="3620">
        <f t="shared" si="292"/>
        <v>0</v>
      </c>
      <c r="CO385" s="2250"/>
      <c r="CP385" s="2250"/>
      <c r="CQ385" s="2250"/>
      <c r="CR385" s="2250"/>
      <c r="CS385" s="2250"/>
      <c r="CT385" s="2250"/>
      <c r="CU385" s="2250"/>
      <c r="CV385" s="2250"/>
      <c r="CW385" s="2250"/>
      <c r="CX385" s="2250"/>
      <c r="CY385" s="2250"/>
      <c r="CZ385" s="284">
        <v>1650</v>
      </c>
      <c r="DA385" s="3620">
        <f>VLOOKUP(DA371,CZ343:DK369,12,0)</f>
        <v>65.38</v>
      </c>
      <c r="DB385" s="3620">
        <f t="shared" si="293"/>
        <v>0</v>
      </c>
      <c r="DC385" s="2250"/>
      <c r="DD385" s="2250"/>
      <c r="DE385" s="2250"/>
      <c r="DF385" s="2250"/>
      <c r="DG385" s="2250"/>
      <c r="DH385" s="2250"/>
      <c r="DI385" s="2250"/>
      <c r="DJ385" s="2250"/>
      <c r="DK385" s="2250"/>
      <c r="DL385" s="2250"/>
      <c r="DM385" s="2250"/>
      <c r="DN385" s="2250"/>
      <c r="DO385" s="53"/>
      <c r="DP385" s="53"/>
      <c r="DY385" s="284">
        <v>1650</v>
      </c>
      <c r="DZ385" s="3620">
        <f>VLOOKUP(DZ371,DY343:EJ369,12,0)</f>
        <v>0</v>
      </c>
      <c r="EA385" s="3620">
        <f t="shared" si="294"/>
        <v>0</v>
      </c>
      <c r="EB385" s="2250"/>
      <c r="EC385" s="2250"/>
      <c r="ED385" s="2250"/>
      <c r="EE385" s="2250"/>
      <c r="EF385" s="2250"/>
      <c r="EG385" s="2250"/>
      <c r="EH385" s="2250"/>
      <c r="EI385" s="2250"/>
      <c r="EJ385" s="2250"/>
      <c r="EK385" s="2250"/>
      <c r="EL385" s="2250"/>
      <c r="EM385" s="284">
        <v>1650</v>
      </c>
      <c r="EN385" s="3620">
        <f>VLOOKUP(EN371,EM343:EX369,12,0)</f>
        <v>199.69</v>
      </c>
      <c r="EO385" s="3620">
        <f t="shared" si="295"/>
        <v>0</v>
      </c>
      <c r="EP385" s="2250"/>
      <c r="EQ385" s="2250"/>
      <c r="ER385" s="2250"/>
      <c r="ES385" s="2250"/>
      <c r="ET385" s="2250"/>
      <c r="EU385" s="2250"/>
      <c r="EV385" s="2250"/>
      <c r="EW385" s="2250"/>
      <c r="EX385" s="2250"/>
      <c r="EY385" s="2250"/>
      <c r="EZ385" s="2250"/>
      <c r="FA385" s="284">
        <v>1650</v>
      </c>
      <c r="FB385" s="3620">
        <f>VLOOKUP(FB371,FA343:FL369,12,0)</f>
        <v>144.07</v>
      </c>
      <c r="FC385" s="3620">
        <f t="shared" si="296"/>
        <v>0</v>
      </c>
      <c r="FD385" s="2250"/>
      <c r="FE385" s="2250"/>
      <c r="FF385" s="2250"/>
      <c r="FG385" s="2250"/>
      <c r="FH385" s="2250"/>
      <c r="FI385" s="2250"/>
      <c r="FJ385" s="2250"/>
      <c r="FK385" s="2250"/>
      <c r="FL385" s="2250"/>
      <c r="FM385" s="2250"/>
      <c r="FN385" s="2250"/>
      <c r="FO385" s="284">
        <v>1650</v>
      </c>
      <c r="FP385" s="3620">
        <f>VLOOKUP(FP371,FO343:FZ369,12,0)</f>
        <v>109.54</v>
      </c>
      <c r="FQ385" s="3620">
        <f t="shared" si="297"/>
        <v>0</v>
      </c>
      <c r="FR385" s="2250"/>
      <c r="FS385" s="2250"/>
      <c r="FT385" s="2250"/>
      <c r="FU385" s="2250"/>
      <c r="FV385" s="2250"/>
      <c r="FW385" s="2250"/>
      <c r="FX385" s="2250"/>
      <c r="FY385" s="2250"/>
      <c r="FZ385" s="2250"/>
      <c r="GA385" s="2250"/>
      <c r="GB385" s="2250"/>
      <c r="GC385" s="2276"/>
      <c r="GD385" s="2276"/>
      <c r="GE385" s="2250"/>
      <c r="GF385" s="2275"/>
      <c r="GG385" s="284">
        <v>1650</v>
      </c>
      <c r="GH385" s="3620">
        <f>VLOOKUP(GH371,GG343:GR369,12,0)</f>
        <v>0</v>
      </c>
      <c r="GI385" s="3620">
        <f t="shared" si="298"/>
        <v>0</v>
      </c>
      <c r="GJ385" s="2250"/>
      <c r="GK385" s="2250"/>
      <c r="GL385" s="2250"/>
      <c r="GM385" s="2250"/>
      <c r="GN385" s="2250"/>
      <c r="GO385" s="2250"/>
      <c r="GP385" s="2250"/>
      <c r="GQ385" s="2250"/>
      <c r="GR385" s="2250"/>
      <c r="GS385" s="2250"/>
      <c r="GT385" s="2250"/>
      <c r="GU385" s="284">
        <v>1650</v>
      </c>
      <c r="GV385" s="3620">
        <f>VLOOKUP(GV371,GU343:HF369,12,0)</f>
        <v>186.38</v>
      </c>
      <c r="GW385" s="3620">
        <f t="shared" si="299"/>
        <v>0</v>
      </c>
      <c r="GX385" s="2250"/>
      <c r="GY385" s="2250"/>
      <c r="GZ385" s="2250"/>
      <c r="HA385" s="2250"/>
      <c r="HB385" s="2250"/>
      <c r="HC385" s="2250"/>
      <c r="HD385" s="2250"/>
      <c r="HE385" s="2250"/>
      <c r="HF385" s="2250"/>
      <c r="HG385" s="2250"/>
      <c r="HH385" s="2250"/>
      <c r="HI385" s="284">
        <v>1650</v>
      </c>
      <c r="HJ385" s="3620">
        <f>VLOOKUP(HJ371,HI343:HT369,12,0)</f>
        <v>135.6</v>
      </c>
      <c r="HK385" s="3620">
        <f t="shared" si="300"/>
        <v>0</v>
      </c>
      <c r="HL385" s="2250"/>
      <c r="HM385" s="2250"/>
      <c r="HN385" s="2250"/>
      <c r="HO385" s="2250"/>
      <c r="HP385" s="2250"/>
      <c r="HQ385" s="2250"/>
      <c r="HR385" s="2250"/>
      <c r="HS385" s="2250"/>
      <c r="HT385" s="2250"/>
      <c r="HU385" s="2250"/>
      <c r="HV385" s="2250"/>
      <c r="HW385" s="284">
        <v>1650</v>
      </c>
      <c r="HX385" s="3620">
        <f>VLOOKUP(HX371,HW343:IH369,12,0)</f>
        <v>102.15</v>
      </c>
      <c r="HY385" s="3620">
        <f t="shared" si="301"/>
        <v>0</v>
      </c>
      <c r="HZ385" s="2250"/>
      <c r="IA385" s="2250"/>
      <c r="IB385" s="2250"/>
      <c r="IC385" s="2250"/>
      <c r="ID385" s="2250"/>
      <c r="IE385" s="2250"/>
      <c r="IF385" s="2250"/>
      <c r="IG385" s="2250"/>
      <c r="IH385" s="2250"/>
      <c r="II385" s="2250"/>
      <c r="IJ385" s="2250"/>
      <c r="IK385" s="2250"/>
      <c r="IL385" s="53"/>
      <c r="IM385" s="53"/>
    </row>
    <row r="386" spans="2:247" ht="21.95" customHeight="1">
      <c r="B386" s="284"/>
      <c r="C386" s="284"/>
      <c r="D386" s="284"/>
      <c r="E386" s="284"/>
      <c r="F386" s="2250"/>
      <c r="G386" s="2250"/>
      <c r="H386" s="2250"/>
      <c r="I386" s="2250"/>
      <c r="J386" s="2250"/>
      <c r="K386" s="2250"/>
      <c r="L386" s="2250"/>
      <c r="M386" s="2250"/>
      <c r="N386" s="2250"/>
      <c r="O386" s="2250"/>
      <c r="P386" s="284"/>
      <c r="Q386" s="284"/>
      <c r="R386" s="284"/>
      <c r="S386" s="284"/>
      <c r="T386" s="2250"/>
      <c r="U386" s="2250"/>
      <c r="V386" s="2250"/>
      <c r="W386" s="2250"/>
      <c r="X386" s="2250"/>
      <c r="Y386" s="2250"/>
      <c r="Z386" s="2250"/>
      <c r="AA386" s="2250"/>
      <c r="AB386" s="2250"/>
      <c r="AC386" s="2250"/>
      <c r="AD386" s="284"/>
      <c r="AE386" s="284"/>
      <c r="AF386" s="284"/>
      <c r="AG386" s="284"/>
      <c r="AH386" s="2250"/>
      <c r="AI386" s="2250"/>
      <c r="AJ386" s="2250"/>
      <c r="AK386" s="2250"/>
      <c r="AL386" s="2250"/>
      <c r="AM386" s="2250"/>
      <c r="AN386" s="2250"/>
      <c r="AO386" s="2250"/>
      <c r="AP386" s="2250"/>
      <c r="AQ386" s="2250"/>
      <c r="AR386" s="284"/>
      <c r="AS386" s="284"/>
      <c r="AT386" s="284"/>
      <c r="AU386" s="284"/>
      <c r="AV386" s="2250"/>
      <c r="AW386" s="2250"/>
      <c r="AX386" s="2250"/>
      <c r="AY386" s="2250"/>
      <c r="AZ386" s="2250"/>
      <c r="BA386" s="2250"/>
      <c r="BB386" s="2250"/>
      <c r="BC386" s="2250"/>
      <c r="BD386" s="2250"/>
      <c r="BE386" s="2250"/>
      <c r="BF386" s="2276"/>
      <c r="BG386" s="2276"/>
      <c r="BH386" s="2250"/>
      <c r="BI386" s="2275"/>
      <c r="BJ386" s="284"/>
      <c r="BK386" s="284"/>
      <c r="BL386" s="284"/>
      <c r="BM386" s="284"/>
      <c r="BN386" s="2250"/>
      <c r="BO386" s="2250"/>
      <c r="BP386" s="2250"/>
      <c r="BQ386" s="2250"/>
      <c r="BR386" s="2250"/>
      <c r="BS386" s="2250"/>
      <c r="BT386" s="2250"/>
      <c r="BU386" s="2250"/>
      <c r="BV386" s="2250"/>
      <c r="BW386" s="2250"/>
      <c r="BX386" s="284"/>
      <c r="BY386" s="284"/>
      <c r="BZ386" s="284"/>
      <c r="CA386" s="284"/>
      <c r="CB386" s="2250"/>
      <c r="CC386" s="2250"/>
      <c r="CD386" s="2250"/>
      <c r="CE386" s="2250"/>
      <c r="CF386" s="2250"/>
      <c r="CG386" s="2250"/>
      <c r="CH386" s="2250"/>
      <c r="CI386" s="2250"/>
      <c r="CJ386" s="2250"/>
      <c r="CK386" s="2250"/>
      <c r="CL386" s="284"/>
      <c r="CM386" s="284"/>
      <c r="CN386" s="284"/>
      <c r="CO386" s="284"/>
      <c r="CP386" s="2250"/>
      <c r="CQ386" s="2250"/>
      <c r="CR386" s="2250"/>
      <c r="CS386" s="2250"/>
      <c r="CT386" s="2250"/>
      <c r="CU386" s="2250"/>
      <c r="CV386" s="2250"/>
      <c r="CW386" s="2250"/>
      <c r="CX386" s="2250"/>
      <c r="CY386" s="2250"/>
      <c r="CZ386" s="284"/>
      <c r="DA386" s="284"/>
      <c r="DB386" s="284"/>
      <c r="DC386" s="284"/>
      <c r="DD386" s="2250"/>
      <c r="DE386" s="2250"/>
      <c r="DF386" s="2250"/>
      <c r="DG386" s="2250"/>
      <c r="DH386" s="2250"/>
      <c r="DI386" s="2250"/>
      <c r="DJ386" s="2250"/>
      <c r="DK386" s="2250"/>
      <c r="DL386" s="2250"/>
      <c r="DM386" s="2250"/>
      <c r="DN386" s="2250"/>
      <c r="DO386" s="53"/>
      <c r="DP386" s="53"/>
      <c r="DY386" s="284"/>
      <c r="DZ386" s="284"/>
      <c r="EA386" s="284"/>
      <c r="EB386" s="284"/>
      <c r="EC386" s="2250"/>
      <c r="ED386" s="2250"/>
      <c r="EE386" s="2250"/>
      <c r="EF386" s="2250"/>
      <c r="EG386" s="2250"/>
      <c r="EH386" s="2250"/>
      <c r="EI386" s="2250"/>
      <c r="EJ386" s="2250"/>
      <c r="EK386" s="2250"/>
      <c r="EL386" s="2250"/>
      <c r="EM386" s="284"/>
      <c r="EN386" s="284"/>
      <c r="EO386" s="284"/>
      <c r="EP386" s="284"/>
      <c r="EQ386" s="2250"/>
      <c r="ER386" s="2250"/>
      <c r="ES386" s="2250"/>
      <c r="ET386" s="2250"/>
      <c r="EU386" s="2250"/>
      <c r="EV386" s="2250"/>
      <c r="EW386" s="2250"/>
      <c r="EX386" s="2250"/>
      <c r="EY386" s="2250"/>
      <c r="EZ386" s="2250"/>
      <c r="FA386" s="284"/>
      <c r="FB386" s="284"/>
      <c r="FC386" s="284"/>
      <c r="FD386" s="284"/>
      <c r="FE386" s="2250"/>
      <c r="FF386" s="2250"/>
      <c r="FG386" s="2250"/>
      <c r="FH386" s="2250"/>
      <c r="FI386" s="2250"/>
      <c r="FJ386" s="2250"/>
      <c r="FK386" s="2250"/>
      <c r="FL386" s="2250"/>
      <c r="FM386" s="2250"/>
      <c r="FN386" s="2250"/>
      <c r="FO386" s="284"/>
      <c r="FP386" s="284"/>
      <c r="FQ386" s="284"/>
      <c r="FR386" s="284"/>
      <c r="FS386" s="2250"/>
      <c r="FT386" s="2250"/>
      <c r="FU386" s="2250"/>
      <c r="FV386" s="2250"/>
      <c r="FW386" s="2250"/>
      <c r="FX386" s="2250"/>
      <c r="FY386" s="2250"/>
      <c r="FZ386" s="2250"/>
      <c r="GA386" s="2250"/>
      <c r="GB386" s="2250"/>
      <c r="GC386" s="2276"/>
      <c r="GD386" s="2276"/>
      <c r="GE386" s="2250"/>
      <c r="GF386" s="2275"/>
      <c r="GG386" s="284"/>
      <c r="GH386" s="284"/>
      <c r="GI386" s="284"/>
      <c r="GJ386" s="284"/>
      <c r="GK386" s="2250"/>
      <c r="GL386" s="2250"/>
      <c r="GM386" s="2250"/>
      <c r="GN386" s="2250"/>
      <c r="GO386" s="2250"/>
      <c r="GP386" s="2250"/>
      <c r="GQ386" s="2250"/>
      <c r="GR386" s="2250"/>
      <c r="GS386" s="2250"/>
      <c r="GT386" s="2250"/>
      <c r="GU386" s="284"/>
      <c r="GV386" s="284"/>
      <c r="GW386" s="284"/>
      <c r="GX386" s="284"/>
      <c r="GY386" s="2250"/>
      <c r="GZ386" s="2250"/>
      <c r="HA386" s="2250"/>
      <c r="HB386" s="2250"/>
      <c r="HC386" s="2250"/>
      <c r="HD386" s="2250"/>
      <c r="HE386" s="2250"/>
      <c r="HF386" s="2250"/>
      <c r="HG386" s="2250"/>
      <c r="HH386" s="2250"/>
      <c r="HI386" s="284"/>
      <c r="HJ386" s="284"/>
      <c r="HK386" s="284"/>
      <c r="HL386" s="284"/>
      <c r="HM386" s="2250"/>
      <c r="HN386" s="2250"/>
      <c r="HO386" s="2250"/>
      <c r="HP386" s="2250"/>
      <c r="HQ386" s="2250"/>
      <c r="HR386" s="2250"/>
      <c r="HS386" s="2250"/>
      <c r="HT386" s="2250"/>
      <c r="HU386" s="2250"/>
      <c r="HV386" s="2250"/>
      <c r="HW386" s="284"/>
      <c r="HX386" s="284"/>
      <c r="HY386" s="284"/>
      <c r="HZ386" s="284"/>
      <c r="IA386" s="2250"/>
      <c r="IB386" s="2250"/>
      <c r="IC386" s="2250"/>
      <c r="ID386" s="2250"/>
      <c r="IE386" s="2250"/>
      <c r="IF386" s="2250"/>
      <c r="IG386" s="2250"/>
      <c r="IH386" s="2250"/>
      <c r="II386" s="2250"/>
      <c r="IJ386" s="2250"/>
      <c r="IK386" s="2250"/>
      <c r="IL386" s="53"/>
      <c r="IM386" s="53"/>
    </row>
    <row r="387" spans="2:247" ht="21.95" customHeight="1">
      <c r="B387" s="284"/>
      <c r="C387" s="3620">
        <f>VLOOKUP(C372,C374:C385,1)</f>
        <v>0</v>
      </c>
      <c r="D387" s="3620">
        <f>VLOOKUP(C387,C374:D385,2,0)</f>
        <v>0</v>
      </c>
      <c r="E387" s="284"/>
      <c r="F387" s="2250"/>
      <c r="G387" s="2250"/>
      <c r="H387" s="2250"/>
      <c r="I387" s="2250"/>
      <c r="J387" s="2250"/>
      <c r="K387" s="2250"/>
      <c r="L387" s="2250"/>
      <c r="M387" s="2250"/>
      <c r="N387" s="2250"/>
      <c r="O387" s="2250"/>
      <c r="P387" s="284"/>
      <c r="Q387" s="3620">
        <f>VLOOKUP(Q372,Q374:Q385,1)</f>
        <v>14.72</v>
      </c>
      <c r="R387" s="3620">
        <f>VLOOKUP(Q387,Q374:R385,2,0)</f>
        <v>20.86</v>
      </c>
      <c r="S387" s="284"/>
      <c r="T387" s="2250"/>
      <c r="U387" s="2250"/>
      <c r="V387" s="2250"/>
      <c r="W387" s="2250"/>
      <c r="X387" s="2250"/>
      <c r="Y387" s="2250"/>
      <c r="Z387" s="2250"/>
      <c r="AA387" s="2250"/>
      <c r="AB387" s="2250"/>
      <c r="AC387" s="2250"/>
      <c r="AD387" s="284"/>
      <c r="AE387" s="3620">
        <f>VLOOKUP(AE372,AE374:AE385,1)</f>
        <v>14.87</v>
      </c>
      <c r="AF387" s="3620">
        <f>VLOOKUP(AE387,AE374:AF385,2,0)</f>
        <v>21.47</v>
      </c>
      <c r="AG387" s="284"/>
      <c r="AH387" s="2250"/>
      <c r="AI387" s="2250"/>
      <c r="AJ387" s="2250"/>
      <c r="AK387" s="2250"/>
      <c r="AL387" s="2250"/>
      <c r="AM387" s="2250"/>
      <c r="AN387" s="2250"/>
      <c r="AO387" s="2250"/>
      <c r="AP387" s="2250"/>
      <c r="AQ387" s="2250"/>
      <c r="AR387" s="284"/>
      <c r="AS387" s="3620">
        <f>VLOOKUP(AS372,AS374:AS385,1)</f>
        <v>16.38</v>
      </c>
      <c r="AT387" s="3620">
        <f>VLOOKUP(AS387,AS374:AT385,2,0)</f>
        <v>22</v>
      </c>
      <c r="AU387" s="284"/>
      <c r="AV387" s="2250"/>
      <c r="AW387" s="2250"/>
      <c r="AX387" s="2250"/>
      <c r="AY387" s="2250"/>
      <c r="AZ387" s="2250"/>
      <c r="BA387" s="2250"/>
      <c r="BB387" s="2250"/>
      <c r="BC387" s="2250"/>
      <c r="BD387" s="2250"/>
      <c r="BE387" s="2250"/>
      <c r="BF387" s="2276"/>
      <c r="BG387" s="2276"/>
      <c r="BH387" s="2250"/>
      <c r="BI387" s="2275"/>
      <c r="BJ387" s="284"/>
      <c r="BK387" s="3620">
        <f>VLOOKUP(BK372,BK374:BK385,1)</f>
        <v>0</v>
      </c>
      <c r="BL387" s="3620">
        <f>VLOOKUP(BK387,BK374:BL385,2,0)</f>
        <v>0</v>
      </c>
      <c r="BM387" s="284"/>
      <c r="BN387" s="2250"/>
      <c r="BO387" s="2250"/>
      <c r="BP387" s="2250"/>
      <c r="BQ387" s="2250"/>
      <c r="BR387" s="2250"/>
      <c r="BS387" s="2250"/>
      <c r="BT387" s="2250"/>
      <c r="BU387" s="2250"/>
      <c r="BV387" s="2250"/>
      <c r="BW387" s="2250"/>
      <c r="BX387" s="284"/>
      <c r="BY387" s="3620">
        <f>VLOOKUP(BY372,BY374:BY385,1)</f>
        <v>19.02</v>
      </c>
      <c r="BZ387" s="3620">
        <f>VLOOKUP(BY387,BY374:BZ385,2,0)</f>
        <v>27.18</v>
      </c>
      <c r="CA387" s="284"/>
      <c r="CB387" s="2250"/>
      <c r="CC387" s="2250"/>
      <c r="CD387" s="2250"/>
      <c r="CE387" s="2250"/>
      <c r="CF387" s="2250"/>
      <c r="CG387" s="2250"/>
      <c r="CH387" s="2250"/>
      <c r="CI387" s="2250"/>
      <c r="CJ387" s="2250"/>
      <c r="CK387" s="2250"/>
      <c r="CL387" s="284"/>
      <c r="CM387" s="3620">
        <f>VLOOKUP(CM372,CM374:CM385,1)</f>
        <v>19.399999999999999</v>
      </c>
      <c r="CN387" s="3620">
        <f>VLOOKUP(CM387,CM374:CN385,2,0)</f>
        <v>26.07</v>
      </c>
      <c r="CO387" s="284"/>
      <c r="CP387" s="2250"/>
      <c r="CQ387" s="2250"/>
      <c r="CR387" s="2250"/>
      <c r="CS387" s="2250"/>
      <c r="CT387" s="2250"/>
      <c r="CU387" s="2250"/>
      <c r="CV387" s="2250"/>
      <c r="CW387" s="2250"/>
      <c r="CX387" s="2250"/>
      <c r="CY387" s="2250"/>
      <c r="CZ387" s="284"/>
      <c r="DA387" s="3620">
        <f>VLOOKUP(DA372,DA374:DA385,1)</f>
        <v>19.850000000000001</v>
      </c>
      <c r="DB387" s="3620">
        <f>VLOOKUP(DA387,DA374:DB385,2,0)</f>
        <v>29.23</v>
      </c>
      <c r="DC387" s="284"/>
      <c r="DD387" s="2250"/>
      <c r="DE387" s="2250"/>
      <c r="DF387" s="2250"/>
      <c r="DG387" s="2250"/>
      <c r="DH387" s="2250"/>
      <c r="DI387" s="2250"/>
      <c r="DJ387" s="2250"/>
      <c r="DK387" s="2250"/>
      <c r="DL387" s="2250"/>
      <c r="DM387" s="2250"/>
      <c r="DN387" s="2250"/>
      <c r="DO387" s="53"/>
      <c r="DP387" s="53"/>
      <c r="DY387" s="284"/>
      <c r="DZ387" s="3620">
        <f>VLOOKUP(DZ372,DZ374:DZ385,1)</f>
        <v>0</v>
      </c>
      <c r="EA387" s="3620">
        <f>VLOOKUP(DZ387,DZ374:EA385,2,0)</f>
        <v>0</v>
      </c>
      <c r="EB387" s="284"/>
      <c r="EC387" s="2250"/>
      <c r="ED387" s="2250"/>
      <c r="EE387" s="2250"/>
      <c r="EF387" s="2250"/>
      <c r="EG387" s="2250"/>
      <c r="EH387" s="2250"/>
      <c r="EI387" s="2250"/>
      <c r="EJ387" s="2250"/>
      <c r="EK387" s="2250"/>
      <c r="EL387" s="2250"/>
      <c r="EM387" s="284"/>
      <c r="EN387" s="3620">
        <f>VLOOKUP(EN372,EN374:EN385,1)</f>
        <v>13.93</v>
      </c>
      <c r="EO387" s="3620">
        <f>VLOOKUP(EN387,EN374:EO385,2,0)</f>
        <v>22.09</v>
      </c>
      <c r="EP387" s="284"/>
      <c r="EQ387" s="2250"/>
      <c r="ER387" s="2250"/>
      <c r="ES387" s="2250"/>
      <c r="ET387" s="2250"/>
      <c r="EU387" s="2250"/>
      <c r="EV387" s="2250"/>
      <c r="EW387" s="2250"/>
      <c r="EX387" s="2250"/>
      <c r="EY387" s="2250"/>
      <c r="EZ387" s="2250"/>
      <c r="FA387" s="284"/>
      <c r="FB387" s="3620">
        <f>VLOOKUP(FB372,FB374:FB385,1)</f>
        <v>16.670000000000002</v>
      </c>
      <c r="FC387" s="3620">
        <f>VLOOKUP(FB387,FB374:FC385,2,0)</f>
        <v>22.47</v>
      </c>
      <c r="FD387" s="284"/>
      <c r="FE387" s="2250"/>
      <c r="FF387" s="2250"/>
      <c r="FG387" s="2250"/>
      <c r="FH387" s="2250"/>
      <c r="FI387" s="2250"/>
      <c r="FJ387" s="2250"/>
      <c r="FK387" s="2250"/>
      <c r="FL387" s="2250"/>
      <c r="FM387" s="2250"/>
      <c r="FN387" s="2250"/>
      <c r="FO387" s="284"/>
      <c r="FP387" s="3620">
        <f>VLOOKUP(FP372,FP374:FP385,1)</f>
        <v>17.079999999999998</v>
      </c>
      <c r="FQ387" s="3620">
        <f>VLOOKUP(FP387,FP374:FQ385,2,0)</f>
        <v>25.46</v>
      </c>
      <c r="FR387" s="284"/>
      <c r="FS387" s="2250"/>
      <c r="FT387" s="2250"/>
      <c r="FU387" s="2250"/>
      <c r="FV387" s="2250"/>
      <c r="FW387" s="2250"/>
      <c r="FX387" s="2250"/>
      <c r="FY387" s="2250"/>
      <c r="FZ387" s="2250"/>
      <c r="GA387" s="2250"/>
      <c r="GB387" s="2250"/>
      <c r="GC387" s="2276"/>
      <c r="GD387" s="2276"/>
      <c r="GE387" s="2250"/>
      <c r="GF387" s="2275"/>
      <c r="GG387" s="284"/>
      <c r="GH387" s="3620">
        <f>VLOOKUP(GH372,GH374:GH385,1)</f>
        <v>0</v>
      </c>
      <c r="GI387" s="3620">
        <f>VLOOKUP(GH387,GH374:GI385,2,0)</f>
        <v>0</v>
      </c>
      <c r="GJ387" s="284"/>
      <c r="GK387" s="2250"/>
      <c r="GL387" s="2250"/>
      <c r="GM387" s="2250"/>
      <c r="GN387" s="2250"/>
      <c r="GO387" s="2250"/>
      <c r="GP387" s="2250"/>
      <c r="GQ387" s="2250"/>
      <c r="GR387" s="2250"/>
      <c r="GS387" s="2250"/>
      <c r="GT387" s="2250"/>
      <c r="GU387" s="284"/>
      <c r="GV387" s="3620">
        <f>VLOOKUP(GV372,GV374:GV385,1)</f>
        <v>13.07</v>
      </c>
      <c r="GW387" s="3620">
        <f>VLOOKUP(GV387,GV374:GW385,2,0)</f>
        <v>20.74</v>
      </c>
      <c r="GX387" s="284"/>
      <c r="GY387" s="2250"/>
      <c r="GZ387" s="2250"/>
      <c r="HA387" s="2250"/>
      <c r="HB387" s="2250"/>
      <c r="HC387" s="2250"/>
      <c r="HD387" s="2250"/>
      <c r="HE387" s="2250"/>
      <c r="HF387" s="2250"/>
      <c r="HG387" s="2250"/>
      <c r="HH387" s="2250"/>
      <c r="HI387" s="284"/>
      <c r="HJ387" s="3620">
        <f>VLOOKUP(HJ372,HJ374:HJ385,1)</f>
        <v>15.67</v>
      </c>
      <c r="HK387" s="3620">
        <f>VLOOKUP(HJ387,HJ374:HK385,2,0)</f>
        <v>21.2</v>
      </c>
      <c r="HL387" s="284"/>
      <c r="HM387" s="2250"/>
      <c r="HN387" s="2250"/>
      <c r="HO387" s="2250"/>
      <c r="HP387" s="2250"/>
      <c r="HQ387" s="2250"/>
      <c r="HR387" s="2250"/>
      <c r="HS387" s="2250"/>
      <c r="HT387" s="2250"/>
      <c r="HU387" s="2250"/>
      <c r="HV387" s="2250"/>
      <c r="HW387" s="284"/>
      <c r="HX387" s="3620">
        <f>VLOOKUP(HX372,HX374:HX385,1)</f>
        <v>16.079999999999998</v>
      </c>
      <c r="HY387" s="3620">
        <f>VLOOKUP(HX387,HX374:HY385,2,0)</f>
        <v>23.38</v>
      </c>
      <c r="HZ387" s="284"/>
      <c r="IA387" s="2250"/>
      <c r="IB387" s="2250"/>
      <c r="IC387" s="2250"/>
      <c r="ID387" s="2250"/>
      <c r="IE387" s="2250"/>
      <c r="IF387" s="2250"/>
      <c r="IG387" s="2250"/>
      <c r="IH387" s="2250"/>
      <c r="II387" s="2250"/>
      <c r="IJ387" s="2250"/>
      <c r="IK387" s="2250"/>
      <c r="IL387" s="53"/>
      <c r="IM387" s="53"/>
    </row>
    <row r="388" spans="2:247" ht="21.95" customHeight="1" thickBot="1">
      <c r="B388" s="284"/>
      <c r="C388" s="3620">
        <f>IFERROR(VLOOKUP(C372,C374:C385,1,0),0)</f>
        <v>0</v>
      </c>
      <c r="D388" s="3685">
        <f>IF(C388&gt;0,C388,D387)</f>
        <v>0</v>
      </c>
      <c r="E388" s="3685">
        <f>VLOOKUP(D388,D374:E385,2,0)</f>
        <v>400</v>
      </c>
      <c r="F388" s="2250"/>
      <c r="G388" s="2250"/>
      <c r="H388" s="2250"/>
      <c r="I388" s="2250"/>
      <c r="J388" s="2250"/>
      <c r="K388" s="2250"/>
      <c r="L388" s="2250"/>
      <c r="M388" s="2250"/>
      <c r="N388" s="2250"/>
      <c r="O388" s="2250"/>
      <c r="P388" s="284"/>
      <c r="Q388" s="3620">
        <f>IFERROR(VLOOKUP(Q372,Q374:Q385,1,0),0)</f>
        <v>0</v>
      </c>
      <c r="R388" s="3685">
        <f>IF(Q388&gt;0,Q388,R387)</f>
        <v>20.86</v>
      </c>
      <c r="S388" s="3685">
        <f>VLOOKUP(R388,R374:S385,2,0)</f>
        <v>825</v>
      </c>
      <c r="T388" s="2250"/>
      <c r="U388" s="2250"/>
      <c r="V388" s="2250"/>
      <c r="W388" s="2250"/>
      <c r="X388" s="2250"/>
      <c r="Y388" s="2250"/>
      <c r="Z388" s="2250"/>
      <c r="AA388" s="2250"/>
      <c r="AB388" s="2250"/>
      <c r="AC388" s="2250"/>
      <c r="AD388" s="284"/>
      <c r="AE388" s="3620">
        <f>IFERROR(VLOOKUP(AE372,AE374:AE385,1,0),0)</f>
        <v>0</v>
      </c>
      <c r="AF388" s="3685">
        <f>IF(AE388&gt;0,AE388,AF387)</f>
        <v>21.47</v>
      </c>
      <c r="AG388" s="3685">
        <f>VLOOKUP(AF388,AF374:AG385,2,0)</f>
        <v>950</v>
      </c>
      <c r="AH388" s="2250"/>
      <c r="AI388" s="2250"/>
      <c r="AJ388" s="2250"/>
      <c r="AK388" s="2250"/>
      <c r="AL388" s="2250"/>
      <c r="AM388" s="2250"/>
      <c r="AN388" s="2250"/>
      <c r="AO388" s="2250"/>
      <c r="AP388" s="2250"/>
      <c r="AQ388" s="2250"/>
      <c r="AR388" s="284"/>
      <c r="AS388" s="3620">
        <f>IFERROR(VLOOKUP(AS372,AS374:AS385,1,0),0)</f>
        <v>0</v>
      </c>
      <c r="AT388" s="3685">
        <f>IF(AS388&gt;0,AS388,AT387)</f>
        <v>22</v>
      </c>
      <c r="AU388" s="3685">
        <f>VLOOKUP(AT388,AT374:AU385,2,0)</f>
        <v>1100</v>
      </c>
      <c r="AV388" s="2250"/>
      <c r="AW388" s="2250"/>
      <c r="AX388" s="2250"/>
      <c r="AY388" s="2250"/>
      <c r="AZ388" s="2250"/>
      <c r="BA388" s="2250"/>
      <c r="BB388" s="2250"/>
      <c r="BC388" s="2250"/>
      <c r="BD388" s="2250"/>
      <c r="BE388" s="2250"/>
      <c r="BF388" s="2276"/>
      <c r="BG388" s="2276"/>
      <c r="BH388" s="2250"/>
      <c r="BI388" s="2275"/>
      <c r="BJ388" s="284"/>
      <c r="BK388" s="3620">
        <f>IFERROR(VLOOKUP(BK372,BK374:BK385,1,0),0)</f>
        <v>0</v>
      </c>
      <c r="BL388" s="3685">
        <f>IF(BK388&gt;0,BK388,BL387)</f>
        <v>0</v>
      </c>
      <c r="BM388" s="3685">
        <f>VLOOKUP(BL388,BL374:BM385,2,0)</f>
        <v>400</v>
      </c>
      <c r="BN388" s="2250"/>
      <c r="BO388" s="2250"/>
      <c r="BP388" s="2250"/>
      <c r="BQ388" s="2250"/>
      <c r="BR388" s="2250"/>
      <c r="BS388" s="2250"/>
      <c r="BT388" s="2250"/>
      <c r="BU388" s="2250"/>
      <c r="BV388" s="2250"/>
      <c r="BW388" s="2250"/>
      <c r="BX388" s="284"/>
      <c r="BY388" s="3620">
        <f>IFERROR(VLOOKUP(BY372,BY374:BY385,1,0),0)</f>
        <v>0</v>
      </c>
      <c r="BZ388" s="3685">
        <f>IF(BY388&gt;0,BY388,BZ387)</f>
        <v>27.18</v>
      </c>
      <c r="CA388" s="3685">
        <f>VLOOKUP(BZ388,BZ374:CA385,2,0)</f>
        <v>950</v>
      </c>
      <c r="CB388" s="2250"/>
      <c r="CC388" s="2250"/>
      <c r="CD388" s="2250"/>
      <c r="CE388" s="2250"/>
      <c r="CF388" s="2250"/>
      <c r="CG388" s="2250"/>
      <c r="CH388" s="2250"/>
      <c r="CI388" s="2250"/>
      <c r="CJ388" s="2250"/>
      <c r="CK388" s="2250"/>
      <c r="CL388" s="284"/>
      <c r="CM388" s="3620">
        <f>IFERROR(VLOOKUP(CM372,CM374:CM385,1,0),0)</f>
        <v>0</v>
      </c>
      <c r="CN388" s="3685">
        <f>IF(CM388&gt;0,CM388,CN387)</f>
        <v>26.07</v>
      </c>
      <c r="CO388" s="3685">
        <f>VLOOKUP(CN388,CN374:CO385,2,0)</f>
        <v>1100</v>
      </c>
      <c r="CP388" s="2250"/>
      <c r="CQ388" s="2250"/>
      <c r="CR388" s="2250"/>
      <c r="CS388" s="2250"/>
      <c r="CT388" s="2250"/>
      <c r="CU388" s="2250"/>
      <c r="CV388" s="2250"/>
      <c r="CW388" s="2250"/>
      <c r="CX388" s="2250"/>
      <c r="CY388" s="2250"/>
      <c r="CZ388" s="284"/>
      <c r="DA388" s="3620">
        <f>IFERROR(VLOOKUP(DA372,DA374:DA385,1,0),0)</f>
        <v>0</v>
      </c>
      <c r="DB388" s="3685">
        <f>IF(DA388&gt;0,DA388,DB387)</f>
        <v>29.23</v>
      </c>
      <c r="DC388" s="3685">
        <f>VLOOKUP(DB388,DB374:DC385,2,0)</f>
        <v>1250</v>
      </c>
      <c r="DD388" s="2250"/>
      <c r="DE388" s="2250"/>
      <c r="DF388" s="2250"/>
      <c r="DG388" s="2250"/>
      <c r="DH388" s="2250"/>
      <c r="DI388" s="2250"/>
      <c r="DJ388" s="2250"/>
      <c r="DK388" s="2250"/>
      <c r="DL388" s="2250"/>
      <c r="DM388" s="2250"/>
      <c r="DN388" s="2250"/>
      <c r="DO388" s="53"/>
      <c r="DP388" s="53"/>
      <c r="DY388" s="284"/>
      <c r="DZ388" s="3620">
        <f>IFERROR(VLOOKUP(DZ372,DZ374:DZ385,1,0),0)</f>
        <v>0</v>
      </c>
      <c r="EA388" s="3685">
        <f>IF(DZ388&gt;0,DZ388,EA387)</f>
        <v>0</v>
      </c>
      <c r="EB388" s="3685">
        <f>VLOOKUP(EA388,EA374:EB385,2,0)</f>
        <v>400</v>
      </c>
      <c r="EC388" s="2250"/>
      <c r="ED388" s="2250"/>
      <c r="EE388" s="2250"/>
      <c r="EF388" s="2250"/>
      <c r="EG388" s="2250"/>
      <c r="EH388" s="2250"/>
      <c r="EI388" s="2250"/>
      <c r="EJ388" s="2250"/>
      <c r="EK388" s="2250"/>
      <c r="EL388" s="2250"/>
      <c r="EM388" s="284"/>
      <c r="EN388" s="3620">
        <f>IFERROR(VLOOKUP(EN372,EN374:EN385,1,0),0)</f>
        <v>0</v>
      </c>
      <c r="EO388" s="3685">
        <f>IF(EN388&gt;0,EN388,EO387)</f>
        <v>22.09</v>
      </c>
      <c r="EP388" s="3685">
        <f>VLOOKUP(EO388,EO374:EP385,2,0)</f>
        <v>775</v>
      </c>
      <c r="EQ388" s="2250"/>
      <c r="ER388" s="2250"/>
      <c r="ES388" s="2250"/>
      <c r="ET388" s="2250"/>
      <c r="EU388" s="2250"/>
      <c r="EV388" s="2250"/>
      <c r="EW388" s="2250"/>
      <c r="EX388" s="2250"/>
      <c r="EY388" s="2250"/>
      <c r="EZ388" s="2250"/>
      <c r="FA388" s="284"/>
      <c r="FB388" s="3620">
        <f>IFERROR(VLOOKUP(FB372,FB374:FB385,1,0),0)</f>
        <v>0</v>
      </c>
      <c r="FC388" s="3685">
        <f>IF(FB388&gt;0,FB388,FC387)</f>
        <v>22.47</v>
      </c>
      <c r="FD388" s="3685">
        <f>VLOOKUP(FC388,FC374:FD385,2,0)</f>
        <v>825</v>
      </c>
      <c r="FE388" s="2250"/>
      <c r="FF388" s="2250"/>
      <c r="FG388" s="2250"/>
      <c r="FH388" s="2250"/>
      <c r="FI388" s="2250"/>
      <c r="FJ388" s="2250"/>
      <c r="FK388" s="2250"/>
      <c r="FL388" s="2250"/>
      <c r="FM388" s="2250"/>
      <c r="FN388" s="2250"/>
      <c r="FO388" s="284"/>
      <c r="FP388" s="3620">
        <f>IFERROR(VLOOKUP(FP372,FP374:FP385,1,0),0)</f>
        <v>0</v>
      </c>
      <c r="FQ388" s="3685">
        <f>IF(FP388&gt;0,FP388,FQ387)</f>
        <v>25.46</v>
      </c>
      <c r="FR388" s="3685">
        <f>VLOOKUP(FQ388,FQ374:FR385,2,0)</f>
        <v>950</v>
      </c>
      <c r="FS388" s="2250"/>
      <c r="FT388" s="2250"/>
      <c r="FU388" s="2250"/>
      <c r="FV388" s="2250"/>
      <c r="FW388" s="2250"/>
      <c r="FX388" s="2250"/>
      <c r="FY388" s="2250"/>
      <c r="FZ388" s="2250"/>
      <c r="GA388" s="2250"/>
      <c r="GB388" s="2250"/>
      <c r="GC388" s="2276"/>
      <c r="GD388" s="2276"/>
      <c r="GE388" s="2250"/>
      <c r="GF388" s="2275"/>
      <c r="GG388" s="284"/>
      <c r="GH388" s="3620">
        <f>IFERROR(VLOOKUP(GH372,GH374:GH385,1,0),0)</f>
        <v>0</v>
      </c>
      <c r="GI388" s="3685">
        <f>IF(GH388&gt;0,GH388,GI387)</f>
        <v>0</v>
      </c>
      <c r="GJ388" s="3685">
        <f>VLOOKUP(GI388,GI374:GJ385,2,0)</f>
        <v>400</v>
      </c>
      <c r="GK388" s="2250"/>
      <c r="GL388" s="2250"/>
      <c r="GM388" s="2250"/>
      <c r="GN388" s="2250"/>
      <c r="GO388" s="2250"/>
      <c r="GP388" s="2250"/>
      <c r="GQ388" s="2250"/>
      <c r="GR388" s="2250"/>
      <c r="GS388" s="2250"/>
      <c r="GT388" s="2250"/>
      <c r="GU388" s="284"/>
      <c r="GV388" s="3620">
        <f>IFERROR(VLOOKUP(GV372,GV374:GV385,1,0),0)</f>
        <v>0</v>
      </c>
      <c r="GW388" s="3685">
        <f>IF(GV388&gt;0,GV388,GW387)</f>
        <v>20.74</v>
      </c>
      <c r="GX388" s="3685">
        <f>VLOOKUP(GW388,GW374:GX385,2,0)</f>
        <v>775</v>
      </c>
      <c r="GY388" s="2250"/>
      <c r="GZ388" s="2250"/>
      <c r="HA388" s="2250"/>
      <c r="HB388" s="2250"/>
      <c r="HC388" s="2250"/>
      <c r="HD388" s="2250"/>
      <c r="HE388" s="2250"/>
      <c r="HF388" s="2250"/>
      <c r="HG388" s="2250"/>
      <c r="HH388" s="2250"/>
      <c r="HI388" s="284"/>
      <c r="HJ388" s="3620">
        <f>IFERROR(VLOOKUP(HJ372,HJ374:HJ385,1,0),0)</f>
        <v>0</v>
      </c>
      <c r="HK388" s="3685">
        <f>IF(HJ388&gt;0,HJ388,HK387)</f>
        <v>21.2</v>
      </c>
      <c r="HL388" s="3685">
        <f>VLOOKUP(HK388,HK374:HL385,2,0)</f>
        <v>825</v>
      </c>
      <c r="HM388" s="2250"/>
      <c r="HN388" s="2250"/>
      <c r="HO388" s="2250"/>
      <c r="HP388" s="2250"/>
      <c r="HQ388" s="2250"/>
      <c r="HR388" s="2250"/>
      <c r="HS388" s="2250"/>
      <c r="HT388" s="2250"/>
      <c r="HU388" s="2250"/>
      <c r="HV388" s="2250"/>
      <c r="HW388" s="284"/>
      <c r="HX388" s="3620">
        <f>IFERROR(VLOOKUP(HX372,HX374:HX385,1,0),0)</f>
        <v>0</v>
      </c>
      <c r="HY388" s="3685">
        <f>IF(HX388&gt;0,HX388,HY387)</f>
        <v>23.38</v>
      </c>
      <c r="HZ388" s="3685">
        <f>VLOOKUP(HY388,HY374:HZ385,2,0)</f>
        <v>950</v>
      </c>
      <c r="IA388" s="2250"/>
      <c r="IB388" s="2250"/>
      <c r="IC388" s="2250"/>
      <c r="ID388" s="2250"/>
      <c r="IE388" s="2250"/>
      <c r="IF388" s="2250"/>
      <c r="IG388" s="2250"/>
      <c r="IH388" s="2250"/>
      <c r="II388" s="2250"/>
      <c r="IJ388" s="2250"/>
      <c r="IK388" s="2250"/>
      <c r="IL388" s="53"/>
      <c r="IM388" s="53"/>
    </row>
    <row r="389" spans="2:247" ht="21.95" customHeight="1" thickBot="1">
      <c r="B389" s="2279" t="s">
        <v>714</v>
      </c>
      <c r="C389" s="2341"/>
      <c r="D389" s="3691">
        <f>D388</f>
        <v>0</v>
      </c>
      <c r="E389" s="3667">
        <f>E388</f>
        <v>400</v>
      </c>
      <c r="F389" s="2250"/>
      <c r="G389" s="2250"/>
      <c r="H389" s="2250"/>
      <c r="I389" s="2250"/>
      <c r="J389" s="2250"/>
      <c r="K389" s="2250"/>
      <c r="L389" s="2250"/>
      <c r="M389" s="2250"/>
      <c r="N389" s="2250"/>
      <c r="O389" s="2250"/>
      <c r="P389" s="2279" t="s">
        <v>714</v>
      </c>
      <c r="Q389" s="2341"/>
      <c r="R389" s="3691">
        <f>R388</f>
        <v>20.86</v>
      </c>
      <c r="S389" s="3667">
        <f>S388</f>
        <v>825</v>
      </c>
      <c r="T389" s="2250"/>
      <c r="U389" s="2250"/>
      <c r="V389" s="2250"/>
      <c r="W389" s="2250"/>
      <c r="X389" s="2250"/>
      <c r="Y389" s="2250"/>
      <c r="Z389" s="2250"/>
      <c r="AA389" s="2250"/>
      <c r="AB389" s="2250"/>
      <c r="AC389" s="2250"/>
      <c r="AD389" s="2279" t="s">
        <v>714</v>
      </c>
      <c r="AE389" s="2341"/>
      <c r="AF389" s="3691">
        <f>AF388</f>
        <v>21.47</v>
      </c>
      <c r="AG389" s="3667">
        <f>AG388</f>
        <v>950</v>
      </c>
      <c r="AH389" s="2250"/>
      <c r="AI389" s="2250"/>
      <c r="AJ389" s="2250"/>
      <c r="AK389" s="2250"/>
      <c r="AL389" s="2250"/>
      <c r="AM389" s="2250"/>
      <c r="AN389" s="2250"/>
      <c r="AO389" s="2250"/>
      <c r="AP389" s="2250"/>
      <c r="AQ389" s="2250"/>
      <c r="AR389" s="2279" t="s">
        <v>714</v>
      </c>
      <c r="AS389" s="2341"/>
      <c r="AT389" s="3691">
        <f>AT388</f>
        <v>22</v>
      </c>
      <c r="AU389" s="3667">
        <f>AU388</f>
        <v>1100</v>
      </c>
      <c r="AV389" s="2250"/>
      <c r="AW389" s="2250"/>
      <c r="AX389" s="2250"/>
      <c r="AY389" s="2250"/>
      <c r="AZ389" s="2250"/>
      <c r="BA389" s="2250"/>
      <c r="BB389" s="2250"/>
      <c r="BC389" s="2250"/>
      <c r="BD389" s="2275"/>
      <c r="BE389" s="2275"/>
      <c r="BF389" s="2276"/>
      <c r="BG389" s="2276"/>
      <c r="BH389" s="2250"/>
      <c r="BI389" s="2275"/>
      <c r="BJ389" s="2279" t="s">
        <v>714</v>
      </c>
      <c r="BK389" s="2341"/>
      <c r="BL389" s="3691">
        <f>BL388</f>
        <v>0</v>
      </c>
      <c r="BM389" s="3667">
        <f>BM388</f>
        <v>400</v>
      </c>
      <c r="BN389" s="2250"/>
      <c r="BO389" s="2250"/>
      <c r="BP389" s="2250"/>
      <c r="BQ389" s="2250"/>
      <c r="BR389" s="2250"/>
      <c r="BS389" s="2250"/>
      <c r="BT389" s="2250"/>
      <c r="BU389" s="2250"/>
      <c r="BV389" s="2250"/>
      <c r="BW389" s="2250"/>
      <c r="BX389" s="2279" t="s">
        <v>714</v>
      </c>
      <c r="BY389" s="2341"/>
      <c r="BZ389" s="3691">
        <f>BZ388</f>
        <v>27.18</v>
      </c>
      <c r="CA389" s="3667">
        <f>CA388</f>
        <v>950</v>
      </c>
      <c r="CB389" s="2250"/>
      <c r="CC389" s="2250"/>
      <c r="CD389" s="2250"/>
      <c r="CE389" s="2250"/>
      <c r="CF389" s="2250"/>
      <c r="CG389" s="2250"/>
      <c r="CH389" s="2250"/>
      <c r="CI389" s="2250"/>
      <c r="CJ389" s="2250"/>
      <c r="CK389" s="2250"/>
      <c r="CL389" s="2279" t="s">
        <v>714</v>
      </c>
      <c r="CM389" s="2341"/>
      <c r="CN389" s="3691">
        <f>CN388</f>
        <v>26.07</v>
      </c>
      <c r="CO389" s="3667">
        <f>CO388</f>
        <v>1100</v>
      </c>
      <c r="CP389" s="2250"/>
      <c r="CQ389" s="2250"/>
      <c r="CR389" s="2250"/>
      <c r="CS389" s="2250"/>
      <c r="CT389" s="2250"/>
      <c r="CU389" s="2250"/>
      <c r="CV389" s="2250"/>
      <c r="CW389" s="2250"/>
      <c r="CX389" s="2250"/>
      <c r="CY389" s="2250"/>
      <c r="CZ389" s="2279" t="s">
        <v>714</v>
      </c>
      <c r="DA389" s="2341"/>
      <c r="DB389" s="3691">
        <f>DB388</f>
        <v>29.23</v>
      </c>
      <c r="DC389" s="3667">
        <f>DC388</f>
        <v>1250</v>
      </c>
      <c r="DD389" s="2250"/>
      <c r="DE389" s="2250"/>
      <c r="DF389" s="2250"/>
      <c r="DG389" s="2250"/>
      <c r="DH389" s="2250"/>
      <c r="DI389" s="2250"/>
      <c r="DJ389" s="2250"/>
      <c r="DK389" s="2250"/>
      <c r="DL389" s="2275"/>
      <c r="DM389" s="2275"/>
      <c r="DN389" s="2275"/>
      <c r="DO389" s="53"/>
      <c r="DP389" s="53"/>
      <c r="DY389" s="2279" t="s">
        <v>714</v>
      </c>
      <c r="DZ389" s="2341"/>
      <c r="EA389" s="3691">
        <f>EA388</f>
        <v>0</v>
      </c>
      <c r="EB389" s="3667">
        <f>EB388</f>
        <v>400</v>
      </c>
      <c r="EC389" s="2250"/>
      <c r="ED389" s="2250"/>
      <c r="EE389" s="2250"/>
      <c r="EF389" s="2250"/>
      <c r="EG389" s="2250"/>
      <c r="EH389" s="2250"/>
      <c r="EI389" s="2250"/>
      <c r="EJ389" s="2250"/>
      <c r="EK389" s="2250"/>
      <c r="EL389" s="2250"/>
      <c r="EM389" s="2279" t="s">
        <v>714</v>
      </c>
      <c r="EN389" s="2341"/>
      <c r="EO389" s="3691">
        <f>EO388</f>
        <v>22.09</v>
      </c>
      <c r="EP389" s="3667">
        <f>EP388</f>
        <v>775</v>
      </c>
      <c r="EQ389" s="2250"/>
      <c r="ER389" s="2250"/>
      <c r="ES389" s="2250"/>
      <c r="ET389" s="2250"/>
      <c r="EU389" s="2250"/>
      <c r="EV389" s="2250"/>
      <c r="EW389" s="2250"/>
      <c r="EX389" s="2250"/>
      <c r="EY389" s="2250"/>
      <c r="EZ389" s="2250"/>
      <c r="FA389" s="2279" t="s">
        <v>714</v>
      </c>
      <c r="FB389" s="2341"/>
      <c r="FC389" s="3691">
        <f>FC388</f>
        <v>22.47</v>
      </c>
      <c r="FD389" s="3667">
        <f>FD388</f>
        <v>825</v>
      </c>
      <c r="FE389" s="2250"/>
      <c r="FF389" s="2250"/>
      <c r="FG389" s="2250"/>
      <c r="FH389" s="2250"/>
      <c r="FI389" s="2250"/>
      <c r="FJ389" s="2250"/>
      <c r="FK389" s="2250"/>
      <c r="FL389" s="2250"/>
      <c r="FM389" s="2250"/>
      <c r="FN389" s="2250"/>
      <c r="FO389" s="2279" t="s">
        <v>714</v>
      </c>
      <c r="FP389" s="2341"/>
      <c r="FQ389" s="3691">
        <f>FQ388</f>
        <v>25.46</v>
      </c>
      <c r="FR389" s="3667">
        <f>FR388</f>
        <v>950</v>
      </c>
      <c r="FS389" s="2250"/>
      <c r="FT389" s="2250"/>
      <c r="FU389" s="2250"/>
      <c r="FV389" s="2250"/>
      <c r="FW389" s="2250"/>
      <c r="FX389" s="2250"/>
      <c r="FY389" s="2250"/>
      <c r="FZ389" s="2250"/>
      <c r="GA389" s="2275"/>
      <c r="GB389" s="2275"/>
      <c r="GC389" s="2276"/>
      <c r="GD389" s="2276"/>
      <c r="GE389" s="2250"/>
      <c r="GF389" s="2275"/>
      <c r="GG389" s="2279" t="s">
        <v>714</v>
      </c>
      <c r="GH389" s="2341"/>
      <c r="GI389" s="3691">
        <f>GI388</f>
        <v>0</v>
      </c>
      <c r="GJ389" s="3667">
        <f>GJ388</f>
        <v>400</v>
      </c>
      <c r="GK389" s="2250"/>
      <c r="GL389" s="2250"/>
      <c r="GM389" s="2250"/>
      <c r="GN389" s="2250"/>
      <c r="GO389" s="2250"/>
      <c r="GP389" s="2250"/>
      <c r="GQ389" s="2250"/>
      <c r="GR389" s="2250"/>
      <c r="GS389" s="2250"/>
      <c r="GT389" s="2250"/>
      <c r="GU389" s="2279" t="s">
        <v>714</v>
      </c>
      <c r="GV389" s="2341"/>
      <c r="GW389" s="3691">
        <f>GW388</f>
        <v>20.74</v>
      </c>
      <c r="GX389" s="3667">
        <f>GX388</f>
        <v>775</v>
      </c>
      <c r="GY389" s="2250"/>
      <c r="GZ389" s="2250"/>
      <c r="HA389" s="2250"/>
      <c r="HB389" s="2250"/>
      <c r="HC389" s="2250"/>
      <c r="HD389" s="2250"/>
      <c r="HE389" s="2250"/>
      <c r="HF389" s="2250"/>
      <c r="HG389" s="2250"/>
      <c r="HH389" s="2250"/>
      <c r="HI389" s="2279" t="s">
        <v>714</v>
      </c>
      <c r="HJ389" s="2341"/>
      <c r="HK389" s="3691">
        <f>HK388</f>
        <v>21.2</v>
      </c>
      <c r="HL389" s="3667">
        <f>HL388</f>
        <v>825</v>
      </c>
      <c r="HM389" s="2250"/>
      <c r="HN389" s="2250"/>
      <c r="HO389" s="2250"/>
      <c r="HP389" s="2250"/>
      <c r="HQ389" s="2250"/>
      <c r="HR389" s="2250"/>
      <c r="HS389" s="2250"/>
      <c r="HT389" s="2250"/>
      <c r="HU389" s="2250"/>
      <c r="HV389" s="2250"/>
      <c r="HW389" s="2279" t="s">
        <v>714</v>
      </c>
      <c r="HX389" s="2341"/>
      <c r="HY389" s="3691">
        <f>HY388</f>
        <v>23.38</v>
      </c>
      <c r="HZ389" s="3667">
        <f>HZ388</f>
        <v>950</v>
      </c>
      <c r="IA389" s="2250"/>
      <c r="IB389" s="2250"/>
      <c r="IC389" s="2250"/>
      <c r="ID389" s="2250"/>
      <c r="IE389" s="2250"/>
      <c r="IF389" s="2250"/>
      <c r="IG389" s="2250"/>
      <c r="IH389" s="2250"/>
      <c r="II389" s="2275"/>
      <c r="IJ389" s="2275"/>
      <c r="IK389" s="2275"/>
      <c r="IL389" s="53"/>
      <c r="IM389" s="53"/>
    </row>
    <row r="390" spans="2:247" ht="21.95" customHeight="1">
      <c r="B390" s="2250"/>
      <c r="C390" s="2250"/>
      <c r="D390" s="2250"/>
      <c r="E390" s="2250"/>
      <c r="F390" s="2250"/>
      <c r="G390" s="2250"/>
      <c r="H390" s="2250"/>
      <c r="I390" s="2250"/>
      <c r="J390" s="2250"/>
      <c r="K390" s="2250"/>
      <c r="L390" s="2250"/>
      <c r="M390" s="2250"/>
      <c r="N390" s="2250"/>
      <c r="O390" s="2250"/>
      <c r="P390" s="2250"/>
      <c r="Q390" s="2250"/>
      <c r="R390" s="2250"/>
      <c r="S390" s="2250"/>
      <c r="T390" s="2250"/>
      <c r="U390" s="2250"/>
      <c r="V390" s="2250"/>
      <c r="W390" s="2250"/>
      <c r="X390" s="2250"/>
      <c r="Y390" s="2250"/>
      <c r="Z390" s="2250"/>
      <c r="AA390" s="2250"/>
      <c r="AB390" s="2250"/>
      <c r="AC390" s="2250"/>
      <c r="AD390" s="2250"/>
      <c r="AE390" s="2250"/>
      <c r="AF390" s="2250"/>
      <c r="AG390" s="2250"/>
      <c r="AH390" s="2250"/>
      <c r="AI390" s="2250"/>
      <c r="AJ390" s="2250"/>
      <c r="AK390" s="2250"/>
      <c r="AL390" s="2250"/>
      <c r="AM390" s="2250"/>
      <c r="AN390" s="2250"/>
      <c r="AO390" s="2250"/>
      <c r="AP390" s="2250"/>
      <c r="AQ390" s="2250"/>
      <c r="AR390" s="2250"/>
      <c r="AS390" s="2250"/>
      <c r="AT390" s="2250"/>
      <c r="AU390" s="2250"/>
      <c r="AV390" s="2250"/>
      <c r="AW390" s="2250"/>
      <c r="AX390" s="2250"/>
      <c r="AY390" s="2250"/>
      <c r="AZ390" s="2250"/>
      <c r="BA390" s="2250"/>
      <c r="BB390" s="2250"/>
      <c r="BC390" s="2250"/>
      <c r="BD390" s="2275"/>
      <c r="BE390" s="2275"/>
      <c r="BF390" s="2276"/>
      <c r="BG390" s="2276"/>
      <c r="BH390" s="2250"/>
      <c r="BI390" s="2275"/>
      <c r="BJ390" s="2250"/>
      <c r="BK390" s="2250"/>
      <c r="BL390" s="2250"/>
      <c r="BM390" s="2250"/>
      <c r="BN390" s="2250"/>
      <c r="BO390" s="2250"/>
      <c r="BP390" s="2250"/>
      <c r="BQ390" s="2250"/>
      <c r="BR390" s="2250"/>
      <c r="BS390" s="2250"/>
      <c r="BT390" s="2250"/>
      <c r="BU390" s="2250"/>
      <c r="BV390" s="2250"/>
      <c r="BW390" s="2250"/>
      <c r="BX390" s="2250"/>
      <c r="BY390" s="2250"/>
      <c r="BZ390" s="2250"/>
      <c r="CA390" s="2250"/>
      <c r="CB390" s="2250"/>
      <c r="CC390" s="2250"/>
      <c r="CD390" s="2250"/>
      <c r="CE390" s="2250"/>
      <c r="CF390" s="2250"/>
      <c r="CG390" s="2250"/>
      <c r="CH390" s="2250"/>
      <c r="CI390" s="2250"/>
      <c r="CJ390" s="2250"/>
      <c r="CK390" s="2250"/>
      <c r="CL390" s="2250"/>
      <c r="CM390" s="2250"/>
      <c r="CN390" s="2250"/>
      <c r="CO390" s="2250"/>
      <c r="CP390" s="2250"/>
      <c r="CQ390" s="2250"/>
      <c r="CR390" s="2250"/>
      <c r="CS390" s="2250"/>
      <c r="CT390" s="2250"/>
      <c r="CU390" s="2250"/>
      <c r="CV390" s="2250"/>
      <c r="CW390" s="2250"/>
      <c r="CX390" s="2250"/>
      <c r="CY390" s="2250"/>
      <c r="CZ390" s="2250"/>
      <c r="DA390" s="2250"/>
      <c r="DB390" s="2250"/>
      <c r="DC390" s="2250"/>
      <c r="DD390" s="2250"/>
      <c r="DE390" s="2250"/>
      <c r="DF390" s="2250"/>
      <c r="DG390" s="2250"/>
      <c r="DH390" s="2250"/>
      <c r="DI390" s="2250"/>
      <c r="DJ390" s="2250"/>
      <c r="DK390" s="2250"/>
      <c r="DL390" s="2275"/>
      <c r="DM390" s="2275"/>
      <c r="DN390" s="2275"/>
      <c r="DO390" s="53"/>
      <c r="DP390" s="53"/>
      <c r="DY390" s="2250"/>
      <c r="DZ390" s="2250"/>
      <c r="EA390" s="2250"/>
      <c r="EB390" s="2250"/>
      <c r="EC390" s="2250"/>
      <c r="ED390" s="2250"/>
      <c r="EE390" s="2250"/>
      <c r="EF390" s="2250"/>
      <c r="EG390" s="2250"/>
      <c r="EH390" s="2250"/>
      <c r="EI390" s="2250"/>
      <c r="EJ390" s="2250"/>
      <c r="EK390" s="2250"/>
      <c r="EL390" s="2250"/>
      <c r="EM390" s="2250"/>
      <c r="EN390" s="2250"/>
      <c r="EO390" s="2250"/>
      <c r="EP390" s="2250"/>
      <c r="EQ390" s="2250"/>
      <c r="ER390" s="2250"/>
      <c r="ES390" s="2250"/>
      <c r="ET390" s="2250"/>
      <c r="EU390" s="2250"/>
      <c r="EV390" s="2250"/>
      <c r="EW390" s="2250"/>
      <c r="EX390" s="2250"/>
      <c r="EY390" s="2250"/>
      <c r="EZ390" s="2250"/>
      <c r="FA390" s="2250"/>
      <c r="FB390" s="2250"/>
      <c r="FC390" s="2250"/>
      <c r="FD390" s="2250"/>
      <c r="FE390" s="2250"/>
      <c r="FF390" s="2250"/>
      <c r="FG390" s="2250"/>
      <c r="FH390" s="2250"/>
      <c r="FI390" s="2250"/>
      <c r="FJ390" s="2250"/>
      <c r="FK390" s="2250"/>
      <c r="FL390" s="2250"/>
      <c r="FM390" s="2250"/>
      <c r="FN390" s="2250"/>
      <c r="FO390" s="2250"/>
      <c r="FP390" s="2250"/>
      <c r="FQ390" s="2250"/>
      <c r="FR390" s="2250"/>
      <c r="FS390" s="2250"/>
      <c r="FT390" s="2250"/>
      <c r="FU390" s="2250"/>
      <c r="FV390" s="2250"/>
      <c r="FW390" s="2250"/>
      <c r="FX390" s="2250"/>
      <c r="FY390" s="2250"/>
      <c r="FZ390" s="2250"/>
      <c r="GA390" s="2275"/>
      <c r="GB390" s="2275"/>
      <c r="GC390" s="2276"/>
      <c r="GD390" s="2276"/>
      <c r="GE390" s="2250"/>
      <c r="GF390" s="2275"/>
      <c r="GG390" s="2250"/>
      <c r="GH390" s="2250"/>
      <c r="GI390" s="2250"/>
      <c r="GJ390" s="2250"/>
      <c r="GK390" s="2250"/>
      <c r="GL390" s="2250"/>
      <c r="GM390" s="2250"/>
      <c r="GN390" s="2250"/>
      <c r="GO390" s="2250"/>
      <c r="GP390" s="2250"/>
      <c r="GQ390" s="2250"/>
      <c r="GR390" s="2250"/>
      <c r="GS390" s="2250"/>
      <c r="GT390" s="2250"/>
      <c r="GU390" s="2250"/>
      <c r="GV390" s="2250"/>
      <c r="GW390" s="2250"/>
      <c r="GX390" s="2250"/>
      <c r="GY390" s="2250"/>
      <c r="GZ390" s="2250"/>
      <c r="HA390" s="2250"/>
      <c r="HB390" s="2250"/>
      <c r="HC390" s="2250"/>
      <c r="HD390" s="2250"/>
      <c r="HE390" s="2250"/>
      <c r="HF390" s="2250"/>
      <c r="HG390" s="2250"/>
      <c r="HH390" s="2250"/>
      <c r="HI390" s="2250"/>
      <c r="HJ390" s="2250"/>
      <c r="HK390" s="2250"/>
      <c r="HL390" s="2250"/>
      <c r="HM390" s="2250"/>
      <c r="HN390" s="2250"/>
      <c r="HO390" s="2250"/>
      <c r="HP390" s="2250"/>
      <c r="HQ390" s="2250"/>
      <c r="HR390" s="2250"/>
      <c r="HS390" s="2250"/>
      <c r="HT390" s="2250"/>
      <c r="HU390" s="2250"/>
      <c r="HV390" s="2250"/>
      <c r="HW390" s="2250"/>
      <c r="HX390" s="2250"/>
      <c r="HY390" s="2250"/>
      <c r="HZ390" s="2250"/>
      <c r="IA390" s="2250"/>
      <c r="IB390" s="2250"/>
      <c r="IC390" s="2250"/>
      <c r="ID390" s="2250"/>
      <c r="IE390" s="2250"/>
      <c r="IF390" s="2250"/>
      <c r="IG390" s="2250"/>
      <c r="IH390" s="2250"/>
      <c r="II390" s="2275"/>
      <c r="IJ390" s="2275"/>
      <c r="IK390" s="2275"/>
      <c r="IL390" s="53"/>
      <c r="IM390" s="53"/>
    </row>
    <row r="391" spans="2:247" ht="21.95" customHeight="1">
      <c r="B391" s="2292" t="s">
        <v>736</v>
      </c>
      <c r="C391" s="2292">
        <v>400</v>
      </c>
      <c r="D391" s="2292">
        <v>475</v>
      </c>
      <c r="E391" s="2292">
        <v>550</v>
      </c>
      <c r="F391" s="2292">
        <v>650</v>
      </c>
      <c r="G391" s="2292">
        <v>775</v>
      </c>
      <c r="H391" s="2292">
        <v>825</v>
      </c>
      <c r="I391" s="2292">
        <v>950</v>
      </c>
      <c r="J391" s="2292">
        <v>1100</v>
      </c>
      <c r="K391" s="2292">
        <v>1250</v>
      </c>
      <c r="L391" s="2292">
        <v>1450</v>
      </c>
      <c r="M391" s="2292">
        <v>1650</v>
      </c>
      <c r="N391" s="2275"/>
      <c r="O391" s="2275"/>
      <c r="P391" s="2292" t="s">
        <v>736</v>
      </c>
      <c r="Q391" s="2292">
        <v>400</v>
      </c>
      <c r="R391" s="2292">
        <v>475</v>
      </c>
      <c r="S391" s="2292">
        <v>550</v>
      </c>
      <c r="T391" s="2292">
        <v>650</v>
      </c>
      <c r="U391" s="2292">
        <v>775</v>
      </c>
      <c r="V391" s="2292">
        <v>825</v>
      </c>
      <c r="W391" s="2292">
        <v>950</v>
      </c>
      <c r="X391" s="2292">
        <v>1100</v>
      </c>
      <c r="Y391" s="2292">
        <v>1250</v>
      </c>
      <c r="Z391" s="2292">
        <v>1450</v>
      </c>
      <c r="AA391" s="2292">
        <v>1650</v>
      </c>
      <c r="AB391" s="2275"/>
      <c r="AC391" s="2275"/>
      <c r="AD391" s="2292" t="s">
        <v>736</v>
      </c>
      <c r="AE391" s="2292">
        <v>400</v>
      </c>
      <c r="AF391" s="2292">
        <v>475</v>
      </c>
      <c r="AG391" s="2292">
        <v>550</v>
      </c>
      <c r="AH391" s="2292">
        <v>650</v>
      </c>
      <c r="AI391" s="2292">
        <v>775</v>
      </c>
      <c r="AJ391" s="2292">
        <v>825</v>
      </c>
      <c r="AK391" s="2292">
        <v>950</v>
      </c>
      <c r="AL391" s="2292">
        <v>1100</v>
      </c>
      <c r="AM391" s="2292">
        <v>1250</v>
      </c>
      <c r="AN391" s="2292">
        <v>1450</v>
      </c>
      <c r="AO391" s="2292">
        <v>1650</v>
      </c>
      <c r="AP391" s="2275"/>
      <c r="AQ391" s="2275"/>
      <c r="AR391" s="2292" t="s">
        <v>736</v>
      </c>
      <c r="AS391" s="2292">
        <v>400</v>
      </c>
      <c r="AT391" s="2292">
        <v>475</v>
      </c>
      <c r="AU391" s="2292">
        <v>550</v>
      </c>
      <c r="AV391" s="2292">
        <v>650</v>
      </c>
      <c r="AW391" s="2292">
        <v>775</v>
      </c>
      <c r="AX391" s="2292">
        <v>825</v>
      </c>
      <c r="AY391" s="2292">
        <v>950</v>
      </c>
      <c r="AZ391" s="2292">
        <v>1100</v>
      </c>
      <c r="BA391" s="2292">
        <v>1250</v>
      </c>
      <c r="BB391" s="2292">
        <v>1450</v>
      </c>
      <c r="BC391" s="2292">
        <v>1650</v>
      </c>
      <c r="BD391" s="2275"/>
      <c r="BE391" s="2275"/>
      <c r="BF391" s="2276"/>
      <c r="BG391" s="2276"/>
      <c r="BH391" s="2250"/>
      <c r="BI391" s="2275"/>
      <c r="BJ391" s="2292" t="s">
        <v>736</v>
      </c>
      <c r="BK391" s="2292">
        <v>400</v>
      </c>
      <c r="BL391" s="2292">
        <v>475</v>
      </c>
      <c r="BM391" s="2292">
        <v>550</v>
      </c>
      <c r="BN391" s="2292">
        <v>650</v>
      </c>
      <c r="BO391" s="2292">
        <v>775</v>
      </c>
      <c r="BP391" s="2292">
        <v>825</v>
      </c>
      <c r="BQ391" s="2292">
        <v>950</v>
      </c>
      <c r="BR391" s="2292">
        <v>1100</v>
      </c>
      <c r="BS391" s="2292">
        <v>1250</v>
      </c>
      <c r="BT391" s="2292">
        <v>1450</v>
      </c>
      <c r="BU391" s="2292">
        <v>1650</v>
      </c>
      <c r="BV391" s="2275"/>
      <c r="BW391" s="2275"/>
      <c r="BX391" s="2292" t="s">
        <v>736</v>
      </c>
      <c r="BY391" s="2292">
        <v>400</v>
      </c>
      <c r="BZ391" s="2292">
        <v>475</v>
      </c>
      <c r="CA391" s="2292">
        <v>550</v>
      </c>
      <c r="CB391" s="2292">
        <v>650</v>
      </c>
      <c r="CC391" s="2292">
        <v>775</v>
      </c>
      <c r="CD391" s="2292">
        <v>825</v>
      </c>
      <c r="CE391" s="2292">
        <v>950</v>
      </c>
      <c r="CF391" s="2292">
        <v>1100</v>
      </c>
      <c r="CG391" s="2292">
        <v>1250</v>
      </c>
      <c r="CH391" s="2292">
        <v>1450</v>
      </c>
      <c r="CI391" s="2292">
        <v>1650</v>
      </c>
      <c r="CJ391" s="2275"/>
      <c r="CK391" s="2275"/>
      <c r="CL391" s="2292" t="s">
        <v>736</v>
      </c>
      <c r="CM391" s="2292">
        <v>400</v>
      </c>
      <c r="CN391" s="2292">
        <v>475</v>
      </c>
      <c r="CO391" s="2292">
        <v>550</v>
      </c>
      <c r="CP391" s="2292">
        <v>650</v>
      </c>
      <c r="CQ391" s="2292">
        <v>775</v>
      </c>
      <c r="CR391" s="2292">
        <v>825</v>
      </c>
      <c r="CS391" s="2292">
        <v>950</v>
      </c>
      <c r="CT391" s="2292">
        <v>1100</v>
      </c>
      <c r="CU391" s="2292">
        <v>1250</v>
      </c>
      <c r="CV391" s="2292">
        <v>1450</v>
      </c>
      <c r="CW391" s="2292">
        <v>1650</v>
      </c>
      <c r="CX391" s="2275"/>
      <c r="CY391" s="2275"/>
      <c r="CZ391" s="2292" t="s">
        <v>736</v>
      </c>
      <c r="DA391" s="2292">
        <v>400</v>
      </c>
      <c r="DB391" s="2292">
        <v>475</v>
      </c>
      <c r="DC391" s="2292">
        <v>550</v>
      </c>
      <c r="DD391" s="2292">
        <v>650</v>
      </c>
      <c r="DE391" s="2292">
        <v>775</v>
      </c>
      <c r="DF391" s="2292">
        <v>825</v>
      </c>
      <c r="DG391" s="2292">
        <v>950</v>
      </c>
      <c r="DH391" s="2292">
        <v>1100</v>
      </c>
      <c r="DI391" s="2292">
        <v>1250</v>
      </c>
      <c r="DJ391" s="2292">
        <v>1450</v>
      </c>
      <c r="DK391" s="2292">
        <v>1650</v>
      </c>
      <c r="DL391" s="2275"/>
      <c r="DM391" s="2275"/>
      <c r="DN391" s="2275"/>
      <c r="DO391" s="53"/>
      <c r="DP391" s="53"/>
      <c r="DY391" s="2292" t="s">
        <v>736</v>
      </c>
      <c r="DZ391" s="2292">
        <v>400</v>
      </c>
      <c r="EA391" s="2292">
        <v>475</v>
      </c>
      <c r="EB391" s="2292">
        <v>550</v>
      </c>
      <c r="EC391" s="2292">
        <v>650</v>
      </c>
      <c r="ED391" s="2292">
        <v>775</v>
      </c>
      <c r="EE391" s="2292">
        <v>825</v>
      </c>
      <c r="EF391" s="2292">
        <v>950</v>
      </c>
      <c r="EG391" s="2292">
        <v>1100</v>
      </c>
      <c r="EH391" s="2292">
        <v>1250</v>
      </c>
      <c r="EI391" s="2292">
        <v>1450</v>
      </c>
      <c r="EJ391" s="2292">
        <v>1650</v>
      </c>
      <c r="EK391" s="2275"/>
      <c r="EL391" s="2275"/>
      <c r="EM391" s="2292" t="s">
        <v>736</v>
      </c>
      <c r="EN391" s="2292">
        <v>400</v>
      </c>
      <c r="EO391" s="2292">
        <v>475</v>
      </c>
      <c r="EP391" s="2292">
        <v>550</v>
      </c>
      <c r="EQ391" s="2292">
        <v>650</v>
      </c>
      <c r="ER391" s="2292">
        <v>775</v>
      </c>
      <c r="ES391" s="2292">
        <v>825</v>
      </c>
      <c r="ET391" s="2292">
        <v>950</v>
      </c>
      <c r="EU391" s="2292">
        <v>1100</v>
      </c>
      <c r="EV391" s="2292">
        <v>1250</v>
      </c>
      <c r="EW391" s="2292">
        <v>1450</v>
      </c>
      <c r="EX391" s="2292">
        <v>1650</v>
      </c>
      <c r="EY391" s="2275"/>
      <c r="EZ391" s="2275"/>
      <c r="FA391" s="2292" t="s">
        <v>736</v>
      </c>
      <c r="FB391" s="2292">
        <v>400</v>
      </c>
      <c r="FC391" s="2292">
        <v>475</v>
      </c>
      <c r="FD391" s="2292">
        <v>550</v>
      </c>
      <c r="FE391" s="2292">
        <v>650</v>
      </c>
      <c r="FF391" s="2292">
        <v>775</v>
      </c>
      <c r="FG391" s="2292">
        <v>825</v>
      </c>
      <c r="FH391" s="2292">
        <v>950</v>
      </c>
      <c r="FI391" s="2292">
        <v>1100</v>
      </c>
      <c r="FJ391" s="2292">
        <v>1250</v>
      </c>
      <c r="FK391" s="2292">
        <v>1450</v>
      </c>
      <c r="FL391" s="2292">
        <v>1650</v>
      </c>
      <c r="FM391" s="2275"/>
      <c r="FN391" s="2275"/>
      <c r="FO391" s="2292" t="s">
        <v>736</v>
      </c>
      <c r="FP391" s="2292">
        <v>400</v>
      </c>
      <c r="FQ391" s="2292">
        <v>475</v>
      </c>
      <c r="FR391" s="2292">
        <v>550</v>
      </c>
      <c r="FS391" s="2292">
        <v>650</v>
      </c>
      <c r="FT391" s="2292">
        <v>775</v>
      </c>
      <c r="FU391" s="2292">
        <v>825</v>
      </c>
      <c r="FV391" s="2292">
        <v>950</v>
      </c>
      <c r="FW391" s="2292">
        <v>1100</v>
      </c>
      <c r="FX391" s="2292">
        <v>1250</v>
      </c>
      <c r="FY391" s="2292">
        <v>1450</v>
      </c>
      <c r="FZ391" s="2292">
        <v>1650</v>
      </c>
      <c r="GA391" s="2275"/>
      <c r="GB391" s="2275"/>
      <c r="GC391" s="2276"/>
      <c r="GD391" s="2276"/>
      <c r="GE391" s="2250"/>
      <c r="GF391" s="2275"/>
      <c r="GG391" s="2292" t="s">
        <v>736</v>
      </c>
      <c r="GH391" s="2292">
        <v>400</v>
      </c>
      <c r="GI391" s="2292">
        <v>475</v>
      </c>
      <c r="GJ391" s="2292">
        <v>550</v>
      </c>
      <c r="GK391" s="2292">
        <v>650</v>
      </c>
      <c r="GL391" s="2292">
        <v>775</v>
      </c>
      <c r="GM391" s="2292">
        <v>825</v>
      </c>
      <c r="GN391" s="2292">
        <v>950</v>
      </c>
      <c r="GO391" s="2292">
        <v>1100</v>
      </c>
      <c r="GP391" s="2292">
        <v>1250</v>
      </c>
      <c r="GQ391" s="2292">
        <v>1450</v>
      </c>
      <c r="GR391" s="2292">
        <v>1650</v>
      </c>
      <c r="GS391" s="2275"/>
      <c r="GT391" s="2275"/>
      <c r="GU391" s="2292" t="s">
        <v>736</v>
      </c>
      <c r="GV391" s="2292">
        <v>400</v>
      </c>
      <c r="GW391" s="2292">
        <v>475</v>
      </c>
      <c r="GX391" s="2292">
        <v>550</v>
      </c>
      <c r="GY391" s="2292">
        <v>650</v>
      </c>
      <c r="GZ391" s="2292">
        <v>775</v>
      </c>
      <c r="HA391" s="2292">
        <v>825</v>
      </c>
      <c r="HB391" s="2292">
        <v>950</v>
      </c>
      <c r="HC391" s="2292">
        <v>1100</v>
      </c>
      <c r="HD391" s="2292">
        <v>1250</v>
      </c>
      <c r="HE391" s="2292">
        <v>1450</v>
      </c>
      <c r="HF391" s="2292">
        <v>1650</v>
      </c>
      <c r="HG391" s="2275"/>
      <c r="HH391" s="2275"/>
      <c r="HI391" s="2292" t="s">
        <v>736</v>
      </c>
      <c r="HJ391" s="2292">
        <v>400</v>
      </c>
      <c r="HK391" s="2292">
        <v>475</v>
      </c>
      <c r="HL391" s="2292">
        <v>550</v>
      </c>
      <c r="HM391" s="2292">
        <v>650</v>
      </c>
      <c r="HN391" s="2292">
        <v>775</v>
      </c>
      <c r="HO391" s="2292">
        <v>825</v>
      </c>
      <c r="HP391" s="2292">
        <v>950</v>
      </c>
      <c r="HQ391" s="2292">
        <v>1100</v>
      </c>
      <c r="HR391" s="2292">
        <v>1250</v>
      </c>
      <c r="HS391" s="2292">
        <v>1450</v>
      </c>
      <c r="HT391" s="2292">
        <v>1650</v>
      </c>
      <c r="HU391" s="2275"/>
      <c r="HV391" s="2275"/>
      <c r="HW391" s="2292" t="s">
        <v>736</v>
      </c>
      <c r="HX391" s="2292">
        <v>400</v>
      </c>
      <c r="HY391" s="2292">
        <v>475</v>
      </c>
      <c r="HZ391" s="2292">
        <v>550</v>
      </c>
      <c r="IA391" s="2292">
        <v>650</v>
      </c>
      <c r="IB391" s="2292">
        <v>775</v>
      </c>
      <c r="IC391" s="2292">
        <v>825</v>
      </c>
      <c r="ID391" s="2292">
        <v>950</v>
      </c>
      <c r="IE391" s="2292">
        <v>1100</v>
      </c>
      <c r="IF391" s="2292">
        <v>1250</v>
      </c>
      <c r="IG391" s="2292">
        <v>1450</v>
      </c>
      <c r="IH391" s="2292">
        <v>1650</v>
      </c>
      <c r="II391" s="2275"/>
      <c r="IJ391" s="2275"/>
      <c r="IK391" s="2275"/>
      <c r="IL391" s="53"/>
      <c r="IM391" s="53"/>
    </row>
    <row r="392" spans="2:247" ht="21.95" customHeight="1">
      <c r="B392" s="3660">
        <f>C371</f>
        <v>190.4</v>
      </c>
      <c r="C392" s="3660">
        <f>VLOOKUP(B392,B343:M369,2,0)</f>
        <v>0</v>
      </c>
      <c r="D392" s="3660">
        <f>VLOOKUP(B392,B343:M369,3,0)</f>
        <v>0</v>
      </c>
      <c r="E392" s="3660">
        <f>VLOOKUP(B392,B343:M369,4,0)</f>
        <v>0</v>
      </c>
      <c r="F392" s="3660">
        <f>VLOOKUP(B392,B343:M369,5,0)</f>
        <v>0</v>
      </c>
      <c r="G392" s="3660">
        <f>VLOOKUP(B392,B343:M369,6,0)</f>
        <v>0</v>
      </c>
      <c r="H392" s="3660">
        <f>VLOOKUP(B392,B343:M369,7,0)</f>
        <v>0</v>
      </c>
      <c r="I392" s="3660">
        <f>VLOOKUP(B392,B343:M369,8,0)</f>
        <v>0</v>
      </c>
      <c r="J392" s="3660">
        <f>VLOOKUP(B392,B343:M369,9,0)</f>
        <v>0</v>
      </c>
      <c r="K392" s="3660">
        <f>VLOOKUP(B392,B343:M369,10,0)</f>
        <v>0</v>
      </c>
      <c r="L392" s="3660">
        <f>VLOOKUP(B392,B343:M369,11,0)</f>
        <v>0</v>
      </c>
      <c r="M392" s="3660">
        <f>VLOOKUP(B392,B343:M369,12,0)</f>
        <v>0</v>
      </c>
      <c r="N392" s="2275"/>
      <c r="O392" s="2275"/>
      <c r="P392" s="3660">
        <f>Q371</f>
        <v>190.4</v>
      </c>
      <c r="Q392" s="3660">
        <f>VLOOKUP(P392,P343:AA369,2,0)</f>
        <v>0</v>
      </c>
      <c r="R392" s="3660">
        <f>VLOOKUP(P392,P343:AA369,3,0)</f>
        <v>2.76</v>
      </c>
      <c r="S392" s="3660">
        <f>VLOOKUP(P392,P343:AA369,4,0)</f>
        <v>5.34</v>
      </c>
      <c r="T392" s="3660">
        <f>VLOOKUP(P392,P343:AA369,5,0)</f>
        <v>9.26</v>
      </c>
      <c r="U392" s="3660">
        <f>VLOOKUP(P392,P343:AA369,6,0)</f>
        <v>14.72</v>
      </c>
      <c r="V392" s="3660">
        <f>VLOOKUP(P392,P343:AA369,7,0)</f>
        <v>20.86</v>
      </c>
      <c r="W392" s="3660">
        <f>VLOOKUP(P392,P343:AA369,8,0)</f>
        <v>30.12</v>
      </c>
      <c r="X392" s="3660">
        <f>VLOOKUP(P392,P343:AA369,9,0)</f>
        <v>40.43</v>
      </c>
      <c r="Y392" s="3660">
        <f>VLOOKUP(P392,P343:AA369,10,0)</f>
        <v>58.34</v>
      </c>
      <c r="Z392" s="3660">
        <f>VLOOKUP(P392,P343:AA369,11,0)</f>
        <v>91.47</v>
      </c>
      <c r="AA392" s="3660">
        <f>VLOOKUP(P392,P343:AA369,12,0)</f>
        <v>132.58000000000001</v>
      </c>
      <c r="AB392" s="2275"/>
      <c r="AC392" s="2275"/>
      <c r="AD392" s="3660">
        <f>AE371</f>
        <v>190.4</v>
      </c>
      <c r="AE392" s="3660">
        <f>VLOOKUP(AD392,AD343:AO369,2,0)</f>
        <v>0</v>
      </c>
      <c r="AF392" s="3660">
        <f>VLOOKUP(AD392,AD343:AO369,3,0)</f>
        <v>2.2000000000000002</v>
      </c>
      <c r="AG392" s="3660">
        <f>VLOOKUP(AD392,AD343:AO369,4,0)</f>
        <v>4.13</v>
      </c>
      <c r="AH392" s="3660">
        <f>VLOOKUP(AD392,AD343:AO369,5,0)</f>
        <v>6.93</v>
      </c>
      <c r="AI392" s="3660">
        <f>VLOOKUP(AD392,AD343:AO369,6,0)</f>
        <v>10.6</v>
      </c>
      <c r="AJ392" s="3660">
        <f>VLOOKUP(AD392,AD343:AO369,7,0)</f>
        <v>14.87</v>
      </c>
      <c r="AK392" s="3660">
        <f>VLOOKUP(AD392,AD343:AO369,8,0)</f>
        <v>21.47</v>
      </c>
      <c r="AL392" s="3660">
        <f>VLOOKUP(AD392,AD343:AO369,9,0)</f>
        <v>28.87</v>
      </c>
      <c r="AM392" s="3660">
        <f>VLOOKUP(AD392,AD343:AO369,10,0)</f>
        <v>42.4</v>
      </c>
      <c r="AN392" s="3660">
        <f>VLOOKUP(AD392,AD343:AO369,11,0)</f>
        <v>65.27</v>
      </c>
      <c r="AO392" s="3660">
        <f>VLOOKUP(AD392,AD343:AO369,12,0)</f>
        <v>94.87</v>
      </c>
      <c r="AP392" s="2275"/>
      <c r="AQ392" s="2275"/>
      <c r="AR392" s="3660">
        <f>AS371</f>
        <v>190.4</v>
      </c>
      <c r="AS392" s="3660">
        <f>VLOOKUP(AR392,AR343:BC369,2,0)</f>
        <v>0</v>
      </c>
      <c r="AT392" s="3660">
        <f>VLOOKUP(AR392,AR343:BC369,3,0)</f>
        <v>1.69</v>
      </c>
      <c r="AU392" s="3660">
        <f>VLOOKUP(AR392,AR343:BC369,4,0)</f>
        <v>3.15</v>
      </c>
      <c r="AV392" s="3660">
        <f>VLOOKUP(AR392,AR343:BC369,5,0)</f>
        <v>5.23</v>
      </c>
      <c r="AW392" s="3660">
        <f>VLOOKUP(AR392,AR343:BC369,6,0)</f>
        <v>8.08</v>
      </c>
      <c r="AX392" s="3660">
        <f>VLOOKUP(AR392,AR343:BC369,7,0)</f>
        <v>11.31</v>
      </c>
      <c r="AY392" s="3660">
        <f>VLOOKUP(AR392,AR343:BC369,8,0)</f>
        <v>16.38</v>
      </c>
      <c r="AZ392" s="3660">
        <f>VLOOKUP(AR392,AR343:BC369,9,0)</f>
        <v>22</v>
      </c>
      <c r="BA392" s="3660">
        <f>VLOOKUP(AR392,AR343:BC369,10,0)</f>
        <v>32.31</v>
      </c>
      <c r="BB392" s="3660">
        <f>VLOOKUP(AR392,AR343:BC369,11,0)</f>
        <v>49.77</v>
      </c>
      <c r="BC392" s="3660">
        <f>VLOOKUP(AR392,AR343:BC369,12,0)</f>
        <v>72.150000000000006</v>
      </c>
      <c r="BD392" s="2275"/>
      <c r="BE392" s="2275"/>
      <c r="BF392" s="2276"/>
      <c r="BG392" s="2276"/>
      <c r="BH392" s="2250"/>
      <c r="BI392" s="2275"/>
      <c r="BJ392" s="3660">
        <f>BK371</f>
        <v>206.43</v>
      </c>
      <c r="BK392" s="3660">
        <f>VLOOKUP(BJ392,BJ343:BU369,2,0)</f>
        <v>0</v>
      </c>
      <c r="BL392" s="3660">
        <f>VLOOKUP(BJ392,BJ343:BU369,3,0)</f>
        <v>0</v>
      </c>
      <c r="BM392" s="3660">
        <f>VLOOKUP(BJ392,BJ343:BU369,4,0)</f>
        <v>0</v>
      </c>
      <c r="BN392" s="3660">
        <f>VLOOKUP(BJ392,BJ343:BU369,5,0)</f>
        <v>0</v>
      </c>
      <c r="BO392" s="3660">
        <f>VLOOKUP(BJ392,BJ343:BU369,6,0)</f>
        <v>0</v>
      </c>
      <c r="BP392" s="3660">
        <f>VLOOKUP(BJ392,BJ343:BU369,7,0)</f>
        <v>0</v>
      </c>
      <c r="BQ392" s="3660">
        <f>VLOOKUP(BJ392,BJ343:BU369,8,0)</f>
        <v>0</v>
      </c>
      <c r="BR392" s="3660">
        <f>VLOOKUP(BJ392,BJ343:BU369,9,0)</f>
        <v>0</v>
      </c>
      <c r="BS392" s="3660">
        <f>VLOOKUP(BJ392,BJ343:BU369,10,0)</f>
        <v>0</v>
      </c>
      <c r="BT392" s="3660">
        <f>VLOOKUP(BJ392,BJ343:BU369,11,0)</f>
        <v>0</v>
      </c>
      <c r="BU392" s="3660">
        <f>VLOOKUP(BJ392,BJ343:BU369,12,0)</f>
        <v>0</v>
      </c>
      <c r="BV392" s="2275"/>
      <c r="BW392" s="2275"/>
      <c r="BX392" s="3660">
        <f>BY371</f>
        <v>206.43</v>
      </c>
      <c r="BY392" s="3660">
        <f>VLOOKUP(BX392,BX343:CI369,2,0)</f>
        <v>0</v>
      </c>
      <c r="BZ392" s="3660">
        <f>VLOOKUP(BX392,BX343:CI369,3,0)</f>
        <v>2.58</v>
      </c>
      <c r="CA392" s="3660">
        <f>VLOOKUP(BX392,BX343:CI369,4,0)</f>
        <v>4.97</v>
      </c>
      <c r="CB392" s="3660">
        <f>VLOOKUP(BX392,BX343:CI369,5,0)</f>
        <v>8.59</v>
      </c>
      <c r="CC392" s="3660">
        <f>VLOOKUP(BX392,BX343:CI369,6,0)</f>
        <v>13.44</v>
      </c>
      <c r="CD392" s="3660">
        <f>VLOOKUP(BX392,BX343:CI369,7,0)</f>
        <v>19.02</v>
      </c>
      <c r="CE392" s="3660">
        <f>VLOOKUP(BX392,BX343:CI369,8,0)</f>
        <v>27.18</v>
      </c>
      <c r="CF392" s="3660">
        <f>VLOOKUP(BX392,BX343:CI369,9,0)</f>
        <v>36.5</v>
      </c>
      <c r="CG392" s="3660">
        <f>VLOOKUP(BX392,BX343:CI369,10,0)</f>
        <v>53.62</v>
      </c>
      <c r="CH392" s="3660">
        <f>VLOOKUP(BX392,BX343:CI369,11,0)</f>
        <v>82.58</v>
      </c>
      <c r="CI392" s="3660">
        <f>VLOOKUP(BX392,BX343:CI369,12,0)</f>
        <v>120</v>
      </c>
      <c r="CJ392" s="2275"/>
      <c r="CK392" s="2275"/>
      <c r="CL392" s="3660">
        <f>CM371</f>
        <v>206.43</v>
      </c>
      <c r="CM392" s="3660">
        <f>VLOOKUP(CL392,CL343:CW369,2,0)</f>
        <v>0</v>
      </c>
      <c r="CN392" s="3660">
        <f>VLOOKUP(CL392,CL343:CW369,3,0)</f>
        <v>2</v>
      </c>
      <c r="CO392" s="3660">
        <f>VLOOKUP(CL392,CL343:CW369,4,0)</f>
        <v>3.73</v>
      </c>
      <c r="CP392" s="3660">
        <f>VLOOKUP(CL392,CL343:CW369,5,0)</f>
        <v>6.27</v>
      </c>
      <c r="CQ392" s="3660">
        <f>VLOOKUP(CL392,CL343:CW369,6,0)</f>
        <v>9.6</v>
      </c>
      <c r="CR392" s="3660">
        <f>VLOOKUP(CL392,CL343:CW369,7,0)</f>
        <v>13.73</v>
      </c>
      <c r="CS392" s="3660">
        <f>VLOOKUP(CL392,CL343:CW369,8,0)</f>
        <v>19.399999999999999</v>
      </c>
      <c r="CT392" s="3660">
        <f>VLOOKUP(CL392,CL343:CW369,9,0)</f>
        <v>26.07</v>
      </c>
      <c r="CU392" s="3660">
        <f>VLOOKUP(CL392,CL343:CW369,10,0)</f>
        <v>38.270000000000003</v>
      </c>
      <c r="CV392" s="3660">
        <f>VLOOKUP(CL392,CL343:CW369,11,0)</f>
        <v>58.93</v>
      </c>
      <c r="CW392" s="3660">
        <f>VLOOKUP(CL392,CL343:CW369,12,0)</f>
        <v>85.67</v>
      </c>
      <c r="CX392" s="2275"/>
      <c r="CY392" s="2275"/>
      <c r="CZ392" s="3660">
        <f>DA371</f>
        <v>206.43</v>
      </c>
      <c r="DA392" s="3660">
        <f>VLOOKUP(CZ392,CZ343:DK369,2,0)</f>
        <v>0</v>
      </c>
      <c r="DB392" s="3660">
        <f>VLOOKUP(CZ392,CZ343:DK369,3,0)</f>
        <v>1.54</v>
      </c>
      <c r="DC392" s="3660">
        <f>VLOOKUP(CZ392,CZ343:DK369,4,0)</f>
        <v>2.85</v>
      </c>
      <c r="DD392" s="3660">
        <f>VLOOKUP(CZ392,CZ343:DK369,5,0)</f>
        <v>4.7699999999999996</v>
      </c>
      <c r="DE392" s="3660">
        <f>VLOOKUP(CZ392,CZ343:DK369,6,0)</f>
        <v>7.31</v>
      </c>
      <c r="DF392" s="3660">
        <f>VLOOKUP(CZ392,CZ343:DK369,7,0)</f>
        <v>10.38</v>
      </c>
      <c r="DG392" s="3660">
        <f>VLOOKUP(CZ392,CZ343:DK369,8,0)</f>
        <v>14.77</v>
      </c>
      <c r="DH392" s="3660">
        <f>VLOOKUP(CZ392,CZ343:DK369,9,0)</f>
        <v>19.850000000000001</v>
      </c>
      <c r="DI392" s="3660">
        <f>VLOOKUP(CZ392,CZ343:DK369,10,0)</f>
        <v>29.23</v>
      </c>
      <c r="DJ392" s="3660">
        <f>VLOOKUP(CZ392,CZ343:DK369,11,0)</f>
        <v>45</v>
      </c>
      <c r="DK392" s="3660">
        <f>VLOOKUP(CZ392,CZ343:DK369,12,0)</f>
        <v>65.38</v>
      </c>
      <c r="DL392" s="2275"/>
      <c r="DM392" s="2275"/>
      <c r="DN392" s="2275"/>
      <c r="DO392" s="53"/>
      <c r="DP392" s="53"/>
      <c r="DY392" s="3660">
        <f>DZ371</f>
        <v>120.7</v>
      </c>
      <c r="DZ392" s="3660">
        <f>VLOOKUP(DY392,DY343:EJ369,2,0)</f>
        <v>0</v>
      </c>
      <c r="EA392" s="3660">
        <f>VLOOKUP(DY392,DY343:EJ369,3,0)</f>
        <v>0</v>
      </c>
      <c r="EB392" s="3660">
        <f>VLOOKUP(DY392,DY343:EJ369,4,0)</f>
        <v>0</v>
      </c>
      <c r="EC392" s="3660">
        <f>VLOOKUP(DY392,DY343:EJ369,5,0)</f>
        <v>0</v>
      </c>
      <c r="ED392" s="3660">
        <f>VLOOKUP(DY392,DY343:EJ369,6,0)</f>
        <v>0</v>
      </c>
      <c r="EE392" s="3660">
        <f>VLOOKUP(DY392,DY343:EJ369,7,0)</f>
        <v>0</v>
      </c>
      <c r="EF392" s="3660">
        <f>VLOOKUP(DY392,DY343:EJ369,8,0)</f>
        <v>0</v>
      </c>
      <c r="EG392" s="3660">
        <f>VLOOKUP(DY392,DY343:EJ369,9,0)</f>
        <v>0</v>
      </c>
      <c r="EH392" s="3660">
        <f>VLOOKUP(DY392,DY343:EJ369,10,0)</f>
        <v>0</v>
      </c>
      <c r="EI392" s="3660">
        <f>VLOOKUP(DY392,DY343:EJ369,11,0)</f>
        <v>0</v>
      </c>
      <c r="EJ392" s="3660">
        <f>VLOOKUP(DY392,DY343:EJ369,12,0)</f>
        <v>0</v>
      </c>
      <c r="EK392" s="2275"/>
      <c r="EL392" s="2275"/>
      <c r="EM392" s="3660">
        <f>EN371</f>
        <v>120.7</v>
      </c>
      <c r="EN392" s="3660">
        <f>VLOOKUP(EM392,EM343:EX369,2,0)</f>
        <v>0</v>
      </c>
      <c r="EO392" s="3660">
        <f>VLOOKUP(EM392,EM343:EX369,3,0)</f>
        <v>4.1100000000000003</v>
      </c>
      <c r="EP392" s="3660">
        <f>VLOOKUP(EM392,EM343:EX369,4,0)</f>
        <v>8.0399999999999991</v>
      </c>
      <c r="EQ392" s="3660">
        <f>VLOOKUP(EM392,EM343:EX369,5,0)</f>
        <v>13.93</v>
      </c>
      <c r="ER392" s="3660">
        <f>VLOOKUP(EM392,EM343:EX369,6,0)</f>
        <v>22.09</v>
      </c>
      <c r="ES392" s="3660">
        <f>VLOOKUP(EM392,EM343:EX369,7,0)</f>
        <v>30.98</v>
      </c>
      <c r="ET392" s="3660">
        <f>VLOOKUP(EM392,EM343:EX369,8,0)</f>
        <v>46.63</v>
      </c>
      <c r="EU392" s="3660">
        <f>VLOOKUP(EM392,EM343:EX369,9,0)</f>
        <v>62.88</v>
      </c>
      <c r="EV392" s="3660">
        <f>VLOOKUP(EM392,EM343:EX369,10,0)</f>
        <v>87.48</v>
      </c>
      <c r="EW392" s="3660">
        <f>VLOOKUP(EM392,EM343:EX369,11,0)</f>
        <v>138.9</v>
      </c>
      <c r="EX392" s="3660">
        <f>VLOOKUP(EM392,EM343:EX369,12,0)</f>
        <v>199.69</v>
      </c>
      <c r="EY392" s="2275"/>
      <c r="EZ392" s="2275"/>
      <c r="FA392" s="3660">
        <f>FB371</f>
        <v>120.7</v>
      </c>
      <c r="FB392" s="3660">
        <f>VLOOKUP(FA392,FA343:FL369,2,0)</f>
        <v>0</v>
      </c>
      <c r="FC392" s="3660">
        <f>VLOOKUP(FA392,FA343:FL369,3,0)</f>
        <v>3.4</v>
      </c>
      <c r="FD392" s="3660">
        <f>VLOOKUP(FA392,FA343:FL369,4,0)</f>
        <v>6.47</v>
      </c>
      <c r="FE392" s="3660">
        <f>VLOOKUP(FA392,FA343:FL369,5,0)</f>
        <v>10.8</v>
      </c>
      <c r="FF392" s="3660">
        <f>VLOOKUP(FA392,FA343:FL369,6,0)</f>
        <v>16.670000000000002</v>
      </c>
      <c r="FG392" s="3660">
        <f>VLOOKUP(FA392,FA343:FL369,7,0)</f>
        <v>22.47</v>
      </c>
      <c r="FH392" s="3660">
        <f>VLOOKUP(FA392,FA343:FL369,8,0)</f>
        <v>33.67</v>
      </c>
      <c r="FI392" s="3660">
        <f>VLOOKUP(FA392,FA343:FL369,9,0)</f>
        <v>45.2</v>
      </c>
      <c r="FJ392" s="3660">
        <f>VLOOKUP(FA392,FA343:FL369,10,0)</f>
        <v>63.73</v>
      </c>
      <c r="FK392" s="3660">
        <f>VLOOKUP(FA392,FA343:FL369,11,0)</f>
        <v>102.2</v>
      </c>
      <c r="FL392" s="3660">
        <f>VLOOKUP(FA392,FA343:FL369,12,0)</f>
        <v>144.07</v>
      </c>
      <c r="FM392" s="2275"/>
      <c r="FN392" s="2275"/>
      <c r="FO392" s="3660">
        <f>FP371</f>
        <v>120.7</v>
      </c>
      <c r="FP392" s="3660">
        <f>VLOOKUP(FO392,FO343:FZ369,2,0)</f>
        <v>0</v>
      </c>
      <c r="FQ392" s="3660">
        <f>VLOOKUP(FO392,FO343:FZ369,3,0)</f>
        <v>2.62</v>
      </c>
      <c r="FR392" s="3660">
        <f>VLOOKUP(FO392,FO343:FZ369,4,0)</f>
        <v>4.92</v>
      </c>
      <c r="FS392" s="3660">
        <f>VLOOKUP(FO392,FO343:FZ369,5,0)</f>
        <v>8.15</v>
      </c>
      <c r="FT392" s="3660">
        <f>VLOOKUP(FO392,FO343:FZ369,6,0)</f>
        <v>12.69</v>
      </c>
      <c r="FU392" s="3660">
        <f>VLOOKUP(FO392,FO343:FZ369,7,0)</f>
        <v>17.079999999999998</v>
      </c>
      <c r="FV392" s="3660">
        <f>VLOOKUP(FO392,FO343:FZ369,8,0)</f>
        <v>25.46</v>
      </c>
      <c r="FW392" s="3660">
        <f>VLOOKUP(FO392,FO343:FZ369,9,0)</f>
        <v>34.380000000000003</v>
      </c>
      <c r="FX392" s="3660">
        <f>VLOOKUP(FO392,FO343:FZ369,10,0)</f>
        <v>48</v>
      </c>
      <c r="FY392" s="3660">
        <f>VLOOKUP(FO392,FO343:FZ369,11,0)</f>
        <v>77.69</v>
      </c>
      <c r="FZ392" s="3660">
        <f>VLOOKUP(FO392,FO343:FZ369,12,0)</f>
        <v>109.54</v>
      </c>
      <c r="GA392" s="2275"/>
      <c r="GB392" s="2275"/>
      <c r="GC392" s="2276"/>
      <c r="GD392" s="2276"/>
      <c r="GE392" s="2250"/>
      <c r="GF392" s="2275"/>
      <c r="GG392" s="3660">
        <f>GH371</f>
        <v>129.80000000000001</v>
      </c>
      <c r="GH392" s="3660">
        <f>VLOOKUP(GG392,GG343:GR369,2,0)</f>
        <v>0</v>
      </c>
      <c r="GI392" s="3660">
        <f>VLOOKUP(GG392,GG343:GR369,3,0)</f>
        <v>0</v>
      </c>
      <c r="GJ392" s="3660">
        <f>VLOOKUP(GG392,GG343:GR369,4,0)</f>
        <v>0</v>
      </c>
      <c r="GK392" s="3660">
        <f>VLOOKUP(GG392,GG343:GR369,5,0)</f>
        <v>0</v>
      </c>
      <c r="GL392" s="3660">
        <f>VLOOKUP(GG392,GG343:GR369,6,0)</f>
        <v>0</v>
      </c>
      <c r="GM392" s="3660">
        <f>VLOOKUP(GG392,GG343:GR369,7,0)</f>
        <v>0</v>
      </c>
      <c r="GN392" s="3660">
        <f>VLOOKUP(GG392,GG343:GR369,8,0)</f>
        <v>0</v>
      </c>
      <c r="GO392" s="3660">
        <f>VLOOKUP(GG392,GG343:GR369,9,0)</f>
        <v>0</v>
      </c>
      <c r="GP392" s="3660">
        <f>VLOOKUP(GG392,GG343:GR369,10,0)</f>
        <v>0</v>
      </c>
      <c r="GQ392" s="3660">
        <f>VLOOKUP(GG392,GG343:GR369,11,0)</f>
        <v>0</v>
      </c>
      <c r="GR392" s="3660">
        <f>VLOOKUP(GG392,GG343:GR369,12,0)</f>
        <v>0</v>
      </c>
      <c r="GS392" s="2275"/>
      <c r="GT392" s="2275"/>
      <c r="GU392" s="3660">
        <f>GV371</f>
        <v>129.80000000000001</v>
      </c>
      <c r="GV392" s="3660">
        <f>VLOOKUP(GU392,GU343:HF369,2,0)</f>
        <v>0</v>
      </c>
      <c r="GW392" s="3660">
        <f>VLOOKUP(GU392,GU343:HF369,3,0)</f>
        <v>3.93</v>
      </c>
      <c r="GX392" s="3660">
        <f>VLOOKUP(GU392,GU343:HF369,4,0)</f>
        <v>7.55</v>
      </c>
      <c r="GY392" s="3660">
        <f>VLOOKUP(GU392,GU343:HF369,5,0)</f>
        <v>13.07</v>
      </c>
      <c r="GZ392" s="3660">
        <f>VLOOKUP(GU392,GU343:HF369,6,0)</f>
        <v>20.74</v>
      </c>
      <c r="HA392" s="3660">
        <f>VLOOKUP(GU392,GU343:HF369,7,0)</f>
        <v>29.39</v>
      </c>
      <c r="HB392" s="3660">
        <f>VLOOKUP(GU392,GU343:HF369,8,0)</f>
        <v>42.82</v>
      </c>
      <c r="HC392" s="3660">
        <f>VLOOKUP(GU392,GU343:HF369,9,0)</f>
        <v>59.39</v>
      </c>
      <c r="HD392" s="3660">
        <f>VLOOKUP(GU392,GU343:HF369,10,0)</f>
        <v>82.15</v>
      </c>
      <c r="HE392" s="3660">
        <f>VLOOKUP(GU392,GU343:HF369,11,0)</f>
        <v>130.43</v>
      </c>
      <c r="HF392" s="3660">
        <f>VLOOKUP(GU392,GU343:HF369,12,0)</f>
        <v>186.38</v>
      </c>
      <c r="HG392" s="2275"/>
      <c r="HH392" s="2275"/>
      <c r="HI392" s="3660">
        <f>HJ371</f>
        <v>129.80000000000001</v>
      </c>
      <c r="HJ392" s="3660">
        <f>VLOOKUP(HI392,HI343:HT369,2,0)</f>
        <v>0</v>
      </c>
      <c r="HK392" s="3660">
        <f>VLOOKUP(HI392,HI343:HT369,3,0)</f>
        <v>3.2</v>
      </c>
      <c r="HL392" s="3660">
        <f>VLOOKUP(HI392,HI343:HT369,4,0)</f>
        <v>6.13</v>
      </c>
      <c r="HM392" s="3660">
        <f>VLOOKUP(HI392,HI343:HT369,5,0)</f>
        <v>9.8000000000000007</v>
      </c>
      <c r="HN392" s="3660">
        <f>VLOOKUP(HI392,HI343:HT369,6,0)</f>
        <v>15.67</v>
      </c>
      <c r="HO392" s="3660">
        <f>VLOOKUP(HI392,HI343:HT369,7,0)</f>
        <v>21.2</v>
      </c>
      <c r="HP392" s="3660">
        <f>VLOOKUP(HI392,HI343:HT369,8,0)</f>
        <v>30.8</v>
      </c>
      <c r="HQ392" s="3660">
        <f>VLOOKUP(HI392,HI343:HT369,9,0)</f>
        <v>42.53</v>
      </c>
      <c r="HR392" s="3660">
        <f>VLOOKUP(HI392,HI343:HT369,10,0)</f>
        <v>62.53</v>
      </c>
      <c r="HS392" s="3660">
        <f>VLOOKUP(HI392,HI343:HT369,11,0)</f>
        <v>95</v>
      </c>
      <c r="HT392" s="3660">
        <f>VLOOKUP(HI392,HI343:HT369,12,0)</f>
        <v>135.6</v>
      </c>
      <c r="HU392" s="2275"/>
      <c r="HV392" s="2275"/>
      <c r="HW392" s="3660">
        <f>HX371</f>
        <v>129.80000000000001</v>
      </c>
      <c r="HX392" s="3660">
        <f>VLOOKUP(HW392,HW343:IH369,2,0)</f>
        <v>0</v>
      </c>
      <c r="HY392" s="3660">
        <f>VLOOKUP(HW392,HW343:IH369,3,0)</f>
        <v>2.38</v>
      </c>
      <c r="HZ392" s="3660">
        <f>VLOOKUP(HW392,HW343:IH369,4,0)</f>
        <v>4.62</v>
      </c>
      <c r="IA392" s="3660">
        <f>VLOOKUP(HW392,HW343:IH369,5,0)</f>
        <v>7.38</v>
      </c>
      <c r="IB392" s="3660">
        <f>VLOOKUP(HW392,HW343:IH369,6,0)</f>
        <v>11.92</v>
      </c>
      <c r="IC392" s="3660">
        <f>VLOOKUP(HW392,HW343:IH369,7,0)</f>
        <v>16.079999999999998</v>
      </c>
      <c r="ID392" s="3660">
        <f>VLOOKUP(HW392,HW343:IH369,8,0)</f>
        <v>23.38</v>
      </c>
      <c r="IE392" s="3660">
        <f>VLOOKUP(HW392,HW343:IH369,9,0)</f>
        <v>32.380000000000003</v>
      </c>
      <c r="IF392" s="3660">
        <f>VLOOKUP(HW392,HW343:IH369,10,0)</f>
        <v>47.54</v>
      </c>
      <c r="IG392" s="3660">
        <f>VLOOKUP(HW392,HW343:IH369,11,0)</f>
        <v>71.62</v>
      </c>
      <c r="IH392" s="3660">
        <f>VLOOKUP(HW392,HW343:IH369,12,0)</f>
        <v>102.15</v>
      </c>
      <c r="II392" s="2275"/>
      <c r="IJ392" s="2275"/>
      <c r="IK392" s="2275"/>
      <c r="IL392" s="53"/>
      <c r="IM392" s="53"/>
    </row>
    <row r="393" spans="2:247" ht="21.95" customHeight="1">
      <c r="B393" s="2275"/>
      <c r="C393" s="2275"/>
      <c r="D393" s="2275"/>
      <c r="E393" s="2275"/>
      <c r="F393" s="2275"/>
      <c r="G393" s="2275"/>
      <c r="H393" s="2275"/>
      <c r="I393" s="2275"/>
      <c r="J393" s="2275"/>
      <c r="K393" s="2275"/>
      <c r="L393" s="2275"/>
      <c r="M393" s="2275"/>
      <c r="N393" s="2275"/>
      <c r="O393" s="2275"/>
      <c r="P393" s="2275"/>
      <c r="Q393" s="2275"/>
      <c r="R393" s="2275"/>
      <c r="S393" s="2275"/>
      <c r="T393" s="2275"/>
      <c r="U393" s="2275"/>
      <c r="V393" s="2275"/>
      <c r="W393" s="2275"/>
      <c r="X393" s="2275"/>
      <c r="Y393" s="2275"/>
      <c r="Z393" s="2275"/>
      <c r="AA393" s="2275"/>
      <c r="AB393" s="2275"/>
      <c r="AC393" s="2275"/>
      <c r="AD393" s="2275"/>
      <c r="AE393" s="2275"/>
      <c r="AF393" s="2275"/>
      <c r="AG393" s="2275"/>
      <c r="AH393" s="2275"/>
      <c r="AI393" s="2275"/>
      <c r="AJ393" s="2275"/>
      <c r="AK393" s="2275"/>
      <c r="AL393" s="2275"/>
      <c r="AM393" s="2275"/>
      <c r="AN393" s="2275"/>
      <c r="AO393" s="2275"/>
      <c r="AP393" s="2275"/>
      <c r="AQ393" s="2275"/>
      <c r="AR393" s="2275"/>
      <c r="AS393" s="2275"/>
      <c r="AT393" s="2275"/>
      <c r="AU393" s="2275"/>
      <c r="AV393" s="2275"/>
      <c r="AW393" s="2275"/>
      <c r="AX393" s="2275"/>
      <c r="AY393" s="2275"/>
      <c r="AZ393" s="2275"/>
      <c r="BA393" s="2275"/>
      <c r="BB393" s="2275"/>
      <c r="BC393" s="2275"/>
      <c r="BD393" s="2275"/>
      <c r="BE393" s="2275"/>
      <c r="BF393" s="2276"/>
      <c r="BG393" s="2276"/>
      <c r="BH393" s="2250"/>
      <c r="BI393" s="2275"/>
      <c r="BJ393" s="2275"/>
      <c r="BK393" s="2275"/>
      <c r="BL393" s="2275"/>
      <c r="BM393" s="2275"/>
      <c r="BN393" s="2275"/>
      <c r="BO393" s="2275"/>
      <c r="BP393" s="2275"/>
      <c r="BQ393" s="2275"/>
      <c r="BR393" s="2275"/>
      <c r="BS393" s="2275"/>
      <c r="BT393" s="2275"/>
      <c r="BU393" s="2275"/>
      <c r="BV393" s="2275"/>
      <c r="BW393" s="2275"/>
      <c r="BX393" s="2275"/>
      <c r="BY393" s="2275"/>
      <c r="BZ393" s="2275"/>
      <c r="CA393" s="2275"/>
      <c r="CB393" s="2275"/>
      <c r="CC393" s="2275"/>
      <c r="CD393" s="2275"/>
      <c r="CE393" s="2275"/>
      <c r="CF393" s="2275"/>
      <c r="CG393" s="2275"/>
      <c r="CH393" s="2275"/>
      <c r="CI393" s="2275"/>
      <c r="CJ393" s="2275"/>
      <c r="CK393" s="2275"/>
      <c r="CL393" s="2275"/>
      <c r="CM393" s="2275"/>
      <c r="CN393" s="2275"/>
      <c r="CO393" s="2275"/>
      <c r="CP393" s="2275"/>
      <c r="CQ393" s="2275"/>
      <c r="CR393" s="2275"/>
      <c r="CS393" s="2275"/>
      <c r="CT393" s="2275"/>
      <c r="CU393" s="2275"/>
      <c r="CV393" s="2275"/>
      <c r="CW393" s="2275"/>
      <c r="CX393" s="2275"/>
      <c r="CY393" s="2275"/>
      <c r="CZ393" s="2275"/>
      <c r="DA393" s="2275"/>
      <c r="DB393" s="2275"/>
      <c r="DC393" s="2275"/>
      <c r="DD393" s="2275"/>
      <c r="DE393" s="2275"/>
      <c r="DF393" s="2275"/>
      <c r="DG393" s="2275"/>
      <c r="DH393" s="2275"/>
      <c r="DI393" s="2275"/>
      <c r="DJ393" s="2275"/>
      <c r="DK393" s="2275"/>
      <c r="DL393" s="2275"/>
      <c r="DM393" s="2275"/>
      <c r="DN393" s="2275"/>
      <c r="DO393" s="53"/>
      <c r="DP393" s="53"/>
      <c r="DY393" s="2275"/>
      <c r="DZ393" s="2275"/>
      <c r="EA393" s="2275"/>
      <c r="EB393" s="2275"/>
      <c r="EC393" s="2275"/>
      <c r="ED393" s="2275"/>
      <c r="EE393" s="2275"/>
      <c r="EF393" s="2275"/>
      <c r="EG393" s="2275"/>
      <c r="EH393" s="2275"/>
      <c r="EI393" s="2275"/>
      <c r="EJ393" s="2275"/>
      <c r="EK393" s="2275"/>
      <c r="EL393" s="2275"/>
      <c r="EM393" s="2275"/>
      <c r="EN393" s="2275"/>
      <c r="EO393" s="2275"/>
      <c r="EP393" s="2275"/>
      <c r="EQ393" s="2275"/>
      <c r="ER393" s="2275"/>
      <c r="ES393" s="2275"/>
      <c r="ET393" s="2275"/>
      <c r="EU393" s="2275"/>
      <c r="EV393" s="2275"/>
      <c r="EW393" s="2275"/>
      <c r="EX393" s="2275"/>
      <c r="EY393" s="2275"/>
      <c r="EZ393" s="2275"/>
      <c r="FA393" s="2275"/>
      <c r="FB393" s="2275"/>
      <c r="FC393" s="2275"/>
      <c r="FD393" s="2275"/>
      <c r="FE393" s="2275"/>
      <c r="FF393" s="2275"/>
      <c r="FG393" s="2275"/>
      <c r="FH393" s="2275"/>
      <c r="FI393" s="2275"/>
      <c r="FJ393" s="2275"/>
      <c r="FK393" s="2275"/>
      <c r="FL393" s="2275"/>
      <c r="FM393" s="2275"/>
      <c r="FN393" s="2275"/>
      <c r="FO393" s="2275"/>
      <c r="FP393" s="2275"/>
      <c r="FQ393" s="2275"/>
      <c r="FR393" s="2275"/>
      <c r="FS393" s="2275"/>
      <c r="FT393" s="2275"/>
      <c r="FU393" s="2275"/>
      <c r="FV393" s="2275"/>
      <c r="FW393" s="2275"/>
      <c r="FX393" s="2275"/>
      <c r="FY393" s="2275"/>
      <c r="FZ393" s="2275"/>
      <c r="GA393" s="2275"/>
      <c r="GB393" s="2275"/>
      <c r="GC393" s="2276"/>
      <c r="GD393" s="2276"/>
      <c r="GE393" s="2250"/>
      <c r="GF393" s="2275"/>
      <c r="GG393" s="2275"/>
      <c r="GH393" s="2275"/>
      <c r="GI393" s="2275"/>
      <c r="GJ393" s="2275"/>
      <c r="GK393" s="2275"/>
      <c r="GL393" s="2275"/>
      <c r="GM393" s="2275"/>
      <c r="GN393" s="2275"/>
      <c r="GO393" s="2275"/>
      <c r="GP393" s="2275"/>
      <c r="GQ393" s="2275"/>
      <c r="GR393" s="2275"/>
      <c r="GS393" s="2275"/>
      <c r="GT393" s="2275"/>
      <c r="GU393" s="2275"/>
      <c r="GV393" s="2275"/>
      <c r="GW393" s="2275"/>
      <c r="GX393" s="2275"/>
      <c r="GY393" s="2275"/>
      <c r="GZ393" s="2275"/>
      <c r="HA393" s="2275"/>
      <c r="HB393" s="2275"/>
      <c r="HC393" s="2275"/>
      <c r="HD393" s="2275"/>
      <c r="HE393" s="2275"/>
      <c r="HF393" s="2275"/>
      <c r="HG393" s="2275"/>
      <c r="HH393" s="2275"/>
      <c r="HI393" s="2275"/>
      <c r="HJ393" s="2275"/>
      <c r="HK393" s="2275"/>
      <c r="HL393" s="2275"/>
      <c r="HM393" s="2275"/>
      <c r="HN393" s="2275"/>
      <c r="HO393" s="2275"/>
      <c r="HP393" s="2275"/>
      <c r="HQ393" s="2275"/>
      <c r="HR393" s="2275"/>
      <c r="HS393" s="2275"/>
      <c r="HT393" s="2275"/>
      <c r="HU393" s="2275"/>
      <c r="HV393" s="2275"/>
      <c r="HW393" s="2275"/>
      <c r="HX393" s="2275"/>
      <c r="HY393" s="2275"/>
      <c r="HZ393" s="2275"/>
      <c r="IA393" s="2275"/>
      <c r="IB393" s="2275"/>
      <c r="IC393" s="2275"/>
      <c r="ID393" s="2275"/>
      <c r="IE393" s="2275"/>
      <c r="IF393" s="2275"/>
      <c r="IG393" s="2275"/>
      <c r="IH393" s="2275"/>
      <c r="II393" s="2275"/>
      <c r="IJ393" s="2275"/>
      <c r="IK393" s="2275"/>
      <c r="IL393" s="53"/>
      <c r="IM393" s="53"/>
    </row>
    <row r="394" spans="2:247" ht="21.95" customHeight="1">
      <c r="B394" s="2292">
        <v>0</v>
      </c>
      <c r="C394" s="3660">
        <f t="shared" ref="C394:M394" si="302">C392</f>
        <v>0</v>
      </c>
      <c r="D394" s="3660">
        <f t="shared" si="302"/>
        <v>0</v>
      </c>
      <c r="E394" s="3660">
        <f t="shared" si="302"/>
        <v>0</v>
      </c>
      <c r="F394" s="3660">
        <f t="shared" si="302"/>
        <v>0</v>
      </c>
      <c r="G394" s="3660">
        <f t="shared" si="302"/>
        <v>0</v>
      </c>
      <c r="H394" s="3660">
        <f t="shared" si="302"/>
        <v>0</v>
      </c>
      <c r="I394" s="3660">
        <f t="shared" si="302"/>
        <v>0</v>
      </c>
      <c r="J394" s="3660">
        <f t="shared" si="302"/>
        <v>0</v>
      </c>
      <c r="K394" s="3660">
        <f t="shared" si="302"/>
        <v>0</v>
      </c>
      <c r="L394" s="3660">
        <f t="shared" si="302"/>
        <v>0</v>
      </c>
      <c r="M394" s="3660">
        <f t="shared" si="302"/>
        <v>0</v>
      </c>
      <c r="N394" s="2275"/>
      <c r="O394" s="2275"/>
      <c r="P394" s="2292">
        <v>0</v>
      </c>
      <c r="Q394" s="3660">
        <f t="shared" ref="Q394:AA394" si="303">Q392</f>
        <v>0</v>
      </c>
      <c r="R394" s="3660">
        <f t="shared" si="303"/>
        <v>2.76</v>
      </c>
      <c r="S394" s="3660">
        <f t="shared" si="303"/>
        <v>5.34</v>
      </c>
      <c r="T394" s="3660">
        <f t="shared" si="303"/>
        <v>9.26</v>
      </c>
      <c r="U394" s="3660">
        <f t="shared" si="303"/>
        <v>14.72</v>
      </c>
      <c r="V394" s="3660">
        <f t="shared" si="303"/>
        <v>20.86</v>
      </c>
      <c r="W394" s="3660">
        <f t="shared" si="303"/>
        <v>30.12</v>
      </c>
      <c r="X394" s="3660">
        <f t="shared" si="303"/>
        <v>40.43</v>
      </c>
      <c r="Y394" s="3660">
        <f t="shared" si="303"/>
        <v>58.34</v>
      </c>
      <c r="Z394" s="3660">
        <f t="shared" si="303"/>
        <v>91.47</v>
      </c>
      <c r="AA394" s="3660">
        <f t="shared" si="303"/>
        <v>132.58000000000001</v>
      </c>
      <c r="AB394" s="2275"/>
      <c r="AC394" s="2275"/>
      <c r="AD394" s="2292">
        <v>0</v>
      </c>
      <c r="AE394" s="3660">
        <f t="shared" ref="AE394:AO394" si="304">AE392</f>
        <v>0</v>
      </c>
      <c r="AF394" s="3660">
        <f t="shared" si="304"/>
        <v>2.2000000000000002</v>
      </c>
      <c r="AG394" s="3660">
        <f t="shared" si="304"/>
        <v>4.13</v>
      </c>
      <c r="AH394" s="3660">
        <f t="shared" si="304"/>
        <v>6.93</v>
      </c>
      <c r="AI394" s="3660">
        <f t="shared" si="304"/>
        <v>10.6</v>
      </c>
      <c r="AJ394" s="3660">
        <f t="shared" si="304"/>
        <v>14.87</v>
      </c>
      <c r="AK394" s="3660">
        <f t="shared" si="304"/>
        <v>21.47</v>
      </c>
      <c r="AL394" s="3660">
        <f t="shared" si="304"/>
        <v>28.87</v>
      </c>
      <c r="AM394" s="3660">
        <f t="shared" si="304"/>
        <v>42.4</v>
      </c>
      <c r="AN394" s="3660">
        <f t="shared" si="304"/>
        <v>65.27</v>
      </c>
      <c r="AO394" s="3660">
        <f t="shared" si="304"/>
        <v>94.87</v>
      </c>
      <c r="AP394" s="2275"/>
      <c r="AQ394" s="2275"/>
      <c r="AR394" s="2292">
        <v>0</v>
      </c>
      <c r="AS394" s="3660">
        <f t="shared" ref="AS394:BC394" si="305">AS392</f>
        <v>0</v>
      </c>
      <c r="AT394" s="3660">
        <f t="shared" si="305"/>
        <v>1.69</v>
      </c>
      <c r="AU394" s="3660">
        <f t="shared" si="305"/>
        <v>3.15</v>
      </c>
      <c r="AV394" s="3660">
        <f t="shared" si="305"/>
        <v>5.23</v>
      </c>
      <c r="AW394" s="3660">
        <f t="shared" si="305"/>
        <v>8.08</v>
      </c>
      <c r="AX394" s="3660">
        <f t="shared" si="305"/>
        <v>11.31</v>
      </c>
      <c r="AY394" s="3660">
        <f t="shared" si="305"/>
        <v>16.38</v>
      </c>
      <c r="AZ394" s="3660">
        <f t="shared" si="305"/>
        <v>22</v>
      </c>
      <c r="BA394" s="3660">
        <f t="shared" si="305"/>
        <v>32.31</v>
      </c>
      <c r="BB394" s="3660">
        <f t="shared" si="305"/>
        <v>49.77</v>
      </c>
      <c r="BC394" s="3660">
        <f t="shared" si="305"/>
        <v>72.150000000000006</v>
      </c>
      <c r="BD394" s="2275"/>
      <c r="BE394" s="2275"/>
      <c r="BF394" s="2276"/>
      <c r="BG394" s="2276"/>
      <c r="BH394" s="2250"/>
      <c r="BI394" s="2275"/>
      <c r="BJ394" s="2292">
        <v>0</v>
      </c>
      <c r="BK394" s="3660">
        <f t="shared" ref="BK394:BU394" si="306">BK392</f>
        <v>0</v>
      </c>
      <c r="BL394" s="3660">
        <f t="shared" si="306"/>
        <v>0</v>
      </c>
      <c r="BM394" s="3660">
        <f t="shared" si="306"/>
        <v>0</v>
      </c>
      <c r="BN394" s="3660">
        <f t="shared" si="306"/>
        <v>0</v>
      </c>
      <c r="BO394" s="3660">
        <f t="shared" si="306"/>
        <v>0</v>
      </c>
      <c r="BP394" s="3660">
        <f t="shared" si="306"/>
        <v>0</v>
      </c>
      <c r="BQ394" s="3660">
        <f t="shared" si="306"/>
        <v>0</v>
      </c>
      <c r="BR394" s="3660">
        <f t="shared" si="306"/>
        <v>0</v>
      </c>
      <c r="BS394" s="3660">
        <f t="shared" si="306"/>
        <v>0</v>
      </c>
      <c r="BT394" s="3660">
        <f t="shared" si="306"/>
        <v>0</v>
      </c>
      <c r="BU394" s="3660">
        <f t="shared" si="306"/>
        <v>0</v>
      </c>
      <c r="BV394" s="2275"/>
      <c r="BW394" s="2275"/>
      <c r="BX394" s="2292">
        <v>0</v>
      </c>
      <c r="BY394" s="3660">
        <f t="shared" ref="BY394:CI394" si="307">BY392</f>
        <v>0</v>
      </c>
      <c r="BZ394" s="3660">
        <f t="shared" si="307"/>
        <v>2.58</v>
      </c>
      <c r="CA394" s="3660">
        <f t="shared" si="307"/>
        <v>4.97</v>
      </c>
      <c r="CB394" s="3660">
        <f t="shared" si="307"/>
        <v>8.59</v>
      </c>
      <c r="CC394" s="3660">
        <f t="shared" si="307"/>
        <v>13.44</v>
      </c>
      <c r="CD394" s="3660">
        <f t="shared" si="307"/>
        <v>19.02</v>
      </c>
      <c r="CE394" s="3660">
        <f t="shared" si="307"/>
        <v>27.18</v>
      </c>
      <c r="CF394" s="3660">
        <f t="shared" si="307"/>
        <v>36.5</v>
      </c>
      <c r="CG394" s="3660">
        <f t="shared" si="307"/>
        <v>53.62</v>
      </c>
      <c r="CH394" s="3660">
        <f t="shared" si="307"/>
        <v>82.58</v>
      </c>
      <c r="CI394" s="3660">
        <f t="shared" si="307"/>
        <v>120</v>
      </c>
      <c r="CJ394" s="2275"/>
      <c r="CK394" s="2275"/>
      <c r="CL394" s="2292">
        <v>0</v>
      </c>
      <c r="CM394" s="3660">
        <f t="shared" ref="CM394:CW394" si="308">CM392</f>
        <v>0</v>
      </c>
      <c r="CN394" s="3660">
        <f t="shared" si="308"/>
        <v>2</v>
      </c>
      <c r="CO394" s="3660">
        <f t="shared" si="308"/>
        <v>3.73</v>
      </c>
      <c r="CP394" s="3660">
        <f t="shared" si="308"/>
        <v>6.27</v>
      </c>
      <c r="CQ394" s="3660">
        <f t="shared" si="308"/>
        <v>9.6</v>
      </c>
      <c r="CR394" s="3660">
        <f t="shared" si="308"/>
        <v>13.73</v>
      </c>
      <c r="CS394" s="3660">
        <f t="shared" si="308"/>
        <v>19.399999999999999</v>
      </c>
      <c r="CT394" s="3660">
        <f t="shared" si="308"/>
        <v>26.07</v>
      </c>
      <c r="CU394" s="3660">
        <f t="shared" si="308"/>
        <v>38.270000000000003</v>
      </c>
      <c r="CV394" s="3660">
        <f t="shared" si="308"/>
        <v>58.93</v>
      </c>
      <c r="CW394" s="3660">
        <f t="shared" si="308"/>
        <v>85.67</v>
      </c>
      <c r="CX394" s="2275"/>
      <c r="CY394" s="2275"/>
      <c r="CZ394" s="2292">
        <v>0</v>
      </c>
      <c r="DA394" s="3660">
        <f t="shared" ref="DA394:DK394" si="309">DA392</f>
        <v>0</v>
      </c>
      <c r="DB394" s="3660">
        <f t="shared" si="309"/>
        <v>1.54</v>
      </c>
      <c r="DC394" s="3660">
        <f t="shared" si="309"/>
        <v>2.85</v>
      </c>
      <c r="DD394" s="3660">
        <f t="shared" si="309"/>
        <v>4.7699999999999996</v>
      </c>
      <c r="DE394" s="3660">
        <f t="shared" si="309"/>
        <v>7.31</v>
      </c>
      <c r="DF394" s="3660">
        <f t="shared" si="309"/>
        <v>10.38</v>
      </c>
      <c r="DG394" s="3660">
        <f t="shared" si="309"/>
        <v>14.77</v>
      </c>
      <c r="DH394" s="3660">
        <f t="shared" si="309"/>
        <v>19.850000000000001</v>
      </c>
      <c r="DI394" s="3660">
        <f t="shared" si="309"/>
        <v>29.23</v>
      </c>
      <c r="DJ394" s="3660">
        <f t="shared" si="309"/>
        <v>45</v>
      </c>
      <c r="DK394" s="3660">
        <f t="shared" si="309"/>
        <v>65.38</v>
      </c>
      <c r="DL394" s="2275"/>
      <c r="DM394" s="2275"/>
      <c r="DN394" s="2275"/>
      <c r="DO394" s="53"/>
      <c r="DP394" s="53"/>
      <c r="DY394" s="2292">
        <v>0</v>
      </c>
      <c r="DZ394" s="3660">
        <f t="shared" ref="DZ394:EJ394" si="310">DZ392</f>
        <v>0</v>
      </c>
      <c r="EA394" s="3660">
        <f t="shared" si="310"/>
        <v>0</v>
      </c>
      <c r="EB394" s="3660">
        <f t="shared" si="310"/>
        <v>0</v>
      </c>
      <c r="EC394" s="3660">
        <f t="shared" si="310"/>
        <v>0</v>
      </c>
      <c r="ED394" s="3660">
        <f t="shared" si="310"/>
        <v>0</v>
      </c>
      <c r="EE394" s="3660">
        <f t="shared" si="310"/>
        <v>0</v>
      </c>
      <c r="EF394" s="3660">
        <f t="shared" si="310"/>
        <v>0</v>
      </c>
      <c r="EG394" s="3660">
        <f t="shared" si="310"/>
        <v>0</v>
      </c>
      <c r="EH394" s="3660">
        <f t="shared" si="310"/>
        <v>0</v>
      </c>
      <c r="EI394" s="3660">
        <f t="shared" si="310"/>
        <v>0</v>
      </c>
      <c r="EJ394" s="3660">
        <f t="shared" si="310"/>
        <v>0</v>
      </c>
      <c r="EK394" s="2275"/>
      <c r="EL394" s="2275"/>
      <c r="EM394" s="2292">
        <v>0</v>
      </c>
      <c r="EN394" s="3660">
        <f t="shared" ref="EN394:EX394" si="311">EN392</f>
        <v>0</v>
      </c>
      <c r="EO394" s="3660">
        <f t="shared" si="311"/>
        <v>4.1100000000000003</v>
      </c>
      <c r="EP394" s="3660">
        <f t="shared" si="311"/>
        <v>8.0399999999999991</v>
      </c>
      <c r="EQ394" s="3660">
        <f t="shared" si="311"/>
        <v>13.93</v>
      </c>
      <c r="ER394" s="3660">
        <f t="shared" si="311"/>
        <v>22.09</v>
      </c>
      <c r="ES394" s="3660">
        <f t="shared" si="311"/>
        <v>30.98</v>
      </c>
      <c r="ET394" s="3660">
        <f t="shared" si="311"/>
        <v>46.63</v>
      </c>
      <c r="EU394" s="3660">
        <f t="shared" si="311"/>
        <v>62.88</v>
      </c>
      <c r="EV394" s="3660">
        <f t="shared" si="311"/>
        <v>87.48</v>
      </c>
      <c r="EW394" s="3660">
        <f t="shared" si="311"/>
        <v>138.9</v>
      </c>
      <c r="EX394" s="3660">
        <f t="shared" si="311"/>
        <v>199.69</v>
      </c>
      <c r="EY394" s="2275"/>
      <c r="EZ394" s="2275"/>
      <c r="FA394" s="2292">
        <v>0</v>
      </c>
      <c r="FB394" s="3660">
        <f t="shared" ref="FB394:FL394" si="312">FB392</f>
        <v>0</v>
      </c>
      <c r="FC394" s="3660">
        <f t="shared" si="312"/>
        <v>3.4</v>
      </c>
      <c r="FD394" s="3660">
        <f t="shared" si="312"/>
        <v>6.47</v>
      </c>
      <c r="FE394" s="3660">
        <f t="shared" si="312"/>
        <v>10.8</v>
      </c>
      <c r="FF394" s="3660">
        <f t="shared" si="312"/>
        <v>16.670000000000002</v>
      </c>
      <c r="FG394" s="3660">
        <f t="shared" si="312"/>
        <v>22.47</v>
      </c>
      <c r="FH394" s="3660">
        <f t="shared" si="312"/>
        <v>33.67</v>
      </c>
      <c r="FI394" s="3660">
        <f t="shared" si="312"/>
        <v>45.2</v>
      </c>
      <c r="FJ394" s="3660">
        <f t="shared" si="312"/>
        <v>63.73</v>
      </c>
      <c r="FK394" s="3660">
        <f t="shared" si="312"/>
        <v>102.2</v>
      </c>
      <c r="FL394" s="3660">
        <f t="shared" si="312"/>
        <v>144.07</v>
      </c>
      <c r="FM394" s="2275"/>
      <c r="FN394" s="2275"/>
      <c r="FO394" s="2292">
        <v>0</v>
      </c>
      <c r="FP394" s="3660">
        <f t="shared" ref="FP394:FZ394" si="313">FP392</f>
        <v>0</v>
      </c>
      <c r="FQ394" s="3660">
        <f t="shared" si="313"/>
        <v>2.62</v>
      </c>
      <c r="FR394" s="3660">
        <f t="shared" si="313"/>
        <v>4.92</v>
      </c>
      <c r="FS394" s="3660">
        <f t="shared" si="313"/>
        <v>8.15</v>
      </c>
      <c r="FT394" s="3660">
        <f t="shared" si="313"/>
        <v>12.69</v>
      </c>
      <c r="FU394" s="3660">
        <f t="shared" si="313"/>
        <v>17.079999999999998</v>
      </c>
      <c r="FV394" s="3660">
        <f t="shared" si="313"/>
        <v>25.46</v>
      </c>
      <c r="FW394" s="3660">
        <f t="shared" si="313"/>
        <v>34.380000000000003</v>
      </c>
      <c r="FX394" s="3660">
        <f t="shared" si="313"/>
        <v>48</v>
      </c>
      <c r="FY394" s="3660">
        <f t="shared" si="313"/>
        <v>77.69</v>
      </c>
      <c r="FZ394" s="3660">
        <f t="shared" si="313"/>
        <v>109.54</v>
      </c>
      <c r="GA394" s="2275"/>
      <c r="GB394" s="2275"/>
      <c r="GC394" s="2276"/>
      <c r="GD394" s="2276"/>
      <c r="GE394" s="2250"/>
      <c r="GF394" s="2275"/>
      <c r="GG394" s="2292">
        <v>0</v>
      </c>
      <c r="GH394" s="3660">
        <f t="shared" ref="GH394:GR394" si="314">GH392</f>
        <v>0</v>
      </c>
      <c r="GI394" s="3660">
        <f t="shared" si="314"/>
        <v>0</v>
      </c>
      <c r="GJ394" s="3660">
        <f t="shared" si="314"/>
        <v>0</v>
      </c>
      <c r="GK394" s="3660">
        <f t="shared" si="314"/>
        <v>0</v>
      </c>
      <c r="GL394" s="3660">
        <f t="shared" si="314"/>
        <v>0</v>
      </c>
      <c r="GM394" s="3660">
        <f t="shared" si="314"/>
        <v>0</v>
      </c>
      <c r="GN394" s="3660">
        <f t="shared" si="314"/>
        <v>0</v>
      </c>
      <c r="GO394" s="3660">
        <f t="shared" si="314"/>
        <v>0</v>
      </c>
      <c r="GP394" s="3660">
        <f t="shared" si="314"/>
        <v>0</v>
      </c>
      <c r="GQ394" s="3660">
        <f t="shared" si="314"/>
        <v>0</v>
      </c>
      <c r="GR394" s="3660">
        <f t="shared" si="314"/>
        <v>0</v>
      </c>
      <c r="GS394" s="2275"/>
      <c r="GT394" s="2275"/>
      <c r="GU394" s="2292">
        <v>0</v>
      </c>
      <c r="GV394" s="3660">
        <f t="shared" ref="GV394:HF394" si="315">GV392</f>
        <v>0</v>
      </c>
      <c r="GW394" s="3660">
        <f t="shared" si="315"/>
        <v>3.93</v>
      </c>
      <c r="GX394" s="3660">
        <f t="shared" si="315"/>
        <v>7.55</v>
      </c>
      <c r="GY394" s="3660">
        <f t="shared" si="315"/>
        <v>13.07</v>
      </c>
      <c r="GZ394" s="3660">
        <f t="shared" si="315"/>
        <v>20.74</v>
      </c>
      <c r="HA394" s="3660">
        <f t="shared" si="315"/>
        <v>29.39</v>
      </c>
      <c r="HB394" s="3660">
        <f t="shared" si="315"/>
        <v>42.82</v>
      </c>
      <c r="HC394" s="3660">
        <f t="shared" si="315"/>
        <v>59.39</v>
      </c>
      <c r="HD394" s="3660">
        <f t="shared" si="315"/>
        <v>82.15</v>
      </c>
      <c r="HE394" s="3660">
        <f t="shared" si="315"/>
        <v>130.43</v>
      </c>
      <c r="HF394" s="3660">
        <f t="shared" si="315"/>
        <v>186.38</v>
      </c>
      <c r="HG394" s="2275"/>
      <c r="HH394" s="2275"/>
      <c r="HI394" s="2292">
        <v>0</v>
      </c>
      <c r="HJ394" s="3660">
        <f t="shared" ref="HJ394:HT394" si="316">HJ392</f>
        <v>0</v>
      </c>
      <c r="HK394" s="3660">
        <f t="shared" si="316"/>
        <v>3.2</v>
      </c>
      <c r="HL394" s="3660">
        <f t="shared" si="316"/>
        <v>6.13</v>
      </c>
      <c r="HM394" s="3660">
        <f t="shared" si="316"/>
        <v>9.8000000000000007</v>
      </c>
      <c r="HN394" s="3660">
        <f t="shared" si="316"/>
        <v>15.67</v>
      </c>
      <c r="HO394" s="3660">
        <f t="shared" si="316"/>
        <v>21.2</v>
      </c>
      <c r="HP394" s="3660">
        <f t="shared" si="316"/>
        <v>30.8</v>
      </c>
      <c r="HQ394" s="3660">
        <f t="shared" si="316"/>
        <v>42.53</v>
      </c>
      <c r="HR394" s="3660">
        <f t="shared" si="316"/>
        <v>62.53</v>
      </c>
      <c r="HS394" s="3660">
        <f t="shared" si="316"/>
        <v>95</v>
      </c>
      <c r="HT394" s="3660">
        <f t="shared" si="316"/>
        <v>135.6</v>
      </c>
      <c r="HU394" s="2275"/>
      <c r="HV394" s="2275"/>
      <c r="HW394" s="2292">
        <v>0</v>
      </c>
      <c r="HX394" s="3660">
        <f t="shared" ref="HX394:IH394" si="317">HX392</f>
        <v>0</v>
      </c>
      <c r="HY394" s="3660">
        <f t="shared" si="317"/>
        <v>2.38</v>
      </c>
      <c r="HZ394" s="3660">
        <f t="shared" si="317"/>
        <v>4.62</v>
      </c>
      <c r="IA394" s="3660">
        <f t="shared" si="317"/>
        <v>7.38</v>
      </c>
      <c r="IB394" s="3660">
        <f t="shared" si="317"/>
        <v>11.92</v>
      </c>
      <c r="IC394" s="3660">
        <f t="shared" si="317"/>
        <v>16.079999999999998</v>
      </c>
      <c r="ID394" s="3660">
        <f t="shared" si="317"/>
        <v>23.38</v>
      </c>
      <c r="IE394" s="3660">
        <f t="shared" si="317"/>
        <v>32.380000000000003</v>
      </c>
      <c r="IF394" s="3660">
        <f t="shared" si="317"/>
        <v>47.54</v>
      </c>
      <c r="IG394" s="3660">
        <f t="shared" si="317"/>
        <v>71.62</v>
      </c>
      <c r="IH394" s="3660">
        <f t="shared" si="317"/>
        <v>102.15</v>
      </c>
      <c r="II394" s="2275"/>
      <c r="IJ394" s="2275"/>
      <c r="IK394" s="2275"/>
      <c r="IL394" s="53"/>
      <c r="IM394" s="53"/>
    </row>
    <row r="395" spans="2:247" ht="21.95" customHeight="1">
      <c r="B395" s="3660">
        <f t="shared" ref="B395:L395" si="318">C394</f>
        <v>0</v>
      </c>
      <c r="C395" s="3660">
        <f t="shared" si="318"/>
        <v>0</v>
      </c>
      <c r="D395" s="3660">
        <f t="shared" si="318"/>
        <v>0</v>
      </c>
      <c r="E395" s="3660">
        <f t="shared" si="318"/>
        <v>0</v>
      </c>
      <c r="F395" s="3660">
        <f t="shared" si="318"/>
        <v>0</v>
      </c>
      <c r="G395" s="3660">
        <f t="shared" si="318"/>
        <v>0</v>
      </c>
      <c r="H395" s="3660">
        <f t="shared" si="318"/>
        <v>0</v>
      </c>
      <c r="I395" s="3660">
        <f t="shared" si="318"/>
        <v>0</v>
      </c>
      <c r="J395" s="3660">
        <f t="shared" si="318"/>
        <v>0</v>
      </c>
      <c r="K395" s="3660">
        <f t="shared" si="318"/>
        <v>0</v>
      </c>
      <c r="L395" s="3660">
        <f t="shared" si="318"/>
        <v>0</v>
      </c>
      <c r="M395" s="3660">
        <f>+L395</f>
        <v>0</v>
      </c>
      <c r="N395" s="2275"/>
      <c r="O395" s="2275"/>
      <c r="P395" s="3660">
        <f t="shared" ref="P395:Z395" si="319">Q394</f>
        <v>0</v>
      </c>
      <c r="Q395" s="3660">
        <f t="shared" si="319"/>
        <v>2.76</v>
      </c>
      <c r="R395" s="3660">
        <f t="shared" si="319"/>
        <v>5.34</v>
      </c>
      <c r="S395" s="3660">
        <f t="shared" si="319"/>
        <v>9.26</v>
      </c>
      <c r="T395" s="3660">
        <f t="shared" si="319"/>
        <v>14.72</v>
      </c>
      <c r="U395" s="3660">
        <f t="shared" si="319"/>
        <v>20.86</v>
      </c>
      <c r="V395" s="3660">
        <f t="shared" si="319"/>
        <v>30.12</v>
      </c>
      <c r="W395" s="3660">
        <f t="shared" si="319"/>
        <v>40.43</v>
      </c>
      <c r="X395" s="3660">
        <f t="shared" si="319"/>
        <v>58.34</v>
      </c>
      <c r="Y395" s="3660">
        <f t="shared" si="319"/>
        <v>91.47</v>
      </c>
      <c r="Z395" s="3660">
        <f t="shared" si="319"/>
        <v>132.58000000000001</v>
      </c>
      <c r="AA395" s="3660">
        <f>+Z395</f>
        <v>132.58000000000001</v>
      </c>
      <c r="AB395" s="2275"/>
      <c r="AC395" s="2275"/>
      <c r="AD395" s="3660">
        <f t="shared" ref="AD395:AN395" si="320">AE394</f>
        <v>0</v>
      </c>
      <c r="AE395" s="3660">
        <f t="shared" si="320"/>
        <v>2.2000000000000002</v>
      </c>
      <c r="AF395" s="3660">
        <f t="shared" si="320"/>
        <v>4.13</v>
      </c>
      <c r="AG395" s="3660">
        <f t="shared" si="320"/>
        <v>6.93</v>
      </c>
      <c r="AH395" s="3660">
        <f t="shared" si="320"/>
        <v>10.6</v>
      </c>
      <c r="AI395" s="3660">
        <f t="shared" si="320"/>
        <v>14.87</v>
      </c>
      <c r="AJ395" s="3660">
        <f t="shared" si="320"/>
        <v>21.47</v>
      </c>
      <c r="AK395" s="3660">
        <f t="shared" si="320"/>
        <v>28.87</v>
      </c>
      <c r="AL395" s="3660">
        <f t="shared" si="320"/>
        <v>42.4</v>
      </c>
      <c r="AM395" s="3660">
        <f t="shared" si="320"/>
        <v>65.27</v>
      </c>
      <c r="AN395" s="3660">
        <f t="shared" si="320"/>
        <v>94.87</v>
      </c>
      <c r="AO395" s="3660">
        <f>+AN395</f>
        <v>94.87</v>
      </c>
      <c r="AP395" s="2275"/>
      <c r="AQ395" s="2275"/>
      <c r="AR395" s="3660">
        <f t="shared" ref="AR395:BB395" si="321">AS394</f>
        <v>0</v>
      </c>
      <c r="AS395" s="3660">
        <f t="shared" si="321"/>
        <v>1.69</v>
      </c>
      <c r="AT395" s="3660">
        <f t="shared" si="321"/>
        <v>3.15</v>
      </c>
      <c r="AU395" s="3660">
        <f t="shared" si="321"/>
        <v>5.23</v>
      </c>
      <c r="AV395" s="3660">
        <f t="shared" si="321"/>
        <v>8.08</v>
      </c>
      <c r="AW395" s="3660">
        <f t="shared" si="321"/>
        <v>11.31</v>
      </c>
      <c r="AX395" s="3660">
        <f t="shared" si="321"/>
        <v>16.38</v>
      </c>
      <c r="AY395" s="3660">
        <f t="shared" si="321"/>
        <v>22</v>
      </c>
      <c r="AZ395" s="3660">
        <f t="shared" si="321"/>
        <v>32.31</v>
      </c>
      <c r="BA395" s="3660">
        <f t="shared" si="321"/>
        <v>49.77</v>
      </c>
      <c r="BB395" s="3660">
        <f t="shared" si="321"/>
        <v>72.150000000000006</v>
      </c>
      <c r="BC395" s="3660">
        <f>+BB395</f>
        <v>72.150000000000006</v>
      </c>
      <c r="BD395" s="2275"/>
      <c r="BE395" s="2275"/>
      <c r="BF395" s="2276"/>
      <c r="BG395" s="2276"/>
      <c r="BH395" s="2250"/>
      <c r="BI395" s="2275"/>
      <c r="BJ395" s="3660">
        <f t="shared" ref="BJ395:BT395" si="322">BK394</f>
        <v>0</v>
      </c>
      <c r="BK395" s="3660">
        <f t="shared" si="322"/>
        <v>0</v>
      </c>
      <c r="BL395" s="3660">
        <f t="shared" si="322"/>
        <v>0</v>
      </c>
      <c r="BM395" s="3660">
        <f t="shared" si="322"/>
        <v>0</v>
      </c>
      <c r="BN395" s="3660">
        <f t="shared" si="322"/>
        <v>0</v>
      </c>
      <c r="BO395" s="3660">
        <f t="shared" si="322"/>
        <v>0</v>
      </c>
      <c r="BP395" s="3660">
        <f t="shared" si="322"/>
        <v>0</v>
      </c>
      <c r="BQ395" s="3660">
        <f t="shared" si="322"/>
        <v>0</v>
      </c>
      <c r="BR395" s="3660">
        <f t="shared" si="322"/>
        <v>0</v>
      </c>
      <c r="BS395" s="3660">
        <f t="shared" si="322"/>
        <v>0</v>
      </c>
      <c r="BT395" s="3660">
        <f t="shared" si="322"/>
        <v>0</v>
      </c>
      <c r="BU395" s="3660">
        <f>+BT395</f>
        <v>0</v>
      </c>
      <c r="BV395" s="2275"/>
      <c r="BW395" s="2275"/>
      <c r="BX395" s="3660">
        <f t="shared" ref="BX395:CH395" si="323">BY394</f>
        <v>0</v>
      </c>
      <c r="BY395" s="3660">
        <f t="shared" si="323"/>
        <v>2.58</v>
      </c>
      <c r="BZ395" s="3660">
        <f t="shared" si="323"/>
        <v>4.97</v>
      </c>
      <c r="CA395" s="3660">
        <f t="shared" si="323"/>
        <v>8.59</v>
      </c>
      <c r="CB395" s="3660">
        <f t="shared" si="323"/>
        <v>13.44</v>
      </c>
      <c r="CC395" s="3660">
        <f t="shared" si="323"/>
        <v>19.02</v>
      </c>
      <c r="CD395" s="3660">
        <f t="shared" si="323"/>
        <v>27.18</v>
      </c>
      <c r="CE395" s="3660">
        <f t="shared" si="323"/>
        <v>36.5</v>
      </c>
      <c r="CF395" s="3660">
        <f t="shared" si="323"/>
        <v>53.62</v>
      </c>
      <c r="CG395" s="3660">
        <f t="shared" si="323"/>
        <v>82.58</v>
      </c>
      <c r="CH395" s="3660">
        <f t="shared" si="323"/>
        <v>120</v>
      </c>
      <c r="CI395" s="3660">
        <f>+CH395</f>
        <v>120</v>
      </c>
      <c r="CJ395" s="2275"/>
      <c r="CK395" s="2275"/>
      <c r="CL395" s="3660">
        <f t="shared" ref="CL395:CV395" si="324">CM394</f>
        <v>0</v>
      </c>
      <c r="CM395" s="3660">
        <f t="shared" si="324"/>
        <v>2</v>
      </c>
      <c r="CN395" s="3660">
        <f t="shared" si="324"/>
        <v>3.73</v>
      </c>
      <c r="CO395" s="3660">
        <f t="shared" si="324"/>
        <v>6.27</v>
      </c>
      <c r="CP395" s="3660">
        <f t="shared" si="324"/>
        <v>9.6</v>
      </c>
      <c r="CQ395" s="3660">
        <f t="shared" si="324"/>
        <v>13.73</v>
      </c>
      <c r="CR395" s="3660">
        <f t="shared" si="324"/>
        <v>19.399999999999999</v>
      </c>
      <c r="CS395" s="3660">
        <f t="shared" si="324"/>
        <v>26.07</v>
      </c>
      <c r="CT395" s="3660">
        <f t="shared" si="324"/>
        <v>38.270000000000003</v>
      </c>
      <c r="CU395" s="3660">
        <f t="shared" si="324"/>
        <v>58.93</v>
      </c>
      <c r="CV395" s="3660">
        <f t="shared" si="324"/>
        <v>85.67</v>
      </c>
      <c r="CW395" s="3660">
        <f>+CV395</f>
        <v>85.67</v>
      </c>
      <c r="CX395" s="2275"/>
      <c r="CY395" s="2275"/>
      <c r="CZ395" s="3660">
        <f t="shared" ref="CZ395:DJ395" si="325">DA394</f>
        <v>0</v>
      </c>
      <c r="DA395" s="3660">
        <f t="shared" si="325"/>
        <v>1.54</v>
      </c>
      <c r="DB395" s="3660">
        <f t="shared" si="325"/>
        <v>2.85</v>
      </c>
      <c r="DC395" s="3660">
        <f t="shared" si="325"/>
        <v>4.7699999999999996</v>
      </c>
      <c r="DD395" s="3660">
        <f t="shared" si="325"/>
        <v>7.31</v>
      </c>
      <c r="DE395" s="3660">
        <f t="shared" si="325"/>
        <v>10.38</v>
      </c>
      <c r="DF395" s="3660">
        <f t="shared" si="325"/>
        <v>14.77</v>
      </c>
      <c r="DG395" s="3660">
        <f t="shared" si="325"/>
        <v>19.850000000000001</v>
      </c>
      <c r="DH395" s="3660">
        <f t="shared" si="325"/>
        <v>29.23</v>
      </c>
      <c r="DI395" s="3660">
        <f t="shared" si="325"/>
        <v>45</v>
      </c>
      <c r="DJ395" s="3660">
        <f t="shared" si="325"/>
        <v>65.38</v>
      </c>
      <c r="DK395" s="3660">
        <f>+DJ395</f>
        <v>65.38</v>
      </c>
      <c r="DL395" s="2275"/>
      <c r="DM395" s="2275"/>
      <c r="DN395" s="2275"/>
      <c r="DO395" s="53"/>
      <c r="DP395" s="53"/>
      <c r="DY395" s="3660">
        <f t="shared" ref="DY395:EI395" si="326">DZ394</f>
        <v>0</v>
      </c>
      <c r="DZ395" s="3660">
        <f t="shared" si="326"/>
        <v>0</v>
      </c>
      <c r="EA395" s="3660">
        <f t="shared" si="326"/>
        <v>0</v>
      </c>
      <c r="EB395" s="3660">
        <f t="shared" si="326"/>
        <v>0</v>
      </c>
      <c r="EC395" s="3660">
        <f t="shared" si="326"/>
        <v>0</v>
      </c>
      <c r="ED395" s="3660">
        <f t="shared" si="326"/>
        <v>0</v>
      </c>
      <c r="EE395" s="3660">
        <f t="shared" si="326"/>
        <v>0</v>
      </c>
      <c r="EF395" s="3660">
        <f t="shared" si="326"/>
        <v>0</v>
      </c>
      <c r="EG395" s="3660">
        <f t="shared" si="326"/>
        <v>0</v>
      </c>
      <c r="EH395" s="3660">
        <f t="shared" si="326"/>
        <v>0</v>
      </c>
      <c r="EI395" s="3660">
        <f t="shared" si="326"/>
        <v>0</v>
      </c>
      <c r="EJ395" s="3660">
        <f>+EI395</f>
        <v>0</v>
      </c>
      <c r="EK395" s="2275"/>
      <c r="EL395" s="2275"/>
      <c r="EM395" s="3660">
        <f t="shared" ref="EM395:EW395" si="327">EN394</f>
        <v>0</v>
      </c>
      <c r="EN395" s="3660">
        <f t="shared" si="327"/>
        <v>4.1100000000000003</v>
      </c>
      <c r="EO395" s="3660">
        <f t="shared" si="327"/>
        <v>8.0399999999999991</v>
      </c>
      <c r="EP395" s="3660">
        <f t="shared" si="327"/>
        <v>13.93</v>
      </c>
      <c r="EQ395" s="3660">
        <f t="shared" si="327"/>
        <v>22.09</v>
      </c>
      <c r="ER395" s="3660">
        <f t="shared" si="327"/>
        <v>30.98</v>
      </c>
      <c r="ES395" s="3660">
        <f t="shared" si="327"/>
        <v>46.63</v>
      </c>
      <c r="ET395" s="3660">
        <f t="shared" si="327"/>
        <v>62.88</v>
      </c>
      <c r="EU395" s="3660">
        <f t="shared" si="327"/>
        <v>87.48</v>
      </c>
      <c r="EV395" s="3660">
        <f t="shared" si="327"/>
        <v>138.9</v>
      </c>
      <c r="EW395" s="3660">
        <f t="shared" si="327"/>
        <v>199.69</v>
      </c>
      <c r="EX395" s="3660">
        <f>+EW395</f>
        <v>199.69</v>
      </c>
      <c r="EY395" s="2275"/>
      <c r="EZ395" s="2275"/>
      <c r="FA395" s="3660">
        <f t="shared" ref="FA395:FK395" si="328">FB394</f>
        <v>0</v>
      </c>
      <c r="FB395" s="3660">
        <f t="shared" si="328"/>
        <v>3.4</v>
      </c>
      <c r="FC395" s="3660">
        <f t="shared" si="328"/>
        <v>6.47</v>
      </c>
      <c r="FD395" s="3660">
        <f t="shared" si="328"/>
        <v>10.8</v>
      </c>
      <c r="FE395" s="3660">
        <f t="shared" si="328"/>
        <v>16.670000000000002</v>
      </c>
      <c r="FF395" s="3660">
        <f t="shared" si="328"/>
        <v>22.47</v>
      </c>
      <c r="FG395" s="3660">
        <f t="shared" si="328"/>
        <v>33.67</v>
      </c>
      <c r="FH395" s="3660">
        <f t="shared" si="328"/>
        <v>45.2</v>
      </c>
      <c r="FI395" s="3660">
        <f t="shared" si="328"/>
        <v>63.73</v>
      </c>
      <c r="FJ395" s="3660">
        <f t="shared" si="328"/>
        <v>102.2</v>
      </c>
      <c r="FK395" s="3660">
        <f t="shared" si="328"/>
        <v>144.07</v>
      </c>
      <c r="FL395" s="3660">
        <f>+FK395</f>
        <v>144.07</v>
      </c>
      <c r="FM395" s="2275"/>
      <c r="FN395" s="2275"/>
      <c r="FO395" s="3660">
        <f t="shared" ref="FO395:FY395" si="329">FP394</f>
        <v>0</v>
      </c>
      <c r="FP395" s="3660">
        <f t="shared" si="329"/>
        <v>2.62</v>
      </c>
      <c r="FQ395" s="3660">
        <f t="shared" si="329"/>
        <v>4.92</v>
      </c>
      <c r="FR395" s="3660">
        <f t="shared" si="329"/>
        <v>8.15</v>
      </c>
      <c r="FS395" s="3660">
        <f t="shared" si="329"/>
        <v>12.69</v>
      </c>
      <c r="FT395" s="3660">
        <f t="shared" si="329"/>
        <v>17.079999999999998</v>
      </c>
      <c r="FU395" s="3660">
        <f t="shared" si="329"/>
        <v>25.46</v>
      </c>
      <c r="FV395" s="3660">
        <f t="shared" si="329"/>
        <v>34.380000000000003</v>
      </c>
      <c r="FW395" s="3660">
        <f t="shared" si="329"/>
        <v>48</v>
      </c>
      <c r="FX395" s="3660">
        <f t="shared" si="329"/>
        <v>77.69</v>
      </c>
      <c r="FY395" s="3660">
        <f t="shared" si="329"/>
        <v>109.54</v>
      </c>
      <c r="FZ395" s="3660">
        <f>+FY395</f>
        <v>109.54</v>
      </c>
      <c r="GA395" s="2275"/>
      <c r="GB395" s="2275"/>
      <c r="GC395" s="2276"/>
      <c r="GD395" s="2276"/>
      <c r="GE395" s="2250"/>
      <c r="GF395" s="2275"/>
      <c r="GG395" s="3660">
        <f t="shared" ref="GG395:GQ395" si="330">GH394</f>
        <v>0</v>
      </c>
      <c r="GH395" s="3660">
        <f t="shared" si="330"/>
        <v>0</v>
      </c>
      <c r="GI395" s="3660">
        <f t="shared" si="330"/>
        <v>0</v>
      </c>
      <c r="GJ395" s="3660">
        <f t="shared" si="330"/>
        <v>0</v>
      </c>
      <c r="GK395" s="3660">
        <f t="shared" si="330"/>
        <v>0</v>
      </c>
      <c r="GL395" s="3660">
        <f t="shared" si="330"/>
        <v>0</v>
      </c>
      <c r="GM395" s="3660">
        <f t="shared" si="330"/>
        <v>0</v>
      </c>
      <c r="GN395" s="3660">
        <f t="shared" si="330"/>
        <v>0</v>
      </c>
      <c r="GO395" s="3660">
        <f t="shared" si="330"/>
        <v>0</v>
      </c>
      <c r="GP395" s="3660">
        <f t="shared" si="330"/>
        <v>0</v>
      </c>
      <c r="GQ395" s="3660">
        <f t="shared" si="330"/>
        <v>0</v>
      </c>
      <c r="GR395" s="3660">
        <f>+GQ395</f>
        <v>0</v>
      </c>
      <c r="GS395" s="2275"/>
      <c r="GT395" s="2275"/>
      <c r="GU395" s="3660">
        <f t="shared" ref="GU395:HE395" si="331">GV394</f>
        <v>0</v>
      </c>
      <c r="GV395" s="3660">
        <f t="shared" si="331"/>
        <v>3.93</v>
      </c>
      <c r="GW395" s="3660">
        <f t="shared" si="331"/>
        <v>7.55</v>
      </c>
      <c r="GX395" s="3660">
        <f t="shared" si="331"/>
        <v>13.07</v>
      </c>
      <c r="GY395" s="3660">
        <f t="shared" si="331"/>
        <v>20.74</v>
      </c>
      <c r="GZ395" s="3660">
        <f t="shared" si="331"/>
        <v>29.39</v>
      </c>
      <c r="HA395" s="3660">
        <f t="shared" si="331"/>
        <v>42.82</v>
      </c>
      <c r="HB395" s="3660">
        <f t="shared" si="331"/>
        <v>59.39</v>
      </c>
      <c r="HC395" s="3660">
        <f t="shared" si="331"/>
        <v>82.15</v>
      </c>
      <c r="HD395" s="3660">
        <f t="shared" si="331"/>
        <v>130.43</v>
      </c>
      <c r="HE395" s="3660">
        <f t="shared" si="331"/>
        <v>186.38</v>
      </c>
      <c r="HF395" s="3660">
        <f>+HE395</f>
        <v>186.38</v>
      </c>
      <c r="HG395" s="2275"/>
      <c r="HH395" s="2275"/>
      <c r="HI395" s="3660">
        <f t="shared" ref="HI395:HS395" si="332">HJ394</f>
        <v>0</v>
      </c>
      <c r="HJ395" s="3660">
        <f t="shared" si="332"/>
        <v>3.2</v>
      </c>
      <c r="HK395" s="3660">
        <f t="shared" si="332"/>
        <v>6.13</v>
      </c>
      <c r="HL395" s="3660">
        <f t="shared" si="332"/>
        <v>9.8000000000000007</v>
      </c>
      <c r="HM395" s="3660">
        <f t="shared" si="332"/>
        <v>15.67</v>
      </c>
      <c r="HN395" s="3660">
        <f t="shared" si="332"/>
        <v>21.2</v>
      </c>
      <c r="HO395" s="3660">
        <f t="shared" si="332"/>
        <v>30.8</v>
      </c>
      <c r="HP395" s="3660">
        <f t="shared" si="332"/>
        <v>42.53</v>
      </c>
      <c r="HQ395" s="3660">
        <f t="shared" si="332"/>
        <v>62.53</v>
      </c>
      <c r="HR395" s="3660">
        <f t="shared" si="332"/>
        <v>95</v>
      </c>
      <c r="HS395" s="3660">
        <f t="shared" si="332"/>
        <v>135.6</v>
      </c>
      <c r="HT395" s="3660">
        <f>+HS395</f>
        <v>135.6</v>
      </c>
      <c r="HU395" s="2275"/>
      <c r="HV395" s="2275"/>
      <c r="HW395" s="3660">
        <f t="shared" ref="HW395:IG395" si="333">HX394</f>
        <v>0</v>
      </c>
      <c r="HX395" s="3660">
        <f t="shared" si="333"/>
        <v>2.38</v>
      </c>
      <c r="HY395" s="3660">
        <f t="shared" si="333"/>
        <v>4.62</v>
      </c>
      <c r="HZ395" s="3660">
        <f t="shared" si="333"/>
        <v>7.38</v>
      </c>
      <c r="IA395" s="3660">
        <f t="shared" si="333"/>
        <v>11.92</v>
      </c>
      <c r="IB395" s="3660">
        <f t="shared" si="333"/>
        <v>16.079999999999998</v>
      </c>
      <c r="IC395" s="3660">
        <f t="shared" si="333"/>
        <v>23.38</v>
      </c>
      <c r="ID395" s="3660">
        <f t="shared" si="333"/>
        <v>32.380000000000003</v>
      </c>
      <c r="IE395" s="3660">
        <f t="shared" si="333"/>
        <v>47.54</v>
      </c>
      <c r="IF395" s="3660">
        <f t="shared" si="333"/>
        <v>71.62</v>
      </c>
      <c r="IG395" s="3660">
        <f t="shared" si="333"/>
        <v>102.15</v>
      </c>
      <c r="IH395" s="3660">
        <f>+IG395</f>
        <v>102.15</v>
      </c>
      <c r="II395" s="2275"/>
      <c r="IJ395" s="2275"/>
      <c r="IK395" s="2275"/>
      <c r="IL395" s="53"/>
      <c r="IM395" s="53"/>
    </row>
    <row r="396" spans="2:247" ht="21.95" customHeight="1">
      <c r="B396" s="2292">
        <v>400</v>
      </c>
      <c r="C396" s="2292">
        <v>475</v>
      </c>
      <c r="D396" s="2292">
        <v>550</v>
      </c>
      <c r="E396" s="2292">
        <v>650</v>
      </c>
      <c r="F396" s="2292">
        <v>775</v>
      </c>
      <c r="G396" s="2292">
        <v>825</v>
      </c>
      <c r="H396" s="2292">
        <v>950</v>
      </c>
      <c r="I396" s="2292">
        <v>1100</v>
      </c>
      <c r="J396" s="2292">
        <v>1250</v>
      </c>
      <c r="K396" s="2292">
        <v>1450</v>
      </c>
      <c r="L396" s="2292">
        <v>1650</v>
      </c>
      <c r="M396" s="2275"/>
      <c r="N396" s="2275"/>
      <c r="O396" s="2275"/>
      <c r="P396" s="2292">
        <v>400</v>
      </c>
      <c r="Q396" s="2292">
        <v>475</v>
      </c>
      <c r="R396" s="2292">
        <v>550</v>
      </c>
      <c r="S396" s="2292">
        <v>650</v>
      </c>
      <c r="T396" s="2292">
        <v>775</v>
      </c>
      <c r="U396" s="2292">
        <v>825</v>
      </c>
      <c r="V396" s="2292">
        <v>950</v>
      </c>
      <c r="W396" s="2292">
        <v>1100</v>
      </c>
      <c r="X396" s="2292">
        <v>1250</v>
      </c>
      <c r="Y396" s="2292">
        <v>1450</v>
      </c>
      <c r="Z396" s="2292">
        <v>1650</v>
      </c>
      <c r="AA396" s="2275"/>
      <c r="AB396" s="2275"/>
      <c r="AC396" s="2275"/>
      <c r="AD396" s="2292">
        <v>400</v>
      </c>
      <c r="AE396" s="2292">
        <v>475</v>
      </c>
      <c r="AF396" s="2292">
        <v>550</v>
      </c>
      <c r="AG396" s="2292">
        <v>650</v>
      </c>
      <c r="AH396" s="2292">
        <v>775</v>
      </c>
      <c r="AI396" s="2292">
        <v>825</v>
      </c>
      <c r="AJ396" s="2292">
        <v>950</v>
      </c>
      <c r="AK396" s="2292">
        <v>1100</v>
      </c>
      <c r="AL396" s="2292">
        <v>1250</v>
      </c>
      <c r="AM396" s="2292">
        <v>1450</v>
      </c>
      <c r="AN396" s="2292">
        <v>1650</v>
      </c>
      <c r="AO396" s="2275"/>
      <c r="AP396" s="2275"/>
      <c r="AQ396" s="2275"/>
      <c r="AR396" s="2292">
        <v>400</v>
      </c>
      <c r="AS396" s="2292">
        <v>475</v>
      </c>
      <c r="AT396" s="2292">
        <v>550</v>
      </c>
      <c r="AU396" s="2292">
        <v>650</v>
      </c>
      <c r="AV396" s="2292">
        <v>775</v>
      </c>
      <c r="AW396" s="2292">
        <v>825</v>
      </c>
      <c r="AX396" s="2292">
        <v>950</v>
      </c>
      <c r="AY396" s="2292">
        <v>1100</v>
      </c>
      <c r="AZ396" s="2292">
        <v>1250</v>
      </c>
      <c r="BA396" s="2292">
        <v>1450</v>
      </c>
      <c r="BB396" s="2292">
        <v>1650</v>
      </c>
      <c r="BC396" s="2275"/>
      <c r="BD396" s="2275"/>
      <c r="BE396" s="2275"/>
      <c r="BF396" s="2276"/>
      <c r="BG396" s="2276"/>
      <c r="BH396" s="2250"/>
      <c r="BI396" s="2275"/>
      <c r="BJ396" s="2292">
        <v>400</v>
      </c>
      <c r="BK396" s="2292">
        <v>475</v>
      </c>
      <c r="BL396" s="2292">
        <v>550</v>
      </c>
      <c r="BM396" s="2292">
        <v>650</v>
      </c>
      <c r="BN396" s="2292">
        <v>775</v>
      </c>
      <c r="BO396" s="2292">
        <v>825</v>
      </c>
      <c r="BP396" s="2292">
        <v>950</v>
      </c>
      <c r="BQ396" s="2292">
        <v>1100</v>
      </c>
      <c r="BR396" s="2292">
        <v>1250</v>
      </c>
      <c r="BS396" s="2292">
        <v>1450</v>
      </c>
      <c r="BT396" s="2292">
        <v>1650</v>
      </c>
      <c r="BU396" s="2275"/>
      <c r="BV396" s="2275"/>
      <c r="BW396" s="2275"/>
      <c r="BX396" s="2292">
        <v>400</v>
      </c>
      <c r="BY396" s="2292">
        <v>475</v>
      </c>
      <c r="BZ396" s="2292">
        <v>550</v>
      </c>
      <c r="CA396" s="2292">
        <v>650</v>
      </c>
      <c r="CB396" s="2292">
        <v>775</v>
      </c>
      <c r="CC396" s="2292">
        <v>825</v>
      </c>
      <c r="CD396" s="2292">
        <v>950</v>
      </c>
      <c r="CE396" s="2292">
        <v>1100</v>
      </c>
      <c r="CF396" s="2292">
        <v>1250</v>
      </c>
      <c r="CG396" s="2292">
        <v>1450</v>
      </c>
      <c r="CH396" s="2292">
        <v>1650</v>
      </c>
      <c r="CI396" s="2275"/>
      <c r="CJ396" s="2275"/>
      <c r="CK396" s="2275"/>
      <c r="CL396" s="2292">
        <v>400</v>
      </c>
      <c r="CM396" s="2292">
        <v>475</v>
      </c>
      <c r="CN396" s="2292">
        <v>550</v>
      </c>
      <c r="CO396" s="2292">
        <v>650</v>
      </c>
      <c r="CP396" s="2292">
        <v>775</v>
      </c>
      <c r="CQ396" s="2292">
        <v>825</v>
      </c>
      <c r="CR396" s="2292">
        <v>950</v>
      </c>
      <c r="CS396" s="2292">
        <v>1100</v>
      </c>
      <c r="CT396" s="2292">
        <v>1250</v>
      </c>
      <c r="CU396" s="2292">
        <v>1450</v>
      </c>
      <c r="CV396" s="2292">
        <v>1650</v>
      </c>
      <c r="CW396" s="2275"/>
      <c r="CX396" s="2275"/>
      <c r="CY396" s="2275"/>
      <c r="CZ396" s="2292">
        <v>400</v>
      </c>
      <c r="DA396" s="2292">
        <v>475</v>
      </c>
      <c r="DB396" s="2292">
        <v>550</v>
      </c>
      <c r="DC396" s="2292">
        <v>650</v>
      </c>
      <c r="DD396" s="2292">
        <v>775</v>
      </c>
      <c r="DE396" s="2292">
        <v>825</v>
      </c>
      <c r="DF396" s="2292">
        <v>950</v>
      </c>
      <c r="DG396" s="2292">
        <v>1100</v>
      </c>
      <c r="DH396" s="2292">
        <v>1250</v>
      </c>
      <c r="DI396" s="2292">
        <v>1450</v>
      </c>
      <c r="DJ396" s="2292">
        <v>1650</v>
      </c>
      <c r="DK396" s="2275"/>
      <c r="DL396" s="2275"/>
      <c r="DM396" s="2275"/>
      <c r="DN396" s="2275"/>
      <c r="DO396" s="53"/>
      <c r="DP396" s="53"/>
      <c r="DY396" s="2292">
        <v>400</v>
      </c>
      <c r="DZ396" s="2292">
        <v>475</v>
      </c>
      <c r="EA396" s="2292">
        <v>550</v>
      </c>
      <c r="EB396" s="2292">
        <v>650</v>
      </c>
      <c r="EC396" s="2292">
        <v>775</v>
      </c>
      <c r="ED396" s="2292">
        <v>825</v>
      </c>
      <c r="EE396" s="2292">
        <v>950</v>
      </c>
      <c r="EF396" s="2292">
        <v>1100</v>
      </c>
      <c r="EG396" s="2292">
        <v>1250</v>
      </c>
      <c r="EH396" s="2292">
        <v>1450</v>
      </c>
      <c r="EI396" s="2292">
        <v>1650</v>
      </c>
      <c r="EJ396" s="2275"/>
      <c r="EK396" s="2275"/>
      <c r="EL396" s="2275"/>
      <c r="EM396" s="2292">
        <v>400</v>
      </c>
      <c r="EN396" s="2292">
        <v>475</v>
      </c>
      <c r="EO396" s="2292">
        <v>550</v>
      </c>
      <c r="EP396" s="2292">
        <v>650</v>
      </c>
      <c r="EQ396" s="2292">
        <v>775</v>
      </c>
      <c r="ER396" s="2292">
        <v>825</v>
      </c>
      <c r="ES396" s="2292">
        <v>950</v>
      </c>
      <c r="ET396" s="2292">
        <v>1100</v>
      </c>
      <c r="EU396" s="2292">
        <v>1250</v>
      </c>
      <c r="EV396" s="2292">
        <v>1450</v>
      </c>
      <c r="EW396" s="2292">
        <v>1650</v>
      </c>
      <c r="EX396" s="2275"/>
      <c r="EY396" s="2275"/>
      <c r="EZ396" s="2275"/>
      <c r="FA396" s="2292">
        <v>400</v>
      </c>
      <c r="FB396" s="2292">
        <v>475</v>
      </c>
      <c r="FC396" s="2292">
        <v>550</v>
      </c>
      <c r="FD396" s="2292">
        <v>650</v>
      </c>
      <c r="FE396" s="2292">
        <v>775</v>
      </c>
      <c r="FF396" s="2292">
        <v>825</v>
      </c>
      <c r="FG396" s="2292">
        <v>950</v>
      </c>
      <c r="FH396" s="2292">
        <v>1100</v>
      </c>
      <c r="FI396" s="2292">
        <v>1250</v>
      </c>
      <c r="FJ396" s="2292">
        <v>1450</v>
      </c>
      <c r="FK396" s="2292">
        <v>1650</v>
      </c>
      <c r="FL396" s="2275"/>
      <c r="FM396" s="2275"/>
      <c r="FN396" s="2275"/>
      <c r="FO396" s="2292">
        <v>400</v>
      </c>
      <c r="FP396" s="2292">
        <v>475</v>
      </c>
      <c r="FQ396" s="2292">
        <v>550</v>
      </c>
      <c r="FR396" s="2292">
        <v>650</v>
      </c>
      <c r="FS396" s="2292">
        <v>775</v>
      </c>
      <c r="FT396" s="2292">
        <v>825</v>
      </c>
      <c r="FU396" s="2292">
        <v>950</v>
      </c>
      <c r="FV396" s="2292">
        <v>1100</v>
      </c>
      <c r="FW396" s="2292">
        <v>1250</v>
      </c>
      <c r="FX396" s="2292">
        <v>1450</v>
      </c>
      <c r="FY396" s="2292">
        <v>1650</v>
      </c>
      <c r="FZ396" s="2275"/>
      <c r="GA396" s="2275"/>
      <c r="GB396" s="2275"/>
      <c r="GC396" s="2276"/>
      <c r="GD396" s="2276"/>
      <c r="GE396" s="2250"/>
      <c r="GF396" s="2275"/>
      <c r="GG396" s="2292">
        <v>400</v>
      </c>
      <c r="GH396" s="2292">
        <v>475</v>
      </c>
      <c r="GI396" s="2292">
        <v>550</v>
      </c>
      <c r="GJ396" s="2292">
        <v>650</v>
      </c>
      <c r="GK396" s="2292">
        <v>775</v>
      </c>
      <c r="GL396" s="2292">
        <v>825</v>
      </c>
      <c r="GM396" s="2292">
        <v>950</v>
      </c>
      <c r="GN396" s="2292">
        <v>1100</v>
      </c>
      <c r="GO396" s="2292">
        <v>1250</v>
      </c>
      <c r="GP396" s="2292">
        <v>1450</v>
      </c>
      <c r="GQ396" s="2292">
        <v>1650</v>
      </c>
      <c r="GR396" s="2275"/>
      <c r="GS396" s="2275"/>
      <c r="GT396" s="2275"/>
      <c r="GU396" s="2292">
        <v>400</v>
      </c>
      <c r="GV396" s="2292">
        <v>475</v>
      </c>
      <c r="GW396" s="2292">
        <v>550</v>
      </c>
      <c r="GX396" s="2292">
        <v>650</v>
      </c>
      <c r="GY396" s="2292">
        <v>775</v>
      </c>
      <c r="GZ396" s="2292">
        <v>825</v>
      </c>
      <c r="HA396" s="2292">
        <v>950</v>
      </c>
      <c r="HB396" s="2292">
        <v>1100</v>
      </c>
      <c r="HC396" s="2292">
        <v>1250</v>
      </c>
      <c r="HD396" s="2292">
        <v>1450</v>
      </c>
      <c r="HE396" s="2292">
        <v>1650</v>
      </c>
      <c r="HF396" s="2275"/>
      <c r="HG396" s="2275"/>
      <c r="HH396" s="2275"/>
      <c r="HI396" s="2292">
        <v>400</v>
      </c>
      <c r="HJ396" s="2292">
        <v>475</v>
      </c>
      <c r="HK396" s="2292">
        <v>550</v>
      </c>
      <c r="HL396" s="2292">
        <v>650</v>
      </c>
      <c r="HM396" s="2292">
        <v>775</v>
      </c>
      <c r="HN396" s="2292">
        <v>825</v>
      </c>
      <c r="HO396" s="2292">
        <v>950</v>
      </c>
      <c r="HP396" s="2292">
        <v>1100</v>
      </c>
      <c r="HQ396" s="2292">
        <v>1250</v>
      </c>
      <c r="HR396" s="2292">
        <v>1450</v>
      </c>
      <c r="HS396" s="2292">
        <v>1650</v>
      </c>
      <c r="HT396" s="2275"/>
      <c r="HU396" s="2275"/>
      <c r="HV396" s="2275"/>
      <c r="HW396" s="2292">
        <v>400</v>
      </c>
      <c r="HX396" s="2292">
        <v>475</v>
      </c>
      <c r="HY396" s="2292">
        <v>550</v>
      </c>
      <c r="HZ396" s="2292">
        <v>650</v>
      </c>
      <c r="IA396" s="2292">
        <v>775</v>
      </c>
      <c r="IB396" s="2292">
        <v>825</v>
      </c>
      <c r="IC396" s="2292">
        <v>950</v>
      </c>
      <c r="ID396" s="2292">
        <v>1100</v>
      </c>
      <c r="IE396" s="2292">
        <v>1250</v>
      </c>
      <c r="IF396" s="2292">
        <v>1450</v>
      </c>
      <c r="IG396" s="2292">
        <v>1650</v>
      </c>
      <c r="IH396" s="2275"/>
      <c r="II396" s="2275"/>
      <c r="IJ396" s="2275"/>
      <c r="IK396" s="2275"/>
      <c r="IL396" s="53"/>
      <c r="IM396" s="53"/>
    </row>
    <row r="397" spans="2:247" ht="21.95" customHeight="1">
      <c r="B397" s="3692">
        <f>HLOOKUP(C372,B394:M394,1)</f>
        <v>0</v>
      </c>
      <c r="C397" s="3692">
        <f>HLOOKUP(B397,B394:M395,2,0)</f>
        <v>0</v>
      </c>
      <c r="D397" s="2275"/>
      <c r="E397" s="2275"/>
      <c r="F397" s="2275"/>
      <c r="G397" s="2275"/>
      <c r="H397" s="2275"/>
      <c r="I397" s="2275"/>
      <c r="J397" s="2275"/>
      <c r="K397" s="2275"/>
      <c r="L397" s="2275"/>
      <c r="M397" s="2275"/>
      <c r="N397" s="2275"/>
      <c r="O397" s="2275"/>
      <c r="P397" s="3692">
        <f>HLOOKUP(Q372,P394:AA394,1)</f>
        <v>14.72</v>
      </c>
      <c r="Q397" s="3692">
        <f>HLOOKUP(P397,P394:AA395,2,0)</f>
        <v>20.86</v>
      </c>
      <c r="R397" s="2275"/>
      <c r="S397" s="2275"/>
      <c r="T397" s="2275"/>
      <c r="U397" s="2275"/>
      <c r="V397" s="2275"/>
      <c r="W397" s="2275"/>
      <c r="X397" s="2275"/>
      <c r="Y397" s="2275"/>
      <c r="Z397" s="2275"/>
      <c r="AA397" s="2275"/>
      <c r="AB397" s="2275"/>
      <c r="AC397" s="2275"/>
      <c r="AD397" s="3692">
        <f>HLOOKUP(AE372,AD394:AO394,1)</f>
        <v>14.87</v>
      </c>
      <c r="AE397" s="3692">
        <f>HLOOKUP(AD397,AD394:AO395,2,0)</f>
        <v>21.47</v>
      </c>
      <c r="AF397" s="2275"/>
      <c r="AG397" s="2275"/>
      <c r="AH397" s="2275"/>
      <c r="AI397" s="2275"/>
      <c r="AJ397" s="2275"/>
      <c r="AK397" s="2275"/>
      <c r="AL397" s="2275"/>
      <c r="AM397" s="2275"/>
      <c r="AN397" s="2275"/>
      <c r="AO397" s="2275"/>
      <c r="AP397" s="2275"/>
      <c r="AQ397" s="2275"/>
      <c r="AR397" s="3692">
        <f>HLOOKUP(AS372,AR394:BC394,1)</f>
        <v>16.38</v>
      </c>
      <c r="AS397" s="3692">
        <f>HLOOKUP(AR397,AR394:BC395,2,0)</f>
        <v>22</v>
      </c>
      <c r="AT397" s="2275"/>
      <c r="AU397" s="2275"/>
      <c r="AV397" s="2275"/>
      <c r="AW397" s="2275"/>
      <c r="AX397" s="2275"/>
      <c r="AY397" s="2275"/>
      <c r="AZ397" s="2275"/>
      <c r="BA397" s="2275"/>
      <c r="BB397" s="2275"/>
      <c r="BC397" s="2275"/>
      <c r="BD397" s="2275"/>
      <c r="BE397" s="2275"/>
      <c r="BF397" s="2276"/>
      <c r="BG397" s="2276"/>
      <c r="BH397" s="2250"/>
      <c r="BI397" s="2275"/>
      <c r="BJ397" s="3692">
        <f>HLOOKUP(BK372,BJ394:BU394,1)</f>
        <v>0</v>
      </c>
      <c r="BK397" s="3692">
        <f>HLOOKUP(BJ397,BJ394:BU395,2,0)</f>
        <v>0</v>
      </c>
      <c r="BL397" s="2275"/>
      <c r="BM397" s="2275"/>
      <c r="BN397" s="2275"/>
      <c r="BO397" s="2275"/>
      <c r="BP397" s="2275"/>
      <c r="BQ397" s="2275"/>
      <c r="BR397" s="2275"/>
      <c r="BS397" s="2275"/>
      <c r="BT397" s="2275"/>
      <c r="BU397" s="2275"/>
      <c r="BV397" s="2275"/>
      <c r="BW397" s="2275"/>
      <c r="BX397" s="3692">
        <f>HLOOKUP(BY372,BX394:CI394,1)</f>
        <v>19.02</v>
      </c>
      <c r="BY397" s="3692">
        <f>HLOOKUP(BX397,BX394:CI395,2,0)</f>
        <v>27.18</v>
      </c>
      <c r="BZ397" s="2275"/>
      <c r="CA397" s="2275"/>
      <c r="CB397" s="2275"/>
      <c r="CC397" s="2275"/>
      <c r="CD397" s="2275"/>
      <c r="CE397" s="2275"/>
      <c r="CF397" s="2275"/>
      <c r="CG397" s="2275"/>
      <c r="CH397" s="2275"/>
      <c r="CI397" s="2275"/>
      <c r="CJ397" s="2275"/>
      <c r="CK397" s="2275"/>
      <c r="CL397" s="3692">
        <f>HLOOKUP(CM372,CL394:CW394,1)</f>
        <v>19.399999999999999</v>
      </c>
      <c r="CM397" s="3692">
        <f>HLOOKUP(CL397,CL394:CW395,2,0)</f>
        <v>26.07</v>
      </c>
      <c r="CN397" s="2275"/>
      <c r="CO397" s="2275"/>
      <c r="CP397" s="2275"/>
      <c r="CQ397" s="2275"/>
      <c r="CR397" s="2275"/>
      <c r="CS397" s="2275"/>
      <c r="CT397" s="2275"/>
      <c r="CU397" s="2275"/>
      <c r="CV397" s="2275"/>
      <c r="CW397" s="2275"/>
      <c r="CX397" s="2275"/>
      <c r="CY397" s="2275"/>
      <c r="CZ397" s="3692">
        <f>HLOOKUP(DA372,CZ394:DK394,1)</f>
        <v>19.850000000000001</v>
      </c>
      <c r="DA397" s="3692">
        <f>HLOOKUP(CZ397,CZ394:DK395,2,0)</f>
        <v>29.23</v>
      </c>
      <c r="DB397" s="2275"/>
      <c r="DC397" s="2275"/>
      <c r="DD397" s="2275"/>
      <c r="DE397" s="2275"/>
      <c r="DF397" s="2275"/>
      <c r="DG397" s="2275"/>
      <c r="DH397" s="2275"/>
      <c r="DI397" s="2275"/>
      <c r="DJ397" s="2275"/>
      <c r="DK397" s="2275"/>
      <c r="DL397" s="2275"/>
      <c r="DM397" s="2275"/>
      <c r="DN397" s="2275"/>
      <c r="DO397" s="53"/>
      <c r="DP397" s="53"/>
      <c r="DY397" s="3692">
        <f>HLOOKUP(DZ372,DY394:EJ394,1)</f>
        <v>0</v>
      </c>
      <c r="DZ397" s="3692">
        <f>HLOOKUP(DY397,DY394:EJ395,2,0)</f>
        <v>0</v>
      </c>
      <c r="EA397" s="2275"/>
      <c r="EB397" s="2275"/>
      <c r="EC397" s="2275"/>
      <c r="ED397" s="2275"/>
      <c r="EE397" s="2275"/>
      <c r="EF397" s="2275"/>
      <c r="EG397" s="2275"/>
      <c r="EH397" s="2275"/>
      <c r="EI397" s="2275"/>
      <c r="EJ397" s="2275"/>
      <c r="EK397" s="2275"/>
      <c r="EL397" s="2275"/>
      <c r="EM397" s="3692">
        <f>HLOOKUP(EN372,EM394:EX394,1)</f>
        <v>13.93</v>
      </c>
      <c r="EN397" s="3692">
        <f>HLOOKUP(EM397,EM394:EX395,2,0)</f>
        <v>22.09</v>
      </c>
      <c r="EO397" s="2275"/>
      <c r="EP397" s="2275"/>
      <c r="EQ397" s="2275"/>
      <c r="ER397" s="2275"/>
      <c r="ES397" s="2275"/>
      <c r="ET397" s="2275"/>
      <c r="EU397" s="2275"/>
      <c r="EV397" s="2275"/>
      <c r="EW397" s="2275"/>
      <c r="EX397" s="2275"/>
      <c r="EY397" s="2275"/>
      <c r="EZ397" s="2275"/>
      <c r="FA397" s="3692">
        <f>HLOOKUP(FB372,FA394:FL394,1)</f>
        <v>16.670000000000002</v>
      </c>
      <c r="FB397" s="3692">
        <f>HLOOKUP(FA397,FA394:FL395,2,0)</f>
        <v>22.47</v>
      </c>
      <c r="FC397" s="2275"/>
      <c r="FD397" s="2275"/>
      <c r="FE397" s="2275"/>
      <c r="FF397" s="2275"/>
      <c r="FG397" s="2275"/>
      <c r="FH397" s="2275"/>
      <c r="FI397" s="2275"/>
      <c r="FJ397" s="2275"/>
      <c r="FK397" s="2275"/>
      <c r="FL397" s="2275"/>
      <c r="FM397" s="2275"/>
      <c r="FN397" s="2275"/>
      <c r="FO397" s="3692">
        <f>HLOOKUP(FP372,FO394:FZ394,1)</f>
        <v>17.079999999999998</v>
      </c>
      <c r="FP397" s="3692">
        <f>HLOOKUP(FO397,FO394:FZ395,2,0)</f>
        <v>25.46</v>
      </c>
      <c r="FQ397" s="2275"/>
      <c r="FR397" s="2275"/>
      <c r="FS397" s="2275"/>
      <c r="FT397" s="2275"/>
      <c r="FU397" s="2275"/>
      <c r="FV397" s="2275"/>
      <c r="FW397" s="2275"/>
      <c r="FX397" s="2275"/>
      <c r="FY397" s="2275"/>
      <c r="FZ397" s="2275"/>
      <c r="GA397" s="2275"/>
      <c r="GB397" s="2275"/>
      <c r="GC397" s="2276"/>
      <c r="GD397" s="2276"/>
      <c r="GE397" s="2250"/>
      <c r="GF397" s="2275"/>
      <c r="GG397" s="3692">
        <f>HLOOKUP(GH372,GG394:GR394,1)</f>
        <v>0</v>
      </c>
      <c r="GH397" s="3692">
        <f>HLOOKUP(GG397,GG394:GR395,2,0)</f>
        <v>0</v>
      </c>
      <c r="GI397" s="2275"/>
      <c r="GJ397" s="2275"/>
      <c r="GK397" s="2275"/>
      <c r="GL397" s="2275"/>
      <c r="GM397" s="2275"/>
      <c r="GN397" s="2275"/>
      <c r="GO397" s="2275"/>
      <c r="GP397" s="2275"/>
      <c r="GQ397" s="2275"/>
      <c r="GR397" s="2275"/>
      <c r="GS397" s="2275"/>
      <c r="GT397" s="2275"/>
      <c r="GU397" s="3692">
        <f>HLOOKUP(GV372,GU394:HF394,1)</f>
        <v>13.07</v>
      </c>
      <c r="GV397" s="3692">
        <f>HLOOKUP(GU397,GU394:HF395,2,0)</f>
        <v>20.74</v>
      </c>
      <c r="GW397" s="2275"/>
      <c r="GX397" s="2275"/>
      <c r="GY397" s="2275"/>
      <c r="GZ397" s="2275"/>
      <c r="HA397" s="2275"/>
      <c r="HB397" s="2275"/>
      <c r="HC397" s="2275"/>
      <c r="HD397" s="2275"/>
      <c r="HE397" s="2275"/>
      <c r="HF397" s="2275"/>
      <c r="HG397" s="2275"/>
      <c r="HH397" s="2275"/>
      <c r="HI397" s="3692">
        <f>HLOOKUP(HJ372,HI394:HT394,1)</f>
        <v>15.67</v>
      </c>
      <c r="HJ397" s="3692">
        <f>HLOOKUP(HI397,HI394:HT395,2,0)</f>
        <v>21.2</v>
      </c>
      <c r="HK397" s="2275"/>
      <c r="HL397" s="2275"/>
      <c r="HM397" s="2275"/>
      <c r="HN397" s="2275"/>
      <c r="HO397" s="2275"/>
      <c r="HP397" s="2275"/>
      <c r="HQ397" s="2275"/>
      <c r="HR397" s="2275"/>
      <c r="HS397" s="2275"/>
      <c r="HT397" s="2275"/>
      <c r="HU397" s="2275"/>
      <c r="HV397" s="2275"/>
      <c r="HW397" s="3692">
        <f>HLOOKUP(HX372,HW394:IH394,1)</f>
        <v>16.079999999999998</v>
      </c>
      <c r="HX397" s="3692">
        <f>HLOOKUP(HW397,HW394:IH395,2,0)</f>
        <v>23.38</v>
      </c>
      <c r="HY397" s="2275"/>
      <c r="HZ397" s="2275"/>
      <c r="IA397" s="2275"/>
      <c r="IB397" s="2275"/>
      <c r="IC397" s="2275"/>
      <c r="ID397" s="2275"/>
      <c r="IE397" s="2275"/>
      <c r="IF397" s="2275"/>
      <c r="IG397" s="2275"/>
      <c r="IH397" s="2275"/>
      <c r="II397" s="2275"/>
      <c r="IJ397" s="2275"/>
      <c r="IK397" s="2275"/>
      <c r="IL397" s="53"/>
      <c r="IM397" s="53"/>
    </row>
    <row r="398" spans="2:247" ht="21.95" customHeight="1">
      <c r="B398" s="3692">
        <f>IFERROR(HLOOKUP(C372,B394:M394,1,0),0)</f>
        <v>0</v>
      </c>
      <c r="C398" s="3692">
        <f>IF(B398&gt;0,B398,C397)</f>
        <v>0</v>
      </c>
      <c r="D398" s="2275"/>
      <c r="E398" s="2275"/>
      <c r="F398" s="2275"/>
      <c r="G398" s="2275"/>
      <c r="H398" s="2275"/>
      <c r="I398" s="2275"/>
      <c r="J398" s="2275"/>
      <c r="K398" s="2275"/>
      <c r="L398" s="2275"/>
      <c r="M398" s="2275"/>
      <c r="N398" s="2275"/>
      <c r="O398" s="2275"/>
      <c r="P398" s="3692">
        <f>IFERROR(HLOOKUP(Q372,P394:AA394,1,0),0)</f>
        <v>0</v>
      </c>
      <c r="Q398" s="3692">
        <f>IF(P398&gt;0,P398,Q397)</f>
        <v>20.86</v>
      </c>
      <c r="R398" s="2275"/>
      <c r="S398" s="2275"/>
      <c r="T398" s="2275"/>
      <c r="U398" s="2275"/>
      <c r="V398" s="2275"/>
      <c r="W398" s="2275"/>
      <c r="X398" s="2275"/>
      <c r="Y398" s="2275"/>
      <c r="Z398" s="2275"/>
      <c r="AA398" s="2275"/>
      <c r="AB398" s="2275"/>
      <c r="AC398" s="2275"/>
      <c r="AD398" s="3692">
        <f>IFERROR(HLOOKUP(AE372,AD394:AO394,1,0),0)</f>
        <v>0</v>
      </c>
      <c r="AE398" s="3692">
        <f>IF(AD398&gt;0,AD398,AE397)</f>
        <v>21.47</v>
      </c>
      <c r="AF398" s="2275"/>
      <c r="AG398" s="2275"/>
      <c r="AH398" s="2275"/>
      <c r="AI398" s="2275"/>
      <c r="AJ398" s="2275"/>
      <c r="AK398" s="2275"/>
      <c r="AL398" s="2275"/>
      <c r="AM398" s="2275"/>
      <c r="AN398" s="2275"/>
      <c r="AO398" s="2275"/>
      <c r="AP398" s="2275"/>
      <c r="AQ398" s="2275"/>
      <c r="AR398" s="3692">
        <f>IFERROR(HLOOKUP(AS372,AR394:BC394,1,0),0)</f>
        <v>0</v>
      </c>
      <c r="AS398" s="3692">
        <f>IF(AR398&gt;0,AR398,AS397)</f>
        <v>22</v>
      </c>
      <c r="AT398" s="2275"/>
      <c r="AU398" s="2275"/>
      <c r="AV398" s="2275"/>
      <c r="AW398" s="2275"/>
      <c r="AX398" s="2275"/>
      <c r="AY398" s="2275"/>
      <c r="AZ398" s="2275"/>
      <c r="BA398" s="2275"/>
      <c r="BB398" s="2275"/>
      <c r="BC398" s="2275"/>
      <c r="BD398" s="2275"/>
      <c r="BE398" s="2275"/>
      <c r="BF398" s="2276"/>
      <c r="BG398" s="2276"/>
      <c r="BH398" s="2250"/>
      <c r="BI398" s="2275"/>
      <c r="BJ398" s="3692">
        <f>IFERROR(HLOOKUP(BK372,BJ394:BU394,1,0),0)</f>
        <v>0</v>
      </c>
      <c r="BK398" s="3692">
        <f>IF(BJ398&gt;0,BJ398,BK397)</f>
        <v>0</v>
      </c>
      <c r="BL398" s="2275"/>
      <c r="BM398" s="2275"/>
      <c r="BN398" s="2275"/>
      <c r="BO398" s="2275"/>
      <c r="BP398" s="2275"/>
      <c r="BQ398" s="2275"/>
      <c r="BR398" s="2275"/>
      <c r="BS398" s="2275"/>
      <c r="BT398" s="2275"/>
      <c r="BU398" s="2275"/>
      <c r="BV398" s="2275"/>
      <c r="BW398" s="2275"/>
      <c r="BX398" s="3692">
        <f>IFERROR(HLOOKUP(BY372,BX394:CI394,1,0),0)</f>
        <v>0</v>
      </c>
      <c r="BY398" s="3692">
        <f>IF(BX398&gt;0,BX398,BY397)</f>
        <v>27.18</v>
      </c>
      <c r="BZ398" s="2275"/>
      <c r="CA398" s="2275"/>
      <c r="CB398" s="2275"/>
      <c r="CC398" s="2275"/>
      <c r="CD398" s="2275"/>
      <c r="CE398" s="2275"/>
      <c r="CF398" s="2275"/>
      <c r="CG398" s="2275"/>
      <c r="CH398" s="2275"/>
      <c r="CI398" s="2275"/>
      <c r="CJ398" s="2275"/>
      <c r="CK398" s="2275"/>
      <c r="CL398" s="3692">
        <f>IFERROR(HLOOKUP(CM372,CL394:CW394,1,0),0)</f>
        <v>0</v>
      </c>
      <c r="CM398" s="3692">
        <f>IF(CL398&gt;0,CL398,CM397)</f>
        <v>26.07</v>
      </c>
      <c r="CN398" s="2275"/>
      <c r="CO398" s="2275"/>
      <c r="CP398" s="2275"/>
      <c r="CQ398" s="2275"/>
      <c r="CR398" s="2275"/>
      <c r="CS398" s="2275"/>
      <c r="CT398" s="2275"/>
      <c r="CU398" s="2275"/>
      <c r="CV398" s="2275"/>
      <c r="CW398" s="2275"/>
      <c r="CX398" s="2275"/>
      <c r="CY398" s="2275"/>
      <c r="CZ398" s="3692">
        <f>IFERROR(HLOOKUP(DA372,CZ394:DK394,1,0),0)</f>
        <v>0</v>
      </c>
      <c r="DA398" s="3692">
        <f>IF(CZ398&gt;0,CZ398,DA397)</f>
        <v>29.23</v>
      </c>
      <c r="DB398" s="2275"/>
      <c r="DC398" s="2275"/>
      <c r="DD398" s="2275"/>
      <c r="DE398" s="2275"/>
      <c r="DF398" s="2275"/>
      <c r="DG398" s="2275"/>
      <c r="DH398" s="2275"/>
      <c r="DI398" s="2275"/>
      <c r="DJ398" s="2275"/>
      <c r="DK398" s="2275"/>
      <c r="DL398" s="2275"/>
      <c r="DM398" s="2275"/>
      <c r="DN398" s="2275"/>
      <c r="DO398" s="53"/>
      <c r="DP398" s="53"/>
      <c r="DY398" s="3692">
        <f>IFERROR(HLOOKUP(DZ372,DY394:EJ394,1,0),0)</f>
        <v>0</v>
      </c>
      <c r="DZ398" s="3692">
        <f>IF(DY398&gt;0,DY398,DZ397)</f>
        <v>0</v>
      </c>
      <c r="EA398" s="2275"/>
      <c r="EB398" s="2275"/>
      <c r="EC398" s="2275"/>
      <c r="ED398" s="2275"/>
      <c r="EE398" s="2275"/>
      <c r="EF398" s="2275"/>
      <c r="EG398" s="2275"/>
      <c r="EH398" s="2275"/>
      <c r="EI398" s="2275"/>
      <c r="EJ398" s="2275"/>
      <c r="EK398" s="2275"/>
      <c r="EL398" s="2275"/>
      <c r="EM398" s="3692">
        <f>IFERROR(HLOOKUP(EN372,EM394:EX394,1,0),0)</f>
        <v>0</v>
      </c>
      <c r="EN398" s="3692">
        <f>IF(EM398&gt;0,EM398,EN397)</f>
        <v>22.09</v>
      </c>
      <c r="EO398" s="2275"/>
      <c r="EP398" s="2275"/>
      <c r="EQ398" s="2275"/>
      <c r="ER398" s="2275"/>
      <c r="ES398" s="2275"/>
      <c r="ET398" s="2275"/>
      <c r="EU398" s="2275"/>
      <c r="EV398" s="2275"/>
      <c r="EW398" s="2275"/>
      <c r="EX398" s="2275"/>
      <c r="EY398" s="2275"/>
      <c r="EZ398" s="2275"/>
      <c r="FA398" s="3692">
        <f>IFERROR(HLOOKUP(FB372,FA394:FL394,1,0),0)</f>
        <v>0</v>
      </c>
      <c r="FB398" s="3692">
        <f>IF(FA398&gt;0,FA398,FB397)</f>
        <v>22.47</v>
      </c>
      <c r="FC398" s="2275"/>
      <c r="FD398" s="2275"/>
      <c r="FE398" s="2275"/>
      <c r="FF398" s="2275"/>
      <c r="FG398" s="2275"/>
      <c r="FH398" s="2275"/>
      <c r="FI398" s="2275"/>
      <c r="FJ398" s="2275"/>
      <c r="FK398" s="2275"/>
      <c r="FL398" s="2275"/>
      <c r="FM398" s="2275"/>
      <c r="FN398" s="2275"/>
      <c r="FO398" s="3692">
        <f>IFERROR(HLOOKUP(FP372,FO394:FZ394,1,0),0)</f>
        <v>0</v>
      </c>
      <c r="FP398" s="3692">
        <f>IF(FO398&gt;0,FO398,FP397)</f>
        <v>25.46</v>
      </c>
      <c r="FQ398" s="2275"/>
      <c r="FR398" s="2275"/>
      <c r="FS398" s="2275"/>
      <c r="FT398" s="2275"/>
      <c r="FU398" s="2275"/>
      <c r="FV398" s="2275"/>
      <c r="FW398" s="2275"/>
      <c r="FX398" s="2275"/>
      <c r="FY398" s="2275"/>
      <c r="FZ398" s="2275"/>
      <c r="GA398" s="2275"/>
      <c r="GB398" s="2275"/>
      <c r="GC398" s="2276"/>
      <c r="GD398" s="2276"/>
      <c r="GE398" s="2250"/>
      <c r="GF398" s="2275"/>
      <c r="GG398" s="3692">
        <f>IFERROR(HLOOKUP(GH372,GG394:GR394,1,0),0)</f>
        <v>0</v>
      </c>
      <c r="GH398" s="3692">
        <f>IF(GG398&gt;0,GG398,GH397)</f>
        <v>0</v>
      </c>
      <c r="GI398" s="2275"/>
      <c r="GJ398" s="2275"/>
      <c r="GK398" s="2275"/>
      <c r="GL398" s="2275"/>
      <c r="GM398" s="2275"/>
      <c r="GN398" s="2275"/>
      <c r="GO398" s="2275"/>
      <c r="GP398" s="2275"/>
      <c r="GQ398" s="2275"/>
      <c r="GR398" s="2275"/>
      <c r="GS398" s="2275"/>
      <c r="GT398" s="2275"/>
      <c r="GU398" s="3692">
        <f>IFERROR(HLOOKUP(GV372,GU394:HF394,1,0),0)</f>
        <v>0</v>
      </c>
      <c r="GV398" s="3692">
        <f>IF(GU398&gt;0,GU398,GV397)</f>
        <v>20.74</v>
      </c>
      <c r="GW398" s="2275"/>
      <c r="GX398" s="2275"/>
      <c r="GY398" s="2275"/>
      <c r="GZ398" s="2275"/>
      <c r="HA398" s="2275"/>
      <c r="HB398" s="2275"/>
      <c r="HC398" s="2275"/>
      <c r="HD398" s="2275"/>
      <c r="HE398" s="2275"/>
      <c r="HF398" s="2275"/>
      <c r="HG398" s="2275"/>
      <c r="HH398" s="2275"/>
      <c r="HI398" s="3692">
        <f>IFERROR(HLOOKUP(HJ372,HI394:HT394,1,0),0)</f>
        <v>0</v>
      </c>
      <c r="HJ398" s="3692">
        <f>IF(HI398&gt;0,HI398,HJ397)</f>
        <v>21.2</v>
      </c>
      <c r="HK398" s="2275"/>
      <c r="HL398" s="2275"/>
      <c r="HM398" s="2275"/>
      <c r="HN398" s="2275"/>
      <c r="HO398" s="2275"/>
      <c r="HP398" s="2275"/>
      <c r="HQ398" s="2275"/>
      <c r="HR398" s="2275"/>
      <c r="HS398" s="2275"/>
      <c r="HT398" s="2275"/>
      <c r="HU398" s="2275"/>
      <c r="HV398" s="2275"/>
      <c r="HW398" s="3692">
        <f>IFERROR(HLOOKUP(HX372,HW394:IH394,1,0),0)</f>
        <v>0</v>
      </c>
      <c r="HX398" s="3692">
        <f>IF(HW398&gt;0,HW398,HX397)</f>
        <v>23.38</v>
      </c>
      <c r="HY398" s="2275"/>
      <c r="HZ398" s="2275"/>
      <c r="IA398" s="2275"/>
      <c r="IB398" s="2275"/>
      <c r="IC398" s="2275"/>
      <c r="ID398" s="2275"/>
      <c r="IE398" s="2275"/>
      <c r="IF398" s="2275"/>
      <c r="IG398" s="2275"/>
      <c r="IH398" s="2275"/>
      <c r="II398" s="2275"/>
      <c r="IJ398" s="2275"/>
      <c r="IK398" s="2275"/>
      <c r="IL398" s="53"/>
      <c r="IM398" s="53"/>
    </row>
    <row r="399" spans="2:247" ht="21.95" customHeight="1">
      <c r="B399" s="3692" t="str">
        <f>IF(C399=E389,"Right","Wrong")</f>
        <v>Right</v>
      </c>
      <c r="C399" s="3692">
        <f>HLOOKUP(C398,B395:L396,2,0)</f>
        <v>400</v>
      </c>
      <c r="D399" s="2275"/>
      <c r="E399" s="2275"/>
      <c r="F399" s="2275"/>
      <c r="G399" s="2275"/>
      <c r="H399" s="2275"/>
      <c r="I399" s="2275"/>
      <c r="J399" s="2275"/>
      <c r="K399" s="2275"/>
      <c r="L399" s="2275"/>
      <c r="M399" s="2275"/>
      <c r="N399" s="2275"/>
      <c r="O399" s="2275"/>
      <c r="P399" s="3692" t="str">
        <f>IF(Q399=S389,"Right","Wrong")</f>
        <v>Right</v>
      </c>
      <c r="Q399" s="3692">
        <f>HLOOKUP(Q398,P395:Z396,2,0)</f>
        <v>825</v>
      </c>
      <c r="R399" s="2275"/>
      <c r="S399" s="2275"/>
      <c r="T399" s="2275"/>
      <c r="U399" s="2275"/>
      <c r="V399" s="2275"/>
      <c r="W399" s="2275"/>
      <c r="X399" s="2275"/>
      <c r="Y399" s="2275"/>
      <c r="Z399" s="2275"/>
      <c r="AA399" s="2275"/>
      <c r="AB399" s="2275"/>
      <c r="AC399" s="2275"/>
      <c r="AD399" s="3692" t="str">
        <f>IF(AE399=AG389,"Right","Wrong")</f>
        <v>Right</v>
      </c>
      <c r="AE399" s="3692">
        <f>HLOOKUP(AE398,AD395:AN396,2,0)</f>
        <v>950</v>
      </c>
      <c r="AF399" s="2275"/>
      <c r="AG399" s="2275"/>
      <c r="AH399" s="2275"/>
      <c r="AI399" s="2275"/>
      <c r="AJ399" s="2275"/>
      <c r="AK399" s="2275"/>
      <c r="AL399" s="2275"/>
      <c r="AM399" s="2275"/>
      <c r="AN399" s="2275"/>
      <c r="AO399" s="2275"/>
      <c r="AP399" s="2275"/>
      <c r="AQ399" s="2275"/>
      <c r="AR399" s="3692" t="str">
        <f>IF(AS399=AU389,"Right","Wrong")</f>
        <v>Right</v>
      </c>
      <c r="AS399" s="3692">
        <f>HLOOKUP(AS398,AR395:BB396,2,0)</f>
        <v>1100</v>
      </c>
      <c r="AT399" s="2275"/>
      <c r="AU399" s="2275"/>
      <c r="AV399" s="2275"/>
      <c r="AW399" s="2275"/>
      <c r="AX399" s="2275"/>
      <c r="AY399" s="2275"/>
      <c r="AZ399" s="2275"/>
      <c r="BA399" s="2275"/>
      <c r="BB399" s="2275"/>
      <c r="BC399" s="2275"/>
      <c r="BD399" s="2275"/>
      <c r="BE399" s="2275"/>
      <c r="BF399" s="2276"/>
      <c r="BG399" s="2276"/>
      <c r="BH399" s="2250"/>
      <c r="BI399" s="2275"/>
      <c r="BJ399" s="3692" t="str">
        <f>IF(BK399=BM389,"Right","Wrong")</f>
        <v>Right</v>
      </c>
      <c r="BK399" s="3692">
        <f>HLOOKUP(BK398,BJ395:BT396,2,0)</f>
        <v>400</v>
      </c>
      <c r="BL399" s="2275"/>
      <c r="BM399" s="2275"/>
      <c r="BN399" s="2275"/>
      <c r="BO399" s="2275"/>
      <c r="BP399" s="2275"/>
      <c r="BQ399" s="2275"/>
      <c r="BR399" s="2275"/>
      <c r="BS399" s="2275"/>
      <c r="BT399" s="2275"/>
      <c r="BU399" s="2275"/>
      <c r="BV399" s="2275"/>
      <c r="BW399" s="2275"/>
      <c r="BX399" s="3692" t="str">
        <f>IF(BY399=CA389,"Right","Wrong")</f>
        <v>Right</v>
      </c>
      <c r="BY399" s="3692">
        <f>HLOOKUP(BY398,BX395:CH396,2,0)</f>
        <v>950</v>
      </c>
      <c r="BZ399" s="2275"/>
      <c r="CA399" s="2275"/>
      <c r="CB399" s="2275"/>
      <c r="CC399" s="2275"/>
      <c r="CD399" s="2275"/>
      <c r="CE399" s="2275"/>
      <c r="CF399" s="2275"/>
      <c r="CG399" s="2275"/>
      <c r="CH399" s="2275"/>
      <c r="CI399" s="2275"/>
      <c r="CJ399" s="2275"/>
      <c r="CK399" s="2275"/>
      <c r="CL399" s="3692" t="str">
        <f>IF(CM399=CO389,"Right","Wrong")</f>
        <v>Right</v>
      </c>
      <c r="CM399" s="3692">
        <f>HLOOKUP(CM398,CL395:CV396,2,0)</f>
        <v>1100</v>
      </c>
      <c r="CN399" s="2275"/>
      <c r="CO399" s="2275"/>
      <c r="CP399" s="2275"/>
      <c r="CQ399" s="2275"/>
      <c r="CR399" s="2275"/>
      <c r="CS399" s="2275"/>
      <c r="CT399" s="2275"/>
      <c r="CU399" s="2275"/>
      <c r="CV399" s="2275"/>
      <c r="CW399" s="2275"/>
      <c r="CX399" s="2275"/>
      <c r="CY399" s="2275"/>
      <c r="CZ399" s="3692" t="str">
        <f>IF(DA399=DC389,"Right","Wrong")</f>
        <v>Right</v>
      </c>
      <c r="DA399" s="3692">
        <f>HLOOKUP(DA398,CZ395:DJ396,2,0)</f>
        <v>1250</v>
      </c>
      <c r="DB399" s="2275"/>
      <c r="DC399" s="2275"/>
      <c r="DD399" s="2275"/>
      <c r="DE399" s="2275"/>
      <c r="DF399" s="2275"/>
      <c r="DG399" s="2275"/>
      <c r="DH399" s="2275"/>
      <c r="DI399" s="2275"/>
      <c r="DJ399" s="2275"/>
      <c r="DK399" s="2275"/>
      <c r="DL399" s="2275"/>
      <c r="DM399" s="2275"/>
      <c r="DN399" s="2275"/>
      <c r="DO399" s="53"/>
      <c r="DP399" s="53"/>
      <c r="DY399" s="3692" t="str">
        <f>IF(DZ399=EB389,"Right","Wrong")</f>
        <v>Right</v>
      </c>
      <c r="DZ399" s="3692">
        <f>HLOOKUP(DZ398,DY395:EI396,2,0)</f>
        <v>400</v>
      </c>
      <c r="EA399" s="2275"/>
      <c r="EB399" s="2275"/>
      <c r="EC399" s="2275"/>
      <c r="ED399" s="2275"/>
      <c r="EE399" s="2275"/>
      <c r="EF399" s="2275"/>
      <c r="EG399" s="2275"/>
      <c r="EH399" s="2275"/>
      <c r="EI399" s="2275"/>
      <c r="EJ399" s="2275"/>
      <c r="EK399" s="2275"/>
      <c r="EL399" s="2275"/>
      <c r="EM399" s="3692" t="str">
        <f>IF(EN399=EP389,"Right","Wrong")</f>
        <v>Right</v>
      </c>
      <c r="EN399" s="3692">
        <f>HLOOKUP(EN398,EM395:EW396,2,0)</f>
        <v>775</v>
      </c>
      <c r="EO399" s="2275"/>
      <c r="EP399" s="2275"/>
      <c r="EQ399" s="2275"/>
      <c r="ER399" s="2275"/>
      <c r="ES399" s="2275"/>
      <c r="ET399" s="2275"/>
      <c r="EU399" s="2275"/>
      <c r="EV399" s="2275"/>
      <c r="EW399" s="2275"/>
      <c r="EX399" s="2275"/>
      <c r="EY399" s="2275"/>
      <c r="EZ399" s="2275"/>
      <c r="FA399" s="3692" t="str">
        <f>IF(FB399=FD389,"Right","Wrong")</f>
        <v>Right</v>
      </c>
      <c r="FB399" s="3692">
        <f>HLOOKUP(FB398,FA395:FK396,2,0)</f>
        <v>825</v>
      </c>
      <c r="FC399" s="2275"/>
      <c r="FD399" s="2275"/>
      <c r="FE399" s="2275"/>
      <c r="FF399" s="2275"/>
      <c r="FG399" s="2275"/>
      <c r="FH399" s="2275"/>
      <c r="FI399" s="2275"/>
      <c r="FJ399" s="2275"/>
      <c r="FK399" s="2275"/>
      <c r="FL399" s="2275"/>
      <c r="FM399" s="2275"/>
      <c r="FN399" s="2275"/>
      <c r="FO399" s="3692" t="str">
        <f>IF(FP399=FR389,"Right","Wrong")</f>
        <v>Right</v>
      </c>
      <c r="FP399" s="3692">
        <f>HLOOKUP(FP398,FO395:FY396,2,0)</f>
        <v>950</v>
      </c>
      <c r="FQ399" s="2275"/>
      <c r="FR399" s="2275"/>
      <c r="FS399" s="2275"/>
      <c r="FT399" s="2275"/>
      <c r="FU399" s="2275"/>
      <c r="FV399" s="2275"/>
      <c r="FW399" s="2275"/>
      <c r="FX399" s="2275"/>
      <c r="FY399" s="2275"/>
      <c r="FZ399" s="2275"/>
      <c r="GA399" s="2275"/>
      <c r="GB399" s="2275"/>
      <c r="GC399" s="2276"/>
      <c r="GD399" s="2276"/>
      <c r="GE399" s="2250"/>
      <c r="GF399" s="2275"/>
      <c r="GG399" s="3692" t="str">
        <f>IF(GH399=GJ389,"Right","Wrong")</f>
        <v>Right</v>
      </c>
      <c r="GH399" s="3692">
        <f>HLOOKUP(GH398,GG395:GQ396,2,0)</f>
        <v>400</v>
      </c>
      <c r="GI399" s="2275"/>
      <c r="GJ399" s="2275"/>
      <c r="GK399" s="2275"/>
      <c r="GL399" s="2275"/>
      <c r="GM399" s="2275"/>
      <c r="GN399" s="2275"/>
      <c r="GO399" s="2275"/>
      <c r="GP399" s="2275"/>
      <c r="GQ399" s="2275"/>
      <c r="GR399" s="2275"/>
      <c r="GS399" s="2275"/>
      <c r="GT399" s="2275"/>
      <c r="GU399" s="3692" t="str">
        <f>IF(GV399=GX389,"Right","Wrong")</f>
        <v>Right</v>
      </c>
      <c r="GV399" s="3692">
        <f>HLOOKUP(GV398,GU395:HE396,2,0)</f>
        <v>775</v>
      </c>
      <c r="GW399" s="2275"/>
      <c r="GX399" s="2275"/>
      <c r="GY399" s="2275"/>
      <c r="GZ399" s="2275"/>
      <c r="HA399" s="2275"/>
      <c r="HB399" s="2275"/>
      <c r="HC399" s="2275"/>
      <c r="HD399" s="2275"/>
      <c r="HE399" s="2275"/>
      <c r="HF399" s="2275"/>
      <c r="HG399" s="2275"/>
      <c r="HH399" s="2275"/>
      <c r="HI399" s="3692" t="str">
        <f>IF(HJ399=HL389,"Right","Wrong")</f>
        <v>Right</v>
      </c>
      <c r="HJ399" s="3692">
        <f>HLOOKUP(HJ398,HI395:HS396,2,0)</f>
        <v>825</v>
      </c>
      <c r="HK399" s="2275"/>
      <c r="HL399" s="2275"/>
      <c r="HM399" s="2275"/>
      <c r="HN399" s="2275"/>
      <c r="HO399" s="2275"/>
      <c r="HP399" s="2275"/>
      <c r="HQ399" s="2275"/>
      <c r="HR399" s="2275"/>
      <c r="HS399" s="2275"/>
      <c r="HT399" s="2275"/>
      <c r="HU399" s="2275"/>
      <c r="HV399" s="2275"/>
      <c r="HW399" s="3692" t="str">
        <f>IF(HX399=HZ389,"Right","Wrong")</f>
        <v>Right</v>
      </c>
      <c r="HX399" s="3692">
        <f>HLOOKUP(HX398,HW395:IG396,2,0)</f>
        <v>950</v>
      </c>
      <c r="HY399" s="2275"/>
      <c r="HZ399" s="2275"/>
      <c r="IA399" s="2275"/>
      <c r="IB399" s="2275"/>
      <c r="IC399" s="2275"/>
      <c r="ID399" s="2275"/>
      <c r="IE399" s="2275"/>
      <c r="IF399" s="2275"/>
      <c r="IG399" s="2275"/>
      <c r="IH399" s="2275"/>
      <c r="II399" s="2275"/>
      <c r="IJ399" s="2275"/>
      <c r="IK399" s="2275"/>
      <c r="IL399" s="53"/>
      <c r="IM399" s="53"/>
    </row>
    <row r="400" spans="2:247" ht="21.95" customHeight="1">
      <c r="B400" s="3690" t="str">
        <f>IF(C398=D389,"Right","Wrong")</f>
        <v>Right</v>
      </c>
      <c r="C400" s="2275"/>
      <c r="D400" s="2275"/>
      <c r="E400" s="2275"/>
      <c r="F400" s="2275"/>
      <c r="G400" s="2275"/>
      <c r="H400" s="2275"/>
      <c r="I400" s="2275"/>
      <c r="J400" s="2275"/>
      <c r="K400" s="2275"/>
      <c r="L400" s="2275"/>
      <c r="M400" s="2275"/>
      <c r="N400" s="2275"/>
      <c r="O400" s="2275"/>
      <c r="P400" s="3690" t="str">
        <f>IF(Q398=R389,"Right","Wrong")</f>
        <v>Right</v>
      </c>
      <c r="Q400" s="2275"/>
      <c r="R400" s="2275"/>
      <c r="S400" s="2275"/>
      <c r="T400" s="2275"/>
      <c r="U400" s="2275"/>
      <c r="V400" s="2275"/>
      <c r="W400" s="2275"/>
      <c r="X400" s="2275"/>
      <c r="Y400" s="2275"/>
      <c r="Z400" s="2275"/>
      <c r="AA400" s="2275"/>
      <c r="AB400" s="2275"/>
      <c r="AC400" s="2275"/>
      <c r="AD400" s="3690" t="str">
        <f>IF(AE398=AF389,"Right","Wrong")</f>
        <v>Right</v>
      </c>
      <c r="AE400" s="2275"/>
      <c r="AF400" s="2275"/>
      <c r="AG400" s="2275"/>
      <c r="AH400" s="2275"/>
      <c r="AI400" s="2275"/>
      <c r="AJ400" s="2275"/>
      <c r="AK400" s="2275"/>
      <c r="AL400" s="2275"/>
      <c r="AM400" s="2275"/>
      <c r="AN400" s="2275"/>
      <c r="AO400" s="2275"/>
      <c r="AP400" s="2275"/>
      <c r="AQ400" s="2275"/>
      <c r="AR400" s="3690" t="str">
        <f>IF(AS398=AT389,"Right","Wrong")</f>
        <v>Right</v>
      </c>
      <c r="AS400" s="2275"/>
      <c r="AT400" s="2275"/>
      <c r="AU400" s="2275"/>
      <c r="AV400" s="2275"/>
      <c r="AW400" s="2275"/>
      <c r="AX400" s="2275"/>
      <c r="AY400" s="2275"/>
      <c r="AZ400" s="2275"/>
      <c r="BA400" s="2275"/>
      <c r="BB400" s="2275"/>
      <c r="BC400" s="2275"/>
      <c r="BD400" s="2275"/>
      <c r="BE400" s="2275"/>
      <c r="BF400" s="2276"/>
      <c r="BG400" s="2276"/>
      <c r="BH400" s="2250"/>
      <c r="BI400" s="2275"/>
      <c r="BJ400" s="3690" t="str">
        <f>IF(BK398=BL389,"Right","Wrong")</f>
        <v>Right</v>
      </c>
      <c r="BK400" s="2275"/>
      <c r="BL400" s="2275"/>
      <c r="BM400" s="2275"/>
      <c r="BN400" s="2275"/>
      <c r="BO400" s="2275"/>
      <c r="BP400" s="2275"/>
      <c r="BQ400" s="2275"/>
      <c r="BR400" s="2275"/>
      <c r="BS400" s="2275"/>
      <c r="BT400" s="2275"/>
      <c r="BU400" s="2275"/>
      <c r="BV400" s="2275"/>
      <c r="BW400" s="2275"/>
      <c r="BX400" s="3690" t="str">
        <f>IF(BY398=BZ389,"Right","Wrong")</f>
        <v>Right</v>
      </c>
      <c r="BY400" s="2275"/>
      <c r="BZ400" s="2275"/>
      <c r="CA400" s="2275"/>
      <c r="CB400" s="2275"/>
      <c r="CC400" s="2275"/>
      <c r="CD400" s="2275"/>
      <c r="CE400" s="2275"/>
      <c r="CF400" s="2275"/>
      <c r="CG400" s="2275"/>
      <c r="CH400" s="2275"/>
      <c r="CI400" s="2275"/>
      <c r="CJ400" s="2275"/>
      <c r="CK400" s="2275"/>
      <c r="CL400" s="3690" t="str">
        <f>IF(CM398=CN389,"Right","Wrong")</f>
        <v>Right</v>
      </c>
      <c r="CM400" s="2275"/>
      <c r="CN400" s="2275"/>
      <c r="CO400" s="2275"/>
      <c r="CP400" s="2275"/>
      <c r="CQ400" s="2275"/>
      <c r="CR400" s="2275"/>
      <c r="CS400" s="2275"/>
      <c r="CT400" s="2275"/>
      <c r="CU400" s="2275"/>
      <c r="CV400" s="2275"/>
      <c r="CW400" s="2275"/>
      <c r="CX400" s="2275"/>
      <c r="CY400" s="2275"/>
      <c r="CZ400" s="3690" t="str">
        <f>IF(DA398=DB389,"Right","Wrong")</f>
        <v>Right</v>
      </c>
      <c r="DA400" s="2275"/>
      <c r="DB400" s="2275"/>
      <c r="DC400" s="2275"/>
      <c r="DD400" s="2275"/>
      <c r="DE400" s="2275"/>
      <c r="DF400" s="2275"/>
      <c r="DG400" s="2275"/>
      <c r="DH400" s="2275"/>
      <c r="DI400" s="2275"/>
      <c r="DJ400" s="2275"/>
      <c r="DK400" s="2275"/>
      <c r="DL400" s="2275"/>
      <c r="DM400" s="2275"/>
      <c r="DN400" s="2275"/>
      <c r="DO400" s="53"/>
      <c r="DP400" s="53"/>
      <c r="DY400" s="3690" t="str">
        <f>IF(DZ398=EA389,"Right","Wrong")</f>
        <v>Right</v>
      </c>
      <c r="DZ400" s="2275"/>
      <c r="EA400" s="2275"/>
      <c r="EB400" s="2275"/>
      <c r="EC400" s="2275"/>
      <c r="ED400" s="2275"/>
      <c r="EE400" s="2275"/>
      <c r="EF400" s="2275"/>
      <c r="EG400" s="2275"/>
      <c r="EH400" s="2275"/>
      <c r="EI400" s="2275"/>
      <c r="EJ400" s="2275"/>
      <c r="EK400" s="2275"/>
      <c r="EL400" s="2275"/>
      <c r="EM400" s="3690" t="str">
        <f>IF(EN398=EO389,"Right","Wrong")</f>
        <v>Right</v>
      </c>
      <c r="EN400" s="2275"/>
      <c r="EO400" s="2275"/>
      <c r="EP400" s="2275"/>
      <c r="EQ400" s="2275"/>
      <c r="ER400" s="2275"/>
      <c r="ES400" s="2275"/>
      <c r="ET400" s="2275"/>
      <c r="EU400" s="2275"/>
      <c r="EV400" s="2275"/>
      <c r="EW400" s="2275"/>
      <c r="EX400" s="2275"/>
      <c r="EY400" s="2275"/>
      <c r="EZ400" s="2275"/>
      <c r="FA400" s="3690" t="str">
        <f>IF(FB398=FC389,"Right","Wrong")</f>
        <v>Right</v>
      </c>
      <c r="FB400" s="2275"/>
      <c r="FC400" s="2275"/>
      <c r="FD400" s="2275"/>
      <c r="FE400" s="2275"/>
      <c r="FF400" s="2275"/>
      <c r="FG400" s="2275"/>
      <c r="FH400" s="2275"/>
      <c r="FI400" s="2275"/>
      <c r="FJ400" s="2275"/>
      <c r="FK400" s="2275"/>
      <c r="FL400" s="2275"/>
      <c r="FM400" s="2275"/>
      <c r="FN400" s="2275"/>
      <c r="FO400" s="3690" t="str">
        <f>IF(FP398=FQ389,"Right","Wrong")</f>
        <v>Right</v>
      </c>
      <c r="FP400" s="2275"/>
      <c r="FQ400" s="2275"/>
      <c r="FR400" s="2275"/>
      <c r="FS400" s="2275"/>
      <c r="FT400" s="2275"/>
      <c r="FU400" s="2275"/>
      <c r="FV400" s="2275"/>
      <c r="FW400" s="2275"/>
      <c r="FX400" s="2275"/>
      <c r="FY400" s="2275"/>
      <c r="FZ400" s="2275"/>
      <c r="GA400" s="2275"/>
      <c r="GB400" s="2275"/>
      <c r="GC400" s="2276"/>
      <c r="GD400" s="2276"/>
      <c r="GE400" s="2250"/>
      <c r="GF400" s="2275"/>
      <c r="GG400" s="3690" t="str">
        <f>IF(GH398=GI389,"Right","Wrong")</f>
        <v>Right</v>
      </c>
      <c r="GH400" s="2275"/>
      <c r="GI400" s="2275"/>
      <c r="GJ400" s="2275"/>
      <c r="GK400" s="2275"/>
      <c r="GL400" s="2275"/>
      <c r="GM400" s="2275"/>
      <c r="GN400" s="2275"/>
      <c r="GO400" s="2275"/>
      <c r="GP400" s="2275"/>
      <c r="GQ400" s="2275"/>
      <c r="GR400" s="2275"/>
      <c r="GS400" s="2275"/>
      <c r="GT400" s="2275"/>
      <c r="GU400" s="3690" t="str">
        <f>IF(GV398=GW389,"Right","Wrong")</f>
        <v>Right</v>
      </c>
      <c r="GV400" s="2275"/>
      <c r="GW400" s="2275"/>
      <c r="GX400" s="2275"/>
      <c r="GY400" s="2275"/>
      <c r="GZ400" s="2275"/>
      <c r="HA400" s="2275"/>
      <c r="HB400" s="2275"/>
      <c r="HC400" s="2275"/>
      <c r="HD400" s="2275"/>
      <c r="HE400" s="2275"/>
      <c r="HF400" s="2275"/>
      <c r="HG400" s="2275"/>
      <c r="HH400" s="2275"/>
      <c r="HI400" s="3690" t="str">
        <f>IF(HJ398=HK389,"Right","Wrong")</f>
        <v>Right</v>
      </c>
      <c r="HJ400" s="2275"/>
      <c r="HK400" s="2275"/>
      <c r="HL400" s="2275"/>
      <c r="HM400" s="2275"/>
      <c r="HN400" s="2275"/>
      <c r="HO400" s="2275"/>
      <c r="HP400" s="2275"/>
      <c r="HQ400" s="2275"/>
      <c r="HR400" s="2275"/>
      <c r="HS400" s="2275"/>
      <c r="HT400" s="2275"/>
      <c r="HU400" s="2275"/>
      <c r="HV400" s="2275"/>
      <c r="HW400" s="3690" t="str">
        <f>IF(HX398=HY389,"Right","Wrong")</f>
        <v>Right</v>
      </c>
      <c r="HX400" s="2275"/>
      <c r="HY400" s="2275"/>
      <c r="HZ400" s="2275"/>
      <c r="IA400" s="2275"/>
      <c r="IB400" s="2275"/>
      <c r="IC400" s="2275"/>
      <c r="ID400" s="2275"/>
      <c r="IE400" s="2275"/>
      <c r="IF400" s="2275"/>
      <c r="IG400" s="2275"/>
      <c r="IH400" s="2275"/>
      <c r="II400" s="2275"/>
      <c r="IJ400" s="2275"/>
      <c r="IK400" s="2275"/>
      <c r="IL400" s="53"/>
      <c r="IM400" s="53"/>
    </row>
    <row r="401" spans="2:247" ht="21.95" customHeight="1">
      <c r="B401" s="2275"/>
      <c r="C401" s="2275"/>
      <c r="D401" s="2275"/>
      <c r="E401" s="2275"/>
      <c r="F401" s="2275"/>
      <c r="G401" s="2275"/>
      <c r="H401" s="2250"/>
      <c r="I401" s="2250"/>
      <c r="J401" s="2250"/>
      <c r="K401" s="2250"/>
      <c r="L401" s="2275"/>
      <c r="M401" s="2275"/>
      <c r="N401" s="2275"/>
      <c r="O401" s="2275"/>
      <c r="P401" s="2275"/>
      <c r="Q401" s="2275"/>
      <c r="R401" s="2275"/>
      <c r="S401" s="2275"/>
      <c r="T401" s="2275"/>
      <c r="U401" s="2275"/>
      <c r="V401" s="2275"/>
      <c r="W401" s="2275"/>
      <c r="X401" s="2275"/>
      <c r="Y401" s="2275"/>
      <c r="Z401" s="2275"/>
      <c r="AA401" s="2275"/>
      <c r="AB401" s="2275"/>
      <c r="AC401" s="2275"/>
      <c r="AD401" s="2275"/>
      <c r="AE401" s="2275"/>
      <c r="AF401" s="2275"/>
      <c r="AG401" s="2275"/>
      <c r="AH401" s="2275"/>
      <c r="AI401" s="2275"/>
      <c r="AJ401" s="2275"/>
      <c r="AK401" s="2275"/>
      <c r="AL401" s="2275"/>
      <c r="AM401" s="2275"/>
      <c r="AN401" s="2275"/>
      <c r="AO401" s="2275"/>
      <c r="AP401" s="2275"/>
      <c r="AQ401" s="2275"/>
      <c r="AR401" s="2275"/>
      <c r="AS401" s="2275"/>
      <c r="AT401" s="2275"/>
      <c r="AU401" s="2275"/>
      <c r="AV401" s="2275"/>
      <c r="AW401" s="2275"/>
      <c r="AX401" s="2275"/>
      <c r="AY401" s="2275"/>
      <c r="AZ401" s="2275"/>
      <c r="BA401" s="2275"/>
      <c r="BB401" s="2275"/>
      <c r="BC401" s="2275"/>
      <c r="BD401" s="2275"/>
      <c r="BE401" s="2275"/>
      <c r="BF401" s="2276"/>
      <c r="BG401" s="2276"/>
      <c r="BH401" s="2250"/>
      <c r="BI401" s="2275"/>
      <c r="BJ401" s="2275"/>
      <c r="BK401" s="2275"/>
      <c r="BL401" s="2275"/>
      <c r="BM401" s="2275"/>
      <c r="BN401" s="2275"/>
      <c r="BO401" s="2275"/>
      <c r="BP401" s="2250"/>
      <c r="BQ401" s="2250"/>
      <c r="BR401" s="2250"/>
      <c r="BS401" s="2250"/>
      <c r="BT401" s="2275"/>
      <c r="BU401" s="2275"/>
      <c r="BV401" s="2275"/>
      <c r="BW401" s="2275"/>
      <c r="BX401" s="2275"/>
      <c r="BY401" s="2275"/>
      <c r="BZ401" s="2275"/>
      <c r="CA401" s="2275"/>
      <c r="CB401" s="2275"/>
      <c r="CC401" s="2275"/>
      <c r="CD401" s="2275"/>
      <c r="CE401" s="2275"/>
      <c r="CF401" s="2275"/>
      <c r="CG401" s="2275"/>
      <c r="CH401" s="2275"/>
      <c r="CI401" s="2275"/>
      <c r="CJ401" s="2275"/>
      <c r="CK401" s="2275"/>
      <c r="CL401" s="2275"/>
      <c r="CM401" s="2275"/>
      <c r="CN401" s="2275"/>
      <c r="CO401" s="2275"/>
      <c r="CP401" s="2275"/>
      <c r="CQ401" s="2275"/>
      <c r="CR401" s="2275"/>
      <c r="CS401" s="2275"/>
      <c r="CT401" s="2275"/>
      <c r="CU401" s="2275"/>
      <c r="CV401" s="2275"/>
      <c r="CW401" s="2275"/>
      <c r="CX401" s="2275"/>
      <c r="CY401" s="2275"/>
      <c r="CZ401" s="2275"/>
      <c r="DA401" s="2275"/>
      <c r="DB401" s="2275"/>
      <c r="DC401" s="2275"/>
      <c r="DD401" s="2275"/>
      <c r="DE401" s="2275"/>
      <c r="DF401" s="2275"/>
      <c r="DG401" s="2275"/>
      <c r="DH401" s="2275"/>
      <c r="DI401" s="2275"/>
      <c r="DJ401" s="2275"/>
      <c r="DK401" s="2275"/>
      <c r="DL401" s="2275"/>
      <c r="DM401" s="2275"/>
      <c r="DN401" s="2275"/>
      <c r="DO401" s="53"/>
      <c r="DP401" s="53"/>
      <c r="DY401" s="2275"/>
      <c r="DZ401" s="2275"/>
      <c r="EA401" s="2275"/>
      <c r="EB401" s="2275"/>
      <c r="EC401" s="2275"/>
      <c r="ED401" s="2275"/>
      <c r="EE401" s="2250"/>
      <c r="EF401" s="2250"/>
      <c r="EG401" s="2250"/>
      <c r="EH401" s="2250"/>
      <c r="EI401" s="2275"/>
      <c r="EJ401" s="2275"/>
      <c r="EK401" s="2275"/>
      <c r="EL401" s="2275"/>
      <c r="EM401" s="2275"/>
      <c r="EN401" s="2275"/>
      <c r="EO401" s="2275"/>
      <c r="EP401" s="2275"/>
      <c r="EQ401" s="2275"/>
      <c r="ER401" s="2275"/>
      <c r="ES401" s="2275"/>
      <c r="ET401" s="2275"/>
      <c r="EU401" s="2275"/>
      <c r="EV401" s="2275"/>
      <c r="EW401" s="2275"/>
      <c r="EX401" s="2275"/>
      <c r="EY401" s="2275"/>
      <c r="EZ401" s="2275"/>
      <c r="FA401" s="2275"/>
      <c r="FB401" s="2275"/>
      <c r="FC401" s="2275"/>
      <c r="FD401" s="2275"/>
      <c r="FE401" s="2275"/>
      <c r="FF401" s="2275"/>
      <c r="FG401" s="2275"/>
      <c r="FH401" s="2275"/>
      <c r="FI401" s="2275"/>
      <c r="FJ401" s="2275"/>
      <c r="FK401" s="2275"/>
      <c r="FL401" s="2275"/>
      <c r="FM401" s="2275"/>
      <c r="FN401" s="2275"/>
      <c r="FO401" s="2275"/>
      <c r="FP401" s="2275"/>
      <c r="FQ401" s="2275"/>
      <c r="FR401" s="2275"/>
      <c r="FS401" s="2275"/>
      <c r="FT401" s="2275"/>
      <c r="FU401" s="2275"/>
      <c r="FV401" s="2275"/>
      <c r="FW401" s="2275"/>
      <c r="FX401" s="2275"/>
      <c r="FY401" s="2275"/>
      <c r="FZ401" s="2275"/>
      <c r="GA401" s="2275"/>
      <c r="GB401" s="2275"/>
      <c r="GC401" s="2276"/>
      <c r="GD401" s="2276"/>
      <c r="GE401" s="2250"/>
      <c r="GF401" s="2275"/>
      <c r="GG401" s="2275"/>
      <c r="GH401" s="2275"/>
      <c r="GI401" s="2275"/>
      <c r="GJ401" s="2275"/>
      <c r="GK401" s="2275"/>
      <c r="GL401" s="2275"/>
      <c r="GM401" s="2250"/>
      <c r="GN401" s="2250"/>
      <c r="GO401" s="2250"/>
      <c r="GP401" s="2250"/>
      <c r="GQ401" s="2275"/>
      <c r="GR401" s="2275"/>
      <c r="GS401" s="2275"/>
      <c r="GT401" s="2275"/>
      <c r="GU401" s="2275"/>
      <c r="GV401" s="2275"/>
      <c r="GW401" s="2275"/>
      <c r="GX401" s="2275"/>
      <c r="GY401" s="2275"/>
      <c r="GZ401" s="2275"/>
      <c r="HA401" s="2275"/>
      <c r="HB401" s="2275"/>
      <c r="HC401" s="2275"/>
      <c r="HD401" s="2275"/>
      <c r="HE401" s="2275"/>
      <c r="HF401" s="2275"/>
      <c r="HG401" s="2275"/>
      <c r="HH401" s="2275"/>
      <c r="HI401" s="2275"/>
      <c r="HJ401" s="2275"/>
      <c r="HK401" s="2275"/>
      <c r="HL401" s="2275"/>
      <c r="HM401" s="2275"/>
      <c r="HN401" s="2275"/>
      <c r="HO401" s="2275"/>
      <c r="HP401" s="2275"/>
      <c r="HQ401" s="2275"/>
      <c r="HR401" s="2275"/>
      <c r="HS401" s="2275"/>
      <c r="HT401" s="2275"/>
      <c r="HU401" s="2275"/>
      <c r="HV401" s="2275"/>
      <c r="HW401" s="2275"/>
      <c r="HX401" s="2275"/>
      <c r="HY401" s="2275"/>
      <c r="HZ401" s="2275"/>
      <c r="IA401" s="2275"/>
      <c r="IB401" s="2275"/>
      <c r="IC401" s="2275"/>
      <c r="ID401" s="2275"/>
      <c r="IE401" s="2275"/>
      <c r="IF401" s="2275"/>
      <c r="IG401" s="2275"/>
      <c r="IH401" s="2275"/>
      <c r="II401" s="2275"/>
      <c r="IJ401" s="2275"/>
      <c r="IK401" s="2275"/>
      <c r="IL401" s="53"/>
      <c r="IM401" s="53"/>
    </row>
    <row r="402" spans="2:247" ht="21.95" customHeight="1">
      <c r="B402" s="2275"/>
      <c r="C402" s="2275"/>
      <c r="D402" s="2275"/>
      <c r="E402" s="2275"/>
      <c r="F402" s="2275"/>
      <c r="G402" s="2275"/>
      <c r="H402" s="2275"/>
      <c r="I402" s="2275"/>
      <c r="J402" s="2275"/>
      <c r="K402" s="2275"/>
      <c r="L402" s="2275"/>
      <c r="M402" s="2275"/>
      <c r="N402" s="2275"/>
      <c r="O402" s="2275"/>
      <c r="P402" s="2275"/>
      <c r="Q402" s="2275"/>
      <c r="R402" s="2275"/>
      <c r="S402" s="2275"/>
      <c r="T402" s="2275"/>
      <c r="U402" s="2275"/>
      <c r="V402" s="2275"/>
      <c r="W402" s="2275"/>
      <c r="X402" s="2275"/>
      <c r="Y402" s="2275"/>
      <c r="Z402" s="2275"/>
      <c r="AA402" s="2275"/>
      <c r="AB402" s="2275"/>
      <c r="AC402" s="2275"/>
      <c r="AD402" s="2275"/>
      <c r="AE402" s="2275"/>
      <c r="AF402" s="2275"/>
      <c r="AG402" s="2275"/>
      <c r="AH402" s="2275"/>
      <c r="AI402" s="2275"/>
      <c r="AJ402" s="2275"/>
      <c r="AK402" s="2275"/>
      <c r="AL402" s="2275"/>
      <c r="AM402" s="2275"/>
      <c r="AN402" s="2275"/>
      <c r="AO402" s="2275"/>
      <c r="AP402" s="2275"/>
      <c r="AQ402" s="2275"/>
      <c r="AR402" s="2275"/>
      <c r="AS402" s="2275"/>
      <c r="AT402" s="2275"/>
      <c r="AU402" s="2275"/>
      <c r="AV402" s="2275"/>
      <c r="AW402" s="2275"/>
      <c r="AX402" s="2275"/>
      <c r="AY402" s="2275"/>
      <c r="AZ402" s="2275"/>
      <c r="BA402" s="2275"/>
      <c r="BB402" s="2275"/>
      <c r="BC402" s="2275"/>
      <c r="BD402" s="2275"/>
      <c r="BE402" s="2275"/>
      <c r="BF402" s="2276"/>
      <c r="BG402" s="2276"/>
      <c r="BH402" s="2250"/>
      <c r="BI402" s="2275"/>
      <c r="BJ402" s="2275"/>
      <c r="BK402" s="2275"/>
      <c r="BL402" s="2275"/>
      <c r="BM402" s="2275"/>
      <c r="BN402" s="2275"/>
      <c r="BO402" s="2275"/>
      <c r="BP402" s="2275"/>
      <c r="BQ402" s="2275"/>
      <c r="BR402" s="2275"/>
      <c r="BS402" s="2275"/>
      <c r="BT402" s="2275"/>
      <c r="BU402" s="2275"/>
      <c r="BV402" s="2275"/>
      <c r="BW402" s="2275"/>
      <c r="BX402" s="2275"/>
      <c r="BY402" s="2275"/>
      <c r="BZ402" s="2275"/>
      <c r="CA402" s="2275"/>
      <c r="CB402" s="2275"/>
      <c r="CC402" s="2275"/>
      <c r="CD402" s="2275"/>
      <c r="CE402" s="2275"/>
      <c r="CF402" s="2275"/>
      <c r="CG402" s="2275"/>
      <c r="CH402" s="2275"/>
      <c r="CI402" s="2275"/>
      <c r="CJ402" s="2275"/>
      <c r="CK402" s="2275"/>
      <c r="CL402" s="2275"/>
      <c r="CM402" s="2275"/>
      <c r="CN402" s="2275"/>
      <c r="CO402" s="2275"/>
      <c r="CP402" s="2275"/>
      <c r="CQ402" s="2275"/>
      <c r="CR402" s="2275"/>
      <c r="CS402" s="2275"/>
      <c r="CT402" s="2275"/>
      <c r="CU402" s="2275"/>
      <c r="CV402" s="2275"/>
      <c r="CW402" s="2275"/>
      <c r="CX402" s="2275"/>
      <c r="CY402" s="2275"/>
      <c r="CZ402" s="2275"/>
      <c r="DA402" s="2275"/>
      <c r="DB402" s="2275"/>
      <c r="DC402" s="2275"/>
      <c r="DD402" s="2275"/>
      <c r="DE402" s="2275"/>
      <c r="DF402" s="2275"/>
      <c r="DG402" s="2275"/>
      <c r="DH402" s="2275"/>
      <c r="DI402" s="2275"/>
      <c r="DJ402" s="2275"/>
      <c r="DK402" s="2275"/>
      <c r="DL402" s="2275"/>
      <c r="DM402" s="2275"/>
      <c r="DN402" s="2275"/>
      <c r="DO402" s="53"/>
      <c r="DP402" s="53"/>
      <c r="DY402" s="2275"/>
      <c r="DZ402" s="2275"/>
      <c r="EA402" s="2275"/>
      <c r="EB402" s="2275"/>
      <c r="EC402" s="2275"/>
      <c r="ED402" s="2275"/>
      <c r="EE402" s="2275"/>
      <c r="EF402" s="2275"/>
      <c r="EG402" s="2275"/>
      <c r="EH402" s="2275"/>
      <c r="EI402" s="2275"/>
      <c r="EJ402" s="2275"/>
      <c r="EK402" s="2275"/>
      <c r="EL402" s="2275"/>
      <c r="EM402" s="2275"/>
      <c r="EN402" s="2275"/>
      <c r="EO402" s="2275"/>
      <c r="EP402" s="2275"/>
      <c r="EQ402" s="2275"/>
      <c r="ER402" s="2275"/>
      <c r="ES402" s="2275"/>
      <c r="ET402" s="2275"/>
      <c r="EU402" s="2275"/>
      <c r="EV402" s="2275"/>
      <c r="EW402" s="2275"/>
      <c r="EX402" s="2275"/>
      <c r="EY402" s="2275"/>
      <c r="EZ402" s="2275"/>
      <c r="FA402" s="2275"/>
      <c r="FB402" s="2275"/>
      <c r="FC402" s="2275"/>
      <c r="FD402" s="2275"/>
      <c r="FE402" s="2275"/>
      <c r="FF402" s="2275"/>
      <c r="FG402" s="2275"/>
      <c r="FH402" s="2275"/>
      <c r="FI402" s="2275"/>
      <c r="FJ402" s="2275"/>
      <c r="FK402" s="2275"/>
      <c r="FL402" s="2275"/>
      <c r="FM402" s="2275"/>
      <c r="FN402" s="2275"/>
      <c r="FO402" s="2275"/>
      <c r="FP402" s="2275"/>
      <c r="FQ402" s="2275"/>
      <c r="FR402" s="2275"/>
      <c r="FS402" s="2275"/>
      <c r="FT402" s="2275"/>
      <c r="FU402" s="2275"/>
      <c r="FV402" s="2275"/>
      <c r="FW402" s="2275"/>
      <c r="FX402" s="2275"/>
      <c r="FY402" s="2275"/>
      <c r="FZ402" s="2275"/>
      <c r="GA402" s="2275"/>
      <c r="GB402" s="2275"/>
      <c r="GC402" s="2276"/>
      <c r="GD402" s="2276"/>
      <c r="GE402" s="2250"/>
      <c r="GF402" s="2275"/>
      <c r="GG402" s="2275"/>
      <c r="GH402" s="2275"/>
      <c r="GI402" s="2275"/>
      <c r="GJ402" s="2275"/>
      <c r="GK402" s="2275"/>
      <c r="GL402" s="2275"/>
      <c r="GM402" s="2275"/>
      <c r="GN402" s="2275"/>
      <c r="GO402" s="2275"/>
      <c r="GP402" s="2275"/>
      <c r="GQ402" s="2275"/>
      <c r="GR402" s="2275"/>
      <c r="GS402" s="2275"/>
      <c r="GT402" s="2275"/>
      <c r="GU402" s="2275"/>
      <c r="GV402" s="2275"/>
      <c r="GW402" s="2275"/>
      <c r="GX402" s="2275"/>
      <c r="GY402" s="2275"/>
      <c r="GZ402" s="2275"/>
      <c r="HA402" s="2275"/>
      <c r="HB402" s="2275"/>
      <c r="HC402" s="2275"/>
      <c r="HD402" s="2275"/>
      <c r="HE402" s="2275"/>
      <c r="HF402" s="2275"/>
      <c r="HG402" s="2275"/>
      <c r="HH402" s="2275"/>
      <c r="HI402" s="2275"/>
      <c r="HJ402" s="2275"/>
      <c r="HK402" s="2275"/>
      <c r="HL402" s="2275"/>
      <c r="HM402" s="2275"/>
      <c r="HN402" s="2275"/>
      <c r="HO402" s="2275"/>
      <c r="HP402" s="2275"/>
      <c r="HQ402" s="2275"/>
      <c r="HR402" s="2275"/>
      <c r="HS402" s="2275"/>
      <c r="HT402" s="2275"/>
      <c r="HU402" s="2275"/>
      <c r="HV402" s="2275"/>
      <c r="HW402" s="2275"/>
      <c r="HX402" s="2275"/>
      <c r="HY402" s="2275"/>
      <c r="HZ402" s="2275"/>
      <c r="IA402" s="2275"/>
      <c r="IB402" s="2275"/>
      <c r="IC402" s="2275"/>
      <c r="ID402" s="2275"/>
      <c r="IE402" s="2275"/>
      <c r="IF402" s="2275"/>
      <c r="IG402" s="2275"/>
      <c r="IH402" s="2275"/>
      <c r="II402" s="2275"/>
      <c r="IJ402" s="2275"/>
      <c r="IK402" s="2275"/>
      <c r="IL402" s="53"/>
      <c r="IM402" s="53"/>
    </row>
    <row r="403" spans="2:247" ht="21.95" customHeight="1">
      <c r="B403" s="2275"/>
      <c r="C403" s="2275"/>
      <c r="D403" s="2275"/>
      <c r="E403" s="2275"/>
      <c r="F403" s="2275"/>
      <c r="G403" s="2275"/>
      <c r="H403" s="2250"/>
      <c r="I403" s="2250"/>
      <c r="J403" s="2250"/>
      <c r="K403" s="2250"/>
      <c r="L403" s="2275"/>
      <c r="M403" s="2275"/>
      <c r="N403" s="2275"/>
      <c r="O403" s="2275"/>
      <c r="P403" s="2275"/>
      <c r="Q403" s="2275"/>
      <c r="R403" s="2275"/>
      <c r="S403" s="2275"/>
      <c r="T403" s="2275"/>
      <c r="U403" s="2275"/>
      <c r="V403" s="2275"/>
      <c r="W403" s="2275"/>
      <c r="X403" s="2275"/>
      <c r="Y403" s="2275"/>
      <c r="Z403" s="2275"/>
      <c r="AA403" s="2275"/>
      <c r="AB403" s="2275"/>
      <c r="AC403" s="2275"/>
      <c r="AD403" s="2275"/>
      <c r="AE403" s="2275"/>
      <c r="AF403" s="2275"/>
      <c r="AG403" s="2275"/>
      <c r="AH403" s="2275"/>
      <c r="AI403" s="2275"/>
      <c r="AJ403" s="2275"/>
      <c r="AK403" s="2275"/>
      <c r="AL403" s="2275"/>
      <c r="AM403" s="2275"/>
      <c r="AN403" s="2275"/>
      <c r="AO403" s="2275"/>
      <c r="AP403" s="2275"/>
      <c r="AQ403" s="2275"/>
      <c r="AR403" s="2275"/>
      <c r="AS403" s="2275"/>
      <c r="AT403" s="2275"/>
      <c r="AU403" s="2275"/>
      <c r="AV403" s="2275"/>
      <c r="AW403" s="2275"/>
      <c r="AX403" s="2275"/>
      <c r="AY403" s="2275"/>
      <c r="AZ403" s="2275"/>
      <c r="BA403" s="2275"/>
      <c r="BB403" s="2275"/>
      <c r="BC403" s="2275"/>
      <c r="BD403" s="2275"/>
      <c r="BE403" s="2275"/>
      <c r="BF403" s="2276"/>
      <c r="BG403" s="2276"/>
      <c r="BH403" s="2250"/>
      <c r="BI403" s="2275"/>
      <c r="BJ403" s="2275"/>
      <c r="BK403" s="2275"/>
      <c r="BL403" s="2275"/>
      <c r="BM403" s="2275"/>
      <c r="BN403" s="2275"/>
      <c r="BO403" s="2275"/>
      <c r="BP403" s="2250"/>
      <c r="BQ403" s="2250"/>
      <c r="BR403" s="2250"/>
      <c r="BS403" s="2250"/>
      <c r="BT403" s="2275"/>
      <c r="BU403" s="2275"/>
      <c r="BV403" s="2275"/>
      <c r="BW403" s="2275"/>
      <c r="BX403" s="2275"/>
      <c r="BY403" s="2275"/>
      <c r="BZ403" s="2275"/>
      <c r="CA403" s="2275"/>
      <c r="CB403" s="2275"/>
      <c r="CC403" s="2275"/>
      <c r="CD403" s="2275"/>
      <c r="CE403" s="2275"/>
      <c r="CF403" s="2275"/>
      <c r="CG403" s="2275"/>
      <c r="CH403" s="2275"/>
      <c r="CI403" s="2275"/>
      <c r="CJ403" s="2275"/>
      <c r="CK403" s="2275"/>
      <c r="CL403" s="2275"/>
      <c r="CM403" s="2275"/>
      <c r="CN403" s="2275"/>
      <c r="CO403" s="2275"/>
      <c r="CP403" s="2275"/>
      <c r="CQ403" s="2275"/>
      <c r="CR403" s="2275"/>
      <c r="CS403" s="2275"/>
      <c r="CT403" s="2275"/>
      <c r="CU403" s="2275"/>
      <c r="CV403" s="2275"/>
      <c r="CW403" s="2275"/>
      <c r="CX403" s="2275"/>
      <c r="CY403" s="2275"/>
      <c r="CZ403" s="2275"/>
      <c r="DA403" s="2275"/>
      <c r="DB403" s="2275"/>
      <c r="DC403" s="2275"/>
      <c r="DD403" s="2275"/>
      <c r="DE403" s="2275"/>
      <c r="DF403" s="2275"/>
      <c r="DG403" s="2275"/>
      <c r="DH403" s="2275"/>
      <c r="DI403" s="2275"/>
      <c r="DJ403" s="2275"/>
      <c r="DK403" s="2275"/>
      <c r="DL403" s="2275"/>
      <c r="DM403" s="2275"/>
      <c r="DN403" s="2275"/>
      <c r="DO403" s="53"/>
      <c r="DP403" s="53"/>
      <c r="DY403" s="2275"/>
      <c r="DZ403" s="2275"/>
      <c r="EA403" s="2275"/>
      <c r="EB403" s="2275"/>
      <c r="EC403" s="2275"/>
      <c r="ED403" s="2275"/>
      <c r="EE403" s="2250"/>
      <c r="EF403" s="2250"/>
      <c r="EG403" s="2250"/>
      <c r="EH403" s="2250"/>
      <c r="EI403" s="2275"/>
      <c r="EJ403" s="2275"/>
      <c r="EK403" s="2275"/>
      <c r="EL403" s="2275"/>
      <c r="EM403" s="2275"/>
      <c r="EN403" s="2275"/>
      <c r="EO403" s="2275"/>
      <c r="EP403" s="2275"/>
      <c r="EQ403" s="2275"/>
      <c r="ER403" s="2275"/>
      <c r="ES403" s="2275"/>
      <c r="ET403" s="2275"/>
      <c r="EU403" s="2275"/>
      <c r="EV403" s="2275"/>
      <c r="EW403" s="2275"/>
      <c r="EX403" s="2275"/>
      <c r="EY403" s="2275"/>
      <c r="EZ403" s="2275"/>
      <c r="FA403" s="2275"/>
      <c r="FB403" s="2275"/>
      <c r="FC403" s="2275"/>
      <c r="FD403" s="2275"/>
      <c r="FE403" s="2275"/>
      <c r="FF403" s="2275"/>
      <c r="FG403" s="2275"/>
      <c r="FH403" s="2275"/>
      <c r="FI403" s="2275"/>
      <c r="FJ403" s="2275"/>
      <c r="FK403" s="2275"/>
      <c r="FL403" s="2275"/>
      <c r="FM403" s="2275"/>
      <c r="FN403" s="2275"/>
      <c r="FO403" s="2275"/>
      <c r="FP403" s="2275"/>
      <c r="FQ403" s="2275"/>
      <c r="FR403" s="2275"/>
      <c r="FS403" s="2275"/>
      <c r="FT403" s="2275"/>
      <c r="FU403" s="2275"/>
      <c r="FV403" s="2275"/>
      <c r="FW403" s="2275"/>
      <c r="FX403" s="2275"/>
      <c r="FY403" s="2275"/>
      <c r="FZ403" s="2275"/>
      <c r="GA403" s="2275"/>
      <c r="GB403" s="2275"/>
      <c r="GC403" s="2276"/>
      <c r="GD403" s="2276"/>
      <c r="GE403" s="2250"/>
      <c r="GF403" s="2275"/>
      <c r="GG403" s="2275"/>
      <c r="GH403" s="2275"/>
      <c r="GI403" s="2275"/>
      <c r="GJ403" s="2275"/>
      <c r="GK403" s="2275"/>
      <c r="GL403" s="2275"/>
      <c r="GM403" s="2250"/>
      <c r="GN403" s="2250"/>
      <c r="GO403" s="2250"/>
      <c r="GP403" s="2250"/>
      <c r="GQ403" s="2275"/>
      <c r="GR403" s="2275"/>
      <c r="GS403" s="2275"/>
      <c r="GT403" s="2275"/>
      <c r="GU403" s="2275"/>
      <c r="GV403" s="2275"/>
      <c r="GW403" s="2275"/>
      <c r="GX403" s="2275"/>
      <c r="GY403" s="2275"/>
      <c r="GZ403" s="2275"/>
      <c r="HA403" s="2275"/>
      <c r="HB403" s="2275"/>
      <c r="HC403" s="2275"/>
      <c r="HD403" s="2275"/>
      <c r="HE403" s="2275"/>
      <c r="HF403" s="2275"/>
      <c r="HG403" s="2275"/>
      <c r="HH403" s="2275"/>
      <c r="HI403" s="2275"/>
      <c r="HJ403" s="2275"/>
      <c r="HK403" s="2275"/>
      <c r="HL403" s="2275"/>
      <c r="HM403" s="2275"/>
      <c r="HN403" s="2275"/>
      <c r="HO403" s="2275"/>
      <c r="HP403" s="2275"/>
      <c r="HQ403" s="2275"/>
      <c r="HR403" s="2275"/>
      <c r="HS403" s="2275"/>
      <c r="HT403" s="2275"/>
      <c r="HU403" s="2275"/>
      <c r="HV403" s="2275"/>
      <c r="HW403" s="2275"/>
      <c r="HX403" s="2275"/>
      <c r="HY403" s="2275"/>
      <c r="HZ403" s="2275"/>
      <c r="IA403" s="2275"/>
      <c r="IB403" s="2275"/>
      <c r="IC403" s="2275"/>
      <c r="ID403" s="2275"/>
      <c r="IE403" s="2275"/>
      <c r="IF403" s="2275"/>
      <c r="IG403" s="2275"/>
      <c r="IH403" s="2275"/>
      <c r="II403" s="2275"/>
      <c r="IJ403" s="2275"/>
      <c r="IK403" s="2275"/>
      <c r="IL403" s="53"/>
      <c r="IM403" s="53"/>
    </row>
    <row r="404" spans="2:247" ht="21.95" customHeight="1">
      <c r="B404" s="2343"/>
      <c r="C404" s="2343"/>
      <c r="D404" s="2343"/>
      <c r="E404" s="2343"/>
      <c r="F404" s="2343"/>
      <c r="G404" s="2343"/>
      <c r="H404" s="2343"/>
      <c r="I404" s="2343"/>
      <c r="J404" s="2343"/>
      <c r="K404" s="2343"/>
      <c r="L404" s="2343"/>
      <c r="M404" s="2343"/>
      <c r="N404" s="2343"/>
      <c r="O404" s="2343"/>
      <c r="P404" s="2343"/>
      <c r="Q404" s="2343"/>
      <c r="R404" s="2343"/>
      <c r="S404" s="2343"/>
      <c r="T404" s="2343"/>
      <c r="U404" s="2343"/>
      <c r="V404" s="2343"/>
      <c r="W404" s="2343"/>
      <c r="X404" s="2343"/>
      <c r="Y404" s="2343"/>
      <c r="Z404" s="2343"/>
      <c r="AA404" s="2343"/>
      <c r="AB404" s="2343"/>
      <c r="AC404" s="2343"/>
      <c r="AD404" s="2343"/>
      <c r="AE404" s="2343"/>
      <c r="AF404" s="2343"/>
      <c r="AG404" s="2343"/>
      <c r="AH404" s="2343"/>
      <c r="AI404" s="2343"/>
      <c r="AJ404" s="2343"/>
      <c r="AK404" s="2343"/>
      <c r="AL404" s="2343"/>
      <c r="AM404" s="2343"/>
      <c r="AN404" s="2343"/>
      <c r="AO404" s="2343"/>
      <c r="AP404" s="2343"/>
      <c r="AQ404" s="2343"/>
      <c r="AR404" s="2343"/>
      <c r="AS404" s="2343"/>
      <c r="AT404" s="2343"/>
      <c r="AU404" s="2343"/>
      <c r="AV404" s="2343"/>
      <c r="AW404" s="2343"/>
      <c r="AX404" s="2343"/>
      <c r="AY404" s="2343"/>
      <c r="AZ404" s="2343"/>
      <c r="BA404" s="2343"/>
      <c r="BB404" s="2343"/>
      <c r="BC404" s="2343"/>
      <c r="BD404" s="2343"/>
      <c r="BE404" s="2343"/>
      <c r="BF404" s="2343"/>
      <c r="BG404" s="2343"/>
      <c r="BH404" s="2343"/>
      <c r="BI404" s="2343"/>
      <c r="BJ404" s="2343"/>
      <c r="BK404" s="2343"/>
      <c r="BL404" s="2343"/>
      <c r="BM404" s="2343"/>
      <c r="BN404" s="2343"/>
      <c r="BO404" s="2343"/>
      <c r="BP404" s="2343"/>
      <c r="BQ404" s="2343"/>
      <c r="BR404" s="2343"/>
      <c r="BS404" s="2343"/>
      <c r="BT404" s="2343"/>
      <c r="BU404" s="2343"/>
      <c r="BV404" s="2343"/>
      <c r="BW404" s="2343"/>
      <c r="BX404" s="2343"/>
      <c r="BY404" s="2343"/>
      <c r="BZ404" s="2343"/>
      <c r="CA404" s="2343"/>
      <c r="CB404" s="2343"/>
      <c r="CC404" s="2343"/>
      <c r="CD404" s="2343"/>
      <c r="CE404" s="2343"/>
      <c r="CF404" s="2343"/>
      <c r="CG404" s="2343"/>
      <c r="CH404" s="2343"/>
      <c r="CI404" s="2343"/>
      <c r="CJ404" s="2343"/>
      <c r="CK404" s="2343"/>
      <c r="CL404" s="2343"/>
      <c r="CM404" s="2343"/>
      <c r="CN404" s="2343"/>
      <c r="CO404" s="2343"/>
      <c r="CP404" s="2343"/>
      <c r="CQ404" s="2343"/>
      <c r="CR404" s="2343"/>
      <c r="CS404" s="2343"/>
      <c r="CT404" s="2343"/>
      <c r="CU404" s="2343"/>
      <c r="CV404" s="2343"/>
      <c r="CW404" s="2343"/>
      <c r="CX404" s="2343"/>
      <c r="CY404" s="2343"/>
      <c r="CZ404" s="2343"/>
      <c r="DA404" s="2343"/>
      <c r="DB404" s="2343"/>
      <c r="DC404" s="2343"/>
      <c r="DD404" s="2343"/>
      <c r="DE404" s="2343"/>
      <c r="DF404" s="2343"/>
      <c r="DG404" s="2343"/>
      <c r="DH404" s="2343"/>
      <c r="DI404" s="2343"/>
      <c r="DJ404" s="2343"/>
      <c r="DK404" s="2343"/>
      <c r="DL404" s="2343"/>
      <c r="DM404" s="2343"/>
      <c r="DN404" s="2343"/>
      <c r="DO404" s="53"/>
      <c r="DP404" s="53"/>
      <c r="DY404" s="2343"/>
      <c r="DZ404" s="2343"/>
      <c r="EA404" s="2343"/>
      <c r="EB404" s="2343"/>
      <c r="EC404" s="2343"/>
      <c r="ED404" s="2343"/>
      <c r="EE404" s="2343"/>
      <c r="EF404" s="2343"/>
      <c r="EG404" s="2343"/>
      <c r="EH404" s="2343"/>
      <c r="EI404" s="2343"/>
      <c r="EJ404" s="2343"/>
      <c r="EK404" s="2343"/>
      <c r="EL404" s="2343"/>
      <c r="EM404" s="2343"/>
      <c r="EN404" s="2343"/>
      <c r="EO404" s="2343"/>
      <c r="EP404" s="2343"/>
      <c r="EQ404" s="2343"/>
      <c r="ER404" s="2343"/>
      <c r="ES404" s="2343"/>
      <c r="ET404" s="2343"/>
      <c r="EU404" s="2343"/>
      <c r="EV404" s="2343"/>
      <c r="EW404" s="2343"/>
      <c r="EX404" s="2343"/>
      <c r="EY404" s="2343"/>
      <c r="EZ404" s="2343"/>
      <c r="FA404" s="2343"/>
      <c r="FB404" s="2343"/>
      <c r="FC404" s="2343"/>
      <c r="FD404" s="2343"/>
      <c r="FE404" s="2343"/>
      <c r="FF404" s="2343"/>
      <c r="FG404" s="2343"/>
      <c r="FH404" s="2343"/>
      <c r="FI404" s="2343"/>
      <c r="FJ404" s="2343"/>
      <c r="FK404" s="2343"/>
      <c r="FL404" s="2343"/>
      <c r="FM404" s="2343"/>
      <c r="FN404" s="2343"/>
      <c r="FO404" s="2343"/>
      <c r="FP404" s="2343"/>
      <c r="FQ404" s="2343"/>
      <c r="FR404" s="2343"/>
      <c r="FS404" s="2343"/>
      <c r="FT404" s="2343"/>
      <c r="FU404" s="2343"/>
      <c r="FV404" s="2343"/>
      <c r="FW404" s="2343"/>
      <c r="FX404" s="2343"/>
      <c r="FY404" s="2343"/>
      <c r="FZ404" s="2343"/>
      <c r="GA404" s="2343"/>
      <c r="GB404" s="2343"/>
      <c r="GC404" s="2343"/>
      <c r="GD404" s="2343"/>
      <c r="GE404" s="2343"/>
      <c r="GF404" s="2343"/>
      <c r="GG404" s="2343"/>
      <c r="GH404" s="2343"/>
      <c r="GI404" s="2343"/>
      <c r="GJ404" s="2343"/>
      <c r="GK404" s="2343"/>
      <c r="GL404" s="2343"/>
      <c r="GM404" s="2343"/>
      <c r="GN404" s="2343"/>
      <c r="GO404" s="2343"/>
      <c r="GP404" s="2343"/>
      <c r="GQ404" s="2343"/>
      <c r="GR404" s="2343"/>
      <c r="GS404" s="2343"/>
      <c r="GT404" s="2343"/>
      <c r="GU404" s="2343"/>
      <c r="GV404" s="2343"/>
      <c r="GW404" s="2343"/>
      <c r="GX404" s="2343"/>
      <c r="GY404" s="2343"/>
      <c r="GZ404" s="2343"/>
      <c r="HA404" s="2343"/>
      <c r="HB404" s="2343"/>
      <c r="HC404" s="2343"/>
      <c r="HD404" s="2343"/>
      <c r="HE404" s="2343"/>
      <c r="HF404" s="2343"/>
      <c r="HG404" s="2343"/>
      <c r="HH404" s="2343"/>
      <c r="HI404" s="2343"/>
      <c r="HJ404" s="2343"/>
      <c r="HK404" s="2343"/>
      <c r="HL404" s="2343"/>
      <c r="HM404" s="2343"/>
      <c r="HN404" s="2343"/>
      <c r="HO404" s="2343"/>
      <c r="HP404" s="2343"/>
      <c r="HQ404" s="2343"/>
      <c r="HR404" s="2343"/>
      <c r="HS404" s="2343"/>
      <c r="HT404" s="2343"/>
      <c r="HU404" s="2343"/>
      <c r="HV404" s="2343"/>
      <c r="HW404" s="2343"/>
      <c r="HX404" s="2343"/>
      <c r="HY404" s="2343"/>
      <c r="HZ404" s="2343"/>
      <c r="IA404" s="2343"/>
      <c r="IB404" s="2343"/>
      <c r="IC404" s="2343"/>
      <c r="ID404" s="2343"/>
      <c r="IE404" s="2343"/>
      <c r="IF404" s="2343"/>
      <c r="IG404" s="2343"/>
      <c r="IH404" s="2343"/>
      <c r="II404" s="2343"/>
      <c r="IJ404" s="2343"/>
      <c r="IK404" s="2343"/>
      <c r="IL404" s="53"/>
      <c r="IM404" s="53"/>
    </row>
    <row r="405" spans="2:247" ht="21.95" customHeight="1">
      <c r="B405" s="2275"/>
      <c r="C405" s="2275"/>
      <c r="D405" s="2275"/>
      <c r="E405" s="2275"/>
      <c r="F405" s="2275"/>
      <c r="G405" s="2275"/>
      <c r="H405" s="2250"/>
      <c r="I405" s="2250"/>
      <c r="J405" s="2250"/>
      <c r="K405" s="2250"/>
      <c r="L405" s="2275"/>
      <c r="M405" s="2275"/>
      <c r="N405" s="2275"/>
      <c r="O405" s="2275"/>
      <c r="P405" s="2275"/>
      <c r="Q405" s="2275"/>
      <c r="R405" s="2275"/>
      <c r="S405" s="2275"/>
      <c r="T405" s="2275"/>
      <c r="U405" s="2275"/>
      <c r="V405" s="2275"/>
      <c r="W405" s="2275"/>
      <c r="X405" s="2275"/>
      <c r="Y405" s="2275"/>
      <c r="Z405" s="2275"/>
      <c r="AA405" s="2275"/>
      <c r="AB405" s="2275"/>
      <c r="AC405" s="2275"/>
      <c r="AD405" s="2275"/>
      <c r="AE405" s="2275"/>
      <c r="AF405" s="2275"/>
      <c r="AG405" s="2275"/>
      <c r="AH405" s="2275"/>
      <c r="AI405" s="2275"/>
      <c r="AJ405" s="2275"/>
      <c r="AK405" s="2275"/>
      <c r="AL405" s="2275"/>
      <c r="AM405" s="2275"/>
      <c r="AN405" s="2275"/>
      <c r="AO405" s="2275"/>
      <c r="AP405" s="2250"/>
      <c r="AQ405" s="2250"/>
      <c r="AR405" s="2250"/>
      <c r="AS405" s="2250"/>
      <c r="AT405" s="2250"/>
      <c r="AU405" s="2250"/>
      <c r="AV405" s="2250"/>
      <c r="AW405" s="2250"/>
      <c r="AX405" s="2250"/>
      <c r="AY405" s="2250"/>
      <c r="AZ405" s="2250"/>
      <c r="BA405" s="2250"/>
      <c r="BB405" s="2250"/>
      <c r="BC405" s="2250"/>
      <c r="BD405" s="2250"/>
      <c r="BE405" s="2250"/>
      <c r="BF405" s="2276"/>
      <c r="BG405" s="2276"/>
      <c r="BH405" s="2250"/>
      <c r="BI405" s="2275"/>
      <c r="BJ405" s="2275"/>
      <c r="BK405" s="2275"/>
      <c r="BL405" s="2275"/>
      <c r="BM405" s="2275"/>
      <c r="BN405" s="2275"/>
      <c r="BO405" s="2275"/>
      <c r="BP405" s="2250"/>
      <c r="BQ405" s="2250"/>
      <c r="BR405" s="2250"/>
      <c r="BS405" s="2250"/>
      <c r="BT405" s="2275"/>
      <c r="BU405" s="2275"/>
      <c r="BV405" s="2275"/>
      <c r="BW405" s="2275"/>
      <c r="BX405" s="2275"/>
      <c r="BY405" s="2275"/>
      <c r="BZ405" s="2275"/>
      <c r="CA405" s="2275"/>
      <c r="CB405" s="2275"/>
      <c r="CC405" s="2275"/>
      <c r="CD405" s="2275"/>
      <c r="CE405" s="2275"/>
      <c r="CF405" s="2275"/>
      <c r="CG405" s="2275"/>
      <c r="CH405" s="2275"/>
      <c r="CI405" s="2275"/>
      <c r="CJ405" s="2275"/>
      <c r="CK405" s="2275"/>
      <c r="CL405" s="2275"/>
      <c r="CM405" s="2275"/>
      <c r="CN405" s="2275"/>
      <c r="CO405" s="2275"/>
      <c r="CP405" s="2275"/>
      <c r="CQ405" s="2275"/>
      <c r="CR405" s="2275"/>
      <c r="CS405" s="2275"/>
      <c r="CT405" s="2275"/>
      <c r="CU405" s="2275"/>
      <c r="CV405" s="2275"/>
      <c r="CW405" s="2275"/>
      <c r="CX405" s="2250"/>
      <c r="CY405" s="2250"/>
      <c r="CZ405" s="2250"/>
      <c r="DA405" s="2250"/>
      <c r="DB405" s="2250"/>
      <c r="DC405" s="2250"/>
      <c r="DD405" s="2250"/>
      <c r="DE405" s="2250"/>
      <c r="DF405" s="2250"/>
      <c r="DG405" s="2250"/>
      <c r="DH405" s="2250"/>
      <c r="DI405" s="2250"/>
      <c r="DJ405" s="2250"/>
      <c r="DK405" s="2250"/>
      <c r="DL405" s="2250"/>
      <c r="DM405" s="2250"/>
      <c r="DN405" s="2250"/>
      <c r="DO405" s="53"/>
      <c r="DP405" s="53"/>
      <c r="DY405" s="2275"/>
      <c r="DZ405" s="2275"/>
      <c r="EA405" s="2275"/>
      <c r="EB405" s="2275"/>
      <c r="EC405" s="2275"/>
      <c r="ED405" s="2275"/>
      <c r="EE405" s="2250"/>
      <c r="EF405" s="2250"/>
      <c r="EG405" s="2250"/>
      <c r="EH405" s="2250"/>
      <c r="EI405" s="2275"/>
      <c r="EJ405" s="2275"/>
      <c r="EK405" s="2275"/>
      <c r="EL405" s="2275"/>
      <c r="EM405" s="2275"/>
      <c r="EN405" s="2275"/>
      <c r="EO405" s="2275"/>
      <c r="EP405" s="2275"/>
      <c r="EQ405" s="2275"/>
      <c r="ER405" s="2275"/>
      <c r="ES405" s="2275"/>
      <c r="ET405" s="2275"/>
      <c r="EU405" s="2275"/>
      <c r="EV405" s="2275"/>
      <c r="EW405" s="2275"/>
      <c r="EX405" s="2275"/>
      <c r="EY405" s="2275"/>
      <c r="EZ405" s="2275"/>
      <c r="FA405" s="2275"/>
      <c r="FB405" s="2275"/>
      <c r="FC405" s="2275"/>
      <c r="FD405" s="2275"/>
      <c r="FE405" s="2275"/>
      <c r="FF405" s="2275"/>
      <c r="FG405" s="2275"/>
      <c r="FH405" s="2275"/>
      <c r="FI405" s="2275"/>
      <c r="FJ405" s="2275"/>
      <c r="FK405" s="2275"/>
      <c r="FL405" s="2275"/>
      <c r="FM405" s="2250"/>
      <c r="FN405" s="2250"/>
      <c r="FO405" s="2250"/>
      <c r="FP405" s="2250"/>
      <c r="FQ405" s="2250"/>
      <c r="FR405" s="2250"/>
      <c r="FS405" s="2250"/>
      <c r="FT405" s="2250"/>
      <c r="FU405" s="2250"/>
      <c r="FV405" s="2250"/>
      <c r="FW405" s="2250"/>
      <c r="FX405" s="2250"/>
      <c r="FY405" s="2250"/>
      <c r="FZ405" s="2250"/>
      <c r="GA405" s="2250"/>
      <c r="GB405" s="2250"/>
      <c r="GC405" s="2276"/>
      <c r="GD405" s="2276"/>
      <c r="GE405" s="2250"/>
      <c r="GF405" s="2275"/>
      <c r="GG405" s="2275"/>
      <c r="GH405" s="2275"/>
      <c r="GI405" s="2275"/>
      <c r="GJ405" s="2275"/>
      <c r="GK405" s="2275"/>
      <c r="GL405" s="2275"/>
      <c r="GM405" s="2250"/>
      <c r="GN405" s="2250"/>
      <c r="GO405" s="2250"/>
      <c r="GP405" s="2250"/>
      <c r="GQ405" s="2275"/>
      <c r="GR405" s="2275"/>
      <c r="GS405" s="2275"/>
      <c r="GT405" s="2275"/>
      <c r="GU405" s="2275"/>
      <c r="GV405" s="2275"/>
      <c r="GW405" s="2275"/>
      <c r="GX405" s="2275"/>
      <c r="GY405" s="2275"/>
      <c r="GZ405" s="2275"/>
      <c r="HA405" s="2275"/>
      <c r="HB405" s="2275"/>
      <c r="HC405" s="2275"/>
      <c r="HD405" s="2275"/>
      <c r="HE405" s="2275"/>
      <c r="HF405" s="2275"/>
      <c r="HG405" s="2275"/>
      <c r="HH405" s="2275"/>
      <c r="HI405" s="2275"/>
      <c r="HJ405" s="2275"/>
      <c r="HK405" s="2275"/>
      <c r="HL405" s="2275"/>
      <c r="HM405" s="2275"/>
      <c r="HN405" s="2275"/>
      <c r="HO405" s="2275"/>
      <c r="HP405" s="2275"/>
      <c r="HQ405" s="2275"/>
      <c r="HR405" s="2275"/>
      <c r="HS405" s="2275"/>
      <c r="HT405" s="2275"/>
      <c r="HU405" s="2250"/>
      <c r="HV405" s="2250"/>
      <c r="HW405" s="2250"/>
      <c r="HX405" s="2250"/>
      <c r="HY405" s="2250"/>
      <c r="HZ405" s="2250"/>
      <c r="IA405" s="2250"/>
      <c r="IB405" s="2250"/>
      <c r="IC405" s="2250"/>
      <c r="ID405" s="2250"/>
      <c r="IE405" s="2250"/>
      <c r="IF405" s="2250"/>
      <c r="IG405" s="2250"/>
      <c r="IH405" s="2250"/>
      <c r="II405" s="2250"/>
      <c r="IJ405" s="2250"/>
      <c r="IK405" s="2250"/>
      <c r="IL405" s="53"/>
      <c r="IM405" s="53"/>
    </row>
    <row r="406" spans="2:247" ht="21.95" customHeight="1">
      <c r="B406" s="2275"/>
      <c r="C406" s="2275"/>
      <c r="D406" s="2275"/>
      <c r="E406" s="2275"/>
      <c r="F406" s="2275"/>
      <c r="G406" s="2275"/>
      <c r="H406" s="2250"/>
      <c r="I406" s="2250"/>
      <c r="J406" s="2250"/>
      <c r="K406" s="2250"/>
      <c r="L406" s="2275"/>
      <c r="M406" s="2275"/>
      <c r="N406" s="2275"/>
      <c r="O406" s="2275"/>
      <c r="P406" s="2275"/>
      <c r="Q406" s="2275"/>
      <c r="R406" s="2275"/>
      <c r="S406" s="2275"/>
      <c r="T406" s="2275"/>
      <c r="U406" s="2275"/>
      <c r="V406" s="2275"/>
      <c r="W406" s="2275"/>
      <c r="X406" s="2275"/>
      <c r="Y406" s="2275"/>
      <c r="Z406" s="2275"/>
      <c r="AA406" s="2275"/>
      <c r="AB406" s="2275"/>
      <c r="AC406" s="2275"/>
      <c r="AD406" s="2275"/>
      <c r="AE406" s="2275"/>
      <c r="AF406" s="2275"/>
      <c r="AG406" s="2275"/>
      <c r="AH406" s="2275"/>
      <c r="AI406" s="2275"/>
      <c r="AJ406" s="2275"/>
      <c r="AK406" s="2275"/>
      <c r="AL406" s="2275"/>
      <c r="AM406" s="2275"/>
      <c r="AN406" s="2275"/>
      <c r="AO406" s="2275"/>
      <c r="AP406" s="2250"/>
      <c r="AQ406" s="2250"/>
      <c r="AR406" s="2250"/>
      <c r="AS406" s="2250"/>
      <c r="AT406" s="2250"/>
      <c r="AU406" s="2250"/>
      <c r="AV406" s="2250"/>
      <c r="AW406" s="2250"/>
      <c r="AX406" s="2250"/>
      <c r="AY406" s="2250"/>
      <c r="AZ406" s="2250"/>
      <c r="BA406" s="2250"/>
      <c r="BB406" s="2250"/>
      <c r="BC406" s="2250"/>
      <c r="BD406" s="2250"/>
      <c r="BE406" s="2250"/>
      <c r="BF406" s="2276"/>
      <c r="BG406" s="2276"/>
      <c r="BH406" s="2250"/>
      <c r="BI406" s="2275"/>
      <c r="BJ406" s="2275"/>
      <c r="BK406" s="2275"/>
      <c r="BL406" s="2275"/>
      <c r="BM406" s="2275"/>
      <c r="BN406" s="2275"/>
      <c r="BO406" s="2275"/>
      <c r="BP406" s="2250"/>
      <c r="BQ406" s="2250"/>
      <c r="BR406" s="2250"/>
      <c r="BS406" s="2250"/>
      <c r="BT406" s="2275"/>
      <c r="BU406" s="2275"/>
      <c r="BV406" s="2275"/>
      <c r="BW406" s="2275"/>
      <c r="BX406" s="2275"/>
      <c r="BY406" s="2275"/>
      <c r="BZ406" s="2275"/>
      <c r="CA406" s="2275"/>
      <c r="CB406" s="2275"/>
      <c r="CC406" s="2275"/>
      <c r="CD406" s="2275"/>
      <c r="CE406" s="2275"/>
      <c r="CF406" s="2275"/>
      <c r="CG406" s="2275"/>
      <c r="CH406" s="2275"/>
      <c r="CI406" s="2275"/>
      <c r="CJ406" s="2275"/>
      <c r="CK406" s="2275"/>
      <c r="CL406" s="2275"/>
      <c r="CM406" s="2275"/>
      <c r="CN406" s="2275"/>
      <c r="CO406" s="2275"/>
      <c r="CP406" s="2275"/>
      <c r="CQ406" s="2275"/>
      <c r="CR406" s="2275"/>
      <c r="CS406" s="2275"/>
      <c r="CT406" s="2275"/>
      <c r="CU406" s="2275"/>
      <c r="CV406" s="2275"/>
      <c r="CW406" s="2275"/>
      <c r="CX406" s="2250"/>
      <c r="CY406" s="2250"/>
      <c r="CZ406" s="2250"/>
      <c r="DA406" s="2250"/>
      <c r="DB406" s="2250"/>
      <c r="DC406" s="2250"/>
      <c r="DD406" s="2250"/>
      <c r="DE406" s="2250"/>
      <c r="DF406" s="2250"/>
      <c r="DG406" s="2250"/>
      <c r="DH406" s="2250"/>
      <c r="DI406" s="2250"/>
      <c r="DJ406" s="2250"/>
      <c r="DK406" s="2250"/>
      <c r="DL406" s="2250"/>
      <c r="DM406" s="2250"/>
      <c r="DN406" s="2250"/>
      <c r="DO406" s="53"/>
      <c r="DP406" s="53"/>
      <c r="DY406" s="2275"/>
      <c r="DZ406" s="2275"/>
      <c r="EA406" s="2275"/>
      <c r="EB406" s="2275"/>
      <c r="EC406" s="2275"/>
      <c r="ED406" s="2275"/>
      <c r="EE406" s="2250"/>
      <c r="EF406" s="2250"/>
      <c r="EG406" s="2250"/>
      <c r="EH406" s="2250"/>
      <c r="EI406" s="2275"/>
      <c r="EJ406" s="2275"/>
      <c r="EK406" s="2275"/>
      <c r="EL406" s="2275"/>
      <c r="EM406" s="2275"/>
      <c r="EN406" s="2275"/>
      <c r="EO406" s="2275"/>
      <c r="EP406" s="2275"/>
      <c r="EQ406" s="2275"/>
      <c r="ER406" s="2275"/>
      <c r="ES406" s="2275"/>
      <c r="ET406" s="2275"/>
      <c r="EU406" s="2275"/>
      <c r="EV406" s="2275"/>
      <c r="EW406" s="2275"/>
      <c r="EX406" s="2275"/>
      <c r="EY406" s="2275"/>
      <c r="EZ406" s="2275"/>
      <c r="FA406" s="2275"/>
      <c r="FB406" s="2275"/>
      <c r="FC406" s="2275"/>
      <c r="FD406" s="2275"/>
      <c r="FE406" s="2275"/>
      <c r="FF406" s="2275"/>
      <c r="FG406" s="2275"/>
      <c r="FH406" s="2275"/>
      <c r="FI406" s="2275"/>
      <c r="FJ406" s="2275"/>
      <c r="FK406" s="2275"/>
      <c r="FL406" s="2275"/>
      <c r="FM406" s="2250"/>
      <c r="FN406" s="2250"/>
      <c r="FO406" s="2250"/>
      <c r="FP406" s="2250"/>
      <c r="FQ406" s="2250"/>
      <c r="FR406" s="2250"/>
      <c r="FS406" s="2250"/>
      <c r="FT406" s="2250"/>
      <c r="FU406" s="2250"/>
      <c r="FV406" s="2250"/>
      <c r="FW406" s="2250"/>
      <c r="FX406" s="2250"/>
      <c r="FY406" s="2250"/>
      <c r="FZ406" s="2250"/>
      <c r="GA406" s="2250"/>
      <c r="GB406" s="2250"/>
      <c r="GC406" s="2276"/>
      <c r="GD406" s="2276"/>
      <c r="GE406" s="2250"/>
      <c r="GF406" s="2275"/>
      <c r="GG406" s="2275"/>
      <c r="GH406" s="2275"/>
      <c r="GI406" s="2275"/>
      <c r="GJ406" s="2275"/>
      <c r="GK406" s="2275"/>
      <c r="GL406" s="2275"/>
      <c r="GM406" s="2250"/>
      <c r="GN406" s="2250"/>
      <c r="GO406" s="2250"/>
      <c r="GP406" s="2250"/>
      <c r="GQ406" s="2275"/>
      <c r="GR406" s="2275"/>
      <c r="GS406" s="2275"/>
      <c r="GT406" s="2275"/>
      <c r="GU406" s="2275"/>
      <c r="GV406" s="2275"/>
      <c r="GW406" s="2275"/>
      <c r="GX406" s="2275"/>
      <c r="GY406" s="2275"/>
      <c r="GZ406" s="2275"/>
      <c r="HA406" s="2275"/>
      <c r="HB406" s="2275"/>
      <c r="HC406" s="2275"/>
      <c r="HD406" s="2275"/>
      <c r="HE406" s="2275"/>
      <c r="HF406" s="2275"/>
      <c r="HG406" s="2275"/>
      <c r="HH406" s="2275"/>
      <c r="HI406" s="2275"/>
      <c r="HJ406" s="2275"/>
      <c r="HK406" s="2275"/>
      <c r="HL406" s="2275"/>
      <c r="HM406" s="2275"/>
      <c r="HN406" s="2275"/>
      <c r="HO406" s="2275"/>
      <c r="HP406" s="2275"/>
      <c r="HQ406" s="2275"/>
      <c r="HR406" s="2275"/>
      <c r="HS406" s="2275"/>
      <c r="HT406" s="2275"/>
      <c r="HU406" s="2250"/>
      <c r="HV406" s="2250"/>
      <c r="HW406" s="2250"/>
      <c r="HX406" s="2250"/>
      <c r="HY406" s="2250"/>
      <c r="HZ406" s="2250"/>
      <c r="IA406" s="2250"/>
      <c r="IB406" s="2250"/>
      <c r="IC406" s="2250"/>
      <c r="ID406" s="2250"/>
      <c r="IE406" s="2250"/>
      <c r="IF406" s="2250"/>
      <c r="IG406" s="2250"/>
      <c r="IH406" s="2250"/>
      <c r="II406" s="2250"/>
      <c r="IJ406" s="2250"/>
      <c r="IK406" s="2250"/>
      <c r="IL406" s="53"/>
      <c r="IM406" s="53"/>
    </row>
    <row r="407" spans="2:247" ht="21.95" customHeight="1">
      <c r="B407" s="2275"/>
      <c r="C407" s="2275"/>
      <c r="D407" s="2275"/>
      <c r="E407" s="2275"/>
      <c r="F407" s="2275"/>
      <c r="G407" s="2275"/>
      <c r="H407" s="2250"/>
      <c r="I407" s="2250"/>
      <c r="J407" s="2250"/>
      <c r="K407" s="2250"/>
      <c r="L407" s="2275"/>
      <c r="M407" s="2275"/>
      <c r="N407" s="2275"/>
      <c r="O407" s="2275"/>
      <c r="P407" s="2275"/>
      <c r="Q407" s="2275"/>
      <c r="R407" s="2275"/>
      <c r="S407" s="2275"/>
      <c r="T407" s="2275"/>
      <c r="U407" s="2275"/>
      <c r="V407" s="2275"/>
      <c r="W407" s="2275"/>
      <c r="X407" s="2275"/>
      <c r="Y407" s="2275"/>
      <c r="Z407" s="2275"/>
      <c r="AA407" s="2275"/>
      <c r="AB407" s="2275"/>
      <c r="AC407" s="2275"/>
      <c r="AD407" s="2275"/>
      <c r="AE407" s="2275"/>
      <c r="AF407" s="2275"/>
      <c r="AG407" s="2275"/>
      <c r="AH407" s="2275"/>
      <c r="AI407" s="2275"/>
      <c r="AJ407" s="2275"/>
      <c r="AK407" s="2275"/>
      <c r="AL407" s="2275"/>
      <c r="AM407" s="2275"/>
      <c r="AN407" s="2275"/>
      <c r="AO407" s="2275"/>
      <c r="AP407" s="2250"/>
      <c r="AQ407" s="2250"/>
      <c r="AR407" s="2250"/>
      <c r="AS407" s="2250"/>
      <c r="AT407" s="2250"/>
      <c r="AU407" s="2250"/>
      <c r="AV407" s="2250"/>
      <c r="AW407" s="2250"/>
      <c r="AX407" s="2250"/>
      <c r="AY407" s="2250"/>
      <c r="AZ407" s="2250"/>
      <c r="BA407" s="2250"/>
      <c r="BB407" s="2250"/>
      <c r="BC407" s="2250"/>
      <c r="BD407" s="2250"/>
      <c r="BE407" s="2250"/>
      <c r="BF407" s="2276"/>
      <c r="BG407" s="2276"/>
      <c r="BH407" s="2250"/>
      <c r="BI407" s="2275"/>
      <c r="BJ407" s="2275"/>
      <c r="BK407" s="2275"/>
      <c r="BL407" s="2275"/>
      <c r="BM407" s="2275"/>
      <c r="BN407" s="2275"/>
      <c r="BO407" s="2275"/>
      <c r="BP407" s="2250"/>
      <c r="BQ407" s="2250"/>
      <c r="BR407" s="2250"/>
      <c r="BS407" s="2250"/>
      <c r="BT407" s="2275"/>
      <c r="BU407" s="2275"/>
      <c r="BV407" s="2275"/>
      <c r="BW407" s="2275"/>
      <c r="BX407" s="2275"/>
      <c r="BY407" s="2275"/>
      <c r="BZ407" s="2275"/>
      <c r="CA407" s="2275"/>
      <c r="CB407" s="2275"/>
      <c r="CC407" s="2275"/>
      <c r="CD407" s="2275"/>
      <c r="CE407" s="2275"/>
      <c r="CF407" s="2275"/>
      <c r="CG407" s="2275"/>
      <c r="CH407" s="2275"/>
      <c r="CI407" s="2275"/>
      <c r="CJ407" s="2275"/>
      <c r="CK407" s="2275"/>
      <c r="CL407" s="2275"/>
      <c r="CM407" s="2275"/>
      <c r="CN407" s="2275"/>
      <c r="CO407" s="2275"/>
      <c r="CP407" s="2275"/>
      <c r="CQ407" s="2275"/>
      <c r="CR407" s="2275"/>
      <c r="CS407" s="2275"/>
      <c r="CT407" s="2275"/>
      <c r="CU407" s="2275"/>
      <c r="CV407" s="2275"/>
      <c r="CW407" s="2275"/>
      <c r="CX407" s="2250"/>
      <c r="CY407" s="2250"/>
      <c r="CZ407" s="2250"/>
      <c r="DA407" s="2250"/>
      <c r="DB407" s="2250"/>
      <c r="DC407" s="2250"/>
      <c r="DD407" s="2250"/>
      <c r="DE407" s="2250"/>
      <c r="DF407" s="2250"/>
      <c r="DG407" s="2250"/>
      <c r="DH407" s="2250"/>
      <c r="DI407" s="2250"/>
      <c r="DJ407" s="2250"/>
      <c r="DK407" s="2250"/>
      <c r="DL407" s="2250"/>
      <c r="DM407" s="2250"/>
      <c r="DN407" s="2250"/>
      <c r="DO407" s="53"/>
      <c r="DP407" s="53"/>
      <c r="DY407" s="2275"/>
      <c r="DZ407" s="2275"/>
      <c r="EA407" s="2275"/>
      <c r="EB407" s="2275"/>
      <c r="EC407" s="2275"/>
      <c r="ED407" s="2275"/>
      <c r="EE407" s="2250"/>
      <c r="EF407" s="2250"/>
      <c r="EG407" s="2250"/>
      <c r="EH407" s="2250"/>
      <c r="EI407" s="2275"/>
      <c r="EJ407" s="2275"/>
      <c r="EK407" s="2275"/>
      <c r="EL407" s="2275"/>
      <c r="EM407" s="2275"/>
      <c r="EN407" s="2275"/>
      <c r="EO407" s="2275"/>
      <c r="EP407" s="2275"/>
      <c r="EQ407" s="2275"/>
      <c r="ER407" s="2275"/>
      <c r="ES407" s="2275"/>
      <c r="ET407" s="2275"/>
      <c r="EU407" s="2275"/>
      <c r="EV407" s="2275"/>
      <c r="EW407" s="2275"/>
      <c r="EX407" s="2275"/>
      <c r="EY407" s="2275"/>
      <c r="EZ407" s="2275"/>
      <c r="FA407" s="2275"/>
      <c r="FB407" s="2275"/>
      <c r="FC407" s="2275"/>
      <c r="FD407" s="2275"/>
      <c r="FE407" s="2275"/>
      <c r="FF407" s="2275"/>
      <c r="FG407" s="2275"/>
      <c r="FH407" s="2275"/>
      <c r="FI407" s="2275"/>
      <c r="FJ407" s="2275"/>
      <c r="FK407" s="2275"/>
      <c r="FL407" s="2275"/>
      <c r="FM407" s="2250"/>
      <c r="FN407" s="2250"/>
      <c r="FO407" s="2250"/>
      <c r="FP407" s="2250"/>
      <c r="FQ407" s="2250"/>
      <c r="FR407" s="2250"/>
      <c r="FS407" s="2250"/>
      <c r="FT407" s="2250"/>
      <c r="FU407" s="2250"/>
      <c r="FV407" s="2250"/>
      <c r="FW407" s="2250"/>
      <c r="FX407" s="2250"/>
      <c r="FY407" s="2250"/>
      <c r="FZ407" s="2250"/>
      <c r="GA407" s="2250"/>
      <c r="GB407" s="2250"/>
      <c r="GC407" s="2276"/>
      <c r="GD407" s="2276"/>
      <c r="GE407" s="2250"/>
      <c r="GF407" s="2275"/>
      <c r="GG407" s="2275"/>
      <c r="GH407" s="2275"/>
      <c r="GI407" s="2275"/>
      <c r="GJ407" s="2275"/>
      <c r="GK407" s="2275"/>
      <c r="GL407" s="2275"/>
      <c r="GM407" s="2250"/>
      <c r="GN407" s="2250"/>
      <c r="GO407" s="2250"/>
      <c r="GP407" s="2250"/>
      <c r="GQ407" s="2275"/>
      <c r="GR407" s="2275"/>
      <c r="GS407" s="2275"/>
      <c r="GT407" s="2275"/>
      <c r="GU407" s="2275"/>
      <c r="GV407" s="2275"/>
      <c r="GW407" s="2275"/>
      <c r="GX407" s="2275"/>
      <c r="GY407" s="2275"/>
      <c r="GZ407" s="2275"/>
      <c r="HA407" s="2275"/>
      <c r="HB407" s="2275"/>
      <c r="HC407" s="2275"/>
      <c r="HD407" s="2275"/>
      <c r="HE407" s="2275"/>
      <c r="HF407" s="2275"/>
      <c r="HG407" s="2275"/>
      <c r="HH407" s="2275"/>
      <c r="HI407" s="2275"/>
      <c r="HJ407" s="2275"/>
      <c r="HK407" s="2275"/>
      <c r="HL407" s="2275"/>
      <c r="HM407" s="2275"/>
      <c r="HN407" s="2275"/>
      <c r="HO407" s="2275"/>
      <c r="HP407" s="2275"/>
      <c r="HQ407" s="2275"/>
      <c r="HR407" s="2275"/>
      <c r="HS407" s="2275"/>
      <c r="HT407" s="2275"/>
      <c r="HU407" s="2250"/>
      <c r="HV407" s="2250"/>
      <c r="HW407" s="2250"/>
      <c r="HX407" s="2250"/>
      <c r="HY407" s="2250"/>
      <c r="HZ407" s="2250"/>
      <c r="IA407" s="2250"/>
      <c r="IB407" s="2250"/>
      <c r="IC407" s="2250"/>
      <c r="ID407" s="2250"/>
      <c r="IE407" s="2250"/>
      <c r="IF407" s="2250"/>
      <c r="IG407" s="2250"/>
      <c r="IH407" s="2250"/>
      <c r="II407" s="2250"/>
      <c r="IJ407" s="2250"/>
      <c r="IK407" s="2250"/>
      <c r="IL407" s="53"/>
      <c r="IM407" s="53"/>
    </row>
    <row r="408" spans="2:247" ht="21.95" customHeight="1">
      <c r="B408" s="2275"/>
      <c r="C408" s="2275"/>
      <c r="D408" s="2275"/>
      <c r="E408" s="2275"/>
      <c r="F408" s="2275"/>
      <c r="G408" s="2275"/>
      <c r="H408" s="2275"/>
      <c r="I408" s="2275"/>
      <c r="J408" s="2275"/>
      <c r="K408" s="2275"/>
      <c r="L408" s="2275"/>
      <c r="M408" s="2275"/>
      <c r="N408" s="2275"/>
      <c r="O408" s="2275"/>
      <c r="P408" s="2275"/>
      <c r="Q408" s="2275"/>
      <c r="R408" s="2275"/>
      <c r="S408" s="2275"/>
      <c r="T408" s="2275"/>
      <c r="U408" s="2275"/>
      <c r="V408" s="2275"/>
      <c r="W408" s="2275"/>
      <c r="X408" s="2275"/>
      <c r="Y408" s="2275"/>
      <c r="Z408" s="2275"/>
      <c r="AA408" s="2275"/>
      <c r="AB408" s="2275"/>
      <c r="AC408" s="2275"/>
      <c r="AD408" s="2275"/>
      <c r="AE408" s="2275"/>
      <c r="AF408" s="2275"/>
      <c r="AG408" s="2275"/>
      <c r="AH408" s="2275"/>
      <c r="AI408" s="2275"/>
      <c r="AJ408" s="2275"/>
      <c r="AK408" s="2275"/>
      <c r="AL408" s="2275"/>
      <c r="AM408" s="2275"/>
      <c r="AN408" s="2275"/>
      <c r="AO408" s="2275"/>
      <c r="AP408" s="2250"/>
      <c r="AQ408" s="2250"/>
      <c r="AR408" s="2250"/>
      <c r="AS408" s="2250"/>
      <c r="AT408" s="2250"/>
      <c r="AU408" s="2250"/>
      <c r="AV408" s="2250"/>
      <c r="AW408" s="2250"/>
      <c r="AX408" s="2250"/>
      <c r="AY408" s="2250"/>
      <c r="AZ408" s="2250"/>
      <c r="BA408" s="2250"/>
      <c r="BB408" s="2250"/>
      <c r="BC408" s="2250"/>
      <c r="BD408" s="2250"/>
      <c r="BE408" s="2250"/>
      <c r="BF408" s="2276"/>
      <c r="BG408" s="2276"/>
      <c r="BH408" s="2250"/>
      <c r="BI408" s="2275"/>
      <c r="BJ408" s="2275"/>
      <c r="BK408" s="2275"/>
      <c r="BL408" s="2275"/>
      <c r="BM408" s="2275"/>
      <c r="BN408" s="2275"/>
      <c r="BO408" s="2275"/>
      <c r="BP408" s="2275"/>
      <c r="BQ408" s="2275"/>
      <c r="BR408" s="2275"/>
      <c r="BS408" s="2275"/>
      <c r="BT408" s="2275"/>
      <c r="BU408" s="2275"/>
      <c r="BV408" s="2275"/>
      <c r="BW408" s="2275"/>
      <c r="BX408" s="2275"/>
      <c r="BY408" s="2275"/>
      <c r="BZ408" s="2275"/>
      <c r="CA408" s="2275"/>
      <c r="CB408" s="2275"/>
      <c r="CC408" s="2275"/>
      <c r="CD408" s="2275"/>
      <c r="CE408" s="2275"/>
      <c r="CF408" s="2275"/>
      <c r="CG408" s="2275"/>
      <c r="CH408" s="2275"/>
      <c r="CI408" s="2275"/>
      <c r="CJ408" s="2275"/>
      <c r="CK408" s="2275"/>
      <c r="CL408" s="2275"/>
      <c r="CM408" s="2275"/>
      <c r="CN408" s="2275"/>
      <c r="CO408" s="2275"/>
      <c r="CP408" s="2275"/>
      <c r="CQ408" s="2275"/>
      <c r="CR408" s="2275"/>
      <c r="CS408" s="2275"/>
      <c r="CT408" s="2275"/>
      <c r="CU408" s="2275"/>
      <c r="CV408" s="2275"/>
      <c r="CW408" s="2275"/>
      <c r="CX408" s="2250"/>
      <c r="CY408" s="2250"/>
      <c r="CZ408" s="2250"/>
      <c r="DA408" s="2250"/>
      <c r="DB408" s="2250"/>
      <c r="DC408" s="2250"/>
      <c r="DD408" s="2250"/>
      <c r="DE408" s="2250"/>
      <c r="DF408" s="2250"/>
      <c r="DG408" s="2250"/>
      <c r="DH408" s="2250"/>
      <c r="DI408" s="2250"/>
      <c r="DJ408" s="2250"/>
      <c r="DK408" s="2250"/>
      <c r="DL408" s="2250"/>
      <c r="DM408" s="2250"/>
      <c r="DN408" s="2250"/>
      <c r="DO408" s="53"/>
      <c r="DP408" s="53"/>
      <c r="DY408" s="2275"/>
      <c r="DZ408" s="2275"/>
      <c r="EA408" s="2275"/>
      <c r="EB408" s="2275"/>
      <c r="EC408" s="2275"/>
      <c r="ED408" s="2275"/>
      <c r="EE408" s="2275"/>
      <c r="EF408" s="2275"/>
      <c r="EG408" s="2275"/>
      <c r="EH408" s="2275"/>
      <c r="EI408" s="2275"/>
      <c r="EJ408" s="2275"/>
      <c r="EK408" s="2275"/>
      <c r="EL408" s="2275"/>
      <c r="EM408" s="2275"/>
      <c r="EN408" s="2275"/>
      <c r="EO408" s="2275"/>
      <c r="EP408" s="2275"/>
      <c r="EQ408" s="2275"/>
      <c r="ER408" s="2275"/>
      <c r="ES408" s="2275"/>
      <c r="ET408" s="2275"/>
      <c r="EU408" s="2275"/>
      <c r="EV408" s="2275"/>
      <c r="EW408" s="2275"/>
      <c r="EX408" s="2275"/>
      <c r="EY408" s="2275"/>
      <c r="EZ408" s="2275"/>
      <c r="FA408" s="2275"/>
      <c r="FB408" s="2275"/>
      <c r="FC408" s="2275"/>
      <c r="FD408" s="2275"/>
      <c r="FE408" s="2275"/>
      <c r="FF408" s="2275"/>
      <c r="FG408" s="2275"/>
      <c r="FH408" s="2275"/>
      <c r="FI408" s="2275"/>
      <c r="FJ408" s="2275"/>
      <c r="FK408" s="2275"/>
      <c r="FL408" s="2275"/>
      <c r="FM408" s="2250"/>
      <c r="FN408" s="2250"/>
      <c r="FO408" s="2250"/>
      <c r="FP408" s="2250"/>
      <c r="FQ408" s="2250"/>
      <c r="FR408" s="2250"/>
      <c r="FS408" s="2250"/>
      <c r="FT408" s="2250"/>
      <c r="FU408" s="2250"/>
      <c r="FV408" s="2250"/>
      <c r="FW408" s="2250"/>
      <c r="FX408" s="2250"/>
      <c r="FY408" s="2250"/>
      <c r="FZ408" s="2250"/>
      <c r="GA408" s="2250"/>
      <c r="GB408" s="2250"/>
      <c r="GC408" s="2276"/>
      <c r="GD408" s="2276"/>
      <c r="GE408" s="2250"/>
      <c r="GF408" s="2275"/>
      <c r="GG408" s="2275"/>
      <c r="GH408" s="2275"/>
      <c r="GI408" s="2275"/>
      <c r="GJ408" s="2275"/>
      <c r="GK408" s="2275"/>
      <c r="GL408" s="2275"/>
      <c r="GM408" s="2275"/>
      <c r="GN408" s="2275"/>
      <c r="GO408" s="2275"/>
      <c r="GP408" s="2275"/>
      <c r="GQ408" s="2275"/>
      <c r="GR408" s="2275"/>
      <c r="GS408" s="2275"/>
      <c r="GT408" s="2275"/>
      <c r="GU408" s="2275"/>
      <c r="GV408" s="2275"/>
      <c r="GW408" s="2275"/>
      <c r="GX408" s="2275"/>
      <c r="GY408" s="2275"/>
      <c r="GZ408" s="2275"/>
      <c r="HA408" s="2275"/>
      <c r="HB408" s="2275"/>
      <c r="HC408" s="2275"/>
      <c r="HD408" s="2275"/>
      <c r="HE408" s="2275"/>
      <c r="HF408" s="2275"/>
      <c r="HG408" s="2275"/>
      <c r="HH408" s="2275"/>
      <c r="HI408" s="2275"/>
      <c r="HJ408" s="2275"/>
      <c r="HK408" s="2275"/>
      <c r="HL408" s="2275"/>
      <c r="HM408" s="2275"/>
      <c r="HN408" s="2275"/>
      <c r="HO408" s="2275"/>
      <c r="HP408" s="2275"/>
      <c r="HQ408" s="2275"/>
      <c r="HR408" s="2275"/>
      <c r="HS408" s="2275"/>
      <c r="HT408" s="2275"/>
      <c r="HU408" s="2250"/>
      <c r="HV408" s="2250"/>
      <c r="HW408" s="2250"/>
      <c r="HX408" s="2250"/>
      <c r="HY408" s="2250"/>
      <c r="HZ408" s="2250"/>
      <c r="IA408" s="2250"/>
      <c r="IB408" s="2250"/>
      <c r="IC408" s="2250"/>
      <c r="ID408" s="2250"/>
      <c r="IE408" s="2250"/>
      <c r="IF408" s="2250"/>
      <c r="IG408" s="2250"/>
      <c r="IH408" s="2250"/>
      <c r="II408" s="2250"/>
      <c r="IJ408" s="2250"/>
      <c r="IK408" s="2250"/>
      <c r="IL408" s="53"/>
      <c r="IM408" s="53"/>
    </row>
    <row r="409" spans="2:247" ht="21.95" customHeight="1">
      <c r="B409" s="2275"/>
      <c r="C409" s="2275"/>
      <c r="D409" s="2275"/>
      <c r="E409" s="2275"/>
      <c r="F409" s="2275"/>
      <c r="G409" s="2275"/>
      <c r="H409" s="2275"/>
      <c r="I409" s="2275"/>
      <c r="J409" s="2275"/>
      <c r="K409" s="2275"/>
      <c r="L409" s="2275"/>
      <c r="M409" s="2275"/>
      <c r="N409" s="2275"/>
      <c r="O409" s="2275"/>
      <c r="P409" s="2275"/>
      <c r="Q409" s="2275"/>
      <c r="R409" s="2275"/>
      <c r="S409" s="2275"/>
      <c r="T409" s="2275"/>
      <c r="U409" s="2275"/>
      <c r="V409" s="2275"/>
      <c r="W409" s="2275"/>
      <c r="X409" s="2275"/>
      <c r="Y409" s="2275"/>
      <c r="Z409" s="2275"/>
      <c r="AA409" s="2275"/>
      <c r="AB409" s="2275"/>
      <c r="AC409" s="2275"/>
      <c r="AD409" s="2275" t="s">
        <v>2236</v>
      </c>
      <c r="AE409" s="2275"/>
      <c r="AF409" s="2275" t="s">
        <v>655</v>
      </c>
      <c r="AG409" s="2276">
        <f>AF328</f>
        <v>190.4</v>
      </c>
      <c r="AH409" s="2275"/>
      <c r="AI409" s="2275"/>
      <c r="AJ409" s="2275"/>
      <c r="AK409" s="2275"/>
      <c r="AL409" s="2275"/>
      <c r="AM409" s="2275"/>
      <c r="AN409" s="2275"/>
      <c r="AO409" s="2275"/>
      <c r="AP409" s="2250"/>
      <c r="AQ409" s="2250"/>
      <c r="AR409" s="2250"/>
      <c r="AS409" s="2250"/>
      <c r="AT409" s="2250"/>
      <c r="AU409" s="2250"/>
      <c r="AV409" s="2250"/>
      <c r="AW409" s="2250"/>
      <c r="AX409" s="2250"/>
      <c r="AY409" s="2250"/>
      <c r="AZ409" s="2250"/>
      <c r="BA409" s="2250"/>
      <c r="BB409" s="2250"/>
      <c r="BC409" s="2250"/>
      <c r="BD409" s="2250"/>
      <c r="BE409" s="2250"/>
      <c r="BF409" s="2276"/>
      <c r="BG409" s="2276"/>
      <c r="BH409" s="2250"/>
      <c r="BI409" s="2275"/>
      <c r="BJ409" s="2275"/>
      <c r="BK409" s="2275"/>
      <c r="BL409" s="2275"/>
      <c r="BM409" s="2275"/>
      <c r="BN409" s="2275"/>
      <c r="BO409" s="2275"/>
      <c r="BP409" s="2275"/>
      <c r="BQ409" s="2275"/>
      <c r="BR409" s="2275"/>
      <c r="BS409" s="2275"/>
      <c r="BT409" s="2275"/>
      <c r="BU409" s="2275"/>
      <c r="BV409" s="2275"/>
      <c r="BW409" s="2275"/>
      <c r="BX409" s="2275"/>
      <c r="BY409" s="2275"/>
      <c r="BZ409" s="2275"/>
      <c r="CA409" s="2275"/>
      <c r="CB409" s="2275"/>
      <c r="CC409" s="2275"/>
      <c r="CD409" s="2275"/>
      <c r="CE409" s="2275"/>
      <c r="CF409" s="2275"/>
      <c r="CG409" s="2275"/>
      <c r="CH409" s="2275"/>
      <c r="CI409" s="2275"/>
      <c r="CJ409" s="2275"/>
      <c r="CK409" s="2275"/>
      <c r="CL409" s="2275" t="s">
        <v>2236</v>
      </c>
      <c r="CM409" s="2275"/>
      <c r="CN409" s="2275" t="s">
        <v>655</v>
      </c>
      <c r="CO409" s="2276">
        <f>CN328</f>
        <v>206.43</v>
      </c>
      <c r="CP409" s="2275"/>
      <c r="CQ409" s="2275"/>
      <c r="CR409" s="2275"/>
      <c r="CS409" s="2275"/>
      <c r="CT409" s="2275"/>
      <c r="CU409" s="2275"/>
      <c r="CV409" s="2275"/>
      <c r="CW409" s="2275"/>
      <c r="CX409" s="2250"/>
      <c r="CY409" s="2250"/>
      <c r="CZ409" s="2250"/>
      <c r="DA409" s="2250"/>
      <c r="DB409" s="2250"/>
      <c r="DC409" s="2250"/>
      <c r="DD409" s="2250"/>
      <c r="DE409" s="2250"/>
      <c r="DF409" s="2250"/>
      <c r="DG409" s="2250"/>
      <c r="DH409" s="2250"/>
      <c r="DI409" s="2250"/>
      <c r="DJ409" s="2250"/>
      <c r="DK409" s="2250"/>
      <c r="DL409" s="2250"/>
      <c r="DM409" s="2250"/>
      <c r="DN409" s="2250"/>
      <c r="DO409" s="53"/>
      <c r="DP409" s="53"/>
      <c r="DY409" s="2275"/>
      <c r="DZ409" s="2275"/>
      <c r="EA409" s="2275"/>
      <c r="EB409" s="2275"/>
      <c r="EC409" s="2275"/>
      <c r="ED409" s="2275"/>
      <c r="EE409" s="2275"/>
      <c r="EF409" s="2275"/>
      <c r="EG409" s="2275"/>
      <c r="EH409" s="2275"/>
      <c r="EI409" s="2275"/>
      <c r="EJ409" s="2275"/>
      <c r="EK409" s="2275"/>
      <c r="EL409" s="2275"/>
      <c r="EM409" s="2275"/>
      <c r="EN409" s="2275"/>
      <c r="EO409" s="2275"/>
      <c r="EP409" s="2275"/>
      <c r="EQ409" s="2275"/>
      <c r="ER409" s="2275"/>
      <c r="ES409" s="2275"/>
      <c r="ET409" s="2275"/>
      <c r="EU409" s="2275"/>
      <c r="EV409" s="2275"/>
      <c r="EW409" s="2275"/>
      <c r="EX409" s="2275"/>
      <c r="EY409" s="2275"/>
      <c r="EZ409" s="2275"/>
      <c r="FA409" s="2275" t="s">
        <v>2236</v>
      </c>
      <c r="FB409" s="2275"/>
      <c r="FC409" s="2275" t="s">
        <v>655</v>
      </c>
      <c r="FD409" s="2276">
        <f>FC328</f>
        <v>120.7</v>
      </c>
      <c r="FE409" s="2275"/>
      <c r="FF409" s="2275"/>
      <c r="FG409" s="2275"/>
      <c r="FH409" s="2275"/>
      <c r="FI409" s="2275"/>
      <c r="FJ409" s="2275"/>
      <c r="FK409" s="2275"/>
      <c r="FL409" s="2275"/>
      <c r="FM409" s="2250"/>
      <c r="FN409" s="2250"/>
      <c r="FO409" s="2250"/>
      <c r="FP409" s="2250"/>
      <c r="FQ409" s="2250"/>
      <c r="FR409" s="2250"/>
      <c r="FS409" s="2250"/>
      <c r="FT409" s="2250"/>
      <c r="FU409" s="2250"/>
      <c r="FV409" s="2250"/>
      <c r="FW409" s="2250"/>
      <c r="FX409" s="2250"/>
      <c r="FY409" s="2250"/>
      <c r="FZ409" s="2250"/>
      <c r="GA409" s="2250"/>
      <c r="GB409" s="2250"/>
      <c r="GC409" s="2276"/>
      <c r="GD409" s="2276"/>
      <c r="GE409" s="2250"/>
      <c r="GF409" s="2275"/>
      <c r="GG409" s="2275"/>
      <c r="GH409" s="2275"/>
      <c r="GI409" s="2275"/>
      <c r="GJ409" s="2275"/>
      <c r="GK409" s="2275"/>
      <c r="GL409" s="2275"/>
      <c r="GM409" s="2275"/>
      <c r="GN409" s="2275"/>
      <c r="GO409" s="2275"/>
      <c r="GP409" s="2275"/>
      <c r="GQ409" s="2275"/>
      <c r="GR409" s="2275"/>
      <c r="GS409" s="2275"/>
      <c r="GT409" s="2275"/>
      <c r="GU409" s="2275"/>
      <c r="GV409" s="2275"/>
      <c r="GW409" s="2275"/>
      <c r="GX409" s="2275"/>
      <c r="GY409" s="2275"/>
      <c r="GZ409" s="2275"/>
      <c r="HA409" s="2275"/>
      <c r="HB409" s="2275"/>
      <c r="HC409" s="2275"/>
      <c r="HD409" s="2275"/>
      <c r="HE409" s="2275"/>
      <c r="HF409" s="2275"/>
      <c r="HG409" s="2275"/>
      <c r="HH409" s="2275"/>
      <c r="HI409" s="2275" t="s">
        <v>2236</v>
      </c>
      <c r="HJ409" s="2275"/>
      <c r="HK409" s="2275" t="s">
        <v>655</v>
      </c>
      <c r="HL409" s="2276">
        <f>HK328</f>
        <v>129.80000000000001</v>
      </c>
      <c r="HM409" s="2275"/>
      <c r="HN409" s="2275"/>
      <c r="HO409" s="2275"/>
      <c r="HP409" s="2275"/>
      <c r="HQ409" s="2275"/>
      <c r="HR409" s="2275"/>
      <c r="HS409" s="2275"/>
      <c r="HT409" s="2275"/>
      <c r="HU409" s="2250"/>
      <c r="HV409" s="2250"/>
      <c r="HW409" s="2250"/>
      <c r="HX409" s="2250"/>
      <c r="HY409" s="2250"/>
      <c r="HZ409" s="2250"/>
      <c r="IA409" s="2250"/>
      <c r="IB409" s="2250"/>
      <c r="IC409" s="2250"/>
      <c r="ID409" s="2250"/>
      <c r="IE409" s="2250"/>
      <c r="IF409" s="2250"/>
      <c r="IG409" s="2250"/>
      <c r="IH409" s="2250"/>
      <c r="II409" s="2250"/>
      <c r="IJ409" s="2250"/>
      <c r="IK409" s="2250"/>
      <c r="IL409" s="53"/>
      <c r="IM409" s="53"/>
    </row>
    <row r="410" spans="2:247" ht="21.95" customHeight="1">
      <c r="B410" s="2333" t="s">
        <v>731</v>
      </c>
      <c r="C410" s="2333" t="s">
        <v>736</v>
      </c>
      <c r="D410" s="2333">
        <v>223.8</v>
      </c>
      <c r="E410" s="2333">
        <v>206.43</v>
      </c>
      <c r="F410" s="2333">
        <v>190.4</v>
      </c>
      <c r="G410" s="2333">
        <v>177.81</v>
      </c>
      <c r="H410" s="2333">
        <v>165.9</v>
      </c>
      <c r="I410" s="2333">
        <v>162.68</v>
      </c>
      <c r="J410" s="2333">
        <v>151.30000000000001</v>
      </c>
      <c r="K410" s="2333">
        <v>140.1</v>
      </c>
      <c r="L410" s="2333">
        <v>129.80000000000001</v>
      </c>
      <c r="M410" s="2333">
        <v>120.7</v>
      </c>
      <c r="N410" s="2333">
        <v>107.9</v>
      </c>
      <c r="O410" s="2333">
        <v>97.1</v>
      </c>
      <c r="P410" s="2333">
        <v>92.9</v>
      </c>
      <c r="Q410" s="2333">
        <v>88.2</v>
      </c>
      <c r="R410" s="2333">
        <v>83.3</v>
      </c>
      <c r="S410" s="2333">
        <v>78.2</v>
      </c>
      <c r="T410" s="2333">
        <v>73.7</v>
      </c>
      <c r="U410" s="2333">
        <v>68.3</v>
      </c>
      <c r="V410" s="2333">
        <v>63.4</v>
      </c>
      <c r="W410" s="2333">
        <v>58.1</v>
      </c>
      <c r="X410" s="2333">
        <v>53.7</v>
      </c>
      <c r="Y410" s="2333">
        <v>48.8</v>
      </c>
      <c r="Z410" s="2333">
        <v>43.9</v>
      </c>
      <c r="AA410" s="2333">
        <v>38.799999999999997</v>
      </c>
      <c r="AB410" s="2333">
        <v>34.200000000000003</v>
      </c>
      <c r="AC410" s="2333">
        <v>29.3</v>
      </c>
      <c r="AD410" s="2333">
        <v>24.5</v>
      </c>
      <c r="AE410" s="2333" t="s">
        <v>736</v>
      </c>
      <c r="AF410" s="2275" t="s">
        <v>738</v>
      </c>
      <c r="AG410" s="2276">
        <f>+AF327</f>
        <v>19.915970774546171</v>
      </c>
      <c r="AH410" s="2275"/>
      <c r="AI410" s="2275"/>
      <c r="AJ410" s="2275"/>
      <c r="AK410" s="2275"/>
      <c r="AL410" s="2275"/>
      <c r="AM410" s="2275"/>
      <c r="AN410" s="2275"/>
      <c r="AO410" s="2275"/>
      <c r="AP410" s="2250"/>
      <c r="AQ410" s="2250"/>
      <c r="AR410" s="2250"/>
      <c r="AS410" s="2250"/>
      <c r="AT410" s="2250"/>
      <c r="AU410" s="2250"/>
      <c r="AV410" s="2250"/>
      <c r="AW410" s="2250"/>
      <c r="AX410" s="2250"/>
      <c r="AY410" s="2250"/>
      <c r="AZ410" s="2250"/>
      <c r="BA410" s="2250"/>
      <c r="BB410" s="2250"/>
      <c r="BC410" s="2250"/>
      <c r="BD410" s="2250"/>
      <c r="BE410" s="2250"/>
      <c r="BF410" s="2276"/>
      <c r="BG410" s="2276"/>
      <c r="BH410" s="2250"/>
      <c r="BI410" s="2275"/>
      <c r="BJ410" s="2333" t="s">
        <v>731</v>
      </c>
      <c r="BK410" s="2333" t="s">
        <v>736</v>
      </c>
      <c r="BL410" s="2333">
        <v>223.8</v>
      </c>
      <c r="BM410" s="2333">
        <v>206.43</v>
      </c>
      <c r="BN410" s="2333">
        <v>190.4</v>
      </c>
      <c r="BO410" s="2333">
        <v>177.81</v>
      </c>
      <c r="BP410" s="2333">
        <v>165.9</v>
      </c>
      <c r="BQ410" s="2333">
        <v>162.68</v>
      </c>
      <c r="BR410" s="2333">
        <v>151.30000000000001</v>
      </c>
      <c r="BS410" s="2333">
        <v>140.1</v>
      </c>
      <c r="BT410" s="2333">
        <v>129.80000000000001</v>
      </c>
      <c r="BU410" s="2333">
        <v>120.7</v>
      </c>
      <c r="BV410" s="2333">
        <v>107.9</v>
      </c>
      <c r="BW410" s="2333">
        <v>97.1</v>
      </c>
      <c r="BX410" s="2333">
        <v>92.9</v>
      </c>
      <c r="BY410" s="2333">
        <v>88.2</v>
      </c>
      <c r="BZ410" s="2333">
        <v>83.3</v>
      </c>
      <c r="CA410" s="2333">
        <v>78.2</v>
      </c>
      <c r="CB410" s="2333">
        <v>73.7</v>
      </c>
      <c r="CC410" s="2333">
        <v>68.3</v>
      </c>
      <c r="CD410" s="2333">
        <v>63.4</v>
      </c>
      <c r="CE410" s="2333">
        <v>58.1</v>
      </c>
      <c r="CF410" s="2333">
        <v>53.7</v>
      </c>
      <c r="CG410" s="2333">
        <v>48.8</v>
      </c>
      <c r="CH410" s="2333">
        <v>43.9</v>
      </c>
      <c r="CI410" s="2333">
        <v>38.799999999999997</v>
      </c>
      <c r="CJ410" s="2333">
        <v>34.200000000000003</v>
      </c>
      <c r="CK410" s="2333">
        <v>29.3</v>
      </c>
      <c r="CL410" s="2333">
        <v>24.5</v>
      </c>
      <c r="CM410" s="2333" t="s">
        <v>736</v>
      </c>
      <c r="CN410" s="2275" t="s">
        <v>738</v>
      </c>
      <c r="CO410" s="2276">
        <f>+CN327</f>
        <v>19.915970774546171</v>
      </c>
      <c r="CP410" s="2275"/>
      <c r="CQ410" s="2275"/>
      <c r="CR410" s="2275"/>
      <c r="CS410" s="2275"/>
      <c r="CT410" s="2275"/>
      <c r="CU410" s="2275"/>
      <c r="CV410" s="2275"/>
      <c r="CW410" s="2275"/>
      <c r="CX410" s="2250"/>
      <c r="CY410" s="2250"/>
      <c r="CZ410" s="2250"/>
      <c r="DA410" s="2250"/>
      <c r="DB410" s="2250"/>
      <c r="DC410" s="2250"/>
      <c r="DD410" s="2250"/>
      <c r="DE410" s="2250"/>
      <c r="DF410" s="2250"/>
      <c r="DG410" s="2250"/>
      <c r="DH410" s="2250"/>
      <c r="DI410" s="2250"/>
      <c r="DJ410" s="2250"/>
      <c r="DK410" s="2250"/>
      <c r="DL410" s="2250"/>
      <c r="DM410" s="2250"/>
      <c r="DN410" s="2250"/>
      <c r="DO410" s="53"/>
      <c r="DP410" s="53"/>
      <c r="DY410" s="2333" t="s">
        <v>731</v>
      </c>
      <c r="DZ410" s="2333" t="s">
        <v>736</v>
      </c>
      <c r="EA410" s="2333">
        <v>223.8</v>
      </c>
      <c r="EB410" s="2333">
        <v>206.43</v>
      </c>
      <c r="EC410" s="2333">
        <v>190.4</v>
      </c>
      <c r="ED410" s="2333">
        <v>177.81</v>
      </c>
      <c r="EE410" s="2333">
        <v>165.9</v>
      </c>
      <c r="EF410" s="2333">
        <v>162.68</v>
      </c>
      <c r="EG410" s="2333">
        <v>151.30000000000001</v>
      </c>
      <c r="EH410" s="2333">
        <v>140.1</v>
      </c>
      <c r="EI410" s="2333">
        <v>129.80000000000001</v>
      </c>
      <c r="EJ410" s="2333">
        <v>120.7</v>
      </c>
      <c r="EK410" s="2333">
        <v>107.9</v>
      </c>
      <c r="EL410" s="2333">
        <v>97.1</v>
      </c>
      <c r="EM410" s="2333">
        <v>92.9</v>
      </c>
      <c r="EN410" s="2333">
        <v>88.2</v>
      </c>
      <c r="EO410" s="2333">
        <v>83.3</v>
      </c>
      <c r="EP410" s="2333">
        <v>78.2</v>
      </c>
      <c r="EQ410" s="2333">
        <v>73.7</v>
      </c>
      <c r="ER410" s="2333">
        <v>68.3</v>
      </c>
      <c r="ES410" s="2333">
        <v>63.4</v>
      </c>
      <c r="ET410" s="2333">
        <v>58.1</v>
      </c>
      <c r="EU410" s="2333">
        <v>53.7</v>
      </c>
      <c r="EV410" s="2333">
        <v>48.8</v>
      </c>
      <c r="EW410" s="2333">
        <v>43.9</v>
      </c>
      <c r="EX410" s="2333">
        <v>38.799999999999997</v>
      </c>
      <c r="EY410" s="2333">
        <v>34.200000000000003</v>
      </c>
      <c r="EZ410" s="2333">
        <v>29.3</v>
      </c>
      <c r="FA410" s="2333">
        <v>24.5</v>
      </c>
      <c r="FB410" s="2333" t="s">
        <v>736</v>
      </c>
      <c r="FC410" s="2275" t="s">
        <v>738</v>
      </c>
      <c r="FD410" s="2276">
        <f>+FC327</f>
        <v>19.968225884687833</v>
      </c>
      <c r="FE410" s="2275"/>
      <c r="FF410" s="2275"/>
      <c r="FG410" s="2275"/>
      <c r="FH410" s="2275"/>
      <c r="FI410" s="2275"/>
      <c r="FJ410" s="2275"/>
      <c r="FK410" s="2275"/>
      <c r="FL410" s="2275"/>
      <c r="FM410" s="2250"/>
      <c r="FN410" s="2250"/>
      <c r="FO410" s="2250"/>
      <c r="FP410" s="2250"/>
      <c r="FQ410" s="2250"/>
      <c r="FR410" s="2250"/>
      <c r="FS410" s="2250"/>
      <c r="FT410" s="2250"/>
      <c r="FU410" s="2250"/>
      <c r="FV410" s="2250"/>
      <c r="FW410" s="2250"/>
      <c r="FX410" s="2250"/>
      <c r="FY410" s="2250"/>
      <c r="FZ410" s="2250"/>
      <c r="GA410" s="2250"/>
      <c r="GB410" s="2250"/>
      <c r="GC410" s="2276"/>
      <c r="GD410" s="2276"/>
      <c r="GE410" s="2250"/>
      <c r="GF410" s="2275"/>
      <c r="GG410" s="2333" t="s">
        <v>731</v>
      </c>
      <c r="GH410" s="2333" t="s">
        <v>736</v>
      </c>
      <c r="GI410" s="2333">
        <v>223.8</v>
      </c>
      <c r="GJ410" s="2333">
        <v>206.43</v>
      </c>
      <c r="GK410" s="2333">
        <v>190.4</v>
      </c>
      <c r="GL410" s="2333">
        <v>177.81</v>
      </c>
      <c r="GM410" s="2333">
        <v>165.9</v>
      </c>
      <c r="GN410" s="2333">
        <v>162.68</v>
      </c>
      <c r="GO410" s="2333">
        <v>151.30000000000001</v>
      </c>
      <c r="GP410" s="2333">
        <v>140.1</v>
      </c>
      <c r="GQ410" s="2333">
        <v>129.80000000000001</v>
      </c>
      <c r="GR410" s="2333">
        <v>120.7</v>
      </c>
      <c r="GS410" s="2333">
        <v>107.9</v>
      </c>
      <c r="GT410" s="2333">
        <v>97.1</v>
      </c>
      <c r="GU410" s="2333">
        <v>92.9</v>
      </c>
      <c r="GV410" s="2333">
        <v>88.2</v>
      </c>
      <c r="GW410" s="2333">
        <v>83.3</v>
      </c>
      <c r="GX410" s="2333">
        <v>78.2</v>
      </c>
      <c r="GY410" s="2333">
        <v>73.7</v>
      </c>
      <c r="GZ410" s="2333">
        <v>68.3</v>
      </c>
      <c r="HA410" s="2333">
        <v>63.4</v>
      </c>
      <c r="HB410" s="2333">
        <v>58.1</v>
      </c>
      <c r="HC410" s="2333">
        <v>53.7</v>
      </c>
      <c r="HD410" s="2333">
        <v>48.8</v>
      </c>
      <c r="HE410" s="2333">
        <v>43.9</v>
      </c>
      <c r="HF410" s="2333">
        <v>38.799999999999997</v>
      </c>
      <c r="HG410" s="2333">
        <v>34.200000000000003</v>
      </c>
      <c r="HH410" s="2333">
        <v>29.3</v>
      </c>
      <c r="HI410" s="2333">
        <v>24.5</v>
      </c>
      <c r="HJ410" s="2333" t="s">
        <v>736</v>
      </c>
      <c r="HK410" s="2275" t="s">
        <v>738</v>
      </c>
      <c r="HL410" s="2276">
        <f>+HK327</f>
        <v>19.968225884687833</v>
      </c>
      <c r="HM410" s="2275"/>
      <c r="HN410" s="2275"/>
      <c r="HO410" s="2275"/>
      <c r="HP410" s="2275"/>
      <c r="HQ410" s="2275"/>
      <c r="HR410" s="2275"/>
      <c r="HS410" s="2275"/>
      <c r="HT410" s="2275"/>
      <c r="HU410" s="2250"/>
      <c r="HV410" s="2250"/>
      <c r="HW410" s="2250"/>
      <c r="HX410" s="2250"/>
      <c r="HY410" s="2250"/>
      <c r="HZ410" s="2250"/>
      <c r="IA410" s="2250"/>
      <c r="IB410" s="2250"/>
      <c r="IC410" s="2250"/>
      <c r="ID410" s="2250"/>
      <c r="IE410" s="2250"/>
      <c r="IF410" s="2250"/>
      <c r="IG410" s="2250"/>
      <c r="IH410" s="2250"/>
      <c r="II410" s="2250"/>
      <c r="IJ410" s="2250"/>
      <c r="IK410" s="2250"/>
      <c r="IL410" s="53"/>
      <c r="IM410" s="53"/>
    </row>
    <row r="411" spans="2:247" ht="21.95" customHeight="1">
      <c r="B411" s="2333"/>
      <c r="C411" s="2333"/>
      <c r="D411" s="2344"/>
      <c r="E411" s="2344"/>
      <c r="F411" s="2344"/>
      <c r="G411" s="2344"/>
      <c r="H411" s="2344"/>
      <c r="I411" s="2344"/>
      <c r="J411" s="2344"/>
      <c r="K411" s="2344"/>
      <c r="L411" s="2344"/>
      <c r="M411" s="2344"/>
      <c r="N411" s="2344"/>
      <c r="O411" s="2344"/>
      <c r="P411" s="2344"/>
      <c r="Q411" s="2344"/>
      <c r="R411" s="2344"/>
      <c r="S411" s="2344"/>
      <c r="T411" s="2344"/>
      <c r="U411" s="2344"/>
      <c r="V411" s="2344"/>
      <c r="W411" s="2344"/>
      <c r="X411" s="2344"/>
      <c r="Y411" s="2344"/>
      <c r="Z411" s="2344"/>
      <c r="AA411" s="2344"/>
      <c r="AB411" s="2344"/>
      <c r="AC411" s="2344"/>
      <c r="AD411" s="2344"/>
      <c r="AE411" s="2333"/>
      <c r="AF411" s="2275" t="s">
        <v>682</v>
      </c>
      <c r="AG411" s="2276">
        <f>HLOOKUP(AG409,D410:AD422,1,0)</f>
        <v>190.4</v>
      </c>
      <c r="AH411" s="2275" t="s">
        <v>706</v>
      </c>
      <c r="AI411" s="2275" t="s">
        <v>682</v>
      </c>
      <c r="AJ411" s="2275"/>
      <c r="AK411" s="2275"/>
      <c r="AL411" s="2275"/>
      <c r="AM411" s="2275"/>
      <c r="AN411" s="2275"/>
      <c r="AO411" s="2275"/>
      <c r="AP411" s="2250"/>
      <c r="AQ411" s="2250"/>
      <c r="AR411" s="2250"/>
      <c r="AS411" s="2250"/>
      <c r="AT411" s="2250"/>
      <c r="AU411" s="2250"/>
      <c r="AV411" s="2250"/>
      <c r="AW411" s="2250"/>
      <c r="AX411" s="2250"/>
      <c r="AY411" s="2250"/>
      <c r="AZ411" s="2250"/>
      <c r="BA411" s="2250"/>
      <c r="BB411" s="2250"/>
      <c r="BC411" s="2250"/>
      <c r="BD411" s="2250"/>
      <c r="BE411" s="2250"/>
      <c r="BF411" s="2276"/>
      <c r="BG411" s="2276"/>
      <c r="BH411" s="2250"/>
      <c r="BI411" s="2275"/>
      <c r="BJ411" s="2333"/>
      <c r="BK411" s="2333"/>
      <c r="BL411" s="2344">
        <v>0</v>
      </c>
      <c r="BM411" s="2344">
        <v>0</v>
      </c>
      <c r="BN411" s="2344">
        <v>0</v>
      </c>
      <c r="BO411" s="2344">
        <v>0</v>
      </c>
      <c r="BP411" s="2344">
        <v>0</v>
      </c>
      <c r="BQ411" s="2344">
        <v>0</v>
      </c>
      <c r="BR411" s="2344">
        <v>0</v>
      </c>
      <c r="BS411" s="2344">
        <v>0</v>
      </c>
      <c r="BT411" s="2344">
        <v>0</v>
      </c>
      <c r="BU411" s="2344">
        <v>0</v>
      </c>
      <c r="BV411" s="2344">
        <v>0</v>
      </c>
      <c r="BW411" s="2344">
        <v>0</v>
      </c>
      <c r="BX411" s="2344">
        <v>0</v>
      </c>
      <c r="BY411" s="2344">
        <v>0</v>
      </c>
      <c r="BZ411" s="2344">
        <v>0</v>
      </c>
      <c r="CA411" s="2344">
        <v>0</v>
      </c>
      <c r="CB411" s="2344">
        <v>0</v>
      </c>
      <c r="CC411" s="2344">
        <v>0</v>
      </c>
      <c r="CD411" s="2344">
        <v>0</v>
      </c>
      <c r="CE411" s="2344">
        <v>0</v>
      </c>
      <c r="CF411" s="2344">
        <v>0</v>
      </c>
      <c r="CG411" s="2344">
        <v>0</v>
      </c>
      <c r="CH411" s="2344">
        <v>0</v>
      </c>
      <c r="CI411" s="2344">
        <v>0</v>
      </c>
      <c r="CJ411" s="2344">
        <v>0</v>
      </c>
      <c r="CK411" s="2344">
        <v>0</v>
      </c>
      <c r="CL411" s="2344">
        <v>0</v>
      </c>
      <c r="CM411" s="2333"/>
      <c r="CN411" s="2275" t="s">
        <v>682</v>
      </c>
      <c r="CO411" s="2276">
        <f>HLOOKUP(CO409,BL410:CL422,1,0)</f>
        <v>206.43</v>
      </c>
      <c r="CP411" s="2275" t="s">
        <v>706</v>
      </c>
      <c r="CQ411" s="2275" t="s">
        <v>682</v>
      </c>
      <c r="CR411" s="2275"/>
      <c r="CS411" s="2275"/>
      <c r="CT411" s="2275"/>
      <c r="CU411" s="2275"/>
      <c r="CV411" s="2275"/>
      <c r="CW411" s="2275"/>
      <c r="CX411" s="2250"/>
      <c r="CY411" s="2250"/>
      <c r="CZ411" s="2250"/>
      <c r="DA411" s="2250"/>
      <c r="DB411" s="2250"/>
      <c r="DC411" s="2250"/>
      <c r="DD411" s="2250"/>
      <c r="DE411" s="2250"/>
      <c r="DF411" s="2250"/>
      <c r="DG411" s="2250"/>
      <c r="DH411" s="2250"/>
      <c r="DI411" s="2250"/>
      <c r="DJ411" s="2250"/>
      <c r="DK411" s="2250"/>
      <c r="DL411" s="2250"/>
      <c r="DM411" s="2250"/>
      <c r="DN411" s="2250"/>
      <c r="DO411" s="53"/>
      <c r="DP411" s="53"/>
      <c r="DY411" s="2333"/>
      <c r="DZ411" s="2333"/>
      <c r="EA411" s="2344"/>
      <c r="EB411" s="2344"/>
      <c r="EC411" s="2344"/>
      <c r="ED411" s="2344"/>
      <c r="EE411" s="2344"/>
      <c r="EF411" s="2344"/>
      <c r="EG411" s="2344"/>
      <c r="EH411" s="2344"/>
      <c r="EI411" s="2344"/>
      <c r="EJ411" s="2344"/>
      <c r="EK411" s="2344"/>
      <c r="EL411" s="2344"/>
      <c r="EM411" s="2344"/>
      <c r="EN411" s="2344"/>
      <c r="EO411" s="2344"/>
      <c r="EP411" s="2344"/>
      <c r="EQ411" s="2344"/>
      <c r="ER411" s="2344"/>
      <c r="ES411" s="2344"/>
      <c r="ET411" s="2344"/>
      <c r="EU411" s="2344"/>
      <c r="EV411" s="2344"/>
      <c r="EW411" s="2344"/>
      <c r="EX411" s="2344"/>
      <c r="EY411" s="2344"/>
      <c r="EZ411" s="2344"/>
      <c r="FA411" s="2344"/>
      <c r="FB411" s="2333"/>
      <c r="FC411" s="2275" t="s">
        <v>682</v>
      </c>
      <c r="FD411" s="2276">
        <f>HLOOKUP(FD409,EA410:FA422,1,0)</f>
        <v>120.7</v>
      </c>
      <c r="FE411" s="2275" t="s">
        <v>706</v>
      </c>
      <c r="FF411" s="2275" t="s">
        <v>682</v>
      </c>
      <c r="FG411" s="2275"/>
      <c r="FH411" s="2275"/>
      <c r="FI411" s="2275"/>
      <c r="FJ411" s="2275"/>
      <c r="FK411" s="2275"/>
      <c r="FL411" s="2275"/>
      <c r="FM411" s="2250"/>
      <c r="FN411" s="2250"/>
      <c r="FO411" s="2250"/>
      <c r="FP411" s="2250"/>
      <c r="FQ411" s="2250"/>
      <c r="FR411" s="2250"/>
      <c r="FS411" s="2250"/>
      <c r="FT411" s="2250"/>
      <c r="FU411" s="2250"/>
      <c r="FV411" s="2250"/>
      <c r="FW411" s="2250"/>
      <c r="FX411" s="2250"/>
      <c r="FY411" s="2250"/>
      <c r="FZ411" s="2250"/>
      <c r="GA411" s="2250"/>
      <c r="GB411" s="2250"/>
      <c r="GC411" s="2276"/>
      <c r="GD411" s="2276"/>
      <c r="GE411" s="2250"/>
      <c r="GF411" s="2275"/>
      <c r="GG411" s="2333"/>
      <c r="GH411" s="2333"/>
      <c r="GI411" s="2344">
        <v>0</v>
      </c>
      <c r="GJ411" s="2344">
        <v>0</v>
      </c>
      <c r="GK411" s="2344">
        <v>0</v>
      </c>
      <c r="GL411" s="2344">
        <v>0</v>
      </c>
      <c r="GM411" s="2344">
        <v>0</v>
      </c>
      <c r="GN411" s="2344">
        <v>0</v>
      </c>
      <c r="GO411" s="2344">
        <v>0</v>
      </c>
      <c r="GP411" s="2344">
        <v>0</v>
      </c>
      <c r="GQ411" s="2344">
        <v>0</v>
      </c>
      <c r="GR411" s="2344">
        <v>0</v>
      </c>
      <c r="GS411" s="2344">
        <v>0</v>
      </c>
      <c r="GT411" s="2344">
        <v>0</v>
      </c>
      <c r="GU411" s="2344">
        <v>0</v>
      </c>
      <c r="GV411" s="2344">
        <v>0</v>
      </c>
      <c r="GW411" s="2344">
        <v>0</v>
      </c>
      <c r="GX411" s="2344">
        <v>0</v>
      </c>
      <c r="GY411" s="2344">
        <v>0</v>
      </c>
      <c r="GZ411" s="2344">
        <v>0</v>
      </c>
      <c r="HA411" s="2344">
        <v>0</v>
      </c>
      <c r="HB411" s="2344">
        <v>0</v>
      </c>
      <c r="HC411" s="2344">
        <v>0</v>
      </c>
      <c r="HD411" s="2344">
        <v>0</v>
      </c>
      <c r="HE411" s="2344">
        <v>0</v>
      </c>
      <c r="HF411" s="2344">
        <v>0</v>
      </c>
      <c r="HG411" s="2344">
        <v>0</v>
      </c>
      <c r="HH411" s="2344">
        <v>0</v>
      </c>
      <c r="HI411" s="2344">
        <v>0</v>
      </c>
      <c r="HJ411" s="2333"/>
      <c r="HK411" s="2275" t="s">
        <v>682</v>
      </c>
      <c r="HL411" s="2276">
        <f>HLOOKUP(HL409,GI410:HI422,1,0)</f>
        <v>129.80000000000001</v>
      </c>
      <c r="HM411" s="2275" t="s">
        <v>706</v>
      </c>
      <c r="HN411" s="2275" t="s">
        <v>682</v>
      </c>
      <c r="HO411" s="2275"/>
      <c r="HP411" s="2275"/>
      <c r="HQ411" s="2275"/>
      <c r="HR411" s="2275"/>
      <c r="HS411" s="2275"/>
      <c r="HT411" s="2275"/>
      <c r="HU411" s="2250"/>
      <c r="HV411" s="2250"/>
      <c r="HW411" s="2250"/>
      <c r="HX411" s="2250"/>
      <c r="HY411" s="2250"/>
      <c r="HZ411" s="2250"/>
      <c r="IA411" s="2250"/>
      <c r="IB411" s="2250"/>
      <c r="IC411" s="2250"/>
      <c r="ID411" s="2250"/>
      <c r="IE411" s="2250"/>
      <c r="IF411" s="2250"/>
      <c r="IG411" s="2250"/>
      <c r="IH411" s="2250"/>
      <c r="II411" s="2250"/>
      <c r="IJ411" s="2250"/>
      <c r="IK411" s="2250"/>
      <c r="IL411" s="53"/>
      <c r="IM411" s="53"/>
    </row>
    <row r="412" spans="2:247" ht="21.95" customHeight="1">
      <c r="B412" s="4670" t="s">
        <v>732</v>
      </c>
      <c r="C412" s="2345">
        <v>400</v>
      </c>
      <c r="D412" s="2346">
        <v>0</v>
      </c>
      <c r="E412" s="2346">
        <v>0</v>
      </c>
      <c r="F412" s="2346">
        <v>0</v>
      </c>
      <c r="G412" s="2346">
        <v>0</v>
      </c>
      <c r="H412" s="2346">
        <v>0</v>
      </c>
      <c r="I412" s="2346">
        <v>0</v>
      </c>
      <c r="J412" s="2346">
        <v>0</v>
      </c>
      <c r="K412" s="2346">
        <v>0</v>
      </c>
      <c r="L412" s="2346">
        <v>0</v>
      </c>
      <c r="M412" s="2346">
        <v>0</v>
      </c>
      <c r="N412" s="2346">
        <v>0</v>
      </c>
      <c r="O412" s="2346">
        <v>0</v>
      </c>
      <c r="P412" s="2346">
        <v>0</v>
      </c>
      <c r="Q412" s="2346">
        <v>0</v>
      </c>
      <c r="R412" s="2346">
        <v>0</v>
      </c>
      <c r="S412" s="2346">
        <v>0</v>
      </c>
      <c r="T412" s="2346">
        <v>0</v>
      </c>
      <c r="U412" s="2346">
        <v>0</v>
      </c>
      <c r="V412" s="2346">
        <v>0</v>
      </c>
      <c r="W412" s="2346">
        <v>0</v>
      </c>
      <c r="X412" s="2346">
        <v>0</v>
      </c>
      <c r="Y412" s="2346">
        <v>0</v>
      </c>
      <c r="Z412" s="2346">
        <v>0</v>
      </c>
      <c r="AA412" s="2346">
        <v>0</v>
      </c>
      <c r="AB412" s="2346">
        <v>0</v>
      </c>
      <c r="AC412" s="2346">
        <v>0</v>
      </c>
      <c r="AD412" s="2346">
        <v>0</v>
      </c>
      <c r="AE412" s="2347">
        <v>400</v>
      </c>
      <c r="AF412" s="2275"/>
      <c r="AG412" s="4671"/>
      <c r="AH412" s="4671"/>
      <c r="AI412" s="4671"/>
      <c r="AJ412" s="2275"/>
      <c r="AK412" s="2275"/>
      <c r="AL412" s="2275"/>
      <c r="AM412" s="2275"/>
      <c r="AN412" s="2275"/>
      <c r="AO412" s="2275"/>
      <c r="AP412" s="2250"/>
      <c r="AQ412" s="2250"/>
      <c r="AR412" s="2250"/>
      <c r="AS412" s="2250"/>
      <c r="AT412" s="2250"/>
      <c r="AU412" s="2250"/>
      <c r="AV412" s="2250"/>
      <c r="AW412" s="2250"/>
      <c r="AX412" s="2250"/>
      <c r="AY412" s="2250"/>
      <c r="AZ412" s="2250"/>
      <c r="BA412" s="2250"/>
      <c r="BB412" s="2250"/>
      <c r="BC412" s="2250"/>
      <c r="BD412" s="2250"/>
      <c r="BE412" s="2250"/>
      <c r="BF412" s="2276"/>
      <c r="BG412" s="2276"/>
      <c r="BH412" s="2250"/>
      <c r="BI412" s="2275"/>
      <c r="BJ412" s="4670" t="s">
        <v>732</v>
      </c>
      <c r="BK412" s="2345">
        <v>400</v>
      </c>
      <c r="BL412" s="2346">
        <v>0</v>
      </c>
      <c r="BM412" s="2346">
        <v>0</v>
      </c>
      <c r="BN412" s="2346">
        <v>0</v>
      </c>
      <c r="BO412" s="2346">
        <v>0</v>
      </c>
      <c r="BP412" s="2346">
        <v>0</v>
      </c>
      <c r="BQ412" s="2346">
        <v>0</v>
      </c>
      <c r="BR412" s="2346">
        <v>0</v>
      </c>
      <c r="BS412" s="2346">
        <v>0</v>
      </c>
      <c r="BT412" s="2346">
        <v>0</v>
      </c>
      <c r="BU412" s="2346">
        <v>0</v>
      </c>
      <c r="BV412" s="2346">
        <v>0</v>
      </c>
      <c r="BW412" s="2346">
        <v>0</v>
      </c>
      <c r="BX412" s="2346">
        <v>0</v>
      </c>
      <c r="BY412" s="2346">
        <v>0</v>
      </c>
      <c r="BZ412" s="2346">
        <v>0</v>
      </c>
      <c r="CA412" s="2346">
        <v>0</v>
      </c>
      <c r="CB412" s="2346">
        <v>0</v>
      </c>
      <c r="CC412" s="2346">
        <v>0</v>
      </c>
      <c r="CD412" s="2346">
        <v>0</v>
      </c>
      <c r="CE412" s="2346">
        <v>0</v>
      </c>
      <c r="CF412" s="2346">
        <v>0</v>
      </c>
      <c r="CG412" s="2346">
        <v>0</v>
      </c>
      <c r="CH412" s="2346">
        <v>0</v>
      </c>
      <c r="CI412" s="2346">
        <v>0</v>
      </c>
      <c r="CJ412" s="2346">
        <v>0</v>
      </c>
      <c r="CK412" s="2346">
        <v>0</v>
      </c>
      <c r="CL412" s="2346">
        <v>0</v>
      </c>
      <c r="CM412" s="2347">
        <v>400</v>
      </c>
      <c r="CN412" s="2275"/>
      <c r="CO412" s="4671"/>
      <c r="CP412" s="4671"/>
      <c r="CQ412" s="4671"/>
      <c r="CR412" s="2275"/>
      <c r="CS412" s="2275"/>
      <c r="CT412" s="2275"/>
      <c r="CU412" s="2275"/>
      <c r="CV412" s="2275"/>
      <c r="CW412" s="2275"/>
      <c r="CX412" s="2250"/>
      <c r="CY412" s="2250"/>
      <c r="CZ412" s="2250"/>
      <c r="DA412" s="2250"/>
      <c r="DB412" s="2250"/>
      <c r="DC412" s="2250"/>
      <c r="DD412" s="2250"/>
      <c r="DE412" s="2250"/>
      <c r="DF412" s="2250"/>
      <c r="DG412" s="2250"/>
      <c r="DH412" s="2250"/>
      <c r="DI412" s="2250"/>
      <c r="DJ412" s="2250"/>
      <c r="DK412" s="2250"/>
      <c r="DL412" s="2250"/>
      <c r="DM412" s="2250"/>
      <c r="DN412" s="2250"/>
      <c r="DO412" s="53"/>
      <c r="DP412" s="53"/>
      <c r="DY412" s="4670" t="s">
        <v>732</v>
      </c>
      <c r="DZ412" s="2345">
        <v>400</v>
      </c>
      <c r="EA412" s="2346">
        <v>0</v>
      </c>
      <c r="EB412" s="2346">
        <v>0</v>
      </c>
      <c r="EC412" s="2346">
        <v>0</v>
      </c>
      <c r="ED412" s="2346">
        <v>0</v>
      </c>
      <c r="EE412" s="2346">
        <v>0</v>
      </c>
      <c r="EF412" s="2346">
        <v>0</v>
      </c>
      <c r="EG412" s="2346">
        <v>0</v>
      </c>
      <c r="EH412" s="2346">
        <v>0</v>
      </c>
      <c r="EI412" s="2346">
        <v>0</v>
      </c>
      <c r="EJ412" s="2346">
        <v>0</v>
      </c>
      <c r="EK412" s="2346">
        <v>0</v>
      </c>
      <c r="EL412" s="2346">
        <v>0</v>
      </c>
      <c r="EM412" s="2346">
        <v>0</v>
      </c>
      <c r="EN412" s="2346">
        <v>0</v>
      </c>
      <c r="EO412" s="2346">
        <v>0</v>
      </c>
      <c r="EP412" s="2346">
        <v>0</v>
      </c>
      <c r="EQ412" s="2346">
        <v>0</v>
      </c>
      <c r="ER412" s="2346">
        <v>0</v>
      </c>
      <c r="ES412" s="2346">
        <v>0</v>
      </c>
      <c r="ET412" s="2346">
        <v>0</v>
      </c>
      <c r="EU412" s="2346">
        <v>0</v>
      </c>
      <c r="EV412" s="2346">
        <v>0</v>
      </c>
      <c r="EW412" s="2346">
        <v>0</v>
      </c>
      <c r="EX412" s="2346">
        <v>0</v>
      </c>
      <c r="EY412" s="2346">
        <v>0</v>
      </c>
      <c r="EZ412" s="2346">
        <v>0</v>
      </c>
      <c r="FA412" s="2346">
        <v>0</v>
      </c>
      <c r="FB412" s="2347">
        <v>400</v>
      </c>
      <c r="FC412" s="2275"/>
      <c r="FD412" s="4671"/>
      <c r="FE412" s="4671"/>
      <c r="FF412" s="4671"/>
      <c r="FG412" s="2275"/>
      <c r="FH412" s="2275"/>
      <c r="FI412" s="2275"/>
      <c r="FJ412" s="2275"/>
      <c r="FK412" s="2275"/>
      <c r="FL412" s="2275"/>
      <c r="FM412" s="2250"/>
      <c r="FN412" s="2250"/>
      <c r="FO412" s="2250"/>
      <c r="FP412" s="2250"/>
      <c r="FQ412" s="2250"/>
      <c r="FR412" s="2250"/>
      <c r="FS412" s="2250"/>
      <c r="FT412" s="2250"/>
      <c r="FU412" s="2250"/>
      <c r="FV412" s="2250"/>
      <c r="FW412" s="2250"/>
      <c r="FX412" s="2250"/>
      <c r="FY412" s="2250"/>
      <c r="FZ412" s="2250"/>
      <c r="GA412" s="2250"/>
      <c r="GB412" s="2250"/>
      <c r="GC412" s="2276"/>
      <c r="GD412" s="2276"/>
      <c r="GE412" s="2250"/>
      <c r="GF412" s="2275"/>
      <c r="GG412" s="4670" t="s">
        <v>732</v>
      </c>
      <c r="GH412" s="2345">
        <v>400</v>
      </c>
      <c r="GI412" s="2346">
        <v>0</v>
      </c>
      <c r="GJ412" s="2346">
        <v>0</v>
      </c>
      <c r="GK412" s="2346">
        <v>0</v>
      </c>
      <c r="GL412" s="2346">
        <v>0</v>
      </c>
      <c r="GM412" s="2346">
        <v>0</v>
      </c>
      <c r="GN412" s="2346">
        <v>0</v>
      </c>
      <c r="GO412" s="2346">
        <v>0</v>
      </c>
      <c r="GP412" s="2346">
        <v>0</v>
      </c>
      <c r="GQ412" s="2346">
        <v>0</v>
      </c>
      <c r="GR412" s="2346">
        <v>0</v>
      </c>
      <c r="GS412" s="2346">
        <v>0</v>
      </c>
      <c r="GT412" s="2346">
        <v>0</v>
      </c>
      <c r="GU412" s="2346">
        <v>0</v>
      </c>
      <c r="GV412" s="2346">
        <v>0</v>
      </c>
      <c r="GW412" s="2346">
        <v>0</v>
      </c>
      <c r="GX412" s="2346">
        <v>0</v>
      </c>
      <c r="GY412" s="2346">
        <v>0</v>
      </c>
      <c r="GZ412" s="2346">
        <v>0</v>
      </c>
      <c r="HA412" s="2346">
        <v>0</v>
      </c>
      <c r="HB412" s="2346">
        <v>0</v>
      </c>
      <c r="HC412" s="2346">
        <v>0</v>
      </c>
      <c r="HD412" s="2346">
        <v>0</v>
      </c>
      <c r="HE412" s="2346">
        <v>0</v>
      </c>
      <c r="HF412" s="2346">
        <v>0</v>
      </c>
      <c r="HG412" s="2346">
        <v>0</v>
      </c>
      <c r="HH412" s="2346">
        <v>0</v>
      </c>
      <c r="HI412" s="2346">
        <v>0</v>
      </c>
      <c r="HJ412" s="2347">
        <v>400</v>
      </c>
      <c r="HK412" s="2275"/>
      <c r="HL412" s="4671"/>
      <c r="HM412" s="4671"/>
      <c r="HN412" s="4671"/>
      <c r="HO412" s="2275"/>
      <c r="HP412" s="2275"/>
      <c r="HQ412" s="2275"/>
      <c r="HR412" s="2275"/>
      <c r="HS412" s="2275"/>
      <c r="HT412" s="2275"/>
      <c r="HU412" s="2250"/>
      <c r="HV412" s="2250"/>
      <c r="HW412" s="2250"/>
      <c r="HX412" s="2250"/>
      <c r="HY412" s="2250"/>
      <c r="HZ412" s="2250"/>
      <c r="IA412" s="2250"/>
      <c r="IB412" s="2250"/>
      <c r="IC412" s="2250"/>
      <c r="ID412" s="2250"/>
      <c r="IE412" s="2250"/>
      <c r="IF412" s="2250"/>
      <c r="IG412" s="2250"/>
      <c r="IH412" s="2250"/>
      <c r="II412" s="2250"/>
      <c r="IJ412" s="2250"/>
      <c r="IK412" s="2250"/>
      <c r="IL412" s="53"/>
      <c r="IM412" s="53"/>
    </row>
    <row r="413" spans="2:247" ht="21.95" customHeight="1">
      <c r="B413" s="4670"/>
      <c r="C413" s="2345">
        <v>475</v>
      </c>
      <c r="D413" s="2346">
        <v>0</v>
      </c>
      <c r="E413" s="2346">
        <v>0</v>
      </c>
      <c r="F413" s="2346">
        <v>0</v>
      </c>
      <c r="G413" s="2346">
        <v>0</v>
      </c>
      <c r="H413" s="2346">
        <v>0</v>
      </c>
      <c r="I413" s="2346">
        <v>0</v>
      </c>
      <c r="J413" s="2346">
        <v>0</v>
      </c>
      <c r="K413" s="2346">
        <v>0</v>
      </c>
      <c r="L413" s="2346">
        <v>0</v>
      </c>
      <c r="M413" s="2346">
        <v>0</v>
      </c>
      <c r="N413" s="2346">
        <v>0</v>
      </c>
      <c r="O413" s="2346">
        <v>0</v>
      </c>
      <c r="P413" s="2346">
        <v>0</v>
      </c>
      <c r="Q413" s="2346">
        <v>0</v>
      </c>
      <c r="R413" s="2346">
        <v>0</v>
      </c>
      <c r="S413" s="2346">
        <v>0</v>
      </c>
      <c r="T413" s="2346">
        <v>0</v>
      </c>
      <c r="U413" s="2346">
        <v>0</v>
      </c>
      <c r="V413" s="2346">
        <v>0</v>
      </c>
      <c r="W413" s="2346">
        <v>0</v>
      </c>
      <c r="X413" s="2346">
        <v>0</v>
      </c>
      <c r="Y413" s="2346">
        <v>0</v>
      </c>
      <c r="Z413" s="2346">
        <v>0</v>
      </c>
      <c r="AA413" s="2346">
        <v>0</v>
      </c>
      <c r="AB413" s="2346">
        <v>0</v>
      </c>
      <c r="AC413" s="2346">
        <v>0</v>
      </c>
      <c r="AD413" s="2346">
        <v>0</v>
      </c>
      <c r="AE413" s="2347">
        <v>475</v>
      </c>
      <c r="AF413" s="2275"/>
      <c r="AG413" s="2276">
        <f>HLOOKUP(AG409,D410:AD422,2,0)</f>
        <v>0</v>
      </c>
      <c r="AH413" s="2276">
        <f t="shared" ref="AH413:AH423" si="334">+AG414</f>
        <v>0</v>
      </c>
      <c r="AI413" s="2275">
        <v>400</v>
      </c>
      <c r="AJ413" s="2275"/>
      <c r="AK413" s="2275"/>
      <c r="AL413" s="2275"/>
      <c r="AM413" s="2275"/>
      <c r="AN413" s="2275"/>
      <c r="AO413" s="2275"/>
      <c r="AP413" s="2250"/>
      <c r="AQ413" s="2250"/>
      <c r="AR413" s="2250"/>
      <c r="AS413" s="2250"/>
      <c r="AT413" s="2250"/>
      <c r="AU413" s="2250"/>
      <c r="AV413" s="2250"/>
      <c r="AW413" s="2250"/>
      <c r="AX413" s="2250"/>
      <c r="AY413" s="2250"/>
      <c r="AZ413" s="2250"/>
      <c r="BA413" s="2250"/>
      <c r="BB413" s="2250"/>
      <c r="BC413" s="2250"/>
      <c r="BD413" s="2250"/>
      <c r="BE413" s="2250"/>
      <c r="BF413" s="2276"/>
      <c r="BG413" s="2276"/>
      <c r="BH413" s="2250"/>
      <c r="BI413" s="2275"/>
      <c r="BJ413" s="4670"/>
      <c r="BK413" s="2345">
        <v>475</v>
      </c>
      <c r="BL413" s="2346">
        <v>0</v>
      </c>
      <c r="BM413" s="2346">
        <v>0</v>
      </c>
      <c r="BN413" s="2346">
        <v>0</v>
      </c>
      <c r="BO413" s="2346">
        <v>0</v>
      </c>
      <c r="BP413" s="2346">
        <v>0</v>
      </c>
      <c r="BQ413" s="2346">
        <v>0</v>
      </c>
      <c r="BR413" s="2346">
        <v>0</v>
      </c>
      <c r="BS413" s="2346">
        <v>0</v>
      </c>
      <c r="BT413" s="2346">
        <v>0</v>
      </c>
      <c r="BU413" s="2346">
        <v>0</v>
      </c>
      <c r="BV413" s="2346">
        <v>0</v>
      </c>
      <c r="BW413" s="2346">
        <v>0</v>
      </c>
      <c r="BX413" s="2346">
        <v>0</v>
      </c>
      <c r="BY413" s="2346">
        <v>0</v>
      </c>
      <c r="BZ413" s="2346">
        <v>0</v>
      </c>
      <c r="CA413" s="2346">
        <v>0</v>
      </c>
      <c r="CB413" s="2346">
        <v>0</v>
      </c>
      <c r="CC413" s="2346">
        <v>0</v>
      </c>
      <c r="CD413" s="2346">
        <v>0</v>
      </c>
      <c r="CE413" s="2346">
        <v>0</v>
      </c>
      <c r="CF413" s="2346">
        <v>0</v>
      </c>
      <c r="CG413" s="2346">
        <v>0</v>
      </c>
      <c r="CH413" s="2346">
        <v>0</v>
      </c>
      <c r="CI413" s="2346">
        <v>0</v>
      </c>
      <c r="CJ413" s="2346">
        <v>0</v>
      </c>
      <c r="CK413" s="2346">
        <v>0</v>
      </c>
      <c r="CL413" s="2346">
        <v>0</v>
      </c>
      <c r="CM413" s="2347">
        <v>475</v>
      </c>
      <c r="CN413" s="2275"/>
      <c r="CO413" s="2276">
        <f>HLOOKUP(CO409,BL410:CL422,2,0)</f>
        <v>0</v>
      </c>
      <c r="CP413" s="2276">
        <f t="shared" ref="CP413:CP423" si="335">+CO414</f>
        <v>0</v>
      </c>
      <c r="CQ413" s="2275">
        <v>400</v>
      </c>
      <c r="CR413" s="2275"/>
      <c r="CS413" s="2275"/>
      <c r="CT413" s="2275"/>
      <c r="CU413" s="2275"/>
      <c r="CV413" s="2275"/>
      <c r="CW413" s="2275"/>
      <c r="CX413" s="2250"/>
      <c r="CY413" s="2250"/>
      <c r="CZ413" s="2250"/>
      <c r="DA413" s="2250"/>
      <c r="DB413" s="2250"/>
      <c r="DC413" s="2250"/>
      <c r="DD413" s="2250"/>
      <c r="DE413" s="2250"/>
      <c r="DF413" s="2250"/>
      <c r="DG413" s="2250"/>
      <c r="DH413" s="2250"/>
      <c r="DI413" s="2250"/>
      <c r="DJ413" s="2250"/>
      <c r="DK413" s="2250"/>
      <c r="DL413" s="2250"/>
      <c r="DM413" s="2250"/>
      <c r="DN413" s="2250"/>
      <c r="DO413" s="53"/>
      <c r="DP413" s="53"/>
      <c r="DY413" s="4670"/>
      <c r="DZ413" s="2345">
        <v>475</v>
      </c>
      <c r="EA413" s="2346">
        <v>0</v>
      </c>
      <c r="EB413" s="2346">
        <v>0</v>
      </c>
      <c r="EC413" s="2346">
        <v>0</v>
      </c>
      <c r="ED413" s="2346">
        <v>0</v>
      </c>
      <c r="EE413" s="2346">
        <v>0</v>
      </c>
      <c r="EF413" s="2346">
        <v>0</v>
      </c>
      <c r="EG413" s="2346">
        <v>0</v>
      </c>
      <c r="EH413" s="2346">
        <v>0</v>
      </c>
      <c r="EI413" s="2346">
        <v>0</v>
      </c>
      <c r="EJ413" s="2346">
        <v>0</v>
      </c>
      <c r="EK413" s="2346">
        <v>0</v>
      </c>
      <c r="EL413" s="2346">
        <v>0</v>
      </c>
      <c r="EM413" s="2346">
        <v>0</v>
      </c>
      <c r="EN413" s="2346">
        <v>0</v>
      </c>
      <c r="EO413" s="2346">
        <v>0</v>
      </c>
      <c r="EP413" s="2346">
        <v>0</v>
      </c>
      <c r="EQ413" s="2346">
        <v>0</v>
      </c>
      <c r="ER413" s="2346">
        <v>0</v>
      </c>
      <c r="ES413" s="2346">
        <v>0</v>
      </c>
      <c r="ET413" s="2346">
        <v>0</v>
      </c>
      <c r="EU413" s="2346">
        <v>0</v>
      </c>
      <c r="EV413" s="2346">
        <v>0</v>
      </c>
      <c r="EW413" s="2346">
        <v>0</v>
      </c>
      <c r="EX413" s="2346">
        <v>0</v>
      </c>
      <c r="EY413" s="2346">
        <v>0</v>
      </c>
      <c r="EZ413" s="2346">
        <v>0</v>
      </c>
      <c r="FA413" s="2346">
        <v>0</v>
      </c>
      <c r="FB413" s="2347">
        <v>475</v>
      </c>
      <c r="FC413" s="2275"/>
      <c r="FD413" s="2276">
        <f>HLOOKUP(FD409,EA410:FA422,2,0)</f>
        <v>0</v>
      </c>
      <c r="FE413" s="2276">
        <f t="shared" ref="FE413:FE423" si="336">+FD414</f>
        <v>0</v>
      </c>
      <c r="FF413" s="2275">
        <v>400</v>
      </c>
      <c r="FG413" s="2275"/>
      <c r="FH413" s="2275"/>
      <c r="FI413" s="2275"/>
      <c r="FJ413" s="2275"/>
      <c r="FK413" s="2275"/>
      <c r="FL413" s="2275"/>
      <c r="FM413" s="2250"/>
      <c r="FN413" s="2250"/>
      <c r="FO413" s="2250"/>
      <c r="FP413" s="2250"/>
      <c r="FQ413" s="2250"/>
      <c r="FR413" s="2250"/>
      <c r="FS413" s="2250"/>
      <c r="FT413" s="2250"/>
      <c r="FU413" s="2250"/>
      <c r="FV413" s="2250"/>
      <c r="FW413" s="2250"/>
      <c r="FX413" s="2250"/>
      <c r="FY413" s="2250"/>
      <c r="FZ413" s="2250"/>
      <c r="GA413" s="2250"/>
      <c r="GB413" s="2250"/>
      <c r="GC413" s="2276"/>
      <c r="GD413" s="2276"/>
      <c r="GE413" s="2250"/>
      <c r="GF413" s="2275"/>
      <c r="GG413" s="4670"/>
      <c r="GH413" s="2345">
        <v>475</v>
      </c>
      <c r="GI413" s="2346">
        <v>0</v>
      </c>
      <c r="GJ413" s="2346">
        <v>0</v>
      </c>
      <c r="GK413" s="2346">
        <v>0</v>
      </c>
      <c r="GL413" s="2346">
        <v>0</v>
      </c>
      <c r="GM413" s="2346">
        <v>0</v>
      </c>
      <c r="GN413" s="2346">
        <v>0</v>
      </c>
      <c r="GO413" s="2346">
        <v>0</v>
      </c>
      <c r="GP413" s="2346">
        <v>0</v>
      </c>
      <c r="GQ413" s="2346">
        <v>0</v>
      </c>
      <c r="GR413" s="2346">
        <v>0</v>
      </c>
      <c r="GS413" s="2346">
        <v>0</v>
      </c>
      <c r="GT413" s="2346">
        <v>0</v>
      </c>
      <c r="GU413" s="2346">
        <v>0</v>
      </c>
      <c r="GV413" s="2346">
        <v>0</v>
      </c>
      <c r="GW413" s="2346">
        <v>0</v>
      </c>
      <c r="GX413" s="2346">
        <v>0</v>
      </c>
      <c r="GY413" s="2346">
        <v>0</v>
      </c>
      <c r="GZ413" s="2346">
        <v>0</v>
      </c>
      <c r="HA413" s="2346">
        <v>0</v>
      </c>
      <c r="HB413" s="2346">
        <v>0</v>
      </c>
      <c r="HC413" s="2346">
        <v>0</v>
      </c>
      <c r="HD413" s="2346">
        <v>0</v>
      </c>
      <c r="HE413" s="2346">
        <v>0</v>
      </c>
      <c r="HF413" s="2346">
        <v>0</v>
      </c>
      <c r="HG413" s="2346">
        <v>0</v>
      </c>
      <c r="HH413" s="2346">
        <v>0</v>
      </c>
      <c r="HI413" s="2346">
        <v>0</v>
      </c>
      <c r="HJ413" s="2347">
        <v>475</v>
      </c>
      <c r="HK413" s="2275"/>
      <c r="HL413" s="2276">
        <f>HLOOKUP(HL409,GI410:HI422,2,0)</f>
        <v>0</v>
      </c>
      <c r="HM413" s="2276">
        <f t="shared" ref="HM413:HM423" si="337">+HL414</f>
        <v>0</v>
      </c>
      <c r="HN413" s="2275">
        <v>400</v>
      </c>
      <c r="HO413" s="2275"/>
      <c r="HP413" s="2275"/>
      <c r="HQ413" s="2275"/>
      <c r="HR413" s="2275"/>
      <c r="HS413" s="2275"/>
      <c r="HT413" s="2275"/>
      <c r="HU413" s="2250"/>
      <c r="HV413" s="2250"/>
      <c r="HW413" s="2250"/>
      <c r="HX413" s="2250"/>
      <c r="HY413" s="2250"/>
      <c r="HZ413" s="2250"/>
      <c r="IA413" s="2250"/>
      <c r="IB413" s="2250"/>
      <c r="IC413" s="2250"/>
      <c r="ID413" s="2250"/>
      <c r="IE413" s="2250"/>
      <c r="IF413" s="2250"/>
      <c r="IG413" s="2250"/>
      <c r="IH413" s="2250"/>
      <c r="II413" s="2250"/>
      <c r="IJ413" s="2250"/>
      <c r="IK413" s="2250"/>
      <c r="IL413" s="53"/>
      <c r="IM413" s="53"/>
    </row>
    <row r="414" spans="2:247" ht="21.95" customHeight="1">
      <c r="B414" s="4670"/>
      <c r="C414" s="2345">
        <v>550</v>
      </c>
      <c r="D414" s="2346">
        <v>0</v>
      </c>
      <c r="E414" s="2346">
        <v>0</v>
      </c>
      <c r="F414" s="2346">
        <v>0</v>
      </c>
      <c r="G414" s="2346">
        <v>0</v>
      </c>
      <c r="H414" s="2346">
        <v>0</v>
      </c>
      <c r="I414" s="2346">
        <v>0</v>
      </c>
      <c r="J414" s="2346">
        <v>0</v>
      </c>
      <c r="K414" s="2346">
        <v>0</v>
      </c>
      <c r="L414" s="2346">
        <v>0</v>
      </c>
      <c r="M414" s="2346">
        <v>0</v>
      </c>
      <c r="N414" s="2346">
        <v>0</v>
      </c>
      <c r="O414" s="2346">
        <v>0</v>
      </c>
      <c r="P414" s="2346">
        <v>0</v>
      </c>
      <c r="Q414" s="2346">
        <v>0</v>
      </c>
      <c r="R414" s="2346">
        <v>0</v>
      </c>
      <c r="S414" s="2346">
        <v>0</v>
      </c>
      <c r="T414" s="2346">
        <v>0</v>
      </c>
      <c r="U414" s="2346">
        <v>0</v>
      </c>
      <c r="V414" s="2346">
        <v>0</v>
      </c>
      <c r="W414" s="2346">
        <v>0</v>
      </c>
      <c r="X414" s="2346">
        <v>0</v>
      </c>
      <c r="Y414" s="2346">
        <v>0</v>
      </c>
      <c r="Z414" s="2346">
        <v>0</v>
      </c>
      <c r="AA414" s="2346">
        <v>0</v>
      </c>
      <c r="AB414" s="2346">
        <v>0</v>
      </c>
      <c r="AC414" s="2346">
        <v>0</v>
      </c>
      <c r="AD414" s="2346">
        <v>0</v>
      </c>
      <c r="AE414" s="2347">
        <v>550</v>
      </c>
      <c r="AF414" s="2275"/>
      <c r="AG414" s="2276">
        <f>HLOOKUP(AG409,D410:AD422,3,0)</f>
        <v>0</v>
      </c>
      <c r="AH414" s="2276">
        <f t="shared" si="334"/>
        <v>0</v>
      </c>
      <c r="AI414" s="2275">
        <v>475</v>
      </c>
      <c r="AJ414" s="2275"/>
      <c r="AK414" s="2275"/>
      <c r="AL414" s="2275"/>
      <c r="AM414" s="2275"/>
      <c r="AN414" s="2275"/>
      <c r="AO414" s="2275"/>
      <c r="AP414" s="2250"/>
      <c r="AQ414" s="2250"/>
      <c r="AR414" s="2250"/>
      <c r="AS414" s="2250"/>
      <c r="AT414" s="2250"/>
      <c r="AU414" s="2250"/>
      <c r="AV414" s="2250"/>
      <c r="AW414" s="2250"/>
      <c r="AX414" s="2250"/>
      <c r="AY414" s="2250"/>
      <c r="AZ414" s="2250"/>
      <c r="BA414" s="2250"/>
      <c r="BB414" s="2250"/>
      <c r="BC414" s="2250"/>
      <c r="BD414" s="2250"/>
      <c r="BE414" s="2250"/>
      <c r="BF414" s="2276"/>
      <c r="BG414" s="2276"/>
      <c r="BH414" s="2250"/>
      <c r="BI414" s="2275"/>
      <c r="BJ414" s="4670"/>
      <c r="BK414" s="2345">
        <v>550</v>
      </c>
      <c r="BL414" s="2346">
        <v>0</v>
      </c>
      <c r="BM414" s="2346">
        <v>0</v>
      </c>
      <c r="BN414" s="2346">
        <v>0</v>
      </c>
      <c r="BO414" s="2346">
        <v>0</v>
      </c>
      <c r="BP414" s="2346">
        <v>0</v>
      </c>
      <c r="BQ414" s="2346">
        <v>0</v>
      </c>
      <c r="BR414" s="2346">
        <v>0</v>
      </c>
      <c r="BS414" s="2346">
        <v>0</v>
      </c>
      <c r="BT414" s="2346">
        <v>0</v>
      </c>
      <c r="BU414" s="2346">
        <v>0</v>
      </c>
      <c r="BV414" s="2346">
        <v>0</v>
      </c>
      <c r="BW414" s="2346">
        <v>0</v>
      </c>
      <c r="BX414" s="2346">
        <v>0</v>
      </c>
      <c r="BY414" s="2346">
        <v>0</v>
      </c>
      <c r="BZ414" s="2346">
        <v>0</v>
      </c>
      <c r="CA414" s="2346">
        <v>0</v>
      </c>
      <c r="CB414" s="2346">
        <v>0</v>
      </c>
      <c r="CC414" s="2346">
        <v>0</v>
      </c>
      <c r="CD414" s="2346">
        <v>0</v>
      </c>
      <c r="CE414" s="2346">
        <v>0</v>
      </c>
      <c r="CF414" s="2346">
        <v>0</v>
      </c>
      <c r="CG414" s="2346">
        <v>0</v>
      </c>
      <c r="CH414" s="2346">
        <v>0</v>
      </c>
      <c r="CI414" s="2346">
        <v>0</v>
      </c>
      <c r="CJ414" s="2346">
        <v>0</v>
      </c>
      <c r="CK414" s="2346">
        <v>0</v>
      </c>
      <c r="CL414" s="2346">
        <v>0</v>
      </c>
      <c r="CM414" s="2347">
        <v>550</v>
      </c>
      <c r="CN414" s="2275"/>
      <c r="CO414" s="2276">
        <f>HLOOKUP(CO409,BL410:CL422,3,0)</f>
        <v>0</v>
      </c>
      <c r="CP414" s="2276">
        <f t="shared" si="335"/>
        <v>0</v>
      </c>
      <c r="CQ414" s="2275">
        <v>475</v>
      </c>
      <c r="CR414" s="2275"/>
      <c r="CS414" s="2275"/>
      <c r="CT414" s="2275"/>
      <c r="CU414" s="2275"/>
      <c r="CV414" s="2275"/>
      <c r="CW414" s="2275"/>
      <c r="CX414" s="2250"/>
      <c r="CY414" s="2250"/>
      <c r="CZ414" s="2250"/>
      <c r="DA414" s="2250"/>
      <c r="DB414" s="2250"/>
      <c r="DC414" s="2250"/>
      <c r="DD414" s="2250"/>
      <c r="DE414" s="2250"/>
      <c r="DF414" s="2250"/>
      <c r="DG414" s="2250"/>
      <c r="DH414" s="2250"/>
      <c r="DI414" s="2250"/>
      <c r="DJ414" s="2250"/>
      <c r="DK414" s="2250"/>
      <c r="DL414" s="2250"/>
      <c r="DM414" s="2250"/>
      <c r="DN414" s="2250"/>
      <c r="DO414" s="53"/>
      <c r="DP414" s="53"/>
      <c r="DY414" s="4670"/>
      <c r="DZ414" s="2345">
        <v>550</v>
      </c>
      <c r="EA414" s="2346">
        <v>0</v>
      </c>
      <c r="EB414" s="2346">
        <v>0</v>
      </c>
      <c r="EC414" s="2346">
        <v>0</v>
      </c>
      <c r="ED414" s="2346">
        <v>0</v>
      </c>
      <c r="EE414" s="2346">
        <v>0</v>
      </c>
      <c r="EF414" s="2346">
        <v>0</v>
      </c>
      <c r="EG414" s="2346">
        <v>0</v>
      </c>
      <c r="EH414" s="2346">
        <v>0</v>
      </c>
      <c r="EI414" s="2346">
        <v>0</v>
      </c>
      <c r="EJ414" s="2346">
        <v>0</v>
      </c>
      <c r="EK414" s="2346">
        <v>0</v>
      </c>
      <c r="EL414" s="2346">
        <v>0</v>
      </c>
      <c r="EM414" s="2346">
        <v>0</v>
      </c>
      <c r="EN414" s="2346">
        <v>0</v>
      </c>
      <c r="EO414" s="2346">
        <v>0</v>
      </c>
      <c r="EP414" s="2346">
        <v>0</v>
      </c>
      <c r="EQ414" s="2346">
        <v>0</v>
      </c>
      <c r="ER414" s="2346">
        <v>0</v>
      </c>
      <c r="ES414" s="2346">
        <v>0</v>
      </c>
      <c r="ET414" s="2346">
        <v>0</v>
      </c>
      <c r="EU414" s="2346">
        <v>0</v>
      </c>
      <c r="EV414" s="2346">
        <v>0</v>
      </c>
      <c r="EW414" s="2346">
        <v>0</v>
      </c>
      <c r="EX414" s="2346">
        <v>0</v>
      </c>
      <c r="EY414" s="2346">
        <v>0</v>
      </c>
      <c r="EZ414" s="2346">
        <v>0</v>
      </c>
      <c r="FA414" s="2346">
        <v>0</v>
      </c>
      <c r="FB414" s="2347">
        <v>550</v>
      </c>
      <c r="FC414" s="2275"/>
      <c r="FD414" s="2276">
        <f>HLOOKUP(FD409,EA410:FA422,3,0)</f>
        <v>0</v>
      </c>
      <c r="FE414" s="2276">
        <f t="shared" si="336"/>
        <v>0</v>
      </c>
      <c r="FF414" s="2275">
        <v>475</v>
      </c>
      <c r="FG414" s="2275"/>
      <c r="FH414" s="2275"/>
      <c r="FI414" s="2275"/>
      <c r="FJ414" s="2275"/>
      <c r="FK414" s="2275"/>
      <c r="FL414" s="2275"/>
      <c r="FM414" s="2250"/>
      <c r="FN414" s="2250"/>
      <c r="FO414" s="2250"/>
      <c r="FP414" s="2250"/>
      <c r="FQ414" s="2250"/>
      <c r="FR414" s="2250"/>
      <c r="FS414" s="2250"/>
      <c r="FT414" s="2250"/>
      <c r="FU414" s="2250"/>
      <c r="FV414" s="2250"/>
      <c r="FW414" s="2250"/>
      <c r="FX414" s="2250"/>
      <c r="FY414" s="2250"/>
      <c r="FZ414" s="2250"/>
      <c r="GA414" s="2250"/>
      <c r="GB414" s="2250"/>
      <c r="GC414" s="2276"/>
      <c r="GD414" s="2276"/>
      <c r="GE414" s="2250"/>
      <c r="GF414" s="2275"/>
      <c r="GG414" s="4670"/>
      <c r="GH414" s="2345">
        <v>550</v>
      </c>
      <c r="GI414" s="2346">
        <v>0</v>
      </c>
      <c r="GJ414" s="2346">
        <v>0</v>
      </c>
      <c r="GK414" s="2346">
        <v>0</v>
      </c>
      <c r="GL414" s="2346">
        <v>0</v>
      </c>
      <c r="GM414" s="2346">
        <v>0</v>
      </c>
      <c r="GN414" s="2346">
        <v>0</v>
      </c>
      <c r="GO414" s="2346">
        <v>0</v>
      </c>
      <c r="GP414" s="2346">
        <v>0</v>
      </c>
      <c r="GQ414" s="2346">
        <v>0</v>
      </c>
      <c r="GR414" s="2346">
        <v>0</v>
      </c>
      <c r="GS414" s="2346">
        <v>0</v>
      </c>
      <c r="GT414" s="2346">
        <v>0</v>
      </c>
      <c r="GU414" s="2346">
        <v>0</v>
      </c>
      <c r="GV414" s="2346">
        <v>0</v>
      </c>
      <c r="GW414" s="2346">
        <v>0</v>
      </c>
      <c r="GX414" s="2346">
        <v>0</v>
      </c>
      <c r="GY414" s="2346">
        <v>0</v>
      </c>
      <c r="GZ414" s="2346">
        <v>0</v>
      </c>
      <c r="HA414" s="2346">
        <v>0</v>
      </c>
      <c r="HB414" s="2346">
        <v>0</v>
      </c>
      <c r="HC414" s="2346">
        <v>0</v>
      </c>
      <c r="HD414" s="2346">
        <v>0</v>
      </c>
      <c r="HE414" s="2346">
        <v>0</v>
      </c>
      <c r="HF414" s="2346">
        <v>0</v>
      </c>
      <c r="HG414" s="2346">
        <v>0</v>
      </c>
      <c r="HH414" s="2346">
        <v>0</v>
      </c>
      <c r="HI414" s="2346">
        <v>0</v>
      </c>
      <c r="HJ414" s="2347">
        <v>550</v>
      </c>
      <c r="HK414" s="2275"/>
      <c r="HL414" s="2276">
        <f>HLOOKUP(HL409,GI410:HI422,3,0)</f>
        <v>0</v>
      </c>
      <c r="HM414" s="2276">
        <f t="shared" si="337"/>
        <v>0</v>
      </c>
      <c r="HN414" s="2275">
        <v>475</v>
      </c>
      <c r="HO414" s="2275"/>
      <c r="HP414" s="2275"/>
      <c r="HQ414" s="2275"/>
      <c r="HR414" s="2275"/>
      <c r="HS414" s="2275"/>
      <c r="HT414" s="2275"/>
      <c r="HU414" s="2250"/>
      <c r="HV414" s="2250"/>
      <c r="HW414" s="2250"/>
      <c r="HX414" s="2250"/>
      <c r="HY414" s="2250"/>
      <c r="HZ414" s="2250"/>
      <c r="IA414" s="2250"/>
      <c r="IB414" s="2250"/>
      <c r="IC414" s="2250"/>
      <c r="ID414" s="2250"/>
      <c r="IE414" s="2250"/>
      <c r="IF414" s="2250"/>
      <c r="IG414" s="2250"/>
      <c r="IH414" s="2250"/>
      <c r="II414" s="2250"/>
      <c r="IJ414" s="2250"/>
      <c r="IK414" s="2250"/>
      <c r="IL414" s="53"/>
      <c r="IM414" s="53"/>
    </row>
    <row r="415" spans="2:247" ht="21.95" customHeight="1">
      <c r="B415" s="4671"/>
      <c r="C415" s="2345">
        <v>650</v>
      </c>
      <c r="D415" s="2346">
        <v>0</v>
      </c>
      <c r="E415" s="2346">
        <v>0</v>
      </c>
      <c r="F415" s="2346">
        <v>0</v>
      </c>
      <c r="G415" s="2346">
        <v>0</v>
      </c>
      <c r="H415" s="2346">
        <v>0</v>
      </c>
      <c r="I415" s="2346">
        <v>0</v>
      </c>
      <c r="J415" s="2346">
        <v>0</v>
      </c>
      <c r="K415" s="2346">
        <v>0</v>
      </c>
      <c r="L415" s="2346">
        <v>0</v>
      </c>
      <c r="M415" s="2346">
        <v>0</v>
      </c>
      <c r="N415" s="2346">
        <v>0</v>
      </c>
      <c r="O415" s="2346">
        <v>0</v>
      </c>
      <c r="P415" s="2346">
        <v>0</v>
      </c>
      <c r="Q415" s="2346">
        <v>0</v>
      </c>
      <c r="R415" s="2346">
        <v>0</v>
      </c>
      <c r="S415" s="2346">
        <v>0</v>
      </c>
      <c r="T415" s="2346">
        <v>0</v>
      </c>
      <c r="U415" s="2346">
        <v>0</v>
      </c>
      <c r="V415" s="2346">
        <v>0</v>
      </c>
      <c r="W415" s="2346">
        <v>0</v>
      </c>
      <c r="X415" s="2346">
        <v>0</v>
      </c>
      <c r="Y415" s="2346">
        <v>0</v>
      </c>
      <c r="Z415" s="2346">
        <v>0</v>
      </c>
      <c r="AA415" s="2346">
        <v>0</v>
      </c>
      <c r="AB415" s="2346">
        <v>0</v>
      </c>
      <c r="AC415" s="2346">
        <v>0</v>
      </c>
      <c r="AD415" s="2346">
        <v>0</v>
      </c>
      <c r="AE415" s="2347">
        <v>650</v>
      </c>
      <c r="AF415" s="2275"/>
      <c r="AG415" s="2276">
        <f>HLOOKUP(AG409,D410:AD422,4,0)</f>
        <v>0</v>
      </c>
      <c r="AH415" s="2276">
        <f t="shared" si="334"/>
        <v>0</v>
      </c>
      <c r="AI415" s="2275">
        <v>550</v>
      </c>
      <c r="AJ415" s="2275"/>
      <c r="AK415" s="2275"/>
      <c r="AL415" s="2275"/>
      <c r="AM415" s="2275"/>
      <c r="AN415" s="2275"/>
      <c r="AO415" s="2275"/>
      <c r="AP415" s="2250"/>
      <c r="AQ415" s="2250"/>
      <c r="AR415" s="2250"/>
      <c r="AS415" s="2250"/>
      <c r="AT415" s="2250"/>
      <c r="AU415" s="2250"/>
      <c r="AV415" s="2250"/>
      <c r="AW415" s="2250"/>
      <c r="AX415" s="2250"/>
      <c r="AY415" s="2250"/>
      <c r="AZ415" s="2250"/>
      <c r="BA415" s="2250"/>
      <c r="BB415" s="2250"/>
      <c r="BC415" s="2250"/>
      <c r="BD415" s="2250"/>
      <c r="BE415" s="2250"/>
      <c r="BF415" s="2276"/>
      <c r="BG415" s="2276"/>
      <c r="BH415" s="2250"/>
      <c r="BI415" s="2275"/>
      <c r="BJ415" s="4671"/>
      <c r="BK415" s="2345">
        <v>650</v>
      </c>
      <c r="BL415" s="2346">
        <v>0</v>
      </c>
      <c r="BM415" s="2346">
        <v>0</v>
      </c>
      <c r="BN415" s="2346">
        <v>0</v>
      </c>
      <c r="BO415" s="2346">
        <v>0</v>
      </c>
      <c r="BP415" s="2346">
        <v>0</v>
      </c>
      <c r="BQ415" s="2346">
        <v>0</v>
      </c>
      <c r="BR415" s="2346">
        <v>0</v>
      </c>
      <c r="BS415" s="2346">
        <v>0</v>
      </c>
      <c r="BT415" s="2346">
        <v>0</v>
      </c>
      <c r="BU415" s="2346">
        <v>0</v>
      </c>
      <c r="BV415" s="2346">
        <v>0</v>
      </c>
      <c r="BW415" s="2346">
        <v>0</v>
      </c>
      <c r="BX415" s="2346">
        <v>0</v>
      </c>
      <c r="BY415" s="2346">
        <v>0</v>
      </c>
      <c r="BZ415" s="2346">
        <v>0</v>
      </c>
      <c r="CA415" s="2346">
        <v>0</v>
      </c>
      <c r="CB415" s="2346">
        <v>0</v>
      </c>
      <c r="CC415" s="2346">
        <v>0</v>
      </c>
      <c r="CD415" s="2346">
        <v>0</v>
      </c>
      <c r="CE415" s="2346">
        <v>0</v>
      </c>
      <c r="CF415" s="2346">
        <v>0</v>
      </c>
      <c r="CG415" s="2346">
        <v>0</v>
      </c>
      <c r="CH415" s="2346">
        <v>0</v>
      </c>
      <c r="CI415" s="2346">
        <v>0</v>
      </c>
      <c r="CJ415" s="2346">
        <v>0</v>
      </c>
      <c r="CK415" s="2346">
        <v>0</v>
      </c>
      <c r="CL415" s="2346">
        <v>0</v>
      </c>
      <c r="CM415" s="2347">
        <v>650</v>
      </c>
      <c r="CN415" s="2275"/>
      <c r="CO415" s="2276">
        <f>HLOOKUP(CO409,BL410:CL422,4,0)</f>
        <v>0</v>
      </c>
      <c r="CP415" s="2276">
        <f t="shared" si="335"/>
        <v>0</v>
      </c>
      <c r="CQ415" s="2275">
        <v>550</v>
      </c>
      <c r="CR415" s="2275"/>
      <c r="CS415" s="2275"/>
      <c r="CT415" s="2275"/>
      <c r="CU415" s="2275"/>
      <c r="CV415" s="2275"/>
      <c r="CW415" s="2275"/>
      <c r="CX415" s="2250"/>
      <c r="CY415" s="2250"/>
      <c r="CZ415" s="2250"/>
      <c r="DA415" s="2250"/>
      <c r="DB415" s="2250"/>
      <c r="DC415" s="2250"/>
      <c r="DD415" s="2250"/>
      <c r="DE415" s="2250"/>
      <c r="DF415" s="2250"/>
      <c r="DG415" s="2250"/>
      <c r="DH415" s="2250"/>
      <c r="DI415" s="2250"/>
      <c r="DJ415" s="2250"/>
      <c r="DK415" s="2250"/>
      <c r="DL415" s="2250"/>
      <c r="DM415" s="2250"/>
      <c r="DN415" s="2250"/>
      <c r="DO415" s="53"/>
      <c r="DP415" s="53"/>
      <c r="DY415" s="4671"/>
      <c r="DZ415" s="2345">
        <v>650</v>
      </c>
      <c r="EA415" s="2346">
        <v>0</v>
      </c>
      <c r="EB415" s="2346">
        <v>0</v>
      </c>
      <c r="EC415" s="2346">
        <v>0</v>
      </c>
      <c r="ED415" s="2346">
        <v>0</v>
      </c>
      <c r="EE415" s="2346">
        <v>0</v>
      </c>
      <c r="EF415" s="2346">
        <v>0</v>
      </c>
      <c r="EG415" s="2346">
        <v>0</v>
      </c>
      <c r="EH415" s="2346">
        <v>0</v>
      </c>
      <c r="EI415" s="2346">
        <v>0</v>
      </c>
      <c r="EJ415" s="2346">
        <v>0</v>
      </c>
      <c r="EK415" s="2346">
        <v>0</v>
      </c>
      <c r="EL415" s="2346">
        <v>0</v>
      </c>
      <c r="EM415" s="2346">
        <v>0</v>
      </c>
      <c r="EN415" s="2346">
        <v>0</v>
      </c>
      <c r="EO415" s="2346">
        <v>0</v>
      </c>
      <c r="EP415" s="2346">
        <v>0</v>
      </c>
      <c r="EQ415" s="2346">
        <v>0</v>
      </c>
      <c r="ER415" s="2346">
        <v>0</v>
      </c>
      <c r="ES415" s="2346">
        <v>0</v>
      </c>
      <c r="ET415" s="2346">
        <v>0</v>
      </c>
      <c r="EU415" s="2346">
        <v>0</v>
      </c>
      <c r="EV415" s="2346">
        <v>0</v>
      </c>
      <c r="EW415" s="2346">
        <v>0</v>
      </c>
      <c r="EX415" s="2346">
        <v>0</v>
      </c>
      <c r="EY415" s="2346">
        <v>0</v>
      </c>
      <c r="EZ415" s="2346">
        <v>0</v>
      </c>
      <c r="FA415" s="2346">
        <v>0</v>
      </c>
      <c r="FB415" s="2347">
        <v>650</v>
      </c>
      <c r="FC415" s="2275"/>
      <c r="FD415" s="2276">
        <f>HLOOKUP(FD409,EA410:FA422,4,0)</f>
        <v>0</v>
      </c>
      <c r="FE415" s="2276">
        <f t="shared" si="336"/>
        <v>0</v>
      </c>
      <c r="FF415" s="2275">
        <v>550</v>
      </c>
      <c r="FG415" s="2275"/>
      <c r="FH415" s="2275"/>
      <c r="FI415" s="2275"/>
      <c r="FJ415" s="2275"/>
      <c r="FK415" s="2275"/>
      <c r="FL415" s="2275"/>
      <c r="FM415" s="2250"/>
      <c r="FN415" s="2250"/>
      <c r="FO415" s="2250"/>
      <c r="FP415" s="2250"/>
      <c r="FQ415" s="2250"/>
      <c r="FR415" s="2250"/>
      <c r="FS415" s="2250"/>
      <c r="FT415" s="2250"/>
      <c r="FU415" s="2250"/>
      <c r="FV415" s="2250"/>
      <c r="FW415" s="2250"/>
      <c r="FX415" s="2250"/>
      <c r="FY415" s="2250"/>
      <c r="FZ415" s="2250"/>
      <c r="GA415" s="2250"/>
      <c r="GB415" s="2250"/>
      <c r="GC415" s="2276"/>
      <c r="GD415" s="2276"/>
      <c r="GE415" s="2250"/>
      <c r="GF415" s="2275"/>
      <c r="GG415" s="4671"/>
      <c r="GH415" s="2345">
        <v>650</v>
      </c>
      <c r="GI415" s="2346">
        <v>0</v>
      </c>
      <c r="GJ415" s="2346">
        <v>0</v>
      </c>
      <c r="GK415" s="2346">
        <v>0</v>
      </c>
      <c r="GL415" s="2346">
        <v>0</v>
      </c>
      <c r="GM415" s="2346">
        <v>0</v>
      </c>
      <c r="GN415" s="2346">
        <v>0</v>
      </c>
      <c r="GO415" s="2346">
        <v>0</v>
      </c>
      <c r="GP415" s="2346">
        <v>0</v>
      </c>
      <c r="GQ415" s="2346">
        <v>0</v>
      </c>
      <c r="GR415" s="2346">
        <v>0</v>
      </c>
      <c r="GS415" s="2346">
        <v>0</v>
      </c>
      <c r="GT415" s="2346">
        <v>0</v>
      </c>
      <c r="GU415" s="2346">
        <v>0</v>
      </c>
      <c r="GV415" s="2346">
        <v>0</v>
      </c>
      <c r="GW415" s="2346">
        <v>0</v>
      </c>
      <c r="GX415" s="2346">
        <v>0</v>
      </c>
      <c r="GY415" s="2346">
        <v>0</v>
      </c>
      <c r="GZ415" s="2346">
        <v>0</v>
      </c>
      <c r="HA415" s="2346">
        <v>0</v>
      </c>
      <c r="HB415" s="2346">
        <v>0</v>
      </c>
      <c r="HC415" s="2346">
        <v>0</v>
      </c>
      <c r="HD415" s="2346">
        <v>0</v>
      </c>
      <c r="HE415" s="2346">
        <v>0</v>
      </c>
      <c r="HF415" s="2346">
        <v>0</v>
      </c>
      <c r="HG415" s="2346">
        <v>0</v>
      </c>
      <c r="HH415" s="2346">
        <v>0</v>
      </c>
      <c r="HI415" s="2346">
        <v>0</v>
      </c>
      <c r="HJ415" s="2347">
        <v>650</v>
      </c>
      <c r="HK415" s="2275"/>
      <c r="HL415" s="2276">
        <f>HLOOKUP(HL409,GI410:HI422,4,0)</f>
        <v>0</v>
      </c>
      <c r="HM415" s="2276">
        <f t="shared" si="337"/>
        <v>0</v>
      </c>
      <c r="HN415" s="2275">
        <v>550</v>
      </c>
      <c r="HO415" s="2275"/>
      <c r="HP415" s="2275"/>
      <c r="HQ415" s="2275"/>
      <c r="HR415" s="2275"/>
      <c r="HS415" s="2275"/>
      <c r="HT415" s="2275"/>
      <c r="HU415" s="2250"/>
      <c r="HV415" s="2250"/>
      <c r="HW415" s="2250"/>
      <c r="HX415" s="2250"/>
      <c r="HY415" s="2250"/>
      <c r="HZ415" s="2250"/>
      <c r="IA415" s="2250"/>
      <c r="IB415" s="2250"/>
      <c r="IC415" s="2250"/>
      <c r="ID415" s="2250"/>
      <c r="IE415" s="2250"/>
      <c r="IF415" s="2250"/>
      <c r="IG415" s="2250"/>
      <c r="IH415" s="2250"/>
      <c r="II415" s="2250"/>
      <c r="IJ415" s="2250"/>
      <c r="IK415" s="2250"/>
      <c r="IL415" s="53"/>
      <c r="IM415" s="53"/>
    </row>
    <row r="416" spans="2:247" ht="21.95" customHeight="1">
      <c r="B416" s="4671"/>
      <c r="C416" s="2345">
        <v>775</v>
      </c>
      <c r="D416" s="2346">
        <v>0</v>
      </c>
      <c r="E416" s="2346">
        <v>0</v>
      </c>
      <c r="F416" s="2346">
        <v>0</v>
      </c>
      <c r="G416" s="2346">
        <v>0</v>
      </c>
      <c r="H416" s="2346">
        <v>0</v>
      </c>
      <c r="I416" s="2346">
        <v>0</v>
      </c>
      <c r="J416" s="2346">
        <v>0</v>
      </c>
      <c r="K416" s="2346">
        <v>0</v>
      </c>
      <c r="L416" s="2346">
        <v>0</v>
      </c>
      <c r="M416" s="2346">
        <v>0</v>
      </c>
      <c r="N416" s="2346">
        <v>0</v>
      </c>
      <c r="O416" s="2346">
        <v>0</v>
      </c>
      <c r="P416" s="2346">
        <v>0</v>
      </c>
      <c r="Q416" s="2346">
        <v>0</v>
      </c>
      <c r="R416" s="2346">
        <v>0</v>
      </c>
      <c r="S416" s="2346">
        <v>0</v>
      </c>
      <c r="T416" s="2346">
        <v>0</v>
      </c>
      <c r="U416" s="2346">
        <v>0</v>
      </c>
      <c r="V416" s="2346">
        <v>0</v>
      </c>
      <c r="W416" s="2346">
        <v>0</v>
      </c>
      <c r="X416" s="2346">
        <v>0</v>
      </c>
      <c r="Y416" s="2346">
        <v>0</v>
      </c>
      <c r="Z416" s="2346">
        <v>0</v>
      </c>
      <c r="AA416" s="2346">
        <v>0</v>
      </c>
      <c r="AB416" s="2346">
        <v>0</v>
      </c>
      <c r="AC416" s="2346">
        <v>0</v>
      </c>
      <c r="AD416" s="2346">
        <v>0</v>
      </c>
      <c r="AE416" s="2347">
        <v>775</v>
      </c>
      <c r="AF416" s="2275"/>
      <c r="AG416" s="2276">
        <f>HLOOKUP(AG409,D410:AD422,5,0)</f>
        <v>0</v>
      </c>
      <c r="AH416" s="2276">
        <f t="shared" si="334"/>
        <v>0</v>
      </c>
      <c r="AI416" s="2275">
        <v>650</v>
      </c>
      <c r="AJ416" s="2275"/>
      <c r="AK416" s="2275"/>
      <c r="AL416" s="2275"/>
      <c r="AM416" s="2275"/>
      <c r="AN416" s="2275"/>
      <c r="AO416" s="2275"/>
      <c r="AP416" s="2250"/>
      <c r="AQ416" s="2250"/>
      <c r="AR416" s="2250"/>
      <c r="AS416" s="2250"/>
      <c r="AT416" s="2250"/>
      <c r="AU416" s="2250"/>
      <c r="AV416" s="2250"/>
      <c r="AW416" s="2250"/>
      <c r="AX416" s="2250"/>
      <c r="AY416" s="2250"/>
      <c r="AZ416" s="2250"/>
      <c r="BA416" s="2250"/>
      <c r="BB416" s="2250"/>
      <c r="BC416" s="2250"/>
      <c r="BD416" s="2250"/>
      <c r="BE416" s="2250"/>
      <c r="BF416" s="2276"/>
      <c r="BG416" s="2276"/>
      <c r="BH416" s="2250"/>
      <c r="BI416" s="2275"/>
      <c r="BJ416" s="4671"/>
      <c r="BK416" s="2345">
        <v>775</v>
      </c>
      <c r="BL416" s="2346">
        <v>0</v>
      </c>
      <c r="BM416" s="2346">
        <v>0</v>
      </c>
      <c r="BN416" s="2346">
        <v>0</v>
      </c>
      <c r="BO416" s="2346">
        <v>0</v>
      </c>
      <c r="BP416" s="2346">
        <v>0</v>
      </c>
      <c r="BQ416" s="2346">
        <v>0</v>
      </c>
      <c r="BR416" s="2346">
        <v>0</v>
      </c>
      <c r="BS416" s="2346">
        <v>0</v>
      </c>
      <c r="BT416" s="2346">
        <v>0</v>
      </c>
      <c r="BU416" s="2346">
        <v>0</v>
      </c>
      <c r="BV416" s="2346">
        <v>0</v>
      </c>
      <c r="BW416" s="2346">
        <v>0</v>
      </c>
      <c r="BX416" s="2346">
        <v>0</v>
      </c>
      <c r="BY416" s="2346">
        <v>0</v>
      </c>
      <c r="BZ416" s="2346">
        <v>0</v>
      </c>
      <c r="CA416" s="2346">
        <v>0</v>
      </c>
      <c r="CB416" s="2346">
        <v>0</v>
      </c>
      <c r="CC416" s="2346">
        <v>0</v>
      </c>
      <c r="CD416" s="2346">
        <v>0</v>
      </c>
      <c r="CE416" s="2346">
        <v>0</v>
      </c>
      <c r="CF416" s="2346">
        <v>0</v>
      </c>
      <c r="CG416" s="2346">
        <v>0</v>
      </c>
      <c r="CH416" s="2346">
        <v>0</v>
      </c>
      <c r="CI416" s="2346">
        <v>0</v>
      </c>
      <c r="CJ416" s="2346">
        <v>0</v>
      </c>
      <c r="CK416" s="2346">
        <v>0</v>
      </c>
      <c r="CL416" s="2346">
        <v>0</v>
      </c>
      <c r="CM416" s="2347">
        <v>775</v>
      </c>
      <c r="CN416" s="2275"/>
      <c r="CO416" s="2276">
        <f>HLOOKUP(CO409,BL410:CL422,5,0)</f>
        <v>0</v>
      </c>
      <c r="CP416" s="2276">
        <f t="shared" si="335"/>
        <v>0</v>
      </c>
      <c r="CQ416" s="2275">
        <v>650</v>
      </c>
      <c r="CR416" s="2275"/>
      <c r="CS416" s="2275"/>
      <c r="CT416" s="2275"/>
      <c r="CU416" s="2275"/>
      <c r="CV416" s="2275"/>
      <c r="CW416" s="2275"/>
      <c r="CX416" s="2250"/>
      <c r="CY416" s="2250"/>
      <c r="CZ416" s="2250"/>
      <c r="DA416" s="2250"/>
      <c r="DB416" s="2250"/>
      <c r="DC416" s="2250"/>
      <c r="DD416" s="2250"/>
      <c r="DE416" s="2250"/>
      <c r="DF416" s="2250"/>
      <c r="DG416" s="2250"/>
      <c r="DH416" s="2250"/>
      <c r="DI416" s="2250"/>
      <c r="DJ416" s="2250"/>
      <c r="DK416" s="2250"/>
      <c r="DL416" s="2250"/>
      <c r="DM416" s="2250"/>
      <c r="DN416" s="2250"/>
      <c r="DO416" s="53"/>
      <c r="DP416" s="53"/>
      <c r="DY416" s="4671"/>
      <c r="DZ416" s="2345">
        <v>775</v>
      </c>
      <c r="EA416" s="2346">
        <v>0</v>
      </c>
      <c r="EB416" s="2346">
        <v>0</v>
      </c>
      <c r="EC416" s="2346">
        <v>0</v>
      </c>
      <c r="ED416" s="2346">
        <v>0</v>
      </c>
      <c r="EE416" s="2346">
        <v>0</v>
      </c>
      <c r="EF416" s="2346">
        <v>0</v>
      </c>
      <c r="EG416" s="2346">
        <v>0</v>
      </c>
      <c r="EH416" s="2346">
        <v>0</v>
      </c>
      <c r="EI416" s="2346">
        <v>0</v>
      </c>
      <c r="EJ416" s="2346">
        <v>0</v>
      </c>
      <c r="EK416" s="2346">
        <v>0</v>
      </c>
      <c r="EL416" s="2346">
        <v>0</v>
      </c>
      <c r="EM416" s="2346">
        <v>0</v>
      </c>
      <c r="EN416" s="2346">
        <v>0</v>
      </c>
      <c r="EO416" s="2346">
        <v>0</v>
      </c>
      <c r="EP416" s="2346">
        <v>0</v>
      </c>
      <c r="EQ416" s="2346">
        <v>0</v>
      </c>
      <c r="ER416" s="2346">
        <v>0</v>
      </c>
      <c r="ES416" s="2346">
        <v>0</v>
      </c>
      <c r="ET416" s="2346">
        <v>0</v>
      </c>
      <c r="EU416" s="2346">
        <v>0</v>
      </c>
      <c r="EV416" s="2346">
        <v>0</v>
      </c>
      <c r="EW416" s="2346">
        <v>0</v>
      </c>
      <c r="EX416" s="2346">
        <v>0</v>
      </c>
      <c r="EY416" s="2346">
        <v>0</v>
      </c>
      <c r="EZ416" s="2346">
        <v>0</v>
      </c>
      <c r="FA416" s="2346">
        <v>0</v>
      </c>
      <c r="FB416" s="2347">
        <v>775</v>
      </c>
      <c r="FC416" s="2275"/>
      <c r="FD416" s="2276">
        <f>HLOOKUP(FD409,EA410:FA422,5,0)</f>
        <v>0</v>
      </c>
      <c r="FE416" s="2276">
        <f t="shared" si="336"/>
        <v>0</v>
      </c>
      <c r="FF416" s="2275">
        <v>650</v>
      </c>
      <c r="FG416" s="2275"/>
      <c r="FH416" s="2275"/>
      <c r="FI416" s="2275"/>
      <c r="FJ416" s="2275"/>
      <c r="FK416" s="2275"/>
      <c r="FL416" s="2275"/>
      <c r="FM416" s="2250"/>
      <c r="FN416" s="2250"/>
      <c r="FO416" s="2250"/>
      <c r="FP416" s="2250"/>
      <c r="FQ416" s="2250"/>
      <c r="FR416" s="2250"/>
      <c r="FS416" s="2250"/>
      <c r="FT416" s="2250"/>
      <c r="FU416" s="2250"/>
      <c r="FV416" s="2250"/>
      <c r="FW416" s="2250"/>
      <c r="FX416" s="2250"/>
      <c r="FY416" s="2250"/>
      <c r="FZ416" s="2250"/>
      <c r="GA416" s="2250"/>
      <c r="GB416" s="2250"/>
      <c r="GC416" s="2276"/>
      <c r="GD416" s="2276"/>
      <c r="GE416" s="2250"/>
      <c r="GF416" s="2275"/>
      <c r="GG416" s="4671"/>
      <c r="GH416" s="2345">
        <v>775</v>
      </c>
      <c r="GI416" s="2346">
        <v>0</v>
      </c>
      <c r="GJ416" s="2346">
        <v>0</v>
      </c>
      <c r="GK416" s="2346">
        <v>0</v>
      </c>
      <c r="GL416" s="2346">
        <v>0</v>
      </c>
      <c r="GM416" s="2346">
        <v>0</v>
      </c>
      <c r="GN416" s="2346">
        <v>0</v>
      </c>
      <c r="GO416" s="2346">
        <v>0</v>
      </c>
      <c r="GP416" s="2346">
        <v>0</v>
      </c>
      <c r="GQ416" s="2346">
        <v>0</v>
      </c>
      <c r="GR416" s="2346">
        <v>0</v>
      </c>
      <c r="GS416" s="2346">
        <v>0</v>
      </c>
      <c r="GT416" s="2346">
        <v>0</v>
      </c>
      <c r="GU416" s="2346">
        <v>0</v>
      </c>
      <c r="GV416" s="2346">
        <v>0</v>
      </c>
      <c r="GW416" s="2346">
        <v>0</v>
      </c>
      <c r="GX416" s="2346">
        <v>0</v>
      </c>
      <c r="GY416" s="2346">
        <v>0</v>
      </c>
      <c r="GZ416" s="2346">
        <v>0</v>
      </c>
      <c r="HA416" s="2346">
        <v>0</v>
      </c>
      <c r="HB416" s="2346">
        <v>0</v>
      </c>
      <c r="HC416" s="2346">
        <v>0</v>
      </c>
      <c r="HD416" s="2346">
        <v>0</v>
      </c>
      <c r="HE416" s="2346">
        <v>0</v>
      </c>
      <c r="HF416" s="2346">
        <v>0</v>
      </c>
      <c r="HG416" s="2346">
        <v>0</v>
      </c>
      <c r="HH416" s="2346">
        <v>0</v>
      </c>
      <c r="HI416" s="2346">
        <v>0</v>
      </c>
      <c r="HJ416" s="2347">
        <v>775</v>
      </c>
      <c r="HK416" s="2275"/>
      <c r="HL416" s="2276">
        <f>HLOOKUP(HL409,GI410:HI422,5,0)</f>
        <v>0</v>
      </c>
      <c r="HM416" s="2276">
        <f t="shared" si="337"/>
        <v>0</v>
      </c>
      <c r="HN416" s="2275">
        <v>650</v>
      </c>
      <c r="HO416" s="2275"/>
      <c r="HP416" s="2275"/>
      <c r="HQ416" s="2275"/>
      <c r="HR416" s="2275"/>
      <c r="HS416" s="2275"/>
      <c r="HT416" s="2275"/>
      <c r="HU416" s="2250"/>
      <c r="HV416" s="2250"/>
      <c r="HW416" s="2250"/>
      <c r="HX416" s="2250"/>
      <c r="HY416" s="2250"/>
      <c r="HZ416" s="2250"/>
      <c r="IA416" s="2250"/>
      <c r="IB416" s="2250"/>
      <c r="IC416" s="2250"/>
      <c r="ID416" s="2250"/>
      <c r="IE416" s="2250"/>
      <c r="IF416" s="2250"/>
      <c r="IG416" s="2250"/>
      <c r="IH416" s="2250"/>
      <c r="II416" s="2250"/>
      <c r="IJ416" s="2250"/>
      <c r="IK416" s="2250"/>
      <c r="IL416" s="53"/>
      <c r="IM416" s="53"/>
    </row>
    <row r="417" spans="2:247" ht="21.95" customHeight="1">
      <c r="B417" s="4671"/>
      <c r="C417" s="2345">
        <v>825</v>
      </c>
      <c r="D417" s="2346">
        <v>0</v>
      </c>
      <c r="E417" s="2346">
        <v>0</v>
      </c>
      <c r="F417" s="2346">
        <v>0</v>
      </c>
      <c r="G417" s="2346">
        <v>0</v>
      </c>
      <c r="H417" s="2346">
        <v>0</v>
      </c>
      <c r="I417" s="2346">
        <v>0</v>
      </c>
      <c r="J417" s="2346">
        <v>0</v>
      </c>
      <c r="K417" s="2346">
        <v>0</v>
      </c>
      <c r="L417" s="2346">
        <v>0</v>
      </c>
      <c r="M417" s="2346">
        <v>0</v>
      </c>
      <c r="N417" s="2346">
        <v>0</v>
      </c>
      <c r="O417" s="2346">
        <v>0</v>
      </c>
      <c r="P417" s="2346">
        <v>0</v>
      </c>
      <c r="Q417" s="2346">
        <v>0</v>
      </c>
      <c r="R417" s="2346">
        <v>0</v>
      </c>
      <c r="S417" s="2346">
        <v>0</v>
      </c>
      <c r="T417" s="2346">
        <v>0</v>
      </c>
      <c r="U417" s="2346">
        <v>0</v>
      </c>
      <c r="V417" s="2346">
        <v>0</v>
      </c>
      <c r="W417" s="2346">
        <v>0</v>
      </c>
      <c r="X417" s="2346">
        <v>0</v>
      </c>
      <c r="Y417" s="2346">
        <v>0</v>
      </c>
      <c r="Z417" s="2346">
        <v>0</v>
      </c>
      <c r="AA417" s="2346">
        <v>0</v>
      </c>
      <c r="AB417" s="2346">
        <v>0</v>
      </c>
      <c r="AC417" s="2346">
        <v>0</v>
      </c>
      <c r="AD417" s="2346">
        <v>0</v>
      </c>
      <c r="AE417" s="2347">
        <v>825</v>
      </c>
      <c r="AF417" s="2275"/>
      <c r="AG417" s="2276">
        <f>HLOOKUP(AG409,D410:AD422,6,0)</f>
        <v>0</v>
      </c>
      <c r="AH417" s="2276">
        <f t="shared" si="334"/>
        <v>0</v>
      </c>
      <c r="AI417" s="2275">
        <v>775</v>
      </c>
      <c r="AJ417" s="2275"/>
      <c r="AK417" s="2275"/>
      <c r="AL417" s="2275"/>
      <c r="AM417" s="2275"/>
      <c r="AN417" s="2275"/>
      <c r="AO417" s="2275"/>
      <c r="AP417" s="2250"/>
      <c r="AQ417" s="2250"/>
      <c r="AR417" s="2250"/>
      <c r="AS417" s="2250"/>
      <c r="AT417" s="2250"/>
      <c r="AU417" s="2250"/>
      <c r="AV417" s="2250"/>
      <c r="AW417" s="2250"/>
      <c r="AX417" s="2250"/>
      <c r="AY417" s="2250"/>
      <c r="AZ417" s="2250"/>
      <c r="BA417" s="2250"/>
      <c r="BB417" s="2250"/>
      <c r="BC417" s="2250"/>
      <c r="BD417" s="2250"/>
      <c r="BE417" s="2250"/>
      <c r="BF417" s="2276"/>
      <c r="BG417" s="2276"/>
      <c r="BH417" s="2250"/>
      <c r="BI417" s="2275"/>
      <c r="BJ417" s="4671"/>
      <c r="BK417" s="2345">
        <v>825</v>
      </c>
      <c r="BL417" s="2346">
        <v>0</v>
      </c>
      <c r="BM417" s="2346">
        <v>0</v>
      </c>
      <c r="BN417" s="2346">
        <v>0</v>
      </c>
      <c r="BO417" s="2346">
        <v>0</v>
      </c>
      <c r="BP417" s="2346">
        <v>0</v>
      </c>
      <c r="BQ417" s="2346">
        <v>0</v>
      </c>
      <c r="BR417" s="2346">
        <v>0</v>
      </c>
      <c r="BS417" s="2346">
        <v>0</v>
      </c>
      <c r="BT417" s="2346">
        <v>0</v>
      </c>
      <c r="BU417" s="2346">
        <v>0</v>
      </c>
      <c r="BV417" s="2346">
        <v>0</v>
      </c>
      <c r="BW417" s="2346">
        <v>0</v>
      </c>
      <c r="BX417" s="2346">
        <v>0</v>
      </c>
      <c r="BY417" s="2346">
        <v>0</v>
      </c>
      <c r="BZ417" s="2346">
        <v>0</v>
      </c>
      <c r="CA417" s="2346">
        <v>0</v>
      </c>
      <c r="CB417" s="2346">
        <v>0</v>
      </c>
      <c r="CC417" s="2346">
        <v>0</v>
      </c>
      <c r="CD417" s="2346">
        <v>0</v>
      </c>
      <c r="CE417" s="2346">
        <v>0</v>
      </c>
      <c r="CF417" s="2346">
        <v>0</v>
      </c>
      <c r="CG417" s="2346">
        <v>0</v>
      </c>
      <c r="CH417" s="2346">
        <v>0</v>
      </c>
      <c r="CI417" s="2346">
        <v>0</v>
      </c>
      <c r="CJ417" s="2346">
        <v>0</v>
      </c>
      <c r="CK417" s="2346">
        <v>0</v>
      </c>
      <c r="CL417" s="2346">
        <v>0</v>
      </c>
      <c r="CM417" s="2347">
        <v>825</v>
      </c>
      <c r="CN417" s="2275"/>
      <c r="CO417" s="2276">
        <f>HLOOKUP(CO409,BL410:CL422,6,0)</f>
        <v>0</v>
      </c>
      <c r="CP417" s="2276">
        <f t="shared" si="335"/>
        <v>0</v>
      </c>
      <c r="CQ417" s="2275">
        <v>775</v>
      </c>
      <c r="CR417" s="2275"/>
      <c r="CS417" s="2275"/>
      <c r="CT417" s="2275"/>
      <c r="CU417" s="2275"/>
      <c r="CV417" s="2275"/>
      <c r="CW417" s="2275"/>
      <c r="CX417" s="2250"/>
      <c r="CY417" s="2250"/>
      <c r="CZ417" s="2250"/>
      <c r="DA417" s="2250"/>
      <c r="DB417" s="2250"/>
      <c r="DC417" s="2250"/>
      <c r="DD417" s="2250"/>
      <c r="DE417" s="2250"/>
      <c r="DF417" s="2250"/>
      <c r="DG417" s="2250"/>
      <c r="DH417" s="2250"/>
      <c r="DI417" s="2250"/>
      <c r="DJ417" s="2250"/>
      <c r="DK417" s="2250"/>
      <c r="DL417" s="2250"/>
      <c r="DM417" s="2250"/>
      <c r="DN417" s="2250"/>
      <c r="DO417" s="53"/>
      <c r="DP417" s="53"/>
      <c r="DY417" s="4671"/>
      <c r="DZ417" s="2345">
        <v>825</v>
      </c>
      <c r="EA417" s="2346">
        <v>0</v>
      </c>
      <c r="EB417" s="2346">
        <v>0</v>
      </c>
      <c r="EC417" s="2346">
        <v>0</v>
      </c>
      <c r="ED417" s="2346">
        <v>0</v>
      </c>
      <c r="EE417" s="2346">
        <v>0</v>
      </c>
      <c r="EF417" s="2346">
        <v>0</v>
      </c>
      <c r="EG417" s="2346">
        <v>0</v>
      </c>
      <c r="EH417" s="2346">
        <v>0</v>
      </c>
      <c r="EI417" s="2346">
        <v>0</v>
      </c>
      <c r="EJ417" s="2346">
        <v>0</v>
      </c>
      <c r="EK417" s="2346">
        <v>0</v>
      </c>
      <c r="EL417" s="2346">
        <v>0</v>
      </c>
      <c r="EM417" s="2346">
        <v>0</v>
      </c>
      <c r="EN417" s="2346">
        <v>0</v>
      </c>
      <c r="EO417" s="2346">
        <v>0</v>
      </c>
      <c r="EP417" s="2346">
        <v>0</v>
      </c>
      <c r="EQ417" s="2346">
        <v>0</v>
      </c>
      <c r="ER417" s="2346">
        <v>0</v>
      </c>
      <c r="ES417" s="2346">
        <v>0</v>
      </c>
      <c r="ET417" s="2346">
        <v>0</v>
      </c>
      <c r="EU417" s="2346">
        <v>0</v>
      </c>
      <c r="EV417" s="2346">
        <v>0</v>
      </c>
      <c r="EW417" s="2346">
        <v>0</v>
      </c>
      <c r="EX417" s="2346">
        <v>0</v>
      </c>
      <c r="EY417" s="2346">
        <v>0</v>
      </c>
      <c r="EZ417" s="2346">
        <v>0</v>
      </c>
      <c r="FA417" s="2346">
        <v>0</v>
      </c>
      <c r="FB417" s="2347">
        <v>825</v>
      </c>
      <c r="FC417" s="2275"/>
      <c r="FD417" s="2276">
        <f>HLOOKUP(FD409,EA410:FA422,6,0)</f>
        <v>0</v>
      </c>
      <c r="FE417" s="2276">
        <f t="shared" si="336"/>
        <v>0</v>
      </c>
      <c r="FF417" s="2275">
        <v>775</v>
      </c>
      <c r="FG417" s="2275"/>
      <c r="FH417" s="2275"/>
      <c r="FI417" s="2275"/>
      <c r="FJ417" s="2275"/>
      <c r="FK417" s="2275"/>
      <c r="FL417" s="2275"/>
      <c r="FM417" s="2250"/>
      <c r="FN417" s="2250"/>
      <c r="FO417" s="2250"/>
      <c r="FP417" s="2250"/>
      <c r="FQ417" s="2250"/>
      <c r="FR417" s="2250"/>
      <c r="FS417" s="2250"/>
      <c r="FT417" s="2250"/>
      <c r="FU417" s="2250"/>
      <c r="FV417" s="2250"/>
      <c r="FW417" s="2250"/>
      <c r="FX417" s="2250"/>
      <c r="FY417" s="2250"/>
      <c r="FZ417" s="2250"/>
      <c r="GA417" s="2250"/>
      <c r="GB417" s="2250"/>
      <c r="GC417" s="2276"/>
      <c r="GD417" s="2276"/>
      <c r="GE417" s="2250"/>
      <c r="GF417" s="2275"/>
      <c r="GG417" s="4671"/>
      <c r="GH417" s="2345">
        <v>825</v>
      </c>
      <c r="GI417" s="2346">
        <v>0</v>
      </c>
      <c r="GJ417" s="2346">
        <v>0</v>
      </c>
      <c r="GK417" s="2346">
        <v>0</v>
      </c>
      <c r="GL417" s="2346">
        <v>0</v>
      </c>
      <c r="GM417" s="2346">
        <v>0</v>
      </c>
      <c r="GN417" s="2346">
        <v>0</v>
      </c>
      <c r="GO417" s="2346">
        <v>0</v>
      </c>
      <c r="GP417" s="2346">
        <v>0</v>
      </c>
      <c r="GQ417" s="2346">
        <v>0</v>
      </c>
      <c r="GR417" s="2346">
        <v>0</v>
      </c>
      <c r="GS417" s="2346">
        <v>0</v>
      </c>
      <c r="GT417" s="2346">
        <v>0</v>
      </c>
      <c r="GU417" s="2346">
        <v>0</v>
      </c>
      <c r="GV417" s="2346">
        <v>0</v>
      </c>
      <c r="GW417" s="2346">
        <v>0</v>
      </c>
      <c r="GX417" s="2346">
        <v>0</v>
      </c>
      <c r="GY417" s="2346">
        <v>0</v>
      </c>
      <c r="GZ417" s="2346">
        <v>0</v>
      </c>
      <c r="HA417" s="2346">
        <v>0</v>
      </c>
      <c r="HB417" s="2346">
        <v>0</v>
      </c>
      <c r="HC417" s="2346">
        <v>0</v>
      </c>
      <c r="HD417" s="2346">
        <v>0</v>
      </c>
      <c r="HE417" s="2346">
        <v>0</v>
      </c>
      <c r="HF417" s="2346">
        <v>0</v>
      </c>
      <c r="HG417" s="2346">
        <v>0</v>
      </c>
      <c r="HH417" s="2346">
        <v>0</v>
      </c>
      <c r="HI417" s="2346">
        <v>0</v>
      </c>
      <c r="HJ417" s="2347">
        <v>825</v>
      </c>
      <c r="HK417" s="2275"/>
      <c r="HL417" s="2276">
        <f>HLOOKUP(HL409,GI410:HI422,6,0)</f>
        <v>0</v>
      </c>
      <c r="HM417" s="2276">
        <f t="shared" si="337"/>
        <v>0</v>
      </c>
      <c r="HN417" s="2275">
        <v>775</v>
      </c>
      <c r="HO417" s="2275"/>
      <c r="HP417" s="2275"/>
      <c r="HQ417" s="2275"/>
      <c r="HR417" s="2275"/>
      <c r="HS417" s="2275"/>
      <c r="HT417" s="2275"/>
      <c r="HU417" s="2250"/>
      <c r="HV417" s="2250"/>
      <c r="HW417" s="2250"/>
      <c r="HX417" s="2250"/>
      <c r="HY417" s="2250"/>
      <c r="HZ417" s="2250"/>
      <c r="IA417" s="2250"/>
      <c r="IB417" s="2250"/>
      <c r="IC417" s="2250"/>
      <c r="ID417" s="2250"/>
      <c r="IE417" s="2250"/>
      <c r="IF417" s="2250"/>
      <c r="IG417" s="2250"/>
      <c r="IH417" s="2250"/>
      <c r="II417" s="2250"/>
      <c r="IJ417" s="2250"/>
      <c r="IK417" s="2250"/>
      <c r="IL417" s="53"/>
      <c r="IM417" s="53"/>
    </row>
    <row r="418" spans="2:247" ht="21.95" customHeight="1">
      <c r="B418" s="4671"/>
      <c r="C418" s="2345">
        <v>950</v>
      </c>
      <c r="D418" s="2346">
        <v>0</v>
      </c>
      <c r="E418" s="2346">
        <v>0</v>
      </c>
      <c r="F418" s="2346">
        <v>0</v>
      </c>
      <c r="G418" s="2346">
        <v>0</v>
      </c>
      <c r="H418" s="2346">
        <v>0</v>
      </c>
      <c r="I418" s="2346">
        <v>0</v>
      </c>
      <c r="J418" s="2346">
        <v>0</v>
      </c>
      <c r="K418" s="2346">
        <v>0</v>
      </c>
      <c r="L418" s="2346">
        <v>0</v>
      </c>
      <c r="M418" s="2346">
        <v>0</v>
      </c>
      <c r="N418" s="2346">
        <v>0</v>
      </c>
      <c r="O418" s="2346">
        <v>0</v>
      </c>
      <c r="P418" s="2346">
        <v>0</v>
      </c>
      <c r="Q418" s="2346">
        <v>0</v>
      </c>
      <c r="R418" s="2346">
        <v>0</v>
      </c>
      <c r="S418" s="2346">
        <v>0</v>
      </c>
      <c r="T418" s="2346">
        <v>0</v>
      </c>
      <c r="U418" s="2346">
        <v>0</v>
      </c>
      <c r="V418" s="2346">
        <v>0</v>
      </c>
      <c r="W418" s="2346">
        <v>0</v>
      </c>
      <c r="X418" s="2346">
        <v>0</v>
      </c>
      <c r="Y418" s="2346">
        <v>0</v>
      </c>
      <c r="Z418" s="2346">
        <v>0</v>
      </c>
      <c r="AA418" s="2346">
        <v>0</v>
      </c>
      <c r="AB418" s="2346">
        <v>0</v>
      </c>
      <c r="AC418" s="2346">
        <v>0</v>
      </c>
      <c r="AD418" s="2346">
        <v>0</v>
      </c>
      <c r="AE418" s="2347">
        <v>950</v>
      </c>
      <c r="AF418" s="2275"/>
      <c r="AG418" s="2276">
        <f>HLOOKUP(AG409,D410:AD422,7,0)</f>
        <v>0</v>
      </c>
      <c r="AH418" s="2276">
        <f t="shared" si="334"/>
        <v>0</v>
      </c>
      <c r="AI418" s="2275">
        <v>825</v>
      </c>
      <c r="AJ418" s="2275"/>
      <c r="AK418" s="2275"/>
      <c r="AL418" s="2275"/>
      <c r="AM418" s="2275"/>
      <c r="AN418" s="2275"/>
      <c r="AO418" s="2275"/>
      <c r="AP418" s="2250"/>
      <c r="AQ418" s="2250"/>
      <c r="AR418" s="2250"/>
      <c r="AS418" s="2250"/>
      <c r="AT418" s="2250"/>
      <c r="AU418" s="2250"/>
      <c r="AV418" s="2250"/>
      <c r="AW418" s="2250"/>
      <c r="AX418" s="2250"/>
      <c r="AY418" s="2250"/>
      <c r="AZ418" s="2250"/>
      <c r="BA418" s="2250"/>
      <c r="BB418" s="2250"/>
      <c r="BC418" s="2250"/>
      <c r="BD418" s="2250"/>
      <c r="BE418" s="2250"/>
      <c r="BF418" s="2276"/>
      <c r="BG418" s="2276"/>
      <c r="BH418" s="2250"/>
      <c r="BI418" s="2275"/>
      <c r="BJ418" s="4671"/>
      <c r="BK418" s="2345">
        <v>950</v>
      </c>
      <c r="BL418" s="2346">
        <v>0</v>
      </c>
      <c r="BM418" s="2346">
        <v>0</v>
      </c>
      <c r="BN418" s="2346">
        <v>0</v>
      </c>
      <c r="BO418" s="2346">
        <v>0</v>
      </c>
      <c r="BP418" s="2346">
        <v>0</v>
      </c>
      <c r="BQ418" s="2346">
        <v>0</v>
      </c>
      <c r="BR418" s="2346">
        <v>0</v>
      </c>
      <c r="BS418" s="2346">
        <v>0</v>
      </c>
      <c r="BT418" s="2346">
        <v>0</v>
      </c>
      <c r="BU418" s="2346">
        <v>0</v>
      </c>
      <c r="BV418" s="2346">
        <v>0</v>
      </c>
      <c r="BW418" s="2346">
        <v>0</v>
      </c>
      <c r="BX418" s="2346">
        <v>0</v>
      </c>
      <c r="BY418" s="2346">
        <v>0</v>
      </c>
      <c r="BZ418" s="2346">
        <v>0</v>
      </c>
      <c r="CA418" s="2346">
        <v>0</v>
      </c>
      <c r="CB418" s="2346">
        <v>0</v>
      </c>
      <c r="CC418" s="2346">
        <v>0</v>
      </c>
      <c r="CD418" s="2346">
        <v>0</v>
      </c>
      <c r="CE418" s="2346">
        <v>0</v>
      </c>
      <c r="CF418" s="2346">
        <v>0</v>
      </c>
      <c r="CG418" s="2346">
        <v>0</v>
      </c>
      <c r="CH418" s="2346">
        <v>0</v>
      </c>
      <c r="CI418" s="2346">
        <v>0</v>
      </c>
      <c r="CJ418" s="2346">
        <v>0</v>
      </c>
      <c r="CK418" s="2346">
        <v>0</v>
      </c>
      <c r="CL418" s="2346">
        <v>0</v>
      </c>
      <c r="CM418" s="2347">
        <v>950</v>
      </c>
      <c r="CN418" s="2275"/>
      <c r="CO418" s="2276">
        <f>HLOOKUP(CO409,BL410:CL422,7,0)</f>
        <v>0</v>
      </c>
      <c r="CP418" s="2276">
        <f t="shared" si="335"/>
        <v>0</v>
      </c>
      <c r="CQ418" s="2275">
        <v>825</v>
      </c>
      <c r="CR418" s="2275"/>
      <c r="CS418" s="2275"/>
      <c r="CT418" s="2275"/>
      <c r="CU418" s="2275"/>
      <c r="CV418" s="2275"/>
      <c r="CW418" s="2275"/>
      <c r="CX418" s="2250"/>
      <c r="CY418" s="2250"/>
      <c r="CZ418" s="2250"/>
      <c r="DA418" s="2250"/>
      <c r="DB418" s="2250"/>
      <c r="DC418" s="2250"/>
      <c r="DD418" s="2250"/>
      <c r="DE418" s="2250"/>
      <c r="DF418" s="2250"/>
      <c r="DG418" s="2250"/>
      <c r="DH418" s="2250"/>
      <c r="DI418" s="2250"/>
      <c r="DJ418" s="2250"/>
      <c r="DK418" s="2250"/>
      <c r="DL418" s="2250"/>
      <c r="DM418" s="2250"/>
      <c r="DN418" s="2250"/>
      <c r="DO418" s="53"/>
      <c r="DP418" s="53"/>
      <c r="DY418" s="4671"/>
      <c r="DZ418" s="2345">
        <v>950</v>
      </c>
      <c r="EA418" s="2346">
        <v>0</v>
      </c>
      <c r="EB418" s="2346">
        <v>0</v>
      </c>
      <c r="EC418" s="2346">
        <v>0</v>
      </c>
      <c r="ED418" s="2346">
        <v>0</v>
      </c>
      <c r="EE418" s="2346">
        <v>0</v>
      </c>
      <c r="EF418" s="2346">
        <v>0</v>
      </c>
      <c r="EG418" s="2346">
        <v>0</v>
      </c>
      <c r="EH418" s="2346">
        <v>0</v>
      </c>
      <c r="EI418" s="2346">
        <v>0</v>
      </c>
      <c r="EJ418" s="2346">
        <v>0</v>
      </c>
      <c r="EK418" s="2346">
        <v>0</v>
      </c>
      <c r="EL418" s="2346">
        <v>0</v>
      </c>
      <c r="EM418" s="2346">
        <v>0</v>
      </c>
      <c r="EN418" s="2346">
        <v>0</v>
      </c>
      <c r="EO418" s="2346">
        <v>0</v>
      </c>
      <c r="EP418" s="2346">
        <v>0</v>
      </c>
      <c r="EQ418" s="2346">
        <v>0</v>
      </c>
      <c r="ER418" s="2346">
        <v>0</v>
      </c>
      <c r="ES418" s="2346">
        <v>0</v>
      </c>
      <c r="ET418" s="2346">
        <v>0</v>
      </c>
      <c r="EU418" s="2346">
        <v>0</v>
      </c>
      <c r="EV418" s="2346">
        <v>0</v>
      </c>
      <c r="EW418" s="2346">
        <v>0</v>
      </c>
      <c r="EX418" s="2346">
        <v>0</v>
      </c>
      <c r="EY418" s="2346">
        <v>0</v>
      </c>
      <c r="EZ418" s="2346">
        <v>0</v>
      </c>
      <c r="FA418" s="2346">
        <v>0</v>
      </c>
      <c r="FB418" s="2347">
        <v>950</v>
      </c>
      <c r="FC418" s="2275"/>
      <c r="FD418" s="2276">
        <f>HLOOKUP(FD409,EA410:FA422,7,0)</f>
        <v>0</v>
      </c>
      <c r="FE418" s="2276">
        <f t="shared" si="336"/>
        <v>0</v>
      </c>
      <c r="FF418" s="2275">
        <v>825</v>
      </c>
      <c r="FG418" s="2275"/>
      <c r="FH418" s="2275"/>
      <c r="FI418" s="2275"/>
      <c r="FJ418" s="2275"/>
      <c r="FK418" s="2275"/>
      <c r="FL418" s="2275"/>
      <c r="FM418" s="2250"/>
      <c r="FN418" s="2250"/>
      <c r="FO418" s="2250"/>
      <c r="FP418" s="2250"/>
      <c r="FQ418" s="2250"/>
      <c r="FR418" s="2250"/>
      <c r="FS418" s="2250"/>
      <c r="FT418" s="2250"/>
      <c r="FU418" s="2250"/>
      <c r="FV418" s="2250"/>
      <c r="FW418" s="2250"/>
      <c r="FX418" s="2250"/>
      <c r="FY418" s="2250"/>
      <c r="FZ418" s="2250"/>
      <c r="GA418" s="2250"/>
      <c r="GB418" s="2250"/>
      <c r="GC418" s="2276"/>
      <c r="GD418" s="2276"/>
      <c r="GE418" s="2250"/>
      <c r="GF418" s="2275"/>
      <c r="GG418" s="4671"/>
      <c r="GH418" s="2345">
        <v>950</v>
      </c>
      <c r="GI418" s="2346">
        <v>0</v>
      </c>
      <c r="GJ418" s="2346">
        <v>0</v>
      </c>
      <c r="GK418" s="2346">
        <v>0</v>
      </c>
      <c r="GL418" s="2346">
        <v>0</v>
      </c>
      <c r="GM418" s="2346">
        <v>0</v>
      </c>
      <c r="GN418" s="2346">
        <v>0</v>
      </c>
      <c r="GO418" s="2346">
        <v>0</v>
      </c>
      <c r="GP418" s="2346">
        <v>0</v>
      </c>
      <c r="GQ418" s="2346">
        <v>0</v>
      </c>
      <c r="GR418" s="2346">
        <v>0</v>
      </c>
      <c r="GS418" s="2346">
        <v>0</v>
      </c>
      <c r="GT418" s="2346">
        <v>0</v>
      </c>
      <c r="GU418" s="2346">
        <v>0</v>
      </c>
      <c r="GV418" s="2346">
        <v>0</v>
      </c>
      <c r="GW418" s="2346">
        <v>0</v>
      </c>
      <c r="GX418" s="2346">
        <v>0</v>
      </c>
      <c r="GY418" s="2346">
        <v>0</v>
      </c>
      <c r="GZ418" s="2346">
        <v>0</v>
      </c>
      <c r="HA418" s="2346">
        <v>0</v>
      </c>
      <c r="HB418" s="2346">
        <v>0</v>
      </c>
      <c r="HC418" s="2346">
        <v>0</v>
      </c>
      <c r="HD418" s="2346">
        <v>0</v>
      </c>
      <c r="HE418" s="2346">
        <v>0</v>
      </c>
      <c r="HF418" s="2346">
        <v>0</v>
      </c>
      <c r="HG418" s="2346">
        <v>0</v>
      </c>
      <c r="HH418" s="2346">
        <v>0</v>
      </c>
      <c r="HI418" s="2346">
        <v>0</v>
      </c>
      <c r="HJ418" s="2347">
        <v>950</v>
      </c>
      <c r="HK418" s="2275"/>
      <c r="HL418" s="2276">
        <f>HLOOKUP(HL409,GI410:HI422,7,0)</f>
        <v>0</v>
      </c>
      <c r="HM418" s="2276">
        <f t="shared" si="337"/>
        <v>0</v>
      </c>
      <c r="HN418" s="2275">
        <v>825</v>
      </c>
      <c r="HO418" s="2275"/>
      <c r="HP418" s="2275"/>
      <c r="HQ418" s="2275"/>
      <c r="HR418" s="2275"/>
      <c r="HS418" s="2275"/>
      <c r="HT418" s="2275"/>
      <c r="HU418" s="2250"/>
      <c r="HV418" s="2250"/>
      <c r="HW418" s="2250"/>
      <c r="HX418" s="2250"/>
      <c r="HY418" s="2250"/>
      <c r="HZ418" s="2250"/>
      <c r="IA418" s="2250"/>
      <c r="IB418" s="2250"/>
      <c r="IC418" s="2250"/>
      <c r="ID418" s="2250"/>
      <c r="IE418" s="2250"/>
      <c r="IF418" s="2250"/>
      <c r="IG418" s="2250"/>
      <c r="IH418" s="2250"/>
      <c r="II418" s="2250"/>
      <c r="IJ418" s="2250"/>
      <c r="IK418" s="2250"/>
      <c r="IL418" s="53"/>
      <c r="IM418" s="53"/>
    </row>
    <row r="419" spans="2:247" ht="21.95" customHeight="1">
      <c r="B419" s="4671"/>
      <c r="C419" s="2345">
        <v>1100</v>
      </c>
      <c r="D419" s="2346">
        <v>0</v>
      </c>
      <c r="E419" s="2346">
        <v>0</v>
      </c>
      <c r="F419" s="2346">
        <v>0</v>
      </c>
      <c r="G419" s="2346">
        <v>0</v>
      </c>
      <c r="H419" s="2346">
        <v>0</v>
      </c>
      <c r="I419" s="2346">
        <v>0</v>
      </c>
      <c r="J419" s="2346">
        <v>0</v>
      </c>
      <c r="K419" s="2346">
        <v>0</v>
      </c>
      <c r="L419" s="2346">
        <v>0</v>
      </c>
      <c r="M419" s="2346">
        <v>0</v>
      </c>
      <c r="N419" s="2346">
        <v>0</v>
      </c>
      <c r="O419" s="2346">
        <v>0</v>
      </c>
      <c r="P419" s="2346">
        <v>0</v>
      </c>
      <c r="Q419" s="2346">
        <v>0</v>
      </c>
      <c r="R419" s="2346">
        <v>0</v>
      </c>
      <c r="S419" s="2346">
        <v>0</v>
      </c>
      <c r="T419" s="2346">
        <v>0</v>
      </c>
      <c r="U419" s="2346">
        <v>0</v>
      </c>
      <c r="V419" s="2346">
        <v>0</v>
      </c>
      <c r="W419" s="2346">
        <v>0</v>
      </c>
      <c r="X419" s="2346">
        <v>0</v>
      </c>
      <c r="Y419" s="2346">
        <v>0</v>
      </c>
      <c r="Z419" s="2346">
        <v>0</v>
      </c>
      <c r="AA419" s="2346">
        <v>0</v>
      </c>
      <c r="AB419" s="2346">
        <v>0</v>
      </c>
      <c r="AC419" s="2346">
        <v>0</v>
      </c>
      <c r="AD419" s="2346">
        <v>0</v>
      </c>
      <c r="AE419" s="2347">
        <v>1100</v>
      </c>
      <c r="AF419" s="2275"/>
      <c r="AG419" s="2276">
        <f>HLOOKUP(AG409,D410:AD422,8,0)</f>
        <v>0</v>
      </c>
      <c r="AH419" s="2276">
        <f t="shared" si="334"/>
        <v>0</v>
      </c>
      <c r="AI419" s="2275">
        <v>950</v>
      </c>
      <c r="AJ419" s="2275"/>
      <c r="AK419" s="2275"/>
      <c r="AL419" s="2275"/>
      <c r="AM419" s="2275"/>
      <c r="AN419" s="2275"/>
      <c r="AO419" s="2275"/>
      <c r="AP419" s="2250"/>
      <c r="AQ419" s="2250"/>
      <c r="AR419" s="2250"/>
      <c r="AS419" s="2250"/>
      <c r="AT419" s="2250"/>
      <c r="AU419" s="2250"/>
      <c r="AV419" s="2250"/>
      <c r="AW419" s="2250"/>
      <c r="AX419" s="2250"/>
      <c r="AY419" s="2250"/>
      <c r="AZ419" s="2250"/>
      <c r="BA419" s="2250"/>
      <c r="BB419" s="2250"/>
      <c r="BC419" s="2250"/>
      <c r="BD419" s="2250"/>
      <c r="BE419" s="2250"/>
      <c r="BF419" s="2276"/>
      <c r="BG419" s="2276"/>
      <c r="BH419" s="2250"/>
      <c r="BI419" s="2275"/>
      <c r="BJ419" s="4671"/>
      <c r="BK419" s="2345">
        <v>1100</v>
      </c>
      <c r="BL419" s="2346">
        <v>0</v>
      </c>
      <c r="BM419" s="2346">
        <v>0</v>
      </c>
      <c r="BN419" s="2346">
        <v>0</v>
      </c>
      <c r="BO419" s="2346">
        <v>0</v>
      </c>
      <c r="BP419" s="2346">
        <v>0</v>
      </c>
      <c r="BQ419" s="2346">
        <v>0</v>
      </c>
      <c r="BR419" s="2346">
        <v>0</v>
      </c>
      <c r="BS419" s="2346">
        <v>0</v>
      </c>
      <c r="BT419" s="2346">
        <v>0</v>
      </c>
      <c r="BU419" s="2346">
        <v>0</v>
      </c>
      <c r="BV419" s="2346">
        <v>0</v>
      </c>
      <c r="BW419" s="2346">
        <v>0</v>
      </c>
      <c r="BX419" s="2346">
        <v>0</v>
      </c>
      <c r="BY419" s="2346">
        <v>0</v>
      </c>
      <c r="BZ419" s="2346">
        <v>0</v>
      </c>
      <c r="CA419" s="2346">
        <v>0</v>
      </c>
      <c r="CB419" s="2346">
        <v>0</v>
      </c>
      <c r="CC419" s="2346">
        <v>0</v>
      </c>
      <c r="CD419" s="2346">
        <v>0</v>
      </c>
      <c r="CE419" s="2346">
        <v>0</v>
      </c>
      <c r="CF419" s="2346">
        <v>0</v>
      </c>
      <c r="CG419" s="2346">
        <v>0</v>
      </c>
      <c r="CH419" s="2346">
        <v>0</v>
      </c>
      <c r="CI419" s="2346">
        <v>0</v>
      </c>
      <c r="CJ419" s="2346">
        <v>0</v>
      </c>
      <c r="CK419" s="2346">
        <v>0</v>
      </c>
      <c r="CL419" s="2346">
        <v>0</v>
      </c>
      <c r="CM419" s="2347">
        <v>1100</v>
      </c>
      <c r="CN419" s="2275"/>
      <c r="CO419" s="2276">
        <f>HLOOKUP(CO409,BL410:CL422,8,0)</f>
        <v>0</v>
      </c>
      <c r="CP419" s="2276">
        <f t="shared" si="335"/>
        <v>0</v>
      </c>
      <c r="CQ419" s="2275">
        <v>950</v>
      </c>
      <c r="CR419" s="2275"/>
      <c r="CS419" s="2275"/>
      <c r="CT419" s="2275"/>
      <c r="CU419" s="2275"/>
      <c r="CV419" s="2275"/>
      <c r="CW419" s="2275"/>
      <c r="CX419" s="2250"/>
      <c r="CY419" s="2250"/>
      <c r="CZ419" s="2250"/>
      <c r="DA419" s="2250"/>
      <c r="DB419" s="2250"/>
      <c r="DC419" s="2250"/>
      <c r="DD419" s="2250"/>
      <c r="DE419" s="2250"/>
      <c r="DF419" s="2250"/>
      <c r="DG419" s="2250"/>
      <c r="DH419" s="2250"/>
      <c r="DI419" s="2250"/>
      <c r="DJ419" s="2250"/>
      <c r="DK419" s="2250"/>
      <c r="DL419" s="2250"/>
      <c r="DM419" s="2250"/>
      <c r="DN419" s="2250"/>
      <c r="DO419" s="53"/>
      <c r="DP419" s="53"/>
      <c r="DY419" s="4671"/>
      <c r="DZ419" s="2345">
        <v>1100</v>
      </c>
      <c r="EA419" s="2346">
        <v>0</v>
      </c>
      <c r="EB419" s="2346">
        <v>0</v>
      </c>
      <c r="EC419" s="2346">
        <v>0</v>
      </c>
      <c r="ED419" s="2346">
        <v>0</v>
      </c>
      <c r="EE419" s="2346">
        <v>0</v>
      </c>
      <c r="EF419" s="2346">
        <v>0</v>
      </c>
      <c r="EG419" s="2346">
        <v>0</v>
      </c>
      <c r="EH419" s="2346">
        <v>0</v>
      </c>
      <c r="EI419" s="2346">
        <v>0</v>
      </c>
      <c r="EJ419" s="2346">
        <v>0</v>
      </c>
      <c r="EK419" s="2346">
        <v>0</v>
      </c>
      <c r="EL419" s="2346">
        <v>0</v>
      </c>
      <c r="EM419" s="2346">
        <v>0</v>
      </c>
      <c r="EN419" s="2346">
        <v>0</v>
      </c>
      <c r="EO419" s="2346">
        <v>0</v>
      </c>
      <c r="EP419" s="2346">
        <v>0</v>
      </c>
      <c r="EQ419" s="2346">
        <v>0</v>
      </c>
      <c r="ER419" s="2346">
        <v>0</v>
      </c>
      <c r="ES419" s="2346">
        <v>0</v>
      </c>
      <c r="ET419" s="2346">
        <v>0</v>
      </c>
      <c r="EU419" s="2346">
        <v>0</v>
      </c>
      <c r="EV419" s="2346">
        <v>0</v>
      </c>
      <c r="EW419" s="2346">
        <v>0</v>
      </c>
      <c r="EX419" s="2346">
        <v>0</v>
      </c>
      <c r="EY419" s="2346">
        <v>0</v>
      </c>
      <c r="EZ419" s="2346">
        <v>0</v>
      </c>
      <c r="FA419" s="2346">
        <v>0</v>
      </c>
      <c r="FB419" s="2347">
        <v>1100</v>
      </c>
      <c r="FC419" s="2275"/>
      <c r="FD419" s="2276">
        <f>HLOOKUP(FD409,EA410:FA422,8,0)</f>
        <v>0</v>
      </c>
      <c r="FE419" s="2276">
        <f t="shared" si="336"/>
        <v>0</v>
      </c>
      <c r="FF419" s="2275">
        <v>950</v>
      </c>
      <c r="FG419" s="2275"/>
      <c r="FH419" s="2275"/>
      <c r="FI419" s="2275"/>
      <c r="FJ419" s="2275"/>
      <c r="FK419" s="2275"/>
      <c r="FL419" s="2275"/>
      <c r="FM419" s="2250"/>
      <c r="FN419" s="2250"/>
      <c r="FO419" s="2250"/>
      <c r="FP419" s="2250"/>
      <c r="FQ419" s="2250"/>
      <c r="FR419" s="2250"/>
      <c r="FS419" s="2250"/>
      <c r="FT419" s="2250"/>
      <c r="FU419" s="2250"/>
      <c r="FV419" s="2250"/>
      <c r="FW419" s="2250"/>
      <c r="FX419" s="2250"/>
      <c r="FY419" s="2250"/>
      <c r="FZ419" s="2250"/>
      <c r="GA419" s="2250"/>
      <c r="GB419" s="2250"/>
      <c r="GC419" s="2276"/>
      <c r="GD419" s="2276"/>
      <c r="GE419" s="2250"/>
      <c r="GF419" s="2275"/>
      <c r="GG419" s="4671"/>
      <c r="GH419" s="2345">
        <v>1100</v>
      </c>
      <c r="GI419" s="2346">
        <v>0</v>
      </c>
      <c r="GJ419" s="2346">
        <v>0</v>
      </c>
      <c r="GK419" s="2346">
        <v>0</v>
      </c>
      <c r="GL419" s="2346">
        <v>0</v>
      </c>
      <c r="GM419" s="2346">
        <v>0</v>
      </c>
      <c r="GN419" s="2346">
        <v>0</v>
      </c>
      <c r="GO419" s="2346">
        <v>0</v>
      </c>
      <c r="GP419" s="2346">
        <v>0</v>
      </c>
      <c r="GQ419" s="2346">
        <v>0</v>
      </c>
      <c r="GR419" s="2346">
        <v>0</v>
      </c>
      <c r="GS419" s="2346">
        <v>0</v>
      </c>
      <c r="GT419" s="2346">
        <v>0</v>
      </c>
      <c r="GU419" s="2346">
        <v>0</v>
      </c>
      <c r="GV419" s="2346">
        <v>0</v>
      </c>
      <c r="GW419" s="2346">
        <v>0</v>
      </c>
      <c r="GX419" s="2346">
        <v>0</v>
      </c>
      <c r="GY419" s="2346">
        <v>0</v>
      </c>
      <c r="GZ419" s="2346">
        <v>0</v>
      </c>
      <c r="HA419" s="2346">
        <v>0</v>
      </c>
      <c r="HB419" s="2346">
        <v>0</v>
      </c>
      <c r="HC419" s="2346">
        <v>0</v>
      </c>
      <c r="HD419" s="2346">
        <v>0</v>
      </c>
      <c r="HE419" s="2346">
        <v>0</v>
      </c>
      <c r="HF419" s="2346">
        <v>0</v>
      </c>
      <c r="HG419" s="2346">
        <v>0</v>
      </c>
      <c r="HH419" s="2346">
        <v>0</v>
      </c>
      <c r="HI419" s="2346">
        <v>0</v>
      </c>
      <c r="HJ419" s="2347">
        <v>1100</v>
      </c>
      <c r="HK419" s="2275"/>
      <c r="HL419" s="2276">
        <f>HLOOKUP(HL409,GI410:HI422,8,0)</f>
        <v>0</v>
      </c>
      <c r="HM419" s="2276">
        <f t="shared" si="337"/>
        <v>0</v>
      </c>
      <c r="HN419" s="2275">
        <v>950</v>
      </c>
      <c r="HO419" s="2275"/>
      <c r="HP419" s="2275"/>
      <c r="HQ419" s="2275"/>
      <c r="HR419" s="2275"/>
      <c r="HS419" s="2275"/>
      <c r="HT419" s="2275"/>
      <c r="HU419" s="2250"/>
      <c r="HV419" s="2250"/>
      <c r="HW419" s="2250"/>
      <c r="HX419" s="2250"/>
      <c r="HY419" s="2250"/>
      <c r="HZ419" s="2250"/>
      <c r="IA419" s="2250"/>
      <c r="IB419" s="2250"/>
      <c r="IC419" s="2250"/>
      <c r="ID419" s="2250"/>
      <c r="IE419" s="2250"/>
      <c r="IF419" s="2250"/>
      <c r="IG419" s="2250"/>
      <c r="IH419" s="2250"/>
      <c r="II419" s="2250"/>
      <c r="IJ419" s="2250"/>
      <c r="IK419" s="2250"/>
      <c r="IL419" s="53"/>
      <c r="IM419" s="53"/>
    </row>
    <row r="420" spans="2:247" ht="21.95" customHeight="1">
      <c r="B420" s="4671"/>
      <c r="C420" s="2345">
        <v>1250</v>
      </c>
      <c r="D420" s="2346">
        <v>0</v>
      </c>
      <c r="E420" s="2346">
        <v>0</v>
      </c>
      <c r="F420" s="2346">
        <v>0</v>
      </c>
      <c r="G420" s="2346">
        <v>0</v>
      </c>
      <c r="H420" s="2346">
        <v>0</v>
      </c>
      <c r="I420" s="2346">
        <v>0</v>
      </c>
      <c r="J420" s="2346">
        <v>0</v>
      </c>
      <c r="K420" s="2346">
        <v>0</v>
      </c>
      <c r="L420" s="2346">
        <v>0</v>
      </c>
      <c r="M420" s="2346">
        <v>0</v>
      </c>
      <c r="N420" s="2346">
        <v>0</v>
      </c>
      <c r="O420" s="2346">
        <v>0</v>
      </c>
      <c r="P420" s="2346">
        <v>0</v>
      </c>
      <c r="Q420" s="2346">
        <v>0</v>
      </c>
      <c r="R420" s="2346">
        <v>0</v>
      </c>
      <c r="S420" s="2346">
        <v>0</v>
      </c>
      <c r="T420" s="2346">
        <v>0</v>
      </c>
      <c r="U420" s="2346">
        <v>0</v>
      </c>
      <c r="V420" s="2346">
        <v>0</v>
      </c>
      <c r="W420" s="2346">
        <v>0</v>
      </c>
      <c r="X420" s="2346">
        <v>0</v>
      </c>
      <c r="Y420" s="2346">
        <v>0</v>
      </c>
      <c r="Z420" s="2346">
        <v>0</v>
      </c>
      <c r="AA420" s="2346">
        <v>0</v>
      </c>
      <c r="AB420" s="2346">
        <v>0</v>
      </c>
      <c r="AC420" s="2346">
        <v>0</v>
      </c>
      <c r="AD420" s="2346">
        <v>0</v>
      </c>
      <c r="AE420" s="2347">
        <v>1250</v>
      </c>
      <c r="AF420" s="2275"/>
      <c r="AG420" s="2276">
        <f>HLOOKUP(AG409,D410:AD422,9,0)</f>
        <v>0</v>
      </c>
      <c r="AH420" s="2276">
        <f t="shared" si="334"/>
        <v>0</v>
      </c>
      <c r="AI420" s="2275">
        <v>1100</v>
      </c>
      <c r="AJ420" s="2275"/>
      <c r="AK420" s="2275"/>
      <c r="AL420" s="2275"/>
      <c r="AM420" s="2275"/>
      <c r="AN420" s="2275"/>
      <c r="AO420" s="2275"/>
      <c r="AP420" s="2250"/>
      <c r="AQ420" s="2250"/>
      <c r="AR420" s="2250"/>
      <c r="AS420" s="2250"/>
      <c r="AT420" s="2250"/>
      <c r="AU420" s="2250"/>
      <c r="AV420" s="2250"/>
      <c r="AW420" s="2250"/>
      <c r="AX420" s="2250"/>
      <c r="AY420" s="2250"/>
      <c r="AZ420" s="2250"/>
      <c r="BA420" s="2250"/>
      <c r="BB420" s="2250"/>
      <c r="BC420" s="2250"/>
      <c r="BD420" s="2250"/>
      <c r="BE420" s="2250"/>
      <c r="BF420" s="2276"/>
      <c r="BG420" s="2276"/>
      <c r="BH420" s="2250"/>
      <c r="BI420" s="2275"/>
      <c r="BJ420" s="4671"/>
      <c r="BK420" s="2345">
        <v>1250</v>
      </c>
      <c r="BL420" s="2346">
        <v>0</v>
      </c>
      <c r="BM420" s="2346">
        <v>0</v>
      </c>
      <c r="BN420" s="2346">
        <v>0</v>
      </c>
      <c r="BO420" s="2346">
        <v>0</v>
      </c>
      <c r="BP420" s="2346">
        <v>0</v>
      </c>
      <c r="BQ420" s="2346">
        <v>0</v>
      </c>
      <c r="BR420" s="2346">
        <v>0</v>
      </c>
      <c r="BS420" s="2346">
        <v>0</v>
      </c>
      <c r="BT420" s="2346">
        <v>0</v>
      </c>
      <c r="BU420" s="2346">
        <v>0</v>
      </c>
      <c r="BV420" s="2346">
        <v>0</v>
      </c>
      <c r="BW420" s="2346">
        <v>0</v>
      </c>
      <c r="BX420" s="2346">
        <v>0</v>
      </c>
      <c r="BY420" s="2346">
        <v>0</v>
      </c>
      <c r="BZ420" s="2346">
        <v>0</v>
      </c>
      <c r="CA420" s="2346">
        <v>0</v>
      </c>
      <c r="CB420" s="2346">
        <v>0</v>
      </c>
      <c r="CC420" s="2346">
        <v>0</v>
      </c>
      <c r="CD420" s="2346">
        <v>0</v>
      </c>
      <c r="CE420" s="2346">
        <v>0</v>
      </c>
      <c r="CF420" s="2346">
        <v>0</v>
      </c>
      <c r="CG420" s="2346">
        <v>0</v>
      </c>
      <c r="CH420" s="2346">
        <v>0</v>
      </c>
      <c r="CI420" s="2346">
        <v>0</v>
      </c>
      <c r="CJ420" s="2346">
        <v>0</v>
      </c>
      <c r="CK420" s="2346">
        <v>0</v>
      </c>
      <c r="CL420" s="2346">
        <v>0</v>
      </c>
      <c r="CM420" s="2347">
        <v>1250</v>
      </c>
      <c r="CN420" s="2275"/>
      <c r="CO420" s="2276">
        <f>HLOOKUP(CO409,BL410:CL422,9,0)</f>
        <v>0</v>
      </c>
      <c r="CP420" s="2276">
        <f t="shared" si="335"/>
        <v>0</v>
      </c>
      <c r="CQ420" s="2275">
        <v>1100</v>
      </c>
      <c r="CR420" s="2275"/>
      <c r="CS420" s="2275"/>
      <c r="CT420" s="2275"/>
      <c r="CU420" s="2275"/>
      <c r="CV420" s="2275"/>
      <c r="CW420" s="2275"/>
      <c r="CX420" s="2250"/>
      <c r="CY420" s="2250"/>
      <c r="CZ420" s="2250"/>
      <c r="DA420" s="2250"/>
      <c r="DB420" s="2250"/>
      <c r="DC420" s="2250"/>
      <c r="DD420" s="2250"/>
      <c r="DE420" s="2250"/>
      <c r="DF420" s="2250"/>
      <c r="DG420" s="2250"/>
      <c r="DH420" s="2250"/>
      <c r="DI420" s="2250"/>
      <c r="DJ420" s="2250"/>
      <c r="DK420" s="2250"/>
      <c r="DL420" s="2250"/>
      <c r="DM420" s="2250"/>
      <c r="DN420" s="2250"/>
      <c r="DO420" s="53"/>
      <c r="DP420" s="53"/>
      <c r="DY420" s="4671"/>
      <c r="DZ420" s="2345">
        <v>1250</v>
      </c>
      <c r="EA420" s="2346">
        <v>0</v>
      </c>
      <c r="EB420" s="2346">
        <v>0</v>
      </c>
      <c r="EC420" s="2346">
        <v>0</v>
      </c>
      <c r="ED420" s="2346">
        <v>0</v>
      </c>
      <c r="EE420" s="2346">
        <v>0</v>
      </c>
      <c r="EF420" s="2346">
        <v>0</v>
      </c>
      <c r="EG420" s="2346">
        <v>0</v>
      </c>
      <c r="EH420" s="2346">
        <v>0</v>
      </c>
      <c r="EI420" s="2346">
        <v>0</v>
      </c>
      <c r="EJ420" s="2346">
        <v>0</v>
      </c>
      <c r="EK420" s="2346">
        <v>0</v>
      </c>
      <c r="EL420" s="2346">
        <v>0</v>
      </c>
      <c r="EM420" s="2346">
        <v>0</v>
      </c>
      <c r="EN420" s="2346">
        <v>0</v>
      </c>
      <c r="EO420" s="2346">
        <v>0</v>
      </c>
      <c r="EP420" s="2346">
        <v>0</v>
      </c>
      <c r="EQ420" s="2346">
        <v>0</v>
      </c>
      <c r="ER420" s="2346">
        <v>0</v>
      </c>
      <c r="ES420" s="2346">
        <v>0</v>
      </c>
      <c r="ET420" s="2346">
        <v>0</v>
      </c>
      <c r="EU420" s="2346">
        <v>0</v>
      </c>
      <c r="EV420" s="2346">
        <v>0</v>
      </c>
      <c r="EW420" s="2346">
        <v>0</v>
      </c>
      <c r="EX420" s="2346">
        <v>0</v>
      </c>
      <c r="EY420" s="2346">
        <v>0</v>
      </c>
      <c r="EZ420" s="2346">
        <v>0</v>
      </c>
      <c r="FA420" s="2346">
        <v>0</v>
      </c>
      <c r="FB420" s="2347">
        <v>1250</v>
      </c>
      <c r="FC420" s="2275"/>
      <c r="FD420" s="2276">
        <f>HLOOKUP(FD409,EA410:FA422,9,0)</f>
        <v>0</v>
      </c>
      <c r="FE420" s="2276">
        <f t="shared" si="336"/>
        <v>0</v>
      </c>
      <c r="FF420" s="2275">
        <v>1100</v>
      </c>
      <c r="FG420" s="2275"/>
      <c r="FH420" s="2275"/>
      <c r="FI420" s="2275"/>
      <c r="FJ420" s="2275"/>
      <c r="FK420" s="2275"/>
      <c r="FL420" s="2275"/>
      <c r="FM420" s="2250"/>
      <c r="FN420" s="2250"/>
      <c r="FO420" s="2250"/>
      <c r="FP420" s="2250"/>
      <c r="FQ420" s="2250"/>
      <c r="FR420" s="2250"/>
      <c r="FS420" s="2250"/>
      <c r="FT420" s="2250"/>
      <c r="FU420" s="2250"/>
      <c r="FV420" s="2250"/>
      <c r="FW420" s="2250"/>
      <c r="FX420" s="2250"/>
      <c r="FY420" s="2250"/>
      <c r="FZ420" s="2250"/>
      <c r="GA420" s="2250"/>
      <c r="GB420" s="2250"/>
      <c r="GC420" s="2276"/>
      <c r="GD420" s="2276"/>
      <c r="GE420" s="2250"/>
      <c r="GF420" s="2275"/>
      <c r="GG420" s="4671"/>
      <c r="GH420" s="2345">
        <v>1250</v>
      </c>
      <c r="GI420" s="2346">
        <v>0</v>
      </c>
      <c r="GJ420" s="2346">
        <v>0</v>
      </c>
      <c r="GK420" s="2346">
        <v>0</v>
      </c>
      <c r="GL420" s="2346">
        <v>0</v>
      </c>
      <c r="GM420" s="2346">
        <v>0</v>
      </c>
      <c r="GN420" s="2346">
        <v>0</v>
      </c>
      <c r="GO420" s="2346">
        <v>0</v>
      </c>
      <c r="GP420" s="2346">
        <v>0</v>
      </c>
      <c r="GQ420" s="2346">
        <v>0</v>
      </c>
      <c r="GR420" s="2346">
        <v>0</v>
      </c>
      <c r="GS420" s="2346">
        <v>0</v>
      </c>
      <c r="GT420" s="2346">
        <v>0</v>
      </c>
      <c r="GU420" s="2346">
        <v>0</v>
      </c>
      <c r="GV420" s="2346">
        <v>0</v>
      </c>
      <c r="GW420" s="2346">
        <v>0</v>
      </c>
      <c r="GX420" s="2346">
        <v>0</v>
      </c>
      <c r="GY420" s="2346">
        <v>0</v>
      </c>
      <c r="GZ420" s="2346">
        <v>0</v>
      </c>
      <c r="HA420" s="2346">
        <v>0</v>
      </c>
      <c r="HB420" s="2346">
        <v>0</v>
      </c>
      <c r="HC420" s="2346">
        <v>0</v>
      </c>
      <c r="HD420" s="2346">
        <v>0</v>
      </c>
      <c r="HE420" s="2346">
        <v>0</v>
      </c>
      <c r="HF420" s="2346">
        <v>0</v>
      </c>
      <c r="HG420" s="2346">
        <v>0</v>
      </c>
      <c r="HH420" s="2346">
        <v>0</v>
      </c>
      <c r="HI420" s="2346">
        <v>0</v>
      </c>
      <c r="HJ420" s="2347">
        <v>1250</v>
      </c>
      <c r="HK420" s="2275"/>
      <c r="HL420" s="2276">
        <f>HLOOKUP(HL409,GI410:HI422,9,0)</f>
        <v>0</v>
      </c>
      <c r="HM420" s="2276">
        <f t="shared" si="337"/>
        <v>0</v>
      </c>
      <c r="HN420" s="2275">
        <v>1100</v>
      </c>
      <c r="HO420" s="2275"/>
      <c r="HP420" s="2275"/>
      <c r="HQ420" s="2275"/>
      <c r="HR420" s="2275"/>
      <c r="HS420" s="2275"/>
      <c r="HT420" s="2275"/>
      <c r="HU420" s="2250"/>
      <c r="HV420" s="2250"/>
      <c r="HW420" s="2250"/>
      <c r="HX420" s="2250"/>
      <c r="HY420" s="2250"/>
      <c r="HZ420" s="2250"/>
      <c r="IA420" s="2250"/>
      <c r="IB420" s="2250"/>
      <c r="IC420" s="2250"/>
      <c r="ID420" s="2250"/>
      <c r="IE420" s="2250"/>
      <c r="IF420" s="2250"/>
      <c r="IG420" s="2250"/>
      <c r="IH420" s="2250"/>
      <c r="II420" s="2250"/>
      <c r="IJ420" s="2250"/>
      <c r="IK420" s="2250"/>
      <c r="IL420" s="53"/>
      <c r="IM420" s="53"/>
    </row>
    <row r="421" spans="2:247" ht="21.95" customHeight="1">
      <c r="B421" s="2275"/>
      <c r="C421" s="2345">
        <v>1450</v>
      </c>
      <c r="D421" s="2346">
        <v>0</v>
      </c>
      <c r="E421" s="2346">
        <v>0</v>
      </c>
      <c r="F421" s="2346">
        <v>0</v>
      </c>
      <c r="G421" s="2346">
        <v>0</v>
      </c>
      <c r="H421" s="2346">
        <v>0</v>
      </c>
      <c r="I421" s="2346">
        <v>0</v>
      </c>
      <c r="J421" s="2346">
        <v>0</v>
      </c>
      <c r="K421" s="2346">
        <v>0</v>
      </c>
      <c r="L421" s="2346">
        <v>0</v>
      </c>
      <c r="M421" s="2346">
        <v>0</v>
      </c>
      <c r="N421" s="2346">
        <v>0</v>
      </c>
      <c r="O421" s="2346">
        <v>0</v>
      </c>
      <c r="P421" s="2346">
        <v>0</v>
      </c>
      <c r="Q421" s="2346">
        <v>0</v>
      </c>
      <c r="R421" s="2346">
        <v>0</v>
      </c>
      <c r="S421" s="2346">
        <v>0</v>
      </c>
      <c r="T421" s="2346">
        <v>0</v>
      </c>
      <c r="U421" s="2346">
        <v>0</v>
      </c>
      <c r="V421" s="2346">
        <v>0</v>
      </c>
      <c r="W421" s="2346">
        <v>0</v>
      </c>
      <c r="X421" s="2346">
        <v>0</v>
      </c>
      <c r="Y421" s="2346">
        <v>0</v>
      </c>
      <c r="Z421" s="2346">
        <v>0</v>
      </c>
      <c r="AA421" s="2346">
        <v>0</v>
      </c>
      <c r="AB421" s="2346">
        <v>0</v>
      </c>
      <c r="AC421" s="2346">
        <v>0</v>
      </c>
      <c r="AD421" s="2346">
        <v>0</v>
      </c>
      <c r="AE421" s="2347">
        <v>1450</v>
      </c>
      <c r="AF421" s="2275"/>
      <c r="AG421" s="2276">
        <f>HLOOKUP(AG409,D410:AD422,10,0)</f>
        <v>0</v>
      </c>
      <c r="AH421" s="2276">
        <f t="shared" si="334"/>
        <v>0</v>
      </c>
      <c r="AI421" s="2275">
        <v>1250</v>
      </c>
      <c r="AJ421" s="2275"/>
      <c r="AK421" s="2275"/>
      <c r="AL421" s="2275"/>
      <c r="AM421" s="2275"/>
      <c r="AN421" s="2275"/>
      <c r="AO421" s="2275"/>
      <c r="AP421" s="2250"/>
      <c r="AQ421" s="2250"/>
      <c r="AR421" s="2250"/>
      <c r="AS421" s="2250"/>
      <c r="AT421" s="2250"/>
      <c r="AU421" s="2250"/>
      <c r="AV421" s="2250"/>
      <c r="AW421" s="2250"/>
      <c r="AX421" s="2250"/>
      <c r="AY421" s="2250"/>
      <c r="AZ421" s="2250"/>
      <c r="BA421" s="2250"/>
      <c r="BB421" s="2250"/>
      <c r="BC421" s="2250"/>
      <c r="BD421" s="2250"/>
      <c r="BE421" s="2250"/>
      <c r="BF421" s="2276"/>
      <c r="BG421" s="2276"/>
      <c r="BH421" s="2250"/>
      <c r="BI421" s="2275"/>
      <c r="BJ421" s="2275"/>
      <c r="BK421" s="2345">
        <v>1450</v>
      </c>
      <c r="BL421" s="2346">
        <v>0</v>
      </c>
      <c r="BM421" s="2346">
        <v>0</v>
      </c>
      <c r="BN421" s="2346">
        <v>0</v>
      </c>
      <c r="BO421" s="2346">
        <v>0</v>
      </c>
      <c r="BP421" s="2346">
        <v>0</v>
      </c>
      <c r="BQ421" s="2346">
        <v>0</v>
      </c>
      <c r="BR421" s="2346">
        <v>0</v>
      </c>
      <c r="BS421" s="2346">
        <v>0</v>
      </c>
      <c r="BT421" s="2346">
        <v>0</v>
      </c>
      <c r="BU421" s="2346">
        <v>0</v>
      </c>
      <c r="BV421" s="2346">
        <v>0</v>
      </c>
      <c r="BW421" s="2346">
        <v>0</v>
      </c>
      <c r="BX421" s="2346">
        <v>0</v>
      </c>
      <c r="BY421" s="2346">
        <v>0</v>
      </c>
      <c r="BZ421" s="2346">
        <v>0</v>
      </c>
      <c r="CA421" s="2346">
        <v>0</v>
      </c>
      <c r="CB421" s="2346">
        <v>0</v>
      </c>
      <c r="CC421" s="2346">
        <v>0</v>
      </c>
      <c r="CD421" s="2346">
        <v>0</v>
      </c>
      <c r="CE421" s="2346">
        <v>0</v>
      </c>
      <c r="CF421" s="2346">
        <v>0</v>
      </c>
      <c r="CG421" s="2346">
        <v>0</v>
      </c>
      <c r="CH421" s="2346">
        <v>0</v>
      </c>
      <c r="CI421" s="2346">
        <v>0</v>
      </c>
      <c r="CJ421" s="2346">
        <v>0</v>
      </c>
      <c r="CK421" s="2346">
        <v>0</v>
      </c>
      <c r="CL421" s="2346">
        <v>0</v>
      </c>
      <c r="CM421" s="2347">
        <v>1450</v>
      </c>
      <c r="CN421" s="2275"/>
      <c r="CO421" s="2276">
        <f>HLOOKUP(CO409,BL410:CL422,10,0)</f>
        <v>0</v>
      </c>
      <c r="CP421" s="2276">
        <f t="shared" si="335"/>
        <v>0</v>
      </c>
      <c r="CQ421" s="2275">
        <v>1250</v>
      </c>
      <c r="CR421" s="2275"/>
      <c r="CS421" s="2275"/>
      <c r="CT421" s="2275"/>
      <c r="CU421" s="2275"/>
      <c r="CV421" s="2275"/>
      <c r="CW421" s="2275"/>
      <c r="CX421" s="2250"/>
      <c r="CY421" s="2250"/>
      <c r="CZ421" s="2250"/>
      <c r="DA421" s="2250"/>
      <c r="DB421" s="2250"/>
      <c r="DC421" s="2250"/>
      <c r="DD421" s="2250"/>
      <c r="DE421" s="2250"/>
      <c r="DF421" s="2250"/>
      <c r="DG421" s="2250"/>
      <c r="DH421" s="2250"/>
      <c r="DI421" s="2250"/>
      <c r="DJ421" s="2250"/>
      <c r="DK421" s="2250"/>
      <c r="DL421" s="2250"/>
      <c r="DM421" s="2250"/>
      <c r="DN421" s="2250"/>
      <c r="DO421" s="53"/>
      <c r="DP421" s="53"/>
      <c r="DY421" s="2275"/>
      <c r="DZ421" s="2345">
        <v>1450</v>
      </c>
      <c r="EA421" s="2346">
        <v>0</v>
      </c>
      <c r="EB421" s="2346">
        <v>0</v>
      </c>
      <c r="EC421" s="2346">
        <v>0</v>
      </c>
      <c r="ED421" s="2346">
        <v>0</v>
      </c>
      <c r="EE421" s="2346">
        <v>0</v>
      </c>
      <c r="EF421" s="2346">
        <v>0</v>
      </c>
      <c r="EG421" s="2346">
        <v>0</v>
      </c>
      <c r="EH421" s="2346">
        <v>0</v>
      </c>
      <c r="EI421" s="2346">
        <v>0</v>
      </c>
      <c r="EJ421" s="2346">
        <v>0</v>
      </c>
      <c r="EK421" s="2346">
        <v>0</v>
      </c>
      <c r="EL421" s="2346">
        <v>0</v>
      </c>
      <c r="EM421" s="2346">
        <v>0</v>
      </c>
      <c r="EN421" s="2346">
        <v>0</v>
      </c>
      <c r="EO421" s="2346">
        <v>0</v>
      </c>
      <c r="EP421" s="2346">
        <v>0</v>
      </c>
      <c r="EQ421" s="2346">
        <v>0</v>
      </c>
      <c r="ER421" s="2346">
        <v>0</v>
      </c>
      <c r="ES421" s="2346">
        <v>0</v>
      </c>
      <c r="ET421" s="2346">
        <v>0</v>
      </c>
      <c r="EU421" s="2346">
        <v>0</v>
      </c>
      <c r="EV421" s="2346">
        <v>0</v>
      </c>
      <c r="EW421" s="2346">
        <v>0</v>
      </c>
      <c r="EX421" s="2346">
        <v>0</v>
      </c>
      <c r="EY421" s="2346">
        <v>0</v>
      </c>
      <c r="EZ421" s="2346">
        <v>0</v>
      </c>
      <c r="FA421" s="2346">
        <v>0</v>
      </c>
      <c r="FB421" s="2347">
        <v>1450</v>
      </c>
      <c r="FC421" s="2275"/>
      <c r="FD421" s="2276">
        <f>HLOOKUP(FD409,EA410:FA422,10,0)</f>
        <v>0</v>
      </c>
      <c r="FE421" s="2276">
        <f t="shared" si="336"/>
        <v>0</v>
      </c>
      <c r="FF421" s="2275">
        <v>1250</v>
      </c>
      <c r="FG421" s="2275"/>
      <c r="FH421" s="2275"/>
      <c r="FI421" s="2275"/>
      <c r="FJ421" s="2275"/>
      <c r="FK421" s="2275"/>
      <c r="FL421" s="2275"/>
      <c r="FM421" s="2250"/>
      <c r="FN421" s="2250"/>
      <c r="FO421" s="2250"/>
      <c r="FP421" s="2250"/>
      <c r="FQ421" s="2250"/>
      <c r="FR421" s="2250"/>
      <c r="FS421" s="2250"/>
      <c r="FT421" s="2250"/>
      <c r="FU421" s="2250"/>
      <c r="FV421" s="2250"/>
      <c r="FW421" s="2250"/>
      <c r="FX421" s="2250"/>
      <c r="FY421" s="2250"/>
      <c r="FZ421" s="2250"/>
      <c r="GA421" s="2250"/>
      <c r="GB421" s="2250"/>
      <c r="GC421" s="2276"/>
      <c r="GD421" s="2276"/>
      <c r="GE421" s="2250"/>
      <c r="GF421" s="2275"/>
      <c r="GG421" s="2275"/>
      <c r="GH421" s="2345">
        <v>1450</v>
      </c>
      <c r="GI421" s="2346">
        <v>0</v>
      </c>
      <c r="GJ421" s="2346">
        <v>0</v>
      </c>
      <c r="GK421" s="2346">
        <v>0</v>
      </c>
      <c r="GL421" s="2346">
        <v>0</v>
      </c>
      <c r="GM421" s="2346">
        <v>0</v>
      </c>
      <c r="GN421" s="2346">
        <v>0</v>
      </c>
      <c r="GO421" s="2346">
        <v>0</v>
      </c>
      <c r="GP421" s="2346">
        <v>0</v>
      </c>
      <c r="GQ421" s="2346">
        <v>0</v>
      </c>
      <c r="GR421" s="2346">
        <v>0</v>
      </c>
      <c r="GS421" s="2346">
        <v>0</v>
      </c>
      <c r="GT421" s="2346">
        <v>0</v>
      </c>
      <c r="GU421" s="2346">
        <v>0</v>
      </c>
      <c r="GV421" s="2346">
        <v>0</v>
      </c>
      <c r="GW421" s="2346">
        <v>0</v>
      </c>
      <c r="GX421" s="2346">
        <v>0</v>
      </c>
      <c r="GY421" s="2346">
        <v>0</v>
      </c>
      <c r="GZ421" s="2346">
        <v>0</v>
      </c>
      <c r="HA421" s="2346">
        <v>0</v>
      </c>
      <c r="HB421" s="2346">
        <v>0</v>
      </c>
      <c r="HC421" s="2346">
        <v>0</v>
      </c>
      <c r="HD421" s="2346">
        <v>0</v>
      </c>
      <c r="HE421" s="2346">
        <v>0</v>
      </c>
      <c r="HF421" s="2346">
        <v>0</v>
      </c>
      <c r="HG421" s="2346">
        <v>0</v>
      </c>
      <c r="HH421" s="2346">
        <v>0</v>
      </c>
      <c r="HI421" s="2346">
        <v>0</v>
      </c>
      <c r="HJ421" s="2347">
        <v>1450</v>
      </c>
      <c r="HK421" s="2275"/>
      <c r="HL421" s="2276">
        <f>HLOOKUP(HL409,GI410:HI422,10,0)</f>
        <v>0</v>
      </c>
      <c r="HM421" s="2276">
        <f t="shared" si="337"/>
        <v>0</v>
      </c>
      <c r="HN421" s="2275">
        <v>1250</v>
      </c>
      <c r="HO421" s="2275"/>
      <c r="HP421" s="2275"/>
      <c r="HQ421" s="2275"/>
      <c r="HR421" s="2275"/>
      <c r="HS421" s="2275"/>
      <c r="HT421" s="2275"/>
      <c r="HU421" s="2250"/>
      <c r="HV421" s="2250"/>
      <c r="HW421" s="2250"/>
      <c r="HX421" s="2250"/>
      <c r="HY421" s="2250"/>
      <c r="HZ421" s="2250"/>
      <c r="IA421" s="2250"/>
      <c r="IB421" s="2250"/>
      <c r="IC421" s="2250"/>
      <c r="ID421" s="2250"/>
      <c r="IE421" s="2250"/>
      <c r="IF421" s="2250"/>
      <c r="IG421" s="2250"/>
      <c r="IH421" s="2250"/>
      <c r="II421" s="2250"/>
      <c r="IJ421" s="2250"/>
      <c r="IK421" s="2250"/>
      <c r="IL421" s="53"/>
      <c r="IM421" s="53"/>
    </row>
    <row r="422" spans="2:247" ht="21.95" customHeight="1">
      <c r="B422" s="2275"/>
      <c r="C422" s="2345">
        <v>1650</v>
      </c>
      <c r="D422" s="2346">
        <v>0</v>
      </c>
      <c r="E422" s="2346">
        <v>0</v>
      </c>
      <c r="F422" s="2346">
        <v>0</v>
      </c>
      <c r="G422" s="2346">
        <v>0</v>
      </c>
      <c r="H422" s="2346">
        <v>0</v>
      </c>
      <c r="I422" s="2346">
        <v>0</v>
      </c>
      <c r="J422" s="2346">
        <v>0</v>
      </c>
      <c r="K422" s="2346">
        <v>0</v>
      </c>
      <c r="L422" s="2346">
        <v>0</v>
      </c>
      <c r="M422" s="2346">
        <v>0</v>
      </c>
      <c r="N422" s="2346">
        <v>0</v>
      </c>
      <c r="O422" s="2346">
        <v>0</v>
      </c>
      <c r="P422" s="2346">
        <v>0</v>
      </c>
      <c r="Q422" s="2346">
        <v>0</v>
      </c>
      <c r="R422" s="2346">
        <v>0</v>
      </c>
      <c r="S422" s="2346">
        <v>0</v>
      </c>
      <c r="T422" s="2346">
        <v>0</v>
      </c>
      <c r="U422" s="2346">
        <v>0</v>
      </c>
      <c r="V422" s="2346">
        <v>0</v>
      </c>
      <c r="W422" s="2346">
        <v>0</v>
      </c>
      <c r="X422" s="2346">
        <v>0</v>
      </c>
      <c r="Y422" s="2346">
        <v>0</v>
      </c>
      <c r="Z422" s="2346">
        <v>0</v>
      </c>
      <c r="AA422" s="2346">
        <v>0</v>
      </c>
      <c r="AB422" s="2346">
        <v>0</v>
      </c>
      <c r="AC422" s="2346">
        <v>0</v>
      </c>
      <c r="AD422" s="2346">
        <v>0</v>
      </c>
      <c r="AE422" s="2347">
        <v>1650</v>
      </c>
      <c r="AF422" s="2275"/>
      <c r="AG422" s="2276">
        <f>HLOOKUP(AG409,D410:AD422,11,0)</f>
        <v>0</v>
      </c>
      <c r="AH422" s="2276">
        <f t="shared" si="334"/>
        <v>0</v>
      </c>
      <c r="AI422" s="2275">
        <v>1450</v>
      </c>
      <c r="AJ422" s="2275"/>
      <c r="AK422" s="2275"/>
      <c r="AL422" s="2275"/>
      <c r="AM422" s="2275"/>
      <c r="AN422" s="2275"/>
      <c r="AO422" s="2275"/>
      <c r="AP422" s="2250"/>
      <c r="AQ422" s="2250"/>
      <c r="AR422" s="2250"/>
      <c r="AS422" s="2250"/>
      <c r="AT422" s="2250"/>
      <c r="AU422" s="2250"/>
      <c r="AV422" s="2250"/>
      <c r="AW422" s="2250"/>
      <c r="AX422" s="2250"/>
      <c r="AY422" s="2250"/>
      <c r="AZ422" s="2250"/>
      <c r="BA422" s="2250"/>
      <c r="BB422" s="2250"/>
      <c r="BC422" s="2250"/>
      <c r="BD422" s="2250"/>
      <c r="BE422" s="2250"/>
      <c r="BF422" s="2276"/>
      <c r="BG422" s="2276"/>
      <c r="BH422" s="2250"/>
      <c r="BI422" s="2275"/>
      <c r="BJ422" s="2275"/>
      <c r="BK422" s="2345">
        <v>1650</v>
      </c>
      <c r="BL422" s="2346">
        <v>0</v>
      </c>
      <c r="BM422" s="2346">
        <v>0</v>
      </c>
      <c r="BN422" s="2346">
        <v>0</v>
      </c>
      <c r="BO422" s="2346">
        <v>0</v>
      </c>
      <c r="BP422" s="2346">
        <v>0</v>
      </c>
      <c r="BQ422" s="2346">
        <v>0</v>
      </c>
      <c r="BR422" s="2346">
        <v>0</v>
      </c>
      <c r="BS422" s="2346">
        <v>0</v>
      </c>
      <c r="BT422" s="2346">
        <v>0</v>
      </c>
      <c r="BU422" s="2346">
        <v>0</v>
      </c>
      <c r="BV422" s="2346">
        <v>0</v>
      </c>
      <c r="BW422" s="2346">
        <v>0</v>
      </c>
      <c r="BX422" s="2346">
        <v>0</v>
      </c>
      <c r="BY422" s="2346">
        <v>0</v>
      </c>
      <c r="BZ422" s="2346">
        <v>0</v>
      </c>
      <c r="CA422" s="2346">
        <v>0</v>
      </c>
      <c r="CB422" s="2346">
        <v>0</v>
      </c>
      <c r="CC422" s="2346">
        <v>0</v>
      </c>
      <c r="CD422" s="2346">
        <v>0</v>
      </c>
      <c r="CE422" s="2346">
        <v>0</v>
      </c>
      <c r="CF422" s="2346">
        <v>0</v>
      </c>
      <c r="CG422" s="2346">
        <v>0</v>
      </c>
      <c r="CH422" s="2346">
        <v>0</v>
      </c>
      <c r="CI422" s="2346">
        <v>0</v>
      </c>
      <c r="CJ422" s="2346">
        <v>0</v>
      </c>
      <c r="CK422" s="2346">
        <v>0</v>
      </c>
      <c r="CL422" s="2346">
        <v>0</v>
      </c>
      <c r="CM422" s="2347">
        <v>1650</v>
      </c>
      <c r="CN422" s="2275"/>
      <c r="CO422" s="2276">
        <f>HLOOKUP(CO409,BL410:CL422,11,0)</f>
        <v>0</v>
      </c>
      <c r="CP422" s="2276">
        <f t="shared" si="335"/>
        <v>0</v>
      </c>
      <c r="CQ422" s="2275">
        <v>1450</v>
      </c>
      <c r="CR422" s="2275"/>
      <c r="CS422" s="2275"/>
      <c r="CT422" s="2275"/>
      <c r="CU422" s="2275"/>
      <c r="CV422" s="2275"/>
      <c r="CW422" s="2275"/>
      <c r="CX422" s="2250"/>
      <c r="CY422" s="2250"/>
      <c r="CZ422" s="2250"/>
      <c r="DA422" s="2250"/>
      <c r="DB422" s="2250"/>
      <c r="DC422" s="2250"/>
      <c r="DD422" s="2250"/>
      <c r="DE422" s="2250"/>
      <c r="DF422" s="2250"/>
      <c r="DG422" s="2250"/>
      <c r="DH422" s="2250"/>
      <c r="DI422" s="2250"/>
      <c r="DJ422" s="2250"/>
      <c r="DK422" s="2250"/>
      <c r="DL422" s="2250"/>
      <c r="DM422" s="2250"/>
      <c r="DN422" s="2250"/>
      <c r="DO422" s="53"/>
      <c r="DP422" s="53"/>
      <c r="DY422" s="2275"/>
      <c r="DZ422" s="2345">
        <v>1650</v>
      </c>
      <c r="EA422" s="2346">
        <v>0</v>
      </c>
      <c r="EB422" s="2346">
        <v>0</v>
      </c>
      <c r="EC422" s="2346">
        <v>0</v>
      </c>
      <c r="ED422" s="2346">
        <v>0</v>
      </c>
      <c r="EE422" s="2346">
        <v>0</v>
      </c>
      <c r="EF422" s="2346">
        <v>0</v>
      </c>
      <c r="EG422" s="2346">
        <v>0</v>
      </c>
      <c r="EH422" s="2346">
        <v>0</v>
      </c>
      <c r="EI422" s="2346">
        <v>0</v>
      </c>
      <c r="EJ422" s="2346">
        <v>0</v>
      </c>
      <c r="EK422" s="2346">
        <v>0</v>
      </c>
      <c r="EL422" s="2346">
        <v>0</v>
      </c>
      <c r="EM422" s="2346">
        <v>0</v>
      </c>
      <c r="EN422" s="2346">
        <v>0</v>
      </c>
      <c r="EO422" s="2346">
        <v>0</v>
      </c>
      <c r="EP422" s="2346">
        <v>0</v>
      </c>
      <c r="EQ422" s="2346">
        <v>0</v>
      </c>
      <c r="ER422" s="2346">
        <v>0</v>
      </c>
      <c r="ES422" s="2346">
        <v>0</v>
      </c>
      <c r="ET422" s="2346">
        <v>0</v>
      </c>
      <c r="EU422" s="2346">
        <v>0</v>
      </c>
      <c r="EV422" s="2346">
        <v>0</v>
      </c>
      <c r="EW422" s="2346">
        <v>0</v>
      </c>
      <c r="EX422" s="2346">
        <v>0</v>
      </c>
      <c r="EY422" s="2346">
        <v>0</v>
      </c>
      <c r="EZ422" s="2346">
        <v>0</v>
      </c>
      <c r="FA422" s="2346">
        <v>0</v>
      </c>
      <c r="FB422" s="2347">
        <v>1650</v>
      </c>
      <c r="FC422" s="2275"/>
      <c r="FD422" s="2276">
        <f>HLOOKUP(FD409,EA410:FA422,11,0)</f>
        <v>0</v>
      </c>
      <c r="FE422" s="2276">
        <f t="shared" si="336"/>
        <v>0</v>
      </c>
      <c r="FF422" s="2275">
        <v>1450</v>
      </c>
      <c r="FG422" s="2275"/>
      <c r="FH422" s="2275"/>
      <c r="FI422" s="2275"/>
      <c r="FJ422" s="2275"/>
      <c r="FK422" s="2275"/>
      <c r="FL422" s="2275"/>
      <c r="FM422" s="2250"/>
      <c r="FN422" s="2250"/>
      <c r="FO422" s="2250"/>
      <c r="FP422" s="2250"/>
      <c r="FQ422" s="2250"/>
      <c r="FR422" s="2250"/>
      <c r="FS422" s="2250"/>
      <c r="FT422" s="2250"/>
      <c r="FU422" s="2250"/>
      <c r="FV422" s="2250"/>
      <c r="FW422" s="2250"/>
      <c r="FX422" s="2250"/>
      <c r="FY422" s="2250"/>
      <c r="FZ422" s="2250"/>
      <c r="GA422" s="2250"/>
      <c r="GB422" s="2250"/>
      <c r="GC422" s="2276"/>
      <c r="GD422" s="2276"/>
      <c r="GE422" s="2250"/>
      <c r="GF422" s="2275"/>
      <c r="GG422" s="2275"/>
      <c r="GH422" s="2345">
        <v>1650</v>
      </c>
      <c r="GI422" s="2346">
        <v>0</v>
      </c>
      <c r="GJ422" s="2346">
        <v>0</v>
      </c>
      <c r="GK422" s="2346">
        <v>0</v>
      </c>
      <c r="GL422" s="2346">
        <v>0</v>
      </c>
      <c r="GM422" s="2346">
        <v>0</v>
      </c>
      <c r="GN422" s="2346">
        <v>0</v>
      </c>
      <c r="GO422" s="2346">
        <v>0</v>
      </c>
      <c r="GP422" s="2346">
        <v>0</v>
      </c>
      <c r="GQ422" s="2346">
        <v>0</v>
      </c>
      <c r="GR422" s="2346">
        <v>0</v>
      </c>
      <c r="GS422" s="2346">
        <v>0</v>
      </c>
      <c r="GT422" s="2346">
        <v>0</v>
      </c>
      <c r="GU422" s="2346">
        <v>0</v>
      </c>
      <c r="GV422" s="2346">
        <v>0</v>
      </c>
      <c r="GW422" s="2346">
        <v>0</v>
      </c>
      <c r="GX422" s="2346">
        <v>0</v>
      </c>
      <c r="GY422" s="2346">
        <v>0</v>
      </c>
      <c r="GZ422" s="2346">
        <v>0</v>
      </c>
      <c r="HA422" s="2346">
        <v>0</v>
      </c>
      <c r="HB422" s="2346">
        <v>0</v>
      </c>
      <c r="HC422" s="2346">
        <v>0</v>
      </c>
      <c r="HD422" s="2346">
        <v>0</v>
      </c>
      <c r="HE422" s="2346">
        <v>0</v>
      </c>
      <c r="HF422" s="2346">
        <v>0</v>
      </c>
      <c r="HG422" s="2346">
        <v>0</v>
      </c>
      <c r="HH422" s="2346">
        <v>0</v>
      </c>
      <c r="HI422" s="2346">
        <v>0</v>
      </c>
      <c r="HJ422" s="2347">
        <v>1650</v>
      </c>
      <c r="HK422" s="2275"/>
      <c r="HL422" s="2276">
        <f>HLOOKUP(HL409,GI410:HI422,11,0)</f>
        <v>0</v>
      </c>
      <c r="HM422" s="2276">
        <f t="shared" si="337"/>
        <v>0</v>
      </c>
      <c r="HN422" s="2275">
        <v>1450</v>
      </c>
      <c r="HO422" s="2275"/>
      <c r="HP422" s="2275"/>
      <c r="HQ422" s="2275"/>
      <c r="HR422" s="2275"/>
      <c r="HS422" s="2275"/>
      <c r="HT422" s="2275"/>
      <c r="HU422" s="2250"/>
      <c r="HV422" s="2250"/>
      <c r="HW422" s="2250"/>
      <c r="HX422" s="2250"/>
      <c r="HY422" s="2250"/>
      <c r="HZ422" s="2250"/>
      <c r="IA422" s="2250"/>
      <c r="IB422" s="2250"/>
      <c r="IC422" s="2250"/>
      <c r="ID422" s="2250"/>
      <c r="IE422" s="2250"/>
      <c r="IF422" s="2250"/>
      <c r="IG422" s="2250"/>
      <c r="IH422" s="2250"/>
      <c r="II422" s="2250"/>
      <c r="IJ422" s="2250"/>
      <c r="IK422" s="2250"/>
      <c r="IL422" s="53"/>
      <c r="IM422" s="53"/>
    </row>
    <row r="423" spans="2:247" ht="21.95" customHeight="1">
      <c r="B423" s="2275"/>
      <c r="C423" s="2275"/>
      <c r="D423" s="2275"/>
      <c r="E423" s="2275"/>
      <c r="F423" s="2275"/>
      <c r="G423" s="2275"/>
      <c r="H423" s="2275"/>
      <c r="I423" s="2275"/>
      <c r="J423" s="2275"/>
      <c r="K423" s="2275"/>
      <c r="L423" s="2275"/>
      <c r="M423" s="2275"/>
      <c r="N423" s="2275"/>
      <c r="O423" s="2275"/>
      <c r="P423" s="2275"/>
      <c r="Q423" s="2275"/>
      <c r="R423" s="2275"/>
      <c r="S423" s="2275"/>
      <c r="T423" s="2275"/>
      <c r="U423" s="2275"/>
      <c r="V423" s="2275"/>
      <c r="W423" s="2275"/>
      <c r="X423" s="2275"/>
      <c r="Y423" s="2275"/>
      <c r="Z423" s="2275"/>
      <c r="AA423" s="2275"/>
      <c r="AB423" s="2275"/>
      <c r="AC423" s="2275"/>
      <c r="AD423" s="2275"/>
      <c r="AE423" s="2346"/>
      <c r="AF423" s="2275"/>
      <c r="AG423" s="2276">
        <f>HLOOKUP(AG409,D410:AD422,12,0)</f>
        <v>0</v>
      </c>
      <c r="AH423" s="2276">
        <f t="shared" si="334"/>
        <v>0</v>
      </c>
      <c r="AI423" s="2275">
        <v>1650</v>
      </c>
      <c r="AJ423" s="2275"/>
      <c r="AK423" s="2275"/>
      <c r="AL423" s="2275"/>
      <c r="AM423" s="2275"/>
      <c r="AN423" s="2275"/>
      <c r="AO423" s="2275"/>
      <c r="AP423" s="2250"/>
      <c r="AQ423" s="2250"/>
      <c r="AR423" s="2250"/>
      <c r="AS423" s="2250"/>
      <c r="AT423" s="2250"/>
      <c r="AU423" s="2250"/>
      <c r="AV423" s="2250"/>
      <c r="AW423" s="2250"/>
      <c r="AX423" s="2250"/>
      <c r="AY423" s="2250"/>
      <c r="AZ423" s="2250"/>
      <c r="BA423" s="2250"/>
      <c r="BB423" s="2250"/>
      <c r="BC423" s="2250"/>
      <c r="BD423" s="2250"/>
      <c r="BE423" s="2250"/>
      <c r="BF423" s="2276"/>
      <c r="BG423" s="2276"/>
      <c r="BH423" s="2250"/>
      <c r="BI423" s="2275"/>
      <c r="BJ423" s="2275"/>
      <c r="BK423" s="2275"/>
      <c r="BL423" s="2275"/>
      <c r="BM423" s="2275"/>
      <c r="BN423" s="2275"/>
      <c r="BO423" s="2275"/>
      <c r="BP423" s="2275"/>
      <c r="BQ423" s="2275"/>
      <c r="BR423" s="2275"/>
      <c r="BS423" s="2275"/>
      <c r="BT423" s="2275"/>
      <c r="BU423" s="2275"/>
      <c r="BV423" s="2275"/>
      <c r="BW423" s="2275"/>
      <c r="BX423" s="2275"/>
      <c r="BY423" s="2275"/>
      <c r="BZ423" s="2275"/>
      <c r="CA423" s="2275"/>
      <c r="CB423" s="2275"/>
      <c r="CC423" s="2275"/>
      <c r="CD423" s="2275"/>
      <c r="CE423" s="2275"/>
      <c r="CF423" s="2275"/>
      <c r="CG423" s="2275"/>
      <c r="CH423" s="2275"/>
      <c r="CI423" s="2275"/>
      <c r="CJ423" s="2275"/>
      <c r="CK423" s="2275"/>
      <c r="CL423" s="2275"/>
      <c r="CM423" s="2346"/>
      <c r="CN423" s="2275"/>
      <c r="CO423" s="2276">
        <f>HLOOKUP(CO409,BL410:CL422,12,0)</f>
        <v>0</v>
      </c>
      <c r="CP423" s="2276">
        <f t="shared" si="335"/>
        <v>0</v>
      </c>
      <c r="CQ423" s="2275">
        <v>1650</v>
      </c>
      <c r="CR423" s="2275"/>
      <c r="CS423" s="2275"/>
      <c r="CT423" s="2275"/>
      <c r="CU423" s="2275"/>
      <c r="CV423" s="2275"/>
      <c r="CW423" s="2275"/>
      <c r="CX423" s="2250"/>
      <c r="CY423" s="2250"/>
      <c r="CZ423" s="2250"/>
      <c r="DA423" s="2250"/>
      <c r="DB423" s="2250"/>
      <c r="DC423" s="2250"/>
      <c r="DD423" s="2250"/>
      <c r="DE423" s="2250"/>
      <c r="DF423" s="2250"/>
      <c r="DG423" s="2250"/>
      <c r="DH423" s="2250"/>
      <c r="DI423" s="2250"/>
      <c r="DJ423" s="2250"/>
      <c r="DK423" s="2250"/>
      <c r="DL423" s="2250"/>
      <c r="DM423" s="2250"/>
      <c r="DN423" s="2250"/>
      <c r="DO423" s="53"/>
      <c r="DP423" s="53"/>
      <c r="DY423" s="2275"/>
      <c r="DZ423" s="2275"/>
      <c r="EA423" s="2275"/>
      <c r="EB423" s="2275"/>
      <c r="EC423" s="2275"/>
      <c r="ED423" s="2275"/>
      <c r="EE423" s="2275"/>
      <c r="EF423" s="2275"/>
      <c r="EG423" s="2275"/>
      <c r="EH423" s="2275"/>
      <c r="EI423" s="2275"/>
      <c r="EJ423" s="2275"/>
      <c r="EK423" s="2275"/>
      <c r="EL423" s="2275"/>
      <c r="EM423" s="2275"/>
      <c r="EN423" s="2275"/>
      <c r="EO423" s="2275"/>
      <c r="EP423" s="2275"/>
      <c r="EQ423" s="2275"/>
      <c r="ER423" s="2275"/>
      <c r="ES423" s="2275"/>
      <c r="ET423" s="2275"/>
      <c r="EU423" s="2275"/>
      <c r="EV423" s="2275"/>
      <c r="EW423" s="2275"/>
      <c r="EX423" s="2275"/>
      <c r="EY423" s="2275"/>
      <c r="EZ423" s="2275"/>
      <c r="FA423" s="2275"/>
      <c r="FB423" s="2346"/>
      <c r="FC423" s="2275"/>
      <c r="FD423" s="2276">
        <f>HLOOKUP(FD409,EA410:FA422,12,0)</f>
        <v>0</v>
      </c>
      <c r="FE423" s="2276">
        <f t="shared" si="336"/>
        <v>0</v>
      </c>
      <c r="FF423" s="2275">
        <v>1650</v>
      </c>
      <c r="FG423" s="2275"/>
      <c r="FH423" s="2275"/>
      <c r="FI423" s="2275"/>
      <c r="FJ423" s="2275"/>
      <c r="FK423" s="2275"/>
      <c r="FL423" s="2275"/>
      <c r="FM423" s="2250"/>
      <c r="FN423" s="2250"/>
      <c r="FO423" s="2250"/>
      <c r="FP423" s="2250"/>
      <c r="FQ423" s="2250"/>
      <c r="FR423" s="2250"/>
      <c r="FS423" s="2250"/>
      <c r="FT423" s="2250"/>
      <c r="FU423" s="2250"/>
      <c r="FV423" s="2250"/>
      <c r="FW423" s="2250"/>
      <c r="FX423" s="2250"/>
      <c r="FY423" s="2250"/>
      <c r="FZ423" s="2250"/>
      <c r="GA423" s="2250"/>
      <c r="GB423" s="2250"/>
      <c r="GC423" s="2276"/>
      <c r="GD423" s="2276"/>
      <c r="GE423" s="2250"/>
      <c r="GF423" s="2275"/>
      <c r="GG423" s="2275"/>
      <c r="GH423" s="2275"/>
      <c r="GI423" s="2275"/>
      <c r="GJ423" s="2275"/>
      <c r="GK423" s="2275"/>
      <c r="GL423" s="2275"/>
      <c r="GM423" s="2275"/>
      <c r="GN423" s="2275"/>
      <c r="GO423" s="2275"/>
      <c r="GP423" s="2275"/>
      <c r="GQ423" s="2275"/>
      <c r="GR423" s="2275"/>
      <c r="GS423" s="2275"/>
      <c r="GT423" s="2275"/>
      <c r="GU423" s="2275"/>
      <c r="GV423" s="2275"/>
      <c r="GW423" s="2275"/>
      <c r="GX423" s="2275"/>
      <c r="GY423" s="2275"/>
      <c r="GZ423" s="2275"/>
      <c r="HA423" s="2275"/>
      <c r="HB423" s="2275"/>
      <c r="HC423" s="2275"/>
      <c r="HD423" s="2275"/>
      <c r="HE423" s="2275"/>
      <c r="HF423" s="2275"/>
      <c r="HG423" s="2275"/>
      <c r="HH423" s="2275"/>
      <c r="HI423" s="2275"/>
      <c r="HJ423" s="2346"/>
      <c r="HK423" s="2275"/>
      <c r="HL423" s="2276">
        <f>HLOOKUP(HL409,GI410:HI422,12,0)</f>
        <v>0</v>
      </c>
      <c r="HM423" s="2276">
        <f t="shared" si="337"/>
        <v>0</v>
      </c>
      <c r="HN423" s="2275">
        <v>1650</v>
      </c>
      <c r="HO423" s="2275"/>
      <c r="HP423" s="2275"/>
      <c r="HQ423" s="2275"/>
      <c r="HR423" s="2275"/>
      <c r="HS423" s="2275"/>
      <c r="HT423" s="2275"/>
      <c r="HU423" s="2250"/>
      <c r="HV423" s="2250"/>
      <c r="HW423" s="2250"/>
      <c r="HX423" s="2250"/>
      <c r="HY423" s="2250"/>
      <c r="HZ423" s="2250"/>
      <c r="IA423" s="2250"/>
      <c r="IB423" s="2250"/>
      <c r="IC423" s="2250"/>
      <c r="ID423" s="2250"/>
      <c r="IE423" s="2250"/>
      <c r="IF423" s="2250"/>
      <c r="IG423" s="2250"/>
      <c r="IH423" s="2250"/>
      <c r="II423" s="2250"/>
      <c r="IJ423" s="2250"/>
      <c r="IK423" s="2250"/>
      <c r="IL423" s="53"/>
      <c r="IM423" s="53"/>
    </row>
    <row r="424" spans="2:247" ht="21.95" customHeight="1">
      <c r="B424" s="2276">
        <f>AG409</f>
        <v>190.4</v>
      </c>
      <c r="C424" s="2275">
        <v>0</v>
      </c>
      <c r="D424" s="2276">
        <f>VLOOKUP(B426,C412:AD422,2,0)</f>
        <v>0</v>
      </c>
      <c r="E424" s="2276">
        <f>VLOOKUP(B426,C412:E422,3,0)</f>
        <v>0</v>
      </c>
      <c r="F424" s="2276">
        <f>VLOOKUP(B426,C412:F422,4,0)</f>
        <v>0</v>
      </c>
      <c r="G424" s="2276">
        <f>VLOOKUP(B426,C412:G422,5,0)</f>
        <v>0</v>
      </c>
      <c r="H424" s="2276">
        <f>VLOOKUP(B426,C412:H422,6,0)</f>
        <v>0</v>
      </c>
      <c r="I424" s="2276">
        <f>VLOOKUP(B426,C412:I422,7,0)</f>
        <v>0</v>
      </c>
      <c r="J424" s="2276">
        <f>VLOOKUP(B426,C412:J422,8,0)</f>
        <v>0</v>
      </c>
      <c r="K424" s="2276">
        <f>VLOOKUP(B426,C412:K422,9,0)</f>
        <v>0</v>
      </c>
      <c r="L424" s="2276">
        <f>VLOOKUP(B426,C412:L422,10,0)</f>
        <v>0</v>
      </c>
      <c r="M424" s="2276">
        <f>VLOOKUP(B426,C412:M422,11,0)</f>
        <v>0</v>
      </c>
      <c r="N424" s="2276">
        <f>VLOOKUP(B426,C412:N422,12,0)</f>
        <v>0</v>
      </c>
      <c r="O424" s="2276">
        <f>VLOOKUP(B426,C412:O422,13,0)</f>
        <v>0</v>
      </c>
      <c r="P424" s="2276">
        <f>VLOOKUP(B426,C412:P422,14,0)</f>
        <v>0</v>
      </c>
      <c r="Q424" s="2276">
        <f>VLOOKUP(B426,C412:Q422,15,0)</f>
        <v>0</v>
      </c>
      <c r="R424" s="2276">
        <f>VLOOKUP(B426,C412:R422,16,0)</f>
        <v>0</v>
      </c>
      <c r="S424" s="2276">
        <f>VLOOKUP(B426,C412:S422,17,0)</f>
        <v>0</v>
      </c>
      <c r="T424" s="2276">
        <f>VLOOKUP(B426,C412:T422,18,0)</f>
        <v>0</v>
      </c>
      <c r="U424" s="2276">
        <f>VLOOKUP(B426,C412:U422,19,0)</f>
        <v>0</v>
      </c>
      <c r="V424" s="2276">
        <f>VLOOKUP(B426,C412:V422,20,0)</f>
        <v>0</v>
      </c>
      <c r="W424" s="2276">
        <f>VLOOKUP(B426,C412:W422,21,0)</f>
        <v>0</v>
      </c>
      <c r="X424" s="2276">
        <f>VLOOKUP(B426,C412:X422,22,0)</f>
        <v>0</v>
      </c>
      <c r="Y424" s="2276">
        <f>VLOOKUP(B426,C412:Y422,23,0)</f>
        <v>0</v>
      </c>
      <c r="Z424" s="2276">
        <f>VLOOKUP(B426,C412:Z422,24,0)</f>
        <v>0</v>
      </c>
      <c r="AA424" s="2276">
        <f>VLOOKUP(B426,C412:AA422,25,0)</f>
        <v>0</v>
      </c>
      <c r="AB424" s="2276">
        <f>VLOOKUP(B426,C412:AB422,26,0)</f>
        <v>0</v>
      </c>
      <c r="AC424" s="2276">
        <f>VLOOKUP(B426,C412:AC422,27,0)</f>
        <v>0</v>
      </c>
      <c r="AD424" s="2276">
        <f>VLOOKUP(B426,C412:AD422,28,0)</f>
        <v>0</v>
      </c>
      <c r="AE424" s="2346"/>
      <c r="AF424" s="2275"/>
      <c r="AG424" s="2276">
        <f>HLOOKUP(AG409,D410:AD422,13,0)</f>
        <v>0</v>
      </c>
      <c r="AH424" s="2275"/>
      <c r="AI424" s="2275"/>
      <c r="AJ424" s="2275"/>
      <c r="AK424" s="2275"/>
      <c r="AL424" s="2275"/>
      <c r="AM424" s="2275"/>
      <c r="AN424" s="2275"/>
      <c r="AO424" s="2275"/>
      <c r="AP424" s="2250"/>
      <c r="AQ424" s="2250"/>
      <c r="AR424" s="2250"/>
      <c r="AS424" s="2250"/>
      <c r="AT424" s="2250"/>
      <c r="AU424" s="2250"/>
      <c r="AV424" s="2250"/>
      <c r="AW424" s="2250"/>
      <c r="AX424" s="2250"/>
      <c r="AY424" s="2250"/>
      <c r="AZ424" s="2250"/>
      <c r="BA424" s="2250"/>
      <c r="BB424" s="2250"/>
      <c r="BC424" s="2250"/>
      <c r="BD424" s="2250"/>
      <c r="BE424" s="2250"/>
      <c r="BF424" s="2276"/>
      <c r="BG424" s="2276"/>
      <c r="BH424" s="2250"/>
      <c r="BI424" s="2275"/>
      <c r="BJ424" s="2276">
        <f>CO409</f>
        <v>206.43</v>
      </c>
      <c r="BK424" s="2275">
        <v>0</v>
      </c>
      <c r="BL424" s="2276">
        <f>VLOOKUP(BJ426,BK412:CL422,2,0)</f>
        <v>0</v>
      </c>
      <c r="BM424" s="2276">
        <f>VLOOKUP(BJ426,BK412:BM422,3,0)</f>
        <v>0</v>
      </c>
      <c r="BN424" s="2276">
        <f>VLOOKUP(BJ426,BK412:BN422,4,0)</f>
        <v>0</v>
      </c>
      <c r="BO424" s="2276">
        <f>VLOOKUP(BJ426,BK412:BO422,5,0)</f>
        <v>0</v>
      </c>
      <c r="BP424" s="2276">
        <f>VLOOKUP(BJ426,BK412:BP422,6,0)</f>
        <v>0</v>
      </c>
      <c r="BQ424" s="2276">
        <f>VLOOKUP(BJ426,BK412:BQ422,7,0)</f>
        <v>0</v>
      </c>
      <c r="BR424" s="2276">
        <f>VLOOKUP(BJ426,BK412:BR422,8,0)</f>
        <v>0</v>
      </c>
      <c r="BS424" s="2276">
        <f>VLOOKUP(BJ426,BK412:BS422,9,0)</f>
        <v>0</v>
      </c>
      <c r="BT424" s="2276">
        <f>VLOOKUP(BJ426,BK412:BT422,10,0)</f>
        <v>0</v>
      </c>
      <c r="BU424" s="2276">
        <f>VLOOKUP(BJ426,BK412:BU422,11,0)</f>
        <v>0</v>
      </c>
      <c r="BV424" s="2276">
        <f>VLOOKUP(BJ426,BK412:BV422,12,0)</f>
        <v>0</v>
      </c>
      <c r="BW424" s="2276">
        <f>VLOOKUP(BJ426,BK412:BW422,13,0)</f>
        <v>0</v>
      </c>
      <c r="BX424" s="2276">
        <f>VLOOKUP(BJ426,BK412:BX422,14,0)</f>
        <v>0</v>
      </c>
      <c r="BY424" s="2276">
        <f>VLOOKUP(BJ426,BK412:BY422,15,0)</f>
        <v>0</v>
      </c>
      <c r="BZ424" s="2276">
        <f>VLOOKUP(BJ426,BK412:BZ422,16,0)</f>
        <v>0</v>
      </c>
      <c r="CA424" s="2276">
        <f>VLOOKUP(BJ426,BK412:CA422,17,0)</f>
        <v>0</v>
      </c>
      <c r="CB424" s="2276">
        <f>VLOOKUP(BJ426,BK412:CB422,18,0)</f>
        <v>0</v>
      </c>
      <c r="CC424" s="2276">
        <f>VLOOKUP(BJ426,BK412:CC422,19,0)</f>
        <v>0</v>
      </c>
      <c r="CD424" s="2276">
        <f>VLOOKUP(BJ426,BK412:CD422,20,0)</f>
        <v>0</v>
      </c>
      <c r="CE424" s="2276">
        <f>VLOOKUP(BJ426,BK412:CE422,21,0)</f>
        <v>0</v>
      </c>
      <c r="CF424" s="2276">
        <f>VLOOKUP(BJ426,BK412:CF422,22,0)</f>
        <v>0</v>
      </c>
      <c r="CG424" s="2276">
        <f>VLOOKUP(BJ426,BK412:CG422,23,0)</f>
        <v>0</v>
      </c>
      <c r="CH424" s="2276">
        <f>VLOOKUP(BJ426,BK412:CH422,24,0)</f>
        <v>0</v>
      </c>
      <c r="CI424" s="2276">
        <f>VLOOKUP(BJ426,BK412:CI422,25,0)</f>
        <v>0</v>
      </c>
      <c r="CJ424" s="2276">
        <f>VLOOKUP(BJ426,BK412:CJ422,26,0)</f>
        <v>0</v>
      </c>
      <c r="CK424" s="2276">
        <f>VLOOKUP(BJ426,BK412:CK422,27,0)</f>
        <v>0</v>
      </c>
      <c r="CL424" s="2276">
        <f>VLOOKUP(BJ426,BK412:CL422,28,0)</f>
        <v>0</v>
      </c>
      <c r="CM424" s="2346"/>
      <c r="CN424" s="2275"/>
      <c r="CO424" s="2276">
        <f>HLOOKUP(CO409,BL410:CL422,13,0)</f>
        <v>0</v>
      </c>
      <c r="CP424" s="2275"/>
      <c r="CQ424" s="2275"/>
      <c r="CR424" s="2275"/>
      <c r="CS424" s="2275"/>
      <c r="CT424" s="2275"/>
      <c r="CU424" s="2275"/>
      <c r="CV424" s="2275"/>
      <c r="CW424" s="2275"/>
      <c r="CX424" s="2250"/>
      <c r="CY424" s="2250"/>
      <c r="CZ424" s="2250"/>
      <c r="DA424" s="2250"/>
      <c r="DB424" s="2250"/>
      <c r="DC424" s="2250"/>
      <c r="DD424" s="2250"/>
      <c r="DE424" s="2250"/>
      <c r="DF424" s="2250"/>
      <c r="DG424" s="2250"/>
      <c r="DH424" s="2250"/>
      <c r="DI424" s="2250"/>
      <c r="DJ424" s="2250"/>
      <c r="DK424" s="2250"/>
      <c r="DL424" s="2250"/>
      <c r="DM424" s="2250"/>
      <c r="DN424" s="2250"/>
      <c r="DO424" s="53"/>
      <c r="DP424" s="53"/>
      <c r="DY424" s="2276">
        <f>FD409</f>
        <v>120.7</v>
      </c>
      <c r="DZ424" s="2275">
        <v>0</v>
      </c>
      <c r="EA424" s="2276">
        <f>VLOOKUP(DY426,DZ412:FA422,2,0)</f>
        <v>0</v>
      </c>
      <c r="EB424" s="2276">
        <f>VLOOKUP(DY426,DZ412:EB422,3,0)</f>
        <v>0</v>
      </c>
      <c r="EC424" s="2276">
        <f>VLOOKUP(DY426,DZ412:EC422,4,0)</f>
        <v>0</v>
      </c>
      <c r="ED424" s="2276">
        <f>VLOOKUP(DY426,DZ412:ED422,5,0)</f>
        <v>0</v>
      </c>
      <c r="EE424" s="2276">
        <f>VLOOKUP(DY426,DZ412:EE422,6,0)</f>
        <v>0</v>
      </c>
      <c r="EF424" s="2276">
        <f>VLOOKUP(DY426,DZ412:EF422,7,0)</f>
        <v>0</v>
      </c>
      <c r="EG424" s="2276">
        <f>VLOOKUP(DY426,DZ412:EG422,8,0)</f>
        <v>0</v>
      </c>
      <c r="EH424" s="2276">
        <f>VLOOKUP(DY426,DZ412:EH422,9,0)</f>
        <v>0</v>
      </c>
      <c r="EI424" s="2276">
        <f>VLOOKUP(DY426,DZ412:EI422,10,0)</f>
        <v>0</v>
      </c>
      <c r="EJ424" s="2276">
        <f>VLOOKUP(DY426,DZ412:EJ422,11,0)</f>
        <v>0</v>
      </c>
      <c r="EK424" s="2276">
        <f>VLOOKUP(DY426,DZ412:EK422,12,0)</f>
        <v>0</v>
      </c>
      <c r="EL424" s="2276">
        <f>VLOOKUP(DY426,DZ412:EL422,13,0)</f>
        <v>0</v>
      </c>
      <c r="EM424" s="2276">
        <f>VLOOKUP(DY426,DZ412:EM422,14,0)</f>
        <v>0</v>
      </c>
      <c r="EN424" s="2276">
        <f>VLOOKUP(DY426,DZ412:EN422,15,0)</f>
        <v>0</v>
      </c>
      <c r="EO424" s="2276">
        <f>VLOOKUP(DY426,DZ412:EO422,16,0)</f>
        <v>0</v>
      </c>
      <c r="EP424" s="2276">
        <f>VLOOKUP(DY426,DZ412:EP422,17,0)</f>
        <v>0</v>
      </c>
      <c r="EQ424" s="2276">
        <f>VLOOKUP(DY426,DZ412:EQ422,18,0)</f>
        <v>0</v>
      </c>
      <c r="ER424" s="2276">
        <f>VLOOKUP(DY426,DZ412:ER422,19,0)</f>
        <v>0</v>
      </c>
      <c r="ES424" s="2276">
        <f>VLOOKUP(DY426,DZ412:ES422,20,0)</f>
        <v>0</v>
      </c>
      <c r="ET424" s="2276">
        <f>VLOOKUP(DY426,DZ412:ET422,21,0)</f>
        <v>0</v>
      </c>
      <c r="EU424" s="2276">
        <f>VLOOKUP(DY426,DZ412:EU422,22,0)</f>
        <v>0</v>
      </c>
      <c r="EV424" s="2276">
        <f>VLOOKUP(DY426,DZ412:EV422,23,0)</f>
        <v>0</v>
      </c>
      <c r="EW424" s="2276">
        <f>VLOOKUP(DY426,DZ412:EW422,24,0)</f>
        <v>0</v>
      </c>
      <c r="EX424" s="2276">
        <f>VLOOKUP(DY426,DZ412:EX422,25,0)</f>
        <v>0</v>
      </c>
      <c r="EY424" s="2276">
        <f>VLOOKUP(DY426,DZ412:EY422,26,0)</f>
        <v>0</v>
      </c>
      <c r="EZ424" s="2276">
        <f>VLOOKUP(DY426,DZ412:EZ422,27,0)</f>
        <v>0</v>
      </c>
      <c r="FA424" s="2276">
        <f>VLOOKUP(DY426,DZ412:FA422,28,0)</f>
        <v>0</v>
      </c>
      <c r="FB424" s="2346"/>
      <c r="FC424" s="2275"/>
      <c r="FD424" s="2276">
        <f>HLOOKUP(FD409,EA410:FA422,13,0)</f>
        <v>0</v>
      </c>
      <c r="FE424" s="2275"/>
      <c r="FF424" s="2275"/>
      <c r="FG424" s="2275"/>
      <c r="FH424" s="2275"/>
      <c r="FI424" s="2275"/>
      <c r="FJ424" s="2275"/>
      <c r="FK424" s="2275"/>
      <c r="FL424" s="2275"/>
      <c r="FM424" s="2250"/>
      <c r="FN424" s="2250"/>
      <c r="FO424" s="2250"/>
      <c r="FP424" s="2250"/>
      <c r="FQ424" s="2250"/>
      <c r="FR424" s="2250"/>
      <c r="FS424" s="2250"/>
      <c r="FT424" s="2250"/>
      <c r="FU424" s="2250"/>
      <c r="FV424" s="2250"/>
      <c r="FW424" s="2250"/>
      <c r="FX424" s="2250"/>
      <c r="FY424" s="2250"/>
      <c r="FZ424" s="2250"/>
      <c r="GA424" s="2250"/>
      <c r="GB424" s="2250"/>
      <c r="GC424" s="2276"/>
      <c r="GD424" s="2276"/>
      <c r="GE424" s="2250"/>
      <c r="GF424" s="2275"/>
      <c r="GG424" s="2276">
        <f>HL409</f>
        <v>129.80000000000001</v>
      </c>
      <c r="GH424" s="2275">
        <v>0</v>
      </c>
      <c r="GI424" s="2276">
        <f>VLOOKUP(GG426,GH412:HI422,2,0)</f>
        <v>0</v>
      </c>
      <c r="GJ424" s="2276">
        <f>VLOOKUP(GG426,GH412:GJ422,3,0)</f>
        <v>0</v>
      </c>
      <c r="GK424" s="2276">
        <f>VLOOKUP(GG426,GH412:GK422,4,0)</f>
        <v>0</v>
      </c>
      <c r="GL424" s="2276">
        <f>VLOOKUP(GG426,GH412:GL422,5,0)</f>
        <v>0</v>
      </c>
      <c r="GM424" s="2276">
        <f>VLOOKUP(GG426,GH412:GM422,6,0)</f>
        <v>0</v>
      </c>
      <c r="GN424" s="2276">
        <f>VLOOKUP(GG426,GH412:GN422,7,0)</f>
        <v>0</v>
      </c>
      <c r="GO424" s="2276">
        <f>VLOOKUP(GG426,GH412:GO422,8,0)</f>
        <v>0</v>
      </c>
      <c r="GP424" s="2276">
        <f>VLOOKUP(GG426,GH412:GP422,9,0)</f>
        <v>0</v>
      </c>
      <c r="GQ424" s="2276">
        <f>VLOOKUP(GG426,GH412:GQ422,10,0)</f>
        <v>0</v>
      </c>
      <c r="GR424" s="2276">
        <f>VLOOKUP(GG426,GH412:GR422,11,0)</f>
        <v>0</v>
      </c>
      <c r="GS424" s="2276">
        <f>VLOOKUP(GG426,GH412:GS422,12,0)</f>
        <v>0</v>
      </c>
      <c r="GT424" s="2276">
        <f>VLOOKUP(GG426,GH412:GT422,13,0)</f>
        <v>0</v>
      </c>
      <c r="GU424" s="2276">
        <f>VLOOKUP(GG426,GH412:GU422,14,0)</f>
        <v>0</v>
      </c>
      <c r="GV424" s="2276">
        <f>VLOOKUP(GG426,GH412:GV422,15,0)</f>
        <v>0</v>
      </c>
      <c r="GW424" s="2276">
        <f>VLOOKUP(GG426,GH412:GW422,16,0)</f>
        <v>0</v>
      </c>
      <c r="GX424" s="2276">
        <f>VLOOKUP(GG426,GH412:GX422,17,0)</f>
        <v>0</v>
      </c>
      <c r="GY424" s="2276">
        <f>VLOOKUP(GG426,GH412:GY422,18,0)</f>
        <v>0</v>
      </c>
      <c r="GZ424" s="2276">
        <f>VLOOKUP(GG426,GH412:GZ422,19,0)</f>
        <v>0</v>
      </c>
      <c r="HA424" s="2276">
        <f>VLOOKUP(GG426,GH412:HA422,20,0)</f>
        <v>0</v>
      </c>
      <c r="HB424" s="2276">
        <f>VLOOKUP(GG426,GH412:HB422,21,0)</f>
        <v>0</v>
      </c>
      <c r="HC424" s="2276">
        <f>VLOOKUP(GG426,GH412:HC422,22,0)</f>
        <v>0</v>
      </c>
      <c r="HD424" s="2276">
        <f>VLOOKUP(GG426,GH412:HD422,23,0)</f>
        <v>0</v>
      </c>
      <c r="HE424" s="2276">
        <f>VLOOKUP(GG426,GH412:HE422,24,0)</f>
        <v>0</v>
      </c>
      <c r="HF424" s="2276">
        <f>VLOOKUP(GG426,GH412:HF422,25,0)</f>
        <v>0</v>
      </c>
      <c r="HG424" s="2276">
        <f>VLOOKUP(GG426,GH412:HG422,26,0)</f>
        <v>0</v>
      </c>
      <c r="HH424" s="2276">
        <f>VLOOKUP(GG426,GH412:HH422,27,0)</f>
        <v>0</v>
      </c>
      <c r="HI424" s="2276">
        <f>VLOOKUP(GG426,GH412:HI422,28,0)</f>
        <v>0</v>
      </c>
      <c r="HJ424" s="2346"/>
      <c r="HK424" s="2275"/>
      <c r="HL424" s="2276">
        <f>HLOOKUP(HL409,GI410:HI422,13,0)</f>
        <v>0</v>
      </c>
      <c r="HM424" s="2275"/>
      <c r="HN424" s="2275"/>
      <c r="HO424" s="2275"/>
      <c r="HP424" s="2275"/>
      <c r="HQ424" s="2275"/>
      <c r="HR424" s="2275"/>
      <c r="HS424" s="2275"/>
      <c r="HT424" s="2275"/>
      <c r="HU424" s="2250"/>
      <c r="HV424" s="2250"/>
      <c r="HW424" s="2250"/>
      <c r="HX424" s="2250"/>
      <c r="HY424" s="2250"/>
      <c r="HZ424" s="2250"/>
      <c r="IA424" s="2250"/>
      <c r="IB424" s="2250"/>
      <c r="IC424" s="2250"/>
      <c r="ID424" s="2250"/>
      <c r="IE424" s="2250"/>
      <c r="IF424" s="2250"/>
      <c r="IG424" s="2250"/>
      <c r="IH424" s="2250"/>
      <c r="II424" s="2250"/>
      <c r="IJ424" s="2250"/>
      <c r="IK424" s="2250"/>
      <c r="IL424" s="53"/>
      <c r="IM424" s="53"/>
    </row>
    <row r="425" spans="2:247" ht="21.95" customHeight="1">
      <c r="B425" s="2276">
        <f>AH426</f>
        <v>0</v>
      </c>
      <c r="C425" s="2275"/>
      <c r="D425" s="2275"/>
      <c r="E425" s="2275"/>
      <c r="F425" s="2275"/>
      <c r="G425" s="2275"/>
      <c r="H425" s="2275"/>
      <c r="I425" s="2275"/>
      <c r="J425" s="2275"/>
      <c r="K425" s="2275"/>
      <c r="L425" s="2275"/>
      <c r="M425" s="2275"/>
      <c r="N425" s="2275"/>
      <c r="O425" s="2275"/>
      <c r="P425" s="2275"/>
      <c r="Q425" s="2275"/>
      <c r="R425" s="2275"/>
      <c r="S425" s="2275"/>
      <c r="T425" s="2275"/>
      <c r="U425" s="2275"/>
      <c r="V425" s="2275"/>
      <c r="W425" s="2275"/>
      <c r="X425" s="2275"/>
      <c r="Y425" s="2275"/>
      <c r="Z425" s="2275"/>
      <c r="AA425" s="2275"/>
      <c r="AB425" s="2275"/>
      <c r="AC425" s="2275"/>
      <c r="AD425" s="2275"/>
      <c r="AE425" s="2275"/>
      <c r="AF425" s="2275"/>
      <c r="AG425" s="2276">
        <f>VLOOKUP(AG410,AG412:AG424,1)</f>
        <v>0</v>
      </c>
      <c r="AH425" s="2276">
        <f>IFERROR(VLOOKUP(AG410,AH412:AH422,2,0),0)</f>
        <v>0</v>
      </c>
      <c r="AI425" s="2275"/>
      <c r="AJ425" s="2275"/>
      <c r="AK425" s="2275"/>
      <c r="AL425" s="2275"/>
      <c r="AM425" s="2275"/>
      <c r="AN425" s="2275"/>
      <c r="AO425" s="2275"/>
      <c r="AP425" s="2250"/>
      <c r="AQ425" s="2250"/>
      <c r="AR425" s="2250"/>
      <c r="AS425" s="2250"/>
      <c r="AT425" s="2250"/>
      <c r="AU425" s="2250"/>
      <c r="AV425" s="2250"/>
      <c r="AW425" s="2250"/>
      <c r="AX425" s="2250"/>
      <c r="AY425" s="2250"/>
      <c r="AZ425" s="2250"/>
      <c r="BA425" s="2250"/>
      <c r="BB425" s="2250"/>
      <c r="BC425" s="2250"/>
      <c r="BD425" s="2250"/>
      <c r="BE425" s="2250"/>
      <c r="BF425" s="2276"/>
      <c r="BG425" s="2276"/>
      <c r="BH425" s="2250"/>
      <c r="BI425" s="2275"/>
      <c r="BJ425" s="2276">
        <f>CP426</f>
        <v>0</v>
      </c>
      <c r="BK425" s="2275"/>
      <c r="BL425" s="2275"/>
      <c r="BM425" s="2275"/>
      <c r="BN425" s="2275"/>
      <c r="BO425" s="2275"/>
      <c r="BP425" s="2275"/>
      <c r="BQ425" s="2275"/>
      <c r="BR425" s="2275"/>
      <c r="BS425" s="2275"/>
      <c r="BT425" s="2275"/>
      <c r="BU425" s="2275"/>
      <c r="BV425" s="2275"/>
      <c r="BW425" s="2275"/>
      <c r="BX425" s="2275"/>
      <c r="BY425" s="2275"/>
      <c r="BZ425" s="2275"/>
      <c r="CA425" s="2275"/>
      <c r="CB425" s="2275"/>
      <c r="CC425" s="2275"/>
      <c r="CD425" s="2275"/>
      <c r="CE425" s="2275"/>
      <c r="CF425" s="2275"/>
      <c r="CG425" s="2275"/>
      <c r="CH425" s="2275"/>
      <c r="CI425" s="2275"/>
      <c r="CJ425" s="2275"/>
      <c r="CK425" s="2275"/>
      <c r="CL425" s="2275"/>
      <c r="CM425" s="2275"/>
      <c r="CN425" s="2275"/>
      <c r="CO425" s="2276">
        <f>VLOOKUP(CO410,CO412:CO424,1)</f>
        <v>0</v>
      </c>
      <c r="CP425" s="2276">
        <f>IFERROR(VLOOKUP(CO410,CP412:CP422,2,0),0)</f>
        <v>0</v>
      </c>
      <c r="CQ425" s="2275"/>
      <c r="CR425" s="2275"/>
      <c r="CS425" s="2275"/>
      <c r="CT425" s="2275"/>
      <c r="CU425" s="2275"/>
      <c r="CV425" s="2275"/>
      <c r="CW425" s="2275"/>
      <c r="CX425" s="2250"/>
      <c r="CY425" s="2250"/>
      <c r="CZ425" s="2250"/>
      <c r="DA425" s="2250"/>
      <c r="DB425" s="2250"/>
      <c r="DC425" s="2250"/>
      <c r="DD425" s="2250"/>
      <c r="DE425" s="2250"/>
      <c r="DF425" s="2250"/>
      <c r="DG425" s="2250"/>
      <c r="DH425" s="2250"/>
      <c r="DI425" s="2250"/>
      <c r="DJ425" s="2250"/>
      <c r="DK425" s="2250"/>
      <c r="DL425" s="2250"/>
      <c r="DM425" s="2250"/>
      <c r="DN425" s="2250"/>
      <c r="DO425" s="53"/>
      <c r="DP425" s="53"/>
      <c r="DY425" s="2276">
        <f>FE426</f>
        <v>0</v>
      </c>
      <c r="DZ425" s="2275"/>
      <c r="EA425" s="2275"/>
      <c r="EB425" s="2275"/>
      <c r="EC425" s="2275"/>
      <c r="ED425" s="2275"/>
      <c r="EE425" s="2275"/>
      <c r="EF425" s="2275"/>
      <c r="EG425" s="2275"/>
      <c r="EH425" s="2275"/>
      <c r="EI425" s="2275"/>
      <c r="EJ425" s="2275"/>
      <c r="EK425" s="2275"/>
      <c r="EL425" s="2275"/>
      <c r="EM425" s="2275"/>
      <c r="EN425" s="2275"/>
      <c r="EO425" s="2275"/>
      <c r="EP425" s="2275"/>
      <c r="EQ425" s="2275"/>
      <c r="ER425" s="2275"/>
      <c r="ES425" s="2275"/>
      <c r="ET425" s="2275"/>
      <c r="EU425" s="2275"/>
      <c r="EV425" s="2275"/>
      <c r="EW425" s="2275"/>
      <c r="EX425" s="2275"/>
      <c r="EY425" s="2275"/>
      <c r="EZ425" s="2275"/>
      <c r="FA425" s="2275"/>
      <c r="FB425" s="2275"/>
      <c r="FC425" s="2275"/>
      <c r="FD425" s="2276">
        <f>VLOOKUP(FD410,FD412:FD424,1)</f>
        <v>0</v>
      </c>
      <c r="FE425" s="2276">
        <f>IFERROR(VLOOKUP(FD410,FE412:FE422,2,0),0)</f>
        <v>0</v>
      </c>
      <c r="FF425" s="2275"/>
      <c r="FG425" s="2275"/>
      <c r="FH425" s="2275"/>
      <c r="FI425" s="2275"/>
      <c r="FJ425" s="2275"/>
      <c r="FK425" s="2275"/>
      <c r="FL425" s="2275"/>
      <c r="FM425" s="2250"/>
      <c r="FN425" s="2250"/>
      <c r="FO425" s="2250"/>
      <c r="FP425" s="2250"/>
      <c r="FQ425" s="2250"/>
      <c r="FR425" s="2250"/>
      <c r="FS425" s="2250"/>
      <c r="FT425" s="2250"/>
      <c r="FU425" s="2250"/>
      <c r="FV425" s="2250"/>
      <c r="FW425" s="2250"/>
      <c r="FX425" s="2250"/>
      <c r="FY425" s="2250"/>
      <c r="FZ425" s="2250"/>
      <c r="GA425" s="2250"/>
      <c r="GB425" s="2250"/>
      <c r="GC425" s="2276"/>
      <c r="GD425" s="2276"/>
      <c r="GE425" s="2250"/>
      <c r="GF425" s="2275"/>
      <c r="GG425" s="2276">
        <f>HM426</f>
        <v>0</v>
      </c>
      <c r="GH425" s="2275"/>
      <c r="GI425" s="2275"/>
      <c r="GJ425" s="2275"/>
      <c r="GK425" s="2275"/>
      <c r="GL425" s="2275"/>
      <c r="GM425" s="2275"/>
      <c r="GN425" s="2275"/>
      <c r="GO425" s="2275"/>
      <c r="GP425" s="2275"/>
      <c r="GQ425" s="2275"/>
      <c r="GR425" s="2275"/>
      <c r="GS425" s="2275"/>
      <c r="GT425" s="2275"/>
      <c r="GU425" s="2275"/>
      <c r="GV425" s="2275"/>
      <c r="GW425" s="2275"/>
      <c r="GX425" s="2275"/>
      <c r="GY425" s="2275"/>
      <c r="GZ425" s="2275"/>
      <c r="HA425" s="2275"/>
      <c r="HB425" s="2275"/>
      <c r="HC425" s="2275"/>
      <c r="HD425" s="2275"/>
      <c r="HE425" s="2275"/>
      <c r="HF425" s="2275"/>
      <c r="HG425" s="2275"/>
      <c r="HH425" s="2275"/>
      <c r="HI425" s="2275"/>
      <c r="HJ425" s="2275"/>
      <c r="HK425" s="2275"/>
      <c r="HL425" s="2276">
        <f>VLOOKUP(HL410,HL412:HL424,1)</f>
        <v>0</v>
      </c>
      <c r="HM425" s="2276">
        <f>IFERROR(VLOOKUP(HL410,HM412:HM422,2,0),0)</f>
        <v>0</v>
      </c>
      <c r="HN425" s="2275"/>
      <c r="HO425" s="2275"/>
      <c r="HP425" s="2275"/>
      <c r="HQ425" s="2275"/>
      <c r="HR425" s="2275"/>
      <c r="HS425" s="2275"/>
      <c r="HT425" s="2275"/>
      <c r="HU425" s="2250"/>
      <c r="HV425" s="2250"/>
      <c r="HW425" s="2250"/>
      <c r="HX425" s="2250"/>
      <c r="HY425" s="2250"/>
      <c r="HZ425" s="2250"/>
      <c r="IA425" s="2250"/>
      <c r="IB425" s="2250"/>
      <c r="IC425" s="2250"/>
      <c r="ID425" s="2250"/>
      <c r="IE425" s="2250"/>
      <c r="IF425" s="2250"/>
      <c r="IG425" s="2250"/>
      <c r="IH425" s="2250"/>
      <c r="II425" s="2250"/>
      <c r="IJ425" s="2250"/>
      <c r="IK425" s="2250"/>
      <c r="IL425" s="53"/>
      <c r="IM425" s="53"/>
    </row>
    <row r="426" spans="2:247" ht="21.95" customHeight="1">
      <c r="B426" s="3693">
        <f>AI426</f>
        <v>400</v>
      </c>
      <c r="C426" s="2346" t="s">
        <v>739</v>
      </c>
      <c r="D426" s="3693">
        <f>HLOOKUP(B424,D410:AD424,15,0)</f>
        <v>0</v>
      </c>
      <c r="E426" s="3693" t="str">
        <f>IF(B425=D426,"Right","Wrong")</f>
        <v>Right</v>
      </c>
      <c r="F426" s="2275"/>
      <c r="G426" s="2275"/>
      <c r="H426" s="2275"/>
      <c r="I426" s="2275"/>
      <c r="J426" s="2275"/>
      <c r="K426" s="2275"/>
      <c r="L426" s="2275"/>
      <c r="M426" s="2275"/>
      <c r="N426" s="2275"/>
      <c r="O426" s="2275"/>
      <c r="P426" s="2275"/>
      <c r="Q426" s="2275"/>
      <c r="R426" s="2275"/>
      <c r="S426" s="2275"/>
      <c r="T426" s="2275"/>
      <c r="U426" s="2275"/>
      <c r="V426" s="2275"/>
      <c r="W426" s="2275"/>
      <c r="X426" s="2275"/>
      <c r="Y426" s="2275"/>
      <c r="Z426" s="2275"/>
      <c r="AA426" s="2275"/>
      <c r="AB426" s="2275"/>
      <c r="AC426" s="2275"/>
      <c r="AD426" s="2275"/>
      <c r="AE426" s="2275"/>
      <c r="AF426" s="2275"/>
      <c r="AG426" s="2276">
        <f>VLOOKUP(AG425,AG412:AH423,2,0)</f>
        <v>0</v>
      </c>
      <c r="AH426" s="2276">
        <f>IF(AH425&gt;0,AH425,AG426)</f>
        <v>0</v>
      </c>
      <c r="AI426" s="2276">
        <f>VLOOKUP(AH426,AH413:AI423,2,0)</f>
        <v>400</v>
      </c>
      <c r="AJ426" s="2275"/>
      <c r="AK426" s="2275"/>
      <c r="AL426" s="2275"/>
      <c r="AM426" s="2275"/>
      <c r="AN426" s="2275"/>
      <c r="AO426" s="2275"/>
      <c r="AP426" s="2250"/>
      <c r="AQ426" s="2250"/>
      <c r="AR426" s="2250"/>
      <c r="AS426" s="2250"/>
      <c r="AT426" s="2250"/>
      <c r="AU426" s="2250"/>
      <c r="AV426" s="2250"/>
      <c r="AW426" s="2250"/>
      <c r="AX426" s="2250"/>
      <c r="AY426" s="2250"/>
      <c r="AZ426" s="2250"/>
      <c r="BA426" s="2250"/>
      <c r="BB426" s="2250"/>
      <c r="BC426" s="2250"/>
      <c r="BD426" s="2250"/>
      <c r="BE426" s="2250"/>
      <c r="BF426" s="2276"/>
      <c r="BG426" s="2276"/>
      <c r="BH426" s="2250"/>
      <c r="BI426" s="2275"/>
      <c r="BJ426" s="3693">
        <f>CQ426</f>
        <v>400</v>
      </c>
      <c r="BK426" s="2346" t="s">
        <v>739</v>
      </c>
      <c r="BL426" s="3693">
        <f>HLOOKUP(BJ424,BL410:CL424,15,0)</f>
        <v>0</v>
      </c>
      <c r="BM426" s="3693" t="str">
        <f>IF(BJ425=BL426,"Right","Wrong")</f>
        <v>Right</v>
      </c>
      <c r="BN426" s="2275"/>
      <c r="BO426" s="2275"/>
      <c r="BP426" s="2275"/>
      <c r="BQ426" s="2275"/>
      <c r="BR426" s="2275"/>
      <c r="BS426" s="2275"/>
      <c r="BT426" s="2275"/>
      <c r="BU426" s="2275"/>
      <c r="BV426" s="2275"/>
      <c r="BW426" s="2275"/>
      <c r="BX426" s="2275"/>
      <c r="BY426" s="2275"/>
      <c r="BZ426" s="2275"/>
      <c r="CA426" s="2275"/>
      <c r="CB426" s="2275"/>
      <c r="CC426" s="2275"/>
      <c r="CD426" s="2275"/>
      <c r="CE426" s="2275"/>
      <c r="CF426" s="2275"/>
      <c r="CG426" s="2275"/>
      <c r="CH426" s="2275"/>
      <c r="CI426" s="2275"/>
      <c r="CJ426" s="2275"/>
      <c r="CK426" s="2275"/>
      <c r="CL426" s="2275"/>
      <c r="CM426" s="2275"/>
      <c r="CN426" s="2275"/>
      <c r="CO426" s="2276">
        <f>VLOOKUP(CO425,CO412:CP423,2,0)</f>
        <v>0</v>
      </c>
      <c r="CP426" s="2276">
        <f>IF(CP425&gt;0,CP425,CO426)</f>
        <v>0</v>
      </c>
      <c r="CQ426" s="2276">
        <f>VLOOKUP(CP426,CP413:CQ423,2,0)</f>
        <v>400</v>
      </c>
      <c r="CR426" s="2275"/>
      <c r="CS426" s="2275"/>
      <c r="CT426" s="2275"/>
      <c r="CU426" s="2275"/>
      <c r="CV426" s="2275"/>
      <c r="CW426" s="2275"/>
      <c r="CX426" s="2250"/>
      <c r="CY426" s="2250"/>
      <c r="CZ426" s="2250"/>
      <c r="DA426" s="2250"/>
      <c r="DB426" s="2250"/>
      <c r="DC426" s="2250"/>
      <c r="DD426" s="2250"/>
      <c r="DE426" s="2250"/>
      <c r="DF426" s="2250"/>
      <c r="DG426" s="2250"/>
      <c r="DH426" s="2250"/>
      <c r="DI426" s="2250"/>
      <c r="DJ426" s="2250"/>
      <c r="DK426" s="2250"/>
      <c r="DL426" s="2250"/>
      <c r="DM426" s="2250"/>
      <c r="DN426" s="2250"/>
      <c r="DO426" s="53"/>
      <c r="DP426" s="53"/>
      <c r="DY426" s="3693">
        <f>FF426</f>
        <v>400</v>
      </c>
      <c r="DZ426" s="2346" t="s">
        <v>739</v>
      </c>
      <c r="EA426" s="3693">
        <f>HLOOKUP(DY424,EA410:FA424,15,0)</f>
        <v>0</v>
      </c>
      <c r="EB426" s="3693" t="str">
        <f>IF(DY425=EA426,"Right","Wrong")</f>
        <v>Right</v>
      </c>
      <c r="EC426" s="2275"/>
      <c r="ED426" s="2275"/>
      <c r="EE426" s="2275"/>
      <c r="EF426" s="2275"/>
      <c r="EG426" s="2275"/>
      <c r="EH426" s="2275"/>
      <c r="EI426" s="2275"/>
      <c r="EJ426" s="2275"/>
      <c r="EK426" s="2275"/>
      <c r="EL426" s="2275"/>
      <c r="EM426" s="2275"/>
      <c r="EN426" s="2275"/>
      <c r="EO426" s="2275"/>
      <c r="EP426" s="2275"/>
      <c r="EQ426" s="2275"/>
      <c r="ER426" s="2275"/>
      <c r="ES426" s="2275"/>
      <c r="ET426" s="2275"/>
      <c r="EU426" s="2275"/>
      <c r="EV426" s="2275"/>
      <c r="EW426" s="2275"/>
      <c r="EX426" s="2275"/>
      <c r="EY426" s="2275"/>
      <c r="EZ426" s="2275"/>
      <c r="FA426" s="2275"/>
      <c r="FB426" s="2275"/>
      <c r="FC426" s="2275"/>
      <c r="FD426" s="2276">
        <f>VLOOKUP(FD425,FD412:FE423,2,0)</f>
        <v>0</v>
      </c>
      <c r="FE426" s="2276">
        <f>IF(FE425&gt;0,FE425,FD426)</f>
        <v>0</v>
      </c>
      <c r="FF426" s="2276">
        <f>VLOOKUP(FE426,FE413:FF423,2,0)</f>
        <v>400</v>
      </c>
      <c r="FG426" s="2275"/>
      <c r="FH426" s="2275"/>
      <c r="FI426" s="2275"/>
      <c r="FJ426" s="2275"/>
      <c r="FK426" s="2275"/>
      <c r="FL426" s="2275"/>
      <c r="FM426" s="2250"/>
      <c r="FN426" s="2250"/>
      <c r="FO426" s="2250"/>
      <c r="FP426" s="2250"/>
      <c r="FQ426" s="2250"/>
      <c r="FR426" s="2250"/>
      <c r="FS426" s="2250"/>
      <c r="FT426" s="2250"/>
      <c r="FU426" s="2250"/>
      <c r="FV426" s="2250"/>
      <c r="FW426" s="2250"/>
      <c r="FX426" s="2250"/>
      <c r="FY426" s="2250"/>
      <c r="FZ426" s="2250"/>
      <c r="GA426" s="2250"/>
      <c r="GB426" s="2250"/>
      <c r="GC426" s="2276"/>
      <c r="GD426" s="2276"/>
      <c r="GE426" s="2250"/>
      <c r="GF426" s="2275"/>
      <c r="GG426" s="3693">
        <f>HN426</f>
        <v>400</v>
      </c>
      <c r="GH426" s="2346" t="s">
        <v>739</v>
      </c>
      <c r="GI426" s="3693">
        <f>HLOOKUP(GG424,GI410:HI424,15,0)</f>
        <v>0</v>
      </c>
      <c r="GJ426" s="3693" t="str">
        <f>IF(GG425=GI426,"Right","Wrong")</f>
        <v>Right</v>
      </c>
      <c r="GK426" s="2275"/>
      <c r="GL426" s="2275"/>
      <c r="GM426" s="2275"/>
      <c r="GN426" s="2275"/>
      <c r="GO426" s="2275"/>
      <c r="GP426" s="2275"/>
      <c r="GQ426" s="2275"/>
      <c r="GR426" s="2275"/>
      <c r="GS426" s="2275"/>
      <c r="GT426" s="2275"/>
      <c r="GU426" s="2275"/>
      <c r="GV426" s="2275"/>
      <c r="GW426" s="2275"/>
      <c r="GX426" s="2275"/>
      <c r="GY426" s="2275"/>
      <c r="GZ426" s="2275"/>
      <c r="HA426" s="2275"/>
      <c r="HB426" s="2275"/>
      <c r="HC426" s="2275"/>
      <c r="HD426" s="2275"/>
      <c r="HE426" s="2275"/>
      <c r="HF426" s="2275"/>
      <c r="HG426" s="2275"/>
      <c r="HH426" s="2275"/>
      <c r="HI426" s="2275"/>
      <c r="HJ426" s="2275"/>
      <c r="HK426" s="2275"/>
      <c r="HL426" s="2276">
        <f>VLOOKUP(HL425,HL412:HM423,2,0)</f>
        <v>0</v>
      </c>
      <c r="HM426" s="2276">
        <f>IF(HM425&gt;0,HM425,HL426)</f>
        <v>0</v>
      </c>
      <c r="HN426" s="2276">
        <f>VLOOKUP(HM426,HM413:HN423,2,0)</f>
        <v>400</v>
      </c>
      <c r="HO426" s="2275"/>
      <c r="HP426" s="2275"/>
      <c r="HQ426" s="2275"/>
      <c r="HR426" s="2275"/>
      <c r="HS426" s="2275"/>
      <c r="HT426" s="2275"/>
      <c r="HU426" s="2250"/>
      <c r="HV426" s="2250"/>
      <c r="HW426" s="2250"/>
      <c r="HX426" s="2250"/>
      <c r="HY426" s="2250"/>
      <c r="HZ426" s="2250"/>
      <c r="IA426" s="2250"/>
      <c r="IB426" s="2250"/>
      <c r="IC426" s="2250"/>
      <c r="ID426" s="2250"/>
      <c r="IE426" s="2250"/>
      <c r="IF426" s="2250"/>
      <c r="IG426" s="2250"/>
      <c r="IH426" s="2250"/>
      <c r="II426" s="2250"/>
      <c r="IJ426" s="2250"/>
      <c r="IK426" s="2250"/>
      <c r="IL426" s="53"/>
      <c r="IM426" s="53"/>
    </row>
    <row r="427" spans="2:247" ht="21.95" customHeight="1">
      <c r="B427" s="2250"/>
      <c r="C427" s="2275"/>
      <c r="D427" s="2276">
        <f>+IF(B472&lt;=D412,D412,IF(B472&lt;=D413,D413,IF(B472&lt;=D414,D414,IF(B472&lt;=D415,D415,IF(B472&lt;=D416,D416,IF(B472&lt;=D417,D417,IF(B472&lt;=D418,D418,IF(B472&lt;=D419,D419,0))))))))</f>
        <v>0</v>
      </c>
      <c r="E427" s="2276">
        <f>+IF(B472&lt;=E412,E412,IF(B472&lt;=E413,E413,IF(B472&lt;=E414,E414,IF(B472&lt;=E415,E415,IF(B472&lt;=E416,E416,IF(B472&lt;=E417,E417,IF(B472&lt;=E418,E418,IF(B472&lt;=E419,E419,0))))))))</f>
        <v>0</v>
      </c>
      <c r="F427" s="2276">
        <f>+IF(B472&lt;=F412,F412,IF(B472&lt;=F413,F413,IF(B472&lt;=F414,F414,IF(B472&lt;=F415,F415,IF(B472&lt;=F416,F416,IF(B472&lt;=F417,F417,IF(B472&lt;=F418,F418,IF(B472&lt;=F419,F419,0))))))))</f>
        <v>0</v>
      </c>
      <c r="G427" s="2276">
        <f>+IF(B472&lt;=G412,G412,IF(B472&lt;=G413,G413,IF(B472&lt;=G414,G414,IF(B472&lt;=G415,G415,IF(B472&lt;=G416,G416,IF(B472&lt;=G417,G417,IF(B472&lt;=G418,G418,IF(B472&lt;=G419,G419,0))))))))</f>
        <v>0</v>
      </c>
      <c r="H427" s="2276">
        <f>+IF(B472&lt;=H412,H412,IF(B472&lt;=H413,H413,IF(B472&lt;=H414,H414,IF(B472&lt;=H415,H415,IF(B472&lt;=H416,H416,IF(B472&lt;=H417,H417,IF(B472&lt;=H418,H418,IF(B472&lt;=H419,H419,0))))))))</f>
        <v>0</v>
      </c>
      <c r="I427" s="2276">
        <f>+IF(B472&lt;=I412,I412,IF(B472&lt;=I413,I413,IF(B472&lt;=I414,I414,IF(B472&lt;=I415,I415,IF(B472&lt;=I416,I416,IF(B472&lt;=I417,I417,IF(B472&lt;=I418,I418,IF(B472&lt;=I419,I419,0))))))))</f>
        <v>0</v>
      </c>
      <c r="J427" s="2276">
        <f>+IF(B472&lt;=J412,J412,IF(B472&lt;=J413,J413,IF(B472&lt;=J414,J414,IF(B472&lt;=J415,J415,IF(B472&lt;=J416,J416,IF(B472&lt;=J417,J417,IF(B472&lt;=J418,J418,IF(B472&lt;=J419,J419,0))))))))</f>
        <v>0</v>
      </c>
      <c r="K427" s="2276">
        <f>+IF(B472&lt;=K412,K412,IF(B472&lt;=K413,K413,IF(B472&lt;=K414,K414,IF(B472&lt;=K415,K415,IF(B472&lt;=K416,K416,IF(B472&lt;=K417,K417,IF(B472&lt;=K418,K418,IF(B472&lt;=K419,K419,0))))))))</f>
        <v>0</v>
      </c>
      <c r="L427" s="2276">
        <f>+IF(B472&lt;=L412,L412,IF(B472&lt;=L413,L413,IF(B472&lt;=L414,L414,IF(B472&lt;=L415,L415,IF(B472&lt;=L416,L416,IF(B472&lt;=L417,L417,IF(B472&lt;=L418,L418,IF(B472&lt;=L419,L419,0))))))))</f>
        <v>0</v>
      </c>
      <c r="M427" s="2276">
        <f>+IF(B472&lt;=M412,M412,IF(B472&lt;=M413,M413,IF(B472&lt;=M414,M414,IF(B472&lt;=M415,M415,IF(B472&lt;=M416,M416,IF(B472&lt;=M417,M417,IF(B472&lt;=M418,M418,IF(B472&lt;=M419,M419,0))))))))</f>
        <v>0</v>
      </c>
      <c r="N427" s="2276">
        <f>+IF(B472&lt;=N412,N412,IF(B472&lt;=N413,N413,IF(B472&lt;=N414,N414,IF(B472&lt;=N415,N415,IF(B472&lt;=N416,N416,IF(B472&lt;=N417,N417,IF(B472&lt;=N418,N418,IF(B472&lt;=N419,N419,0))))))))</f>
        <v>0</v>
      </c>
      <c r="O427" s="2276">
        <f>+IF(B472&lt;=O412,O412,IF(B472&lt;=O413,O413,IF(B472&lt;=O414,O414,IF(B472&lt;=O415,O415,IF(B472&lt;=O416,O416,IF(B472&lt;=O417,O417,IF(B472&lt;=O418,O418,IF(B472&lt;=O419,O419,0))))))))</f>
        <v>0</v>
      </c>
      <c r="P427" s="2276">
        <f>+IF(B472&lt;=P412,P412,IF(B472&lt;=P413,P413,IF(B472&lt;=P414,P414,IF(B472&lt;=P415,P415,IF(B472&lt;=P416,P416,IF(B472&lt;=P417,P417,IF(B472&lt;=P418,P418,IF(B472&lt;=P419,P419,0))))))))</f>
        <v>0</v>
      </c>
      <c r="Q427" s="2276">
        <f>+IF(B472&lt;=Q412,Q412,IF(B472&lt;=Q413,Q413,IF(B472&lt;=Q414,Q414,IF(B472&lt;=Q415,Q415,IF(B472&lt;=Q416,Q416,IF(B472&lt;=Q417,Q417,IF(B472&lt;=Q418,Q418,IF(B472&lt;=Q419,Q419,0))))))))</f>
        <v>0</v>
      </c>
      <c r="R427" s="2276">
        <f>+IF(B472&lt;=R412,R412,IF(B472&lt;=R413,R413,IF(B472&lt;=R414,R414,IF(B472&lt;=R415,R415,IF(B472&lt;=R416,R416,IF(B472&lt;=R417,R417,IF(B472&lt;=R418,R418,IF(B472&lt;=R419,R419,0))))))))</f>
        <v>0</v>
      </c>
      <c r="S427" s="2276">
        <f>+IF(B472&lt;=S412,S412,IF(B472&lt;=S413,S413,IF(B472&lt;=S414,S414,IF(B472&lt;=S415,S415,IF(B472&lt;=S416,S416,IF(B472&lt;=S417,S417,IF(B472&lt;=S418,S418,IF(B472&lt;=S419,S419,0))))))))</f>
        <v>0</v>
      </c>
      <c r="T427" s="2276">
        <f>+IF(B472&lt;=T412,T412,IF(B472&lt;=T413,T413,IF(B472&lt;=T414,T414,IF(B472&lt;=T415,T415,IF(B472&lt;=T416,T416,IF(B472&lt;=T417,T417,IF(B472&lt;=T418,T418,IF(B472&lt;=T419,T419,0))))))))</f>
        <v>0</v>
      </c>
      <c r="U427" s="2276">
        <f>+IF(B472&lt;=U412,U412,IF(B472&lt;=U413,U413,IF(B472&lt;=U414,U414,IF(B472&lt;=U415,U415,IF(B472&lt;=U416,U416,IF(B472&lt;=U417,U417,IF(B472&lt;=U418,U418,IF(B472&lt;=U419,U419,0))))))))</f>
        <v>0</v>
      </c>
      <c r="V427" s="2276">
        <f>+IF(B472&lt;=V412,V412,IF(B472&lt;=V413,V413,IF(B472&lt;=V414,V414,IF(B472&lt;=V415,V415,IF(B472&lt;=V416,V416,IF(B472&lt;=V417,V417,IF(B472&lt;=V418,V418,IF(B472&lt;=V419,V419,0))))))))</f>
        <v>0</v>
      </c>
      <c r="W427" s="2276">
        <f>+IF(B472&lt;=W412,W412,IF(B472&lt;=W413,W413,IF(B472&lt;=W414,W414,IF(B472&lt;=W415,W415,IF(B472&lt;=W416,W416,IF(B472&lt;=W417,W417,IF(B472&lt;=W418,W418,IF(B472&lt;=W419,W419,0))))))))</f>
        <v>0</v>
      </c>
      <c r="X427" s="2276">
        <f>+IF(B472&lt;=X412,X412,IF(B472&lt;=X413,X413,IF(B472&lt;=X414,X414,IF(B472&lt;=X415,X415,IF(B472&lt;=X416,X416,IF(B472&lt;=X417,X417,IF(B472&lt;=X418,X418,IF(B472&lt;=X419,X419,0))))))))</f>
        <v>0</v>
      </c>
      <c r="Y427" s="2276">
        <f>+IF(B472&lt;=Y412,Y412,IF(B472&lt;=Y413,Y413,IF(B472&lt;=Y414,Y414,IF(B472&lt;=Y415,Y415,IF(B472&lt;=Y416,Y416,IF(B472&lt;=Y417,Y417,IF(B472&lt;=Y418,Y418,IF(B472&lt;=Y419,Y419,0))))))))</f>
        <v>0</v>
      </c>
      <c r="Z427" s="2276">
        <f>+IF(B472&lt;=Z412,Z412,IF(B472&lt;=Z413,Z413,IF(B472&lt;=Z414,Z414,IF(B472&lt;=Z415,Z415,IF(B472&lt;=Z416,Z416,IF(B472&lt;=Z417,Z417,IF(B472&lt;=Z418,Z418,IF(B472&lt;=Z419,Z419,0))))))))</f>
        <v>0</v>
      </c>
      <c r="AA427" s="2276">
        <f>+IF(B472&lt;=AA412,AA412,IF(B472&lt;=AA413,AA413,IF(B472&lt;=AA414,AA414,IF(B472&lt;=AA415,AA415,IF(B472&lt;=AA416,AA416,IF(B472&lt;=AA417,AA417,IF(B472&lt;=AA418,AA418,IF(B472&lt;=AA419,AA419,0))))))))</f>
        <v>0</v>
      </c>
      <c r="AB427" s="2276">
        <f>+IF(B472&lt;=AB412,AB412,IF(B472&lt;=AB413,AB413,IF(B472&lt;=AB414,AB414,IF(B472&lt;=AB415,AB415,IF(B472&lt;=AB416,AB416,IF(B472&lt;=AB417,AB417,IF(B472&lt;=AB418,AB418,IF(B472&lt;=AB419,AB419,0))))))))</f>
        <v>0</v>
      </c>
      <c r="AC427" s="2276">
        <f>+IF(B472&lt;=AC412,AC412,IF(B472&lt;=AC413,AC413,IF(B472&lt;=AC414,AC414,IF(B472&lt;=AC415,AC415,IF(B472&lt;=AC416,AC416,IF(B472&lt;=AC417,AC417,IF(B472&lt;=AC418,AC418,IF(B472&lt;=AC419,AC419,0))))))))</f>
        <v>0</v>
      </c>
      <c r="AD427" s="2276">
        <f>+IF(B472&lt;=AD412,AD412,IF(B472&lt;=AD413,AD413,IF(B472&lt;=AD414,AD414,IF(B472&lt;=AD415,AD415,IF(B472&lt;=AD416,AD416,IF(B472&lt;=AD417,AD417,IF(B472&lt;=AD418,AD418,IF(B472&lt;=AD419,AD419,0))))))))</f>
        <v>0</v>
      </c>
      <c r="AE427" s="2275"/>
      <c r="AF427" s="2275"/>
      <c r="AG427" s="2275"/>
      <c r="AH427" s="2275"/>
      <c r="AI427" s="2275"/>
      <c r="AJ427" s="2275"/>
      <c r="AK427" s="2275"/>
      <c r="AL427" s="2275"/>
      <c r="AM427" s="2275"/>
      <c r="AN427" s="2275"/>
      <c r="AO427" s="2275"/>
      <c r="AP427" s="2250"/>
      <c r="AQ427" s="2250"/>
      <c r="AR427" s="2250"/>
      <c r="AS427" s="2250"/>
      <c r="AT427" s="2250"/>
      <c r="AU427" s="2250"/>
      <c r="AV427" s="2250"/>
      <c r="AW427" s="2250"/>
      <c r="AX427" s="2250"/>
      <c r="AY427" s="2250"/>
      <c r="AZ427" s="2250"/>
      <c r="BA427" s="2250"/>
      <c r="BB427" s="2250"/>
      <c r="BC427" s="2250"/>
      <c r="BD427" s="2250"/>
      <c r="BE427" s="2250"/>
      <c r="BF427" s="2276"/>
      <c r="BG427" s="2276"/>
      <c r="BH427" s="2250"/>
      <c r="BI427" s="2275"/>
      <c r="BJ427" s="2250"/>
      <c r="BK427" s="2275"/>
      <c r="BL427" s="2276">
        <f>+IF(BJ472&lt;=BL412,BL412,IF(BJ472&lt;=BL413,BL413,IF(BJ472&lt;=BL414,BL414,IF(BJ472&lt;=BL415,BL415,IF(BJ472&lt;=BL416,BL416,IF(BJ472&lt;=BL417,BL417,IF(BJ472&lt;=BL418,BL418,IF(BJ472&lt;=BL419,BL419,0))))))))</f>
        <v>0</v>
      </c>
      <c r="BM427" s="2276">
        <f>+IF(BJ472&lt;=BM412,BM412,IF(BJ472&lt;=BM413,BM413,IF(BJ472&lt;=BM414,BM414,IF(BJ472&lt;=BM415,BM415,IF(BJ472&lt;=BM416,BM416,IF(BJ472&lt;=BM417,BM417,IF(BJ472&lt;=BM418,BM418,IF(BJ472&lt;=BM419,BM419,0))))))))</f>
        <v>0</v>
      </c>
      <c r="BN427" s="2276">
        <f>+IF(BJ472&lt;=BN412,BN412,IF(BJ472&lt;=BN413,BN413,IF(BJ472&lt;=BN414,BN414,IF(BJ472&lt;=BN415,BN415,IF(BJ472&lt;=BN416,BN416,IF(BJ472&lt;=BN417,BN417,IF(BJ472&lt;=BN418,BN418,IF(BJ472&lt;=BN419,BN419,0))))))))</f>
        <v>0</v>
      </c>
      <c r="BO427" s="2276">
        <f>+IF(BJ472&lt;=BO412,BO412,IF(BJ472&lt;=BO413,BO413,IF(BJ472&lt;=BO414,BO414,IF(BJ472&lt;=BO415,BO415,IF(BJ472&lt;=BO416,BO416,IF(BJ472&lt;=BO417,BO417,IF(BJ472&lt;=BO418,BO418,IF(BJ472&lt;=BO419,BO419,0))))))))</f>
        <v>0</v>
      </c>
      <c r="BP427" s="2276">
        <f>+IF(BJ472&lt;=BP412,BP412,IF(BJ472&lt;=BP413,BP413,IF(BJ472&lt;=BP414,BP414,IF(BJ472&lt;=BP415,BP415,IF(BJ472&lt;=BP416,BP416,IF(BJ472&lt;=BP417,BP417,IF(BJ472&lt;=BP418,BP418,IF(BJ472&lt;=BP419,BP419,0))))))))</f>
        <v>0</v>
      </c>
      <c r="BQ427" s="2276">
        <f>+IF(BJ472&lt;=BQ412,BQ412,IF(BJ472&lt;=BQ413,BQ413,IF(BJ472&lt;=BQ414,BQ414,IF(BJ472&lt;=BQ415,BQ415,IF(BJ472&lt;=BQ416,BQ416,IF(BJ472&lt;=BQ417,BQ417,IF(BJ472&lt;=BQ418,BQ418,IF(BJ472&lt;=BQ419,BQ419,0))))))))</f>
        <v>0</v>
      </c>
      <c r="BR427" s="2276">
        <f>+IF(BJ472&lt;=BR412,BR412,IF(BJ472&lt;=BR413,BR413,IF(BJ472&lt;=BR414,BR414,IF(BJ472&lt;=BR415,BR415,IF(BJ472&lt;=BR416,BR416,IF(BJ472&lt;=BR417,BR417,IF(BJ472&lt;=BR418,BR418,IF(BJ472&lt;=BR419,BR419,0))))))))</f>
        <v>0</v>
      </c>
      <c r="BS427" s="2276">
        <f>+IF(BJ472&lt;=BS412,BS412,IF(BJ472&lt;=BS413,BS413,IF(BJ472&lt;=BS414,BS414,IF(BJ472&lt;=BS415,BS415,IF(BJ472&lt;=BS416,BS416,IF(BJ472&lt;=BS417,BS417,IF(BJ472&lt;=BS418,BS418,IF(BJ472&lt;=BS419,BS419,0))))))))</f>
        <v>0</v>
      </c>
      <c r="BT427" s="2276">
        <f>+IF(BJ472&lt;=BT412,BT412,IF(BJ472&lt;=BT413,BT413,IF(BJ472&lt;=BT414,BT414,IF(BJ472&lt;=BT415,BT415,IF(BJ472&lt;=BT416,BT416,IF(BJ472&lt;=BT417,BT417,IF(BJ472&lt;=BT418,BT418,IF(BJ472&lt;=BT419,BT419,0))))))))</f>
        <v>0</v>
      </c>
      <c r="BU427" s="2276">
        <f>+IF(BJ472&lt;=BU412,BU412,IF(BJ472&lt;=BU413,BU413,IF(BJ472&lt;=BU414,BU414,IF(BJ472&lt;=BU415,BU415,IF(BJ472&lt;=BU416,BU416,IF(BJ472&lt;=BU417,BU417,IF(BJ472&lt;=BU418,BU418,IF(BJ472&lt;=BU419,BU419,0))))))))</f>
        <v>0</v>
      </c>
      <c r="BV427" s="2276">
        <f>+IF(BJ472&lt;=BV412,BV412,IF(BJ472&lt;=BV413,BV413,IF(BJ472&lt;=BV414,BV414,IF(BJ472&lt;=BV415,BV415,IF(BJ472&lt;=BV416,BV416,IF(BJ472&lt;=BV417,BV417,IF(BJ472&lt;=BV418,BV418,IF(BJ472&lt;=BV419,BV419,0))))))))</f>
        <v>0</v>
      </c>
      <c r="BW427" s="2276">
        <f>+IF(BJ472&lt;=BW412,BW412,IF(BJ472&lt;=BW413,BW413,IF(BJ472&lt;=BW414,BW414,IF(BJ472&lt;=BW415,BW415,IF(BJ472&lt;=BW416,BW416,IF(BJ472&lt;=BW417,BW417,IF(BJ472&lt;=BW418,BW418,IF(BJ472&lt;=BW419,BW419,0))))))))</f>
        <v>0</v>
      </c>
      <c r="BX427" s="2276">
        <f>+IF(BJ472&lt;=BX412,BX412,IF(BJ472&lt;=BX413,BX413,IF(BJ472&lt;=BX414,BX414,IF(BJ472&lt;=BX415,BX415,IF(BJ472&lt;=BX416,BX416,IF(BJ472&lt;=BX417,BX417,IF(BJ472&lt;=BX418,BX418,IF(BJ472&lt;=BX419,BX419,0))))))))</f>
        <v>0</v>
      </c>
      <c r="BY427" s="2276">
        <f>+IF(BJ472&lt;=BY412,BY412,IF(BJ472&lt;=BY413,BY413,IF(BJ472&lt;=BY414,BY414,IF(BJ472&lt;=BY415,BY415,IF(BJ472&lt;=BY416,BY416,IF(BJ472&lt;=BY417,BY417,IF(BJ472&lt;=BY418,BY418,IF(BJ472&lt;=BY419,BY419,0))))))))</f>
        <v>0</v>
      </c>
      <c r="BZ427" s="2276">
        <f>+IF(BJ472&lt;=BZ412,BZ412,IF(BJ472&lt;=BZ413,BZ413,IF(BJ472&lt;=BZ414,BZ414,IF(BJ472&lt;=BZ415,BZ415,IF(BJ472&lt;=BZ416,BZ416,IF(BJ472&lt;=BZ417,BZ417,IF(BJ472&lt;=BZ418,BZ418,IF(BJ472&lt;=BZ419,BZ419,0))))))))</f>
        <v>0</v>
      </c>
      <c r="CA427" s="2276">
        <f>+IF(BJ472&lt;=CA412,CA412,IF(BJ472&lt;=CA413,CA413,IF(BJ472&lt;=CA414,CA414,IF(BJ472&lt;=CA415,CA415,IF(BJ472&lt;=CA416,CA416,IF(BJ472&lt;=CA417,CA417,IF(BJ472&lt;=CA418,CA418,IF(BJ472&lt;=CA419,CA419,0))))))))</f>
        <v>0</v>
      </c>
      <c r="CB427" s="2276">
        <f>+IF(BJ472&lt;=CB412,CB412,IF(BJ472&lt;=CB413,CB413,IF(BJ472&lt;=CB414,CB414,IF(BJ472&lt;=CB415,CB415,IF(BJ472&lt;=CB416,CB416,IF(BJ472&lt;=CB417,CB417,IF(BJ472&lt;=CB418,CB418,IF(BJ472&lt;=CB419,CB419,0))))))))</f>
        <v>0</v>
      </c>
      <c r="CC427" s="2276">
        <f>+IF(BJ472&lt;=CC412,CC412,IF(BJ472&lt;=CC413,CC413,IF(BJ472&lt;=CC414,CC414,IF(BJ472&lt;=CC415,CC415,IF(BJ472&lt;=CC416,CC416,IF(BJ472&lt;=CC417,CC417,IF(BJ472&lt;=CC418,CC418,IF(BJ472&lt;=CC419,CC419,0))))))))</f>
        <v>0</v>
      </c>
      <c r="CD427" s="2276">
        <f>+IF(BJ472&lt;=CD412,CD412,IF(BJ472&lt;=CD413,CD413,IF(BJ472&lt;=CD414,CD414,IF(BJ472&lt;=CD415,CD415,IF(BJ472&lt;=CD416,CD416,IF(BJ472&lt;=CD417,CD417,IF(BJ472&lt;=CD418,CD418,IF(BJ472&lt;=CD419,CD419,0))))))))</f>
        <v>0</v>
      </c>
      <c r="CE427" s="2276">
        <f>+IF(BJ472&lt;=CE412,CE412,IF(BJ472&lt;=CE413,CE413,IF(BJ472&lt;=CE414,CE414,IF(BJ472&lt;=CE415,CE415,IF(BJ472&lt;=CE416,CE416,IF(BJ472&lt;=CE417,CE417,IF(BJ472&lt;=CE418,CE418,IF(BJ472&lt;=CE419,CE419,0))))))))</f>
        <v>0</v>
      </c>
      <c r="CF427" s="2276">
        <f>+IF(BJ472&lt;=CF412,CF412,IF(BJ472&lt;=CF413,CF413,IF(BJ472&lt;=CF414,CF414,IF(BJ472&lt;=CF415,CF415,IF(BJ472&lt;=CF416,CF416,IF(BJ472&lt;=CF417,CF417,IF(BJ472&lt;=CF418,CF418,IF(BJ472&lt;=CF419,CF419,0))))))))</f>
        <v>0</v>
      </c>
      <c r="CG427" s="2276">
        <f>+IF(BJ472&lt;=CG412,CG412,IF(BJ472&lt;=CG413,CG413,IF(BJ472&lt;=CG414,CG414,IF(BJ472&lt;=CG415,CG415,IF(BJ472&lt;=CG416,CG416,IF(BJ472&lt;=CG417,CG417,IF(BJ472&lt;=CG418,CG418,IF(BJ472&lt;=CG419,CG419,0))))))))</f>
        <v>0</v>
      </c>
      <c r="CH427" s="2276">
        <f>+IF(BJ472&lt;=CH412,CH412,IF(BJ472&lt;=CH413,CH413,IF(BJ472&lt;=CH414,CH414,IF(BJ472&lt;=CH415,CH415,IF(BJ472&lt;=CH416,CH416,IF(BJ472&lt;=CH417,CH417,IF(BJ472&lt;=CH418,CH418,IF(BJ472&lt;=CH419,CH419,0))))))))</f>
        <v>0</v>
      </c>
      <c r="CI427" s="2276">
        <f>+IF(BJ472&lt;=CI412,CI412,IF(BJ472&lt;=CI413,CI413,IF(BJ472&lt;=CI414,CI414,IF(BJ472&lt;=CI415,CI415,IF(BJ472&lt;=CI416,CI416,IF(BJ472&lt;=CI417,CI417,IF(BJ472&lt;=CI418,CI418,IF(BJ472&lt;=CI419,CI419,0))))))))</f>
        <v>0</v>
      </c>
      <c r="CJ427" s="2276">
        <f>+IF(BJ472&lt;=CJ412,CJ412,IF(BJ472&lt;=CJ413,CJ413,IF(BJ472&lt;=CJ414,CJ414,IF(BJ472&lt;=CJ415,CJ415,IF(BJ472&lt;=CJ416,CJ416,IF(BJ472&lt;=CJ417,CJ417,IF(BJ472&lt;=CJ418,CJ418,IF(BJ472&lt;=CJ419,CJ419,0))))))))</f>
        <v>0</v>
      </c>
      <c r="CK427" s="2276">
        <f>+IF(BJ472&lt;=CK412,CK412,IF(BJ472&lt;=CK413,CK413,IF(BJ472&lt;=CK414,CK414,IF(BJ472&lt;=CK415,CK415,IF(BJ472&lt;=CK416,CK416,IF(BJ472&lt;=CK417,CK417,IF(BJ472&lt;=CK418,CK418,IF(BJ472&lt;=CK419,CK419,0))))))))</f>
        <v>0</v>
      </c>
      <c r="CL427" s="2276">
        <f>+IF(BJ472&lt;=CL412,CL412,IF(BJ472&lt;=CL413,CL413,IF(BJ472&lt;=CL414,CL414,IF(BJ472&lt;=CL415,CL415,IF(BJ472&lt;=CL416,CL416,IF(BJ472&lt;=CL417,CL417,IF(BJ472&lt;=CL418,CL418,IF(BJ472&lt;=CL419,CL419,0))))))))</f>
        <v>0</v>
      </c>
      <c r="CM427" s="2275"/>
      <c r="CN427" s="2275"/>
      <c r="CO427" s="2275"/>
      <c r="CP427" s="2275"/>
      <c r="CQ427" s="2275"/>
      <c r="CR427" s="2275"/>
      <c r="CS427" s="2275"/>
      <c r="CT427" s="2275"/>
      <c r="CU427" s="2275"/>
      <c r="CV427" s="2275"/>
      <c r="CW427" s="2275"/>
      <c r="CX427" s="2250"/>
      <c r="CY427" s="2250"/>
      <c r="CZ427" s="2250"/>
      <c r="DA427" s="2250"/>
      <c r="DB427" s="2250"/>
      <c r="DC427" s="2250"/>
      <c r="DD427" s="2250"/>
      <c r="DE427" s="2250"/>
      <c r="DF427" s="2250"/>
      <c r="DG427" s="2250"/>
      <c r="DH427" s="2250"/>
      <c r="DI427" s="2250"/>
      <c r="DJ427" s="2250"/>
      <c r="DK427" s="2250"/>
      <c r="DL427" s="2250"/>
      <c r="DM427" s="2250"/>
      <c r="DN427" s="2250"/>
      <c r="DO427" s="53"/>
      <c r="DP427" s="53"/>
      <c r="DY427" s="2250"/>
      <c r="DZ427" s="2275"/>
      <c r="EA427" s="2276">
        <f>+IF(DY472&lt;=EA412,EA412,IF(DY472&lt;=EA413,EA413,IF(DY472&lt;=EA414,EA414,IF(DY472&lt;=EA415,EA415,IF(DY472&lt;=EA416,EA416,IF(DY472&lt;=EA417,EA417,IF(DY472&lt;=EA418,EA418,IF(DY472&lt;=EA419,EA419,0))))))))</f>
        <v>0</v>
      </c>
      <c r="EB427" s="2276">
        <f>+IF(DY472&lt;=EB412,EB412,IF(DY472&lt;=EB413,EB413,IF(DY472&lt;=EB414,EB414,IF(DY472&lt;=EB415,EB415,IF(DY472&lt;=EB416,EB416,IF(DY472&lt;=EB417,EB417,IF(DY472&lt;=EB418,EB418,IF(DY472&lt;=EB419,EB419,0))))))))</f>
        <v>0</v>
      </c>
      <c r="EC427" s="2276">
        <f>+IF(DY472&lt;=EC412,EC412,IF(DY472&lt;=EC413,EC413,IF(DY472&lt;=EC414,EC414,IF(DY472&lt;=EC415,EC415,IF(DY472&lt;=EC416,EC416,IF(DY472&lt;=EC417,EC417,IF(DY472&lt;=EC418,EC418,IF(DY472&lt;=EC419,EC419,0))))))))</f>
        <v>0</v>
      </c>
      <c r="ED427" s="2276">
        <f>+IF(DY472&lt;=ED412,ED412,IF(DY472&lt;=ED413,ED413,IF(DY472&lt;=ED414,ED414,IF(DY472&lt;=ED415,ED415,IF(DY472&lt;=ED416,ED416,IF(DY472&lt;=ED417,ED417,IF(DY472&lt;=ED418,ED418,IF(DY472&lt;=ED419,ED419,0))))))))</f>
        <v>0</v>
      </c>
      <c r="EE427" s="2276">
        <f>+IF(DY472&lt;=EE412,EE412,IF(DY472&lt;=EE413,EE413,IF(DY472&lt;=EE414,EE414,IF(DY472&lt;=EE415,EE415,IF(DY472&lt;=EE416,EE416,IF(DY472&lt;=EE417,EE417,IF(DY472&lt;=EE418,EE418,IF(DY472&lt;=EE419,EE419,0))))))))</f>
        <v>0</v>
      </c>
      <c r="EF427" s="2276">
        <f>+IF(DY472&lt;=EF412,EF412,IF(DY472&lt;=EF413,EF413,IF(DY472&lt;=EF414,EF414,IF(DY472&lt;=EF415,EF415,IF(DY472&lt;=EF416,EF416,IF(DY472&lt;=EF417,EF417,IF(DY472&lt;=EF418,EF418,IF(DY472&lt;=EF419,EF419,0))))))))</f>
        <v>0</v>
      </c>
      <c r="EG427" s="2276">
        <f>+IF(DY472&lt;=EG412,EG412,IF(DY472&lt;=EG413,EG413,IF(DY472&lt;=EG414,EG414,IF(DY472&lt;=EG415,EG415,IF(DY472&lt;=EG416,EG416,IF(DY472&lt;=EG417,EG417,IF(DY472&lt;=EG418,EG418,IF(DY472&lt;=EG419,EG419,0))))))))</f>
        <v>0</v>
      </c>
      <c r="EH427" s="2276">
        <f>+IF(DY472&lt;=EH412,EH412,IF(DY472&lt;=EH413,EH413,IF(DY472&lt;=EH414,EH414,IF(DY472&lt;=EH415,EH415,IF(DY472&lt;=EH416,EH416,IF(DY472&lt;=EH417,EH417,IF(DY472&lt;=EH418,EH418,IF(DY472&lt;=EH419,EH419,0))))))))</f>
        <v>0</v>
      </c>
      <c r="EI427" s="2276">
        <f>+IF(DY472&lt;=EI412,EI412,IF(DY472&lt;=EI413,EI413,IF(DY472&lt;=EI414,EI414,IF(DY472&lt;=EI415,EI415,IF(DY472&lt;=EI416,EI416,IF(DY472&lt;=EI417,EI417,IF(DY472&lt;=EI418,EI418,IF(DY472&lt;=EI419,EI419,0))))))))</f>
        <v>0</v>
      </c>
      <c r="EJ427" s="2276">
        <f>+IF(DY472&lt;=EJ412,EJ412,IF(DY472&lt;=EJ413,EJ413,IF(DY472&lt;=EJ414,EJ414,IF(DY472&lt;=EJ415,EJ415,IF(DY472&lt;=EJ416,EJ416,IF(DY472&lt;=EJ417,EJ417,IF(DY472&lt;=EJ418,EJ418,IF(DY472&lt;=EJ419,EJ419,0))))))))</f>
        <v>0</v>
      </c>
      <c r="EK427" s="2276">
        <f>+IF(DY472&lt;=EK412,EK412,IF(DY472&lt;=EK413,EK413,IF(DY472&lt;=EK414,EK414,IF(DY472&lt;=EK415,EK415,IF(DY472&lt;=EK416,EK416,IF(DY472&lt;=EK417,EK417,IF(DY472&lt;=EK418,EK418,IF(DY472&lt;=EK419,EK419,0))))))))</f>
        <v>0</v>
      </c>
      <c r="EL427" s="2276">
        <f>+IF(DY472&lt;=EL412,EL412,IF(DY472&lt;=EL413,EL413,IF(DY472&lt;=EL414,EL414,IF(DY472&lt;=EL415,EL415,IF(DY472&lt;=EL416,EL416,IF(DY472&lt;=EL417,EL417,IF(DY472&lt;=EL418,EL418,IF(DY472&lt;=EL419,EL419,0))))))))</f>
        <v>0</v>
      </c>
      <c r="EM427" s="2276">
        <f>+IF(DY472&lt;=EM412,EM412,IF(DY472&lt;=EM413,EM413,IF(DY472&lt;=EM414,EM414,IF(DY472&lt;=EM415,EM415,IF(DY472&lt;=EM416,EM416,IF(DY472&lt;=EM417,EM417,IF(DY472&lt;=EM418,EM418,IF(DY472&lt;=EM419,EM419,0))))))))</f>
        <v>0</v>
      </c>
      <c r="EN427" s="2276">
        <f>+IF(DY472&lt;=EN412,EN412,IF(DY472&lt;=EN413,EN413,IF(DY472&lt;=EN414,EN414,IF(DY472&lt;=EN415,EN415,IF(DY472&lt;=EN416,EN416,IF(DY472&lt;=EN417,EN417,IF(DY472&lt;=EN418,EN418,IF(DY472&lt;=EN419,EN419,0))))))))</f>
        <v>0</v>
      </c>
      <c r="EO427" s="2276">
        <f>+IF(DY472&lt;=EO412,EO412,IF(DY472&lt;=EO413,EO413,IF(DY472&lt;=EO414,EO414,IF(DY472&lt;=EO415,EO415,IF(DY472&lt;=EO416,EO416,IF(DY472&lt;=EO417,EO417,IF(DY472&lt;=EO418,EO418,IF(DY472&lt;=EO419,EO419,0))))))))</f>
        <v>0</v>
      </c>
      <c r="EP427" s="2276">
        <f>+IF(DY472&lt;=EP412,EP412,IF(DY472&lt;=EP413,EP413,IF(DY472&lt;=EP414,EP414,IF(DY472&lt;=EP415,EP415,IF(DY472&lt;=EP416,EP416,IF(DY472&lt;=EP417,EP417,IF(DY472&lt;=EP418,EP418,IF(DY472&lt;=EP419,EP419,0))))))))</f>
        <v>0</v>
      </c>
      <c r="EQ427" s="2276">
        <f>+IF(DY472&lt;=EQ412,EQ412,IF(DY472&lt;=EQ413,EQ413,IF(DY472&lt;=EQ414,EQ414,IF(DY472&lt;=EQ415,EQ415,IF(DY472&lt;=EQ416,EQ416,IF(DY472&lt;=EQ417,EQ417,IF(DY472&lt;=EQ418,EQ418,IF(DY472&lt;=EQ419,EQ419,0))))))))</f>
        <v>0</v>
      </c>
      <c r="ER427" s="2276">
        <f>+IF(DY472&lt;=ER412,ER412,IF(DY472&lt;=ER413,ER413,IF(DY472&lt;=ER414,ER414,IF(DY472&lt;=ER415,ER415,IF(DY472&lt;=ER416,ER416,IF(DY472&lt;=ER417,ER417,IF(DY472&lt;=ER418,ER418,IF(DY472&lt;=ER419,ER419,0))))))))</f>
        <v>0</v>
      </c>
      <c r="ES427" s="2276">
        <f>+IF(DY472&lt;=ES412,ES412,IF(DY472&lt;=ES413,ES413,IF(DY472&lt;=ES414,ES414,IF(DY472&lt;=ES415,ES415,IF(DY472&lt;=ES416,ES416,IF(DY472&lt;=ES417,ES417,IF(DY472&lt;=ES418,ES418,IF(DY472&lt;=ES419,ES419,0))))))))</f>
        <v>0</v>
      </c>
      <c r="ET427" s="2276">
        <f>+IF(DY472&lt;=ET412,ET412,IF(DY472&lt;=ET413,ET413,IF(DY472&lt;=ET414,ET414,IF(DY472&lt;=ET415,ET415,IF(DY472&lt;=ET416,ET416,IF(DY472&lt;=ET417,ET417,IF(DY472&lt;=ET418,ET418,IF(DY472&lt;=ET419,ET419,0))))))))</f>
        <v>0</v>
      </c>
      <c r="EU427" s="2276">
        <f>+IF(DY472&lt;=EU412,EU412,IF(DY472&lt;=EU413,EU413,IF(DY472&lt;=EU414,EU414,IF(DY472&lt;=EU415,EU415,IF(DY472&lt;=EU416,EU416,IF(DY472&lt;=EU417,EU417,IF(DY472&lt;=EU418,EU418,IF(DY472&lt;=EU419,EU419,0))))))))</f>
        <v>0</v>
      </c>
      <c r="EV427" s="2276">
        <f>+IF(DY472&lt;=EV412,EV412,IF(DY472&lt;=EV413,EV413,IF(DY472&lt;=EV414,EV414,IF(DY472&lt;=EV415,EV415,IF(DY472&lt;=EV416,EV416,IF(DY472&lt;=EV417,EV417,IF(DY472&lt;=EV418,EV418,IF(DY472&lt;=EV419,EV419,0))))))))</f>
        <v>0</v>
      </c>
      <c r="EW427" s="2276">
        <f>+IF(DY472&lt;=EW412,EW412,IF(DY472&lt;=EW413,EW413,IF(DY472&lt;=EW414,EW414,IF(DY472&lt;=EW415,EW415,IF(DY472&lt;=EW416,EW416,IF(DY472&lt;=EW417,EW417,IF(DY472&lt;=EW418,EW418,IF(DY472&lt;=EW419,EW419,0))))))))</f>
        <v>0</v>
      </c>
      <c r="EX427" s="2276">
        <f>+IF(DY472&lt;=EX412,EX412,IF(DY472&lt;=EX413,EX413,IF(DY472&lt;=EX414,EX414,IF(DY472&lt;=EX415,EX415,IF(DY472&lt;=EX416,EX416,IF(DY472&lt;=EX417,EX417,IF(DY472&lt;=EX418,EX418,IF(DY472&lt;=EX419,EX419,0))))))))</f>
        <v>0</v>
      </c>
      <c r="EY427" s="2276">
        <f>+IF(DY472&lt;=EY412,EY412,IF(DY472&lt;=EY413,EY413,IF(DY472&lt;=EY414,EY414,IF(DY472&lt;=EY415,EY415,IF(DY472&lt;=EY416,EY416,IF(DY472&lt;=EY417,EY417,IF(DY472&lt;=EY418,EY418,IF(DY472&lt;=EY419,EY419,0))))))))</f>
        <v>0</v>
      </c>
      <c r="EZ427" s="2276">
        <f>+IF(DY472&lt;=EZ412,EZ412,IF(DY472&lt;=EZ413,EZ413,IF(DY472&lt;=EZ414,EZ414,IF(DY472&lt;=EZ415,EZ415,IF(DY472&lt;=EZ416,EZ416,IF(DY472&lt;=EZ417,EZ417,IF(DY472&lt;=EZ418,EZ418,IF(DY472&lt;=EZ419,EZ419,0))))))))</f>
        <v>0</v>
      </c>
      <c r="FA427" s="2276">
        <f>+IF(DY472&lt;=FA412,FA412,IF(DY472&lt;=FA413,FA413,IF(DY472&lt;=FA414,FA414,IF(DY472&lt;=FA415,FA415,IF(DY472&lt;=FA416,FA416,IF(DY472&lt;=FA417,FA417,IF(DY472&lt;=FA418,FA418,IF(DY472&lt;=FA419,FA419,0))))))))</f>
        <v>0</v>
      </c>
      <c r="FB427" s="2275"/>
      <c r="FC427" s="2275"/>
      <c r="FD427" s="2275"/>
      <c r="FE427" s="2275"/>
      <c r="FF427" s="2275"/>
      <c r="FG427" s="2275"/>
      <c r="FH427" s="2275"/>
      <c r="FI427" s="2275"/>
      <c r="FJ427" s="2275"/>
      <c r="FK427" s="2275"/>
      <c r="FL427" s="2275"/>
      <c r="FM427" s="2250"/>
      <c r="FN427" s="2250"/>
      <c r="FO427" s="2250"/>
      <c r="FP427" s="2250"/>
      <c r="FQ427" s="2250"/>
      <c r="FR427" s="2250"/>
      <c r="FS427" s="2250"/>
      <c r="FT427" s="2250"/>
      <c r="FU427" s="2250"/>
      <c r="FV427" s="2250"/>
      <c r="FW427" s="2250"/>
      <c r="FX427" s="2250"/>
      <c r="FY427" s="2250"/>
      <c r="FZ427" s="2250"/>
      <c r="GA427" s="2250"/>
      <c r="GB427" s="2250"/>
      <c r="GC427" s="2276"/>
      <c r="GD427" s="2276"/>
      <c r="GE427" s="2250"/>
      <c r="GF427" s="2275"/>
      <c r="GG427" s="2250"/>
      <c r="GH427" s="2275"/>
      <c r="GI427" s="2276">
        <f>+IF(GG472&lt;=GI412,GI412,IF(GG472&lt;=GI413,GI413,IF(GG472&lt;=GI414,GI414,IF(GG472&lt;=GI415,GI415,IF(GG472&lt;=GI416,GI416,IF(GG472&lt;=GI417,GI417,IF(GG472&lt;=GI418,GI418,IF(GG472&lt;=GI419,GI419,0))))))))</f>
        <v>0</v>
      </c>
      <c r="GJ427" s="2276">
        <f>+IF(GG472&lt;=GJ412,GJ412,IF(GG472&lt;=GJ413,GJ413,IF(GG472&lt;=GJ414,GJ414,IF(GG472&lt;=GJ415,GJ415,IF(GG472&lt;=GJ416,GJ416,IF(GG472&lt;=GJ417,GJ417,IF(GG472&lt;=GJ418,GJ418,IF(GG472&lt;=GJ419,GJ419,0))))))))</f>
        <v>0</v>
      </c>
      <c r="GK427" s="2276">
        <f>+IF(GG472&lt;=GK412,GK412,IF(GG472&lt;=GK413,GK413,IF(GG472&lt;=GK414,GK414,IF(GG472&lt;=GK415,GK415,IF(GG472&lt;=GK416,GK416,IF(GG472&lt;=GK417,GK417,IF(GG472&lt;=GK418,GK418,IF(GG472&lt;=GK419,GK419,0))))))))</f>
        <v>0</v>
      </c>
      <c r="GL427" s="2276">
        <f>+IF(GG472&lt;=GL412,GL412,IF(GG472&lt;=GL413,GL413,IF(GG472&lt;=GL414,GL414,IF(GG472&lt;=GL415,GL415,IF(GG472&lt;=GL416,GL416,IF(GG472&lt;=GL417,GL417,IF(GG472&lt;=GL418,GL418,IF(GG472&lt;=GL419,GL419,0))))))))</f>
        <v>0</v>
      </c>
      <c r="GM427" s="2276">
        <f>+IF(GG472&lt;=GM412,GM412,IF(GG472&lt;=GM413,GM413,IF(GG472&lt;=GM414,GM414,IF(GG472&lt;=GM415,GM415,IF(GG472&lt;=GM416,GM416,IF(GG472&lt;=GM417,GM417,IF(GG472&lt;=GM418,GM418,IF(GG472&lt;=GM419,GM419,0))))))))</f>
        <v>0</v>
      </c>
      <c r="GN427" s="2276">
        <f>+IF(GG472&lt;=GN412,GN412,IF(GG472&lt;=GN413,GN413,IF(GG472&lt;=GN414,GN414,IF(GG472&lt;=GN415,GN415,IF(GG472&lt;=GN416,GN416,IF(GG472&lt;=GN417,GN417,IF(GG472&lt;=GN418,GN418,IF(GG472&lt;=GN419,GN419,0))))))))</f>
        <v>0</v>
      </c>
      <c r="GO427" s="2276">
        <f>+IF(GG472&lt;=GO412,GO412,IF(GG472&lt;=GO413,GO413,IF(GG472&lt;=GO414,GO414,IF(GG472&lt;=GO415,GO415,IF(GG472&lt;=GO416,GO416,IF(GG472&lt;=GO417,GO417,IF(GG472&lt;=GO418,GO418,IF(GG472&lt;=GO419,GO419,0))))))))</f>
        <v>0</v>
      </c>
      <c r="GP427" s="2276">
        <f>+IF(GG472&lt;=GP412,GP412,IF(GG472&lt;=GP413,GP413,IF(GG472&lt;=GP414,GP414,IF(GG472&lt;=GP415,GP415,IF(GG472&lt;=GP416,GP416,IF(GG472&lt;=GP417,GP417,IF(GG472&lt;=GP418,GP418,IF(GG472&lt;=GP419,GP419,0))))))))</f>
        <v>0</v>
      </c>
      <c r="GQ427" s="2276">
        <f>+IF(GG472&lt;=GQ412,GQ412,IF(GG472&lt;=GQ413,GQ413,IF(GG472&lt;=GQ414,GQ414,IF(GG472&lt;=GQ415,GQ415,IF(GG472&lt;=GQ416,GQ416,IF(GG472&lt;=GQ417,GQ417,IF(GG472&lt;=GQ418,GQ418,IF(GG472&lt;=GQ419,GQ419,0))))))))</f>
        <v>0</v>
      </c>
      <c r="GR427" s="2276">
        <f>+IF(GG472&lt;=GR412,GR412,IF(GG472&lt;=GR413,GR413,IF(GG472&lt;=GR414,GR414,IF(GG472&lt;=GR415,GR415,IF(GG472&lt;=GR416,GR416,IF(GG472&lt;=GR417,GR417,IF(GG472&lt;=GR418,GR418,IF(GG472&lt;=GR419,GR419,0))))))))</f>
        <v>0</v>
      </c>
      <c r="GS427" s="2276">
        <f>+IF(GG472&lt;=GS412,GS412,IF(GG472&lt;=GS413,GS413,IF(GG472&lt;=GS414,GS414,IF(GG472&lt;=GS415,GS415,IF(GG472&lt;=GS416,GS416,IF(GG472&lt;=GS417,GS417,IF(GG472&lt;=GS418,GS418,IF(GG472&lt;=GS419,GS419,0))))))))</f>
        <v>0</v>
      </c>
      <c r="GT427" s="2276">
        <f>+IF(GG472&lt;=GT412,GT412,IF(GG472&lt;=GT413,GT413,IF(GG472&lt;=GT414,GT414,IF(GG472&lt;=GT415,GT415,IF(GG472&lt;=GT416,GT416,IF(GG472&lt;=GT417,GT417,IF(GG472&lt;=GT418,GT418,IF(GG472&lt;=GT419,GT419,0))))))))</f>
        <v>0</v>
      </c>
      <c r="GU427" s="2276">
        <f>+IF(GG472&lt;=GU412,GU412,IF(GG472&lt;=GU413,GU413,IF(GG472&lt;=GU414,GU414,IF(GG472&lt;=GU415,GU415,IF(GG472&lt;=GU416,GU416,IF(GG472&lt;=GU417,GU417,IF(GG472&lt;=GU418,GU418,IF(GG472&lt;=GU419,GU419,0))))))))</f>
        <v>0</v>
      </c>
      <c r="GV427" s="2276">
        <f>+IF(GG472&lt;=GV412,GV412,IF(GG472&lt;=GV413,GV413,IF(GG472&lt;=GV414,GV414,IF(GG472&lt;=GV415,GV415,IF(GG472&lt;=GV416,GV416,IF(GG472&lt;=GV417,GV417,IF(GG472&lt;=GV418,GV418,IF(GG472&lt;=GV419,GV419,0))))))))</f>
        <v>0</v>
      </c>
      <c r="GW427" s="2276">
        <f>+IF(GG472&lt;=GW412,GW412,IF(GG472&lt;=GW413,GW413,IF(GG472&lt;=GW414,GW414,IF(GG472&lt;=GW415,GW415,IF(GG472&lt;=GW416,GW416,IF(GG472&lt;=GW417,GW417,IF(GG472&lt;=GW418,GW418,IF(GG472&lt;=GW419,GW419,0))))))))</f>
        <v>0</v>
      </c>
      <c r="GX427" s="2276">
        <f>+IF(GG472&lt;=GX412,GX412,IF(GG472&lt;=GX413,GX413,IF(GG472&lt;=GX414,GX414,IF(GG472&lt;=GX415,GX415,IF(GG472&lt;=GX416,GX416,IF(GG472&lt;=GX417,GX417,IF(GG472&lt;=GX418,GX418,IF(GG472&lt;=GX419,GX419,0))))))))</f>
        <v>0</v>
      </c>
      <c r="GY427" s="2276">
        <f>+IF(GG472&lt;=GY412,GY412,IF(GG472&lt;=GY413,GY413,IF(GG472&lt;=GY414,GY414,IF(GG472&lt;=GY415,GY415,IF(GG472&lt;=GY416,GY416,IF(GG472&lt;=GY417,GY417,IF(GG472&lt;=GY418,GY418,IF(GG472&lt;=GY419,GY419,0))))))))</f>
        <v>0</v>
      </c>
      <c r="GZ427" s="2276">
        <f>+IF(GG472&lt;=GZ412,GZ412,IF(GG472&lt;=GZ413,GZ413,IF(GG472&lt;=GZ414,GZ414,IF(GG472&lt;=GZ415,GZ415,IF(GG472&lt;=GZ416,GZ416,IF(GG472&lt;=GZ417,GZ417,IF(GG472&lt;=GZ418,GZ418,IF(GG472&lt;=GZ419,GZ419,0))))))))</f>
        <v>0</v>
      </c>
      <c r="HA427" s="2276">
        <f>+IF(GG472&lt;=HA412,HA412,IF(GG472&lt;=HA413,HA413,IF(GG472&lt;=HA414,HA414,IF(GG472&lt;=HA415,HA415,IF(GG472&lt;=HA416,HA416,IF(GG472&lt;=HA417,HA417,IF(GG472&lt;=HA418,HA418,IF(GG472&lt;=HA419,HA419,0))))))))</f>
        <v>0</v>
      </c>
      <c r="HB427" s="2276">
        <f>+IF(GG472&lt;=HB412,HB412,IF(GG472&lt;=HB413,HB413,IF(GG472&lt;=HB414,HB414,IF(GG472&lt;=HB415,HB415,IF(GG472&lt;=HB416,HB416,IF(GG472&lt;=HB417,HB417,IF(GG472&lt;=HB418,HB418,IF(GG472&lt;=HB419,HB419,0))))))))</f>
        <v>0</v>
      </c>
      <c r="HC427" s="2276">
        <f>+IF(GG472&lt;=HC412,HC412,IF(GG472&lt;=HC413,HC413,IF(GG472&lt;=HC414,HC414,IF(GG472&lt;=HC415,HC415,IF(GG472&lt;=HC416,HC416,IF(GG472&lt;=HC417,HC417,IF(GG472&lt;=HC418,HC418,IF(GG472&lt;=HC419,HC419,0))))))))</f>
        <v>0</v>
      </c>
      <c r="HD427" s="2276">
        <f>+IF(GG472&lt;=HD412,HD412,IF(GG472&lt;=HD413,HD413,IF(GG472&lt;=HD414,HD414,IF(GG472&lt;=HD415,HD415,IF(GG472&lt;=HD416,HD416,IF(GG472&lt;=HD417,HD417,IF(GG472&lt;=HD418,HD418,IF(GG472&lt;=HD419,HD419,0))))))))</f>
        <v>0</v>
      </c>
      <c r="HE427" s="2276">
        <f>+IF(GG472&lt;=HE412,HE412,IF(GG472&lt;=HE413,HE413,IF(GG472&lt;=HE414,HE414,IF(GG472&lt;=HE415,HE415,IF(GG472&lt;=HE416,HE416,IF(GG472&lt;=HE417,HE417,IF(GG472&lt;=HE418,HE418,IF(GG472&lt;=HE419,HE419,0))))))))</f>
        <v>0</v>
      </c>
      <c r="HF427" s="2276">
        <f>+IF(GG472&lt;=HF412,HF412,IF(GG472&lt;=HF413,HF413,IF(GG472&lt;=HF414,HF414,IF(GG472&lt;=HF415,HF415,IF(GG472&lt;=HF416,HF416,IF(GG472&lt;=HF417,HF417,IF(GG472&lt;=HF418,HF418,IF(GG472&lt;=HF419,HF419,0))))))))</f>
        <v>0</v>
      </c>
      <c r="HG427" s="2276">
        <f>+IF(GG472&lt;=HG412,HG412,IF(GG472&lt;=HG413,HG413,IF(GG472&lt;=HG414,HG414,IF(GG472&lt;=HG415,HG415,IF(GG472&lt;=HG416,HG416,IF(GG472&lt;=HG417,HG417,IF(GG472&lt;=HG418,HG418,IF(GG472&lt;=HG419,HG419,0))))))))</f>
        <v>0</v>
      </c>
      <c r="HH427" s="2276">
        <f>+IF(GG472&lt;=HH412,HH412,IF(GG472&lt;=HH413,HH413,IF(GG472&lt;=HH414,HH414,IF(GG472&lt;=HH415,HH415,IF(GG472&lt;=HH416,HH416,IF(GG472&lt;=HH417,HH417,IF(GG472&lt;=HH418,HH418,IF(GG472&lt;=HH419,HH419,0))))))))</f>
        <v>0</v>
      </c>
      <c r="HI427" s="2276">
        <f>+IF(GG472&lt;=HI412,HI412,IF(GG472&lt;=HI413,HI413,IF(GG472&lt;=HI414,HI414,IF(GG472&lt;=HI415,HI415,IF(GG472&lt;=HI416,HI416,IF(GG472&lt;=HI417,HI417,IF(GG472&lt;=HI418,HI418,IF(GG472&lt;=HI419,HI419,0))))))))</f>
        <v>0</v>
      </c>
      <c r="HJ427" s="2275"/>
      <c r="HK427" s="2275"/>
      <c r="HL427" s="2275"/>
      <c r="HM427" s="2275"/>
      <c r="HN427" s="2275"/>
      <c r="HO427" s="2275"/>
      <c r="HP427" s="2275"/>
      <c r="HQ427" s="2275"/>
      <c r="HR427" s="2275"/>
      <c r="HS427" s="2275"/>
      <c r="HT427" s="2275"/>
      <c r="HU427" s="2250"/>
      <c r="HV427" s="2250"/>
      <c r="HW427" s="2250"/>
      <c r="HX427" s="2250"/>
      <c r="HY427" s="2250"/>
      <c r="HZ427" s="2250"/>
      <c r="IA427" s="2250"/>
      <c r="IB427" s="2250"/>
      <c r="IC427" s="2250"/>
      <c r="ID427" s="2250"/>
      <c r="IE427" s="2250"/>
      <c r="IF427" s="2250"/>
      <c r="IG427" s="2250"/>
      <c r="IH427" s="2250"/>
      <c r="II427" s="2250"/>
      <c r="IJ427" s="2250"/>
      <c r="IK427" s="2250"/>
      <c r="IL427" s="53"/>
      <c r="IM427" s="53"/>
    </row>
    <row r="428" spans="2:247" ht="21.95" customHeight="1">
      <c r="B428" s="2276">
        <f>AF327</f>
        <v>19.915970774546171</v>
      </c>
      <c r="C428" s="2276">
        <f>HLOOKUP(B429,D410:AD430,20,0)</f>
        <v>0</v>
      </c>
      <c r="D428" s="2276">
        <f>+IF(B472&lt;=D420,D420,IF(B472&lt;=D421,D421,IF(B472&lt;=D422,D422,)))</f>
        <v>0</v>
      </c>
      <c r="E428" s="2276">
        <f>+IF(B472&lt;=E420,E420,IF(B472&lt;=E421,E421,IF(B472&lt;=E422,E422,)))</f>
        <v>0</v>
      </c>
      <c r="F428" s="2276">
        <f>+IF(B472&lt;=F420,F420,IF(B472&lt;=F421,F421,IF(B472&lt;=F422,F422,)))</f>
        <v>0</v>
      </c>
      <c r="G428" s="2276">
        <f>+IF(B472&lt;=G420,G420,IF(B472&lt;=G421,G421,IF(B472&lt;=G422,G422,)))</f>
        <v>0</v>
      </c>
      <c r="H428" s="2276">
        <f>+IF(B472&lt;=H420,H420,IF(B472&lt;=H421,H421,IF(B472&lt;=H422,H422,)))</f>
        <v>0</v>
      </c>
      <c r="I428" s="2276">
        <f>+IF(B472&lt;=I420,I420,IF(B472&lt;=I421,I421,IF(B472&lt;=I422,I422,)))</f>
        <v>0</v>
      </c>
      <c r="J428" s="2276">
        <f>+IF(B472&lt;=J420,J420,IF(B472&lt;=J421,J421,IF(B472&lt;=J422,J422,)))</f>
        <v>0</v>
      </c>
      <c r="K428" s="2276">
        <f>+IF(B472&lt;=K420,K420,IF(B472&lt;=K421,K421,IF(B472&lt;=K422,K422,)))</f>
        <v>0</v>
      </c>
      <c r="L428" s="2276">
        <f>+IF(B472&lt;=L420,L420,IF(B472&lt;=L421,L421,IF(B472&lt;=L422,L422,)))</f>
        <v>0</v>
      </c>
      <c r="M428" s="2276">
        <f>+IF(B472&lt;=M420,M420,IF(B472&lt;=M421,M421,IF(B472&lt;=M422,M422,)))</f>
        <v>0</v>
      </c>
      <c r="N428" s="2276">
        <f>+IF(B472&lt;=N420,N420,IF(B472&lt;=N421,N421,IF(B472&lt;=N422,N422,)))</f>
        <v>0</v>
      </c>
      <c r="O428" s="2276">
        <f>+IF(B472&lt;=O420,O420,IF(B472&lt;=O421,O421,IF(B472&lt;=O422,O422,)))</f>
        <v>0</v>
      </c>
      <c r="P428" s="2276">
        <f>+IF(B472&lt;=P420,P420,IF(B472&lt;=P421,P421,IF(B472&lt;=P422,P422,)))</f>
        <v>0</v>
      </c>
      <c r="Q428" s="2276">
        <f>+IF(B472&lt;=Q420,Q420,IF(B472&lt;=Q421,Q421,IF(B472&lt;=Q422,Q422,)))</f>
        <v>0</v>
      </c>
      <c r="R428" s="2276">
        <f>+IF(B472&lt;=R420,R420,IF(B472&lt;=R421,R421,IF(B472&lt;=R422,R422,)))</f>
        <v>0</v>
      </c>
      <c r="S428" s="2276">
        <f>+IF(B472&lt;=S420,S420,IF(B472&lt;=S421,S421,IF(B472&lt;=S422,S422,)))</f>
        <v>0</v>
      </c>
      <c r="T428" s="2276">
        <f>+IF(B472&lt;=T420,T420,IF(B472&lt;=T421,T421,IF(B472&lt;=T422,T422,)))</f>
        <v>0</v>
      </c>
      <c r="U428" s="2276">
        <f>+IF(B472&lt;=U420,U420,IF(B472&lt;=U421,U421,IF(B472&lt;=U422,U422,)))</f>
        <v>0</v>
      </c>
      <c r="V428" s="2276">
        <f>+IF(B472&lt;=V420,V420,IF(B472&lt;=V421,V421,IF(B472&lt;=V422,V422,)))</f>
        <v>0</v>
      </c>
      <c r="W428" s="2276">
        <f>+IF(B472&lt;=W420,W420,IF(B472&lt;=W421,W421,IF(B472&lt;=W422,W422,)))</f>
        <v>0</v>
      </c>
      <c r="X428" s="2276">
        <f>+IF(B472&lt;=X420,X420,IF(B472&lt;=X421,X421,IF(B472&lt;=X422,X422,)))</f>
        <v>0</v>
      </c>
      <c r="Y428" s="2276">
        <f>+IF(B472&lt;=Y420,Y420,IF(B472&lt;=Y421,Y421,IF(B472&lt;=Y422,Y422,)))</f>
        <v>0</v>
      </c>
      <c r="Z428" s="2276">
        <f>+IF(B472&lt;=Z420,Z420,IF(B472&lt;=Z421,Z421,IF(B472&lt;=Z422,Z422,)))</f>
        <v>0</v>
      </c>
      <c r="AA428" s="2276">
        <f>+IF(B472&lt;=AA420,AA420,IF(B472&lt;=AA421,AA421,IF(B472&lt;=AA422,AA422,)))</f>
        <v>0</v>
      </c>
      <c r="AB428" s="2276">
        <f>+IF(B472&lt;=AB420,AB420,IF(B472&lt;=AB421,AB421,IF(B472&lt;=AB422,AB422,)))</f>
        <v>0</v>
      </c>
      <c r="AC428" s="2276">
        <f>+IF(B472&lt;=AC420,AC420,IF(B472&lt;=AC421,AC421,IF(B472&lt;=AC422,AC422,)))</f>
        <v>0</v>
      </c>
      <c r="AD428" s="2276">
        <f>+IF(B472&lt;=AD420,AD420,IF(B472&lt;=AD421,AD421,IF(B472&lt;=AD422,AD422,)))</f>
        <v>0</v>
      </c>
      <c r="AE428" s="2275"/>
      <c r="AF428" s="2275"/>
      <c r="AG428" s="2275"/>
      <c r="AH428" s="2275"/>
      <c r="AI428" s="2275"/>
      <c r="AJ428" s="2275"/>
      <c r="AK428" s="2275"/>
      <c r="AL428" s="2275"/>
      <c r="AM428" s="2275"/>
      <c r="AN428" s="2275"/>
      <c r="AO428" s="2275"/>
      <c r="AP428" s="2250"/>
      <c r="AQ428" s="2250"/>
      <c r="AR428" s="2250"/>
      <c r="AS428" s="2250"/>
      <c r="AT428" s="2250"/>
      <c r="AU428" s="2250"/>
      <c r="AV428" s="2250"/>
      <c r="AW428" s="2250"/>
      <c r="AX428" s="2250"/>
      <c r="AY428" s="2250"/>
      <c r="AZ428" s="2250"/>
      <c r="BA428" s="2250"/>
      <c r="BB428" s="2250"/>
      <c r="BC428" s="2250"/>
      <c r="BD428" s="2250"/>
      <c r="BE428" s="2250"/>
      <c r="BF428" s="2276"/>
      <c r="BG428" s="2276"/>
      <c r="BH428" s="2250"/>
      <c r="BI428" s="2275"/>
      <c r="BJ428" s="2276">
        <f>CN327</f>
        <v>19.915970774546171</v>
      </c>
      <c r="BK428" s="2276">
        <f>HLOOKUP(BJ429,BL410:CL430,20,0)</f>
        <v>0</v>
      </c>
      <c r="BL428" s="2276">
        <f>+IF(BJ472&lt;=BL420,BL420,IF(BJ472&lt;=BL421,BL421,IF(BJ472&lt;=BL422,BL422,)))</f>
        <v>0</v>
      </c>
      <c r="BM428" s="2276">
        <f>+IF(BJ472&lt;=BM420,BM420,IF(BJ472&lt;=BM421,BM421,IF(BJ472&lt;=BM422,BM422,)))</f>
        <v>0</v>
      </c>
      <c r="BN428" s="2276">
        <f>+IF(BJ472&lt;=BN420,BN420,IF(BJ472&lt;=BN421,BN421,IF(BJ472&lt;=BN422,BN422,)))</f>
        <v>0</v>
      </c>
      <c r="BO428" s="2276">
        <f>+IF(BJ472&lt;=BO420,BO420,IF(BJ472&lt;=BO421,BO421,IF(BJ472&lt;=BO422,BO422,)))</f>
        <v>0</v>
      </c>
      <c r="BP428" s="2276">
        <f>+IF(BJ472&lt;=BP420,BP420,IF(BJ472&lt;=BP421,BP421,IF(BJ472&lt;=BP422,BP422,)))</f>
        <v>0</v>
      </c>
      <c r="BQ428" s="2276">
        <f>+IF(BJ472&lt;=BQ420,BQ420,IF(BJ472&lt;=BQ421,BQ421,IF(BJ472&lt;=BQ422,BQ422,)))</f>
        <v>0</v>
      </c>
      <c r="BR428" s="2276">
        <f>+IF(BJ472&lt;=BR420,BR420,IF(BJ472&lt;=BR421,BR421,IF(BJ472&lt;=BR422,BR422,)))</f>
        <v>0</v>
      </c>
      <c r="BS428" s="2276">
        <f>+IF(BJ472&lt;=BS420,BS420,IF(BJ472&lt;=BS421,BS421,IF(BJ472&lt;=BS422,BS422,)))</f>
        <v>0</v>
      </c>
      <c r="BT428" s="2276">
        <f>+IF(BJ472&lt;=BT420,BT420,IF(BJ472&lt;=BT421,BT421,IF(BJ472&lt;=BT422,BT422,)))</f>
        <v>0</v>
      </c>
      <c r="BU428" s="2276">
        <f>+IF(BJ472&lt;=BU420,BU420,IF(BJ472&lt;=BU421,BU421,IF(BJ472&lt;=BU422,BU422,)))</f>
        <v>0</v>
      </c>
      <c r="BV428" s="2276">
        <f>+IF(BJ472&lt;=BV420,BV420,IF(BJ472&lt;=BV421,BV421,IF(BJ472&lt;=BV422,BV422,)))</f>
        <v>0</v>
      </c>
      <c r="BW428" s="2276">
        <f>+IF(BJ472&lt;=BW420,BW420,IF(BJ472&lt;=BW421,BW421,IF(BJ472&lt;=BW422,BW422,)))</f>
        <v>0</v>
      </c>
      <c r="BX428" s="2276">
        <f>+IF(BJ472&lt;=BX420,BX420,IF(BJ472&lt;=BX421,BX421,IF(BJ472&lt;=BX422,BX422,)))</f>
        <v>0</v>
      </c>
      <c r="BY428" s="2276">
        <f>+IF(BJ472&lt;=BY420,BY420,IF(BJ472&lt;=BY421,BY421,IF(BJ472&lt;=BY422,BY422,)))</f>
        <v>0</v>
      </c>
      <c r="BZ428" s="2276">
        <f>+IF(BJ472&lt;=BZ420,BZ420,IF(BJ472&lt;=BZ421,BZ421,IF(BJ472&lt;=BZ422,BZ422,)))</f>
        <v>0</v>
      </c>
      <c r="CA428" s="2276">
        <f>+IF(BJ472&lt;=CA420,CA420,IF(BJ472&lt;=CA421,CA421,IF(BJ472&lt;=CA422,CA422,)))</f>
        <v>0</v>
      </c>
      <c r="CB428" s="2276">
        <f>+IF(BJ472&lt;=CB420,CB420,IF(BJ472&lt;=CB421,CB421,IF(BJ472&lt;=CB422,CB422,)))</f>
        <v>0</v>
      </c>
      <c r="CC428" s="2276">
        <f>+IF(BJ472&lt;=CC420,CC420,IF(BJ472&lt;=CC421,CC421,IF(BJ472&lt;=CC422,CC422,)))</f>
        <v>0</v>
      </c>
      <c r="CD428" s="2276">
        <f>+IF(BJ472&lt;=CD420,CD420,IF(BJ472&lt;=CD421,CD421,IF(BJ472&lt;=CD422,CD422,)))</f>
        <v>0</v>
      </c>
      <c r="CE428" s="2276">
        <f>+IF(BJ472&lt;=CE420,CE420,IF(BJ472&lt;=CE421,CE421,IF(BJ472&lt;=CE422,CE422,)))</f>
        <v>0</v>
      </c>
      <c r="CF428" s="2276">
        <f>+IF(BJ472&lt;=CF420,CF420,IF(BJ472&lt;=CF421,CF421,IF(BJ472&lt;=CF422,CF422,)))</f>
        <v>0</v>
      </c>
      <c r="CG428" s="2276">
        <f>+IF(BJ472&lt;=CG420,CG420,IF(BJ472&lt;=CG421,CG421,IF(BJ472&lt;=CG422,CG422,)))</f>
        <v>0</v>
      </c>
      <c r="CH428" s="2276">
        <f>+IF(BJ472&lt;=CH420,CH420,IF(BJ472&lt;=CH421,CH421,IF(BJ472&lt;=CH422,CH422,)))</f>
        <v>0</v>
      </c>
      <c r="CI428" s="2276">
        <f>+IF(BJ472&lt;=CI420,CI420,IF(BJ472&lt;=CI421,CI421,IF(BJ472&lt;=CI422,CI422,)))</f>
        <v>0</v>
      </c>
      <c r="CJ428" s="2276">
        <f>+IF(BJ472&lt;=CJ420,CJ420,IF(BJ472&lt;=CJ421,CJ421,IF(BJ472&lt;=CJ422,CJ422,)))</f>
        <v>0</v>
      </c>
      <c r="CK428" s="2276">
        <f>+IF(BJ472&lt;=CK420,CK420,IF(BJ472&lt;=CK421,CK421,IF(BJ472&lt;=CK422,CK422,)))</f>
        <v>0</v>
      </c>
      <c r="CL428" s="2276">
        <f>+IF(BJ472&lt;=CL420,CL420,IF(BJ472&lt;=CL421,CL421,IF(BJ472&lt;=CL422,CL422,)))</f>
        <v>0</v>
      </c>
      <c r="CM428" s="2275"/>
      <c r="CN428" s="2275"/>
      <c r="CO428" s="2275"/>
      <c r="CP428" s="2275"/>
      <c r="CQ428" s="2275"/>
      <c r="CR428" s="2275"/>
      <c r="CS428" s="2275"/>
      <c r="CT428" s="2275"/>
      <c r="CU428" s="2275"/>
      <c r="CV428" s="2275"/>
      <c r="CW428" s="2275"/>
      <c r="CX428" s="2250"/>
      <c r="CY428" s="2250"/>
      <c r="CZ428" s="2250"/>
      <c r="DA428" s="2250"/>
      <c r="DB428" s="2250"/>
      <c r="DC428" s="2250"/>
      <c r="DD428" s="2250"/>
      <c r="DE428" s="2250"/>
      <c r="DF428" s="2250"/>
      <c r="DG428" s="2250"/>
      <c r="DH428" s="2250"/>
      <c r="DI428" s="2250"/>
      <c r="DJ428" s="2250"/>
      <c r="DK428" s="2250"/>
      <c r="DL428" s="2250"/>
      <c r="DM428" s="2250"/>
      <c r="DN428" s="2250"/>
      <c r="DO428" s="53"/>
      <c r="DP428" s="53"/>
      <c r="DY428" s="2276">
        <f>FC327</f>
        <v>19.968225884687833</v>
      </c>
      <c r="DZ428" s="2276">
        <f>HLOOKUP(DY429,EA410:FA430,20,0)</f>
        <v>0</v>
      </c>
      <c r="EA428" s="2276">
        <f>+IF(DY472&lt;=EA420,EA420,IF(DY472&lt;=EA421,EA421,IF(DY472&lt;=EA422,EA422,)))</f>
        <v>0</v>
      </c>
      <c r="EB428" s="2276">
        <f>+IF(DY472&lt;=EB420,EB420,IF(DY472&lt;=EB421,EB421,IF(DY472&lt;=EB422,EB422,)))</f>
        <v>0</v>
      </c>
      <c r="EC428" s="2276">
        <f>+IF(DY472&lt;=EC420,EC420,IF(DY472&lt;=EC421,EC421,IF(DY472&lt;=EC422,EC422,)))</f>
        <v>0</v>
      </c>
      <c r="ED428" s="2276">
        <f>+IF(DY472&lt;=ED420,ED420,IF(DY472&lt;=ED421,ED421,IF(DY472&lt;=ED422,ED422,)))</f>
        <v>0</v>
      </c>
      <c r="EE428" s="2276">
        <f>+IF(DY472&lt;=EE420,EE420,IF(DY472&lt;=EE421,EE421,IF(DY472&lt;=EE422,EE422,)))</f>
        <v>0</v>
      </c>
      <c r="EF428" s="2276">
        <f>+IF(DY472&lt;=EF420,EF420,IF(DY472&lt;=EF421,EF421,IF(DY472&lt;=EF422,EF422,)))</f>
        <v>0</v>
      </c>
      <c r="EG428" s="2276">
        <f>+IF(DY472&lt;=EG420,EG420,IF(DY472&lt;=EG421,EG421,IF(DY472&lt;=EG422,EG422,)))</f>
        <v>0</v>
      </c>
      <c r="EH428" s="2276">
        <f>+IF(DY472&lt;=EH420,EH420,IF(DY472&lt;=EH421,EH421,IF(DY472&lt;=EH422,EH422,)))</f>
        <v>0</v>
      </c>
      <c r="EI428" s="2276">
        <f>+IF(DY472&lt;=EI420,EI420,IF(DY472&lt;=EI421,EI421,IF(DY472&lt;=EI422,EI422,)))</f>
        <v>0</v>
      </c>
      <c r="EJ428" s="2276">
        <f>+IF(DY472&lt;=EJ420,EJ420,IF(DY472&lt;=EJ421,EJ421,IF(DY472&lt;=EJ422,EJ422,)))</f>
        <v>0</v>
      </c>
      <c r="EK428" s="2276">
        <f>+IF(DY472&lt;=EK420,EK420,IF(DY472&lt;=EK421,EK421,IF(DY472&lt;=EK422,EK422,)))</f>
        <v>0</v>
      </c>
      <c r="EL428" s="2276">
        <f>+IF(DY472&lt;=EL420,EL420,IF(DY472&lt;=EL421,EL421,IF(DY472&lt;=EL422,EL422,)))</f>
        <v>0</v>
      </c>
      <c r="EM428" s="2276">
        <f>+IF(DY472&lt;=EM420,EM420,IF(DY472&lt;=EM421,EM421,IF(DY472&lt;=EM422,EM422,)))</f>
        <v>0</v>
      </c>
      <c r="EN428" s="2276">
        <f>+IF(DY472&lt;=EN420,EN420,IF(DY472&lt;=EN421,EN421,IF(DY472&lt;=EN422,EN422,)))</f>
        <v>0</v>
      </c>
      <c r="EO428" s="2276">
        <f>+IF(DY472&lt;=EO420,EO420,IF(DY472&lt;=EO421,EO421,IF(DY472&lt;=EO422,EO422,)))</f>
        <v>0</v>
      </c>
      <c r="EP428" s="2276">
        <f>+IF(DY472&lt;=EP420,EP420,IF(DY472&lt;=EP421,EP421,IF(DY472&lt;=EP422,EP422,)))</f>
        <v>0</v>
      </c>
      <c r="EQ428" s="2276">
        <f>+IF(DY472&lt;=EQ420,EQ420,IF(DY472&lt;=EQ421,EQ421,IF(DY472&lt;=EQ422,EQ422,)))</f>
        <v>0</v>
      </c>
      <c r="ER428" s="2276">
        <f>+IF(DY472&lt;=ER420,ER420,IF(DY472&lt;=ER421,ER421,IF(DY472&lt;=ER422,ER422,)))</f>
        <v>0</v>
      </c>
      <c r="ES428" s="2276">
        <f>+IF(DY472&lt;=ES420,ES420,IF(DY472&lt;=ES421,ES421,IF(DY472&lt;=ES422,ES422,)))</f>
        <v>0</v>
      </c>
      <c r="ET428" s="2276">
        <f>+IF(DY472&lt;=ET420,ET420,IF(DY472&lt;=ET421,ET421,IF(DY472&lt;=ET422,ET422,)))</f>
        <v>0</v>
      </c>
      <c r="EU428" s="2276">
        <f>+IF(DY472&lt;=EU420,EU420,IF(DY472&lt;=EU421,EU421,IF(DY472&lt;=EU422,EU422,)))</f>
        <v>0</v>
      </c>
      <c r="EV428" s="2276">
        <f>+IF(DY472&lt;=EV420,EV420,IF(DY472&lt;=EV421,EV421,IF(DY472&lt;=EV422,EV422,)))</f>
        <v>0</v>
      </c>
      <c r="EW428" s="2276">
        <f>+IF(DY472&lt;=EW420,EW420,IF(DY472&lt;=EW421,EW421,IF(DY472&lt;=EW422,EW422,)))</f>
        <v>0</v>
      </c>
      <c r="EX428" s="2276">
        <f>+IF(DY472&lt;=EX420,EX420,IF(DY472&lt;=EX421,EX421,IF(DY472&lt;=EX422,EX422,)))</f>
        <v>0</v>
      </c>
      <c r="EY428" s="2276">
        <f>+IF(DY472&lt;=EY420,EY420,IF(DY472&lt;=EY421,EY421,IF(DY472&lt;=EY422,EY422,)))</f>
        <v>0</v>
      </c>
      <c r="EZ428" s="2276">
        <f>+IF(DY472&lt;=EZ420,EZ420,IF(DY472&lt;=EZ421,EZ421,IF(DY472&lt;=EZ422,EZ422,)))</f>
        <v>0</v>
      </c>
      <c r="FA428" s="2276">
        <f>+IF(DY472&lt;=FA420,FA420,IF(DY472&lt;=FA421,FA421,IF(DY472&lt;=FA422,FA422,)))</f>
        <v>0</v>
      </c>
      <c r="FB428" s="2275"/>
      <c r="FC428" s="2275"/>
      <c r="FD428" s="2275"/>
      <c r="FE428" s="2275"/>
      <c r="FF428" s="2275"/>
      <c r="FG428" s="2275"/>
      <c r="FH428" s="2275"/>
      <c r="FI428" s="2275"/>
      <c r="FJ428" s="2275"/>
      <c r="FK428" s="2275"/>
      <c r="FL428" s="2275"/>
      <c r="FM428" s="2250"/>
      <c r="FN428" s="2250"/>
      <c r="FO428" s="2250"/>
      <c r="FP428" s="2250"/>
      <c r="FQ428" s="2250"/>
      <c r="FR428" s="2250"/>
      <c r="FS428" s="2250"/>
      <c r="FT428" s="2250"/>
      <c r="FU428" s="2250"/>
      <c r="FV428" s="2250"/>
      <c r="FW428" s="2250"/>
      <c r="FX428" s="2250"/>
      <c r="FY428" s="2250"/>
      <c r="FZ428" s="2250"/>
      <c r="GA428" s="2250"/>
      <c r="GB428" s="2250"/>
      <c r="GC428" s="2276"/>
      <c r="GD428" s="2276"/>
      <c r="GE428" s="2250"/>
      <c r="GF428" s="2275"/>
      <c r="GG428" s="2276">
        <f>HK327</f>
        <v>19.968225884687833</v>
      </c>
      <c r="GH428" s="2276">
        <f>HLOOKUP(GG429,GI410:HI430,20,0)</f>
        <v>0</v>
      </c>
      <c r="GI428" s="2276">
        <f>+IF(GG472&lt;=GI420,GI420,IF(GG472&lt;=GI421,GI421,IF(GG472&lt;=GI422,GI422,)))</f>
        <v>0</v>
      </c>
      <c r="GJ428" s="2276">
        <f>+IF(GG472&lt;=GJ420,GJ420,IF(GG472&lt;=GJ421,GJ421,IF(GG472&lt;=GJ422,GJ422,)))</f>
        <v>0</v>
      </c>
      <c r="GK428" s="2276">
        <f>+IF(GG472&lt;=GK420,GK420,IF(GG472&lt;=GK421,GK421,IF(GG472&lt;=GK422,GK422,)))</f>
        <v>0</v>
      </c>
      <c r="GL428" s="2276">
        <f>+IF(GG472&lt;=GL420,GL420,IF(GG472&lt;=GL421,GL421,IF(GG472&lt;=GL422,GL422,)))</f>
        <v>0</v>
      </c>
      <c r="GM428" s="2276">
        <f>+IF(GG472&lt;=GM420,GM420,IF(GG472&lt;=GM421,GM421,IF(GG472&lt;=GM422,GM422,)))</f>
        <v>0</v>
      </c>
      <c r="GN428" s="2276">
        <f>+IF(GG472&lt;=GN420,GN420,IF(GG472&lt;=GN421,GN421,IF(GG472&lt;=GN422,GN422,)))</f>
        <v>0</v>
      </c>
      <c r="GO428" s="2276">
        <f>+IF(GG472&lt;=GO420,GO420,IF(GG472&lt;=GO421,GO421,IF(GG472&lt;=GO422,GO422,)))</f>
        <v>0</v>
      </c>
      <c r="GP428" s="2276">
        <f>+IF(GG472&lt;=GP420,GP420,IF(GG472&lt;=GP421,GP421,IF(GG472&lt;=GP422,GP422,)))</f>
        <v>0</v>
      </c>
      <c r="GQ428" s="2276">
        <f>+IF(GG472&lt;=GQ420,GQ420,IF(GG472&lt;=GQ421,GQ421,IF(GG472&lt;=GQ422,GQ422,)))</f>
        <v>0</v>
      </c>
      <c r="GR428" s="2276">
        <f>+IF(GG472&lt;=GR420,GR420,IF(GG472&lt;=GR421,GR421,IF(GG472&lt;=GR422,GR422,)))</f>
        <v>0</v>
      </c>
      <c r="GS428" s="2276">
        <f>+IF(GG472&lt;=GS420,GS420,IF(GG472&lt;=GS421,GS421,IF(GG472&lt;=GS422,GS422,)))</f>
        <v>0</v>
      </c>
      <c r="GT428" s="2276">
        <f>+IF(GG472&lt;=GT420,GT420,IF(GG472&lt;=GT421,GT421,IF(GG472&lt;=GT422,GT422,)))</f>
        <v>0</v>
      </c>
      <c r="GU428" s="2276">
        <f>+IF(GG472&lt;=GU420,GU420,IF(GG472&lt;=GU421,GU421,IF(GG472&lt;=GU422,GU422,)))</f>
        <v>0</v>
      </c>
      <c r="GV428" s="2276">
        <f>+IF(GG472&lt;=GV420,GV420,IF(GG472&lt;=GV421,GV421,IF(GG472&lt;=GV422,GV422,)))</f>
        <v>0</v>
      </c>
      <c r="GW428" s="2276">
        <f>+IF(GG472&lt;=GW420,GW420,IF(GG472&lt;=GW421,GW421,IF(GG472&lt;=GW422,GW422,)))</f>
        <v>0</v>
      </c>
      <c r="GX428" s="2276">
        <f>+IF(GG472&lt;=GX420,GX420,IF(GG472&lt;=GX421,GX421,IF(GG472&lt;=GX422,GX422,)))</f>
        <v>0</v>
      </c>
      <c r="GY428" s="2276">
        <f>+IF(GG472&lt;=GY420,GY420,IF(GG472&lt;=GY421,GY421,IF(GG472&lt;=GY422,GY422,)))</f>
        <v>0</v>
      </c>
      <c r="GZ428" s="2276">
        <f>+IF(GG472&lt;=GZ420,GZ420,IF(GG472&lt;=GZ421,GZ421,IF(GG472&lt;=GZ422,GZ422,)))</f>
        <v>0</v>
      </c>
      <c r="HA428" s="2276">
        <f>+IF(GG472&lt;=HA420,HA420,IF(GG472&lt;=HA421,HA421,IF(GG472&lt;=HA422,HA422,)))</f>
        <v>0</v>
      </c>
      <c r="HB428" s="2276">
        <f>+IF(GG472&lt;=HB420,HB420,IF(GG472&lt;=HB421,HB421,IF(GG472&lt;=HB422,HB422,)))</f>
        <v>0</v>
      </c>
      <c r="HC428" s="2276">
        <f>+IF(GG472&lt;=HC420,HC420,IF(GG472&lt;=HC421,HC421,IF(GG472&lt;=HC422,HC422,)))</f>
        <v>0</v>
      </c>
      <c r="HD428" s="2276">
        <f>+IF(GG472&lt;=HD420,HD420,IF(GG472&lt;=HD421,HD421,IF(GG472&lt;=HD422,HD422,)))</f>
        <v>0</v>
      </c>
      <c r="HE428" s="2276">
        <f>+IF(GG472&lt;=HE420,HE420,IF(GG472&lt;=HE421,HE421,IF(GG472&lt;=HE422,HE422,)))</f>
        <v>0</v>
      </c>
      <c r="HF428" s="2276">
        <f>+IF(GG472&lt;=HF420,HF420,IF(GG472&lt;=HF421,HF421,IF(GG472&lt;=HF422,HF422,)))</f>
        <v>0</v>
      </c>
      <c r="HG428" s="2276">
        <f>+IF(GG472&lt;=HG420,HG420,IF(GG472&lt;=HG421,HG421,IF(GG472&lt;=HG422,HG422,)))</f>
        <v>0</v>
      </c>
      <c r="HH428" s="2276">
        <f>+IF(GG472&lt;=HH420,HH420,IF(GG472&lt;=HH421,HH421,IF(GG472&lt;=HH422,HH422,)))</f>
        <v>0</v>
      </c>
      <c r="HI428" s="2276">
        <f>+IF(GG472&lt;=HI420,HI420,IF(GG472&lt;=HI421,HI421,IF(GG472&lt;=HI422,HI422,)))</f>
        <v>0</v>
      </c>
      <c r="HJ428" s="2275"/>
      <c r="HK428" s="2275"/>
      <c r="HL428" s="2275"/>
      <c r="HM428" s="2275"/>
      <c r="HN428" s="2275"/>
      <c r="HO428" s="2275"/>
      <c r="HP428" s="2275"/>
      <c r="HQ428" s="2275"/>
      <c r="HR428" s="2275"/>
      <c r="HS428" s="2275"/>
      <c r="HT428" s="2275"/>
      <c r="HU428" s="2250"/>
      <c r="HV428" s="2250"/>
      <c r="HW428" s="2250"/>
      <c r="HX428" s="2250"/>
      <c r="HY428" s="2250"/>
      <c r="HZ428" s="2250"/>
      <c r="IA428" s="2250"/>
      <c r="IB428" s="2250"/>
      <c r="IC428" s="2250"/>
      <c r="ID428" s="2250"/>
      <c r="IE428" s="2250"/>
      <c r="IF428" s="2250"/>
      <c r="IG428" s="2250"/>
      <c r="IH428" s="2250"/>
      <c r="II428" s="2250"/>
      <c r="IJ428" s="2250"/>
      <c r="IK428" s="2250"/>
      <c r="IL428" s="53"/>
      <c r="IM428" s="53"/>
    </row>
    <row r="429" spans="2:247" ht="21.95" customHeight="1">
      <c r="B429" s="2276">
        <f>AF328</f>
        <v>190.4</v>
      </c>
      <c r="C429" s="2276">
        <f>HLOOKUP(B429,D410:AD430,21,0)</f>
        <v>400</v>
      </c>
      <c r="D429" s="2276">
        <f t="shared" ref="D429:AD429" si="338">IF(D427=0,D428,D427)</f>
        <v>0</v>
      </c>
      <c r="E429" s="2276">
        <f t="shared" si="338"/>
        <v>0</v>
      </c>
      <c r="F429" s="2276">
        <f t="shared" si="338"/>
        <v>0</v>
      </c>
      <c r="G429" s="2276">
        <f t="shared" si="338"/>
        <v>0</v>
      </c>
      <c r="H429" s="2276">
        <f>IF(H427=0,H428,H427)</f>
        <v>0</v>
      </c>
      <c r="I429" s="2276">
        <f t="shared" si="338"/>
        <v>0</v>
      </c>
      <c r="J429" s="2276">
        <f t="shared" si="338"/>
        <v>0</v>
      </c>
      <c r="K429" s="2276">
        <f t="shared" si="338"/>
        <v>0</v>
      </c>
      <c r="L429" s="2276">
        <f t="shared" si="338"/>
        <v>0</v>
      </c>
      <c r="M429" s="2276">
        <f t="shared" si="338"/>
        <v>0</v>
      </c>
      <c r="N429" s="2276">
        <f t="shared" si="338"/>
        <v>0</v>
      </c>
      <c r="O429" s="2276">
        <f t="shared" si="338"/>
        <v>0</v>
      </c>
      <c r="P429" s="2276">
        <f t="shared" si="338"/>
        <v>0</v>
      </c>
      <c r="Q429" s="2276">
        <f>IF(Q427=0,Q428,Q427)</f>
        <v>0</v>
      </c>
      <c r="R429" s="2276">
        <f t="shared" si="338"/>
        <v>0</v>
      </c>
      <c r="S429" s="2276">
        <f t="shared" si="338"/>
        <v>0</v>
      </c>
      <c r="T429" s="2276">
        <f t="shared" si="338"/>
        <v>0</v>
      </c>
      <c r="U429" s="2276">
        <f t="shared" si="338"/>
        <v>0</v>
      </c>
      <c r="V429" s="2276">
        <f t="shared" si="338"/>
        <v>0</v>
      </c>
      <c r="W429" s="2276">
        <f t="shared" si="338"/>
        <v>0</v>
      </c>
      <c r="X429" s="2276">
        <f t="shared" si="338"/>
        <v>0</v>
      </c>
      <c r="Y429" s="2276">
        <f t="shared" si="338"/>
        <v>0</v>
      </c>
      <c r="Z429" s="2276">
        <f t="shared" si="338"/>
        <v>0</v>
      </c>
      <c r="AA429" s="2276">
        <f t="shared" si="338"/>
        <v>0</v>
      </c>
      <c r="AB429" s="2276">
        <f t="shared" si="338"/>
        <v>0</v>
      </c>
      <c r="AC429" s="2276">
        <f t="shared" si="338"/>
        <v>0</v>
      </c>
      <c r="AD429" s="2276">
        <f t="shared" si="338"/>
        <v>0</v>
      </c>
      <c r="AE429" s="2275"/>
      <c r="AF429" s="2275"/>
      <c r="AG429" s="2275"/>
      <c r="AH429" s="2275"/>
      <c r="AI429" s="2275"/>
      <c r="AJ429" s="2275"/>
      <c r="AK429" s="2275"/>
      <c r="AL429" s="2275"/>
      <c r="AM429" s="2275"/>
      <c r="AN429" s="2275"/>
      <c r="AO429" s="2275"/>
      <c r="AP429" s="2250"/>
      <c r="AQ429" s="2250"/>
      <c r="AR429" s="2250"/>
      <c r="AS429" s="2250"/>
      <c r="AT429" s="2250"/>
      <c r="AU429" s="2250"/>
      <c r="AV429" s="2250"/>
      <c r="AW429" s="2250"/>
      <c r="AX429" s="2250"/>
      <c r="AY429" s="2250"/>
      <c r="AZ429" s="2250"/>
      <c r="BA429" s="2250"/>
      <c r="BB429" s="2250"/>
      <c r="BC429" s="2250"/>
      <c r="BD429" s="2250"/>
      <c r="BE429" s="2250"/>
      <c r="BF429" s="2276"/>
      <c r="BG429" s="2276"/>
      <c r="BH429" s="2250"/>
      <c r="BI429" s="2275"/>
      <c r="BJ429" s="2276">
        <f>CN328</f>
        <v>206.43</v>
      </c>
      <c r="BK429" s="2276">
        <f>HLOOKUP(BJ429,BL410:CL430,21,0)</f>
        <v>400</v>
      </c>
      <c r="BL429" s="2276">
        <f t="shared" ref="BL429:CL429" si="339">IF(BL427=0,BL428,BL427)</f>
        <v>0</v>
      </c>
      <c r="BM429" s="2276">
        <f t="shared" si="339"/>
        <v>0</v>
      </c>
      <c r="BN429" s="2276">
        <f t="shared" si="339"/>
        <v>0</v>
      </c>
      <c r="BO429" s="2276">
        <f t="shared" si="339"/>
        <v>0</v>
      </c>
      <c r="BP429" s="2276">
        <f t="shared" si="339"/>
        <v>0</v>
      </c>
      <c r="BQ429" s="2276">
        <f t="shared" si="339"/>
        <v>0</v>
      </c>
      <c r="BR429" s="2276">
        <f t="shared" si="339"/>
        <v>0</v>
      </c>
      <c r="BS429" s="2276">
        <f t="shared" si="339"/>
        <v>0</v>
      </c>
      <c r="BT429" s="2276">
        <f t="shared" si="339"/>
        <v>0</v>
      </c>
      <c r="BU429" s="2276">
        <f t="shared" si="339"/>
        <v>0</v>
      </c>
      <c r="BV429" s="2276">
        <f t="shared" si="339"/>
        <v>0</v>
      </c>
      <c r="BW429" s="2276">
        <f t="shared" si="339"/>
        <v>0</v>
      </c>
      <c r="BX429" s="2276">
        <f t="shared" si="339"/>
        <v>0</v>
      </c>
      <c r="BY429" s="2276">
        <f t="shared" si="339"/>
        <v>0</v>
      </c>
      <c r="BZ429" s="2276">
        <f t="shared" si="339"/>
        <v>0</v>
      </c>
      <c r="CA429" s="2276">
        <f t="shared" si="339"/>
        <v>0</v>
      </c>
      <c r="CB429" s="2276">
        <f t="shared" si="339"/>
        <v>0</v>
      </c>
      <c r="CC429" s="2276">
        <f t="shared" si="339"/>
        <v>0</v>
      </c>
      <c r="CD429" s="2276">
        <f t="shared" si="339"/>
        <v>0</v>
      </c>
      <c r="CE429" s="2276">
        <f t="shared" si="339"/>
        <v>0</v>
      </c>
      <c r="CF429" s="2276">
        <f t="shared" si="339"/>
        <v>0</v>
      </c>
      <c r="CG429" s="2276">
        <f t="shared" si="339"/>
        <v>0</v>
      </c>
      <c r="CH429" s="2276">
        <f t="shared" si="339"/>
        <v>0</v>
      </c>
      <c r="CI429" s="2276">
        <f t="shared" si="339"/>
        <v>0</v>
      </c>
      <c r="CJ429" s="2276">
        <f t="shared" si="339"/>
        <v>0</v>
      </c>
      <c r="CK429" s="2276">
        <f t="shared" si="339"/>
        <v>0</v>
      </c>
      <c r="CL429" s="2276">
        <f t="shared" si="339"/>
        <v>0</v>
      </c>
      <c r="CM429" s="2275"/>
      <c r="CN429" s="2275"/>
      <c r="CO429" s="2275"/>
      <c r="CP429" s="2275"/>
      <c r="CQ429" s="2275"/>
      <c r="CR429" s="2275"/>
      <c r="CS429" s="2275"/>
      <c r="CT429" s="2275"/>
      <c r="CU429" s="2275"/>
      <c r="CV429" s="2275"/>
      <c r="CW429" s="2275"/>
      <c r="CX429" s="2250"/>
      <c r="CY429" s="2250"/>
      <c r="CZ429" s="2250"/>
      <c r="DA429" s="2250"/>
      <c r="DB429" s="2250"/>
      <c r="DC429" s="2250"/>
      <c r="DD429" s="2250"/>
      <c r="DE429" s="2250"/>
      <c r="DF429" s="2250"/>
      <c r="DG429" s="2250"/>
      <c r="DH429" s="2250"/>
      <c r="DI429" s="2250"/>
      <c r="DJ429" s="2250"/>
      <c r="DK429" s="2250"/>
      <c r="DL429" s="2250"/>
      <c r="DM429" s="2250"/>
      <c r="DN429" s="2250"/>
      <c r="DO429" s="53"/>
      <c r="DP429" s="53"/>
      <c r="DY429" s="2276">
        <f>FC328</f>
        <v>120.7</v>
      </c>
      <c r="DZ429" s="2276">
        <f>HLOOKUP(DY429,EA410:FA430,21,0)</f>
        <v>400</v>
      </c>
      <c r="EA429" s="2276">
        <f t="shared" ref="EA429:FA429" si="340">IF(EA427=0,EA428,EA427)</f>
        <v>0</v>
      </c>
      <c r="EB429" s="2276">
        <f t="shared" si="340"/>
        <v>0</v>
      </c>
      <c r="EC429" s="2276">
        <f t="shared" si="340"/>
        <v>0</v>
      </c>
      <c r="ED429" s="2276">
        <f t="shared" si="340"/>
        <v>0</v>
      </c>
      <c r="EE429" s="2276">
        <f>IF(EE427=0,EE428,EE427)</f>
        <v>0</v>
      </c>
      <c r="EF429" s="2276">
        <f t="shared" si="340"/>
        <v>0</v>
      </c>
      <c r="EG429" s="2276">
        <f t="shared" si="340"/>
        <v>0</v>
      </c>
      <c r="EH429" s="2276">
        <f t="shared" si="340"/>
        <v>0</v>
      </c>
      <c r="EI429" s="2276">
        <f t="shared" si="340"/>
        <v>0</v>
      </c>
      <c r="EJ429" s="2276">
        <f t="shared" si="340"/>
        <v>0</v>
      </c>
      <c r="EK429" s="2276">
        <f t="shared" si="340"/>
        <v>0</v>
      </c>
      <c r="EL429" s="2276">
        <f t="shared" si="340"/>
        <v>0</v>
      </c>
      <c r="EM429" s="2276">
        <f t="shared" si="340"/>
        <v>0</v>
      </c>
      <c r="EN429" s="2276">
        <f>IF(EN427=0,EN428,EN427)</f>
        <v>0</v>
      </c>
      <c r="EO429" s="2276">
        <f t="shared" si="340"/>
        <v>0</v>
      </c>
      <c r="EP429" s="2276">
        <f t="shared" si="340"/>
        <v>0</v>
      </c>
      <c r="EQ429" s="2276">
        <f t="shared" si="340"/>
        <v>0</v>
      </c>
      <c r="ER429" s="2276">
        <f t="shared" si="340"/>
        <v>0</v>
      </c>
      <c r="ES429" s="2276">
        <f t="shared" si="340"/>
        <v>0</v>
      </c>
      <c r="ET429" s="2276">
        <f t="shared" si="340"/>
        <v>0</v>
      </c>
      <c r="EU429" s="2276">
        <f t="shared" si="340"/>
        <v>0</v>
      </c>
      <c r="EV429" s="2276">
        <f t="shared" si="340"/>
        <v>0</v>
      </c>
      <c r="EW429" s="2276">
        <f t="shared" si="340"/>
        <v>0</v>
      </c>
      <c r="EX429" s="2276">
        <f t="shared" si="340"/>
        <v>0</v>
      </c>
      <c r="EY429" s="2276">
        <f t="shared" si="340"/>
        <v>0</v>
      </c>
      <c r="EZ429" s="2276">
        <f t="shared" si="340"/>
        <v>0</v>
      </c>
      <c r="FA429" s="2276">
        <f t="shared" si="340"/>
        <v>0</v>
      </c>
      <c r="FB429" s="2275"/>
      <c r="FC429" s="2275"/>
      <c r="FD429" s="2275"/>
      <c r="FE429" s="2275"/>
      <c r="FF429" s="2275"/>
      <c r="FG429" s="2275"/>
      <c r="FH429" s="2275"/>
      <c r="FI429" s="2275"/>
      <c r="FJ429" s="2275"/>
      <c r="FK429" s="2275"/>
      <c r="FL429" s="2275"/>
      <c r="FM429" s="2250"/>
      <c r="FN429" s="2250"/>
      <c r="FO429" s="2250"/>
      <c r="FP429" s="2250"/>
      <c r="FQ429" s="2250"/>
      <c r="FR429" s="2250"/>
      <c r="FS429" s="2250"/>
      <c r="FT429" s="2250"/>
      <c r="FU429" s="2250"/>
      <c r="FV429" s="2250"/>
      <c r="FW429" s="2250"/>
      <c r="FX429" s="2250"/>
      <c r="FY429" s="2250"/>
      <c r="FZ429" s="2250"/>
      <c r="GA429" s="2250"/>
      <c r="GB429" s="2250"/>
      <c r="GC429" s="2276"/>
      <c r="GD429" s="2276"/>
      <c r="GE429" s="2250"/>
      <c r="GF429" s="2275"/>
      <c r="GG429" s="2276">
        <f>HK328</f>
        <v>129.80000000000001</v>
      </c>
      <c r="GH429" s="2276">
        <f>HLOOKUP(GG429,GI410:HI430,21,0)</f>
        <v>400</v>
      </c>
      <c r="GI429" s="2276">
        <f t="shared" ref="GI429:HI429" si="341">IF(GI427=0,GI428,GI427)</f>
        <v>0</v>
      </c>
      <c r="GJ429" s="2276">
        <f t="shared" si="341"/>
        <v>0</v>
      </c>
      <c r="GK429" s="2276">
        <f t="shared" si="341"/>
        <v>0</v>
      </c>
      <c r="GL429" s="2276">
        <f t="shared" si="341"/>
        <v>0</v>
      </c>
      <c r="GM429" s="2276">
        <f t="shared" si="341"/>
        <v>0</v>
      </c>
      <c r="GN429" s="2276">
        <f t="shared" si="341"/>
        <v>0</v>
      </c>
      <c r="GO429" s="2276">
        <f t="shared" si="341"/>
        <v>0</v>
      </c>
      <c r="GP429" s="2276">
        <f t="shared" si="341"/>
        <v>0</v>
      </c>
      <c r="GQ429" s="2276">
        <f t="shared" si="341"/>
        <v>0</v>
      </c>
      <c r="GR429" s="2276">
        <f t="shared" si="341"/>
        <v>0</v>
      </c>
      <c r="GS429" s="2276">
        <f t="shared" si="341"/>
        <v>0</v>
      </c>
      <c r="GT429" s="2276">
        <f t="shared" si="341"/>
        <v>0</v>
      </c>
      <c r="GU429" s="2276">
        <f t="shared" si="341"/>
        <v>0</v>
      </c>
      <c r="GV429" s="2276">
        <f t="shared" si="341"/>
        <v>0</v>
      </c>
      <c r="GW429" s="2276">
        <f t="shared" si="341"/>
        <v>0</v>
      </c>
      <c r="GX429" s="2276">
        <f t="shared" si="341"/>
        <v>0</v>
      </c>
      <c r="GY429" s="2276">
        <f t="shared" si="341"/>
        <v>0</v>
      </c>
      <c r="GZ429" s="2276">
        <f t="shared" si="341"/>
        <v>0</v>
      </c>
      <c r="HA429" s="2276">
        <f t="shared" si="341"/>
        <v>0</v>
      </c>
      <c r="HB429" s="2276">
        <f t="shared" si="341"/>
        <v>0</v>
      </c>
      <c r="HC429" s="2276">
        <f t="shared" si="341"/>
        <v>0</v>
      </c>
      <c r="HD429" s="2276">
        <f t="shared" si="341"/>
        <v>0</v>
      </c>
      <c r="HE429" s="2276">
        <f t="shared" si="341"/>
        <v>0</v>
      </c>
      <c r="HF429" s="2276">
        <f t="shared" si="341"/>
        <v>0</v>
      </c>
      <c r="HG429" s="2276">
        <f t="shared" si="341"/>
        <v>0</v>
      </c>
      <c r="HH429" s="2276">
        <f t="shared" si="341"/>
        <v>0</v>
      </c>
      <c r="HI429" s="2276">
        <f t="shared" si="341"/>
        <v>0</v>
      </c>
      <c r="HJ429" s="2275"/>
      <c r="HK429" s="2275"/>
      <c r="HL429" s="2275"/>
      <c r="HM429" s="2275"/>
      <c r="HN429" s="2275"/>
      <c r="HO429" s="2275"/>
      <c r="HP429" s="2275"/>
      <c r="HQ429" s="2275"/>
      <c r="HR429" s="2275"/>
      <c r="HS429" s="2275"/>
      <c r="HT429" s="2275"/>
      <c r="HU429" s="2250"/>
      <c r="HV429" s="2250"/>
      <c r="HW429" s="2250"/>
      <c r="HX429" s="2250"/>
      <c r="HY429" s="2250"/>
      <c r="HZ429" s="2250"/>
      <c r="IA429" s="2250"/>
      <c r="IB429" s="2250"/>
      <c r="IC429" s="2250"/>
      <c r="ID429" s="2250"/>
      <c r="IE429" s="2250"/>
      <c r="IF429" s="2250"/>
      <c r="IG429" s="2250"/>
      <c r="IH429" s="2250"/>
      <c r="II429" s="2250"/>
      <c r="IJ429" s="2250"/>
      <c r="IK429" s="2250"/>
      <c r="IL429" s="53"/>
      <c r="IM429" s="53"/>
    </row>
    <row r="430" spans="2:247" ht="21.95" customHeight="1">
      <c r="B430" s="2275"/>
      <c r="C430" s="2276" t="str">
        <f>IF(C428=AH426,IF(C429=AI426,"Right","Wrong"))</f>
        <v>Right</v>
      </c>
      <c r="D430" s="2276">
        <f>VLOOKUP(D429,D412:AE422,28,0)</f>
        <v>400</v>
      </c>
      <c r="E430" s="2276">
        <f>VLOOKUP(E429,E412:AE422,27,0)</f>
        <v>400</v>
      </c>
      <c r="F430" s="2276">
        <f>VLOOKUP(F429,F412:AE422,26,0)</f>
        <v>400</v>
      </c>
      <c r="G430" s="2276">
        <f>VLOOKUP(G429,G412:AE422,25,0)</f>
        <v>400</v>
      </c>
      <c r="H430" s="2276">
        <f>VLOOKUP(H429,H412:AE422,24,0)</f>
        <v>400</v>
      </c>
      <c r="I430" s="2276">
        <f>VLOOKUP(I429,I412:AE422,23,0)</f>
        <v>400</v>
      </c>
      <c r="J430" s="2276">
        <f>VLOOKUP(J429,J412:AE422,22,0)</f>
        <v>400</v>
      </c>
      <c r="K430" s="2276">
        <f>VLOOKUP(K429,K412:AE422,21,0)</f>
        <v>400</v>
      </c>
      <c r="L430" s="2276">
        <f>VLOOKUP(L429,L412:AE422,20,0)</f>
        <v>400</v>
      </c>
      <c r="M430" s="2276">
        <f>VLOOKUP(M429,M412:AE422,19,0)</f>
        <v>400</v>
      </c>
      <c r="N430" s="2276">
        <f>VLOOKUP(N429,N412:AE422,18,0)</f>
        <v>400</v>
      </c>
      <c r="O430" s="2276">
        <f>VLOOKUP(O429,O412:AE422,17,0)</f>
        <v>400</v>
      </c>
      <c r="P430" s="2276">
        <f>VLOOKUP(P429,P412:AE422,16,0)</f>
        <v>400</v>
      </c>
      <c r="Q430" s="2276">
        <f>VLOOKUP(Q429,Q412:AE444,15,0)</f>
        <v>400</v>
      </c>
      <c r="R430" s="2276">
        <f>VLOOKUP(R429,R412:AE422,14,0)</f>
        <v>400</v>
      </c>
      <c r="S430" s="2276">
        <f>VLOOKUP(S429,S412:AE422,13,0)</f>
        <v>400</v>
      </c>
      <c r="T430" s="2276">
        <f>VLOOKUP(T429,T412:AE422,12,0)</f>
        <v>400</v>
      </c>
      <c r="U430" s="2276">
        <f>VLOOKUP(U429,U412:AE422,11,0)</f>
        <v>400</v>
      </c>
      <c r="V430" s="2276">
        <f>VLOOKUP(V429,V412:AE422,10,0)</f>
        <v>400</v>
      </c>
      <c r="W430" s="2276">
        <f>VLOOKUP(W429,W412:AE422,9,0)</f>
        <v>400</v>
      </c>
      <c r="X430" s="2276">
        <f>VLOOKUP(X429,X412:AE422,8,0)</f>
        <v>400</v>
      </c>
      <c r="Y430" s="2276">
        <f>VLOOKUP(Y429,Y412:AE422,7,0)</f>
        <v>400</v>
      </c>
      <c r="Z430" s="2276">
        <f>VLOOKUP(Z429,Z412:AE422,6,0)</f>
        <v>400</v>
      </c>
      <c r="AA430" s="2276">
        <f>VLOOKUP(AA429,AA412:AE422,5,0)</f>
        <v>400</v>
      </c>
      <c r="AB430" s="2276">
        <f>VLOOKUP(AB429,AB412:AE422,4,0)</f>
        <v>400</v>
      </c>
      <c r="AC430" s="2276">
        <f>VLOOKUP(AC429,AC412:AE422,3,0)</f>
        <v>400</v>
      </c>
      <c r="AD430" s="2276">
        <f>VLOOKUP(AD429,AD412:AE422,2,0)</f>
        <v>400</v>
      </c>
      <c r="AE430" s="2275"/>
      <c r="AF430" s="2275"/>
      <c r="AG430" s="2275"/>
      <c r="AH430" s="2275"/>
      <c r="AI430" s="2275"/>
      <c r="AJ430" s="2275"/>
      <c r="AK430" s="2275"/>
      <c r="AL430" s="2275"/>
      <c r="AM430" s="2275"/>
      <c r="AN430" s="2275"/>
      <c r="AO430" s="2275"/>
      <c r="AP430" s="2250"/>
      <c r="AQ430" s="2250"/>
      <c r="AR430" s="2250"/>
      <c r="AS430" s="2250"/>
      <c r="AT430" s="2250"/>
      <c r="AU430" s="2250"/>
      <c r="AV430" s="2250"/>
      <c r="AW430" s="2250"/>
      <c r="AX430" s="2250"/>
      <c r="AY430" s="2250"/>
      <c r="AZ430" s="2250"/>
      <c r="BA430" s="2250"/>
      <c r="BB430" s="2250"/>
      <c r="BC430" s="2250"/>
      <c r="BD430" s="2250"/>
      <c r="BE430" s="2250"/>
      <c r="BF430" s="2276"/>
      <c r="BG430" s="2276"/>
      <c r="BH430" s="2250"/>
      <c r="BI430" s="2275"/>
      <c r="BJ430" s="2275"/>
      <c r="BK430" s="2276" t="str">
        <f>IF(BK428=CP426,IF(BK429=CQ426,"Right","Wrong"))</f>
        <v>Right</v>
      </c>
      <c r="BL430" s="2276">
        <f>VLOOKUP(BL429,BL412:CM422,28,0)</f>
        <v>400</v>
      </c>
      <c r="BM430" s="2276">
        <f>VLOOKUP(BM429,BM412:CM422,27,0)</f>
        <v>400</v>
      </c>
      <c r="BN430" s="2276">
        <f>VLOOKUP(BN429,BN412:CM422,26,0)</f>
        <v>400</v>
      </c>
      <c r="BO430" s="2276">
        <f>VLOOKUP(BO429,BO412:CM422,25,0)</f>
        <v>400</v>
      </c>
      <c r="BP430" s="2276">
        <f>VLOOKUP(BP429,BP412:CM422,24,0)</f>
        <v>400</v>
      </c>
      <c r="BQ430" s="2276">
        <f>VLOOKUP(BQ429,BQ412:CM422,23,0)</f>
        <v>400</v>
      </c>
      <c r="BR430" s="2276">
        <f>VLOOKUP(BR429,BR412:CM422,22,0)</f>
        <v>400</v>
      </c>
      <c r="BS430" s="2276">
        <f>VLOOKUP(BS429,BS412:CM422,21,0)</f>
        <v>400</v>
      </c>
      <c r="BT430" s="2276">
        <f>VLOOKUP(BT429,BT412:CM422,20,0)</f>
        <v>400</v>
      </c>
      <c r="BU430" s="2276">
        <f>VLOOKUP(BU429,BU412:CM422,19,0)</f>
        <v>400</v>
      </c>
      <c r="BV430" s="2276">
        <f>VLOOKUP(BV429,BV412:CM422,18,0)</f>
        <v>400</v>
      </c>
      <c r="BW430" s="2276">
        <f>VLOOKUP(BW429,BW412:CM422,17,0)</f>
        <v>400</v>
      </c>
      <c r="BX430" s="2276">
        <f>VLOOKUP(BX429,BX412:CM422,16,0)</f>
        <v>400</v>
      </c>
      <c r="BY430" s="2276">
        <f>VLOOKUP(BY429,BY412:CM444,15,0)</f>
        <v>400</v>
      </c>
      <c r="BZ430" s="2276">
        <f>VLOOKUP(BZ429,BZ412:CM422,14,0)</f>
        <v>400</v>
      </c>
      <c r="CA430" s="2276">
        <f>VLOOKUP(CA429,CA412:CM422,13,0)</f>
        <v>400</v>
      </c>
      <c r="CB430" s="2276">
        <f>VLOOKUP(CB429,CB412:CM422,12,0)</f>
        <v>400</v>
      </c>
      <c r="CC430" s="2276">
        <f>VLOOKUP(CC429,CC412:CM422,11,0)</f>
        <v>400</v>
      </c>
      <c r="CD430" s="2276">
        <f>VLOOKUP(CD429,CD412:CM422,10,0)</f>
        <v>400</v>
      </c>
      <c r="CE430" s="2276">
        <f>VLOOKUP(CE429,CE412:CM422,9,0)</f>
        <v>400</v>
      </c>
      <c r="CF430" s="2276">
        <f>VLOOKUP(CF429,CF412:CM422,8,0)</f>
        <v>400</v>
      </c>
      <c r="CG430" s="2276">
        <f>VLOOKUP(CG429,CG412:CM422,7,0)</f>
        <v>400</v>
      </c>
      <c r="CH430" s="2276">
        <f>VLOOKUP(CH429,CH412:CM422,6,0)</f>
        <v>400</v>
      </c>
      <c r="CI430" s="2276">
        <f>VLOOKUP(CI429,CI412:CM422,5,0)</f>
        <v>400</v>
      </c>
      <c r="CJ430" s="2276">
        <f>VLOOKUP(CJ429,CJ412:CM422,4,0)</f>
        <v>400</v>
      </c>
      <c r="CK430" s="2276">
        <f>VLOOKUP(CK429,CK412:CM422,3,0)</f>
        <v>400</v>
      </c>
      <c r="CL430" s="2276">
        <f>VLOOKUP(CL429,CL412:CM422,2,0)</f>
        <v>400</v>
      </c>
      <c r="CM430" s="2275"/>
      <c r="CN430" s="2275"/>
      <c r="CO430" s="2275"/>
      <c r="CP430" s="2275"/>
      <c r="CQ430" s="2275"/>
      <c r="CR430" s="2275"/>
      <c r="CS430" s="2275"/>
      <c r="CT430" s="2275"/>
      <c r="CU430" s="2275"/>
      <c r="CV430" s="2275"/>
      <c r="CW430" s="2275"/>
      <c r="CX430" s="2250"/>
      <c r="CY430" s="2250"/>
      <c r="CZ430" s="2250"/>
      <c r="DA430" s="2250"/>
      <c r="DB430" s="2250"/>
      <c r="DC430" s="2250"/>
      <c r="DD430" s="2250"/>
      <c r="DE430" s="2250"/>
      <c r="DF430" s="2250"/>
      <c r="DG430" s="2250"/>
      <c r="DH430" s="2250"/>
      <c r="DI430" s="2250"/>
      <c r="DJ430" s="2250"/>
      <c r="DK430" s="2250"/>
      <c r="DL430" s="2250"/>
      <c r="DM430" s="2250"/>
      <c r="DN430" s="2250"/>
      <c r="DO430" s="53"/>
      <c r="DP430" s="53"/>
      <c r="DY430" s="2275"/>
      <c r="DZ430" s="2276" t="str">
        <f>IF(DZ428=FE426,IF(DZ429=FF426,"Right","Wrong"))</f>
        <v>Right</v>
      </c>
      <c r="EA430" s="2276">
        <f>VLOOKUP(EA429,EA412:FB422,28,0)</f>
        <v>400</v>
      </c>
      <c r="EB430" s="2276">
        <f>VLOOKUP(EB429,EB412:FB422,27,0)</f>
        <v>400</v>
      </c>
      <c r="EC430" s="2276">
        <f>VLOOKUP(EC429,EC412:FB422,26,0)</f>
        <v>400</v>
      </c>
      <c r="ED430" s="2276">
        <f>VLOOKUP(ED429,ED412:FB422,25,0)</f>
        <v>400</v>
      </c>
      <c r="EE430" s="2276">
        <f>VLOOKUP(EE429,EE412:FB422,24,0)</f>
        <v>400</v>
      </c>
      <c r="EF430" s="2276">
        <f>VLOOKUP(EF429,EF412:FB422,23,0)</f>
        <v>400</v>
      </c>
      <c r="EG430" s="2276">
        <f>VLOOKUP(EG429,EG412:FB422,22,0)</f>
        <v>400</v>
      </c>
      <c r="EH430" s="2276">
        <f>VLOOKUP(EH429,EH412:FB422,21,0)</f>
        <v>400</v>
      </c>
      <c r="EI430" s="2276">
        <f>VLOOKUP(EI429,EI412:FB422,20,0)</f>
        <v>400</v>
      </c>
      <c r="EJ430" s="2276">
        <f>VLOOKUP(EJ429,EJ412:FB422,19,0)</f>
        <v>400</v>
      </c>
      <c r="EK430" s="2276">
        <f>VLOOKUP(EK429,EK412:FB422,18,0)</f>
        <v>400</v>
      </c>
      <c r="EL430" s="2276">
        <f>VLOOKUP(EL429,EL412:FB422,17,0)</f>
        <v>400</v>
      </c>
      <c r="EM430" s="2276">
        <f>VLOOKUP(EM429,EM412:FB422,16,0)</f>
        <v>400</v>
      </c>
      <c r="EN430" s="2276">
        <f>VLOOKUP(EN429,EN412:FB444,15,0)</f>
        <v>400</v>
      </c>
      <c r="EO430" s="2276">
        <f>VLOOKUP(EO429,EO412:FB422,14,0)</f>
        <v>400</v>
      </c>
      <c r="EP430" s="2276">
        <f>VLOOKUP(EP429,EP412:FB422,13,0)</f>
        <v>400</v>
      </c>
      <c r="EQ430" s="2276">
        <f>VLOOKUP(EQ429,EQ412:FB422,12,0)</f>
        <v>400</v>
      </c>
      <c r="ER430" s="2276">
        <f>VLOOKUP(ER429,ER412:FB422,11,0)</f>
        <v>400</v>
      </c>
      <c r="ES430" s="2276">
        <f>VLOOKUP(ES429,ES412:FB422,10,0)</f>
        <v>400</v>
      </c>
      <c r="ET430" s="2276">
        <f>VLOOKUP(ET429,ET412:FB422,9,0)</f>
        <v>400</v>
      </c>
      <c r="EU430" s="2276">
        <f>VLOOKUP(EU429,EU412:FB422,8,0)</f>
        <v>400</v>
      </c>
      <c r="EV430" s="2276">
        <f>VLOOKUP(EV429,EV412:FB422,7,0)</f>
        <v>400</v>
      </c>
      <c r="EW430" s="2276">
        <f>VLOOKUP(EW429,EW412:FB422,6,0)</f>
        <v>400</v>
      </c>
      <c r="EX430" s="2276">
        <f>VLOOKUP(EX429,EX412:FB422,5,0)</f>
        <v>400</v>
      </c>
      <c r="EY430" s="2276">
        <f>VLOOKUP(EY429,EY412:FB422,4,0)</f>
        <v>400</v>
      </c>
      <c r="EZ430" s="2276">
        <f>VLOOKUP(EZ429,EZ412:FB422,3,0)</f>
        <v>400</v>
      </c>
      <c r="FA430" s="2276">
        <f>VLOOKUP(FA429,FA412:FB422,2,0)</f>
        <v>400</v>
      </c>
      <c r="FB430" s="2275"/>
      <c r="FC430" s="2275"/>
      <c r="FD430" s="2275"/>
      <c r="FE430" s="2275"/>
      <c r="FF430" s="2275"/>
      <c r="FG430" s="2275"/>
      <c r="FH430" s="2275"/>
      <c r="FI430" s="2275"/>
      <c r="FJ430" s="2275"/>
      <c r="FK430" s="2275"/>
      <c r="FL430" s="2275"/>
      <c r="FM430" s="2250"/>
      <c r="FN430" s="2250"/>
      <c r="FO430" s="2250"/>
      <c r="FP430" s="2250"/>
      <c r="FQ430" s="2250"/>
      <c r="FR430" s="2250"/>
      <c r="FS430" s="2250"/>
      <c r="FT430" s="2250"/>
      <c r="FU430" s="2250"/>
      <c r="FV430" s="2250"/>
      <c r="FW430" s="2250"/>
      <c r="FX430" s="2250"/>
      <c r="FY430" s="2250"/>
      <c r="FZ430" s="2250"/>
      <c r="GA430" s="2250"/>
      <c r="GB430" s="2250"/>
      <c r="GC430" s="2276"/>
      <c r="GD430" s="2276"/>
      <c r="GE430" s="2250"/>
      <c r="GF430" s="2275"/>
      <c r="GG430" s="2275"/>
      <c r="GH430" s="2276" t="str">
        <f>IF(GH428=HM426,IF(GH429=HN426,"Right","Wrong"))</f>
        <v>Right</v>
      </c>
      <c r="GI430" s="2276">
        <f>VLOOKUP(GI429,GI412:HJ422,28,0)</f>
        <v>400</v>
      </c>
      <c r="GJ430" s="2276">
        <f>VLOOKUP(GJ429,GJ412:HJ422,27,0)</f>
        <v>400</v>
      </c>
      <c r="GK430" s="2276">
        <f>VLOOKUP(GK429,GK412:HJ422,26,0)</f>
        <v>400</v>
      </c>
      <c r="GL430" s="2276">
        <f>VLOOKUP(GL429,GL412:HJ422,25,0)</f>
        <v>400</v>
      </c>
      <c r="GM430" s="2276">
        <f>VLOOKUP(GM429,GM412:HJ422,24,0)</f>
        <v>400</v>
      </c>
      <c r="GN430" s="2276">
        <f>VLOOKUP(GN429,GN412:HJ422,23,0)</f>
        <v>400</v>
      </c>
      <c r="GO430" s="2276">
        <f>VLOOKUP(GO429,GO412:HJ422,22,0)</f>
        <v>400</v>
      </c>
      <c r="GP430" s="2276">
        <f>VLOOKUP(GP429,GP412:HJ422,21,0)</f>
        <v>400</v>
      </c>
      <c r="GQ430" s="2276">
        <f>VLOOKUP(GQ429,GQ412:HJ422,20,0)</f>
        <v>400</v>
      </c>
      <c r="GR430" s="2276">
        <f>VLOOKUP(GR429,GR412:HJ422,19,0)</f>
        <v>400</v>
      </c>
      <c r="GS430" s="2276">
        <f>VLOOKUP(GS429,GS412:HJ422,18,0)</f>
        <v>400</v>
      </c>
      <c r="GT430" s="2276">
        <f>VLOOKUP(GT429,GT412:HJ422,17,0)</f>
        <v>400</v>
      </c>
      <c r="GU430" s="2276">
        <f>VLOOKUP(GU429,GU412:HJ422,16,0)</f>
        <v>400</v>
      </c>
      <c r="GV430" s="2276">
        <f>VLOOKUP(GV429,GV412:HJ444,15,0)</f>
        <v>400</v>
      </c>
      <c r="GW430" s="2276">
        <f>VLOOKUP(GW429,GW412:HJ422,14,0)</f>
        <v>400</v>
      </c>
      <c r="GX430" s="2276">
        <f>VLOOKUP(GX429,GX412:HJ422,13,0)</f>
        <v>400</v>
      </c>
      <c r="GY430" s="2276">
        <f>VLOOKUP(GY429,GY412:HJ422,12,0)</f>
        <v>400</v>
      </c>
      <c r="GZ430" s="2276">
        <f>VLOOKUP(GZ429,GZ412:HJ422,11,0)</f>
        <v>400</v>
      </c>
      <c r="HA430" s="2276">
        <f>VLOOKUP(HA429,HA412:HJ422,10,0)</f>
        <v>400</v>
      </c>
      <c r="HB430" s="2276">
        <f>VLOOKUP(HB429,HB412:HJ422,9,0)</f>
        <v>400</v>
      </c>
      <c r="HC430" s="2276">
        <f>VLOOKUP(HC429,HC412:HJ422,8,0)</f>
        <v>400</v>
      </c>
      <c r="HD430" s="2276">
        <f>VLOOKUP(HD429,HD412:HJ422,7,0)</f>
        <v>400</v>
      </c>
      <c r="HE430" s="2276">
        <f>VLOOKUP(HE429,HE412:HJ422,6,0)</f>
        <v>400</v>
      </c>
      <c r="HF430" s="2276">
        <f>VLOOKUP(HF429,HF412:HJ422,5,0)</f>
        <v>400</v>
      </c>
      <c r="HG430" s="2276">
        <f>VLOOKUP(HG429,HG412:HJ422,4,0)</f>
        <v>400</v>
      </c>
      <c r="HH430" s="2276">
        <f>VLOOKUP(HH429,HH412:HJ422,3,0)</f>
        <v>400</v>
      </c>
      <c r="HI430" s="2276">
        <f>VLOOKUP(HI429,HI412:HJ422,2,0)</f>
        <v>400</v>
      </c>
      <c r="HJ430" s="2275"/>
      <c r="HK430" s="2275"/>
      <c r="HL430" s="2275"/>
      <c r="HM430" s="2275"/>
      <c r="HN430" s="2275"/>
      <c r="HO430" s="2275"/>
      <c r="HP430" s="2275"/>
      <c r="HQ430" s="2275"/>
      <c r="HR430" s="2275"/>
      <c r="HS430" s="2275"/>
      <c r="HT430" s="2275"/>
      <c r="HU430" s="2250"/>
      <c r="HV430" s="2250"/>
      <c r="HW430" s="2250"/>
      <c r="HX430" s="2250"/>
      <c r="HY430" s="2250"/>
      <c r="HZ430" s="2250"/>
      <c r="IA430" s="2250"/>
      <c r="IB430" s="2250"/>
      <c r="IC430" s="2250"/>
      <c r="ID430" s="2250"/>
      <c r="IE430" s="2250"/>
      <c r="IF430" s="2250"/>
      <c r="IG430" s="2250"/>
      <c r="IH430" s="2250"/>
      <c r="II430" s="2250"/>
      <c r="IJ430" s="2250"/>
      <c r="IK430" s="2250"/>
      <c r="IL430" s="53"/>
      <c r="IM430" s="53"/>
    </row>
    <row r="431" spans="2:247" ht="21.95" customHeight="1">
      <c r="B431" s="2275"/>
      <c r="C431" s="2275"/>
      <c r="D431" s="2275"/>
      <c r="E431" s="2275"/>
      <c r="F431" s="2275"/>
      <c r="G431" s="2275"/>
      <c r="H431" s="2275"/>
      <c r="I431" s="2275"/>
      <c r="J431" s="2275"/>
      <c r="K431" s="2275"/>
      <c r="L431" s="2275"/>
      <c r="M431" s="2275"/>
      <c r="N431" s="2275"/>
      <c r="O431" s="2275"/>
      <c r="P431" s="2275"/>
      <c r="Q431" s="2275"/>
      <c r="R431" s="2275"/>
      <c r="S431" s="2275"/>
      <c r="T431" s="2275"/>
      <c r="U431" s="2275"/>
      <c r="V431" s="2275"/>
      <c r="W431" s="2275"/>
      <c r="X431" s="2275"/>
      <c r="Y431" s="2275"/>
      <c r="Z431" s="2275"/>
      <c r="AA431" s="2275"/>
      <c r="AB431" s="2275"/>
      <c r="AC431" s="2275"/>
      <c r="AD431" s="2275"/>
      <c r="AE431" s="2275"/>
      <c r="AF431" s="2275" t="s">
        <v>655</v>
      </c>
      <c r="AG431" s="2276">
        <f>AG409</f>
        <v>190.4</v>
      </c>
      <c r="AH431" s="2275"/>
      <c r="AI431" s="2275"/>
      <c r="AJ431" s="2275"/>
      <c r="AK431" s="2275"/>
      <c r="AL431" s="2275"/>
      <c r="AM431" s="2275"/>
      <c r="AN431" s="2275"/>
      <c r="AO431" s="2275"/>
      <c r="AP431" s="2250"/>
      <c r="AQ431" s="2250"/>
      <c r="AR431" s="2250"/>
      <c r="AS431" s="2250"/>
      <c r="AT431" s="2250"/>
      <c r="AU431" s="2250"/>
      <c r="AV431" s="2250"/>
      <c r="AW431" s="2250"/>
      <c r="AX431" s="2250"/>
      <c r="AY431" s="2250"/>
      <c r="AZ431" s="2250"/>
      <c r="BA431" s="2250"/>
      <c r="BB431" s="2250"/>
      <c r="BC431" s="2250"/>
      <c r="BD431" s="2250"/>
      <c r="BE431" s="2250"/>
      <c r="BF431" s="2276"/>
      <c r="BG431" s="2276"/>
      <c r="BH431" s="2250"/>
      <c r="BI431" s="2275"/>
      <c r="BJ431" s="2275"/>
      <c r="BK431" s="2275"/>
      <c r="BL431" s="2275"/>
      <c r="BM431" s="2275"/>
      <c r="BN431" s="2275"/>
      <c r="BO431" s="2275"/>
      <c r="BP431" s="2275"/>
      <c r="BQ431" s="2275"/>
      <c r="BR431" s="2275"/>
      <c r="BS431" s="2275"/>
      <c r="BT431" s="2275"/>
      <c r="BU431" s="2275"/>
      <c r="BV431" s="2275"/>
      <c r="BW431" s="2275"/>
      <c r="BX431" s="2275"/>
      <c r="BY431" s="2275"/>
      <c r="BZ431" s="2275"/>
      <c r="CA431" s="2275"/>
      <c r="CB431" s="2275"/>
      <c r="CC431" s="2275"/>
      <c r="CD431" s="2275"/>
      <c r="CE431" s="2275"/>
      <c r="CF431" s="2275"/>
      <c r="CG431" s="2275"/>
      <c r="CH431" s="2275"/>
      <c r="CI431" s="2275"/>
      <c r="CJ431" s="2275"/>
      <c r="CK431" s="2275"/>
      <c r="CL431" s="2275"/>
      <c r="CM431" s="2275"/>
      <c r="CN431" s="2275" t="s">
        <v>655</v>
      </c>
      <c r="CO431" s="2276">
        <f>CO409</f>
        <v>206.43</v>
      </c>
      <c r="CP431" s="2275"/>
      <c r="CQ431" s="2275"/>
      <c r="CR431" s="2275"/>
      <c r="CS431" s="2275"/>
      <c r="CT431" s="2275"/>
      <c r="CU431" s="2275"/>
      <c r="CV431" s="2275"/>
      <c r="CW431" s="2275"/>
      <c r="CX431" s="2250"/>
      <c r="CY431" s="2250"/>
      <c r="CZ431" s="2250"/>
      <c r="DA431" s="2250"/>
      <c r="DB431" s="2250"/>
      <c r="DC431" s="2250"/>
      <c r="DD431" s="2250"/>
      <c r="DE431" s="2250"/>
      <c r="DF431" s="2250"/>
      <c r="DG431" s="2250"/>
      <c r="DH431" s="2250"/>
      <c r="DI431" s="2250"/>
      <c r="DJ431" s="2250"/>
      <c r="DK431" s="2250"/>
      <c r="DL431" s="2250"/>
      <c r="DM431" s="2250"/>
      <c r="DN431" s="2250"/>
      <c r="DO431" s="53"/>
      <c r="DP431" s="53"/>
      <c r="DY431" s="2275"/>
      <c r="DZ431" s="2275"/>
      <c r="EA431" s="2275"/>
      <c r="EB431" s="2275"/>
      <c r="EC431" s="2275"/>
      <c r="ED431" s="2275"/>
      <c r="EE431" s="2275"/>
      <c r="EF431" s="2275"/>
      <c r="EG431" s="2275"/>
      <c r="EH431" s="2275"/>
      <c r="EI431" s="2275"/>
      <c r="EJ431" s="2275"/>
      <c r="EK431" s="2275"/>
      <c r="EL431" s="2275"/>
      <c r="EM431" s="2275"/>
      <c r="EN431" s="2275"/>
      <c r="EO431" s="2275"/>
      <c r="EP431" s="2275"/>
      <c r="EQ431" s="2275"/>
      <c r="ER431" s="2275"/>
      <c r="ES431" s="2275"/>
      <c r="ET431" s="2275"/>
      <c r="EU431" s="2275"/>
      <c r="EV431" s="2275"/>
      <c r="EW431" s="2275"/>
      <c r="EX431" s="2275"/>
      <c r="EY431" s="2275"/>
      <c r="EZ431" s="2275"/>
      <c r="FA431" s="2275"/>
      <c r="FB431" s="2275"/>
      <c r="FC431" s="2275" t="s">
        <v>655</v>
      </c>
      <c r="FD431" s="2276">
        <f>FD409</f>
        <v>120.7</v>
      </c>
      <c r="FE431" s="2275"/>
      <c r="FF431" s="2275"/>
      <c r="FG431" s="2275"/>
      <c r="FH431" s="2275"/>
      <c r="FI431" s="2275"/>
      <c r="FJ431" s="2275"/>
      <c r="FK431" s="2275"/>
      <c r="FL431" s="2275"/>
      <c r="FM431" s="2250"/>
      <c r="FN431" s="2250"/>
      <c r="FO431" s="2250"/>
      <c r="FP431" s="2250"/>
      <c r="FQ431" s="2250"/>
      <c r="FR431" s="2250"/>
      <c r="FS431" s="2250"/>
      <c r="FT431" s="2250"/>
      <c r="FU431" s="2250"/>
      <c r="FV431" s="2250"/>
      <c r="FW431" s="2250"/>
      <c r="FX431" s="2250"/>
      <c r="FY431" s="2250"/>
      <c r="FZ431" s="2250"/>
      <c r="GA431" s="2250"/>
      <c r="GB431" s="2250"/>
      <c r="GC431" s="2276"/>
      <c r="GD431" s="2276"/>
      <c r="GE431" s="2250"/>
      <c r="GF431" s="2275"/>
      <c r="GG431" s="2275"/>
      <c r="GH431" s="2275"/>
      <c r="GI431" s="2275"/>
      <c r="GJ431" s="2275"/>
      <c r="GK431" s="2275"/>
      <c r="GL431" s="2275"/>
      <c r="GM431" s="2275"/>
      <c r="GN431" s="2275"/>
      <c r="GO431" s="2275"/>
      <c r="GP431" s="2275"/>
      <c r="GQ431" s="2275"/>
      <c r="GR431" s="2275"/>
      <c r="GS431" s="2275"/>
      <c r="GT431" s="2275"/>
      <c r="GU431" s="2275"/>
      <c r="GV431" s="2275"/>
      <c r="GW431" s="2275"/>
      <c r="GX431" s="2275"/>
      <c r="GY431" s="2275"/>
      <c r="GZ431" s="2275"/>
      <c r="HA431" s="2275"/>
      <c r="HB431" s="2275"/>
      <c r="HC431" s="2275"/>
      <c r="HD431" s="2275"/>
      <c r="HE431" s="2275"/>
      <c r="HF431" s="2275"/>
      <c r="HG431" s="2275"/>
      <c r="HH431" s="2275"/>
      <c r="HI431" s="2275"/>
      <c r="HJ431" s="2275"/>
      <c r="HK431" s="2275" t="s">
        <v>655</v>
      </c>
      <c r="HL431" s="2276">
        <f>HL409</f>
        <v>129.80000000000001</v>
      </c>
      <c r="HM431" s="2275"/>
      <c r="HN431" s="2275"/>
      <c r="HO431" s="2275"/>
      <c r="HP431" s="2275"/>
      <c r="HQ431" s="2275"/>
      <c r="HR431" s="2275"/>
      <c r="HS431" s="2275"/>
      <c r="HT431" s="2275"/>
      <c r="HU431" s="2250"/>
      <c r="HV431" s="2250"/>
      <c r="HW431" s="2250"/>
      <c r="HX431" s="2250"/>
      <c r="HY431" s="2250"/>
      <c r="HZ431" s="2250"/>
      <c r="IA431" s="2250"/>
      <c r="IB431" s="2250"/>
      <c r="IC431" s="2250"/>
      <c r="ID431" s="2250"/>
      <c r="IE431" s="2250"/>
      <c r="IF431" s="2250"/>
      <c r="IG431" s="2250"/>
      <c r="IH431" s="2250"/>
      <c r="II431" s="2250"/>
      <c r="IJ431" s="2250"/>
      <c r="IK431" s="2250"/>
      <c r="IL431" s="53"/>
      <c r="IM431" s="53"/>
    </row>
    <row r="432" spans="2:247" ht="21.95" customHeight="1">
      <c r="B432" s="2333" t="s">
        <v>731</v>
      </c>
      <c r="C432" s="2333" t="s">
        <v>736</v>
      </c>
      <c r="D432" s="2333">
        <v>223.8</v>
      </c>
      <c r="E432" s="2333">
        <v>206.43</v>
      </c>
      <c r="F432" s="2333">
        <v>190.4</v>
      </c>
      <c r="G432" s="2333">
        <v>177.81</v>
      </c>
      <c r="H432" s="2333">
        <v>165.9</v>
      </c>
      <c r="I432" s="2333">
        <v>162.68</v>
      </c>
      <c r="J432" s="2333">
        <v>151.30000000000001</v>
      </c>
      <c r="K432" s="2333">
        <v>140.1</v>
      </c>
      <c r="L432" s="2333">
        <v>129.80000000000001</v>
      </c>
      <c r="M432" s="2333">
        <v>120.7</v>
      </c>
      <c r="N432" s="2333">
        <v>107.9</v>
      </c>
      <c r="O432" s="2333">
        <v>97.1</v>
      </c>
      <c r="P432" s="2333">
        <v>92.9</v>
      </c>
      <c r="Q432" s="2333">
        <v>88.2</v>
      </c>
      <c r="R432" s="2333">
        <v>83.3</v>
      </c>
      <c r="S432" s="2333">
        <v>78.2</v>
      </c>
      <c r="T432" s="2333">
        <v>73.7</v>
      </c>
      <c r="U432" s="2333">
        <v>68.3</v>
      </c>
      <c r="V432" s="2333">
        <v>63.4</v>
      </c>
      <c r="W432" s="2333">
        <v>58.1</v>
      </c>
      <c r="X432" s="2333">
        <v>53.7</v>
      </c>
      <c r="Y432" s="2333">
        <v>48.8</v>
      </c>
      <c r="Z432" s="2333">
        <v>43.9</v>
      </c>
      <c r="AA432" s="2333">
        <v>38.799999999999997</v>
      </c>
      <c r="AB432" s="2333">
        <v>34.200000000000003</v>
      </c>
      <c r="AC432" s="2333">
        <v>29.3</v>
      </c>
      <c r="AD432" s="2333">
        <v>24.5</v>
      </c>
      <c r="AE432" s="2333" t="s">
        <v>736</v>
      </c>
      <c r="AF432" s="2275" t="s">
        <v>738</v>
      </c>
      <c r="AG432" s="2276">
        <f>AG410</f>
        <v>19.915970774546171</v>
      </c>
      <c r="AH432" s="2275"/>
      <c r="AI432" s="2275"/>
      <c r="AJ432" s="2275"/>
      <c r="AK432" s="2275"/>
      <c r="AL432" s="2275"/>
      <c r="AM432" s="2275"/>
      <c r="AN432" s="2275"/>
      <c r="AO432" s="2275"/>
      <c r="AP432" s="2250"/>
      <c r="AQ432" s="2250"/>
      <c r="AR432" s="2250"/>
      <c r="AS432" s="2250"/>
      <c r="AT432" s="2250"/>
      <c r="AU432" s="2250"/>
      <c r="AV432" s="2250"/>
      <c r="AW432" s="2250"/>
      <c r="AX432" s="2250"/>
      <c r="AY432" s="2250"/>
      <c r="AZ432" s="2250"/>
      <c r="BA432" s="2250"/>
      <c r="BB432" s="2250"/>
      <c r="BC432" s="2250"/>
      <c r="BD432" s="2250"/>
      <c r="BE432" s="2250"/>
      <c r="BF432" s="2276"/>
      <c r="BG432" s="2276"/>
      <c r="BH432" s="2250"/>
      <c r="BI432" s="2275"/>
      <c r="BJ432" s="2333" t="s">
        <v>731</v>
      </c>
      <c r="BK432" s="2333" t="s">
        <v>736</v>
      </c>
      <c r="BL432" s="2333">
        <v>223.8</v>
      </c>
      <c r="BM432" s="2333">
        <v>206.43</v>
      </c>
      <c r="BN432" s="2333">
        <v>190.4</v>
      </c>
      <c r="BO432" s="2333">
        <v>177.81</v>
      </c>
      <c r="BP432" s="2333">
        <v>165.9</v>
      </c>
      <c r="BQ432" s="2333">
        <v>162.68</v>
      </c>
      <c r="BR432" s="2333">
        <v>151.30000000000001</v>
      </c>
      <c r="BS432" s="2333">
        <v>140.1</v>
      </c>
      <c r="BT432" s="2333">
        <v>129.80000000000001</v>
      </c>
      <c r="BU432" s="2333">
        <v>120.7</v>
      </c>
      <c r="BV432" s="2333">
        <v>107.9</v>
      </c>
      <c r="BW432" s="2333">
        <v>97.1</v>
      </c>
      <c r="BX432" s="2333">
        <v>92.9</v>
      </c>
      <c r="BY432" s="2333">
        <v>88.2</v>
      </c>
      <c r="BZ432" s="2333">
        <v>83.3</v>
      </c>
      <c r="CA432" s="2333">
        <v>78.2</v>
      </c>
      <c r="CB432" s="2333">
        <v>73.7</v>
      </c>
      <c r="CC432" s="2333">
        <v>68.3</v>
      </c>
      <c r="CD432" s="2333">
        <v>63.4</v>
      </c>
      <c r="CE432" s="2333">
        <v>58.1</v>
      </c>
      <c r="CF432" s="2333">
        <v>53.7</v>
      </c>
      <c r="CG432" s="2333">
        <v>48.8</v>
      </c>
      <c r="CH432" s="2333">
        <v>43.9</v>
      </c>
      <c r="CI432" s="2333">
        <v>38.799999999999997</v>
      </c>
      <c r="CJ432" s="2333">
        <v>34.200000000000003</v>
      </c>
      <c r="CK432" s="2333">
        <v>29.3</v>
      </c>
      <c r="CL432" s="2333">
        <v>24.5</v>
      </c>
      <c r="CM432" s="2333" t="s">
        <v>736</v>
      </c>
      <c r="CN432" s="2275" t="s">
        <v>738</v>
      </c>
      <c r="CO432" s="2276">
        <f>CO410</f>
        <v>19.915970774546171</v>
      </c>
      <c r="CP432" s="2275"/>
      <c r="CQ432" s="2275"/>
      <c r="CR432" s="2275"/>
      <c r="CS432" s="2275"/>
      <c r="CT432" s="2275"/>
      <c r="CU432" s="2275"/>
      <c r="CV432" s="2275"/>
      <c r="CW432" s="2275"/>
      <c r="CX432" s="2250"/>
      <c r="CY432" s="2250"/>
      <c r="CZ432" s="2250"/>
      <c r="DA432" s="2250"/>
      <c r="DB432" s="2250"/>
      <c r="DC432" s="2250"/>
      <c r="DD432" s="2250"/>
      <c r="DE432" s="2250"/>
      <c r="DF432" s="2250"/>
      <c r="DG432" s="2250"/>
      <c r="DH432" s="2250"/>
      <c r="DI432" s="2250"/>
      <c r="DJ432" s="2250"/>
      <c r="DK432" s="2250"/>
      <c r="DL432" s="2250"/>
      <c r="DM432" s="2250"/>
      <c r="DN432" s="2250"/>
      <c r="DO432" s="53"/>
      <c r="DP432" s="53"/>
      <c r="DY432" s="2333" t="s">
        <v>731</v>
      </c>
      <c r="DZ432" s="2333" t="s">
        <v>736</v>
      </c>
      <c r="EA432" s="2333">
        <v>223.8</v>
      </c>
      <c r="EB432" s="2333">
        <v>206.43</v>
      </c>
      <c r="EC432" s="2333">
        <v>190.4</v>
      </c>
      <c r="ED432" s="2333">
        <v>177.81</v>
      </c>
      <c r="EE432" s="2333">
        <v>165.9</v>
      </c>
      <c r="EF432" s="2333">
        <v>162.68</v>
      </c>
      <c r="EG432" s="2333">
        <v>151.30000000000001</v>
      </c>
      <c r="EH432" s="2333">
        <v>140.1</v>
      </c>
      <c r="EI432" s="2333">
        <v>129.80000000000001</v>
      </c>
      <c r="EJ432" s="2333">
        <v>120.7</v>
      </c>
      <c r="EK432" s="2333">
        <v>107.9</v>
      </c>
      <c r="EL432" s="2333">
        <v>97.1</v>
      </c>
      <c r="EM432" s="2333">
        <v>92.9</v>
      </c>
      <c r="EN432" s="2333">
        <v>88.2</v>
      </c>
      <c r="EO432" s="2333">
        <v>83.3</v>
      </c>
      <c r="EP432" s="2333">
        <v>78.2</v>
      </c>
      <c r="EQ432" s="2333">
        <v>73.7</v>
      </c>
      <c r="ER432" s="2333">
        <v>68.3</v>
      </c>
      <c r="ES432" s="2333">
        <v>63.4</v>
      </c>
      <c r="ET432" s="2333">
        <v>58.1</v>
      </c>
      <c r="EU432" s="2333">
        <v>53.7</v>
      </c>
      <c r="EV432" s="2333">
        <v>48.8</v>
      </c>
      <c r="EW432" s="2333">
        <v>43.9</v>
      </c>
      <c r="EX432" s="2333">
        <v>38.799999999999997</v>
      </c>
      <c r="EY432" s="2333">
        <v>34.200000000000003</v>
      </c>
      <c r="EZ432" s="2333">
        <v>29.3</v>
      </c>
      <c r="FA432" s="2333">
        <v>24.5</v>
      </c>
      <c r="FB432" s="2333" t="s">
        <v>736</v>
      </c>
      <c r="FC432" s="2275" t="s">
        <v>738</v>
      </c>
      <c r="FD432" s="2276">
        <f>FD410</f>
        <v>19.968225884687833</v>
      </c>
      <c r="FE432" s="2275"/>
      <c r="FF432" s="2275"/>
      <c r="FG432" s="2275"/>
      <c r="FH432" s="2275"/>
      <c r="FI432" s="2275"/>
      <c r="FJ432" s="2275"/>
      <c r="FK432" s="2275"/>
      <c r="FL432" s="2275"/>
      <c r="FM432" s="2250"/>
      <c r="FN432" s="2250"/>
      <c r="FO432" s="2250"/>
      <c r="FP432" s="2250"/>
      <c r="FQ432" s="2250"/>
      <c r="FR432" s="2250"/>
      <c r="FS432" s="2250"/>
      <c r="FT432" s="2250"/>
      <c r="FU432" s="2250"/>
      <c r="FV432" s="2250"/>
      <c r="FW432" s="2250"/>
      <c r="FX432" s="2250"/>
      <c r="FY432" s="2250"/>
      <c r="FZ432" s="2250"/>
      <c r="GA432" s="2250"/>
      <c r="GB432" s="2250"/>
      <c r="GC432" s="2276"/>
      <c r="GD432" s="2276"/>
      <c r="GE432" s="2250"/>
      <c r="GF432" s="2275"/>
      <c r="GG432" s="2333" t="s">
        <v>731</v>
      </c>
      <c r="GH432" s="2333" t="s">
        <v>736</v>
      </c>
      <c r="GI432" s="2333">
        <v>223.8</v>
      </c>
      <c r="GJ432" s="2333">
        <v>206.43</v>
      </c>
      <c r="GK432" s="2333">
        <v>190.4</v>
      </c>
      <c r="GL432" s="2333">
        <v>177.81</v>
      </c>
      <c r="GM432" s="2333">
        <v>165.9</v>
      </c>
      <c r="GN432" s="2333">
        <v>162.68</v>
      </c>
      <c r="GO432" s="2333">
        <v>151.30000000000001</v>
      </c>
      <c r="GP432" s="2333">
        <v>140.1</v>
      </c>
      <c r="GQ432" s="2333">
        <v>129.80000000000001</v>
      </c>
      <c r="GR432" s="2333">
        <v>120.7</v>
      </c>
      <c r="GS432" s="2333">
        <v>107.9</v>
      </c>
      <c r="GT432" s="2333">
        <v>97.1</v>
      </c>
      <c r="GU432" s="2333">
        <v>92.9</v>
      </c>
      <c r="GV432" s="2333">
        <v>88.2</v>
      </c>
      <c r="GW432" s="2333">
        <v>83.3</v>
      </c>
      <c r="GX432" s="2333">
        <v>78.2</v>
      </c>
      <c r="GY432" s="2333">
        <v>73.7</v>
      </c>
      <c r="GZ432" s="2333">
        <v>68.3</v>
      </c>
      <c r="HA432" s="2333">
        <v>63.4</v>
      </c>
      <c r="HB432" s="2333">
        <v>58.1</v>
      </c>
      <c r="HC432" s="2333">
        <v>53.7</v>
      </c>
      <c r="HD432" s="2333">
        <v>48.8</v>
      </c>
      <c r="HE432" s="2333">
        <v>43.9</v>
      </c>
      <c r="HF432" s="2333">
        <v>38.799999999999997</v>
      </c>
      <c r="HG432" s="2333">
        <v>34.200000000000003</v>
      </c>
      <c r="HH432" s="2333">
        <v>29.3</v>
      </c>
      <c r="HI432" s="2333">
        <v>24.5</v>
      </c>
      <c r="HJ432" s="2333" t="s">
        <v>736</v>
      </c>
      <c r="HK432" s="2275" t="s">
        <v>738</v>
      </c>
      <c r="HL432" s="2276">
        <f>HL410</f>
        <v>19.968225884687833</v>
      </c>
      <c r="HM432" s="2275"/>
      <c r="HN432" s="2275"/>
      <c r="HO432" s="2275"/>
      <c r="HP432" s="2275"/>
      <c r="HQ432" s="2275"/>
      <c r="HR432" s="2275"/>
      <c r="HS432" s="2275"/>
      <c r="HT432" s="2275"/>
      <c r="HU432" s="2250"/>
      <c r="HV432" s="2250"/>
      <c r="HW432" s="2250"/>
      <c r="HX432" s="2250"/>
      <c r="HY432" s="2250"/>
      <c r="HZ432" s="2250"/>
      <c r="IA432" s="2250"/>
      <c r="IB432" s="2250"/>
      <c r="IC432" s="2250"/>
      <c r="ID432" s="2250"/>
      <c r="IE432" s="2250"/>
      <c r="IF432" s="2250"/>
      <c r="IG432" s="2250"/>
      <c r="IH432" s="2250"/>
      <c r="II432" s="2250"/>
      <c r="IJ432" s="2250"/>
      <c r="IK432" s="2250"/>
      <c r="IL432" s="53"/>
      <c r="IM432" s="53"/>
    </row>
    <row r="433" spans="2:247" ht="21.95" customHeight="1">
      <c r="B433" s="2333"/>
      <c r="C433" s="2333"/>
      <c r="D433" s="2344"/>
      <c r="E433" s="2344"/>
      <c r="F433" s="2344"/>
      <c r="G433" s="2344"/>
      <c r="H433" s="2344"/>
      <c r="I433" s="2344"/>
      <c r="J433" s="2344"/>
      <c r="K433" s="2344"/>
      <c r="L433" s="2344"/>
      <c r="M433" s="2344"/>
      <c r="N433" s="2344"/>
      <c r="O433" s="2344"/>
      <c r="P433" s="2344"/>
      <c r="Q433" s="2344"/>
      <c r="R433" s="2344"/>
      <c r="S433" s="2344"/>
      <c r="T433" s="2344"/>
      <c r="U433" s="2344"/>
      <c r="V433" s="2344"/>
      <c r="W433" s="2344"/>
      <c r="X433" s="2344"/>
      <c r="Y433" s="2344"/>
      <c r="Z433" s="2344"/>
      <c r="AA433" s="2344"/>
      <c r="AB433" s="2344"/>
      <c r="AC433" s="2344"/>
      <c r="AD433" s="2344"/>
      <c r="AE433" s="2333"/>
      <c r="AF433" s="2275" t="s">
        <v>682</v>
      </c>
      <c r="AG433" s="2276">
        <f>HLOOKUP(AG431,D432:AD444,1,0)</f>
        <v>190.4</v>
      </c>
      <c r="AH433" s="2275" t="s">
        <v>706</v>
      </c>
      <c r="AI433" s="2275" t="s">
        <v>682</v>
      </c>
      <c r="AJ433" s="2275"/>
      <c r="AK433" s="2275"/>
      <c r="AL433" s="2275"/>
      <c r="AM433" s="2275"/>
      <c r="AN433" s="2275"/>
      <c r="AO433" s="2275"/>
      <c r="AP433" s="2250"/>
      <c r="AQ433" s="2250"/>
      <c r="AR433" s="2250"/>
      <c r="AS433" s="2250"/>
      <c r="AT433" s="2250"/>
      <c r="AU433" s="2250"/>
      <c r="AV433" s="2250"/>
      <c r="AW433" s="2250"/>
      <c r="AX433" s="2250"/>
      <c r="AY433" s="2250"/>
      <c r="AZ433" s="2250"/>
      <c r="BA433" s="2250"/>
      <c r="BB433" s="2250"/>
      <c r="BC433" s="2250"/>
      <c r="BD433" s="2250"/>
      <c r="BE433" s="2250"/>
      <c r="BF433" s="2276"/>
      <c r="BG433" s="2276"/>
      <c r="BH433" s="2250"/>
      <c r="BI433" s="2275"/>
      <c r="BJ433" s="2333"/>
      <c r="BK433" s="2333"/>
      <c r="BL433" s="2344">
        <v>0</v>
      </c>
      <c r="BM433" s="2344">
        <v>0</v>
      </c>
      <c r="BN433" s="2344">
        <v>0</v>
      </c>
      <c r="BO433" s="2344">
        <v>0</v>
      </c>
      <c r="BP433" s="2344">
        <v>0</v>
      </c>
      <c r="BQ433" s="2344">
        <v>0</v>
      </c>
      <c r="BR433" s="2344">
        <v>0</v>
      </c>
      <c r="BS433" s="2344">
        <v>0</v>
      </c>
      <c r="BT433" s="2344">
        <v>0</v>
      </c>
      <c r="BU433" s="2344">
        <v>0</v>
      </c>
      <c r="BV433" s="2344">
        <v>0</v>
      </c>
      <c r="BW433" s="2344">
        <v>0</v>
      </c>
      <c r="BX433" s="2344">
        <v>0</v>
      </c>
      <c r="BY433" s="2344">
        <v>0</v>
      </c>
      <c r="BZ433" s="2344">
        <v>0</v>
      </c>
      <c r="CA433" s="2344">
        <v>0</v>
      </c>
      <c r="CB433" s="2344">
        <v>0</v>
      </c>
      <c r="CC433" s="2344">
        <v>0</v>
      </c>
      <c r="CD433" s="2344">
        <v>0</v>
      </c>
      <c r="CE433" s="2344">
        <v>0</v>
      </c>
      <c r="CF433" s="2344">
        <v>0</v>
      </c>
      <c r="CG433" s="2344">
        <v>0</v>
      </c>
      <c r="CH433" s="2344">
        <v>0</v>
      </c>
      <c r="CI433" s="2344">
        <v>0</v>
      </c>
      <c r="CJ433" s="2344">
        <v>0</v>
      </c>
      <c r="CK433" s="2344">
        <v>0</v>
      </c>
      <c r="CL433" s="2344">
        <v>0</v>
      </c>
      <c r="CM433" s="2333"/>
      <c r="CN433" s="2275" t="s">
        <v>682</v>
      </c>
      <c r="CO433" s="2276">
        <f>HLOOKUP(CO431,BL432:CL444,1,0)</f>
        <v>206.43</v>
      </c>
      <c r="CP433" s="2275" t="s">
        <v>706</v>
      </c>
      <c r="CQ433" s="2275" t="s">
        <v>682</v>
      </c>
      <c r="CR433" s="2275"/>
      <c r="CS433" s="2275"/>
      <c r="CT433" s="2275"/>
      <c r="CU433" s="2275"/>
      <c r="CV433" s="2275"/>
      <c r="CW433" s="2275"/>
      <c r="CX433" s="2250"/>
      <c r="CY433" s="2250"/>
      <c r="CZ433" s="2250"/>
      <c r="DA433" s="2250"/>
      <c r="DB433" s="2250"/>
      <c r="DC433" s="2250"/>
      <c r="DD433" s="2250"/>
      <c r="DE433" s="2250"/>
      <c r="DF433" s="2250"/>
      <c r="DG433" s="2250"/>
      <c r="DH433" s="2250"/>
      <c r="DI433" s="2250"/>
      <c r="DJ433" s="2250"/>
      <c r="DK433" s="2250"/>
      <c r="DL433" s="2250"/>
      <c r="DM433" s="2250"/>
      <c r="DN433" s="2250"/>
      <c r="DO433" s="53"/>
      <c r="DP433" s="53"/>
      <c r="DY433" s="2333"/>
      <c r="DZ433" s="2333"/>
      <c r="EA433" s="2344"/>
      <c r="EB433" s="2344"/>
      <c r="EC433" s="2344"/>
      <c r="ED433" s="2344"/>
      <c r="EE433" s="2344"/>
      <c r="EF433" s="2344"/>
      <c r="EG433" s="2344"/>
      <c r="EH433" s="2344"/>
      <c r="EI433" s="2344"/>
      <c r="EJ433" s="2344"/>
      <c r="EK433" s="2344"/>
      <c r="EL433" s="2344"/>
      <c r="EM433" s="2344"/>
      <c r="EN433" s="2344"/>
      <c r="EO433" s="2344"/>
      <c r="EP433" s="2344"/>
      <c r="EQ433" s="2344"/>
      <c r="ER433" s="2344"/>
      <c r="ES433" s="2344"/>
      <c r="ET433" s="2344"/>
      <c r="EU433" s="2344"/>
      <c r="EV433" s="2344"/>
      <c r="EW433" s="2344"/>
      <c r="EX433" s="2344"/>
      <c r="EY433" s="2344"/>
      <c r="EZ433" s="2344"/>
      <c r="FA433" s="2344"/>
      <c r="FB433" s="2333"/>
      <c r="FC433" s="2275" t="s">
        <v>682</v>
      </c>
      <c r="FD433" s="2276">
        <f>HLOOKUP(FD431,EA432:FA444,1,0)</f>
        <v>120.7</v>
      </c>
      <c r="FE433" s="2275" t="s">
        <v>706</v>
      </c>
      <c r="FF433" s="2275" t="s">
        <v>682</v>
      </c>
      <c r="FG433" s="2275"/>
      <c r="FH433" s="2275"/>
      <c r="FI433" s="2275"/>
      <c r="FJ433" s="2275"/>
      <c r="FK433" s="2275"/>
      <c r="FL433" s="2275"/>
      <c r="FM433" s="2250"/>
      <c r="FN433" s="2250"/>
      <c r="FO433" s="2250"/>
      <c r="FP433" s="2250"/>
      <c r="FQ433" s="2250"/>
      <c r="FR433" s="2250"/>
      <c r="FS433" s="2250"/>
      <c r="FT433" s="2250"/>
      <c r="FU433" s="2250"/>
      <c r="FV433" s="2250"/>
      <c r="FW433" s="2250"/>
      <c r="FX433" s="2250"/>
      <c r="FY433" s="2250"/>
      <c r="FZ433" s="2250"/>
      <c r="GA433" s="2250"/>
      <c r="GB433" s="2250"/>
      <c r="GC433" s="2276"/>
      <c r="GD433" s="2276"/>
      <c r="GE433" s="2250"/>
      <c r="GF433" s="2275"/>
      <c r="GG433" s="2333"/>
      <c r="GH433" s="2333"/>
      <c r="GI433" s="2344">
        <v>0</v>
      </c>
      <c r="GJ433" s="2344">
        <v>0</v>
      </c>
      <c r="GK433" s="2344">
        <v>0</v>
      </c>
      <c r="GL433" s="2344">
        <v>0</v>
      </c>
      <c r="GM433" s="2344">
        <v>0</v>
      </c>
      <c r="GN433" s="2344">
        <v>0</v>
      </c>
      <c r="GO433" s="2344">
        <v>0</v>
      </c>
      <c r="GP433" s="2344">
        <v>0</v>
      </c>
      <c r="GQ433" s="2344">
        <v>0</v>
      </c>
      <c r="GR433" s="2344">
        <v>0</v>
      </c>
      <c r="GS433" s="2344">
        <v>0</v>
      </c>
      <c r="GT433" s="2344">
        <v>0</v>
      </c>
      <c r="GU433" s="2344">
        <v>0</v>
      </c>
      <c r="GV433" s="2344">
        <v>0</v>
      </c>
      <c r="GW433" s="2344">
        <v>0</v>
      </c>
      <c r="GX433" s="2344">
        <v>0</v>
      </c>
      <c r="GY433" s="2344">
        <v>0</v>
      </c>
      <c r="GZ433" s="2344">
        <v>0</v>
      </c>
      <c r="HA433" s="2344">
        <v>0</v>
      </c>
      <c r="HB433" s="2344">
        <v>0</v>
      </c>
      <c r="HC433" s="2344">
        <v>0</v>
      </c>
      <c r="HD433" s="2344">
        <v>0</v>
      </c>
      <c r="HE433" s="2344">
        <v>0</v>
      </c>
      <c r="HF433" s="2344">
        <v>0</v>
      </c>
      <c r="HG433" s="2344">
        <v>0</v>
      </c>
      <c r="HH433" s="2344">
        <v>0</v>
      </c>
      <c r="HI433" s="2344">
        <v>0</v>
      </c>
      <c r="HJ433" s="2333"/>
      <c r="HK433" s="2275" t="s">
        <v>682</v>
      </c>
      <c r="HL433" s="2276">
        <f>HLOOKUP(HL431,GI432:HI444,1,0)</f>
        <v>129.80000000000001</v>
      </c>
      <c r="HM433" s="2275" t="s">
        <v>706</v>
      </c>
      <c r="HN433" s="2275" t="s">
        <v>682</v>
      </c>
      <c r="HO433" s="2275"/>
      <c r="HP433" s="2275"/>
      <c r="HQ433" s="2275"/>
      <c r="HR433" s="2275"/>
      <c r="HS433" s="2275"/>
      <c r="HT433" s="2275"/>
      <c r="HU433" s="2250"/>
      <c r="HV433" s="2250"/>
      <c r="HW433" s="2250"/>
      <c r="HX433" s="2250"/>
      <c r="HY433" s="2250"/>
      <c r="HZ433" s="2250"/>
      <c r="IA433" s="2250"/>
      <c r="IB433" s="2250"/>
      <c r="IC433" s="2250"/>
      <c r="ID433" s="2250"/>
      <c r="IE433" s="2250"/>
      <c r="IF433" s="2250"/>
      <c r="IG433" s="2250"/>
      <c r="IH433" s="2250"/>
      <c r="II433" s="2250"/>
      <c r="IJ433" s="2250"/>
      <c r="IK433" s="2250"/>
      <c r="IL433" s="53"/>
      <c r="IM433" s="53"/>
    </row>
    <row r="434" spans="2:247" ht="21.95" customHeight="1">
      <c r="B434" s="4670" t="s">
        <v>733</v>
      </c>
      <c r="C434" s="2333">
        <v>400</v>
      </c>
      <c r="D434" s="2346">
        <v>0</v>
      </c>
      <c r="E434" s="2346">
        <v>0</v>
      </c>
      <c r="F434" s="2346">
        <v>0</v>
      </c>
      <c r="G434" s="2346">
        <v>0</v>
      </c>
      <c r="H434" s="2346">
        <v>0</v>
      </c>
      <c r="I434" s="2346">
        <v>0</v>
      </c>
      <c r="J434" s="2346">
        <v>0</v>
      </c>
      <c r="K434" s="2346">
        <v>0</v>
      </c>
      <c r="L434" s="2346">
        <v>0</v>
      </c>
      <c r="M434" s="2346">
        <v>0</v>
      </c>
      <c r="N434" s="2346">
        <v>0</v>
      </c>
      <c r="O434" s="2346">
        <v>0</v>
      </c>
      <c r="P434" s="2346">
        <v>0</v>
      </c>
      <c r="Q434" s="2346">
        <v>0</v>
      </c>
      <c r="R434" s="2346">
        <v>0</v>
      </c>
      <c r="S434" s="2346">
        <v>0</v>
      </c>
      <c r="T434" s="2346">
        <v>0</v>
      </c>
      <c r="U434" s="2346">
        <v>0</v>
      </c>
      <c r="V434" s="2346">
        <v>0</v>
      </c>
      <c r="W434" s="2346">
        <v>0</v>
      </c>
      <c r="X434" s="2346">
        <v>0</v>
      </c>
      <c r="Y434" s="2346">
        <v>0</v>
      </c>
      <c r="Z434" s="2346">
        <v>0</v>
      </c>
      <c r="AA434" s="2346">
        <v>0</v>
      </c>
      <c r="AB434" s="2346">
        <v>0</v>
      </c>
      <c r="AC434" s="2346">
        <v>0</v>
      </c>
      <c r="AD434" s="2346">
        <v>0</v>
      </c>
      <c r="AE434" s="2347">
        <v>400</v>
      </c>
      <c r="AF434" s="2275"/>
      <c r="AG434" s="4671"/>
      <c r="AH434" s="4671"/>
      <c r="AI434" s="4671"/>
      <c r="AJ434" s="2275"/>
      <c r="AK434" s="2275"/>
      <c r="AL434" s="2275"/>
      <c r="AM434" s="2275"/>
      <c r="AN434" s="2275"/>
      <c r="AO434" s="2275"/>
      <c r="AP434" s="2250"/>
      <c r="AQ434" s="2250"/>
      <c r="AR434" s="2250"/>
      <c r="AS434" s="2250"/>
      <c r="AT434" s="2250"/>
      <c r="AU434" s="2250"/>
      <c r="AV434" s="2250"/>
      <c r="AW434" s="2250"/>
      <c r="AX434" s="2250"/>
      <c r="AY434" s="2250"/>
      <c r="AZ434" s="2250"/>
      <c r="BA434" s="2250"/>
      <c r="BB434" s="2250"/>
      <c r="BC434" s="2250"/>
      <c r="BD434" s="2250"/>
      <c r="BE434" s="2250"/>
      <c r="BF434" s="2276"/>
      <c r="BG434" s="2276"/>
      <c r="BH434" s="2250"/>
      <c r="BI434" s="2275"/>
      <c r="BJ434" s="4670" t="s">
        <v>733</v>
      </c>
      <c r="BK434" s="2345">
        <v>400</v>
      </c>
      <c r="BL434" s="2346">
        <v>0</v>
      </c>
      <c r="BM434" s="2346">
        <v>0</v>
      </c>
      <c r="BN434" s="2346">
        <v>0</v>
      </c>
      <c r="BO434" s="2346">
        <v>0</v>
      </c>
      <c r="BP434" s="2346">
        <v>0</v>
      </c>
      <c r="BQ434" s="2346">
        <v>0</v>
      </c>
      <c r="BR434" s="2346">
        <v>0</v>
      </c>
      <c r="BS434" s="2346">
        <v>0</v>
      </c>
      <c r="BT434" s="2346">
        <v>0</v>
      </c>
      <c r="BU434" s="2346">
        <v>0</v>
      </c>
      <c r="BV434" s="2346">
        <v>0</v>
      </c>
      <c r="BW434" s="2346">
        <v>0</v>
      </c>
      <c r="BX434" s="2346">
        <v>0</v>
      </c>
      <c r="BY434" s="2346">
        <v>0</v>
      </c>
      <c r="BZ434" s="2346">
        <v>0</v>
      </c>
      <c r="CA434" s="2346">
        <v>0</v>
      </c>
      <c r="CB434" s="2346">
        <v>0</v>
      </c>
      <c r="CC434" s="2346">
        <v>0</v>
      </c>
      <c r="CD434" s="2346">
        <v>0</v>
      </c>
      <c r="CE434" s="2346">
        <v>0</v>
      </c>
      <c r="CF434" s="2346">
        <v>0</v>
      </c>
      <c r="CG434" s="2346">
        <v>0</v>
      </c>
      <c r="CH434" s="2346">
        <v>0</v>
      </c>
      <c r="CI434" s="2346">
        <v>0</v>
      </c>
      <c r="CJ434" s="2346">
        <v>0</v>
      </c>
      <c r="CK434" s="2346">
        <v>0</v>
      </c>
      <c r="CL434" s="2346">
        <v>0</v>
      </c>
      <c r="CM434" s="2347">
        <v>400</v>
      </c>
      <c r="CN434" s="2275"/>
      <c r="CO434" s="4671"/>
      <c r="CP434" s="4671"/>
      <c r="CQ434" s="4671"/>
      <c r="CR434" s="2275"/>
      <c r="CS434" s="2275"/>
      <c r="CT434" s="2275"/>
      <c r="CU434" s="2275"/>
      <c r="CV434" s="2275"/>
      <c r="CW434" s="2275"/>
      <c r="CX434" s="2250"/>
      <c r="CY434" s="2250"/>
      <c r="CZ434" s="2250"/>
      <c r="DA434" s="2250"/>
      <c r="DB434" s="2250"/>
      <c r="DC434" s="2250"/>
      <c r="DD434" s="2250"/>
      <c r="DE434" s="2250"/>
      <c r="DF434" s="2250"/>
      <c r="DG434" s="2250"/>
      <c r="DH434" s="2250"/>
      <c r="DI434" s="2250"/>
      <c r="DJ434" s="2250"/>
      <c r="DK434" s="2250"/>
      <c r="DL434" s="2250"/>
      <c r="DM434" s="2250"/>
      <c r="DN434" s="2250"/>
      <c r="DO434" s="53"/>
      <c r="DP434" s="53"/>
      <c r="DY434" s="4670" t="s">
        <v>733</v>
      </c>
      <c r="DZ434" s="2333">
        <v>400</v>
      </c>
      <c r="EA434" s="2346">
        <v>0</v>
      </c>
      <c r="EB434" s="2346">
        <v>0</v>
      </c>
      <c r="EC434" s="2346">
        <v>0</v>
      </c>
      <c r="ED434" s="2346">
        <v>0</v>
      </c>
      <c r="EE434" s="2346">
        <v>0</v>
      </c>
      <c r="EF434" s="2346">
        <v>0</v>
      </c>
      <c r="EG434" s="2346">
        <v>0</v>
      </c>
      <c r="EH434" s="2346">
        <v>0</v>
      </c>
      <c r="EI434" s="2346">
        <v>0</v>
      </c>
      <c r="EJ434" s="2346">
        <v>0</v>
      </c>
      <c r="EK434" s="2346">
        <v>0</v>
      </c>
      <c r="EL434" s="2346">
        <v>0</v>
      </c>
      <c r="EM434" s="2346">
        <v>0</v>
      </c>
      <c r="EN434" s="2346">
        <v>0</v>
      </c>
      <c r="EO434" s="2346">
        <v>0</v>
      </c>
      <c r="EP434" s="2346">
        <v>0</v>
      </c>
      <c r="EQ434" s="2346">
        <v>0</v>
      </c>
      <c r="ER434" s="2346">
        <v>0</v>
      </c>
      <c r="ES434" s="2346">
        <v>0</v>
      </c>
      <c r="ET434" s="2346">
        <v>0</v>
      </c>
      <c r="EU434" s="2346">
        <v>0</v>
      </c>
      <c r="EV434" s="2346">
        <v>0</v>
      </c>
      <c r="EW434" s="2346">
        <v>0</v>
      </c>
      <c r="EX434" s="2346">
        <v>0</v>
      </c>
      <c r="EY434" s="2346">
        <v>0</v>
      </c>
      <c r="EZ434" s="2346">
        <v>0</v>
      </c>
      <c r="FA434" s="2346">
        <v>0</v>
      </c>
      <c r="FB434" s="2347">
        <v>400</v>
      </c>
      <c r="FC434" s="2275"/>
      <c r="FD434" s="4671"/>
      <c r="FE434" s="4671"/>
      <c r="FF434" s="4671"/>
      <c r="FG434" s="2275"/>
      <c r="FH434" s="2275"/>
      <c r="FI434" s="2275"/>
      <c r="FJ434" s="2275"/>
      <c r="FK434" s="2275"/>
      <c r="FL434" s="2275"/>
      <c r="FM434" s="2250"/>
      <c r="FN434" s="2250"/>
      <c r="FO434" s="2250"/>
      <c r="FP434" s="2250"/>
      <c r="FQ434" s="2250"/>
      <c r="FR434" s="2250"/>
      <c r="FS434" s="2250"/>
      <c r="FT434" s="2250"/>
      <c r="FU434" s="2250"/>
      <c r="FV434" s="2250"/>
      <c r="FW434" s="2250"/>
      <c r="FX434" s="2250"/>
      <c r="FY434" s="2250"/>
      <c r="FZ434" s="2250"/>
      <c r="GA434" s="2250"/>
      <c r="GB434" s="2250"/>
      <c r="GC434" s="2276"/>
      <c r="GD434" s="2276"/>
      <c r="GE434" s="2250"/>
      <c r="GF434" s="2275"/>
      <c r="GG434" s="4670" t="s">
        <v>733</v>
      </c>
      <c r="GH434" s="2345">
        <v>400</v>
      </c>
      <c r="GI434" s="2346">
        <v>0</v>
      </c>
      <c r="GJ434" s="2346">
        <v>0</v>
      </c>
      <c r="GK434" s="2346">
        <v>0</v>
      </c>
      <c r="GL434" s="2346">
        <v>0</v>
      </c>
      <c r="GM434" s="2346">
        <v>0</v>
      </c>
      <c r="GN434" s="2346">
        <v>0</v>
      </c>
      <c r="GO434" s="2346">
        <v>0</v>
      </c>
      <c r="GP434" s="2346">
        <v>0</v>
      </c>
      <c r="GQ434" s="2346">
        <v>0</v>
      </c>
      <c r="GR434" s="2346">
        <v>0</v>
      </c>
      <c r="GS434" s="2346">
        <v>0</v>
      </c>
      <c r="GT434" s="2346">
        <v>0</v>
      </c>
      <c r="GU434" s="2346">
        <v>0</v>
      </c>
      <c r="GV434" s="2346">
        <v>0</v>
      </c>
      <c r="GW434" s="2346">
        <v>0</v>
      </c>
      <c r="GX434" s="2346">
        <v>0</v>
      </c>
      <c r="GY434" s="2346">
        <v>0</v>
      </c>
      <c r="GZ434" s="2346">
        <v>0</v>
      </c>
      <c r="HA434" s="2346">
        <v>0</v>
      </c>
      <c r="HB434" s="2346">
        <v>0</v>
      </c>
      <c r="HC434" s="2346">
        <v>0</v>
      </c>
      <c r="HD434" s="2346">
        <v>0</v>
      </c>
      <c r="HE434" s="2346">
        <v>0</v>
      </c>
      <c r="HF434" s="2346">
        <v>0</v>
      </c>
      <c r="HG434" s="2346">
        <v>0</v>
      </c>
      <c r="HH434" s="2346">
        <v>0</v>
      </c>
      <c r="HI434" s="2346">
        <v>0</v>
      </c>
      <c r="HJ434" s="2347">
        <v>400</v>
      </c>
      <c r="HK434" s="2275"/>
      <c r="HL434" s="4671"/>
      <c r="HM434" s="4671"/>
      <c r="HN434" s="4671"/>
      <c r="HO434" s="2275"/>
      <c r="HP434" s="2275"/>
      <c r="HQ434" s="2275"/>
      <c r="HR434" s="2275"/>
      <c r="HS434" s="2275"/>
      <c r="HT434" s="2275"/>
      <c r="HU434" s="2250"/>
      <c r="HV434" s="2250"/>
      <c r="HW434" s="2250"/>
      <c r="HX434" s="2250"/>
      <c r="HY434" s="2250"/>
      <c r="HZ434" s="2250"/>
      <c r="IA434" s="2250"/>
      <c r="IB434" s="2250"/>
      <c r="IC434" s="2250"/>
      <c r="ID434" s="2250"/>
      <c r="IE434" s="2250"/>
      <c r="IF434" s="2250"/>
      <c r="IG434" s="2250"/>
      <c r="IH434" s="2250"/>
      <c r="II434" s="2250"/>
      <c r="IJ434" s="2250"/>
      <c r="IK434" s="2250"/>
      <c r="IL434" s="53"/>
      <c r="IM434" s="53"/>
    </row>
    <row r="435" spans="2:247" ht="21.95" customHeight="1">
      <c r="B435" s="4670"/>
      <c r="C435" s="2345">
        <v>475</v>
      </c>
      <c r="D435" s="2346">
        <v>2.33</v>
      </c>
      <c r="E435" s="2346">
        <v>2.58</v>
      </c>
      <c r="F435" s="2346">
        <v>2.76</v>
      </c>
      <c r="G435" s="2346">
        <v>2.94</v>
      </c>
      <c r="H435" s="2346">
        <v>3.13</v>
      </c>
      <c r="I435" s="2346">
        <v>3.19</v>
      </c>
      <c r="J435" s="2346">
        <v>3.44</v>
      </c>
      <c r="K435" s="2346">
        <v>3.62</v>
      </c>
      <c r="L435" s="2346">
        <v>3.93</v>
      </c>
      <c r="M435" s="2346">
        <v>4.1100000000000003</v>
      </c>
      <c r="N435" s="2346">
        <v>4.54</v>
      </c>
      <c r="O435" s="2346">
        <v>4.97</v>
      </c>
      <c r="P435" s="2346">
        <v>5.15</v>
      </c>
      <c r="Q435" s="2346">
        <v>5.4</v>
      </c>
      <c r="R435" s="2346">
        <v>5.58</v>
      </c>
      <c r="S435" s="2346">
        <v>5.89</v>
      </c>
      <c r="T435" s="2346">
        <v>6.26</v>
      </c>
      <c r="U435" s="2346">
        <v>6.81</v>
      </c>
      <c r="V435" s="2346">
        <v>7.24</v>
      </c>
      <c r="W435" s="2346">
        <v>7.67</v>
      </c>
      <c r="X435" s="2346">
        <v>8.2200000000000006</v>
      </c>
      <c r="Y435" s="2346">
        <v>9.08</v>
      </c>
      <c r="Z435" s="2346">
        <v>9.8800000000000008</v>
      </c>
      <c r="AA435" s="2346">
        <v>11.1</v>
      </c>
      <c r="AB435" s="2346">
        <v>12.45</v>
      </c>
      <c r="AC435" s="2346">
        <v>14.17</v>
      </c>
      <c r="AD435" s="2346">
        <v>16.559999999999999</v>
      </c>
      <c r="AE435" s="2347">
        <v>475</v>
      </c>
      <c r="AF435" s="2275"/>
      <c r="AG435" s="2276">
        <f>HLOOKUP(AG431,D432:AD444,2,0)</f>
        <v>0</v>
      </c>
      <c r="AH435" s="2276">
        <f t="shared" ref="AH435:AH445" si="342">+AG436</f>
        <v>0</v>
      </c>
      <c r="AI435" s="2275">
        <v>400</v>
      </c>
      <c r="AJ435" s="2275"/>
      <c r="AK435" s="2275"/>
      <c r="AL435" s="2275"/>
      <c r="AM435" s="2275"/>
      <c r="AN435" s="2275"/>
      <c r="AO435" s="2275"/>
      <c r="AP435" s="2250"/>
      <c r="AQ435" s="2250"/>
      <c r="AR435" s="2250"/>
      <c r="AS435" s="2250"/>
      <c r="AT435" s="2250"/>
      <c r="AU435" s="2250"/>
      <c r="AV435" s="2250"/>
      <c r="AW435" s="2250"/>
      <c r="AX435" s="2250"/>
      <c r="AY435" s="2250"/>
      <c r="AZ435" s="2250"/>
      <c r="BA435" s="2250"/>
      <c r="BB435" s="2250"/>
      <c r="BC435" s="2250"/>
      <c r="BD435" s="2250"/>
      <c r="BE435" s="2250"/>
      <c r="BF435" s="2276"/>
      <c r="BG435" s="2276"/>
      <c r="BH435" s="2250"/>
      <c r="BI435" s="2275"/>
      <c r="BJ435" s="4670"/>
      <c r="BK435" s="2345">
        <v>475</v>
      </c>
      <c r="BL435" s="2346">
        <v>2.33</v>
      </c>
      <c r="BM435" s="2346">
        <v>2.58</v>
      </c>
      <c r="BN435" s="2346">
        <v>2.76</v>
      </c>
      <c r="BO435" s="2346">
        <v>2.94</v>
      </c>
      <c r="BP435" s="2346">
        <v>3.13</v>
      </c>
      <c r="BQ435" s="2346">
        <v>3.19</v>
      </c>
      <c r="BR435" s="2346">
        <v>3.44</v>
      </c>
      <c r="BS435" s="2346">
        <v>3.62</v>
      </c>
      <c r="BT435" s="2346">
        <v>3.93</v>
      </c>
      <c r="BU435" s="2346">
        <v>4.1100000000000003</v>
      </c>
      <c r="BV435" s="2346">
        <v>4.54</v>
      </c>
      <c r="BW435" s="2346">
        <v>4.97</v>
      </c>
      <c r="BX435" s="2346">
        <v>5.15</v>
      </c>
      <c r="BY435" s="2346">
        <v>5.4</v>
      </c>
      <c r="BZ435" s="2346">
        <v>5.58</v>
      </c>
      <c r="CA435" s="2346">
        <v>5.89</v>
      </c>
      <c r="CB435" s="2346">
        <v>6.26</v>
      </c>
      <c r="CC435" s="2346">
        <v>6.81</v>
      </c>
      <c r="CD435" s="2346">
        <v>7.24</v>
      </c>
      <c r="CE435" s="2346">
        <v>7.67</v>
      </c>
      <c r="CF435" s="2346">
        <v>8.2200000000000006</v>
      </c>
      <c r="CG435" s="2346">
        <v>9.08</v>
      </c>
      <c r="CH435" s="2346">
        <v>9.8800000000000008</v>
      </c>
      <c r="CI435" s="2346">
        <v>11.1</v>
      </c>
      <c r="CJ435" s="2346">
        <v>12.45</v>
      </c>
      <c r="CK435" s="2346">
        <v>14.17</v>
      </c>
      <c r="CL435" s="2346">
        <v>16.559999999999999</v>
      </c>
      <c r="CM435" s="2347">
        <v>475</v>
      </c>
      <c r="CN435" s="2275"/>
      <c r="CO435" s="2276">
        <f>HLOOKUP(CO431,BL432:CL444,2,0)</f>
        <v>0</v>
      </c>
      <c r="CP435" s="2276">
        <f t="shared" ref="CP435:CP445" si="343">+CO436</f>
        <v>0</v>
      </c>
      <c r="CQ435" s="2275">
        <v>400</v>
      </c>
      <c r="CR435" s="2275"/>
      <c r="CS435" s="2275"/>
      <c r="CT435" s="2275"/>
      <c r="CU435" s="2275"/>
      <c r="CV435" s="2275"/>
      <c r="CW435" s="2275"/>
      <c r="CX435" s="2250"/>
      <c r="CY435" s="2250"/>
      <c r="CZ435" s="2250"/>
      <c r="DA435" s="2250"/>
      <c r="DB435" s="2250"/>
      <c r="DC435" s="2250"/>
      <c r="DD435" s="2250"/>
      <c r="DE435" s="2250"/>
      <c r="DF435" s="2250"/>
      <c r="DG435" s="2250"/>
      <c r="DH435" s="2250"/>
      <c r="DI435" s="2250"/>
      <c r="DJ435" s="2250"/>
      <c r="DK435" s="2250"/>
      <c r="DL435" s="2250"/>
      <c r="DM435" s="2250"/>
      <c r="DN435" s="2250"/>
      <c r="DO435" s="53"/>
      <c r="DP435" s="53"/>
      <c r="DY435" s="4670"/>
      <c r="DZ435" s="2345">
        <v>475</v>
      </c>
      <c r="EA435" s="2346">
        <v>2.33</v>
      </c>
      <c r="EB435" s="2346">
        <v>2.58</v>
      </c>
      <c r="EC435" s="2346">
        <v>2.76</v>
      </c>
      <c r="ED435" s="2346">
        <v>2.94</v>
      </c>
      <c r="EE435" s="2346">
        <v>3.13</v>
      </c>
      <c r="EF435" s="2346">
        <v>3.19</v>
      </c>
      <c r="EG435" s="2346">
        <v>3.44</v>
      </c>
      <c r="EH435" s="2346">
        <v>3.62</v>
      </c>
      <c r="EI435" s="2346">
        <v>3.93</v>
      </c>
      <c r="EJ435" s="2346">
        <v>4.1100000000000003</v>
      </c>
      <c r="EK435" s="2346">
        <v>4.54</v>
      </c>
      <c r="EL435" s="2346">
        <v>4.97</v>
      </c>
      <c r="EM435" s="2346">
        <v>5.15</v>
      </c>
      <c r="EN435" s="2346">
        <v>5.4</v>
      </c>
      <c r="EO435" s="2346">
        <v>5.58</v>
      </c>
      <c r="EP435" s="2346">
        <v>5.89</v>
      </c>
      <c r="EQ435" s="2346">
        <v>6.26</v>
      </c>
      <c r="ER435" s="2346">
        <v>6.81</v>
      </c>
      <c r="ES435" s="2346">
        <v>7.24</v>
      </c>
      <c r="ET435" s="2346">
        <v>7.67</v>
      </c>
      <c r="EU435" s="2346">
        <v>8.2200000000000006</v>
      </c>
      <c r="EV435" s="2346">
        <v>9.08</v>
      </c>
      <c r="EW435" s="2346">
        <v>9.8800000000000008</v>
      </c>
      <c r="EX435" s="2346">
        <v>11.1</v>
      </c>
      <c r="EY435" s="2346">
        <v>12.45</v>
      </c>
      <c r="EZ435" s="2346">
        <v>14.17</v>
      </c>
      <c r="FA435" s="2346">
        <v>16.559999999999999</v>
      </c>
      <c r="FB435" s="2347">
        <v>475</v>
      </c>
      <c r="FC435" s="2275"/>
      <c r="FD435" s="2276">
        <f>HLOOKUP(FD431,EA432:FA444,2,0)</f>
        <v>0</v>
      </c>
      <c r="FE435" s="2276">
        <f t="shared" ref="FE435:FE445" si="344">+FD436</f>
        <v>0</v>
      </c>
      <c r="FF435" s="2275">
        <v>400</v>
      </c>
      <c r="FG435" s="2275"/>
      <c r="FH435" s="2275"/>
      <c r="FI435" s="2275"/>
      <c r="FJ435" s="2275"/>
      <c r="FK435" s="2275"/>
      <c r="FL435" s="2275"/>
      <c r="FM435" s="2250"/>
      <c r="FN435" s="2250"/>
      <c r="FO435" s="2250"/>
      <c r="FP435" s="2250"/>
      <c r="FQ435" s="2250"/>
      <c r="FR435" s="2250"/>
      <c r="FS435" s="2250"/>
      <c r="FT435" s="2250"/>
      <c r="FU435" s="2250"/>
      <c r="FV435" s="2250"/>
      <c r="FW435" s="2250"/>
      <c r="FX435" s="2250"/>
      <c r="FY435" s="2250"/>
      <c r="FZ435" s="2250"/>
      <c r="GA435" s="2250"/>
      <c r="GB435" s="2250"/>
      <c r="GC435" s="2276"/>
      <c r="GD435" s="2276"/>
      <c r="GE435" s="2250"/>
      <c r="GF435" s="2275"/>
      <c r="GG435" s="4670"/>
      <c r="GH435" s="2345">
        <v>475</v>
      </c>
      <c r="GI435" s="2346">
        <v>2.33</v>
      </c>
      <c r="GJ435" s="2346">
        <v>2.58</v>
      </c>
      <c r="GK435" s="2346">
        <v>2.76</v>
      </c>
      <c r="GL435" s="2346">
        <v>2.94</v>
      </c>
      <c r="GM435" s="2346">
        <v>3.13</v>
      </c>
      <c r="GN435" s="2346">
        <v>3.19</v>
      </c>
      <c r="GO435" s="2346">
        <v>3.44</v>
      </c>
      <c r="GP435" s="2346">
        <v>3.62</v>
      </c>
      <c r="GQ435" s="2346">
        <v>3.93</v>
      </c>
      <c r="GR435" s="2346">
        <v>4.1100000000000003</v>
      </c>
      <c r="GS435" s="2346">
        <v>4.54</v>
      </c>
      <c r="GT435" s="2346">
        <v>4.97</v>
      </c>
      <c r="GU435" s="2346">
        <v>5.15</v>
      </c>
      <c r="GV435" s="2346">
        <v>5.4</v>
      </c>
      <c r="GW435" s="2346">
        <v>5.58</v>
      </c>
      <c r="GX435" s="2346">
        <v>5.89</v>
      </c>
      <c r="GY435" s="2346">
        <v>6.26</v>
      </c>
      <c r="GZ435" s="2346">
        <v>6.81</v>
      </c>
      <c r="HA435" s="2346">
        <v>7.24</v>
      </c>
      <c r="HB435" s="2346">
        <v>7.67</v>
      </c>
      <c r="HC435" s="2346">
        <v>8.2200000000000006</v>
      </c>
      <c r="HD435" s="2346">
        <v>9.08</v>
      </c>
      <c r="HE435" s="2346">
        <v>9.8800000000000008</v>
      </c>
      <c r="HF435" s="2346">
        <v>11.1</v>
      </c>
      <c r="HG435" s="2346">
        <v>12.45</v>
      </c>
      <c r="HH435" s="2346">
        <v>14.17</v>
      </c>
      <c r="HI435" s="2346">
        <v>16.559999999999999</v>
      </c>
      <c r="HJ435" s="2347">
        <v>475</v>
      </c>
      <c r="HK435" s="2275"/>
      <c r="HL435" s="2276">
        <f>HLOOKUP(HL431,GI432:HI444,2,0)</f>
        <v>0</v>
      </c>
      <c r="HM435" s="2276">
        <f t="shared" ref="HM435:HM445" si="345">+HL436</f>
        <v>0</v>
      </c>
      <c r="HN435" s="2275">
        <v>400</v>
      </c>
      <c r="HO435" s="2275"/>
      <c r="HP435" s="2275"/>
      <c r="HQ435" s="2275"/>
      <c r="HR435" s="2275"/>
      <c r="HS435" s="2275"/>
      <c r="HT435" s="2275"/>
      <c r="HU435" s="2250"/>
      <c r="HV435" s="2250"/>
      <c r="HW435" s="2250"/>
      <c r="HX435" s="2250"/>
      <c r="HY435" s="2250"/>
      <c r="HZ435" s="2250"/>
      <c r="IA435" s="2250"/>
      <c r="IB435" s="2250"/>
      <c r="IC435" s="2250"/>
      <c r="ID435" s="2250"/>
      <c r="IE435" s="2250"/>
      <c r="IF435" s="2250"/>
      <c r="IG435" s="2250"/>
      <c r="IH435" s="2250"/>
      <c r="II435" s="2250"/>
      <c r="IJ435" s="2250"/>
      <c r="IK435" s="2250"/>
      <c r="IL435" s="53"/>
      <c r="IM435" s="53"/>
    </row>
    <row r="436" spans="2:247" ht="21.95" customHeight="1">
      <c r="B436" s="4670"/>
      <c r="C436" s="2345">
        <v>550</v>
      </c>
      <c r="D436" s="2346">
        <v>4.5999999999999996</v>
      </c>
      <c r="E436" s="2346">
        <v>4.97</v>
      </c>
      <c r="F436" s="2346">
        <v>5.34</v>
      </c>
      <c r="G436" s="2346">
        <v>5.77</v>
      </c>
      <c r="H436" s="2346">
        <v>6.13</v>
      </c>
      <c r="I436" s="2346">
        <v>6.2</v>
      </c>
      <c r="J436" s="2346">
        <v>6.69</v>
      </c>
      <c r="K436" s="2346">
        <v>7.12</v>
      </c>
      <c r="L436" s="2346">
        <v>7.55</v>
      </c>
      <c r="M436" s="2346">
        <v>8.0399999999999991</v>
      </c>
      <c r="N436" s="2346">
        <v>8.9</v>
      </c>
      <c r="O436" s="2346">
        <v>9.51</v>
      </c>
      <c r="P436" s="2346">
        <v>10.06</v>
      </c>
      <c r="Q436" s="2346">
        <v>10.55</v>
      </c>
      <c r="R436" s="2346">
        <v>10.86</v>
      </c>
      <c r="S436" s="2346">
        <v>11.53</v>
      </c>
      <c r="T436" s="2346">
        <v>12.39</v>
      </c>
      <c r="U436" s="2346">
        <v>13.25</v>
      </c>
      <c r="V436" s="2346">
        <v>14.11</v>
      </c>
      <c r="W436" s="2346">
        <v>15.21</v>
      </c>
      <c r="X436" s="2346">
        <v>16.260000000000002</v>
      </c>
      <c r="Y436" s="2346">
        <v>17.79</v>
      </c>
      <c r="Z436" s="2346">
        <v>19.329999999999998</v>
      </c>
      <c r="AA436" s="2346">
        <v>21.53</v>
      </c>
      <c r="AB436" s="2346">
        <v>24.05</v>
      </c>
      <c r="AC436" s="2346">
        <v>26.87</v>
      </c>
      <c r="AD436" s="2346">
        <v>29.69</v>
      </c>
      <c r="AE436" s="2347">
        <v>550</v>
      </c>
      <c r="AF436" s="2275"/>
      <c r="AG436" s="2276">
        <f>HLOOKUP(AG431,D432:AD444,3,0)</f>
        <v>0</v>
      </c>
      <c r="AH436" s="2276">
        <f t="shared" si="342"/>
        <v>2.76</v>
      </c>
      <c r="AI436" s="2275">
        <v>475</v>
      </c>
      <c r="AJ436" s="2275"/>
      <c r="AK436" s="2275"/>
      <c r="AL436" s="2275"/>
      <c r="AM436" s="2275"/>
      <c r="AN436" s="2275"/>
      <c r="AO436" s="2275"/>
      <c r="AP436" s="2250"/>
      <c r="AQ436" s="2250"/>
      <c r="AR436" s="2250"/>
      <c r="AS436" s="2250"/>
      <c r="AT436" s="2250"/>
      <c r="AU436" s="2250"/>
      <c r="AV436" s="2250"/>
      <c r="AW436" s="2250"/>
      <c r="AX436" s="2250"/>
      <c r="AY436" s="2250"/>
      <c r="AZ436" s="2250"/>
      <c r="BA436" s="2250"/>
      <c r="BB436" s="2250"/>
      <c r="BC436" s="2250"/>
      <c r="BD436" s="2250"/>
      <c r="BE436" s="2250"/>
      <c r="BF436" s="2276"/>
      <c r="BG436" s="2276"/>
      <c r="BH436" s="2250"/>
      <c r="BI436" s="2275"/>
      <c r="BJ436" s="4670"/>
      <c r="BK436" s="2345">
        <v>550</v>
      </c>
      <c r="BL436" s="2346">
        <v>4.5999999999999996</v>
      </c>
      <c r="BM436" s="2346">
        <v>4.97</v>
      </c>
      <c r="BN436" s="2346">
        <v>5.34</v>
      </c>
      <c r="BO436" s="2346">
        <v>5.77</v>
      </c>
      <c r="BP436" s="2346">
        <v>6.13</v>
      </c>
      <c r="BQ436" s="2346">
        <v>6.2</v>
      </c>
      <c r="BR436" s="2346">
        <v>6.69</v>
      </c>
      <c r="BS436" s="2346">
        <v>7.12</v>
      </c>
      <c r="BT436" s="2346">
        <v>7.55</v>
      </c>
      <c r="BU436" s="2346">
        <v>8.0399999999999991</v>
      </c>
      <c r="BV436" s="2346">
        <v>8.9</v>
      </c>
      <c r="BW436" s="2346">
        <v>9.51</v>
      </c>
      <c r="BX436" s="2346">
        <v>10.06</v>
      </c>
      <c r="BY436" s="2346">
        <v>10.55</v>
      </c>
      <c r="BZ436" s="2346">
        <v>10.86</v>
      </c>
      <c r="CA436" s="2346">
        <v>11.53</v>
      </c>
      <c r="CB436" s="2346">
        <v>12.39</v>
      </c>
      <c r="CC436" s="2346">
        <v>13.25</v>
      </c>
      <c r="CD436" s="2346">
        <v>14.11</v>
      </c>
      <c r="CE436" s="2346">
        <v>15.21</v>
      </c>
      <c r="CF436" s="2346">
        <v>16.260000000000002</v>
      </c>
      <c r="CG436" s="2346">
        <v>17.79</v>
      </c>
      <c r="CH436" s="2346">
        <v>19.329999999999998</v>
      </c>
      <c r="CI436" s="2346">
        <v>21.53</v>
      </c>
      <c r="CJ436" s="2346">
        <v>24.05</v>
      </c>
      <c r="CK436" s="2346">
        <v>26.87</v>
      </c>
      <c r="CL436" s="2346">
        <v>29.69</v>
      </c>
      <c r="CM436" s="2347">
        <v>550</v>
      </c>
      <c r="CN436" s="2275"/>
      <c r="CO436" s="2276">
        <f>HLOOKUP(CO431,BL432:CL444,3,0)</f>
        <v>0</v>
      </c>
      <c r="CP436" s="2276">
        <f t="shared" si="343"/>
        <v>2.58</v>
      </c>
      <c r="CQ436" s="2275">
        <v>475</v>
      </c>
      <c r="CR436" s="2275"/>
      <c r="CS436" s="2275"/>
      <c r="CT436" s="2275"/>
      <c r="CU436" s="2275"/>
      <c r="CV436" s="2275"/>
      <c r="CW436" s="2275"/>
      <c r="CX436" s="2250"/>
      <c r="CY436" s="2250"/>
      <c r="CZ436" s="2250"/>
      <c r="DA436" s="2250"/>
      <c r="DB436" s="2250"/>
      <c r="DC436" s="2250"/>
      <c r="DD436" s="2250"/>
      <c r="DE436" s="2250"/>
      <c r="DF436" s="2250"/>
      <c r="DG436" s="2250"/>
      <c r="DH436" s="2250"/>
      <c r="DI436" s="2250"/>
      <c r="DJ436" s="2250"/>
      <c r="DK436" s="2250"/>
      <c r="DL436" s="2250"/>
      <c r="DM436" s="2250"/>
      <c r="DN436" s="2250"/>
      <c r="DO436" s="53"/>
      <c r="DP436" s="53"/>
      <c r="DY436" s="4670"/>
      <c r="DZ436" s="2345">
        <v>550</v>
      </c>
      <c r="EA436" s="2346">
        <v>4.5999999999999996</v>
      </c>
      <c r="EB436" s="2346">
        <v>4.97</v>
      </c>
      <c r="EC436" s="2346">
        <v>5.34</v>
      </c>
      <c r="ED436" s="2346">
        <v>5.77</v>
      </c>
      <c r="EE436" s="2346">
        <v>6.13</v>
      </c>
      <c r="EF436" s="2346">
        <v>6.2</v>
      </c>
      <c r="EG436" s="2346">
        <v>6.69</v>
      </c>
      <c r="EH436" s="2346">
        <v>7.12</v>
      </c>
      <c r="EI436" s="2346">
        <v>7.55</v>
      </c>
      <c r="EJ436" s="2346">
        <v>8.0399999999999991</v>
      </c>
      <c r="EK436" s="2346">
        <v>8.9</v>
      </c>
      <c r="EL436" s="2346">
        <v>9.51</v>
      </c>
      <c r="EM436" s="2346">
        <v>10.06</v>
      </c>
      <c r="EN436" s="2346">
        <v>10.55</v>
      </c>
      <c r="EO436" s="2346">
        <v>10.86</v>
      </c>
      <c r="EP436" s="2346">
        <v>11.53</v>
      </c>
      <c r="EQ436" s="2346">
        <v>12.39</v>
      </c>
      <c r="ER436" s="2346">
        <v>13.25</v>
      </c>
      <c r="ES436" s="2346">
        <v>14.11</v>
      </c>
      <c r="ET436" s="2346">
        <v>15.21</v>
      </c>
      <c r="EU436" s="2346">
        <v>16.260000000000002</v>
      </c>
      <c r="EV436" s="2346">
        <v>17.79</v>
      </c>
      <c r="EW436" s="2346">
        <v>19.329999999999998</v>
      </c>
      <c r="EX436" s="2346">
        <v>21.53</v>
      </c>
      <c r="EY436" s="2346">
        <v>24.05</v>
      </c>
      <c r="EZ436" s="2346">
        <v>26.87</v>
      </c>
      <c r="FA436" s="2346">
        <v>29.69</v>
      </c>
      <c r="FB436" s="2347">
        <v>550</v>
      </c>
      <c r="FC436" s="2275"/>
      <c r="FD436" s="2276">
        <f>HLOOKUP(FD431,EA432:FA444,3,0)</f>
        <v>0</v>
      </c>
      <c r="FE436" s="2276">
        <f t="shared" si="344"/>
        <v>4.1100000000000003</v>
      </c>
      <c r="FF436" s="2275">
        <v>475</v>
      </c>
      <c r="FG436" s="2275"/>
      <c r="FH436" s="2275"/>
      <c r="FI436" s="2275"/>
      <c r="FJ436" s="2275"/>
      <c r="FK436" s="2275"/>
      <c r="FL436" s="2275"/>
      <c r="FM436" s="2250"/>
      <c r="FN436" s="2250"/>
      <c r="FO436" s="2250"/>
      <c r="FP436" s="2250"/>
      <c r="FQ436" s="2250"/>
      <c r="FR436" s="2250"/>
      <c r="FS436" s="2250"/>
      <c r="FT436" s="2250"/>
      <c r="FU436" s="2250"/>
      <c r="FV436" s="2250"/>
      <c r="FW436" s="2250"/>
      <c r="FX436" s="2250"/>
      <c r="FY436" s="2250"/>
      <c r="FZ436" s="2250"/>
      <c r="GA436" s="2250"/>
      <c r="GB436" s="2250"/>
      <c r="GC436" s="2276"/>
      <c r="GD436" s="2276"/>
      <c r="GE436" s="2250"/>
      <c r="GF436" s="2275"/>
      <c r="GG436" s="4670"/>
      <c r="GH436" s="2345">
        <v>550</v>
      </c>
      <c r="GI436" s="2346">
        <v>4.5999999999999996</v>
      </c>
      <c r="GJ436" s="2346">
        <v>4.97</v>
      </c>
      <c r="GK436" s="2346">
        <v>5.34</v>
      </c>
      <c r="GL436" s="2346">
        <v>5.77</v>
      </c>
      <c r="GM436" s="2346">
        <v>6.13</v>
      </c>
      <c r="GN436" s="2346">
        <v>6.2</v>
      </c>
      <c r="GO436" s="2346">
        <v>6.69</v>
      </c>
      <c r="GP436" s="2346">
        <v>7.12</v>
      </c>
      <c r="GQ436" s="2346">
        <v>7.55</v>
      </c>
      <c r="GR436" s="2346">
        <v>8.0399999999999991</v>
      </c>
      <c r="GS436" s="2346">
        <v>8.9</v>
      </c>
      <c r="GT436" s="2346">
        <v>9.51</v>
      </c>
      <c r="GU436" s="2346">
        <v>10.06</v>
      </c>
      <c r="GV436" s="2346">
        <v>10.55</v>
      </c>
      <c r="GW436" s="2346">
        <v>10.86</v>
      </c>
      <c r="GX436" s="2346">
        <v>11.53</v>
      </c>
      <c r="GY436" s="2346">
        <v>12.39</v>
      </c>
      <c r="GZ436" s="2346">
        <v>13.25</v>
      </c>
      <c r="HA436" s="2346">
        <v>14.11</v>
      </c>
      <c r="HB436" s="2346">
        <v>15.21</v>
      </c>
      <c r="HC436" s="2346">
        <v>16.260000000000002</v>
      </c>
      <c r="HD436" s="2346">
        <v>17.79</v>
      </c>
      <c r="HE436" s="2346">
        <v>19.329999999999998</v>
      </c>
      <c r="HF436" s="2346">
        <v>21.53</v>
      </c>
      <c r="HG436" s="2346">
        <v>24.05</v>
      </c>
      <c r="HH436" s="2346">
        <v>26.87</v>
      </c>
      <c r="HI436" s="2346">
        <v>29.69</v>
      </c>
      <c r="HJ436" s="2347">
        <v>550</v>
      </c>
      <c r="HK436" s="2275"/>
      <c r="HL436" s="2276">
        <f>HLOOKUP(HL431,GI432:HI444,3,0)</f>
        <v>0</v>
      </c>
      <c r="HM436" s="2276">
        <f t="shared" si="345"/>
        <v>3.93</v>
      </c>
      <c r="HN436" s="2275">
        <v>475</v>
      </c>
      <c r="HO436" s="2275"/>
      <c r="HP436" s="2275"/>
      <c r="HQ436" s="2275"/>
      <c r="HR436" s="2275"/>
      <c r="HS436" s="2275"/>
      <c r="HT436" s="2275"/>
      <c r="HU436" s="2250"/>
      <c r="HV436" s="2250"/>
      <c r="HW436" s="2250"/>
      <c r="HX436" s="2250"/>
      <c r="HY436" s="2250"/>
      <c r="HZ436" s="2250"/>
      <c r="IA436" s="2250"/>
      <c r="IB436" s="2250"/>
      <c r="IC436" s="2250"/>
      <c r="ID436" s="2250"/>
      <c r="IE436" s="2250"/>
      <c r="IF436" s="2250"/>
      <c r="IG436" s="2250"/>
      <c r="IH436" s="2250"/>
      <c r="II436" s="2250"/>
      <c r="IJ436" s="2250"/>
      <c r="IK436" s="2250"/>
      <c r="IL436" s="53"/>
      <c r="IM436" s="53"/>
    </row>
    <row r="437" spans="2:247" ht="21.95" customHeight="1">
      <c r="B437" s="4671"/>
      <c r="C437" s="2345">
        <v>650</v>
      </c>
      <c r="D437" s="2346">
        <v>7.73</v>
      </c>
      <c r="E437" s="2346">
        <v>8.59</v>
      </c>
      <c r="F437" s="2346">
        <v>9.26</v>
      </c>
      <c r="G437" s="2346">
        <v>9.94</v>
      </c>
      <c r="H437" s="2346">
        <v>10.18</v>
      </c>
      <c r="I437" s="2346">
        <v>10.74</v>
      </c>
      <c r="J437" s="2346">
        <v>11.53</v>
      </c>
      <c r="K437" s="2346">
        <v>12.33</v>
      </c>
      <c r="L437" s="2346">
        <v>13.07</v>
      </c>
      <c r="M437" s="2346">
        <v>13.93</v>
      </c>
      <c r="N437" s="2346">
        <v>15.4</v>
      </c>
      <c r="O437" s="2346">
        <v>16.690000000000001</v>
      </c>
      <c r="P437" s="2346">
        <v>17.239999999999998</v>
      </c>
      <c r="Q437" s="2346">
        <v>18.22</v>
      </c>
      <c r="R437" s="2346">
        <v>19.2</v>
      </c>
      <c r="S437" s="2346">
        <v>19.82</v>
      </c>
      <c r="T437" s="2346">
        <v>21.1</v>
      </c>
      <c r="U437" s="2346">
        <v>22.39</v>
      </c>
      <c r="V437" s="2346">
        <v>24.11</v>
      </c>
      <c r="W437" s="2346">
        <v>26.13</v>
      </c>
      <c r="X437" s="2346">
        <v>28.16</v>
      </c>
      <c r="Y437" s="2346">
        <v>30.18</v>
      </c>
      <c r="Z437" s="2346">
        <v>32.82</v>
      </c>
      <c r="AA437" s="2346">
        <v>36.01</v>
      </c>
      <c r="AB437" s="2346">
        <v>40.369999999999997</v>
      </c>
      <c r="AC437" s="2346">
        <v>47.36</v>
      </c>
      <c r="AD437" s="2346">
        <v>20.61</v>
      </c>
      <c r="AE437" s="2347">
        <v>650</v>
      </c>
      <c r="AF437" s="2275"/>
      <c r="AG437" s="2276">
        <f>HLOOKUP(AG431,D432:AD444,4,0)</f>
        <v>2.76</v>
      </c>
      <c r="AH437" s="2276">
        <f t="shared" si="342"/>
        <v>5.34</v>
      </c>
      <c r="AI437" s="2275">
        <v>550</v>
      </c>
      <c r="AJ437" s="2275"/>
      <c r="AK437" s="2275"/>
      <c r="AL437" s="2275"/>
      <c r="AM437" s="2275"/>
      <c r="AN437" s="2275"/>
      <c r="AO437" s="2275"/>
      <c r="AP437" s="2250"/>
      <c r="AQ437" s="2250"/>
      <c r="AR437" s="2250"/>
      <c r="AS437" s="2250"/>
      <c r="AT437" s="2250"/>
      <c r="AU437" s="2250"/>
      <c r="AV437" s="2250"/>
      <c r="AW437" s="2250"/>
      <c r="AX437" s="2250"/>
      <c r="AY437" s="2250"/>
      <c r="AZ437" s="2250"/>
      <c r="BA437" s="2250"/>
      <c r="BB437" s="2250"/>
      <c r="BC437" s="2250"/>
      <c r="BD437" s="2250"/>
      <c r="BE437" s="2250"/>
      <c r="BF437" s="2276"/>
      <c r="BG437" s="2276"/>
      <c r="BH437" s="2250"/>
      <c r="BI437" s="2275"/>
      <c r="BJ437" s="4671"/>
      <c r="BK437" s="2345">
        <v>650</v>
      </c>
      <c r="BL437" s="2346">
        <v>7.73</v>
      </c>
      <c r="BM437" s="2346">
        <v>8.59</v>
      </c>
      <c r="BN437" s="2346">
        <v>9.26</v>
      </c>
      <c r="BO437" s="2346">
        <v>9.94</v>
      </c>
      <c r="BP437" s="2346">
        <v>10.18</v>
      </c>
      <c r="BQ437" s="2346">
        <v>10.74</v>
      </c>
      <c r="BR437" s="2346">
        <v>11.53</v>
      </c>
      <c r="BS437" s="2346">
        <v>12.33</v>
      </c>
      <c r="BT437" s="2346">
        <v>13.07</v>
      </c>
      <c r="BU437" s="2346">
        <v>13.93</v>
      </c>
      <c r="BV437" s="2346">
        <v>15.4</v>
      </c>
      <c r="BW437" s="2346">
        <v>16.690000000000001</v>
      </c>
      <c r="BX437" s="2346">
        <v>17.239999999999998</v>
      </c>
      <c r="BY437" s="2346">
        <v>18.22</v>
      </c>
      <c r="BZ437" s="2346">
        <v>19.2</v>
      </c>
      <c r="CA437" s="2346">
        <v>19.82</v>
      </c>
      <c r="CB437" s="2346">
        <v>21.1</v>
      </c>
      <c r="CC437" s="2346">
        <v>22.39</v>
      </c>
      <c r="CD437" s="2346">
        <v>24.11</v>
      </c>
      <c r="CE437" s="2346">
        <v>26.13</v>
      </c>
      <c r="CF437" s="2346">
        <v>28.16</v>
      </c>
      <c r="CG437" s="2346">
        <v>30.18</v>
      </c>
      <c r="CH437" s="2346">
        <v>32.82</v>
      </c>
      <c r="CI437" s="2346">
        <v>36.01</v>
      </c>
      <c r="CJ437" s="2346">
        <v>40.369999999999997</v>
      </c>
      <c r="CK437" s="2346">
        <v>47.36</v>
      </c>
      <c r="CL437" s="2346">
        <v>20.61</v>
      </c>
      <c r="CM437" s="2347">
        <v>650</v>
      </c>
      <c r="CN437" s="2275"/>
      <c r="CO437" s="2276">
        <f>HLOOKUP(CO431,BL432:CL444,4,0)</f>
        <v>2.58</v>
      </c>
      <c r="CP437" s="2276">
        <f t="shared" si="343"/>
        <v>4.97</v>
      </c>
      <c r="CQ437" s="2275">
        <v>550</v>
      </c>
      <c r="CR437" s="2275"/>
      <c r="CS437" s="2275"/>
      <c r="CT437" s="2275"/>
      <c r="CU437" s="2275"/>
      <c r="CV437" s="2275"/>
      <c r="CW437" s="2275"/>
      <c r="CX437" s="2250"/>
      <c r="CY437" s="2250"/>
      <c r="CZ437" s="2250"/>
      <c r="DA437" s="2250"/>
      <c r="DB437" s="2250"/>
      <c r="DC437" s="2250"/>
      <c r="DD437" s="2250"/>
      <c r="DE437" s="2250"/>
      <c r="DF437" s="2250"/>
      <c r="DG437" s="2250"/>
      <c r="DH437" s="2250"/>
      <c r="DI437" s="2250"/>
      <c r="DJ437" s="2250"/>
      <c r="DK437" s="2250"/>
      <c r="DL437" s="2250"/>
      <c r="DM437" s="2250"/>
      <c r="DN437" s="2250"/>
      <c r="DO437" s="53"/>
      <c r="DP437" s="53"/>
      <c r="DY437" s="4671"/>
      <c r="DZ437" s="2345">
        <v>650</v>
      </c>
      <c r="EA437" s="2346">
        <v>7.73</v>
      </c>
      <c r="EB437" s="2346">
        <v>8.59</v>
      </c>
      <c r="EC437" s="2346">
        <v>9.26</v>
      </c>
      <c r="ED437" s="2346">
        <v>9.94</v>
      </c>
      <c r="EE437" s="2346">
        <v>10.18</v>
      </c>
      <c r="EF437" s="2346">
        <v>10.74</v>
      </c>
      <c r="EG437" s="2346">
        <v>11.53</v>
      </c>
      <c r="EH437" s="2346">
        <v>12.33</v>
      </c>
      <c r="EI437" s="2346">
        <v>13.07</v>
      </c>
      <c r="EJ437" s="2346">
        <v>13.93</v>
      </c>
      <c r="EK437" s="2346">
        <v>15.4</v>
      </c>
      <c r="EL437" s="2346">
        <v>16.690000000000001</v>
      </c>
      <c r="EM437" s="2346">
        <v>17.239999999999998</v>
      </c>
      <c r="EN437" s="2346">
        <v>18.22</v>
      </c>
      <c r="EO437" s="2346">
        <v>19.2</v>
      </c>
      <c r="EP437" s="2346">
        <v>19.82</v>
      </c>
      <c r="EQ437" s="2346">
        <v>21.1</v>
      </c>
      <c r="ER437" s="2346">
        <v>22.39</v>
      </c>
      <c r="ES437" s="2346">
        <v>24.11</v>
      </c>
      <c r="ET437" s="2346">
        <v>26.13</v>
      </c>
      <c r="EU437" s="2346">
        <v>28.16</v>
      </c>
      <c r="EV437" s="2346">
        <v>30.18</v>
      </c>
      <c r="EW437" s="2346">
        <v>32.82</v>
      </c>
      <c r="EX437" s="2346">
        <v>36.01</v>
      </c>
      <c r="EY437" s="2346">
        <v>40.369999999999997</v>
      </c>
      <c r="EZ437" s="2346">
        <v>47.36</v>
      </c>
      <c r="FA437" s="2346">
        <v>20.61</v>
      </c>
      <c r="FB437" s="2347">
        <v>650</v>
      </c>
      <c r="FC437" s="2275"/>
      <c r="FD437" s="2276">
        <f>HLOOKUP(FD431,EA432:FA444,4,0)</f>
        <v>4.1100000000000003</v>
      </c>
      <c r="FE437" s="2276">
        <f t="shared" si="344"/>
        <v>8.0399999999999991</v>
      </c>
      <c r="FF437" s="2275">
        <v>550</v>
      </c>
      <c r="FG437" s="2275"/>
      <c r="FH437" s="2275"/>
      <c r="FI437" s="2275"/>
      <c r="FJ437" s="2275"/>
      <c r="FK437" s="2275"/>
      <c r="FL437" s="2275"/>
      <c r="FM437" s="2250"/>
      <c r="FN437" s="2250"/>
      <c r="FO437" s="2250"/>
      <c r="FP437" s="2250"/>
      <c r="FQ437" s="2250"/>
      <c r="FR437" s="2250"/>
      <c r="FS437" s="2250"/>
      <c r="FT437" s="2250"/>
      <c r="FU437" s="2250"/>
      <c r="FV437" s="2250"/>
      <c r="FW437" s="2250"/>
      <c r="FX437" s="2250"/>
      <c r="FY437" s="2250"/>
      <c r="FZ437" s="2250"/>
      <c r="GA437" s="2250"/>
      <c r="GB437" s="2250"/>
      <c r="GC437" s="2276"/>
      <c r="GD437" s="2276"/>
      <c r="GE437" s="2250"/>
      <c r="GF437" s="2275"/>
      <c r="GG437" s="4671"/>
      <c r="GH437" s="2345">
        <v>650</v>
      </c>
      <c r="GI437" s="2346">
        <v>7.73</v>
      </c>
      <c r="GJ437" s="2346">
        <v>8.59</v>
      </c>
      <c r="GK437" s="2346">
        <v>9.26</v>
      </c>
      <c r="GL437" s="2346">
        <v>9.94</v>
      </c>
      <c r="GM437" s="2346">
        <v>10.18</v>
      </c>
      <c r="GN437" s="2346">
        <v>10.74</v>
      </c>
      <c r="GO437" s="2346">
        <v>11.53</v>
      </c>
      <c r="GP437" s="2346">
        <v>12.33</v>
      </c>
      <c r="GQ437" s="2346">
        <v>13.07</v>
      </c>
      <c r="GR437" s="2346">
        <v>13.93</v>
      </c>
      <c r="GS437" s="2346">
        <v>15.4</v>
      </c>
      <c r="GT437" s="2346">
        <v>16.690000000000001</v>
      </c>
      <c r="GU437" s="2346">
        <v>17.239999999999998</v>
      </c>
      <c r="GV437" s="2346">
        <v>18.22</v>
      </c>
      <c r="GW437" s="2346">
        <v>19.2</v>
      </c>
      <c r="GX437" s="2346">
        <v>19.82</v>
      </c>
      <c r="GY437" s="2346">
        <v>21.1</v>
      </c>
      <c r="GZ437" s="2346">
        <v>22.39</v>
      </c>
      <c r="HA437" s="2346">
        <v>24.11</v>
      </c>
      <c r="HB437" s="2346">
        <v>26.13</v>
      </c>
      <c r="HC437" s="2346">
        <v>28.16</v>
      </c>
      <c r="HD437" s="2346">
        <v>30.18</v>
      </c>
      <c r="HE437" s="2346">
        <v>32.82</v>
      </c>
      <c r="HF437" s="2346">
        <v>36.01</v>
      </c>
      <c r="HG437" s="2346">
        <v>40.369999999999997</v>
      </c>
      <c r="HH437" s="2346">
        <v>47.36</v>
      </c>
      <c r="HI437" s="2346">
        <v>20.61</v>
      </c>
      <c r="HJ437" s="2347">
        <v>650</v>
      </c>
      <c r="HK437" s="2275"/>
      <c r="HL437" s="2276">
        <f>HLOOKUP(HL431,GI432:HI444,4,0)</f>
        <v>3.93</v>
      </c>
      <c r="HM437" s="2276">
        <f t="shared" si="345"/>
        <v>7.55</v>
      </c>
      <c r="HN437" s="2275">
        <v>550</v>
      </c>
      <c r="HO437" s="2275"/>
      <c r="HP437" s="2275"/>
      <c r="HQ437" s="2275"/>
      <c r="HR437" s="2275"/>
      <c r="HS437" s="2275"/>
      <c r="HT437" s="2275"/>
      <c r="HU437" s="2250"/>
      <c r="HV437" s="2250"/>
      <c r="HW437" s="2250"/>
      <c r="HX437" s="2250"/>
      <c r="HY437" s="2250"/>
      <c r="HZ437" s="2250"/>
      <c r="IA437" s="2250"/>
      <c r="IB437" s="2250"/>
      <c r="IC437" s="2250"/>
      <c r="ID437" s="2250"/>
      <c r="IE437" s="2250"/>
      <c r="IF437" s="2250"/>
      <c r="IG437" s="2250"/>
      <c r="IH437" s="2250"/>
      <c r="II437" s="2250"/>
      <c r="IJ437" s="2250"/>
      <c r="IK437" s="2250"/>
      <c r="IL437" s="53"/>
      <c r="IM437" s="53"/>
    </row>
    <row r="438" spans="2:247" ht="21.95" customHeight="1">
      <c r="B438" s="4671"/>
      <c r="C438" s="2345">
        <v>775</v>
      </c>
      <c r="D438" s="2346">
        <v>11.9</v>
      </c>
      <c r="E438" s="2346">
        <v>13.44</v>
      </c>
      <c r="F438" s="2346">
        <v>14.72</v>
      </c>
      <c r="G438" s="2346">
        <v>15.83</v>
      </c>
      <c r="H438" s="2346">
        <v>16.809999999999999</v>
      </c>
      <c r="I438" s="2346">
        <v>16.93</v>
      </c>
      <c r="J438" s="2346">
        <v>18.28</v>
      </c>
      <c r="K438" s="2346">
        <v>19.57</v>
      </c>
      <c r="L438" s="2346">
        <v>20.74</v>
      </c>
      <c r="M438" s="2346">
        <v>22.09</v>
      </c>
      <c r="N438" s="2346">
        <v>24.42</v>
      </c>
      <c r="O438" s="2346">
        <v>26.26</v>
      </c>
      <c r="P438" s="2346">
        <v>27.55</v>
      </c>
      <c r="Q438" s="2346">
        <v>28.96</v>
      </c>
      <c r="R438" s="2346">
        <v>29.82</v>
      </c>
      <c r="S438" s="2346">
        <v>31.53</v>
      </c>
      <c r="T438" s="2346">
        <v>33.5</v>
      </c>
      <c r="U438" s="2346">
        <v>36.32</v>
      </c>
      <c r="V438" s="2346">
        <v>38.71</v>
      </c>
      <c r="W438" s="2346">
        <v>41.41</v>
      </c>
      <c r="X438" s="2346">
        <v>44.17</v>
      </c>
      <c r="Y438" s="2346">
        <v>48.77</v>
      </c>
      <c r="Z438" s="2346">
        <v>53.31</v>
      </c>
      <c r="AA438" s="2346">
        <v>59.08</v>
      </c>
      <c r="AB438" s="2346">
        <v>66.319999999999993</v>
      </c>
      <c r="AC438" s="2346">
        <v>75.89</v>
      </c>
      <c r="AD438" s="2346">
        <v>81.47</v>
      </c>
      <c r="AE438" s="2347">
        <v>775</v>
      </c>
      <c r="AF438" s="2275"/>
      <c r="AG438" s="2276">
        <f>HLOOKUP(AG431,D432:AD444,5,0)</f>
        <v>5.34</v>
      </c>
      <c r="AH438" s="2276">
        <f t="shared" si="342"/>
        <v>9.26</v>
      </c>
      <c r="AI438" s="2275">
        <v>650</v>
      </c>
      <c r="AJ438" s="2275"/>
      <c r="AK438" s="2275"/>
      <c r="AL438" s="2275"/>
      <c r="AM438" s="2275"/>
      <c r="AN438" s="2275"/>
      <c r="AO438" s="2275"/>
      <c r="AP438" s="2250"/>
      <c r="AQ438" s="2250"/>
      <c r="AR438" s="2250"/>
      <c r="AS438" s="2250"/>
      <c r="AT438" s="2250"/>
      <c r="AU438" s="2250"/>
      <c r="AV438" s="2250"/>
      <c r="AW438" s="2250"/>
      <c r="AX438" s="2250"/>
      <c r="AY438" s="2250"/>
      <c r="AZ438" s="2250"/>
      <c r="BA438" s="2250"/>
      <c r="BB438" s="2250"/>
      <c r="BC438" s="2250"/>
      <c r="BD438" s="2250"/>
      <c r="BE438" s="2250"/>
      <c r="BF438" s="2276"/>
      <c r="BG438" s="2276"/>
      <c r="BH438" s="2250"/>
      <c r="BI438" s="2275"/>
      <c r="BJ438" s="4671"/>
      <c r="BK438" s="2345">
        <v>775</v>
      </c>
      <c r="BL438" s="2346">
        <v>11.9</v>
      </c>
      <c r="BM438" s="2346">
        <v>13.44</v>
      </c>
      <c r="BN438" s="2346">
        <v>14.72</v>
      </c>
      <c r="BO438" s="2346">
        <v>15.83</v>
      </c>
      <c r="BP438" s="2346">
        <v>16.809999999999999</v>
      </c>
      <c r="BQ438" s="2346">
        <v>16.93</v>
      </c>
      <c r="BR438" s="2346">
        <v>18.28</v>
      </c>
      <c r="BS438" s="2346">
        <v>19.57</v>
      </c>
      <c r="BT438" s="2346">
        <v>20.74</v>
      </c>
      <c r="BU438" s="2346">
        <v>22.09</v>
      </c>
      <c r="BV438" s="2346">
        <v>24.42</v>
      </c>
      <c r="BW438" s="2346">
        <v>26.26</v>
      </c>
      <c r="BX438" s="2346">
        <v>27.55</v>
      </c>
      <c r="BY438" s="2346">
        <v>28.96</v>
      </c>
      <c r="BZ438" s="2346">
        <v>29.82</v>
      </c>
      <c r="CA438" s="2346">
        <v>31.53</v>
      </c>
      <c r="CB438" s="2346">
        <v>33.5</v>
      </c>
      <c r="CC438" s="2346">
        <v>36.32</v>
      </c>
      <c r="CD438" s="2346">
        <v>38.71</v>
      </c>
      <c r="CE438" s="2346">
        <v>41.41</v>
      </c>
      <c r="CF438" s="2346">
        <v>44.17</v>
      </c>
      <c r="CG438" s="2346">
        <v>48.77</v>
      </c>
      <c r="CH438" s="2346">
        <v>53.31</v>
      </c>
      <c r="CI438" s="2346">
        <v>59.08</v>
      </c>
      <c r="CJ438" s="2346">
        <v>66.319999999999993</v>
      </c>
      <c r="CK438" s="2346">
        <v>75.89</v>
      </c>
      <c r="CL438" s="2346">
        <v>81.47</v>
      </c>
      <c r="CM438" s="2347">
        <v>775</v>
      </c>
      <c r="CN438" s="2275"/>
      <c r="CO438" s="2276">
        <f>HLOOKUP(CO431,BL432:CL444,5,0)</f>
        <v>4.97</v>
      </c>
      <c r="CP438" s="2276">
        <f t="shared" si="343"/>
        <v>8.59</v>
      </c>
      <c r="CQ438" s="2275">
        <v>650</v>
      </c>
      <c r="CR438" s="2275"/>
      <c r="CS438" s="2275"/>
      <c r="CT438" s="2275"/>
      <c r="CU438" s="2275"/>
      <c r="CV438" s="2275"/>
      <c r="CW438" s="2275"/>
      <c r="CX438" s="2250"/>
      <c r="CY438" s="2250"/>
      <c r="CZ438" s="2250"/>
      <c r="DA438" s="2250"/>
      <c r="DB438" s="2250"/>
      <c r="DC438" s="2250"/>
      <c r="DD438" s="2250"/>
      <c r="DE438" s="2250"/>
      <c r="DF438" s="2250"/>
      <c r="DG438" s="2250"/>
      <c r="DH438" s="2250"/>
      <c r="DI438" s="2250"/>
      <c r="DJ438" s="2250"/>
      <c r="DK438" s="2250"/>
      <c r="DL438" s="2250"/>
      <c r="DM438" s="2250"/>
      <c r="DN438" s="2250"/>
      <c r="DO438" s="53"/>
      <c r="DP438" s="53"/>
      <c r="DY438" s="4671"/>
      <c r="DZ438" s="2345">
        <v>775</v>
      </c>
      <c r="EA438" s="2346">
        <v>11.9</v>
      </c>
      <c r="EB438" s="2346">
        <v>13.44</v>
      </c>
      <c r="EC438" s="2346">
        <v>14.72</v>
      </c>
      <c r="ED438" s="2346">
        <v>15.83</v>
      </c>
      <c r="EE438" s="2346">
        <v>16.809999999999999</v>
      </c>
      <c r="EF438" s="2346">
        <v>16.93</v>
      </c>
      <c r="EG438" s="2346">
        <v>18.28</v>
      </c>
      <c r="EH438" s="2346">
        <v>19.57</v>
      </c>
      <c r="EI438" s="2346">
        <v>20.74</v>
      </c>
      <c r="EJ438" s="2346">
        <v>22.09</v>
      </c>
      <c r="EK438" s="2346">
        <v>24.42</v>
      </c>
      <c r="EL438" s="2346">
        <v>26.26</v>
      </c>
      <c r="EM438" s="2346">
        <v>27.55</v>
      </c>
      <c r="EN438" s="2346">
        <v>28.96</v>
      </c>
      <c r="EO438" s="2346">
        <v>29.82</v>
      </c>
      <c r="EP438" s="2346">
        <v>31.53</v>
      </c>
      <c r="EQ438" s="2346">
        <v>33.5</v>
      </c>
      <c r="ER438" s="2346">
        <v>36.32</v>
      </c>
      <c r="ES438" s="2346">
        <v>38.71</v>
      </c>
      <c r="ET438" s="2346">
        <v>41.41</v>
      </c>
      <c r="EU438" s="2346">
        <v>44.17</v>
      </c>
      <c r="EV438" s="2346">
        <v>48.77</v>
      </c>
      <c r="EW438" s="2346">
        <v>53.31</v>
      </c>
      <c r="EX438" s="2346">
        <v>59.08</v>
      </c>
      <c r="EY438" s="2346">
        <v>66.319999999999993</v>
      </c>
      <c r="EZ438" s="2346">
        <v>75.89</v>
      </c>
      <c r="FA438" s="2346">
        <v>81.47</v>
      </c>
      <c r="FB438" s="2347">
        <v>775</v>
      </c>
      <c r="FC438" s="2275"/>
      <c r="FD438" s="2276">
        <f>HLOOKUP(FD431,EA432:FA444,5,0)</f>
        <v>8.0399999999999991</v>
      </c>
      <c r="FE438" s="2276">
        <f t="shared" si="344"/>
        <v>13.93</v>
      </c>
      <c r="FF438" s="2275">
        <v>650</v>
      </c>
      <c r="FG438" s="2275"/>
      <c r="FH438" s="2275"/>
      <c r="FI438" s="2275"/>
      <c r="FJ438" s="2275"/>
      <c r="FK438" s="2275"/>
      <c r="FL438" s="2275"/>
      <c r="FM438" s="2250"/>
      <c r="FN438" s="2250"/>
      <c r="FO438" s="2250"/>
      <c r="FP438" s="2250"/>
      <c r="FQ438" s="2250"/>
      <c r="FR438" s="2250"/>
      <c r="FS438" s="2250"/>
      <c r="FT438" s="2250"/>
      <c r="FU438" s="2250"/>
      <c r="FV438" s="2250"/>
      <c r="FW438" s="2250"/>
      <c r="FX438" s="2250"/>
      <c r="FY438" s="2250"/>
      <c r="FZ438" s="2250"/>
      <c r="GA438" s="2250"/>
      <c r="GB438" s="2250"/>
      <c r="GC438" s="2276"/>
      <c r="GD438" s="2276"/>
      <c r="GE438" s="2250"/>
      <c r="GF438" s="2275"/>
      <c r="GG438" s="4671"/>
      <c r="GH438" s="2345">
        <v>775</v>
      </c>
      <c r="GI438" s="2346">
        <v>11.9</v>
      </c>
      <c r="GJ438" s="2346">
        <v>13.44</v>
      </c>
      <c r="GK438" s="2346">
        <v>14.72</v>
      </c>
      <c r="GL438" s="2346">
        <v>15.83</v>
      </c>
      <c r="GM438" s="2346">
        <v>16.809999999999999</v>
      </c>
      <c r="GN438" s="2346">
        <v>16.93</v>
      </c>
      <c r="GO438" s="2346">
        <v>18.28</v>
      </c>
      <c r="GP438" s="2346">
        <v>19.57</v>
      </c>
      <c r="GQ438" s="2346">
        <v>20.74</v>
      </c>
      <c r="GR438" s="2346">
        <v>22.09</v>
      </c>
      <c r="GS438" s="2346">
        <v>24.42</v>
      </c>
      <c r="GT438" s="2346">
        <v>26.26</v>
      </c>
      <c r="GU438" s="2346">
        <v>27.55</v>
      </c>
      <c r="GV438" s="2346">
        <v>28.96</v>
      </c>
      <c r="GW438" s="2346">
        <v>29.82</v>
      </c>
      <c r="GX438" s="2346">
        <v>31.53</v>
      </c>
      <c r="GY438" s="2346">
        <v>33.5</v>
      </c>
      <c r="GZ438" s="2346">
        <v>36.32</v>
      </c>
      <c r="HA438" s="2346">
        <v>38.71</v>
      </c>
      <c r="HB438" s="2346">
        <v>41.41</v>
      </c>
      <c r="HC438" s="2346">
        <v>44.17</v>
      </c>
      <c r="HD438" s="2346">
        <v>48.77</v>
      </c>
      <c r="HE438" s="2346">
        <v>53.31</v>
      </c>
      <c r="HF438" s="2346">
        <v>59.08</v>
      </c>
      <c r="HG438" s="2346">
        <v>66.319999999999993</v>
      </c>
      <c r="HH438" s="2346">
        <v>75.89</v>
      </c>
      <c r="HI438" s="2346">
        <v>81.47</v>
      </c>
      <c r="HJ438" s="2347">
        <v>775</v>
      </c>
      <c r="HK438" s="2275"/>
      <c r="HL438" s="2276">
        <f>HLOOKUP(HL431,GI432:HI444,5,0)</f>
        <v>7.55</v>
      </c>
      <c r="HM438" s="2276">
        <f t="shared" si="345"/>
        <v>13.07</v>
      </c>
      <c r="HN438" s="2275">
        <v>650</v>
      </c>
      <c r="HO438" s="2275"/>
      <c r="HP438" s="2275"/>
      <c r="HQ438" s="2275"/>
      <c r="HR438" s="2275"/>
      <c r="HS438" s="2275"/>
      <c r="HT438" s="2275"/>
      <c r="HU438" s="2250"/>
      <c r="HV438" s="2250"/>
      <c r="HW438" s="2250"/>
      <c r="HX438" s="2250"/>
      <c r="HY438" s="2250"/>
      <c r="HZ438" s="2250"/>
      <c r="IA438" s="2250"/>
      <c r="IB438" s="2250"/>
      <c r="IC438" s="2250"/>
      <c r="ID438" s="2250"/>
      <c r="IE438" s="2250"/>
      <c r="IF438" s="2250"/>
      <c r="IG438" s="2250"/>
      <c r="IH438" s="2250"/>
      <c r="II438" s="2250"/>
      <c r="IJ438" s="2250"/>
      <c r="IK438" s="2250"/>
      <c r="IL438" s="53"/>
      <c r="IM438" s="53"/>
    </row>
    <row r="439" spans="2:247" ht="21.95" customHeight="1">
      <c r="B439" s="4671"/>
      <c r="C439" s="2345">
        <v>825</v>
      </c>
      <c r="D439" s="2346">
        <v>17.36</v>
      </c>
      <c r="E439" s="2346">
        <v>19.02</v>
      </c>
      <c r="F439" s="2346">
        <v>20.86</v>
      </c>
      <c r="G439" s="2346">
        <v>20.86</v>
      </c>
      <c r="H439" s="2346">
        <v>23.19</v>
      </c>
      <c r="I439" s="2346">
        <v>23.62</v>
      </c>
      <c r="J439" s="2346">
        <v>26.01</v>
      </c>
      <c r="K439" s="2346">
        <v>27.73</v>
      </c>
      <c r="L439" s="2346">
        <v>29.39</v>
      </c>
      <c r="M439" s="2346">
        <v>30.98</v>
      </c>
      <c r="N439" s="2346">
        <v>32.880000000000003</v>
      </c>
      <c r="O439" s="2346">
        <v>36.93</v>
      </c>
      <c r="P439" s="2346">
        <v>38.770000000000003</v>
      </c>
      <c r="Q439" s="2346">
        <v>39.26</v>
      </c>
      <c r="R439" s="2346">
        <v>40.799999999999997</v>
      </c>
      <c r="S439" s="2346">
        <v>44.66</v>
      </c>
      <c r="T439" s="2346">
        <v>44.91</v>
      </c>
      <c r="U439" s="2346">
        <v>49.69</v>
      </c>
      <c r="V439" s="2346">
        <v>52.58</v>
      </c>
      <c r="W439" s="2346">
        <v>55.34</v>
      </c>
      <c r="X439" s="2346">
        <v>59.88</v>
      </c>
      <c r="Y439" s="2346">
        <v>64.72</v>
      </c>
      <c r="Z439" s="2346">
        <v>71.099999999999994</v>
      </c>
      <c r="AA439" s="2346">
        <v>72.7</v>
      </c>
      <c r="AB439" s="2346">
        <v>79.510000000000005</v>
      </c>
      <c r="AC439" s="2346">
        <v>81.47</v>
      </c>
      <c r="AD439" s="2346">
        <v>81.47</v>
      </c>
      <c r="AE439" s="2347">
        <v>825</v>
      </c>
      <c r="AF439" s="2275"/>
      <c r="AG439" s="2276">
        <f>HLOOKUP(AG431,D432:AD444,6,0)</f>
        <v>9.26</v>
      </c>
      <c r="AH439" s="2276">
        <f t="shared" si="342"/>
        <v>14.72</v>
      </c>
      <c r="AI439" s="2275">
        <v>775</v>
      </c>
      <c r="AJ439" s="2275"/>
      <c r="AK439" s="2275"/>
      <c r="AL439" s="2275"/>
      <c r="AM439" s="2275"/>
      <c r="AN439" s="2275"/>
      <c r="AO439" s="2275"/>
      <c r="AP439" s="2250"/>
      <c r="AQ439" s="2250"/>
      <c r="AR439" s="2250"/>
      <c r="AS439" s="2250"/>
      <c r="AT439" s="2250"/>
      <c r="AU439" s="2250"/>
      <c r="AV439" s="2250"/>
      <c r="AW439" s="2250"/>
      <c r="AX439" s="2250"/>
      <c r="AY439" s="2250"/>
      <c r="AZ439" s="2250"/>
      <c r="BA439" s="2250"/>
      <c r="BB439" s="2250"/>
      <c r="BC439" s="2250"/>
      <c r="BD439" s="2250"/>
      <c r="BE439" s="2250"/>
      <c r="BF439" s="2276"/>
      <c r="BG439" s="2276"/>
      <c r="BH439" s="2250"/>
      <c r="BI439" s="2275"/>
      <c r="BJ439" s="4671"/>
      <c r="BK439" s="2345">
        <v>825</v>
      </c>
      <c r="BL439" s="2346">
        <v>17.36</v>
      </c>
      <c r="BM439" s="2346">
        <v>19.02</v>
      </c>
      <c r="BN439" s="2346">
        <v>20.86</v>
      </c>
      <c r="BO439" s="2346">
        <v>20.86</v>
      </c>
      <c r="BP439" s="2346">
        <v>23.19</v>
      </c>
      <c r="BQ439" s="2346">
        <v>23.62</v>
      </c>
      <c r="BR439" s="2346">
        <v>26.01</v>
      </c>
      <c r="BS439" s="2346">
        <v>27.73</v>
      </c>
      <c r="BT439" s="2346">
        <v>29.39</v>
      </c>
      <c r="BU439" s="2346">
        <v>30.98</v>
      </c>
      <c r="BV439" s="2346">
        <v>32.880000000000003</v>
      </c>
      <c r="BW439" s="2346">
        <v>36.93</v>
      </c>
      <c r="BX439" s="2346">
        <v>38.770000000000003</v>
      </c>
      <c r="BY439" s="2346">
        <v>39.26</v>
      </c>
      <c r="BZ439" s="2346">
        <v>40.799999999999997</v>
      </c>
      <c r="CA439" s="2346">
        <v>44.66</v>
      </c>
      <c r="CB439" s="2346">
        <v>44.91</v>
      </c>
      <c r="CC439" s="2346">
        <v>49.69</v>
      </c>
      <c r="CD439" s="2346">
        <v>52.58</v>
      </c>
      <c r="CE439" s="2346">
        <v>55.34</v>
      </c>
      <c r="CF439" s="2346">
        <v>59.88</v>
      </c>
      <c r="CG439" s="2346">
        <v>64.72</v>
      </c>
      <c r="CH439" s="2346">
        <v>71.099999999999994</v>
      </c>
      <c r="CI439" s="2346">
        <v>72.7</v>
      </c>
      <c r="CJ439" s="2346">
        <v>79.510000000000005</v>
      </c>
      <c r="CK439" s="2346">
        <v>81.47</v>
      </c>
      <c r="CL439" s="2346">
        <v>81.47</v>
      </c>
      <c r="CM439" s="2347">
        <v>825</v>
      </c>
      <c r="CN439" s="2275"/>
      <c r="CO439" s="2276">
        <f>HLOOKUP(CO431,BL432:CL444,6,0)</f>
        <v>8.59</v>
      </c>
      <c r="CP439" s="2276">
        <f t="shared" si="343"/>
        <v>13.44</v>
      </c>
      <c r="CQ439" s="2275">
        <v>775</v>
      </c>
      <c r="CR439" s="2275"/>
      <c r="CS439" s="2275"/>
      <c r="CT439" s="2275"/>
      <c r="CU439" s="2275"/>
      <c r="CV439" s="2275"/>
      <c r="CW439" s="2275"/>
      <c r="CX439" s="2250"/>
      <c r="CY439" s="2250"/>
      <c r="CZ439" s="2250"/>
      <c r="DA439" s="2250"/>
      <c r="DB439" s="2250"/>
      <c r="DC439" s="2250"/>
      <c r="DD439" s="2250"/>
      <c r="DE439" s="2250"/>
      <c r="DF439" s="2250"/>
      <c r="DG439" s="2250"/>
      <c r="DH439" s="2250"/>
      <c r="DI439" s="2250"/>
      <c r="DJ439" s="2250"/>
      <c r="DK439" s="2250"/>
      <c r="DL439" s="2250"/>
      <c r="DM439" s="2250"/>
      <c r="DN439" s="2250"/>
      <c r="DO439" s="53"/>
      <c r="DP439" s="53"/>
      <c r="DY439" s="4671"/>
      <c r="DZ439" s="2345">
        <v>825</v>
      </c>
      <c r="EA439" s="2346">
        <v>17.36</v>
      </c>
      <c r="EB439" s="2346">
        <v>19.02</v>
      </c>
      <c r="EC439" s="2346">
        <v>20.86</v>
      </c>
      <c r="ED439" s="2346">
        <v>20.86</v>
      </c>
      <c r="EE439" s="2346">
        <v>23.19</v>
      </c>
      <c r="EF439" s="2346">
        <v>23.62</v>
      </c>
      <c r="EG439" s="2346">
        <v>26.01</v>
      </c>
      <c r="EH439" s="2346">
        <v>27.73</v>
      </c>
      <c r="EI439" s="2346">
        <v>29.39</v>
      </c>
      <c r="EJ439" s="2346">
        <v>30.98</v>
      </c>
      <c r="EK439" s="2346">
        <v>32.880000000000003</v>
      </c>
      <c r="EL439" s="2346">
        <v>36.93</v>
      </c>
      <c r="EM439" s="2346">
        <v>38.770000000000003</v>
      </c>
      <c r="EN439" s="2346">
        <v>39.26</v>
      </c>
      <c r="EO439" s="2346">
        <v>40.799999999999997</v>
      </c>
      <c r="EP439" s="2346">
        <v>44.66</v>
      </c>
      <c r="EQ439" s="2346">
        <v>44.91</v>
      </c>
      <c r="ER439" s="2346">
        <v>49.69</v>
      </c>
      <c r="ES439" s="2346">
        <v>52.58</v>
      </c>
      <c r="ET439" s="2346">
        <v>55.34</v>
      </c>
      <c r="EU439" s="2346">
        <v>59.88</v>
      </c>
      <c r="EV439" s="2346">
        <v>64.72</v>
      </c>
      <c r="EW439" s="2346">
        <v>71.099999999999994</v>
      </c>
      <c r="EX439" s="2346">
        <v>72.7</v>
      </c>
      <c r="EY439" s="2346">
        <v>79.510000000000005</v>
      </c>
      <c r="EZ439" s="2346">
        <v>81.47</v>
      </c>
      <c r="FA439" s="2346">
        <v>81.47</v>
      </c>
      <c r="FB439" s="2347">
        <v>825</v>
      </c>
      <c r="FC439" s="2275"/>
      <c r="FD439" s="2276">
        <f>HLOOKUP(FD431,EA432:FA444,6,0)</f>
        <v>13.93</v>
      </c>
      <c r="FE439" s="2276">
        <f t="shared" si="344"/>
        <v>22.09</v>
      </c>
      <c r="FF439" s="2275">
        <v>775</v>
      </c>
      <c r="FG439" s="2275"/>
      <c r="FH439" s="2275"/>
      <c r="FI439" s="2275"/>
      <c r="FJ439" s="2275"/>
      <c r="FK439" s="2275"/>
      <c r="FL439" s="2275"/>
      <c r="FM439" s="2250"/>
      <c r="FN439" s="2250"/>
      <c r="FO439" s="2250"/>
      <c r="FP439" s="2250"/>
      <c r="FQ439" s="2250"/>
      <c r="FR439" s="2250"/>
      <c r="FS439" s="2250"/>
      <c r="FT439" s="2250"/>
      <c r="FU439" s="2250"/>
      <c r="FV439" s="2250"/>
      <c r="FW439" s="2250"/>
      <c r="FX439" s="2250"/>
      <c r="FY439" s="2250"/>
      <c r="FZ439" s="2250"/>
      <c r="GA439" s="2250"/>
      <c r="GB439" s="2250"/>
      <c r="GC439" s="2276"/>
      <c r="GD439" s="2276"/>
      <c r="GE439" s="2250"/>
      <c r="GF439" s="2275"/>
      <c r="GG439" s="4671"/>
      <c r="GH439" s="2345">
        <v>825</v>
      </c>
      <c r="GI439" s="2346">
        <v>17.36</v>
      </c>
      <c r="GJ439" s="2346">
        <v>19.02</v>
      </c>
      <c r="GK439" s="2346">
        <v>20.86</v>
      </c>
      <c r="GL439" s="2346">
        <v>20.86</v>
      </c>
      <c r="GM439" s="2346">
        <v>23.19</v>
      </c>
      <c r="GN439" s="2346">
        <v>23.62</v>
      </c>
      <c r="GO439" s="2346">
        <v>26.01</v>
      </c>
      <c r="GP439" s="2346">
        <v>27.73</v>
      </c>
      <c r="GQ439" s="2346">
        <v>29.39</v>
      </c>
      <c r="GR439" s="2346">
        <v>30.98</v>
      </c>
      <c r="GS439" s="2346">
        <v>32.880000000000003</v>
      </c>
      <c r="GT439" s="2346">
        <v>36.93</v>
      </c>
      <c r="GU439" s="2346">
        <v>38.770000000000003</v>
      </c>
      <c r="GV439" s="2346">
        <v>39.26</v>
      </c>
      <c r="GW439" s="2346">
        <v>40.799999999999997</v>
      </c>
      <c r="GX439" s="2346">
        <v>44.66</v>
      </c>
      <c r="GY439" s="2346">
        <v>44.91</v>
      </c>
      <c r="GZ439" s="2346">
        <v>49.69</v>
      </c>
      <c r="HA439" s="2346">
        <v>52.58</v>
      </c>
      <c r="HB439" s="2346">
        <v>55.34</v>
      </c>
      <c r="HC439" s="2346">
        <v>59.88</v>
      </c>
      <c r="HD439" s="2346">
        <v>64.72</v>
      </c>
      <c r="HE439" s="2346">
        <v>71.099999999999994</v>
      </c>
      <c r="HF439" s="2346">
        <v>72.7</v>
      </c>
      <c r="HG439" s="2346">
        <v>79.510000000000005</v>
      </c>
      <c r="HH439" s="2346">
        <v>81.47</v>
      </c>
      <c r="HI439" s="2346">
        <v>81.47</v>
      </c>
      <c r="HJ439" s="2347">
        <v>825</v>
      </c>
      <c r="HK439" s="2275"/>
      <c r="HL439" s="2276">
        <f>HLOOKUP(HL431,GI432:HI444,6,0)</f>
        <v>13.07</v>
      </c>
      <c r="HM439" s="2276">
        <f t="shared" si="345"/>
        <v>20.74</v>
      </c>
      <c r="HN439" s="2275">
        <v>775</v>
      </c>
      <c r="HO439" s="2275"/>
      <c r="HP439" s="2275"/>
      <c r="HQ439" s="2275"/>
      <c r="HR439" s="2275"/>
      <c r="HS439" s="2275"/>
      <c r="HT439" s="2275"/>
      <c r="HU439" s="2250"/>
      <c r="HV439" s="2250"/>
      <c r="HW439" s="2250"/>
      <c r="HX439" s="2250"/>
      <c r="HY439" s="2250"/>
      <c r="HZ439" s="2250"/>
      <c r="IA439" s="2250"/>
      <c r="IB439" s="2250"/>
      <c r="IC439" s="2250"/>
      <c r="ID439" s="2250"/>
      <c r="IE439" s="2250"/>
      <c r="IF439" s="2250"/>
      <c r="IG439" s="2250"/>
      <c r="IH439" s="2250"/>
      <c r="II439" s="2250"/>
      <c r="IJ439" s="2250"/>
      <c r="IK439" s="2250"/>
      <c r="IL439" s="53"/>
      <c r="IM439" s="53"/>
    </row>
    <row r="440" spans="2:247" ht="21.95" customHeight="1">
      <c r="B440" s="4671"/>
      <c r="C440" s="2345">
        <v>950</v>
      </c>
      <c r="D440" s="2346">
        <v>24.11</v>
      </c>
      <c r="E440" s="2346">
        <v>27.18</v>
      </c>
      <c r="F440" s="2346">
        <v>30.12</v>
      </c>
      <c r="G440" s="2346">
        <v>31.72</v>
      </c>
      <c r="H440" s="2346">
        <v>31.72</v>
      </c>
      <c r="I440" s="2346">
        <v>34.29</v>
      </c>
      <c r="J440" s="2346">
        <v>37.979999999999997</v>
      </c>
      <c r="K440" s="2346">
        <v>40.31</v>
      </c>
      <c r="L440" s="2346">
        <v>42.82</v>
      </c>
      <c r="M440" s="2346">
        <v>46.63</v>
      </c>
      <c r="N440" s="2346">
        <v>47.42</v>
      </c>
      <c r="O440" s="2346">
        <v>55.52</v>
      </c>
      <c r="P440" s="2346">
        <v>56.13</v>
      </c>
      <c r="Q440" s="2346">
        <v>56.26</v>
      </c>
      <c r="R440" s="2346">
        <v>59.08</v>
      </c>
      <c r="S440" s="2346">
        <v>64.48</v>
      </c>
      <c r="T440" s="2346">
        <v>69.39</v>
      </c>
      <c r="U440" s="2346">
        <v>73.010000000000005</v>
      </c>
      <c r="V440" s="2346">
        <v>75.95</v>
      </c>
      <c r="W440" s="2346">
        <v>83.56</v>
      </c>
      <c r="X440" s="2346">
        <v>90</v>
      </c>
      <c r="Y440" s="2346">
        <v>97.3</v>
      </c>
      <c r="Z440" s="2346">
        <v>105.15</v>
      </c>
      <c r="AA440" s="2346">
        <v>115.71</v>
      </c>
      <c r="AB440" s="2346">
        <v>121.6</v>
      </c>
      <c r="AC440" s="2346">
        <v>121.6</v>
      </c>
      <c r="AD440" s="2346">
        <v>121.6</v>
      </c>
      <c r="AE440" s="2347">
        <v>950</v>
      </c>
      <c r="AF440" s="2275"/>
      <c r="AG440" s="2276">
        <f>HLOOKUP(AG431,D432:AD444,7,0)</f>
        <v>14.72</v>
      </c>
      <c r="AH440" s="2276">
        <f t="shared" si="342"/>
        <v>20.86</v>
      </c>
      <c r="AI440" s="2275">
        <v>825</v>
      </c>
      <c r="AJ440" s="2275"/>
      <c r="AK440" s="2275"/>
      <c r="AL440" s="2275"/>
      <c r="AM440" s="2275"/>
      <c r="AN440" s="2275"/>
      <c r="AO440" s="2275"/>
      <c r="AP440" s="2250"/>
      <c r="AQ440" s="2250"/>
      <c r="AR440" s="2250"/>
      <c r="AS440" s="2250"/>
      <c r="AT440" s="2250"/>
      <c r="AU440" s="2250"/>
      <c r="AV440" s="2250"/>
      <c r="AW440" s="2250"/>
      <c r="AX440" s="2250"/>
      <c r="AY440" s="2250"/>
      <c r="AZ440" s="2250"/>
      <c r="BA440" s="2250"/>
      <c r="BB440" s="2250"/>
      <c r="BC440" s="2250"/>
      <c r="BD440" s="2250"/>
      <c r="BE440" s="2250"/>
      <c r="BF440" s="2276"/>
      <c r="BG440" s="2276"/>
      <c r="BH440" s="2250"/>
      <c r="BI440" s="2275"/>
      <c r="BJ440" s="4671"/>
      <c r="BK440" s="2345">
        <v>950</v>
      </c>
      <c r="BL440" s="2346">
        <v>24.11</v>
      </c>
      <c r="BM440" s="2346">
        <v>27.18</v>
      </c>
      <c r="BN440" s="2346">
        <v>30.12</v>
      </c>
      <c r="BO440" s="2346">
        <v>31.72</v>
      </c>
      <c r="BP440" s="2346">
        <v>31.72</v>
      </c>
      <c r="BQ440" s="2346">
        <v>34.29</v>
      </c>
      <c r="BR440" s="2346">
        <v>37.979999999999997</v>
      </c>
      <c r="BS440" s="2346">
        <v>40.31</v>
      </c>
      <c r="BT440" s="2346">
        <v>42.82</v>
      </c>
      <c r="BU440" s="2346">
        <v>46.63</v>
      </c>
      <c r="BV440" s="2346">
        <v>47.42</v>
      </c>
      <c r="BW440" s="2346">
        <v>55.52</v>
      </c>
      <c r="BX440" s="2346">
        <v>56.13</v>
      </c>
      <c r="BY440" s="2346">
        <v>56.26</v>
      </c>
      <c r="BZ440" s="2346">
        <v>59.08</v>
      </c>
      <c r="CA440" s="2346">
        <v>64.48</v>
      </c>
      <c r="CB440" s="2346">
        <v>69.39</v>
      </c>
      <c r="CC440" s="2346">
        <v>73.010000000000005</v>
      </c>
      <c r="CD440" s="2346">
        <v>75.95</v>
      </c>
      <c r="CE440" s="2346">
        <v>83.56</v>
      </c>
      <c r="CF440" s="2346">
        <v>90</v>
      </c>
      <c r="CG440" s="2346">
        <v>97.3</v>
      </c>
      <c r="CH440" s="2346">
        <v>105.15</v>
      </c>
      <c r="CI440" s="2346">
        <v>115.71</v>
      </c>
      <c r="CJ440" s="2346">
        <v>121.6</v>
      </c>
      <c r="CK440" s="2346">
        <v>121.6</v>
      </c>
      <c r="CL440" s="2346">
        <v>121.6</v>
      </c>
      <c r="CM440" s="2347">
        <v>950</v>
      </c>
      <c r="CN440" s="2275"/>
      <c r="CO440" s="2276">
        <f>HLOOKUP(CO431,BL432:CL444,7,0)</f>
        <v>13.44</v>
      </c>
      <c r="CP440" s="2276">
        <f t="shared" si="343"/>
        <v>19.02</v>
      </c>
      <c r="CQ440" s="2275">
        <v>825</v>
      </c>
      <c r="CR440" s="2275"/>
      <c r="CS440" s="2275"/>
      <c r="CT440" s="2275"/>
      <c r="CU440" s="2275"/>
      <c r="CV440" s="2275"/>
      <c r="CW440" s="2275"/>
      <c r="CX440" s="2250"/>
      <c r="CY440" s="2250"/>
      <c r="CZ440" s="2250"/>
      <c r="DA440" s="2250"/>
      <c r="DB440" s="2250"/>
      <c r="DC440" s="2250"/>
      <c r="DD440" s="2250"/>
      <c r="DE440" s="2250"/>
      <c r="DF440" s="2250"/>
      <c r="DG440" s="2250"/>
      <c r="DH440" s="2250"/>
      <c r="DI440" s="2250"/>
      <c r="DJ440" s="2250"/>
      <c r="DK440" s="2250"/>
      <c r="DL440" s="2250"/>
      <c r="DM440" s="2250"/>
      <c r="DN440" s="2250"/>
      <c r="DO440" s="53"/>
      <c r="DP440" s="53"/>
      <c r="DY440" s="4671"/>
      <c r="DZ440" s="2345">
        <v>950</v>
      </c>
      <c r="EA440" s="2346">
        <v>24.11</v>
      </c>
      <c r="EB440" s="2346">
        <v>27.18</v>
      </c>
      <c r="EC440" s="2346">
        <v>30.12</v>
      </c>
      <c r="ED440" s="2346">
        <v>31.72</v>
      </c>
      <c r="EE440" s="2346">
        <v>31.72</v>
      </c>
      <c r="EF440" s="2346">
        <v>34.29</v>
      </c>
      <c r="EG440" s="2346">
        <v>37.979999999999997</v>
      </c>
      <c r="EH440" s="2346">
        <v>40.31</v>
      </c>
      <c r="EI440" s="2346">
        <v>42.82</v>
      </c>
      <c r="EJ440" s="2346">
        <v>46.63</v>
      </c>
      <c r="EK440" s="2346">
        <v>47.42</v>
      </c>
      <c r="EL440" s="2346">
        <v>55.52</v>
      </c>
      <c r="EM440" s="2346">
        <v>56.13</v>
      </c>
      <c r="EN440" s="2346">
        <v>56.26</v>
      </c>
      <c r="EO440" s="2346">
        <v>59.08</v>
      </c>
      <c r="EP440" s="2346">
        <v>64.48</v>
      </c>
      <c r="EQ440" s="2346">
        <v>69.39</v>
      </c>
      <c r="ER440" s="2346">
        <v>73.010000000000005</v>
      </c>
      <c r="ES440" s="2346">
        <v>75.95</v>
      </c>
      <c r="ET440" s="2346">
        <v>83.56</v>
      </c>
      <c r="EU440" s="2346">
        <v>90</v>
      </c>
      <c r="EV440" s="2346">
        <v>97.3</v>
      </c>
      <c r="EW440" s="2346">
        <v>105.15</v>
      </c>
      <c r="EX440" s="2346">
        <v>115.71</v>
      </c>
      <c r="EY440" s="2346">
        <v>121.6</v>
      </c>
      <c r="EZ440" s="2346">
        <v>121.6</v>
      </c>
      <c r="FA440" s="2346">
        <v>121.6</v>
      </c>
      <c r="FB440" s="2347">
        <v>950</v>
      </c>
      <c r="FC440" s="2275"/>
      <c r="FD440" s="2276">
        <f>HLOOKUP(FD431,EA432:FA444,7,0)</f>
        <v>22.09</v>
      </c>
      <c r="FE440" s="2276">
        <f t="shared" si="344"/>
        <v>30.98</v>
      </c>
      <c r="FF440" s="2275">
        <v>825</v>
      </c>
      <c r="FG440" s="2275"/>
      <c r="FH440" s="2275"/>
      <c r="FI440" s="2275"/>
      <c r="FJ440" s="2275"/>
      <c r="FK440" s="2275"/>
      <c r="FL440" s="2275"/>
      <c r="FM440" s="2250"/>
      <c r="FN440" s="2250"/>
      <c r="FO440" s="2250"/>
      <c r="FP440" s="2250"/>
      <c r="FQ440" s="2250"/>
      <c r="FR440" s="2250"/>
      <c r="FS440" s="2250"/>
      <c r="FT440" s="2250"/>
      <c r="FU440" s="2250"/>
      <c r="FV440" s="2250"/>
      <c r="FW440" s="2250"/>
      <c r="FX440" s="2250"/>
      <c r="FY440" s="2250"/>
      <c r="FZ440" s="2250"/>
      <c r="GA440" s="2250"/>
      <c r="GB440" s="2250"/>
      <c r="GC440" s="2276"/>
      <c r="GD440" s="2276"/>
      <c r="GE440" s="2250"/>
      <c r="GF440" s="2275"/>
      <c r="GG440" s="4671"/>
      <c r="GH440" s="2345">
        <v>950</v>
      </c>
      <c r="GI440" s="2346">
        <v>24.11</v>
      </c>
      <c r="GJ440" s="2346">
        <v>27.18</v>
      </c>
      <c r="GK440" s="2346">
        <v>30.12</v>
      </c>
      <c r="GL440" s="2346">
        <v>31.72</v>
      </c>
      <c r="GM440" s="2346">
        <v>31.72</v>
      </c>
      <c r="GN440" s="2346">
        <v>34.29</v>
      </c>
      <c r="GO440" s="2346">
        <v>37.979999999999997</v>
      </c>
      <c r="GP440" s="2346">
        <v>40.31</v>
      </c>
      <c r="GQ440" s="2346">
        <v>42.82</v>
      </c>
      <c r="GR440" s="2346">
        <v>46.63</v>
      </c>
      <c r="GS440" s="2346">
        <v>47.42</v>
      </c>
      <c r="GT440" s="2346">
        <v>55.52</v>
      </c>
      <c r="GU440" s="2346">
        <v>56.13</v>
      </c>
      <c r="GV440" s="2346">
        <v>56.26</v>
      </c>
      <c r="GW440" s="2346">
        <v>59.08</v>
      </c>
      <c r="GX440" s="2346">
        <v>64.48</v>
      </c>
      <c r="GY440" s="2346">
        <v>69.39</v>
      </c>
      <c r="GZ440" s="2346">
        <v>73.010000000000005</v>
      </c>
      <c r="HA440" s="2346">
        <v>75.95</v>
      </c>
      <c r="HB440" s="2346">
        <v>83.56</v>
      </c>
      <c r="HC440" s="2346">
        <v>90</v>
      </c>
      <c r="HD440" s="2346">
        <v>97.3</v>
      </c>
      <c r="HE440" s="2346">
        <v>105.15</v>
      </c>
      <c r="HF440" s="2346">
        <v>115.71</v>
      </c>
      <c r="HG440" s="2346">
        <v>121.6</v>
      </c>
      <c r="HH440" s="2346">
        <v>121.6</v>
      </c>
      <c r="HI440" s="2346">
        <v>121.6</v>
      </c>
      <c r="HJ440" s="2347">
        <v>950</v>
      </c>
      <c r="HK440" s="2275"/>
      <c r="HL440" s="2276">
        <f>HLOOKUP(HL431,GI432:HI444,7,0)</f>
        <v>20.74</v>
      </c>
      <c r="HM440" s="2276">
        <f t="shared" si="345"/>
        <v>29.39</v>
      </c>
      <c r="HN440" s="2275">
        <v>825</v>
      </c>
      <c r="HO440" s="2275"/>
      <c r="HP440" s="2275"/>
      <c r="HQ440" s="2275"/>
      <c r="HR440" s="2275"/>
      <c r="HS440" s="2275"/>
      <c r="HT440" s="2275"/>
      <c r="HU440" s="2250"/>
      <c r="HV440" s="2250"/>
      <c r="HW440" s="2250"/>
      <c r="HX440" s="2250"/>
      <c r="HY440" s="2250"/>
      <c r="HZ440" s="2250"/>
      <c r="IA440" s="2250"/>
      <c r="IB440" s="2250"/>
      <c r="IC440" s="2250"/>
      <c r="ID440" s="2250"/>
      <c r="IE440" s="2250"/>
      <c r="IF440" s="2250"/>
      <c r="IG440" s="2250"/>
      <c r="IH440" s="2250"/>
      <c r="II440" s="2250"/>
      <c r="IJ440" s="2250"/>
      <c r="IK440" s="2250"/>
      <c r="IL440" s="53"/>
      <c r="IM440" s="53"/>
    </row>
    <row r="441" spans="2:247" ht="21.95" customHeight="1">
      <c r="B441" s="4671"/>
      <c r="C441" s="2345">
        <v>1100</v>
      </c>
      <c r="D441" s="2346">
        <v>32.39</v>
      </c>
      <c r="E441" s="2346">
        <v>36.5</v>
      </c>
      <c r="F441" s="2346">
        <v>40.43</v>
      </c>
      <c r="G441" s="2346">
        <v>47.85</v>
      </c>
      <c r="H441" s="2346">
        <v>48.71</v>
      </c>
      <c r="I441" s="2346">
        <v>46.01</v>
      </c>
      <c r="J441" s="2346">
        <v>50.98</v>
      </c>
      <c r="K441" s="2346">
        <v>55.89</v>
      </c>
      <c r="L441" s="2346">
        <v>59.39</v>
      </c>
      <c r="M441" s="2346">
        <v>62.88</v>
      </c>
      <c r="N441" s="2346">
        <v>71.099999999999994</v>
      </c>
      <c r="O441" s="2346">
        <v>76.069999999999993</v>
      </c>
      <c r="P441" s="2346">
        <v>80.31</v>
      </c>
      <c r="Q441" s="2346">
        <v>81.41</v>
      </c>
      <c r="R441" s="2346">
        <v>86.93</v>
      </c>
      <c r="S441" s="2346">
        <v>92.27</v>
      </c>
      <c r="T441" s="2346">
        <v>97.61</v>
      </c>
      <c r="U441" s="2346">
        <v>105.28</v>
      </c>
      <c r="V441" s="2346">
        <v>111.66</v>
      </c>
      <c r="W441" s="2346">
        <v>121.66</v>
      </c>
      <c r="X441" s="2346">
        <v>128.77000000000001</v>
      </c>
      <c r="Y441" s="2346">
        <v>141.84</v>
      </c>
      <c r="Z441" s="2346">
        <v>154.29</v>
      </c>
      <c r="AA441" s="2346">
        <v>172.33</v>
      </c>
      <c r="AB441" s="2346">
        <v>189.08</v>
      </c>
      <c r="AC441" s="2346">
        <v>220</v>
      </c>
      <c r="AD441" s="2346">
        <v>237.48</v>
      </c>
      <c r="AE441" s="2347">
        <v>1100</v>
      </c>
      <c r="AF441" s="2275"/>
      <c r="AG441" s="2276">
        <f>HLOOKUP(AG431,D432:AD444,8,0)</f>
        <v>20.86</v>
      </c>
      <c r="AH441" s="2276">
        <f t="shared" si="342"/>
        <v>30.12</v>
      </c>
      <c r="AI441" s="2275">
        <v>950</v>
      </c>
      <c r="AJ441" s="2275"/>
      <c r="AK441" s="2275"/>
      <c r="AL441" s="2275"/>
      <c r="AM441" s="2275"/>
      <c r="AN441" s="2275"/>
      <c r="AO441" s="2275"/>
      <c r="AP441" s="2250"/>
      <c r="AQ441" s="2250"/>
      <c r="AR441" s="2250"/>
      <c r="AS441" s="2250"/>
      <c r="AT441" s="2250"/>
      <c r="AU441" s="2250"/>
      <c r="AV441" s="2250"/>
      <c r="AW441" s="2250"/>
      <c r="AX441" s="2250"/>
      <c r="AY441" s="2250"/>
      <c r="AZ441" s="2250"/>
      <c r="BA441" s="2250"/>
      <c r="BB441" s="2250"/>
      <c r="BC441" s="2250"/>
      <c r="BD441" s="2250"/>
      <c r="BE441" s="2250"/>
      <c r="BF441" s="2276"/>
      <c r="BG441" s="2276"/>
      <c r="BH441" s="2250"/>
      <c r="BI441" s="2275"/>
      <c r="BJ441" s="4671"/>
      <c r="BK441" s="2345">
        <v>1100</v>
      </c>
      <c r="BL441" s="2346">
        <v>32.39</v>
      </c>
      <c r="BM441" s="2346">
        <v>36.5</v>
      </c>
      <c r="BN441" s="2346">
        <v>40.43</v>
      </c>
      <c r="BO441" s="2346">
        <v>47.85</v>
      </c>
      <c r="BP441" s="2346">
        <v>48.71</v>
      </c>
      <c r="BQ441" s="2346">
        <v>46.01</v>
      </c>
      <c r="BR441" s="2346">
        <v>50.98</v>
      </c>
      <c r="BS441" s="2346">
        <v>55.89</v>
      </c>
      <c r="BT441" s="2346">
        <v>59.39</v>
      </c>
      <c r="BU441" s="2346">
        <v>62.88</v>
      </c>
      <c r="BV441" s="2346">
        <v>71.099999999999994</v>
      </c>
      <c r="BW441" s="2346">
        <v>76.069999999999993</v>
      </c>
      <c r="BX441" s="2346">
        <v>80.31</v>
      </c>
      <c r="BY441" s="2346">
        <v>81.41</v>
      </c>
      <c r="BZ441" s="2346">
        <v>86.93</v>
      </c>
      <c r="CA441" s="2346">
        <v>92.27</v>
      </c>
      <c r="CB441" s="2346">
        <v>97.61</v>
      </c>
      <c r="CC441" s="2346">
        <v>105.28</v>
      </c>
      <c r="CD441" s="2346">
        <v>111.66</v>
      </c>
      <c r="CE441" s="2346">
        <v>121.66</v>
      </c>
      <c r="CF441" s="2346">
        <v>128.77000000000001</v>
      </c>
      <c r="CG441" s="2346">
        <v>141.84</v>
      </c>
      <c r="CH441" s="2346">
        <v>154.29</v>
      </c>
      <c r="CI441" s="2346">
        <v>172.33</v>
      </c>
      <c r="CJ441" s="2346">
        <v>189.08</v>
      </c>
      <c r="CK441" s="2346">
        <v>220</v>
      </c>
      <c r="CL441" s="2346">
        <v>237.48</v>
      </c>
      <c r="CM441" s="2347">
        <v>1100</v>
      </c>
      <c r="CN441" s="2275"/>
      <c r="CO441" s="2276">
        <f>HLOOKUP(CO431,BL432:CL444,8,0)</f>
        <v>19.02</v>
      </c>
      <c r="CP441" s="2276">
        <f t="shared" si="343"/>
        <v>27.18</v>
      </c>
      <c r="CQ441" s="2275">
        <v>950</v>
      </c>
      <c r="CR441" s="2275"/>
      <c r="CS441" s="2275"/>
      <c r="CT441" s="2275"/>
      <c r="CU441" s="2275"/>
      <c r="CV441" s="2275"/>
      <c r="CW441" s="2275"/>
      <c r="CX441" s="2250"/>
      <c r="CY441" s="2250"/>
      <c r="CZ441" s="2250"/>
      <c r="DA441" s="2250"/>
      <c r="DB441" s="2250"/>
      <c r="DC441" s="2250"/>
      <c r="DD441" s="2250"/>
      <c r="DE441" s="2250"/>
      <c r="DF441" s="2250"/>
      <c r="DG441" s="2250"/>
      <c r="DH441" s="2250"/>
      <c r="DI441" s="2250"/>
      <c r="DJ441" s="2250"/>
      <c r="DK441" s="2250"/>
      <c r="DL441" s="2250"/>
      <c r="DM441" s="2250"/>
      <c r="DN441" s="2250"/>
      <c r="DO441" s="53"/>
      <c r="DP441" s="53"/>
      <c r="DY441" s="4671"/>
      <c r="DZ441" s="2345">
        <v>1100</v>
      </c>
      <c r="EA441" s="2346">
        <v>32.39</v>
      </c>
      <c r="EB441" s="2346">
        <v>36.5</v>
      </c>
      <c r="EC441" s="2346">
        <v>40.43</v>
      </c>
      <c r="ED441" s="2346">
        <v>47.85</v>
      </c>
      <c r="EE441" s="2346">
        <v>48.71</v>
      </c>
      <c r="EF441" s="2346">
        <v>46.01</v>
      </c>
      <c r="EG441" s="2346">
        <v>50.98</v>
      </c>
      <c r="EH441" s="2346">
        <v>55.89</v>
      </c>
      <c r="EI441" s="2346">
        <v>59.39</v>
      </c>
      <c r="EJ441" s="2346">
        <v>62.88</v>
      </c>
      <c r="EK441" s="2346">
        <v>71.099999999999994</v>
      </c>
      <c r="EL441" s="2346">
        <v>76.069999999999993</v>
      </c>
      <c r="EM441" s="2346">
        <v>80.31</v>
      </c>
      <c r="EN441" s="2346">
        <v>81.41</v>
      </c>
      <c r="EO441" s="2346">
        <v>86.93</v>
      </c>
      <c r="EP441" s="2346">
        <v>92.27</v>
      </c>
      <c r="EQ441" s="2346">
        <v>97.61</v>
      </c>
      <c r="ER441" s="2346">
        <v>105.28</v>
      </c>
      <c r="ES441" s="2346">
        <v>111.66</v>
      </c>
      <c r="ET441" s="2346">
        <v>121.66</v>
      </c>
      <c r="EU441" s="2346">
        <v>128.77000000000001</v>
      </c>
      <c r="EV441" s="2346">
        <v>141.84</v>
      </c>
      <c r="EW441" s="2346">
        <v>154.29</v>
      </c>
      <c r="EX441" s="2346">
        <v>172.33</v>
      </c>
      <c r="EY441" s="2346">
        <v>189.08</v>
      </c>
      <c r="EZ441" s="2346">
        <v>220</v>
      </c>
      <c r="FA441" s="2346">
        <v>237.48</v>
      </c>
      <c r="FB441" s="2347">
        <v>1100</v>
      </c>
      <c r="FC441" s="2275"/>
      <c r="FD441" s="2276">
        <f>HLOOKUP(FD431,EA432:FA444,8,0)</f>
        <v>30.98</v>
      </c>
      <c r="FE441" s="2276">
        <f t="shared" si="344"/>
        <v>46.63</v>
      </c>
      <c r="FF441" s="2275">
        <v>950</v>
      </c>
      <c r="FG441" s="2275"/>
      <c r="FH441" s="2275"/>
      <c r="FI441" s="2275"/>
      <c r="FJ441" s="2275"/>
      <c r="FK441" s="2275"/>
      <c r="FL441" s="2275"/>
      <c r="FM441" s="2250"/>
      <c r="FN441" s="2250"/>
      <c r="FO441" s="2250"/>
      <c r="FP441" s="2250"/>
      <c r="FQ441" s="2250"/>
      <c r="FR441" s="2250"/>
      <c r="FS441" s="2250"/>
      <c r="FT441" s="2250"/>
      <c r="FU441" s="2250"/>
      <c r="FV441" s="2250"/>
      <c r="FW441" s="2250"/>
      <c r="FX441" s="2250"/>
      <c r="FY441" s="2250"/>
      <c r="FZ441" s="2250"/>
      <c r="GA441" s="2250"/>
      <c r="GB441" s="2250"/>
      <c r="GC441" s="2276"/>
      <c r="GD441" s="2276"/>
      <c r="GE441" s="2250"/>
      <c r="GF441" s="2275"/>
      <c r="GG441" s="4671"/>
      <c r="GH441" s="2345">
        <v>1100</v>
      </c>
      <c r="GI441" s="2346">
        <v>32.39</v>
      </c>
      <c r="GJ441" s="2346">
        <v>36.5</v>
      </c>
      <c r="GK441" s="2346">
        <v>40.43</v>
      </c>
      <c r="GL441" s="2346">
        <v>47.85</v>
      </c>
      <c r="GM441" s="2346">
        <v>48.71</v>
      </c>
      <c r="GN441" s="2346">
        <v>46.01</v>
      </c>
      <c r="GO441" s="2346">
        <v>50.98</v>
      </c>
      <c r="GP441" s="2346">
        <v>55.89</v>
      </c>
      <c r="GQ441" s="2346">
        <v>59.39</v>
      </c>
      <c r="GR441" s="2346">
        <v>62.88</v>
      </c>
      <c r="GS441" s="2346">
        <v>71.099999999999994</v>
      </c>
      <c r="GT441" s="2346">
        <v>76.069999999999993</v>
      </c>
      <c r="GU441" s="2346">
        <v>80.31</v>
      </c>
      <c r="GV441" s="2346">
        <v>81.41</v>
      </c>
      <c r="GW441" s="2346">
        <v>86.93</v>
      </c>
      <c r="GX441" s="2346">
        <v>92.27</v>
      </c>
      <c r="GY441" s="2346">
        <v>97.61</v>
      </c>
      <c r="GZ441" s="2346">
        <v>105.28</v>
      </c>
      <c r="HA441" s="2346">
        <v>111.66</v>
      </c>
      <c r="HB441" s="2346">
        <v>121.66</v>
      </c>
      <c r="HC441" s="2346">
        <v>128.77000000000001</v>
      </c>
      <c r="HD441" s="2346">
        <v>141.84</v>
      </c>
      <c r="HE441" s="2346">
        <v>154.29</v>
      </c>
      <c r="HF441" s="2346">
        <v>172.33</v>
      </c>
      <c r="HG441" s="2346">
        <v>189.08</v>
      </c>
      <c r="HH441" s="2346">
        <v>220</v>
      </c>
      <c r="HI441" s="2346">
        <v>237.48</v>
      </c>
      <c r="HJ441" s="2347">
        <v>1100</v>
      </c>
      <c r="HK441" s="2275"/>
      <c r="HL441" s="2276">
        <f>HLOOKUP(HL431,GI432:HI444,8,0)</f>
        <v>29.39</v>
      </c>
      <c r="HM441" s="2276">
        <f t="shared" si="345"/>
        <v>42.82</v>
      </c>
      <c r="HN441" s="2275">
        <v>950</v>
      </c>
      <c r="HO441" s="2275"/>
      <c r="HP441" s="2275"/>
      <c r="HQ441" s="2275"/>
      <c r="HR441" s="2275"/>
      <c r="HS441" s="2275"/>
      <c r="HT441" s="2275"/>
      <c r="HU441" s="2250"/>
      <c r="HV441" s="2250"/>
      <c r="HW441" s="2250"/>
      <c r="HX441" s="2250"/>
      <c r="HY441" s="2250"/>
      <c r="HZ441" s="2250"/>
      <c r="IA441" s="2250"/>
      <c r="IB441" s="2250"/>
      <c r="IC441" s="2250"/>
      <c r="ID441" s="2250"/>
      <c r="IE441" s="2250"/>
      <c r="IF441" s="2250"/>
      <c r="IG441" s="2250"/>
      <c r="IH441" s="2250"/>
      <c r="II441" s="2250"/>
      <c r="IJ441" s="2250"/>
      <c r="IK441" s="2250"/>
      <c r="IL441" s="53"/>
      <c r="IM441" s="53"/>
    </row>
    <row r="442" spans="2:247" ht="21.95" customHeight="1">
      <c r="B442" s="4671"/>
      <c r="C442" s="2345">
        <v>1250</v>
      </c>
      <c r="D442" s="2346">
        <v>47.55</v>
      </c>
      <c r="E442" s="2346">
        <v>53.62</v>
      </c>
      <c r="F442" s="2346">
        <v>58.34</v>
      </c>
      <c r="G442" s="2346">
        <v>62.58</v>
      </c>
      <c r="H442" s="2346">
        <v>66.5</v>
      </c>
      <c r="I442" s="2346">
        <v>67.55</v>
      </c>
      <c r="J442" s="2346">
        <v>72.33</v>
      </c>
      <c r="K442" s="2346">
        <v>77.42</v>
      </c>
      <c r="L442" s="2346">
        <v>82.15</v>
      </c>
      <c r="M442" s="2346">
        <v>87.48</v>
      </c>
      <c r="N442" s="2346">
        <v>96.75</v>
      </c>
      <c r="O442" s="2346">
        <v>104.48</v>
      </c>
      <c r="P442" s="2346">
        <v>109.14</v>
      </c>
      <c r="Q442" s="2346">
        <v>114.66</v>
      </c>
      <c r="R442" s="2346">
        <v>120.74</v>
      </c>
      <c r="S442" s="2346">
        <v>124.72</v>
      </c>
      <c r="T442" s="2346">
        <v>132.69999999999999</v>
      </c>
      <c r="U442" s="2346">
        <v>143.93</v>
      </c>
      <c r="V442" s="2346">
        <v>153.31</v>
      </c>
      <c r="W442" s="2346">
        <v>156.63</v>
      </c>
      <c r="X442" s="2346">
        <v>163.19</v>
      </c>
      <c r="Y442" s="2346">
        <v>183.13</v>
      </c>
      <c r="Z442" s="2346">
        <v>209.26</v>
      </c>
      <c r="AA442" s="2346">
        <v>230.67</v>
      </c>
      <c r="AB442" s="2346">
        <v>237.48</v>
      </c>
      <c r="AC442" s="2346">
        <v>237.48</v>
      </c>
      <c r="AD442" s="2346">
        <v>237.48</v>
      </c>
      <c r="AE442" s="2347">
        <v>1250</v>
      </c>
      <c r="AF442" s="2275"/>
      <c r="AG442" s="2276">
        <f>HLOOKUP(AG431,D432:AD444,9,0)</f>
        <v>30.12</v>
      </c>
      <c r="AH442" s="2276">
        <f t="shared" si="342"/>
        <v>40.43</v>
      </c>
      <c r="AI442" s="2275">
        <v>1100</v>
      </c>
      <c r="AJ442" s="2275"/>
      <c r="AK442" s="2275"/>
      <c r="AL442" s="2275"/>
      <c r="AM442" s="2275"/>
      <c r="AN442" s="2275"/>
      <c r="AO442" s="2275"/>
      <c r="AP442" s="2250"/>
      <c r="AQ442" s="2250"/>
      <c r="AR442" s="2250"/>
      <c r="AS442" s="2250"/>
      <c r="AT442" s="2250"/>
      <c r="AU442" s="2250"/>
      <c r="AV442" s="2250"/>
      <c r="AW442" s="2250"/>
      <c r="AX442" s="2250"/>
      <c r="AY442" s="2250"/>
      <c r="AZ442" s="2250"/>
      <c r="BA442" s="2250"/>
      <c r="BB442" s="2250"/>
      <c r="BC442" s="2250"/>
      <c r="BD442" s="2250"/>
      <c r="BE442" s="2250"/>
      <c r="BF442" s="2276"/>
      <c r="BG442" s="2276"/>
      <c r="BH442" s="2250"/>
      <c r="BI442" s="2275"/>
      <c r="BJ442" s="4671"/>
      <c r="BK442" s="2345">
        <v>1250</v>
      </c>
      <c r="BL442" s="2346">
        <v>47.55</v>
      </c>
      <c r="BM442" s="2346">
        <v>53.62</v>
      </c>
      <c r="BN442" s="2346">
        <v>58.34</v>
      </c>
      <c r="BO442" s="2346">
        <v>62.58</v>
      </c>
      <c r="BP442" s="2346">
        <v>66.5</v>
      </c>
      <c r="BQ442" s="2346">
        <v>67.55</v>
      </c>
      <c r="BR442" s="2346">
        <v>72.33</v>
      </c>
      <c r="BS442" s="2346">
        <v>77.42</v>
      </c>
      <c r="BT442" s="2346">
        <v>82.15</v>
      </c>
      <c r="BU442" s="2346">
        <v>87.48</v>
      </c>
      <c r="BV442" s="2346">
        <v>96.75</v>
      </c>
      <c r="BW442" s="2346">
        <v>104.48</v>
      </c>
      <c r="BX442" s="2346">
        <v>109.14</v>
      </c>
      <c r="BY442" s="2346">
        <v>114.66</v>
      </c>
      <c r="BZ442" s="2346">
        <v>120.74</v>
      </c>
      <c r="CA442" s="2346">
        <v>124.72</v>
      </c>
      <c r="CB442" s="2346">
        <v>132.69999999999999</v>
      </c>
      <c r="CC442" s="2346">
        <v>143.93</v>
      </c>
      <c r="CD442" s="2346">
        <v>153.31</v>
      </c>
      <c r="CE442" s="2346">
        <v>156.63</v>
      </c>
      <c r="CF442" s="2346">
        <v>163.19</v>
      </c>
      <c r="CG442" s="2346">
        <v>183.13</v>
      </c>
      <c r="CH442" s="2346">
        <v>209.26</v>
      </c>
      <c r="CI442" s="2346">
        <v>230.67</v>
      </c>
      <c r="CJ442" s="2346">
        <v>237.48</v>
      </c>
      <c r="CK442" s="2346">
        <v>237.48</v>
      </c>
      <c r="CL442" s="2346">
        <v>237.48</v>
      </c>
      <c r="CM442" s="2347">
        <v>1250</v>
      </c>
      <c r="CN442" s="2275"/>
      <c r="CO442" s="2276">
        <f>HLOOKUP(CO431,BL432:CL444,9,0)</f>
        <v>27.18</v>
      </c>
      <c r="CP442" s="2276">
        <f t="shared" si="343"/>
        <v>36.5</v>
      </c>
      <c r="CQ442" s="2275">
        <v>1100</v>
      </c>
      <c r="CR442" s="2275"/>
      <c r="CS442" s="2275"/>
      <c r="CT442" s="2275"/>
      <c r="CU442" s="2275"/>
      <c r="CV442" s="2275"/>
      <c r="CW442" s="2275"/>
      <c r="CX442" s="2250"/>
      <c r="CY442" s="2250"/>
      <c r="CZ442" s="2250"/>
      <c r="DA442" s="2250"/>
      <c r="DB442" s="2250"/>
      <c r="DC442" s="2250"/>
      <c r="DD442" s="2250"/>
      <c r="DE442" s="2250"/>
      <c r="DF442" s="2250"/>
      <c r="DG442" s="2250"/>
      <c r="DH442" s="2250"/>
      <c r="DI442" s="2250"/>
      <c r="DJ442" s="2250"/>
      <c r="DK442" s="2250"/>
      <c r="DL442" s="2250"/>
      <c r="DM442" s="2250"/>
      <c r="DN442" s="2250"/>
      <c r="DO442" s="53"/>
      <c r="DP442" s="53"/>
      <c r="DY442" s="4671"/>
      <c r="DZ442" s="2345">
        <v>1250</v>
      </c>
      <c r="EA442" s="2346">
        <v>47.55</v>
      </c>
      <c r="EB442" s="2346">
        <v>53.62</v>
      </c>
      <c r="EC442" s="2346">
        <v>58.34</v>
      </c>
      <c r="ED442" s="2346">
        <v>62.58</v>
      </c>
      <c r="EE442" s="2346">
        <v>66.5</v>
      </c>
      <c r="EF442" s="2346">
        <v>67.55</v>
      </c>
      <c r="EG442" s="2346">
        <v>72.33</v>
      </c>
      <c r="EH442" s="2346">
        <v>77.42</v>
      </c>
      <c r="EI442" s="2346">
        <v>82.15</v>
      </c>
      <c r="EJ442" s="2346">
        <v>87.48</v>
      </c>
      <c r="EK442" s="2346">
        <v>96.75</v>
      </c>
      <c r="EL442" s="2346">
        <v>104.48</v>
      </c>
      <c r="EM442" s="2346">
        <v>109.14</v>
      </c>
      <c r="EN442" s="2346">
        <v>114.66</v>
      </c>
      <c r="EO442" s="2346">
        <v>120.74</v>
      </c>
      <c r="EP442" s="2346">
        <v>124.72</v>
      </c>
      <c r="EQ442" s="2346">
        <v>132.69999999999999</v>
      </c>
      <c r="ER442" s="2346">
        <v>143.93</v>
      </c>
      <c r="ES442" s="2346">
        <v>153.31</v>
      </c>
      <c r="ET442" s="2346">
        <v>156.63</v>
      </c>
      <c r="EU442" s="2346">
        <v>163.19</v>
      </c>
      <c r="EV442" s="2346">
        <v>183.13</v>
      </c>
      <c r="EW442" s="2346">
        <v>209.26</v>
      </c>
      <c r="EX442" s="2346">
        <v>230.67</v>
      </c>
      <c r="EY442" s="2346">
        <v>237.48</v>
      </c>
      <c r="EZ442" s="2346">
        <v>237.48</v>
      </c>
      <c r="FA442" s="2346">
        <v>237.48</v>
      </c>
      <c r="FB442" s="2347">
        <v>1250</v>
      </c>
      <c r="FC442" s="2275"/>
      <c r="FD442" s="2276">
        <f>HLOOKUP(FD431,EA432:FA444,9,0)</f>
        <v>46.63</v>
      </c>
      <c r="FE442" s="2276">
        <f t="shared" si="344"/>
        <v>62.88</v>
      </c>
      <c r="FF442" s="2275">
        <v>1100</v>
      </c>
      <c r="FG442" s="2275"/>
      <c r="FH442" s="2275"/>
      <c r="FI442" s="2275"/>
      <c r="FJ442" s="2275"/>
      <c r="FK442" s="2275"/>
      <c r="FL442" s="2275"/>
      <c r="FM442" s="2250"/>
      <c r="FN442" s="2250"/>
      <c r="FO442" s="2250"/>
      <c r="FP442" s="2250"/>
      <c r="FQ442" s="2250"/>
      <c r="FR442" s="2250"/>
      <c r="FS442" s="2250"/>
      <c r="FT442" s="2250"/>
      <c r="FU442" s="2250"/>
      <c r="FV442" s="2250"/>
      <c r="FW442" s="2250"/>
      <c r="FX442" s="2250"/>
      <c r="FY442" s="2250"/>
      <c r="FZ442" s="2250"/>
      <c r="GA442" s="2250"/>
      <c r="GB442" s="2250"/>
      <c r="GC442" s="2276"/>
      <c r="GD442" s="2276"/>
      <c r="GE442" s="2250"/>
      <c r="GF442" s="2275"/>
      <c r="GG442" s="4671"/>
      <c r="GH442" s="2345">
        <v>1250</v>
      </c>
      <c r="GI442" s="2346">
        <v>47.55</v>
      </c>
      <c r="GJ442" s="2346">
        <v>53.62</v>
      </c>
      <c r="GK442" s="2346">
        <v>58.34</v>
      </c>
      <c r="GL442" s="2346">
        <v>62.58</v>
      </c>
      <c r="GM442" s="2346">
        <v>66.5</v>
      </c>
      <c r="GN442" s="2346">
        <v>67.55</v>
      </c>
      <c r="GO442" s="2346">
        <v>72.33</v>
      </c>
      <c r="GP442" s="2346">
        <v>77.42</v>
      </c>
      <c r="GQ442" s="2346">
        <v>82.15</v>
      </c>
      <c r="GR442" s="2346">
        <v>87.48</v>
      </c>
      <c r="GS442" s="2346">
        <v>96.75</v>
      </c>
      <c r="GT442" s="2346">
        <v>104.48</v>
      </c>
      <c r="GU442" s="2346">
        <v>109.14</v>
      </c>
      <c r="GV442" s="2346">
        <v>114.66</v>
      </c>
      <c r="GW442" s="2346">
        <v>120.74</v>
      </c>
      <c r="GX442" s="2346">
        <v>124.72</v>
      </c>
      <c r="GY442" s="2346">
        <v>132.69999999999999</v>
      </c>
      <c r="GZ442" s="2346">
        <v>143.93</v>
      </c>
      <c r="HA442" s="2346">
        <v>153.31</v>
      </c>
      <c r="HB442" s="2346">
        <v>156.63</v>
      </c>
      <c r="HC442" s="2346">
        <v>163.19</v>
      </c>
      <c r="HD442" s="2346">
        <v>183.13</v>
      </c>
      <c r="HE442" s="2346">
        <v>209.26</v>
      </c>
      <c r="HF442" s="2346">
        <v>230.67</v>
      </c>
      <c r="HG442" s="2346">
        <v>237.48</v>
      </c>
      <c r="HH442" s="2346">
        <v>237.48</v>
      </c>
      <c r="HI442" s="2346">
        <v>237.48</v>
      </c>
      <c r="HJ442" s="2347">
        <v>1250</v>
      </c>
      <c r="HK442" s="2275"/>
      <c r="HL442" s="2276">
        <f>HLOOKUP(HL431,GI432:HI444,9,0)</f>
        <v>42.82</v>
      </c>
      <c r="HM442" s="2276">
        <f t="shared" si="345"/>
        <v>59.39</v>
      </c>
      <c r="HN442" s="2275">
        <v>1100</v>
      </c>
      <c r="HO442" s="2275"/>
      <c r="HP442" s="2275"/>
      <c r="HQ442" s="2275"/>
      <c r="HR442" s="2275"/>
      <c r="HS442" s="2275"/>
      <c r="HT442" s="2275"/>
      <c r="HU442" s="2250"/>
      <c r="HV442" s="2250"/>
      <c r="HW442" s="2250"/>
      <c r="HX442" s="2250"/>
      <c r="HY442" s="2250"/>
      <c r="HZ442" s="2250"/>
      <c r="IA442" s="2250"/>
      <c r="IB442" s="2250"/>
      <c r="IC442" s="2250"/>
      <c r="ID442" s="2250"/>
      <c r="IE442" s="2250"/>
      <c r="IF442" s="2250"/>
      <c r="IG442" s="2250"/>
      <c r="IH442" s="2250"/>
      <c r="II442" s="2250"/>
      <c r="IJ442" s="2250"/>
      <c r="IK442" s="2250"/>
      <c r="IL442" s="53"/>
      <c r="IM442" s="53"/>
    </row>
    <row r="443" spans="2:247" ht="21.95" customHeight="1">
      <c r="B443" s="2275"/>
      <c r="C443" s="2345">
        <v>1450</v>
      </c>
      <c r="D443" s="2346">
        <v>73.25</v>
      </c>
      <c r="E443" s="2346">
        <v>82.58</v>
      </c>
      <c r="F443" s="2346">
        <v>91.47</v>
      </c>
      <c r="G443" s="2346">
        <v>98.71</v>
      </c>
      <c r="H443" s="2346">
        <v>98.71</v>
      </c>
      <c r="I443" s="2346">
        <v>104.11</v>
      </c>
      <c r="J443" s="2346">
        <v>114.91</v>
      </c>
      <c r="K443" s="2346">
        <v>122.52</v>
      </c>
      <c r="L443" s="2346">
        <v>130.43</v>
      </c>
      <c r="M443" s="2346">
        <v>138.9</v>
      </c>
      <c r="N443" s="2346">
        <v>144.11000000000001</v>
      </c>
      <c r="O443" s="2346">
        <v>163.31</v>
      </c>
      <c r="P443" s="2346">
        <v>170.43</v>
      </c>
      <c r="Q443" s="2346">
        <v>176.38</v>
      </c>
      <c r="R443" s="2346">
        <v>184.91</v>
      </c>
      <c r="S443" s="2346">
        <v>199.08</v>
      </c>
      <c r="T443" s="2346">
        <v>211.23</v>
      </c>
      <c r="U443" s="2346">
        <v>223.44</v>
      </c>
      <c r="V443" s="2346">
        <v>236.32</v>
      </c>
      <c r="W443" s="2346">
        <v>261.17</v>
      </c>
      <c r="X443" s="2346">
        <v>274.48</v>
      </c>
      <c r="Y443" s="2346">
        <v>301.52999999999997</v>
      </c>
      <c r="Z443" s="2346">
        <v>327.55</v>
      </c>
      <c r="AA443" s="2346">
        <v>340.43</v>
      </c>
      <c r="AB443" s="2346">
        <v>400.12</v>
      </c>
      <c r="AC443" s="2346">
        <v>410.37</v>
      </c>
      <c r="AD443" s="2346">
        <v>410.37</v>
      </c>
      <c r="AE443" s="2347">
        <v>1450</v>
      </c>
      <c r="AF443" s="2275"/>
      <c r="AG443" s="2276">
        <f>HLOOKUP(AG431,D432:AD444,10,0)</f>
        <v>40.43</v>
      </c>
      <c r="AH443" s="2276">
        <f t="shared" si="342"/>
        <v>58.34</v>
      </c>
      <c r="AI443" s="2275">
        <v>1250</v>
      </c>
      <c r="AJ443" s="2275"/>
      <c r="AK443" s="2275"/>
      <c r="AL443" s="2275"/>
      <c r="AM443" s="2275"/>
      <c r="AN443" s="2275"/>
      <c r="AO443" s="2275"/>
      <c r="AP443" s="2250"/>
      <c r="AQ443" s="2250"/>
      <c r="AR443" s="2250"/>
      <c r="AS443" s="2250"/>
      <c r="AT443" s="2250"/>
      <c r="AU443" s="2250"/>
      <c r="AV443" s="2250"/>
      <c r="AW443" s="2250"/>
      <c r="AX443" s="2250"/>
      <c r="AY443" s="2250"/>
      <c r="AZ443" s="2250"/>
      <c r="BA443" s="2250"/>
      <c r="BB443" s="2250"/>
      <c r="BC443" s="2250"/>
      <c r="BD443" s="2250"/>
      <c r="BE443" s="2250"/>
      <c r="BF443" s="2276"/>
      <c r="BG443" s="2276"/>
      <c r="BH443" s="2250"/>
      <c r="BI443" s="2275"/>
      <c r="BJ443" s="2275"/>
      <c r="BK443" s="2345">
        <v>1450</v>
      </c>
      <c r="BL443" s="2346">
        <v>73.25</v>
      </c>
      <c r="BM443" s="2346">
        <v>82.58</v>
      </c>
      <c r="BN443" s="2346">
        <v>91.47</v>
      </c>
      <c r="BO443" s="2346">
        <v>98.71</v>
      </c>
      <c r="BP443" s="2346">
        <v>98.71</v>
      </c>
      <c r="BQ443" s="2346">
        <v>104.11</v>
      </c>
      <c r="BR443" s="2346">
        <v>114.91</v>
      </c>
      <c r="BS443" s="2346">
        <v>122.52</v>
      </c>
      <c r="BT443" s="2346">
        <v>130.43</v>
      </c>
      <c r="BU443" s="2346">
        <v>138.9</v>
      </c>
      <c r="BV443" s="2346">
        <v>144.11000000000001</v>
      </c>
      <c r="BW443" s="2346">
        <v>163.31</v>
      </c>
      <c r="BX443" s="2346">
        <v>170.43</v>
      </c>
      <c r="BY443" s="2346">
        <v>176.38</v>
      </c>
      <c r="BZ443" s="2346">
        <v>184.91</v>
      </c>
      <c r="CA443" s="2346">
        <v>199.08</v>
      </c>
      <c r="CB443" s="2346">
        <v>211.23</v>
      </c>
      <c r="CC443" s="2346">
        <v>223.44</v>
      </c>
      <c r="CD443" s="2346">
        <v>236.32</v>
      </c>
      <c r="CE443" s="2346">
        <v>261.17</v>
      </c>
      <c r="CF443" s="2346">
        <v>274.48</v>
      </c>
      <c r="CG443" s="2346">
        <v>301.52999999999997</v>
      </c>
      <c r="CH443" s="2346">
        <v>327.55</v>
      </c>
      <c r="CI443" s="2346">
        <v>340.43</v>
      </c>
      <c r="CJ443" s="2346">
        <v>400.12</v>
      </c>
      <c r="CK443" s="2346">
        <v>410.37</v>
      </c>
      <c r="CL443" s="2346">
        <v>410.37</v>
      </c>
      <c r="CM443" s="2347">
        <v>1450</v>
      </c>
      <c r="CN443" s="2275"/>
      <c r="CO443" s="2276">
        <f>HLOOKUP(CO431,BL432:CL444,10,0)</f>
        <v>36.5</v>
      </c>
      <c r="CP443" s="2276">
        <f t="shared" si="343"/>
        <v>53.62</v>
      </c>
      <c r="CQ443" s="2275">
        <v>1250</v>
      </c>
      <c r="CR443" s="2275"/>
      <c r="CS443" s="2275"/>
      <c r="CT443" s="2275"/>
      <c r="CU443" s="2275"/>
      <c r="CV443" s="2275"/>
      <c r="CW443" s="2275"/>
      <c r="CX443" s="2250"/>
      <c r="CY443" s="2250"/>
      <c r="CZ443" s="2250"/>
      <c r="DA443" s="2250"/>
      <c r="DB443" s="2250"/>
      <c r="DC443" s="2250"/>
      <c r="DD443" s="2250"/>
      <c r="DE443" s="2250"/>
      <c r="DF443" s="2250"/>
      <c r="DG443" s="2250"/>
      <c r="DH443" s="2250"/>
      <c r="DI443" s="2250"/>
      <c r="DJ443" s="2250"/>
      <c r="DK443" s="2250"/>
      <c r="DL443" s="2250"/>
      <c r="DM443" s="2250"/>
      <c r="DN443" s="2250"/>
      <c r="DO443" s="53"/>
      <c r="DP443" s="53"/>
      <c r="DY443" s="2275"/>
      <c r="DZ443" s="2345">
        <v>1450</v>
      </c>
      <c r="EA443" s="2346">
        <v>73.25</v>
      </c>
      <c r="EB443" s="2346">
        <v>82.58</v>
      </c>
      <c r="EC443" s="2346">
        <v>91.47</v>
      </c>
      <c r="ED443" s="2346">
        <v>98.71</v>
      </c>
      <c r="EE443" s="2346">
        <v>98.71</v>
      </c>
      <c r="EF443" s="2346">
        <v>104.11</v>
      </c>
      <c r="EG443" s="2346">
        <v>114.91</v>
      </c>
      <c r="EH443" s="2346">
        <v>122.52</v>
      </c>
      <c r="EI443" s="2346">
        <v>130.43</v>
      </c>
      <c r="EJ443" s="2346">
        <v>138.9</v>
      </c>
      <c r="EK443" s="2346">
        <v>144.11000000000001</v>
      </c>
      <c r="EL443" s="2346">
        <v>163.31</v>
      </c>
      <c r="EM443" s="2346">
        <v>170.43</v>
      </c>
      <c r="EN443" s="2346">
        <v>176.38</v>
      </c>
      <c r="EO443" s="2346">
        <v>184.91</v>
      </c>
      <c r="EP443" s="2346">
        <v>199.08</v>
      </c>
      <c r="EQ443" s="2346">
        <v>211.23</v>
      </c>
      <c r="ER443" s="2346">
        <v>223.44</v>
      </c>
      <c r="ES443" s="2346">
        <v>236.32</v>
      </c>
      <c r="ET443" s="2346">
        <v>261.17</v>
      </c>
      <c r="EU443" s="2346">
        <v>274.48</v>
      </c>
      <c r="EV443" s="2346">
        <v>301.52999999999997</v>
      </c>
      <c r="EW443" s="2346">
        <v>327.55</v>
      </c>
      <c r="EX443" s="2346">
        <v>340.43</v>
      </c>
      <c r="EY443" s="2346">
        <v>400.12</v>
      </c>
      <c r="EZ443" s="2346">
        <v>410.37</v>
      </c>
      <c r="FA443" s="2346">
        <v>410.37</v>
      </c>
      <c r="FB443" s="2347">
        <v>1450</v>
      </c>
      <c r="FC443" s="2275"/>
      <c r="FD443" s="2276">
        <f>HLOOKUP(FD431,EA432:FA444,10,0)</f>
        <v>62.88</v>
      </c>
      <c r="FE443" s="2276">
        <f t="shared" si="344"/>
        <v>87.48</v>
      </c>
      <c r="FF443" s="2275">
        <v>1250</v>
      </c>
      <c r="FG443" s="2275"/>
      <c r="FH443" s="2275"/>
      <c r="FI443" s="2275"/>
      <c r="FJ443" s="2275"/>
      <c r="FK443" s="2275"/>
      <c r="FL443" s="2275"/>
      <c r="FM443" s="2250"/>
      <c r="FN443" s="2250"/>
      <c r="FO443" s="2250"/>
      <c r="FP443" s="2250"/>
      <c r="FQ443" s="2250"/>
      <c r="FR443" s="2250"/>
      <c r="FS443" s="2250"/>
      <c r="FT443" s="2250"/>
      <c r="FU443" s="2250"/>
      <c r="FV443" s="2250"/>
      <c r="FW443" s="2250"/>
      <c r="FX443" s="2250"/>
      <c r="FY443" s="2250"/>
      <c r="FZ443" s="2250"/>
      <c r="GA443" s="2250"/>
      <c r="GB443" s="2250"/>
      <c r="GC443" s="2276"/>
      <c r="GD443" s="2276"/>
      <c r="GE443" s="2250"/>
      <c r="GF443" s="2275"/>
      <c r="GG443" s="2275"/>
      <c r="GH443" s="2345">
        <v>1450</v>
      </c>
      <c r="GI443" s="2346">
        <v>73.25</v>
      </c>
      <c r="GJ443" s="2346">
        <v>82.58</v>
      </c>
      <c r="GK443" s="2346">
        <v>91.47</v>
      </c>
      <c r="GL443" s="2346">
        <v>98.71</v>
      </c>
      <c r="GM443" s="2346">
        <v>98.71</v>
      </c>
      <c r="GN443" s="2346">
        <v>104.11</v>
      </c>
      <c r="GO443" s="2346">
        <v>114.91</v>
      </c>
      <c r="GP443" s="2346">
        <v>122.52</v>
      </c>
      <c r="GQ443" s="2346">
        <v>130.43</v>
      </c>
      <c r="GR443" s="2346">
        <v>138.9</v>
      </c>
      <c r="GS443" s="2346">
        <v>144.11000000000001</v>
      </c>
      <c r="GT443" s="2346">
        <v>163.31</v>
      </c>
      <c r="GU443" s="2346">
        <v>170.43</v>
      </c>
      <c r="GV443" s="2346">
        <v>176.38</v>
      </c>
      <c r="GW443" s="2346">
        <v>184.91</v>
      </c>
      <c r="GX443" s="2346">
        <v>199.08</v>
      </c>
      <c r="GY443" s="2346">
        <v>211.23</v>
      </c>
      <c r="GZ443" s="2346">
        <v>223.44</v>
      </c>
      <c r="HA443" s="2346">
        <v>236.32</v>
      </c>
      <c r="HB443" s="2346">
        <v>261.17</v>
      </c>
      <c r="HC443" s="2346">
        <v>274.48</v>
      </c>
      <c r="HD443" s="2346">
        <v>301.52999999999997</v>
      </c>
      <c r="HE443" s="2346">
        <v>327.55</v>
      </c>
      <c r="HF443" s="2346">
        <v>340.43</v>
      </c>
      <c r="HG443" s="2346">
        <v>400.12</v>
      </c>
      <c r="HH443" s="2346">
        <v>410.37</v>
      </c>
      <c r="HI443" s="2346">
        <v>410.37</v>
      </c>
      <c r="HJ443" s="2347">
        <v>1450</v>
      </c>
      <c r="HK443" s="2275"/>
      <c r="HL443" s="2276">
        <f>HLOOKUP(HL431,GI432:HI444,10,0)</f>
        <v>59.39</v>
      </c>
      <c r="HM443" s="2276">
        <f t="shared" si="345"/>
        <v>82.15</v>
      </c>
      <c r="HN443" s="2275">
        <v>1250</v>
      </c>
      <c r="HO443" s="2275"/>
      <c r="HP443" s="2275"/>
      <c r="HQ443" s="2275"/>
      <c r="HR443" s="2275"/>
      <c r="HS443" s="2275"/>
      <c r="HT443" s="2275"/>
      <c r="HU443" s="2250"/>
      <c r="HV443" s="2250"/>
      <c r="HW443" s="2250"/>
      <c r="HX443" s="2250"/>
      <c r="HY443" s="2250"/>
      <c r="HZ443" s="2250"/>
      <c r="IA443" s="2250"/>
      <c r="IB443" s="2250"/>
      <c r="IC443" s="2250"/>
      <c r="ID443" s="2250"/>
      <c r="IE443" s="2250"/>
      <c r="IF443" s="2250"/>
      <c r="IG443" s="2250"/>
      <c r="IH443" s="2250"/>
      <c r="II443" s="2250"/>
      <c r="IJ443" s="2250"/>
      <c r="IK443" s="2250"/>
      <c r="IL443" s="53"/>
      <c r="IM443" s="53"/>
    </row>
    <row r="444" spans="2:247" ht="21.95" customHeight="1">
      <c r="B444" s="2275"/>
      <c r="C444" s="2345">
        <v>1650</v>
      </c>
      <c r="D444" s="2346">
        <v>106.44</v>
      </c>
      <c r="E444" s="2346">
        <v>120</v>
      </c>
      <c r="F444" s="2346">
        <v>132.58000000000001</v>
      </c>
      <c r="G444" s="2346">
        <v>132.58000000000001</v>
      </c>
      <c r="H444" s="2346">
        <v>139.75</v>
      </c>
      <c r="I444" s="2346">
        <v>151.29</v>
      </c>
      <c r="J444" s="2346">
        <v>158.9</v>
      </c>
      <c r="K444" s="2346">
        <v>176.01</v>
      </c>
      <c r="L444" s="2346">
        <v>186.38</v>
      </c>
      <c r="M444" s="2346">
        <v>199.69</v>
      </c>
      <c r="N444" s="2346">
        <v>209.45</v>
      </c>
      <c r="O444" s="2346">
        <v>243.74</v>
      </c>
      <c r="P444" s="2346">
        <v>247.73</v>
      </c>
      <c r="Q444" s="2346">
        <v>265.14999999999998</v>
      </c>
      <c r="R444" s="2346">
        <v>274.91000000000003</v>
      </c>
      <c r="S444" s="2346">
        <v>291.41000000000003</v>
      </c>
      <c r="T444" s="2346">
        <v>307.36</v>
      </c>
      <c r="U444" s="2346">
        <v>322.88</v>
      </c>
      <c r="V444" s="2346">
        <v>338.1</v>
      </c>
      <c r="W444" s="2346">
        <v>372.94</v>
      </c>
      <c r="X444" s="2346">
        <v>406.99</v>
      </c>
      <c r="Y444" s="2346">
        <v>447.79</v>
      </c>
      <c r="Z444" s="2346">
        <v>485.34</v>
      </c>
      <c r="AA444" s="2346">
        <v>520.17999999999995</v>
      </c>
      <c r="AB444" s="2346">
        <v>581.47</v>
      </c>
      <c r="AC444" s="2346">
        <v>643.99</v>
      </c>
      <c r="AD444" s="2346">
        <v>651.6</v>
      </c>
      <c r="AE444" s="2347">
        <v>1650</v>
      </c>
      <c r="AF444" s="2275"/>
      <c r="AG444" s="2276">
        <f>HLOOKUP(AG431,D432:AD444,11,0)</f>
        <v>58.34</v>
      </c>
      <c r="AH444" s="2276">
        <f t="shared" si="342"/>
        <v>91.47</v>
      </c>
      <c r="AI444" s="2275">
        <v>1450</v>
      </c>
      <c r="AJ444" s="2275"/>
      <c r="AK444" s="2275"/>
      <c r="AL444" s="2275"/>
      <c r="AM444" s="2275"/>
      <c r="AN444" s="2275"/>
      <c r="AO444" s="2275"/>
      <c r="AP444" s="2250"/>
      <c r="AQ444" s="2250"/>
      <c r="AR444" s="2250"/>
      <c r="AS444" s="2250"/>
      <c r="AT444" s="2250"/>
      <c r="AU444" s="2250"/>
      <c r="AV444" s="2250"/>
      <c r="AW444" s="2250"/>
      <c r="AX444" s="2250"/>
      <c r="AY444" s="2250"/>
      <c r="AZ444" s="2250"/>
      <c r="BA444" s="2250"/>
      <c r="BB444" s="2250"/>
      <c r="BC444" s="2250"/>
      <c r="BD444" s="2250"/>
      <c r="BE444" s="2250"/>
      <c r="BF444" s="2276"/>
      <c r="BG444" s="2276"/>
      <c r="BH444" s="2250"/>
      <c r="BI444" s="2275"/>
      <c r="BJ444" s="2275"/>
      <c r="BK444" s="2345">
        <v>1650</v>
      </c>
      <c r="BL444" s="2346">
        <v>106.44</v>
      </c>
      <c r="BM444" s="2346">
        <v>120</v>
      </c>
      <c r="BN444" s="2346">
        <v>132.58000000000001</v>
      </c>
      <c r="BO444" s="2346">
        <v>132.58000000000001</v>
      </c>
      <c r="BP444" s="2346">
        <v>139.75</v>
      </c>
      <c r="BQ444" s="2346">
        <v>151.29</v>
      </c>
      <c r="BR444" s="2346">
        <v>158.9</v>
      </c>
      <c r="BS444" s="2346">
        <v>176.01</v>
      </c>
      <c r="BT444" s="2346">
        <v>186.38</v>
      </c>
      <c r="BU444" s="2346">
        <v>199.69</v>
      </c>
      <c r="BV444" s="2346">
        <v>209.45</v>
      </c>
      <c r="BW444" s="2346">
        <v>243.74</v>
      </c>
      <c r="BX444" s="2346">
        <v>247.73</v>
      </c>
      <c r="BY444" s="2346">
        <v>265.14999999999998</v>
      </c>
      <c r="BZ444" s="2346">
        <v>274.91000000000003</v>
      </c>
      <c r="CA444" s="2346">
        <v>291.41000000000003</v>
      </c>
      <c r="CB444" s="2346">
        <v>307.36</v>
      </c>
      <c r="CC444" s="2346">
        <v>322.88</v>
      </c>
      <c r="CD444" s="2346">
        <v>338.1</v>
      </c>
      <c r="CE444" s="2346">
        <v>372.94</v>
      </c>
      <c r="CF444" s="2346">
        <v>406.99</v>
      </c>
      <c r="CG444" s="2346">
        <v>447.79</v>
      </c>
      <c r="CH444" s="2346">
        <v>485.34</v>
      </c>
      <c r="CI444" s="2346">
        <v>520.17999999999995</v>
      </c>
      <c r="CJ444" s="2346">
        <v>581.47</v>
      </c>
      <c r="CK444" s="2346">
        <v>643.99</v>
      </c>
      <c r="CL444" s="2346">
        <v>651.6</v>
      </c>
      <c r="CM444" s="2347">
        <v>1650</v>
      </c>
      <c r="CN444" s="2275"/>
      <c r="CO444" s="2276">
        <f>HLOOKUP(CO431,BL432:CL444,11,0)</f>
        <v>53.62</v>
      </c>
      <c r="CP444" s="2276">
        <f t="shared" si="343"/>
        <v>82.58</v>
      </c>
      <c r="CQ444" s="2275">
        <v>1450</v>
      </c>
      <c r="CR444" s="2275"/>
      <c r="CS444" s="2275"/>
      <c r="CT444" s="2275"/>
      <c r="CU444" s="2275"/>
      <c r="CV444" s="2275"/>
      <c r="CW444" s="2275"/>
      <c r="CX444" s="2250"/>
      <c r="CY444" s="2250"/>
      <c r="CZ444" s="2250"/>
      <c r="DA444" s="2250"/>
      <c r="DB444" s="2250"/>
      <c r="DC444" s="2250"/>
      <c r="DD444" s="2250"/>
      <c r="DE444" s="2250"/>
      <c r="DF444" s="2250"/>
      <c r="DG444" s="2250"/>
      <c r="DH444" s="2250"/>
      <c r="DI444" s="2250"/>
      <c r="DJ444" s="2250"/>
      <c r="DK444" s="2250"/>
      <c r="DL444" s="2250"/>
      <c r="DM444" s="2250"/>
      <c r="DN444" s="2250"/>
      <c r="DO444" s="53"/>
      <c r="DP444" s="53"/>
      <c r="DY444" s="2275"/>
      <c r="DZ444" s="2345">
        <v>1650</v>
      </c>
      <c r="EA444" s="2346">
        <v>106.44</v>
      </c>
      <c r="EB444" s="2346">
        <v>120</v>
      </c>
      <c r="EC444" s="2346">
        <v>132.58000000000001</v>
      </c>
      <c r="ED444" s="2346">
        <v>132.58000000000001</v>
      </c>
      <c r="EE444" s="2346">
        <v>139.75</v>
      </c>
      <c r="EF444" s="2346">
        <v>151.29</v>
      </c>
      <c r="EG444" s="2346">
        <v>158.9</v>
      </c>
      <c r="EH444" s="2346">
        <v>176.01</v>
      </c>
      <c r="EI444" s="2346">
        <v>186.38</v>
      </c>
      <c r="EJ444" s="2346">
        <v>199.69</v>
      </c>
      <c r="EK444" s="2346">
        <v>209.45</v>
      </c>
      <c r="EL444" s="2346">
        <v>243.74</v>
      </c>
      <c r="EM444" s="2346">
        <v>247.73</v>
      </c>
      <c r="EN444" s="2346">
        <v>265.14999999999998</v>
      </c>
      <c r="EO444" s="2346">
        <v>274.91000000000003</v>
      </c>
      <c r="EP444" s="2346">
        <v>291.41000000000003</v>
      </c>
      <c r="EQ444" s="2346">
        <v>307.36</v>
      </c>
      <c r="ER444" s="2346">
        <v>322.88</v>
      </c>
      <c r="ES444" s="2346">
        <v>338.1</v>
      </c>
      <c r="ET444" s="2346">
        <v>372.94</v>
      </c>
      <c r="EU444" s="2346">
        <v>406.99</v>
      </c>
      <c r="EV444" s="2346">
        <v>447.79</v>
      </c>
      <c r="EW444" s="2346">
        <v>485.34</v>
      </c>
      <c r="EX444" s="2346">
        <v>520.17999999999995</v>
      </c>
      <c r="EY444" s="2346">
        <v>581.47</v>
      </c>
      <c r="EZ444" s="2346">
        <v>643.99</v>
      </c>
      <c r="FA444" s="2346">
        <v>651.6</v>
      </c>
      <c r="FB444" s="2347">
        <v>1650</v>
      </c>
      <c r="FC444" s="2275"/>
      <c r="FD444" s="2276">
        <f>HLOOKUP(FD431,EA432:FA444,11,0)</f>
        <v>87.48</v>
      </c>
      <c r="FE444" s="2276">
        <f t="shared" si="344"/>
        <v>138.9</v>
      </c>
      <c r="FF444" s="2275">
        <v>1450</v>
      </c>
      <c r="FG444" s="2275"/>
      <c r="FH444" s="2275"/>
      <c r="FI444" s="2275"/>
      <c r="FJ444" s="2275"/>
      <c r="FK444" s="2275"/>
      <c r="FL444" s="2275"/>
      <c r="FM444" s="2250"/>
      <c r="FN444" s="2250"/>
      <c r="FO444" s="2250"/>
      <c r="FP444" s="2250"/>
      <c r="FQ444" s="2250"/>
      <c r="FR444" s="2250"/>
      <c r="FS444" s="2250"/>
      <c r="FT444" s="2250"/>
      <c r="FU444" s="2250"/>
      <c r="FV444" s="2250"/>
      <c r="FW444" s="2250"/>
      <c r="FX444" s="2250"/>
      <c r="FY444" s="2250"/>
      <c r="FZ444" s="2250"/>
      <c r="GA444" s="2250"/>
      <c r="GB444" s="2250"/>
      <c r="GC444" s="2276"/>
      <c r="GD444" s="2276"/>
      <c r="GE444" s="2250"/>
      <c r="GF444" s="2275"/>
      <c r="GG444" s="2275"/>
      <c r="GH444" s="2345">
        <v>1650</v>
      </c>
      <c r="GI444" s="2346">
        <v>106.44</v>
      </c>
      <c r="GJ444" s="2346">
        <v>120</v>
      </c>
      <c r="GK444" s="2346">
        <v>132.58000000000001</v>
      </c>
      <c r="GL444" s="2346">
        <v>132.58000000000001</v>
      </c>
      <c r="GM444" s="2346">
        <v>139.75</v>
      </c>
      <c r="GN444" s="2346">
        <v>151.29</v>
      </c>
      <c r="GO444" s="2346">
        <v>158.9</v>
      </c>
      <c r="GP444" s="2346">
        <v>176.01</v>
      </c>
      <c r="GQ444" s="2346">
        <v>186.38</v>
      </c>
      <c r="GR444" s="2346">
        <v>199.69</v>
      </c>
      <c r="GS444" s="2346">
        <v>209.45</v>
      </c>
      <c r="GT444" s="2346">
        <v>243.74</v>
      </c>
      <c r="GU444" s="2346">
        <v>247.73</v>
      </c>
      <c r="GV444" s="2346">
        <v>265.14999999999998</v>
      </c>
      <c r="GW444" s="2346">
        <v>274.91000000000003</v>
      </c>
      <c r="GX444" s="2346">
        <v>291.41000000000003</v>
      </c>
      <c r="GY444" s="2346">
        <v>307.36</v>
      </c>
      <c r="GZ444" s="2346">
        <v>322.88</v>
      </c>
      <c r="HA444" s="2346">
        <v>338.1</v>
      </c>
      <c r="HB444" s="2346">
        <v>372.94</v>
      </c>
      <c r="HC444" s="2346">
        <v>406.99</v>
      </c>
      <c r="HD444" s="2346">
        <v>447.79</v>
      </c>
      <c r="HE444" s="2346">
        <v>485.34</v>
      </c>
      <c r="HF444" s="2346">
        <v>520.17999999999995</v>
      </c>
      <c r="HG444" s="2346">
        <v>581.47</v>
      </c>
      <c r="HH444" s="2346">
        <v>643.99</v>
      </c>
      <c r="HI444" s="2346">
        <v>651.6</v>
      </c>
      <c r="HJ444" s="2347">
        <v>1650</v>
      </c>
      <c r="HK444" s="2275"/>
      <c r="HL444" s="2276">
        <f>HLOOKUP(HL431,GI432:HI444,11,0)</f>
        <v>82.15</v>
      </c>
      <c r="HM444" s="2276">
        <f t="shared" si="345"/>
        <v>130.43</v>
      </c>
      <c r="HN444" s="2275">
        <v>1450</v>
      </c>
      <c r="HO444" s="2275"/>
      <c r="HP444" s="2275"/>
      <c r="HQ444" s="2275"/>
      <c r="HR444" s="2275"/>
      <c r="HS444" s="2275"/>
      <c r="HT444" s="2275"/>
      <c r="HU444" s="2250"/>
      <c r="HV444" s="2250"/>
      <c r="HW444" s="2250"/>
      <c r="HX444" s="2250"/>
      <c r="HY444" s="2250"/>
      <c r="HZ444" s="2250"/>
      <c r="IA444" s="2250"/>
      <c r="IB444" s="2250"/>
      <c r="IC444" s="2250"/>
      <c r="ID444" s="2250"/>
      <c r="IE444" s="2250"/>
      <c r="IF444" s="2250"/>
      <c r="IG444" s="2250"/>
      <c r="IH444" s="2250"/>
      <c r="II444" s="2250"/>
      <c r="IJ444" s="2250"/>
      <c r="IK444" s="2250"/>
      <c r="IL444" s="53"/>
      <c r="IM444" s="53"/>
    </row>
    <row r="445" spans="2:247" ht="21.95" customHeight="1">
      <c r="B445" s="2275"/>
      <c r="C445" s="2275"/>
      <c r="D445" s="2275"/>
      <c r="E445" s="2275"/>
      <c r="F445" s="2275"/>
      <c r="G445" s="2275"/>
      <c r="H445" s="2275"/>
      <c r="I445" s="2275"/>
      <c r="J445" s="2275"/>
      <c r="K445" s="2275"/>
      <c r="L445" s="2275"/>
      <c r="M445" s="2275"/>
      <c r="N445" s="2275"/>
      <c r="O445" s="2275"/>
      <c r="P445" s="2275"/>
      <c r="Q445" s="2275"/>
      <c r="R445" s="2275"/>
      <c r="S445" s="2275"/>
      <c r="T445" s="2275"/>
      <c r="U445" s="2275"/>
      <c r="V445" s="2275"/>
      <c r="W445" s="2275"/>
      <c r="X445" s="2275"/>
      <c r="Y445" s="2275"/>
      <c r="Z445" s="2275"/>
      <c r="AA445" s="2275"/>
      <c r="AB445" s="2275"/>
      <c r="AC445" s="2275"/>
      <c r="AD445" s="2275"/>
      <c r="AE445" s="2346"/>
      <c r="AF445" s="2275"/>
      <c r="AG445" s="2276">
        <f>HLOOKUP(AG431,D432:AD444,12,0)</f>
        <v>91.47</v>
      </c>
      <c r="AH445" s="2276">
        <f t="shared" si="342"/>
        <v>132.58000000000001</v>
      </c>
      <c r="AI445" s="2275">
        <v>1650</v>
      </c>
      <c r="AJ445" s="2275"/>
      <c r="AK445" s="2275"/>
      <c r="AL445" s="2275"/>
      <c r="AM445" s="2275"/>
      <c r="AN445" s="2275"/>
      <c r="AO445" s="2275"/>
      <c r="AP445" s="2250"/>
      <c r="AQ445" s="2250"/>
      <c r="AR445" s="2250"/>
      <c r="AS445" s="2250"/>
      <c r="AT445" s="2250"/>
      <c r="AU445" s="2250"/>
      <c r="AV445" s="2250"/>
      <c r="AW445" s="2250"/>
      <c r="AX445" s="2250"/>
      <c r="AY445" s="2250"/>
      <c r="AZ445" s="2250"/>
      <c r="BA445" s="2250"/>
      <c r="BB445" s="2250"/>
      <c r="BC445" s="2250"/>
      <c r="BD445" s="2250"/>
      <c r="BE445" s="2250"/>
      <c r="BF445" s="2276"/>
      <c r="BG445" s="2276"/>
      <c r="BH445" s="2250"/>
      <c r="BI445" s="2275"/>
      <c r="BJ445" s="2275"/>
      <c r="BK445" s="2275"/>
      <c r="BL445" s="2275"/>
      <c r="BM445" s="2275"/>
      <c r="BN445" s="2275"/>
      <c r="BO445" s="2275"/>
      <c r="BP445" s="2275"/>
      <c r="BQ445" s="2275"/>
      <c r="BR445" s="2275"/>
      <c r="BS445" s="2275"/>
      <c r="BT445" s="2275"/>
      <c r="BU445" s="2275"/>
      <c r="BV445" s="2275"/>
      <c r="BW445" s="2275"/>
      <c r="BX445" s="2275"/>
      <c r="BY445" s="2275"/>
      <c r="BZ445" s="2275"/>
      <c r="CA445" s="2275"/>
      <c r="CB445" s="2275"/>
      <c r="CC445" s="2275"/>
      <c r="CD445" s="2275"/>
      <c r="CE445" s="2275"/>
      <c r="CF445" s="2275"/>
      <c r="CG445" s="2275"/>
      <c r="CH445" s="2275"/>
      <c r="CI445" s="2275"/>
      <c r="CJ445" s="2275"/>
      <c r="CK445" s="2275"/>
      <c r="CL445" s="2275"/>
      <c r="CM445" s="2346"/>
      <c r="CN445" s="2275"/>
      <c r="CO445" s="2276">
        <f>HLOOKUP(CO431,BL432:CL444,12,0)</f>
        <v>82.58</v>
      </c>
      <c r="CP445" s="2276">
        <f t="shared" si="343"/>
        <v>120</v>
      </c>
      <c r="CQ445" s="2275">
        <v>1650</v>
      </c>
      <c r="CR445" s="2275"/>
      <c r="CS445" s="2275"/>
      <c r="CT445" s="2275"/>
      <c r="CU445" s="2275"/>
      <c r="CV445" s="2275"/>
      <c r="CW445" s="2275"/>
      <c r="CX445" s="2250"/>
      <c r="CY445" s="2250"/>
      <c r="CZ445" s="2250"/>
      <c r="DA445" s="2250"/>
      <c r="DB445" s="2250"/>
      <c r="DC445" s="2250"/>
      <c r="DD445" s="2250"/>
      <c r="DE445" s="2250"/>
      <c r="DF445" s="2250"/>
      <c r="DG445" s="2250"/>
      <c r="DH445" s="2250"/>
      <c r="DI445" s="2250"/>
      <c r="DJ445" s="2250"/>
      <c r="DK445" s="2250"/>
      <c r="DL445" s="2250"/>
      <c r="DM445" s="2250"/>
      <c r="DN445" s="2250"/>
      <c r="DO445" s="53"/>
      <c r="DP445" s="53"/>
      <c r="DY445" s="2275"/>
      <c r="DZ445" s="2275"/>
      <c r="EA445" s="2275"/>
      <c r="EB445" s="2275"/>
      <c r="EC445" s="2275"/>
      <c r="ED445" s="2275"/>
      <c r="EE445" s="2275"/>
      <c r="EF445" s="2275"/>
      <c r="EG445" s="2275"/>
      <c r="EH445" s="2275"/>
      <c r="EI445" s="2275"/>
      <c r="EJ445" s="2275"/>
      <c r="EK445" s="2275"/>
      <c r="EL445" s="2275"/>
      <c r="EM445" s="2275"/>
      <c r="EN445" s="2275"/>
      <c r="EO445" s="2275"/>
      <c r="EP445" s="2275"/>
      <c r="EQ445" s="2275"/>
      <c r="ER445" s="2275"/>
      <c r="ES445" s="2275"/>
      <c r="ET445" s="2275"/>
      <c r="EU445" s="2275"/>
      <c r="EV445" s="2275"/>
      <c r="EW445" s="2275"/>
      <c r="EX445" s="2275"/>
      <c r="EY445" s="2275"/>
      <c r="EZ445" s="2275"/>
      <c r="FA445" s="2275"/>
      <c r="FB445" s="2346"/>
      <c r="FC445" s="2275"/>
      <c r="FD445" s="2276">
        <f>HLOOKUP(FD431,EA432:FA444,12,0)</f>
        <v>138.9</v>
      </c>
      <c r="FE445" s="2276">
        <f t="shared" si="344"/>
        <v>199.69</v>
      </c>
      <c r="FF445" s="2275">
        <v>1650</v>
      </c>
      <c r="FG445" s="2275"/>
      <c r="FH445" s="2275"/>
      <c r="FI445" s="2275"/>
      <c r="FJ445" s="2275"/>
      <c r="FK445" s="2275"/>
      <c r="FL445" s="2275"/>
      <c r="FM445" s="2250"/>
      <c r="FN445" s="2250"/>
      <c r="FO445" s="2250"/>
      <c r="FP445" s="2250"/>
      <c r="FQ445" s="2250"/>
      <c r="FR445" s="2250"/>
      <c r="FS445" s="2250"/>
      <c r="FT445" s="2250"/>
      <c r="FU445" s="2250"/>
      <c r="FV445" s="2250"/>
      <c r="FW445" s="2250"/>
      <c r="FX445" s="2250"/>
      <c r="FY445" s="2250"/>
      <c r="FZ445" s="2250"/>
      <c r="GA445" s="2250"/>
      <c r="GB445" s="2250"/>
      <c r="GC445" s="2276"/>
      <c r="GD445" s="2276"/>
      <c r="GE445" s="2250"/>
      <c r="GF445" s="2275"/>
      <c r="GG445" s="2275"/>
      <c r="GH445" s="2275"/>
      <c r="GI445" s="2275"/>
      <c r="GJ445" s="2275"/>
      <c r="GK445" s="2275"/>
      <c r="GL445" s="2275"/>
      <c r="GM445" s="2275"/>
      <c r="GN445" s="2275"/>
      <c r="GO445" s="2275"/>
      <c r="GP445" s="2275"/>
      <c r="GQ445" s="2275"/>
      <c r="GR445" s="2275"/>
      <c r="GS445" s="2275"/>
      <c r="GT445" s="2275"/>
      <c r="GU445" s="2275"/>
      <c r="GV445" s="2275"/>
      <c r="GW445" s="2275"/>
      <c r="GX445" s="2275"/>
      <c r="GY445" s="2275"/>
      <c r="GZ445" s="2275"/>
      <c r="HA445" s="2275"/>
      <c r="HB445" s="2275"/>
      <c r="HC445" s="2275"/>
      <c r="HD445" s="2275"/>
      <c r="HE445" s="2275"/>
      <c r="HF445" s="2275"/>
      <c r="HG445" s="2275"/>
      <c r="HH445" s="2275"/>
      <c r="HI445" s="2275"/>
      <c r="HJ445" s="2346"/>
      <c r="HK445" s="2275"/>
      <c r="HL445" s="2276">
        <f>HLOOKUP(HL431,GI432:HI444,12,0)</f>
        <v>130.43</v>
      </c>
      <c r="HM445" s="2276">
        <f t="shared" si="345"/>
        <v>186.38</v>
      </c>
      <c r="HN445" s="2275">
        <v>1650</v>
      </c>
      <c r="HO445" s="2275"/>
      <c r="HP445" s="2275"/>
      <c r="HQ445" s="2275"/>
      <c r="HR445" s="2275"/>
      <c r="HS445" s="2275"/>
      <c r="HT445" s="2275"/>
      <c r="HU445" s="2250"/>
      <c r="HV445" s="2250"/>
      <c r="HW445" s="2250"/>
      <c r="HX445" s="2250"/>
      <c r="HY445" s="2250"/>
      <c r="HZ445" s="2250"/>
      <c r="IA445" s="2250"/>
      <c r="IB445" s="2250"/>
      <c r="IC445" s="2250"/>
      <c r="ID445" s="2250"/>
      <c r="IE445" s="2250"/>
      <c r="IF445" s="2250"/>
      <c r="IG445" s="2250"/>
      <c r="IH445" s="2250"/>
      <c r="II445" s="2250"/>
      <c r="IJ445" s="2250"/>
      <c r="IK445" s="2250"/>
      <c r="IL445" s="53"/>
      <c r="IM445" s="53"/>
    </row>
    <row r="446" spans="2:247" ht="21.95" customHeight="1">
      <c r="B446" s="2276">
        <f>AG431</f>
        <v>190.4</v>
      </c>
      <c r="C446" s="2275">
        <v>0</v>
      </c>
      <c r="D446" s="2276">
        <f>VLOOKUP(B448,C434:AD444,2,0)</f>
        <v>17.36</v>
      </c>
      <c r="E446" s="2276">
        <f>VLOOKUP(B448,C434:E444,3,0)</f>
        <v>19.02</v>
      </c>
      <c r="F446" s="2276">
        <f>VLOOKUP(B448,C434:F444,4,0)</f>
        <v>20.86</v>
      </c>
      <c r="G446" s="2276">
        <f>VLOOKUP(B448,C434:G444,5,0)</f>
        <v>20.86</v>
      </c>
      <c r="H446" s="2276">
        <f>VLOOKUP(B448,C434:H444,6,0)</f>
        <v>23.19</v>
      </c>
      <c r="I446" s="2276">
        <f>VLOOKUP(B448,C434:I444,7,0)</f>
        <v>23.62</v>
      </c>
      <c r="J446" s="2276">
        <f>VLOOKUP(B448,C434:J444,8,0)</f>
        <v>26.01</v>
      </c>
      <c r="K446" s="2276">
        <f>VLOOKUP(B448,C434:K444,9,0)</f>
        <v>27.73</v>
      </c>
      <c r="L446" s="2276">
        <f>VLOOKUP(B448,C434:L444,10,0)</f>
        <v>29.39</v>
      </c>
      <c r="M446" s="2276">
        <f>VLOOKUP(B448,C434:M444,11,0)</f>
        <v>30.98</v>
      </c>
      <c r="N446" s="2276">
        <f>VLOOKUP(B448,C434:N444,12,0)</f>
        <v>32.880000000000003</v>
      </c>
      <c r="O446" s="2276">
        <f>VLOOKUP(B448,C434:O444,13,0)</f>
        <v>36.93</v>
      </c>
      <c r="P446" s="2276">
        <f>VLOOKUP(B448,C434:P444,14,0)</f>
        <v>38.770000000000003</v>
      </c>
      <c r="Q446" s="2276">
        <f>VLOOKUP(B448,C434:Q444,15,0)</f>
        <v>39.26</v>
      </c>
      <c r="R446" s="2276">
        <f>VLOOKUP(B448,C434:R444,16,0)</f>
        <v>40.799999999999997</v>
      </c>
      <c r="S446" s="2276">
        <f>VLOOKUP(B448,C434:S444,17,0)</f>
        <v>44.66</v>
      </c>
      <c r="T446" s="2276">
        <f>VLOOKUP(B448,C434:T444,18,0)</f>
        <v>44.91</v>
      </c>
      <c r="U446" s="2276">
        <f>VLOOKUP(B448,C434:U444,19,0)</f>
        <v>49.69</v>
      </c>
      <c r="V446" s="2276">
        <f>VLOOKUP(B448,C434:V444,20,0)</f>
        <v>52.58</v>
      </c>
      <c r="W446" s="2276">
        <f>VLOOKUP(B448,C434:W444,21,0)</f>
        <v>55.34</v>
      </c>
      <c r="X446" s="2276">
        <f>VLOOKUP(B448,C434:X444,22,0)</f>
        <v>59.88</v>
      </c>
      <c r="Y446" s="2276">
        <f>VLOOKUP(B448,C434:Y444,23,0)</f>
        <v>64.72</v>
      </c>
      <c r="Z446" s="2276">
        <f>VLOOKUP(B448,C434:Z444,24,0)</f>
        <v>71.099999999999994</v>
      </c>
      <c r="AA446" s="2276">
        <f>VLOOKUP(B448,C434:AA444,25,0)</f>
        <v>72.7</v>
      </c>
      <c r="AB446" s="2276">
        <f>VLOOKUP(B448,C434:AB444,26,0)</f>
        <v>79.510000000000005</v>
      </c>
      <c r="AC446" s="2276">
        <f>VLOOKUP(B448,C434:AC444,27,0)</f>
        <v>81.47</v>
      </c>
      <c r="AD446" s="2276">
        <f>VLOOKUP(B448,C434:AD444,28,0)</f>
        <v>81.47</v>
      </c>
      <c r="AE446" s="2346"/>
      <c r="AF446" s="2275"/>
      <c r="AG446" s="2276">
        <f>HLOOKUP(AG431,D432:AD444,13,0)</f>
        <v>132.58000000000001</v>
      </c>
      <c r="AH446" s="2275"/>
      <c r="AI446" s="2275"/>
      <c r="AJ446" s="2275"/>
      <c r="AK446" s="2275"/>
      <c r="AL446" s="2275"/>
      <c r="AM446" s="2275"/>
      <c r="AN446" s="2275"/>
      <c r="AO446" s="2275"/>
      <c r="AP446" s="2250"/>
      <c r="AQ446" s="2250"/>
      <c r="AR446" s="2250"/>
      <c r="AS446" s="2250"/>
      <c r="AT446" s="2250"/>
      <c r="AU446" s="2250"/>
      <c r="AV446" s="2250"/>
      <c r="AW446" s="2250"/>
      <c r="AX446" s="2250"/>
      <c r="AY446" s="2250"/>
      <c r="AZ446" s="2250"/>
      <c r="BA446" s="2250"/>
      <c r="BB446" s="2250"/>
      <c r="BC446" s="2250"/>
      <c r="BD446" s="2250"/>
      <c r="BE446" s="2250"/>
      <c r="BF446" s="2276"/>
      <c r="BG446" s="2276"/>
      <c r="BH446" s="2250"/>
      <c r="BI446" s="2275"/>
      <c r="BJ446" s="2276">
        <f>CO431</f>
        <v>206.43</v>
      </c>
      <c r="BK446" s="2275">
        <v>0</v>
      </c>
      <c r="BL446" s="2276">
        <f>VLOOKUP(BJ448,BK434:CL444,2,0)</f>
        <v>24.11</v>
      </c>
      <c r="BM446" s="2276">
        <f>VLOOKUP(BJ448,BK434:BM444,3,0)</f>
        <v>27.18</v>
      </c>
      <c r="BN446" s="2276">
        <f>VLOOKUP(BJ448,BK434:BN444,4,0)</f>
        <v>30.12</v>
      </c>
      <c r="BO446" s="2276">
        <f>VLOOKUP(BJ448,BK434:BO444,5,0)</f>
        <v>31.72</v>
      </c>
      <c r="BP446" s="2276">
        <f>VLOOKUP(BJ448,BK434:BP444,6,0)</f>
        <v>31.72</v>
      </c>
      <c r="BQ446" s="2276">
        <f>VLOOKUP(BJ448,BK434:BQ444,7,0)</f>
        <v>34.29</v>
      </c>
      <c r="BR446" s="2276">
        <f>VLOOKUP(BJ448,BK434:BR444,8,0)</f>
        <v>37.979999999999997</v>
      </c>
      <c r="BS446" s="2276">
        <f>VLOOKUP(BJ448,BK434:BS444,9,0)</f>
        <v>40.31</v>
      </c>
      <c r="BT446" s="2276">
        <f>VLOOKUP(BJ448,BK434:BT444,10,0)</f>
        <v>42.82</v>
      </c>
      <c r="BU446" s="2276">
        <f>VLOOKUP(BJ448,BK434:BU444,11,0)</f>
        <v>46.63</v>
      </c>
      <c r="BV446" s="2276">
        <f>VLOOKUP(BJ448,BK434:BV444,12,0)</f>
        <v>47.42</v>
      </c>
      <c r="BW446" s="2276">
        <f>VLOOKUP(BJ448,BK434:BW444,13,0)</f>
        <v>55.52</v>
      </c>
      <c r="BX446" s="2276">
        <f>VLOOKUP(BJ448,BK434:BX444,14,0)</f>
        <v>56.13</v>
      </c>
      <c r="BY446" s="2276">
        <f>VLOOKUP(BJ448,BK434:BY444,15,0)</f>
        <v>56.26</v>
      </c>
      <c r="BZ446" s="2276">
        <f>VLOOKUP(BJ448,BK434:BZ444,16,0)</f>
        <v>59.08</v>
      </c>
      <c r="CA446" s="2276">
        <f>VLOOKUP(BJ448,BK434:CA444,17,0)</f>
        <v>64.48</v>
      </c>
      <c r="CB446" s="2276">
        <f>VLOOKUP(BJ448,BK434:CB444,18,0)</f>
        <v>69.39</v>
      </c>
      <c r="CC446" s="2276">
        <f>VLOOKUP(BJ448,BK434:CC444,19,0)</f>
        <v>73.010000000000005</v>
      </c>
      <c r="CD446" s="2276">
        <f>VLOOKUP(BJ448,BK434:CD444,20,0)</f>
        <v>75.95</v>
      </c>
      <c r="CE446" s="2276">
        <f>VLOOKUP(BJ448,BK434:CE444,21,0)</f>
        <v>83.56</v>
      </c>
      <c r="CF446" s="2276">
        <f>VLOOKUP(BJ448,BK434:CF444,22,0)</f>
        <v>90</v>
      </c>
      <c r="CG446" s="2276">
        <f>VLOOKUP(BJ448,BK434:CG444,23,0)</f>
        <v>97.3</v>
      </c>
      <c r="CH446" s="2276">
        <f>VLOOKUP(BJ448,BK434:CH444,24,0)</f>
        <v>105.15</v>
      </c>
      <c r="CI446" s="2276">
        <f>VLOOKUP(BJ448,BK434:CI444,25,0)</f>
        <v>115.71</v>
      </c>
      <c r="CJ446" s="2276">
        <f>VLOOKUP(BJ448,BK434:CJ444,26,0)</f>
        <v>121.6</v>
      </c>
      <c r="CK446" s="2276">
        <f>VLOOKUP(BJ448,BK434:CK444,27,0)</f>
        <v>121.6</v>
      </c>
      <c r="CL446" s="2276">
        <f>VLOOKUP(BJ448,BK434:CL444,28,0)</f>
        <v>121.6</v>
      </c>
      <c r="CM446" s="2346"/>
      <c r="CN446" s="2275"/>
      <c r="CO446" s="2276">
        <f>HLOOKUP(CO431,BL432:CL444,13,0)</f>
        <v>120</v>
      </c>
      <c r="CP446" s="2275"/>
      <c r="CQ446" s="2275"/>
      <c r="CR446" s="2275"/>
      <c r="CS446" s="2275"/>
      <c r="CT446" s="2275"/>
      <c r="CU446" s="2275"/>
      <c r="CV446" s="2275"/>
      <c r="CW446" s="2275"/>
      <c r="CX446" s="2250"/>
      <c r="CY446" s="2250"/>
      <c r="CZ446" s="2250"/>
      <c r="DA446" s="2250"/>
      <c r="DB446" s="2250"/>
      <c r="DC446" s="2250"/>
      <c r="DD446" s="2250"/>
      <c r="DE446" s="2250"/>
      <c r="DF446" s="2250"/>
      <c r="DG446" s="2250"/>
      <c r="DH446" s="2250"/>
      <c r="DI446" s="2250"/>
      <c r="DJ446" s="2250"/>
      <c r="DK446" s="2250"/>
      <c r="DL446" s="2250"/>
      <c r="DM446" s="2250"/>
      <c r="DN446" s="2250"/>
      <c r="DO446" s="53"/>
      <c r="DP446" s="53"/>
      <c r="DY446" s="2276">
        <f>FD431</f>
        <v>120.7</v>
      </c>
      <c r="DZ446" s="2275">
        <v>0</v>
      </c>
      <c r="EA446" s="2276">
        <f>VLOOKUP(DY448,DZ434:FA444,2,0)</f>
        <v>11.9</v>
      </c>
      <c r="EB446" s="2276">
        <f>VLOOKUP(DY448,DZ434:EB444,3,0)</f>
        <v>13.44</v>
      </c>
      <c r="EC446" s="2276">
        <f>VLOOKUP(DY448,DZ434:EC444,4,0)</f>
        <v>14.72</v>
      </c>
      <c r="ED446" s="2276">
        <f>VLOOKUP(DY448,DZ434:ED444,5,0)</f>
        <v>15.83</v>
      </c>
      <c r="EE446" s="2276">
        <f>VLOOKUP(DY448,DZ434:EE444,6,0)</f>
        <v>16.809999999999999</v>
      </c>
      <c r="EF446" s="2276">
        <f>VLOOKUP(DY448,DZ434:EF444,7,0)</f>
        <v>16.93</v>
      </c>
      <c r="EG446" s="2276">
        <f>VLOOKUP(DY448,DZ434:EG444,8,0)</f>
        <v>18.28</v>
      </c>
      <c r="EH446" s="2276">
        <f>VLOOKUP(DY448,DZ434:EH444,9,0)</f>
        <v>19.57</v>
      </c>
      <c r="EI446" s="2276">
        <f>VLOOKUP(DY448,DZ434:EI444,10,0)</f>
        <v>20.74</v>
      </c>
      <c r="EJ446" s="2276">
        <f>VLOOKUP(DY448,DZ434:EJ444,11,0)</f>
        <v>22.09</v>
      </c>
      <c r="EK446" s="2276">
        <f>VLOOKUP(DY448,DZ434:EK444,12,0)</f>
        <v>24.42</v>
      </c>
      <c r="EL446" s="2276">
        <f>VLOOKUP(DY448,DZ434:EL444,13,0)</f>
        <v>26.26</v>
      </c>
      <c r="EM446" s="2276">
        <f>VLOOKUP(DY448,DZ434:EM444,14,0)</f>
        <v>27.55</v>
      </c>
      <c r="EN446" s="2276">
        <f>VLOOKUP(DY448,DZ434:EN444,15,0)</f>
        <v>28.96</v>
      </c>
      <c r="EO446" s="2276">
        <f>VLOOKUP(DY448,DZ434:EO444,16,0)</f>
        <v>29.82</v>
      </c>
      <c r="EP446" s="2276">
        <f>VLOOKUP(DY448,DZ434:EP444,17,0)</f>
        <v>31.53</v>
      </c>
      <c r="EQ446" s="2276">
        <f>VLOOKUP(DY448,DZ434:EQ444,18,0)</f>
        <v>33.5</v>
      </c>
      <c r="ER446" s="2276">
        <f>VLOOKUP(DY448,DZ434:ER444,19,0)</f>
        <v>36.32</v>
      </c>
      <c r="ES446" s="2276">
        <f>VLOOKUP(DY448,DZ434:ES444,20,0)</f>
        <v>38.71</v>
      </c>
      <c r="ET446" s="2276">
        <f>VLOOKUP(DY448,DZ434:ET444,21,0)</f>
        <v>41.41</v>
      </c>
      <c r="EU446" s="2276">
        <f>VLOOKUP(DY448,DZ434:EU444,22,0)</f>
        <v>44.17</v>
      </c>
      <c r="EV446" s="2276">
        <f>VLOOKUP(DY448,DZ434:EV444,23,0)</f>
        <v>48.77</v>
      </c>
      <c r="EW446" s="2276">
        <f>VLOOKUP(DY448,DZ434:EW444,24,0)</f>
        <v>53.31</v>
      </c>
      <c r="EX446" s="2276">
        <f>VLOOKUP(DY448,DZ434:EX444,25,0)</f>
        <v>59.08</v>
      </c>
      <c r="EY446" s="2276">
        <f>VLOOKUP(DY448,DZ434:EY444,26,0)</f>
        <v>66.319999999999993</v>
      </c>
      <c r="EZ446" s="2276">
        <f>VLOOKUP(DY448,DZ434:EZ444,27,0)</f>
        <v>75.89</v>
      </c>
      <c r="FA446" s="2276">
        <f>VLOOKUP(DY448,DZ434:FA444,28,0)</f>
        <v>81.47</v>
      </c>
      <c r="FB446" s="2346"/>
      <c r="FC446" s="2275"/>
      <c r="FD446" s="2276">
        <f>HLOOKUP(FD431,EA432:FA444,13,0)</f>
        <v>199.69</v>
      </c>
      <c r="FE446" s="2275"/>
      <c r="FF446" s="2275"/>
      <c r="FG446" s="2275"/>
      <c r="FH446" s="2275"/>
      <c r="FI446" s="2275"/>
      <c r="FJ446" s="2275"/>
      <c r="FK446" s="2275"/>
      <c r="FL446" s="2275"/>
      <c r="FM446" s="2250"/>
      <c r="FN446" s="2250"/>
      <c r="FO446" s="2250"/>
      <c r="FP446" s="2250"/>
      <c r="FQ446" s="2250"/>
      <c r="FR446" s="2250"/>
      <c r="FS446" s="2250"/>
      <c r="FT446" s="2250"/>
      <c r="FU446" s="2250"/>
      <c r="FV446" s="2250"/>
      <c r="FW446" s="2250"/>
      <c r="FX446" s="2250"/>
      <c r="FY446" s="2250"/>
      <c r="FZ446" s="2250"/>
      <c r="GA446" s="2250"/>
      <c r="GB446" s="2250"/>
      <c r="GC446" s="2276"/>
      <c r="GD446" s="2276"/>
      <c r="GE446" s="2250"/>
      <c r="GF446" s="2275"/>
      <c r="GG446" s="2276">
        <f>HL431</f>
        <v>129.80000000000001</v>
      </c>
      <c r="GH446" s="2275">
        <v>0</v>
      </c>
      <c r="GI446" s="2276">
        <f>VLOOKUP(GG448,GH434:HI444,2,0)</f>
        <v>11.9</v>
      </c>
      <c r="GJ446" s="2276">
        <f>VLOOKUP(GG448,GH434:GJ444,3,0)</f>
        <v>13.44</v>
      </c>
      <c r="GK446" s="2276">
        <f>VLOOKUP(GG448,GH434:GK444,4,0)</f>
        <v>14.72</v>
      </c>
      <c r="GL446" s="2276">
        <f>VLOOKUP(GG448,GH434:GL444,5,0)</f>
        <v>15.83</v>
      </c>
      <c r="GM446" s="2276">
        <f>VLOOKUP(GG448,GH434:GM444,6,0)</f>
        <v>16.809999999999999</v>
      </c>
      <c r="GN446" s="2276">
        <f>VLOOKUP(GG448,GH434:GN444,7,0)</f>
        <v>16.93</v>
      </c>
      <c r="GO446" s="2276">
        <f>VLOOKUP(GG448,GH434:GO444,8,0)</f>
        <v>18.28</v>
      </c>
      <c r="GP446" s="2276">
        <f>VLOOKUP(GG448,GH434:GP444,9,0)</f>
        <v>19.57</v>
      </c>
      <c r="GQ446" s="2276">
        <f>VLOOKUP(GG448,GH434:GQ444,10,0)</f>
        <v>20.74</v>
      </c>
      <c r="GR446" s="2276">
        <f>VLOOKUP(GG448,GH434:GR444,11,0)</f>
        <v>22.09</v>
      </c>
      <c r="GS446" s="2276">
        <f>VLOOKUP(GG448,GH434:GS444,12,0)</f>
        <v>24.42</v>
      </c>
      <c r="GT446" s="2276">
        <f>VLOOKUP(GG448,GH434:GT444,13,0)</f>
        <v>26.26</v>
      </c>
      <c r="GU446" s="2276">
        <f>VLOOKUP(GG448,GH434:GU444,14,0)</f>
        <v>27.55</v>
      </c>
      <c r="GV446" s="2276">
        <f>VLOOKUP(GG448,GH434:GV444,15,0)</f>
        <v>28.96</v>
      </c>
      <c r="GW446" s="2276">
        <f>VLOOKUP(GG448,GH434:GW444,16,0)</f>
        <v>29.82</v>
      </c>
      <c r="GX446" s="2276">
        <f>VLOOKUP(GG448,GH434:GX444,17,0)</f>
        <v>31.53</v>
      </c>
      <c r="GY446" s="2276">
        <f>VLOOKUP(GG448,GH434:GY444,18,0)</f>
        <v>33.5</v>
      </c>
      <c r="GZ446" s="2276">
        <f>VLOOKUP(GG448,GH434:GZ444,19,0)</f>
        <v>36.32</v>
      </c>
      <c r="HA446" s="2276">
        <f>VLOOKUP(GG448,GH434:HA444,20,0)</f>
        <v>38.71</v>
      </c>
      <c r="HB446" s="2276">
        <f>VLOOKUP(GG448,GH434:HB444,21,0)</f>
        <v>41.41</v>
      </c>
      <c r="HC446" s="2276">
        <f>VLOOKUP(GG448,GH434:HC444,22,0)</f>
        <v>44.17</v>
      </c>
      <c r="HD446" s="2276">
        <f>VLOOKUP(GG448,GH434:HD444,23,0)</f>
        <v>48.77</v>
      </c>
      <c r="HE446" s="2276">
        <f>VLOOKUP(GG448,GH434:HE444,24,0)</f>
        <v>53.31</v>
      </c>
      <c r="HF446" s="2276">
        <f>VLOOKUP(GG448,GH434:HF444,25,0)</f>
        <v>59.08</v>
      </c>
      <c r="HG446" s="2276">
        <f>VLOOKUP(GG448,GH434:HG444,26,0)</f>
        <v>66.319999999999993</v>
      </c>
      <c r="HH446" s="2276">
        <f>VLOOKUP(GG448,GH434:HH444,27,0)</f>
        <v>75.89</v>
      </c>
      <c r="HI446" s="2276">
        <f>VLOOKUP(GG448,GH434:HI444,28,0)</f>
        <v>81.47</v>
      </c>
      <c r="HJ446" s="2346"/>
      <c r="HK446" s="2275"/>
      <c r="HL446" s="2276">
        <f>HLOOKUP(HL431,GI432:HI444,13,0)</f>
        <v>186.38</v>
      </c>
      <c r="HM446" s="2275"/>
      <c r="HN446" s="2275"/>
      <c r="HO446" s="2275"/>
      <c r="HP446" s="2275"/>
      <c r="HQ446" s="2275"/>
      <c r="HR446" s="2275"/>
      <c r="HS446" s="2275"/>
      <c r="HT446" s="2275"/>
      <c r="HU446" s="2250"/>
      <c r="HV446" s="2250"/>
      <c r="HW446" s="2250"/>
      <c r="HX446" s="2250"/>
      <c r="HY446" s="2250"/>
      <c r="HZ446" s="2250"/>
      <c r="IA446" s="2250"/>
      <c r="IB446" s="2250"/>
      <c r="IC446" s="2250"/>
      <c r="ID446" s="2250"/>
      <c r="IE446" s="2250"/>
      <c r="IF446" s="2250"/>
      <c r="IG446" s="2250"/>
      <c r="IH446" s="2250"/>
      <c r="II446" s="2250"/>
      <c r="IJ446" s="2250"/>
      <c r="IK446" s="2250"/>
      <c r="IL446" s="53"/>
      <c r="IM446" s="53"/>
    </row>
    <row r="447" spans="2:247" ht="21.95" customHeight="1">
      <c r="B447" s="2276">
        <f>AH448</f>
        <v>20.86</v>
      </c>
      <c r="C447" s="2275"/>
      <c r="D447" s="2275"/>
      <c r="E447" s="2275"/>
      <c r="F447" s="2275"/>
      <c r="G447" s="2275"/>
      <c r="H447" s="2275"/>
      <c r="I447" s="2275"/>
      <c r="J447" s="2275"/>
      <c r="K447" s="2275"/>
      <c r="L447" s="2275"/>
      <c r="M447" s="2275"/>
      <c r="N447" s="2275"/>
      <c r="O447" s="2275"/>
      <c r="P447" s="2275"/>
      <c r="Q447" s="2275"/>
      <c r="R447" s="2275"/>
      <c r="S447" s="2275"/>
      <c r="T447" s="2275"/>
      <c r="U447" s="2275"/>
      <c r="V447" s="2275"/>
      <c r="W447" s="2275"/>
      <c r="X447" s="2275"/>
      <c r="Y447" s="2275"/>
      <c r="Z447" s="2275"/>
      <c r="AA447" s="2275"/>
      <c r="AB447" s="2275"/>
      <c r="AC447" s="2275"/>
      <c r="AD447" s="2275"/>
      <c r="AE447" s="2275"/>
      <c r="AF447" s="2275"/>
      <c r="AG447" s="2276">
        <f>VLOOKUP(AG432,AG434:AG446,1)</f>
        <v>14.72</v>
      </c>
      <c r="AH447" s="2276">
        <f>IFERROR(VLOOKUP(AG432,AH434:AH444,2,0),0)</f>
        <v>0</v>
      </c>
      <c r="AI447" s="2275"/>
      <c r="AJ447" s="2275"/>
      <c r="AK447" s="2275"/>
      <c r="AL447" s="2275"/>
      <c r="AM447" s="2275"/>
      <c r="AN447" s="2275"/>
      <c r="AO447" s="2275"/>
      <c r="AP447" s="2250"/>
      <c r="AQ447" s="2250"/>
      <c r="AR447" s="2250"/>
      <c r="AS447" s="2250"/>
      <c r="AT447" s="2250"/>
      <c r="AU447" s="2250"/>
      <c r="AV447" s="2250"/>
      <c r="AW447" s="2250"/>
      <c r="AX447" s="2250"/>
      <c r="AY447" s="2250"/>
      <c r="AZ447" s="2250"/>
      <c r="BA447" s="2250"/>
      <c r="BB447" s="2250"/>
      <c r="BC447" s="2250"/>
      <c r="BD447" s="2250"/>
      <c r="BE447" s="2250"/>
      <c r="BF447" s="2276"/>
      <c r="BG447" s="2276"/>
      <c r="BH447" s="2250"/>
      <c r="BI447" s="2275"/>
      <c r="BJ447" s="2276">
        <f>CP448</f>
        <v>27.18</v>
      </c>
      <c r="BK447" s="2275"/>
      <c r="BL447" s="2275"/>
      <c r="BM447" s="2275"/>
      <c r="BN447" s="2275"/>
      <c r="BO447" s="2275"/>
      <c r="BP447" s="2275"/>
      <c r="BQ447" s="2275"/>
      <c r="BR447" s="2275"/>
      <c r="BS447" s="2275"/>
      <c r="BT447" s="2275"/>
      <c r="BU447" s="2275"/>
      <c r="BV447" s="2275"/>
      <c r="BW447" s="2275"/>
      <c r="BX447" s="2275"/>
      <c r="BY447" s="2275"/>
      <c r="BZ447" s="2275"/>
      <c r="CA447" s="2275"/>
      <c r="CB447" s="2275"/>
      <c r="CC447" s="2275"/>
      <c r="CD447" s="2275"/>
      <c r="CE447" s="2275"/>
      <c r="CF447" s="2275"/>
      <c r="CG447" s="2275"/>
      <c r="CH447" s="2275"/>
      <c r="CI447" s="2275"/>
      <c r="CJ447" s="2275"/>
      <c r="CK447" s="2275"/>
      <c r="CL447" s="2275"/>
      <c r="CM447" s="2275"/>
      <c r="CN447" s="2275"/>
      <c r="CO447" s="2276">
        <f>VLOOKUP(CO432,CO434:CO446,1)</f>
        <v>19.02</v>
      </c>
      <c r="CP447" s="2276">
        <f>IFERROR(VLOOKUP(CO432,CP434:CP444,2,0),0)</f>
        <v>0</v>
      </c>
      <c r="CQ447" s="2275"/>
      <c r="CR447" s="2275"/>
      <c r="CS447" s="2275"/>
      <c r="CT447" s="2275"/>
      <c r="CU447" s="2275"/>
      <c r="CV447" s="2275"/>
      <c r="CW447" s="2275"/>
      <c r="CX447" s="2250"/>
      <c r="CY447" s="2250"/>
      <c r="CZ447" s="2250"/>
      <c r="DA447" s="2250"/>
      <c r="DB447" s="2250"/>
      <c r="DC447" s="2250"/>
      <c r="DD447" s="2250"/>
      <c r="DE447" s="2250"/>
      <c r="DF447" s="2250"/>
      <c r="DG447" s="2250"/>
      <c r="DH447" s="2250"/>
      <c r="DI447" s="2250"/>
      <c r="DJ447" s="2250"/>
      <c r="DK447" s="2250"/>
      <c r="DL447" s="2250"/>
      <c r="DM447" s="2250"/>
      <c r="DN447" s="2250"/>
      <c r="DO447" s="53"/>
      <c r="DP447" s="53"/>
      <c r="DY447" s="2276">
        <f>FE448</f>
        <v>22.09</v>
      </c>
      <c r="DZ447" s="2275"/>
      <c r="EA447" s="2275"/>
      <c r="EB447" s="2275"/>
      <c r="EC447" s="2275"/>
      <c r="ED447" s="2275"/>
      <c r="EE447" s="2275"/>
      <c r="EF447" s="2275"/>
      <c r="EG447" s="2275"/>
      <c r="EH447" s="2275"/>
      <c r="EI447" s="2275"/>
      <c r="EJ447" s="2275"/>
      <c r="EK447" s="2275"/>
      <c r="EL447" s="2275"/>
      <c r="EM447" s="2275"/>
      <c r="EN447" s="2275"/>
      <c r="EO447" s="2275"/>
      <c r="EP447" s="2275"/>
      <c r="EQ447" s="2275"/>
      <c r="ER447" s="2275"/>
      <c r="ES447" s="2275"/>
      <c r="ET447" s="2275"/>
      <c r="EU447" s="2275"/>
      <c r="EV447" s="2275"/>
      <c r="EW447" s="2275"/>
      <c r="EX447" s="2275"/>
      <c r="EY447" s="2275"/>
      <c r="EZ447" s="2275"/>
      <c r="FA447" s="2275"/>
      <c r="FB447" s="2275"/>
      <c r="FC447" s="2275"/>
      <c r="FD447" s="2276">
        <f>VLOOKUP(FD432,FD434:FD446,1)</f>
        <v>13.93</v>
      </c>
      <c r="FE447" s="2276">
        <f>IFERROR(VLOOKUP(FD432,FE434:FE444,2,0),0)</f>
        <v>0</v>
      </c>
      <c r="FF447" s="2275"/>
      <c r="FG447" s="2275"/>
      <c r="FH447" s="2275"/>
      <c r="FI447" s="2275"/>
      <c r="FJ447" s="2275"/>
      <c r="FK447" s="2275"/>
      <c r="FL447" s="2275"/>
      <c r="FM447" s="2250"/>
      <c r="FN447" s="2250"/>
      <c r="FO447" s="2250"/>
      <c r="FP447" s="2250"/>
      <c r="FQ447" s="2250"/>
      <c r="FR447" s="2250"/>
      <c r="FS447" s="2250"/>
      <c r="FT447" s="2250"/>
      <c r="FU447" s="2250"/>
      <c r="FV447" s="2250"/>
      <c r="FW447" s="2250"/>
      <c r="FX447" s="2250"/>
      <c r="FY447" s="2250"/>
      <c r="FZ447" s="2250"/>
      <c r="GA447" s="2250"/>
      <c r="GB447" s="2250"/>
      <c r="GC447" s="2276"/>
      <c r="GD447" s="2276"/>
      <c r="GE447" s="2250"/>
      <c r="GF447" s="2275"/>
      <c r="GG447" s="2276">
        <f>HM448</f>
        <v>20.74</v>
      </c>
      <c r="GH447" s="2275"/>
      <c r="GI447" s="2275"/>
      <c r="GJ447" s="2275"/>
      <c r="GK447" s="2275"/>
      <c r="GL447" s="2275"/>
      <c r="GM447" s="2275"/>
      <c r="GN447" s="2275"/>
      <c r="GO447" s="2275"/>
      <c r="GP447" s="2275"/>
      <c r="GQ447" s="2275"/>
      <c r="GR447" s="2275"/>
      <c r="GS447" s="2275"/>
      <c r="GT447" s="2275"/>
      <c r="GU447" s="2275"/>
      <c r="GV447" s="2275"/>
      <c r="GW447" s="2275"/>
      <c r="GX447" s="2275"/>
      <c r="GY447" s="2275"/>
      <c r="GZ447" s="2275"/>
      <c r="HA447" s="2275"/>
      <c r="HB447" s="2275"/>
      <c r="HC447" s="2275"/>
      <c r="HD447" s="2275"/>
      <c r="HE447" s="2275"/>
      <c r="HF447" s="2275"/>
      <c r="HG447" s="2275"/>
      <c r="HH447" s="2275"/>
      <c r="HI447" s="2275"/>
      <c r="HJ447" s="2275"/>
      <c r="HK447" s="2275"/>
      <c r="HL447" s="2276">
        <f>VLOOKUP(HL432,HL434:HL446,1)</f>
        <v>13.07</v>
      </c>
      <c r="HM447" s="2276">
        <f>IFERROR(VLOOKUP(HL432,HM434:HM444,2,0),0)</f>
        <v>0</v>
      </c>
      <c r="HN447" s="2275"/>
      <c r="HO447" s="2275"/>
      <c r="HP447" s="2275"/>
      <c r="HQ447" s="2275"/>
      <c r="HR447" s="2275"/>
      <c r="HS447" s="2275"/>
      <c r="HT447" s="2275"/>
      <c r="HU447" s="2250"/>
      <c r="HV447" s="2250"/>
      <c r="HW447" s="2250"/>
      <c r="HX447" s="2250"/>
      <c r="HY447" s="2250"/>
      <c r="HZ447" s="2250"/>
      <c r="IA447" s="2250"/>
      <c r="IB447" s="2250"/>
      <c r="IC447" s="2250"/>
      <c r="ID447" s="2250"/>
      <c r="IE447" s="2250"/>
      <c r="IF447" s="2250"/>
      <c r="IG447" s="2250"/>
      <c r="IH447" s="2250"/>
      <c r="II447" s="2250"/>
      <c r="IJ447" s="2250"/>
      <c r="IK447" s="2250"/>
      <c r="IL447" s="53"/>
      <c r="IM447" s="53"/>
    </row>
    <row r="448" spans="2:247" ht="21.95" customHeight="1">
      <c r="B448" s="3693">
        <f>AI448</f>
        <v>825</v>
      </c>
      <c r="C448" s="2346" t="s">
        <v>739</v>
      </c>
      <c r="D448" s="3693">
        <f>HLOOKUP(B446,D432:AD446,15,0)</f>
        <v>20.86</v>
      </c>
      <c r="E448" s="3693" t="str">
        <f>IF(B447=D448,"Right","Wrong")</f>
        <v>Right</v>
      </c>
      <c r="F448" s="2275"/>
      <c r="G448" s="2275"/>
      <c r="H448" s="2275"/>
      <c r="I448" s="2275"/>
      <c r="J448" s="2275"/>
      <c r="K448" s="2275"/>
      <c r="L448" s="2275"/>
      <c r="M448" s="2275"/>
      <c r="N448" s="2275"/>
      <c r="O448" s="2275"/>
      <c r="P448" s="2275"/>
      <c r="Q448" s="2275"/>
      <c r="R448" s="2275"/>
      <c r="S448" s="2275"/>
      <c r="T448" s="2275"/>
      <c r="U448" s="2275"/>
      <c r="V448" s="2275"/>
      <c r="W448" s="2275"/>
      <c r="X448" s="2275"/>
      <c r="Y448" s="2275"/>
      <c r="Z448" s="2275"/>
      <c r="AA448" s="2275"/>
      <c r="AB448" s="2275"/>
      <c r="AC448" s="2275"/>
      <c r="AD448" s="2275"/>
      <c r="AE448" s="2275"/>
      <c r="AF448" s="2275"/>
      <c r="AG448" s="2276">
        <f>VLOOKUP(AG447,AG434:AH445,2,0)</f>
        <v>20.86</v>
      </c>
      <c r="AH448" s="2276">
        <f>IF(AH447&gt;0,AH447,AG448)</f>
        <v>20.86</v>
      </c>
      <c r="AI448" s="2276">
        <f>VLOOKUP(AH448,AH435:AI445,2,0)</f>
        <v>825</v>
      </c>
      <c r="AJ448" s="2275"/>
      <c r="AK448" s="2275"/>
      <c r="AL448" s="2275"/>
      <c r="AM448" s="2275"/>
      <c r="AN448" s="2275"/>
      <c r="AO448" s="2275"/>
      <c r="AP448" s="2250"/>
      <c r="AQ448" s="2250"/>
      <c r="AR448" s="2250"/>
      <c r="AS448" s="2250"/>
      <c r="AT448" s="2250"/>
      <c r="AU448" s="2250"/>
      <c r="AV448" s="2250"/>
      <c r="AW448" s="2250"/>
      <c r="AX448" s="2250"/>
      <c r="AY448" s="2250"/>
      <c r="AZ448" s="2250"/>
      <c r="BA448" s="2250"/>
      <c r="BB448" s="2250"/>
      <c r="BC448" s="2250"/>
      <c r="BD448" s="2250"/>
      <c r="BE448" s="2250"/>
      <c r="BF448" s="2276"/>
      <c r="BG448" s="2276"/>
      <c r="BH448" s="2250"/>
      <c r="BI448" s="2275"/>
      <c r="BJ448" s="3693">
        <f>CQ448</f>
        <v>950</v>
      </c>
      <c r="BK448" s="2346" t="s">
        <v>739</v>
      </c>
      <c r="BL448" s="3693">
        <f>HLOOKUP(BJ446,BL432:CL446,15,0)</f>
        <v>27.18</v>
      </c>
      <c r="BM448" s="3693" t="str">
        <f>IF(BJ447=BL448,"Right","Wrong")</f>
        <v>Right</v>
      </c>
      <c r="BN448" s="2275"/>
      <c r="BO448" s="2275"/>
      <c r="BP448" s="2275"/>
      <c r="BQ448" s="2275"/>
      <c r="BR448" s="2275"/>
      <c r="BS448" s="2275"/>
      <c r="BT448" s="2275"/>
      <c r="BU448" s="2275"/>
      <c r="BV448" s="2275"/>
      <c r="BW448" s="2275"/>
      <c r="BX448" s="2275"/>
      <c r="BY448" s="2275"/>
      <c r="BZ448" s="2275"/>
      <c r="CA448" s="2275"/>
      <c r="CB448" s="2275"/>
      <c r="CC448" s="2275"/>
      <c r="CD448" s="2275"/>
      <c r="CE448" s="2275"/>
      <c r="CF448" s="2275"/>
      <c r="CG448" s="2275"/>
      <c r="CH448" s="2275"/>
      <c r="CI448" s="2275"/>
      <c r="CJ448" s="2275"/>
      <c r="CK448" s="2275"/>
      <c r="CL448" s="2275"/>
      <c r="CM448" s="2275"/>
      <c r="CN448" s="2275"/>
      <c r="CO448" s="2276">
        <f>VLOOKUP(CO447,CO434:CP445,2,0)</f>
        <v>27.18</v>
      </c>
      <c r="CP448" s="2276">
        <f>IF(CP447&gt;0,CP447,CO448)</f>
        <v>27.18</v>
      </c>
      <c r="CQ448" s="2276">
        <f>VLOOKUP(CP448,CP435:CQ445,2,0)</f>
        <v>950</v>
      </c>
      <c r="CR448" s="2275"/>
      <c r="CS448" s="2275"/>
      <c r="CT448" s="2275"/>
      <c r="CU448" s="2275"/>
      <c r="CV448" s="2275"/>
      <c r="CW448" s="2275"/>
      <c r="CX448" s="2250"/>
      <c r="CY448" s="2250"/>
      <c r="CZ448" s="2250"/>
      <c r="DA448" s="2250"/>
      <c r="DB448" s="2250"/>
      <c r="DC448" s="2250"/>
      <c r="DD448" s="2250"/>
      <c r="DE448" s="2250"/>
      <c r="DF448" s="2250"/>
      <c r="DG448" s="2250"/>
      <c r="DH448" s="2250"/>
      <c r="DI448" s="2250"/>
      <c r="DJ448" s="2250"/>
      <c r="DK448" s="2250"/>
      <c r="DL448" s="2250"/>
      <c r="DM448" s="2250"/>
      <c r="DN448" s="2250"/>
      <c r="DO448" s="53"/>
      <c r="DP448" s="53"/>
      <c r="DY448" s="3693">
        <f>FF448</f>
        <v>775</v>
      </c>
      <c r="DZ448" s="2346" t="s">
        <v>739</v>
      </c>
      <c r="EA448" s="3693">
        <f>HLOOKUP(DY446,EA432:FA446,15,0)</f>
        <v>22.09</v>
      </c>
      <c r="EB448" s="3693" t="str">
        <f>IF(DY447=EA448,"Right","Wrong")</f>
        <v>Right</v>
      </c>
      <c r="EC448" s="2275"/>
      <c r="ED448" s="2275"/>
      <c r="EE448" s="2275"/>
      <c r="EF448" s="2275"/>
      <c r="EG448" s="2275"/>
      <c r="EH448" s="2275"/>
      <c r="EI448" s="2275"/>
      <c r="EJ448" s="2275"/>
      <c r="EK448" s="2275"/>
      <c r="EL448" s="2275"/>
      <c r="EM448" s="2275"/>
      <c r="EN448" s="2275"/>
      <c r="EO448" s="2275"/>
      <c r="EP448" s="2275"/>
      <c r="EQ448" s="2275"/>
      <c r="ER448" s="2275"/>
      <c r="ES448" s="2275"/>
      <c r="ET448" s="2275"/>
      <c r="EU448" s="2275"/>
      <c r="EV448" s="2275"/>
      <c r="EW448" s="2275"/>
      <c r="EX448" s="2275"/>
      <c r="EY448" s="2275"/>
      <c r="EZ448" s="2275"/>
      <c r="FA448" s="2275"/>
      <c r="FB448" s="2275"/>
      <c r="FC448" s="2275"/>
      <c r="FD448" s="2276">
        <f>VLOOKUP(FD447,FD434:FE445,2,0)</f>
        <v>22.09</v>
      </c>
      <c r="FE448" s="2276">
        <f>IF(FE447&gt;0,FE447,FD448)</f>
        <v>22.09</v>
      </c>
      <c r="FF448" s="2276">
        <f>VLOOKUP(FE448,FE435:FF445,2,0)</f>
        <v>775</v>
      </c>
      <c r="FG448" s="2275"/>
      <c r="FH448" s="2275"/>
      <c r="FI448" s="2275"/>
      <c r="FJ448" s="2275"/>
      <c r="FK448" s="2275"/>
      <c r="FL448" s="2275"/>
      <c r="FM448" s="2250"/>
      <c r="FN448" s="2250"/>
      <c r="FO448" s="2250"/>
      <c r="FP448" s="2250"/>
      <c r="FQ448" s="2250"/>
      <c r="FR448" s="2250"/>
      <c r="FS448" s="2250"/>
      <c r="FT448" s="2250"/>
      <c r="FU448" s="2250"/>
      <c r="FV448" s="2250"/>
      <c r="FW448" s="2250"/>
      <c r="FX448" s="2250"/>
      <c r="FY448" s="2250"/>
      <c r="FZ448" s="2250"/>
      <c r="GA448" s="2250"/>
      <c r="GB448" s="2250"/>
      <c r="GC448" s="2276"/>
      <c r="GD448" s="2276"/>
      <c r="GE448" s="2250"/>
      <c r="GF448" s="2275"/>
      <c r="GG448" s="3693">
        <f>HN448</f>
        <v>775</v>
      </c>
      <c r="GH448" s="2346" t="s">
        <v>739</v>
      </c>
      <c r="GI448" s="3693">
        <f>HLOOKUP(GG446,GI432:HI446,15,0)</f>
        <v>20.74</v>
      </c>
      <c r="GJ448" s="3693" t="str">
        <f>IF(GG447=GI448,"Right","Wrong")</f>
        <v>Right</v>
      </c>
      <c r="GK448" s="2275"/>
      <c r="GL448" s="2275"/>
      <c r="GM448" s="2275"/>
      <c r="GN448" s="2275"/>
      <c r="GO448" s="2275"/>
      <c r="GP448" s="2275"/>
      <c r="GQ448" s="2275"/>
      <c r="GR448" s="2275"/>
      <c r="GS448" s="2275"/>
      <c r="GT448" s="2275"/>
      <c r="GU448" s="2275"/>
      <c r="GV448" s="2275"/>
      <c r="GW448" s="2275"/>
      <c r="GX448" s="2275"/>
      <c r="GY448" s="2275"/>
      <c r="GZ448" s="2275"/>
      <c r="HA448" s="2275"/>
      <c r="HB448" s="2275"/>
      <c r="HC448" s="2275"/>
      <c r="HD448" s="2275"/>
      <c r="HE448" s="2275"/>
      <c r="HF448" s="2275"/>
      <c r="HG448" s="2275"/>
      <c r="HH448" s="2275"/>
      <c r="HI448" s="2275"/>
      <c r="HJ448" s="2275"/>
      <c r="HK448" s="2275"/>
      <c r="HL448" s="2276">
        <f>VLOOKUP(HL447,HL434:HM445,2,0)</f>
        <v>20.74</v>
      </c>
      <c r="HM448" s="2276">
        <f>IF(HM447&gt;0,HM447,HL448)</f>
        <v>20.74</v>
      </c>
      <c r="HN448" s="2276">
        <f>VLOOKUP(HM448,HM435:HN445,2,0)</f>
        <v>775</v>
      </c>
      <c r="HO448" s="2275"/>
      <c r="HP448" s="2275"/>
      <c r="HQ448" s="2275"/>
      <c r="HR448" s="2275"/>
      <c r="HS448" s="2275"/>
      <c r="HT448" s="2275"/>
      <c r="HU448" s="2250"/>
      <c r="HV448" s="2250"/>
      <c r="HW448" s="2250"/>
      <c r="HX448" s="2250"/>
      <c r="HY448" s="2250"/>
      <c r="HZ448" s="2250"/>
      <c r="IA448" s="2250"/>
      <c r="IB448" s="2250"/>
      <c r="IC448" s="2250"/>
      <c r="ID448" s="2250"/>
      <c r="IE448" s="2250"/>
      <c r="IF448" s="2250"/>
      <c r="IG448" s="2250"/>
      <c r="IH448" s="2250"/>
      <c r="II448" s="2250"/>
      <c r="IJ448" s="2250"/>
      <c r="IK448" s="2250"/>
      <c r="IL448" s="53"/>
      <c r="IM448" s="53"/>
    </row>
    <row r="449" spans="2:247" ht="21.95" customHeight="1">
      <c r="B449" s="2250"/>
      <c r="C449" s="2275"/>
      <c r="D449" s="2276">
        <f>+IF(B472&lt;=D434,D434,IF(B472&lt;=D435,D435,IF(B472&lt;=D436,D436,IF(B472&lt;=D437,D437,IF(B472&lt;=D438,D438,IF(B472&lt;=D439,D439,IF(B472&lt;=D440,D440,IF(B472&lt;=D441,D441,0))))))))</f>
        <v>24.11</v>
      </c>
      <c r="E449" s="2276">
        <f>+IF(B472&lt;=E434,E434,IF(B472&lt;=E435,E435,IF(B472&lt;=E436,E436,IF(B472&lt;=E437,E437,IF(B472&lt;=E438,E438,IF(B472&lt;=E439,E439,IF(B472&lt;=E440,E440,IF(B472&lt;=E441,E441,0))))))))</f>
        <v>27.18</v>
      </c>
      <c r="F449" s="2276">
        <f>+IF(B472&lt;=F434,F434,IF(B472&lt;=F435,F435,IF(B472&lt;=F436,F436,IF(B472&lt;=F437,F437,IF(B472&lt;=F438,F438,IF(B472&lt;=F439,F439,IF(B472&lt;=F440,F440,IF(B472&lt;=F441,F441,0))))))))</f>
        <v>20.86</v>
      </c>
      <c r="G449" s="2276">
        <f>+IF(B472&lt;=G434,G434,IF(B472&lt;=G435,G435,IF(B472&lt;=G436,G436,IF(B472&lt;=G437,G437,IF(B472&lt;=G438,G438,IF(B472&lt;=G439,G439,IF(B472&lt;=G440,G440,IF(B472&lt;=G441,G441,0))))))))</f>
        <v>20.86</v>
      </c>
      <c r="H449" s="2276">
        <f>+IF(B472&lt;=H434,H434,IF(B472&lt;=H435,H435,IF(B472&lt;=H436,H436,IF(B472&lt;=H437,H437,IF(B472&lt;=H438,H438,IF(B472&lt;=H439,H439,IF(B472&lt;=H440,H440,IF(B472&lt;=H441,H441,0))))))))</f>
        <v>23.19</v>
      </c>
      <c r="I449" s="2276">
        <f>+IF(B472&lt;=I434,I434,IF(B472&lt;=I435,I435,IF(B472&lt;=I436,I436,IF(B472&lt;=I437,I437,IF(B472&lt;=I438,I438,IF(B472&lt;=I439,I439,IF(B472&lt;=I440,I440,IF(B472&lt;=I441,I441,0))))))))</f>
        <v>23.62</v>
      </c>
      <c r="J449" s="2276">
        <f>+IF(B472&lt;=J434,J434,IF(B472&lt;=J435,J435,IF(B472&lt;=J436,J436,IF(B472&lt;=J437,J437,IF(B472&lt;=J438,J438,IF(B472&lt;=J439,J439,IF(B472&lt;=J440,J440,IF(B472&lt;=J441,J441,0))))))))</f>
        <v>26.01</v>
      </c>
      <c r="K449" s="2276">
        <f>+IF(B472&lt;=K434,K434,IF(B472&lt;=K435,K435,IF(B472&lt;=K436,K436,IF(B472&lt;=K437,K437,IF(B472&lt;=K438,K438,IF(B472&lt;=K439,K439,IF(B472&lt;=K440,K440,IF(B472&lt;=K441,K441,0))))))))</f>
        <v>27.73</v>
      </c>
      <c r="L449" s="2276">
        <f>+IF(B472&lt;=L434,L434,IF(B472&lt;=L435,L435,IF(B472&lt;=L436,L436,IF(B472&lt;=L437,L437,IF(B472&lt;=L438,L438,IF(B472&lt;=L439,L439,IF(B472&lt;=L440,L440,IF(B472&lt;=L441,L441,0))))))))</f>
        <v>20.74</v>
      </c>
      <c r="M449" s="2276">
        <f>+IF(B472&lt;=M434,M434,IF(B472&lt;=M435,M435,IF(B472&lt;=M436,M436,IF(B472&lt;=M437,M437,IF(B472&lt;=M438,M438,IF(B472&lt;=M439,M439,IF(B472&lt;=M440,M440,IF(B472&lt;=M441,M441,0))))))))</f>
        <v>22.09</v>
      </c>
      <c r="N449" s="2276">
        <f>+IF(B472&lt;=N434,N434,IF(B472&lt;=N435,N435,IF(B472&lt;=N436,N436,IF(B472&lt;=N437,N437,IF(B472&lt;=N438,N438,IF(B472&lt;=N439,N439,IF(B472&lt;=N440,N440,IF(B472&lt;=N441,N441,0))))))))</f>
        <v>24.42</v>
      </c>
      <c r="O449" s="2276">
        <f>+IF(B472&lt;=O434,O434,IF(B472&lt;=O435,O435,IF(B472&lt;=O436,O436,IF(B472&lt;=O437,O437,IF(B472&lt;=O438,O438,IF(B472&lt;=O439,O439,IF(B472&lt;=O440,O440,IF(B472&lt;=O441,O441,0))))))))</f>
        <v>26.26</v>
      </c>
      <c r="P449" s="2276">
        <f>+IF(B472&lt;=P434,P434,IF(B472&lt;=P435,P435,IF(B472&lt;=P436,P436,IF(B472&lt;=P437,P437,IF(B472&lt;=P438,P438,IF(B472&lt;=P439,P439,IF(B472&lt;=P440,P440,IF(B472&lt;=P441,P441,0))))))))</f>
        <v>27.55</v>
      </c>
      <c r="Q449" s="2276">
        <f>+IF(B472&lt;=Q434,Q434,IF(B472&lt;=Q435,Q435,IF(B472&lt;=Q436,Q436,IF(B472&lt;=Q437,Q437,IF(B472&lt;=Q438,Q438,IF(B472&lt;=Q439,Q439,IF(B472&lt;=Q440,Q440,IF(B472&lt;=Q441,Q441,0))))))))</f>
        <v>28.96</v>
      </c>
      <c r="R449" s="2276">
        <f>+IF(B472&lt;=R434,R434,IF(B472&lt;=R435,R435,IF(B472&lt;=R436,R436,IF(B472&lt;=R437,R437,IF(B472&lt;=R438,R438,IF(B472&lt;=R439,R439,IF(B472&lt;=R440,R440,IF(B472&lt;=R441,R441,0))))))))</f>
        <v>29.82</v>
      </c>
      <c r="S449" s="2276">
        <f>+IF(B472&lt;=S434,S434,IF(B472&lt;=S435,S435,IF(B472&lt;=S436,S436,IF(B472&lt;=S437,S437,IF(B472&lt;=S438,S438,IF(B472&lt;=S439,S439,IF(B472&lt;=S440,S440,IF(B472&lt;=S441,S441,0))))))))</f>
        <v>31.53</v>
      </c>
      <c r="T449" s="2276">
        <f>+IF(B472&lt;=T434,T434,IF(B472&lt;=T435,T435,IF(B472&lt;=T436,T436,IF(B472&lt;=T437,T437,IF(B472&lt;=T438,T438,IF(B472&lt;=T439,T439,IF(B472&lt;=T440,T440,IF(B472&lt;=T441,T441,0))))))))</f>
        <v>21.1</v>
      </c>
      <c r="U449" s="2276">
        <f>+IF(B472&lt;=U434,U434,IF(B472&lt;=U435,U435,IF(B472&lt;=U436,U436,IF(B472&lt;=U437,U437,IF(B472&lt;=U438,U438,IF(B472&lt;=U439,U439,IF(B472&lt;=U440,U440,IF(B472&lt;=U441,U441,0))))))))</f>
        <v>22.39</v>
      </c>
      <c r="V449" s="2276">
        <f>+IF(B472&lt;=V434,V434,IF(B472&lt;=V435,V435,IF(B472&lt;=V436,V436,IF(B472&lt;=V437,V437,IF(B472&lt;=V438,V438,IF(B472&lt;=V439,V439,IF(B472&lt;=V440,V440,IF(B472&lt;=V441,V441,0))))))))</f>
        <v>24.11</v>
      </c>
      <c r="W449" s="2276">
        <f>+IF(B472&lt;=W434,W434,IF(B472&lt;=W435,W435,IF(B472&lt;=W436,W436,IF(B472&lt;=W437,W437,IF(B472&lt;=W438,W438,IF(B472&lt;=W439,W439,IF(B472&lt;=W440,W440,IF(B472&lt;=W441,W441,0))))))))</f>
        <v>26.13</v>
      </c>
      <c r="X449" s="2276">
        <f>+IF(B472&lt;=X434,X434,IF(B472&lt;=X435,X435,IF(B472&lt;=X436,X436,IF(B472&lt;=X437,X437,IF(B472&lt;=X438,X438,IF(B472&lt;=X439,X439,IF(B472&lt;=X440,X440,IF(B472&lt;=X441,X441,0))))))))</f>
        <v>28.16</v>
      </c>
      <c r="Y449" s="2276">
        <f>+IF(B472&lt;=Y434,Y434,IF(B472&lt;=Y435,Y435,IF(B472&lt;=Y436,Y436,IF(B472&lt;=Y437,Y437,IF(B472&lt;=Y438,Y438,IF(B472&lt;=Y439,Y439,IF(B472&lt;=Y440,Y440,IF(B472&lt;=Y441,Y441,0))))))))</f>
        <v>30.18</v>
      </c>
      <c r="Z449" s="2276">
        <f>+IF(B472&lt;=Z434,Z434,IF(B472&lt;=Z435,Z435,IF(B472&lt;=Z436,Z436,IF(B472&lt;=Z437,Z437,IF(B472&lt;=Z438,Z438,IF(B472&lt;=Z439,Z439,IF(B472&lt;=Z440,Z440,IF(B472&lt;=Z441,Z441,0))))))))</f>
        <v>32.82</v>
      </c>
      <c r="AA449" s="2276">
        <f>+IF(B472&lt;=AA434,AA434,IF(B472&lt;=AA435,AA435,IF(B472&lt;=AA436,AA436,IF(B472&lt;=AA437,AA437,IF(B472&lt;=AA438,AA438,IF(B472&lt;=AA439,AA439,IF(B472&lt;=AA440,AA440,IF(B472&lt;=AA441,AA441,0))))))))</f>
        <v>21.53</v>
      </c>
      <c r="AB449" s="2276">
        <f>+IF(B472&lt;=AB434,AB434,IF(B472&lt;=AB435,AB435,IF(B472&lt;=AB436,AB436,IF(B472&lt;=AB437,AB437,IF(B472&lt;=AB438,AB438,IF(B472&lt;=AB439,AB439,IF(B472&lt;=AB440,AB440,IF(B472&lt;=AB441,AB441,0))))))))</f>
        <v>24.05</v>
      </c>
      <c r="AC449" s="2276">
        <f>+IF(B472&lt;=AC434,AC434,IF(B472&lt;=AC435,AC435,IF(B472&lt;=AC436,AC436,IF(B472&lt;=AC437,AC437,IF(B472&lt;=AC438,AC438,IF(B472&lt;=AC439,AC439,IF(B472&lt;=AC440,AC440,IF(B472&lt;=AC441,AC441,0))))))))</f>
        <v>26.87</v>
      </c>
      <c r="AD449" s="2276">
        <f>+IF(B472&lt;=AD434,AD434,IF(B472&lt;=AD435,AD435,IF(B472&lt;=AD436,AD436,IF(B472&lt;=AD437,AD437,IF(B472&lt;=AD438,AD438,IF(B472&lt;=AD439,AD439,IF(B472&lt;=AD440,AD440,IF(B472&lt;=AD441,AD441,0))))))))</f>
        <v>29.69</v>
      </c>
      <c r="AE449" s="2275"/>
      <c r="AF449" s="2275"/>
      <c r="AG449" s="2275"/>
      <c r="AH449" s="2275"/>
      <c r="AI449" s="2275"/>
      <c r="AJ449" s="2275"/>
      <c r="AK449" s="2275"/>
      <c r="AL449" s="2275"/>
      <c r="AM449" s="2275"/>
      <c r="AN449" s="2275"/>
      <c r="AO449" s="2275"/>
      <c r="AP449" s="2250"/>
      <c r="AQ449" s="2250"/>
      <c r="AR449" s="2250"/>
      <c r="AS449" s="2250"/>
      <c r="AT449" s="2250"/>
      <c r="AU449" s="2250"/>
      <c r="AV449" s="2250"/>
      <c r="AW449" s="2250"/>
      <c r="AX449" s="2250"/>
      <c r="AY449" s="2250"/>
      <c r="AZ449" s="2250"/>
      <c r="BA449" s="2250"/>
      <c r="BB449" s="2250"/>
      <c r="BC449" s="2250"/>
      <c r="BD449" s="2250"/>
      <c r="BE449" s="2250"/>
      <c r="BF449" s="2276"/>
      <c r="BG449" s="2276"/>
      <c r="BH449" s="2250"/>
      <c r="BI449" s="2275"/>
      <c r="BJ449" s="2250"/>
      <c r="BK449" s="2275"/>
      <c r="BL449" s="2276">
        <f>+IF(BJ472&lt;=BL434,BL434,IF(BJ472&lt;=BL435,BL435,IF(BJ472&lt;=BL436,BL436,IF(BJ472&lt;=BL437,BL437,IF(BJ472&lt;=BL438,BL438,IF(BJ472&lt;=BL439,BL439,IF(BJ472&lt;=BL440,BL440,IF(BJ472&lt;=BL441,BL441,0))))))))</f>
        <v>24.11</v>
      </c>
      <c r="BM449" s="2276">
        <f>+IF(BJ472&lt;=BM434,BM434,IF(BJ472&lt;=BM435,BM435,IF(BJ472&lt;=BM436,BM436,IF(BJ472&lt;=BM437,BM437,IF(BJ472&lt;=BM438,BM438,IF(BJ472&lt;=BM439,BM439,IF(BJ472&lt;=BM440,BM440,IF(BJ472&lt;=BM441,BM441,0))))))))</f>
        <v>27.18</v>
      </c>
      <c r="BN449" s="2276">
        <f>+IF(BJ472&lt;=BN434,BN434,IF(BJ472&lt;=BN435,BN435,IF(BJ472&lt;=BN436,BN436,IF(BJ472&lt;=BN437,BN437,IF(BJ472&lt;=BN438,BN438,IF(BJ472&lt;=BN439,BN439,IF(BJ472&lt;=BN440,BN440,IF(BJ472&lt;=BN441,BN441,0))))))))</f>
        <v>20.86</v>
      </c>
      <c r="BO449" s="2276">
        <f>+IF(BJ472&lt;=BO434,BO434,IF(BJ472&lt;=BO435,BO435,IF(BJ472&lt;=BO436,BO436,IF(BJ472&lt;=BO437,BO437,IF(BJ472&lt;=BO438,BO438,IF(BJ472&lt;=BO439,BO439,IF(BJ472&lt;=BO440,BO440,IF(BJ472&lt;=BO441,BO441,0))))))))</f>
        <v>20.86</v>
      </c>
      <c r="BP449" s="2276">
        <f>+IF(BJ472&lt;=BP434,BP434,IF(BJ472&lt;=BP435,BP435,IF(BJ472&lt;=BP436,BP436,IF(BJ472&lt;=BP437,BP437,IF(BJ472&lt;=BP438,BP438,IF(BJ472&lt;=BP439,BP439,IF(BJ472&lt;=BP440,BP440,IF(BJ472&lt;=BP441,BP441,0))))))))</f>
        <v>23.19</v>
      </c>
      <c r="BQ449" s="2276">
        <f>+IF(BJ472&lt;=BQ434,BQ434,IF(BJ472&lt;=BQ435,BQ435,IF(BJ472&lt;=BQ436,BQ436,IF(BJ472&lt;=BQ437,BQ437,IF(BJ472&lt;=BQ438,BQ438,IF(BJ472&lt;=BQ439,BQ439,IF(BJ472&lt;=BQ440,BQ440,IF(BJ472&lt;=BQ441,BQ441,0))))))))</f>
        <v>23.62</v>
      </c>
      <c r="BR449" s="2276">
        <f>+IF(BJ472&lt;=BR434,BR434,IF(BJ472&lt;=BR435,BR435,IF(BJ472&lt;=BR436,BR436,IF(BJ472&lt;=BR437,BR437,IF(BJ472&lt;=BR438,BR438,IF(BJ472&lt;=BR439,BR439,IF(BJ472&lt;=BR440,BR440,IF(BJ472&lt;=BR441,BR441,0))))))))</f>
        <v>26.01</v>
      </c>
      <c r="BS449" s="2276">
        <f>+IF(BJ472&lt;=BS434,BS434,IF(BJ472&lt;=BS435,BS435,IF(BJ472&lt;=BS436,BS436,IF(BJ472&lt;=BS437,BS437,IF(BJ472&lt;=BS438,BS438,IF(BJ472&lt;=BS439,BS439,IF(BJ472&lt;=BS440,BS440,IF(BJ472&lt;=BS441,BS441,0))))))))</f>
        <v>27.73</v>
      </c>
      <c r="BT449" s="2276">
        <f>+IF(BJ472&lt;=BT434,BT434,IF(BJ472&lt;=BT435,BT435,IF(BJ472&lt;=BT436,BT436,IF(BJ472&lt;=BT437,BT437,IF(BJ472&lt;=BT438,BT438,IF(BJ472&lt;=BT439,BT439,IF(BJ472&lt;=BT440,BT440,IF(BJ472&lt;=BT441,BT441,0))))))))</f>
        <v>20.74</v>
      </c>
      <c r="BU449" s="2276">
        <f>+IF(BJ472&lt;=BU434,BU434,IF(BJ472&lt;=BU435,BU435,IF(BJ472&lt;=BU436,BU436,IF(BJ472&lt;=BU437,BU437,IF(BJ472&lt;=BU438,BU438,IF(BJ472&lt;=BU439,BU439,IF(BJ472&lt;=BU440,BU440,IF(BJ472&lt;=BU441,BU441,0))))))))</f>
        <v>22.09</v>
      </c>
      <c r="BV449" s="2276">
        <f>+IF(BJ472&lt;=BV434,BV434,IF(BJ472&lt;=BV435,BV435,IF(BJ472&lt;=BV436,BV436,IF(BJ472&lt;=BV437,BV437,IF(BJ472&lt;=BV438,BV438,IF(BJ472&lt;=BV439,BV439,IF(BJ472&lt;=BV440,BV440,IF(BJ472&lt;=BV441,BV441,0))))))))</f>
        <v>24.42</v>
      </c>
      <c r="BW449" s="2276">
        <f>+IF(BJ472&lt;=BW434,BW434,IF(BJ472&lt;=BW435,BW435,IF(BJ472&lt;=BW436,BW436,IF(BJ472&lt;=BW437,BW437,IF(BJ472&lt;=BW438,BW438,IF(BJ472&lt;=BW439,BW439,IF(BJ472&lt;=BW440,BW440,IF(BJ472&lt;=BW441,BW441,0))))))))</f>
        <v>26.26</v>
      </c>
      <c r="BX449" s="2276">
        <f>+IF(BJ472&lt;=BX434,BX434,IF(BJ472&lt;=BX435,BX435,IF(BJ472&lt;=BX436,BX436,IF(BJ472&lt;=BX437,BX437,IF(BJ472&lt;=BX438,BX438,IF(BJ472&lt;=BX439,BX439,IF(BJ472&lt;=BX440,BX440,IF(BJ472&lt;=BX441,BX441,0))))))))</f>
        <v>27.55</v>
      </c>
      <c r="BY449" s="2276">
        <f>+IF(BJ472&lt;=BY434,BY434,IF(BJ472&lt;=BY435,BY435,IF(BJ472&lt;=BY436,BY436,IF(BJ472&lt;=BY437,BY437,IF(BJ472&lt;=BY438,BY438,IF(BJ472&lt;=BY439,BY439,IF(BJ472&lt;=BY440,BY440,IF(BJ472&lt;=BY441,BY441,0))))))))</f>
        <v>28.96</v>
      </c>
      <c r="BZ449" s="2276">
        <f>+IF(BJ472&lt;=BZ434,BZ434,IF(BJ472&lt;=BZ435,BZ435,IF(BJ472&lt;=BZ436,BZ436,IF(BJ472&lt;=BZ437,BZ437,IF(BJ472&lt;=BZ438,BZ438,IF(BJ472&lt;=BZ439,BZ439,IF(BJ472&lt;=BZ440,BZ440,IF(BJ472&lt;=BZ441,BZ441,0))))))))</f>
        <v>29.82</v>
      </c>
      <c r="CA449" s="2276">
        <f>+IF(BJ472&lt;=CA434,CA434,IF(BJ472&lt;=CA435,CA435,IF(BJ472&lt;=CA436,CA436,IF(BJ472&lt;=CA437,CA437,IF(BJ472&lt;=CA438,CA438,IF(BJ472&lt;=CA439,CA439,IF(BJ472&lt;=CA440,CA440,IF(BJ472&lt;=CA441,CA441,0))))))))</f>
        <v>31.53</v>
      </c>
      <c r="CB449" s="2276">
        <f>+IF(BJ472&lt;=CB434,CB434,IF(BJ472&lt;=CB435,CB435,IF(BJ472&lt;=CB436,CB436,IF(BJ472&lt;=CB437,CB437,IF(BJ472&lt;=CB438,CB438,IF(BJ472&lt;=CB439,CB439,IF(BJ472&lt;=CB440,CB440,IF(BJ472&lt;=CB441,CB441,0))))))))</f>
        <v>21.1</v>
      </c>
      <c r="CC449" s="2276">
        <f>+IF(BJ472&lt;=CC434,CC434,IF(BJ472&lt;=CC435,CC435,IF(BJ472&lt;=CC436,CC436,IF(BJ472&lt;=CC437,CC437,IF(BJ472&lt;=CC438,CC438,IF(BJ472&lt;=CC439,CC439,IF(BJ472&lt;=CC440,CC440,IF(BJ472&lt;=CC441,CC441,0))))))))</f>
        <v>22.39</v>
      </c>
      <c r="CD449" s="2276">
        <f>+IF(BJ472&lt;=CD434,CD434,IF(BJ472&lt;=CD435,CD435,IF(BJ472&lt;=CD436,CD436,IF(BJ472&lt;=CD437,CD437,IF(BJ472&lt;=CD438,CD438,IF(BJ472&lt;=CD439,CD439,IF(BJ472&lt;=CD440,CD440,IF(BJ472&lt;=CD441,CD441,0))))))))</f>
        <v>24.11</v>
      </c>
      <c r="CE449" s="2276">
        <f>+IF(BJ472&lt;=CE434,CE434,IF(BJ472&lt;=CE435,CE435,IF(BJ472&lt;=CE436,CE436,IF(BJ472&lt;=CE437,CE437,IF(BJ472&lt;=CE438,CE438,IF(BJ472&lt;=CE439,CE439,IF(BJ472&lt;=CE440,CE440,IF(BJ472&lt;=CE441,CE441,0))))))))</f>
        <v>26.13</v>
      </c>
      <c r="CF449" s="2276">
        <f>+IF(BJ472&lt;=CF434,CF434,IF(BJ472&lt;=CF435,CF435,IF(BJ472&lt;=CF436,CF436,IF(BJ472&lt;=CF437,CF437,IF(BJ472&lt;=CF438,CF438,IF(BJ472&lt;=CF439,CF439,IF(BJ472&lt;=CF440,CF440,IF(BJ472&lt;=CF441,CF441,0))))))))</f>
        <v>28.16</v>
      </c>
      <c r="CG449" s="2276">
        <f>+IF(BJ472&lt;=CG434,CG434,IF(BJ472&lt;=CG435,CG435,IF(BJ472&lt;=CG436,CG436,IF(BJ472&lt;=CG437,CG437,IF(BJ472&lt;=CG438,CG438,IF(BJ472&lt;=CG439,CG439,IF(BJ472&lt;=CG440,CG440,IF(BJ472&lt;=CG441,CG441,0))))))))</f>
        <v>30.18</v>
      </c>
      <c r="CH449" s="2276">
        <f>+IF(BJ472&lt;=CH434,CH434,IF(BJ472&lt;=CH435,CH435,IF(BJ472&lt;=CH436,CH436,IF(BJ472&lt;=CH437,CH437,IF(BJ472&lt;=CH438,CH438,IF(BJ472&lt;=CH439,CH439,IF(BJ472&lt;=CH440,CH440,IF(BJ472&lt;=CH441,CH441,0))))))))</f>
        <v>32.82</v>
      </c>
      <c r="CI449" s="2276">
        <f>+IF(BJ472&lt;=CI434,CI434,IF(BJ472&lt;=CI435,CI435,IF(BJ472&lt;=CI436,CI436,IF(BJ472&lt;=CI437,CI437,IF(BJ472&lt;=CI438,CI438,IF(BJ472&lt;=CI439,CI439,IF(BJ472&lt;=CI440,CI440,IF(BJ472&lt;=CI441,CI441,0))))))))</f>
        <v>21.53</v>
      </c>
      <c r="CJ449" s="2276">
        <f>+IF(BJ472&lt;=CJ434,CJ434,IF(BJ472&lt;=CJ435,CJ435,IF(BJ472&lt;=CJ436,CJ436,IF(BJ472&lt;=CJ437,CJ437,IF(BJ472&lt;=CJ438,CJ438,IF(BJ472&lt;=CJ439,CJ439,IF(BJ472&lt;=CJ440,CJ440,IF(BJ472&lt;=CJ441,CJ441,0))))))))</f>
        <v>24.05</v>
      </c>
      <c r="CK449" s="2276">
        <f>+IF(BJ472&lt;=CK434,CK434,IF(BJ472&lt;=CK435,CK435,IF(BJ472&lt;=CK436,CK436,IF(BJ472&lt;=CK437,CK437,IF(BJ472&lt;=CK438,CK438,IF(BJ472&lt;=CK439,CK439,IF(BJ472&lt;=CK440,CK440,IF(BJ472&lt;=CK441,CK441,0))))))))</f>
        <v>26.87</v>
      </c>
      <c r="CL449" s="2276">
        <f>+IF(BJ472&lt;=CL434,CL434,IF(BJ472&lt;=CL435,CL435,IF(BJ472&lt;=CL436,CL436,IF(BJ472&lt;=CL437,CL437,IF(BJ472&lt;=CL438,CL438,IF(BJ472&lt;=CL439,CL439,IF(BJ472&lt;=CL440,CL440,IF(BJ472&lt;=CL441,CL441,0))))))))</f>
        <v>29.69</v>
      </c>
      <c r="CM449" s="2275"/>
      <c r="CN449" s="2275"/>
      <c r="CO449" s="2275"/>
      <c r="CP449" s="2275"/>
      <c r="CQ449" s="2275"/>
      <c r="CR449" s="2275"/>
      <c r="CS449" s="2275"/>
      <c r="CT449" s="2275"/>
      <c r="CU449" s="2275"/>
      <c r="CV449" s="2275"/>
      <c r="CW449" s="2275"/>
      <c r="CX449" s="2250"/>
      <c r="CY449" s="2250"/>
      <c r="CZ449" s="2250"/>
      <c r="DA449" s="2250"/>
      <c r="DB449" s="2250"/>
      <c r="DC449" s="2250"/>
      <c r="DD449" s="2250"/>
      <c r="DE449" s="2250"/>
      <c r="DF449" s="2250"/>
      <c r="DG449" s="2250"/>
      <c r="DH449" s="2250"/>
      <c r="DI449" s="2250"/>
      <c r="DJ449" s="2250"/>
      <c r="DK449" s="2250"/>
      <c r="DL449" s="2250"/>
      <c r="DM449" s="2250"/>
      <c r="DN449" s="2250"/>
      <c r="DO449" s="53"/>
      <c r="DP449" s="53"/>
      <c r="DY449" s="2250"/>
      <c r="DZ449" s="2275"/>
      <c r="EA449" s="2276">
        <f>+IF(DY472&lt;=EA434,EA434,IF(DY472&lt;=EA435,EA435,IF(DY472&lt;=EA436,EA436,IF(DY472&lt;=EA437,EA437,IF(DY472&lt;=EA438,EA438,IF(DY472&lt;=EA439,EA439,IF(DY472&lt;=EA440,EA440,IF(DY472&lt;=EA441,EA441,0))))))))</f>
        <v>24.11</v>
      </c>
      <c r="EB449" s="2276">
        <f>+IF(DY472&lt;=EB434,EB434,IF(DY472&lt;=EB435,EB435,IF(DY472&lt;=EB436,EB436,IF(DY472&lt;=EB437,EB437,IF(DY472&lt;=EB438,EB438,IF(DY472&lt;=EB439,EB439,IF(DY472&lt;=EB440,EB440,IF(DY472&lt;=EB441,EB441,0))))))))</f>
        <v>27.18</v>
      </c>
      <c r="EC449" s="2276">
        <f>+IF(DY472&lt;=EC434,EC434,IF(DY472&lt;=EC435,EC435,IF(DY472&lt;=EC436,EC436,IF(DY472&lt;=EC437,EC437,IF(DY472&lt;=EC438,EC438,IF(DY472&lt;=EC439,EC439,IF(DY472&lt;=EC440,EC440,IF(DY472&lt;=EC441,EC441,0))))))))</f>
        <v>20.86</v>
      </c>
      <c r="ED449" s="2276">
        <f>+IF(DY472&lt;=ED434,ED434,IF(DY472&lt;=ED435,ED435,IF(DY472&lt;=ED436,ED436,IF(DY472&lt;=ED437,ED437,IF(DY472&lt;=ED438,ED438,IF(DY472&lt;=ED439,ED439,IF(DY472&lt;=ED440,ED440,IF(DY472&lt;=ED441,ED441,0))))))))</f>
        <v>20.86</v>
      </c>
      <c r="EE449" s="2276">
        <f>+IF(DY472&lt;=EE434,EE434,IF(DY472&lt;=EE435,EE435,IF(DY472&lt;=EE436,EE436,IF(DY472&lt;=EE437,EE437,IF(DY472&lt;=EE438,EE438,IF(DY472&lt;=EE439,EE439,IF(DY472&lt;=EE440,EE440,IF(DY472&lt;=EE441,EE441,0))))))))</f>
        <v>23.19</v>
      </c>
      <c r="EF449" s="2276">
        <f>+IF(DY472&lt;=EF434,EF434,IF(DY472&lt;=EF435,EF435,IF(DY472&lt;=EF436,EF436,IF(DY472&lt;=EF437,EF437,IF(DY472&lt;=EF438,EF438,IF(DY472&lt;=EF439,EF439,IF(DY472&lt;=EF440,EF440,IF(DY472&lt;=EF441,EF441,0))))))))</f>
        <v>23.62</v>
      </c>
      <c r="EG449" s="2276">
        <f>+IF(DY472&lt;=EG434,EG434,IF(DY472&lt;=EG435,EG435,IF(DY472&lt;=EG436,EG436,IF(DY472&lt;=EG437,EG437,IF(DY472&lt;=EG438,EG438,IF(DY472&lt;=EG439,EG439,IF(DY472&lt;=EG440,EG440,IF(DY472&lt;=EG441,EG441,0))))))))</f>
        <v>26.01</v>
      </c>
      <c r="EH449" s="2276">
        <f>+IF(DY472&lt;=EH434,EH434,IF(DY472&lt;=EH435,EH435,IF(DY472&lt;=EH436,EH436,IF(DY472&lt;=EH437,EH437,IF(DY472&lt;=EH438,EH438,IF(DY472&lt;=EH439,EH439,IF(DY472&lt;=EH440,EH440,IF(DY472&lt;=EH441,EH441,0))))))))</f>
        <v>27.73</v>
      </c>
      <c r="EI449" s="2276">
        <f>+IF(DY472&lt;=EI434,EI434,IF(DY472&lt;=EI435,EI435,IF(DY472&lt;=EI436,EI436,IF(DY472&lt;=EI437,EI437,IF(DY472&lt;=EI438,EI438,IF(DY472&lt;=EI439,EI439,IF(DY472&lt;=EI440,EI440,IF(DY472&lt;=EI441,EI441,0))))))))</f>
        <v>20.74</v>
      </c>
      <c r="EJ449" s="2276">
        <f>+IF(DY472&lt;=EJ434,EJ434,IF(DY472&lt;=EJ435,EJ435,IF(DY472&lt;=EJ436,EJ436,IF(DY472&lt;=EJ437,EJ437,IF(DY472&lt;=EJ438,EJ438,IF(DY472&lt;=EJ439,EJ439,IF(DY472&lt;=EJ440,EJ440,IF(DY472&lt;=EJ441,EJ441,0))))))))</f>
        <v>22.09</v>
      </c>
      <c r="EK449" s="2276">
        <f>+IF(DY472&lt;=EK434,EK434,IF(DY472&lt;=EK435,EK435,IF(DY472&lt;=EK436,EK436,IF(DY472&lt;=EK437,EK437,IF(DY472&lt;=EK438,EK438,IF(DY472&lt;=EK439,EK439,IF(DY472&lt;=EK440,EK440,IF(DY472&lt;=EK441,EK441,0))))))))</f>
        <v>24.42</v>
      </c>
      <c r="EL449" s="2276">
        <f>+IF(DY472&lt;=EL434,EL434,IF(DY472&lt;=EL435,EL435,IF(DY472&lt;=EL436,EL436,IF(DY472&lt;=EL437,EL437,IF(DY472&lt;=EL438,EL438,IF(DY472&lt;=EL439,EL439,IF(DY472&lt;=EL440,EL440,IF(DY472&lt;=EL441,EL441,0))))))))</f>
        <v>26.26</v>
      </c>
      <c r="EM449" s="2276">
        <f>+IF(DY472&lt;=EM434,EM434,IF(DY472&lt;=EM435,EM435,IF(DY472&lt;=EM436,EM436,IF(DY472&lt;=EM437,EM437,IF(DY472&lt;=EM438,EM438,IF(DY472&lt;=EM439,EM439,IF(DY472&lt;=EM440,EM440,IF(DY472&lt;=EM441,EM441,0))))))))</f>
        <v>27.55</v>
      </c>
      <c r="EN449" s="2276">
        <f>+IF(DY472&lt;=EN434,EN434,IF(DY472&lt;=EN435,EN435,IF(DY472&lt;=EN436,EN436,IF(DY472&lt;=EN437,EN437,IF(DY472&lt;=EN438,EN438,IF(DY472&lt;=EN439,EN439,IF(DY472&lt;=EN440,EN440,IF(DY472&lt;=EN441,EN441,0))))))))</f>
        <v>28.96</v>
      </c>
      <c r="EO449" s="2276">
        <f>+IF(DY472&lt;=EO434,EO434,IF(DY472&lt;=EO435,EO435,IF(DY472&lt;=EO436,EO436,IF(DY472&lt;=EO437,EO437,IF(DY472&lt;=EO438,EO438,IF(DY472&lt;=EO439,EO439,IF(DY472&lt;=EO440,EO440,IF(DY472&lt;=EO441,EO441,0))))))))</f>
        <v>29.82</v>
      </c>
      <c r="EP449" s="2276">
        <f>+IF(DY472&lt;=EP434,EP434,IF(DY472&lt;=EP435,EP435,IF(DY472&lt;=EP436,EP436,IF(DY472&lt;=EP437,EP437,IF(DY472&lt;=EP438,EP438,IF(DY472&lt;=EP439,EP439,IF(DY472&lt;=EP440,EP440,IF(DY472&lt;=EP441,EP441,0))))))))</f>
        <v>31.53</v>
      </c>
      <c r="EQ449" s="2276">
        <f>+IF(DY472&lt;=EQ434,EQ434,IF(DY472&lt;=EQ435,EQ435,IF(DY472&lt;=EQ436,EQ436,IF(DY472&lt;=EQ437,EQ437,IF(DY472&lt;=EQ438,EQ438,IF(DY472&lt;=EQ439,EQ439,IF(DY472&lt;=EQ440,EQ440,IF(DY472&lt;=EQ441,EQ441,0))))))))</f>
        <v>21.1</v>
      </c>
      <c r="ER449" s="2276">
        <f>+IF(DY472&lt;=ER434,ER434,IF(DY472&lt;=ER435,ER435,IF(DY472&lt;=ER436,ER436,IF(DY472&lt;=ER437,ER437,IF(DY472&lt;=ER438,ER438,IF(DY472&lt;=ER439,ER439,IF(DY472&lt;=ER440,ER440,IF(DY472&lt;=ER441,ER441,0))))))))</f>
        <v>22.39</v>
      </c>
      <c r="ES449" s="2276">
        <f>+IF(DY472&lt;=ES434,ES434,IF(DY472&lt;=ES435,ES435,IF(DY472&lt;=ES436,ES436,IF(DY472&lt;=ES437,ES437,IF(DY472&lt;=ES438,ES438,IF(DY472&lt;=ES439,ES439,IF(DY472&lt;=ES440,ES440,IF(DY472&lt;=ES441,ES441,0))))))))</f>
        <v>24.11</v>
      </c>
      <c r="ET449" s="2276">
        <f>+IF(DY472&lt;=ET434,ET434,IF(DY472&lt;=ET435,ET435,IF(DY472&lt;=ET436,ET436,IF(DY472&lt;=ET437,ET437,IF(DY472&lt;=ET438,ET438,IF(DY472&lt;=ET439,ET439,IF(DY472&lt;=ET440,ET440,IF(DY472&lt;=ET441,ET441,0))))))))</f>
        <v>26.13</v>
      </c>
      <c r="EU449" s="2276">
        <f>+IF(DY472&lt;=EU434,EU434,IF(DY472&lt;=EU435,EU435,IF(DY472&lt;=EU436,EU436,IF(DY472&lt;=EU437,EU437,IF(DY472&lt;=EU438,EU438,IF(DY472&lt;=EU439,EU439,IF(DY472&lt;=EU440,EU440,IF(DY472&lt;=EU441,EU441,0))))))))</f>
        <v>28.16</v>
      </c>
      <c r="EV449" s="2276">
        <f>+IF(DY472&lt;=EV434,EV434,IF(DY472&lt;=EV435,EV435,IF(DY472&lt;=EV436,EV436,IF(DY472&lt;=EV437,EV437,IF(DY472&lt;=EV438,EV438,IF(DY472&lt;=EV439,EV439,IF(DY472&lt;=EV440,EV440,IF(DY472&lt;=EV441,EV441,0))))))))</f>
        <v>30.18</v>
      </c>
      <c r="EW449" s="2276">
        <f>+IF(DY472&lt;=EW434,EW434,IF(DY472&lt;=EW435,EW435,IF(DY472&lt;=EW436,EW436,IF(DY472&lt;=EW437,EW437,IF(DY472&lt;=EW438,EW438,IF(DY472&lt;=EW439,EW439,IF(DY472&lt;=EW440,EW440,IF(DY472&lt;=EW441,EW441,0))))))))</f>
        <v>32.82</v>
      </c>
      <c r="EX449" s="2276">
        <f>+IF(DY472&lt;=EX434,EX434,IF(DY472&lt;=EX435,EX435,IF(DY472&lt;=EX436,EX436,IF(DY472&lt;=EX437,EX437,IF(DY472&lt;=EX438,EX438,IF(DY472&lt;=EX439,EX439,IF(DY472&lt;=EX440,EX440,IF(DY472&lt;=EX441,EX441,0))))))))</f>
        <v>21.53</v>
      </c>
      <c r="EY449" s="2276">
        <f>+IF(DY472&lt;=EY434,EY434,IF(DY472&lt;=EY435,EY435,IF(DY472&lt;=EY436,EY436,IF(DY472&lt;=EY437,EY437,IF(DY472&lt;=EY438,EY438,IF(DY472&lt;=EY439,EY439,IF(DY472&lt;=EY440,EY440,IF(DY472&lt;=EY441,EY441,0))))))))</f>
        <v>24.05</v>
      </c>
      <c r="EZ449" s="2276">
        <f>+IF(DY472&lt;=EZ434,EZ434,IF(DY472&lt;=EZ435,EZ435,IF(DY472&lt;=EZ436,EZ436,IF(DY472&lt;=EZ437,EZ437,IF(DY472&lt;=EZ438,EZ438,IF(DY472&lt;=EZ439,EZ439,IF(DY472&lt;=EZ440,EZ440,IF(DY472&lt;=EZ441,EZ441,0))))))))</f>
        <v>26.87</v>
      </c>
      <c r="FA449" s="2276">
        <f>+IF(DY472&lt;=FA434,FA434,IF(DY472&lt;=FA435,FA435,IF(DY472&lt;=FA436,FA436,IF(DY472&lt;=FA437,FA437,IF(DY472&lt;=FA438,FA438,IF(DY472&lt;=FA439,FA439,IF(DY472&lt;=FA440,FA440,IF(DY472&lt;=FA441,FA441,0))))))))</f>
        <v>29.69</v>
      </c>
      <c r="FB449" s="2275"/>
      <c r="FC449" s="2275"/>
      <c r="FD449" s="2275"/>
      <c r="FE449" s="2275"/>
      <c r="FF449" s="2275"/>
      <c r="FG449" s="2275"/>
      <c r="FH449" s="2275"/>
      <c r="FI449" s="2275"/>
      <c r="FJ449" s="2275"/>
      <c r="FK449" s="2275"/>
      <c r="FL449" s="2275"/>
      <c r="FM449" s="2250"/>
      <c r="FN449" s="2250"/>
      <c r="FO449" s="2250"/>
      <c r="FP449" s="2250"/>
      <c r="FQ449" s="2250"/>
      <c r="FR449" s="2250"/>
      <c r="FS449" s="2250"/>
      <c r="FT449" s="2250"/>
      <c r="FU449" s="2250"/>
      <c r="FV449" s="2250"/>
      <c r="FW449" s="2250"/>
      <c r="FX449" s="2250"/>
      <c r="FY449" s="2250"/>
      <c r="FZ449" s="2250"/>
      <c r="GA449" s="2250"/>
      <c r="GB449" s="2250"/>
      <c r="GC449" s="2276"/>
      <c r="GD449" s="2276"/>
      <c r="GE449" s="2250"/>
      <c r="GF449" s="2275"/>
      <c r="GG449" s="2250"/>
      <c r="GH449" s="2275"/>
      <c r="GI449" s="2276">
        <f>+IF(GG472&lt;=GI434,GI434,IF(GG472&lt;=GI435,GI435,IF(GG472&lt;=GI436,GI436,IF(GG472&lt;=GI437,GI437,IF(GG472&lt;=GI438,GI438,IF(GG472&lt;=GI439,GI439,IF(GG472&lt;=GI440,GI440,IF(GG472&lt;=GI441,GI441,0))))))))</f>
        <v>24.11</v>
      </c>
      <c r="GJ449" s="2276">
        <f>+IF(GG472&lt;=GJ434,GJ434,IF(GG472&lt;=GJ435,GJ435,IF(GG472&lt;=GJ436,GJ436,IF(GG472&lt;=GJ437,GJ437,IF(GG472&lt;=GJ438,GJ438,IF(GG472&lt;=GJ439,GJ439,IF(GG472&lt;=GJ440,GJ440,IF(GG472&lt;=GJ441,GJ441,0))))))))</f>
        <v>27.18</v>
      </c>
      <c r="GK449" s="2276">
        <f>+IF(GG472&lt;=GK434,GK434,IF(GG472&lt;=GK435,GK435,IF(GG472&lt;=GK436,GK436,IF(GG472&lt;=GK437,GK437,IF(GG472&lt;=GK438,GK438,IF(GG472&lt;=GK439,GK439,IF(GG472&lt;=GK440,GK440,IF(GG472&lt;=GK441,GK441,0))))))))</f>
        <v>20.86</v>
      </c>
      <c r="GL449" s="2276">
        <f>+IF(GG472&lt;=GL434,GL434,IF(GG472&lt;=GL435,GL435,IF(GG472&lt;=GL436,GL436,IF(GG472&lt;=GL437,GL437,IF(GG472&lt;=GL438,GL438,IF(GG472&lt;=GL439,GL439,IF(GG472&lt;=GL440,GL440,IF(GG472&lt;=GL441,GL441,0))))))))</f>
        <v>20.86</v>
      </c>
      <c r="GM449" s="2276">
        <f>+IF(GG472&lt;=GM434,GM434,IF(GG472&lt;=GM435,GM435,IF(GG472&lt;=GM436,GM436,IF(GG472&lt;=GM437,GM437,IF(GG472&lt;=GM438,GM438,IF(GG472&lt;=GM439,GM439,IF(GG472&lt;=GM440,GM440,IF(GG472&lt;=GM441,GM441,0))))))))</f>
        <v>23.19</v>
      </c>
      <c r="GN449" s="2276">
        <f>+IF(GG472&lt;=GN434,GN434,IF(GG472&lt;=GN435,GN435,IF(GG472&lt;=GN436,GN436,IF(GG472&lt;=GN437,GN437,IF(GG472&lt;=GN438,GN438,IF(GG472&lt;=GN439,GN439,IF(GG472&lt;=GN440,GN440,IF(GG472&lt;=GN441,GN441,0))))))))</f>
        <v>23.62</v>
      </c>
      <c r="GO449" s="2276">
        <f>+IF(GG472&lt;=GO434,GO434,IF(GG472&lt;=GO435,GO435,IF(GG472&lt;=GO436,GO436,IF(GG472&lt;=GO437,GO437,IF(GG472&lt;=GO438,GO438,IF(GG472&lt;=GO439,GO439,IF(GG472&lt;=GO440,GO440,IF(GG472&lt;=GO441,GO441,0))))))))</f>
        <v>26.01</v>
      </c>
      <c r="GP449" s="2276">
        <f>+IF(GG472&lt;=GP434,GP434,IF(GG472&lt;=GP435,GP435,IF(GG472&lt;=GP436,GP436,IF(GG472&lt;=GP437,GP437,IF(GG472&lt;=GP438,GP438,IF(GG472&lt;=GP439,GP439,IF(GG472&lt;=GP440,GP440,IF(GG472&lt;=GP441,GP441,0))))))))</f>
        <v>27.73</v>
      </c>
      <c r="GQ449" s="2276">
        <f>+IF(GG472&lt;=GQ434,GQ434,IF(GG472&lt;=GQ435,GQ435,IF(GG472&lt;=GQ436,GQ436,IF(GG472&lt;=GQ437,GQ437,IF(GG472&lt;=GQ438,GQ438,IF(GG472&lt;=GQ439,GQ439,IF(GG472&lt;=GQ440,GQ440,IF(GG472&lt;=GQ441,GQ441,0))))))))</f>
        <v>20.74</v>
      </c>
      <c r="GR449" s="2276">
        <f>+IF(GG472&lt;=GR434,GR434,IF(GG472&lt;=GR435,GR435,IF(GG472&lt;=GR436,GR436,IF(GG472&lt;=GR437,GR437,IF(GG472&lt;=GR438,GR438,IF(GG472&lt;=GR439,GR439,IF(GG472&lt;=GR440,GR440,IF(GG472&lt;=GR441,GR441,0))))))))</f>
        <v>22.09</v>
      </c>
      <c r="GS449" s="2276">
        <f>+IF(GG472&lt;=GS434,GS434,IF(GG472&lt;=GS435,GS435,IF(GG472&lt;=GS436,GS436,IF(GG472&lt;=GS437,GS437,IF(GG472&lt;=GS438,GS438,IF(GG472&lt;=GS439,GS439,IF(GG472&lt;=GS440,GS440,IF(GG472&lt;=GS441,GS441,0))))))))</f>
        <v>24.42</v>
      </c>
      <c r="GT449" s="2276">
        <f>+IF(GG472&lt;=GT434,GT434,IF(GG472&lt;=GT435,GT435,IF(GG472&lt;=GT436,GT436,IF(GG472&lt;=GT437,GT437,IF(GG472&lt;=GT438,GT438,IF(GG472&lt;=GT439,GT439,IF(GG472&lt;=GT440,GT440,IF(GG472&lt;=GT441,GT441,0))))))))</f>
        <v>26.26</v>
      </c>
      <c r="GU449" s="2276">
        <f>+IF(GG472&lt;=GU434,GU434,IF(GG472&lt;=GU435,GU435,IF(GG472&lt;=GU436,GU436,IF(GG472&lt;=GU437,GU437,IF(GG472&lt;=GU438,GU438,IF(GG472&lt;=GU439,GU439,IF(GG472&lt;=GU440,GU440,IF(GG472&lt;=GU441,GU441,0))))))))</f>
        <v>27.55</v>
      </c>
      <c r="GV449" s="2276">
        <f>+IF(GG472&lt;=GV434,GV434,IF(GG472&lt;=GV435,GV435,IF(GG472&lt;=GV436,GV436,IF(GG472&lt;=GV437,GV437,IF(GG472&lt;=GV438,GV438,IF(GG472&lt;=GV439,GV439,IF(GG472&lt;=GV440,GV440,IF(GG472&lt;=GV441,GV441,0))))))))</f>
        <v>28.96</v>
      </c>
      <c r="GW449" s="2276">
        <f>+IF(GG472&lt;=GW434,GW434,IF(GG472&lt;=GW435,GW435,IF(GG472&lt;=GW436,GW436,IF(GG472&lt;=GW437,GW437,IF(GG472&lt;=GW438,GW438,IF(GG472&lt;=GW439,GW439,IF(GG472&lt;=GW440,GW440,IF(GG472&lt;=GW441,GW441,0))))))))</f>
        <v>29.82</v>
      </c>
      <c r="GX449" s="2276">
        <f>+IF(GG472&lt;=GX434,GX434,IF(GG472&lt;=GX435,GX435,IF(GG472&lt;=GX436,GX436,IF(GG472&lt;=GX437,GX437,IF(GG472&lt;=GX438,GX438,IF(GG472&lt;=GX439,GX439,IF(GG472&lt;=GX440,GX440,IF(GG472&lt;=GX441,GX441,0))))))))</f>
        <v>31.53</v>
      </c>
      <c r="GY449" s="2276">
        <f>+IF(GG472&lt;=GY434,GY434,IF(GG472&lt;=GY435,GY435,IF(GG472&lt;=GY436,GY436,IF(GG472&lt;=GY437,GY437,IF(GG472&lt;=GY438,GY438,IF(GG472&lt;=GY439,GY439,IF(GG472&lt;=GY440,GY440,IF(GG472&lt;=GY441,GY441,0))))))))</f>
        <v>21.1</v>
      </c>
      <c r="GZ449" s="2276">
        <f>+IF(GG472&lt;=GZ434,GZ434,IF(GG472&lt;=GZ435,GZ435,IF(GG472&lt;=GZ436,GZ436,IF(GG472&lt;=GZ437,GZ437,IF(GG472&lt;=GZ438,GZ438,IF(GG472&lt;=GZ439,GZ439,IF(GG472&lt;=GZ440,GZ440,IF(GG472&lt;=GZ441,GZ441,0))))))))</f>
        <v>22.39</v>
      </c>
      <c r="HA449" s="2276">
        <f>+IF(GG472&lt;=HA434,HA434,IF(GG472&lt;=HA435,HA435,IF(GG472&lt;=HA436,HA436,IF(GG472&lt;=HA437,HA437,IF(GG472&lt;=HA438,HA438,IF(GG472&lt;=HA439,HA439,IF(GG472&lt;=HA440,HA440,IF(GG472&lt;=HA441,HA441,0))))))))</f>
        <v>24.11</v>
      </c>
      <c r="HB449" s="2276">
        <f>+IF(GG472&lt;=HB434,HB434,IF(GG472&lt;=HB435,HB435,IF(GG472&lt;=HB436,HB436,IF(GG472&lt;=HB437,HB437,IF(GG472&lt;=HB438,HB438,IF(GG472&lt;=HB439,HB439,IF(GG472&lt;=HB440,HB440,IF(GG472&lt;=HB441,HB441,0))))))))</f>
        <v>26.13</v>
      </c>
      <c r="HC449" s="2276">
        <f>+IF(GG472&lt;=HC434,HC434,IF(GG472&lt;=HC435,HC435,IF(GG472&lt;=HC436,HC436,IF(GG472&lt;=HC437,HC437,IF(GG472&lt;=HC438,HC438,IF(GG472&lt;=HC439,HC439,IF(GG472&lt;=HC440,HC440,IF(GG472&lt;=HC441,HC441,0))))))))</f>
        <v>28.16</v>
      </c>
      <c r="HD449" s="2276">
        <f>+IF(GG472&lt;=HD434,HD434,IF(GG472&lt;=HD435,HD435,IF(GG472&lt;=HD436,HD436,IF(GG472&lt;=HD437,HD437,IF(GG472&lt;=HD438,HD438,IF(GG472&lt;=HD439,HD439,IF(GG472&lt;=HD440,HD440,IF(GG472&lt;=HD441,HD441,0))))))))</f>
        <v>30.18</v>
      </c>
      <c r="HE449" s="2276">
        <f>+IF(GG472&lt;=HE434,HE434,IF(GG472&lt;=HE435,HE435,IF(GG472&lt;=HE436,HE436,IF(GG472&lt;=HE437,HE437,IF(GG472&lt;=HE438,HE438,IF(GG472&lt;=HE439,HE439,IF(GG472&lt;=HE440,HE440,IF(GG472&lt;=HE441,HE441,0))))))))</f>
        <v>32.82</v>
      </c>
      <c r="HF449" s="2276">
        <f>+IF(GG472&lt;=HF434,HF434,IF(GG472&lt;=HF435,HF435,IF(GG472&lt;=HF436,HF436,IF(GG472&lt;=HF437,HF437,IF(GG472&lt;=HF438,HF438,IF(GG472&lt;=HF439,HF439,IF(GG472&lt;=HF440,HF440,IF(GG472&lt;=HF441,HF441,0))))))))</f>
        <v>21.53</v>
      </c>
      <c r="HG449" s="2276">
        <f>+IF(GG472&lt;=HG434,HG434,IF(GG472&lt;=HG435,HG435,IF(GG472&lt;=HG436,HG436,IF(GG472&lt;=HG437,HG437,IF(GG472&lt;=HG438,HG438,IF(GG472&lt;=HG439,HG439,IF(GG472&lt;=HG440,HG440,IF(GG472&lt;=HG441,HG441,0))))))))</f>
        <v>24.05</v>
      </c>
      <c r="HH449" s="2276">
        <f>+IF(GG472&lt;=HH434,HH434,IF(GG472&lt;=HH435,HH435,IF(GG472&lt;=HH436,HH436,IF(GG472&lt;=HH437,HH437,IF(GG472&lt;=HH438,HH438,IF(GG472&lt;=HH439,HH439,IF(GG472&lt;=HH440,HH440,IF(GG472&lt;=HH441,HH441,0))))))))</f>
        <v>26.87</v>
      </c>
      <c r="HI449" s="2276">
        <f>+IF(GG472&lt;=HI434,HI434,IF(GG472&lt;=HI435,HI435,IF(GG472&lt;=HI436,HI436,IF(GG472&lt;=HI437,HI437,IF(GG472&lt;=HI438,HI438,IF(GG472&lt;=HI439,HI439,IF(GG472&lt;=HI440,HI440,IF(GG472&lt;=HI441,HI441,0))))))))</f>
        <v>29.69</v>
      </c>
      <c r="HJ449" s="2275"/>
      <c r="HK449" s="2275"/>
      <c r="HL449" s="2275"/>
      <c r="HM449" s="2275"/>
      <c r="HN449" s="2275"/>
      <c r="HO449" s="2275"/>
      <c r="HP449" s="2275"/>
      <c r="HQ449" s="2275"/>
      <c r="HR449" s="2275"/>
      <c r="HS449" s="2275"/>
      <c r="HT449" s="2275"/>
      <c r="HU449" s="2250"/>
      <c r="HV449" s="2250"/>
      <c r="HW449" s="2250"/>
      <c r="HX449" s="2250"/>
      <c r="HY449" s="2250"/>
      <c r="HZ449" s="2250"/>
      <c r="IA449" s="2250"/>
      <c r="IB449" s="2250"/>
      <c r="IC449" s="2250"/>
      <c r="ID449" s="2250"/>
      <c r="IE449" s="2250"/>
      <c r="IF449" s="2250"/>
      <c r="IG449" s="2250"/>
      <c r="IH449" s="2250"/>
      <c r="II449" s="2250"/>
      <c r="IJ449" s="2250"/>
      <c r="IK449" s="2250"/>
      <c r="IL449" s="53"/>
      <c r="IM449" s="53"/>
    </row>
    <row r="450" spans="2:247" ht="21.95" customHeight="1">
      <c r="B450" s="2276">
        <f>B428</f>
        <v>19.915970774546171</v>
      </c>
      <c r="C450" s="2276">
        <f>HLOOKUP(B451,D432:AD452,20,0)</f>
        <v>20.86</v>
      </c>
      <c r="D450" s="2276">
        <f>+IF(B472&lt;=D442,D442,IF(B472&lt;=D443,D443,IF(B472&lt;=D444,D444,)))</f>
        <v>47.55</v>
      </c>
      <c r="E450" s="2276">
        <f>+IF(B472&lt;=E442,E442,IF(B472&lt;=E443,E443,IF(B472&lt;=E444,E444,)))</f>
        <v>53.62</v>
      </c>
      <c r="F450" s="2276">
        <f>+IF(B472&lt;=F442,F442,IF(B472&lt;=F443,F443,IF(B472&lt;=F444,F444,)))</f>
        <v>58.34</v>
      </c>
      <c r="G450" s="2276">
        <f>+IF(B472&lt;=G442,G442,IF(B472&lt;=G443,G443,IF(B472&lt;=G444,G444,)))</f>
        <v>62.58</v>
      </c>
      <c r="H450" s="2276">
        <f>+IF(B472&lt;=H442,H442,IF(B472&lt;=H443,H443,IF(B472&lt;=H444,H444,)))</f>
        <v>66.5</v>
      </c>
      <c r="I450" s="2276">
        <f>+IF(B472&lt;=I442,I442,IF(B472&lt;=I443,I443,IF(B472&lt;=I444,I444,)))</f>
        <v>67.55</v>
      </c>
      <c r="J450" s="2276">
        <f>+IF(B472&lt;=J442,J442,IF(B472&lt;=J443,J443,IF(B472&lt;=J444,J444,)))</f>
        <v>72.33</v>
      </c>
      <c r="K450" s="2276">
        <f>+IF(B472&lt;=K442,K442,IF(B472&lt;=K443,K443,IF(B472&lt;=K444,K444,)))</f>
        <v>77.42</v>
      </c>
      <c r="L450" s="2276">
        <f>+IF(B472&lt;=L442,L442,IF(B472&lt;=L443,L443,IF(B472&lt;=L444,L444,)))</f>
        <v>82.15</v>
      </c>
      <c r="M450" s="2276">
        <f>+IF(B472&lt;=M442,M442,IF(B472&lt;=M443,M443,IF(B472&lt;=M444,M444,)))</f>
        <v>87.48</v>
      </c>
      <c r="N450" s="2276">
        <f>+IF(B472&lt;=N442,N442,IF(B472&lt;=N443,N443,IF(B472&lt;=N444,N444,)))</f>
        <v>96.75</v>
      </c>
      <c r="O450" s="2276">
        <f>+IF(B472&lt;=O442,O442,IF(B472&lt;=O443,O443,IF(B472&lt;=O444,O444,)))</f>
        <v>104.48</v>
      </c>
      <c r="P450" s="2276">
        <f>+IF(B472&lt;=P442,P442,IF(B472&lt;=P443,P443,IF(B472&lt;=P444,P444,)))</f>
        <v>109.14</v>
      </c>
      <c r="Q450" s="2276">
        <f>+IF(B472&lt;=Q442,Q442,IF(B472&lt;=Q443,Q443,IF(B472&lt;=Q444,Q444,)))</f>
        <v>114.66</v>
      </c>
      <c r="R450" s="2276">
        <f>+IF(B472&lt;=R442,R442,IF(B472&lt;=R443,R443,IF(B472&lt;=R444,R444,)))</f>
        <v>120.74</v>
      </c>
      <c r="S450" s="2276">
        <f>+IF(B472&lt;=S442,S442,IF(B472&lt;=S443,S443,IF(B472&lt;=S444,S444,)))</f>
        <v>124.72</v>
      </c>
      <c r="T450" s="2276">
        <f>+IF(B472&lt;=T442,T442,IF(B472&lt;=T443,T443,IF(B472&lt;=T444,T444,)))</f>
        <v>132.69999999999999</v>
      </c>
      <c r="U450" s="2276">
        <f>+IF(B472&lt;=U442,U442,IF(B472&lt;=U443,U443,IF(B472&lt;=U444,U444,)))</f>
        <v>143.93</v>
      </c>
      <c r="V450" s="2276">
        <f>+IF(B472&lt;=V442,V442,IF(B472&lt;=V443,V443,IF(B472&lt;=V444,V444,)))</f>
        <v>153.31</v>
      </c>
      <c r="W450" s="2276">
        <f>+IF(B472&lt;=W442,W442,IF(B472&lt;=W443,W443,IF(B472&lt;=W444,W444,)))</f>
        <v>156.63</v>
      </c>
      <c r="X450" s="2276">
        <f>+IF(B472&lt;=X442,X442,IF(B472&lt;=X443,X443,IF(B472&lt;=X444,X444,)))</f>
        <v>163.19</v>
      </c>
      <c r="Y450" s="2276">
        <f>+IF(B472&lt;=Y442,Y442,IF(B472&lt;=Y443,Y443,IF(B472&lt;=Y444,Y444,)))</f>
        <v>183.13</v>
      </c>
      <c r="Z450" s="2276">
        <f>+IF(B472&lt;=Z442,Z442,IF(B472&lt;=Z443,Z443,IF(B472&lt;=Z444,Z444,)))</f>
        <v>209.26</v>
      </c>
      <c r="AA450" s="2276">
        <f>+IF(B472&lt;=AA442,AA442,IF(B472&lt;=AA443,AA443,IF(B472&lt;=AA444,AA444,)))</f>
        <v>230.67</v>
      </c>
      <c r="AB450" s="2276">
        <f>+IF(B472&lt;=AB442,AB442,IF(B472&lt;=AB443,AB443,IF(B472&lt;=AB444,AB444,)))</f>
        <v>237.48</v>
      </c>
      <c r="AC450" s="2276">
        <f>+IF(B472&lt;=AC442,AC442,IF(B472&lt;=AC443,AC443,IF(B472&lt;=AC444,AC444,)))</f>
        <v>237.48</v>
      </c>
      <c r="AD450" s="2276">
        <f>+IF(B472&lt;=AD442,AD442,IF(B472&lt;=AD443,AD443,IF(B472&lt;=AD444,AD444,)))</f>
        <v>237.48</v>
      </c>
      <c r="AE450" s="2275"/>
      <c r="AF450" s="2275"/>
      <c r="AG450" s="2275"/>
      <c r="AH450" s="2275"/>
      <c r="AI450" s="2275"/>
      <c r="AJ450" s="2275"/>
      <c r="AK450" s="2275"/>
      <c r="AL450" s="2275"/>
      <c r="AM450" s="2275"/>
      <c r="AN450" s="2275"/>
      <c r="AO450" s="2275"/>
      <c r="AP450" s="2250"/>
      <c r="AQ450" s="2250"/>
      <c r="AR450" s="2250"/>
      <c r="AS450" s="2250"/>
      <c r="AT450" s="2250"/>
      <c r="AU450" s="2250"/>
      <c r="AV450" s="2250"/>
      <c r="AW450" s="2250"/>
      <c r="AX450" s="2250"/>
      <c r="AY450" s="2250"/>
      <c r="AZ450" s="2250"/>
      <c r="BA450" s="2250"/>
      <c r="BB450" s="2250"/>
      <c r="BC450" s="2250"/>
      <c r="BD450" s="2250"/>
      <c r="BE450" s="2250"/>
      <c r="BF450" s="2276"/>
      <c r="BG450" s="2276"/>
      <c r="BH450" s="2250"/>
      <c r="BI450" s="2275"/>
      <c r="BJ450" s="2276">
        <f>BJ428</f>
        <v>19.915970774546171</v>
      </c>
      <c r="BK450" s="2276">
        <f>HLOOKUP(BJ451,BL432:CL452,20,0)</f>
        <v>27.18</v>
      </c>
      <c r="BL450" s="2276">
        <f>+IF(BJ472&lt;=BL442,BL442,IF(BJ472&lt;=BL443,BL443,IF(BJ472&lt;=BL444,BL444,)))</f>
        <v>47.55</v>
      </c>
      <c r="BM450" s="2276">
        <f>+IF(BJ472&lt;=BM442,BM442,IF(BJ472&lt;=BM443,BM443,IF(BJ472&lt;=BM444,BM444,)))</f>
        <v>53.62</v>
      </c>
      <c r="BN450" s="2276">
        <f>+IF(BJ472&lt;=BN442,BN442,IF(BJ472&lt;=BN443,BN443,IF(BJ472&lt;=BN444,BN444,)))</f>
        <v>58.34</v>
      </c>
      <c r="BO450" s="2276">
        <f>+IF(BJ472&lt;=BO442,BO442,IF(BJ472&lt;=BO443,BO443,IF(BJ472&lt;=BO444,BO444,)))</f>
        <v>62.58</v>
      </c>
      <c r="BP450" s="2276">
        <f>+IF(BJ472&lt;=BP442,BP442,IF(BJ472&lt;=BP443,BP443,IF(BJ472&lt;=BP444,BP444,)))</f>
        <v>66.5</v>
      </c>
      <c r="BQ450" s="2276">
        <f>+IF(BJ472&lt;=BQ442,BQ442,IF(BJ472&lt;=BQ443,BQ443,IF(BJ472&lt;=BQ444,BQ444,)))</f>
        <v>67.55</v>
      </c>
      <c r="BR450" s="2276">
        <f>+IF(BJ472&lt;=BR442,BR442,IF(BJ472&lt;=BR443,BR443,IF(BJ472&lt;=BR444,BR444,)))</f>
        <v>72.33</v>
      </c>
      <c r="BS450" s="2276">
        <f>+IF(BJ472&lt;=BS442,BS442,IF(BJ472&lt;=BS443,BS443,IF(BJ472&lt;=BS444,BS444,)))</f>
        <v>77.42</v>
      </c>
      <c r="BT450" s="2276">
        <f>+IF(BJ472&lt;=BT442,BT442,IF(BJ472&lt;=BT443,BT443,IF(BJ472&lt;=BT444,BT444,)))</f>
        <v>82.15</v>
      </c>
      <c r="BU450" s="2276">
        <f>+IF(BJ472&lt;=BU442,BU442,IF(BJ472&lt;=BU443,BU443,IF(BJ472&lt;=BU444,BU444,)))</f>
        <v>87.48</v>
      </c>
      <c r="BV450" s="2276">
        <f>+IF(BJ472&lt;=BV442,BV442,IF(BJ472&lt;=BV443,BV443,IF(BJ472&lt;=BV444,BV444,)))</f>
        <v>96.75</v>
      </c>
      <c r="BW450" s="2276">
        <f>+IF(BJ472&lt;=BW442,BW442,IF(BJ472&lt;=BW443,BW443,IF(BJ472&lt;=BW444,BW444,)))</f>
        <v>104.48</v>
      </c>
      <c r="BX450" s="2276">
        <f>+IF(BJ472&lt;=BX442,BX442,IF(BJ472&lt;=BX443,BX443,IF(BJ472&lt;=BX444,BX444,)))</f>
        <v>109.14</v>
      </c>
      <c r="BY450" s="2276">
        <f>+IF(BJ472&lt;=BY442,BY442,IF(BJ472&lt;=BY443,BY443,IF(BJ472&lt;=BY444,BY444,)))</f>
        <v>114.66</v>
      </c>
      <c r="BZ450" s="2276">
        <f>+IF(BJ472&lt;=BZ442,BZ442,IF(BJ472&lt;=BZ443,BZ443,IF(BJ472&lt;=BZ444,BZ444,)))</f>
        <v>120.74</v>
      </c>
      <c r="CA450" s="2276">
        <f>+IF(BJ472&lt;=CA442,CA442,IF(BJ472&lt;=CA443,CA443,IF(BJ472&lt;=CA444,CA444,)))</f>
        <v>124.72</v>
      </c>
      <c r="CB450" s="2276">
        <f>+IF(BJ472&lt;=CB442,CB442,IF(BJ472&lt;=CB443,CB443,IF(BJ472&lt;=CB444,CB444,)))</f>
        <v>132.69999999999999</v>
      </c>
      <c r="CC450" s="2276">
        <f>+IF(BJ472&lt;=CC442,CC442,IF(BJ472&lt;=CC443,CC443,IF(BJ472&lt;=CC444,CC444,)))</f>
        <v>143.93</v>
      </c>
      <c r="CD450" s="2276">
        <f>+IF(BJ472&lt;=CD442,CD442,IF(BJ472&lt;=CD443,CD443,IF(BJ472&lt;=CD444,CD444,)))</f>
        <v>153.31</v>
      </c>
      <c r="CE450" s="2276">
        <f>+IF(BJ472&lt;=CE442,CE442,IF(BJ472&lt;=CE443,CE443,IF(BJ472&lt;=CE444,CE444,)))</f>
        <v>156.63</v>
      </c>
      <c r="CF450" s="2276">
        <f>+IF(BJ472&lt;=CF442,CF442,IF(BJ472&lt;=CF443,CF443,IF(BJ472&lt;=CF444,CF444,)))</f>
        <v>163.19</v>
      </c>
      <c r="CG450" s="2276">
        <f>+IF(BJ472&lt;=CG442,CG442,IF(BJ472&lt;=CG443,CG443,IF(BJ472&lt;=CG444,CG444,)))</f>
        <v>183.13</v>
      </c>
      <c r="CH450" s="2276">
        <f>+IF(BJ472&lt;=CH442,CH442,IF(BJ472&lt;=CH443,CH443,IF(BJ472&lt;=CH444,CH444,)))</f>
        <v>209.26</v>
      </c>
      <c r="CI450" s="2276">
        <f>+IF(BJ472&lt;=CI442,CI442,IF(BJ472&lt;=CI443,CI443,IF(BJ472&lt;=CI444,CI444,)))</f>
        <v>230.67</v>
      </c>
      <c r="CJ450" s="2276">
        <f>+IF(BJ472&lt;=CJ442,CJ442,IF(BJ472&lt;=CJ443,CJ443,IF(BJ472&lt;=CJ444,CJ444,)))</f>
        <v>237.48</v>
      </c>
      <c r="CK450" s="2276">
        <f>+IF(BJ472&lt;=CK442,CK442,IF(BJ472&lt;=CK443,CK443,IF(BJ472&lt;=CK444,CK444,)))</f>
        <v>237.48</v>
      </c>
      <c r="CL450" s="2276">
        <f>+IF(BJ472&lt;=CL442,CL442,IF(BJ472&lt;=CL443,CL443,IF(BJ472&lt;=CL444,CL444,)))</f>
        <v>237.48</v>
      </c>
      <c r="CM450" s="2275"/>
      <c r="CN450" s="2275"/>
      <c r="CO450" s="2275"/>
      <c r="CP450" s="2275"/>
      <c r="CQ450" s="2275"/>
      <c r="CR450" s="2275"/>
      <c r="CS450" s="2275"/>
      <c r="CT450" s="2275"/>
      <c r="CU450" s="2275"/>
      <c r="CV450" s="2275"/>
      <c r="CW450" s="2275"/>
      <c r="CX450" s="2250"/>
      <c r="CY450" s="2250"/>
      <c r="CZ450" s="2250"/>
      <c r="DA450" s="2250"/>
      <c r="DB450" s="2250"/>
      <c r="DC450" s="2250"/>
      <c r="DD450" s="2250"/>
      <c r="DE450" s="2250"/>
      <c r="DF450" s="2250"/>
      <c r="DG450" s="2250"/>
      <c r="DH450" s="2250"/>
      <c r="DI450" s="2250"/>
      <c r="DJ450" s="2250"/>
      <c r="DK450" s="2250"/>
      <c r="DL450" s="2250"/>
      <c r="DM450" s="2250"/>
      <c r="DN450" s="2250"/>
      <c r="DO450" s="53"/>
      <c r="DP450" s="53"/>
      <c r="DY450" s="2276">
        <f>DY428</f>
        <v>19.968225884687833</v>
      </c>
      <c r="DZ450" s="2276">
        <f>HLOOKUP(DY451,EA432:FA452,20,0)</f>
        <v>22.09</v>
      </c>
      <c r="EA450" s="2276">
        <f>+IF(DY472&lt;=EA442,EA442,IF(DY472&lt;=EA443,EA443,IF(DY472&lt;=EA444,EA444,)))</f>
        <v>47.55</v>
      </c>
      <c r="EB450" s="2276">
        <f>+IF(DY472&lt;=EB442,EB442,IF(DY472&lt;=EB443,EB443,IF(DY472&lt;=EB444,EB444,)))</f>
        <v>53.62</v>
      </c>
      <c r="EC450" s="2276">
        <f>+IF(DY472&lt;=EC442,EC442,IF(DY472&lt;=EC443,EC443,IF(DY472&lt;=EC444,EC444,)))</f>
        <v>58.34</v>
      </c>
      <c r="ED450" s="2276">
        <f>+IF(DY472&lt;=ED442,ED442,IF(DY472&lt;=ED443,ED443,IF(DY472&lt;=ED444,ED444,)))</f>
        <v>62.58</v>
      </c>
      <c r="EE450" s="2276">
        <f>+IF(DY472&lt;=EE442,EE442,IF(DY472&lt;=EE443,EE443,IF(DY472&lt;=EE444,EE444,)))</f>
        <v>66.5</v>
      </c>
      <c r="EF450" s="2276">
        <f>+IF(DY472&lt;=EF442,EF442,IF(DY472&lt;=EF443,EF443,IF(DY472&lt;=EF444,EF444,)))</f>
        <v>67.55</v>
      </c>
      <c r="EG450" s="2276">
        <f>+IF(DY472&lt;=EG442,EG442,IF(DY472&lt;=EG443,EG443,IF(DY472&lt;=EG444,EG444,)))</f>
        <v>72.33</v>
      </c>
      <c r="EH450" s="2276">
        <f>+IF(DY472&lt;=EH442,EH442,IF(DY472&lt;=EH443,EH443,IF(DY472&lt;=EH444,EH444,)))</f>
        <v>77.42</v>
      </c>
      <c r="EI450" s="2276">
        <f>+IF(DY472&lt;=EI442,EI442,IF(DY472&lt;=EI443,EI443,IF(DY472&lt;=EI444,EI444,)))</f>
        <v>82.15</v>
      </c>
      <c r="EJ450" s="2276">
        <f>+IF(DY472&lt;=EJ442,EJ442,IF(DY472&lt;=EJ443,EJ443,IF(DY472&lt;=EJ444,EJ444,)))</f>
        <v>87.48</v>
      </c>
      <c r="EK450" s="2276">
        <f>+IF(DY472&lt;=EK442,EK442,IF(DY472&lt;=EK443,EK443,IF(DY472&lt;=EK444,EK444,)))</f>
        <v>96.75</v>
      </c>
      <c r="EL450" s="2276">
        <f>+IF(DY472&lt;=EL442,EL442,IF(DY472&lt;=EL443,EL443,IF(DY472&lt;=EL444,EL444,)))</f>
        <v>104.48</v>
      </c>
      <c r="EM450" s="2276">
        <f>+IF(DY472&lt;=EM442,EM442,IF(DY472&lt;=EM443,EM443,IF(DY472&lt;=EM444,EM444,)))</f>
        <v>109.14</v>
      </c>
      <c r="EN450" s="2276">
        <f>+IF(DY472&lt;=EN442,EN442,IF(DY472&lt;=EN443,EN443,IF(DY472&lt;=EN444,EN444,)))</f>
        <v>114.66</v>
      </c>
      <c r="EO450" s="2276">
        <f>+IF(DY472&lt;=EO442,EO442,IF(DY472&lt;=EO443,EO443,IF(DY472&lt;=EO444,EO444,)))</f>
        <v>120.74</v>
      </c>
      <c r="EP450" s="2276">
        <f>+IF(DY472&lt;=EP442,EP442,IF(DY472&lt;=EP443,EP443,IF(DY472&lt;=EP444,EP444,)))</f>
        <v>124.72</v>
      </c>
      <c r="EQ450" s="2276">
        <f>+IF(DY472&lt;=EQ442,EQ442,IF(DY472&lt;=EQ443,EQ443,IF(DY472&lt;=EQ444,EQ444,)))</f>
        <v>132.69999999999999</v>
      </c>
      <c r="ER450" s="2276">
        <f>+IF(DY472&lt;=ER442,ER442,IF(DY472&lt;=ER443,ER443,IF(DY472&lt;=ER444,ER444,)))</f>
        <v>143.93</v>
      </c>
      <c r="ES450" s="2276">
        <f>+IF(DY472&lt;=ES442,ES442,IF(DY472&lt;=ES443,ES443,IF(DY472&lt;=ES444,ES444,)))</f>
        <v>153.31</v>
      </c>
      <c r="ET450" s="2276">
        <f>+IF(DY472&lt;=ET442,ET442,IF(DY472&lt;=ET443,ET443,IF(DY472&lt;=ET444,ET444,)))</f>
        <v>156.63</v>
      </c>
      <c r="EU450" s="2276">
        <f>+IF(DY472&lt;=EU442,EU442,IF(DY472&lt;=EU443,EU443,IF(DY472&lt;=EU444,EU444,)))</f>
        <v>163.19</v>
      </c>
      <c r="EV450" s="2276">
        <f>+IF(DY472&lt;=EV442,EV442,IF(DY472&lt;=EV443,EV443,IF(DY472&lt;=EV444,EV444,)))</f>
        <v>183.13</v>
      </c>
      <c r="EW450" s="2276">
        <f>+IF(DY472&lt;=EW442,EW442,IF(DY472&lt;=EW443,EW443,IF(DY472&lt;=EW444,EW444,)))</f>
        <v>209.26</v>
      </c>
      <c r="EX450" s="2276">
        <f>+IF(DY472&lt;=EX442,EX442,IF(DY472&lt;=EX443,EX443,IF(DY472&lt;=EX444,EX444,)))</f>
        <v>230.67</v>
      </c>
      <c r="EY450" s="2276">
        <f>+IF(DY472&lt;=EY442,EY442,IF(DY472&lt;=EY443,EY443,IF(DY472&lt;=EY444,EY444,)))</f>
        <v>237.48</v>
      </c>
      <c r="EZ450" s="2276">
        <f>+IF(DY472&lt;=EZ442,EZ442,IF(DY472&lt;=EZ443,EZ443,IF(DY472&lt;=EZ444,EZ444,)))</f>
        <v>237.48</v>
      </c>
      <c r="FA450" s="2276">
        <f>+IF(DY472&lt;=FA442,FA442,IF(DY472&lt;=FA443,FA443,IF(DY472&lt;=FA444,FA444,)))</f>
        <v>237.48</v>
      </c>
      <c r="FB450" s="2275"/>
      <c r="FC450" s="2275"/>
      <c r="FD450" s="2275"/>
      <c r="FE450" s="2275"/>
      <c r="FF450" s="2275"/>
      <c r="FG450" s="2275"/>
      <c r="FH450" s="2275"/>
      <c r="FI450" s="2275"/>
      <c r="FJ450" s="2275"/>
      <c r="FK450" s="2275"/>
      <c r="FL450" s="2275"/>
      <c r="FM450" s="2250"/>
      <c r="FN450" s="2250"/>
      <c r="FO450" s="2250"/>
      <c r="FP450" s="2250"/>
      <c r="FQ450" s="2250"/>
      <c r="FR450" s="2250"/>
      <c r="FS450" s="2250"/>
      <c r="FT450" s="2250"/>
      <c r="FU450" s="2250"/>
      <c r="FV450" s="2250"/>
      <c r="FW450" s="2250"/>
      <c r="FX450" s="2250"/>
      <c r="FY450" s="2250"/>
      <c r="FZ450" s="2250"/>
      <c r="GA450" s="2250"/>
      <c r="GB450" s="2250"/>
      <c r="GC450" s="2276"/>
      <c r="GD450" s="2276"/>
      <c r="GE450" s="2250"/>
      <c r="GF450" s="2275"/>
      <c r="GG450" s="2276">
        <f>GG428</f>
        <v>19.968225884687833</v>
      </c>
      <c r="GH450" s="2276">
        <f>HLOOKUP(GG451,GI432:HI452,20,0)</f>
        <v>20.74</v>
      </c>
      <c r="GI450" s="2276">
        <f>+IF(GG472&lt;=GI442,GI442,IF(GG472&lt;=GI443,GI443,IF(GG472&lt;=GI444,GI444,)))</f>
        <v>47.55</v>
      </c>
      <c r="GJ450" s="2276">
        <f>+IF(GG472&lt;=GJ442,GJ442,IF(GG472&lt;=GJ443,GJ443,IF(GG472&lt;=GJ444,GJ444,)))</f>
        <v>53.62</v>
      </c>
      <c r="GK450" s="2276">
        <f>+IF(GG472&lt;=GK442,GK442,IF(GG472&lt;=GK443,GK443,IF(GG472&lt;=GK444,GK444,)))</f>
        <v>58.34</v>
      </c>
      <c r="GL450" s="2276">
        <f>+IF(GG472&lt;=GL442,GL442,IF(GG472&lt;=GL443,GL443,IF(GG472&lt;=GL444,GL444,)))</f>
        <v>62.58</v>
      </c>
      <c r="GM450" s="2276">
        <f>+IF(GG472&lt;=GM442,GM442,IF(GG472&lt;=GM443,GM443,IF(GG472&lt;=GM444,GM444,)))</f>
        <v>66.5</v>
      </c>
      <c r="GN450" s="2276">
        <f>+IF(GG472&lt;=GN442,GN442,IF(GG472&lt;=GN443,GN443,IF(GG472&lt;=GN444,GN444,)))</f>
        <v>67.55</v>
      </c>
      <c r="GO450" s="2276">
        <f>+IF(GG472&lt;=GO442,GO442,IF(GG472&lt;=GO443,GO443,IF(GG472&lt;=GO444,GO444,)))</f>
        <v>72.33</v>
      </c>
      <c r="GP450" s="2276">
        <f>+IF(GG472&lt;=GP442,GP442,IF(GG472&lt;=GP443,GP443,IF(GG472&lt;=GP444,GP444,)))</f>
        <v>77.42</v>
      </c>
      <c r="GQ450" s="2276">
        <f>+IF(GG472&lt;=GQ442,GQ442,IF(GG472&lt;=GQ443,GQ443,IF(GG472&lt;=GQ444,GQ444,)))</f>
        <v>82.15</v>
      </c>
      <c r="GR450" s="2276">
        <f>+IF(GG472&lt;=GR442,GR442,IF(GG472&lt;=GR443,GR443,IF(GG472&lt;=GR444,GR444,)))</f>
        <v>87.48</v>
      </c>
      <c r="GS450" s="2276">
        <f>+IF(GG472&lt;=GS442,GS442,IF(GG472&lt;=GS443,GS443,IF(GG472&lt;=GS444,GS444,)))</f>
        <v>96.75</v>
      </c>
      <c r="GT450" s="2276">
        <f>+IF(GG472&lt;=GT442,GT442,IF(GG472&lt;=GT443,GT443,IF(GG472&lt;=GT444,GT444,)))</f>
        <v>104.48</v>
      </c>
      <c r="GU450" s="2276">
        <f>+IF(GG472&lt;=GU442,GU442,IF(GG472&lt;=GU443,GU443,IF(GG472&lt;=GU444,GU444,)))</f>
        <v>109.14</v>
      </c>
      <c r="GV450" s="2276">
        <f>+IF(GG472&lt;=GV442,GV442,IF(GG472&lt;=GV443,GV443,IF(GG472&lt;=GV444,GV444,)))</f>
        <v>114.66</v>
      </c>
      <c r="GW450" s="2276">
        <f>+IF(GG472&lt;=GW442,GW442,IF(GG472&lt;=GW443,GW443,IF(GG472&lt;=GW444,GW444,)))</f>
        <v>120.74</v>
      </c>
      <c r="GX450" s="2276">
        <f>+IF(GG472&lt;=GX442,GX442,IF(GG472&lt;=GX443,GX443,IF(GG472&lt;=GX444,GX444,)))</f>
        <v>124.72</v>
      </c>
      <c r="GY450" s="2276">
        <f>+IF(GG472&lt;=GY442,GY442,IF(GG472&lt;=GY443,GY443,IF(GG472&lt;=GY444,GY444,)))</f>
        <v>132.69999999999999</v>
      </c>
      <c r="GZ450" s="2276">
        <f>+IF(GG472&lt;=GZ442,GZ442,IF(GG472&lt;=GZ443,GZ443,IF(GG472&lt;=GZ444,GZ444,)))</f>
        <v>143.93</v>
      </c>
      <c r="HA450" s="2276">
        <f>+IF(GG472&lt;=HA442,HA442,IF(GG472&lt;=HA443,HA443,IF(GG472&lt;=HA444,HA444,)))</f>
        <v>153.31</v>
      </c>
      <c r="HB450" s="2276">
        <f>+IF(GG472&lt;=HB442,HB442,IF(GG472&lt;=HB443,HB443,IF(GG472&lt;=HB444,HB444,)))</f>
        <v>156.63</v>
      </c>
      <c r="HC450" s="2276">
        <f>+IF(GG472&lt;=HC442,HC442,IF(GG472&lt;=HC443,HC443,IF(GG472&lt;=HC444,HC444,)))</f>
        <v>163.19</v>
      </c>
      <c r="HD450" s="2276">
        <f>+IF(GG472&lt;=HD442,HD442,IF(GG472&lt;=HD443,HD443,IF(GG472&lt;=HD444,HD444,)))</f>
        <v>183.13</v>
      </c>
      <c r="HE450" s="2276">
        <f>+IF(GG472&lt;=HE442,HE442,IF(GG472&lt;=HE443,HE443,IF(GG472&lt;=HE444,HE444,)))</f>
        <v>209.26</v>
      </c>
      <c r="HF450" s="2276">
        <f>+IF(GG472&lt;=HF442,HF442,IF(GG472&lt;=HF443,HF443,IF(GG472&lt;=HF444,HF444,)))</f>
        <v>230.67</v>
      </c>
      <c r="HG450" s="2276">
        <f>+IF(GG472&lt;=HG442,HG442,IF(GG472&lt;=HG443,HG443,IF(GG472&lt;=HG444,HG444,)))</f>
        <v>237.48</v>
      </c>
      <c r="HH450" s="2276">
        <f>+IF(GG472&lt;=HH442,HH442,IF(GG472&lt;=HH443,HH443,IF(GG472&lt;=HH444,HH444,)))</f>
        <v>237.48</v>
      </c>
      <c r="HI450" s="2276">
        <f>+IF(GG472&lt;=HI442,HI442,IF(GG472&lt;=HI443,HI443,IF(GG472&lt;=HI444,HI444,)))</f>
        <v>237.48</v>
      </c>
      <c r="HJ450" s="2275"/>
      <c r="HK450" s="2275"/>
      <c r="HL450" s="2275"/>
      <c r="HM450" s="2275"/>
      <c r="HN450" s="2275"/>
      <c r="HO450" s="2275"/>
      <c r="HP450" s="2275"/>
      <c r="HQ450" s="2275"/>
      <c r="HR450" s="2275"/>
      <c r="HS450" s="2275"/>
      <c r="HT450" s="2275"/>
      <c r="HU450" s="2250"/>
      <c r="HV450" s="2250"/>
      <c r="HW450" s="2250"/>
      <c r="HX450" s="2250"/>
      <c r="HY450" s="2250"/>
      <c r="HZ450" s="2250"/>
      <c r="IA450" s="2250"/>
      <c r="IB450" s="2250"/>
      <c r="IC450" s="2250"/>
      <c r="ID450" s="2250"/>
      <c r="IE450" s="2250"/>
      <c r="IF450" s="2250"/>
      <c r="IG450" s="2250"/>
      <c r="IH450" s="2250"/>
      <c r="II450" s="2250"/>
      <c r="IJ450" s="2250"/>
      <c r="IK450" s="2250"/>
      <c r="IL450" s="53"/>
      <c r="IM450" s="53"/>
    </row>
    <row r="451" spans="2:247" ht="21.95" customHeight="1">
      <c r="B451" s="2276">
        <f>B429</f>
        <v>190.4</v>
      </c>
      <c r="C451" s="2276">
        <f>HLOOKUP(B451,D432:AD452,21,0)</f>
        <v>825</v>
      </c>
      <c r="D451" s="2276">
        <f t="shared" ref="D451:AD451" si="346">IF(D449=0,D450,D449)</f>
        <v>24.11</v>
      </c>
      <c r="E451" s="2276">
        <f t="shared" si="346"/>
        <v>27.18</v>
      </c>
      <c r="F451" s="2276">
        <f t="shared" si="346"/>
        <v>20.86</v>
      </c>
      <c r="G451" s="2276">
        <f t="shared" si="346"/>
        <v>20.86</v>
      </c>
      <c r="H451" s="2276">
        <f t="shared" si="346"/>
        <v>23.19</v>
      </c>
      <c r="I451" s="2276">
        <f t="shared" si="346"/>
        <v>23.62</v>
      </c>
      <c r="J451" s="2276">
        <f t="shared" si="346"/>
        <v>26.01</v>
      </c>
      <c r="K451" s="2276">
        <f t="shared" si="346"/>
        <v>27.73</v>
      </c>
      <c r="L451" s="2276">
        <f t="shared" si="346"/>
        <v>20.74</v>
      </c>
      <c r="M451" s="2276">
        <f t="shared" si="346"/>
        <v>22.09</v>
      </c>
      <c r="N451" s="2276">
        <f t="shared" si="346"/>
        <v>24.42</v>
      </c>
      <c r="O451" s="2276">
        <f t="shared" si="346"/>
        <v>26.26</v>
      </c>
      <c r="P451" s="2276">
        <f t="shared" si="346"/>
        <v>27.55</v>
      </c>
      <c r="Q451" s="2276">
        <f t="shared" si="346"/>
        <v>28.96</v>
      </c>
      <c r="R451" s="2276">
        <f t="shared" si="346"/>
        <v>29.82</v>
      </c>
      <c r="S451" s="2276">
        <f t="shared" si="346"/>
        <v>31.53</v>
      </c>
      <c r="T451" s="2276">
        <f t="shared" si="346"/>
        <v>21.1</v>
      </c>
      <c r="U451" s="2276">
        <f t="shared" si="346"/>
        <v>22.39</v>
      </c>
      <c r="V451" s="2276">
        <f t="shared" si="346"/>
        <v>24.11</v>
      </c>
      <c r="W451" s="2276">
        <f t="shared" si="346"/>
        <v>26.13</v>
      </c>
      <c r="X451" s="2276">
        <f t="shared" si="346"/>
        <v>28.16</v>
      </c>
      <c r="Y451" s="2276">
        <f t="shared" si="346"/>
        <v>30.18</v>
      </c>
      <c r="Z451" s="2276">
        <f t="shared" si="346"/>
        <v>32.82</v>
      </c>
      <c r="AA451" s="2276">
        <f t="shared" si="346"/>
        <v>21.53</v>
      </c>
      <c r="AB451" s="2276">
        <f t="shared" si="346"/>
        <v>24.05</v>
      </c>
      <c r="AC451" s="2276">
        <f t="shared" si="346"/>
        <v>26.87</v>
      </c>
      <c r="AD451" s="2276">
        <f t="shared" si="346"/>
        <v>29.69</v>
      </c>
      <c r="AE451" s="2275"/>
      <c r="AF451" s="2275"/>
      <c r="AG451" s="2275"/>
      <c r="AH451" s="2275"/>
      <c r="AI451" s="2275"/>
      <c r="AJ451" s="2275"/>
      <c r="AK451" s="2275"/>
      <c r="AL451" s="2275"/>
      <c r="AM451" s="2275"/>
      <c r="AN451" s="2275"/>
      <c r="AO451" s="2275"/>
      <c r="AP451" s="2250"/>
      <c r="AQ451" s="2250"/>
      <c r="AR451" s="2250"/>
      <c r="AS451" s="2250"/>
      <c r="AT451" s="2250"/>
      <c r="AU451" s="2250"/>
      <c r="AV451" s="2250"/>
      <c r="AW451" s="2250"/>
      <c r="AX451" s="2250"/>
      <c r="AY451" s="2250"/>
      <c r="AZ451" s="2250"/>
      <c r="BA451" s="2250"/>
      <c r="BB451" s="2250"/>
      <c r="BC451" s="2250"/>
      <c r="BD451" s="2250"/>
      <c r="BE451" s="2250"/>
      <c r="BF451" s="2276"/>
      <c r="BG451" s="2276"/>
      <c r="BH451" s="2250"/>
      <c r="BI451" s="2275"/>
      <c r="BJ451" s="2276">
        <f>BJ429</f>
        <v>206.43</v>
      </c>
      <c r="BK451" s="2276">
        <f>HLOOKUP(BJ451,BL432:CL452,21,0)</f>
        <v>950</v>
      </c>
      <c r="BL451" s="2276">
        <f t="shared" ref="BL451:CL451" si="347">IF(BL449=0,BL450,BL449)</f>
        <v>24.11</v>
      </c>
      <c r="BM451" s="2276">
        <f t="shared" si="347"/>
        <v>27.18</v>
      </c>
      <c r="BN451" s="2276">
        <f t="shared" si="347"/>
        <v>20.86</v>
      </c>
      <c r="BO451" s="2276">
        <f t="shared" si="347"/>
        <v>20.86</v>
      </c>
      <c r="BP451" s="2276">
        <f t="shared" si="347"/>
        <v>23.19</v>
      </c>
      <c r="BQ451" s="2276">
        <f t="shared" si="347"/>
        <v>23.62</v>
      </c>
      <c r="BR451" s="2276">
        <f t="shared" si="347"/>
        <v>26.01</v>
      </c>
      <c r="BS451" s="2276">
        <f t="shared" si="347"/>
        <v>27.73</v>
      </c>
      <c r="BT451" s="2276">
        <f t="shared" si="347"/>
        <v>20.74</v>
      </c>
      <c r="BU451" s="2276">
        <f t="shared" si="347"/>
        <v>22.09</v>
      </c>
      <c r="BV451" s="2276">
        <f t="shared" si="347"/>
        <v>24.42</v>
      </c>
      <c r="BW451" s="2276">
        <f t="shared" si="347"/>
        <v>26.26</v>
      </c>
      <c r="BX451" s="2276">
        <f t="shared" si="347"/>
        <v>27.55</v>
      </c>
      <c r="BY451" s="2276">
        <f t="shared" si="347"/>
        <v>28.96</v>
      </c>
      <c r="BZ451" s="2276">
        <f t="shared" si="347"/>
        <v>29.82</v>
      </c>
      <c r="CA451" s="2276">
        <f t="shared" si="347"/>
        <v>31.53</v>
      </c>
      <c r="CB451" s="2276">
        <f t="shared" si="347"/>
        <v>21.1</v>
      </c>
      <c r="CC451" s="2276">
        <f t="shared" si="347"/>
        <v>22.39</v>
      </c>
      <c r="CD451" s="2276">
        <f t="shared" si="347"/>
        <v>24.11</v>
      </c>
      <c r="CE451" s="2276">
        <f t="shared" si="347"/>
        <v>26.13</v>
      </c>
      <c r="CF451" s="2276">
        <f t="shared" si="347"/>
        <v>28.16</v>
      </c>
      <c r="CG451" s="2276">
        <f t="shared" si="347"/>
        <v>30.18</v>
      </c>
      <c r="CH451" s="2276">
        <f t="shared" si="347"/>
        <v>32.82</v>
      </c>
      <c r="CI451" s="2276">
        <f t="shared" si="347"/>
        <v>21.53</v>
      </c>
      <c r="CJ451" s="2276">
        <f t="shared" si="347"/>
        <v>24.05</v>
      </c>
      <c r="CK451" s="2276">
        <f t="shared" si="347"/>
        <v>26.87</v>
      </c>
      <c r="CL451" s="2276">
        <f t="shared" si="347"/>
        <v>29.69</v>
      </c>
      <c r="CM451" s="2275"/>
      <c r="CN451" s="2275"/>
      <c r="CO451" s="2275"/>
      <c r="CP451" s="2275"/>
      <c r="CQ451" s="2275"/>
      <c r="CR451" s="2275"/>
      <c r="CS451" s="2275"/>
      <c r="CT451" s="2275"/>
      <c r="CU451" s="2275"/>
      <c r="CV451" s="2275"/>
      <c r="CW451" s="2275"/>
      <c r="CX451" s="2250"/>
      <c r="CY451" s="2250"/>
      <c r="CZ451" s="2250"/>
      <c r="DA451" s="2250"/>
      <c r="DB451" s="2250"/>
      <c r="DC451" s="2250"/>
      <c r="DD451" s="2250"/>
      <c r="DE451" s="2250"/>
      <c r="DF451" s="2250"/>
      <c r="DG451" s="2250"/>
      <c r="DH451" s="2250"/>
      <c r="DI451" s="2250"/>
      <c r="DJ451" s="2250"/>
      <c r="DK451" s="2250"/>
      <c r="DL451" s="2250"/>
      <c r="DM451" s="2250"/>
      <c r="DN451" s="2250"/>
      <c r="DO451" s="53"/>
      <c r="DP451" s="53"/>
      <c r="DY451" s="2276">
        <f>DY429</f>
        <v>120.7</v>
      </c>
      <c r="DZ451" s="2276">
        <f>HLOOKUP(DY451,EA432:FA452,21,0)</f>
        <v>775</v>
      </c>
      <c r="EA451" s="2276">
        <f t="shared" ref="EA451:FA451" si="348">IF(EA449=0,EA450,EA449)</f>
        <v>24.11</v>
      </c>
      <c r="EB451" s="2276">
        <f t="shared" si="348"/>
        <v>27.18</v>
      </c>
      <c r="EC451" s="2276">
        <f t="shared" si="348"/>
        <v>20.86</v>
      </c>
      <c r="ED451" s="2276">
        <f t="shared" si="348"/>
        <v>20.86</v>
      </c>
      <c r="EE451" s="2276">
        <f t="shared" si="348"/>
        <v>23.19</v>
      </c>
      <c r="EF451" s="2276">
        <f t="shared" si="348"/>
        <v>23.62</v>
      </c>
      <c r="EG451" s="2276">
        <f t="shared" si="348"/>
        <v>26.01</v>
      </c>
      <c r="EH451" s="2276">
        <f t="shared" si="348"/>
        <v>27.73</v>
      </c>
      <c r="EI451" s="2276">
        <f t="shared" si="348"/>
        <v>20.74</v>
      </c>
      <c r="EJ451" s="2276">
        <f t="shared" si="348"/>
        <v>22.09</v>
      </c>
      <c r="EK451" s="2276">
        <f t="shared" si="348"/>
        <v>24.42</v>
      </c>
      <c r="EL451" s="2276">
        <f t="shared" si="348"/>
        <v>26.26</v>
      </c>
      <c r="EM451" s="2276">
        <f t="shared" si="348"/>
        <v>27.55</v>
      </c>
      <c r="EN451" s="2276">
        <f t="shared" si="348"/>
        <v>28.96</v>
      </c>
      <c r="EO451" s="2276">
        <f t="shared" si="348"/>
        <v>29.82</v>
      </c>
      <c r="EP451" s="2276">
        <f t="shared" si="348"/>
        <v>31.53</v>
      </c>
      <c r="EQ451" s="2276">
        <f t="shared" si="348"/>
        <v>21.1</v>
      </c>
      <c r="ER451" s="2276">
        <f t="shared" si="348"/>
        <v>22.39</v>
      </c>
      <c r="ES451" s="2276">
        <f t="shared" si="348"/>
        <v>24.11</v>
      </c>
      <c r="ET451" s="2276">
        <f t="shared" si="348"/>
        <v>26.13</v>
      </c>
      <c r="EU451" s="2276">
        <f t="shared" si="348"/>
        <v>28.16</v>
      </c>
      <c r="EV451" s="2276">
        <f t="shared" si="348"/>
        <v>30.18</v>
      </c>
      <c r="EW451" s="2276">
        <f t="shared" si="348"/>
        <v>32.82</v>
      </c>
      <c r="EX451" s="2276">
        <f t="shared" si="348"/>
        <v>21.53</v>
      </c>
      <c r="EY451" s="2276">
        <f t="shared" si="348"/>
        <v>24.05</v>
      </c>
      <c r="EZ451" s="2276">
        <f t="shared" si="348"/>
        <v>26.87</v>
      </c>
      <c r="FA451" s="2276">
        <f t="shared" si="348"/>
        <v>29.69</v>
      </c>
      <c r="FB451" s="2275"/>
      <c r="FC451" s="2275"/>
      <c r="FD451" s="2275"/>
      <c r="FE451" s="2275"/>
      <c r="FF451" s="2275"/>
      <c r="FG451" s="2275"/>
      <c r="FH451" s="2275"/>
      <c r="FI451" s="2275"/>
      <c r="FJ451" s="2275"/>
      <c r="FK451" s="2275"/>
      <c r="FL451" s="2275"/>
      <c r="FM451" s="2250"/>
      <c r="FN451" s="2250"/>
      <c r="FO451" s="2250"/>
      <c r="FP451" s="2250"/>
      <c r="FQ451" s="2250"/>
      <c r="FR451" s="2250"/>
      <c r="FS451" s="2250"/>
      <c r="FT451" s="2250"/>
      <c r="FU451" s="2250"/>
      <c r="FV451" s="2250"/>
      <c r="FW451" s="2250"/>
      <c r="FX451" s="2250"/>
      <c r="FY451" s="2250"/>
      <c r="FZ451" s="2250"/>
      <c r="GA451" s="2250"/>
      <c r="GB451" s="2250"/>
      <c r="GC451" s="2276"/>
      <c r="GD451" s="2276"/>
      <c r="GE451" s="2250"/>
      <c r="GF451" s="2275"/>
      <c r="GG451" s="2276">
        <f>GG429</f>
        <v>129.80000000000001</v>
      </c>
      <c r="GH451" s="2276">
        <f>HLOOKUP(GG451,GI432:HI452,21,0)</f>
        <v>775</v>
      </c>
      <c r="GI451" s="2276">
        <f t="shared" ref="GI451:HI451" si="349">IF(GI449=0,GI450,GI449)</f>
        <v>24.11</v>
      </c>
      <c r="GJ451" s="2276">
        <f t="shared" si="349"/>
        <v>27.18</v>
      </c>
      <c r="GK451" s="2276">
        <f t="shared" si="349"/>
        <v>20.86</v>
      </c>
      <c r="GL451" s="2276">
        <f t="shared" si="349"/>
        <v>20.86</v>
      </c>
      <c r="GM451" s="2276">
        <f t="shared" si="349"/>
        <v>23.19</v>
      </c>
      <c r="GN451" s="2276">
        <f t="shared" si="349"/>
        <v>23.62</v>
      </c>
      <c r="GO451" s="2276">
        <f t="shared" si="349"/>
        <v>26.01</v>
      </c>
      <c r="GP451" s="2276">
        <f t="shared" si="349"/>
        <v>27.73</v>
      </c>
      <c r="GQ451" s="2276">
        <f t="shared" si="349"/>
        <v>20.74</v>
      </c>
      <c r="GR451" s="2276">
        <f t="shared" si="349"/>
        <v>22.09</v>
      </c>
      <c r="GS451" s="2276">
        <f t="shared" si="349"/>
        <v>24.42</v>
      </c>
      <c r="GT451" s="2276">
        <f t="shared" si="349"/>
        <v>26.26</v>
      </c>
      <c r="GU451" s="2276">
        <f t="shared" si="349"/>
        <v>27.55</v>
      </c>
      <c r="GV451" s="2276">
        <f t="shared" si="349"/>
        <v>28.96</v>
      </c>
      <c r="GW451" s="2276">
        <f t="shared" si="349"/>
        <v>29.82</v>
      </c>
      <c r="GX451" s="2276">
        <f t="shared" si="349"/>
        <v>31.53</v>
      </c>
      <c r="GY451" s="2276">
        <f t="shared" si="349"/>
        <v>21.1</v>
      </c>
      <c r="GZ451" s="2276">
        <f t="shared" si="349"/>
        <v>22.39</v>
      </c>
      <c r="HA451" s="2276">
        <f t="shared" si="349"/>
        <v>24.11</v>
      </c>
      <c r="HB451" s="2276">
        <f t="shared" si="349"/>
        <v>26.13</v>
      </c>
      <c r="HC451" s="2276">
        <f t="shared" si="349"/>
        <v>28.16</v>
      </c>
      <c r="HD451" s="2276">
        <f t="shared" si="349"/>
        <v>30.18</v>
      </c>
      <c r="HE451" s="2276">
        <f t="shared" si="349"/>
        <v>32.82</v>
      </c>
      <c r="HF451" s="2276">
        <f t="shared" si="349"/>
        <v>21.53</v>
      </c>
      <c r="HG451" s="2276">
        <f t="shared" si="349"/>
        <v>24.05</v>
      </c>
      <c r="HH451" s="2276">
        <f t="shared" si="349"/>
        <v>26.87</v>
      </c>
      <c r="HI451" s="2276">
        <f t="shared" si="349"/>
        <v>29.69</v>
      </c>
      <c r="HJ451" s="2275"/>
      <c r="HK451" s="2275"/>
      <c r="HL451" s="2275"/>
      <c r="HM451" s="2275"/>
      <c r="HN451" s="2275"/>
      <c r="HO451" s="2275"/>
      <c r="HP451" s="2275"/>
      <c r="HQ451" s="2275"/>
      <c r="HR451" s="2275"/>
      <c r="HS451" s="2275"/>
      <c r="HT451" s="2275"/>
      <c r="HU451" s="2250"/>
      <c r="HV451" s="2250"/>
      <c r="HW451" s="2250"/>
      <c r="HX451" s="2250"/>
      <c r="HY451" s="2250"/>
      <c r="HZ451" s="2250"/>
      <c r="IA451" s="2250"/>
      <c r="IB451" s="2250"/>
      <c r="IC451" s="2250"/>
      <c r="ID451" s="2250"/>
      <c r="IE451" s="2250"/>
      <c r="IF451" s="2250"/>
      <c r="IG451" s="2250"/>
      <c r="IH451" s="2250"/>
      <c r="II451" s="2250"/>
      <c r="IJ451" s="2250"/>
      <c r="IK451" s="2250"/>
      <c r="IL451" s="53"/>
      <c r="IM451" s="53"/>
    </row>
    <row r="452" spans="2:247" ht="21.95" customHeight="1">
      <c r="B452" s="2250"/>
      <c r="C452" s="2276" t="str">
        <f>IF(C450=AH448,IF(C451=AI448,"Right","Wrong"))</f>
        <v>Right</v>
      </c>
      <c r="D452" s="2276">
        <f>VLOOKUP(D451,D434:AE444,28,0)</f>
        <v>950</v>
      </c>
      <c r="E452" s="2276">
        <f>VLOOKUP(E451,E434:AE444,27,0)</f>
        <v>950</v>
      </c>
      <c r="F452" s="2276">
        <f>VLOOKUP(F451,F434:AE444,26,0)</f>
        <v>825</v>
      </c>
      <c r="G452" s="2276">
        <f>VLOOKUP(G451,G434:AE444,25,0)</f>
        <v>825</v>
      </c>
      <c r="H452" s="2276">
        <f>VLOOKUP(H451,H434:AE444,24,0)</f>
        <v>825</v>
      </c>
      <c r="I452" s="2276">
        <f>VLOOKUP(I451,I434:AE444,23,0)</f>
        <v>825</v>
      </c>
      <c r="J452" s="2276">
        <f>VLOOKUP(J451,J434:AE444,22,0)</f>
        <v>825</v>
      </c>
      <c r="K452" s="2276">
        <f>VLOOKUP(K451,K434:AE444,21,0)</f>
        <v>825</v>
      </c>
      <c r="L452" s="2276">
        <f>VLOOKUP(L451,L434:AE444,20,0)</f>
        <v>775</v>
      </c>
      <c r="M452" s="2276">
        <f>VLOOKUP(M451,M434:AE444,19,0)</f>
        <v>775</v>
      </c>
      <c r="N452" s="2276">
        <f>VLOOKUP(N451,N434:AE444,18,0)</f>
        <v>775</v>
      </c>
      <c r="O452" s="2276">
        <f>VLOOKUP(O451,O434:AE444,17,0)</f>
        <v>775</v>
      </c>
      <c r="P452" s="2276">
        <f>VLOOKUP(P451,P434:AE444,16,0)</f>
        <v>775</v>
      </c>
      <c r="Q452" s="2276">
        <f>VLOOKUP(Q451,Q434:AE444,15,0)</f>
        <v>775</v>
      </c>
      <c r="R452" s="2276">
        <f>VLOOKUP(R451,R434:AE444,14,0)</f>
        <v>775</v>
      </c>
      <c r="S452" s="2276">
        <f>VLOOKUP(S451,S434:AE444,13,0)</f>
        <v>775</v>
      </c>
      <c r="T452" s="2276">
        <f>VLOOKUP(T451,T434:AE444,12,0)</f>
        <v>650</v>
      </c>
      <c r="U452" s="2276">
        <f>VLOOKUP(U451,U434:AE444,11,0)</f>
        <v>650</v>
      </c>
      <c r="V452" s="2276">
        <f>VLOOKUP(V451,V434:AE444,10,0)</f>
        <v>650</v>
      </c>
      <c r="W452" s="2276">
        <f>VLOOKUP(W451,W434:AE444,9,0)</f>
        <v>650</v>
      </c>
      <c r="X452" s="2276">
        <f>VLOOKUP(X451,X434:AE444,8,0)</f>
        <v>650</v>
      </c>
      <c r="Y452" s="2276">
        <f>VLOOKUP(Y451,Y434:AE444,7,0)</f>
        <v>650</v>
      </c>
      <c r="Z452" s="2276">
        <f>VLOOKUP(Z451,Z434:AE444,6,0)</f>
        <v>650</v>
      </c>
      <c r="AA452" s="2276">
        <f>VLOOKUP(AA451,AA434:AE444,5,0)</f>
        <v>550</v>
      </c>
      <c r="AB452" s="2276">
        <f>VLOOKUP(AB451,AB434:AE444,4,0)</f>
        <v>550</v>
      </c>
      <c r="AC452" s="2276">
        <f>VLOOKUP(AC451,AC434:AE444,3,0)</f>
        <v>550</v>
      </c>
      <c r="AD452" s="2276">
        <f>VLOOKUP(AD451,AD434:AE444,2,0)</f>
        <v>550</v>
      </c>
      <c r="AE452" s="2275"/>
      <c r="AF452" s="2275"/>
      <c r="AG452" s="2275"/>
      <c r="AH452" s="2275"/>
      <c r="AI452" s="2275"/>
      <c r="AJ452" s="2275"/>
      <c r="AK452" s="2275"/>
      <c r="AL452" s="2275"/>
      <c r="AM452" s="2275"/>
      <c r="AN452" s="2275"/>
      <c r="AO452" s="2275"/>
      <c r="AP452" s="2250"/>
      <c r="AQ452" s="2250"/>
      <c r="AR452" s="2250"/>
      <c r="AS452" s="2250"/>
      <c r="AT452" s="2250"/>
      <c r="AU452" s="2250"/>
      <c r="AV452" s="2250"/>
      <c r="AW452" s="2250"/>
      <c r="AX452" s="2250"/>
      <c r="AY452" s="2250"/>
      <c r="AZ452" s="2250"/>
      <c r="BA452" s="2250"/>
      <c r="BB452" s="2250"/>
      <c r="BC452" s="2250"/>
      <c r="BD452" s="2250"/>
      <c r="BE452" s="2250"/>
      <c r="BF452" s="2276"/>
      <c r="BG452" s="2276"/>
      <c r="BH452" s="2250"/>
      <c r="BI452" s="2275"/>
      <c r="BJ452" s="2250"/>
      <c r="BK452" s="2276" t="str">
        <f>IF(BK450=CP448,IF(BK451=CQ448,"Right","Wrong"))</f>
        <v>Right</v>
      </c>
      <c r="BL452" s="2276">
        <f>VLOOKUP(BL451,BL434:CM444,28,0)</f>
        <v>950</v>
      </c>
      <c r="BM452" s="2276">
        <f>VLOOKUP(BM451,BM434:CM444,27,0)</f>
        <v>950</v>
      </c>
      <c r="BN452" s="2276">
        <f>VLOOKUP(BN451,BN434:CM444,26,0)</f>
        <v>825</v>
      </c>
      <c r="BO452" s="2276">
        <f>VLOOKUP(BO451,BO434:CM444,25,0)</f>
        <v>825</v>
      </c>
      <c r="BP452" s="2276">
        <f>VLOOKUP(BP451,BP434:CM444,24,0)</f>
        <v>825</v>
      </c>
      <c r="BQ452" s="2276">
        <f>VLOOKUP(BQ451,BQ434:CM444,23,0)</f>
        <v>825</v>
      </c>
      <c r="BR452" s="2276">
        <f>VLOOKUP(BR451,BR434:CM444,22,0)</f>
        <v>825</v>
      </c>
      <c r="BS452" s="2276">
        <f>VLOOKUP(BS451,BS434:CM444,21,0)</f>
        <v>825</v>
      </c>
      <c r="BT452" s="2276">
        <f>VLOOKUP(BT451,BT434:CM444,20,0)</f>
        <v>775</v>
      </c>
      <c r="BU452" s="2276">
        <f>VLOOKUP(BU451,BU434:CM444,19,0)</f>
        <v>775</v>
      </c>
      <c r="BV452" s="2276">
        <f>VLOOKUP(BV451,BV434:CM444,18,0)</f>
        <v>775</v>
      </c>
      <c r="BW452" s="2276">
        <f>VLOOKUP(BW451,BW434:CM444,17,0)</f>
        <v>775</v>
      </c>
      <c r="BX452" s="2276">
        <f>VLOOKUP(BX451,BX434:CM444,16,0)</f>
        <v>775</v>
      </c>
      <c r="BY452" s="2276">
        <f>VLOOKUP(BY451,BY434:CM444,15,0)</f>
        <v>775</v>
      </c>
      <c r="BZ452" s="2276">
        <f>VLOOKUP(BZ451,BZ434:CM444,14,0)</f>
        <v>775</v>
      </c>
      <c r="CA452" s="2276">
        <f>VLOOKUP(CA451,CA434:CM444,13,0)</f>
        <v>775</v>
      </c>
      <c r="CB452" s="2276">
        <f>VLOOKUP(CB451,CB434:CM444,12,0)</f>
        <v>650</v>
      </c>
      <c r="CC452" s="2276">
        <f>VLOOKUP(CC451,CC434:CM444,11,0)</f>
        <v>650</v>
      </c>
      <c r="CD452" s="2276">
        <f>VLOOKUP(CD451,CD434:CM444,10,0)</f>
        <v>650</v>
      </c>
      <c r="CE452" s="2276">
        <f>VLOOKUP(CE451,CE434:CM444,9,0)</f>
        <v>650</v>
      </c>
      <c r="CF452" s="2276">
        <f>VLOOKUP(CF451,CF434:CM444,8,0)</f>
        <v>650</v>
      </c>
      <c r="CG452" s="2276">
        <f>VLOOKUP(CG451,CG434:CM444,7,0)</f>
        <v>650</v>
      </c>
      <c r="CH452" s="2276">
        <f>VLOOKUP(CH451,CH434:CM444,6,0)</f>
        <v>650</v>
      </c>
      <c r="CI452" s="2276">
        <f>VLOOKUP(CI451,CI434:CM444,5,0)</f>
        <v>550</v>
      </c>
      <c r="CJ452" s="2276">
        <f>VLOOKUP(CJ451,CJ434:CM444,4,0)</f>
        <v>550</v>
      </c>
      <c r="CK452" s="2276">
        <f>VLOOKUP(CK451,CK434:CM444,3,0)</f>
        <v>550</v>
      </c>
      <c r="CL452" s="2276">
        <f>VLOOKUP(CL451,CL434:CM444,2,0)</f>
        <v>550</v>
      </c>
      <c r="CM452" s="2275"/>
      <c r="CN452" s="2275"/>
      <c r="CO452" s="2275"/>
      <c r="CP452" s="2275"/>
      <c r="CQ452" s="2275"/>
      <c r="CR452" s="2275"/>
      <c r="CS452" s="2275"/>
      <c r="CT452" s="2275"/>
      <c r="CU452" s="2275"/>
      <c r="CV452" s="2275"/>
      <c r="CW452" s="2275"/>
      <c r="CX452" s="2250"/>
      <c r="CY452" s="2250"/>
      <c r="CZ452" s="2250"/>
      <c r="DA452" s="2250"/>
      <c r="DB452" s="2250"/>
      <c r="DC452" s="2250"/>
      <c r="DD452" s="2250"/>
      <c r="DE452" s="2250"/>
      <c r="DF452" s="2250"/>
      <c r="DG452" s="2250"/>
      <c r="DH452" s="2250"/>
      <c r="DI452" s="2250"/>
      <c r="DJ452" s="2250"/>
      <c r="DK452" s="2250"/>
      <c r="DL452" s="2250"/>
      <c r="DM452" s="2250"/>
      <c r="DN452" s="2250"/>
      <c r="DO452" s="53"/>
      <c r="DP452" s="53"/>
      <c r="DY452" s="2250"/>
      <c r="DZ452" s="2276" t="str">
        <f>IF(DZ450=FE448,IF(DZ451=FF448,"Right","Wrong"))</f>
        <v>Right</v>
      </c>
      <c r="EA452" s="2276">
        <f>VLOOKUP(EA451,EA434:FB444,28,0)</f>
        <v>950</v>
      </c>
      <c r="EB452" s="2276">
        <f>VLOOKUP(EB451,EB434:FB444,27,0)</f>
        <v>950</v>
      </c>
      <c r="EC452" s="2276">
        <f>VLOOKUP(EC451,EC434:FB444,26,0)</f>
        <v>825</v>
      </c>
      <c r="ED452" s="2276">
        <f>VLOOKUP(ED451,ED434:FB444,25,0)</f>
        <v>825</v>
      </c>
      <c r="EE452" s="2276">
        <f>VLOOKUP(EE451,EE434:FB444,24,0)</f>
        <v>825</v>
      </c>
      <c r="EF452" s="2276">
        <f>VLOOKUP(EF451,EF434:FB444,23,0)</f>
        <v>825</v>
      </c>
      <c r="EG452" s="2276">
        <f>VLOOKUP(EG451,EG434:FB444,22,0)</f>
        <v>825</v>
      </c>
      <c r="EH452" s="2276">
        <f>VLOOKUP(EH451,EH434:FB444,21,0)</f>
        <v>825</v>
      </c>
      <c r="EI452" s="2276">
        <f>VLOOKUP(EI451,EI434:FB444,20,0)</f>
        <v>775</v>
      </c>
      <c r="EJ452" s="2276">
        <f>VLOOKUP(EJ451,EJ434:FB444,19,0)</f>
        <v>775</v>
      </c>
      <c r="EK452" s="2276">
        <f>VLOOKUP(EK451,EK434:FB444,18,0)</f>
        <v>775</v>
      </c>
      <c r="EL452" s="2276">
        <f>VLOOKUP(EL451,EL434:FB444,17,0)</f>
        <v>775</v>
      </c>
      <c r="EM452" s="2276">
        <f>VLOOKUP(EM451,EM434:FB444,16,0)</f>
        <v>775</v>
      </c>
      <c r="EN452" s="2276">
        <f>VLOOKUP(EN451,EN434:FB444,15,0)</f>
        <v>775</v>
      </c>
      <c r="EO452" s="2276">
        <f>VLOOKUP(EO451,EO434:FB444,14,0)</f>
        <v>775</v>
      </c>
      <c r="EP452" s="2276">
        <f>VLOOKUP(EP451,EP434:FB444,13,0)</f>
        <v>775</v>
      </c>
      <c r="EQ452" s="2276">
        <f>VLOOKUP(EQ451,EQ434:FB444,12,0)</f>
        <v>650</v>
      </c>
      <c r="ER452" s="2276">
        <f>VLOOKUP(ER451,ER434:FB444,11,0)</f>
        <v>650</v>
      </c>
      <c r="ES452" s="2276">
        <f>VLOOKUP(ES451,ES434:FB444,10,0)</f>
        <v>650</v>
      </c>
      <c r="ET452" s="2276">
        <f>VLOOKUP(ET451,ET434:FB444,9,0)</f>
        <v>650</v>
      </c>
      <c r="EU452" s="2276">
        <f>VLOOKUP(EU451,EU434:FB444,8,0)</f>
        <v>650</v>
      </c>
      <c r="EV452" s="2276">
        <f>VLOOKUP(EV451,EV434:FB444,7,0)</f>
        <v>650</v>
      </c>
      <c r="EW452" s="2276">
        <f>VLOOKUP(EW451,EW434:FB444,6,0)</f>
        <v>650</v>
      </c>
      <c r="EX452" s="2276">
        <f>VLOOKUP(EX451,EX434:FB444,5,0)</f>
        <v>550</v>
      </c>
      <c r="EY452" s="2276">
        <f>VLOOKUP(EY451,EY434:FB444,4,0)</f>
        <v>550</v>
      </c>
      <c r="EZ452" s="2276">
        <f>VLOOKUP(EZ451,EZ434:FB444,3,0)</f>
        <v>550</v>
      </c>
      <c r="FA452" s="2276">
        <f>VLOOKUP(FA451,FA434:FB444,2,0)</f>
        <v>550</v>
      </c>
      <c r="FB452" s="2275"/>
      <c r="FC452" s="2275"/>
      <c r="FD452" s="2275"/>
      <c r="FE452" s="2275"/>
      <c r="FF452" s="2275"/>
      <c r="FG452" s="2275"/>
      <c r="FH452" s="2275"/>
      <c r="FI452" s="2275"/>
      <c r="FJ452" s="2275"/>
      <c r="FK452" s="2275"/>
      <c r="FL452" s="2275"/>
      <c r="FM452" s="2250"/>
      <c r="FN452" s="2250"/>
      <c r="FO452" s="2250"/>
      <c r="FP452" s="2250"/>
      <c r="FQ452" s="2250"/>
      <c r="FR452" s="2250"/>
      <c r="FS452" s="2250"/>
      <c r="FT452" s="2250"/>
      <c r="FU452" s="2250"/>
      <c r="FV452" s="2250"/>
      <c r="FW452" s="2250"/>
      <c r="FX452" s="2250"/>
      <c r="FY452" s="2250"/>
      <c r="FZ452" s="2250"/>
      <c r="GA452" s="2250"/>
      <c r="GB452" s="2250"/>
      <c r="GC452" s="2276"/>
      <c r="GD452" s="2276"/>
      <c r="GE452" s="2250"/>
      <c r="GF452" s="2275"/>
      <c r="GG452" s="2250"/>
      <c r="GH452" s="2276" t="str">
        <f>IF(GH450=HM448,IF(GH451=HN448,"Right","Wrong"))</f>
        <v>Right</v>
      </c>
      <c r="GI452" s="2276">
        <f>VLOOKUP(GI451,GI434:HJ444,28,0)</f>
        <v>950</v>
      </c>
      <c r="GJ452" s="2276">
        <f>VLOOKUP(GJ451,GJ434:HJ444,27,0)</f>
        <v>950</v>
      </c>
      <c r="GK452" s="2276">
        <f>VLOOKUP(GK451,GK434:HJ444,26,0)</f>
        <v>825</v>
      </c>
      <c r="GL452" s="2276">
        <f>VLOOKUP(GL451,GL434:HJ444,25,0)</f>
        <v>825</v>
      </c>
      <c r="GM452" s="2276">
        <f>VLOOKUP(GM451,GM434:HJ444,24,0)</f>
        <v>825</v>
      </c>
      <c r="GN452" s="2276">
        <f>VLOOKUP(GN451,GN434:HJ444,23,0)</f>
        <v>825</v>
      </c>
      <c r="GO452" s="2276">
        <f>VLOOKUP(GO451,GO434:HJ444,22,0)</f>
        <v>825</v>
      </c>
      <c r="GP452" s="2276">
        <f>VLOOKUP(GP451,GP434:HJ444,21,0)</f>
        <v>825</v>
      </c>
      <c r="GQ452" s="2276">
        <f>VLOOKUP(GQ451,GQ434:HJ444,20,0)</f>
        <v>775</v>
      </c>
      <c r="GR452" s="2276">
        <f>VLOOKUP(GR451,GR434:HJ444,19,0)</f>
        <v>775</v>
      </c>
      <c r="GS452" s="2276">
        <f>VLOOKUP(GS451,GS434:HJ444,18,0)</f>
        <v>775</v>
      </c>
      <c r="GT452" s="2276">
        <f>VLOOKUP(GT451,GT434:HJ444,17,0)</f>
        <v>775</v>
      </c>
      <c r="GU452" s="2276">
        <f>VLOOKUP(GU451,GU434:HJ444,16,0)</f>
        <v>775</v>
      </c>
      <c r="GV452" s="2276">
        <f>VLOOKUP(GV451,GV434:HJ444,15,0)</f>
        <v>775</v>
      </c>
      <c r="GW452" s="2276">
        <f>VLOOKUP(GW451,GW434:HJ444,14,0)</f>
        <v>775</v>
      </c>
      <c r="GX452" s="2276">
        <f>VLOOKUP(GX451,GX434:HJ444,13,0)</f>
        <v>775</v>
      </c>
      <c r="GY452" s="2276">
        <f>VLOOKUP(GY451,GY434:HJ444,12,0)</f>
        <v>650</v>
      </c>
      <c r="GZ452" s="2276">
        <f>VLOOKUP(GZ451,GZ434:HJ444,11,0)</f>
        <v>650</v>
      </c>
      <c r="HA452" s="2276">
        <f>VLOOKUP(HA451,HA434:HJ444,10,0)</f>
        <v>650</v>
      </c>
      <c r="HB452" s="2276">
        <f>VLOOKUP(HB451,HB434:HJ444,9,0)</f>
        <v>650</v>
      </c>
      <c r="HC452" s="2276">
        <f>VLOOKUP(HC451,HC434:HJ444,8,0)</f>
        <v>650</v>
      </c>
      <c r="HD452" s="2276">
        <f>VLOOKUP(HD451,HD434:HJ444,7,0)</f>
        <v>650</v>
      </c>
      <c r="HE452" s="2276">
        <f>VLOOKUP(HE451,HE434:HJ444,6,0)</f>
        <v>650</v>
      </c>
      <c r="HF452" s="2276">
        <f>VLOOKUP(HF451,HF434:HJ444,5,0)</f>
        <v>550</v>
      </c>
      <c r="HG452" s="2276">
        <f>VLOOKUP(HG451,HG434:HJ444,4,0)</f>
        <v>550</v>
      </c>
      <c r="HH452" s="2276">
        <f>VLOOKUP(HH451,HH434:HJ444,3,0)</f>
        <v>550</v>
      </c>
      <c r="HI452" s="2276">
        <f>VLOOKUP(HI451,HI434:HJ444,2,0)</f>
        <v>550</v>
      </c>
      <c r="HJ452" s="2275"/>
      <c r="HK452" s="2275"/>
      <c r="HL452" s="2275"/>
      <c r="HM452" s="2275"/>
      <c r="HN452" s="2275"/>
      <c r="HO452" s="2275"/>
      <c r="HP452" s="2275"/>
      <c r="HQ452" s="2275"/>
      <c r="HR452" s="2275"/>
      <c r="HS452" s="2275"/>
      <c r="HT452" s="2275"/>
      <c r="HU452" s="2250"/>
      <c r="HV452" s="2250"/>
      <c r="HW452" s="2250"/>
      <c r="HX452" s="2250"/>
      <c r="HY452" s="2250"/>
      <c r="HZ452" s="2250"/>
      <c r="IA452" s="2250"/>
      <c r="IB452" s="2250"/>
      <c r="IC452" s="2250"/>
      <c r="ID452" s="2250"/>
      <c r="IE452" s="2250"/>
      <c r="IF452" s="2250"/>
      <c r="IG452" s="2250"/>
      <c r="IH452" s="2250"/>
      <c r="II452" s="2250"/>
      <c r="IJ452" s="2250"/>
      <c r="IK452" s="2250"/>
      <c r="IL452" s="53"/>
      <c r="IM452" s="53"/>
    </row>
    <row r="453" spans="2:247" ht="21.95" customHeight="1">
      <c r="B453" s="2275"/>
      <c r="C453" s="2275"/>
      <c r="D453" s="2275"/>
      <c r="E453" s="2275"/>
      <c r="F453" s="2275"/>
      <c r="G453" s="2275"/>
      <c r="H453" s="2275"/>
      <c r="I453" s="2275"/>
      <c r="J453" s="2275"/>
      <c r="K453" s="2275"/>
      <c r="L453" s="2275"/>
      <c r="M453" s="2275"/>
      <c r="N453" s="2275"/>
      <c r="O453" s="2275"/>
      <c r="P453" s="2275"/>
      <c r="Q453" s="2275"/>
      <c r="R453" s="2275"/>
      <c r="S453" s="2275"/>
      <c r="T453" s="2275"/>
      <c r="U453" s="2275"/>
      <c r="V453" s="2275"/>
      <c r="W453" s="2275"/>
      <c r="X453" s="2275"/>
      <c r="Y453" s="2275"/>
      <c r="Z453" s="2275"/>
      <c r="AA453" s="2275"/>
      <c r="AB453" s="2275"/>
      <c r="AC453" s="2275"/>
      <c r="AD453" s="2275"/>
      <c r="AE453" s="2275"/>
      <c r="AF453" s="2275" t="s">
        <v>655</v>
      </c>
      <c r="AG453" s="2276">
        <f>AG409</f>
        <v>190.4</v>
      </c>
      <c r="AH453" s="2275"/>
      <c r="AI453" s="2275"/>
      <c r="AJ453" s="2275"/>
      <c r="AK453" s="2275"/>
      <c r="AL453" s="2275"/>
      <c r="AM453" s="2275"/>
      <c r="AN453" s="2275"/>
      <c r="AO453" s="2275"/>
      <c r="AP453" s="2250"/>
      <c r="AQ453" s="2250"/>
      <c r="AR453" s="2250"/>
      <c r="AS453" s="2250"/>
      <c r="AT453" s="2250"/>
      <c r="AU453" s="2250"/>
      <c r="AV453" s="2250"/>
      <c r="AW453" s="2250"/>
      <c r="AX453" s="2250"/>
      <c r="AY453" s="2250"/>
      <c r="AZ453" s="2250"/>
      <c r="BA453" s="2250"/>
      <c r="BB453" s="2250"/>
      <c r="BC453" s="2250"/>
      <c r="BD453" s="2250"/>
      <c r="BE453" s="2250"/>
      <c r="BF453" s="2276"/>
      <c r="BG453" s="2276"/>
      <c r="BH453" s="2250"/>
      <c r="BI453" s="2275"/>
      <c r="BJ453" s="2275"/>
      <c r="BK453" s="2275"/>
      <c r="BL453" s="2275"/>
      <c r="BM453" s="2275"/>
      <c r="BN453" s="2275"/>
      <c r="BO453" s="2275"/>
      <c r="BP453" s="2275"/>
      <c r="BQ453" s="2275"/>
      <c r="BR453" s="2275"/>
      <c r="BS453" s="2275"/>
      <c r="BT453" s="2275"/>
      <c r="BU453" s="2275"/>
      <c r="BV453" s="2275"/>
      <c r="BW453" s="2275"/>
      <c r="BX453" s="2275"/>
      <c r="BY453" s="2275"/>
      <c r="BZ453" s="2275"/>
      <c r="CA453" s="2275"/>
      <c r="CB453" s="2275"/>
      <c r="CC453" s="2275"/>
      <c r="CD453" s="2275"/>
      <c r="CE453" s="2275"/>
      <c r="CF453" s="2275"/>
      <c r="CG453" s="2275"/>
      <c r="CH453" s="2275"/>
      <c r="CI453" s="2275"/>
      <c r="CJ453" s="2275"/>
      <c r="CK453" s="2275"/>
      <c r="CL453" s="2275"/>
      <c r="CM453" s="2275"/>
      <c r="CN453" s="2275" t="s">
        <v>655</v>
      </c>
      <c r="CO453" s="2276">
        <f>CO409</f>
        <v>206.43</v>
      </c>
      <c r="CP453" s="2275"/>
      <c r="CQ453" s="2275"/>
      <c r="CR453" s="2275"/>
      <c r="CS453" s="2275"/>
      <c r="CT453" s="2275"/>
      <c r="CU453" s="2275"/>
      <c r="CV453" s="2275"/>
      <c r="CW453" s="2275"/>
      <c r="CX453" s="2250"/>
      <c r="CY453" s="2250"/>
      <c r="CZ453" s="2250"/>
      <c r="DA453" s="2250"/>
      <c r="DB453" s="2250"/>
      <c r="DC453" s="2250"/>
      <c r="DD453" s="2250"/>
      <c r="DE453" s="2250"/>
      <c r="DF453" s="2250"/>
      <c r="DG453" s="2250"/>
      <c r="DH453" s="2250"/>
      <c r="DI453" s="2250"/>
      <c r="DJ453" s="2250"/>
      <c r="DK453" s="2250"/>
      <c r="DL453" s="2250"/>
      <c r="DM453" s="2250"/>
      <c r="DN453" s="2250"/>
      <c r="DO453" s="53"/>
      <c r="DP453" s="53"/>
      <c r="DY453" s="2275"/>
      <c r="DZ453" s="2275"/>
      <c r="EA453" s="2275"/>
      <c r="EB453" s="2275"/>
      <c r="EC453" s="2275"/>
      <c r="ED453" s="2275"/>
      <c r="EE453" s="2275"/>
      <c r="EF453" s="2275"/>
      <c r="EG453" s="2275"/>
      <c r="EH453" s="2275"/>
      <c r="EI453" s="2275"/>
      <c r="EJ453" s="2275"/>
      <c r="EK453" s="2275"/>
      <c r="EL453" s="2275"/>
      <c r="EM453" s="2275"/>
      <c r="EN453" s="2275"/>
      <c r="EO453" s="2275"/>
      <c r="EP453" s="2275"/>
      <c r="EQ453" s="2275"/>
      <c r="ER453" s="2275"/>
      <c r="ES453" s="2275"/>
      <c r="ET453" s="2275"/>
      <c r="EU453" s="2275"/>
      <c r="EV453" s="2275"/>
      <c r="EW453" s="2275"/>
      <c r="EX453" s="2275"/>
      <c r="EY453" s="2275"/>
      <c r="EZ453" s="2275"/>
      <c r="FA453" s="2275"/>
      <c r="FB453" s="2275"/>
      <c r="FC453" s="2275" t="s">
        <v>655</v>
      </c>
      <c r="FD453" s="2276">
        <f>FD409</f>
        <v>120.7</v>
      </c>
      <c r="FE453" s="2275"/>
      <c r="FF453" s="2275"/>
      <c r="FG453" s="2275"/>
      <c r="FH453" s="2275"/>
      <c r="FI453" s="2275"/>
      <c r="FJ453" s="2275"/>
      <c r="FK453" s="2275"/>
      <c r="FL453" s="2275"/>
      <c r="FM453" s="2250"/>
      <c r="FN453" s="2250"/>
      <c r="FO453" s="2250"/>
      <c r="FP453" s="2250"/>
      <c r="FQ453" s="2250"/>
      <c r="FR453" s="2250"/>
      <c r="FS453" s="2250"/>
      <c r="FT453" s="2250"/>
      <c r="FU453" s="2250"/>
      <c r="FV453" s="2250"/>
      <c r="FW453" s="2250"/>
      <c r="FX453" s="2250"/>
      <c r="FY453" s="2250"/>
      <c r="FZ453" s="2250"/>
      <c r="GA453" s="2250"/>
      <c r="GB453" s="2250"/>
      <c r="GC453" s="2276"/>
      <c r="GD453" s="2276"/>
      <c r="GE453" s="2250"/>
      <c r="GF453" s="2275"/>
      <c r="GG453" s="2275"/>
      <c r="GH453" s="2275"/>
      <c r="GI453" s="2275"/>
      <c r="GJ453" s="2275"/>
      <c r="GK453" s="2275"/>
      <c r="GL453" s="2275"/>
      <c r="GM453" s="2275"/>
      <c r="GN453" s="2275"/>
      <c r="GO453" s="2275"/>
      <c r="GP453" s="2275"/>
      <c r="GQ453" s="2275"/>
      <c r="GR453" s="2275"/>
      <c r="GS453" s="2275"/>
      <c r="GT453" s="2275"/>
      <c r="GU453" s="2275"/>
      <c r="GV453" s="2275"/>
      <c r="GW453" s="2275"/>
      <c r="GX453" s="2275"/>
      <c r="GY453" s="2275"/>
      <c r="GZ453" s="2275"/>
      <c r="HA453" s="2275"/>
      <c r="HB453" s="2275"/>
      <c r="HC453" s="2275"/>
      <c r="HD453" s="2275"/>
      <c r="HE453" s="2275"/>
      <c r="HF453" s="2275"/>
      <c r="HG453" s="2275"/>
      <c r="HH453" s="2275"/>
      <c r="HI453" s="2275"/>
      <c r="HJ453" s="2275"/>
      <c r="HK453" s="2275" t="s">
        <v>655</v>
      </c>
      <c r="HL453" s="2276">
        <f>HL409</f>
        <v>129.80000000000001</v>
      </c>
      <c r="HM453" s="2275"/>
      <c r="HN453" s="2275"/>
      <c r="HO453" s="2275"/>
      <c r="HP453" s="2275"/>
      <c r="HQ453" s="2275"/>
      <c r="HR453" s="2275"/>
      <c r="HS453" s="2275"/>
      <c r="HT453" s="2275"/>
      <c r="HU453" s="2250"/>
      <c r="HV453" s="2250"/>
      <c r="HW453" s="2250"/>
      <c r="HX453" s="2250"/>
      <c r="HY453" s="2250"/>
      <c r="HZ453" s="2250"/>
      <c r="IA453" s="2250"/>
      <c r="IB453" s="2250"/>
      <c r="IC453" s="2250"/>
      <c r="ID453" s="2250"/>
      <c r="IE453" s="2250"/>
      <c r="IF453" s="2250"/>
      <c r="IG453" s="2250"/>
      <c r="IH453" s="2250"/>
      <c r="II453" s="2250"/>
      <c r="IJ453" s="2250"/>
      <c r="IK453" s="2250"/>
      <c r="IL453" s="53"/>
      <c r="IM453" s="53"/>
    </row>
    <row r="454" spans="2:247" ht="21.95" customHeight="1">
      <c r="B454" s="2275"/>
      <c r="C454" s="2333" t="s">
        <v>736</v>
      </c>
      <c r="D454" s="2333">
        <v>223.8</v>
      </c>
      <c r="E454" s="2333">
        <v>206.43</v>
      </c>
      <c r="F454" s="2333">
        <v>190.4</v>
      </c>
      <c r="G454" s="2333">
        <v>177.81</v>
      </c>
      <c r="H454" s="2333">
        <v>165.9</v>
      </c>
      <c r="I454" s="2333">
        <v>162.68</v>
      </c>
      <c r="J454" s="2333">
        <v>151.30000000000001</v>
      </c>
      <c r="K454" s="2333">
        <v>140.1</v>
      </c>
      <c r="L454" s="2333">
        <v>129.80000000000001</v>
      </c>
      <c r="M454" s="2333">
        <v>120.7</v>
      </c>
      <c r="N454" s="2333">
        <v>107.9</v>
      </c>
      <c r="O454" s="2333">
        <v>97.1</v>
      </c>
      <c r="P454" s="2333">
        <v>92.9</v>
      </c>
      <c r="Q454" s="2333">
        <v>88.2</v>
      </c>
      <c r="R454" s="2333">
        <v>83.3</v>
      </c>
      <c r="S454" s="2333">
        <v>78.2</v>
      </c>
      <c r="T454" s="2333">
        <v>73.7</v>
      </c>
      <c r="U454" s="2333">
        <v>68.3</v>
      </c>
      <c r="V454" s="2333">
        <v>63.4</v>
      </c>
      <c r="W454" s="2333">
        <v>58.1</v>
      </c>
      <c r="X454" s="2333">
        <v>53.7</v>
      </c>
      <c r="Y454" s="2333">
        <v>48.8</v>
      </c>
      <c r="Z454" s="2333">
        <v>43.9</v>
      </c>
      <c r="AA454" s="2333">
        <v>38.799999999999997</v>
      </c>
      <c r="AB454" s="2333">
        <v>34.200000000000003</v>
      </c>
      <c r="AC454" s="2333">
        <v>29.3</v>
      </c>
      <c r="AD454" s="2345">
        <v>24.5</v>
      </c>
      <c r="AE454" s="2333" t="s">
        <v>736</v>
      </c>
      <c r="AF454" s="2275" t="s">
        <v>738</v>
      </c>
      <c r="AG454" s="2276">
        <f>AG410</f>
        <v>19.915970774546171</v>
      </c>
      <c r="AH454" s="2275"/>
      <c r="AI454" s="2275"/>
      <c r="AJ454" s="2275"/>
      <c r="AK454" s="2275"/>
      <c r="AL454" s="2275"/>
      <c r="AM454" s="2275"/>
      <c r="AN454" s="2275"/>
      <c r="AO454" s="2275"/>
      <c r="AP454" s="2250"/>
      <c r="AQ454" s="2250"/>
      <c r="AR454" s="2250"/>
      <c r="AS454" s="2250"/>
      <c r="AT454" s="2250"/>
      <c r="AU454" s="2250"/>
      <c r="AV454" s="2250"/>
      <c r="AW454" s="2250"/>
      <c r="AX454" s="2250"/>
      <c r="AY454" s="2250"/>
      <c r="AZ454" s="2250"/>
      <c r="BA454" s="2250"/>
      <c r="BB454" s="2250"/>
      <c r="BC454" s="2250"/>
      <c r="BD454" s="2250"/>
      <c r="BE454" s="2250"/>
      <c r="BF454" s="2276"/>
      <c r="BG454" s="2276"/>
      <c r="BH454" s="2250"/>
      <c r="BI454" s="2275"/>
      <c r="BJ454" s="2275"/>
      <c r="BK454" s="2333" t="s">
        <v>736</v>
      </c>
      <c r="BL454" s="2333">
        <v>223.8</v>
      </c>
      <c r="BM454" s="2333">
        <v>206.43</v>
      </c>
      <c r="BN454" s="2333">
        <v>190.4</v>
      </c>
      <c r="BO454" s="2333">
        <v>177.81</v>
      </c>
      <c r="BP454" s="2333">
        <v>165.9</v>
      </c>
      <c r="BQ454" s="2333">
        <v>162.68</v>
      </c>
      <c r="BR454" s="2333">
        <v>151.30000000000001</v>
      </c>
      <c r="BS454" s="2333">
        <v>140.1</v>
      </c>
      <c r="BT454" s="2333">
        <v>129.80000000000001</v>
      </c>
      <c r="BU454" s="2333">
        <v>120.7</v>
      </c>
      <c r="BV454" s="2333">
        <v>107.9</v>
      </c>
      <c r="BW454" s="2333">
        <v>97.1</v>
      </c>
      <c r="BX454" s="2333">
        <v>92.9</v>
      </c>
      <c r="BY454" s="2333">
        <v>88.2</v>
      </c>
      <c r="BZ454" s="2333">
        <v>83.3</v>
      </c>
      <c r="CA454" s="2333">
        <v>78.2</v>
      </c>
      <c r="CB454" s="2333">
        <v>73.7</v>
      </c>
      <c r="CC454" s="2333">
        <v>68.3</v>
      </c>
      <c r="CD454" s="2333">
        <v>63.4</v>
      </c>
      <c r="CE454" s="2333">
        <v>58.1</v>
      </c>
      <c r="CF454" s="2333">
        <v>53.7</v>
      </c>
      <c r="CG454" s="2333">
        <v>48.8</v>
      </c>
      <c r="CH454" s="2333">
        <v>43.9</v>
      </c>
      <c r="CI454" s="2333">
        <v>38.799999999999997</v>
      </c>
      <c r="CJ454" s="2333">
        <v>34.200000000000003</v>
      </c>
      <c r="CK454" s="2333">
        <v>29.3</v>
      </c>
      <c r="CL454" s="2345">
        <v>24.5</v>
      </c>
      <c r="CM454" s="2333" t="s">
        <v>736</v>
      </c>
      <c r="CN454" s="2275" t="s">
        <v>738</v>
      </c>
      <c r="CO454" s="2276">
        <f>CO410</f>
        <v>19.915970774546171</v>
      </c>
      <c r="CP454" s="2275"/>
      <c r="CQ454" s="2275"/>
      <c r="CR454" s="2275"/>
      <c r="CS454" s="2275"/>
      <c r="CT454" s="2275"/>
      <c r="CU454" s="2275"/>
      <c r="CV454" s="2275"/>
      <c r="CW454" s="2275"/>
      <c r="CX454" s="2250"/>
      <c r="CY454" s="2250"/>
      <c r="CZ454" s="2250"/>
      <c r="DA454" s="2250"/>
      <c r="DB454" s="2250"/>
      <c r="DC454" s="2250"/>
      <c r="DD454" s="2250"/>
      <c r="DE454" s="2250"/>
      <c r="DF454" s="2250"/>
      <c r="DG454" s="2250"/>
      <c r="DH454" s="2250"/>
      <c r="DI454" s="2250"/>
      <c r="DJ454" s="2250"/>
      <c r="DK454" s="2250"/>
      <c r="DL454" s="2250"/>
      <c r="DM454" s="2250"/>
      <c r="DN454" s="2250"/>
      <c r="DO454" s="53"/>
      <c r="DP454" s="53"/>
      <c r="DY454" s="2275"/>
      <c r="DZ454" s="2333" t="s">
        <v>736</v>
      </c>
      <c r="EA454" s="2333">
        <v>223.8</v>
      </c>
      <c r="EB454" s="2333">
        <v>206.43</v>
      </c>
      <c r="EC454" s="2333">
        <v>190.4</v>
      </c>
      <c r="ED454" s="2333">
        <v>177.81</v>
      </c>
      <c r="EE454" s="2333">
        <v>165.9</v>
      </c>
      <c r="EF454" s="2333">
        <v>162.68</v>
      </c>
      <c r="EG454" s="2333">
        <v>151.30000000000001</v>
      </c>
      <c r="EH454" s="2333">
        <v>140.1</v>
      </c>
      <c r="EI454" s="2333">
        <v>129.80000000000001</v>
      </c>
      <c r="EJ454" s="2333">
        <v>120.7</v>
      </c>
      <c r="EK454" s="2333">
        <v>107.9</v>
      </c>
      <c r="EL454" s="2333">
        <v>97.1</v>
      </c>
      <c r="EM454" s="2333">
        <v>92.9</v>
      </c>
      <c r="EN454" s="2333">
        <v>88.2</v>
      </c>
      <c r="EO454" s="2333">
        <v>83.3</v>
      </c>
      <c r="EP454" s="2333">
        <v>78.2</v>
      </c>
      <c r="EQ454" s="2333">
        <v>73.7</v>
      </c>
      <c r="ER454" s="2333">
        <v>68.3</v>
      </c>
      <c r="ES454" s="2333">
        <v>63.4</v>
      </c>
      <c r="ET454" s="2333">
        <v>58.1</v>
      </c>
      <c r="EU454" s="2333">
        <v>53.7</v>
      </c>
      <c r="EV454" s="2333">
        <v>48.8</v>
      </c>
      <c r="EW454" s="2333">
        <v>43.9</v>
      </c>
      <c r="EX454" s="2333">
        <v>38.799999999999997</v>
      </c>
      <c r="EY454" s="2333">
        <v>34.200000000000003</v>
      </c>
      <c r="EZ454" s="2333">
        <v>29.3</v>
      </c>
      <c r="FA454" s="2345">
        <v>24.5</v>
      </c>
      <c r="FB454" s="2333" t="s">
        <v>736</v>
      </c>
      <c r="FC454" s="2275" t="s">
        <v>738</v>
      </c>
      <c r="FD454" s="2276">
        <f>FD410</f>
        <v>19.968225884687833</v>
      </c>
      <c r="FE454" s="2275"/>
      <c r="FF454" s="2275"/>
      <c r="FG454" s="2275"/>
      <c r="FH454" s="2275"/>
      <c r="FI454" s="2275"/>
      <c r="FJ454" s="2275"/>
      <c r="FK454" s="2275"/>
      <c r="FL454" s="2275"/>
      <c r="FM454" s="2250"/>
      <c r="FN454" s="2250"/>
      <c r="FO454" s="2250"/>
      <c r="FP454" s="2250"/>
      <c r="FQ454" s="2250"/>
      <c r="FR454" s="2250"/>
      <c r="FS454" s="2250"/>
      <c r="FT454" s="2250"/>
      <c r="FU454" s="2250"/>
      <c r="FV454" s="2250"/>
      <c r="FW454" s="2250"/>
      <c r="FX454" s="2250"/>
      <c r="FY454" s="2250"/>
      <c r="FZ454" s="2250"/>
      <c r="GA454" s="2250"/>
      <c r="GB454" s="2250"/>
      <c r="GC454" s="2276"/>
      <c r="GD454" s="2276"/>
      <c r="GE454" s="2250"/>
      <c r="GF454" s="2275"/>
      <c r="GG454" s="2275"/>
      <c r="GH454" s="2333" t="s">
        <v>736</v>
      </c>
      <c r="GI454" s="2333">
        <v>223.8</v>
      </c>
      <c r="GJ454" s="2333">
        <v>206.43</v>
      </c>
      <c r="GK454" s="2333">
        <v>190.4</v>
      </c>
      <c r="GL454" s="2333">
        <v>177.81</v>
      </c>
      <c r="GM454" s="2333">
        <v>165.9</v>
      </c>
      <c r="GN454" s="2333">
        <v>162.68</v>
      </c>
      <c r="GO454" s="2333">
        <v>151.30000000000001</v>
      </c>
      <c r="GP454" s="2333">
        <v>140.1</v>
      </c>
      <c r="GQ454" s="2333">
        <v>129.80000000000001</v>
      </c>
      <c r="GR454" s="2333">
        <v>120.7</v>
      </c>
      <c r="GS454" s="2333">
        <v>107.9</v>
      </c>
      <c r="GT454" s="2333">
        <v>97.1</v>
      </c>
      <c r="GU454" s="2333">
        <v>92.9</v>
      </c>
      <c r="GV454" s="2333">
        <v>88.2</v>
      </c>
      <c r="GW454" s="2333">
        <v>83.3</v>
      </c>
      <c r="GX454" s="2333">
        <v>78.2</v>
      </c>
      <c r="GY454" s="2333">
        <v>73.7</v>
      </c>
      <c r="GZ454" s="2333">
        <v>68.3</v>
      </c>
      <c r="HA454" s="2333">
        <v>63.4</v>
      </c>
      <c r="HB454" s="2333">
        <v>58.1</v>
      </c>
      <c r="HC454" s="2333">
        <v>53.7</v>
      </c>
      <c r="HD454" s="2333">
        <v>48.8</v>
      </c>
      <c r="HE454" s="2333">
        <v>43.9</v>
      </c>
      <c r="HF454" s="2333">
        <v>38.799999999999997</v>
      </c>
      <c r="HG454" s="2333">
        <v>34.200000000000003</v>
      </c>
      <c r="HH454" s="2333">
        <v>29.3</v>
      </c>
      <c r="HI454" s="2345">
        <v>24.5</v>
      </c>
      <c r="HJ454" s="2333" t="s">
        <v>736</v>
      </c>
      <c r="HK454" s="2275" t="s">
        <v>738</v>
      </c>
      <c r="HL454" s="2276">
        <f>HL410</f>
        <v>19.968225884687833</v>
      </c>
      <c r="HM454" s="2275"/>
      <c r="HN454" s="2275"/>
      <c r="HO454" s="2275"/>
      <c r="HP454" s="2275"/>
      <c r="HQ454" s="2275"/>
      <c r="HR454" s="2275"/>
      <c r="HS454" s="2275"/>
      <c r="HT454" s="2275"/>
      <c r="HU454" s="2250"/>
      <c r="HV454" s="2250"/>
      <c r="HW454" s="2250"/>
      <c r="HX454" s="2250"/>
      <c r="HY454" s="2250"/>
      <c r="HZ454" s="2250"/>
      <c r="IA454" s="2250"/>
      <c r="IB454" s="2250"/>
      <c r="IC454" s="2250"/>
      <c r="ID454" s="2250"/>
      <c r="IE454" s="2250"/>
      <c r="IF454" s="2250"/>
      <c r="IG454" s="2250"/>
      <c r="IH454" s="2250"/>
      <c r="II454" s="2250"/>
      <c r="IJ454" s="2250"/>
      <c r="IK454" s="2250"/>
      <c r="IL454" s="53"/>
      <c r="IM454" s="53"/>
    </row>
    <row r="455" spans="2:247" ht="21.95" customHeight="1">
      <c r="B455" s="2275"/>
      <c r="C455" s="2333"/>
      <c r="D455" s="2344"/>
      <c r="E455" s="2344"/>
      <c r="F455" s="2344"/>
      <c r="G455" s="2344"/>
      <c r="H455" s="2344"/>
      <c r="I455" s="2344"/>
      <c r="J455" s="2344"/>
      <c r="K455" s="2344"/>
      <c r="L455" s="2344"/>
      <c r="M455" s="2344"/>
      <c r="N455" s="2344"/>
      <c r="O455" s="2344"/>
      <c r="P455" s="2344"/>
      <c r="Q455" s="2344"/>
      <c r="R455" s="2344"/>
      <c r="S455" s="2344"/>
      <c r="T455" s="2344"/>
      <c r="U455" s="2344"/>
      <c r="V455" s="2344"/>
      <c r="W455" s="2344"/>
      <c r="X455" s="2344"/>
      <c r="Y455" s="2344"/>
      <c r="Z455" s="2344"/>
      <c r="AA455" s="2344"/>
      <c r="AB455" s="2344"/>
      <c r="AC455" s="2344"/>
      <c r="AD455" s="2348"/>
      <c r="AE455" s="2333"/>
      <c r="AF455" s="2275" t="s">
        <v>682</v>
      </c>
      <c r="AG455" s="2276">
        <f>HLOOKUP(AG453,D454:AD466,1,0)</f>
        <v>190.4</v>
      </c>
      <c r="AH455" s="2275" t="s">
        <v>706</v>
      </c>
      <c r="AI455" s="2275" t="s">
        <v>682</v>
      </c>
      <c r="AJ455" s="2275"/>
      <c r="AK455" s="2275"/>
      <c r="AL455" s="2275"/>
      <c r="AM455" s="2275"/>
      <c r="AN455" s="2275"/>
      <c r="AO455" s="2275"/>
      <c r="AP455" s="2250"/>
      <c r="AQ455" s="2250"/>
      <c r="AR455" s="2250"/>
      <c r="AS455" s="2250"/>
      <c r="AT455" s="2250"/>
      <c r="AU455" s="2250"/>
      <c r="AV455" s="2250"/>
      <c r="AW455" s="2250"/>
      <c r="AX455" s="2250"/>
      <c r="AY455" s="2250"/>
      <c r="AZ455" s="2250"/>
      <c r="BA455" s="2250"/>
      <c r="BB455" s="2250"/>
      <c r="BC455" s="2250"/>
      <c r="BD455" s="2250"/>
      <c r="BE455" s="2250"/>
      <c r="BF455" s="2276"/>
      <c r="BG455" s="2276"/>
      <c r="BH455" s="2250"/>
      <c r="BI455" s="2275"/>
      <c r="BJ455" s="2275"/>
      <c r="BK455" s="2333"/>
      <c r="BL455" s="2344">
        <v>0</v>
      </c>
      <c r="BM455" s="2344">
        <v>0</v>
      </c>
      <c r="BN455" s="2344">
        <v>0</v>
      </c>
      <c r="BO455" s="2344">
        <v>0</v>
      </c>
      <c r="BP455" s="2344">
        <v>0</v>
      </c>
      <c r="BQ455" s="2344">
        <v>0</v>
      </c>
      <c r="BR455" s="2344">
        <v>0</v>
      </c>
      <c r="BS455" s="2344">
        <v>0</v>
      </c>
      <c r="BT455" s="2344">
        <v>0</v>
      </c>
      <c r="BU455" s="2344">
        <v>0</v>
      </c>
      <c r="BV455" s="2344">
        <v>0</v>
      </c>
      <c r="BW455" s="2344">
        <v>0</v>
      </c>
      <c r="BX455" s="2344">
        <v>0</v>
      </c>
      <c r="BY455" s="2344">
        <v>0</v>
      </c>
      <c r="BZ455" s="2344">
        <v>0</v>
      </c>
      <c r="CA455" s="2344">
        <v>0</v>
      </c>
      <c r="CB455" s="2344">
        <v>0</v>
      </c>
      <c r="CC455" s="2344">
        <v>0</v>
      </c>
      <c r="CD455" s="2344">
        <v>0</v>
      </c>
      <c r="CE455" s="2344">
        <v>0</v>
      </c>
      <c r="CF455" s="2344">
        <v>0</v>
      </c>
      <c r="CG455" s="2344">
        <v>0</v>
      </c>
      <c r="CH455" s="2344">
        <v>0</v>
      </c>
      <c r="CI455" s="2344">
        <v>0</v>
      </c>
      <c r="CJ455" s="2344">
        <v>0</v>
      </c>
      <c r="CK455" s="2344">
        <v>0</v>
      </c>
      <c r="CL455" s="2348">
        <v>0</v>
      </c>
      <c r="CM455" s="2333"/>
      <c r="CN455" s="2275" t="s">
        <v>682</v>
      </c>
      <c r="CO455" s="2276">
        <f>HLOOKUP(CO453,BL454:CL466,1,0)</f>
        <v>206.43</v>
      </c>
      <c r="CP455" s="2275" t="s">
        <v>706</v>
      </c>
      <c r="CQ455" s="2275" t="s">
        <v>682</v>
      </c>
      <c r="CR455" s="2275"/>
      <c r="CS455" s="2275"/>
      <c r="CT455" s="2275"/>
      <c r="CU455" s="2275"/>
      <c r="CV455" s="2275"/>
      <c r="CW455" s="2275"/>
      <c r="CX455" s="2250"/>
      <c r="CY455" s="2250"/>
      <c r="CZ455" s="2250"/>
      <c r="DA455" s="2250"/>
      <c r="DB455" s="2250"/>
      <c r="DC455" s="2250"/>
      <c r="DD455" s="2250"/>
      <c r="DE455" s="2250"/>
      <c r="DF455" s="2250"/>
      <c r="DG455" s="2250"/>
      <c r="DH455" s="2250"/>
      <c r="DI455" s="2250"/>
      <c r="DJ455" s="2250"/>
      <c r="DK455" s="2250"/>
      <c r="DL455" s="2250"/>
      <c r="DM455" s="2250"/>
      <c r="DN455" s="2250"/>
      <c r="DO455" s="53"/>
      <c r="DP455" s="53"/>
      <c r="DY455" s="2275"/>
      <c r="DZ455" s="2333"/>
      <c r="EA455" s="2344"/>
      <c r="EB455" s="2344"/>
      <c r="EC455" s="2344"/>
      <c r="ED455" s="2344"/>
      <c r="EE455" s="2344"/>
      <c r="EF455" s="2344"/>
      <c r="EG455" s="2344"/>
      <c r="EH455" s="2344"/>
      <c r="EI455" s="2344"/>
      <c r="EJ455" s="2344"/>
      <c r="EK455" s="2344"/>
      <c r="EL455" s="2344"/>
      <c r="EM455" s="2344"/>
      <c r="EN455" s="2344"/>
      <c r="EO455" s="2344"/>
      <c r="EP455" s="2344"/>
      <c r="EQ455" s="2344"/>
      <c r="ER455" s="2344"/>
      <c r="ES455" s="2344"/>
      <c r="ET455" s="2344"/>
      <c r="EU455" s="2344"/>
      <c r="EV455" s="2344"/>
      <c r="EW455" s="2344"/>
      <c r="EX455" s="2344"/>
      <c r="EY455" s="2344"/>
      <c r="EZ455" s="2344"/>
      <c r="FA455" s="2348"/>
      <c r="FB455" s="2333"/>
      <c r="FC455" s="2275" t="s">
        <v>682</v>
      </c>
      <c r="FD455" s="2276">
        <f>HLOOKUP(FD453,EA454:FA466,1,0)</f>
        <v>120.7</v>
      </c>
      <c r="FE455" s="2275" t="s">
        <v>706</v>
      </c>
      <c r="FF455" s="2275" t="s">
        <v>682</v>
      </c>
      <c r="FG455" s="2275"/>
      <c r="FH455" s="2275"/>
      <c r="FI455" s="2275"/>
      <c r="FJ455" s="2275"/>
      <c r="FK455" s="2275"/>
      <c r="FL455" s="2275"/>
      <c r="FM455" s="2250"/>
      <c r="FN455" s="2250"/>
      <c r="FO455" s="2250"/>
      <c r="FP455" s="2250"/>
      <c r="FQ455" s="2250"/>
      <c r="FR455" s="2250"/>
      <c r="FS455" s="2250"/>
      <c r="FT455" s="2250"/>
      <c r="FU455" s="2250"/>
      <c r="FV455" s="2250"/>
      <c r="FW455" s="2250"/>
      <c r="FX455" s="2250"/>
      <c r="FY455" s="2250"/>
      <c r="FZ455" s="2250"/>
      <c r="GA455" s="2250"/>
      <c r="GB455" s="2250"/>
      <c r="GC455" s="2276"/>
      <c r="GD455" s="2276"/>
      <c r="GE455" s="2250"/>
      <c r="GF455" s="2275"/>
      <c r="GG455" s="2275"/>
      <c r="GH455" s="2333"/>
      <c r="GI455" s="2344">
        <v>0</v>
      </c>
      <c r="GJ455" s="2344">
        <v>0</v>
      </c>
      <c r="GK455" s="2344">
        <v>0</v>
      </c>
      <c r="GL455" s="2344">
        <v>0</v>
      </c>
      <c r="GM455" s="2344">
        <v>0</v>
      </c>
      <c r="GN455" s="2344">
        <v>0</v>
      </c>
      <c r="GO455" s="2344">
        <v>0</v>
      </c>
      <c r="GP455" s="2344">
        <v>0</v>
      </c>
      <c r="GQ455" s="2344">
        <v>0</v>
      </c>
      <c r="GR455" s="2344">
        <v>0</v>
      </c>
      <c r="GS455" s="2344">
        <v>0</v>
      </c>
      <c r="GT455" s="2344">
        <v>0</v>
      </c>
      <c r="GU455" s="2344">
        <v>0</v>
      </c>
      <c r="GV455" s="2344">
        <v>0</v>
      </c>
      <c r="GW455" s="2344">
        <v>0</v>
      </c>
      <c r="GX455" s="2344">
        <v>0</v>
      </c>
      <c r="GY455" s="2344">
        <v>0</v>
      </c>
      <c r="GZ455" s="2344">
        <v>0</v>
      </c>
      <c r="HA455" s="2344">
        <v>0</v>
      </c>
      <c r="HB455" s="2344">
        <v>0</v>
      </c>
      <c r="HC455" s="2344">
        <v>0</v>
      </c>
      <c r="HD455" s="2344">
        <v>0</v>
      </c>
      <c r="HE455" s="2344">
        <v>0</v>
      </c>
      <c r="HF455" s="2344">
        <v>0</v>
      </c>
      <c r="HG455" s="2344">
        <v>0</v>
      </c>
      <c r="HH455" s="2344">
        <v>0</v>
      </c>
      <c r="HI455" s="2348">
        <v>0</v>
      </c>
      <c r="HJ455" s="2333"/>
      <c r="HK455" s="2275" t="s">
        <v>682</v>
      </c>
      <c r="HL455" s="2276">
        <f>HLOOKUP(HL453,GI454:HI466,1,0)</f>
        <v>129.80000000000001</v>
      </c>
      <c r="HM455" s="2275" t="s">
        <v>706</v>
      </c>
      <c r="HN455" s="2275" t="s">
        <v>682</v>
      </c>
      <c r="HO455" s="2275"/>
      <c r="HP455" s="2275"/>
      <c r="HQ455" s="2275"/>
      <c r="HR455" s="2275"/>
      <c r="HS455" s="2275"/>
      <c r="HT455" s="2275"/>
      <c r="HU455" s="2250"/>
      <c r="HV455" s="2250"/>
      <c r="HW455" s="2250"/>
      <c r="HX455" s="2250"/>
      <c r="HY455" s="2250"/>
      <c r="HZ455" s="2250"/>
      <c r="IA455" s="2250"/>
      <c r="IB455" s="2250"/>
      <c r="IC455" s="2250"/>
      <c r="ID455" s="2250"/>
      <c r="IE455" s="2250"/>
      <c r="IF455" s="2250"/>
      <c r="IG455" s="2250"/>
      <c r="IH455" s="2250"/>
      <c r="II455" s="2250"/>
      <c r="IJ455" s="2250"/>
      <c r="IK455" s="2250"/>
      <c r="IL455" s="53"/>
      <c r="IM455" s="53"/>
    </row>
    <row r="456" spans="2:247" ht="21.95" customHeight="1">
      <c r="B456" s="4670" t="s">
        <v>734</v>
      </c>
      <c r="C456" s="2345">
        <v>400</v>
      </c>
      <c r="D456" s="2346">
        <v>0</v>
      </c>
      <c r="E456" s="2346">
        <v>0</v>
      </c>
      <c r="F456" s="2346">
        <v>0</v>
      </c>
      <c r="G456" s="2346">
        <v>0</v>
      </c>
      <c r="H456" s="2346">
        <v>0</v>
      </c>
      <c r="I456" s="2346">
        <v>0</v>
      </c>
      <c r="J456" s="2346">
        <v>0</v>
      </c>
      <c r="K456" s="2346">
        <v>0</v>
      </c>
      <c r="L456" s="2346">
        <v>0</v>
      </c>
      <c r="M456" s="2346">
        <v>0</v>
      </c>
      <c r="N456" s="2346">
        <v>0</v>
      </c>
      <c r="O456" s="2346">
        <v>0</v>
      </c>
      <c r="P456" s="2346">
        <v>0</v>
      </c>
      <c r="Q456" s="2346">
        <v>0</v>
      </c>
      <c r="R456" s="2346">
        <v>0</v>
      </c>
      <c r="S456" s="2346">
        <v>0</v>
      </c>
      <c r="T456" s="2346">
        <v>0</v>
      </c>
      <c r="U456" s="2346">
        <v>0</v>
      </c>
      <c r="V456" s="2346">
        <v>0</v>
      </c>
      <c r="W456" s="2346">
        <v>0</v>
      </c>
      <c r="X456" s="2346">
        <v>0</v>
      </c>
      <c r="Y456" s="2346">
        <v>0</v>
      </c>
      <c r="Z456" s="2346">
        <v>0</v>
      </c>
      <c r="AA456" s="2346">
        <v>0</v>
      </c>
      <c r="AB456" s="2346">
        <v>0</v>
      </c>
      <c r="AC456" s="2346">
        <v>0</v>
      </c>
      <c r="AD456" s="2346">
        <v>0</v>
      </c>
      <c r="AE456" s="2347">
        <v>400</v>
      </c>
      <c r="AF456" s="2275"/>
      <c r="AG456" s="4671"/>
      <c r="AH456" s="4671"/>
      <c r="AI456" s="4671"/>
      <c r="AJ456" s="2275"/>
      <c r="AK456" s="2275"/>
      <c r="AL456" s="2275"/>
      <c r="AM456" s="2275"/>
      <c r="AN456" s="2275"/>
      <c r="AO456" s="2275"/>
      <c r="AP456" s="2250"/>
      <c r="AQ456" s="2250"/>
      <c r="AR456" s="2250"/>
      <c r="AS456" s="2250"/>
      <c r="AT456" s="2250"/>
      <c r="AU456" s="2250"/>
      <c r="AV456" s="2250"/>
      <c r="AW456" s="2250"/>
      <c r="AX456" s="2250"/>
      <c r="AY456" s="2250"/>
      <c r="AZ456" s="2250"/>
      <c r="BA456" s="2250"/>
      <c r="BB456" s="2250"/>
      <c r="BC456" s="2250"/>
      <c r="BD456" s="2250"/>
      <c r="BE456" s="2250"/>
      <c r="BF456" s="2276"/>
      <c r="BG456" s="2276"/>
      <c r="BH456" s="2250"/>
      <c r="BI456" s="2275"/>
      <c r="BJ456" s="4670" t="s">
        <v>734</v>
      </c>
      <c r="BK456" s="2345">
        <v>400</v>
      </c>
      <c r="BL456" s="2346">
        <v>0</v>
      </c>
      <c r="BM456" s="2346">
        <v>0</v>
      </c>
      <c r="BN456" s="2346">
        <v>0</v>
      </c>
      <c r="BO456" s="2346">
        <v>0</v>
      </c>
      <c r="BP456" s="2346">
        <v>0</v>
      </c>
      <c r="BQ456" s="2346">
        <v>0</v>
      </c>
      <c r="BR456" s="2346">
        <v>0</v>
      </c>
      <c r="BS456" s="2346">
        <v>0</v>
      </c>
      <c r="BT456" s="2346">
        <v>0</v>
      </c>
      <c r="BU456" s="2346">
        <v>0</v>
      </c>
      <c r="BV456" s="2346">
        <v>0</v>
      </c>
      <c r="BW456" s="2346">
        <v>0</v>
      </c>
      <c r="BX456" s="2346">
        <v>0</v>
      </c>
      <c r="BY456" s="2346">
        <v>0</v>
      </c>
      <c r="BZ456" s="2346">
        <v>0</v>
      </c>
      <c r="CA456" s="2346">
        <v>0</v>
      </c>
      <c r="CB456" s="2346">
        <v>0</v>
      </c>
      <c r="CC456" s="2346">
        <v>0</v>
      </c>
      <c r="CD456" s="2346">
        <v>0</v>
      </c>
      <c r="CE456" s="2346">
        <v>0</v>
      </c>
      <c r="CF456" s="2346">
        <v>0</v>
      </c>
      <c r="CG456" s="2346">
        <v>0</v>
      </c>
      <c r="CH456" s="2346">
        <v>0</v>
      </c>
      <c r="CI456" s="2346">
        <v>0</v>
      </c>
      <c r="CJ456" s="2346">
        <v>0</v>
      </c>
      <c r="CK456" s="2346">
        <v>0</v>
      </c>
      <c r="CL456" s="2346">
        <v>0</v>
      </c>
      <c r="CM456" s="2347">
        <v>400</v>
      </c>
      <c r="CN456" s="2275"/>
      <c r="CO456" s="4671"/>
      <c r="CP456" s="4671"/>
      <c r="CQ456" s="4671"/>
      <c r="CR456" s="2275"/>
      <c r="CS456" s="2275"/>
      <c r="CT456" s="2275"/>
      <c r="CU456" s="2275"/>
      <c r="CV456" s="2275"/>
      <c r="CW456" s="2275"/>
      <c r="CX456" s="2250"/>
      <c r="CY456" s="2250"/>
      <c r="CZ456" s="2250"/>
      <c r="DA456" s="2250"/>
      <c r="DB456" s="2250"/>
      <c r="DC456" s="2250"/>
      <c r="DD456" s="2250"/>
      <c r="DE456" s="2250"/>
      <c r="DF456" s="2250"/>
      <c r="DG456" s="2250"/>
      <c r="DH456" s="2250"/>
      <c r="DI456" s="2250"/>
      <c r="DJ456" s="2250"/>
      <c r="DK456" s="2250"/>
      <c r="DL456" s="2250"/>
      <c r="DM456" s="2250"/>
      <c r="DN456" s="2250"/>
      <c r="DO456" s="53"/>
      <c r="DP456" s="53"/>
      <c r="DY456" s="4670" t="s">
        <v>734</v>
      </c>
      <c r="DZ456" s="2345">
        <v>400</v>
      </c>
      <c r="EA456" s="2346">
        <v>0</v>
      </c>
      <c r="EB456" s="2346">
        <v>0</v>
      </c>
      <c r="EC456" s="2346">
        <v>0</v>
      </c>
      <c r="ED456" s="2346">
        <v>0</v>
      </c>
      <c r="EE456" s="2346">
        <v>0</v>
      </c>
      <c r="EF456" s="2346">
        <v>0</v>
      </c>
      <c r="EG456" s="2346">
        <v>0</v>
      </c>
      <c r="EH456" s="2346">
        <v>0</v>
      </c>
      <c r="EI456" s="2346">
        <v>0</v>
      </c>
      <c r="EJ456" s="2346">
        <v>0</v>
      </c>
      <c r="EK456" s="2346">
        <v>0</v>
      </c>
      <c r="EL456" s="2346">
        <v>0</v>
      </c>
      <c r="EM456" s="2346">
        <v>0</v>
      </c>
      <c r="EN456" s="2346">
        <v>0</v>
      </c>
      <c r="EO456" s="2346">
        <v>0</v>
      </c>
      <c r="EP456" s="2346">
        <v>0</v>
      </c>
      <c r="EQ456" s="2346">
        <v>0</v>
      </c>
      <c r="ER456" s="2346">
        <v>0</v>
      </c>
      <c r="ES456" s="2346">
        <v>0</v>
      </c>
      <c r="ET456" s="2346">
        <v>0</v>
      </c>
      <c r="EU456" s="2346">
        <v>0</v>
      </c>
      <c r="EV456" s="2346">
        <v>0</v>
      </c>
      <c r="EW456" s="2346">
        <v>0</v>
      </c>
      <c r="EX456" s="2346">
        <v>0</v>
      </c>
      <c r="EY456" s="2346">
        <v>0</v>
      </c>
      <c r="EZ456" s="2346">
        <v>0</v>
      </c>
      <c r="FA456" s="2346">
        <v>0</v>
      </c>
      <c r="FB456" s="2347">
        <v>400</v>
      </c>
      <c r="FC456" s="2275"/>
      <c r="FD456" s="4671"/>
      <c r="FE456" s="4671"/>
      <c r="FF456" s="4671"/>
      <c r="FG456" s="2275"/>
      <c r="FH456" s="2275"/>
      <c r="FI456" s="2275"/>
      <c r="FJ456" s="2275"/>
      <c r="FK456" s="2275"/>
      <c r="FL456" s="2275"/>
      <c r="FM456" s="2250"/>
      <c r="FN456" s="2250"/>
      <c r="FO456" s="2250"/>
      <c r="FP456" s="2250"/>
      <c r="FQ456" s="2250"/>
      <c r="FR456" s="2250"/>
      <c r="FS456" s="2250"/>
      <c r="FT456" s="2250"/>
      <c r="FU456" s="2250"/>
      <c r="FV456" s="2250"/>
      <c r="FW456" s="2250"/>
      <c r="FX456" s="2250"/>
      <c r="FY456" s="2250"/>
      <c r="FZ456" s="2250"/>
      <c r="GA456" s="2250"/>
      <c r="GB456" s="2250"/>
      <c r="GC456" s="2276"/>
      <c r="GD456" s="2276"/>
      <c r="GE456" s="2250"/>
      <c r="GF456" s="2275"/>
      <c r="GG456" s="4670" t="s">
        <v>734</v>
      </c>
      <c r="GH456" s="2345">
        <v>400</v>
      </c>
      <c r="GI456" s="2346">
        <v>0</v>
      </c>
      <c r="GJ456" s="2346">
        <v>0</v>
      </c>
      <c r="GK456" s="2346">
        <v>0</v>
      </c>
      <c r="GL456" s="2346">
        <v>0</v>
      </c>
      <c r="GM456" s="2346">
        <v>0</v>
      </c>
      <c r="GN456" s="2346">
        <v>0</v>
      </c>
      <c r="GO456" s="2346">
        <v>0</v>
      </c>
      <c r="GP456" s="2346">
        <v>0</v>
      </c>
      <c r="GQ456" s="2346">
        <v>0</v>
      </c>
      <c r="GR456" s="2346">
        <v>0</v>
      </c>
      <c r="GS456" s="2346">
        <v>0</v>
      </c>
      <c r="GT456" s="2346">
        <v>0</v>
      </c>
      <c r="GU456" s="2346">
        <v>0</v>
      </c>
      <c r="GV456" s="2346">
        <v>0</v>
      </c>
      <c r="GW456" s="2346">
        <v>0</v>
      </c>
      <c r="GX456" s="2346">
        <v>0</v>
      </c>
      <c r="GY456" s="2346">
        <v>0</v>
      </c>
      <c r="GZ456" s="2346">
        <v>0</v>
      </c>
      <c r="HA456" s="2346">
        <v>0</v>
      </c>
      <c r="HB456" s="2346">
        <v>0</v>
      </c>
      <c r="HC456" s="2346">
        <v>0</v>
      </c>
      <c r="HD456" s="2346">
        <v>0</v>
      </c>
      <c r="HE456" s="2346">
        <v>0</v>
      </c>
      <c r="HF456" s="2346">
        <v>0</v>
      </c>
      <c r="HG456" s="2346">
        <v>0</v>
      </c>
      <c r="HH456" s="2346">
        <v>0</v>
      </c>
      <c r="HI456" s="2346">
        <v>0</v>
      </c>
      <c r="HJ456" s="2347">
        <v>400</v>
      </c>
      <c r="HK456" s="2275"/>
      <c r="HL456" s="4671"/>
      <c r="HM456" s="4671"/>
      <c r="HN456" s="4671"/>
      <c r="HO456" s="2275"/>
      <c r="HP456" s="2275"/>
      <c r="HQ456" s="2275"/>
      <c r="HR456" s="2275"/>
      <c r="HS456" s="2275"/>
      <c r="HT456" s="2275"/>
      <c r="HU456" s="2250"/>
      <c r="HV456" s="2250"/>
      <c r="HW456" s="2250"/>
      <c r="HX456" s="2250"/>
      <c r="HY456" s="2250"/>
      <c r="HZ456" s="2250"/>
      <c r="IA456" s="2250"/>
      <c r="IB456" s="2250"/>
      <c r="IC456" s="2250"/>
      <c r="ID456" s="2250"/>
      <c r="IE456" s="2250"/>
      <c r="IF456" s="2250"/>
      <c r="IG456" s="2250"/>
      <c r="IH456" s="2250"/>
      <c r="II456" s="2250"/>
      <c r="IJ456" s="2250"/>
      <c r="IK456" s="2250"/>
      <c r="IL456" s="53"/>
      <c r="IM456" s="53"/>
    </row>
    <row r="457" spans="2:247" ht="21.95" customHeight="1">
      <c r="B457" s="4670"/>
      <c r="C457" s="2345">
        <v>475</v>
      </c>
      <c r="D457" s="2346">
        <v>1.8</v>
      </c>
      <c r="E457" s="2346">
        <v>2</v>
      </c>
      <c r="F457" s="2346">
        <v>2.2000000000000002</v>
      </c>
      <c r="G457" s="2346">
        <v>2.4</v>
      </c>
      <c r="H457" s="2346">
        <v>2.6</v>
      </c>
      <c r="I457" s="2346">
        <v>2.5299999999999998</v>
      </c>
      <c r="J457" s="2346">
        <v>2.8</v>
      </c>
      <c r="K457" s="2346">
        <v>3</v>
      </c>
      <c r="L457" s="2346">
        <v>3.2</v>
      </c>
      <c r="M457" s="2346">
        <v>3.4</v>
      </c>
      <c r="N457" s="2346">
        <v>3.73</v>
      </c>
      <c r="O457" s="2346">
        <v>4</v>
      </c>
      <c r="P457" s="2346">
        <v>4.2</v>
      </c>
      <c r="Q457" s="2346">
        <v>4.47</v>
      </c>
      <c r="R457" s="2346">
        <v>4.5999999999999996</v>
      </c>
      <c r="S457" s="2346">
        <v>4.87</v>
      </c>
      <c r="T457" s="2346">
        <v>5.2</v>
      </c>
      <c r="U457" s="2346">
        <v>5.67</v>
      </c>
      <c r="V457" s="2346">
        <v>6</v>
      </c>
      <c r="W457" s="2346">
        <v>6.4</v>
      </c>
      <c r="X457" s="2346">
        <v>6.87</v>
      </c>
      <c r="Y457" s="2346">
        <v>7.53</v>
      </c>
      <c r="Z457" s="2346">
        <v>8.1999999999999993</v>
      </c>
      <c r="AA457" s="2346">
        <v>9.1999999999999993</v>
      </c>
      <c r="AB457" s="2346">
        <v>10.33</v>
      </c>
      <c r="AC457" s="2346">
        <v>11.8</v>
      </c>
      <c r="AD457" s="2346">
        <v>13.8</v>
      </c>
      <c r="AE457" s="2347">
        <v>475</v>
      </c>
      <c r="AF457" s="2275"/>
      <c r="AG457" s="2276">
        <f>HLOOKUP(AG453,D454:AD466,2,0)</f>
        <v>0</v>
      </c>
      <c r="AH457" s="2276">
        <f t="shared" ref="AH457:AH467" si="350">+AG458</f>
        <v>0</v>
      </c>
      <c r="AI457" s="2275">
        <v>400</v>
      </c>
      <c r="AJ457" s="2275"/>
      <c r="AK457" s="2275"/>
      <c r="AL457" s="2275"/>
      <c r="AM457" s="2275"/>
      <c r="AN457" s="2275"/>
      <c r="AO457" s="2275"/>
      <c r="AP457" s="2250"/>
      <c r="AQ457" s="2250"/>
      <c r="AR457" s="2250"/>
      <c r="AS457" s="2250"/>
      <c r="AT457" s="2250"/>
      <c r="AU457" s="2250"/>
      <c r="AV457" s="2250"/>
      <c r="AW457" s="2250"/>
      <c r="AX457" s="2250"/>
      <c r="AY457" s="2250"/>
      <c r="AZ457" s="2250"/>
      <c r="BA457" s="2250"/>
      <c r="BB457" s="2250"/>
      <c r="BC457" s="2250"/>
      <c r="BD457" s="2250"/>
      <c r="BE457" s="2250"/>
      <c r="BF457" s="2276"/>
      <c r="BG457" s="2276"/>
      <c r="BH457" s="2250"/>
      <c r="BI457" s="2275"/>
      <c r="BJ457" s="4670"/>
      <c r="BK457" s="2345">
        <v>475</v>
      </c>
      <c r="BL457" s="2346">
        <v>1.8</v>
      </c>
      <c r="BM457" s="2346">
        <v>2</v>
      </c>
      <c r="BN457" s="2346">
        <v>2.2000000000000002</v>
      </c>
      <c r="BO457" s="2346">
        <v>2.4</v>
      </c>
      <c r="BP457" s="2346">
        <v>2.6</v>
      </c>
      <c r="BQ457" s="2346">
        <v>2.5299999999999998</v>
      </c>
      <c r="BR457" s="2346">
        <v>2.8</v>
      </c>
      <c r="BS457" s="2346">
        <v>3</v>
      </c>
      <c r="BT457" s="2346">
        <v>3.2</v>
      </c>
      <c r="BU457" s="2346">
        <v>3.4</v>
      </c>
      <c r="BV457" s="2346">
        <v>3.73</v>
      </c>
      <c r="BW457" s="2346">
        <v>4</v>
      </c>
      <c r="BX457" s="2346">
        <v>4.2</v>
      </c>
      <c r="BY457" s="2346">
        <v>4.47</v>
      </c>
      <c r="BZ457" s="2346">
        <v>4.5999999999999996</v>
      </c>
      <c r="CA457" s="2346">
        <v>4.87</v>
      </c>
      <c r="CB457" s="2346">
        <v>5.2</v>
      </c>
      <c r="CC457" s="2346">
        <v>5.67</v>
      </c>
      <c r="CD457" s="2346">
        <v>6</v>
      </c>
      <c r="CE457" s="2346">
        <v>6.4</v>
      </c>
      <c r="CF457" s="2346">
        <v>6.87</v>
      </c>
      <c r="CG457" s="2346">
        <v>7.53</v>
      </c>
      <c r="CH457" s="2346">
        <v>8.1999999999999993</v>
      </c>
      <c r="CI457" s="2346">
        <v>9.1999999999999993</v>
      </c>
      <c r="CJ457" s="2346">
        <v>10.33</v>
      </c>
      <c r="CK457" s="2346">
        <v>11.8</v>
      </c>
      <c r="CL457" s="2346">
        <v>13.8</v>
      </c>
      <c r="CM457" s="2347">
        <v>475</v>
      </c>
      <c r="CN457" s="2275"/>
      <c r="CO457" s="2276">
        <f>HLOOKUP(CO453,BL454:CL466,2,0)</f>
        <v>0</v>
      </c>
      <c r="CP457" s="2276">
        <f t="shared" ref="CP457:CP467" si="351">+CO458</f>
        <v>0</v>
      </c>
      <c r="CQ457" s="2275">
        <v>400</v>
      </c>
      <c r="CR457" s="2275"/>
      <c r="CS457" s="2275"/>
      <c r="CT457" s="2275"/>
      <c r="CU457" s="2275"/>
      <c r="CV457" s="2275"/>
      <c r="CW457" s="2275"/>
      <c r="CX457" s="2250"/>
      <c r="CY457" s="2250"/>
      <c r="CZ457" s="2250"/>
      <c r="DA457" s="2250"/>
      <c r="DB457" s="2250"/>
      <c r="DC457" s="2250"/>
      <c r="DD457" s="2250"/>
      <c r="DE457" s="2250"/>
      <c r="DF457" s="2250"/>
      <c r="DG457" s="2250"/>
      <c r="DH457" s="2250"/>
      <c r="DI457" s="2250"/>
      <c r="DJ457" s="2250"/>
      <c r="DK457" s="2250"/>
      <c r="DL457" s="2250"/>
      <c r="DM457" s="2250"/>
      <c r="DN457" s="2250"/>
      <c r="DO457" s="53"/>
      <c r="DP457" s="53"/>
      <c r="DY457" s="4670"/>
      <c r="DZ457" s="2345">
        <v>475</v>
      </c>
      <c r="EA457" s="2346">
        <v>1.8</v>
      </c>
      <c r="EB457" s="2346">
        <v>2</v>
      </c>
      <c r="EC457" s="2346">
        <v>2.2000000000000002</v>
      </c>
      <c r="ED457" s="2346">
        <v>2.4</v>
      </c>
      <c r="EE457" s="2346">
        <v>2.6</v>
      </c>
      <c r="EF457" s="2346">
        <v>2.5299999999999998</v>
      </c>
      <c r="EG457" s="2346">
        <v>2.8</v>
      </c>
      <c r="EH457" s="2346">
        <v>3</v>
      </c>
      <c r="EI457" s="2346">
        <v>3.2</v>
      </c>
      <c r="EJ457" s="2346">
        <v>3.4</v>
      </c>
      <c r="EK457" s="2346">
        <v>3.73</v>
      </c>
      <c r="EL457" s="2346">
        <v>4</v>
      </c>
      <c r="EM457" s="2346">
        <v>4.2</v>
      </c>
      <c r="EN457" s="2346">
        <v>4.47</v>
      </c>
      <c r="EO457" s="2346">
        <v>4.5999999999999996</v>
      </c>
      <c r="EP457" s="2346">
        <v>4.87</v>
      </c>
      <c r="EQ457" s="2346">
        <v>5.2</v>
      </c>
      <c r="ER457" s="2346">
        <v>5.67</v>
      </c>
      <c r="ES457" s="2346">
        <v>6</v>
      </c>
      <c r="ET457" s="2346">
        <v>6.4</v>
      </c>
      <c r="EU457" s="2346">
        <v>6.87</v>
      </c>
      <c r="EV457" s="2346">
        <v>7.53</v>
      </c>
      <c r="EW457" s="2346">
        <v>8.1999999999999993</v>
      </c>
      <c r="EX457" s="2346">
        <v>9.1999999999999993</v>
      </c>
      <c r="EY457" s="2346">
        <v>10.33</v>
      </c>
      <c r="EZ457" s="2346">
        <v>11.8</v>
      </c>
      <c r="FA457" s="2346">
        <v>13.8</v>
      </c>
      <c r="FB457" s="2347">
        <v>475</v>
      </c>
      <c r="FC457" s="2275"/>
      <c r="FD457" s="2276">
        <f>HLOOKUP(FD453,EA454:FA466,2,0)</f>
        <v>0</v>
      </c>
      <c r="FE457" s="2276">
        <f t="shared" ref="FE457:FE467" si="352">+FD458</f>
        <v>0</v>
      </c>
      <c r="FF457" s="2275">
        <v>400</v>
      </c>
      <c r="FG457" s="2275"/>
      <c r="FH457" s="2275"/>
      <c r="FI457" s="2275"/>
      <c r="FJ457" s="2275"/>
      <c r="FK457" s="2275"/>
      <c r="FL457" s="2275"/>
      <c r="FM457" s="2250"/>
      <c r="FN457" s="2250"/>
      <c r="FO457" s="2250"/>
      <c r="FP457" s="2250"/>
      <c r="FQ457" s="2250"/>
      <c r="FR457" s="2250"/>
      <c r="FS457" s="2250"/>
      <c r="FT457" s="2250"/>
      <c r="FU457" s="2250"/>
      <c r="FV457" s="2250"/>
      <c r="FW457" s="2250"/>
      <c r="FX457" s="2250"/>
      <c r="FY457" s="2250"/>
      <c r="FZ457" s="2250"/>
      <c r="GA457" s="2250"/>
      <c r="GB457" s="2250"/>
      <c r="GC457" s="2276"/>
      <c r="GD457" s="2276"/>
      <c r="GE457" s="2250"/>
      <c r="GF457" s="2275"/>
      <c r="GG457" s="4670"/>
      <c r="GH457" s="2345">
        <v>475</v>
      </c>
      <c r="GI457" s="2346">
        <v>1.8</v>
      </c>
      <c r="GJ457" s="2346">
        <v>2</v>
      </c>
      <c r="GK457" s="2346">
        <v>2.2000000000000002</v>
      </c>
      <c r="GL457" s="2346">
        <v>2.4</v>
      </c>
      <c r="GM457" s="2346">
        <v>2.6</v>
      </c>
      <c r="GN457" s="2346">
        <v>2.5299999999999998</v>
      </c>
      <c r="GO457" s="2346">
        <v>2.8</v>
      </c>
      <c r="GP457" s="2346">
        <v>3</v>
      </c>
      <c r="GQ457" s="2346">
        <v>3.2</v>
      </c>
      <c r="GR457" s="2346">
        <v>3.4</v>
      </c>
      <c r="GS457" s="2346">
        <v>3.73</v>
      </c>
      <c r="GT457" s="2346">
        <v>4</v>
      </c>
      <c r="GU457" s="2346">
        <v>4.2</v>
      </c>
      <c r="GV457" s="2346">
        <v>4.47</v>
      </c>
      <c r="GW457" s="2346">
        <v>4.5999999999999996</v>
      </c>
      <c r="GX457" s="2346">
        <v>4.87</v>
      </c>
      <c r="GY457" s="2346">
        <v>5.2</v>
      </c>
      <c r="GZ457" s="2346">
        <v>5.67</v>
      </c>
      <c r="HA457" s="2346">
        <v>6</v>
      </c>
      <c r="HB457" s="2346">
        <v>6.4</v>
      </c>
      <c r="HC457" s="2346">
        <v>6.87</v>
      </c>
      <c r="HD457" s="2346">
        <v>7.53</v>
      </c>
      <c r="HE457" s="2346">
        <v>8.1999999999999993</v>
      </c>
      <c r="HF457" s="2346">
        <v>9.1999999999999993</v>
      </c>
      <c r="HG457" s="2346">
        <v>10.33</v>
      </c>
      <c r="HH457" s="2346">
        <v>11.8</v>
      </c>
      <c r="HI457" s="2346">
        <v>13.8</v>
      </c>
      <c r="HJ457" s="2347">
        <v>475</v>
      </c>
      <c r="HK457" s="2275"/>
      <c r="HL457" s="2276">
        <f>HLOOKUP(HL453,GI454:HI466,2,0)</f>
        <v>0</v>
      </c>
      <c r="HM457" s="2276">
        <f t="shared" ref="HM457:HM467" si="353">+HL458</f>
        <v>0</v>
      </c>
      <c r="HN457" s="2275">
        <v>400</v>
      </c>
      <c r="HO457" s="2275"/>
      <c r="HP457" s="2275"/>
      <c r="HQ457" s="2275"/>
      <c r="HR457" s="2275"/>
      <c r="HS457" s="2275"/>
      <c r="HT457" s="2275"/>
      <c r="HU457" s="2250"/>
      <c r="HV457" s="2250"/>
      <c r="HW457" s="2250"/>
      <c r="HX457" s="2250"/>
      <c r="HY457" s="2250"/>
      <c r="HZ457" s="2250"/>
      <c r="IA457" s="2250"/>
      <c r="IB457" s="2250"/>
      <c r="IC457" s="2250"/>
      <c r="ID457" s="2250"/>
      <c r="IE457" s="2250"/>
      <c r="IF457" s="2250"/>
      <c r="IG457" s="2250"/>
      <c r="IH457" s="2250"/>
      <c r="II457" s="2250"/>
      <c r="IJ457" s="2250"/>
      <c r="IK457" s="2250"/>
      <c r="IL457" s="53"/>
      <c r="IM457" s="53"/>
    </row>
    <row r="458" spans="2:247" ht="21.95" customHeight="1">
      <c r="B458" s="4670"/>
      <c r="C458" s="2345">
        <v>550</v>
      </c>
      <c r="D458" s="2346">
        <v>3.33</v>
      </c>
      <c r="E458" s="2346">
        <v>3.73</v>
      </c>
      <c r="F458" s="2346">
        <v>4.13</v>
      </c>
      <c r="G458" s="2346">
        <v>4.5999999999999996</v>
      </c>
      <c r="H458" s="2346">
        <v>5</v>
      </c>
      <c r="I458" s="2346">
        <v>4.7300000000000004</v>
      </c>
      <c r="J458" s="2346">
        <v>5.27</v>
      </c>
      <c r="K458" s="2346">
        <v>5.6</v>
      </c>
      <c r="L458" s="2346">
        <v>6.13</v>
      </c>
      <c r="M458" s="2346">
        <v>6.47</v>
      </c>
      <c r="N458" s="2346">
        <v>7.33</v>
      </c>
      <c r="O458" s="2346">
        <v>7.87</v>
      </c>
      <c r="P458" s="2346">
        <v>8.27</v>
      </c>
      <c r="Q458" s="2346">
        <v>8.4700000000000006</v>
      </c>
      <c r="R458" s="2346">
        <v>8.93</v>
      </c>
      <c r="S458" s="2346">
        <v>9.5299999999999994</v>
      </c>
      <c r="T458" s="2346">
        <v>10.130000000000001</v>
      </c>
      <c r="U458" s="2346">
        <v>10.93</v>
      </c>
      <c r="V458" s="2346">
        <v>11.6</v>
      </c>
      <c r="W458" s="2346">
        <v>12.67</v>
      </c>
      <c r="X458" s="2346">
        <v>13.07</v>
      </c>
      <c r="Y458" s="2346">
        <v>14.67</v>
      </c>
      <c r="Z458" s="2346">
        <v>15.33</v>
      </c>
      <c r="AA458" s="2346">
        <v>17.87</v>
      </c>
      <c r="AB458" s="2346">
        <v>18.93</v>
      </c>
      <c r="AC458" s="2346">
        <v>21.67</v>
      </c>
      <c r="AD458" s="2346">
        <v>24.27</v>
      </c>
      <c r="AE458" s="2347">
        <v>550</v>
      </c>
      <c r="AF458" s="2275"/>
      <c r="AG458" s="2276">
        <f>HLOOKUP(AG453,D454:AD466,3,0)</f>
        <v>0</v>
      </c>
      <c r="AH458" s="2276">
        <f t="shared" si="350"/>
        <v>2.2000000000000002</v>
      </c>
      <c r="AI458" s="2275">
        <v>475</v>
      </c>
      <c r="AJ458" s="2275"/>
      <c r="AK458" s="2275"/>
      <c r="AL458" s="2275"/>
      <c r="AM458" s="2275"/>
      <c r="AN458" s="2275"/>
      <c r="AO458" s="2275"/>
      <c r="AP458" s="2250"/>
      <c r="AQ458" s="2250"/>
      <c r="AR458" s="2250"/>
      <c r="AS458" s="2250"/>
      <c r="AT458" s="2250"/>
      <c r="AU458" s="2250"/>
      <c r="AV458" s="2250"/>
      <c r="AW458" s="2250"/>
      <c r="AX458" s="2250"/>
      <c r="AY458" s="2250"/>
      <c r="AZ458" s="2250"/>
      <c r="BA458" s="2250"/>
      <c r="BB458" s="2250"/>
      <c r="BC458" s="2250"/>
      <c r="BD458" s="2250"/>
      <c r="BE458" s="2250"/>
      <c r="BF458" s="2276"/>
      <c r="BG458" s="2276"/>
      <c r="BH458" s="2250"/>
      <c r="BI458" s="2275"/>
      <c r="BJ458" s="4670"/>
      <c r="BK458" s="2345">
        <v>550</v>
      </c>
      <c r="BL458" s="2346">
        <v>3.33</v>
      </c>
      <c r="BM458" s="2346">
        <v>3.73</v>
      </c>
      <c r="BN458" s="2346">
        <v>4.13</v>
      </c>
      <c r="BO458" s="2346">
        <v>4.5999999999999996</v>
      </c>
      <c r="BP458" s="2346">
        <v>5</v>
      </c>
      <c r="BQ458" s="2346">
        <v>4.7300000000000004</v>
      </c>
      <c r="BR458" s="2346">
        <v>5.27</v>
      </c>
      <c r="BS458" s="2346">
        <v>5.6</v>
      </c>
      <c r="BT458" s="2346">
        <v>6.13</v>
      </c>
      <c r="BU458" s="2346">
        <v>6.47</v>
      </c>
      <c r="BV458" s="2346">
        <v>7.33</v>
      </c>
      <c r="BW458" s="2346">
        <v>7.87</v>
      </c>
      <c r="BX458" s="2346">
        <v>8.27</v>
      </c>
      <c r="BY458" s="2346">
        <v>8.4700000000000006</v>
      </c>
      <c r="BZ458" s="2346">
        <v>8.93</v>
      </c>
      <c r="CA458" s="2346">
        <v>9.5299999999999994</v>
      </c>
      <c r="CB458" s="2346">
        <v>10.130000000000001</v>
      </c>
      <c r="CC458" s="2346">
        <v>10.93</v>
      </c>
      <c r="CD458" s="2346">
        <v>11.6</v>
      </c>
      <c r="CE458" s="2346">
        <v>12.67</v>
      </c>
      <c r="CF458" s="2346">
        <v>13.07</v>
      </c>
      <c r="CG458" s="2346">
        <v>14.67</v>
      </c>
      <c r="CH458" s="2346">
        <v>15.33</v>
      </c>
      <c r="CI458" s="2346">
        <v>17.87</v>
      </c>
      <c r="CJ458" s="2346">
        <v>18.93</v>
      </c>
      <c r="CK458" s="2346">
        <v>21.67</v>
      </c>
      <c r="CL458" s="2346">
        <v>24.27</v>
      </c>
      <c r="CM458" s="2347">
        <v>550</v>
      </c>
      <c r="CN458" s="2275"/>
      <c r="CO458" s="2276">
        <f>HLOOKUP(CO453,BL454:CL466,3,0)</f>
        <v>0</v>
      </c>
      <c r="CP458" s="2276">
        <f t="shared" si="351"/>
        <v>2</v>
      </c>
      <c r="CQ458" s="2275">
        <v>475</v>
      </c>
      <c r="CR458" s="2275"/>
      <c r="CS458" s="2275"/>
      <c r="CT458" s="2275"/>
      <c r="CU458" s="2275"/>
      <c r="CV458" s="2275"/>
      <c r="CW458" s="2275"/>
      <c r="CX458" s="2250"/>
      <c r="CY458" s="2250"/>
      <c r="CZ458" s="2250"/>
      <c r="DA458" s="2250"/>
      <c r="DB458" s="2250"/>
      <c r="DC458" s="2250"/>
      <c r="DD458" s="2250"/>
      <c r="DE458" s="2250"/>
      <c r="DF458" s="2250"/>
      <c r="DG458" s="2250"/>
      <c r="DH458" s="2250"/>
      <c r="DI458" s="2250"/>
      <c r="DJ458" s="2250"/>
      <c r="DK458" s="2250"/>
      <c r="DL458" s="2250"/>
      <c r="DM458" s="2250"/>
      <c r="DN458" s="2250"/>
      <c r="DO458" s="53"/>
      <c r="DP458" s="53"/>
      <c r="DY458" s="4670"/>
      <c r="DZ458" s="2345">
        <v>550</v>
      </c>
      <c r="EA458" s="2346">
        <v>3.33</v>
      </c>
      <c r="EB458" s="2346">
        <v>3.73</v>
      </c>
      <c r="EC458" s="2346">
        <v>4.13</v>
      </c>
      <c r="ED458" s="2346">
        <v>4.5999999999999996</v>
      </c>
      <c r="EE458" s="2346">
        <v>5</v>
      </c>
      <c r="EF458" s="2346">
        <v>4.7300000000000004</v>
      </c>
      <c r="EG458" s="2346">
        <v>5.27</v>
      </c>
      <c r="EH458" s="2346">
        <v>5.6</v>
      </c>
      <c r="EI458" s="2346">
        <v>6.13</v>
      </c>
      <c r="EJ458" s="2346">
        <v>6.47</v>
      </c>
      <c r="EK458" s="2346">
        <v>7.33</v>
      </c>
      <c r="EL458" s="2346">
        <v>7.87</v>
      </c>
      <c r="EM458" s="2346">
        <v>8.27</v>
      </c>
      <c r="EN458" s="2346">
        <v>8.4700000000000006</v>
      </c>
      <c r="EO458" s="2346">
        <v>8.93</v>
      </c>
      <c r="EP458" s="2346">
        <v>9.5299999999999994</v>
      </c>
      <c r="EQ458" s="2346">
        <v>10.130000000000001</v>
      </c>
      <c r="ER458" s="2346">
        <v>10.93</v>
      </c>
      <c r="ES458" s="2346">
        <v>11.6</v>
      </c>
      <c r="ET458" s="2346">
        <v>12.67</v>
      </c>
      <c r="EU458" s="2346">
        <v>13.07</v>
      </c>
      <c r="EV458" s="2346">
        <v>14.67</v>
      </c>
      <c r="EW458" s="2346">
        <v>15.33</v>
      </c>
      <c r="EX458" s="2346">
        <v>17.87</v>
      </c>
      <c r="EY458" s="2346">
        <v>18.93</v>
      </c>
      <c r="EZ458" s="2346">
        <v>21.67</v>
      </c>
      <c r="FA458" s="2346">
        <v>24.27</v>
      </c>
      <c r="FB458" s="2347">
        <v>550</v>
      </c>
      <c r="FC458" s="2275"/>
      <c r="FD458" s="2276">
        <f>HLOOKUP(FD453,EA454:FA466,3,0)</f>
        <v>0</v>
      </c>
      <c r="FE458" s="2276">
        <f t="shared" si="352"/>
        <v>3.4</v>
      </c>
      <c r="FF458" s="2275">
        <v>475</v>
      </c>
      <c r="FG458" s="2275"/>
      <c r="FH458" s="2275"/>
      <c r="FI458" s="2275"/>
      <c r="FJ458" s="2275"/>
      <c r="FK458" s="2275"/>
      <c r="FL458" s="2275"/>
      <c r="FM458" s="2250"/>
      <c r="FN458" s="2250"/>
      <c r="FO458" s="2250"/>
      <c r="FP458" s="2250"/>
      <c r="FQ458" s="2250"/>
      <c r="FR458" s="2250"/>
      <c r="FS458" s="2250"/>
      <c r="FT458" s="2250"/>
      <c r="FU458" s="2250"/>
      <c r="FV458" s="2250"/>
      <c r="FW458" s="2250"/>
      <c r="FX458" s="2250"/>
      <c r="FY458" s="2250"/>
      <c r="FZ458" s="2250"/>
      <c r="GA458" s="2250"/>
      <c r="GB458" s="2250"/>
      <c r="GC458" s="2276"/>
      <c r="GD458" s="2276"/>
      <c r="GE458" s="2250"/>
      <c r="GF458" s="2275"/>
      <c r="GG458" s="4670"/>
      <c r="GH458" s="2345">
        <v>550</v>
      </c>
      <c r="GI458" s="2346">
        <v>3.33</v>
      </c>
      <c r="GJ458" s="2346">
        <v>3.73</v>
      </c>
      <c r="GK458" s="2346">
        <v>4.13</v>
      </c>
      <c r="GL458" s="2346">
        <v>4.5999999999999996</v>
      </c>
      <c r="GM458" s="2346">
        <v>5</v>
      </c>
      <c r="GN458" s="2346">
        <v>4.7300000000000004</v>
      </c>
      <c r="GO458" s="2346">
        <v>5.27</v>
      </c>
      <c r="GP458" s="2346">
        <v>5.6</v>
      </c>
      <c r="GQ458" s="2346">
        <v>6.13</v>
      </c>
      <c r="GR458" s="2346">
        <v>6.47</v>
      </c>
      <c r="GS458" s="2346">
        <v>7.33</v>
      </c>
      <c r="GT458" s="2346">
        <v>7.87</v>
      </c>
      <c r="GU458" s="2346">
        <v>8.27</v>
      </c>
      <c r="GV458" s="2346">
        <v>8.4700000000000006</v>
      </c>
      <c r="GW458" s="2346">
        <v>8.93</v>
      </c>
      <c r="GX458" s="2346">
        <v>9.5299999999999994</v>
      </c>
      <c r="GY458" s="2346">
        <v>10.130000000000001</v>
      </c>
      <c r="GZ458" s="2346">
        <v>10.93</v>
      </c>
      <c r="HA458" s="2346">
        <v>11.6</v>
      </c>
      <c r="HB458" s="2346">
        <v>12.67</v>
      </c>
      <c r="HC458" s="2346">
        <v>13.07</v>
      </c>
      <c r="HD458" s="2346">
        <v>14.67</v>
      </c>
      <c r="HE458" s="2346">
        <v>15.33</v>
      </c>
      <c r="HF458" s="2346">
        <v>17.87</v>
      </c>
      <c r="HG458" s="2346">
        <v>18.93</v>
      </c>
      <c r="HH458" s="2346">
        <v>21.67</v>
      </c>
      <c r="HI458" s="2346">
        <v>24.27</v>
      </c>
      <c r="HJ458" s="2347">
        <v>550</v>
      </c>
      <c r="HK458" s="2275"/>
      <c r="HL458" s="2276">
        <f>HLOOKUP(HL453,GI454:HI466,3,0)</f>
        <v>0</v>
      </c>
      <c r="HM458" s="2276">
        <f t="shared" si="353"/>
        <v>3.2</v>
      </c>
      <c r="HN458" s="2275">
        <v>475</v>
      </c>
      <c r="HO458" s="2275"/>
      <c r="HP458" s="2275"/>
      <c r="HQ458" s="2275"/>
      <c r="HR458" s="2275"/>
      <c r="HS458" s="2275"/>
      <c r="HT458" s="2275"/>
      <c r="HU458" s="2250"/>
      <c r="HV458" s="2250"/>
      <c r="HW458" s="2250"/>
      <c r="HX458" s="2250"/>
      <c r="HY458" s="2250"/>
      <c r="HZ458" s="2250"/>
      <c r="IA458" s="2250"/>
      <c r="IB458" s="2250"/>
      <c r="IC458" s="2250"/>
      <c r="ID458" s="2250"/>
      <c r="IE458" s="2250"/>
      <c r="IF458" s="2250"/>
      <c r="IG458" s="2250"/>
      <c r="IH458" s="2250"/>
      <c r="II458" s="2250"/>
      <c r="IJ458" s="2250"/>
      <c r="IK458" s="2250"/>
      <c r="IL458" s="53"/>
      <c r="IM458" s="53"/>
    </row>
    <row r="459" spans="2:247" ht="21.95" customHeight="1">
      <c r="B459" s="2275"/>
      <c r="C459" s="2345">
        <v>650</v>
      </c>
      <c r="D459" s="2346">
        <v>5.53</v>
      </c>
      <c r="E459" s="2346">
        <v>6.27</v>
      </c>
      <c r="F459" s="2346">
        <v>6.93</v>
      </c>
      <c r="G459" s="2346">
        <v>7.33</v>
      </c>
      <c r="H459" s="2346">
        <v>7.33</v>
      </c>
      <c r="I459" s="2346">
        <v>7.87</v>
      </c>
      <c r="J459" s="2346">
        <v>8.73</v>
      </c>
      <c r="K459" s="2346">
        <v>9.27</v>
      </c>
      <c r="L459" s="2346">
        <v>9.8000000000000007</v>
      </c>
      <c r="M459" s="2346">
        <v>10.8</v>
      </c>
      <c r="N459" s="2346">
        <v>11.87</v>
      </c>
      <c r="O459" s="2346">
        <v>12.93</v>
      </c>
      <c r="P459" s="2346">
        <v>14</v>
      </c>
      <c r="Q459" s="2346">
        <v>14.13</v>
      </c>
      <c r="R459" s="2346">
        <v>14.87</v>
      </c>
      <c r="S459" s="2346">
        <v>16</v>
      </c>
      <c r="T459" s="2346">
        <v>16.93</v>
      </c>
      <c r="U459" s="2346">
        <v>18.670000000000002</v>
      </c>
      <c r="V459" s="2346">
        <v>17.670000000000002</v>
      </c>
      <c r="W459" s="2346">
        <v>20.53</v>
      </c>
      <c r="X459" s="2346">
        <v>20.87</v>
      </c>
      <c r="Y459" s="2346">
        <v>23.53</v>
      </c>
      <c r="Z459" s="2346">
        <v>25.8</v>
      </c>
      <c r="AA459" s="2346">
        <v>28.53</v>
      </c>
      <c r="AB459" s="2346">
        <v>31.73</v>
      </c>
      <c r="AC459" s="2346">
        <v>34.130000000000003</v>
      </c>
      <c r="AD459" s="2346">
        <v>40.47</v>
      </c>
      <c r="AE459" s="2347">
        <v>650</v>
      </c>
      <c r="AF459" s="2275"/>
      <c r="AG459" s="2276">
        <f>HLOOKUP(AG453,D454:AD466,4,0)</f>
        <v>2.2000000000000002</v>
      </c>
      <c r="AH459" s="2276">
        <f t="shared" si="350"/>
        <v>4.13</v>
      </c>
      <c r="AI459" s="2275">
        <v>550</v>
      </c>
      <c r="AJ459" s="2275"/>
      <c r="AK459" s="2275"/>
      <c r="AL459" s="2275"/>
      <c r="AM459" s="2275"/>
      <c r="AN459" s="2275"/>
      <c r="AO459" s="2275"/>
      <c r="AP459" s="2250"/>
      <c r="AQ459" s="2250"/>
      <c r="AR459" s="2250"/>
      <c r="AS459" s="2250"/>
      <c r="AT459" s="2250"/>
      <c r="AU459" s="2250"/>
      <c r="AV459" s="2250"/>
      <c r="AW459" s="2250"/>
      <c r="AX459" s="2250"/>
      <c r="AY459" s="2250"/>
      <c r="AZ459" s="2250"/>
      <c r="BA459" s="2250"/>
      <c r="BB459" s="2250"/>
      <c r="BC459" s="2250"/>
      <c r="BD459" s="2250"/>
      <c r="BE459" s="2250"/>
      <c r="BF459" s="2276"/>
      <c r="BG459" s="2276"/>
      <c r="BH459" s="2250"/>
      <c r="BI459" s="2275"/>
      <c r="BJ459" s="2275"/>
      <c r="BK459" s="2345">
        <v>650</v>
      </c>
      <c r="BL459" s="2346">
        <v>5.53</v>
      </c>
      <c r="BM459" s="2346">
        <v>6.27</v>
      </c>
      <c r="BN459" s="2346">
        <v>6.93</v>
      </c>
      <c r="BO459" s="2346">
        <v>7.33</v>
      </c>
      <c r="BP459" s="2346">
        <v>7.33</v>
      </c>
      <c r="BQ459" s="2346">
        <v>7.87</v>
      </c>
      <c r="BR459" s="2346">
        <v>8.73</v>
      </c>
      <c r="BS459" s="2346">
        <v>9.27</v>
      </c>
      <c r="BT459" s="2346">
        <v>9.8000000000000007</v>
      </c>
      <c r="BU459" s="2346">
        <v>10.8</v>
      </c>
      <c r="BV459" s="2346">
        <v>11.87</v>
      </c>
      <c r="BW459" s="2346">
        <v>12.93</v>
      </c>
      <c r="BX459" s="2346">
        <v>14</v>
      </c>
      <c r="BY459" s="2346">
        <v>14.13</v>
      </c>
      <c r="BZ459" s="2346">
        <v>14.87</v>
      </c>
      <c r="CA459" s="2346">
        <v>16</v>
      </c>
      <c r="CB459" s="2346">
        <v>16.93</v>
      </c>
      <c r="CC459" s="2346">
        <v>18.670000000000002</v>
      </c>
      <c r="CD459" s="2346">
        <v>17.670000000000002</v>
      </c>
      <c r="CE459" s="2346">
        <v>20.53</v>
      </c>
      <c r="CF459" s="2346">
        <v>20.87</v>
      </c>
      <c r="CG459" s="2346">
        <v>23.53</v>
      </c>
      <c r="CH459" s="2346">
        <v>25.8</v>
      </c>
      <c r="CI459" s="2346">
        <v>28.53</v>
      </c>
      <c r="CJ459" s="2346">
        <v>31.73</v>
      </c>
      <c r="CK459" s="2346">
        <v>34.130000000000003</v>
      </c>
      <c r="CL459" s="2346">
        <v>40.47</v>
      </c>
      <c r="CM459" s="2347">
        <v>650</v>
      </c>
      <c r="CN459" s="2275"/>
      <c r="CO459" s="2276">
        <f>HLOOKUP(CO453,BL454:CL466,4,0)</f>
        <v>2</v>
      </c>
      <c r="CP459" s="2276">
        <f t="shared" si="351"/>
        <v>3.73</v>
      </c>
      <c r="CQ459" s="2275">
        <v>550</v>
      </c>
      <c r="CR459" s="2275"/>
      <c r="CS459" s="2275"/>
      <c r="CT459" s="2275"/>
      <c r="CU459" s="2275"/>
      <c r="CV459" s="2275"/>
      <c r="CW459" s="2275"/>
      <c r="CX459" s="2250"/>
      <c r="CY459" s="2250"/>
      <c r="CZ459" s="2250"/>
      <c r="DA459" s="2250"/>
      <c r="DB459" s="2250"/>
      <c r="DC459" s="2250"/>
      <c r="DD459" s="2250"/>
      <c r="DE459" s="2250"/>
      <c r="DF459" s="2250"/>
      <c r="DG459" s="2250"/>
      <c r="DH459" s="2250"/>
      <c r="DI459" s="2250"/>
      <c r="DJ459" s="2250"/>
      <c r="DK459" s="2250"/>
      <c r="DL459" s="2250"/>
      <c r="DM459" s="2250"/>
      <c r="DN459" s="2250"/>
      <c r="DO459" s="53"/>
      <c r="DP459" s="53"/>
      <c r="DY459" s="2275"/>
      <c r="DZ459" s="2345">
        <v>650</v>
      </c>
      <c r="EA459" s="2346">
        <v>5.53</v>
      </c>
      <c r="EB459" s="2346">
        <v>6.27</v>
      </c>
      <c r="EC459" s="2346">
        <v>6.93</v>
      </c>
      <c r="ED459" s="2346">
        <v>7.33</v>
      </c>
      <c r="EE459" s="2346">
        <v>7.33</v>
      </c>
      <c r="EF459" s="2346">
        <v>7.87</v>
      </c>
      <c r="EG459" s="2346">
        <v>8.73</v>
      </c>
      <c r="EH459" s="2346">
        <v>9.27</v>
      </c>
      <c r="EI459" s="2346">
        <v>9.8000000000000007</v>
      </c>
      <c r="EJ459" s="2346">
        <v>10.8</v>
      </c>
      <c r="EK459" s="2346">
        <v>11.87</v>
      </c>
      <c r="EL459" s="2346">
        <v>12.93</v>
      </c>
      <c r="EM459" s="2346">
        <v>14</v>
      </c>
      <c r="EN459" s="2346">
        <v>14.13</v>
      </c>
      <c r="EO459" s="2346">
        <v>14.87</v>
      </c>
      <c r="EP459" s="2346">
        <v>16</v>
      </c>
      <c r="EQ459" s="2346">
        <v>16.93</v>
      </c>
      <c r="ER459" s="2346">
        <v>18.670000000000002</v>
      </c>
      <c r="ES459" s="2346">
        <v>17.670000000000002</v>
      </c>
      <c r="ET459" s="2346">
        <v>20.53</v>
      </c>
      <c r="EU459" s="2346">
        <v>20.87</v>
      </c>
      <c r="EV459" s="2346">
        <v>23.53</v>
      </c>
      <c r="EW459" s="2346">
        <v>25.8</v>
      </c>
      <c r="EX459" s="2346">
        <v>28.53</v>
      </c>
      <c r="EY459" s="2346">
        <v>31.73</v>
      </c>
      <c r="EZ459" s="2346">
        <v>34.130000000000003</v>
      </c>
      <c r="FA459" s="2346">
        <v>40.47</v>
      </c>
      <c r="FB459" s="2347">
        <v>650</v>
      </c>
      <c r="FC459" s="2275"/>
      <c r="FD459" s="2276">
        <f>HLOOKUP(FD453,EA454:FA466,4,0)</f>
        <v>3.4</v>
      </c>
      <c r="FE459" s="2276">
        <f t="shared" si="352"/>
        <v>6.47</v>
      </c>
      <c r="FF459" s="2275">
        <v>550</v>
      </c>
      <c r="FG459" s="2275"/>
      <c r="FH459" s="2275"/>
      <c r="FI459" s="2275"/>
      <c r="FJ459" s="2275"/>
      <c r="FK459" s="2275"/>
      <c r="FL459" s="2275"/>
      <c r="FM459" s="2250"/>
      <c r="FN459" s="2250"/>
      <c r="FO459" s="2250"/>
      <c r="FP459" s="2250"/>
      <c r="FQ459" s="2250"/>
      <c r="FR459" s="2250"/>
      <c r="FS459" s="2250"/>
      <c r="FT459" s="2250"/>
      <c r="FU459" s="2250"/>
      <c r="FV459" s="2250"/>
      <c r="FW459" s="2250"/>
      <c r="FX459" s="2250"/>
      <c r="FY459" s="2250"/>
      <c r="FZ459" s="2250"/>
      <c r="GA459" s="2250"/>
      <c r="GB459" s="2250"/>
      <c r="GC459" s="2276"/>
      <c r="GD459" s="2276"/>
      <c r="GE459" s="2250"/>
      <c r="GF459" s="2275"/>
      <c r="GG459" s="2275"/>
      <c r="GH459" s="2345">
        <v>650</v>
      </c>
      <c r="GI459" s="2346">
        <v>5.53</v>
      </c>
      <c r="GJ459" s="2346">
        <v>6.27</v>
      </c>
      <c r="GK459" s="2346">
        <v>6.93</v>
      </c>
      <c r="GL459" s="2346">
        <v>7.33</v>
      </c>
      <c r="GM459" s="2346">
        <v>7.33</v>
      </c>
      <c r="GN459" s="2346">
        <v>7.87</v>
      </c>
      <c r="GO459" s="2346">
        <v>8.73</v>
      </c>
      <c r="GP459" s="2346">
        <v>9.27</v>
      </c>
      <c r="GQ459" s="2346">
        <v>9.8000000000000007</v>
      </c>
      <c r="GR459" s="2346">
        <v>10.8</v>
      </c>
      <c r="GS459" s="2346">
        <v>11.87</v>
      </c>
      <c r="GT459" s="2346">
        <v>12.93</v>
      </c>
      <c r="GU459" s="2346">
        <v>14</v>
      </c>
      <c r="GV459" s="2346">
        <v>14.13</v>
      </c>
      <c r="GW459" s="2346">
        <v>14.87</v>
      </c>
      <c r="GX459" s="2346">
        <v>16</v>
      </c>
      <c r="GY459" s="2346">
        <v>16.93</v>
      </c>
      <c r="GZ459" s="2346">
        <v>18.670000000000002</v>
      </c>
      <c r="HA459" s="2346">
        <v>17.670000000000002</v>
      </c>
      <c r="HB459" s="2346">
        <v>20.53</v>
      </c>
      <c r="HC459" s="2346">
        <v>20.87</v>
      </c>
      <c r="HD459" s="2346">
        <v>23.53</v>
      </c>
      <c r="HE459" s="2346">
        <v>25.8</v>
      </c>
      <c r="HF459" s="2346">
        <v>28.53</v>
      </c>
      <c r="HG459" s="2346">
        <v>31.73</v>
      </c>
      <c r="HH459" s="2346">
        <v>34.130000000000003</v>
      </c>
      <c r="HI459" s="2346">
        <v>40.47</v>
      </c>
      <c r="HJ459" s="2347">
        <v>650</v>
      </c>
      <c r="HK459" s="2275"/>
      <c r="HL459" s="2276">
        <f>HLOOKUP(HL453,GI454:HI466,4,0)</f>
        <v>3.2</v>
      </c>
      <c r="HM459" s="2276">
        <f t="shared" si="353"/>
        <v>6.13</v>
      </c>
      <c r="HN459" s="2275">
        <v>550</v>
      </c>
      <c r="HO459" s="2275"/>
      <c r="HP459" s="2275"/>
      <c r="HQ459" s="2275"/>
      <c r="HR459" s="2275"/>
      <c r="HS459" s="2275"/>
      <c r="HT459" s="2275"/>
      <c r="HU459" s="2250"/>
      <c r="HV459" s="2250"/>
      <c r="HW459" s="2250"/>
      <c r="HX459" s="2250"/>
      <c r="HY459" s="2250"/>
      <c r="HZ459" s="2250"/>
      <c r="IA459" s="2250"/>
      <c r="IB459" s="2250"/>
      <c r="IC459" s="2250"/>
      <c r="ID459" s="2250"/>
      <c r="IE459" s="2250"/>
      <c r="IF459" s="2250"/>
      <c r="IG459" s="2250"/>
      <c r="IH459" s="2250"/>
      <c r="II459" s="2250"/>
      <c r="IJ459" s="2250"/>
      <c r="IK459" s="2250"/>
      <c r="IL459" s="53"/>
      <c r="IM459" s="53"/>
    </row>
    <row r="460" spans="2:247" ht="21.95" customHeight="1">
      <c r="B460" s="2275"/>
      <c r="C460" s="2345">
        <v>775</v>
      </c>
      <c r="D460" s="2346">
        <v>8.5299999999999994</v>
      </c>
      <c r="E460" s="2346">
        <v>9.6</v>
      </c>
      <c r="F460" s="2346">
        <v>10.6</v>
      </c>
      <c r="G460" s="2346">
        <v>11.8</v>
      </c>
      <c r="H460" s="2346">
        <v>12.93</v>
      </c>
      <c r="I460" s="2346">
        <v>12.13</v>
      </c>
      <c r="J460" s="2346">
        <v>13.4</v>
      </c>
      <c r="K460" s="2346">
        <v>14.27</v>
      </c>
      <c r="L460" s="2346">
        <v>15.67</v>
      </c>
      <c r="M460" s="2346">
        <v>16.670000000000002</v>
      </c>
      <c r="N460" s="2346">
        <v>19.73</v>
      </c>
      <c r="O460" s="2346">
        <v>21.2</v>
      </c>
      <c r="P460" s="2346">
        <v>22.2</v>
      </c>
      <c r="Q460" s="2346">
        <v>21.8</v>
      </c>
      <c r="R460" s="2346">
        <v>23.33</v>
      </c>
      <c r="S460" s="2346">
        <v>25.4</v>
      </c>
      <c r="T460" s="2346">
        <v>26.93</v>
      </c>
      <c r="U460" s="2346">
        <v>28.07</v>
      </c>
      <c r="V460" s="2346">
        <v>29.73</v>
      </c>
      <c r="W460" s="2346">
        <v>32.67</v>
      </c>
      <c r="X460" s="2346">
        <v>34.6</v>
      </c>
      <c r="Y460" s="2346">
        <v>37.67</v>
      </c>
      <c r="Z460" s="2346">
        <v>41.73</v>
      </c>
      <c r="AA460" s="2346">
        <v>46</v>
      </c>
      <c r="AB460" s="2346">
        <v>51.53</v>
      </c>
      <c r="AC460" s="2346">
        <v>58.47</v>
      </c>
      <c r="AD460" s="2346">
        <v>66.13</v>
      </c>
      <c r="AE460" s="2347">
        <v>775</v>
      </c>
      <c r="AF460" s="2275"/>
      <c r="AG460" s="2276">
        <f>HLOOKUP(AG453,D454:AD466,5,0)</f>
        <v>4.13</v>
      </c>
      <c r="AH460" s="2276">
        <f t="shared" si="350"/>
        <v>6.93</v>
      </c>
      <c r="AI460" s="2275">
        <v>650</v>
      </c>
      <c r="AJ460" s="2275"/>
      <c r="AK460" s="2275"/>
      <c r="AL460" s="2275"/>
      <c r="AM460" s="2275"/>
      <c r="AN460" s="2275"/>
      <c r="AO460" s="2275"/>
      <c r="AP460" s="2250"/>
      <c r="AQ460" s="2250"/>
      <c r="AR460" s="2250"/>
      <c r="AS460" s="2250"/>
      <c r="AT460" s="2250"/>
      <c r="AU460" s="2250"/>
      <c r="AV460" s="2250"/>
      <c r="AW460" s="2250"/>
      <c r="AX460" s="2250"/>
      <c r="AY460" s="2250"/>
      <c r="AZ460" s="2250"/>
      <c r="BA460" s="2250"/>
      <c r="BB460" s="2250"/>
      <c r="BC460" s="2250"/>
      <c r="BD460" s="2250"/>
      <c r="BE460" s="2250"/>
      <c r="BF460" s="2276"/>
      <c r="BG460" s="2276"/>
      <c r="BH460" s="2250"/>
      <c r="BI460" s="2275"/>
      <c r="BJ460" s="2275"/>
      <c r="BK460" s="2345">
        <v>775</v>
      </c>
      <c r="BL460" s="2346">
        <v>8.5299999999999994</v>
      </c>
      <c r="BM460" s="2346">
        <v>9.6</v>
      </c>
      <c r="BN460" s="2346">
        <v>10.6</v>
      </c>
      <c r="BO460" s="2346">
        <v>11.8</v>
      </c>
      <c r="BP460" s="2346">
        <v>12.93</v>
      </c>
      <c r="BQ460" s="2346">
        <v>12.13</v>
      </c>
      <c r="BR460" s="2346">
        <v>13.4</v>
      </c>
      <c r="BS460" s="2346">
        <v>14.27</v>
      </c>
      <c r="BT460" s="2346">
        <v>15.67</v>
      </c>
      <c r="BU460" s="2346">
        <v>16.670000000000002</v>
      </c>
      <c r="BV460" s="2346">
        <v>19.73</v>
      </c>
      <c r="BW460" s="2346">
        <v>21.2</v>
      </c>
      <c r="BX460" s="2346">
        <v>22.2</v>
      </c>
      <c r="BY460" s="2346">
        <v>21.8</v>
      </c>
      <c r="BZ460" s="2346">
        <v>23.33</v>
      </c>
      <c r="CA460" s="2346">
        <v>25.4</v>
      </c>
      <c r="CB460" s="2346">
        <v>26.93</v>
      </c>
      <c r="CC460" s="2346">
        <v>28.07</v>
      </c>
      <c r="CD460" s="2346">
        <v>29.73</v>
      </c>
      <c r="CE460" s="2346">
        <v>32.67</v>
      </c>
      <c r="CF460" s="2346">
        <v>34.6</v>
      </c>
      <c r="CG460" s="2346">
        <v>37.67</v>
      </c>
      <c r="CH460" s="2346">
        <v>41.73</v>
      </c>
      <c r="CI460" s="2346">
        <v>46</v>
      </c>
      <c r="CJ460" s="2346">
        <v>51.53</v>
      </c>
      <c r="CK460" s="2346">
        <v>58.47</v>
      </c>
      <c r="CL460" s="2346">
        <v>66.13</v>
      </c>
      <c r="CM460" s="2347">
        <v>775</v>
      </c>
      <c r="CN460" s="2275"/>
      <c r="CO460" s="2276">
        <f>HLOOKUP(CO453,BL454:CL466,5,0)</f>
        <v>3.73</v>
      </c>
      <c r="CP460" s="2276">
        <f t="shared" si="351"/>
        <v>6.27</v>
      </c>
      <c r="CQ460" s="2275">
        <v>650</v>
      </c>
      <c r="CR460" s="2275"/>
      <c r="CS460" s="2275"/>
      <c r="CT460" s="2275"/>
      <c r="CU460" s="2275"/>
      <c r="CV460" s="2275"/>
      <c r="CW460" s="2275"/>
      <c r="CX460" s="2250"/>
      <c r="CY460" s="2250"/>
      <c r="CZ460" s="2250"/>
      <c r="DA460" s="2250"/>
      <c r="DB460" s="2250"/>
      <c r="DC460" s="2250"/>
      <c r="DD460" s="2250"/>
      <c r="DE460" s="2250"/>
      <c r="DF460" s="2250"/>
      <c r="DG460" s="2250"/>
      <c r="DH460" s="2250"/>
      <c r="DI460" s="2250"/>
      <c r="DJ460" s="2250"/>
      <c r="DK460" s="2250"/>
      <c r="DL460" s="2250"/>
      <c r="DM460" s="2250"/>
      <c r="DN460" s="2250"/>
      <c r="DO460" s="53"/>
      <c r="DP460" s="53"/>
      <c r="DY460" s="2275"/>
      <c r="DZ460" s="2345">
        <v>775</v>
      </c>
      <c r="EA460" s="2346">
        <v>8.5299999999999994</v>
      </c>
      <c r="EB460" s="2346">
        <v>9.6</v>
      </c>
      <c r="EC460" s="2346">
        <v>10.6</v>
      </c>
      <c r="ED460" s="2346">
        <v>11.8</v>
      </c>
      <c r="EE460" s="2346">
        <v>12.93</v>
      </c>
      <c r="EF460" s="2346">
        <v>12.13</v>
      </c>
      <c r="EG460" s="2346">
        <v>13.4</v>
      </c>
      <c r="EH460" s="2346">
        <v>14.27</v>
      </c>
      <c r="EI460" s="2346">
        <v>15.67</v>
      </c>
      <c r="EJ460" s="2346">
        <v>16.670000000000002</v>
      </c>
      <c r="EK460" s="2346">
        <v>19.73</v>
      </c>
      <c r="EL460" s="2346">
        <v>21.2</v>
      </c>
      <c r="EM460" s="2346">
        <v>22.2</v>
      </c>
      <c r="EN460" s="2346">
        <v>21.8</v>
      </c>
      <c r="EO460" s="2346">
        <v>23.33</v>
      </c>
      <c r="EP460" s="2346">
        <v>25.4</v>
      </c>
      <c r="EQ460" s="2346">
        <v>26.93</v>
      </c>
      <c r="ER460" s="2346">
        <v>28.07</v>
      </c>
      <c r="ES460" s="2346">
        <v>29.73</v>
      </c>
      <c r="ET460" s="2346">
        <v>32.67</v>
      </c>
      <c r="EU460" s="2346">
        <v>34.6</v>
      </c>
      <c r="EV460" s="2346">
        <v>37.67</v>
      </c>
      <c r="EW460" s="2346">
        <v>41.73</v>
      </c>
      <c r="EX460" s="2346">
        <v>46</v>
      </c>
      <c r="EY460" s="2346">
        <v>51.53</v>
      </c>
      <c r="EZ460" s="2346">
        <v>58.47</v>
      </c>
      <c r="FA460" s="2346">
        <v>66.13</v>
      </c>
      <c r="FB460" s="2347">
        <v>775</v>
      </c>
      <c r="FC460" s="2275"/>
      <c r="FD460" s="2276">
        <f>HLOOKUP(FD453,EA454:FA466,5,0)</f>
        <v>6.47</v>
      </c>
      <c r="FE460" s="2276">
        <f t="shared" si="352"/>
        <v>10.8</v>
      </c>
      <c r="FF460" s="2275">
        <v>650</v>
      </c>
      <c r="FG460" s="2275"/>
      <c r="FH460" s="2275"/>
      <c r="FI460" s="2275"/>
      <c r="FJ460" s="2275"/>
      <c r="FK460" s="2275"/>
      <c r="FL460" s="2275"/>
      <c r="FM460" s="2250"/>
      <c r="FN460" s="2250"/>
      <c r="FO460" s="2250"/>
      <c r="FP460" s="2250"/>
      <c r="FQ460" s="2250"/>
      <c r="FR460" s="2250"/>
      <c r="FS460" s="2250"/>
      <c r="FT460" s="2250"/>
      <c r="FU460" s="2250"/>
      <c r="FV460" s="2250"/>
      <c r="FW460" s="2250"/>
      <c r="FX460" s="2250"/>
      <c r="FY460" s="2250"/>
      <c r="FZ460" s="2250"/>
      <c r="GA460" s="2250"/>
      <c r="GB460" s="2250"/>
      <c r="GC460" s="2276"/>
      <c r="GD460" s="2276"/>
      <c r="GE460" s="2250"/>
      <c r="GF460" s="2275"/>
      <c r="GG460" s="2275"/>
      <c r="GH460" s="2345">
        <v>775</v>
      </c>
      <c r="GI460" s="2346">
        <v>8.5299999999999994</v>
      </c>
      <c r="GJ460" s="2346">
        <v>9.6</v>
      </c>
      <c r="GK460" s="2346">
        <v>10.6</v>
      </c>
      <c r="GL460" s="2346">
        <v>11.8</v>
      </c>
      <c r="GM460" s="2346">
        <v>12.93</v>
      </c>
      <c r="GN460" s="2346">
        <v>12.13</v>
      </c>
      <c r="GO460" s="2346">
        <v>13.4</v>
      </c>
      <c r="GP460" s="2346">
        <v>14.27</v>
      </c>
      <c r="GQ460" s="2346">
        <v>15.67</v>
      </c>
      <c r="GR460" s="2346">
        <v>16.670000000000002</v>
      </c>
      <c r="GS460" s="2346">
        <v>19.73</v>
      </c>
      <c r="GT460" s="2346">
        <v>21.2</v>
      </c>
      <c r="GU460" s="2346">
        <v>22.2</v>
      </c>
      <c r="GV460" s="2346">
        <v>21.8</v>
      </c>
      <c r="GW460" s="2346">
        <v>23.33</v>
      </c>
      <c r="GX460" s="2346">
        <v>25.4</v>
      </c>
      <c r="GY460" s="2346">
        <v>26.93</v>
      </c>
      <c r="GZ460" s="2346">
        <v>28.07</v>
      </c>
      <c r="HA460" s="2346">
        <v>29.73</v>
      </c>
      <c r="HB460" s="2346">
        <v>32.67</v>
      </c>
      <c r="HC460" s="2346">
        <v>34.6</v>
      </c>
      <c r="HD460" s="2346">
        <v>37.67</v>
      </c>
      <c r="HE460" s="2346">
        <v>41.73</v>
      </c>
      <c r="HF460" s="2346">
        <v>46</v>
      </c>
      <c r="HG460" s="2346">
        <v>51.53</v>
      </c>
      <c r="HH460" s="2346">
        <v>58.47</v>
      </c>
      <c r="HI460" s="2346">
        <v>66.13</v>
      </c>
      <c r="HJ460" s="2347">
        <v>775</v>
      </c>
      <c r="HK460" s="2275"/>
      <c r="HL460" s="2276">
        <f>HLOOKUP(HL453,GI454:HI466,5,0)</f>
        <v>6.13</v>
      </c>
      <c r="HM460" s="2276">
        <f t="shared" si="353"/>
        <v>9.8000000000000007</v>
      </c>
      <c r="HN460" s="2275">
        <v>650</v>
      </c>
      <c r="HO460" s="2275"/>
      <c r="HP460" s="2275"/>
      <c r="HQ460" s="2275"/>
      <c r="HR460" s="2275"/>
      <c r="HS460" s="2275"/>
      <c r="HT460" s="2275"/>
      <c r="HU460" s="2250"/>
      <c r="HV460" s="2250"/>
      <c r="HW460" s="2250"/>
      <c r="HX460" s="2250"/>
      <c r="HY460" s="2250"/>
      <c r="HZ460" s="2250"/>
      <c r="IA460" s="2250"/>
      <c r="IB460" s="2250"/>
      <c r="IC460" s="2250"/>
      <c r="ID460" s="2250"/>
      <c r="IE460" s="2250"/>
      <c r="IF460" s="2250"/>
      <c r="IG460" s="2250"/>
      <c r="IH460" s="2250"/>
      <c r="II460" s="2250"/>
      <c r="IJ460" s="2250"/>
      <c r="IK460" s="2250"/>
      <c r="IL460" s="53"/>
      <c r="IM460" s="53"/>
    </row>
    <row r="461" spans="2:247" ht="21.95" customHeight="1">
      <c r="B461" s="2275"/>
      <c r="C461" s="2345">
        <v>825</v>
      </c>
      <c r="D461" s="2346">
        <v>12.4</v>
      </c>
      <c r="E461" s="2346">
        <v>13.73</v>
      </c>
      <c r="F461" s="2346">
        <v>14.87</v>
      </c>
      <c r="G461" s="2346">
        <v>14.93</v>
      </c>
      <c r="H461" s="2346">
        <v>16.600000000000001</v>
      </c>
      <c r="I461" s="2346">
        <v>16.93</v>
      </c>
      <c r="J461" s="2346">
        <v>18.670000000000002</v>
      </c>
      <c r="K461" s="2346">
        <v>19.93</v>
      </c>
      <c r="L461" s="2346">
        <v>21.2</v>
      </c>
      <c r="M461" s="2346">
        <v>22.47</v>
      </c>
      <c r="N461" s="2346">
        <v>23.93</v>
      </c>
      <c r="O461" s="2346">
        <v>26.87</v>
      </c>
      <c r="P461" s="2346">
        <v>28.2</v>
      </c>
      <c r="Q461" s="2346">
        <v>28.53</v>
      </c>
      <c r="R461" s="2346">
        <v>29.47</v>
      </c>
      <c r="S461" s="2346">
        <v>32.270000000000003</v>
      </c>
      <c r="T461" s="2346">
        <v>32.4</v>
      </c>
      <c r="U461" s="2346">
        <v>35.869999999999997</v>
      </c>
      <c r="V461" s="2346">
        <v>37.869999999999997</v>
      </c>
      <c r="W461" s="2346">
        <v>39.869999999999997</v>
      </c>
      <c r="X461" s="2346">
        <v>43.47</v>
      </c>
      <c r="Y461" s="2346">
        <v>47.13</v>
      </c>
      <c r="Z461" s="2346">
        <v>53.07</v>
      </c>
      <c r="AA461" s="2346">
        <v>58.8</v>
      </c>
      <c r="AB461" s="2346">
        <v>65.27</v>
      </c>
      <c r="AC461" s="2346">
        <v>66.67</v>
      </c>
      <c r="AD461" s="2346">
        <v>66.67</v>
      </c>
      <c r="AE461" s="2347">
        <v>825</v>
      </c>
      <c r="AF461" s="2275"/>
      <c r="AG461" s="2276">
        <f>HLOOKUP(AG453,D454:AD466,6,0)</f>
        <v>6.93</v>
      </c>
      <c r="AH461" s="2276">
        <f t="shared" si="350"/>
        <v>10.6</v>
      </c>
      <c r="AI461" s="2275">
        <v>775</v>
      </c>
      <c r="AJ461" s="2275"/>
      <c r="AK461" s="2275"/>
      <c r="AL461" s="2275"/>
      <c r="AM461" s="2275"/>
      <c r="AN461" s="2275"/>
      <c r="AO461" s="2275"/>
      <c r="AP461" s="2250"/>
      <c r="AQ461" s="2250"/>
      <c r="AR461" s="2250"/>
      <c r="AS461" s="2250"/>
      <c r="AT461" s="2250"/>
      <c r="AU461" s="2250"/>
      <c r="AV461" s="2250"/>
      <c r="AW461" s="2250"/>
      <c r="AX461" s="2250"/>
      <c r="AY461" s="2250"/>
      <c r="AZ461" s="2250"/>
      <c r="BA461" s="2250"/>
      <c r="BB461" s="2250"/>
      <c r="BC461" s="2250"/>
      <c r="BD461" s="2250"/>
      <c r="BE461" s="2250"/>
      <c r="BF461" s="2276"/>
      <c r="BG461" s="2276"/>
      <c r="BH461" s="2250"/>
      <c r="BI461" s="2275"/>
      <c r="BJ461" s="2275"/>
      <c r="BK461" s="2345">
        <v>825</v>
      </c>
      <c r="BL461" s="2346">
        <v>12.4</v>
      </c>
      <c r="BM461" s="2346">
        <v>13.73</v>
      </c>
      <c r="BN461" s="2346">
        <v>14.87</v>
      </c>
      <c r="BO461" s="2346">
        <v>14.93</v>
      </c>
      <c r="BP461" s="2346">
        <v>16.600000000000001</v>
      </c>
      <c r="BQ461" s="2346">
        <v>16.93</v>
      </c>
      <c r="BR461" s="2346">
        <v>18.670000000000002</v>
      </c>
      <c r="BS461" s="2346">
        <v>19.93</v>
      </c>
      <c r="BT461" s="2346">
        <v>21.2</v>
      </c>
      <c r="BU461" s="2346">
        <v>22.47</v>
      </c>
      <c r="BV461" s="2346">
        <v>23.93</v>
      </c>
      <c r="BW461" s="2346">
        <v>26.87</v>
      </c>
      <c r="BX461" s="2346">
        <v>28.2</v>
      </c>
      <c r="BY461" s="2346">
        <v>28.53</v>
      </c>
      <c r="BZ461" s="2346">
        <v>29.47</v>
      </c>
      <c r="CA461" s="2346">
        <v>32.270000000000003</v>
      </c>
      <c r="CB461" s="2346">
        <v>32.4</v>
      </c>
      <c r="CC461" s="2346">
        <v>35.869999999999997</v>
      </c>
      <c r="CD461" s="2346">
        <v>37.869999999999997</v>
      </c>
      <c r="CE461" s="2346">
        <v>39.869999999999997</v>
      </c>
      <c r="CF461" s="2346">
        <v>43.47</v>
      </c>
      <c r="CG461" s="2346">
        <v>47.13</v>
      </c>
      <c r="CH461" s="2346">
        <v>53.07</v>
      </c>
      <c r="CI461" s="2346">
        <v>58.8</v>
      </c>
      <c r="CJ461" s="2346">
        <v>65.27</v>
      </c>
      <c r="CK461" s="2346">
        <v>66.67</v>
      </c>
      <c r="CL461" s="2346">
        <v>66.67</v>
      </c>
      <c r="CM461" s="2347">
        <v>825</v>
      </c>
      <c r="CN461" s="2275"/>
      <c r="CO461" s="2276">
        <f>HLOOKUP(CO453,BL454:CL466,6,0)</f>
        <v>6.27</v>
      </c>
      <c r="CP461" s="2276">
        <f t="shared" si="351"/>
        <v>9.6</v>
      </c>
      <c r="CQ461" s="2275">
        <v>775</v>
      </c>
      <c r="CR461" s="2275"/>
      <c r="CS461" s="2275"/>
      <c r="CT461" s="2275"/>
      <c r="CU461" s="2275"/>
      <c r="CV461" s="2275"/>
      <c r="CW461" s="2275"/>
      <c r="CX461" s="2250"/>
      <c r="CY461" s="2250"/>
      <c r="CZ461" s="2250"/>
      <c r="DA461" s="2250"/>
      <c r="DB461" s="2250"/>
      <c r="DC461" s="2250"/>
      <c r="DD461" s="2250"/>
      <c r="DE461" s="2250"/>
      <c r="DF461" s="2250"/>
      <c r="DG461" s="2250"/>
      <c r="DH461" s="2250"/>
      <c r="DI461" s="2250"/>
      <c r="DJ461" s="2250"/>
      <c r="DK461" s="2250"/>
      <c r="DL461" s="2250"/>
      <c r="DM461" s="2250"/>
      <c r="DN461" s="2250"/>
      <c r="DO461" s="53"/>
      <c r="DP461" s="53"/>
      <c r="DY461" s="2275"/>
      <c r="DZ461" s="2345">
        <v>825</v>
      </c>
      <c r="EA461" s="2346">
        <v>12.4</v>
      </c>
      <c r="EB461" s="2346">
        <v>13.73</v>
      </c>
      <c r="EC461" s="2346">
        <v>14.87</v>
      </c>
      <c r="ED461" s="2346">
        <v>14.93</v>
      </c>
      <c r="EE461" s="2346">
        <v>16.600000000000001</v>
      </c>
      <c r="EF461" s="2346">
        <v>16.93</v>
      </c>
      <c r="EG461" s="2346">
        <v>18.670000000000002</v>
      </c>
      <c r="EH461" s="2346">
        <v>19.93</v>
      </c>
      <c r="EI461" s="2346">
        <v>21.2</v>
      </c>
      <c r="EJ461" s="2346">
        <v>22.47</v>
      </c>
      <c r="EK461" s="2346">
        <v>23.93</v>
      </c>
      <c r="EL461" s="2346">
        <v>26.87</v>
      </c>
      <c r="EM461" s="2346">
        <v>28.2</v>
      </c>
      <c r="EN461" s="2346">
        <v>28.53</v>
      </c>
      <c r="EO461" s="2346">
        <v>29.47</v>
      </c>
      <c r="EP461" s="2346">
        <v>32.270000000000003</v>
      </c>
      <c r="EQ461" s="2346">
        <v>32.4</v>
      </c>
      <c r="ER461" s="2346">
        <v>35.869999999999997</v>
      </c>
      <c r="ES461" s="2346">
        <v>37.869999999999997</v>
      </c>
      <c r="ET461" s="2346">
        <v>39.869999999999997</v>
      </c>
      <c r="EU461" s="2346">
        <v>43.47</v>
      </c>
      <c r="EV461" s="2346">
        <v>47.13</v>
      </c>
      <c r="EW461" s="2346">
        <v>53.07</v>
      </c>
      <c r="EX461" s="2346">
        <v>58.8</v>
      </c>
      <c r="EY461" s="2346">
        <v>65.27</v>
      </c>
      <c r="EZ461" s="2346">
        <v>66.67</v>
      </c>
      <c r="FA461" s="2346">
        <v>66.67</v>
      </c>
      <c r="FB461" s="2347">
        <v>825</v>
      </c>
      <c r="FC461" s="2275"/>
      <c r="FD461" s="2276">
        <f>HLOOKUP(FD453,EA454:FA466,6,0)</f>
        <v>10.8</v>
      </c>
      <c r="FE461" s="2276">
        <f t="shared" si="352"/>
        <v>16.670000000000002</v>
      </c>
      <c r="FF461" s="2275">
        <v>775</v>
      </c>
      <c r="FG461" s="2275"/>
      <c r="FH461" s="2275"/>
      <c r="FI461" s="2275"/>
      <c r="FJ461" s="2275"/>
      <c r="FK461" s="2275"/>
      <c r="FL461" s="2275"/>
      <c r="FM461" s="2250"/>
      <c r="FN461" s="2250"/>
      <c r="FO461" s="2250"/>
      <c r="FP461" s="2250"/>
      <c r="FQ461" s="2250"/>
      <c r="FR461" s="2250"/>
      <c r="FS461" s="2250"/>
      <c r="FT461" s="2250"/>
      <c r="FU461" s="2250"/>
      <c r="FV461" s="2250"/>
      <c r="FW461" s="2250"/>
      <c r="FX461" s="2250"/>
      <c r="FY461" s="2250"/>
      <c r="FZ461" s="2250"/>
      <c r="GA461" s="2250"/>
      <c r="GB461" s="2250"/>
      <c r="GC461" s="2276"/>
      <c r="GD461" s="2276"/>
      <c r="GE461" s="2250"/>
      <c r="GF461" s="2275"/>
      <c r="GG461" s="2275"/>
      <c r="GH461" s="2345">
        <v>825</v>
      </c>
      <c r="GI461" s="2346">
        <v>12.4</v>
      </c>
      <c r="GJ461" s="2346">
        <v>13.73</v>
      </c>
      <c r="GK461" s="2346">
        <v>14.87</v>
      </c>
      <c r="GL461" s="2346">
        <v>14.93</v>
      </c>
      <c r="GM461" s="2346">
        <v>16.600000000000001</v>
      </c>
      <c r="GN461" s="2346">
        <v>16.93</v>
      </c>
      <c r="GO461" s="2346">
        <v>18.670000000000002</v>
      </c>
      <c r="GP461" s="2346">
        <v>19.93</v>
      </c>
      <c r="GQ461" s="2346">
        <v>21.2</v>
      </c>
      <c r="GR461" s="2346">
        <v>22.47</v>
      </c>
      <c r="GS461" s="2346">
        <v>23.93</v>
      </c>
      <c r="GT461" s="2346">
        <v>26.87</v>
      </c>
      <c r="GU461" s="2346">
        <v>28.2</v>
      </c>
      <c r="GV461" s="2346">
        <v>28.53</v>
      </c>
      <c r="GW461" s="2346">
        <v>29.47</v>
      </c>
      <c r="GX461" s="2346">
        <v>32.270000000000003</v>
      </c>
      <c r="GY461" s="2346">
        <v>32.4</v>
      </c>
      <c r="GZ461" s="2346">
        <v>35.869999999999997</v>
      </c>
      <c r="HA461" s="2346">
        <v>37.869999999999997</v>
      </c>
      <c r="HB461" s="2346">
        <v>39.869999999999997</v>
      </c>
      <c r="HC461" s="2346">
        <v>43.47</v>
      </c>
      <c r="HD461" s="2346">
        <v>47.13</v>
      </c>
      <c r="HE461" s="2346">
        <v>53.07</v>
      </c>
      <c r="HF461" s="2346">
        <v>58.8</v>
      </c>
      <c r="HG461" s="2346">
        <v>65.27</v>
      </c>
      <c r="HH461" s="2346">
        <v>66.67</v>
      </c>
      <c r="HI461" s="2346">
        <v>66.67</v>
      </c>
      <c r="HJ461" s="2347">
        <v>825</v>
      </c>
      <c r="HK461" s="2275"/>
      <c r="HL461" s="2276">
        <f>HLOOKUP(HL453,GI454:HI466,6,0)</f>
        <v>9.8000000000000007</v>
      </c>
      <c r="HM461" s="2276">
        <f t="shared" si="353"/>
        <v>15.67</v>
      </c>
      <c r="HN461" s="2275">
        <v>775</v>
      </c>
      <c r="HO461" s="2275"/>
      <c r="HP461" s="2275"/>
      <c r="HQ461" s="2275"/>
      <c r="HR461" s="2275"/>
      <c r="HS461" s="2275"/>
      <c r="HT461" s="2275"/>
      <c r="HU461" s="2250"/>
      <c r="HV461" s="2250"/>
      <c r="HW461" s="2250"/>
      <c r="HX461" s="2250"/>
      <c r="HY461" s="2250"/>
      <c r="HZ461" s="2250"/>
      <c r="IA461" s="2250"/>
      <c r="IB461" s="2250"/>
      <c r="IC461" s="2250"/>
      <c r="ID461" s="2250"/>
      <c r="IE461" s="2250"/>
      <c r="IF461" s="2250"/>
      <c r="IG461" s="2250"/>
      <c r="IH461" s="2250"/>
      <c r="II461" s="2250"/>
      <c r="IJ461" s="2250"/>
      <c r="IK461" s="2250"/>
      <c r="IL461" s="53"/>
      <c r="IM461" s="53"/>
    </row>
    <row r="462" spans="2:247" ht="21.95" customHeight="1">
      <c r="B462" s="2275"/>
      <c r="C462" s="2345">
        <v>950</v>
      </c>
      <c r="D462" s="2346">
        <v>17.2</v>
      </c>
      <c r="E462" s="2346">
        <v>19.399999999999999</v>
      </c>
      <c r="F462" s="2346">
        <v>21.47</v>
      </c>
      <c r="G462" s="2346">
        <v>22.93</v>
      </c>
      <c r="H462" s="2346">
        <v>22.93</v>
      </c>
      <c r="I462" s="2346">
        <v>24.53</v>
      </c>
      <c r="J462" s="2346">
        <v>27.13</v>
      </c>
      <c r="K462" s="2346">
        <v>28.87</v>
      </c>
      <c r="L462" s="2346">
        <v>30.8</v>
      </c>
      <c r="M462" s="2346">
        <v>33.67</v>
      </c>
      <c r="N462" s="2346">
        <v>34.47</v>
      </c>
      <c r="O462" s="2346">
        <v>40.270000000000003</v>
      </c>
      <c r="P462" s="2346">
        <v>40.799999999999997</v>
      </c>
      <c r="Q462" s="2346">
        <v>41</v>
      </c>
      <c r="R462" s="2346">
        <v>42.93</v>
      </c>
      <c r="S462" s="2346">
        <v>47.2</v>
      </c>
      <c r="T462" s="2346">
        <v>50.47</v>
      </c>
      <c r="U462" s="2346">
        <v>52.93</v>
      </c>
      <c r="V462" s="2346">
        <v>55.07</v>
      </c>
      <c r="W462" s="2346">
        <v>60.53</v>
      </c>
      <c r="X462" s="2346">
        <v>64.87</v>
      </c>
      <c r="Y462" s="2346">
        <v>70.33</v>
      </c>
      <c r="Z462" s="2346">
        <v>76.47</v>
      </c>
      <c r="AA462" s="2346">
        <v>84.07</v>
      </c>
      <c r="AB462" s="2346">
        <v>93.47</v>
      </c>
      <c r="AC462" s="2346">
        <v>99.47</v>
      </c>
      <c r="AD462" s="2346">
        <v>99.47</v>
      </c>
      <c r="AE462" s="2347">
        <v>950</v>
      </c>
      <c r="AF462" s="2275"/>
      <c r="AG462" s="2276">
        <f>HLOOKUP(AG453,D454:AD466,7,0)</f>
        <v>10.6</v>
      </c>
      <c r="AH462" s="2276">
        <f t="shared" si="350"/>
        <v>14.87</v>
      </c>
      <c r="AI462" s="2275">
        <v>825</v>
      </c>
      <c r="AJ462" s="2275"/>
      <c r="AK462" s="2275"/>
      <c r="AL462" s="2275"/>
      <c r="AM462" s="2275"/>
      <c r="AN462" s="2275"/>
      <c r="AO462" s="2275"/>
      <c r="AP462" s="2250"/>
      <c r="AQ462" s="2250"/>
      <c r="AR462" s="2250"/>
      <c r="AS462" s="2250"/>
      <c r="AT462" s="2250"/>
      <c r="AU462" s="2250"/>
      <c r="AV462" s="2250"/>
      <c r="AW462" s="2250"/>
      <c r="AX462" s="2250"/>
      <c r="AY462" s="2250"/>
      <c r="AZ462" s="2250"/>
      <c r="BA462" s="2250"/>
      <c r="BB462" s="2250"/>
      <c r="BC462" s="2250"/>
      <c r="BD462" s="2250"/>
      <c r="BE462" s="2250"/>
      <c r="BF462" s="2276"/>
      <c r="BG462" s="2276"/>
      <c r="BH462" s="2250"/>
      <c r="BI462" s="2275"/>
      <c r="BJ462" s="2275"/>
      <c r="BK462" s="2345">
        <v>950</v>
      </c>
      <c r="BL462" s="2346">
        <v>17.2</v>
      </c>
      <c r="BM462" s="2346">
        <v>19.399999999999999</v>
      </c>
      <c r="BN462" s="2346">
        <v>21.47</v>
      </c>
      <c r="BO462" s="2346">
        <v>22.93</v>
      </c>
      <c r="BP462" s="2346">
        <v>22.93</v>
      </c>
      <c r="BQ462" s="2346">
        <v>24.53</v>
      </c>
      <c r="BR462" s="2346">
        <v>27.13</v>
      </c>
      <c r="BS462" s="2346">
        <v>28.87</v>
      </c>
      <c r="BT462" s="2346">
        <v>30.8</v>
      </c>
      <c r="BU462" s="2346">
        <v>33.67</v>
      </c>
      <c r="BV462" s="2346">
        <v>34.47</v>
      </c>
      <c r="BW462" s="2346">
        <v>40.270000000000003</v>
      </c>
      <c r="BX462" s="2346">
        <v>40.799999999999997</v>
      </c>
      <c r="BY462" s="2346">
        <v>41</v>
      </c>
      <c r="BZ462" s="2346">
        <v>42.93</v>
      </c>
      <c r="CA462" s="2346">
        <v>47.2</v>
      </c>
      <c r="CB462" s="2346">
        <v>50.47</v>
      </c>
      <c r="CC462" s="2346">
        <v>52.93</v>
      </c>
      <c r="CD462" s="2346">
        <v>55.07</v>
      </c>
      <c r="CE462" s="2346">
        <v>60.53</v>
      </c>
      <c r="CF462" s="2346">
        <v>64.87</v>
      </c>
      <c r="CG462" s="2346">
        <v>70.33</v>
      </c>
      <c r="CH462" s="2346">
        <v>76.47</v>
      </c>
      <c r="CI462" s="2346">
        <v>84.07</v>
      </c>
      <c r="CJ462" s="2346">
        <v>93.47</v>
      </c>
      <c r="CK462" s="2346">
        <v>99.47</v>
      </c>
      <c r="CL462" s="2346">
        <v>99.47</v>
      </c>
      <c r="CM462" s="2347">
        <v>950</v>
      </c>
      <c r="CN462" s="2275"/>
      <c r="CO462" s="2276">
        <f>HLOOKUP(CO453,BL454:CL466,7,0)</f>
        <v>9.6</v>
      </c>
      <c r="CP462" s="2276">
        <f t="shared" si="351"/>
        <v>13.73</v>
      </c>
      <c r="CQ462" s="2275">
        <v>825</v>
      </c>
      <c r="CR462" s="2275"/>
      <c r="CS462" s="2275"/>
      <c r="CT462" s="2275"/>
      <c r="CU462" s="2275"/>
      <c r="CV462" s="2275"/>
      <c r="CW462" s="2275"/>
      <c r="CX462" s="2250"/>
      <c r="CY462" s="2250"/>
      <c r="CZ462" s="2250"/>
      <c r="DA462" s="2250"/>
      <c r="DB462" s="2250"/>
      <c r="DC462" s="2250"/>
      <c r="DD462" s="2250"/>
      <c r="DE462" s="2250"/>
      <c r="DF462" s="2250"/>
      <c r="DG462" s="2250"/>
      <c r="DH462" s="2250"/>
      <c r="DI462" s="2250"/>
      <c r="DJ462" s="2250"/>
      <c r="DK462" s="2250"/>
      <c r="DL462" s="2250"/>
      <c r="DM462" s="2250"/>
      <c r="DN462" s="2250"/>
      <c r="DO462" s="53"/>
      <c r="DP462" s="53"/>
      <c r="DY462" s="2275"/>
      <c r="DZ462" s="2345">
        <v>950</v>
      </c>
      <c r="EA462" s="2346">
        <v>17.2</v>
      </c>
      <c r="EB462" s="2346">
        <v>19.399999999999999</v>
      </c>
      <c r="EC462" s="2346">
        <v>21.47</v>
      </c>
      <c r="ED462" s="2346">
        <v>22.93</v>
      </c>
      <c r="EE462" s="2346">
        <v>22.93</v>
      </c>
      <c r="EF462" s="2346">
        <v>24.53</v>
      </c>
      <c r="EG462" s="2346">
        <v>27.13</v>
      </c>
      <c r="EH462" s="2346">
        <v>28.87</v>
      </c>
      <c r="EI462" s="2346">
        <v>30.8</v>
      </c>
      <c r="EJ462" s="2346">
        <v>33.67</v>
      </c>
      <c r="EK462" s="2346">
        <v>34.47</v>
      </c>
      <c r="EL462" s="2346">
        <v>40.270000000000003</v>
      </c>
      <c r="EM462" s="2346">
        <v>40.799999999999997</v>
      </c>
      <c r="EN462" s="2346">
        <v>41</v>
      </c>
      <c r="EO462" s="2346">
        <v>42.93</v>
      </c>
      <c r="EP462" s="2346">
        <v>47.2</v>
      </c>
      <c r="EQ462" s="2346">
        <v>50.47</v>
      </c>
      <c r="ER462" s="2346">
        <v>52.93</v>
      </c>
      <c r="ES462" s="2346">
        <v>55.07</v>
      </c>
      <c r="ET462" s="2346">
        <v>60.53</v>
      </c>
      <c r="EU462" s="2346">
        <v>64.87</v>
      </c>
      <c r="EV462" s="2346">
        <v>70.33</v>
      </c>
      <c r="EW462" s="2346">
        <v>76.47</v>
      </c>
      <c r="EX462" s="2346">
        <v>84.07</v>
      </c>
      <c r="EY462" s="2346">
        <v>93.47</v>
      </c>
      <c r="EZ462" s="2346">
        <v>99.47</v>
      </c>
      <c r="FA462" s="2346">
        <v>99.47</v>
      </c>
      <c r="FB462" s="2347">
        <v>950</v>
      </c>
      <c r="FC462" s="2275"/>
      <c r="FD462" s="2276">
        <f>HLOOKUP(FD453,EA454:FA466,7,0)</f>
        <v>16.670000000000002</v>
      </c>
      <c r="FE462" s="2276">
        <f t="shared" si="352"/>
        <v>22.47</v>
      </c>
      <c r="FF462" s="2275">
        <v>825</v>
      </c>
      <c r="FG462" s="2275"/>
      <c r="FH462" s="2275"/>
      <c r="FI462" s="2275"/>
      <c r="FJ462" s="2275"/>
      <c r="FK462" s="2275"/>
      <c r="FL462" s="2275"/>
      <c r="FM462" s="2250"/>
      <c r="FN462" s="2250"/>
      <c r="FO462" s="2250"/>
      <c r="FP462" s="2250"/>
      <c r="FQ462" s="2250"/>
      <c r="FR462" s="2250"/>
      <c r="FS462" s="2250"/>
      <c r="FT462" s="2250"/>
      <c r="FU462" s="2250"/>
      <c r="FV462" s="2250"/>
      <c r="FW462" s="2250"/>
      <c r="FX462" s="2250"/>
      <c r="FY462" s="2250"/>
      <c r="FZ462" s="2250"/>
      <c r="GA462" s="2250"/>
      <c r="GB462" s="2250"/>
      <c r="GC462" s="2276"/>
      <c r="GD462" s="2276"/>
      <c r="GE462" s="2250"/>
      <c r="GF462" s="2275"/>
      <c r="GG462" s="2275"/>
      <c r="GH462" s="2345">
        <v>950</v>
      </c>
      <c r="GI462" s="2346">
        <v>17.2</v>
      </c>
      <c r="GJ462" s="2346">
        <v>19.399999999999999</v>
      </c>
      <c r="GK462" s="2346">
        <v>21.47</v>
      </c>
      <c r="GL462" s="2346">
        <v>22.93</v>
      </c>
      <c r="GM462" s="2346">
        <v>22.93</v>
      </c>
      <c r="GN462" s="2346">
        <v>24.53</v>
      </c>
      <c r="GO462" s="2346">
        <v>27.13</v>
      </c>
      <c r="GP462" s="2346">
        <v>28.87</v>
      </c>
      <c r="GQ462" s="2346">
        <v>30.8</v>
      </c>
      <c r="GR462" s="2346">
        <v>33.67</v>
      </c>
      <c r="GS462" s="2346">
        <v>34.47</v>
      </c>
      <c r="GT462" s="2346">
        <v>40.270000000000003</v>
      </c>
      <c r="GU462" s="2346">
        <v>40.799999999999997</v>
      </c>
      <c r="GV462" s="2346">
        <v>41</v>
      </c>
      <c r="GW462" s="2346">
        <v>42.93</v>
      </c>
      <c r="GX462" s="2346">
        <v>47.2</v>
      </c>
      <c r="GY462" s="2346">
        <v>50.47</v>
      </c>
      <c r="GZ462" s="2346">
        <v>52.93</v>
      </c>
      <c r="HA462" s="2346">
        <v>55.07</v>
      </c>
      <c r="HB462" s="2346">
        <v>60.53</v>
      </c>
      <c r="HC462" s="2346">
        <v>64.87</v>
      </c>
      <c r="HD462" s="2346">
        <v>70.33</v>
      </c>
      <c r="HE462" s="2346">
        <v>76.47</v>
      </c>
      <c r="HF462" s="2346">
        <v>84.07</v>
      </c>
      <c r="HG462" s="2346">
        <v>93.47</v>
      </c>
      <c r="HH462" s="2346">
        <v>99.47</v>
      </c>
      <c r="HI462" s="2346">
        <v>99.47</v>
      </c>
      <c r="HJ462" s="2347">
        <v>950</v>
      </c>
      <c r="HK462" s="2275"/>
      <c r="HL462" s="2276">
        <f>HLOOKUP(HL453,GI454:HI466,7,0)</f>
        <v>15.67</v>
      </c>
      <c r="HM462" s="2276">
        <f t="shared" si="353"/>
        <v>21.2</v>
      </c>
      <c r="HN462" s="2275">
        <v>825</v>
      </c>
      <c r="HO462" s="2275"/>
      <c r="HP462" s="2275"/>
      <c r="HQ462" s="2275"/>
      <c r="HR462" s="2275"/>
      <c r="HS462" s="2275"/>
      <c r="HT462" s="2275"/>
      <c r="HU462" s="2250"/>
      <c r="HV462" s="2250"/>
      <c r="HW462" s="2250"/>
      <c r="HX462" s="2250"/>
      <c r="HY462" s="2250"/>
      <c r="HZ462" s="2250"/>
      <c r="IA462" s="2250"/>
      <c r="IB462" s="2250"/>
      <c r="IC462" s="2250"/>
      <c r="ID462" s="2250"/>
      <c r="IE462" s="2250"/>
      <c r="IF462" s="2250"/>
      <c r="IG462" s="2250"/>
      <c r="IH462" s="2250"/>
      <c r="II462" s="2250"/>
      <c r="IJ462" s="2250"/>
      <c r="IK462" s="2250"/>
      <c r="IL462" s="53"/>
      <c r="IM462" s="53"/>
    </row>
    <row r="463" spans="2:247" ht="21.95" customHeight="1">
      <c r="B463" s="2275"/>
      <c r="C463" s="2345">
        <v>1100</v>
      </c>
      <c r="D463" s="2346">
        <v>23.13</v>
      </c>
      <c r="E463" s="2346">
        <v>26.07</v>
      </c>
      <c r="F463" s="2346">
        <v>28.87</v>
      </c>
      <c r="G463" s="2346">
        <v>32</v>
      </c>
      <c r="H463" s="2346">
        <v>34.93</v>
      </c>
      <c r="I463" s="2346">
        <v>32.93</v>
      </c>
      <c r="J463" s="2346">
        <v>36.47</v>
      </c>
      <c r="K463" s="2346">
        <v>39.93</v>
      </c>
      <c r="L463" s="2346">
        <v>42.53</v>
      </c>
      <c r="M463" s="2346">
        <v>45.2</v>
      </c>
      <c r="N463" s="2346">
        <v>53.47</v>
      </c>
      <c r="O463" s="2346">
        <v>57.07</v>
      </c>
      <c r="P463" s="2346">
        <v>60.33</v>
      </c>
      <c r="Q463" s="2346">
        <v>59.2</v>
      </c>
      <c r="R463" s="2346">
        <v>63.4</v>
      </c>
      <c r="S463" s="2346">
        <v>67.2</v>
      </c>
      <c r="T463" s="2346">
        <v>73.069999999999993</v>
      </c>
      <c r="U463" s="2346">
        <v>76.27</v>
      </c>
      <c r="V463" s="2346">
        <v>80.67</v>
      </c>
      <c r="W463" s="2346">
        <v>89.27</v>
      </c>
      <c r="X463" s="2346">
        <v>93.87</v>
      </c>
      <c r="Y463" s="2346">
        <v>102.27</v>
      </c>
      <c r="Z463" s="2346">
        <v>111.87</v>
      </c>
      <c r="AA463" s="2346">
        <v>124.93</v>
      </c>
      <c r="AB463" s="2346">
        <v>137.33000000000001</v>
      </c>
      <c r="AC463" s="2346">
        <v>158.72999999999999</v>
      </c>
      <c r="AD463" s="2346">
        <v>179.47</v>
      </c>
      <c r="AE463" s="2347">
        <v>1100</v>
      </c>
      <c r="AF463" s="2275"/>
      <c r="AG463" s="2276">
        <f>HLOOKUP(AG453,D454:AD466,8,0)</f>
        <v>14.87</v>
      </c>
      <c r="AH463" s="2276">
        <f t="shared" si="350"/>
        <v>21.47</v>
      </c>
      <c r="AI463" s="2275">
        <v>950</v>
      </c>
      <c r="AJ463" s="2275"/>
      <c r="AK463" s="2275"/>
      <c r="AL463" s="2275"/>
      <c r="AM463" s="2275"/>
      <c r="AN463" s="2275"/>
      <c r="AO463" s="2275"/>
      <c r="AP463" s="2250"/>
      <c r="AQ463" s="2250"/>
      <c r="AR463" s="2250"/>
      <c r="AS463" s="2250"/>
      <c r="AT463" s="2250"/>
      <c r="AU463" s="2250"/>
      <c r="AV463" s="2250"/>
      <c r="AW463" s="2250"/>
      <c r="AX463" s="2250"/>
      <c r="AY463" s="2250"/>
      <c r="AZ463" s="2250"/>
      <c r="BA463" s="2250"/>
      <c r="BB463" s="2250"/>
      <c r="BC463" s="2250"/>
      <c r="BD463" s="2250"/>
      <c r="BE463" s="2250"/>
      <c r="BF463" s="2276"/>
      <c r="BG463" s="2276"/>
      <c r="BH463" s="2250"/>
      <c r="BI463" s="2275"/>
      <c r="BJ463" s="2275"/>
      <c r="BK463" s="2345">
        <v>1100</v>
      </c>
      <c r="BL463" s="2346">
        <v>23.13</v>
      </c>
      <c r="BM463" s="2346">
        <v>26.07</v>
      </c>
      <c r="BN463" s="2346">
        <v>28.87</v>
      </c>
      <c r="BO463" s="2346">
        <v>32</v>
      </c>
      <c r="BP463" s="2346">
        <v>34.93</v>
      </c>
      <c r="BQ463" s="2346">
        <v>32.93</v>
      </c>
      <c r="BR463" s="2346">
        <v>36.47</v>
      </c>
      <c r="BS463" s="2346">
        <v>39.93</v>
      </c>
      <c r="BT463" s="2346">
        <v>42.53</v>
      </c>
      <c r="BU463" s="2346">
        <v>45.2</v>
      </c>
      <c r="BV463" s="2346">
        <v>53.47</v>
      </c>
      <c r="BW463" s="2346">
        <v>57.07</v>
      </c>
      <c r="BX463" s="2346">
        <v>60.33</v>
      </c>
      <c r="BY463" s="2346">
        <v>59.2</v>
      </c>
      <c r="BZ463" s="2346">
        <v>63.4</v>
      </c>
      <c r="CA463" s="2346">
        <v>67.2</v>
      </c>
      <c r="CB463" s="2346">
        <v>73.069999999999993</v>
      </c>
      <c r="CC463" s="2346">
        <v>76.27</v>
      </c>
      <c r="CD463" s="2346">
        <v>80.67</v>
      </c>
      <c r="CE463" s="2346">
        <v>89.27</v>
      </c>
      <c r="CF463" s="2346">
        <v>93.87</v>
      </c>
      <c r="CG463" s="2346">
        <v>102.27</v>
      </c>
      <c r="CH463" s="2346">
        <v>111.87</v>
      </c>
      <c r="CI463" s="2346">
        <v>124.93</v>
      </c>
      <c r="CJ463" s="2346">
        <v>137.33000000000001</v>
      </c>
      <c r="CK463" s="2346">
        <v>158.72999999999999</v>
      </c>
      <c r="CL463" s="2346">
        <v>179.47</v>
      </c>
      <c r="CM463" s="2347">
        <v>1100</v>
      </c>
      <c r="CN463" s="2275"/>
      <c r="CO463" s="2276">
        <f>HLOOKUP(CO453,BL454:CL466,8,0)</f>
        <v>13.73</v>
      </c>
      <c r="CP463" s="2276">
        <f t="shared" si="351"/>
        <v>19.399999999999999</v>
      </c>
      <c r="CQ463" s="2275">
        <v>950</v>
      </c>
      <c r="CR463" s="2275"/>
      <c r="CS463" s="2275"/>
      <c r="CT463" s="2275"/>
      <c r="CU463" s="2275"/>
      <c r="CV463" s="2275"/>
      <c r="CW463" s="2275"/>
      <c r="CX463" s="2250"/>
      <c r="CY463" s="2250"/>
      <c r="CZ463" s="2250"/>
      <c r="DA463" s="2250"/>
      <c r="DB463" s="2250"/>
      <c r="DC463" s="2250"/>
      <c r="DD463" s="2250"/>
      <c r="DE463" s="2250"/>
      <c r="DF463" s="2250"/>
      <c r="DG463" s="2250"/>
      <c r="DH463" s="2250"/>
      <c r="DI463" s="2250"/>
      <c r="DJ463" s="2250"/>
      <c r="DK463" s="2250"/>
      <c r="DL463" s="2250"/>
      <c r="DM463" s="2250"/>
      <c r="DN463" s="2250"/>
      <c r="DO463" s="53"/>
      <c r="DP463" s="53"/>
      <c r="DY463" s="2275"/>
      <c r="DZ463" s="2345">
        <v>1100</v>
      </c>
      <c r="EA463" s="2346">
        <v>23.13</v>
      </c>
      <c r="EB463" s="2346">
        <v>26.07</v>
      </c>
      <c r="EC463" s="2346">
        <v>28.87</v>
      </c>
      <c r="ED463" s="2346">
        <v>32</v>
      </c>
      <c r="EE463" s="2346">
        <v>34.93</v>
      </c>
      <c r="EF463" s="2346">
        <v>32.93</v>
      </c>
      <c r="EG463" s="2346">
        <v>36.47</v>
      </c>
      <c r="EH463" s="2346">
        <v>39.93</v>
      </c>
      <c r="EI463" s="2346">
        <v>42.53</v>
      </c>
      <c r="EJ463" s="2346">
        <v>45.2</v>
      </c>
      <c r="EK463" s="2346">
        <v>53.47</v>
      </c>
      <c r="EL463" s="2346">
        <v>57.07</v>
      </c>
      <c r="EM463" s="2346">
        <v>60.33</v>
      </c>
      <c r="EN463" s="2346">
        <v>59.2</v>
      </c>
      <c r="EO463" s="2346">
        <v>63.4</v>
      </c>
      <c r="EP463" s="2346">
        <v>67.2</v>
      </c>
      <c r="EQ463" s="2346">
        <v>73.069999999999993</v>
      </c>
      <c r="ER463" s="2346">
        <v>76.27</v>
      </c>
      <c r="ES463" s="2346">
        <v>80.67</v>
      </c>
      <c r="ET463" s="2346">
        <v>89.27</v>
      </c>
      <c r="EU463" s="2346">
        <v>93.87</v>
      </c>
      <c r="EV463" s="2346">
        <v>102.27</v>
      </c>
      <c r="EW463" s="2346">
        <v>111.87</v>
      </c>
      <c r="EX463" s="2346">
        <v>124.93</v>
      </c>
      <c r="EY463" s="2346">
        <v>137.33000000000001</v>
      </c>
      <c r="EZ463" s="2346">
        <v>158.72999999999999</v>
      </c>
      <c r="FA463" s="2346">
        <v>179.47</v>
      </c>
      <c r="FB463" s="2347">
        <v>1100</v>
      </c>
      <c r="FC463" s="2275"/>
      <c r="FD463" s="2276">
        <f>HLOOKUP(FD453,EA454:FA466,8,0)</f>
        <v>22.47</v>
      </c>
      <c r="FE463" s="2276">
        <f t="shared" si="352"/>
        <v>33.67</v>
      </c>
      <c r="FF463" s="2275">
        <v>950</v>
      </c>
      <c r="FG463" s="2275"/>
      <c r="FH463" s="2275"/>
      <c r="FI463" s="2275"/>
      <c r="FJ463" s="2275"/>
      <c r="FK463" s="2275"/>
      <c r="FL463" s="2275"/>
      <c r="FM463" s="2250"/>
      <c r="FN463" s="2250"/>
      <c r="FO463" s="2250"/>
      <c r="FP463" s="2250"/>
      <c r="FQ463" s="2250"/>
      <c r="FR463" s="2250"/>
      <c r="FS463" s="2250"/>
      <c r="FT463" s="2250"/>
      <c r="FU463" s="2250"/>
      <c r="FV463" s="2250"/>
      <c r="FW463" s="2250"/>
      <c r="FX463" s="2250"/>
      <c r="FY463" s="2250"/>
      <c r="FZ463" s="2250"/>
      <c r="GA463" s="2250"/>
      <c r="GB463" s="2250"/>
      <c r="GC463" s="2276"/>
      <c r="GD463" s="2276"/>
      <c r="GE463" s="2250"/>
      <c r="GF463" s="2275"/>
      <c r="GG463" s="2275"/>
      <c r="GH463" s="2345">
        <v>1100</v>
      </c>
      <c r="GI463" s="2346">
        <v>23.13</v>
      </c>
      <c r="GJ463" s="2346">
        <v>26.07</v>
      </c>
      <c r="GK463" s="2346">
        <v>28.87</v>
      </c>
      <c r="GL463" s="2346">
        <v>32</v>
      </c>
      <c r="GM463" s="2346">
        <v>34.93</v>
      </c>
      <c r="GN463" s="2346">
        <v>32.93</v>
      </c>
      <c r="GO463" s="2346">
        <v>36.47</v>
      </c>
      <c r="GP463" s="2346">
        <v>39.93</v>
      </c>
      <c r="GQ463" s="2346">
        <v>42.53</v>
      </c>
      <c r="GR463" s="2346">
        <v>45.2</v>
      </c>
      <c r="GS463" s="2346">
        <v>53.47</v>
      </c>
      <c r="GT463" s="2346">
        <v>57.07</v>
      </c>
      <c r="GU463" s="2346">
        <v>60.33</v>
      </c>
      <c r="GV463" s="2346">
        <v>59.2</v>
      </c>
      <c r="GW463" s="2346">
        <v>63.4</v>
      </c>
      <c r="GX463" s="2346">
        <v>67.2</v>
      </c>
      <c r="GY463" s="2346">
        <v>73.069999999999993</v>
      </c>
      <c r="GZ463" s="2346">
        <v>76.27</v>
      </c>
      <c r="HA463" s="2346">
        <v>80.67</v>
      </c>
      <c r="HB463" s="2346">
        <v>89.27</v>
      </c>
      <c r="HC463" s="2346">
        <v>93.87</v>
      </c>
      <c r="HD463" s="2346">
        <v>102.27</v>
      </c>
      <c r="HE463" s="2346">
        <v>111.87</v>
      </c>
      <c r="HF463" s="2346">
        <v>124.93</v>
      </c>
      <c r="HG463" s="2346">
        <v>137.33000000000001</v>
      </c>
      <c r="HH463" s="2346">
        <v>158.72999999999999</v>
      </c>
      <c r="HI463" s="2346">
        <v>179.47</v>
      </c>
      <c r="HJ463" s="2347">
        <v>1100</v>
      </c>
      <c r="HK463" s="2275"/>
      <c r="HL463" s="2276">
        <f>HLOOKUP(HL453,GI454:HI466,8,0)</f>
        <v>21.2</v>
      </c>
      <c r="HM463" s="2276">
        <f t="shared" si="353"/>
        <v>30.8</v>
      </c>
      <c r="HN463" s="2275">
        <v>950</v>
      </c>
      <c r="HO463" s="2275"/>
      <c r="HP463" s="2275"/>
      <c r="HQ463" s="2275"/>
      <c r="HR463" s="2275"/>
      <c r="HS463" s="2275"/>
      <c r="HT463" s="2275"/>
      <c r="HU463" s="2250"/>
      <c r="HV463" s="2250"/>
      <c r="HW463" s="2250"/>
      <c r="HX463" s="2250"/>
      <c r="HY463" s="2250"/>
      <c r="HZ463" s="2250"/>
      <c r="IA463" s="2250"/>
      <c r="IB463" s="2250"/>
      <c r="IC463" s="2250"/>
      <c r="ID463" s="2250"/>
      <c r="IE463" s="2250"/>
      <c r="IF463" s="2250"/>
      <c r="IG463" s="2250"/>
      <c r="IH463" s="2250"/>
      <c r="II463" s="2250"/>
      <c r="IJ463" s="2250"/>
      <c r="IK463" s="2250"/>
      <c r="IL463" s="53"/>
      <c r="IM463" s="53"/>
    </row>
    <row r="464" spans="2:247" ht="21.95" customHeight="1">
      <c r="B464" s="2275"/>
      <c r="C464" s="2345">
        <v>1250</v>
      </c>
      <c r="D464" s="2346">
        <v>33.93</v>
      </c>
      <c r="E464" s="2346">
        <v>38.270000000000003</v>
      </c>
      <c r="F464" s="2346">
        <v>42.4</v>
      </c>
      <c r="G464" s="2346">
        <v>46.93</v>
      </c>
      <c r="H464" s="2346">
        <v>51.27</v>
      </c>
      <c r="I464" s="2346">
        <v>48.33</v>
      </c>
      <c r="J464" s="2346">
        <v>53.53</v>
      </c>
      <c r="K464" s="2346">
        <v>57</v>
      </c>
      <c r="L464" s="2346">
        <v>62.53</v>
      </c>
      <c r="M464" s="2346">
        <v>63.73</v>
      </c>
      <c r="N464" s="2346">
        <v>70.599999999999994</v>
      </c>
      <c r="O464" s="2346">
        <v>82.13</v>
      </c>
      <c r="P464" s="2346">
        <v>82.93</v>
      </c>
      <c r="Q464" s="2346">
        <v>86.93</v>
      </c>
      <c r="R464" s="2346">
        <v>91.47</v>
      </c>
      <c r="S464" s="2346">
        <v>98.27</v>
      </c>
      <c r="T464" s="2346">
        <v>102.67</v>
      </c>
      <c r="U464" s="2346">
        <v>111.27</v>
      </c>
      <c r="V464" s="2346">
        <v>118.47</v>
      </c>
      <c r="W464" s="2346">
        <v>127.73</v>
      </c>
      <c r="X464" s="2346">
        <v>135.07</v>
      </c>
      <c r="Y464" s="2346">
        <v>141.07</v>
      </c>
      <c r="Z464" s="2346">
        <v>156.53</v>
      </c>
      <c r="AA464" s="2346">
        <v>172.07</v>
      </c>
      <c r="AB464" s="2346">
        <v>193.33</v>
      </c>
      <c r="AC464" s="2346">
        <v>194.33</v>
      </c>
      <c r="AD464" s="2346">
        <v>194.33</v>
      </c>
      <c r="AE464" s="2347">
        <v>1250</v>
      </c>
      <c r="AF464" s="2275"/>
      <c r="AG464" s="2276">
        <f>HLOOKUP(AG453,D454:AD466,9,0)</f>
        <v>21.47</v>
      </c>
      <c r="AH464" s="2276">
        <f t="shared" si="350"/>
        <v>28.87</v>
      </c>
      <c r="AI464" s="2275">
        <v>1100</v>
      </c>
      <c r="AJ464" s="2275"/>
      <c r="AK464" s="2275"/>
      <c r="AL464" s="2275"/>
      <c r="AM464" s="2275"/>
      <c r="AN464" s="2275"/>
      <c r="AO464" s="2275"/>
      <c r="AP464" s="2250"/>
      <c r="AQ464" s="2250"/>
      <c r="AR464" s="2250"/>
      <c r="AS464" s="2250"/>
      <c r="AT464" s="2250"/>
      <c r="AU464" s="2250"/>
      <c r="AV464" s="2250"/>
      <c r="AW464" s="2250"/>
      <c r="AX464" s="2250"/>
      <c r="AY464" s="2250"/>
      <c r="AZ464" s="2250"/>
      <c r="BA464" s="2250"/>
      <c r="BB464" s="2250"/>
      <c r="BC464" s="2250"/>
      <c r="BD464" s="2250"/>
      <c r="BE464" s="2250"/>
      <c r="BF464" s="2276"/>
      <c r="BG464" s="2276"/>
      <c r="BH464" s="2250"/>
      <c r="BI464" s="2275"/>
      <c r="BJ464" s="2275"/>
      <c r="BK464" s="2345">
        <v>1250</v>
      </c>
      <c r="BL464" s="2346">
        <v>33.93</v>
      </c>
      <c r="BM464" s="2346">
        <v>38.270000000000003</v>
      </c>
      <c r="BN464" s="2346">
        <v>42.4</v>
      </c>
      <c r="BO464" s="2346">
        <v>46.93</v>
      </c>
      <c r="BP464" s="2346">
        <v>51.27</v>
      </c>
      <c r="BQ464" s="2346">
        <v>48.33</v>
      </c>
      <c r="BR464" s="2346">
        <v>53.53</v>
      </c>
      <c r="BS464" s="2346">
        <v>57</v>
      </c>
      <c r="BT464" s="2346">
        <v>62.53</v>
      </c>
      <c r="BU464" s="2346">
        <v>63.73</v>
      </c>
      <c r="BV464" s="2346">
        <v>70.599999999999994</v>
      </c>
      <c r="BW464" s="2346">
        <v>82.13</v>
      </c>
      <c r="BX464" s="2346">
        <v>82.93</v>
      </c>
      <c r="BY464" s="2346">
        <v>86.93</v>
      </c>
      <c r="BZ464" s="2346">
        <v>91.47</v>
      </c>
      <c r="CA464" s="2346">
        <v>98.27</v>
      </c>
      <c r="CB464" s="2346">
        <v>102.67</v>
      </c>
      <c r="CC464" s="2346">
        <v>111.27</v>
      </c>
      <c r="CD464" s="2346">
        <v>118.47</v>
      </c>
      <c r="CE464" s="2346">
        <v>127.73</v>
      </c>
      <c r="CF464" s="2346">
        <v>135.07</v>
      </c>
      <c r="CG464" s="2346">
        <v>141.07</v>
      </c>
      <c r="CH464" s="2346">
        <v>156.53</v>
      </c>
      <c r="CI464" s="2346">
        <v>172.07</v>
      </c>
      <c r="CJ464" s="2346">
        <v>193.33</v>
      </c>
      <c r="CK464" s="2346">
        <v>194.33</v>
      </c>
      <c r="CL464" s="2346">
        <v>194.33</v>
      </c>
      <c r="CM464" s="2347">
        <v>1250</v>
      </c>
      <c r="CN464" s="2275"/>
      <c r="CO464" s="2276">
        <f>HLOOKUP(CO453,BL454:CL466,9,0)</f>
        <v>19.399999999999999</v>
      </c>
      <c r="CP464" s="2276">
        <f t="shared" si="351"/>
        <v>26.07</v>
      </c>
      <c r="CQ464" s="2275">
        <v>1100</v>
      </c>
      <c r="CR464" s="2275"/>
      <c r="CS464" s="2275"/>
      <c r="CT464" s="2275"/>
      <c r="CU464" s="2275"/>
      <c r="CV464" s="2275"/>
      <c r="CW464" s="2275"/>
      <c r="CX464" s="2250"/>
      <c r="CY464" s="2250"/>
      <c r="CZ464" s="2250"/>
      <c r="DA464" s="2250"/>
      <c r="DB464" s="2250"/>
      <c r="DC464" s="2250"/>
      <c r="DD464" s="2250"/>
      <c r="DE464" s="2250"/>
      <c r="DF464" s="2250"/>
      <c r="DG464" s="2250"/>
      <c r="DH464" s="2250"/>
      <c r="DI464" s="2250"/>
      <c r="DJ464" s="2250"/>
      <c r="DK464" s="2250"/>
      <c r="DL464" s="2250"/>
      <c r="DM464" s="2250"/>
      <c r="DN464" s="2250"/>
      <c r="DO464" s="53"/>
      <c r="DP464" s="53"/>
      <c r="DY464" s="2275"/>
      <c r="DZ464" s="2345">
        <v>1250</v>
      </c>
      <c r="EA464" s="2346">
        <v>33.93</v>
      </c>
      <c r="EB464" s="2346">
        <v>38.270000000000003</v>
      </c>
      <c r="EC464" s="2346">
        <v>42.4</v>
      </c>
      <c r="ED464" s="2346">
        <v>46.93</v>
      </c>
      <c r="EE464" s="2346">
        <v>51.27</v>
      </c>
      <c r="EF464" s="2346">
        <v>48.33</v>
      </c>
      <c r="EG464" s="2346">
        <v>53.53</v>
      </c>
      <c r="EH464" s="2346">
        <v>57</v>
      </c>
      <c r="EI464" s="2346">
        <v>62.53</v>
      </c>
      <c r="EJ464" s="2346">
        <v>63.73</v>
      </c>
      <c r="EK464" s="2346">
        <v>70.599999999999994</v>
      </c>
      <c r="EL464" s="2346">
        <v>82.13</v>
      </c>
      <c r="EM464" s="2346">
        <v>82.93</v>
      </c>
      <c r="EN464" s="2346">
        <v>86.93</v>
      </c>
      <c r="EO464" s="2346">
        <v>91.47</v>
      </c>
      <c r="EP464" s="2346">
        <v>98.27</v>
      </c>
      <c r="EQ464" s="2346">
        <v>102.67</v>
      </c>
      <c r="ER464" s="2346">
        <v>111.27</v>
      </c>
      <c r="ES464" s="2346">
        <v>118.47</v>
      </c>
      <c r="ET464" s="2346">
        <v>127.73</v>
      </c>
      <c r="EU464" s="2346">
        <v>135.07</v>
      </c>
      <c r="EV464" s="2346">
        <v>141.07</v>
      </c>
      <c r="EW464" s="2346">
        <v>156.53</v>
      </c>
      <c r="EX464" s="2346">
        <v>172.07</v>
      </c>
      <c r="EY464" s="2346">
        <v>193.33</v>
      </c>
      <c r="EZ464" s="2346">
        <v>194.33</v>
      </c>
      <c r="FA464" s="2346">
        <v>194.33</v>
      </c>
      <c r="FB464" s="2347">
        <v>1250</v>
      </c>
      <c r="FC464" s="2275"/>
      <c r="FD464" s="2276">
        <f>HLOOKUP(FD453,EA454:FA466,9,0)</f>
        <v>33.67</v>
      </c>
      <c r="FE464" s="2276">
        <f t="shared" si="352"/>
        <v>45.2</v>
      </c>
      <c r="FF464" s="2275">
        <v>1100</v>
      </c>
      <c r="FG464" s="2275"/>
      <c r="FH464" s="2275"/>
      <c r="FI464" s="2275"/>
      <c r="FJ464" s="2275"/>
      <c r="FK464" s="2275"/>
      <c r="FL464" s="2275"/>
      <c r="FM464" s="2250"/>
      <c r="FN464" s="2250"/>
      <c r="FO464" s="2250"/>
      <c r="FP464" s="2250"/>
      <c r="FQ464" s="2250"/>
      <c r="FR464" s="2250"/>
      <c r="FS464" s="2250"/>
      <c r="FT464" s="2250"/>
      <c r="FU464" s="2250"/>
      <c r="FV464" s="2250"/>
      <c r="FW464" s="2250"/>
      <c r="FX464" s="2250"/>
      <c r="FY464" s="2250"/>
      <c r="FZ464" s="2250"/>
      <c r="GA464" s="2250"/>
      <c r="GB464" s="2250"/>
      <c r="GC464" s="2276"/>
      <c r="GD464" s="2276"/>
      <c r="GE464" s="2250"/>
      <c r="GF464" s="2275"/>
      <c r="GG464" s="2275"/>
      <c r="GH464" s="2345">
        <v>1250</v>
      </c>
      <c r="GI464" s="2346">
        <v>33.93</v>
      </c>
      <c r="GJ464" s="2346">
        <v>38.270000000000003</v>
      </c>
      <c r="GK464" s="2346">
        <v>42.4</v>
      </c>
      <c r="GL464" s="2346">
        <v>46.93</v>
      </c>
      <c r="GM464" s="2346">
        <v>51.27</v>
      </c>
      <c r="GN464" s="2346">
        <v>48.33</v>
      </c>
      <c r="GO464" s="2346">
        <v>53.53</v>
      </c>
      <c r="GP464" s="2346">
        <v>57</v>
      </c>
      <c r="GQ464" s="2346">
        <v>62.53</v>
      </c>
      <c r="GR464" s="2346">
        <v>63.73</v>
      </c>
      <c r="GS464" s="2346">
        <v>70.599999999999994</v>
      </c>
      <c r="GT464" s="2346">
        <v>82.13</v>
      </c>
      <c r="GU464" s="2346">
        <v>82.93</v>
      </c>
      <c r="GV464" s="2346">
        <v>86.93</v>
      </c>
      <c r="GW464" s="2346">
        <v>91.47</v>
      </c>
      <c r="GX464" s="2346">
        <v>98.27</v>
      </c>
      <c r="GY464" s="2346">
        <v>102.67</v>
      </c>
      <c r="GZ464" s="2346">
        <v>111.27</v>
      </c>
      <c r="HA464" s="2346">
        <v>118.47</v>
      </c>
      <c r="HB464" s="2346">
        <v>127.73</v>
      </c>
      <c r="HC464" s="2346">
        <v>135.07</v>
      </c>
      <c r="HD464" s="2346">
        <v>141.07</v>
      </c>
      <c r="HE464" s="2346">
        <v>156.53</v>
      </c>
      <c r="HF464" s="2346">
        <v>172.07</v>
      </c>
      <c r="HG464" s="2346">
        <v>193.33</v>
      </c>
      <c r="HH464" s="2346">
        <v>194.33</v>
      </c>
      <c r="HI464" s="2346">
        <v>194.33</v>
      </c>
      <c r="HJ464" s="2347">
        <v>1250</v>
      </c>
      <c r="HK464" s="2275"/>
      <c r="HL464" s="2276">
        <f>HLOOKUP(HL453,GI454:HI466,9,0)</f>
        <v>30.8</v>
      </c>
      <c r="HM464" s="2276">
        <f t="shared" si="353"/>
        <v>42.53</v>
      </c>
      <c r="HN464" s="2275">
        <v>1100</v>
      </c>
      <c r="HO464" s="2275"/>
      <c r="HP464" s="2275"/>
      <c r="HQ464" s="2275"/>
      <c r="HR464" s="2275"/>
      <c r="HS464" s="2275"/>
      <c r="HT464" s="2275"/>
      <c r="HU464" s="2250"/>
      <c r="HV464" s="2250"/>
      <c r="HW464" s="2250"/>
      <c r="HX464" s="2250"/>
      <c r="HY464" s="2250"/>
      <c r="HZ464" s="2250"/>
      <c r="IA464" s="2250"/>
      <c r="IB464" s="2250"/>
      <c r="IC464" s="2250"/>
      <c r="ID464" s="2250"/>
      <c r="IE464" s="2250"/>
      <c r="IF464" s="2250"/>
      <c r="IG464" s="2250"/>
      <c r="IH464" s="2250"/>
      <c r="II464" s="2250"/>
      <c r="IJ464" s="2250"/>
      <c r="IK464" s="2250"/>
      <c r="IL464" s="53"/>
      <c r="IM464" s="53"/>
    </row>
    <row r="465" spans="2:247" ht="21.95" customHeight="1">
      <c r="B465" s="2275"/>
      <c r="C465" s="2345">
        <v>1450</v>
      </c>
      <c r="D465" s="2346">
        <v>52.27</v>
      </c>
      <c r="E465" s="2346">
        <v>58.93</v>
      </c>
      <c r="F465" s="2346">
        <v>65.27</v>
      </c>
      <c r="G465" s="2346">
        <v>71.33</v>
      </c>
      <c r="H465" s="2346">
        <v>71.33</v>
      </c>
      <c r="I465" s="2346">
        <v>74.400000000000006</v>
      </c>
      <c r="J465" s="2346">
        <v>82.4</v>
      </c>
      <c r="K465" s="2346">
        <v>87.8</v>
      </c>
      <c r="L465" s="2346">
        <v>95</v>
      </c>
      <c r="M465" s="2346">
        <v>102.2</v>
      </c>
      <c r="N465" s="2346">
        <v>104.6</v>
      </c>
      <c r="O465" s="2346">
        <v>118.67</v>
      </c>
      <c r="P465" s="2346">
        <v>123.93</v>
      </c>
      <c r="Q465" s="2346">
        <v>128.4</v>
      </c>
      <c r="R465" s="2346">
        <v>134.33000000000001</v>
      </c>
      <c r="S465" s="2346">
        <v>146.93</v>
      </c>
      <c r="T465" s="2346">
        <v>157.4</v>
      </c>
      <c r="U465" s="2346">
        <v>169</v>
      </c>
      <c r="V465" s="2346">
        <v>171.33</v>
      </c>
      <c r="W465" s="2346">
        <v>194</v>
      </c>
      <c r="X465" s="2346">
        <v>202.8</v>
      </c>
      <c r="Y465" s="2346">
        <v>219.53</v>
      </c>
      <c r="Z465" s="2346">
        <v>239.07</v>
      </c>
      <c r="AA465" s="2346">
        <v>246.33</v>
      </c>
      <c r="AB465" s="2346">
        <v>290.2</v>
      </c>
      <c r="AC465" s="2346">
        <v>320.60000000000002</v>
      </c>
      <c r="AD465" s="2346">
        <v>335.8</v>
      </c>
      <c r="AE465" s="2347">
        <v>1450</v>
      </c>
      <c r="AF465" s="2275"/>
      <c r="AG465" s="2276">
        <f>HLOOKUP(AG453,D454:AD466,10,0)</f>
        <v>28.87</v>
      </c>
      <c r="AH465" s="2276">
        <f t="shared" si="350"/>
        <v>42.4</v>
      </c>
      <c r="AI465" s="2275">
        <v>1250</v>
      </c>
      <c r="AJ465" s="2275"/>
      <c r="AK465" s="2275"/>
      <c r="AL465" s="2275"/>
      <c r="AM465" s="2275"/>
      <c r="AN465" s="2275"/>
      <c r="AO465" s="2275"/>
      <c r="AP465" s="2250"/>
      <c r="AQ465" s="2250"/>
      <c r="AR465" s="2250"/>
      <c r="AS465" s="2250"/>
      <c r="AT465" s="2250"/>
      <c r="AU465" s="2250"/>
      <c r="AV465" s="2250"/>
      <c r="AW465" s="2250"/>
      <c r="AX465" s="2250"/>
      <c r="AY465" s="2250"/>
      <c r="AZ465" s="2250"/>
      <c r="BA465" s="2250"/>
      <c r="BB465" s="2250"/>
      <c r="BC465" s="2250"/>
      <c r="BD465" s="2250"/>
      <c r="BE465" s="2250"/>
      <c r="BF465" s="2276"/>
      <c r="BG465" s="2276"/>
      <c r="BH465" s="2250"/>
      <c r="BI465" s="2275"/>
      <c r="BJ465" s="2275"/>
      <c r="BK465" s="2345">
        <v>1450</v>
      </c>
      <c r="BL465" s="2346">
        <v>52.27</v>
      </c>
      <c r="BM465" s="2346">
        <v>58.93</v>
      </c>
      <c r="BN465" s="2346">
        <v>65.27</v>
      </c>
      <c r="BO465" s="2346">
        <v>71.33</v>
      </c>
      <c r="BP465" s="2346">
        <v>71.33</v>
      </c>
      <c r="BQ465" s="2346">
        <v>74.400000000000006</v>
      </c>
      <c r="BR465" s="2346">
        <v>82.4</v>
      </c>
      <c r="BS465" s="2346">
        <v>87.8</v>
      </c>
      <c r="BT465" s="2346">
        <v>95</v>
      </c>
      <c r="BU465" s="2346">
        <v>102.2</v>
      </c>
      <c r="BV465" s="2346">
        <v>104.6</v>
      </c>
      <c r="BW465" s="2346">
        <v>118.67</v>
      </c>
      <c r="BX465" s="2346">
        <v>123.93</v>
      </c>
      <c r="BY465" s="2346">
        <v>128.4</v>
      </c>
      <c r="BZ465" s="2346">
        <v>134.33000000000001</v>
      </c>
      <c r="CA465" s="2346">
        <v>146.93</v>
      </c>
      <c r="CB465" s="2346">
        <v>157.4</v>
      </c>
      <c r="CC465" s="2346">
        <v>169</v>
      </c>
      <c r="CD465" s="2346">
        <v>171.33</v>
      </c>
      <c r="CE465" s="2346">
        <v>194</v>
      </c>
      <c r="CF465" s="2346">
        <v>202.8</v>
      </c>
      <c r="CG465" s="2346">
        <v>219.53</v>
      </c>
      <c r="CH465" s="2346">
        <v>239.07</v>
      </c>
      <c r="CI465" s="2346">
        <v>246.33</v>
      </c>
      <c r="CJ465" s="2346">
        <v>290.2</v>
      </c>
      <c r="CK465" s="2346">
        <v>320.60000000000002</v>
      </c>
      <c r="CL465" s="2346">
        <v>335.8</v>
      </c>
      <c r="CM465" s="2347">
        <v>1450</v>
      </c>
      <c r="CN465" s="2275"/>
      <c r="CO465" s="2276">
        <f>HLOOKUP(CO453,BL454:CL466,10,0)</f>
        <v>26.07</v>
      </c>
      <c r="CP465" s="2276">
        <f t="shared" si="351"/>
        <v>38.270000000000003</v>
      </c>
      <c r="CQ465" s="2275">
        <v>1250</v>
      </c>
      <c r="CR465" s="2275"/>
      <c r="CS465" s="2275"/>
      <c r="CT465" s="2275"/>
      <c r="CU465" s="2275"/>
      <c r="CV465" s="2275"/>
      <c r="CW465" s="2275"/>
      <c r="CX465" s="2250"/>
      <c r="CY465" s="2250"/>
      <c r="CZ465" s="2250"/>
      <c r="DA465" s="2250"/>
      <c r="DB465" s="2250"/>
      <c r="DC465" s="2250"/>
      <c r="DD465" s="2250"/>
      <c r="DE465" s="2250"/>
      <c r="DF465" s="2250"/>
      <c r="DG465" s="2250"/>
      <c r="DH465" s="2250"/>
      <c r="DI465" s="2250"/>
      <c r="DJ465" s="2250"/>
      <c r="DK465" s="2250"/>
      <c r="DL465" s="2250"/>
      <c r="DM465" s="2250"/>
      <c r="DN465" s="2250"/>
      <c r="DO465" s="53"/>
      <c r="DP465" s="53"/>
      <c r="DY465" s="2275"/>
      <c r="DZ465" s="2345">
        <v>1450</v>
      </c>
      <c r="EA465" s="2346">
        <v>52.27</v>
      </c>
      <c r="EB465" s="2346">
        <v>58.93</v>
      </c>
      <c r="EC465" s="2346">
        <v>65.27</v>
      </c>
      <c r="ED465" s="2346">
        <v>71.33</v>
      </c>
      <c r="EE465" s="2346">
        <v>71.33</v>
      </c>
      <c r="EF465" s="2346">
        <v>74.400000000000006</v>
      </c>
      <c r="EG465" s="2346">
        <v>82.4</v>
      </c>
      <c r="EH465" s="2346">
        <v>87.8</v>
      </c>
      <c r="EI465" s="2346">
        <v>95</v>
      </c>
      <c r="EJ465" s="2346">
        <v>102.2</v>
      </c>
      <c r="EK465" s="2346">
        <v>104.6</v>
      </c>
      <c r="EL465" s="2346">
        <v>118.67</v>
      </c>
      <c r="EM465" s="2346">
        <v>123.93</v>
      </c>
      <c r="EN465" s="2346">
        <v>128.4</v>
      </c>
      <c r="EO465" s="2346">
        <v>134.33000000000001</v>
      </c>
      <c r="EP465" s="2346">
        <v>146.93</v>
      </c>
      <c r="EQ465" s="2346">
        <v>157.4</v>
      </c>
      <c r="ER465" s="2346">
        <v>169</v>
      </c>
      <c r="ES465" s="2346">
        <v>171.33</v>
      </c>
      <c r="ET465" s="2346">
        <v>194</v>
      </c>
      <c r="EU465" s="2346">
        <v>202.8</v>
      </c>
      <c r="EV465" s="2346">
        <v>219.53</v>
      </c>
      <c r="EW465" s="2346">
        <v>239.07</v>
      </c>
      <c r="EX465" s="2346">
        <v>246.33</v>
      </c>
      <c r="EY465" s="2346">
        <v>290.2</v>
      </c>
      <c r="EZ465" s="2346">
        <v>320.60000000000002</v>
      </c>
      <c r="FA465" s="2346">
        <v>335.8</v>
      </c>
      <c r="FB465" s="2347">
        <v>1450</v>
      </c>
      <c r="FC465" s="2275"/>
      <c r="FD465" s="2276">
        <f>HLOOKUP(FD453,EA454:FA466,10,0)</f>
        <v>45.2</v>
      </c>
      <c r="FE465" s="2276">
        <f t="shared" si="352"/>
        <v>63.73</v>
      </c>
      <c r="FF465" s="2275">
        <v>1250</v>
      </c>
      <c r="FG465" s="2275"/>
      <c r="FH465" s="2275"/>
      <c r="FI465" s="2275"/>
      <c r="FJ465" s="2275"/>
      <c r="FK465" s="2275"/>
      <c r="FL465" s="2275"/>
      <c r="FM465" s="2250"/>
      <c r="FN465" s="2250"/>
      <c r="FO465" s="2250"/>
      <c r="FP465" s="2250"/>
      <c r="FQ465" s="2250"/>
      <c r="FR465" s="2250"/>
      <c r="FS465" s="2250"/>
      <c r="FT465" s="2250"/>
      <c r="FU465" s="2250"/>
      <c r="FV465" s="2250"/>
      <c r="FW465" s="2250"/>
      <c r="FX465" s="2250"/>
      <c r="FY465" s="2250"/>
      <c r="FZ465" s="2250"/>
      <c r="GA465" s="2250"/>
      <c r="GB465" s="2250"/>
      <c r="GC465" s="2276"/>
      <c r="GD465" s="2276"/>
      <c r="GE465" s="2250"/>
      <c r="GF465" s="2275"/>
      <c r="GG465" s="2275"/>
      <c r="GH465" s="2345">
        <v>1450</v>
      </c>
      <c r="GI465" s="2346">
        <v>52.27</v>
      </c>
      <c r="GJ465" s="2346">
        <v>58.93</v>
      </c>
      <c r="GK465" s="2346">
        <v>65.27</v>
      </c>
      <c r="GL465" s="2346">
        <v>71.33</v>
      </c>
      <c r="GM465" s="2346">
        <v>71.33</v>
      </c>
      <c r="GN465" s="2346">
        <v>74.400000000000006</v>
      </c>
      <c r="GO465" s="2346">
        <v>82.4</v>
      </c>
      <c r="GP465" s="2346">
        <v>87.8</v>
      </c>
      <c r="GQ465" s="2346">
        <v>95</v>
      </c>
      <c r="GR465" s="2346">
        <v>102.2</v>
      </c>
      <c r="GS465" s="2346">
        <v>104.6</v>
      </c>
      <c r="GT465" s="2346">
        <v>118.67</v>
      </c>
      <c r="GU465" s="2346">
        <v>123.93</v>
      </c>
      <c r="GV465" s="2346">
        <v>128.4</v>
      </c>
      <c r="GW465" s="2346">
        <v>134.33000000000001</v>
      </c>
      <c r="GX465" s="2346">
        <v>146.93</v>
      </c>
      <c r="GY465" s="2346">
        <v>157.4</v>
      </c>
      <c r="GZ465" s="2346">
        <v>169</v>
      </c>
      <c r="HA465" s="2346">
        <v>171.33</v>
      </c>
      <c r="HB465" s="2346">
        <v>194</v>
      </c>
      <c r="HC465" s="2346">
        <v>202.8</v>
      </c>
      <c r="HD465" s="2346">
        <v>219.53</v>
      </c>
      <c r="HE465" s="2346">
        <v>239.07</v>
      </c>
      <c r="HF465" s="2346">
        <v>246.33</v>
      </c>
      <c r="HG465" s="2346">
        <v>290.2</v>
      </c>
      <c r="HH465" s="2346">
        <v>320.60000000000002</v>
      </c>
      <c r="HI465" s="2346">
        <v>335.8</v>
      </c>
      <c r="HJ465" s="2347">
        <v>1450</v>
      </c>
      <c r="HK465" s="2275"/>
      <c r="HL465" s="2276">
        <f>HLOOKUP(HL453,GI454:HI466,10,0)</f>
        <v>42.53</v>
      </c>
      <c r="HM465" s="2276">
        <f t="shared" si="353"/>
        <v>62.53</v>
      </c>
      <c r="HN465" s="2275">
        <v>1250</v>
      </c>
      <c r="HO465" s="2275"/>
      <c r="HP465" s="2275"/>
      <c r="HQ465" s="2275"/>
      <c r="HR465" s="2275"/>
      <c r="HS465" s="2275"/>
      <c r="HT465" s="2275"/>
      <c r="HU465" s="2250"/>
      <c r="HV465" s="2250"/>
      <c r="HW465" s="2250"/>
      <c r="HX465" s="2250"/>
      <c r="HY465" s="2250"/>
      <c r="HZ465" s="2250"/>
      <c r="IA465" s="2250"/>
      <c r="IB465" s="2250"/>
      <c r="IC465" s="2250"/>
      <c r="ID465" s="2250"/>
      <c r="IE465" s="2250"/>
      <c r="IF465" s="2250"/>
      <c r="IG465" s="2250"/>
      <c r="IH465" s="2250"/>
      <c r="II465" s="2250"/>
      <c r="IJ465" s="2250"/>
      <c r="IK465" s="2250"/>
      <c r="IL465" s="53"/>
      <c r="IM465" s="53"/>
    </row>
    <row r="466" spans="2:247" ht="21.95" customHeight="1">
      <c r="B466" s="2275"/>
      <c r="C466" s="2345">
        <v>1650</v>
      </c>
      <c r="D466" s="2346">
        <v>93.33</v>
      </c>
      <c r="E466" s="2346">
        <v>85.67</v>
      </c>
      <c r="F466" s="2346">
        <v>94.87</v>
      </c>
      <c r="G466" s="2346">
        <v>95.8</v>
      </c>
      <c r="H466" s="2346">
        <v>100.67</v>
      </c>
      <c r="I466" s="2346">
        <v>108.2</v>
      </c>
      <c r="J466" s="2346">
        <v>115.13</v>
      </c>
      <c r="K466" s="2346">
        <v>127.6</v>
      </c>
      <c r="L466" s="2346">
        <v>135.6</v>
      </c>
      <c r="M466" s="2346">
        <v>144.07</v>
      </c>
      <c r="N466" s="2346">
        <v>152.07</v>
      </c>
      <c r="O466" s="2346">
        <v>176.73</v>
      </c>
      <c r="P466" s="2346">
        <v>180.2</v>
      </c>
      <c r="Q466" s="2346">
        <v>188.6</v>
      </c>
      <c r="R466" s="2346">
        <v>200.47</v>
      </c>
      <c r="S466" s="2346">
        <v>211.93</v>
      </c>
      <c r="T466" s="2346">
        <v>222.87</v>
      </c>
      <c r="U466" s="2346">
        <v>236.53</v>
      </c>
      <c r="V466" s="2346">
        <v>243.93</v>
      </c>
      <c r="W466" s="2346">
        <v>269.07</v>
      </c>
      <c r="X466" s="2346">
        <v>296.39999999999998</v>
      </c>
      <c r="Y466" s="2346">
        <v>323.33</v>
      </c>
      <c r="Z466" s="2346">
        <v>354.6</v>
      </c>
      <c r="AA466" s="2346">
        <v>385.13</v>
      </c>
      <c r="AB466" s="2346">
        <v>429.27</v>
      </c>
      <c r="AC466" s="2346">
        <v>468.2</v>
      </c>
      <c r="AD466" s="2346">
        <v>533.27</v>
      </c>
      <c r="AE466" s="2347">
        <v>1650</v>
      </c>
      <c r="AF466" s="2275"/>
      <c r="AG466" s="2276">
        <f>HLOOKUP(AG453,D454:AD466,11,0)</f>
        <v>42.4</v>
      </c>
      <c r="AH466" s="2276">
        <f t="shared" si="350"/>
        <v>65.27</v>
      </c>
      <c r="AI466" s="2275">
        <v>1450</v>
      </c>
      <c r="AJ466" s="2275"/>
      <c r="AK466" s="2275"/>
      <c r="AL466" s="2275"/>
      <c r="AM466" s="2275"/>
      <c r="AN466" s="2275"/>
      <c r="AO466" s="2275"/>
      <c r="AP466" s="2250"/>
      <c r="AQ466" s="2250"/>
      <c r="AR466" s="2250"/>
      <c r="AS466" s="2250"/>
      <c r="AT466" s="2250"/>
      <c r="AU466" s="2250"/>
      <c r="AV466" s="2250"/>
      <c r="AW466" s="2250"/>
      <c r="AX466" s="2250"/>
      <c r="AY466" s="2250"/>
      <c r="AZ466" s="2250"/>
      <c r="BA466" s="2250"/>
      <c r="BB466" s="2250"/>
      <c r="BC466" s="2250"/>
      <c r="BD466" s="2250"/>
      <c r="BE466" s="2250"/>
      <c r="BF466" s="2276"/>
      <c r="BG466" s="2276"/>
      <c r="BH466" s="2250"/>
      <c r="BI466" s="2275"/>
      <c r="BJ466" s="2275"/>
      <c r="BK466" s="2345">
        <v>1650</v>
      </c>
      <c r="BL466" s="2346">
        <v>93.33</v>
      </c>
      <c r="BM466" s="2346">
        <v>85.67</v>
      </c>
      <c r="BN466" s="2346">
        <v>94.87</v>
      </c>
      <c r="BO466" s="2346">
        <v>95.8</v>
      </c>
      <c r="BP466" s="2346">
        <v>100.67</v>
      </c>
      <c r="BQ466" s="2346">
        <v>108.2</v>
      </c>
      <c r="BR466" s="2346">
        <v>115.13</v>
      </c>
      <c r="BS466" s="2346">
        <v>127.6</v>
      </c>
      <c r="BT466" s="2346">
        <v>135.6</v>
      </c>
      <c r="BU466" s="2346">
        <v>144.07</v>
      </c>
      <c r="BV466" s="2346">
        <v>152.07</v>
      </c>
      <c r="BW466" s="2346">
        <v>176.73</v>
      </c>
      <c r="BX466" s="2346">
        <v>180.2</v>
      </c>
      <c r="BY466" s="2346">
        <v>188.6</v>
      </c>
      <c r="BZ466" s="2346">
        <v>200.47</v>
      </c>
      <c r="CA466" s="2346">
        <v>211.93</v>
      </c>
      <c r="CB466" s="2346">
        <v>222.87</v>
      </c>
      <c r="CC466" s="2346">
        <v>236.53</v>
      </c>
      <c r="CD466" s="2346">
        <v>243.93</v>
      </c>
      <c r="CE466" s="2346">
        <v>269.07</v>
      </c>
      <c r="CF466" s="2346">
        <v>296.39999999999998</v>
      </c>
      <c r="CG466" s="2346">
        <v>323.33</v>
      </c>
      <c r="CH466" s="2346">
        <v>354.6</v>
      </c>
      <c r="CI466" s="2346">
        <v>385.13</v>
      </c>
      <c r="CJ466" s="2346">
        <v>429.27</v>
      </c>
      <c r="CK466" s="2346">
        <v>468.2</v>
      </c>
      <c r="CL466" s="2346">
        <v>533.27</v>
      </c>
      <c r="CM466" s="2347">
        <v>1650</v>
      </c>
      <c r="CN466" s="2275"/>
      <c r="CO466" s="2276">
        <f>HLOOKUP(CO453,BL454:CL466,11,0)</f>
        <v>38.270000000000003</v>
      </c>
      <c r="CP466" s="2276">
        <f t="shared" si="351"/>
        <v>58.93</v>
      </c>
      <c r="CQ466" s="2275">
        <v>1450</v>
      </c>
      <c r="CR466" s="2275"/>
      <c r="CS466" s="2275"/>
      <c r="CT466" s="2275"/>
      <c r="CU466" s="2275"/>
      <c r="CV466" s="2275"/>
      <c r="CW466" s="2275"/>
      <c r="CX466" s="2250"/>
      <c r="CY466" s="2250"/>
      <c r="CZ466" s="2250"/>
      <c r="DA466" s="2250"/>
      <c r="DB466" s="2250"/>
      <c r="DC466" s="2250"/>
      <c r="DD466" s="2250"/>
      <c r="DE466" s="2250"/>
      <c r="DF466" s="2250"/>
      <c r="DG466" s="2250"/>
      <c r="DH466" s="2250"/>
      <c r="DI466" s="2250"/>
      <c r="DJ466" s="2250"/>
      <c r="DK466" s="2250"/>
      <c r="DL466" s="2250"/>
      <c r="DM466" s="2250"/>
      <c r="DN466" s="2250"/>
      <c r="DO466" s="53"/>
      <c r="DP466" s="53"/>
      <c r="DY466" s="2275"/>
      <c r="DZ466" s="2345">
        <v>1650</v>
      </c>
      <c r="EA466" s="2346">
        <v>93.33</v>
      </c>
      <c r="EB466" s="2346">
        <v>85.67</v>
      </c>
      <c r="EC466" s="2346">
        <v>94.87</v>
      </c>
      <c r="ED466" s="2346">
        <v>95.8</v>
      </c>
      <c r="EE466" s="2346">
        <v>100.67</v>
      </c>
      <c r="EF466" s="2346">
        <v>108.2</v>
      </c>
      <c r="EG466" s="2346">
        <v>115.13</v>
      </c>
      <c r="EH466" s="2346">
        <v>127.6</v>
      </c>
      <c r="EI466" s="2346">
        <v>135.6</v>
      </c>
      <c r="EJ466" s="2346">
        <v>144.07</v>
      </c>
      <c r="EK466" s="2346">
        <v>152.07</v>
      </c>
      <c r="EL466" s="2346">
        <v>176.73</v>
      </c>
      <c r="EM466" s="2346">
        <v>180.2</v>
      </c>
      <c r="EN466" s="2346">
        <v>188.6</v>
      </c>
      <c r="EO466" s="2346">
        <v>200.47</v>
      </c>
      <c r="EP466" s="2346">
        <v>211.93</v>
      </c>
      <c r="EQ466" s="2346">
        <v>222.87</v>
      </c>
      <c r="ER466" s="2346">
        <v>236.53</v>
      </c>
      <c r="ES466" s="2346">
        <v>243.93</v>
      </c>
      <c r="ET466" s="2346">
        <v>269.07</v>
      </c>
      <c r="EU466" s="2346">
        <v>296.39999999999998</v>
      </c>
      <c r="EV466" s="2346">
        <v>323.33</v>
      </c>
      <c r="EW466" s="2346">
        <v>354.6</v>
      </c>
      <c r="EX466" s="2346">
        <v>385.13</v>
      </c>
      <c r="EY466" s="2346">
        <v>429.27</v>
      </c>
      <c r="EZ466" s="2346">
        <v>468.2</v>
      </c>
      <c r="FA466" s="2346">
        <v>533.27</v>
      </c>
      <c r="FB466" s="2347">
        <v>1650</v>
      </c>
      <c r="FC466" s="2275"/>
      <c r="FD466" s="2276">
        <f>HLOOKUP(FD453,EA454:FA466,11,0)</f>
        <v>63.73</v>
      </c>
      <c r="FE466" s="2276">
        <f t="shared" si="352"/>
        <v>102.2</v>
      </c>
      <c r="FF466" s="2275">
        <v>1450</v>
      </c>
      <c r="FG466" s="2275"/>
      <c r="FH466" s="2275"/>
      <c r="FI466" s="2275"/>
      <c r="FJ466" s="2275"/>
      <c r="FK466" s="2275"/>
      <c r="FL466" s="2275"/>
      <c r="FM466" s="2250"/>
      <c r="FN466" s="2250"/>
      <c r="FO466" s="2250"/>
      <c r="FP466" s="2250"/>
      <c r="FQ466" s="2250"/>
      <c r="FR466" s="2250"/>
      <c r="FS466" s="2250"/>
      <c r="FT466" s="2250"/>
      <c r="FU466" s="2250"/>
      <c r="FV466" s="2250"/>
      <c r="FW466" s="2250"/>
      <c r="FX466" s="2250"/>
      <c r="FY466" s="2250"/>
      <c r="FZ466" s="2250"/>
      <c r="GA466" s="2250"/>
      <c r="GB466" s="2250"/>
      <c r="GC466" s="2276"/>
      <c r="GD466" s="2276"/>
      <c r="GE466" s="2250"/>
      <c r="GF466" s="2275"/>
      <c r="GG466" s="2275"/>
      <c r="GH466" s="2345">
        <v>1650</v>
      </c>
      <c r="GI466" s="2346">
        <v>93.33</v>
      </c>
      <c r="GJ466" s="2346">
        <v>85.67</v>
      </c>
      <c r="GK466" s="2346">
        <v>94.87</v>
      </c>
      <c r="GL466" s="2346">
        <v>95.8</v>
      </c>
      <c r="GM466" s="2346">
        <v>100.67</v>
      </c>
      <c r="GN466" s="2346">
        <v>108.2</v>
      </c>
      <c r="GO466" s="2346">
        <v>115.13</v>
      </c>
      <c r="GP466" s="2346">
        <v>127.6</v>
      </c>
      <c r="GQ466" s="2346">
        <v>135.6</v>
      </c>
      <c r="GR466" s="2346">
        <v>144.07</v>
      </c>
      <c r="GS466" s="2346">
        <v>152.07</v>
      </c>
      <c r="GT466" s="2346">
        <v>176.73</v>
      </c>
      <c r="GU466" s="2346">
        <v>180.2</v>
      </c>
      <c r="GV466" s="2346">
        <v>188.6</v>
      </c>
      <c r="GW466" s="2346">
        <v>200.47</v>
      </c>
      <c r="GX466" s="2346">
        <v>211.93</v>
      </c>
      <c r="GY466" s="2346">
        <v>222.87</v>
      </c>
      <c r="GZ466" s="2346">
        <v>236.53</v>
      </c>
      <c r="HA466" s="2346">
        <v>243.93</v>
      </c>
      <c r="HB466" s="2346">
        <v>269.07</v>
      </c>
      <c r="HC466" s="2346">
        <v>296.39999999999998</v>
      </c>
      <c r="HD466" s="2346">
        <v>323.33</v>
      </c>
      <c r="HE466" s="2346">
        <v>354.6</v>
      </c>
      <c r="HF466" s="2346">
        <v>385.13</v>
      </c>
      <c r="HG466" s="2346">
        <v>429.27</v>
      </c>
      <c r="HH466" s="2346">
        <v>468.2</v>
      </c>
      <c r="HI466" s="2346">
        <v>533.27</v>
      </c>
      <c r="HJ466" s="2347">
        <v>1650</v>
      </c>
      <c r="HK466" s="2275"/>
      <c r="HL466" s="2276">
        <f>HLOOKUP(HL453,GI454:HI466,11,0)</f>
        <v>62.53</v>
      </c>
      <c r="HM466" s="2276">
        <f t="shared" si="353"/>
        <v>95</v>
      </c>
      <c r="HN466" s="2275">
        <v>1450</v>
      </c>
      <c r="HO466" s="2275"/>
      <c r="HP466" s="2275"/>
      <c r="HQ466" s="2275"/>
      <c r="HR466" s="2275"/>
      <c r="HS466" s="2275"/>
      <c r="HT466" s="2275"/>
      <c r="HU466" s="2250"/>
      <c r="HV466" s="2250"/>
      <c r="HW466" s="2250"/>
      <c r="HX466" s="2250"/>
      <c r="HY466" s="2250"/>
      <c r="HZ466" s="2250"/>
      <c r="IA466" s="2250"/>
      <c r="IB466" s="2250"/>
      <c r="IC466" s="2250"/>
      <c r="ID466" s="2250"/>
      <c r="IE466" s="2250"/>
      <c r="IF466" s="2250"/>
      <c r="IG466" s="2250"/>
      <c r="IH466" s="2250"/>
      <c r="II466" s="2250"/>
      <c r="IJ466" s="2250"/>
      <c r="IK466" s="2250"/>
      <c r="IL466" s="53"/>
      <c r="IM466" s="53"/>
    </row>
    <row r="467" spans="2:247" ht="21.95" customHeight="1">
      <c r="B467" s="2275"/>
      <c r="C467" s="2275"/>
      <c r="D467" s="2275"/>
      <c r="E467" s="2275"/>
      <c r="F467" s="2275"/>
      <c r="G467" s="2275"/>
      <c r="H467" s="2275"/>
      <c r="I467" s="2275"/>
      <c r="J467" s="2275"/>
      <c r="K467" s="2275"/>
      <c r="L467" s="2275"/>
      <c r="M467" s="2275"/>
      <c r="N467" s="2275"/>
      <c r="O467" s="2275"/>
      <c r="P467" s="2275"/>
      <c r="Q467" s="2275"/>
      <c r="R467" s="2275"/>
      <c r="S467" s="2275"/>
      <c r="T467" s="2275"/>
      <c r="U467" s="2275"/>
      <c r="V467" s="2275"/>
      <c r="W467" s="2275"/>
      <c r="X467" s="2275"/>
      <c r="Y467" s="2275"/>
      <c r="Z467" s="2275"/>
      <c r="AA467" s="2275"/>
      <c r="AB467" s="2275"/>
      <c r="AC467" s="2275"/>
      <c r="AD467" s="2275"/>
      <c r="AE467" s="2346"/>
      <c r="AF467" s="2275"/>
      <c r="AG467" s="2276">
        <f>HLOOKUP(AG453,D454:AD466,12,0)</f>
        <v>65.27</v>
      </c>
      <c r="AH467" s="2276">
        <f t="shared" si="350"/>
        <v>94.87</v>
      </c>
      <c r="AI467" s="2275">
        <v>1650</v>
      </c>
      <c r="AJ467" s="2275"/>
      <c r="AK467" s="2275"/>
      <c r="AL467" s="2275"/>
      <c r="AM467" s="2275"/>
      <c r="AN467" s="2275"/>
      <c r="AO467" s="2275"/>
      <c r="AP467" s="2250"/>
      <c r="AQ467" s="2250"/>
      <c r="AR467" s="2250"/>
      <c r="AS467" s="2250"/>
      <c r="AT467" s="2250"/>
      <c r="AU467" s="2250"/>
      <c r="AV467" s="2250"/>
      <c r="AW467" s="2250"/>
      <c r="AX467" s="2250"/>
      <c r="AY467" s="2250"/>
      <c r="AZ467" s="2250"/>
      <c r="BA467" s="2250"/>
      <c r="BB467" s="2250"/>
      <c r="BC467" s="2250"/>
      <c r="BD467" s="2250"/>
      <c r="BE467" s="2250"/>
      <c r="BF467" s="2276"/>
      <c r="BG467" s="2276"/>
      <c r="BH467" s="2250"/>
      <c r="BI467" s="2275"/>
      <c r="BJ467" s="2275"/>
      <c r="BK467" s="2275"/>
      <c r="BL467" s="2275"/>
      <c r="BM467" s="2275"/>
      <c r="BN467" s="2275"/>
      <c r="BO467" s="2275"/>
      <c r="BP467" s="2275"/>
      <c r="BQ467" s="2275"/>
      <c r="BR467" s="2275"/>
      <c r="BS467" s="2275"/>
      <c r="BT467" s="2275"/>
      <c r="BU467" s="2275"/>
      <c r="BV467" s="2275"/>
      <c r="BW467" s="2275"/>
      <c r="BX467" s="2275"/>
      <c r="BY467" s="2275"/>
      <c r="BZ467" s="2275"/>
      <c r="CA467" s="2275"/>
      <c r="CB467" s="2275"/>
      <c r="CC467" s="2275"/>
      <c r="CD467" s="2275"/>
      <c r="CE467" s="2275"/>
      <c r="CF467" s="2275"/>
      <c r="CG467" s="2275"/>
      <c r="CH467" s="2275"/>
      <c r="CI467" s="2275"/>
      <c r="CJ467" s="2275"/>
      <c r="CK467" s="2275"/>
      <c r="CL467" s="2275"/>
      <c r="CM467" s="2346"/>
      <c r="CN467" s="2275"/>
      <c r="CO467" s="2276">
        <f>HLOOKUP(CO453,BL454:CL466,12,0)</f>
        <v>58.93</v>
      </c>
      <c r="CP467" s="2276">
        <f t="shared" si="351"/>
        <v>85.67</v>
      </c>
      <c r="CQ467" s="2275">
        <v>1650</v>
      </c>
      <c r="CR467" s="2275"/>
      <c r="CS467" s="2275"/>
      <c r="CT467" s="2275"/>
      <c r="CU467" s="2275"/>
      <c r="CV467" s="2275"/>
      <c r="CW467" s="2275"/>
      <c r="CX467" s="2250"/>
      <c r="CY467" s="2250"/>
      <c r="CZ467" s="2250"/>
      <c r="DA467" s="2250"/>
      <c r="DB467" s="2250"/>
      <c r="DC467" s="2250"/>
      <c r="DD467" s="2250"/>
      <c r="DE467" s="2250"/>
      <c r="DF467" s="2250"/>
      <c r="DG467" s="2250"/>
      <c r="DH467" s="2250"/>
      <c r="DI467" s="2250"/>
      <c r="DJ467" s="2250"/>
      <c r="DK467" s="2250"/>
      <c r="DL467" s="2250"/>
      <c r="DM467" s="2250"/>
      <c r="DN467" s="2250"/>
      <c r="DO467" s="53"/>
      <c r="DP467" s="53"/>
      <c r="DY467" s="2275"/>
      <c r="DZ467" s="2275"/>
      <c r="EA467" s="2275"/>
      <c r="EB467" s="2275"/>
      <c r="EC467" s="2275"/>
      <c r="ED467" s="2275"/>
      <c r="EE467" s="2275"/>
      <c r="EF467" s="2275"/>
      <c r="EG467" s="2275"/>
      <c r="EH467" s="2275"/>
      <c r="EI467" s="2275"/>
      <c r="EJ467" s="2275"/>
      <c r="EK467" s="2275"/>
      <c r="EL467" s="2275"/>
      <c r="EM467" s="2275"/>
      <c r="EN467" s="2275"/>
      <c r="EO467" s="2275"/>
      <c r="EP467" s="2275"/>
      <c r="EQ467" s="2275"/>
      <c r="ER467" s="2275"/>
      <c r="ES467" s="2275"/>
      <c r="ET467" s="2275"/>
      <c r="EU467" s="2275"/>
      <c r="EV467" s="2275"/>
      <c r="EW467" s="2275"/>
      <c r="EX467" s="2275"/>
      <c r="EY467" s="2275"/>
      <c r="EZ467" s="2275"/>
      <c r="FA467" s="2275"/>
      <c r="FB467" s="2346"/>
      <c r="FC467" s="2275"/>
      <c r="FD467" s="2276">
        <f>HLOOKUP(FD453,EA454:FA466,12,0)</f>
        <v>102.2</v>
      </c>
      <c r="FE467" s="2276">
        <f t="shared" si="352"/>
        <v>144.07</v>
      </c>
      <c r="FF467" s="2275">
        <v>1650</v>
      </c>
      <c r="FG467" s="2275"/>
      <c r="FH467" s="2275"/>
      <c r="FI467" s="2275"/>
      <c r="FJ467" s="2275"/>
      <c r="FK467" s="2275"/>
      <c r="FL467" s="2275"/>
      <c r="FM467" s="2250"/>
      <c r="FN467" s="2250"/>
      <c r="FO467" s="2250"/>
      <c r="FP467" s="2250"/>
      <c r="FQ467" s="2250"/>
      <c r="FR467" s="2250"/>
      <c r="FS467" s="2250"/>
      <c r="FT467" s="2250"/>
      <c r="FU467" s="2250"/>
      <c r="FV467" s="2250"/>
      <c r="FW467" s="2250"/>
      <c r="FX467" s="2250"/>
      <c r="FY467" s="2250"/>
      <c r="FZ467" s="2250"/>
      <c r="GA467" s="2250"/>
      <c r="GB467" s="2250"/>
      <c r="GC467" s="2276"/>
      <c r="GD467" s="2276"/>
      <c r="GE467" s="2250"/>
      <c r="GF467" s="2275"/>
      <c r="GG467" s="2275"/>
      <c r="GH467" s="2275"/>
      <c r="GI467" s="2275"/>
      <c r="GJ467" s="2275"/>
      <c r="GK467" s="2275"/>
      <c r="GL467" s="2275"/>
      <c r="GM467" s="2275"/>
      <c r="GN467" s="2275"/>
      <c r="GO467" s="2275"/>
      <c r="GP467" s="2275"/>
      <c r="GQ467" s="2275"/>
      <c r="GR467" s="2275"/>
      <c r="GS467" s="2275"/>
      <c r="GT467" s="2275"/>
      <c r="GU467" s="2275"/>
      <c r="GV467" s="2275"/>
      <c r="GW467" s="2275"/>
      <c r="GX467" s="2275"/>
      <c r="GY467" s="2275"/>
      <c r="GZ467" s="2275"/>
      <c r="HA467" s="2275"/>
      <c r="HB467" s="2275"/>
      <c r="HC467" s="2275"/>
      <c r="HD467" s="2275"/>
      <c r="HE467" s="2275"/>
      <c r="HF467" s="2275"/>
      <c r="HG467" s="2275"/>
      <c r="HH467" s="2275"/>
      <c r="HI467" s="2275"/>
      <c r="HJ467" s="2346"/>
      <c r="HK467" s="2275"/>
      <c r="HL467" s="2276">
        <f>HLOOKUP(HL453,GI454:HI466,12,0)</f>
        <v>95</v>
      </c>
      <c r="HM467" s="2276">
        <f t="shared" si="353"/>
        <v>135.6</v>
      </c>
      <c r="HN467" s="2275">
        <v>1650</v>
      </c>
      <c r="HO467" s="2275"/>
      <c r="HP467" s="2275"/>
      <c r="HQ467" s="2275"/>
      <c r="HR467" s="2275"/>
      <c r="HS467" s="2275"/>
      <c r="HT467" s="2275"/>
      <c r="HU467" s="2250"/>
      <c r="HV467" s="2250"/>
      <c r="HW467" s="2250"/>
      <c r="HX467" s="2250"/>
      <c r="HY467" s="2250"/>
      <c r="HZ467" s="2250"/>
      <c r="IA467" s="2250"/>
      <c r="IB467" s="2250"/>
      <c r="IC467" s="2250"/>
      <c r="ID467" s="2250"/>
      <c r="IE467" s="2250"/>
      <c r="IF467" s="2250"/>
      <c r="IG467" s="2250"/>
      <c r="IH467" s="2250"/>
      <c r="II467" s="2250"/>
      <c r="IJ467" s="2250"/>
      <c r="IK467" s="2250"/>
      <c r="IL467" s="53"/>
      <c r="IM467" s="53"/>
    </row>
    <row r="468" spans="2:247" ht="21.95" customHeight="1">
      <c r="B468" s="2276">
        <f>AG453</f>
        <v>190.4</v>
      </c>
      <c r="C468" s="2275">
        <v>0</v>
      </c>
      <c r="D468" s="2276">
        <f>VLOOKUP(B470,C456:AD466,2,0)</f>
        <v>17.2</v>
      </c>
      <c r="E468" s="2276">
        <f>VLOOKUP(B470,C456:E466,3,0)</f>
        <v>19.399999999999999</v>
      </c>
      <c r="F468" s="2276">
        <f>VLOOKUP(B470,C456:F466,4,0)</f>
        <v>21.47</v>
      </c>
      <c r="G468" s="2276">
        <f>VLOOKUP(B470,C456:G466,5,0)</f>
        <v>22.93</v>
      </c>
      <c r="H468" s="2276">
        <f>VLOOKUP(B470,C456:H466,6,0)</f>
        <v>22.93</v>
      </c>
      <c r="I468" s="2276">
        <f>VLOOKUP(B470,C456:I466,7,0)</f>
        <v>24.53</v>
      </c>
      <c r="J468" s="2276">
        <f>VLOOKUP(B470,C456:J466,8,0)</f>
        <v>27.13</v>
      </c>
      <c r="K468" s="2276">
        <f>VLOOKUP(B470,C456:K466,9,0)</f>
        <v>28.87</v>
      </c>
      <c r="L468" s="2276">
        <f>VLOOKUP(B470,C456:L466,10,0)</f>
        <v>30.8</v>
      </c>
      <c r="M468" s="2276">
        <f>VLOOKUP(B470,C456:M466,11,0)</f>
        <v>33.67</v>
      </c>
      <c r="N468" s="2276">
        <f>VLOOKUP(B470,C456:N466,12,0)</f>
        <v>34.47</v>
      </c>
      <c r="O468" s="2276">
        <f>VLOOKUP(B470,C456:O466,13,0)</f>
        <v>40.270000000000003</v>
      </c>
      <c r="P468" s="2276">
        <f>VLOOKUP(B470,C456:P466,14,0)</f>
        <v>40.799999999999997</v>
      </c>
      <c r="Q468" s="2276">
        <f>VLOOKUP(B470,C456:Q466,15,0)</f>
        <v>41</v>
      </c>
      <c r="R468" s="2276">
        <f>VLOOKUP(B470,C456:R466,16,0)</f>
        <v>42.93</v>
      </c>
      <c r="S468" s="2276">
        <f>VLOOKUP(B470,C456:S466,17,0)</f>
        <v>47.2</v>
      </c>
      <c r="T468" s="2276">
        <f>VLOOKUP(B470,C456:T466,18,0)</f>
        <v>50.47</v>
      </c>
      <c r="U468" s="2276">
        <f>VLOOKUP(B470,C456:U466,19,0)</f>
        <v>52.93</v>
      </c>
      <c r="V468" s="2276">
        <f>VLOOKUP(B470,C456:V466,20,0)</f>
        <v>55.07</v>
      </c>
      <c r="W468" s="2276">
        <f>VLOOKUP(B470,C456:W466,21,0)</f>
        <v>60.53</v>
      </c>
      <c r="X468" s="2276">
        <f>VLOOKUP(B470,C456:X466,22,0)</f>
        <v>64.87</v>
      </c>
      <c r="Y468" s="2276">
        <f>VLOOKUP(B470,C456:Y466,23,0)</f>
        <v>70.33</v>
      </c>
      <c r="Z468" s="2276">
        <f>VLOOKUP(B470,C456:Z466,24,0)</f>
        <v>76.47</v>
      </c>
      <c r="AA468" s="2276">
        <f>VLOOKUP(B470,C456:AA466,25,0)</f>
        <v>84.07</v>
      </c>
      <c r="AB468" s="2276">
        <f>VLOOKUP(B470,C456:AB466,26,0)</f>
        <v>93.47</v>
      </c>
      <c r="AC468" s="2276">
        <f>VLOOKUP(B470,C456:AC466,27,0)</f>
        <v>99.47</v>
      </c>
      <c r="AD468" s="2276">
        <f>VLOOKUP(B470,C456:AD466,28,0)</f>
        <v>99.47</v>
      </c>
      <c r="AE468" s="2346"/>
      <c r="AF468" s="2275"/>
      <c r="AG468" s="2276">
        <f>HLOOKUP(AG453,D454:AD466,13,0)</f>
        <v>94.87</v>
      </c>
      <c r="AH468" s="2275"/>
      <c r="AI468" s="2275"/>
      <c r="AJ468" s="2275"/>
      <c r="AK468" s="2275"/>
      <c r="AL468" s="2275"/>
      <c r="AM468" s="2275"/>
      <c r="AN468" s="2275"/>
      <c r="AO468" s="2275"/>
      <c r="AP468" s="2250"/>
      <c r="AQ468" s="2250"/>
      <c r="AR468" s="2250"/>
      <c r="AS468" s="2250"/>
      <c r="AT468" s="2250"/>
      <c r="AU468" s="2250"/>
      <c r="AV468" s="2250"/>
      <c r="AW468" s="2250"/>
      <c r="AX468" s="2250"/>
      <c r="AY468" s="2250"/>
      <c r="AZ468" s="2250"/>
      <c r="BA468" s="2250"/>
      <c r="BB468" s="2250"/>
      <c r="BC468" s="2250"/>
      <c r="BD468" s="2250"/>
      <c r="BE468" s="2250"/>
      <c r="BF468" s="2276"/>
      <c r="BG468" s="2276"/>
      <c r="BH468" s="2250"/>
      <c r="BI468" s="2275"/>
      <c r="BJ468" s="2276">
        <f>CO453</f>
        <v>206.43</v>
      </c>
      <c r="BK468" s="2275">
        <v>0</v>
      </c>
      <c r="BL468" s="2276">
        <f>VLOOKUP(BJ470,BK456:CL466,2,0)</f>
        <v>23.13</v>
      </c>
      <c r="BM468" s="2276">
        <f>VLOOKUP(BJ470,BK456:BM466,3,0)</f>
        <v>26.07</v>
      </c>
      <c r="BN468" s="2276">
        <f>VLOOKUP(BJ470,BK456:BN466,4,0)</f>
        <v>28.87</v>
      </c>
      <c r="BO468" s="2276">
        <f>VLOOKUP(BJ470,BK456:BO466,5,0)</f>
        <v>32</v>
      </c>
      <c r="BP468" s="2276">
        <f>VLOOKUP(BJ470,BK456:BP466,6,0)</f>
        <v>34.93</v>
      </c>
      <c r="BQ468" s="2276">
        <f>VLOOKUP(BJ470,BK456:BQ466,7,0)</f>
        <v>32.93</v>
      </c>
      <c r="BR468" s="2276">
        <f>VLOOKUP(BJ470,BK456:BR466,8,0)</f>
        <v>36.47</v>
      </c>
      <c r="BS468" s="2276">
        <f>VLOOKUP(BJ470,BK456:BS466,9,0)</f>
        <v>39.93</v>
      </c>
      <c r="BT468" s="2276">
        <f>VLOOKUP(BJ470,BK456:BT466,10,0)</f>
        <v>42.53</v>
      </c>
      <c r="BU468" s="2276">
        <f>VLOOKUP(BJ470,BK456:BU466,11,0)</f>
        <v>45.2</v>
      </c>
      <c r="BV468" s="2276">
        <f>VLOOKUP(BJ470,BK456:BV466,12,0)</f>
        <v>53.47</v>
      </c>
      <c r="BW468" s="2276">
        <f>VLOOKUP(BJ470,BK456:BW466,13,0)</f>
        <v>57.07</v>
      </c>
      <c r="BX468" s="2276">
        <f>VLOOKUP(BJ470,BK456:BX466,14,0)</f>
        <v>60.33</v>
      </c>
      <c r="BY468" s="2276">
        <f>VLOOKUP(BJ470,BK456:BY466,15,0)</f>
        <v>59.2</v>
      </c>
      <c r="BZ468" s="2276">
        <f>VLOOKUP(BJ470,BK456:BZ466,16,0)</f>
        <v>63.4</v>
      </c>
      <c r="CA468" s="2276">
        <f>VLOOKUP(BJ470,BK456:CA466,17,0)</f>
        <v>67.2</v>
      </c>
      <c r="CB468" s="2276">
        <f>VLOOKUP(BJ470,BK456:CB466,18,0)</f>
        <v>73.069999999999993</v>
      </c>
      <c r="CC468" s="2276">
        <f>VLOOKUP(BJ470,BK456:CC466,19,0)</f>
        <v>76.27</v>
      </c>
      <c r="CD468" s="2276">
        <f>VLOOKUP(BJ470,BK456:CD466,20,0)</f>
        <v>80.67</v>
      </c>
      <c r="CE468" s="2276">
        <f>VLOOKUP(BJ470,BK456:CE466,21,0)</f>
        <v>89.27</v>
      </c>
      <c r="CF468" s="2276">
        <f>VLOOKUP(BJ470,BK456:CF466,22,0)</f>
        <v>93.87</v>
      </c>
      <c r="CG468" s="2276">
        <f>VLOOKUP(BJ470,BK456:CG466,23,0)</f>
        <v>102.27</v>
      </c>
      <c r="CH468" s="2276">
        <f>VLOOKUP(BJ470,BK456:CH466,24,0)</f>
        <v>111.87</v>
      </c>
      <c r="CI468" s="2276">
        <f>VLOOKUP(BJ470,BK456:CI466,25,0)</f>
        <v>124.93</v>
      </c>
      <c r="CJ468" s="2276">
        <f>VLOOKUP(BJ470,BK456:CJ466,26,0)</f>
        <v>137.33000000000001</v>
      </c>
      <c r="CK468" s="2276">
        <f>VLOOKUP(BJ470,BK456:CK466,27,0)</f>
        <v>158.72999999999999</v>
      </c>
      <c r="CL468" s="2276">
        <f>VLOOKUP(BJ470,BK456:CL466,28,0)</f>
        <v>179.47</v>
      </c>
      <c r="CM468" s="2346"/>
      <c r="CN468" s="2275"/>
      <c r="CO468" s="2276">
        <f>HLOOKUP(CO453,BL454:CL466,13,0)</f>
        <v>85.67</v>
      </c>
      <c r="CP468" s="2275"/>
      <c r="CQ468" s="2275"/>
      <c r="CR468" s="2275"/>
      <c r="CS468" s="2275"/>
      <c r="CT468" s="2275"/>
      <c r="CU468" s="2275"/>
      <c r="CV468" s="2275"/>
      <c r="CW468" s="2275"/>
      <c r="CX468" s="2250"/>
      <c r="CY468" s="2250"/>
      <c r="CZ468" s="2250"/>
      <c r="DA468" s="2250"/>
      <c r="DB468" s="2250"/>
      <c r="DC468" s="2250"/>
      <c r="DD468" s="2250"/>
      <c r="DE468" s="2250"/>
      <c r="DF468" s="2250"/>
      <c r="DG468" s="2250"/>
      <c r="DH468" s="2250"/>
      <c r="DI468" s="2250"/>
      <c r="DJ468" s="2250"/>
      <c r="DK468" s="2250"/>
      <c r="DL468" s="2250"/>
      <c r="DM468" s="2250"/>
      <c r="DN468" s="2250"/>
      <c r="DO468" s="53"/>
      <c r="DP468" s="53"/>
      <c r="DY468" s="2276">
        <f>FD453</f>
        <v>120.7</v>
      </c>
      <c r="DZ468" s="2275">
        <v>0</v>
      </c>
      <c r="EA468" s="2276">
        <f>VLOOKUP(DY470,DZ456:FA466,2,0)</f>
        <v>12.4</v>
      </c>
      <c r="EB468" s="2276">
        <f>VLOOKUP(DY470,DZ456:EB466,3,0)</f>
        <v>13.73</v>
      </c>
      <c r="EC468" s="2276">
        <f>VLOOKUP(DY470,DZ456:EC466,4,0)</f>
        <v>14.87</v>
      </c>
      <c r="ED468" s="2276">
        <f>VLOOKUP(DY470,DZ456:ED466,5,0)</f>
        <v>14.93</v>
      </c>
      <c r="EE468" s="2276">
        <f>VLOOKUP(DY470,DZ456:EE466,6,0)</f>
        <v>16.600000000000001</v>
      </c>
      <c r="EF468" s="2276">
        <f>VLOOKUP(DY470,DZ456:EF466,7,0)</f>
        <v>16.93</v>
      </c>
      <c r="EG468" s="2276">
        <f>VLOOKUP(DY470,DZ456:EG466,8,0)</f>
        <v>18.670000000000002</v>
      </c>
      <c r="EH468" s="2276">
        <f>VLOOKUP(DY470,DZ456:EH466,9,0)</f>
        <v>19.93</v>
      </c>
      <c r="EI468" s="2276">
        <f>VLOOKUP(DY470,DZ456:EI466,10,0)</f>
        <v>21.2</v>
      </c>
      <c r="EJ468" s="2276">
        <f>VLOOKUP(DY470,DZ456:EJ466,11,0)</f>
        <v>22.47</v>
      </c>
      <c r="EK468" s="2276">
        <f>VLOOKUP(DY470,DZ456:EK466,12,0)</f>
        <v>23.93</v>
      </c>
      <c r="EL468" s="2276">
        <f>VLOOKUP(DY470,DZ456:EL466,13,0)</f>
        <v>26.87</v>
      </c>
      <c r="EM468" s="2276">
        <f>VLOOKUP(DY470,DZ456:EM466,14,0)</f>
        <v>28.2</v>
      </c>
      <c r="EN468" s="2276">
        <f>VLOOKUP(DY470,DZ456:EN466,15,0)</f>
        <v>28.53</v>
      </c>
      <c r="EO468" s="2276">
        <f>VLOOKUP(DY470,DZ456:EO466,16,0)</f>
        <v>29.47</v>
      </c>
      <c r="EP468" s="2276">
        <f>VLOOKUP(DY470,DZ456:EP466,17,0)</f>
        <v>32.270000000000003</v>
      </c>
      <c r="EQ468" s="2276">
        <f>VLOOKUP(DY470,DZ456:EQ466,18,0)</f>
        <v>32.4</v>
      </c>
      <c r="ER468" s="2276">
        <f>VLOOKUP(DY470,DZ456:ER466,19,0)</f>
        <v>35.869999999999997</v>
      </c>
      <c r="ES468" s="2276">
        <f>VLOOKUP(DY470,DZ456:ES466,20,0)</f>
        <v>37.869999999999997</v>
      </c>
      <c r="ET468" s="2276">
        <f>VLOOKUP(DY470,DZ456:ET466,21,0)</f>
        <v>39.869999999999997</v>
      </c>
      <c r="EU468" s="2276">
        <f>VLOOKUP(DY470,DZ456:EU466,22,0)</f>
        <v>43.47</v>
      </c>
      <c r="EV468" s="2276">
        <f>VLOOKUP(DY470,DZ456:EV466,23,0)</f>
        <v>47.13</v>
      </c>
      <c r="EW468" s="2276">
        <f>VLOOKUP(DY470,DZ456:EW466,24,0)</f>
        <v>53.07</v>
      </c>
      <c r="EX468" s="2276">
        <f>VLOOKUP(DY470,DZ456:EX466,25,0)</f>
        <v>58.8</v>
      </c>
      <c r="EY468" s="2276">
        <f>VLOOKUP(DY470,DZ456:EY466,26,0)</f>
        <v>65.27</v>
      </c>
      <c r="EZ468" s="2276">
        <f>VLOOKUP(DY470,DZ456:EZ466,27,0)</f>
        <v>66.67</v>
      </c>
      <c r="FA468" s="2276">
        <f>VLOOKUP(DY470,DZ456:FA466,28,0)</f>
        <v>66.67</v>
      </c>
      <c r="FB468" s="2346"/>
      <c r="FC468" s="2275"/>
      <c r="FD468" s="2276">
        <f>HLOOKUP(FD453,EA454:FA466,13,0)</f>
        <v>144.07</v>
      </c>
      <c r="FE468" s="2275"/>
      <c r="FF468" s="2275"/>
      <c r="FG468" s="2275"/>
      <c r="FH468" s="2275"/>
      <c r="FI468" s="2275"/>
      <c r="FJ468" s="2275"/>
      <c r="FK468" s="2275"/>
      <c r="FL468" s="2275"/>
      <c r="FM468" s="2250"/>
      <c r="FN468" s="2250"/>
      <c r="FO468" s="2250"/>
      <c r="FP468" s="2250"/>
      <c r="FQ468" s="2250"/>
      <c r="FR468" s="2250"/>
      <c r="FS468" s="2250"/>
      <c r="FT468" s="2250"/>
      <c r="FU468" s="2250"/>
      <c r="FV468" s="2250"/>
      <c r="FW468" s="2250"/>
      <c r="FX468" s="2250"/>
      <c r="FY468" s="2250"/>
      <c r="FZ468" s="2250"/>
      <c r="GA468" s="2250"/>
      <c r="GB468" s="2250"/>
      <c r="GC468" s="2276"/>
      <c r="GD468" s="2276"/>
      <c r="GE468" s="2250"/>
      <c r="GF468" s="2275"/>
      <c r="GG468" s="2276">
        <f>HL453</f>
        <v>129.80000000000001</v>
      </c>
      <c r="GH468" s="2275">
        <v>0</v>
      </c>
      <c r="GI468" s="2276">
        <f>VLOOKUP(GG470,GH456:HI466,2,0)</f>
        <v>12.4</v>
      </c>
      <c r="GJ468" s="2276">
        <f>VLOOKUP(GG470,GH456:GJ466,3,0)</f>
        <v>13.73</v>
      </c>
      <c r="GK468" s="2276">
        <f>VLOOKUP(GG470,GH456:GK466,4,0)</f>
        <v>14.87</v>
      </c>
      <c r="GL468" s="2276">
        <f>VLOOKUP(GG470,GH456:GL466,5,0)</f>
        <v>14.93</v>
      </c>
      <c r="GM468" s="2276">
        <f>VLOOKUP(GG470,GH456:GM466,6,0)</f>
        <v>16.600000000000001</v>
      </c>
      <c r="GN468" s="2276">
        <f>VLOOKUP(GG470,GH456:GN466,7,0)</f>
        <v>16.93</v>
      </c>
      <c r="GO468" s="2276">
        <f>VLOOKUP(GG470,GH456:GO466,8,0)</f>
        <v>18.670000000000002</v>
      </c>
      <c r="GP468" s="2276">
        <f>VLOOKUP(GG470,GH456:GP466,9,0)</f>
        <v>19.93</v>
      </c>
      <c r="GQ468" s="2276">
        <f>VLOOKUP(GG470,GH456:GQ466,10,0)</f>
        <v>21.2</v>
      </c>
      <c r="GR468" s="2276">
        <f>VLOOKUP(GG470,GH456:GR466,11,0)</f>
        <v>22.47</v>
      </c>
      <c r="GS468" s="2276">
        <f>VLOOKUP(GG470,GH456:GS466,12,0)</f>
        <v>23.93</v>
      </c>
      <c r="GT468" s="2276">
        <f>VLOOKUP(GG470,GH456:GT466,13,0)</f>
        <v>26.87</v>
      </c>
      <c r="GU468" s="2276">
        <f>VLOOKUP(GG470,GH456:GU466,14,0)</f>
        <v>28.2</v>
      </c>
      <c r="GV468" s="2276">
        <f>VLOOKUP(GG470,GH456:GV466,15,0)</f>
        <v>28.53</v>
      </c>
      <c r="GW468" s="2276">
        <f>VLOOKUP(GG470,GH456:GW466,16,0)</f>
        <v>29.47</v>
      </c>
      <c r="GX468" s="2276">
        <f>VLOOKUP(GG470,GH456:GX466,17,0)</f>
        <v>32.270000000000003</v>
      </c>
      <c r="GY468" s="2276">
        <f>VLOOKUP(GG470,GH456:GY466,18,0)</f>
        <v>32.4</v>
      </c>
      <c r="GZ468" s="2276">
        <f>VLOOKUP(GG470,GH456:GZ466,19,0)</f>
        <v>35.869999999999997</v>
      </c>
      <c r="HA468" s="2276">
        <f>VLOOKUP(GG470,GH456:HA466,20,0)</f>
        <v>37.869999999999997</v>
      </c>
      <c r="HB468" s="2276">
        <f>VLOOKUP(GG470,GH456:HB466,21,0)</f>
        <v>39.869999999999997</v>
      </c>
      <c r="HC468" s="2276">
        <f>VLOOKUP(GG470,GH456:HC466,22,0)</f>
        <v>43.47</v>
      </c>
      <c r="HD468" s="2276">
        <f>VLOOKUP(GG470,GH456:HD466,23,0)</f>
        <v>47.13</v>
      </c>
      <c r="HE468" s="2276">
        <f>VLOOKUP(GG470,GH456:HE466,24,0)</f>
        <v>53.07</v>
      </c>
      <c r="HF468" s="2276">
        <f>VLOOKUP(GG470,GH456:HF466,25,0)</f>
        <v>58.8</v>
      </c>
      <c r="HG468" s="2276">
        <f>VLOOKUP(GG470,GH456:HG466,26,0)</f>
        <v>65.27</v>
      </c>
      <c r="HH468" s="2276">
        <f>VLOOKUP(GG470,GH456:HH466,27,0)</f>
        <v>66.67</v>
      </c>
      <c r="HI468" s="2276">
        <f>VLOOKUP(GG470,GH456:HI466,28,0)</f>
        <v>66.67</v>
      </c>
      <c r="HJ468" s="2346"/>
      <c r="HK468" s="2275"/>
      <c r="HL468" s="2276">
        <f>HLOOKUP(HL453,GI454:HI466,13,0)</f>
        <v>135.6</v>
      </c>
      <c r="HM468" s="2275"/>
      <c r="HN468" s="2275"/>
      <c r="HO468" s="2275"/>
      <c r="HP468" s="2275"/>
      <c r="HQ468" s="2275"/>
      <c r="HR468" s="2275"/>
      <c r="HS468" s="2275"/>
      <c r="HT468" s="2275"/>
      <c r="HU468" s="2250"/>
      <c r="HV468" s="2250"/>
      <c r="HW468" s="2250"/>
      <c r="HX468" s="2250"/>
      <c r="HY468" s="2250"/>
      <c r="HZ468" s="2250"/>
      <c r="IA468" s="2250"/>
      <c r="IB468" s="2250"/>
      <c r="IC468" s="2250"/>
      <c r="ID468" s="2250"/>
      <c r="IE468" s="2250"/>
      <c r="IF468" s="2250"/>
      <c r="IG468" s="2250"/>
      <c r="IH468" s="2250"/>
      <c r="II468" s="2250"/>
      <c r="IJ468" s="2250"/>
      <c r="IK468" s="2250"/>
      <c r="IL468" s="53"/>
      <c r="IM468" s="53"/>
    </row>
    <row r="469" spans="2:247" ht="21.95" customHeight="1">
      <c r="B469" s="2276">
        <f>AH470</f>
        <v>21.47</v>
      </c>
      <c r="C469" s="2250"/>
      <c r="D469" s="2275"/>
      <c r="E469" s="2275"/>
      <c r="F469" s="2275"/>
      <c r="G469" s="2275"/>
      <c r="H469" s="2275"/>
      <c r="I469" s="2275"/>
      <c r="J469" s="2275"/>
      <c r="K469" s="2275"/>
      <c r="L469" s="2275"/>
      <c r="M469" s="2275"/>
      <c r="N469" s="2275"/>
      <c r="O469" s="2275"/>
      <c r="P469" s="2275"/>
      <c r="Q469" s="2275"/>
      <c r="R469" s="2275"/>
      <c r="S469" s="2275"/>
      <c r="T469" s="2275"/>
      <c r="U469" s="2275"/>
      <c r="V469" s="2275"/>
      <c r="W469" s="2275"/>
      <c r="X469" s="2275"/>
      <c r="Y469" s="2275"/>
      <c r="Z469" s="2275"/>
      <c r="AA469" s="2275"/>
      <c r="AB469" s="2275"/>
      <c r="AC469" s="2275"/>
      <c r="AD469" s="2275"/>
      <c r="AE469" s="2275"/>
      <c r="AF469" s="2275"/>
      <c r="AG469" s="2276">
        <f>VLOOKUP(AG454,AG456:AG468,1)</f>
        <v>14.87</v>
      </c>
      <c r="AH469" s="2276">
        <f>IFERROR(VLOOKUP(AG454,AH456:AH466,2,0),0)</f>
        <v>0</v>
      </c>
      <c r="AI469" s="2275"/>
      <c r="AJ469" s="2275"/>
      <c r="AK469" s="2275"/>
      <c r="AL469" s="2275"/>
      <c r="AM469" s="2275"/>
      <c r="AN469" s="2275"/>
      <c r="AO469" s="2275"/>
      <c r="AP469" s="2250"/>
      <c r="AQ469" s="2250"/>
      <c r="AR469" s="2250"/>
      <c r="AS469" s="2250"/>
      <c r="AT469" s="2250"/>
      <c r="AU469" s="2250"/>
      <c r="AV469" s="2250"/>
      <c r="AW469" s="2250"/>
      <c r="AX469" s="2250"/>
      <c r="AY469" s="2250"/>
      <c r="AZ469" s="2250"/>
      <c r="BA469" s="2250"/>
      <c r="BB469" s="2250"/>
      <c r="BC469" s="2250"/>
      <c r="BD469" s="2250"/>
      <c r="BE469" s="2250"/>
      <c r="BF469" s="2276"/>
      <c r="BG469" s="2276"/>
      <c r="BH469" s="2250"/>
      <c r="BI469" s="2275"/>
      <c r="BJ469" s="2276">
        <f>CP470</f>
        <v>26.07</v>
      </c>
      <c r="BK469" s="2250"/>
      <c r="BL469" s="2275"/>
      <c r="BM469" s="2275"/>
      <c r="BN469" s="2275"/>
      <c r="BO469" s="2275"/>
      <c r="BP469" s="2275"/>
      <c r="BQ469" s="2275"/>
      <c r="BR469" s="2275"/>
      <c r="BS469" s="2275"/>
      <c r="BT469" s="2275"/>
      <c r="BU469" s="2275"/>
      <c r="BV469" s="2275"/>
      <c r="BW469" s="2275"/>
      <c r="BX469" s="2275"/>
      <c r="BY469" s="2275"/>
      <c r="BZ469" s="2275"/>
      <c r="CA469" s="2275"/>
      <c r="CB469" s="2275"/>
      <c r="CC469" s="2275"/>
      <c r="CD469" s="2275"/>
      <c r="CE469" s="2275"/>
      <c r="CF469" s="2275"/>
      <c r="CG469" s="2275"/>
      <c r="CH469" s="2275"/>
      <c r="CI469" s="2275"/>
      <c r="CJ469" s="2275"/>
      <c r="CK469" s="2275"/>
      <c r="CL469" s="2275"/>
      <c r="CM469" s="2275"/>
      <c r="CN469" s="2275"/>
      <c r="CO469" s="2276">
        <f>VLOOKUP(CO454,CO456:CO468,1)</f>
        <v>19.399999999999999</v>
      </c>
      <c r="CP469" s="2276">
        <f>IFERROR(VLOOKUP(CO454,CP456:CP466,2,0),0)</f>
        <v>0</v>
      </c>
      <c r="CQ469" s="2275"/>
      <c r="CR469" s="2275"/>
      <c r="CS469" s="2275"/>
      <c r="CT469" s="2275"/>
      <c r="CU469" s="2275"/>
      <c r="CV469" s="2275"/>
      <c r="CW469" s="2275"/>
      <c r="CX469" s="2250"/>
      <c r="CY469" s="2250"/>
      <c r="CZ469" s="2250"/>
      <c r="DA469" s="2250"/>
      <c r="DB469" s="2250"/>
      <c r="DC469" s="2250"/>
      <c r="DD469" s="2250"/>
      <c r="DE469" s="2250"/>
      <c r="DF469" s="2250"/>
      <c r="DG469" s="2250"/>
      <c r="DH469" s="2250"/>
      <c r="DI469" s="2250"/>
      <c r="DJ469" s="2250"/>
      <c r="DK469" s="2250"/>
      <c r="DL469" s="2250"/>
      <c r="DM469" s="2250"/>
      <c r="DN469" s="2250"/>
      <c r="DO469" s="53"/>
      <c r="DP469" s="53"/>
      <c r="DY469" s="2276">
        <f>FE470</f>
        <v>22.47</v>
      </c>
      <c r="DZ469" s="2250"/>
      <c r="EA469" s="2275"/>
      <c r="EB469" s="2275"/>
      <c r="EC469" s="2275"/>
      <c r="ED469" s="2275"/>
      <c r="EE469" s="2275"/>
      <c r="EF469" s="2275"/>
      <c r="EG469" s="2275"/>
      <c r="EH469" s="2275"/>
      <c r="EI469" s="2275"/>
      <c r="EJ469" s="2275"/>
      <c r="EK469" s="2275"/>
      <c r="EL469" s="2275"/>
      <c r="EM469" s="2275"/>
      <c r="EN469" s="2275"/>
      <c r="EO469" s="2275"/>
      <c r="EP469" s="2275"/>
      <c r="EQ469" s="2275"/>
      <c r="ER469" s="2275"/>
      <c r="ES469" s="2275"/>
      <c r="ET469" s="2275"/>
      <c r="EU469" s="2275"/>
      <c r="EV469" s="2275"/>
      <c r="EW469" s="2275"/>
      <c r="EX469" s="2275"/>
      <c r="EY469" s="2275"/>
      <c r="EZ469" s="2275"/>
      <c r="FA469" s="2275"/>
      <c r="FB469" s="2275"/>
      <c r="FC469" s="2275"/>
      <c r="FD469" s="2276">
        <f>VLOOKUP(FD454,FD456:FD468,1)</f>
        <v>16.670000000000002</v>
      </c>
      <c r="FE469" s="2276">
        <f>IFERROR(VLOOKUP(FD454,FE456:FE466,2,0),0)</f>
        <v>0</v>
      </c>
      <c r="FF469" s="2275"/>
      <c r="FG469" s="2275"/>
      <c r="FH469" s="2275"/>
      <c r="FI469" s="2275"/>
      <c r="FJ469" s="2275"/>
      <c r="FK469" s="2275"/>
      <c r="FL469" s="2275"/>
      <c r="FM469" s="2250"/>
      <c r="FN469" s="2250"/>
      <c r="FO469" s="2250"/>
      <c r="FP469" s="2250"/>
      <c r="FQ469" s="2250"/>
      <c r="FR469" s="2250"/>
      <c r="FS469" s="2250"/>
      <c r="FT469" s="2250"/>
      <c r="FU469" s="2250"/>
      <c r="FV469" s="2250"/>
      <c r="FW469" s="2250"/>
      <c r="FX469" s="2250"/>
      <c r="FY469" s="2250"/>
      <c r="FZ469" s="2250"/>
      <c r="GA469" s="2250"/>
      <c r="GB469" s="2250"/>
      <c r="GC469" s="2276"/>
      <c r="GD469" s="2276"/>
      <c r="GE469" s="2250"/>
      <c r="GF469" s="2275"/>
      <c r="GG469" s="2276">
        <f>HM470</f>
        <v>21.2</v>
      </c>
      <c r="GH469" s="2250"/>
      <c r="GI469" s="2275"/>
      <c r="GJ469" s="2275"/>
      <c r="GK469" s="2275"/>
      <c r="GL469" s="2275"/>
      <c r="GM469" s="2275"/>
      <c r="GN469" s="2275"/>
      <c r="GO469" s="2275"/>
      <c r="GP469" s="2275"/>
      <c r="GQ469" s="2275"/>
      <c r="GR469" s="2275"/>
      <c r="GS469" s="2275"/>
      <c r="GT469" s="2275"/>
      <c r="GU469" s="2275"/>
      <c r="GV469" s="2275"/>
      <c r="GW469" s="2275"/>
      <c r="GX469" s="2275"/>
      <c r="GY469" s="2275"/>
      <c r="GZ469" s="2275"/>
      <c r="HA469" s="2275"/>
      <c r="HB469" s="2275"/>
      <c r="HC469" s="2275"/>
      <c r="HD469" s="2275"/>
      <c r="HE469" s="2275"/>
      <c r="HF469" s="2275"/>
      <c r="HG469" s="2275"/>
      <c r="HH469" s="2275"/>
      <c r="HI469" s="2275"/>
      <c r="HJ469" s="2275"/>
      <c r="HK469" s="2275"/>
      <c r="HL469" s="2276">
        <f>VLOOKUP(HL454,HL456:HL468,1)</f>
        <v>15.67</v>
      </c>
      <c r="HM469" s="2276">
        <f>IFERROR(VLOOKUP(HL454,HM456:HM466,2,0),0)</f>
        <v>0</v>
      </c>
      <c r="HN469" s="2275"/>
      <c r="HO469" s="2275"/>
      <c r="HP469" s="2275"/>
      <c r="HQ469" s="2275"/>
      <c r="HR469" s="2275"/>
      <c r="HS469" s="2275"/>
      <c r="HT469" s="2275"/>
      <c r="HU469" s="2250"/>
      <c r="HV469" s="2250"/>
      <c r="HW469" s="2250"/>
      <c r="HX469" s="2250"/>
      <c r="HY469" s="2250"/>
      <c r="HZ469" s="2250"/>
      <c r="IA469" s="2250"/>
      <c r="IB469" s="2250"/>
      <c r="IC469" s="2250"/>
      <c r="ID469" s="2250"/>
      <c r="IE469" s="2250"/>
      <c r="IF469" s="2250"/>
      <c r="IG469" s="2250"/>
      <c r="IH469" s="2250"/>
      <c r="II469" s="2250"/>
      <c r="IJ469" s="2250"/>
      <c r="IK469" s="2250"/>
      <c r="IL469" s="53"/>
      <c r="IM469" s="53"/>
    </row>
    <row r="470" spans="2:247" ht="21.95" customHeight="1">
      <c r="B470" s="3693">
        <f>AI470</f>
        <v>950</v>
      </c>
      <c r="C470" s="2346" t="s">
        <v>739</v>
      </c>
      <c r="D470" s="3693">
        <f>HLOOKUP(B468,D454:AD468,15,0)</f>
        <v>21.47</v>
      </c>
      <c r="E470" s="3693" t="str">
        <f>IF(B469=D470,"Right","Wrong")</f>
        <v>Right</v>
      </c>
      <c r="F470" s="2275"/>
      <c r="G470" s="2275"/>
      <c r="H470" s="2275"/>
      <c r="I470" s="2275"/>
      <c r="J470" s="2275"/>
      <c r="K470" s="2275"/>
      <c r="L470" s="2275"/>
      <c r="M470" s="2275"/>
      <c r="N470" s="2275"/>
      <c r="O470" s="2275"/>
      <c r="P470" s="2275"/>
      <c r="Q470" s="2275"/>
      <c r="R470" s="2275"/>
      <c r="S470" s="2275"/>
      <c r="T470" s="2275"/>
      <c r="U470" s="2275"/>
      <c r="V470" s="2275"/>
      <c r="W470" s="2275"/>
      <c r="X470" s="2275"/>
      <c r="Y470" s="2275"/>
      <c r="Z470" s="2275"/>
      <c r="AA470" s="2275"/>
      <c r="AB470" s="2275"/>
      <c r="AC470" s="2275"/>
      <c r="AD470" s="2275"/>
      <c r="AE470" s="2275"/>
      <c r="AF470" s="2275"/>
      <c r="AG470" s="2276">
        <f>VLOOKUP(AG469,AG456:AH467,2,0)</f>
        <v>21.47</v>
      </c>
      <c r="AH470" s="2276">
        <f>IF(AH469&gt;0,AH469,AG470)</f>
        <v>21.47</v>
      </c>
      <c r="AI470" s="2276">
        <f>VLOOKUP(AH470,AH457:AI467,2,0)</f>
        <v>950</v>
      </c>
      <c r="AJ470" s="2275"/>
      <c r="AK470" s="2275"/>
      <c r="AL470" s="2275"/>
      <c r="AM470" s="2275"/>
      <c r="AN470" s="2275"/>
      <c r="AO470" s="2275"/>
      <c r="AP470" s="2250"/>
      <c r="AQ470" s="2250"/>
      <c r="AR470" s="2250"/>
      <c r="AS470" s="2250"/>
      <c r="AT470" s="2250"/>
      <c r="AU470" s="2250"/>
      <c r="AV470" s="2250"/>
      <c r="AW470" s="2250"/>
      <c r="AX470" s="2250"/>
      <c r="AY470" s="2250"/>
      <c r="AZ470" s="2250"/>
      <c r="BA470" s="2250"/>
      <c r="BB470" s="2250"/>
      <c r="BC470" s="2250"/>
      <c r="BD470" s="2250"/>
      <c r="BE470" s="2250"/>
      <c r="BF470" s="2276"/>
      <c r="BG470" s="2276"/>
      <c r="BH470" s="2250"/>
      <c r="BI470" s="2275"/>
      <c r="BJ470" s="3693">
        <f>CQ470</f>
        <v>1100</v>
      </c>
      <c r="BK470" s="2346" t="s">
        <v>739</v>
      </c>
      <c r="BL470" s="3693">
        <f>HLOOKUP(BJ468,BL454:CL468,15,0)</f>
        <v>26.07</v>
      </c>
      <c r="BM470" s="3693" t="str">
        <f>IF(BJ469=BL470,"Right","Wrong")</f>
        <v>Right</v>
      </c>
      <c r="BN470" s="2275"/>
      <c r="BO470" s="2275"/>
      <c r="BP470" s="2275"/>
      <c r="BQ470" s="2275"/>
      <c r="BR470" s="2275"/>
      <c r="BS470" s="2275"/>
      <c r="BT470" s="2275"/>
      <c r="BU470" s="2275"/>
      <c r="BV470" s="2275"/>
      <c r="BW470" s="2275"/>
      <c r="BX470" s="2275"/>
      <c r="BY470" s="2275"/>
      <c r="BZ470" s="2275"/>
      <c r="CA470" s="2275"/>
      <c r="CB470" s="2275"/>
      <c r="CC470" s="2275"/>
      <c r="CD470" s="2275"/>
      <c r="CE470" s="2275"/>
      <c r="CF470" s="2275"/>
      <c r="CG470" s="2275"/>
      <c r="CH470" s="2275"/>
      <c r="CI470" s="2275"/>
      <c r="CJ470" s="2275"/>
      <c r="CK470" s="2275"/>
      <c r="CL470" s="2275"/>
      <c r="CM470" s="2275"/>
      <c r="CN470" s="2275"/>
      <c r="CO470" s="2276">
        <f>VLOOKUP(CO469,CO456:CP467,2,0)</f>
        <v>26.07</v>
      </c>
      <c r="CP470" s="2276">
        <f>IF(CP469&gt;0,CP469,CO470)</f>
        <v>26.07</v>
      </c>
      <c r="CQ470" s="2276">
        <f>VLOOKUP(CP470,CP457:CQ467,2,0)</f>
        <v>1100</v>
      </c>
      <c r="CR470" s="2275"/>
      <c r="CS470" s="2275"/>
      <c r="CT470" s="2275"/>
      <c r="CU470" s="2275"/>
      <c r="CV470" s="2275"/>
      <c r="CW470" s="2275"/>
      <c r="CX470" s="2250"/>
      <c r="CY470" s="2250"/>
      <c r="CZ470" s="2250"/>
      <c r="DA470" s="2250"/>
      <c r="DB470" s="2250"/>
      <c r="DC470" s="2250"/>
      <c r="DD470" s="2250"/>
      <c r="DE470" s="2250"/>
      <c r="DF470" s="2250"/>
      <c r="DG470" s="2250"/>
      <c r="DH470" s="2250"/>
      <c r="DI470" s="2250"/>
      <c r="DJ470" s="2250"/>
      <c r="DK470" s="2250"/>
      <c r="DL470" s="2250"/>
      <c r="DM470" s="2250"/>
      <c r="DN470" s="2250"/>
      <c r="DO470" s="53"/>
      <c r="DP470" s="53"/>
      <c r="DY470" s="3693">
        <f>FF470</f>
        <v>825</v>
      </c>
      <c r="DZ470" s="2346" t="s">
        <v>739</v>
      </c>
      <c r="EA470" s="3693">
        <f>HLOOKUP(DY468,EA454:FA468,15,0)</f>
        <v>22.47</v>
      </c>
      <c r="EB470" s="3693" t="str">
        <f>IF(DY469=EA470,"Right","Wrong")</f>
        <v>Right</v>
      </c>
      <c r="EC470" s="2275"/>
      <c r="ED470" s="2275"/>
      <c r="EE470" s="2275"/>
      <c r="EF470" s="2275"/>
      <c r="EG470" s="2275"/>
      <c r="EH470" s="2275"/>
      <c r="EI470" s="2275"/>
      <c r="EJ470" s="2275"/>
      <c r="EK470" s="2275"/>
      <c r="EL470" s="2275"/>
      <c r="EM470" s="2275"/>
      <c r="EN470" s="2275"/>
      <c r="EO470" s="2275"/>
      <c r="EP470" s="2275"/>
      <c r="EQ470" s="2275"/>
      <c r="ER470" s="2275"/>
      <c r="ES470" s="2275"/>
      <c r="ET470" s="2275"/>
      <c r="EU470" s="2275"/>
      <c r="EV470" s="2275"/>
      <c r="EW470" s="2275"/>
      <c r="EX470" s="2275"/>
      <c r="EY470" s="2275"/>
      <c r="EZ470" s="2275"/>
      <c r="FA470" s="2275"/>
      <c r="FB470" s="2275"/>
      <c r="FC470" s="2275"/>
      <c r="FD470" s="2276">
        <f>VLOOKUP(FD469,FD456:FE467,2,0)</f>
        <v>22.47</v>
      </c>
      <c r="FE470" s="2276">
        <f>IF(FE469&gt;0,FE469,FD470)</f>
        <v>22.47</v>
      </c>
      <c r="FF470" s="2276">
        <f>VLOOKUP(FE470,FE457:FF467,2,0)</f>
        <v>825</v>
      </c>
      <c r="FG470" s="2275"/>
      <c r="FH470" s="2275"/>
      <c r="FI470" s="2275"/>
      <c r="FJ470" s="2275"/>
      <c r="FK470" s="2275"/>
      <c r="FL470" s="2275"/>
      <c r="FM470" s="2250"/>
      <c r="FN470" s="2250"/>
      <c r="FO470" s="2250"/>
      <c r="FP470" s="2250"/>
      <c r="FQ470" s="2250"/>
      <c r="FR470" s="2250"/>
      <c r="FS470" s="2250"/>
      <c r="FT470" s="2250"/>
      <c r="FU470" s="2250"/>
      <c r="FV470" s="2250"/>
      <c r="FW470" s="2250"/>
      <c r="FX470" s="2250"/>
      <c r="FY470" s="2250"/>
      <c r="FZ470" s="2250"/>
      <c r="GA470" s="2250"/>
      <c r="GB470" s="2250"/>
      <c r="GC470" s="2276"/>
      <c r="GD470" s="2276"/>
      <c r="GE470" s="2250"/>
      <c r="GF470" s="2275"/>
      <c r="GG470" s="3693">
        <f>HN470</f>
        <v>825</v>
      </c>
      <c r="GH470" s="2346" t="s">
        <v>739</v>
      </c>
      <c r="GI470" s="3693">
        <f>HLOOKUP(GG468,GI454:HI468,15,0)</f>
        <v>21.2</v>
      </c>
      <c r="GJ470" s="3693" t="str">
        <f>IF(GG469=GI470,"Right","Wrong")</f>
        <v>Right</v>
      </c>
      <c r="GK470" s="2275"/>
      <c r="GL470" s="2275"/>
      <c r="GM470" s="2275"/>
      <c r="GN470" s="2275"/>
      <c r="GO470" s="2275"/>
      <c r="GP470" s="2275"/>
      <c r="GQ470" s="2275"/>
      <c r="GR470" s="2275"/>
      <c r="GS470" s="2275"/>
      <c r="GT470" s="2275"/>
      <c r="GU470" s="2275"/>
      <c r="GV470" s="2275"/>
      <c r="GW470" s="2275"/>
      <c r="GX470" s="2275"/>
      <c r="GY470" s="2275"/>
      <c r="GZ470" s="2275"/>
      <c r="HA470" s="2275"/>
      <c r="HB470" s="2275"/>
      <c r="HC470" s="2275"/>
      <c r="HD470" s="2275"/>
      <c r="HE470" s="2275"/>
      <c r="HF470" s="2275"/>
      <c r="HG470" s="2275"/>
      <c r="HH470" s="2275"/>
      <c r="HI470" s="2275"/>
      <c r="HJ470" s="2275"/>
      <c r="HK470" s="2275"/>
      <c r="HL470" s="2276">
        <f>VLOOKUP(HL469,HL456:HM467,2,0)</f>
        <v>21.2</v>
      </c>
      <c r="HM470" s="2276">
        <f>IF(HM469&gt;0,HM469,HL470)</f>
        <v>21.2</v>
      </c>
      <c r="HN470" s="2276">
        <f>VLOOKUP(HM470,HM457:HN467,2,0)</f>
        <v>825</v>
      </c>
      <c r="HO470" s="2275"/>
      <c r="HP470" s="2275"/>
      <c r="HQ470" s="2275"/>
      <c r="HR470" s="2275"/>
      <c r="HS470" s="2275"/>
      <c r="HT470" s="2275"/>
      <c r="HU470" s="2250"/>
      <c r="HV470" s="2250"/>
      <c r="HW470" s="2250"/>
      <c r="HX470" s="2250"/>
      <c r="HY470" s="2250"/>
      <c r="HZ470" s="2250"/>
      <c r="IA470" s="2250"/>
      <c r="IB470" s="2250"/>
      <c r="IC470" s="2250"/>
      <c r="ID470" s="2250"/>
      <c r="IE470" s="2250"/>
      <c r="IF470" s="2250"/>
      <c r="IG470" s="2250"/>
      <c r="IH470" s="2250"/>
      <c r="II470" s="2250"/>
      <c r="IJ470" s="2250"/>
      <c r="IK470" s="2250"/>
      <c r="IL470" s="53"/>
      <c r="IM470" s="53"/>
    </row>
    <row r="471" spans="2:247" ht="21.95" customHeight="1">
      <c r="B471" s="2250"/>
      <c r="C471" s="2275"/>
      <c r="D471" s="2276">
        <f>+IF(B472&lt;=D456,D456,IF(B472&lt;=D457,D457,IF(B472&lt;=D458,D458,IF(B472&lt;=D459,D459,IF(B472&lt;=D460,D460,IF(B472&lt;=D461,D461,IF(B472&lt;=D462,D462,IF(B472&lt;=D463,D463,0))))))))</f>
        <v>23.13</v>
      </c>
      <c r="E471" s="2276">
        <f>+IF(B472&lt;=E456,E456,IF(B472&lt;=E457,E457,IF(B472&lt;=E458,E458,IF(B472&lt;=E459,E459,IF(B472&lt;=E460,E460,IF(B472&lt;=E461,E461,IF(B472&lt;=E462,E462,IF(B472&lt;=E463,E463,0))))))))</f>
        <v>26.07</v>
      </c>
      <c r="F471" s="2276">
        <f>+IF(B472&lt;=F456,F456,IF(B472&lt;=F457,F457,IF(B472&lt;=F458,F458,IF(B472&lt;=F459,F459,IF(B472&lt;=F460,F460,IF(B472&lt;=F461,F461,IF(B472&lt;=F462,F462,IF(B472&lt;=F463,F463,0))))))))</f>
        <v>21.47</v>
      </c>
      <c r="G471" s="2276">
        <f>+IF(B472&lt;=G456,G456,IF(B472&lt;=G457,G457,IF(B472&lt;=G458,G458,IF(B472&lt;=G459,G459,IF(B472&lt;=G460,G460,IF(B472&lt;=G461,G461,IF(B472&lt;=G462,G462,IF(B472&lt;=G463,G463,0))))))))</f>
        <v>22.93</v>
      </c>
      <c r="H471" s="2276">
        <f>+IF(B472&lt;=H456,H456,IF(B472&lt;=H457,H457,IF(B472&lt;=H458,H458,IF(B472&lt;=H459,H459,IF(B472&lt;=H460,H460,IF(B472&lt;=H461,H461,IF(B472&lt;=H462,H462,IF(B472&lt;=H463,H463,0))))))))</f>
        <v>22.93</v>
      </c>
      <c r="I471" s="2276">
        <f>+IF(B472&lt;=I456,I456,IF(B472&lt;=I457,I457,IF(B472&lt;=I458,I458,IF(B472&lt;=I459,I459,IF(B472&lt;=I460,I460,IF(B472&lt;=I461,I461,IF(B472&lt;=I462,I462,IF(B472&lt;=I463,I463,0))))))))</f>
        <v>24.53</v>
      </c>
      <c r="J471" s="2276">
        <f>+IF(B472&lt;=J456,J456,IF(B472&lt;=J457,J457,IF(B472&lt;=J458,J458,IF(B472&lt;=J459,J459,IF(B472&lt;=J460,J460,IF(B472&lt;=J461,J461,IF(B472&lt;=J462,J462,IF(B472&lt;=J463,J463,0))))))))</f>
        <v>27.13</v>
      </c>
      <c r="K471" s="2276">
        <f>+IF(B472&lt;=K456,K456,IF(B472&lt;=K457,K457,IF(B472&lt;=K458,K458,IF(B472&lt;=K459,K459,IF(B472&lt;=K460,K460,IF(B472&lt;=K461,K461,IF(B472&lt;=K462,K462,IF(B472&lt;=K463,K463,0))))))))</f>
        <v>19.93</v>
      </c>
      <c r="L471" s="2276">
        <f>+IF(B472&lt;=L456,L456,IF(B472&lt;=L457,L457,IF(B472&lt;=L458,L458,IF(B472&lt;=L459,L459,IF(B472&lt;=L460,L460,IF(B472&lt;=L461,L461,IF(B472&lt;=L462,L462,IF(B472&lt;=L463,L463,0))))))))</f>
        <v>21.2</v>
      </c>
      <c r="M471" s="2276">
        <f>+IF(B472&lt;=M456,M456,IF(B472&lt;=M457,M457,IF(B472&lt;=M458,M458,IF(B472&lt;=M459,M459,IF(B472&lt;=M460,M460,IF(B472&lt;=M461,M461,IF(B472&lt;=M462,M462,IF(B472&lt;=M463,M463,0))))))))</f>
        <v>22.47</v>
      </c>
      <c r="N471" s="2276">
        <f>+IF(B472&lt;=N456,N456,IF(B472&lt;=N457,N457,IF(B472&lt;=N458,N458,IF(B472&lt;=N459,N459,IF(B472&lt;=N460,N460,IF(B472&lt;=N461,N461,IF(B472&lt;=N462,N462,IF(B472&lt;=N463,N463,0))))))))</f>
        <v>23.93</v>
      </c>
      <c r="O471" s="2276">
        <f>+IF(B472&lt;=O456,O456,IF(B472&lt;=O457,O457,IF(B472&lt;=O458,O458,IF(B472&lt;=O459,O459,IF(B472&lt;=O460,O460,IF(B472&lt;=O461,O461,IF(B472&lt;=O462,O462,IF(B472&lt;=O463,O463,0))))))))</f>
        <v>21.2</v>
      </c>
      <c r="P471" s="2276">
        <f>+IF(B472&lt;=P456,P456,IF(B472&lt;=P457,P457,IF(B472&lt;=P458,P458,IF(B472&lt;=P459,P459,IF(B472&lt;=P460,P460,IF(B472&lt;=P461,P461,IF(B472&lt;=P462,P462,IF(B472&lt;=P463,P463,0))))))))</f>
        <v>22.2</v>
      </c>
      <c r="Q471" s="2276">
        <f>+IF(B472&lt;=Q456,Q456,IF(B472&lt;=Q457,Q457,IF(B472&lt;=Q458,Q458,IF(B472&lt;=Q459,Q459,IF(B472&lt;=Q460,Q460,IF(B472&lt;=Q461,Q461,IF(B472&lt;=Q462,Q462,IF(B472&lt;=Q463,Q463,0))))))))</f>
        <v>21.8</v>
      </c>
      <c r="R471" s="2276">
        <f>+IF(B472&lt;=R456,R456,IF(B472&lt;=R457,R457,IF(B472&lt;=R458,R458,IF(B472&lt;=R459,R459,IF(B472&lt;=R460,R460,IF(B472&lt;=R461,R461,IF(B472&lt;=R462,R462,IF(B472&lt;=R463,R463,0))))))))</f>
        <v>23.33</v>
      </c>
      <c r="S471" s="2276">
        <f>+IF(B472&lt;=S456,S456,IF(B472&lt;=S457,S457,IF(B472&lt;=S458,S458,IF(B472&lt;=S459,S459,IF(B472&lt;=S460,S460,IF(B472&lt;=S461,S461,IF(B472&lt;=S462,S462,IF(B472&lt;=S463,S463,0))))))))</f>
        <v>25.4</v>
      </c>
      <c r="T471" s="2276">
        <f>+IF(B472&lt;=T456,T456,IF(B472&lt;=T457,T457,IF(B472&lt;=T458,T458,IF(B472&lt;=T459,T459,IF(B472&lt;=T460,T460,IF(B472&lt;=T461,T461,IF(B472&lt;=T462,T462,IF(B472&lt;=T463,T463,0))))))))</f>
        <v>26.93</v>
      </c>
      <c r="U471" s="2276">
        <f>+IF(B472&lt;=U456,U456,IF(B472&lt;=U457,U457,IF(B472&lt;=U458,U458,IF(B472&lt;=U459,U459,IF(B472&lt;=U460,U460,IF(B472&lt;=U461,U461,IF(B472&lt;=U462,U462,IF(B472&lt;=U463,U463,0))))))))</f>
        <v>28.07</v>
      </c>
      <c r="V471" s="2276">
        <f>+IF(B472&lt;=V456,V456,IF(B472&lt;=V457,V457,IF(B472&lt;=V458,V458,IF(B472&lt;=V459,V459,IF(B472&lt;=V460,V460,IF(B472&lt;=V461,V461,IF(B472&lt;=V462,V462,IF(B472&lt;=V463,V463,0))))))))</f>
        <v>29.73</v>
      </c>
      <c r="W471" s="2276">
        <f>+IF(B472&lt;=W456,W456,IF(B472&lt;=W457,W457,IF(B472&lt;=W458,W458,IF(B472&lt;=W459,W459,IF(B472&lt;=W460,W460,IF(B472&lt;=W461,W461,IF(B472&lt;=W462,W462,IF(B472&lt;=W463,W463,0))))))))</f>
        <v>20.53</v>
      </c>
      <c r="X471" s="2276">
        <f>+IF(B472&lt;=X456,X456,IF(B472&lt;=X457,X457,IF(B472&lt;=X458,X458,IF(B472&lt;=X459,X459,IF(B472&lt;=X460,X460,IF(B472&lt;=X461,X461,IF(B472&lt;=X462,X462,IF(B472&lt;=X463,X463,0))))))))</f>
        <v>20.87</v>
      </c>
      <c r="Y471" s="2276">
        <f>+IF(B472&lt;=Y456,Y456,IF(B472&lt;=Y457,Y457,IF(B472&lt;=Y458,Y458,IF(B472&lt;=Y459,Y459,IF(B472&lt;=Y460,Y460,IF(B472&lt;=Y461,Y461,IF(B472&lt;=Y462,Y462,IF(B472&lt;=Y463,Y463,0))))))))</f>
        <v>23.53</v>
      </c>
      <c r="Z471" s="2276">
        <f>+IF(B472&lt;=Z456,Z456,IF(B472&lt;=Z457,Z457,IF(B472&lt;=Z458,Z458,IF(B472&lt;=Z459,Z459,IF(B472&lt;=Z460,Z460,IF(B472&lt;=Z461,Z461,IF(B472&lt;=Z462,Z462,IF(B472&lt;=Z463,Z463,0))))))))</f>
        <v>25.8</v>
      </c>
      <c r="AA471" s="2276">
        <f>+IF(B472&lt;=AA456,AA456,IF(B472&lt;=AA457,AA457,IF(B472&lt;=AA458,AA458,IF(B472&lt;=AA459,AA459,IF(B472&lt;=AA460,AA460,IF(B472&lt;=AA461,AA461,IF(B472&lt;=AA462,AA462,IF(B472&lt;=AA463,AA463,0))))))))</f>
        <v>28.53</v>
      </c>
      <c r="AB471" s="2276">
        <f>+IF(B472&lt;=AB456,AB456,IF(B472&lt;=AB457,AB457,IF(B472&lt;=AB458,AB458,IF(B472&lt;=AB459,AB459,IF(B472&lt;=AB460,AB460,IF(B472&lt;=AB461,AB461,IF(B472&lt;=AB462,AB462,IF(B472&lt;=AB463,AB463,0))))))))</f>
        <v>31.73</v>
      </c>
      <c r="AC471" s="2276">
        <f>+IF(B472&lt;=AC456,AC456,IF(B472&lt;=AC457,AC457,IF(B472&lt;=AC458,AC458,IF(B472&lt;=AC459,AC459,IF(B472&lt;=AC460,AC460,IF(B472&lt;=AC461,AC461,IF(B472&lt;=AC462,AC462,IF(B472&lt;=AC463,AC463,0))))))))</f>
        <v>21.67</v>
      </c>
      <c r="AD471" s="2276">
        <f>+IF(B472&lt;=AD456,AD456,IF(B472&lt;=AD457,AD457,IF(B472&lt;=AD458,AD458,IF(B472&lt;=AD459,AD459,IF(B472&lt;=AD460,AD460,IF(B472&lt;=AD461,AD461,IF(B472&lt;=AD462,AD462,IF(B472&lt;=AD463,AD463,0))))))))</f>
        <v>24.27</v>
      </c>
      <c r="AE471" s="2275"/>
      <c r="AF471" s="2275"/>
      <c r="AG471" s="2275"/>
      <c r="AH471" s="2275"/>
      <c r="AI471" s="2275"/>
      <c r="AJ471" s="2275"/>
      <c r="AK471" s="2275"/>
      <c r="AL471" s="2275"/>
      <c r="AM471" s="2275"/>
      <c r="AN471" s="2275"/>
      <c r="AO471" s="2275"/>
      <c r="AP471" s="2250"/>
      <c r="AQ471" s="2250"/>
      <c r="AR471" s="2250"/>
      <c r="AS471" s="2250"/>
      <c r="AT471" s="2250"/>
      <c r="AU471" s="2250"/>
      <c r="AV471" s="2250"/>
      <c r="AW471" s="2250"/>
      <c r="AX471" s="2250"/>
      <c r="AY471" s="2250"/>
      <c r="AZ471" s="2250"/>
      <c r="BA471" s="2250"/>
      <c r="BB471" s="2250"/>
      <c r="BC471" s="2250"/>
      <c r="BD471" s="2250"/>
      <c r="BE471" s="2250"/>
      <c r="BF471" s="2276"/>
      <c r="BG471" s="2276"/>
      <c r="BH471" s="2250"/>
      <c r="BI471" s="2275"/>
      <c r="BJ471" s="2250"/>
      <c r="BK471" s="2275"/>
      <c r="BL471" s="2276">
        <f>+IF(BJ472&lt;=BL456,BL456,IF(BJ472&lt;=BL457,BL457,IF(BJ472&lt;=BL458,BL458,IF(BJ472&lt;=BL459,BL459,IF(BJ472&lt;=BL460,BL460,IF(BJ472&lt;=BL461,BL461,IF(BJ472&lt;=BL462,BL462,IF(BJ472&lt;=BL463,BL463,0))))))))</f>
        <v>23.13</v>
      </c>
      <c r="BM471" s="2276">
        <f>+IF(BJ472&lt;=BM456,BM456,IF(BJ472&lt;=BM457,BM457,IF(BJ472&lt;=BM458,BM458,IF(BJ472&lt;=BM459,BM459,IF(BJ472&lt;=BM460,BM460,IF(BJ472&lt;=BM461,BM461,IF(BJ472&lt;=BM462,BM462,IF(BJ472&lt;=BM463,BM463,0))))))))</f>
        <v>26.07</v>
      </c>
      <c r="BN471" s="2276">
        <f>+IF(BJ472&lt;=BN456,BN456,IF(BJ472&lt;=BN457,BN457,IF(BJ472&lt;=BN458,BN458,IF(BJ472&lt;=BN459,BN459,IF(BJ472&lt;=BN460,BN460,IF(BJ472&lt;=BN461,BN461,IF(BJ472&lt;=BN462,BN462,IF(BJ472&lt;=BN463,BN463,0))))))))</f>
        <v>21.47</v>
      </c>
      <c r="BO471" s="2276">
        <f>+IF(BJ472&lt;=BO456,BO456,IF(BJ472&lt;=BO457,BO457,IF(BJ472&lt;=BO458,BO458,IF(BJ472&lt;=BO459,BO459,IF(BJ472&lt;=BO460,BO460,IF(BJ472&lt;=BO461,BO461,IF(BJ472&lt;=BO462,BO462,IF(BJ472&lt;=BO463,BO463,0))))))))</f>
        <v>22.93</v>
      </c>
      <c r="BP471" s="2276">
        <f>+IF(BJ472&lt;=BP456,BP456,IF(BJ472&lt;=BP457,BP457,IF(BJ472&lt;=BP458,BP458,IF(BJ472&lt;=BP459,BP459,IF(BJ472&lt;=BP460,BP460,IF(BJ472&lt;=BP461,BP461,IF(BJ472&lt;=BP462,BP462,IF(BJ472&lt;=BP463,BP463,0))))))))</f>
        <v>22.93</v>
      </c>
      <c r="BQ471" s="2276">
        <f>+IF(BJ472&lt;=BQ456,BQ456,IF(BJ472&lt;=BQ457,BQ457,IF(BJ472&lt;=BQ458,BQ458,IF(BJ472&lt;=BQ459,BQ459,IF(BJ472&lt;=BQ460,BQ460,IF(BJ472&lt;=BQ461,BQ461,IF(BJ472&lt;=BQ462,BQ462,IF(BJ472&lt;=BQ463,BQ463,0))))))))</f>
        <v>24.53</v>
      </c>
      <c r="BR471" s="2276">
        <f>+IF(BJ472&lt;=BR456,BR456,IF(BJ472&lt;=BR457,BR457,IF(BJ472&lt;=BR458,BR458,IF(BJ472&lt;=BR459,BR459,IF(BJ472&lt;=BR460,BR460,IF(BJ472&lt;=BR461,BR461,IF(BJ472&lt;=BR462,BR462,IF(BJ472&lt;=BR463,BR463,0))))))))</f>
        <v>27.13</v>
      </c>
      <c r="BS471" s="2276">
        <f>+IF(BJ472&lt;=BS456,BS456,IF(BJ472&lt;=BS457,BS457,IF(BJ472&lt;=BS458,BS458,IF(BJ472&lt;=BS459,BS459,IF(BJ472&lt;=BS460,BS460,IF(BJ472&lt;=BS461,BS461,IF(BJ472&lt;=BS462,BS462,IF(BJ472&lt;=BS463,BS463,0))))))))</f>
        <v>19.93</v>
      </c>
      <c r="BT471" s="2276">
        <f>+IF(BJ472&lt;=BT456,BT456,IF(BJ472&lt;=BT457,BT457,IF(BJ472&lt;=BT458,BT458,IF(BJ472&lt;=BT459,BT459,IF(BJ472&lt;=BT460,BT460,IF(BJ472&lt;=BT461,BT461,IF(BJ472&lt;=BT462,BT462,IF(BJ472&lt;=BT463,BT463,0))))))))</f>
        <v>21.2</v>
      </c>
      <c r="BU471" s="2276">
        <f>+IF(BJ472&lt;=BU456,BU456,IF(BJ472&lt;=BU457,BU457,IF(BJ472&lt;=BU458,BU458,IF(BJ472&lt;=BU459,BU459,IF(BJ472&lt;=BU460,BU460,IF(BJ472&lt;=BU461,BU461,IF(BJ472&lt;=BU462,BU462,IF(BJ472&lt;=BU463,BU463,0))))))))</f>
        <v>22.47</v>
      </c>
      <c r="BV471" s="2276">
        <f>+IF(BJ472&lt;=BV456,BV456,IF(BJ472&lt;=BV457,BV457,IF(BJ472&lt;=BV458,BV458,IF(BJ472&lt;=BV459,BV459,IF(BJ472&lt;=BV460,BV460,IF(BJ472&lt;=BV461,BV461,IF(BJ472&lt;=BV462,BV462,IF(BJ472&lt;=BV463,BV463,0))))))))</f>
        <v>23.93</v>
      </c>
      <c r="BW471" s="2276">
        <f>+IF(BJ472&lt;=BW456,BW456,IF(BJ472&lt;=BW457,BW457,IF(BJ472&lt;=BW458,BW458,IF(BJ472&lt;=BW459,BW459,IF(BJ472&lt;=BW460,BW460,IF(BJ472&lt;=BW461,BW461,IF(BJ472&lt;=BW462,BW462,IF(BJ472&lt;=BW463,BW463,0))))))))</f>
        <v>21.2</v>
      </c>
      <c r="BX471" s="2276">
        <f>+IF(BJ472&lt;=BX456,BX456,IF(BJ472&lt;=BX457,BX457,IF(BJ472&lt;=BX458,BX458,IF(BJ472&lt;=BX459,BX459,IF(BJ472&lt;=BX460,BX460,IF(BJ472&lt;=BX461,BX461,IF(BJ472&lt;=BX462,BX462,IF(BJ472&lt;=BX463,BX463,0))))))))</f>
        <v>22.2</v>
      </c>
      <c r="BY471" s="2276">
        <f>+IF(BJ472&lt;=BY456,BY456,IF(BJ472&lt;=BY457,BY457,IF(BJ472&lt;=BY458,BY458,IF(BJ472&lt;=BY459,BY459,IF(BJ472&lt;=BY460,BY460,IF(BJ472&lt;=BY461,BY461,IF(BJ472&lt;=BY462,BY462,IF(BJ472&lt;=BY463,BY463,0))))))))</f>
        <v>21.8</v>
      </c>
      <c r="BZ471" s="2276">
        <f>+IF(BJ472&lt;=BZ456,BZ456,IF(BJ472&lt;=BZ457,BZ457,IF(BJ472&lt;=BZ458,BZ458,IF(BJ472&lt;=BZ459,BZ459,IF(BJ472&lt;=BZ460,BZ460,IF(BJ472&lt;=BZ461,BZ461,IF(BJ472&lt;=BZ462,BZ462,IF(BJ472&lt;=BZ463,BZ463,0))))))))</f>
        <v>23.33</v>
      </c>
      <c r="CA471" s="2276">
        <f>+IF(BJ472&lt;=CA456,CA456,IF(BJ472&lt;=CA457,CA457,IF(BJ472&lt;=CA458,CA458,IF(BJ472&lt;=CA459,CA459,IF(BJ472&lt;=CA460,CA460,IF(BJ472&lt;=CA461,CA461,IF(BJ472&lt;=CA462,CA462,IF(BJ472&lt;=CA463,CA463,0))))))))</f>
        <v>25.4</v>
      </c>
      <c r="CB471" s="2276">
        <f>+IF(BJ472&lt;=CB456,CB456,IF(BJ472&lt;=CB457,CB457,IF(BJ472&lt;=CB458,CB458,IF(BJ472&lt;=CB459,CB459,IF(BJ472&lt;=CB460,CB460,IF(BJ472&lt;=CB461,CB461,IF(BJ472&lt;=CB462,CB462,IF(BJ472&lt;=CB463,CB463,0))))))))</f>
        <v>26.93</v>
      </c>
      <c r="CC471" s="2276">
        <f>+IF(BJ472&lt;=CC456,CC456,IF(BJ472&lt;=CC457,CC457,IF(BJ472&lt;=CC458,CC458,IF(BJ472&lt;=CC459,CC459,IF(BJ472&lt;=CC460,CC460,IF(BJ472&lt;=CC461,CC461,IF(BJ472&lt;=CC462,CC462,IF(BJ472&lt;=CC463,CC463,0))))))))</f>
        <v>28.07</v>
      </c>
      <c r="CD471" s="2276">
        <f>+IF(BJ472&lt;=CD456,CD456,IF(BJ472&lt;=CD457,CD457,IF(BJ472&lt;=CD458,CD458,IF(BJ472&lt;=CD459,CD459,IF(BJ472&lt;=CD460,CD460,IF(BJ472&lt;=CD461,CD461,IF(BJ472&lt;=CD462,CD462,IF(BJ472&lt;=CD463,CD463,0))))))))</f>
        <v>29.73</v>
      </c>
      <c r="CE471" s="2276">
        <f>+IF(BJ472&lt;=CE456,CE456,IF(BJ472&lt;=CE457,CE457,IF(BJ472&lt;=CE458,CE458,IF(BJ472&lt;=CE459,CE459,IF(BJ472&lt;=CE460,CE460,IF(BJ472&lt;=CE461,CE461,IF(BJ472&lt;=CE462,CE462,IF(BJ472&lt;=CE463,CE463,0))))))))</f>
        <v>20.53</v>
      </c>
      <c r="CF471" s="2276">
        <f>+IF(BJ472&lt;=CF456,CF456,IF(BJ472&lt;=CF457,CF457,IF(BJ472&lt;=CF458,CF458,IF(BJ472&lt;=CF459,CF459,IF(BJ472&lt;=CF460,CF460,IF(BJ472&lt;=CF461,CF461,IF(BJ472&lt;=CF462,CF462,IF(BJ472&lt;=CF463,CF463,0))))))))</f>
        <v>20.87</v>
      </c>
      <c r="CG471" s="2276">
        <f>+IF(BJ472&lt;=CG456,CG456,IF(BJ472&lt;=CG457,CG457,IF(BJ472&lt;=CG458,CG458,IF(BJ472&lt;=CG459,CG459,IF(BJ472&lt;=CG460,CG460,IF(BJ472&lt;=CG461,CG461,IF(BJ472&lt;=CG462,CG462,IF(BJ472&lt;=CG463,CG463,0))))))))</f>
        <v>23.53</v>
      </c>
      <c r="CH471" s="2276">
        <f>+IF(BJ472&lt;=CH456,CH456,IF(BJ472&lt;=CH457,CH457,IF(BJ472&lt;=CH458,CH458,IF(BJ472&lt;=CH459,CH459,IF(BJ472&lt;=CH460,CH460,IF(BJ472&lt;=CH461,CH461,IF(BJ472&lt;=CH462,CH462,IF(BJ472&lt;=CH463,CH463,0))))))))</f>
        <v>25.8</v>
      </c>
      <c r="CI471" s="2276">
        <f>+IF(BJ472&lt;=CI456,CI456,IF(BJ472&lt;=CI457,CI457,IF(BJ472&lt;=CI458,CI458,IF(BJ472&lt;=CI459,CI459,IF(BJ472&lt;=CI460,CI460,IF(BJ472&lt;=CI461,CI461,IF(BJ472&lt;=CI462,CI462,IF(BJ472&lt;=CI463,CI463,0))))))))</f>
        <v>28.53</v>
      </c>
      <c r="CJ471" s="2276">
        <f>+IF(BJ472&lt;=CJ456,CJ456,IF(BJ472&lt;=CJ457,CJ457,IF(BJ472&lt;=CJ458,CJ458,IF(BJ472&lt;=CJ459,CJ459,IF(BJ472&lt;=CJ460,CJ460,IF(BJ472&lt;=CJ461,CJ461,IF(BJ472&lt;=CJ462,CJ462,IF(BJ472&lt;=CJ463,CJ463,0))))))))</f>
        <v>31.73</v>
      </c>
      <c r="CK471" s="2276">
        <f>+IF(BJ472&lt;=CK456,CK456,IF(BJ472&lt;=CK457,CK457,IF(BJ472&lt;=CK458,CK458,IF(BJ472&lt;=CK459,CK459,IF(BJ472&lt;=CK460,CK460,IF(BJ472&lt;=CK461,CK461,IF(BJ472&lt;=CK462,CK462,IF(BJ472&lt;=CK463,CK463,0))))))))</f>
        <v>21.67</v>
      </c>
      <c r="CL471" s="2276">
        <f>+IF(BJ472&lt;=CL456,CL456,IF(BJ472&lt;=CL457,CL457,IF(BJ472&lt;=CL458,CL458,IF(BJ472&lt;=CL459,CL459,IF(BJ472&lt;=CL460,CL460,IF(BJ472&lt;=CL461,CL461,IF(BJ472&lt;=CL462,CL462,IF(BJ472&lt;=CL463,CL463,0))))))))</f>
        <v>24.27</v>
      </c>
      <c r="CM471" s="2275"/>
      <c r="CN471" s="2275"/>
      <c r="CO471" s="2275"/>
      <c r="CP471" s="2275"/>
      <c r="CQ471" s="2275"/>
      <c r="CR471" s="2275"/>
      <c r="CS471" s="2275"/>
      <c r="CT471" s="2275"/>
      <c r="CU471" s="2275"/>
      <c r="CV471" s="2275"/>
      <c r="CW471" s="2275"/>
      <c r="CX471" s="2250"/>
      <c r="CY471" s="2250"/>
      <c r="CZ471" s="2250"/>
      <c r="DA471" s="2250"/>
      <c r="DB471" s="2250"/>
      <c r="DC471" s="2250"/>
      <c r="DD471" s="2250"/>
      <c r="DE471" s="2250"/>
      <c r="DF471" s="2250"/>
      <c r="DG471" s="2250"/>
      <c r="DH471" s="2250"/>
      <c r="DI471" s="2250"/>
      <c r="DJ471" s="2250"/>
      <c r="DK471" s="2250"/>
      <c r="DL471" s="2250"/>
      <c r="DM471" s="2250"/>
      <c r="DN471" s="2250"/>
      <c r="DO471" s="53"/>
      <c r="DP471" s="53"/>
      <c r="DY471" s="2250"/>
      <c r="DZ471" s="2275"/>
      <c r="EA471" s="2276">
        <f>+IF(DY472&lt;=EA456,EA456,IF(DY472&lt;=EA457,EA457,IF(DY472&lt;=EA458,EA458,IF(DY472&lt;=EA459,EA459,IF(DY472&lt;=EA460,EA460,IF(DY472&lt;=EA461,EA461,IF(DY472&lt;=EA462,EA462,IF(DY472&lt;=EA463,EA463,0))))))))</f>
        <v>23.13</v>
      </c>
      <c r="EB471" s="2276">
        <f>+IF(DY472&lt;=EB456,EB456,IF(DY472&lt;=EB457,EB457,IF(DY472&lt;=EB458,EB458,IF(DY472&lt;=EB459,EB459,IF(DY472&lt;=EB460,EB460,IF(DY472&lt;=EB461,EB461,IF(DY472&lt;=EB462,EB462,IF(DY472&lt;=EB463,EB463,0))))))))</f>
        <v>26.07</v>
      </c>
      <c r="EC471" s="2276">
        <f>+IF(DY472&lt;=EC456,EC456,IF(DY472&lt;=EC457,EC457,IF(DY472&lt;=EC458,EC458,IF(DY472&lt;=EC459,EC459,IF(DY472&lt;=EC460,EC460,IF(DY472&lt;=EC461,EC461,IF(DY472&lt;=EC462,EC462,IF(DY472&lt;=EC463,EC463,0))))))))</f>
        <v>21.47</v>
      </c>
      <c r="ED471" s="2276">
        <f>+IF(DY472&lt;=ED456,ED456,IF(DY472&lt;=ED457,ED457,IF(DY472&lt;=ED458,ED458,IF(DY472&lt;=ED459,ED459,IF(DY472&lt;=ED460,ED460,IF(DY472&lt;=ED461,ED461,IF(DY472&lt;=ED462,ED462,IF(DY472&lt;=ED463,ED463,0))))))))</f>
        <v>22.93</v>
      </c>
      <c r="EE471" s="2276">
        <f>+IF(DY472&lt;=EE456,EE456,IF(DY472&lt;=EE457,EE457,IF(DY472&lt;=EE458,EE458,IF(DY472&lt;=EE459,EE459,IF(DY472&lt;=EE460,EE460,IF(DY472&lt;=EE461,EE461,IF(DY472&lt;=EE462,EE462,IF(DY472&lt;=EE463,EE463,0))))))))</f>
        <v>22.93</v>
      </c>
      <c r="EF471" s="2276">
        <f>+IF(DY472&lt;=EF456,EF456,IF(DY472&lt;=EF457,EF457,IF(DY472&lt;=EF458,EF458,IF(DY472&lt;=EF459,EF459,IF(DY472&lt;=EF460,EF460,IF(DY472&lt;=EF461,EF461,IF(DY472&lt;=EF462,EF462,IF(DY472&lt;=EF463,EF463,0))))))))</f>
        <v>24.53</v>
      </c>
      <c r="EG471" s="2276">
        <f>+IF(DY472&lt;=EG456,EG456,IF(DY472&lt;=EG457,EG457,IF(DY472&lt;=EG458,EG458,IF(DY472&lt;=EG459,EG459,IF(DY472&lt;=EG460,EG460,IF(DY472&lt;=EG461,EG461,IF(DY472&lt;=EG462,EG462,IF(DY472&lt;=EG463,EG463,0))))))))</f>
        <v>27.13</v>
      </c>
      <c r="EH471" s="2276">
        <f>+IF(DY472&lt;=EH456,EH456,IF(DY472&lt;=EH457,EH457,IF(DY472&lt;=EH458,EH458,IF(DY472&lt;=EH459,EH459,IF(DY472&lt;=EH460,EH460,IF(DY472&lt;=EH461,EH461,IF(DY472&lt;=EH462,EH462,IF(DY472&lt;=EH463,EH463,0))))))))</f>
        <v>28.87</v>
      </c>
      <c r="EI471" s="2276">
        <f>+IF(DY472&lt;=EI456,EI456,IF(DY472&lt;=EI457,EI457,IF(DY472&lt;=EI458,EI458,IF(DY472&lt;=EI459,EI459,IF(DY472&lt;=EI460,EI460,IF(DY472&lt;=EI461,EI461,IF(DY472&lt;=EI462,EI462,IF(DY472&lt;=EI463,EI463,0))))))))</f>
        <v>21.2</v>
      </c>
      <c r="EJ471" s="2276">
        <f>+IF(DY472&lt;=EJ456,EJ456,IF(DY472&lt;=EJ457,EJ457,IF(DY472&lt;=EJ458,EJ458,IF(DY472&lt;=EJ459,EJ459,IF(DY472&lt;=EJ460,EJ460,IF(DY472&lt;=EJ461,EJ461,IF(DY472&lt;=EJ462,EJ462,IF(DY472&lt;=EJ463,EJ463,0))))))))</f>
        <v>22.47</v>
      </c>
      <c r="EK471" s="2276">
        <f>+IF(DY472&lt;=EK456,EK456,IF(DY472&lt;=EK457,EK457,IF(DY472&lt;=EK458,EK458,IF(DY472&lt;=EK459,EK459,IF(DY472&lt;=EK460,EK460,IF(DY472&lt;=EK461,EK461,IF(DY472&lt;=EK462,EK462,IF(DY472&lt;=EK463,EK463,0))))))))</f>
        <v>23.93</v>
      </c>
      <c r="EL471" s="2276">
        <f>+IF(DY472&lt;=EL456,EL456,IF(DY472&lt;=EL457,EL457,IF(DY472&lt;=EL458,EL458,IF(DY472&lt;=EL459,EL459,IF(DY472&lt;=EL460,EL460,IF(DY472&lt;=EL461,EL461,IF(DY472&lt;=EL462,EL462,IF(DY472&lt;=EL463,EL463,0))))))))</f>
        <v>21.2</v>
      </c>
      <c r="EM471" s="2276">
        <f>+IF(DY472&lt;=EM456,EM456,IF(DY472&lt;=EM457,EM457,IF(DY472&lt;=EM458,EM458,IF(DY472&lt;=EM459,EM459,IF(DY472&lt;=EM460,EM460,IF(DY472&lt;=EM461,EM461,IF(DY472&lt;=EM462,EM462,IF(DY472&lt;=EM463,EM463,0))))))))</f>
        <v>22.2</v>
      </c>
      <c r="EN471" s="2276">
        <f>+IF(DY472&lt;=EN456,EN456,IF(DY472&lt;=EN457,EN457,IF(DY472&lt;=EN458,EN458,IF(DY472&lt;=EN459,EN459,IF(DY472&lt;=EN460,EN460,IF(DY472&lt;=EN461,EN461,IF(DY472&lt;=EN462,EN462,IF(DY472&lt;=EN463,EN463,0))))))))</f>
        <v>21.8</v>
      </c>
      <c r="EO471" s="2276">
        <f>+IF(DY472&lt;=EO456,EO456,IF(DY472&lt;=EO457,EO457,IF(DY472&lt;=EO458,EO458,IF(DY472&lt;=EO459,EO459,IF(DY472&lt;=EO460,EO460,IF(DY472&lt;=EO461,EO461,IF(DY472&lt;=EO462,EO462,IF(DY472&lt;=EO463,EO463,0))))))))</f>
        <v>23.33</v>
      </c>
      <c r="EP471" s="2276">
        <f>+IF(DY472&lt;=EP456,EP456,IF(DY472&lt;=EP457,EP457,IF(DY472&lt;=EP458,EP458,IF(DY472&lt;=EP459,EP459,IF(DY472&lt;=EP460,EP460,IF(DY472&lt;=EP461,EP461,IF(DY472&lt;=EP462,EP462,IF(DY472&lt;=EP463,EP463,0))))))))</f>
        <v>25.4</v>
      </c>
      <c r="EQ471" s="2276">
        <f>+IF(DY472&lt;=EQ456,EQ456,IF(DY472&lt;=EQ457,EQ457,IF(DY472&lt;=EQ458,EQ458,IF(DY472&lt;=EQ459,EQ459,IF(DY472&lt;=EQ460,EQ460,IF(DY472&lt;=EQ461,EQ461,IF(DY472&lt;=EQ462,EQ462,IF(DY472&lt;=EQ463,EQ463,0))))))))</f>
        <v>26.93</v>
      </c>
      <c r="ER471" s="2276">
        <f>+IF(DY472&lt;=ER456,ER456,IF(DY472&lt;=ER457,ER457,IF(DY472&lt;=ER458,ER458,IF(DY472&lt;=ER459,ER459,IF(DY472&lt;=ER460,ER460,IF(DY472&lt;=ER461,ER461,IF(DY472&lt;=ER462,ER462,IF(DY472&lt;=ER463,ER463,0))))))))</f>
        <v>28.07</v>
      </c>
      <c r="ES471" s="2276">
        <f>+IF(DY472&lt;=ES456,ES456,IF(DY472&lt;=ES457,ES457,IF(DY472&lt;=ES458,ES458,IF(DY472&lt;=ES459,ES459,IF(DY472&lt;=ES460,ES460,IF(DY472&lt;=ES461,ES461,IF(DY472&lt;=ES462,ES462,IF(DY472&lt;=ES463,ES463,0))))))))</f>
        <v>29.73</v>
      </c>
      <c r="ET471" s="2276">
        <f>+IF(DY472&lt;=ET456,ET456,IF(DY472&lt;=ET457,ET457,IF(DY472&lt;=ET458,ET458,IF(DY472&lt;=ET459,ET459,IF(DY472&lt;=ET460,ET460,IF(DY472&lt;=ET461,ET461,IF(DY472&lt;=ET462,ET462,IF(DY472&lt;=ET463,ET463,0))))))))</f>
        <v>20.53</v>
      </c>
      <c r="EU471" s="2276">
        <f>+IF(DY472&lt;=EU456,EU456,IF(DY472&lt;=EU457,EU457,IF(DY472&lt;=EU458,EU458,IF(DY472&lt;=EU459,EU459,IF(DY472&lt;=EU460,EU460,IF(DY472&lt;=EU461,EU461,IF(DY472&lt;=EU462,EU462,IF(DY472&lt;=EU463,EU463,0))))))))</f>
        <v>20.87</v>
      </c>
      <c r="EV471" s="2276">
        <f>+IF(DY472&lt;=EV456,EV456,IF(DY472&lt;=EV457,EV457,IF(DY472&lt;=EV458,EV458,IF(DY472&lt;=EV459,EV459,IF(DY472&lt;=EV460,EV460,IF(DY472&lt;=EV461,EV461,IF(DY472&lt;=EV462,EV462,IF(DY472&lt;=EV463,EV463,0))))))))</f>
        <v>23.53</v>
      </c>
      <c r="EW471" s="2276">
        <f>+IF(DY472&lt;=EW456,EW456,IF(DY472&lt;=EW457,EW457,IF(DY472&lt;=EW458,EW458,IF(DY472&lt;=EW459,EW459,IF(DY472&lt;=EW460,EW460,IF(DY472&lt;=EW461,EW461,IF(DY472&lt;=EW462,EW462,IF(DY472&lt;=EW463,EW463,0))))))))</f>
        <v>25.8</v>
      </c>
      <c r="EX471" s="2276">
        <f>+IF(DY472&lt;=EX456,EX456,IF(DY472&lt;=EX457,EX457,IF(DY472&lt;=EX458,EX458,IF(DY472&lt;=EX459,EX459,IF(DY472&lt;=EX460,EX460,IF(DY472&lt;=EX461,EX461,IF(DY472&lt;=EX462,EX462,IF(DY472&lt;=EX463,EX463,0))))))))</f>
        <v>28.53</v>
      </c>
      <c r="EY471" s="2276">
        <f>+IF(DY472&lt;=EY456,EY456,IF(DY472&lt;=EY457,EY457,IF(DY472&lt;=EY458,EY458,IF(DY472&lt;=EY459,EY459,IF(DY472&lt;=EY460,EY460,IF(DY472&lt;=EY461,EY461,IF(DY472&lt;=EY462,EY462,IF(DY472&lt;=EY463,EY463,0))))))))</f>
        <v>31.73</v>
      </c>
      <c r="EZ471" s="2276">
        <f>+IF(DY472&lt;=EZ456,EZ456,IF(DY472&lt;=EZ457,EZ457,IF(DY472&lt;=EZ458,EZ458,IF(DY472&lt;=EZ459,EZ459,IF(DY472&lt;=EZ460,EZ460,IF(DY472&lt;=EZ461,EZ461,IF(DY472&lt;=EZ462,EZ462,IF(DY472&lt;=EZ463,EZ463,0))))))))</f>
        <v>21.67</v>
      </c>
      <c r="FA471" s="2276">
        <f>+IF(DY472&lt;=FA456,FA456,IF(DY472&lt;=FA457,FA457,IF(DY472&lt;=FA458,FA458,IF(DY472&lt;=FA459,FA459,IF(DY472&lt;=FA460,FA460,IF(DY472&lt;=FA461,FA461,IF(DY472&lt;=FA462,FA462,IF(DY472&lt;=FA463,FA463,0))))))))</f>
        <v>24.27</v>
      </c>
      <c r="FB471" s="2275"/>
      <c r="FC471" s="2275"/>
      <c r="FD471" s="2275"/>
      <c r="FE471" s="2275"/>
      <c r="FF471" s="2275"/>
      <c r="FG471" s="2275"/>
      <c r="FH471" s="2275"/>
      <c r="FI471" s="2275"/>
      <c r="FJ471" s="2275"/>
      <c r="FK471" s="2275"/>
      <c r="FL471" s="2275"/>
      <c r="FM471" s="2250"/>
      <c r="FN471" s="2250"/>
      <c r="FO471" s="2250"/>
      <c r="FP471" s="2250"/>
      <c r="FQ471" s="2250"/>
      <c r="FR471" s="2250"/>
      <c r="FS471" s="2250"/>
      <c r="FT471" s="2250"/>
      <c r="FU471" s="2250"/>
      <c r="FV471" s="2250"/>
      <c r="FW471" s="2250"/>
      <c r="FX471" s="2250"/>
      <c r="FY471" s="2250"/>
      <c r="FZ471" s="2250"/>
      <c r="GA471" s="2250"/>
      <c r="GB471" s="2250"/>
      <c r="GC471" s="2276"/>
      <c r="GD471" s="2276"/>
      <c r="GE471" s="2250"/>
      <c r="GF471" s="2275"/>
      <c r="GG471" s="2250"/>
      <c r="GH471" s="2275"/>
      <c r="GI471" s="2276">
        <f>+IF(GG472&lt;=GI456,GI456,IF(GG472&lt;=GI457,GI457,IF(GG472&lt;=GI458,GI458,IF(GG472&lt;=GI459,GI459,IF(GG472&lt;=GI460,GI460,IF(GG472&lt;=GI461,GI461,IF(GG472&lt;=GI462,GI462,IF(GG472&lt;=GI463,GI463,0))))))))</f>
        <v>23.13</v>
      </c>
      <c r="GJ471" s="2276">
        <f>+IF(GG472&lt;=GJ456,GJ456,IF(GG472&lt;=GJ457,GJ457,IF(GG472&lt;=GJ458,GJ458,IF(GG472&lt;=GJ459,GJ459,IF(GG472&lt;=GJ460,GJ460,IF(GG472&lt;=GJ461,GJ461,IF(GG472&lt;=GJ462,GJ462,IF(GG472&lt;=GJ463,GJ463,0))))))))</f>
        <v>26.07</v>
      </c>
      <c r="GK471" s="2276">
        <f>+IF(GG472&lt;=GK456,GK456,IF(GG472&lt;=GK457,GK457,IF(GG472&lt;=GK458,GK458,IF(GG472&lt;=GK459,GK459,IF(GG472&lt;=GK460,GK460,IF(GG472&lt;=GK461,GK461,IF(GG472&lt;=GK462,GK462,IF(GG472&lt;=GK463,GK463,0))))))))</f>
        <v>21.47</v>
      </c>
      <c r="GL471" s="2276">
        <f>+IF(GG472&lt;=GL456,GL456,IF(GG472&lt;=GL457,GL457,IF(GG472&lt;=GL458,GL458,IF(GG472&lt;=GL459,GL459,IF(GG472&lt;=GL460,GL460,IF(GG472&lt;=GL461,GL461,IF(GG472&lt;=GL462,GL462,IF(GG472&lt;=GL463,GL463,0))))))))</f>
        <v>22.93</v>
      </c>
      <c r="GM471" s="2276">
        <f>+IF(GG472&lt;=GM456,GM456,IF(GG472&lt;=GM457,GM457,IF(GG472&lt;=GM458,GM458,IF(GG472&lt;=GM459,GM459,IF(GG472&lt;=GM460,GM460,IF(GG472&lt;=GM461,GM461,IF(GG472&lt;=GM462,GM462,IF(GG472&lt;=GM463,GM463,0))))))))</f>
        <v>22.93</v>
      </c>
      <c r="GN471" s="2276">
        <f>+IF(GG472&lt;=GN456,GN456,IF(GG472&lt;=GN457,GN457,IF(GG472&lt;=GN458,GN458,IF(GG472&lt;=GN459,GN459,IF(GG472&lt;=GN460,GN460,IF(GG472&lt;=GN461,GN461,IF(GG472&lt;=GN462,GN462,IF(GG472&lt;=GN463,GN463,0))))))))</f>
        <v>24.53</v>
      </c>
      <c r="GO471" s="2276">
        <f>+IF(GG472&lt;=GO456,GO456,IF(GG472&lt;=GO457,GO457,IF(GG472&lt;=GO458,GO458,IF(GG472&lt;=GO459,GO459,IF(GG472&lt;=GO460,GO460,IF(GG472&lt;=GO461,GO461,IF(GG472&lt;=GO462,GO462,IF(GG472&lt;=GO463,GO463,0))))))))</f>
        <v>27.13</v>
      </c>
      <c r="GP471" s="2276">
        <f>+IF(GG472&lt;=GP456,GP456,IF(GG472&lt;=GP457,GP457,IF(GG472&lt;=GP458,GP458,IF(GG472&lt;=GP459,GP459,IF(GG472&lt;=GP460,GP460,IF(GG472&lt;=GP461,GP461,IF(GG472&lt;=GP462,GP462,IF(GG472&lt;=GP463,GP463,0))))))))</f>
        <v>28.87</v>
      </c>
      <c r="GQ471" s="2276">
        <f>+IF(GG472&lt;=GQ456,GQ456,IF(GG472&lt;=GQ457,GQ457,IF(GG472&lt;=GQ458,GQ458,IF(GG472&lt;=GQ459,GQ459,IF(GG472&lt;=GQ460,GQ460,IF(GG472&lt;=GQ461,GQ461,IF(GG472&lt;=GQ462,GQ462,IF(GG472&lt;=GQ463,GQ463,0))))))))</f>
        <v>21.2</v>
      </c>
      <c r="GR471" s="2276">
        <f>+IF(GG472&lt;=GR456,GR456,IF(GG472&lt;=GR457,GR457,IF(GG472&lt;=GR458,GR458,IF(GG472&lt;=GR459,GR459,IF(GG472&lt;=GR460,GR460,IF(GG472&lt;=GR461,GR461,IF(GG472&lt;=GR462,GR462,IF(GG472&lt;=GR463,GR463,0))))))))</f>
        <v>22.47</v>
      </c>
      <c r="GS471" s="2276">
        <f>+IF(GG472&lt;=GS456,GS456,IF(GG472&lt;=GS457,GS457,IF(GG472&lt;=GS458,GS458,IF(GG472&lt;=GS459,GS459,IF(GG472&lt;=GS460,GS460,IF(GG472&lt;=GS461,GS461,IF(GG472&lt;=GS462,GS462,IF(GG472&lt;=GS463,GS463,0))))))))</f>
        <v>23.93</v>
      </c>
      <c r="GT471" s="2276">
        <f>+IF(GG472&lt;=GT456,GT456,IF(GG472&lt;=GT457,GT457,IF(GG472&lt;=GT458,GT458,IF(GG472&lt;=GT459,GT459,IF(GG472&lt;=GT460,GT460,IF(GG472&lt;=GT461,GT461,IF(GG472&lt;=GT462,GT462,IF(GG472&lt;=GT463,GT463,0))))))))</f>
        <v>21.2</v>
      </c>
      <c r="GU471" s="2276">
        <f>+IF(GG472&lt;=GU456,GU456,IF(GG472&lt;=GU457,GU457,IF(GG472&lt;=GU458,GU458,IF(GG472&lt;=GU459,GU459,IF(GG472&lt;=GU460,GU460,IF(GG472&lt;=GU461,GU461,IF(GG472&lt;=GU462,GU462,IF(GG472&lt;=GU463,GU463,0))))))))</f>
        <v>22.2</v>
      </c>
      <c r="GV471" s="2276">
        <f>+IF(GG472&lt;=GV456,GV456,IF(GG472&lt;=GV457,GV457,IF(GG472&lt;=GV458,GV458,IF(GG472&lt;=GV459,GV459,IF(GG472&lt;=GV460,GV460,IF(GG472&lt;=GV461,GV461,IF(GG472&lt;=GV462,GV462,IF(GG472&lt;=GV463,GV463,0))))))))</f>
        <v>21.8</v>
      </c>
      <c r="GW471" s="2276">
        <f>+IF(GG472&lt;=GW456,GW456,IF(GG472&lt;=GW457,GW457,IF(GG472&lt;=GW458,GW458,IF(GG472&lt;=GW459,GW459,IF(GG472&lt;=GW460,GW460,IF(GG472&lt;=GW461,GW461,IF(GG472&lt;=GW462,GW462,IF(GG472&lt;=GW463,GW463,0))))))))</f>
        <v>23.33</v>
      </c>
      <c r="GX471" s="2276">
        <f>+IF(GG472&lt;=GX456,GX456,IF(GG472&lt;=GX457,GX457,IF(GG472&lt;=GX458,GX458,IF(GG472&lt;=GX459,GX459,IF(GG472&lt;=GX460,GX460,IF(GG472&lt;=GX461,GX461,IF(GG472&lt;=GX462,GX462,IF(GG472&lt;=GX463,GX463,0))))))))</f>
        <v>25.4</v>
      </c>
      <c r="GY471" s="2276">
        <f>+IF(GG472&lt;=GY456,GY456,IF(GG472&lt;=GY457,GY457,IF(GG472&lt;=GY458,GY458,IF(GG472&lt;=GY459,GY459,IF(GG472&lt;=GY460,GY460,IF(GG472&lt;=GY461,GY461,IF(GG472&lt;=GY462,GY462,IF(GG472&lt;=GY463,GY463,0))))))))</f>
        <v>26.93</v>
      </c>
      <c r="GZ471" s="2276">
        <f>+IF(GG472&lt;=GZ456,GZ456,IF(GG472&lt;=GZ457,GZ457,IF(GG472&lt;=GZ458,GZ458,IF(GG472&lt;=GZ459,GZ459,IF(GG472&lt;=GZ460,GZ460,IF(GG472&lt;=GZ461,GZ461,IF(GG472&lt;=GZ462,GZ462,IF(GG472&lt;=GZ463,GZ463,0))))))))</f>
        <v>28.07</v>
      </c>
      <c r="HA471" s="2276">
        <f>+IF(GG472&lt;=HA456,HA456,IF(GG472&lt;=HA457,HA457,IF(GG472&lt;=HA458,HA458,IF(GG472&lt;=HA459,HA459,IF(GG472&lt;=HA460,HA460,IF(GG472&lt;=HA461,HA461,IF(GG472&lt;=HA462,HA462,IF(GG472&lt;=HA463,HA463,0))))))))</f>
        <v>29.73</v>
      </c>
      <c r="HB471" s="2276">
        <f>+IF(GG472&lt;=HB456,HB456,IF(GG472&lt;=HB457,HB457,IF(GG472&lt;=HB458,HB458,IF(GG472&lt;=HB459,HB459,IF(GG472&lt;=HB460,HB460,IF(GG472&lt;=HB461,HB461,IF(GG472&lt;=HB462,HB462,IF(GG472&lt;=HB463,HB463,0))))))))</f>
        <v>20.53</v>
      </c>
      <c r="HC471" s="2276">
        <f>+IF(GG472&lt;=HC456,HC456,IF(GG472&lt;=HC457,HC457,IF(GG472&lt;=HC458,HC458,IF(GG472&lt;=HC459,HC459,IF(GG472&lt;=HC460,HC460,IF(GG472&lt;=HC461,HC461,IF(GG472&lt;=HC462,HC462,IF(GG472&lt;=HC463,HC463,0))))))))</f>
        <v>20.87</v>
      </c>
      <c r="HD471" s="2276">
        <f>+IF(GG472&lt;=HD456,HD456,IF(GG472&lt;=HD457,HD457,IF(GG472&lt;=HD458,HD458,IF(GG472&lt;=HD459,HD459,IF(GG472&lt;=HD460,HD460,IF(GG472&lt;=HD461,HD461,IF(GG472&lt;=HD462,HD462,IF(GG472&lt;=HD463,HD463,0))))))))</f>
        <v>23.53</v>
      </c>
      <c r="HE471" s="2276">
        <f>+IF(GG472&lt;=HE456,HE456,IF(GG472&lt;=HE457,HE457,IF(GG472&lt;=HE458,HE458,IF(GG472&lt;=HE459,HE459,IF(GG472&lt;=HE460,HE460,IF(GG472&lt;=HE461,HE461,IF(GG472&lt;=HE462,HE462,IF(GG472&lt;=HE463,HE463,0))))))))</f>
        <v>25.8</v>
      </c>
      <c r="HF471" s="2276">
        <f>+IF(GG472&lt;=HF456,HF456,IF(GG472&lt;=HF457,HF457,IF(GG472&lt;=HF458,HF458,IF(GG472&lt;=HF459,HF459,IF(GG472&lt;=HF460,HF460,IF(GG472&lt;=HF461,HF461,IF(GG472&lt;=HF462,HF462,IF(GG472&lt;=HF463,HF463,0))))))))</f>
        <v>28.53</v>
      </c>
      <c r="HG471" s="2276">
        <f>+IF(GG472&lt;=HG456,HG456,IF(GG472&lt;=HG457,HG457,IF(GG472&lt;=HG458,HG458,IF(GG472&lt;=HG459,HG459,IF(GG472&lt;=HG460,HG460,IF(GG472&lt;=HG461,HG461,IF(GG472&lt;=HG462,HG462,IF(GG472&lt;=HG463,HG463,0))))))))</f>
        <v>31.73</v>
      </c>
      <c r="HH471" s="2276">
        <f>+IF(GG472&lt;=HH456,HH456,IF(GG472&lt;=HH457,HH457,IF(GG472&lt;=HH458,HH458,IF(GG472&lt;=HH459,HH459,IF(GG472&lt;=HH460,HH460,IF(GG472&lt;=HH461,HH461,IF(GG472&lt;=HH462,HH462,IF(GG472&lt;=HH463,HH463,0))))))))</f>
        <v>21.67</v>
      </c>
      <c r="HI471" s="2276">
        <f>+IF(GG472&lt;=HI456,HI456,IF(GG472&lt;=HI457,HI457,IF(GG472&lt;=HI458,HI458,IF(GG472&lt;=HI459,HI459,IF(GG472&lt;=HI460,HI460,IF(GG472&lt;=HI461,HI461,IF(GG472&lt;=HI462,HI462,IF(GG472&lt;=HI463,HI463,0))))))))</f>
        <v>24.27</v>
      </c>
      <c r="HJ471" s="2275"/>
      <c r="HK471" s="2275"/>
      <c r="HL471" s="2275"/>
      <c r="HM471" s="2275"/>
      <c r="HN471" s="2275"/>
      <c r="HO471" s="2275"/>
      <c r="HP471" s="2275"/>
      <c r="HQ471" s="2275"/>
      <c r="HR471" s="2275"/>
      <c r="HS471" s="2275"/>
      <c r="HT471" s="2275"/>
      <c r="HU471" s="2250"/>
      <c r="HV471" s="2250"/>
      <c r="HW471" s="2250"/>
      <c r="HX471" s="2250"/>
      <c r="HY471" s="2250"/>
      <c r="HZ471" s="2250"/>
      <c r="IA471" s="2250"/>
      <c r="IB471" s="2250"/>
      <c r="IC471" s="2250"/>
      <c r="ID471" s="2250"/>
      <c r="IE471" s="2250"/>
      <c r="IF471" s="2250"/>
      <c r="IG471" s="2250"/>
      <c r="IH471" s="2250"/>
      <c r="II471" s="2250"/>
      <c r="IJ471" s="2250"/>
      <c r="IK471" s="2250"/>
      <c r="IL471" s="53"/>
      <c r="IM471" s="53"/>
    </row>
    <row r="472" spans="2:247" ht="21.95" customHeight="1">
      <c r="B472" s="2276">
        <f>B428</f>
        <v>19.915970774546171</v>
      </c>
      <c r="C472" s="2276">
        <f>HLOOKUP(B473,D454:AD474,20,0)</f>
        <v>21.47</v>
      </c>
      <c r="D472" s="2276">
        <f>+IF(B472&lt;=D464,D464,IF(B472&lt;=D465,D465,IF(B472&lt;=D466,D466,)))</f>
        <v>33.93</v>
      </c>
      <c r="E472" s="2276">
        <f>+IF(B472&lt;=E464,E464,IF(B472&lt;=E465,E465,IF(B472&lt;=E466,E466,)))</f>
        <v>38.270000000000003</v>
      </c>
      <c r="F472" s="2276">
        <f>+IF(B472&lt;=F464,F464,IF(B472&lt;=F465,F465,IF(B472&lt;=F466,F466,)))</f>
        <v>42.4</v>
      </c>
      <c r="G472" s="2276">
        <f>+IF(B472&lt;=G464,G464,IF(B472&lt;=G465,G465,IF(B472&lt;=G466,G466,)))</f>
        <v>46.93</v>
      </c>
      <c r="H472" s="2276">
        <f>+IF(B472&lt;=H464,H464,IF(B472&lt;=H465,H465,IF(B472&lt;=H466,H466,)))</f>
        <v>51.27</v>
      </c>
      <c r="I472" s="2276">
        <f>+IF(B472&lt;=I464,I464,IF(B472&lt;=I465,I465,IF(B472&lt;=I466,I466,)))</f>
        <v>48.33</v>
      </c>
      <c r="J472" s="2276">
        <f>+IF(B472&lt;=J464,J464,IF(B472&lt;=J465,J465,IF(B472&lt;=J466,J466,)))</f>
        <v>53.53</v>
      </c>
      <c r="K472" s="2276">
        <f>+IF(B472&lt;=K464,K464,IF(B472&lt;=K465,K465,IF(B472&lt;=K466,K466,)))</f>
        <v>57</v>
      </c>
      <c r="L472" s="2276">
        <f>+IF(B472&lt;=L464,L464,IF(B472&lt;=L465,L465,IF(B472&lt;=L466,L466,)))</f>
        <v>62.53</v>
      </c>
      <c r="M472" s="2276">
        <f>+IF(B472&lt;=M464,M464,IF(B472&lt;=M465,M465,IF(B472&lt;=M466,M466,)))</f>
        <v>63.73</v>
      </c>
      <c r="N472" s="2276">
        <f>+IF(B472&lt;=N464,N464,IF(B472&lt;=N465,N465,IF(B472&lt;=N466,N466,)))</f>
        <v>70.599999999999994</v>
      </c>
      <c r="O472" s="2276">
        <f>+IF(B472&lt;=O464,O464,IF(B472&lt;=O465,O465,IF(B472&lt;=O466,O466,)))</f>
        <v>82.13</v>
      </c>
      <c r="P472" s="2276">
        <f>+IF(B472&lt;=P464,P464,IF(B472&lt;=P465,P465,IF(B472&lt;=P466,P466,)))</f>
        <v>82.93</v>
      </c>
      <c r="Q472" s="2276">
        <f>+IF(B472&lt;=Q464,Q464,IF(B472&lt;=Q465,Q465,IF(B472&lt;=Q466,Q466,)))</f>
        <v>86.93</v>
      </c>
      <c r="R472" s="2276">
        <f>+IF(B472&lt;=R464,R464,IF(B472&lt;=R465,R465,IF(B472&lt;=R466,R466,)))</f>
        <v>91.47</v>
      </c>
      <c r="S472" s="2276">
        <f>+IF(B472&lt;=S464,S464,IF(B472&lt;=S465,S465,IF(B472&lt;=S466,S466,)))</f>
        <v>98.27</v>
      </c>
      <c r="T472" s="2276">
        <f>+IF(B472&lt;=T464,T464,IF(B472&lt;=T465,T465,IF(B472&lt;=T466,T466,)))</f>
        <v>102.67</v>
      </c>
      <c r="U472" s="2276">
        <f>+IF(B472&lt;=U464,U464,IF(B472&lt;=U465,U465,IF(B472&lt;=U466,U466,)))</f>
        <v>111.27</v>
      </c>
      <c r="V472" s="2276">
        <f>+IF(B472&lt;=V464,V464,IF(B472&lt;=V465,V465,IF(B472&lt;=V466,V466,)))</f>
        <v>118.47</v>
      </c>
      <c r="W472" s="2276">
        <f>+IF(B472&lt;=W464,W464,IF(B472&lt;=W465,W465,IF(B472&lt;=W466,W466,)))</f>
        <v>127.73</v>
      </c>
      <c r="X472" s="2276">
        <f>+IF(B472&lt;=X464,X464,IF(B472&lt;=X465,X465,IF(B472&lt;=X466,X466,)))</f>
        <v>135.07</v>
      </c>
      <c r="Y472" s="2276">
        <f>+IF(B472&lt;=Y464,Y464,IF(B472&lt;=Y465,Y465,IF(B472&lt;=Y466,Y466,)))</f>
        <v>141.07</v>
      </c>
      <c r="Z472" s="2276">
        <f>+IF(B472&lt;=Z464,Z464,IF(B472&lt;=Z465,Z465,IF(B472&lt;=Z466,Z466,)))</f>
        <v>156.53</v>
      </c>
      <c r="AA472" s="2276">
        <f>+IF(B472&lt;=AA464,AA464,IF(B472&lt;=AA465,AA465,IF(B472&lt;=AA466,AA466,)))</f>
        <v>172.07</v>
      </c>
      <c r="AB472" s="2276">
        <f>+IF(B472&lt;=AB464,AB464,IF(B472&lt;=AB465,AB465,IF(B472&lt;=AB466,AB466,)))</f>
        <v>193.33</v>
      </c>
      <c r="AC472" s="2276">
        <f>+IF(B472&lt;=AC464,AC464,IF(B472&lt;=AC465,AC465,IF(B472&lt;=AC466,AC466,)))</f>
        <v>194.33</v>
      </c>
      <c r="AD472" s="2276">
        <f>+IF(B472&lt;=AD464,AD464,IF(B472&lt;=AD465,AD465,IF(B472&lt;=AD466,AD466,)))</f>
        <v>194.33</v>
      </c>
      <c r="AE472" s="2275"/>
      <c r="AF472" s="2275"/>
      <c r="AG472" s="2275"/>
      <c r="AH472" s="2275"/>
      <c r="AI472" s="2275"/>
      <c r="AJ472" s="2275"/>
      <c r="AK472" s="2275"/>
      <c r="AL472" s="2275"/>
      <c r="AM472" s="2275"/>
      <c r="AN472" s="2275"/>
      <c r="AO472" s="2275"/>
      <c r="AP472" s="2250"/>
      <c r="AQ472" s="2250"/>
      <c r="AR472" s="2250"/>
      <c r="AS472" s="2250"/>
      <c r="AT472" s="2250"/>
      <c r="AU472" s="2250"/>
      <c r="AV472" s="2250"/>
      <c r="AW472" s="2250"/>
      <c r="AX472" s="2250"/>
      <c r="AY472" s="2250"/>
      <c r="AZ472" s="2250"/>
      <c r="BA472" s="2250"/>
      <c r="BB472" s="2250"/>
      <c r="BC472" s="2250"/>
      <c r="BD472" s="2250"/>
      <c r="BE472" s="2250"/>
      <c r="BF472" s="2276"/>
      <c r="BG472" s="2276"/>
      <c r="BH472" s="2250"/>
      <c r="BI472" s="2275"/>
      <c r="BJ472" s="2276">
        <f>BJ428</f>
        <v>19.915970774546171</v>
      </c>
      <c r="BK472" s="2276">
        <f>HLOOKUP(BJ473,BL454:CL474,20,0)</f>
        <v>26.07</v>
      </c>
      <c r="BL472" s="2276">
        <f>+IF(BJ472&lt;=BL464,BL464,IF(BJ472&lt;=BL465,BL465,IF(BJ472&lt;=BL466,BL466,)))</f>
        <v>33.93</v>
      </c>
      <c r="BM472" s="2276">
        <f>+IF(BJ472&lt;=BM464,BM464,IF(BJ472&lt;=BM465,BM465,IF(BJ472&lt;=BM466,BM466,)))</f>
        <v>38.270000000000003</v>
      </c>
      <c r="BN472" s="2276">
        <f>+IF(BJ472&lt;=BN464,BN464,IF(BJ472&lt;=BN465,BN465,IF(BJ472&lt;=BN466,BN466,)))</f>
        <v>42.4</v>
      </c>
      <c r="BO472" s="2276">
        <f>+IF(BJ472&lt;=BO464,BO464,IF(BJ472&lt;=BO465,BO465,IF(BJ472&lt;=BO466,BO466,)))</f>
        <v>46.93</v>
      </c>
      <c r="BP472" s="2276">
        <f>+IF(BJ472&lt;=BP464,BP464,IF(BJ472&lt;=BP465,BP465,IF(BJ472&lt;=BP466,BP466,)))</f>
        <v>51.27</v>
      </c>
      <c r="BQ472" s="2276">
        <f>+IF(BJ472&lt;=BQ464,BQ464,IF(BJ472&lt;=BQ465,BQ465,IF(BJ472&lt;=BQ466,BQ466,)))</f>
        <v>48.33</v>
      </c>
      <c r="BR472" s="2276">
        <f>+IF(BJ472&lt;=BR464,BR464,IF(BJ472&lt;=BR465,BR465,IF(BJ472&lt;=BR466,BR466,)))</f>
        <v>53.53</v>
      </c>
      <c r="BS472" s="2276">
        <f>+IF(BJ472&lt;=BS464,BS464,IF(BJ472&lt;=BS465,BS465,IF(BJ472&lt;=BS466,BS466,)))</f>
        <v>57</v>
      </c>
      <c r="BT472" s="2276">
        <f>+IF(BJ472&lt;=BT464,BT464,IF(BJ472&lt;=BT465,BT465,IF(BJ472&lt;=BT466,BT466,)))</f>
        <v>62.53</v>
      </c>
      <c r="BU472" s="2276">
        <f>+IF(BJ472&lt;=BU464,BU464,IF(BJ472&lt;=BU465,BU465,IF(BJ472&lt;=BU466,BU466,)))</f>
        <v>63.73</v>
      </c>
      <c r="BV472" s="2276">
        <f>+IF(BJ472&lt;=BV464,BV464,IF(BJ472&lt;=BV465,BV465,IF(BJ472&lt;=BV466,BV466,)))</f>
        <v>70.599999999999994</v>
      </c>
      <c r="BW472" s="2276">
        <f>+IF(BJ472&lt;=BW464,BW464,IF(BJ472&lt;=BW465,BW465,IF(BJ472&lt;=BW466,BW466,)))</f>
        <v>82.13</v>
      </c>
      <c r="BX472" s="2276">
        <f>+IF(BJ472&lt;=BX464,BX464,IF(BJ472&lt;=BX465,BX465,IF(BJ472&lt;=BX466,BX466,)))</f>
        <v>82.93</v>
      </c>
      <c r="BY472" s="2276">
        <f>+IF(BJ472&lt;=BY464,BY464,IF(BJ472&lt;=BY465,BY465,IF(BJ472&lt;=BY466,BY466,)))</f>
        <v>86.93</v>
      </c>
      <c r="BZ472" s="2276">
        <f>+IF(BJ472&lt;=BZ464,BZ464,IF(BJ472&lt;=BZ465,BZ465,IF(BJ472&lt;=BZ466,BZ466,)))</f>
        <v>91.47</v>
      </c>
      <c r="CA472" s="2276">
        <f>+IF(BJ472&lt;=CA464,CA464,IF(BJ472&lt;=CA465,CA465,IF(BJ472&lt;=CA466,CA466,)))</f>
        <v>98.27</v>
      </c>
      <c r="CB472" s="2276">
        <f>+IF(BJ472&lt;=CB464,CB464,IF(BJ472&lt;=CB465,CB465,IF(BJ472&lt;=CB466,CB466,)))</f>
        <v>102.67</v>
      </c>
      <c r="CC472" s="2276">
        <f>+IF(BJ472&lt;=CC464,CC464,IF(BJ472&lt;=CC465,CC465,IF(BJ472&lt;=CC466,CC466,)))</f>
        <v>111.27</v>
      </c>
      <c r="CD472" s="2276">
        <f>+IF(BJ472&lt;=CD464,CD464,IF(BJ472&lt;=CD465,CD465,IF(BJ472&lt;=CD466,CD466,)))</f>
        <v>118.47</v>
      </c>
      <c r="CE472" s="2276">
        <f>+IF(BJ472&lt;=CE464,CE464,IF(BJ472&lt;=CE465,CE465,IF(BJ472&lt;=CE466,CE466,)))</f>
        <v>127.73</v>
      </c>
      <c r="CF472" s="2276">
        <f>+IF(BJ472&lt;=CF464,CF464,IF(BJ472&lt;=CF465,CF465,IF(BJ472&lt;=CF466,CF466,)))</f>
        <v>135.07</v>
      </c>
      <c r="CG472" s="2276">
        <f>+IF(BJ472&lt;=CG464,CG464,IF(BJ472&lt;=CG465,CG465,IF(BJ472&lt;=CG466,CG466,)))</f>
        <v>141.07</v>
      </c>
      <c r="CH472" s="2276">
        <f>+IF(BJ472&lt;=CH464,CH464,IF(BJ472&lt;=CH465,CH465,IF(BJ472&lt;=CH466,CH466,)))</f>
        <v>156.53</v>
      </c>
      <c r="CI472" s="2276">
        <f>+IF(BJ472&lt;=CI464,CI464,IF(BJ472&lt;=CI465,CI465,IF(BJ472&lt;=CI466,CI466,)))</f>
        <v>172.07</v>
      </c>
      <c r="CJ472" s="2276">
        <f>+IF(BJ472&lt;=CJ464,CJ464,IF(BJ472&lt;=CJ465,CJ465,IF(BJ472&lt;=CJ466,CJ466,)))</f>
        <v>193.33</v>
      </c>
      <c r="CK472" s="2276">
        <f>+IF(BJ472&lt;=CK464,CK464,IF(BJ472&lt;=CK465,CK465,IF(BJ472&lt;=CK466,CK466,)))</f>
        <v>194.33</v>
      </c>
      <c r="CL472" s="2276">
        <f>+IF(BJ472&lt;=CL464,CL464,IF(BJ472&lt;=CL465,CL465,IF(BJ472&lt;=CL466,CL466,)))</f>
        <v>194.33</v>
      </c>
      <c r="CM472" s="2275"/>
      <c r="CN472" s="2275"/>
      <c r="CO472" s="2275"/>
      <c r="CP472" s="2275"/>
      <c r="CQ472" s="2275"/>
      <c r="CR472" s="2275"/>
      <c r="CS472" s="2275"/>
      <c r="CT472" s="2275"/>
      <c r="CU472" s="2275"/>
      <c r="CV472" s="2275"/>
      <c r="CW472" s="2275"/>
      <c r="CX472" s="2250"/>
      <c r="CY472" s="2250"/>
      <c r="CZ472" s="2250"/>
      <c r="DA472" s="2250"/>
      <c r="DB472" s="2250"/>
      <c r="DC472" s="2250"/>
      <c r="DD472" s="2250"/>
      <c r="DE472" s="2250"/>
      <c r="DF472" s="2250"/>
      <c r="DG472" s="2250"/>
      <c r="DH472" s="2250"/>
      <c r="DI472" s="2250"/>
      <c r="DJ472" s="2250"/>
      <c r="DK472" s="2250"/>
      <c r="DL472" s="2250"/>
      <c r="DM472" s="2250"/>
      <c r="DN472" s="2250"/>
      <c r="DO472" s="53"/>
      <c r="DP472" s="53"/>
      <c r="DY472" s="2276">
        <f>DY428</f>
        <v>19.968225884687833</v>
      </c>
      <c r="DZ472" s="2276">
        <f>HLOOKUP(DY473,EA454:FA474,20,0)</f>
        <v>22.47</v>
      </c>
      <c r="EA472" s="2276">
        <f>+IF(DY472&lt;=EA464,EA464,IF(DY472&lt;=EA465,EA465,IF(DY472&lt;=EA466,EA466,)))</f>
        <v>33.93</v>
      </c>
      <c r="EB472" s="2276">
        <f>+IF(DY472&lt;=EB464,EB464,IF(DY472&lt;=EB465,EB465,IF(DY472&lt;=EB466,EB466,)))</f>
        <v>38.270000000000003</v>
      </c>
      <c r="EC472" s="2276">
        <f>+IF(DY472&lt;=EC464,EC464,IF(DY472&lt;=EC465,EC465,IF(DY472&lt;=EC466,EC466,)))</f>
        <v>42.4</v>
      </c>
      <c r="ED472" s="2276">
        <f>+IF(DY472&lt;=ED464,ED464,IF(DY472&lt;=ED465,ED465,IF(DY472&lt;=ED466,ED466,)))</f>
        <v>46.93</v>
      </c>
      <c r="EE472" s="2276">
        <f>+IF(DY472&lt;=EE464,EE464,IF(DY472&lt;=EE465,EE465,IF(DY472&lt;=EE466,EE466,)))</f>
        <v>51.27</v>
      </c>
      <c r="EF472" s="2276">
        <f>+IF(DY472&lt;=EF464,EF464,IF(DY472&lt;=EF465,EF465,IF(DY472&lt;=EF466,EF466,)))</f>
        <v>48.33</v>
      </c>
      <c r="EG472" s="2276">
        <f>+IF(DY472&lt;=EG464,EG464,IF(DY472&lt;=EG465,EG465,IF(DY472&lt;=EG466,EG466,)))</f>
        <v>53.53</v>
      </c>
      <c r="EH472" s="2276">
        <f>+IF(DY472&lt;=EH464,EH464,IF(DY472&lt;=EH465,EH465,IF(DY472&lt;=EH466,EH466,)))</f>
        <v>57</v>
      </c>
      <c r="EI472" s="2276">
        <f>+IF(DY472&lt;=EI464,EI464,IF(DY472&lt;=EI465,EI465,IF(DY472&lt;=EI466,EI466,)))</f>
        <v>62.53</v>
      </c>
      <c r="EJ472" s="2276">
        <f>+IF(DY472&lt;=EJ464,EJ464,IF(DY472&lt;=EJ465,EJ465,IF(DY472&lt;=EJ466,EJ466,)))</f>
        <v>63.73</v>
      </c>
      <c r="EK472" s="2276">
        <f>+IF(DY472&lt;=EK464,EK464,IF(DY472&lt;=EK465,EK465,IF(DY472&lt;=EK466,EK466,)))</f>
        <v>70.599999999999994</v>
      </c>
      <c r="EL472" s="2276">
        <f>+IF(DY472&lt;=EL464,EL464,IF(DY472&lt;=EL465,EL465,IF(DY472&lt;=EL466,EL466,)))</f>
        <v>82.13</v>
      </c>
      <c r="EM472" s="2276">
        <f>+IF(DY472&lt;=EM464,EM464,IF(DY472&lt;=EM465,EM465,IF(DY472&lt;=EM466,EM466,)))</f>
        <v>82.93</v>
      </c>
      <c r="EN472" s="2276">
        <f>+IF(DY472&lt;=EN464,EN464,IF(DY472&lt;=EN465,EN465,IF(DY472&lt;=EN466,EN466,)))</f>
        <v>86.93</v>
      </c>
      <c r="EO472" s="2276">
        <f>+IF(DY472&lt;=EO464,EO464,IF(DY472&lt;=EO465,EO465,IF(DY472&lt;=EO466,EO466,)))</f>
        <v>91.47</v>
      </c>
      <c r="EP472" s="2276">
        <f>+IF(DY472&lt;=EP464,EP464,IF(DY472&lt;=EP465,EP465,IF(DY472&lt;=EP466,EP466,)))</f>
        <v>98.27</v>
      </c>
      <c r="EQ472" s="2276">
        <f>+IF(DY472&lt;=EQ464,EQ464,IF(DY472&lt;=EQ465,EQ465,IF(DY472&lt;=EQ466,EQ466,)))</f>
        <v>102.67</v>
      </c>
      <c r="ER472" s="2276">
        <f>+IF(DY472&lt;=ER464,ER464,IF(DY472&lt;=ER465,ER465,IF(DY472&lt;=ER466,ER466,)))</f>
        <v>111.27</v>
      </c>
      <c r="ES472" s="2276">
        <f>+IF(DY472&lt;=ES464,ES464,IF(DY472&lt;=ES465,ES465,IF(DY472&lt;=ES466,ES466,)))</f>
        <v>118.47</v>
      </c>
      <c r="ET472" s="2276">
        <f>+IF(DY472&lt;=ET464,ET464,IF(DY472&lt;=ET465,ET465,IF(DY472&lt;=ET466,ET466,)))</f>
        <v>127.73</v>
      </c>
      <c r="EU472" s="2276">
        <f>+IF(DY472&lt;=EU464,EU464,IF(DY472&lt;=EU465,EU465,IF(DY472&lt;=EU466,EU466,)))</f>
        <v>135.07</v>
      </c>
      <c r="EV472" s="2276">
        <f>+IF(DY472&lt;=EV464,EV464,IF(DY472&lt;=EV465,EV465,IF(DY472&lt;=EV466,EV466,)))</f>
        <v>141.07</v>
      </c>
      <c r="EW472" s="2276">
        <f>+IF(DY472&lt;=EW464,EW464,IF(DY472&lt;=EW465,EW465,IF(DY472&lt;=EW466,EW466,)))</f>
        <v>156.53</v>
      </c>
      <c r="EX472" s="2276">
        <f>+IF(DY472&lt;=EX464,EX464,IF(DY472&lt;=EX465,EX465,IF(DY472&lt;=EX466,EX466,)))</f>
        <v>172.07</v>
      </c>
      <c r="EY472" s="2276">
        <f>+IF(DY472&lt;=EY464,EY464,IF(DY472&lt;=EY465,EY465,IF(DY472&lt;=EY466,EY466,)))</f>
        <v>193.33</v>
      </c>
      <c r="EZ472" s="2276">
        <f>+IF(DY472&lt;=EZ464,EZ464,IF(DY472&lt;=EZ465,EZ465,IF(DY472&lt;=EZ466,EZ466,)))</f>
        <v>194.33</v>
      </c>
      <c r="FA472" s="2276">
        <f>+IF(DY472&lt;=FA464,FA464,IF(DY472&lt;=FA465,FA465,IF(DY472&lt;=FA466,FA466,)))</f>
        <v>194.33</v>
      </c>
      <c r="FB472" s="2275"/>
      <c r="FC472" s="2275"/>
      <c r="FD472" s="2275"/>
      <c r="FE472" s="2275"/>
      <c r="FF472" s="2275"/>
      <c r="FG472" s="2275"/>
      <c r="FH472" s="2275"/>
      <c r="FI472" s="2275"/>
      <c r="FJ472" s="2275"/>
      <c r="FK472" s="2275"/>
      <c r="FL472" s="2275"/>
      <c r="FM472" s="2250"/>
      <c r="FN472" s="2250"/>
      <c r="FO472" s="2250"/>
      <c r="FP472" s="2250"/>
      <c r="FQ472" s="2250"/>
      <c r="FR472" s="2250"/>
      <c r="FS472" s="2250"/>
      <c r="FT472" s="2250"/>
      <c r="FU472" s="2250"/>
      <c r="FV472" s="2250"/>
      <c r="FW472" s="2250"/>
      <c r="FX472" s="2250"/>
      <c r="FY472" s="2250"/>
      <c r="FZ472" s="2250"/>
      <c r="GA472" s="2250"/>
      <c r="GB472" s="2250"/>
      <c r="GC472" s="2276"/>
      <c r="GD472" s="2276"/>
      <c r="GE472" s="2250"/>
      <c r="GF472" s="2275"/>
      <c r="GG472" s="2276">
        <f>GG428</f>
        <v>19.968225884687833</v>
      </c>
      <c r="GH472" s="2276">
        <f>HLOOKUP(GG473,GI454:HI474,20,0)</f>
        <v>21.2</v>
      </c>
      <c r="GI472" s="2276">
        <f>+IF(GG472&lt;=GI464,GI464,IF(GG472&lt;=GI465,GI465,IF(GG472&lt;=GI466,GI466,)))</f>
        <v>33.93</v>
      </c>
      <c r="GJ472" s="2276">
        <f>+IF(GG472&lt;=GJ464,GJ464,IF(GG472&lt;=GJ465,GJ465,IF(GG472&lt;=GJ466,GJ466,)))</f>
        <v>38.270000000000003</v>
      </c>
      <c r="GK472" s="2276">
        <f>+IF(GG472&lt;=GK464,GK464,IF(GG472&lt;=GK465,GK465,IF(GG472&lt;=GK466,GK466,)))</f>
        <v>42.4</v>
      </c>
      <c r="GL472" s="2276">
        <f>+IF(GG472&lt;=GL464,GL464,IF(GG472&lt;=GL465,GL465,IF(GG472&lt;=GL466,GL466,)))</f>
        <v>46.93</v>
      </c>
      <c r="GM472" s="2276">
        <f>+IF(GG472&lt;=GM464,GM464,IF(GG472&lt;=GM465,GM465,IF(GG472&lt;=GM466,GM466,)))</f>
        <v>51.27</v>
      </c>
      <c r="GN472" s="2276">
        <f>+IF(GG472&lt;=GN464,GN464,IF(GG472&lt;=GN465,GN465,IF(GG472&lt;=GN466,GN466,)))</f>
        <v>48.33</v>
      </c>
      <c r="GO472" s="2276">
        <f>+IF(GG472&lt;=GO464,GO464,IF(GG472&lt;=GO465,GO465,IF(GG472&lt;=GO466,GO466,)))</f>
        <v>53.53</v>
      </c>
      <c r="GP472" s="2276">
        <f>+IF(GG472&lt;=GP464,GP464,IF(GG472&lt;=GP465,GP465,IF(GG472&lt;=GP466,GP466,)))</f>
        <v>57</v>
      </c>
      <c r="GQ472" s="2276">
        <f>+IF(GG472&lt;=GQ464,GQ464,IF(GG472&lt;=GQ465,GQ465,IF(GG472&lt;=GQ466,GQ466,)))</f>
        <v>62.53</v>
      </c>
      <c r="GR472" s="2276">
        <f>+IF(GG472&lt;=GR464,GR464,IF(GG472&lt;=GR465,GR465,IF(GG472&lt;=GR466,GR466,)))</f>
        <v>63.73</v>
      </c>
      <c r="GS472" s="2276">
        <f>+IF(GG472&lt;=GS464,GS464,IF(GG472&lt;=GS465,GS465,IF(GG472&lt;=GS466,GS466,)))</f>
        <v>70.599999999999994</v>
      </c>
      <c r="GT472" s="2276">
        <f>+IF(GG472&lt;=GT464,GT464,IF(GG472&lt;=GT465,GT465,IF(GG472&lt;=GT466,GT466,)))</f>
        <v>82.13</v>
      </c>
      <c r="GU472" s="2276">
        <f>+IF(GG472&lt;=GU464,GU464,IF(GG472&lt;=GU465,GU465,IF(GG472&lt;=GU466,GU466,)))</f>
        <v>82.93</v>
      </c>
      <c r="GV472" s="2276">
        <f>+IF(GG472&lt;=GV464,GV464,IF(GG472&lt;=GV465,GV465,IF(GG472&lt;=GV466,GV466,)))</f>
        <v>86.93</v>
      </c>
      <c r="GW472" s="2276">
        <f>+IF(GG472&lt;=GW464,GW464,IF(GG472&lt;=GW465,GW465,IF(GG472&lt;=GW466,GW466,)))</f>
        <v>91.47</v>
      </c>
      <c r="GX472" s="2276">
        <f>+IF(GG472&lt;=GX464,GX464,IF(GG472&lt;=GX465,GX465,IF(GG472&lt;=GX466,GX466,)))</f>
        <v>98.27</v>
      </c>
      <c r="GY472" s="2276">
        <f>+IF(GG472&lt;=GY464,GY464,IF(GG472&lt;=GY465,GY465,IF(GG472&lt;=GY466,GY466,)))</f>
        <v>102.67</v>
      </c>
      <c r="GZ472" s="2276">
        <f>+IF(GG472&lt;=GZ464,GZ464,IF(GG472&lt;=GZ465,GZ465,IF(GG472&lt;=GZ466,GZ466,)))</f>
        <v>111.27</v>
      </c>
      <c r="HA472" s="2276">
        <f>+IF(GG472&lt;=HA464,HA464,IF(GG472&lt;=HA465,HA465,IF(GG472&lt;=HA466,HA466,)))</f>
        <v>118.47</v>
      </c>
      <c r="HB472" s="2276">
        <f>+IF(GG472&lt;=HB464,HB464,IF(GG472&lt;=HB465,HB465,IF(GG472&lt;=HB466,HB466,)))</f>
        <v>127.73</v>
      </c>
      <c r="HC472" s="2276">
        <f>+IF(GG472&lt;=HC464,HC464,IF(GG472&lt;=HC465,HC465,IF(GG472&lt;=HC466,HC466,)))</f>
        <v>135.07</v>
      </c>
      <c r="HD472" s="2276">
        <f>+IF(GG472&lt;=HD464,HD464,IF(GG472&lt;=HD465,HD465,IF(GG472&lt;=HD466,HD466,)))</f>
        <v>141.07</v>
      </c>
      <c r="HE472" s="2276">
        <f>+IF(GG472&lt;=HE464,HE464,IF(GG472&lt;=HE465,HE465,IF(GG472&lt;=HE466,HE466,)))</f>
        <v>156.53</v>
      </c>
      <c r="HF472" s="2276">
        <f>+IF(GG472&lt;=HF464,HF464,IF(GG472&lt;=HF465,HF465,IF(GG472&lt;=HF466,HF466,)))</f>
        <v>172.07</v>
      </c>
      <c r="HG472" s="2276">
        <f>+IF(GG472&lt;=HG464,HG464,IF(GG472&lt;=HG465,HG465,IF(GG472&lt;=HG466,HG466,)))</f>
        <v>193.33</v>
      </c>
      <c r="HH472" s="2276">
        <f>+IF(GG472&lt;=HH464,HH464,IF(GG472&lt;=HH465,HH465,IF(GG472&lt;=HH466,HH466,)))</f>
        <v>194.33</v>
      </c>
      <c r="HI472" s="2276">
        <f>+IF(GG472&lt;=HI464,HI464,IF(GG472&lt;=HI465,HI465,IF(GG472&lt;=HI466,HI466,)))</f>
        <v>194.33</v>
      </c>
      <c r="HJ472" s="2275"/>
      <c r="HK472" s="2275"/>
      <c r="HL472" s="2275"/>
      <c r="HM472" s="2275"/>
      <c r="HN472" s="2275"/>
      <c r="HO472" s="2275"/>
      <c r="HP472" s="2275"/>
      <c r="HQ472" s="2275"/>
      <c r="HR472" s="2275"/>
      <c r="HS472" s="2275"/>
      <c r="HT472" s="2275"/>
      <c r="HU472" s="2250"/>
      <c r="HV472" s="2250"/>
      <c r="HW472" s="2250"/>
      <c r="HX472" s="2250"/>
      <c r="HY472" s="2250"/>
      <c r="HZ472" s="2250"/>
      <c r="IA472" s="2250"/>
      <c r="IB472" s="2250"/>
      <c r="IC472" s="2250"/>
      <c r="ID472" s="2250"/>
      <c r="IE472" s="2250"/>
      <c r="IF472" s="2250"/>
      <c r="IG472" s="2250"/>
      <c r="IH472" s="2250"/>
      <c r="II472" s="2250"/>
      <c r="IJ472" s="2250"/>
      <c r="IK472" s="2250"/>
      <c r="IL472" s="53"/>
      <c r="IM472" s="53"/>
    </row>
    <row r="473" spans="2:247" ht="21.95" customHeight="1">
      <c r="B473" s="2276">
        <f>B429</f>
        <v>190.4</v>
      </c>
      <c r="C473" s="2276">
        <f>HLOOKUP(B473,D454:AD474,21,0)</f>
        <v>950</v>
      </c>
      <c r="D473" s="2276">
        <f t="shared" ref="D473:AD473" si="354">IF(D471=0,D472,D471)</f>
        <v>23.13</v>
      </c>
      <c r="E473" s="2276">
        <f t="shared" si="354"/>
        <v>26.07</v>
      </c>
      <c r="F473" s="2276">
        <f t="shared" si="354"/>
        <v>21.47</v>
      </c>
      <c r="G473" s="2276">
        <f t="shared" si="354"/>
        <v>22.93</v>
      </c>
      <c r="H473" s="2276">
        <f t="shared" si="354"/>
        <v>22.93</v>
      </c>
      <c r="I473" s="2276">
        <f t="shared" si="354"/>
        <v>24.53</v>
      </c>
      <c r="J473" s="2276">
        <f t="shared" si="354"/>
        <v>27.13</v>
      </c>
      <c r="K473" s="2276">
        <f t="shared" si="354"/>
        <v>19.93</v>
      </c>
      <c r="L473" s="2276">
        <f t="shared" si="354"/>
        <v>21.2</v>
      </c>
      <c r="M473" s="2276">
        <f t="shared" si="354"/>
        <v>22.47</v>
      </c>
      <c r="N473" s="2276">
        <f t="shared" si="354"/>
        <v>23.93</v>
      </c>
      <c r="O473" s="2276">
        <f t="shared" si="354"/>
        <v>21.2</v>
      </c>
      <c r="P473" s="2276">
        <f t="shared" si="354"/>
        <v>22.2</v>
      </c>
      <c r="Q473" s="2276">
        <f t="shared" si="354"/>
        <v>21.8</v>
      </c>
      <c r="R473" s="2276">
        <f t="shared" si="354"/>
        <v>23.33</v>
      </c>
      <c r="S473" s="2276">
        <f t="shared" si="354"/>
        <v>25.4</v>
      </c>
      <c r="T473" s="2276">
        <f t="shared" si="354"/>
        <v>26.93</v>
      </c>
      <c r="U473" s="2276">
        <f t="shared" si="354"/>
        <v>28.07</v>
      </c>
      <c r="V473" s="2276">
        <f t="shared" si="354"/>
        <v>29.73</v>
      </c>
      <c r="W473" s="2276">
        <f t="shared" si="354"/>
        <v>20.53</v>
      </c>
      <c r="X473" s="2276">
        <f t="shared" si="354"/>
        <v>20.87</v>
      </c>
      <c r="Y473" s="2276">
        <f t="shared" si="354"/>
        <v>23.53</v>
      </c>
      <c r="Z473" s="2276">
        <f t="shared" si="354"/>
        <v>25.8</v>
      </c>
      <c r="AA473" s="2276">
        <f t="shared" si="354"/>
        <v>28.53</v>
      </c>
      <c r="AB473" s="2276">
        <f t="shared" si="354"/>
        <v>31.73</v>
      </c>
      <c r="AC473" s="2276">
        <f t="shared" si="354"/>
        <v>21.67</v>
      </c>
      <c r="AD473" s="2276">
        <f t="shared" si="354"/>
        <v>24.27</v>
      </c>
      <c r="AE473" s="2275"/>
      <c r="AF473" s="2275"/>
      <c r="AG473" s="2275"/>
      <c r="AH473" s="2275"/>
      <c r="AI473" s="2275"/>
      <c r="AJ473" s="2275"/>
      <c r="AK473" s="2275"/>
      <c r="AL473" s="2275"/>
      <c r="AM473" s="2275"/>
      <c r="AN473" s="2275"/>
      <c r="AO473" s="2275"/>
      <c r="AP473" s="2250"/>
      <c r="AQ473" s="2250"/>
      <c r="AR473" s="2250"/>
      <c r="AS473" s="2250"/>
      <c r="AT473" s="2250"/>
      <c r="AU473" s="2250"/>
      <c r="AV473" s="2250"/>
      <c r="AW473" s="2250"/>
      <c r="AX473" s="2250"/>
      <c r="AY473" s="2250"/>
      <c r="AZ473" s="2250"/>
      <c r="BA473" s="2250"/>
      <c r="BB473" s="2250"/>
      <c r="BC473" s="2250"/>
      <c r="BD473" s="2250"/>
      <c r="BE473" s="2250"/>
      <c r="BF473" s="2276"/>
      <c r="BG473" s="2276"/>
      <c r="BH473" s="2250"/>
      <c r="BI473" s="2275"/>
      <c r="BJ473" s="2276">
        <f>BJ429</f>
        <v>206.43</v>
      </c>
      <c r="BK473" s="2276">
        <f>HLOOKUP(BJ473,BL454:CL474,21,0)</f>
        <v>1100</v>
      </c>
      <c r="BL473" s="2276">
        <f t="shared" ref="BL473:CL473" si="355">IF(BL471=0,BL472,BL471)</f>
        <v>23.13</v>
      </c>
      <c r="BM473" s="2276">
        <f t="shared" si="355"/>
        <v>26.07</v>
      </c>
      <c r="BN473" s="2276">
        <f t="shared" si="355"/>
        <v>21.47</v>
      </c>
      <c r="BO473" s="2276">
        <f t="shared" si="355"/>
        <v>22.93</v>
      </c>
      <c r="BP473" s="2276">
        <f t="shared" si="355"/>
        <v>22.93</v>
      </c>
      <c r="BQ473" s="2276">
        <f t="shared" si="355"/>
        <v>24.53</v>
      </c>
      <c r="BR473" s="2276">
        <f t="shared" si="355"/>
        <v>27.13</v>
      </c>
      <c r="BS473" s="2276">
        <f t="shared" si="355"/>
        <v>19.93</v>
      </c>
      <c r="BT473" s="2276">
        <f t="shared" si="355"/>
        <v>21.2</v>
      </c>
      <c r="BU473" s="2276">
        <f t="shared" si="355"/>
        <v>22.47</v>
      </c>
      <c r="BV473" s="2276">
        <f t="shared" si="355"/>
        <v>23.93</v>
      </c>
      <c r="BW473" s="2276">
        <f t="shared" si="355"/>
        <v>21.2</v>
      </c>
      <c r="BX473" s="2276">
        <f t="shared" si="355"/>
        <v>22.2</v>
      </c>
      <c r="BY473" s="2276">
        <f t="shared" si="355"/>
        <v>21.8</v>
      </c>
      <c r="BZ473" s="2276">
        <f t="shared" si="355"/>
        <v>23.33</v>
      </c>
      <c r="CA473" s="2276">
        <f t="shared" si="355"/>
        <v>25.4</v>
      </c>
      <c r="CB473" s="2276">
        <f t="shared" si="355"/>
        <v>26.93</v>
      </c>
      <c r="CC473" s="2276">
        <f t="shared" si="355"/>
        <v>28.07</v>
      </c>
      <c r="CD473" s="2276">
        <f t="shared" si="355"/>
        <v>29.73</v>
      </c>
      <c r="CE473" s="2276">
        <f t="shared" si="355"/>
        <v>20.53</v>
      </c>
      <c r="CF473" s="2276">
        <f t="shared" si="355"/>
        <v>20.87</v>
      </c>
      <c r="CG473" s="2276">
        <f t="shared" si="355"/>
        <v>23.53</v>
      </c>
      <c r="CH473" s="2276">
        <f t="shared" si="355"/>
        <v>25.8</v>
      </c>
      <c r="CI473" s="2276">
        <f t="shared" si="355"/>
        <v>28.53</v>
      </c>
      <c r="CJ473" s="2276">
        <f t="shared" si="355"/>
        <v>31.73</v>
      </c>
      <c r="CK473" s="2276">
        <f t="shared" si="355"/>
        <v>21.67</v>
      </c>
      <c r="CL473" s="2276">
        <f t="shared" si="355"/>
        <v>24.27</v>
      </c>
      <c r="CM473" s="2275"/>
      <c r="CN473" s="2275"/>
      <c r="CO473" s="2275"/>
      <c r="CP473" s="2275"/>
      <c r="CQ473" s="2275"/>
      <c r="CR473" s="2275"/>
      <c r="CS473" s="2275"/>
      <c r="CT473" s="2275"/>
      <c r="CU473" s="2275"/>
      <c r="CV473" s="2275"/>
      <c r="CW473" s="2275"/>
      <c r="CX473" s="2250"/>
      <c r="CY473" s="2250"/>
      <c r="CZ473" s="2250"/>
      <c r="DA473" s="2250"/>
      <c r="DB473" s="2250"/>
      <c r="DC473" s="2250"/>
      <c r="DD473" s="2250"/>
      <c r="DE473" s="2250"/>
      <c r="DF473" s="2250"/>
      <c r="DG473" s="2250"/>
      <c r="DH473" s="2250"/>
      <c r="DI473" s="2250"/>
      <c r="DJ473" s="2250"/>
      <c r="DK473" s="2250"/>
      <c r="DL473" s="2250"/>
      <c r="DM473" s="2250"/>
      <c r="DN473" s="2250"/>
      <c r="DO473" s="53"/>
      <c r="DP473" s="53"/>
      <c r="DY473" s="2276">
        <f>DY429</f>
        <v>120.7</v>
      </c>
      <c r="DZ473" s="2276">
        <f>HLOOKUP(DY473,EA454:FA474,21,0)</f>
        <v>825</v>
      </c>
      <c r="EA473" s="2276">
        <f t="shared" ref="EA473:FA473" si="356">IF(EA471=0,EA472,EA471)</f>
        <v>23.13</v>
      </c>
      <c r="EB473" s="2276">
        <f t="shared" si="356"/>
        <v>26.07</v>
      </c>
      <c r="EC473" s="2276">
        <f t="shared" si="356"/>
        <v>21.47</v>
      </c>
      <c r="ED473" s="2276">
        <f t="shared" si="356"/>
        <v>22.93</v>
      </c>
      <c r="EE473" s="2276">
        <f t="shared" si="356"/>
        <v>22.93</v>
      </c>
      <c r="EF473" s="2276">
        <f t="shared" si="356"/>
        <v>24.53</v>
      </c>
      <c r="EG473" s="2276">
        <f t="shared" si="356"/>
        <v>27.13</v>
      </c>
      <c r="EH473" s="2276">
        <f t="shared" si="356"/>
        <v>28.87</v>
      </c>
      <c r="EI473" s="2276">
        <f t="shared" si="356"/>
        <v>21.2</v>
      </c>
      <c r="EJ473" s="2276">
        <f t="shared" si="356"/>
        <v>22.47</v>
      </c>
      <c r="EK473" s="2276">
        <f t="shared" si="356"/>
        <v>23.93</v>
      </c>
      <c r="EL473" s="2276">
        <f t="shared" si="356"/>
        <v>21.2</v>
      </c>
      <c r="EM473" s="2276">
        <f t="shared" si="356"/>
        <v>22.2</v>
      </c>
      <c r="EN473" s="2276">
        <f t="shared" si="356"/>
        <v>21.8</v>
      </c>
      <c r="EO473" s="2276">
        <f t="shared" si="356"/>
        <v>23.33</v>
      </c>
      <c r="EP473" s="2276">
        <f t="shared" si="356"/>
        <v>25.4</v>
      </c>
      <c r="EQ473" s="2276">
        <f t="shared" si="356"/>
        <v>26.93</v>
      </c>
      <c r="ER473" s="2276">
        <f t="shared" si="356"/>
        <v>28.07</v>
      </c>
      <c r="ES473" s="2276">
        <f t="shared" si="356"/>
        <v>29.73</v>
      </c>
      <c r="ET473" s="2276">
        <f t="shared" si="356"/>
        <v>20.53</v>
      </c>
      <c r="EU473" s="2276">
        <f t="shared" si="356"/>
        <v>20.87</v>
      </c>
      <c r="EV473" s="2276">
        <f t="shared" si="356"/>
        <v>23.53</v>
      </c>
      <c r="EW473" s="2276">
        <f t="shared" si="356"/>
        <v>25.8</v>
      </c>
      <c r="EX473" s="2276">
        <f t="shared" si="356"/>
        <v>28.53</v>
      </c>
      <c r="EY473" s="2276">
        <f t="shared" si="356"/>
        <v>31.73</v>
      </c>
      <c r="EZ473" s="2276">
        <f t="shared" si="356"/>
        <v>21.67</v>
      </c>
      <c r="FA473" s="2276">
        <f t="shared" si="356"/>
        <v>24.27</v>
      </c>
      <c r="FB473" s="2275"/>
      <c r="FC473" s="2275"/>
      <c r="FD473" s="2275"/>
      <c r="FE473" s="2275"/>
      <c r="FF473" s="2275"/>
      <c r="FG473" s="2275"/>
      <c r="FH473" s="2275"/>
      <c r="FI473" s="2275"/>
      <c r="FJ473" s="2275"/>
      <c r="FK473" s="2275"/>
      <c r="FL473" s="2275"/>
      <c r="FM473" s="2250"/>
      <c r="FN473" s="2250"/>
      <c r="FO473" s="2250"/>
      <c r="FP473" s="2250"/>
      <c r="FQ473" s="2250"/>
      <c r="FR473" s="2250"/>
      <c r="FS473" s="2250"/>
      <c r="FT473" s="2250"/>
      <c r="FU473" s="2250"/>
      <c r="FV473" s="2250"/>
      <c r="FW473" s="2250"/>
      <c r="FX473" s="2250"/>
      <c r="FY473" s="2250"/>
      <c r="FZ473" s="2250"/>
      <c r="GA473" s="2250"/>
      <c r="GB473" s="2250"/>
      <c r="GC473" s="2276"/>
      <c r="GD473" s="2276"/>
      <c r="GE473" s="2250"/>
      <c r="GF473" s="2275"/>
      <c r="GG473" s="2276">
        <f>GG429</f>
        <v>129.80000000000001</v>
      </c>
      <c r="GH473" s="2276">
        <f>HLOOKUP(GG473,GI454:HI474,21,0)</f>
        <v>825</v>
      </c>
      <c r="GI473" s="2276">
        <f t="shared" ref="GI473:HI473" si="357">IF(GI471=0,GI472,GI471)</f>
        <v>23.13</v>
      </c>
      <c r="GJ473" s="2276">
        <f t="shared" si="357"/>
        <v>26.07</v>
      </c>
      <c r="GK473" s="2276">
        <f t="shared" si="357"/>
        <v>21.47</v>
      </c>
      <c r="GL473" s="2276">
        <f t="shared" si="357"/>
        <v>22.93</v>
      </c>
      <c r="GM473" s="2276">
        <f t="shared" si="357"/>
        <v>22.93</v>
      </c>
      <c r="GN473" s="2276">
        <f t="shared" si="357"/>
        <v>24.53</v>
      </c>
      <c r="GO473" s="2276">
        <f t="shared" si="357"/>
        <v>27.13</v>
      </c>
      <c r="GP473" s="2276">
        <f t="shared" si="357"/>
        <v>28.87</v>
      </c>
      <c r="GQ473" s="2276">
        <f t="shared" si="357"/>
        <v>21.2</v>
      </c>
      <c r="GR473" s="2276">
        <f t="shared" si="357"/>
        <v>22.47</v>
      </c>
      <c r="GS473" s="2276">
        <f t="shared" si="357"/>
        <v>23.93</v>
      </c>
      <c r="GT473" s="2276">
        <f t="shared" si="357"/>
        <v>21.2</v>
      </c>
      <c r="GU473" s="2276">
        <f t="shared" si="357"/>
        <v>22.2</v>
      </c>
      <c r="GV473" s="2276">
        <f t="shared" si="357"/>
        <v>21.8</v>
      </c>
      <c r="GW473" s="2276">
        <f t="shared" si="357"/>
        <v>23.33</v>
      </c>
      <c r="GX473" s="2276">
        <f t="shared" si="357"/>
        <v>25.4</v>
      </c>
      <c r="GY473" s="2276">
        <f t="shared" si="357"/>
        <v>26.93</v>
      </c>
      <c r="GZ473" s="2276">
        <f t="shared" si="357"/>
        <v>28.07</v>
      </c>
      <c r="HA473" s="2276">
        <f t="shared" si="357"/>
        <v>29.73</v>
      </c>
      <c r="HB473" s="2276">
        <f t="shared" si="357"/>
        <v>20.53</v>
      </c>
      <c r="HC473" s="2276">
        <f t="shared" si="357"/>
        <v>20.87</v>
      </c>
      <c r="HD473" s="2276">
        <f t="shared" si="357"/>
        <v>23.53</v>
      </c>
      <c r="HE473" s="2276">
        <f t="shared" si="357"/>
        <v>25.8</v>
      </c>
      <c r="HF473" s="2276">
        <f t="shared" si="357"/>
        <v>28.53</v>
      </c>
      <c r="HG473" s="2276">
        <f t="shared" si="357"/>
        <v>31.73</v>
      </c>
      <c r="HH473" s="2276">
        <f t="shared" si="357"/>
        <v>21.67</v>
      </c>
      <c r="HI473" s="2276">
        <f t="shared" si="357"/>
        <v>24.27</v>
      </c>
      <c r="HJ473" s="2275"/>
      <c r="HK473" s="2275"/>
      <c r="HL473" s="2275"/>
      <c r="HM473" s="2275"/>
      <c r="HN473" s="2275"/>
      <c r="HO473" s="2275"/>
      <c r="HP473" s="2275"/>
      <c r="HQ473" s="2275"/>
      <c r="HR473" s="2275"/>
      <c r="HS473" s="2275"/>
      <c r="HT473" s="2275"/>
      <c r="HU473" s="2250"/>
      <c r="HV473" s="2250"/>
      <c r="HW473" s="2250"/>
      <c r="HX473" s="2250"/>
      <c r="HY473" s="2250"/>
      <c r="HZ473" s="2250"/>
      <c r="IA473" s="2250"/>
      <c r="IB473" s="2250"/>
      <c r="IC473" s="2250"/>
      <c r="ID473" s="2250"/>
      <c r="IE473" s="2250"/>
      <c r="IF473" s="2250"/>
      <c r="IG473" s="2250"/>
      <c r="IH473" s="2250"/>
      <c r="II473" s="2250"/>
      <c r="IJ473" s="2250"/>
      <c r="IK473" s="2250"/>
      <c r="IL473" s="53"/>
      <c r="IM473" s="53"/>
    </row>
    <row r="474" spans="2:247" ht="21.95" customHeight="1">
      <c r="B474" s="2250"/>
      <c r="C474" s="2276" t="str">
        <f>IF(C472=AH470,IF(C473=AI470,"Right","Wrong"))</f>
        <v>Right</v>
      </c>
      <c r="D474" s="2276">
        <f>VLOOKUP(D473,D456:AE466,28,0)</f>
        <v>1100</v>
      </c>
      <c r="E474" s="2276">
        <f>VLOOKUP(E473,E456:AE466,27,0)</f>
        <v>1100</v>
      </c>
      <c r="F474" s="2276">
        <f>VLOOKUP(F473,F456:AE466,26,0)</f>
        <v>950</v>
      </c>
      <c r="G474" s="2276">
        <f>VLOOKUP(G473,G456:AE466,25,0)</f>
        <v>950</v>
      </c>
      <c r="H474" s="2276">
        <f>VLOOKUP(H473,H456:AE466,24,0)</f>
        <v>950</v>
      </c>
      <c r="I474" s="2276">
        <f>VLOOKUP(I473,I456:AE466,23,0)</f>
        <v>950</v>
      </c>
      <c r="J474" s="2276">
        <f>VLOOKUP(J473,J456:AE466,22,0)</f>
        <v>950</v>
      </c>
      <c r="K474" s="2276">
        <f>VLOOKUP(K473,K456:AE466,21,0)</f>
        <v>825</v>
      </c>
      <c r="L474" s="2276">
        <f>VLOOKUP(L473,L456:AE466,20,0)</f>
        <v>825</v>
      </c>
      <c r="M474" s="2276">
        <f>VLOOKUP(M473,M456:AE466,19,0)</f>
        <v>825</v>
      </c>
      <c r="N474" s="2276">
        <f>VLOOKUP(N473,N456:AE466,18,0)</f>
        <v>825</v>
      </c>
      <c r="O474" s="2276">
        <f>VLOOKUP(O473,O456:AE466,17,0)</f>
        <v>775</v>
      </c>
      <c r="P474" s="2276">
        <f>VLOOKUP(P473,P456:AE466,16,0)</f>
        <v>775</v>
      </c>
      <c r="Q474" s="2276">
        <f>VLOOKUP(Q473,Q456:AE466,15,0)</f>
        <v>775</v>
      </c>
      <c r="R474" s="2276">
        <f>VLOOKUP(R473,R456:AE466,14,0)</f>
        <v>775</v>
      </c>
      <c r="S474" s="2276">
        <f>VLOOKUP(S473,S456:AE466,13,0)</f>
        <v>775</v>
      </c>
      <c r="T474" s="2276">
        <f>VLOOKUP(T473,T456:AE466,12,0)</f>
        <v>775</v>
      </c>
      <c r="U474" s="2276">
        <f>VLOOKUP(U473,U456:AE466,11,0)</f>
        <v>775</v>
      </c>
      <c r="V474" s="2276">
        <f>VLOOKUP(V473,V456:AE466,10,0)</f>
        <v>775</v>
      </c>
      <c r="W474" s="2276">
        <f>VLOOKUP(W473,W456:AE466,9,0)</f>
        <v>650</v>
      </c>
      <c r="X474" s="2276">
        <f>VLOOKUP(X473,X456:AE466,8,0)</f>
        <v>650</v>
      </c>
      <c r="Y474" s="2276">
        <f>VLOOKUP(Y473,Y456:AE466,7,0)</f>
        <v>650</v>
      </c>
      <c r="Z474" s="2276">
        <f>VLOOKUP(Z473,Z456:AE466,6,0)</f>
        <v>650</v>
      </c>
      <c r="AA474" s="2276">
        <f>VLOOKUP(AA473,AA456:AE466,5,0)</f>
        <v>650</v>
      </c>
      <c r="AB474" s="2276">
        <f>VLOOKUP(AB473,AB456:AE466,4,0)</f>
        <v>650</v>
      </c>
      <c r="AC474" s="2276">
        <f>VLOOKUP(AC473,AC456:AE466,3,0)</f>
        <v>550</v>
      </c>
      <c r="AD474" s="2276">
        <f>VLOOKUP(AD473,AD456:AE466,2,0)</f>
        <v>550</v>
      </c>
      <c r="AE474" s="2275"/>
      <c r="AF474" s="2275"/>
      <c r="AG474" s="2275"/>
      <c r="AH474" s="2275"/>
      <c r="AI474" s="2275"/>
      <c r="AJ474" s="2275"/>
      <c r="AK474" s="2275"/>
      <c r="AL474" s="2275"/>
      <c r="AM474" s="2275"/>
      <c r="AN474" s="2275"/>
      <c r="AO474" s="2275"/>
      <c r="AP474" s="2250"/>
      <c r="AQ474" s="2250"/>
      <c r="AR474" s="2250"/>
      <c r="AS474" s="2250"/>
      <c r="AT474" s="2250"/>
      <c r="AU474" s="2250"/>
      <c r="AV474" s="2250"/>
      <c r="AW474" s="2250"/>
      <c r="AX474" s="2250"/>
      <c r="AY474" s="2250"/>
      <c r="AZ474" s="2250"/>
      <c r="BA474" s="2250"/>
      <c r="BB474" s="2250"/>
      <c r="BC474" s="2250"/>
      <c r="BD474" s="2250"/>
      <c r="BE474" s="2250"/>
      <c r="BF474" s="2276"/>
      <c r="BG474" s="2276"/>
      <c r="BH474" s="2250"/>
      <c r="BI474" s="2275"/>
      <c r="BJ474" s="2250"/>
      <c r="BK474" s="2276" t="str">
        <f>IF(BK472=CP470,IF(BK473=CQ470,"Right","Wrong"))</f>
        <v>Right</v>
      </c>
      <c r="BL474" s="2276">
        <f>VLOOKUP(BL473,BL456:CM466,28,0)</f>
        <v>1100</v>
      </c>
      <c r="BM474" s="2276">
        <f>VLOOKUP(BM473,BM456:CM466,27,0)</f>
        <v>1100</v>
      </c>
      <c r="BN474" s="2276">
        <f>VLOOKUP(BN473,BN456:CM466,26,0)</f>
        <v>950</v>
      </c>
      <c r="BO474" s="2276">
        <f>VLOOKUP(BO473,BO456:CM466,25,0)</f>
        <v>950</v>
      </c>
      <c r="BP474" s="2276">
        <f>VLOOKUP(BP473,BP456:CM466,24,0)</f>
        <v>950</v>
      </c>
      <c r="BQ474" s="2276">
        <f>VLOOKUP(BQ473,BQ456:CM466,23,0)</f>
        <v>950</v>
      </c>
      <c r="BR474" s="2276">
        <f>VLOOKUP(BR473,BR456:CM466,22,0)</f>
        <v>950</v>
      </c>
      <c r="BS474" s="2276">
        <f>VLOOKUP(BS473,BS456:CM466,21,0)</f>
        <v>825</v>
      </c>
      <c r="BT474" s="2276">
        <f>VLOOKUP(BT473,BT456:CM466,20,0)</f>
        <v>825</v>
      </c>
      <c r="BU474" s="2276">
        <f>VLOOKUP(BU473,BU456:CM466,19,0)</f>
        <v>825</v>
      </c>
      <c r="BV474" s="2276">
        <f>VLOOKUP(BV473,BV456:CM466,18,0)</f>
        <v>825</v>
      </c>
      <c r="BW474" s="2276">
        <f>VLOOKUP(BW473,BW456:CM466,17,0)</f>
        <v>775</v>
      </c>
      <c r="BX474" s="2276">
        <f>VLOOKUP(BX473,BX456:CM466,16,0)</f>
        <v>775</v>
      </c>
      <c r="BY474" s="2276">
        <f>VLOOKUP(BY473,BY456:CM466,15,0)</f>
        <v>775</v>
      </c>
      <c r="BZ474" s="2276">
        <f>VLOOKUP(BZ473,BZ456:CM466,14,0)</f>
        <v>775</v>
      </c>
      <c r="CA474" s="2276">
        <f>VLOOKUP(CA473,CA456:CM466,13,0)</f>
        <v>775</v>
      </c>
      <c r="CB474" s="2276">
        <f>VLOOKUP(CB473,CB456:CM466,12,0)</f>
        <v>775</v>
      </c>
      <c r="CC474" s="2276">
        <f>VLOOKUP(CC473,CC456:CM466,11,0)</f>
        <v>775</v>
      </c>
      <c r="CD474" s="2276">
        <f>VLOOKUP(CD473,CD456:CM466,10,0)</f>
        <v>775</v>
      </c>
      <c r="CE474" s="2276">
        <f>VLOOKUP(CE473,CE456:CM466,9,0)</f>
        <v>650</v>
      </c>
      <c r="CF474" s="2276">
        <f>VLOOKUP(CF473,CF456:CM466,8,0)</f>
        <v>650</v>
      </c>
      <c r="CG474" s="2276">
        <f>VLOOKUP(CG473,CG456:CM466,7,0)</f>
        <v>650</v>
      </c>
      <c r="CH474" s="2276">
        <f>VLOOKUP(CH473,CH456:CM466,6,0)</f>
        <v>650</v>
      </c>
      <c r="CI474" s="2276">
        <f>VLOOKUP(CI473,CI456:CM466,5,0)</f>
        <v>650</v>
      </c>
      <c r="CJ474" s="2276">
        <f>VLOOKUP(CJ473,CJ456:CM466,4,0)</f>
        <v>650</v>
      </c>
      <c r="CK474" s="2276">
        <f>VLOOKUP(CK473,CK456:CM466,3,0)</f>
        <v>550</v>
      </c>
      <c r="CL474" s="2276">
        <f>VLOOKUP(CL473,CL456:CM466,2,0)</f>
        <v>550</v>
      </c>
      <c r="CM474" s="2275"/>
      <c r="CN474" s="2275"/>
      <c r="CO474" s="2275"/>
      <c r="CP474" s="2275"/>
      <c r="CQ474" s="2275"/>
      <c r="CR474" s="2275"/>
      <c r="CS474" s="2275"/>
      <c r="CT474" s="2275"/>
      <c r="CU474" s="2275"/>
      <c r="CV474" s="2275"/>
      <c r="CW474" s="2275"/>
      <c r="CX474" s="2250"/>
      <c r="CY474" s="2250"/>
      <c r="CZ474" s="2250"/>
      <c r="DA474" s="2250"/>
      <c r="DB474" s="2250"/>
      <c r="DC474" s="2250"/>
      <c r="DD474" s="2250"/>
      <c r="DE474" s="2250"/>
      <c r="DF474" s="2250"/>
      <c r="DG474" s="2250"/>
      <c r="DH474" s="2250"/>
      <c r="DI474" s="2250"/>
      <c r="DJ474" s="2250"/>
      <c r="DK474" s="2250"/>
      <c r="DL474" s="2250"/>
      <c r="DM474" s="2250"/>
      <c r="DN474" s="2250"/>
      <c r="DO474" s="53"/>
      <c r="DP474" s="53"/>
      <c r="DY474" s="2250"/>
      <c r="DZ474" s="2276" t="str">
        <f>IF(DZ472=FE470,IF(DZ473=FF470,"Right","Wrong"))</f>
        <v>Right</v>
      </c>
      <c r="EA474" s="2276">
        <f>VLOOKUP(EA473,EA456:FB466,28,0)</f>
        <v>1100</v>
      </c>
      <c r="EB474" s="2276">
        <f>VLOOKUP(EB473,EB456:FB466,27,0)</f>
        <v>1100</v>
      </c>
      <c r="EC474" s="2276">
        <f>VLOOKUP(EC473,EC456:FB466,26,0)</f>
        <v>950</v>
      </c>
      <c r="ED474" s="2276">
        <f>VLOOKUP(ED473,ED456:FB466,25,0)</f>
        <v>950</v>
      </c>
      <c r="EE474" s="2276">
        <f>VLOOKUP(EE473,EE456:FB466,24,0)</f>
        <v>950</v>
      </c>
      <c r="EF474" s="2276">
        <f>VLOOKUP(EF473,EF456:FB466,23,0)</f>
        <v>950</v>
      </c>
      <c r="EG474" s="2276">
        <f>VLOOKUP(EG473,EG456:FB466,22,0)</f>
        <v>950</v>
      </c>
      <c r="EH474" s="2276">
        <f>VLOOKUP(EH473,EH456:FB466,21,0)</f>
        <v>950</v>
      </c>
      <c r="EI474" s="2276">
        <f>VLOOKUP(EI473,EI456:FB466,20,0)</f>
        <v>825</v>
      </c>
      <c r="EJ474" s="2276">
        <f>VLOOKUP(EJ473,EJ456:FB466,19,0)</f>
        <v>825</v>
      </c>
      <c r="EK474" s="2276">
        <f>VLOOKUP(EK473,EK456:FB466,18,0)</f>
        <v>825</v>
      </c>
      <c r="EL474" s="2276">
        <f>VLOOKUP(EL473,EL456:FB466,17,0)</f>
        <v>775</v>
      </c>
      <c r="EM474" s="2276">
        <f>VLOOKUP(EM473,EM456:FB466,16,0)</f>
        <v>775</v>
      </c>
      <c r="EN474" s="2276">
        <f>VLOOKUP(EN473,EN456:FB466,15,0)</f>
        <v>775</v>
      </c>
      <c r="EO474" s="2276">
        <f>VLOOKUP(EO473,EO456:FB466,14,0)</f>
        <v>775</v>
      </c>
      <c r="EP474" s="2276">
        <f>VLOOKUP(EP473,EP456:FB466,13,0)</f>
        <v>775</v>
      </c>
      <c r="EQ474" s="2276">
        <f>VLOOKUP(EQ473,EQ456:FB466,12,0)</f>
        <v>775</v>
      </c>
      <c r="ER474" s="2276">
        <f>VLOOKUP(ER473,ER456:FB466,11,0)</f>
        <v>775</v>
      </c>
      <c r="ES474" s="2276">
        <f>VLOOKUP(ES473,ES456:FB466,10,0)</f>
        <v>775</v>
      </c>
      <c r="ET474" s="2276">
        <f>VLOOKUP(ET473,ET456:FB466,9,0)</f>
        <v>650</v>
      </c>
      <c r="EU474" s="2276">
        <f>VLOOKUP(EU473,EU456:FB466,8,0)</f>
        <v>650</v>
      </c>
      <c r="EV474" s="2276">
        <f>VLOOKUP(EV473,EV456:FB466,7,0)</f>
        <v>650</v>
      </c>
      <c r="EW474" s="2276">
        <f>VLOOKUP(EW473,EW456:FB466,6,0)</f>
        <v>650</v>
      </c>
      <c r="EX474" s="2276">
        <f>VLOOKUP(EX473,EX456:FB466,5,0)</f>
        <v>650</v>
      </c>
      <c r="EY474" s="2276">
        <f>VLOOKUP(EY473,EY456:FB466,4,0)</f>
        <v>650</v>
      </c>
      <c r="EZ474" s="2276">
        <f>VLOOKUP(EZ473,EZ456:FB466,3,0)</f>
        <v>550</v>
      </c>
      <c r="FA474" s="2276">
        <f>VLOOKUP(FA473,FA456:FB466,2,0)</f>
        <v>550</v>
      </c>
      <c r="FB474" s="2275"/>
      <c r="FC474" s="2275"/>
      <c r="FD474" s="2275"/>
      <c r="FE474" s="2275"/>
      <c r="FF474" s="2275"/>
      <c r="FG474" s="2275"/>
      <c r="FH474" s="2275"/>
      <c r="FI474" s="2275"/>
      <c r="FJ474" s="2275"/>
      <c r="FK474" s="2275"/>
      <c r="FL474" s="2275"/>
      <c r="FM474" s="2250"/>
      <c r="FN474" s="2250"/>
      <c r="FO474" s="2250"/>
      <c r="FP474" s="2250"/>
      <c r="FQ474" s="2250"/>
      <c r="FR474" s="2250"/>
      <c r="FS474" s="2250"/>
      <c r="FT474" s="2250"/>
      <c r="FU474" s="2250"/>
      <c r="FV474" s="2250"/>
      <c r="FW474" s="2250"/>
      <c r="FX474" s="2250"/>
      <c r="FY474" s="2250"/>
      <c r="FZ474" s="2250"/>
      <c r="GA474" s="2250"/>
      <c r="GB474" s="2250"/>
      <c r="GC474" s="2276"/>
      <c r="GD474" s="2276"/>
      <c r="GE474" s="2250"/>
      <c r="GF474" s="2275"/>
      <c r="GG474" s="2250"/>
      <c r="GH474" s="2276" t="str">
        <f>IF(GH472=HM470,IF(GH473=HN470,"Right","Wrong"))</f>
        <v>Right</v>
      </c>
      <c r="GI474" s="2276">
        <f>VLOOKUP(GI473,GI456:HJ466,28,0)</f>
        <v>1100</v>
      </c>
      <c r="GJ474" s="2276">
        <f>VLOOKUP(GJ473,GJ456:HJ466,27,0)</f>
        <v>1100</v>
      </c>
      <c r="GK474" s="2276">
        <f>VLOOKUP(GK473,GK456:HJ466,26,0)</f>
        <v>950</v>
      </c>
      <c r="GL474" s="2276">
        <f>VLOOKUP(GL473,GL456:HJ466,25,0)</f>
        <v>950</v>
      </c>
      <c r="GM474" s="2276">
        <f>VLOOKUP(GM473,GM456:HJ466,24,0)</f>
        <v>950</v>
      </c>
      <c r="GN474" s="2276">
        <f>VLOOKUP(GN473,GN456:HJ466,23,0)</f>
        <v>950</v>
      </c>
      <c r="GO474" s="2276">
        <f>VLOOKUP(GO473,GO456:HJ466,22,0)</f>
        <v>950</v>
      </c>
      <c r="GP474" s="2276">
        <f>VLOOKUP(GP473,GP456:HJ466,21,0)</f>
        <v>950</v>
      </c>
      <c r="GQ474" s="2276">
        <f>VLOOKUP(GQ473,GQ456:HJ466,20,0)</f>
        <v>825</v>
      </c>
      <c r="GR474" s="2276">
        <f>VLOOKUP(GR473,GR456:HJ466,19,0)</f>
        <v>825</v>
      </c>
      <c r="GS474" s="2276">
        <f>VLOOKUP(GS473,GS456:HJ466,18,0)</f>
        <v>825</v>
      </c>
      <c r="GT474" s="2276">
        <f>VLOOKUP(GT473,GT456:HJ466,17,0)</f>
        <v>775</v>
      </c>
      <c r="GU474" s="2276">
        <f>VLOOKUP(GU473,GU456:HJ466,16,0)</f>
        <v>775</v>
      </c>
      <c r="GV474" s="2276">
        <f>VLOOKUP(GV473,GV456:HJ466,15,0)</f>
        <v>775</v>
      </c>
      <c r="GW474" s="2276">
        <f>VLOOKUP(GW473,GW456:HJ466,14,0)</f>
        <v>775</v>
      </c>
      <c r="GX474" s="2276">
        <f>VLOOKUP(GX473,GX456:HJ466,13,0)</f>
        <v>775</v>
      </c>
      <c r="GY474" s="2276">
        <f>VLOOKUP(GY473,GY456:HJ466,12,0)</f>
        <v>775</v>
      </c>
      <c r="GZ474" s="2276">
        <f>VLOOKUP(GZ473,GZ456:HJ466,11,0)</f>
        <v>775</v>
      </c>
      <c r="HA474" s="2276">
        <f>VLOOKUP(HA473,HA456:HJ466,10,0)</f>
        <v>775</v>
      </c>
      <c r="HB474" s="2276">
        <f>VLOOKUP(HB473,HB456:HJ466,9,0)</f>
        <v>650</v>
      </c>
      <c r="HC474" s="2276">
        <f>VLOOKUP(HC473,HC456:HJ466,8,0)</f>
        <v>650</v>
      </c>
      <c r="HD474" s="2276">
        <f>VLOOKUP(HD473,HD456:HJ466,7,0)</f>
        <v>650</v>
      </c>
      <c r="HE474" s="2276">
        <f>VLOOKUP(HE473,HE456:HJ466,6,0)</f>
        <v>650</v>
      </c>
      <c r="HF474" s="2276">
        <f>VLOOKUP(HF473,HF456:HJ466,5,0)</f>
        <v>650</v>
      </c>
      <c r="HG474" s="2276">
        <f>VLOOKUP(HG473,HG456:HJ466,4,0)</f>
        <v>650</v>
      </c>
      <c r="HH474" s="2276">
        <f>VLOOKUP(HH473,HH456:HJ466,3,0)</f>
        <v>550</v>
      </c>
      <c r="HI474" s="2276">
        <f>VLOOKUP(HI473,HI456:HJ466,2,0)</f>
        <v>550</v>
      </c>
      <c r="HJ474" s="2275"/>
      <c r="HK474" s="2275"/>
      <c r="HL474" s="2275"/>
      <c r="HM474" s="2275"/>
      <c r="HN474" s="2275"/>
      <c r="HO474" s="2275"/>
      <c r="HP474" s="2275"/>
      <c r="HQ474" s="2275"/>
      <c r="HR474" s="2275"/>
      <c r="HS474" s="2275"/>
      <c r="HT474" s="2275"/>
      <c r="HU474" s="2250"/>
      <c r="HV474" s="2250"/>
      <c r="HW474" s="2250"/>
      <c r="HX474" s="2250"/>
      <c r="HY474" s="2250"/>
      <c r="HZ474" s="2250"/>
      <c r="IA474" s="2250"/>
      <c r="IB474" s="2250"/>
      <c r="IC474" s="2250"/>
      <c r="ID474" s="2250"/>
      <c r="IE474" s="2250"/>
      <c r="IF474" s="2250"/>
      <c r="IG474" s="2250"/>
      <c r="IH474" s="2250"/>
      <c r="II474" s="2250"/>
      <c r="IJ474" s="2250"/>
      <c r="IK474" s="2250"/>
      <c r="IL474" s="53"/>
      <c r="IM474" s="53"/>
    </row>
    <row r="475" spans="2:247" ht="21.95" customHeight="1">
      <c r="B475" s="2275"/>
      <c r="C475" s="2275"/>
      <c r="D475" s="2275"/>
      <c r="E475" s="2275"/>
      <c r="F475" s="2275"/>
      <c r="G475" s="2275"/>
      <c r="H475" s="2275"/>
      <c r="I475" s="2275"/>
      <c r="J475" s="2275"/>
      <c r="K475" s="2275"/>
      <c r="L475" s="2275"/>
      <c r="M475" s="2275"/>
      <c r="N475" s="2275"/>
      <c r="O475" s="2275"/>
      <c r="P475" s="2275"/>
      <c r="Q475" s="2275"/>
      <c r="R475" s="2275"/>
      <c r="S475" s="2275"/>
      <c r="T475" s="2275"/>
      <c r="U475" s="2275"/>
      <c r="V475" s="2275"/>
      <c r="W475" s="2275"/>
      <c r="X475" s="2275"/>
      <c r="Y475" s="2275"/>
      <c r="Z475" s="2275"/>
      <c r="AA475" s="2275"/>
      <c r="AB475" s="2275"/>
      <c r="AC475" s="2275"/>
      <c r="AD475" s="2275"/>
      <c r="AE475" s="2275"/>
      <c r="AF475" s="2275" t="s">
        <v>655</v>
      </c>
      <c r="AG475" s="2276">
        <f>AG409</f>
        <v>190.4</v>
      </c>
      <c r="AH475" s="2275"/>
      <c r="AI475" s="2275"/>
      <c r="AJ475" s="2275"/>
      <c r="AK475" s="2275"/>
      <c r="AL475" s="2275"/>
      <c r="AM475" s="2275"/>
      <c r="AN475" s="2275"/>
      <c r="AO475" s="2275"/>
      <c r="AP475" s="2250"/>
      <c r="AQ475" s="2250"/>
      <c r="AR475" s="2250"/>
      <c r="AS475" s="2250"/>
      <c r="AT475" s="2250"/>
      <c r="AU475" s="2250"/>
      <c r="AV475" s="2250"/>
      <c r="AW475" s="2250"/>
      <c r="AX475" s="2250"/>
      <c r="AY475" s="2250"/>
      <c r="AZ475" s="2250"/>
      <c r="BA475" s="2250"/>
      <c r="BB475" s="2250"/>
      <c r="BC475" s="2250"/>
      <c r="BD475" s="2250"/>
      <c r="BE475" s="2250"/>
      <c r="BF475" s="2276"/>
      <c r="BG475" s="2276"/>
      <c r="BH475" s="2250"/>
      <c r="BI475" s="2275"/>
      <c r="BJ475" s="2275"/>
      <c r="BK475" s="2275"/>
      <c r="BL475" s="2275"/>
      <c r="BM475" s="2275"/>
      <c r="BN475" s="2275"/>
      <c r="BO475" s="2275"/>
      <c r="BP475" s="2275"/>
      <c r="BQ475" s="2275"/>
      <c r="BR475" s="2275"/>
      <c r="BS475" s="2275"/>
      <c r="BT475" s="2275"/>
      <c r="BU475" s="2275"/>
      <c r="BV475" s="2275"/>
      <c r="BW475" s="2275"/>
      <c r="BX475" s="2275"/>
      <c r="BY475" s="2275"/>
      <c r="BZ475" s="2275"/>
      <c r="CA475" s="2275"/>
      <c r="CB475" s="2275"/>
      <c r="CC475" s="2275"/>
      <c r="CD475" s="2275"/>
      <c r="CE475" s="2275"/>
      <c r="CF475" s="2275"/>
      <c r="CG475" s="2275"/>
      <c r="CH475" s="2275"/>
      <c r="CI475" s="2275"/>
      <c r="CJ475" s="2275"/>
      <c r="CK475" s="2275"/>
      <c r="CL475" s="2275"/>
      <c r="CM475" s="2275"/>
      <c r="CN475" s="2275" t="s">
        <v>655</v>
      </c>
      <c r="CO475" s="2276">
        <f>CO409</f>
        <v>206.43</v>
      </c>
      <c r="CP475" s="2275"/>
      <c r="CQ475" s="2275"/>
      <c r="CR475" s="2275"/>
      <c r="CS475" s="2275"/>
      <c r="CT475" s="2275"/>
      <c r="CU475" s="2275"/>
      <c r="CV475" s="2275"/>
      <c r="CW475" s="2275"/>
      <c r="CX475" s="2250"/>
      <c r="CY475" s="2250"/>
      <c r="CZ475" s="2250"/>
      <c r="DA475" s="2250"/>
      <c r="DB475" s="2250"/>
      <c r="DC475" s="2250"/>
      <c r="DD475" s="2250"/>
      <c r="DE475" s="2250"/>
      <c r="DF475" s="2250"/>
      <c r="DG475" s="2250"/>
      <c r="DH475" s="2250"/>
      <c r="DI475" s="2250"/>
      <c r="DJ475" s="2250"/>
      <c r="DK475" s="2250"/>
      <c r="DL475" s="2250"/>
      <c r="DM475" s="2250"/>
      <c r="DN475" s="2250"/>
      <c r="DO475" s="53"/>
      <c r="DP475" s="53"/>
      <c r="DY475" s="2275"/>
      <c r="DZ475" s="2275"/>
      <c r="EA475" s="2275"/>
      <c r="EB475" s="2275"/>
      <c r="EC475" s="2275"/>
      <c r="ED475" s="2275"/>
      <c r="EE475" s="2275"/>
      <c r="EF475" s="2275"/>
      <c r="EG475" s="2275"/>
      <c r="EH475" s="2275"/>
      <c r="EI475" s="2275"/>
      <c r="EJ475" s="2275"/>
      <c r="EK475" s="2275"/>
      <c r="EL475" s="2275"/>
      <c r="EM475" s="2275"/>
      <c r="EN475" s="2275"/>
      <c r="EO475" s="2275"/>
      <c r="EP475" s="2275"/>
      <c r="EQ475" s="2275"/>
      <c r="ER475" s="2275"/>
      <c r="ES475" s="2275"/>
      <c r="ET475" s="2275"/>
      <c r="EU475" s="2275"/>
      <c r="EV475" s="2275"/>
      <c r="EW475" s="2275"/>
      <c r="EX475" s="2275"/>
      <c r="EY475" s="2275"/>
      <c r="EZ475" s="2275"/>
      <c r="FA475" s="2275"/>
      <c r="FB475" s="2275"/>
      <c r="FC475" s="2275" t="s">
        <v>655</v>
      </c>
      <c r="FD475" s="2276">
        <f>FD409</f>
        <v>120.7</v>
      </c>
      <c r="FE475" s="2275"/>
      <c r="FF475" s="2275"/>
      <c r="FG475" s="2275"/>
      <c r="FH475" s="2275"/>
      <c r="FI475" s="2275"/>
      <c r="FJ475" s="2275"/>
      <c r="FK475" s="2275"/>
      <c r="FL475" s="2275"/>
      <c r="FM475" s="2250"/>
      <c r="FN475" s="2250"/>
      <c r="FO475" s="2250"/>
      <c r="FP475" s="2250"/>
      <c r="FQ475" s="2250"/>
      <c r="FR475" s="2250"/>
      <c r="FS475" s="2250"/>
      <c r="FT475" s="2250"/>
      <c r="FU475" s="2250"/>
      <c r="FV475" s="2250"/>
      <c r="FW475" s="2250"/>
      <c r="FX475" s="2250"/>
      <c r="FY475" s="2250"/>
      <c r="FZ475" s="2250"/>
      <c r="GA475" s="2250"/>
      <c r="GB475" s="2250"/>
      <c r="GC475" s="2276"/>
      <c r="GD475" s="2276"/>
      <c r="GE475" s="2250"/>
      <c r="GF475" s="2275"/>
      <c r="GG475" s="2275"/>
      <c r="GH475" s="2275"/>
      <c r="GI475" s="2275"/>
      <c r="GJ475" s="2275"/>
      <c r="GK475" s="2275"/>
      <c r="GL475" s="2275"/>
      <c r="GM475" s="2275"/>
      <c r="GN475" s="2275"/>
      <c r="GO475" s="2275"/>
      <c r="GP475" s="2275"/>
      <c r="GQ475" s="2275"/>
      <c r="GR475" s="2275"/>
      <c r="GS475" s="2275"/>
      <c r="GT475" s="2275"/>
      <c r="GU475" s="2275"/>
      <c r="GV475" s="2275"/>
      <c r="GW475" s="2275"/>
      <c r="GX475" s="2275"/>
      <c r="GY475" s="2275"/>
      <c r="GZ475" s="2275"/>
      <c r="HA475" s="2275"/>
      <c r="HB475" s="2275"/>
      <c r="HC475" s="2275"/>
      <c r="HD475" s="2275"/>
      <c r="HE475" s="2275"/>
      <c r="HF475" s="2275"/>
      <c r="HG475" s="2275"/>
      <c r="HH475" s="2275"/>
      <c r="HI475" s="2275"/>
      <c r="HJ475" s="2275"/>
      <c r="HK475" s="2275" t="s">
        <v>655</v>
      </c>
      <c r="HL475" s="2276">
        <f>HL409</f>
        <v>129.80000000000001</v>
      </c>
      <c r="HM475" s="2275"/>
      <c r="HN475" s="2275"/>
      <c r="HO475" s="2275"/>
      <c r="HP475" s="2275"/>
      <c r="HQ475" s="2275"/>
      <c r="HR475" s="2275"/>
      <c r="HS475" s="2275"/>
      <c r="HT475" s="2275"/>
      <c r="HU475" s="2250"/>
      <c r="HV475" s="2250"/>
      <c r="HW475" s="2250"/>
      <c r="HX475" s="2250"/>
      <c r="HY475" s="2250"/>
      <c r="HZ475" s="2250"/>
      <c r="IA475" s="2250"/>
      <c r="IB475" s="2250"/>
      <c r="IC475" s="2250"/>
      <c r="ID475" s="2250"/>
      <c r="IE475" s="2250"/>
      <c r="IF475" s="2250"/>
      <c r="IG475" s="2250"/>
      <c r="IH475" s="2250"/>
      <c r="II475" s="2250"/>
      <c r="IJ475" s="2250"/>
      <c r="IK475" s="2250"/>
      <c r="IL475" s="53"/>
      <c r="IM475" s="53"/>
    </row>
    <row r="476" spans="2:247" ht="21.95" customHeight="1">
      <c r="B476" s="2275"/>
      <c r="C476" s="2333" t="s">
        <v>736</v>
      </c>
      <c r="D476" s="2333">
        <v>223.8</v>
      </c>
      <c r="E476" s="2333">
        <v>206.43</v>
      </c>
      <c r="F476" s="2333">
        <v>190.4</v>
      </c>
      <c r="G476" s="2333">
        <v>177.81</v>
      </c>
      <c r="H476" s="2333">
        <v>165.9</v>
      </c>
      <c r="I476" s="2333">
        <v>162.68</v>
      </c>
      <c r="J476" s="2333">
        <v>151.30000000000001</v>
      </c>
      <c r="K476" s="2333">
        <v>140.1</v>
      </c>
      <c r="L476" s="2333">
        <v>129.80000000000001</v>
      </c>
      <c r="M476" s="2333">
        <v>120.7</v>
      </c>
      <c r="N476" s="2333">
        <v>107.9</v>
      </c>
      <c r="O476" s="2333">
        <v>97.1</v>
      </c>
      <c r="P476" s="2333">
        <v>92.9</v>
      </c>
      <c r="Q476" s="2333">
        <v>88.2</v>
      </c>
      <c r="R476" s="2333">
        <v>83.3</v>
      </c>
      <c r="S476" s="2333">
        <v>78.2</v>
      </c>
      <c r="T476" s="2333">
        <v>73.7</v>
      </c>
      <c r="U476" s="2333">
        <v>68.3</v>
      </c>
      <c r="V476" s="2333">
        <v>63.4</v>
      </c>
      <c r="W476" s="2333">
        <v>58.1</v>
      </c>
      <c r="X476" s="2333">
        <v>53.7</v>
      </c>
      <c r="Y476" s="2333">
        <v>48.8</v>
      </c>
      <c r="Z476" s="2333">
        <v>43.9</v>
      </c>
      <c r="AA476" s="2333">
        <v>38.799999999999997</v>
      </c>
      <c r="AB476" s="2333">
        <v>34.200000000000003</v>
      </c>
      <c r="AC476" s="2333">
        <v>29.3</v>
      </c>
      <c r="AD476" s="2333">
        <v>24.5</v>
      </c>
      <c r="AE476" s="2333" t="s">
        <v>736</v>
      </c>
      <c r="AF476" s="2275" t="s">
        <v>738</v>
      </c>
      <c r="AG476" s="2276">
        <f>AG410</f>
        <v>19.915970774546171</v>
      </c>
      <c r="AH476" s="2275"/>
      <c r="AI476" s="2275"/>
      <c r="AJ476" s="2275"/>
      <c r="AK476" s="2275"/>
      <c r="AL476" s="2275"/>
      <c r="AM476" s="2275"/>
      <c r="AN476" s="2275"/>
      <c r="AO476" s="2275"/>
      <c r="AP476" s="2250"/>
      <c r="AQ476" s="2250"/>
      <c r="AR476" s="2250"/>
      <c r="AS476" s="2250"/>
      <c r="AT476" s="2250"/>
      <c r="AU476" s="2250"/>
      <c r="AV476" s="2250"/>
      <c r="AW476" s="2250"/>
      <c r="AX476" s="2250"/>
      <c r="AY476" s="2250"/>
      <c r="AZ476" s="2250"/>
      <c r="BA476" s="2250"/>
      <c r="BB476" s="2250"/>
      <c r="BC476" s="2250"/>
      <c r="BD476" s="2250"/>
      <c r="BE476" s="2250"/>
      <c r="BF476" s="2276"/>
      <c r="BG476" s="2276"/>
      <c r="BH476" s="2250"/>
      <c r="BI476" s="2275"/>
      <c r="BJ476" s="2275"/>
      <c r="BK476" s="2333" t="s">
        <v>736</v>
      </c>
      <c r="BL476" s="2333">
        <v>223.8</v>
      </c>
      <c r="BM476" s="2333">
        <v>206.43</v>
      </c>
      <c r="BN476" s="2333">
        <v>190.4</v>
      </c>
      <c r="BO476" s="2333">
        <v>177.81</v>
      </c>
      <c r="BP476" s="2333">
        <v>165.9</v>
      </c>
      <c r="BQ476" s="2333">
        <v>162.68</v>
      </c>
      <c r="BR476" s="2333">
        <v>151.30000000000001</v>
      </c>
      <c r="BS476" s="2333">
        <v>140.1</v>
      </c>
      <c r="BT476" s="2333">
        <v>129.80000000000001</v>
      </c>
      <c r="BU476" s="2333">
        <v>120.7</v>
      </c>
      <c r="BV476" s="2333">
        <v>107.9</v>
      </c>
      <c r="BW476" s="2333">
        <v>97.1</v>
      </c>
      <c r="BX476" s="2333">
        <v>92.9</v>
      </c>
      <c r="BY476" s="2333">
        <v>88.2</v>
      </c>
      <c r="BZ476" s="2333">
        <v>83.3</v>
      </c>
      <c r="CA476" s="2333">
        <v>78.2</v>
      </c>
      <c r="CB476" s="2333">
        <v>73.7</v>
      </c>
      <c r="CC476" s="2333">
        <v>68.3</v>
      </c>
      <c r="CD476" s="2333">
        <v>63.4</v>
      </c>
      <c r="CE476" s="2333">
        <v>58.1</v>
      </c>
      <c r="CF476" s="2333">
        <v>53.7</v>
      </c>
      <c r="CG476" s="2333">
        <v>48.8</v>
      </c>
      <c r="CH476" s="2333">
        <v>43.9</v>
      </c>
      <c r="CI476" s="2333">
        <v>38.799999999999997</v>
      </c>
      <c r="CJ476" s="2333">
        <v>34.200000000000003</v>
      </c>
      <c r="CK476" s="2333">
        <v>29.3</v>
      </c>
      <c r="CL476" s="2333">
        <v>24.5</v>
      </c>
      <c r="CM476" s="2333" t="s">
        <v>736</v>
      </c>
      <c r="CN476" s="2275" t="s">
        <v>738</v>
      </c>
      <c r="CO476" s="2276">
        <f>CO410</f>
        <v>19.915970774546171</v>
      </c>
      <c r="CP476" s="2275"/>
      <c r="CQ476" s="2275"/>
      <c r="CR476" s="2275"/>
      <c r="CS476" s="2275"/>
      <c r="CT476" s="2275"/>
      <c r="CU476" s="2275"/>
      <c r="CV476" s="2275"/>
      <c r="CW476" s="2275"/>
      <c r="CX476" s="2250"/>
      <c r="CY476" s="2250"/>
      <c r="CZ476" s="2250"/>
      <c r="DA476" s="2250"/>
      <c r="DB476" s="2250"/>
      <c r="DC476" s="2250"/>
      <c r="DD476" s="2250"/>
      <c r="DE476" s="2250"/>
      <c r="DF476" s="2250"/>
      <c r="DG476" s="2250"/>
      <c r="DH476" s="2250"/>
      <c r="DI476" s="2250"/>
      <c r="DJ476" s="2250"/>
      <c r="DK476" s="2250"/>
      <c r="DL476" s="2250"/>
      <c r="DM476" s="2250"/>
      <c r="DN476" s="2250"/>
      <c r="DO476" s="53"/>
      <c r="DP476" s="53"/>
      <c r="DY476" s="2275"/>
      <c r="DZ476" s="2333" t="s">
        <v>736</v>
      </c>
      <c r="EA476" s="2333">
        <v>223.8</v>
      </c>
      <c r="EB476" s="2333">
        <v>206.43</v>
      </c>
      <c r="EC476" s="2333">
        <v>190.4</v>
      </c>
      <c r="ED476" s="2333">
        <v>177.81</v>
      </c>
      <c r="EE476" s="2333">
        <v>165.9</v>
      </c>
      <c r="EF476" s="2333">
        <v>162.68</v>
      </c>
      <c r="EG476" s="2333">
        <v>151.30000000000001</v>
      </c>
      <c r="EH476" s="2333">
        <v>140.1</v>
      </c>
      <c r="EI476" s="2333">
        <v>129.80000000000001</v>
      </c>
      <c r="EJ476" s="2333">
        <v>120.7</v>
      </c>
      <c r="EK476" s="2333">
        <v>107.9</v>
      </c>
      <c r="EL476" s="2333">
        <v>97.1</v>
      </c>
      <c r="EM476" s="2333">
        <v>92.9</v>
      </c>
      <c r="EN476" s="2333">
        <v>88.2</v>
      </c>
      <c r="EO476" s="2333">
        <v>83.3</v>
      </c>
      <c r="EP476" s="2333">
        <v>78.2</v>
      </c>
      <c r="EQ476" s="2333">
        <v>73.7</v>
      </c>
      <c r="ER476" s="2333">
        <v>68.3</v>
      </c>
      <c r="ES476" s="2333">
        <v>63.4</v>
      </c>
      <c r="ET476" s="2333">
        <v>58.1</v>
      </c>
      <c r="EU476" s="2333">
        <v>53.7</v>
      </c>
      <c r="EV476" s="2333">
        <v>48.8</v>
      </c>
      <c r="EW476" s="2333">
        <v>43.9</v>
      </c>
      <c r="EX476" s="2333">
        <v>38.799999999999997</v>
      </c>
      <c r="EY476" s="2333">
        <v>34.200000000000003</v>
      </c>
      <c r="EZ476" s="2333">
        <v>29.3</v>
      </c>
      <c r="FA476" s="2333">
        <v>24.5</v>
      </c>
      <c r="FB476" s="2333" t="s">
        <v>736</v>
      </c>
      <c r="FC476" s="2275" t="s">
        <v>738</v>
      </c>
      <c r="FD476" s="2276">
        <f>FD410</f>
        <v>19.968225884687833</v>
      </c>
      <c r="FE476" s="2275"/>
      <c r="FF476" s="2275"/>
      <c r="FG476" s="2275"/>
      <c r="FH476" s="2275"/>
      <c r="FI476" s="2275"/>
      <c r="FJ476" s="2275"/>
      <c r="FK476" s="2275"/>
      <c r="FL476" s="2275"/>
      <c r="FM476" s="2250"/>
      <c r="FN476" s="2250"/>
      <c r="FO476" s="2250"/>
      <c r="FP476" s="2250"/>
      <c r="FQ476" s="2250"/>
      <c r="FR476" s="2250"/>
      <c r="FS476" s="2250"/>
      <c r="FT476" s="2250"/>
      <c r="FU476" s="2250"/>
      <c r="FV476" s="2250"/>
      <c r="FW476" s="2250"/>
      <c r="FX476" s="2250"/>
      <c r="FY476" s="2250"/>
      <c r="FZ476" s="2250"/>
      <c r="GA476" s="2250"/>
      <c r="GB476" s="2250"/>
      <c r="GC476" s="2276"/>
      <c r="GD476" s="2276"/>
      <c r="GE476" s="2250"/>
      <c r="GF476" s="2275"/>
      <c r="GG476" s="2275"/>
      <c r="GH476" s="2333" t="s">
        <v>736</v>
      </c>
      <c r="GI476" s="2333">
        <v>223.8</v>
      </c>
      <c r="GJ476" s="2333">
        <v>206.43</v>
      </c>
      <c r="GK476" s="2333">
        <v>190.4</v>
      </c>
      <c r="GL476" s="2333">
        <v>177.81</v>
      </c>
      <c r="GM476" s="2333">
        <v>165.9</v>
      </c>
      <c r="GN476" s="2333">
        <v>162.68</v>
      </c>
      <c r="GO476" s="2333">
        <v>151.30000000000001</v>
      </c>
      <c r="GP476" s="2333">
        <v>140.1</v>
      </c>
      <c r="GQ476" s="2333">
        <v>129.80000000000001</v>
      </c>
      <c r="GR476" s="2333">
        <v>120.7</v>
      </c>
      <c r="GS476" s="2333">
        <v>107.9</v>
      </c>
      <c r="GT476" s="2333">
        <v>97.1</v>
      </c>
      <c r="GU476" s="2333">
        <v>92.9</v>
      </c>
      <c r="GV476" s="2333">
        <v>88.2</v>
      </c>
      <c r="GW476" s="2333">
        <v>83.3</v>
      </c>
      <c r="GX476" s="2333">
        <v>78.2</v>
      </c>
      <c r="GY476" s="2333">
        <v>73.7</v>
      </c>
      <c r="GZ476" s="2333">
        <v>68.3</v>
      </c>
      <c r="HA476" s="2333">
        <v>63.4</v>
      </c>
      <c r="HB476" s="2333">
        <v>58.1</v>
      </c>
      <c r="HC476" s="2333">
        <v>53.7</v>
      </c>
      <c r="HD476" s="2333">
        <v>48.8</v>
      </c>
      <c r="HE476" s="2333">
        <v>43.9</v>
      </c>
      <c r="HF476" s="2333">
        <v>38.799999999999997</v>
      </c>
      <c r="HG476" s="2333">
        <v>34.200000000000003</v>
      </c>
      <c r="HH476" s="2333">
        <v>29.3</v>
      </c>
      <c r="HI476" s="2333">
        <v>24.5</v>
      </c>
      <c r="HJ476" s="2333" t="s">
        <v>736</v>
      </c>
      <c r="HK476" s="2275" t="s">
        <v>738</v>
      </c>
      <c r="HL476" s="2276">
        <f>HL410</f>
        <v>19.968225884687833</v>
      </c>
      <c r="HM476" s="2275"/>
      <c r="HN476" s="2275"/>
      <c r="HO476" s="2275"/>
      <c r="HP476" s="2275"/>
      <c r="HQ476" s="2275"/>
      <c r="HR476" s="2275"/>
      <c r="HS476" s="2275"/>
      <c r="HT476" s="2275"/>
      <c r="HU476" s="2250"/>
      <c r="HV476" s="2250"/>
      <c r="HW476" s="2250"/>
      <c r="HX476" s="2250"/>
      <c r="HY476" s="2250"/>
      <c r="HZ476" s="2250"/>
      <c r="IA476" s="2250"/>
      <c r="IB476" s="2250"/>
      <c r="IC476" s="2250"/>
      <c r="ID476" s="2250"/>
      <c r="IE476" s="2250"/>
      <c r="IF476" s="2250"/>
      <c r="IG476" s="2250"/>
      <c r="IH476" s="2250"/>
      <c r="II476" s="2250"/>
      <c r="IJ476" s="2250"/>
      <c r="IK476" s="2250"/>
      <c r="IL476" s="53"/>
      <c r="IM476" s="53"/>
    </row>
    <row r="477" spans="2:247" ht="21.95" customHeight="1">
      <c r="B477" s="2275"/>
      <c r="C477" s="2333"/>
      <c r="D477" s="2344">
        <v>0</v>
      </c>
      <c r="E477" s="2344">
        <v>0</v>
      </c>
      <c r="F477" s="2344">
        <v>0</v>
      </c>
      <c r="G477" s="2344">
        <v>0</v>
      </c>
      <c r="H477" s="2344">
        <v>0</v>
      </c>
      <c r="I477" s="2344">
        <v>0</v>
      </c>
      <c r="J477" s="2344">
        <v>0</v>
      </c>
      <c r="K477" s="2344">
        <v>0</v>
      </c>
      <c r="L477" s="2344">
        <v>0</v>
      </c>
      <c r="M477" s="2344">
        <v>0</v>
      </c>
      <c r="N477" s="2344">
        <v>0</v>
      </c>
      <c r="O477" s="2344">
        <v>0</v>
      </c>
      <c r="P477" s="2344">
        <v>0</v>
      </c>
      <c r="Q477" s="2344">
        <v>0</v>
      </c>
      <c r="R477" s="2344">
        <v>0</v>
      </c>
      <c r="S477" s="2344">
        <v>0</v>
      </c>
      <c r="T477" s="2344">
        <v>0</v>
      </c>
      <c r="U477" s="2344">
        <v>0</v>
      </c>
      <c r="V477" s="2344">
        <v>0</v>
      </c>
      <c r="W477" s="2344">
        <v>0</v>
      </c>
      <c r="X477" s="2344">
        <v>0</v>
      </c>
      <c r="Y477" s="2344">
        <v>0</v>
      </c>
      <c r="Z477" s="2344">
        <v>0</v>
      </c>
      <c r="AA477" s="2344">
        <v>0</v>
      </c>
      <c r="AB477" s="2344">
        <v>0</v>
      </c>
      <c r="AC477" s="2344">
        <v>0</v>
      </c>
      <c r="AD477" s="2344">
        <v>0</v>
      </c>
      <c r="AE477" s="2333"/>
      <c r="AF477" s="2275" t="s">
        <v>682</v>
      </c>
      <c r="AG477" s="2276">
        <f>HLOOKUP(AG475,D476:AD488,1,0)</f>
        <v>190.4</v>
      </c>
      <c r="AH477" s="2275" t="s">
        <v>706</v>
      </c>
      <c r="AI477" s="2275" t="s">
        <v>682</v>
      </c>
      <c r="AJ477" s="2275"/>
      <c r="AK477" s="2275"/>
      <c r="AL477" s="2275"/>
      <c r="AM477" s="2275"/>
      <c r="AN477" s="2275"/>
      <c r="AO477" s="2275"/>
      <c r="AP477" s="2250"/>
      <c r="AQ477" s="2250"/>
      <c r="AR477" s="2250"/>
      <c r="AS477" s="2250"/>
      <c r="AT477" s="2250"/>
      <c r="AU477" s="2250"/>
      <c r="AV477" s="2250"/>
      <c r="AW477" s="2250"/>
      <c r="AX477" s="2250"/>
      <c r="AY477" s="2250"/>
      <c r="AZ477" s="2250"/>
      <c r="BA477" s="2250"/>
      <c r="BB477" s="2250"/>
      <c r="BC477" s="2250"/>
      <c r="BD477" s="2250"/>
      <c r="BE477" s="2250"/>
      <c r="BF477" s="2276"/>
      <c r="BG477" s="2276"/>
      <c r="BH477" s="2250"/>
      <c r="BI477" s="2275"/>
      <c r="BJ477" s="2275"/>
      <c r="BK477" s="2333"/>
      <c r="BL477" s="2344">
        <v>0</v>
      </c>
      <c r="BM477" s="2344">
        <v>0</v>
      </c>
      <c r="BN477" s="2344">
        <v>0</v>
      </c>
      <c r="BO477" s="2344">
        <v>0</v>
      </c>
      <c r="BP477" s="2344">
        <v>0</v>
      </c>
      <c r="BQ477" s="2344">
        <v>0</v>
      </c>
      <c r="BR477" s="2344">
        <v>0</v>
      </c>
      <c r="BS477" s="2344">
        <v>0</v>
      </c>
      <c r="BT477" s="2344">
        <v>0</v>
      </c>
      <c r="BU477" s="2344">
        <v>0</v>
      </c>
      <c r="BV477" s="2344">
        <v>0</v>
      </c>
      <c r="BW477" s="2344">
        <v>0</v>
      </c>
      <c r="BX477" s="2344">
        <v>0</v>
      </c>
      <c r="BY477" s="2344">
        <v>0</v>
      </c>
      <c r="BZ477" s="2344">
        <v>0</v>
      </c>
      <c r="CA477" s="2344">
        <v>0</v>
      </c>
      <c r="CB477" s="2344">
        <v>0</v>
      </c>
      <c r="CC477" s="2344">
        <v>0</v>
      </c>
      <c r="CD477" s="2344">
        <v>0</v>
      </c>
      <c r="CE477" s="2344">
        <v>0</v>
      </c>
      <c r="CF477" s="2344">
        <v>0</v>
      </c>
      <c r="CG477" s="2344">
        <v>0</v>
      </c>
      <c r="CH477" s="2344">
        <v>0</v>
      </c>
      <c r="CI477" s="2344">
        <v>0</v>
      </c>
      <c r="CJ477" s="2344">
        <v>0</v>
      </c>
      <c r="CK477" s="2344">
        <v>0</v>
      </c>
      <c r="CL477" s="2344">
        <v>0</v>
      </c>
      <c r="CM477" s="2333"/>
      <c r="CN477" s="2275" t="s">
        <v>682</v>
      </c>
      <c r="CO477" s="2276">
        <f>HLOOKUP(CO475,BL476:CL488,1,0)</f>
        <v>206.43</v>
      </c>
      <c r="CP477" s="2275" t="s">
        <v>706</v>
      </c>
      <c r="CQ477" s="2275" t="s">
        <v>682</v>
      </c>
      <c r="CR477" s="2275"/>
      <c r="CS477" s="2275"/>
      <c r="CT477" s="2275"/>
      <c r="CU477" s="2275"/>
      <c r="CV477" s="2275"/>
      <c r="CW477" s="2275"/>
      <c r="CX477" s="2250"/>
      <c r="CY477" s="2250"/>
      <c r="CZ477" s="2250"/>
      <c r="DA477" s="2250"/>
      <c r="DB477" s="2250"/>
      <c r="DC477" s="2250"/>
      <c r="DD477" s="2250"/>
      <c r="DE477" s="2250"/>
      <c r="DF477" s="2250"/>
      <c r="DG477" s="2250"/>
      <c r="DH477" s="2250"/>
      <c r="DI477" s="2250"/>
      <c r="DJ477" s="2250"/>
      <c r="DK477" s="2250"/>
      <c r="DL477" s="2250"/>
      <c r="DM477" s="2250"/>
      <c r="DN477" s="2250"/>
      <c r="DO477" s="53"/>
      <c r="DP477" s="53"/>
      <c r="DY477" s="2275"/>
      <c r="DZ477" s="2333"/>
      <c r="EA477" s="2344">
        <v>0</v>
      </c>
      <c r="EB477" s="2344">
        <v>0</v>
      </c>
      <c r="EC477" s="2344">
        <v>0</v>
      </c>
      <c r="ED477" s="2344">
        <v>0</v>
      </c>
      <c r="EE477" s="2344">
        <v>0</v>
      </c>
      <c r="EF477" s="2344">
        <v>0</v>
      </c>
      <c r="EG477" s="2344">
        <v>0</v>
      </c>
      <c r="EH477" s="2344">
        <v>0</v>
      </c>
      <c r="EI477" s="2344">
        <v>0</v>
      </c>
      <c r="EJ477" s="2344">
        <v>0</v>
      </c>
      <c r="EK477" s="2344">
        <v>0</v>
      </c>
      <c r="EL477" s="2344">
        <v>0</v>
      </c>
      <c r="EM477" s="2344">
        <v>0</v>
      </c>
      <c r="EN477" s="2344">
        <v>0</v>
      </c>
      <c r="EO477" s="2344">
        <v>0</v>
      </c>
      <c r="EP477" s="2344">
        <v>0</v>
      </c>
      <c r="EQ477" s="2344">
        <v>0</v>
      </c>
      <c r="ER477" s="2344">
        <v>0</v>
      </c>
      <c r="ES477" s="2344">
        <v>0</v>
      </c>
      <c r="ET477" s="2344">
        <v>0</v>
      </c>
      <c r="EU477" s="2344">
        <v>0</v>
      </c>
      <c r="EV477" s="2344">
        <v>0</v>
      </c>
      <c r="EW477" s="2344">
        <v>0</v>
      </c>
      <c r="EX477" s="2344">
        <v>0</v>
      </c>
      <c r="EY477" s="2344">
        <v>0</v>
      </c>
      <c r="EZ477" s="2344">
        <v>0</v>
      </c>
      <c r="FA477" s="2344">
        <v>0</v>
      </c>
      <c r="FB477" s="2333"/>
      <c r="FC477" s="2275" t="s">
        <v>682</v>
      </c>
      <c r="FD477" s="2276">
        <f>HLOOKUP(FD475,EA476:FA488,1,0)</f>
        <v>120.7</v>
      </c>
      <c r="FE477" s="2275" t="s">
        <v>706</v>
      </c>
      <c r="FF477" s="2275" t="s">
        <v>682</v>
      </c>
      <c r="FG477" s="2275"/>
      <c r="FH477" s="2275"/>
      <c r="FI477" s="2275"/>
      <c r="FJ477" s="2275"/>
      <c r="FK477" s="2275"/>
      <c r="FL477" s="2275"/>
      <c r="FM477" s="2250"/>
      <c r="FN477" s="2250"/>
      <c r="FO477" s="2250"/>
      <c r="FP477" s="2250"/>
      <c r="FQ477" s="2250"/>
      <c r="FR477" s="2250"/>
      <c r="FS477" s="2250"/>
      <c r="FT477" s="2250"/>
      <c r="FU477" s="2250"/>
      <c r="FV477" s="2250"/>
      <c r="FW477" s="2250"/>
      <c r="FX477" s="2250"/>
      <c r="FY477" s="2250"/>
      <c r="FZ477" s="2250"/>
      <c r="GA477" s="2250"/>
      <c r="GB477" s="2250"/>
      <c r="GC477" s="2276"/>
      <c r="GD477" s="2276"/>
      <c r="GE477" s="2250"/>
      <c r="GF477" s="2275"/>
      <c r="GG477" s="2275"/>
      <c r="GH477" s="2333"/>
      <c r="GI477" s="2344">
        <v>0</v>
      </c>
      <c r="GJ477" s="2344">
        <v>0</v>
      </c>
      <c r="GK477" s="2344">
        <v>0</v>
      </c>
      <c r="GL477" s="2344">
        <v>0</v>
      </c>
      <c r="GM477" s="2344">
        <v>0</v>
      </c>
      <c r="GN477" s="2344">
        <v>0</v>
      </c>
      <c r="GO477" s="2344">
        <v>0</v>
      </c>
      <c r="GP477" s="2344">
        <v>0</v>
      </c>
      <c r="GQ477" s="2344">
        <v>0</v>
      </c>
      <c r="GR477" s="2344">
        <v>0</v>
      </c>
      <c r="GS477" s="2344">
        <v>0</v>
      </c>
      <c r="GT477" s="2344">
        <v>0</v>
      </c>
      <c r="GU477" s="2344">
        <v>0</v>
      </c>
      <c r="GV477" s="2344">
        <v>0</v>
      </c>
      <c r="GW477" s="2344">
        <v>0</v>
      </c>
      <c r="GX477" s="2344">
        <v>0</v>
      </c>
      <c r="GY477" s="2344">
        <v>0</v>
      </c>
      <c r="GZ477" s="2344">
        <v>0</v>
      </c>
      <c r="HA477" s="2344">
        <v>0</v>
      </c>
      <c r="HB477" s="2344">
        <v>0</v>
      </c>
      <c r="HC477" s="2344">
        <v>0</v>
      </c>
      <c r="HD477" s="2344">
        <v>0</v>
      </c>
      <c r="HE477" s="2344">
        <v>0</v>
      </c>
      <c r="HF477" s="2344">
        <v>0</v>
      </c>
      <c r="HG477" s="2344">
        <v>0</v>
      </c>
      <c r="HH477" s="2344">
        <v>0</v>
      </c>
      <c r="HI477" s="2344">
        <v>0</v>
      </c>
      <c r="HJ477" s="2333"/>
      <c r="HK477" s="2275" t="s">
        <v>682</v>
      </c>
      <c r="HL477" s="2276">
        <f>HLOOKUP(HL475,GI476:HI488,1,0)</f>
        <v>129.80000000000001</v>
      </c>
      <c r="HM477" s="2275" t="s">
        <v>706</v>
      </c>
      <c r="HN477" s="2275" t="s">
        <v>682</v>
      </c>
      <c r="HO477" s="2275"/>
      <c r="HP477" s="2275"/>
      <c r="HQ477" s="2275"/>
      <c r="HR477" s="2275"/>
      <c r="HS477" s="2275"/>
      <c r="HT477" s="2275"/>
      <c r="HU477" s="2250"/>
      <c r="HV477" s="2250"/>
      <c r="HW477" s="2250"/>
      <c r="HX477" s="2250"/>
      <c r="HY477" s="2250"/>
      <c r="HZ477" s="2250"/>
      <c r="IA477" s="2250"/>
      <c r="IB477" s="2250"/>
      <c r="IC477" s="2250"/>
      <c r="ID477" s="2250"/>
      <c r="IE477" s="2250"/>
      <c r="IF477" s="2250"/>
      <c r="IG477" s="2250"/>
      <c r="IH477" s="2250"/>
      <c r="II477" s="2250"/>
      <c r="IJ477" s="2250"/>
      <c r="IK477" s="2250"/>
      <c r="IL477" s="53"/>
      <c r="IM477" s="53"/>
    </row>
    <row r="478" spans="2:247" ht="21.95" customHeight="1">
      <c r="B478" s="4670" t="s">
        <v>735</v>
      </c>
      <c r="C478" s="2345">
        <v>400</v>
      </c>
      <c r="D478" s="2346">
        <v>0</v>
      </c>
      <c r="E478" s="2346">
        <v>0</v>
      </c>
      <c r="F478" s="2346">
        <v>0</v>
      </c>
      <c r="G478" s="2346">
        <v>0</v>
      </c>
      <c r="H478" s="2346">
        <v>0</v>
      </c>
      <c r="I478" s="2346">
        <v>0</v>
      </c>
      <c r="J478" s="2346">
        <v>0</v>
      </c>
      <c r="K478" s="2346">
        <v>0</v>
      </c>
      <c r="L478" s="2346">
        <v>0</v>
      </c>
      <c r="M478" s="2346">
        <v>0</v>
      </c>
      <c r="N478" s="2346">
        <v>0</v>
      </c>
      <c r="O478" s="2346">
        <v>0</v>
      </c>
      <c r="P478" s="2346">
        <v>0</v>
      </c>
      <c r="Q478" s="2346">
        <v>0</v>
      </c>
      <c r="R478" s="2346">
        <v>0</v>
      </c>
      <c r="S478" s="2346">
        <v>0</v>
      </c>
      <c r="T478" s="2346">
        <v>0</v>
      </c>
      <c r="U478" s="2346">
        <v>0</v>
      </c>
      <c r="V478" s="2346">
        <v>0</v>
      </c>
      <c r="W478" s="2346">
        <v>0</v>
      </c>
      <c r="X478" s="2346">
        <v>0</v>
      </c>
      <c r="Y478" s="2346">
        <v>0</v>
      </c>
      <c r="Z478" s="2346">
        <v>0</v>
      </c>
      <c r="AA478" s="2346">
        <v>0</v>
      </c>
      <c r="AB478" s="2346">
        <v>0</v>
      </c>
      <c r="AC478" s="2346">
        <v>0</v>
      </c>
      <c r="AD478" s="2346">
        <v>0</v>
      </c>
      <c r="AE478" s="2347">
        <v>400</v>
      </c>
      <c r="AF478" s="2275"/>
      <c r="AG478" s="4671"/>
      <c r="AH478" s="4671"/>
      <c r="AI478" s="4671"/>
      <c r="AJ478" s="2275"/>
      <c r="AK478" s="2275"/>
      <c r="AL478" s="2275"/>
      <c r="AM478" s="2275"/>
      <c r="AN478" s="2275"/>
      <c r="AO478" s="2275"/>
      <c r="AP478" s="2250"/>
      <c r="AQ478" s="2250"/>
      <c r="AR478" s="2250"/>
      <c r="AS478" s="2250"/>
      <c r="AT478" s="2250"/>
      <c r="AU478" s="2250"/>
      <c r="AV478" s="2250"/>
      <c r="AW478" s="2250"/>
      <c r="AX478" s="2250"/>
      <c r="AY478" s="2250"/>
      <c r="AZ478" s="2250"/>
      <c r="BA478" s="2250"/>
      <c r="BB478" s="2250"/>
      <c r="BC478" s="2250"/>
      <c r="BD478" s="2250"/>
      <c r="BE478" s="2250"/>
      <c r="BF478" s="2276"/>
      <c r="BG478" s="2276"/>
      <c r="BH478" s="2250"/>
      <c r="BI478" s="2275"/>
      <c r="BJ478" s="4670" t="s">
        <v>735</v>
      </c>
      <c r="BK478" s="2345">
        <v>400</v>
      </c>
      <c r="BL478" s="2346">
        <v>0</v>
      </c>
      <c r="BM478" s="2346">
        <v>0</v>
      </c>
      <c r="BN478" s="2346">
        <v>0</v>
      </c>
      <c r="BO478" s="2346">
        <v>0</v>
      </c>
      <c r="BP478" s="2346">
        <v>0</v>
      </c>
      <c r="BQ478" s="2346">
        <v>0</v>
      </c>
      <c r="BR478" s="2346">
        <v>0</v>
      </c>
      <c r="BS478" s="2346">
        <v>0</v>
      </c>
      <c r="BT478" s="2346">
        <v>0</v>
      </c>
      <c r="BU478" s="2346">
        <v>0</v>
      </c>
      <c r="BV478" s="2346">
        <v>0</v>
      </c>
      <c r="BW478" s="2346">
        <v>0</v>
      </c>
      <c r="BX478" s="2346">
        <v>0</v>
      </c>
      <c r="BY478" s="2346">
        <v>0</v>
      </c>
      <c r="BZ478" s="2346">
        <v>0</v>
      </c>
      <c r="CA478" s="2346">
        <v>0</v>
      </c>
      <c r="CB478" s="2346">
        <v>0</v>
      </c>
      <c r="CC478" s="2346">
        <v>0</v>
      </c>
      <c r="CD478" s="2346">
        <v>0</v>
      </c>
      <c r="CE478" s="2346">
        <v>0</v>
      </c>
      <c r="CF478" s="2346">
        <v>0</v>
      </c>
      <c r="CG478" s="2346">
        <v>0</v>
      </c>
      <c r="CH478" s="2346">
        <v>0</v>
      </c>
      <c r="CI478" s="2346">
        <v>0</v>
      </c>
      <c r="CJ478" s="2346">
        <v>0</v>
      </c>
      <c r="CK478" s="2346">
        <v>0</v>
      </c>
      <c r="CL478" s="2346">
        <v>0</v>
      </c>
      <c r="CM478" s="2347">
        <v>400</v>
      </c>
      <c r="CN478" s="2275"/>
      <c r="CO478" s="4671"/>
      <c r="CP478" s="4671"/>
      <c r="CQ478" s="4671"/>
      <c r="CR478" s="2275"/>
      <c r="CS478" s="2275"/>
      <c r="CT478" s="2275"/>
      <c r="CU478" s="2275"/>
      <c r="CV478" s="2275"/>
      <c r="CW478" s="2275"/>
      <c r="CX478" s="2250"/>
      <c r="CY478" s="2250"/>
      <c r="CZ478" s="2250"/>
      <c r="DA478" s="2250"/>
      <c r="DB478" s="2250"/>
      <c r="DC478" s="2250"/>
      <c r="DD478" s="2250"/>
      <c r="DE478" s="2250"/>
      <c r="DF478" s="2250"/>
      <c r="DG478" s="2250"/>
      <c r="DH478" s="2250"/>
      <c r="DI478" s="2250"/>
      <c r="DJ478" s="2250"/>
      <c r="DK478" s="2250"/>
      <c r="DL478" s="2250"/>
      <c r="DM478" s="2250"/>
      <c r="DN478" s="2250"/>
      <c r="DO478" s="53"/>
      <c r="DP478" s="53"/>
      <c r="DY478" s="4670" t="s">
        <v>735</v>
      </c>
      <c r="DZ478" s="2345">
        <v>400</v>
      </c>
      <c r="EA478" s="2346">
        <v>0</v>
      </c>
      <c r="EB478" s="2346">
        <v>0</v>
      </c>
      <c r="EC478" s="2346">
        <v>0</v>
      </c>
      <c r="ED478" s="2346">
        <v>0</v>
      </c>
      <c r="EE478" s="2346">
        <v>0</v>
      </c>
      <c r="EF478" s="2346">
        <v>0</v>
      </c>
      <c r="EG478" s="2346">
        <v>0</v>
      </c>
      <c r="EH478" s="2346">
        <v>0</v>
      </c>
      <c r="EI478" s="2346">
        <v>0</v>
      </c>
      <c r="EJ478" s="2346">
        <v>0</v>
      </c>
      <c r="EK478" s="2346">
        <v>0</v>
      </c>
      <c r="EL478" s="2346">
        <v>0</v>
      </c>
      <c r="EM478" s="2346">
        <v>0</v>
      </c>
      <c r="EN478" s="2346">
        <v>0</v>
      </c>
      <c r="EO478" s="2346">
        <v>0</v>
      </c>
      <c r="EP478" s="2346">
        <v>0</v>
      </c>
      <c r="EQ478" s="2346">
        <v>0</v>
      </c>
      <c r="ER478" s="2346">
        <v>0</v>
      </c>
      <c r="ES478" s="2346">
        <v>0</v>
      </c>
      <c r="ET478" s="2346">
        <v>0</v>
      </c>
      <c r="EU478" s="2346">
        <v>0</v>
      </c>
      <c r="EV478" s="2346">
        <v>0</v>
      </c>
      <c r="EW478" s="2346">
        <v>0</v>
      </c>
      <c r="EX478" s="2346">
        <v>0</v>
      </c>
      <c r="EY478" s="2346">
        <v>0</v>
      </c>
      <c r="EZ478" s="2346">
        <v>0</v>
      </c>
      <c r="FA478" s="2346">
        <v>0</v>
      </c>
      <c r="FB478" s="2347">
        <v>400</v>
      </c>
      <c r="FC478" s="2275"/>
      <c r="FD478" s="4671"/>
      <c r="FE478" s="4671"/>
      <c r="FF478" s="4671"/>
      <c r="FG478" s="2275"/>
      <c r="FH478" s="2275"/>
      <c r="FI478" s="2275"/>
      <c r="FJ478" s="2275"/>
      <c r="FK478" s="2275"/>
      <c r="FL478" s="2275"/>
      <c r="FM478" s="2250"/>
      <c r="FN478" s="2250"/>
      <c r="FO478" s="2250"/>
      <c r="FP478" s="2250"/>
      <c r="FQ478" s="2250"/>
      <c r="FR478" s="2250"/>
      <c r="FS478" s="2250"/>
      <c r="FT478" s="2250"/>
      <c r="FU478" s="2250"/>
      <c r="FV478" s="2250"/>
      <c r="FW478" s="2250"/>
      <c r="FX478" s="2250"/>
      <c r="FY478" s="2250"/>
      <c r="FZ478" s="2250"/>
      <c r="GA478" s="2250"/>
      <c r="GB478" s="2250"/>
      <c r="GC478" s="2276"/>
      <c r="GD478" s="2276"/>
      <c r="GE478" s="2250"/>
      <c r="GF478" s="2275"/>
      <c r="GG478" s="4670" t="s">
        <v>735</v>
      </c>
      <c r="GH478" s="2345">
        <v>400</v>
      </c>
      <c r="GI478" s="2346">
        <v>0</v>
      </c>
      <c r="GJ478" s="2346">
        <v>0</v>
      </c>
      <c r="GK478" s="2346">
        <v>0</v>
      </c>
      <c r="GL478" s="2346">
        <v>0</v>
      </c>
      <c r="GM478" s="2346">
        <v>0</v>
      </c>
      <c r="GN478" s="2346">
        <v>0</v>
      </c>
      <c r="GO478" s="2346">
        <v>0</v>
      </c>
      <c r="GP478" s="2346">
        <v>0</v>
      </c>
      <c r="GQ478" s="2346">
        <v>0</v>
      </c>
      <c r="GR478" s="2346">
        <v>0</v>
      </c>
      <c r="GS478" s="2346">
        <v>0</v>
      </c>
      <c r="GT478" s="2346">
        <v>0</v>
      </c>
      <c r="GU478" s="2346">
        <v>0</v>
      </c>
      <c r="GV478" s="2346">
        <v>0</v>
      </c>
      <c r="GW478" s="2346">
        <v>0</v>
      </c>
      <c r="GX478" s="2346">
        <v>0</v>
      </c>
      <c r="GY478" s="2346">
        <v>0</v>
      </c>
      <c r="GZ478" s="2346">
        <v>0</v>
      </c>
      <c r="HA478" s="2346">
        <v>0</v>
      </c>
      <c r="HB478" s="2346">
        <v>0</v>
      </c>
      <c r="HC478" s="2346">
        <v>0</v>
      </c>
      <c r="HD478" s="2346">
        <v>0</v>
      </c>
      <c r="HE478" s="2346">
        <v>0</v>
      </c>
      <c r="HF478" s="2346">
        <v>0</v>
      </c>
      <c r="HG478" s="2346">
        <v>0</v>
      </c>
      <c r="HH478" s="2346">
        <v>0</v>
      </c>
      <c r="HI478" s="2346">
        <v>0</v>
      </c>
      <c r="HJ478" s="2347">
        <v>400</v>
      </c>
      <c r="HK478" s="2275"/>
      <c r="HL478" s="4671"/>
      <c r="HM478" s="4671"/>
      <c r="HN478" s="4671"/>
      <c r="HO478" s="2275"/>
      <c r="HP478" s="2275"/>
      <c r="HQ478" s="2275"/>
      <c r="HR478" s="2275"/>
      <c r="HS478" s="2275"/>
      <c r="HT478" s="2275"/>
      <c r="HU478" s="2250"/>
      <c r="HV478" s="2250"/>
      <c r="HW478" s="2250"/>
      <c r="HX478" s="2250"/>
      <c r="HY478" s="2250"/>
      <c r="HZ478" s="2250"/>
      <c r="IA478" s="2250"/>
      <c r="IB478" s="2250"/>
      <c r="IC478" s="2250"/>
      <c r="ID478" s="2250"/>
      <c r="IE478" s="2250"/>
      <c r="IF478" s="2250"/>
      <c r="IG478" s="2250"/>
      <c r="IH478" s="2250"/>
      <c r="II478" s="2250"/>
      <c r="IJ478" s="2250"/>
      <c r="IK478" s="2250"/>
      <c r="IL478" s="53"/>
      <c r="IM478" s="53"/>
    </row>
    <row r="479" spans="2:247" ht="21.95" customHeight="1">
      <c r="B479" s="4670"/>
      <c r="C479" s="2345">
        <v>475</v>
      </c>
      <c r="D479" s="2346">
        <v>1.38</v>
      </c>
      <c r="E479" s="2346">
        <v>1.54</v>
      </c>
      <c r="F479" s="2346">
        <v>1.69</v>
      </c>
      <c r="G479" s="2346">
        <v>1.85</v>
      </c>
      <c r="H479" s="2346">
        <v>2.08</v>
      </c>
      <c r="I479" s="2346">
        <v>1.92</v>
      </c>
      <c r="J479" s="2346">
        <v>2.15</v>
      </c>
      <c r="K479" s="2346">
        <v>2.31</v>
      </c>
      <c r="L479" s="2346">
        <v>2.38</v>
      </c>
      <c r="M479" s="2346">
        <v>2.62</v>
      </c>
      <c r="N479" s="2346">
        <v>3.15</v>
      </c>
      <c r="O479" s="2346">
        <v>3.08</v>
      </c>
      <c r="P479" s="2346">
        <v>3.38</v>
      </c>
      <c r="Q479" s="2346">
        <v>3.38</v>
      </c>
      <c r="R479" s="2346">
        <v>3.69</v>
      </c>
      <c r="S479" s="2346">
        <v>3.85</v>
      </c>
      <c r="T479" s="2346">
        <v>4.08</v>
      </c>
      <c r="U479" s="2346">
        <v>4.38</v>
      </c>
      <c r="V479" s="2346">
        <v>4.6900000000000004</v>
      </c>
      <c r="W479" s="2346">
        <v>5.31</v>
      </c>
      <c r="X479" s="2346">
        <v>5.46</v>
      </c>
      <c r="Y479" s="2346">
        <v>6</v>
      </c>
      <c r="Z479" s="2346">
        <v>6.77</v>
      </c>
      <c r="AA479" s="2346">
        <v>7.54</v>
      </c>
      <c r="AB479" s="2346">
        <v>8</v>
      </c>
      <c r="AC479" s="2346">
        <v>9.23</v>
      </c>
      <c r="AD479" s="2346">
        <v>11</v>
      </c>
      <c r="AE479" s="2347">
        <v>475</v>
      </c>
      <c r="AF479" s="2275"/>
      <c r="AG479" s="2276">
        <f>HLOOKUP(AG475,D476:AD488,2,0)</f>
        <v>0</v>
      </c>
      <c r="AH479" s="2276">
        <f t="shared" ref="AH479:AH489" si="358">+AG480</f>
        <v>0</v>
      </c>
      <c r="AI479" s="2275">
        <v>400</v>
      </c>
      <c r="AJ479" s="2275"/>
      <c r="AK479" s="2275"/>
      <c r="AL479" s="2275"/>
      <c r="AM479" s="2275"/>
      <c r="AN479" s="2275"/>
      <c r="AO479" s="2275"/>
      <c r="AP479" s="2250"/>
      <c r="AQ479" s="2250"/>
      <c r="AR479" s="2250"/>
      <c r="AS479" s="2250"/>
      <c r="AT479" s="2250"/>
      <c r="AU479" s="2250"/>
      <c r="AV479" s="2250"/>
      <c r="AW479" s="2250"/>
      <c r="AX479" s="2250"/>
      <c r="AY479" s="2250"/>
      <c r="AZ479" s="2250"/>
      <c r="BA479" s="2250"/>
      <c r="BB479" s="2250"/>
      <c r="BC479" s="2250"/>
      <c r="BD479" s="2250"/>
      <c r="BE479" s="2250"/>
      <c r="BF479" s="2276"/>
      <c r="BG479" s="2276"/>
      <c r="BH479" s="2250"/>
      <c r="BI479" s="2275"/>
      <c r="BJ479" s="4670"/>
      <c r="BK479" s="2345">
        <v>475</v>
      </c>
      <c r="BL479" s="2346">
        <v>1.38</v>
      </c>
      <c r="BM479" s="2346">
        <v>1.54</v>
      </c>
      <c r="BN479" s="2346">
        <v>1.69</v>
      </c>
      <c r="BO479" s="2346">
        <v>1.85</v>
      </c>
      <c r="BP479" s="2346">
        <v>2.08</v>
      </c>
      <c r="BQ479" s="2346">
        <v>1.92</v>
      </c>
      <c r="BR479" s="2346">
        <v>2.15</v>
      </c>
      <c r="BS479" s="2346">
        <v>2.31</v>
      </c>
      <c r="BT479" s="2346">
        <v>2.38</v>
      </c>
      <c r="BU479" s="2346">
        <v>2.62</v>
      </c>
      <c r="BV479" s="2346">
        <v>3.15</v>
      </c>
      <c r="BW479" s="2346">
        <v>3.08</v>
      </c>
      <c r="BX479" s="2346">
        <v>3.38</v>
      </c>
      <c r="BY479" s="2346">
        <v>3.38</v>
      </c>
      <c r="BZ479" s="2346">
        <v>3.69</v>
      </c>
      <c r="CA479" s="2346">
        <v>3.85</v>
      </c>
      <c r="CB479" s="2346">
        <v>4.08</v>
      </c>
      <c r="CC479" s="2346">
        <v>4.38</v>
      </c>
      <c r="CD479" s="2346">
        <v>4.6900000000000004</v>
      </c>
      <c r="CE479" s="2346">
        <v>5.31</v>
      </c>
      <c r="CF479" s="2346">
        <v>5.46</v>
      </c>
      <c r="CG479" s="2346">
        <v>6</v>
      </c>
      <c r="CH479" s="2346">
        <v>6.77</v>
      </c>
      <c r="CI479" s="2346">
        <v>7.54</v>
      </c>
      <c r="CJ479" s="2346">
        <v>8</v>
      </c>
      <c r="CK479" s="2346">
        <v>9.23</v>
      </c>
      <c r="CL479" s="2346">
        <v>11</v>
      </c>
      <c r="CM479" s="2347">
        <v>475</v>
      </c>
      <c r="CN479" s="2275"/>
      <c r="CO479" s="2276">
        <f>HLOOKUP(CO475,BL476:CL488,2,0)</f>
        <v>0</v>
      </c>
      <c r="CP479" s="2276">
        <f t="shared" ref="CP479:CP489" si="359">+CO480</f>
        <v>0</v>
      </c>
      <c r="CQ479" s="2275">
        <v>400</v>
      </c>
      <c r="CR479" s="2275"/>
      <c r="CS479" s="2275"/>
      <c r="CT479" s="2275"/>
      <c r="CU479" s="2275"/>
      <c r="CV479" s="2275"/>
      <c r="CW479" s="2275"/>
      <c r="CX479" s="2250"/>
      <c r="CY479" s="2250"/>
      <c r="CZ479" s="2250"/>
      <c r="DA479" s="2250"/>
      <c r="DB479" s="2250"/>
      <c r="DC479" s="2250"/>
      <c r="DD479" s="2250"/>
      <c r="DE479" s="2250"/>
      <c r="DF479" s="2250"/>
      <c r="DG479" s="2250"/>
      <c r="DH479" s="2250"/>
      <c r="DI479" s="2250"/>
      <c r="DJ479" s="2250"/>
      <c r="DK479" s="2250"/>
      <c r="DL479" s="2250"/>
      <c r="DM479" s="2250"/>
      <c r="DN479" s="2250"/>
      <c r="DO479" s="53"/>
      <c r="DP479" s="53"/>
      <c r="DY479" s="4670"/>
      <c r="DZ479" s="2345">
        <v>475</v>
      </c>
      <c r="EA479" s="2346">
        <v>1.38</v>
      </c>
      <c r="EB479" s="2346">
        <v>1.54</v>
      </c>
      <c r="EC479" s="2346">
        <v>1.69</v>
      </c>
      <c r="ED479" s="2346">
        <v>1.85</v>
      </c>
      <c r="EE479" s="2346">
        <v>2.08</v>
      </c>
      <c r="EF479" s="2346">
        <v>1.92</v>
      </c>
      <c r="EG479" s="2346">
        <v>2.15</v>
      </c>
      <c r="EH479" s="2346">
        <v>2.31</v>
      </c>
      <c r="EI479" s="2346">
        <v>2.38</v>
      </c>
      <c r="EJ479" s="2346">
        <v>2.62</v>
      </c>
      <c r="EK479" s="2346">
        <v>3.15</v>
      </c>
      <c r="EL479" s="2346">
        <v>3.08</v>
      </c>
      <c r="EM479" s="2346">
        <v>3.38</v>
      </c>
      <c r="EN479" s="2346">
        <v>3.38</v>
      </c>
      <c r="EO479" s="2346">
        <v>3.69</v>
      </c>
      <c r="EP479" s="2346">
        <v>3.85</v>
      </c>
      <c r="EQ479" s="2346">
        <v>4.08</v>
      </c>
      <c r="ER479" s="2346">
        <v>4.38</v>
      </c>
      <c r="ES479" s="2346">
        <v>4.6900000000000004</v>
      </c>
      <c r="ET479" s="2346">
        <v>5.31</v>
      </c>
      <c r="EU479" s="2346">
        <v>5.46</v>
      </c>
      <c r="EV479" s="2346">
        <v>6</v>
      </c>
      <c r="EW479" s="2346">
        <v>6.77</v>
      </c>
      <c r="EX479" s="2346">
        <v>7.54</v>
      </c>
      <c r="EY479" s="2346">
        <v>8</v>
      </c>
      <c r="EZ479" s="2346">
        <v>9.23</v>
      </c>
      <c r="FA479" s="2346">
        <v>11</v>
      </c>
      <c r="FB479" s="2347">
        <v>475</v>
      </c>
      <c r="FC479" s="2275"/>
      <c r="FD479" s="2276">
        <f>HLOOKUP(FD475,EA476:FA488,2,0)</f>
        <v>0</v>
      </c>
      <c r="FE479" s="2276">
        <f t="shared" ref="FE479:FE489" si="360">+FD480</f>
        <v>0</v>
      </c>
      <c r="FF479" s="2275">
        <v>400</v>
      </c>
      <c r="FG479" s="2275"/>
      <c r="FH479" s="2275"/>
      <c r="FI479" s="2275"/>
      <c r="FJ479" s="2275"/>
      <c r="FK479" s="2275"/>
      <c r="FL479" s="2275"/>
      <c r="FM479" s="2250"/>
      <c r="FN479" s="2250"/>
      <c r="FO479" s="2250"/>
      <c r="FP479" s="2250"/>
      <c r="FQ479" s="2250"/>
      <c r="FR479" s="2250"/>
      <c r="FS479" s="2250"/>
      <c r="FT479" s="2250"/>
      <c r="FU479" s="2250"/>
      <c r="FV479" s="2250"/>
      <c r="FW479" s="2250"/>
      <c r="FX479" s="2250"/>
      <c r="FY479" s="2250"/>
      <c r="FZ479" s="2250"/>
      <c r="GA479" s="2250"/>
      <c r="GB479" s="2250"/>
      <c r="GC479" s="2276"/>
      <c r="GD479" s="2276"/>
      <c r="GE479" s="2250"/>
      <c r="GF479" s="2275"/>
      <c r="GG479" s="4670"/>
      <c r="GH479" s="2345">
        <v>475</v>
      </c>
      <c r="GI479" s="2346">
        <v>1.38</v>
      </c>
      <c r="GJ479" s="2346">
        <v>1.54</v>
      </c>
      <c r="GK479" s="2346">
        <v>1.69</v>
      </c>
      <c r="GL479" s="2346">
        <v>1.85</v>
      </c>
      <c r="GM479" s="2346">
        <v>2.08</v>
      </c>
      <c r="GN479" s="2346">
        <v>1.92</v>
      </c>
      <c r="GO479" s="2346">
        <v>2.15</v>
      </c>
      <c r="GP479" s="2346">
        <v>2.31</v>
      </c>
      <c r="GQ479" s="2346">
        <v>2.38</v>
      </c>
      <c r="GR479" s="2346">
        <v>2.62</v>
      </c>
      <c r="GS479" s="2346">
        <v>3.15</v>
      </c>
      <c r="GT479" s="2346">
        <v>3.08</v>
      </c>
      <c r="GU479" s="2346">
        <v>3.38</v>
      </c>
      <c r="GV479" s="2346">
        <v>3.38</v>
      </c>
      <c r="GW479" s="2346">
        <v>3.69</v>
      </c>
      <c r="GX479" s="2346">
        <v>3.85</v>
      </c>
      <c r="GY479" s="2346">
        <v>4.08</v>
      </c>
      <c r="GZ479" s="2346">
        <v>4.38</v>
      </c>
      <c r="HA479" s="2346">
        <v>4.6900000000000004</v>
      </c>
      <c r="HB479" s="2346">
        <v>5.31</v>
      </c>
      <c r="HC479" s="2346">
        <v>5.46</v>
      </c>
      <c r="HD479" s="2346">
        <v>6</v>
      </c>
      <c r="HE479" s="2346">
        <v>6.77</v>
      </c>
      <c r="HF479" s="2346">
        <v>7.54</v>
      </c>
      <c r="HG479" s="2346">
        <v>8</v>
      </c>
      <c r="HH479" s="2346">
        <v>9.23</v>
      </c>
      <c r="HI479" s="2346">
        <v>11</v>
      </c>
      <c r="HJ479" s="2347">
        <v>475</v>
      </c>
      <c r="HK479" s="2275"/>
      <c r="HL479" s="2276">
        <f>HLOOKUP(HL475,GI476:HI488,2,0)</f>
        <v>0</v>
      </c>
      <c r="HM479" s="2276">
        <f t="shared" ref="HM479:HM489" si="361">+HL480</f>
        <v>0</v>
      </c>
      <c r="HN479" s="2275">
        <v>400</v>
      </c>
      <c r="HO479" s="2275"/>
      <c r="HP479" s="2275"/>
      <c r="HQ479" s="2275"/>
      <c r="HR479" s="2275"/>
      <c r="HS479" s="2275"/>
      <c r="HT479" s="2275"/>
      <c r="HU479" s="2250"/>
      <c r="HV479" s="2250"/>
      <c r="HW479" s="2250"/>
      <c r="HX479" s="2250"/>
      <c r="HY479" s="2250"/>
      <c r="HZ479" s="2250"/>
      <c r="IA479" s="2250"/>
      <c r="IB479" s="2250"/>
      <c r="IC479" s="2250"/>
      <c r="ID479" s="2250"/>
      <c r="IE479" s="2250"/>
      <c r="IF479" s="2250"/>
      <c r="IG479" s="2250"/>
      <c r="IH479" s="2250"/>
      <c r="II479" s="2250"/>
      <c r="IJ479" s="2250"/>
      <c r="IK479" s="2250"/>
      <c r="IL479" s="53"/>
      <c r="IM479" s="53"/>
    </row>
    <row r="480" spans="2:247" ht="21.95" customHeight="1">
      <c r="B480" s="4670"/>
      <c r="C480" s="2345">
        <v>550</v>
      </c>
      <c r="D480" s="2346">
        <v>2.54</v>
      </c>
      <c r="E480" s="2346">
        <v>2.85</v>
      </c>
      <c r="F480" s="2346">
        <v>3.15</v>
      </c>
      <c r="G480" s="2346">
        <v>3.54</v>
      </c>
      <c r="H480" s="2346">
        <v>3.85</v>
      </c>
      <c r="I480" s="2346">
        <v>3.62</v>
      </c>
      <c r="J480" s="2346">
        <v>4</v>
      </c>
      <c r="K480" s="2346">
        <v>4.2300000000000004</v>
      </c>
      <c r="L480" s="2346">
        <v>4.62</v>
      </c>
      <c r="M480" s="2346">
        <v>4.92</v>
      </c>
      <c r="N480" s="2346">
        <v>5.77</v>
      </c>
      <c r="O480" s="2346">
        <v>6.15</v>
      </c>
      <c r="P480" s="2346">
        <v>6.62</v>
      </c>
      <c r="Q480" s="2346">
        <v>6.38</v>
      </c>
      <c r="R480" s="2346">
        <v>6.85</v>
      </c>
      <c r="S480" s="2346">
        <v>7.23</v>
      </c>
      <c r="T480" s="2346">
        <v>7.62</v>
      </c>
      <c r="U480" s="2346">
        <v>8.23</v>
      </c>
      <c r="V480" s="2346">
        <v>8.69</v>
      </c>
      <c r="W480" s="2346">
        <v>9.85</v>
      </c>
      <c r="X480" s="2346">
        <v>9.92</v>
      </c>
      <c r="Y480" s="2346">
        <v>11.15</v>
      </c>
      <c r="Z480" s="2346">
        <v>11.69</v>
      </c>
      <c r="AA480" s="2346">
        <v>13.62</v>
      </c>
      <c r="AB480" s="2346">
        <v>14.31</v>
      </c>
      <c r="AC480" s="2346">
        <v>16.46</v>
      </c>
      <c r="AD480" s="2346">
        <v>19.54</v>
      </c>
      <c r="AE480" s="2347">
        <v>550</v>
      </c>
      <c r="AF480" s="2275"/>
      <c r="AG480" s="2276">
        <f>HLOOKUP(AG475,D476:AD488,3,0)</f>
        <v>0</v>
      </c>
      <c r="AH480" s="2276">
        <f t="shared" si="358"/>
        <v>1.69</v>
      </c>
      <c r="AI480" s="2275">
        <v>475</v>
      </c>
      <c r="AJ480" s="2275"/>
      <c r="AK480" s="2275"/>
      <c r="AL480" s="2275"/>
      <c r="AM480" s="2275"/>
      <c r="AN480" s="2275"/>
      <c r="AO480" s="2275"/>
      <c r="AP480" s="2250"/>
      <c r="AQ480" s="2250"/>
      <c r="AR480" s="2250"/>
      <c r="AS480" s="2250"/>
      <c r="AT480" s="2250"/>
      <c r="AU480" s="2250"/>
      <c r="AV480" s="2250"/>
      <c r="AW480" s="2250"/>
      <c r="AX480" s="2250"/>
      <c r="AY480" s="2250"/>
      <c r="AZ480" s="2250"/>
      <c r="BA480" s="2250"/>
      <c r="BB480" s="2250"/>
      <c r="BC480" s="2250"/>
      <c r="BD480" s="2250"/>
      <c r="BE480" s="2250"/>
      <c r="BF480" s="2276"/>
      <c r="BG480" s="2276"/>
      <c r="BH480" s="2250"/>
      <c r="BI480" s="2275"/>
      <c r="BJ480" s="4670"/>
      <c r="BK480" s="2345">
        <v>550</v>
      </c>
      <c r="BL480" s="2346">
        <v>2.54</v>
      </c>
      <c r="BM480" s="2346">
        <v>2.85</v>
      </c>
      <c r="BN480" s="2346">
        <v>3.15</v>
      </c>
      <c r="BO480" s="2346">
        <v>3.54</v>
      </c>
      <c r="BP480" s="2346">
        <v>3.85</v>
      </c>
      <c r="BQ480" s="2346">
        <v>3.62</v>
      </c>
      <c r="BR480" s="2346">
        <v>4</v>
      </c>
      <c r="BS480" s="2346">
        <v>4.2300000000000004</v>
      </c>
      <c r="BT480" s="2346">
        <v>4.62</v>
      </c>
      <c r="BU480" s="2346">
        <v>4.92</v>
      </c>
      <c r="BV480" s="2346">
        <v>5.77</v>
      </c>
      <c r="BW480" s="2346">
        <v>6.15</v>
      </c>
      <c r="BX480" s="2346">
        <v>6.62</v>
      </c>
      <c r="BY480" s="2346">
        <v>6.38</v>
      </c>
      <c r="BZ480" s="2346">
        <v>6.85</v>
      </c>
      <c r="CA480" s="2346">
        <v>7.23</v>
      </c>
      <c r="CB480" s="2346">
        <v>7.62</v>
      </c>
      <c r="CC480" s="2346">
        <v>8.23</v>
      </c>
      <c r="CD480" s="2346">
        <v>8.69</v>
      </c>
      <c r="CE480" s="2346">
        <v>9.85</v>
      </c>
      <c r="CF480" s="2346">
        <v>9.92</v>
      </c>
      <c r="CG480" s="2346">
        <v>11.15</v>
      </c>
      <c r="CH480" s="2346">
        <v>11.69</v>
      </c>
      <c r="CI480" s="2346">
        <v>13.62</v>
      </c>
      <c r="CJ480" s="2346">
        <v>14.31</v>
      </c>
      <c r="CK480" s="2346">
        <v>16.46</v>
      </c>
      <c r="CL480" s="2346">
        <v>19.54</v>
      </c>
      <c r="CM480" s="2347">
        <v>550</v>
      </c>
      <c r="CN480" s="2275"/>
      <c r="CO480" s="2276">
        <f>HLOOKUP(CO475,BL476:CL488,3,0)</f>
        <v>0</v>
      </c>
      <c r="CP480" s="2276">
        <f t="shared" si="359"/>
        <v>1.54</v>
      </c>
      <c r="CQ480" s="2275">
        <v>475</v>
      </c>
      <c r="CR480" s="2275"/>
      <c r="CS480" s="2275"/>
      <c r="CT480" s="2275"/>
      <c r="CU480" s="2275"/>
      <c r="CV480" s="2275"/>
      <c r="CW480" s="2275"/>
      <c r="CX480" s="2250"/>
      <c r="CY480" s="2250"/>
      <c r="CZ480" s="2250"/>
      <c r="DA480" s="2250"/>
      <c r="DB480" s="2250"/>
      <c r="DC480" s="2250"/>
      <c r="DD480" s="2250"/>
      <c r="DE480" s="2250"/>
      <c r="DF480" s="2250"/>
      <c r="DG480" s="2250"/>
      <c r="DH480" s="2250"/>
      <c r="DI480" s="2250"/>
      <c r="DJ480" s="2250"/>
      <c r="DK480" s="2250"/>
      <c r="DL480" s="2250"/>
      <c r="DM480" s="2250"/>
      <c r="DN480" s="2250"/>
      <c r="DO480" s="53"/>
      <c r="DP480" s="53"/>
      <c r="DY480" s="4670"/>
      <c r="DZ480" s="2345">
        <v>550</v>
      </c>
      <c r="EA480" s="2346">
        <v>2.54</v>
      </c>
      <c r="EB480" s="2346">
        <v>2.85</v>
      </c>
      <c r="EC480" s="2346">
        <v>3.15</v>
      </c>
      <c r="ED480" s="2346">
        <v>3.54</v>
      </c>
      <c r="EE480" s="2346">
        <v>3.85</v>
      </c>
      <c r="EF480" s="2346">
        <v>3.62</v>
      </c>
      <c r="EG480" s="2346">
        <v>4</v>
      </c>
      <c r="EH480" s="2346">
        <v>4.2300000000000004</v>
      </c>
      <c r="EI480" s="2346">
        <v>4.62</v>
      </c>
      <c r="EJ480" s="2346">
        <v>4.92</v>
      </c>
      <c r="EK480" s="2346">
        <v>5.77</v>
      </c>
      <c r="EL480" s="2346">
        <v>6.15</v>
      </c>
      <c r="EM480" s="2346">
        <v>6.62</v>
      </c>
      <c r="EN480" s="2346">
        <v>6.38</v>
      </c>
      <c r="EO480" s="2346">
        <v>6.85</v>
      </c>
      <c r="EP480" s="2346">
        <v>7.23</v>
      </c>
      <c r="EQ480" s="2346">
        <v>7.62</v>
      </c>
      <c r="ER480" s="2346">
        <v>8.23</v>
      </c>
      <c r="ES480" s="2346">
        <v>8.69</v>
      </c>
      <c r="ET480" s="2346">
        <v>9.85</v>
      </c>
      <c r="EU480" s="2346">
        <v>9.92</v>
      </c>
      <c r="EV480" s="2346">
        <v>11.15</v>
      </c>
      <c r="EW480" s="2346">
        <v>11.69</v>
      </c>
      <c r="EX480" s="2346">
        <v>13.62</v>
      </c>
      <c r="EY480" s="2346">
        <v>14.31</v>
      </c>
      <c r="EZ480" s="2346">
        <v>16.46</v>
      </c>
      <c r="FA480" s="2346">
        <v>19.54</v>
      </c>
      <c r="FB480" s="2347">
        <v>550</v>
      </c>
      <c r="FC480" s="2275"/>
      <c r="FD480" s="2276">
        <f>HLOOKUP(FD475,EA476:FA488,3,0)</f>
        <v>0</v>
      </c>
      <c r="FE480" s="2276">
        <f t="shared" si="360"/>
        <v>2.62</v>
      </c>
      <c r="FF480" s="2275">
        <v>475</v>
      </c>
      <c r="FG480" s="2275"/>
      <c r="FH480" s="2275"/>
      <c r="FI480" s="2275"/>
      <c r="FJ480" s="2275"/>
      <c r="FK480" s="2275"/>
      <c r="FL480" s="2275"/>
      <c r="FM480" s="2250"/>
      <c r="FN480" s="2250"/>
      <c r="FO480" s="2250"/>
      <c r="FP480" s="2250"/>
      <c r="FQ480" s="2250"/>
      <c r="FR480" s="2250"/>
      <c r="FS480" s="2250"/>
      <c r="FT480" s="2250"/>
      <c r="FU480" s="2250"/>
      <c r="FV480" s="2250"/>
      <c r="FW480" s="2250"/>
      <c r="FX480" s="2250"/>
      <c r="FY480" s="2250"/>
      <c r="FZ480" s="2250"/>
      <c r="GA480" s="2250"/>
      <c r="GB480" s="2250"/>
      <c r="GC480" s="2276"/>
      <c r="GD480" s="2276"/>
      <c r="GE480" s="2250"/>
      <c r="GF480" s="2275"/>
      <c r="GG480" s="4670"/>
      <c r="GH480" s="2345">
        <v>550</v>
      </c>
      <c r="GI480" s="2346">
        <v>2.54</v>
      </c>
      <c r="GJ480" s="2346">
        <v>2.85</v>
      </c>
      <c r="GK480" s="2346">
        <v>3.15</v>
      </c>
      <c r="GL480" s="2346">
        <v>3.54</v>
      </c>
      <c r="GM480" s="2346">
        <v>3.85</v>
      </c>
      <c r="GN480" s="2346">
        <v>3.62</v>
      </c>
      <c r="GO480" s="2346">
        <v>4</v>
      </c>
      <c r="GP480" s="2346">
        <v>4.2300000000000004</v>
      </c>
      <c r="GQ480" s="2346">
        <v>4.62</v>
      </c>
      <c r="GR480" s="2346">
        <v>4.92</v>
      </c>
      <c r="GS480" s="2346">
        <v>5.77</v>
      </c>
      <c r="GT480" s="2346">
        <v>6.15</v>
      </c>
      <c r="GU480" s="2346">
        <v>6.62</v>
      </c>
      <c r="GV480" s="2346">
        <v>6.38</v>
      </c>
      <c r="GW480" s="2346">
        <v>6.85</v>
      </c>
      <c r="GX480" s="2346">
        <v>7.23</v>
      </c>
      <c r="GY480" s="2346">
        <v>7.62</v>
      </c>
      <c r="GZ480" s="2346">
        <v>8.23</v>
      </c>
      <c r="HA480" s="2346">
        <v>8.69</v>
      </c>
      <c r="HB480" s="2346">
        <v>9.85</v>
      </c>
      <c r="HC480" s="2346">
        <v>9.92</v>
      </c>
      <c r="HD480" s="2346">
        <v>11.15</v>
      </c>
      <c r="HE480" s="2346">
        <v>11.69</v>
      </c>
      <c r="HF480" s="2346">
        <v>13.62</v>
      </c>
      <c r="HG480" s="2346">
        <v>14.31</v>
      </c>
      <c r="HH480" s="2346">
        <v>16.46</v>
      </c>
      <c r="HI480" s="2346">
        <v>19.54</v>
      </c>
      <c r="HJ480" s="2347">
        <v>550</v>
      </c>
      <c r="HK480" s="2275"/>
      <c r="HL480" s="2276">
        <f>HLOOKUP(HL475,GI476:HI488,3,0)</f>
        <v>0</v>
      </c>
      <c r="HM480" s="2276">
        <f t="shared" si="361"/>
        <v>2.38</v>
      </c>
      <c r="HN480" s="2275">
        <v>475</v>
      </c>
      <c r="HO480" s="2275"/>
      <c r="HP480" s="2275"/>
      <c r="HQ480" s="2275"/>
      <c r="HR480" s="2275"/>
      <c r="HS480" s="2275"/>
      <c r="HT480" s="2275"/>
      <c r="HU480" s="2250"/>
      <c r="HV480" s="2250"/>
      <c r="HW480" s="2250"/>
      <c r="HX480" s="2250"/>
      <c r="HY480" s="2250"/>
      <c r="HZ480" s="2250"/>
      <c r="IA480" s="2250"/>
      <c r="IB480" s="2250"/>
      <c r="IC480" s="2250"/>
      <c r="ID480" s="2250"/>
      <c r="IE480" s="2250"/>
      <c r="IF480" s="2250"/>
      <c r="IG480" s="2250"/>
      <c r="IH480" s="2250"/>
      <c r="II480" s="2250"/>
      <c r="IJ480" s="2250"/>
      <c r="IK480" s="2250"/>
      <c r="IL480" s="53"/>
      <c r="IM480" s="53"/>
    </row>
    <row r="481" spans="2:247" ht="21.95" customHeight="1">
      <c r="B481" s="2275"/>
      <c r="C481" s="2345">
        <v>650</v>
      </c>
      <c r="D481" s="2346">
        <v>4.2300000000000004</v>
      </c>
      <c r="E481" s="2346">
        <v>4.7699999999999996</v>
      </c>
      <c r="F481" s="2346">
        <v>5.23</v>
      </c>
      <c r="G481" s="2346">
        <v>5.54</v>
      </c>
      <c r="H481" s="2346">
        <v>5.54</v>
      </c>
      <c r="I481" s="2346">
        <v>6</v>
      </c>
      <c r="J481" s="2346">
        <v>6.62</v>
      </c>
      <c r="K481" s="2346">
        <v>7.08</v>
      </c>
      <c r="L481" s="2346">
        <v>7.38</v>
      </c>
      <c r="M481" s="2346">
        <v>8.15</v>
      </c>
      <c r="N481" s="2346">
        <v>9.08</v>
      </c>
      <c r="O481" s="2346">
        <v>9.77</v>
      </c>
      <c r="P481" s="2346">
        <v>10.62</v>
      </c>
      <c r="Q481" s="2346">
        <v>10.62</v>
      </c>
      <c r="R481" s="2346">
        <v>11.15</v>
      </c>
      <c r="S481" s="2346">
        <v>12</v>
      </c>
      <c r="T481" s="2346">
        <v>12.69</v>
      </c>
      <c r="U481" s="2346">
        <v>13.38</v>
      </c>
      <c r="V481" s="2346">
        <v>14.08</v>
      </c>
      <c r="W481" s="2346">
        <v>15.54</v>
      </c>
      <c r="X481" s="2346">
        <v>15.85</v>
      </c>
      <c r="Y481" s="2346">
        <v>17.920000000000002</v>
      </c>
      <c r="Z481" s="2346">
        <v>19.62</v>
      </c>
      <c r="AA481" s="2346">
        <v>21.62</v>
      </c>
      <c r="AB481" s="2346">
        <v>24.08</v>
      </c>
      <c r="AC481" s="2346">
        <v>25.85</v>
      </c>
      <c r="AD481" s="2346">
        <v>30.46</v>
      </c>
      <c r="AE481" s="2347">
        <v>650</v>
      </c>
      <c r="AF481" s="2275"/>
      <c r="AG481" s="2276">
        <f>HLOOKUP(AG475,D476:AD488,4,0)</f>
        <v>1.69</v>
      </c>
      <c r="AH481" s="2276">
        <f t="shared" si="358"/>
        <v>3.15</v>
      </c>
      <c r="AI481" s="2275">
        <v>550</v>
      </c>
      <c r="AJ481" s="2275"/>
      <c r="AK481" s="2275"/>
      <c r="AL481" s="2275"/>
      <c r="AM481" s="2275"/>
      <c r="AN481" s="2275"/>
      <c r="AO481" s="2275"/>
      <c r="AP481" s="2250"/>
      <c r="AQ481" s="2250"/>
      <c r="AR481" s="2250"/>
      <c r="AS481" s="2250"/>
      <c r="AT481" s="2250"/>
      <c r="AU481" s="2250"/>
      <c r="AV481" s="2250"/>
      <c r="AW481" s="2250"/>
      <c r="AX481" s="2250"/>
      <c r="AY481" s="2250"/>
      <c r="AZ481" s="2250"/>
      <c r="BA481" s="2250"/>
      <c r="BB481" s="2250"/>
      <c r="BC481" s="2250"/>
      <c r="BD481" s="2250"/>
      <c r="BE481" s="2250"/>
      <c r="BF481" s="2276"/>
      <c r="BG481" s="2276"/>
      <c r="BH481" s="2250"/>
      <c r="BI481" s="2275"/>
      <c r="BJ481" s="2275"/>
      <c r="BK481" s="2345">
        <v>650</v>
      </c>
      <c r="BL481" s="2346">
        <v>4.2300000000000004</v>
      </c>
      <c r="BM481" s="2346">
        <v>4.7699999999999996</v>
      </c>
      <c r="BN481" s="2346">
        <v>5.23</v>
      </c>
      <c r="BO481" s="2346">
        <v>5.54</v>
      </c>
      <c r="BP481" s="2346">
        <v>5.54</v>
      </c>
      <c r="BQ481" s="2346">
        <v>6</v>
      </c>
      <c r="BR481" s="2346">
        <v>6.62</v>
      </c>
      <c r="BS481" s="2346">
        <v>7.08</v>
      </c>
      <c r="BT481" s="2346">
        <v>7.38</v>
      </c>
      <c r="BU481" s="2346">
        <v>8.15</v>
      </c>
      <c r="BV481" s="2346">
        <v>9.08</v>
      </c>
      <c r="BW481" s="2346">
        <v>9.77</v>
      </c>
      <c r="BX481" s="2346">
        <v>10.62</v>
      </c>
      <c r="BY481" s="2346">
        <v>10.62</v>
      </c>
      <c r="BZ481" s="2346">
        <v>11.15</v>
      </c>
      <c r="CA481" s="2346">
        <v>12</v>
      </c>
      <c r="CB481" s="2346">
        <v>12.69</v>
      </c>
      <c r="CC481" s="2346">
        <v>13.38</v>
      </c>
      <c r="CD481" s="2346">
        <v>14.08</v>
      </c>
      <c r="CE481" s="2346">
        <v>15.54</v>
      </c>
      <c r="CF481" s="2346">
        <v>15.85</v>
      </c>
      <c r="CG481" s="2346">
        <v>17.920000000000002</v>
      </c>
      <c r="CH481" s="2346">
        <v>19.62</v>
      </c>
      <c r="CI481" s="2346">
        <v>21.62</v>
      </c>
      <c r="CJ481" s="2346">
        <v>24.08</v>
      </c>
      <c r="CK481" s="2346">
        <v>25.85</v>
      </c>
      <c r="CL481" s="2346">
        <v>30.46</v>
      </c>
      <c r="CM481" s="2347">
        <v>650</v>
      </c>
      <c r="CN481" s="2275"/>
      <c r="CO481" s="2276">
        <f>HLOOKUP(CO475,BL476:CL488,4,0)</f>
        <v>1.54</v>
      </c>
      <c r="CP481" s="2276">
        <f t="shared" si="359"/>
        <v>2.85</v>
      </c>
      <c r="CQ481" s="2275">
        <v>550</v>
      </c>
      <c r="CR481" s="2275"/>
      <c r="CS481" s="2275"/>
      <c r="CT481" s="2275"/>
      <c r="CU481" s="2275"/>
      <c r="CV481" s="2275"/>
      <c r="CW481" s="2275"/>
      <c r="CX481" s="2250"/>
      <c r="CY481" s="2250"/>
      <c r="CZ481" s="2250"/>
      <c r="DA481" s="2250"/>
      <c r="DB481" s="2250"/>
      <c r="DC481" s="2250"/>
      <c r="DD481" s="2250"/>
      <c r="DE481" s="2250"/>
      <c r="DF481" s="2250"/>
      <c r="DG481" s="2250"/>
      <c r="DH481" s="2250"/>
      <c r="DI481" s="2250"/>
      <c r="DJ481" s="2250"/>
      <c r="DK481" s="2250"/>
      <c r="DL481" s="2250"/>
      <c r="DM481" s="2250"/>
      <c r="DN481" s="2250"/>
      <c r="DO481" s="53"/>
      <c r="DP481" s="53"/>
      <c r="DY481" s="2275"/>
      <c r="DZ481" s="2345">
        <v>650</v>
      </c>
      <c r="EA481" s="2346">
        <v>4.2300000000000004</v>
      </c>
      <c r="EB481" s="2346">
        <v>4.7699999999999996</v>
      </c>
      <c r="EC481" s="2346">
        <v>5.23</v>
      </c>
      <c r="ED481" s="2346">
        <v>5.54</v>
      </c>
      <c r="EE481" s="2346">
        <v>5.54</v>
      </c>
      <c r="EF481" s="2346">
        <v>6</v>
      </c>
      <c r="EG481" s="2346">
        <v>6.62</v>
      </c>
      <c r="EH481" s="2346">
        <v>7.08</v>
      </c>
      <c r="EI481" s="2346">
        <v>7.38</v>
      </c>
      <c r="EJ481" s="2346">
        <v>8.15</v>
      </c>
      <c r="EK481" s="2346">
        <v>9.08</v>
      </c>
      <c r="EL481" s="2346">
        <v>9.77</v>
      </c>
      <c r="EM481" s="2346">
        <v>10.62</v>
      </c>
      <c r="EN481" s="2346">
        <v>10.62</v>
      </c>
      <c r="EO481" s="2346">
        <v>11.15</v>
      </c>
      <c r="EP481" s="2346">
        <v>12</v>
      </c>
      <c r="EQ481" s="2346">
        <v>12.69</v>
      </c>
      <c r="ER481" s="2346">
        <v>13.38</v>
      </c>
      <c r="ES481" s="2346">
        <v>14.08</v>
      </c>
      <c r="ET481" s="2346">
        <v>15.54</v>
      </c>
      <c r="EU481" s="2346">
        <v>15.85</v>
      </c>
      <c r="EV481" s="2346">
        <v>17.920000000000002</v>
      </c>
      <c r="EW481" s="2346">
        <v>19.62</v>
      </c>
      <c r="EX481" s="2346">
        <v>21.62</v>
      </c>
      <c r="EY481" s="2346">
        <v>24.08</v>
      </c>
      <c r="EZ481" s="2346">
        <v>25.85</v>
      </c>
      <c r="FA481" s="2346">
        <v>30.46</v>
      </c>
      <c r="FB481" s="2347">
        <v>650</v>
      </c>
      <c r="FC481" s="2275"/>
      <c r="FD481" s="2276">
        <f>HLOOKUP(FD475,EA476:FA488,4,0)</f>
        <v>2.62</v>
      </c>
      <c r="FE481" s="2276">
        <f t="shared" si="360"/>
        <v>4.92</v>
      </c>
      <c r="FF481" s="2275">
        <v>550</v>
      </c>
      <c r="FG481" s="2275"/>
      <c r="FH481" s="2275"/>
      <c r="FI481" s="2275"/>
      <c r="FJ481" s="2275"/>
      <c r="FK481" s="2275"/>
      <c r="FL481" s="2275"/>
      <c r="FM481" s="2250"/>
      <c r="FN481" s="2250"/>
      <c r="FO481" s="2250"/>
      <c r="FP481" s="2250"/>
      <c r="FQ481" s="2250"/>
      <c r="FR481" s="2250"/>
      <c r="FS481" s="2250"/>
      <c r="FT481" s="2250"/>
      <c r="FU481" s="2250"/>
      <c r="FV481" s="2250"/>
      <c r="FW481" s="2250"/>
      <c r="FX481" s="2250"/>
      <c r="FY481" s="2250"/>
      <c r="FZ481" s="2250"/>
      <c r="GA481" s="2250"/>
      <c r="GB481" s="2250"/>
      <c r="GC481" s="2276"/>
      <c r="GD481" s="2276"/>
      <c r="GE481" s="2250"/>
      <c r="GF481" s="2275"/>
      <c r="GG481" s="2275"/>
      <c r="GH481" s="2345">
        <v>650</v>
      </c>
      <c r="GI481" s="2346">
        <v>4.2300000000000004</v>
      </c>
      <c r="GJ481" s="2346">
        <v>4.7699999999999996</v>
      </c>
      <c r="GK481" s="2346">
        <v>5.23</v>
      </c>
      <c r="GL481" s="2346">
        <v>5.54</v>
      </c>
      <c r="GM481" s="2346">
        <v>5.54</v>
      </c>
      <c r="GN481" s="2346">
        <v>6</v>
      </c>
      <c r="GO481" s="2346">
        <v>6.62</v>
      </c>
      <c r="GP481" s="2346">
        <v>7.08</v>
      </c>
      <c r="GQ481" s="2346">
        <v>7.38</v>
      </c>
      <c r="GR481" s="2346">
        <v>8.15</v>
      </c>
      <c r="GS481" s="2346">
        <v>9.08</v>
      </c>
      <c r="GT481" s="2346">
        <v>9.77</v>
      </c>
      <c r="GU481" s="2346">
        <v>10.62</v>
      </c>
      <c r="GV481" s="2346">
        <v>10.62</v>
      </c>
      <c r="GW481" s="2346">
        <v>11.15</v>
      </c>
      <c r="GX481" s="2346">
        <v>12</v>
      </c>
      <c r="GY481" s="2346">
        <v>12.69</v>
      </c>
      <c r="GZ481" s="2346">
        <v>13.38</v>
      </c>
      <c r="HA481" s="2346">
        <v>14.08</v>
      </c>
      <c r="HB481" s="2346">
        <v>15.54</v>
      </c>
      <c r="HC481" s="2346">
        <v>15.85</v>
      </c>
      <c r="HD481" s="2346">
        <v>17.920000000000002</v>
      </c>
      <c r="HE481" s="2346">
        <v>19.62</v>
      </c>
      <c r="HF481" s="2346">
        <v>21.62</v>
      </c>
      <c r="HG481" s="2346">
        <v>24.08</v>
      </c>
      <c r="HH481" s="2346">
        <v>25.85</v>
      </c>
      <c r="HI481" s="2346">
        <v>30.46</v>
      </c>
      <c r="HJ481" s="2347">
        <v>650</v>
      </c>
      <c r="HK481" s="2275"/>
      <c r="HL481" s="2276">
        <f>HLOOKUP(HL475,GI476:HI488,4,0)</f>
        <v>2.38</v>
      </c>
      <c r="HM481" s="2276">
        <f t="shared" si="361"/>
        <v>4.62</v>
      </c>
      <c r="HN481" s="2275">
        <v>550</v>
      </c>
      <c r="HO481" s="2275"/>
      <c r="HP481" s="2275"/>
      <c r="HQ481" s="2275"/>
      <c r="HR481" s="2275"/>
      <c r="HS481" s="2275"/>
      <c r="HT481" s="2275"/>
      <c r="HU481" s="2250"/>
      <c r="HV481" s="2250"/>
      <c r="HW481" s="2250"/>
      <c r="HX481" s="2250"/>
      <c r="HY481" s="2250"/>
      <c r="HZ481" s="2250"/>
      <c r="IA481" s="2250"/>
      <c r="IB481" s="2250"/>
      <c r="IC481" s="2250"/>
      <c r="ID481" s="2250"/>
      <c r="IE481" s="2250"/>
      <c r="IF481" s="2250"/>
      <c r="IG481" s="2250"/>
      <c r="IH481" s="2250"/>
      <c r="II481" s="2250"/>
      <c r="IJ481" s="2250"/>
      <c r="IK481" s="2250"/>
      <c r="IL481" s="53"/>
      <c r="IM481" s="53"/>
    </row>
    <row r="482" spans="2:247" ht="21.95" customHeight="1">
      <c r="B482" s="2275"/>
      <c r="C482" s="2345">
        <v>775</v>
      </c>
      <c r="D482" s="2346">
        <v>6.46</v>
      </c>
      <c r="E482" s="2346">
        <v>7.31</v>
      </c>
      <c r="F482" s="2346">
        <v>8.08</v>
      </c>
      <c r="G482" s="2346">
        <v>9</v>
      </c>
      <c r="H482" s="2346">
        <v>9.85</v>
      </c>
      <c r="I482" s="2346">
        <v>9.23</v>
      </c>
      <c r="J482" s="2346">
        <v>10.23</v>
      </c>
      <c r="K482" s="2346">
        <v>10.85</v>
      </c>
      <c r="L482" s="2346">
        <v>11.92</v>
      </c>
      <c r="M482" s="2346">
        <v>12.69</v>
      </c>
      <c r="N482" s="2346">
        <v>15</v>
      </c>
      <c r="O482" s="2346">
        <v>16.149999999999999</v>
      </c>
      <c r="P482" s="2346">
        <v>16.920000000000002</v>
      </c>
      <c r="Q482" s="2346">
        <v>16.38</v>
      </c>
      <c r="R482" s="2346">
        <v>17.62</v>
      </c>
      <c r="S482" s="2346">
        <v>19.149999999999999</v>
      </c>
      <c r="T482" s="2346">
        <v>20.149999999999999</v>
      </c>
      <c r="U482" s="2346">
        <v>21.08</v>
      </c>
      <c r="V482" s="2346">
        <v>22.38</v>
      </c>
      <c r="W482" s="2346">
        <v>24.62</v>
      </c>
      <c r="X482" s="2346">
        <v>26.08</v>
      </c>
      <c r="Y482" s="2346">
        <v>28.62</v>
      </c>
      <c r="Z482" s="2346">
        <v>31.77</v>
      </c>
      <c r="AA482" s="2346">
        <v>35</v>
      </c>
      <c r="AB482" s="2346">
        <v>39</v>
      </c>
      <c r="AC482" s="2346">
        <v>44.38</v>
      </c>
      <c r="AD482" s="2346">
        <v>50.08</v>
      </c>
      <c r="AE482" s="2347">
        <v>775</v>
      </c>
      <c r="AF482" s="2275"/>
      <c r="AG482" s="2276">
        <f>HLOOKUP(AG475,D476:AD488,5,0)</f>
        <v>3.15</v>
      </c>
      <c r="AH482" s="2276">
        <f t="shared" si="358"/>
        <v>5.23</v>
      </c>
      <c r="AI482" s="2275">
        <v>650</v>
      </c>
      <c r="AJ482" s="2275"/>
      <c r="AK482" s="2275"/>
      <c r="AL482" s="2275"/>
      <c r="AM482" s="2275"/>
      <c r="AN482" s="2275"/>
      <c r="AO482" s="2275"/>
      <c r="AP482" s="2250"/>
      <c r="AQ482" s="2250"/>
      <c r="AR482" s="2250"/>
      <c r="AS482" s="2250"/>
      <c r="AT482" s="2250"/>
      <c r="AU482" s="2250"/>
      <c r="AV482" s="2250"/>
      <c r="AW482" s="2250"/>
      <c r="AX482" s="2250"/>
      <c r="AY482" s="2250"/>
      <c r="AZ482" s="2250"/>
      <c r="BA482" s="2250"/>
      <c r="BB482" s="2250"/>
      <c r="BC482" s="2250"/>
      <c r="BD482" s="2250"/>
      <c r="BE482" s="2250"/>
      <c r="BF482" s="2276"/>
      <c r="BG482" s="2276"/>
      <c r="BH482" s="2250"/>
      <c r="BI482" s="2275"/>
      <c r="BJ482" s="2275"/>
      <c r="BK482" s="2345">
        <v>775</v>
      </c>
      <c r="BL482" s="2346">
        <v>6.46</v>
      </c>
      <c r="BM482" s="2346">
        <v>7.31</v>
      </c>
      <c r="BN482" s="2346">
        <v>8.08</v>
      </c>
      <c r="BO482" s="2346">
        <v>9</v>
      </c>
      <c r="BP482" s="2346">
        <v>9.85</v>
      </c>
      <c r="BQ482" s="2346">
        <v>9.23</v>
      </c>
      <c r="BR482" s="2346">
        <v>10.23</v>
      </c>
      <c r="BS482" s="2346">
        <v>10.85</v>
      </c>
      <c r="BT482" s="2346">
        <v>11.92</v>
      </c>
      <c r="BU482" s="2346">
        <v>12.69</v>
      </c>
      <c r="BV482" s="2346">
        <v>15</v>
      </c>
      <c r="BW482" s="2346">
        <v>16.149999999999999</v>
      </c>
      <c r="BX482" s="2346">
        <v>16.920000000000002</v>
      </c>
      <c r="BY482" s="2346">
        <v>16.38</v>
      </c>
      <c r="BZ482" s="2346">
        <v>17.62</v>
      </c>
      <c r="CA482" s="2346">
        <v>19.149999999999999</v>
      </c>
      <c r="CB482" s="2346">
        <v>20.149999999999999</v>
      </c>
      <c r="CC482" s="2346">
        <v>21.08</v>
      </c>
      <c r="CD482" s="2346">
        <v>22.38</v>
      </c>
      <c r="CE482" s="2346">
        <v>24.62</v>
      </c>
      <c r="CF482" s="2346">
        <v>26.08</v>
      </c>
      <c r="CG482" s="2346">
        <v>28.62</v>
      </c>
      <c r="CH482" s="2346">
        <v>31.77</v>
      </c>
      <c r="CI482" s="2346">
        <v>35</v>
      </c>
      <c r="CJ482" s="2346">
        <v>39</v>
      </c>
      <c r="CK482" s="2346">
        <v>44.38</v>
      </c>
      <c r="CL482" s="2346">
        <v>50.08</v>
      </c>
      <c r="CM482" s="2347">
        <v>775</v>
      </c>
      <c r="CN482" s="2275"/>
      <c r="CO482" s="2276">
        <f>HLOOKUP(CO475,BL476:CL488,5,0)</f>
        <v>2.85</v>
      </c>
      <c r="CP482" s="2276">
        <f t="shared" si="359"/>
        <v>4.7699999999999996</v>
      </c>
      <c r="CQ482" s="2275">
        <v>650</v>
      </c>
      <c r="CR482" s="2275"/>
      <c r="CS482" s="2275"/>
      <c r="CT482" s="2275"/>
      <c r="CU482" s="2275"/>
      <c r="CV482" s="2275"/>
      <c r="CW482" s="2275"/>
      <c r="CX482" s="2250"/>
      <c r="CY482" s="2250"/>
      <c r="CZ482" s="2250"/>
      <c r="DA482" s="2250"/>
      <c r="DB482" s="2250"/>
      <c r="DC482" s="2250"/>
      <c r="DD482" s="2250"/>
      <c r="DE482" s="2250"/>
      <c r="DF482" s="2250"/>
      <c r="DG482" s="2250"/>
      <c r="DH482" s="2250"/>
      <c r="DI482" s="2250"/>
      <c r="DJ482" s="2250"/>
      <c r="DK482" s="2250"/>
      <c r="DL482" s="2250"/>
      <c r="DM482" s="2250"/>
      <c r="DN482" s="2250"/>
      <c r="DO482" s="53"/>
      <c r="DP482" s="53"/>
      <c r="DY482" s="2275"/>
      <c r="DZ482" s="2345">
        <v>775</v>
      </c>
      <c r="EA482" s="2346">
        <v>6.46</v>
      </c>
      <c r="EB482" s="2346">
        <v>7.31</v>
      </c>
      <c r="EC482" s="2346">
        <v>8.08</v>
      </c>
      <c r="ED482" s="2346">
        <v>9</v>
      </c>
      <c r="EE482" s="2346">
        <v>9.85</v>
      </c>
      <c r="EF482" s="2346">
        <v>9.23</v>
      </c>
      <c r="EG482" s="2346">
        <v>10.23</v>
      </c>
      <c r="EH482" s="2346">
        <v>10.85</v>
      </c>
      <c r="EI482" s="2346">
        <v>11.92</v>
      </c>
      <c r="EJ482" s="2346">
        <v>12.69</v>
      </c>
      <c r="EK482" s="2346">
        <v>15</v>
      </c>
      <c r="EL482" s="2346">
        <v>16.149999999999999</v>
      </c>
      <c r="EM482" s="2346">
        <v>16.920000000000002</v>
      </c>
      <c r="EN482" s="2346">
        <v>16.38</v>
      </c>
      <c r="EO482" s="2346">
        <v>17.62</v>
      </c>
      <c r="EP482" s="2346">
        <v>19.149999999999999</v>
      </c>
      <c r="EQ482" s="2346">
        <v>20.149999999999999</v>
      </c>
      <c r="ER482" s="2346">
        <v>21.08</v>
      </c>
      <c r="ES482" s="2346">
        <v>22.38</v>
      </c>
      <c r="ET482" s="2346">
        <v>24.62</v>
      </c>
      <c r="EU482" s="2346">
        <v>26.08</v>
      </c>
      <c r="EV482" s="2346">
        <v>28.62</v>
      </c>
      <c r="EW482" s="2346">
        <v>31.77</v>
      </c>
      <c r="EX482" s="2346">
        <v>35</v>
      </c>
      <c r="EY482" s="2346">
        <v>39</v>
      </c>
      <c r="EZ482" s="2346">
        <v>44.38</v>
      </c>
      <c r="FA482" s="2346">
        <v>50.08</v>
      </c>
      <c r="FB482" s="2347">
        <v>775</v>
      </c>
      <c r="FC482" s="2275"/>
      <c r="FD482" s="2276">
        <f>HLOOKUP(FD475,EA476:FA488,5,0)</f>
        <v>4.92</v>
      </c>
      <c r="FE482" s="2276">
        <f t="shared" si="360"/>
        <v>8.15</v>
      </c>
      <c r="FF482" s="2275">
        <v>650</v>
      </c>
      <c r="FG482" s="2275"/>
      <c r="FH482" s="2275"/>
      <c r="FI482" s="2275"/>
      <c r="FJ482" s="2275"/>
      <c r="FK482" s="2275"/>
      <c r="FL482" s="2275"/>
      <c r="FM482" s="2250"/>
      <c r="FN482" s="2250"/>
      <c r="FO482" s="2250"/>
      <c r="FP482" s="2250"/>
      <c r="FQ482" s="2250"/>
      <c r="FR482" s="2250"/>
      <c r="FS482" s="2250"/>
      <c r="FT482" s="2250"/>
      <c r="FU482" s="2250"/>
      <c r="FV482" s="2250"/>
      <c r="FW482" s="2250"/>
      <c r="FX482" s="2250"/>
      <c r="FY482" s="2250"/>
      <c r="FZ482" s="2250"/>
      <c r="GA482" s="2250"/>
      <c r="GB482" s="2250"/>
      <c r="GC482" s="2276"/>
      <c r="GD482" s="2276"/>
      <c r="GE482" s="2250"/>
      <c r="GF482" s="2275"/>
      <c r="GG482" s="2275"/>
      <c r="GH482" s="2345">
        <v>775</v>
      </c>
      <c r="GI482" s="2346">
        <v>6.46</v>
      </c>
      <c r="GJ482" s="2346">
        <v>7.31</v>
      </c>
      <c r="GK482" s="2346">
        <v>8.08</v>
      </c>
      <c r="GL482" s="2346">
        <v>9</v>
      </c>
      <c r="GM482" s="2346">
        <v>9.85</v>
      </c>
      <c r="GN482" s="2346">
        <v>9.23</v>
      </c>
      <c r="GO482" s="2346">
        <v>10.23</v>
      </c>
      <c r="GP482" s="2346">
        <v>10.85</v>
      </c>
      <c r="GQ482" s="2346">
        <v>11.92</v>
      </c>
      <c r="GR482" s="2346">
        <v>12.69</v>
      </c>
      <c r="GS482" s="2346">
        <v>15</v>
      </c>
      <c r="GT482" s="2346">
        <v>16.149999999999999</v>
      </c>
      <c r="GU482" s="2346">
        <v>16.920000000000002</v>
      </c>
      <c r="GV482" s="2346">
        <v>16.38</v>
      </c>
      <c r="GW482" s="2346">
        <v>17.62</v>
      </c>
      <c r="GX482" s="2346">
        <v>19.149999999999999</v>
      </c>
      <c r="GY482" s="2346">
        <v>20.149999999999999</v>
      </c>
      <c r="GZ482" s="2346">
        <v>21.08</v>
      </c>
      <c r="HA482" s="2346">
        <v>22.38</v>
      </c>
      <c r="HB482" s="2346">
        <v>24.62</v>
      </c>
      <c r="HC482" s="2346">
        <v>26.08</v>
      </c>
      <c r="HD482" s="2346">
        <v>28.62</v>
      </c>
      <c r="HE482" s="2346">
        <v>31.77</v>
      </c>
      <c r="HF482" s="2346">
        <v>35</v>
      </c>
      <c r="HG482" s="2346">
        <v>39</v>
      </c>
      <c r="HH482" s="2346">
        <v>44.38</v>
      </c>
      <c r="HI482" s="2346">
        <v>50.08</v>
      </c>
      <c r="HJ482" s="2347">
        <v>775</v>
      </c>
      <c r="HK482" s="2275"/>
      <c r="HL482" s="2276">
        <f>HLOOKUP(HL475,GI476:HI488,5,0)</f>
        <v>4.62</v>
      </c>
      <c r="HM482" s="2276">
        <f t="shared" si="361"/>
        <v>7.38</v>
      </c>
      <c r="HN482" s="2275">
        <v>650</v>
      </c>
      <c r="HO482" s="2275"/>
      <c r="HP482" s="2275"/>
      <c r="HQ482" s="2275"/>
      <c r="HR482" s="2275"/>
      <c r="HS482" s="2275"/>
      <c r="HT482" s="2275"/>
      <c r="HU482" s="2250"/>
      <c r="HV482" s="2250"/>
      <c r="HW482" s="2250"/>
      <c r="HX482" s="2250"/>
      <c r="HY482" s="2250"/>
      <c r="HZ482" s="2250"/>
      <c r="IA482" s="2250"/>
      <c r="IB482" s="2250"/>
      <c r="IC482" s="2250"/>
      <c r="ID482" s="2250"/>
      <c r="IE482" s="2250"/>
      <c r="IF482" s="2250"/>
      <c r="IG482" s="2250"/>
      <c r="IH482" s="2250"/>
      <c r="II482" s="2250"/>
      <c r="IJ482" s="2250"/>
      <c r="IK482" s="2250"/>
      <c r="IL482" s="53"/>
      <c r="IM482" s="53"/>
    </row>
    <row r="483" spans="2:247" ht="21.95" customHeight="1">
      <c r="B483" s="2275"/>
      <c r="C483" s="2345">
        <v>825</v>
      </c>
      <c r="D483" s="2346">
        <v>9.4600000000000009</v>
      </c>
      <c r="E483" s="2346">
        <v>10.38</v>
      </c>
      <c r="F483" s="2346">
        <v>11.31</v>
      </c>
      <c r="G483" s="2346">
        <v>11.38</v>
      </c>
      <c r="H483" s="2346">
        <v>12.62</v>
      </c>
      <c r="I483" s="2346">
        <v>12.92</v>
      </c>
      <c r="J483" s="2346">
        <v>14.15</v>
      </c>
      <c r="K483" s="2346">
        <v>15.15</v>
      </c>
      <c r="L483" s="2346">
        <v>16.079999999999998</v>
      </c>
      <c r="M483" s="2346">
        <v>17.079999999999998</v>
      </c>
      <c r="N483" s="2346">
        <v>18</v>
      </c>
      <c r="O483" s="2346">
        <v>20.149999999999999</v>
      </c>
      <c r="P483" s="2346">
        <v>21.08</v>
      </c>
      <c r="Q483" s="2346">
        <v>21.54</v>
      </c>
      <c r="R483" s="2346">
        <v>22.15</v>
      </c>
      <c r="S483" s="2346">
        <v>24.31</v>
      </c>
      <c r="T483" s="2346">
        <v>24.54</v>
      </c>
      <c r="U483" s="2346">
        <v>27.15</v>
      </c>
      <c r="V483" s="2346">
        <v>28.77</v>
      </c>
      <c r="W483" s="2346">
        <v>30.46</v>
      </c>
      <c r="X483" s="2346">
        <v>33</v>
      </c>
      <c r="Y483" s="2346">
        <v>35.69</v>
      </c>
      <c r="Z483" s="2346">
        <v>40.15</v>
      </c>
      <c r="AA483" s="2346">
        <v>44.62</v>
      </c>
      <c r="AB483" s="2346">
        <v>49.85</v>
      </c>
      <c r="AC483" s="2346">
        <v>54.15</v>
      </c>
      <c r="AD483" s="2346">
        <v>61.08</v>
      </c>
      <c r="AE483" s="2347">
        <v>825</v>
      </c>
      <c r="AF483" s="2275"/>
      <c r="AG483" s="2276">
        <f>HLOOKUP(AG475,D476:AD488,6,0)</f>
        <v>5.23</v>
      </c>
      <c r="AH483" s="2276">
        <f t="shared" si="358"/>
        <v>8.08</v>
      </c>
      <c r="AI483" s="2275">
        <v>775</v>
      </c>
      <c r="AJ483" s="2275"/>
      <c r="AK483" s="2275"/>
      <c r="AL483" s="2275"/>
      <c r="AM483" s="2275"/>
      <c r="AN483" s="2275"/>
      <c r="AO483" s="2275"/>
      <c r="AP483" s="2250"/>
      <c r="AQ483" s="2250"/>
      <c r="AR483" s="2250"/>
      <c r="AS483" s="2250"/>
      <c r="AT483" s="2250"/>
      <c r="AU483" s="2250"/>
      <c r="AV483" s="2250"/>
      <c r="AW483" s="2250"/>
      <c r="AX483" s="2250"/>
      <c r="AY483" s="2250"/>
      <c r="AZ483" s="2250"/>
      <c r="BA483" s="2250"/>
      <c r="BB483" s="2250"/>
      <c r="BC483" s="2250"/>
      <c r="BD483" s="2250"/>
      <c r="BE483" s="2250"/>
      <c r="BF483" s="2276"/>
      <c r="BG483" s="2276"/>
      <c r="BH483" s="2250"/>
      <c r="BI483" s="2275"/>
      <c r="BJ483" s="2275"/>
      <c r="BK483" s="2345">
        <v>825</v>
      </c>
      <c r="BL483" s="2346">
        <v>9.4600000000000009</v>
      </c>
      <c r="BM483" s="2346">
        <v>10.38</v>
      </c>
      <c r="BN483" s="2346">
        <v>11.31</v>
      </c>
      <c r="BO483" s="2346">
        <v>11.38</v>
      </c>
      <c r="BP483" s="2346">
        <v>12.62</v>
      </c>
      <c r="BQ483" s="2346">
        <v>12.92</v>
      </c>
      <c r="BR483" s="2346">
        <v>14.15</v>
      </c>
      <c r="BS483" s="2346">
        <v>15.15</v>
      </c>
      <c r="BT483" s="2346">
        <v>16.079999999999998</v>
      </c>
      <c r="BU483" s="2346">
        <v>17.079999999999998</v>
      </c>
      <c r="BV483" s="2346">
        <v>18</v>
      </c>
      <c r="BW483" s="2346">
        <v>20.149999999999999</v>
      </c>
      <c r="BX483" s="2346">
        <v>21.08</v>
      </c>
      <c r="BY483" s="2346">
        <v>21.54</v>
      </c>
      <c r="BZ483" s="2346">
        <v>22.15</v>
      </c>
      <c r="CA483" s="2346">
        <v>24.31</v>
      </c>
      <c r="CB483" s="2346">
        <v>24.54</v>
      </c>
      <c r="CC483" s="2346">
        <v>27.15</v>
      </c>
      <c r="CD483" s="2346">
        <v>28.77</v>
      </c>
      <c r="CE483" s="2346">
        <v>30.46</v>
      </c>
      <c r="CF483" s="2346">
        <v>33</v>
      </c>
      <c r="CG483" s="2346">
        <v>35.69</v>
      </c>
      <c r="CH483" s="2346">
        <v>40.15</v>
      </c>
      <c r="CI483" s="2346">
        <v>44.62</v>
      </c>
      <c r="CJ483" s="2346">
        <v>49.85</v>
      </c>
      <c r="CK483" s="2346">
        <v>54.15</v>
      </c>
      <c r="CL483" s="2346">
        <v>61.08</v>
      </c>
      <c r="CM483" s="2347">
        <v>825</v>
      </c>
      <c r="CN483" s="2275"/>
      <c r="CO483" s="2276">
        <f>HLOOKUP(CO475,BL476:CL488,6,0)</f>
        <v>4.7699999999999996</v>
      </c>
      <c r="CP483" s="2276">
        <f t="shared" si="359"/>
        <v>7.31</v>
      </c>
      <c r="CQ483" s="2275">
        <v>775</v>
      </c>
      <c r="CR483" s="2275"/>
      <c r="CS483" s="2275"/>
      <c r="CT483" s="2275"/>
      <c r="CU483" s="2275"/>
      <c r="CV483" s="2275"/>
      <c r="CW483" s="2275"/>
      <c r="CX483" s="2250"/>
      <c r="CY483" s="2250"/>
      <c r="CZ483" s="2250"/>
      <c r="DA483" s="2250"/>
      <c r="DB483" s="2250"/>
      <c r="DC483" s="2250"/>
      <c r="DD483" s="2250"/>
      <c r="DE483" s="2250"/>
      <c r="DF483" s="2250"/>
      <c r="DG483" s="2250"/>
      <c r="DH483" s="2250"/>
      <c r="DI483" s="2250"/>
      <c r="DJ483" s="2250"/>
      <c r="DK483" s="2250"/>
      <c r="DL483" s="2250"/>
      <c r="DM483" s="2250"/>
      <c r="DN483" s="2250"/>
      <c r="DO483" s="53"/>
      <c r="DP483" s="53"/>
      <c r="DY483" s="2275"/>
      <c r="DZ483" s="2345">
        <v>825</v>
      </c>
      <c r="EA483" s="2346">
        <v>9.4600000000000009</v>
      </c>
      <c r="EB483" s="2346">
        <v>10.38</v>
      </c>
      <c r="EC483" s="2346">
        <v>11.31</v>
      </c>
      <c r="ED483" s="2346">
        <v>11.38</v>
      </c>
      <c r="EE483" s="2346">
        <v>12.62</v>
      </c>
      <c r="EF483" s="2346">
        <v>12.92</v>
      </c>
      <c r="EG483" s="2346">
        <v>14.15</v>
      </c>
      <c r="EH483" s="2346">
        <v>15.15</v>
      </c>
      <c r="EI483" s="2346">
        <v>16.079999999999998</v>
      </c>
      <c r="EJ483" s="2346">
        <v>17.079999999999998</v>
      </c>
      <c r="EK483" s="2346">
        <v>18</v>
      </c>
      <c r="EL483" s="2346">
        <v>20.149999999999999</v>
      </c>
      <c r="EM483" s="2346">
        <v>21.08</v>
      </c>
      <c r="EN483" s="2346">
        <v>21.54</v>
      </c>
      <c r="EO483" s="2346">
        <v>22.15</v>
      </c>
      <c r="EP483" s="2346">
        <v>24.31</v>
      </c>
      <c r="EQ483" s="2346">
        <v>24.54</v>
      </c>
      <c r="ER483" s="2346">
        <v>27.15</v>
      </c>
      <c r="ES483" s="2346">
        <v>28.77</v>
      </c>
      <c r="ET483" s="2346">
        <v>30.46</v>
      </c>
      <c r="EU483" s="2346">
        <v>33</v>
      </c>
      <c r="EV483" s="2346">
        <v>35.69</v>
      </c>
      <c r="EW483" s="2346">
        <v>40.15</v>
      </c>
      <c r="EX483" s="2346">
        <v>44.62</v>
      </c>
      <c r="EY483" s="2346">
        <v>49.85</v>
      </c>
      <c r="EZ483" s="2346">
        <v>54.15</v>
      </c>
      <c r="FA483" s="2346">
        <v>61.08</v>
      </c>
      <c r="FB483" s="2347">
        <v>825</v>
      </c>
      <c r="FC483" s="2275"/>
      <c r="FD483" s="2276">
        <f>HLOOKUP(FD475,EA476:FA488,6,0)</f>
        <v>8.15</v>
      </c>
      <c r="FE483" s="2276">
        <f t="shared" si="360"/>
        <v>12.69</v>
      </c>
      <c r="FF483" s="2275">
        <v>775</v>
      </c>
      <c r="FG483" s="2275"/>
      <c r="FH483" s="2275"/>
      <c r="FI483" s="2275"/>
      <c r="FJ483" s="2275"/>
      <c r="FK483" s="2275"/>
      <c r="FL483" s="2275"/>
      <c r="FM483" s="2250"/>
      <c r="FN483" s="2250"/>
      <c r="FO483" s="2250"/>
      <c r="FP483" s="2250"/>
      <c r="FQ483" s="2250"/>
      <c r="FR483" s="2250"/>
      <c r="FS483" s="2250"/>
      <c r="FT483" s="2250"/>
      <c r="FU483" s="2250"/>
      <c r="FV483" s="2250"/>
      <c r="FW483" s="2250"/>
      <c r="FX483" s="2250"/>
      <c r="FY483" s="2250"/>
      <c r="FZ483" s="2250"/>
      <c r="GA483" s="2250"/>
      <c r="GB483" s="2250"/>
      <c r="GC483" s="2276"/>
      <c r="GD483" s="2276"/>
      <c r="GE483" s="2250"/>
      <c r="GF483" s="2275"/>
      <c r="GG483" s="2275"/>
      <c r="GH483" s="2345">
        <v>825</v>
      </c>
      <c r="GI483" s="2346">
        <v>9.4600000000000009</v>
      </c>
      <c r="GJ483" s="2346">
        <v>10.38</v>
      </c>
      <c r="GK483" s="2346">
        <v>11.31</v>
      </c>
      <c r="GL483" s="2346">
        <v>11.38</v>
      </c>
      <c r="GM483" s="2346">
        <v>12.62</v>
      </c>
      <c r="GN483" s="2346">
        <v>12.92</v>
      </c>
      <c r="GO483" s="2346">
        <v>14.15</v>
      </c>
      <c r="GP483" s="2346">
        <v>15.15</v>
      </c>
      <c r="GQ483" s="2346">
        <v>16.079999999999998</v>
      </c>
      <c r="GR483" s="2346">
        <v>17.079999999999998</v>
      </c>
      <c r="GS483" s="2346">
        <v>18</v>
      </c>
      <c r="GT483" s="2346">
        <v>20.149999999999999</v>
      </c>
      <c r="GU483" s="2346">
        <v>21.08</v>
      </c>
      <c r="GV483" s="2346">
        <v>21.54</v>
      </c>
      <c r="GW483" s="2346">
        <v>22.15</v>
      </c>
      <c r="GX483" s="2346">
        <v>24.31</v>
      </c>
      <c r="GY483" s="2346">
        <v>24.54</v>
      </c>
      <c r="GZ483" s="2346">
        <v>27.15</v>
      </c>
      <c r="HA483" s="2346">
        <v>28.77</v>
      </c>
      <c r="HB483" s="2346">
        <v>30.46</v>
      </c>
      <c r="HC483" s="2346">
        <v>33</v>
      </c>
      <c r="HD483" s="2346">
        <v>35.69</v>
      </c>
      <c r="HE483" s="2346">
        <v>40.15</v>
      </c>
      <c r="HF483" s="2346">
        <v>44.62</v>
      </c>
      <c r="HG483" s="2346">
        <v>49.85</v>
      </c>
      <c r="HH483" s="2346">
        <v>54.15</v>
      </c>
      <c r="HI483" s="2346">
        <v>61.08</v>
      </c>
      <c r="HJ483" s="2347">
        <v>825</v>
      </c>
      <c r="HK483" s="2275"/>
      <c r="HL483" s="2276">
        <f>HLOOKUP(HL475,GI476:HI488,6,0)</f>
        <v>7.38</v>
      </c>
      <c r="HM483" s="2276">
        <f t="shared" si="361"/>
        <v>11.92</v>
      </c>
      <c r="HN483" s="2275">
        <v>775</v>
      </c>
      <c r="HO483" s="2275"/>
      <c r="HP483" s="2275"/>
      <c r="HQ483" s="2275"/>
      <c r="HR483" s="2275"/>
      <c r="HS483" s="2275"/>
      <c r="HT483" s="2275"/>
      <c r="HU483" s="2250"/>
      <c r="HV483" s="2250"/>
      <c r="HW483" s="2250"/>
      <c r="HX483" s="2250"/>
      <c r="HY483" s="2250"/>
      <c r="HZ483" s="2250"/>
      <c r="IA483" s="2250"/>
      <c r="IB483" s="2250"/>
      <c r="IC483" s="2250"/>
      <c r="ID483" s="2250"/>
      <c r="IE483" s="2250"/>
      <c r="IF483" s="2250"/>
      <c r="IG483" s="2250"/>
      <c r="IH483" s="2250"/>
      <c r="II483" s="2250"/>
      <c r="IJ483" s="2250"/>
      <c r="IK483" s="2250"/>
      <c r="IL483" s="53"/>
      <c r="IM483" s="53"/>
    </row>
    <row r="484" spans="2:247" ht="21.95" customHeight="1">
      <c r="B484" s="2275"/>
      <c r="C484" s="2345">
        <v>950</v>
      </c>
      <c r="D484" s="2346">
        <v>13.15</v>
      </c>
      <c r="E484" s="2346">
        <v>14.77</v>
      </c>
      <c r="F484" s="2346">
        <v>16.38</v>
      </c>
      <c r="G484" s="2346">
        <v>17.309999999999999</v>
      </c>
      <c r="H484" s="2346">
        <v>17.309999999999999</v>
      </c>
      <c r="I484" s="2346">
        <v>18.62</v>
      </c>
      <c r="J484" s="2346">
        <v>20.62</v>
      </c>
      <c r="K484" s="2346">
        <v>22</v>
      </c>
      <c r="L484" s="2346">
        <v>23.38</v>
      </c>
      <c r="M484" s="2346">
        <v>25.46</v>
      </c>
      <c r="N484" s="2346">
        <v>26</v>
      </c>
      <c r="O484" s="2346">
        <v>30.46</v>
      </c>
      <c r="P484" s="2346">
        <v>30.62</v>
      </c>
      <c r="Q484" s="2346">
        <v>30.85</v>
      </c>
      <c r="R484" s="2346">
        <v>32.46</v>
      </c>
      <c r="S484" s="2346">
        <v>35.380000000000003</v>
      </c>
      <c r="T484" s="2346">
        <v>37.85</v>
      </c>
      <c r="U484" s="2346">
        <v>39.770000000000003</v>
      </c>
      <c r="V484" s="2346">
        <v>41.77</v>
      </c>
      <c r="W484" s="2346">
        <v>45.85</v>
      </c>
      <c r="X484" s="2346">
        <v>49.31</v>
      </c>
      <c r="Y484" s="2346">
        <v>53.54</v>
      </c>
      <c r="Z484" s="2346">
        <v>58</v>
      </c>
      <c r="AA484" s="2346">
        <v>63.69</v>
      </c>
      <c r="AB484" s="2346">
        <v>70.08</v>
      </c>
      <c r="AC484" s="2346">
        <v>77.23</v>
      </c>
      <c r="AD484" s="2346">
        <v>91.15</v>
      </c>
      <c r="AE484" s="2347">
        <v>950</v>
      </c>
      <c r="AF484" s="2275"/>
      <c r="AG484" s="2276">
        <f>HLOOKUP(AG475,D476:AD488,7,0)</f>
        <v>8.08</v>
      </c>
      <c r="AH484" s="2276">
        <f t="shared" si="358"/>
        <v>11.31</v>
      </c>
      <c r="AI484" s="2275">
        <v>825</v>
      </c>
      <c r="AJ484" s="2275"/>
      <c r="AK484" s="2275"/>
      <c r="AL484" s="2275"/>
      <c r="AM484" s="2275"/>
      <c r="AN484" s="2275"/>
      <c r="AO484" s="2275"/>
      <c r="AP484" s="2250"/>
      <c r="AQ484" s="2250"/>
      <c r="AR484" s="2250"/>
      <c r="AS484" s="2250"/>
      <c r="AT484" s="2250"/>
      <c r="AU484" s="2250"/>
      <c r="AV484" s="2250"/>
      <c r="AW484" s="2250"/>
      <c r="AX484" s="2250"/>
      <c r="AY484" s="2250"/>
      <c r="AZ484" s="2250"/>
      <c r="BA484" s="2250"/>
      <c r="BB484" s="2250"/>
      <c r="BC484" s="2250"/>
      <c r="BD484" s="2250"/>
      <c r="BE484" s="2250"/>
      <c r="BF484" s="2276"/>
      <c r="BG484" s="2276"/>
      <c r="BH484" s="2250"/>
      <c r="BI484" s="2275"/>
      <c r="BJ484" s="2275"/>
      <c r="BK484" s="2345">
        <v>950</v>
      </c>
      <c r="BL484" s="2346">
        <v>13.15</v>
      </c>
      <c r="BM484" s="2346">
        <v>14.77</v>
      </c>
      <c r="BN484" s="2346">
        <v>16.38</v>
      </c>
      <c r="BO484" s="2346">
        <v>17.309999999999999</v>
      </c>
      <c r="BP484" s="2346">
        <v>17.309999999999999</v>
      </c>
      <c r="BQ484" s="2346">
        <v>18.62</v>
      </c>
      <c r="BR484" s="2346">
        <v>20.62</v>
      </c>
      <c r="BS484" s="2346">
        <v>22</v>
      </c>
      <c r="BT484" s="2346">
        <v>23.38</v>
      </c>
      <c r="BU484" s="2346">
        <v>25.46</v>
      </c>
      <c r="BV484" s="2346">
        <v>26</v>
      </c>
      <c r="BW484" s="2346">
        <v>30.46</v>
      </c>
      <c r="BX484" s="2346">
        <v>30.62</v>
      </c>
      <c r="BY484" s="2346">
        <v>30.85</v>
      </c>
      <c r="BZ484" s="2346">
        <v>32.46</v>
      </c>
      <c r="CA484" s="2346">
        <v>35.380000000000003</v>
      </c>
      <c r="CB484" s="2346">
        <v>37.85</v>
      </c>
      <c r="CC484" s="2346">
        <v>39.770000000000003</v>
      </c>
      <c r="CD484" s="2346">
        <v>41.77</v>
      </c>
      <c r="CE484" s="2346">
        <v>45.85</v>
      </c>
      <c r="CF484" s="2346">
        <v>49.31</v>
      </c>
      <c r="CG484" s="2346">
        <v>53.54</v>
      </c>
      <c r="CH484" s="2346">
        <v>58</v>
      </c>
      <c r="CI484" s="2346">
        <v>63.69</v>
      </c>
      <c r="CJ484" s="2346">
        <v>70.08</v>
      </c>
      <c r="CK484" s="2346">
        <v>77.23</v>
      </c>
      <c r="CL484" s="2346">
        <v>91.15</v>
      </c>
      <c r="CM484" s="2347">
        <v>950</v>
      </c>
      <c r="CN484" s="2275"/>
      <c r="CO484" s="2276">
        <f>HLOOKUP(CO475,BL476:CL488,7,0)</f>
        <v>7.31</v>
      </c>
      <c r="CP484" s="2276">
        <f t="shared" si="359"/>
        <v>10.38</v>
      </c>
      <c r="CQ484" s="2275">
        <v>825</v>
      </c>
      <c r="CR484" s="2275"/>
      <c r="CS484" s="2275"/>
      <c r="CT484" s="2275"/>
      <c r="CU484" s="2275"/>
      <c r="CV484" s="2275"/>
      <c r="CW484" s="2275"/>
      <c r="CX484" s="2250"/>
      <c r="CY484" s="2250"/>
      <c r="CZ484" s="2250"/>
      <c r="DA484" s="2250"/>
      <c r="DB484" s="2250"/>
      <c r="DC484" s="2250"/>
      <c r="DD484" s="2250"/>
      <c r="DE484" s="2250"/>
      <c r="DF484" s="2250"/>
      <c r="DG484" s="2250"/>
      <c r="DH484" s="2250"/>
      <c r="DI484" s="2250"/>
      <c r="DJ484" s="2250"/>
      <c r="DK484" s="2250"/>
      <c r="DL484" s="2250"/>
      <c r="DM484" s="2250"/>
      <c r="DN484" s="2250"/>
      <c r="DO484" s="53"/>
      <c r="DP484" s="53"/>
      <c r="DY484" s="2275"/>
      <c r="DZ484" s="2345">
        <v>950</v>
      </c>
      <c r="EA484" s="2346">
        <v>13.15</v>
      </c>
      <c r="EB484" s="2346">
        <v>14.77</v>
      </c>
      <c r="EC484" s="2346">
        <v>16.38</v>
      </c>
      <c r="ED484" s="2346">
        <v>17.309999999999999</v>
      </c>
      <c r="EE484" s="2346">
        <v>17.309999999999999</v>
      </c>
      <c r="EF484" s="2346">
        <v>18.62</v>
      </c>
      <c r="EG484" s="2346">
        <v>20.62</v>
      </c>
      <c r="EH484" s="2346">
        <v>22</v>
      </c>
      <c r="EI484" s="2346">
        <v>23.38</v>
      </c>
      <c r="EJ484" s="2346">
        <v>25.46</v>
      </c>
      <c r="EK484" s="2346">
        <v>26</v>
      </c>
      <c r="EL484" s="2346">
        <v>30.46</v>
      </c>
      <c r="EM484" s="2346">
        <v>30.62</v>
      </c>
      <c r="EN484" s="2346">
        <v>30.85</v>
      </c>
      <c r="EO484" s="2346">
        <v>32.46</v>
      </c>
      <c r="EP484" s="2346">
        <v>35.380000000000003</v>
      </c>
      <c r="EQ484" s="2346">
        <v>37.85</v>
      </c>
      <c r="ER484" s="2346">
        <v>39.770000000000003</v>
      </c>
      <c r="ES484" s="2346">
        <v>41.77</v>
      </c>
      <c r="ET484" s="2346">
        <v>45.85</v>
      </c>
      <c r="EU484" s="2346">
        <v>49.31</v>
      </c>
      <c r="EV484" s="2346">
        <v>53.54</v>
      </c>
      <c r="EW484" s="2346">
        <v>58</v>
      </c>
      <c r="EX484" s="2346">
        <v>63.69</v>
      </c>
      <c r="EY484" s="2346">
        <v>70.08</v>
      </c>
      <c r="EZ484" s="2346">
        <v>77.23</v>
      </c>
      <c r="FA484" s="2346">
        <v>91.15</v>
      </c>
      <c r="FB484" s="2347">
        <v>950</v>
      </c>
      <c r="FC484" s="2275"/>
      <c r="FD484" s="2276">
        <f>HLOOKUP(FD475,EA476:FA488,7,0)</f>
        <v>12.69</v>
      </c>
      <c r="FE484" s="2276">
        <f t="shared" si="360"/>
        <v>17.079999999999998</v>
      </c>
      <c r="FF484" s="2275">
        <v>825</v>
      </c>
      <c r="FG484" s="2275"/>
      <c r="FH484" s="2275"/>
      <c r="FI484" s="2275"/>
      <c r="FJ484" s="2275"/>
      <c r="FK484" s="2275"/>
      <c r="FL484" s="2275"/>
      <c r="FM484" s="2250"/>
      <c r="FN484" s="2250"/>
      <c r="FO484" s="2250"/>
      <c r="FP484" s="2250"/>
      <c r="FQ484" s="2250"/>
      <c r="FR484" s="2250"/>
      <c r="FS484" s="2250"/>
      <c r="FT484" s="2250"/>
      <c r="FU484" s="2250"/>
      <c r="FV484" s="2250"/>
      <c r="FW484" s="2250"/>
      <c r="FX484" s="2250"/>
      <c r="FY484" s="2250"/>
      <c r="FZ484" s="2250"/>
      <c r="GA484" s="2250"/>
      <c r="GB484" s="2250"/>
      <c r="GC484" s="2276"/>
      <c r="GD484" s="2276"/>
      <c r="GE484" s="2250"/>
      <c r="GF484" s="2275"/>
      <c r="GG484" s="2275"/>
      <c r="GH484" s="2345">
        <v>950</v>
      </c>
      <c r="GI484" s="2346">
        <v>13.15</v>
      </c>
      <c r="GJ484" s="2346">
        <v>14.77</v>
      </c>
      <c r="GK484" s="2346">
        <v>16.38</v>
      </c>
      <c r="GL484" s="2346">
        <v>17.309999999999999</v>
      </c>
      <c r="GM484" s="2346">
        <v>17.309999999999999</v>
      </c>
      <c r="GN484" s="2346">
        <v>18.62</v>
      </c>
      <c r="GO484" s="2346">
        <v>20.62</v>
      </c>
      <c r="GP484" s="2346">
        <v>22</v>
      </c>
      <c r="GQ484" s="2346">
        <v>23.38</v>
      </c>
      <c r="GR484" s="2346">
        <v>25.46</v>
      </c>
      <c r="GS484" s="2346">
        <v>26</v>
      </c>
      <c r="GT484" s="2346">
        <v>30.46</v>
      </c>
      <c r="GU484" s="2346">
        <v>30.62</v>
      </c>
      <c r="GV484" s="2346">
        <v>30.85</v>
      </c>
      <c r="GW484" s="2346">
        <v>32.46</v>
      </c>
      <c r="GX484" s="2346">
        <v>35.380000000000003</v>
      </c>
      <c r="GY484" s="2346">
        <v>37.85</v>
      </c>
      <c r="GZ484" s="2346">
        <v>39.770000000000003</v>
      </c>
      <c r="HA484" s="2346">
        <v>41.77</v>
      </c>
      <c r="HB484" s="2346">
        <v>45.85</v>
      </c>
      <c r="HC484" s="2346">
        <v>49.31</v>
      </c>
      <c r="HD484" s="2346">
        <v>53.54</v>
      </c>
      <c r="HE484" s="2346">
        <v>58</v>
      </c>
      <c r="HF484" s="2346">
        <v>63.69</v>
      </c>
      <c r="HG484" s="2346">
        <v>70.08</v>
      </c>
      <c r="HH484" s="2346">
        <v>77.23</v>
      </c>
      <c r="HI484" s="2346">
        <v>91.15</v>
      </c>
      <c r="HJ484" s="2347">
        <v>950</v>
      </c>
      <c r="HK484" s="2275"/>
      <c r="HL484" s="2276">
        <f>HLOOKUP(HL475,GI476:HI488,7,0)</f>
        <v>11.92</v>
      </c>
      <c r="HM484" s="2276">
        <f t="shared" si="361"/>
        <v>16.079999999999998</v>
      </c>
      <c r="HN484" s="2275">
        <v>825</v>
      </c>
      <c r="HO484" s="2275"/>
      <c r="HP484" s="2275"/>
      <c r="HQ484" s="2275"/>
      <c r="HR484" s="2275"/>
      <c r="HS484" s="2275"/>
      <c r="HT484" s="2275"/>
      <c r="HU484" s="2250"/>
      <c r="HV484" s="2250"/>
      <c r="HW484" s="2250"/>
      <c r="HX484" s="2250"/>
      <c r="HY484" s="2250"/>
      <c r="HZ484" s="2250"/>
      <c r="IA484" s="2250"/>
      <c r="IB484" s="2250"/>
      <c r="IC484" s="2250"/>
      <c r="ID484" s="2250"/>
      <c r="IE484" s="2250"/>
      <c r="IF484" s="2250"/>
      <c r="IG484" s="2250"/>
      <c r="IH484" s="2250"/>
      <c r="II484" s="2250"/>
      <c r="IJ484" s="2250"/>
      <c r="IK484" s="2250"/>
      <c r="IL484" s="53"/>
      <c r="IM484" s="53"/>
    </row>
    <row r="485" spans="2:247" ht="21.95" customHeight="1">
      <c r="B485" s="2275"/>
      <c r="C485" s="2345">
        <v>1100</v>
      </c>
      <c r="D485" s="2346">
        <v>17.62</v>
      </c>
      <c r="E485" s="2346">
        <v>19.850000000000001</v>
      </c>
      <c r="F485" s="2346">
        <v>22</v>
      </c>
      <c r="G485" s="2346">
        <v>24.38</v>
      </c>
      <c r="H485" s="2346">
        <v>26.62</v>
      </c>
      <c r="I485" s="2346">
        <v>25.08</v>
      </c>
      <c r="J485" s="2346">
        <v>27.77</v>
      </c>
      <c r="K485" s="2346">
        <v>30.38</v>
      </c>
      <c r="L485" s="2346">
        <v>32.380000000000003</v>
      </c>
      <c r="M485" s="2346">
        <v>34.380000000000003</v>
      </c>
      <c r="N485" s="2346">
        <v>40.31</v>
      </c>
      <c r="O485" s="2346">
        <v>43</v>
      </c>
      <c r="P485" s="2346">
        <v>45.85</v>
      </c>
      <c r="Q485" s="2346">
        <v>44.54</v>
      </c>
      <c r="R485" s="2346">
        <v>47.77</v>
      </c>
      <c r="S485" s="2346">
        <v>50.38</v>
      </c>
      <c r="T485" s="2346">
        <v>54.77</v>
      </c>
      <c r="U485" s="2346">
        <v>57.23</v>
      </c>
      <c r="V485" s="2346">
        <v>60.69</v>
      </c>
      <c r="W485" s="2346">
        <v>67.23</v>
      </c>
      <c r="X485" s="2346">
        <v>70.849999999999994</v>
      </c>
      <c r="Y485" s="2346">
        <v>77.69</v>
      </c>
      <c r="Z485" s="2346">
        <v>85.15</v>
      </c>
      <c r="AA485" s="2346">
        <v>101.92</v>
      </c>
      <c r="AB485" s="2346">
        <v>104</v>
      </c>
      <c r="AC485" s="2346">
        <v>120.54</v>
      </c>
      <c r="AD485" s="2346">
        <v>136</v>
      </c>
      <c r="AE485" s="2347">
        <v>1100</v>
      </c>
      <c r="AF485" s="2275"/>
      <c r="AG485" s="2276">
        <f>HLOOKUP(AG475,D476:AD488,8,0)</f>
        <v>11.31</v>
      </c>
      <c r="AH485" s="2276">
        <f t="shared" si="358"/>
        <v>16.38</v>
      </c>
      <c r="AI485" s="2275">
        <v>950</v>
      </c>
      <c r="AJ485" s="2275"/>
      <c r="AK485" s="2275"/>
      <c r="AL485" s="2275"/>
      <c r="AM485" s="2275"/>
      <c r="AN485" s="2275"/>
      <c r="AO485" s="2275"/>
      <c r="AP485" s="2250"/>
      <c r="AQ485" s="2250"/>
      <c r="AR485" s="2250"/>
      <c r="AS485" s="2250"/>
      <c r="AT485" s="2250"/>
      <c r="AU485" s="2250"/>
      <c r="AV485" s="2250"/>
      <c r="AW485" s="2250"/>
      <c r="AX485" s="2250"/>
      <c r="AY485" s="2250"/>
      <c r="AZ485" s="2250"/>
      <c r="BA485" s="2250"/>
      <c r="BB485" s="2250"/>
      <c r="BC485" s="2250"/>
      <c r="BD485" s="2250"/>
      <c r="BE485" s="2250"/>
      <c r="BF485" s="2276"/>
      <c r="BG485" s="2276"/>
      <c r="BH485" s="2250"/>
      <c r="BI485" s="2275"/>
      <c r="BJ485" s="2275"/>
      <c r="BK485" s="2345">
        <v>1100</v>
      </c>
      <c r="BL485" s="2346">
        <v>17.62</v>
      </c>
      <c r="BM485" s="2346">
        <v>19.850000000000001</v>
      </c>
      <c r="BN485" s="2346">
        <v>22</v>
      </c>
      <c r="BO485" s="2346">
        <v>24.38</v>
      </c>
      <c r="BP485" s="2346">
        <v>26.62</v>
      </c>
      <c r="BQ485" s="2346">
        <v>25.08</v>
      </c>
      <c r="BR485" s="2346">
        <v>27.77</v>
      </c>
      <c r="BS485" s="2346">
        <v>30.38</v>
      </c>
      <c r="BT485" s="2346">
        <v>32.380000000000003</v>
      </c>
      <c r="BU485" s="2346">
        <v>34.380000000000003</v>
      </c>
      <c r="BV485" s="2346">
        <v>40.31</v>
      </c>
      <c r="BW485" s="2346">
        <v>43</v>
      </c>
      <c r="BX485" s="2346">
        <v>45.85</v>
      </c>
      <c r="BY485" s="2346">
        <v>44.54</v>
      </c>
      <c r="BZ485" s="2346">
        <v>47.77</v>
      </c>
      <c r="CA485" s="2346">
        <v>50.38</v>
      </c>
      <c r="CB485" s="2346">
        <v>54.77</v>
      </c>
      <c r="CC485" s="2346">
        <v>57.23</v>
      </c>
      <c r="CD485" s="2346">
        <v>60.69</v>
      </c>
      <c r="CE485" s="2346">
        <v>67.23</v>
      </c>
      <c r="CF485" s="2346">
        <v>70.849999999999994</v>
      </c>
      <c r="CG485" s="2346">
        <v>77.69</v>
      </c>
      <c r="CH485" s="2346">
        <v>85.15</v>
      </c>
      <c r="CI485" s="2346">
        <v>101.92</v>
      </c>
      <c r="CJ485" s="2346">
        <v>104</v>
      </c>
      <c r="CK485" s="2346">
        <v>120.54</v>
      </c>
      <c r="CL485" s="2346">
        <v>136</v>
      </c>
      <c r="CM485" s="2347">
        <v>1100</v>
      </c>
      <c r="CN485" s="2275"/>
      <c r="CO485" s="2276">
        <f>HLOOKUP(CO475,BL476:CL488,8,0)</f>
        <v>10.38</v>
      </c>
      <c r="CP485" s="2276">
        <f t="shared" si="359"/>
        <v>14.77</v>
      </c>
      <c r="CQ485" s="2275">
        <v>950</v>
      </c>
      <c r="CR485" s="2275"/>
      <c r="CS485" s="2275"/>
      <c r="CT485" s="2275"/>
      <c r="CU485" s="2275"/>
      <c r="CV485" s="2275"/>
      <c r="CW485" s="2275"/>
      <c r="CX485" s="2250"/>
      <c r="CY485" s="2250"/>
      <c r="CZ485" s="2250"/>
      <c r="DA485" s="2250"/>
      <c r="DB485" s="2250"/>
      <c r="DC485" s="2250"/>
      <c r="DD485" s="2250"/>
      <c r="DE485" s="2250"/>
      <c r="DF485" s="2250"/>
      <c r="DG485" s="2250"/>
      <c r="DH485" s="2250"/>
      <c r="DI485" s="2250"/>
      <c r="DJ485" s="2250"/>
      <c r="DK485" s="2250"/>
      <c r="DL485" s="2250"/>
      <c r="DM485" s="2250"/>
      <c r="DN485" s="2250"/>
      <c r="DO485" s="53"/>
      <c r="DP485" s="53"/>
      <c r="DY485" s="2275"/>
      <c r="DZ485" s="2345">
        <v>1100</v>
      </c>
      <c r="EA485" s="2346">
        <v>17.62</v>
      </c>
      <c r="EB485" s="2346">
        <v>19.850000000000001</v>
      </c>
      <c r="EC485" s="2346">
        <v>22</v>
      </c>
      <c r="ED485" s="2346">
        <v>24.38</v>
      </c>
      <c r="EE485" s="2346">
        <v>26.62</v>
      </c>
      <c r="EF485" s="2346">
        <v>25.08</v>
      </c>
      <c r="EG485" s="2346">
        <v>27.77</v>
      </c>
      <c r="EH485" s="2346">
        <v>30.38</v>
      </c>
      <c r="EI485" s="2346">
        <v>32.380000000000003</v>
      </c>
      <c r="EJ485" s="2346">
        <v>34.380000000000003</v>
      </c>
      <c r="EK485" s="2346">
        <v>40.31</v>
      </c>
      <c r="EL485" s="2346">
        <v>43</v>
      </c>
      <c r="EM485" s="2346">
        <v>45.85</v>
      </c>
      <c r="EN485" s="2346">
        <v>44.54</v>
      </c>
      <c r="EO485" s="2346">
        <v>47.77</v>
      </c>
      <c r="EP485" s="2346">
        <v>50.38</v>
      </c>
      <c r="EQ485" s="2346">
        <v>54.77</v>
      </c>
      <c r="ER485" s="2346">
        <v>57.23</v>
      </c>
      <c r="ES485" s="2346">
        <v>60.69</v>
      </c>
      <c r="ET485" s="2346">
        <v>67.23</v>
      </c>
      <c r="EU485" s="2346">
        <v>70.849999999999994</v>
      </c>
      <c r="EV485" s="2346">
        <v>77.69</v>
      </c>
      <c r="EW485" s="2346">
        <v>85.15</v>
      </c>
      <c r="EX485" s="2346">
        <v>101.92</v>
      </c>
      <c r="EY485" s="2346">
        <v>104</v>
      </c>
      <c r="EZ485" s="2346">
        <v>120.54</v>
      </c>
      <c r="FA485" s="2346">
        <v>136</v>
      </c>
      <c r="FB485" s="2347">
        <v>1100</v>
      </c>
      <c r="FC485" s="2275"/>
      <c r="FD485" s="2276">
        <f>HLOOKUP(FD475,EA476:FA488,8,0)</f>
        <v>17.079999999999998</v>
      </c>
      <c r="FE485" s="2276">
        <f t="shared" si="360"/>
        <v>25.46</v>
      </c>
      <c r="FF485" s="2275">
        <v>950</v>
      </c>
      <c r="FG485" s="2275"/>
      <c r="FH485" s="2275"/>
      <c r="FI485" s="2275"/>
      <c r="FJ485" s="2275"/>
      <c r="FK485" s="2275"/>
      <c r="FL485" s="2275"/>
      <c r="FM485" s="2250"/>
      <c r="FN485" s="2250"/>
      <c r="FO485" s="2250"/>
      <c r="FP485" s="2250"/>
      <c r="FQ485" s="2250"/>
      <c r="FR485" s="2250"/>
      <c r="FS485" s="2250"/>
      <c r="FT485" s="2250"/>
      <c r="FU485" s="2250"/>
      <c r="FV485" s="2250"/>
      <c r="FW485" s="2250"/>
      <c r="FX485" s="2250"/>
      <c r="FY485" s="2250"/>
      <c r="FZ485" s="2250"/>
      <c r="GA485" s="2250"/>
      <c r="GB485" s="2250"/>
      <c r="GC485" s="2276"/>
      <c r="GD485" s="2276"/>
      <c r="GE485" s="2250"/>
      <c r="GF485" s="2275"/>
      <c r="GG485" s="2275"/>
      <c r="GH485" s="2345">
        <v>1100</v>
      </c>
      <c r="GI485" s="2346">
        <v>17.62</v>
      </c>
      <c r="GJ485" s="2346">
        <v>19.850000000000001</v>
      </c>
      <c r="GK485" s="2346">
        <v>22</v>
      </c>
      <c r="GL485" s="2346">
        <v>24.38</v>
      </c>
      <c r="GM485" s="2346">
        <v>26.62</v>
      </c>
      <c r="GN485" s="2346">
        <v>25.08</v>
      </c>
      <c r="GO485" s="2346">
        <v>27.77</v>
      </c>
      <c r="GP485" s="2346">
        <v>30.38</v>
      </c>
      <c r="GQ485" s="2346">
        <v>32.380000000000003</v>
      </c>
      <c r="GR485" s="2346">
        <v>34.380000000000003</v>
      </c>
      <c r="GS485" s="2346">
        <v>40.31</v>
      </c>
      <c r="GT485" s="2346">
        <v>43</v>
      </c>
      <c r="GU485" s="2346">
        <v>45.85</v>
      </c>
      <c r="GV485" s="2346">
        <v>44.54</v>
      </c>
      <c r="GW485" s="2346">
        <v>47.77</v>
      </c>
      <c r="GX485" s="2346">
        <v>50.38</v>
      </c>
      <c r="GY485" s="2346">
        <v>54.77</v>
      </c>
      <c r="GZ485" s="2346">
        <v>57.23</v>
      </c>
      <c r="HA485" s="2346">
        <v>60.69</v>
      </c>
      <c r="HB485" s="2346">
        <v>67.23</v>
      </c>
      <c r="HC485" s="2346">
        <v>70.849999999999994</v>
      </c>
      <c r="HD485" s="2346">
        <v>77.69</v>
      </c>
      <c r="HE485" s="2346">
        <v>85.15</v>
      </c>
      <c r="HF485" s="2346">
        <v>101.92</v>
      </c>
      <c r="HG485" s="2346">
        <v>104</v>
      </c>
      <c r="HH485" s="2346">
        <v>120.54</v>
      </c>
      <c r="HI485" s="2346">
        <v>136</v>
      </c>
      <c r="HJ485" s="2347">
        <v>1100</v>
      </c>
      <c r="HK485" s="2275"/>
      <c r="HL485" s="2276">
        <f>HLOOKUP(HL475,GI476:HI488,8,0)</f>
        <v>16.079999999999998</v>
      </c>
      <c r="HM485" s="2276">
        <f t="shared" si="361"/>
        <v>23.38</v>
      </c>
      <c r="HN485" s="2275">
        <v>950</v>
      </c>
      <c r="HO485" s="2275"/>
      <c r="HP485" s="2275"/>
      <c r="HQ485" s="2275"/>
      <c r="HR485" s="2275"/>
      <c r="HS485" s="2275"/>
      <c r="HT485" s="2275"/>
      <c r="HU485" s="2250"/>
      <c r="HV485" s="2250"/>
      <c r="HW485" s="2250"/>
      <c r="HX485" s="2250"/>
      <c r="HY485" s="2250"/>
      <c r="HZ485" s="2250"/>
      <c r="IA485" s="2250"/>
      <c r="IB485" s="2250"/>
      <c r="IC485" s="2250"/>
      <c r="ID485" s="2250"/>
      <c r="IE485" s="2250"/>
      <c r="IF485" s="2250"/>
      <c r="IG485" s="2250"/>
      <c r="IH485" s="2250"/>
      <c r="II485" s="2250"/>
      <c r="IJ485" s="2250"/>
      <c r="IK485" s="2250"/>
      <c r="IL485" s="53"/>
      <c r="IM485" s="53"/>
    </row>
    <row r="486" spans="2:247" ht="21.95" customHeight="1">
      <c r="B486" s="2275"/>
      <c r="C486" s="2345">
        <v>1250</v>
      </c>
      <c r="D486" s="2346">
        <v>25.92</v>
      </c>
      <c r="E486" s="2346">
        <v>29.23</v>
      </c>
      <c r="F486" s="2346">
        <v>32.31</v>
      </c>
      <c r="G486" s="2346">
        <v>35.85</v>
      </c>
      <c r="H486" s="2346">
        <v>38.619999999999997</v>
      </c>
      <c r="I486" s="2346">
        <v>36.770000000000003</v>
      </c>
      <c r="J486" s="2346">
        <v>40.770000000000003</v>
      </c>
      <c r="K486" s="2346">
        <v>43.38</v>
      </c>
      <c r="L486" s="2346">
        <v>47.54</v>
      </c>
      <c r="M486" s="2346">
        <v>48</v>
      </c>
      <c r="N486" s="2346">
        <v>55.15</v>
      </c>
      <c r="O486" s="2346">
        <v>61.62</v>
      </c>
      <c r="P486" s="2346">
        <v>62.23</v>
      </c>
      <c r="Q486" s="2346">
        <v>65.38</v>
      </c>
      <c r="R486" s="2346">
        <v>68.459999999999994</v>
      </c>
      <c r="S486" s="2346">
        <v>73.69</v>
      </c>
      <c r="T486" s="2346">
        <v>77.31</v>
      </c>
      <c r="U486" s="2346">
        <v>84.08</v>
      </c>
      <c r="V486" s="2346">
        <v>89.15</v>
      </c>
      <c r="W486" s="2346">
        <v>96.15</v>
      </c>
      <c r="X486" s="2346">
        <v>102.46</v>
      </c>
      <c r="Y486" s="2346">
        <v>107.31</v>
      </c>
      <c r="Z486" s="2346">
        <v>119.08</v>
      </c>
      <c r="AA486" s="2346">
        <v>129.15</v>
      </c>
      <c r="AB486" s="2346">
        <v>146.62</v>
      </c>
      <c r="AC486" s="2346">
        <v>168.31</v>
      </c>
      <c r="AD486" s="2346">
        <v>177.46</v>
      </c>
      <c r="AE486" s="2347">
        <v>1250</v>
      </c>
      <c r="AF486" s="2275"/>
      <c r="AG486" s="2276">
        <f>HLOOKUP(AG475,D476:AD488,9,0)</f>
        <v>16.38</v>
      </c>
      <c r="AH486" s="2276">
        <f t="shared" si="358"/>
        <v>22</v>
      </c>
      <c r="AI486" s="2275">
        <v>1100</v>
      </c>
      <c r="AJ486" s="2275"/>
      <c r="AK486" s="2275"/>
      <c r="AL486" s="2275"/>
      <c r="AM486" s="2275"/>
      <c r="AN486" s="2275"/>
      <c r="AO486" s="2275"/>
      <c r="AP486" s="2250"/>
      <c r="AQ486" s="2250"/>
      <c r="AR486" s="2250"/>
      <c r="AS486" s="2250"/>
      <c r="AT486" s="2250"/>
      <c r="AU486" s="2250"/>
      <c r="AV486" s="2250"/>
      <c r="AW486" s="2250"/>
      <c r="AX486" s="2250"/>
      <c r="AY486" s="2250"/>
      <c r="AZ486" s="2250"/>
      <c r="BA486" s="2250"/>
      <c r="BB486" s="2250"/>
      <c r="BC486" s="2250"/>
      <c r="BD486" s="2250"/>
      <c r="BE486" s="2250"/>
      <c r="BF486" s="2276"/>
      <c r="BG486" s="2276"/>
      <c r="BH486" s="2250"/>
      <c r="BI486" s="2275"/>
      <c r="BJ486" s="2275"/>
      <c r="BK486" s="2345">
        <v>1250</v>
      </c>
      <c r="BL486" s="2346">
        <v>25.92</v>
      </c>
      <c r="BM486" s="2346">
        <v>29.23</v>
      </c>
      <c r="BN486" s="2346">
        <v>32.31</v>
      </c>
      <c r="BO486" s="2346">
        <v>35.85</v>
      </c>
      <c r="BP486" s="2346">
        <v>38.619999999999997</v>
      </c>
      <c r="BQ486" s="2346">
        <v>36.770000000000003</v>
      </c>
      <c r="BR486" s="2346">
        <v>40.770000000000003</v>
      </c>
      <c r="BS486" s="2346">
        <v>43.38</v>
      </c>
      <c r="BT486" s="2346">
        <v>47.54</v>
      </c>
      <c r="BU486" s="2346">
        <v>48</v>
      </c>
      <c r="BV486" s="2346">
        <v>55.15</v>
      </c>
      <c r="BW486" s="2346">
        <v>61.62</v>
      </c>
      <c r="BX486" s="2346">
        <v>62.23</v>
      </c>
      <c r="BY486" s="2346">
        <v>65.38</v>
      </c>
      <c r="BZ486" s="2346">
        <v>68.459999999999994</v>
      </c>
      <c r="CA486" s="2346">
        <v>73.69</v>
      </c>
      <c r="CB486" s="2346">
        <v>77.31</v>
      </c>
      <c r="CC486" s="2346">
        <v>84.08</v>
      </c>
      <c r="CD486" s="2346">
        <v>89.15</v>
      </c>
      <c r="CE486" s="2346">
        <v>96.15</v>
      </c>
      <c r="CF486" s="2346">
        <v>102.46</v>
      </c>
      <c r="CG486" s="2346">
        <v>107.31</v>
      </c>
      <c r="CH486" s="2346">
        <v>119.08</v>
      </c>
      <c r="CI486" s="2346">
        <v>129.15</v>
      </c>
      <c r="CJ486" s="2346">
        <v>146.62</v>
      </c>
      <c r="CK486" s="2346">
        <v>168.31</v>
      </c>
      <c r="CL486" s="2346">
        <v>177.46</v>
      </c>
      <c r="CM486" s="2347">
        <v>1250</v>
      </c>
      <c r="CN486" s="2275"/>
      <c r="CO486" s="2276">
        <f>HLOOKUP(CO475,BL476:CL488,9,0)</f>
        <v>14.77</v>
      </c>
      <c r="CP486" s="2276">
        <f t="shared" si="359"/>
        <v>19.850000000000001</v>
      </c>
      <c r="CQ486" s="2275">
        <v>1100</v>
      </c>
      <c r="CR486" s="2275"/>
      <c r="CS486" s="2275"/>
      <c r="CT486" s="2275"/>
      <c r="CU486" s="2275"/>
      <c r="CV486" s="2275"/>
      <c r="CW486" s="2275"/>
      <c r="CX486" s="2250"/>
      <c r="CY486" s="2250"/>
      <c r="CZ486" s="2250"/>
      <c r="DA486" s="2250"/>
      <c r="DB486" s="2250"/>
      <c r="DC486" s="2250"/>
      <c r="DD486" s="2250"/>
      <c r="DE486" s="2250"/>
      <c r="DF486" s="2250"/>
      <c r="DG486" s="2250"/>
      <c r="DH486" s="2250"/>
      <c r="DI486" s="2250"/>
      <c r="DJ486" s="2250"/>
      <c r="DK486" s="2250"/>
      <c r="DL486" s="2250"/>
      <c r="DM486" s="2250"/>
      <c r="DN486" s="2250"/>
      <c r="DO486" s="53"/>
      <c r="DP486" s="53"/>
      <c r="DY486" s="2275"/>
      <c r="DZ486" s="2345">
        <v>1250</v>
      </c>
      <c r="EA486" s="2346">
        <v>25.92</v>
      </c>
      <c r="EB486" s="2346">
        <v>29.23</v>
      </c>
      <c r="EC486" s="2346">
        <v>32.31</v>
      </c>
      <c r="ED486" s="2346">
        <v>35.85</v>
      </c>
      <c r="EE486" s="2346">
        <v>38.619999999999997</v>
      </c>
      <c r="EF486" s="2346">
        <v>36.770000000000003</v>
      </c>
      <c r="EG486" s="2346">
        <v>40.770000000000003</v>
      </c>
      <c r="EH486" s="2346">
        <v>43.38</v>
      </c>
      <c r="EI486" s="2346">
        <v>47.54</v>
      </c>
      <c r="EJ486" s="2346">
        <v>48</v>
      </c>
      <c r="EK486" s="2346">
        <v>55.15</v>
      </c>
      <c r="EL486" s="2346">
        <v>61.62</v>
      </c>
      <c r="EM486" s="2346">
        <v>62.23</v>
      </c>
      <c r="EN486" s="2346">
        <v>65.38</v>
      </c>
      <c r="EO486" s="2346">
        <v>68.459999999999994</v>
      </c>
      <c r="EP486" s="2346">
        <v>73.69</v>
      </c>
      <c r="EQ486" s="2346">
        <v>77.31</v>
      </c>
      <c r="ER486" s="2346">
        <v>84.08</v>
      </c>
      <c r="ES486" s="2346">
        <v>89.15</v>
      </c>
      <c r="ET486" s="2346">
        <v>96.15</v>
      </c>
      <c r="EU486" s="2346">
        <v>102.46</v>
      </c>
      <c r="EV486" s="2346">
        <v>107.31</v>
      </c>
      <c r="EW486" s="2346">
        <v>119.08</v>
      </c>
      <c r="EX486" s="2346">
        <v>129.15</v>
      </c>
      <c r="EY486" s="2346">
        <v>146.62</v>
      </c>
      <c r="EZ486" s="2346">
        <v>168.31</v>
      </c>
      <c r="FA486" s="2346">
        <v>177.46</v>
      </c>
      <c r="FB486" s="2347">
        <v>1250</v>
      </c>
      <c r="FC486" s="2275"/>
      <c r="FD486" s="2276">
        <f>HLOOKUP(FD475,EA476:FA488,9,0)</f>
        <v>25.46</v>
      </c>
      <c r="FE486" s="2276">
        <f t="shared" si="360"/>
        <v>34.380000000000003</v>
      </c>
      <c r="FF486" s="2275">
        <v>1100</v>
      </c>
      <c r="FG486" s="2275"/>
      <c r="FH486" s="2275"/>
      <c r="FI486" s="2275"/>
      <c r="FJ486" s="2275"/>
      <c r="FK486" s="2275"/>
      <c r="FL486" s="2275"/>
      <c r="FM486" s="2250"/>
      <c r="FN486" s="2250"/>
      <c r="FO486" s="2250"/>
      <c r="FP486" s="2250"/>
      <c r="FQ486" s="2250"/>
      <c r="FR486" s="2250"/>
      <c r="FS486" s="2250"/>
      <c r="FT486" s="2250"/>
      <c r="FU486" s="2250"/>
      <c r="FV486" s="2250"/>
      <c r="FW486" s="2250"/>
      <c r="FX486" s="2250"/>
      <c r="FY486" s="2250"/>
      <c r="FZ486" s="2250"/>
      <c r="GA486" s="2250"/>
      <c r="GB486" s="2250"/>
      <c r="GC486" s="2276"/>
      <c r="GD486" s="2276"/>
      <c r="GE486" s="2250"/>
      <c r="GF486" s="2275"/>
      <c r="GG486" s="2275"/>
      <c r="GH486" s="2345">
        <v>1250</v>
      </c>
      <c r="GI486" s="2346">
        <v>25.92</v>
      </c>
      <c r="GJ486" s="2346">
        <v>29.23</v>
      </c>
      <c r="GK486" s="2346">
        <v>32.31</v>
      </c>
      <c r="GL486" s="2346">
        <v>35.85</v>
      </c>
      <c r="GM486" s="2346">
        <v>38.619999999999997</v>
      </c>
      <c r="GN486" s="2346">
        <v>36.770000000000003</v>
      </c>
      <c r="GO486" s="2346">
        <v>40.770000000000003</v>
      </c>
      <c r="GP486" s="2346">
        <v>43.38</v>
      </c>
      <c r="GQ486" s="2346">
        <v>47.54</v>
      </c>
      <c r="GR486" s="2346">
        <v>48</v>
      </c>
      <c r="GS486" s="2346">
        <v>55.15</v>
      </c>
      <c r="GT486" s="2346">
        <v>61.62</v>
      </c>
      <c r="GU486" s="2346">
        <v>62.23</v>
      </c>
      <c r="GV486" s="2346">
        <v>65.38</v>
      </c>
      <c r="GW486" s="2346">
        <v>68.459999999999994</v>
      </c>
      <c r="GX486" s="2346">
        <v>73.69</v>
      </c>
      <c r="GY486" s="2346">
        <v>77.31</v>
      </c>
      <c r="GZ486" s="2346">
        <v>84.08</v>
      </c>
      <c r="HA486" s="2346">
        <v>89.15</v>
      </c>
      <c r="HB486" s="2346">
        <v>96.15</v>
      </c>
      <c r="HC486" s="2346">
        <v>102.46</v>
      </c>
      <c r="HD486" s="2346">
        <v>107.31</v>
      </c>
      <c r="HE486" s="2346">
        <v>119.08</v>
      </c>
      <c r="HF486" s="2346">
        <v>129.15</v>
      </c>
      <c r="HG486" s="2346">
        <v>146.62</v>
      </c>
      <c r="HH486" s="2346">
        <v>168.31</v>
      </c>
      <c r="HI486" s="2346">
        <v>177.46</v>
      </c>
      <c r="HJ486" s="2347">
        <v>1250</v>
      </c>
      <c r="HK486" s="2275"/>
      <c r="HL486" s="2276">
        <f>HLOOKUP(HL475,GI476:HI488,9,0)</f>
        <v>23.38</v>
      </c>
      <c r="HM486" s="2276">
        <f t="shared" si="361"/>
        <v>32.380000000000003</v>
      </c>
      <c r="HN486" s="2275">
        <v>1100</v>
      </c>
      <c r="HO486" s="2275"/>
      <c r="HP486" s="2275"/>
      <c r="HQ486" s="2275"/>
      <c r="HR486" s="2275"/>
      <c r="HS486" s="2275"/>
      <c r="HT486" s="2275"/>
      <c r="HU486" s="2250"/>
      <c r="HV486" s="2250"/>
      <c r="HW486" s="2250"/>
      <c r="HX486" s="2250"/>
      <c r="HY486" s="2250"/>
      <c r="HZ486" s="2250"/>
      <c r="IA486" s="2250"/>
      <c r="IB486" s="2250"/>
      <c r="IC486" s="2250"/>
      <c r="ID486" s="2250"/>
      <c r="IE486" s="2250"/>
      <c r="IF486" s="2250"/>
      <c r="IG486" s="2250"/>
      <c r="IH486" s="2250"/>
      <c r="II486" s="2250"/>
      <c r="IJ486" s="2250"/>
      <c r="IK486" s="2250"/>
      <c r="IL486" s="53"/>
      <c r="IM486" s="53"/>
    </row>
    <row r="487" spans="2:247" ht="21.95" customHeight="1">
      <c r="B487" s="2275"/>
      <c r="C487" s="2345">
        <v>1450</v>
      </c>
      <c r="D487" s="2346">
        <v>39.92</v>
      </c>
      <c r="E487" s="2346">
        <v>45</v>
      </c>
      <c r="F487" s="2346">
        <v>49.77</v>
      </c>
      <c r="G487" s="2346">
        <v>53.77</v>
      </c>
      <c r="H487" s="2346">
        <v>53.77</v>
      </c>
      <c r="I487" s="2346">
        <v>56.62</v>
      </c>
      <c r="J487" s="2346">
        <v>62.77</v>
      </c>
      <c r="K487" s="2346">
        <v>66.77</v>
      </c>
      <c r="L487" s="2346">
        <v>71.62</v>
      </c>
      <c r="M487" s="2346">
        <v>77.69</v>
      </c>
      <c r="N487" s="2346">
        <v>79</v>
      </c>
      <c r="O487" s="2346">
        <v>89.46</v>
      </c>
      <c r="P487" s="2346">
        <v>93.08</v>
      </c>
      <c r="Q487" s="2346">
        <v>96.15</v>
      </c>
      <c r="R487" s="2346">
        <v>100.62</v>
      </c>
      <c r="S487" s="2346">
        <v>110.23</v>
      </c>
      <c r="T487" s="2346">
        <v>118.46</v>
      </c>
      <c r="U487" s="2346">
        <v>126.77</v>
      </c>
      <c r="V487" s="2346">
        <v>129.91999999999999</v>
      </c>
      <c r="W487" s="2346">
        <v>146.69</v>
      </c>
      <c r="X487" s="2346">
        <v>153.54</v>
      </c>
      <c r="Y487" s="2346">
        <v>167.23</v>
      </c>
      <c r="Z487" s="2346">
        <v>181.92</v>
      </c>
      <c r="AA487" s="2346">
        <v>186.85</v>
      </c>
      <c r="AB487" s="2346">
        <v>218.15</v>
      </c>
      <c r="AC487" s="2346">
        <v>240.46</v>
      </c>
      <c r="AD487" s="2346">
        <v>295.69</v>
      </c>
      <c r="AE487" s="2347">
        <v>1450</v>
      </c>
      <c r="AF487" s="2275"/>
      <c r="AG487" s="2276">
        <f>HLOOKUP(AG475,D476:AD488,10,0)</f>
        <v>22</v>
      </c>
      <c r="AH487" s="2276">
        <f t="shared" si="358"/>
        <v>32.31</v>
      </c>
      <c r="AI487" s="2275">
        <v>1250</v>
      </c>
      <c r="AJ487" s="2275"/>
      <c r="AK487" s="2275"/>
      <c r="AL487" s="2275"/>
      <c r="AM487" s="2275"/>
      <c r="AN487" s="2275"/>
      <c r="AO487" s="2275"/>
      <c r="AP487" s="2250"/>
      <c r="AQ487" s="2250"/>
      <c r="AR487" s="2250"/>
      <c r="AS487" s="2250"/>
      <c r="AT487" s="2250"/>
      <c r="AU487" s="2250"/>
      <c r="AV487" s="2250"/>
      <c r="AW487" s="2250"/>
      <c r="AX487" s="2250"/>
      <c r="AY487" s="2250"/>
      <c r="AZ487" s="2250"/>
      <c r="BA487" s="2250"/>
      <c r="BB487" s="2250"/>
      <c r="BC487" s="2250"/>
      <c r="BD487" s="2250"/>
      <c r="BE487" s="2250"/>
      <c r="BF487" s="2276"/>
      <c r="BG487" s="2276"/>
      <c r="BH487" s="2250"/>
      <c r="BI487" s="2275"/>
      <c r="BJ487" s="2275"/>
      <c r="BK487" s="2345">
        <v>1450</v>
      </c>
      <c r="BL487" s="2346">
        <v>39.92</v>
      </c>
      <c r="BM487" s="2346">
        <v>45</v>
      </c>
      <c r="BN487" s="2346">
        <v>49.77</v>
      </c>
      <c r="BO487" s="2346">
        <v>53.77</v>
      </c>
      <c r="BP487" s="2346">
        <v>53.77</v>
      </c>
      <c r="BQ487" s="2346">
        <v>56.62</v>
      </c>
      <c r="BR487" s="2346">
        <v>62.77</v>
      </c>
      <c r="BS487" s="2346">
        <v>66.77</v>
      </c>
      <c r="BT487" s="2346">
        <v>71.62</v>
      </c>
      <c r="BU487" s="2346">
        <v>77.69</v>
      </c>
      <c r="BV487" s="2346">
        <v>79</v>
      </c>
      <c r="BW487" s="2346">
        <v>89.46</v>
      </c>
      <c r="BX487" s="2346">
        <v>93.08</v>
      </c>
      <c r="BY487" s="2346">
        <v>96.15</v>
      </c>
      <c r="BZ487" s="2346">
        <v>100.62</v>
      </c>
      <c r="CA487" s="2346">
        <v>110.23</v>
      </c>
      <c r="CB487" s="2346">
        <v>118.46</v>
      </c>
      <c r="CC487" s="2346">
        <v>126.77</v>
      </c>
      <c r="CD487" s="2346">
        <v>129.91999999999999</v>
      </c>
      <c r="CE487" s="2346">
        <v>146.69</v>
      </c>
      <c r="CF487" s="2346">
        <v>153.54</v>
      </c>
      <c r="CG487" s="2346">
        <v>167.23</v>
      </c>
      <c r="CH487" s="2346">
        <v>181.92</v>
      </c>
      <c r="CI487" s="2346">
        <v>186.85</v>
      </c>
      <c r="CJ487" s="2346">
        <v>218.15</v>
      </c>
      <c r="CK487" s="2346">
        <v>240.46</v>
      </c>
      <c r="CL487" s="2346">
        <v>295.69</v>
      </c>
      <c r="CM487" s="2347">
        <v>1450</v>
      </c>
      <c r="CN487" s="2275"/>
      <c r="CO487" s="2276">
        <f>HLOOKUP(CO475,BL476:CL488,10,0)</f>
        <v>19.850000000000001</v>
      </c>
      <c r="CP487" s="2276">
        <f t="shared" si="359"/>
        <v>29.23</v>
      </c>
      <c r="CQ487" s="2275">
        <v>1250</v>
      </c>
      <c r="CR487" s="2275"/>
      <c r="CS487" s="2275"/>
      <c r="CT487" s="2275"/>
      <c r="CU487" s="2275"/>
      <c r="CV487" s="2275"/>
      <c r="CW487" s="2275"/>
      <c r="CX487" s="2250"/>
      <c r="CY487" s="2250"/>
      <c r="CZ487" s="2250"/>
      <c r="DA487" s="2250"/>
      <c r="DB487" s="2250"/>
      <c r="DC487" s="2250"/>
      <c r="DD487" s="2250"/>
      <c r="DE487" s="2250"/>
      <c r="DF487" s="2250"/>
      <c r="DG487" s="2250"/>
      <c r="DH487" s="2250"/>
      <c r="DI487" s="2250"/>
      <c r="DJ487" s="2250"/>
      <c r="DK487" s="2250"/>
      <c r="DL487" s="2250"/>
      <c r="DM487" s="2250"/>
      <c r="DN487" s="2250"/>
      <c r="DO487" s="53"/>
      <c r="DP487" s="53"/>
      <c r="DY487" s="2275"/>
      <c r="DZ487" s="2345">
        <v>1450</v>
      </c>
      <c r="EA487" s="2346">
        <v>39.92</v>
      </c>
      <c r="EB487" s="2346">
        <v>45</v>
      </c>
      <c r="EC487" s="2346">
        <v>49.77</v>
      </c>
      <c r="ED487" s="2346">
        <v>53.77</v>
      </c>
      <c r="EE487" s="2346">
        <v>53.77</v>
      </c>
      <c r="EF487" s="2346">
        <v>56.62</v>
      </c>
      <c r="EG487" s="2346">
        <v>62.77</v>
      </c>
      <c r="EH487" s="2346">
        <v>66.77</v>
      </c>
      <c r="EI487" s="2346">
        <v>71.62</v>
      </c>
      <c r="EJ487" s="2346">
        <v>77.69</v>
      </c>
      <c r="EK487" s="2346">
        <v>79</v>
      </c>
      <c r="EL487" s="2346">
        <v>89.46</v>
      </c>
      <c r="EM487" s="2346">
        <v>93.08</v>
      </c>
      <c r="EN487" s="2346">
        <v>96.15</v>
      </c>
      <c r="EO487" s="2346">
        <v>100.62</v>
      </c>
      <c r="EP487" s="2346">
        <v>110.23</v>
      </c>
      <c r="EQ487" s="2346">
        <v>118.46</v>
      </c>
      <c r="ER487" s="2346">
        <v>126.77</v>
      </c>
      <c r="ES487" s="2346">
        <v>129.91999999999999</v>
      </c>
      <c r="ET487" s="2346">
        <v>146.69</v>
      </c>
      <c r="EU487" s="2346">
        <v>153.54</v>
      </c>
      <c r="EV487" s="2346">
        <v>167.23</v>
      </c>
      <c r="EW487" s="2346">
        <v>181.92</v>
      </c>
      <c r="EX487" s="2346">
        <v>186.85</v>
      </c>
      <c r="EY487" s="2346">
        <v>218.15</v>
      </c>
      <c r="EZ487" s="2346">
        <v>240.46</v>
      </c>
      <c r="FA487" s="2346">
        <v>295.69</v>
      </c>
      <c r="FB487" s="2347">
        <v>1450</v>
      </c>
      <c r="FC487" s="2275"/>
      <c r="FD487" s="2276">
        <f>HLOOKUP(FD475,EA476:FA488,10,0)</f>
        <v>34.380000000000003</v>
      </c>
      <c r="FE487" s="2276">
        <f t="shared" si="360"/>
        <v>48</v>
      </c>
      <c r="FF487" s="2275">
        <v>1250</v>
      </c>
      <c r="FG487" s="2275"/>
      <c r="FH487" s="2275"/>
      <c r="FI487" s="2275"/>
      <c r="FJ487" s="2275"/>
      <c r="FK487" s="2275"/>
      <c r="FL487" s="2275"/>
      <c r="FM487" s="2250"/>
      <c r="FN487" s="2250"/>
      <c r="FO487" s="2250"/>
      <c r="FP487" s="2250"/>
      <c r="FQ487" s="2250"/>
      <c r="FR487" s="2250"/>
      <c r="FS487" s="2250"/>
      <c r="FT487" s="2250"/>
      <c r="FU487" s="2250"/>
      <c r="FV487" s="2250"/>
      <c r="FW487" s="2250"/>
      <c r="FX487" s="2250"/>
      <c r="FY487" s="2250"/>
      <c r="FZ487" s="2250"/>
      <c r="GA487" s="2250"/>
      <c r="GB487" s="2250"/>
      <c r="GC487" s="2276"/>
      <c r="GD487" s="2276"/>
      <c r="GE487" s="2250"/>
      <c r="GF487" s="2275"/>
      <c r="GG487" s="2275"/>
      <c r="GH487" s="2345">
        <v>1450</v>
      </c>
      <c r="GI487" s="2346">
        <v>39.92</v>
      </c>
      <c r="GJ487" s="2346">
        <v>45</v>
      </c>
      <c r="GK487" s="2346">
        <v>49.77</v>
      </c>
      <c r="GL487" s="2346">
        <v>53.77</v>
      </c>
      <c r="GM487" s="2346">
        <v>53.77</v>
      </c>
      <c r="GN487" s="2346">
        <v>56.62</v>
      </c>
      <c r="GO487" s="2346">
        <v>62.77</v>
      </c>
      <c r="GP487" s="2346">
        <v>66.77</v>
      </c>
      <c r="GQ487" s="2346">
        <v>71.62</v>
      </c>
      <c r="GR487" s="2346">
        <v>77.69</v>
      </c>
      <c r="GS487" s="2346">
        <v>79</v>
      </c>
      <c r="GT487" s="2346">
        <v>89.46</v>
      </c>
      <c r="GU487" s="2346">
        <v>93.08</v>
      </c>
      <c r="GV487" s="2346">
        <v>96.15</v>
      </c>
      <c r="GW487" s="2346">
        <v>100.62</v>
      </c>
      <c r="GX487" s="2346">
        <v>110.23</v>
      </c>
      <c r="GY487" s="2346">
        <v>118.46</v>
      </c>
      <c r="GZ487" s="2346">
        <v>126.77</v>
      </c>
      <c r="HA487" s="2346">
        <v>129.91999999999999</v>
      </c>
      <c r="HB487" s="2346">
        <v>146.69</v>
      </c>
      <c r="HC487" s="2346">
        <v>153.54</v>
      </c>
      <c r="HD487" s="2346">
        <v>167.23</v>
      </c>
      <c r="HE487" s="2346">
        <v>181.92</v>
      </c>
      <c r="HF487" s="2346">
        <v>186.85</v>
      </c>
      <c r="HG487" s="2346">
        <v>218.15</v>
      </c>
      <c r="HH487" s="2346">
        <v>240.46</v>
      </c>
      <c r="HI487" s="2346">
        <v>295.69</v>
      </c>
      <c r="HJ487" s="2347">
        <v>1450</v>
      </c>
      <c r="HK487" s="2275"/>
      <c r="HL487" s="2276">
        <f>HLOOKUP(HL475,GI476:HI488,10,0)</f>
        <v>32.380000000000003</v>
      </c>
      <c r="HM487" s="2276">
        <f t="shared" si="361"/>
        <v>47.54</v>
      </c>
      <c r="HN487" s="2275">
        <v>1250</v>
      </c>
      <c r="HO487" s="2275"/>
      <c r="HP487" s="2275"/>
      <c r="HQ487" s="2275"/>
      <c r="HR487" s="2275"/>
      <c r="HS487" s="2275"/>
      <c r="HT487" s="2275"/>
      <c r="HU487" s="2250"/>
      <c r="HV487" s="2250"/>
      <c r="HW487" s="2250"/>
      <c r="HX487" s="2250"/>
      <c r="HY487" s="2250"/>
      <c r="HZ487" s="2250"/>
      <c r="IA487" s="2250"/>
      <c r="IB487" s="2250"/>
      <c r="IC487" s="2250"/>
      <c r="ID487" s="2250"/>
      <c r="IE487" s="2250"/>
      <c r="IF487" s="2250"/>
      <c r="IG487" s="2250"/>
      <c r="IH487" s="2250"/>
      <c r="II487" s="2250"/>
      <c r="IJ487" s="2250"/>
      <c r="IK487" s="2250"/>
      <c r="IL487" s="53"/>
      <c r="IM487" s="53"/>
    </row>
    <row r="488" spans="2:247" ht="21.95" customHeight="1">
      <c r="B488" s="2275"/>
      <c r="C488" s="2345">
        <v>1650</v>
      </c>
      <c r="D488" s="2346">
        <v>58</v>
      </c>
      <c r="E488" s="2346">
        <v>65.38</v>
      </c>
      <c r="F488" s="2346">
        <v>72.150000000000006</v>
      </c>
      <c r="G488" s="2346">
        <v>72.150000000000006</v>
      </c>
      <c r="H488" s="2346">
        <v>76.150000000000006</v>
      </c>
      <c r="I488" s="2346">
        <v>82.31</v>
      </c>
      <c r="J488" s="2346">
        <v>86.77</v>
      </c>
      <c r="K488" s="2346">
        <v>96.15</v>
      </c>
      <c r="L488" s="2346">
        <v>102.15</v>
      </c>
      <c r="M488" s="2346">
        <v>109.54</v>
      </c>
      <c r="N488" s="2346">
        <v>114.85</v>
      </c>
      <c r="O488" s="2346">
        <v>133.91999999999999</v>
      </c>
      <c r="P488" s="2346">
        <v>135.31</v>
      </c>
      <c r="Q488" s="2346">
        <v>142.15</v>
      </c>
      <c r="R488" s="2346">
        <v>112.23</v>
      </c>
      <c r="S488" s="2346">
        <v>158.69</v>
      </c>
      <c r="T488" s="2346">
        <v>167.15</v>
      </c>
      <c r="U488" s="2346">
        <v>177.38</v>
      </c>
      <c r="V488" s="2346">
        <v>184.69</v>
      </c>
      <c r="W488" s="2346">
        <v>203.77</v>
      </c>
      <c r="X488" s="2346">
        <v>223.08</v>
      </c>
      <c r="Y488" s="2346">
        <v>246.23</v>
      </c>
      <c r="Z488" s="2346">
        <v>269.69</v>
      </c>
      <c r="AA488" s="2346">
        <v>293.31</v>
      </c>
      <c r="AB488" s="2346">
        <v>329.92</v>
      </c>
      <c r="AC488" s="2346">
        <v>351.08</v>
      </c>
      <c r="AD488" s="2346">
        <v>418.92</v>
      </c>
      <c r="AE488" s="2347">
        <v>1650</v>
      </c>
      <c r="AF488" s="2275"/>
      <c r="AG488" s="2276">
        <f>HLOOKUP(AG475,D476:AD488,11,0)</f>
        <v>32.31</v>
      </c>
      <c r="AH488" s="2276">
        <f t="shared" si="358"/>
        <v>49.77</v>
      </c>
      <c r="AI488" s="2275">
        <v>1450</v>
      </c>
      <c r="AJ488" s="2275"/>
      <c r="AK488" s="2275"/>
      <c r="AL488" s="2275"/>
      <c r="AM488" s="2275"/>
      <c r="AN488" s="2275"/>
      <c r="AO488" s="2275"/>
      <c r="AP488" s="2250"/>
      <c r="AQ488" s="2250"/>
      <c r="AR488" s="2250"/>
      <c r="AS488" s="2250"/>
      <c r="AT488" s="2250"/>
      <c r="AU488" s="2250"/>
      <c r="AV488" s="2250"/>
      <c r="AW488" s="2250"/>
      <c r="AX488" s="2250"/>
      <c r="AY488" s="2250"/>
      <c r="AZ488" s="2250"/>
      <c r="BA488" s="2250"/>
      <c r="BB488" s="2250"/>
      <c r="BC488" s="2250"/>
      <c r="BD488" s="2250"/>
      <c r="BE488" s="2250"/>
      <c r="BF488" s="2276"/>
      <c r="BG488" s="2276"/>
      <c r="BH488" s="2250"/>
      <c r="BI488" s="2275"/>
      <c r="BJ488" s="2275"/>
      <c r="BK488" s="2345">
        <v>1650</v>
      </c>
      <c r="BL488" s="2346">
        <v>58</v>
      </c>
      <c r="BM488" s="2346">
        <v>65.38</v>
      </c>
      <c r="BN488" s="2346">
        <v>72.150000000000006</v>
      </c>
      <c r="BO488" s="2346">
        <v>72.150000000000006</v>
      </c>
      <c r="BP488" s="2346">
        <v>76.150000000000006</v>
      </c>
      <c r="BQ488" s="2346">
        <v>82.31</v>
      </c>
      <c r="BR488" s="2346">
        <v>86.77</v>
      </c>
      <c r="BS488" s="2346">
        <v>96.15</v>
      </c>
      <c r="BT488" s="2346">
        <v>102.15</v>
      </c>
      <c r="BU488" s="2346">
        <v>109.54</v>
      </c>
      <c r="BV488" s="2346">
        <v>114.85</v>
      </c>
      <c r="BW488" s="2346">
        <v>133.91999999999999</v>
      </c>
      <c r="BX488" s="2346">
        <v>135.31</v>
      </c>
      <c r="BY488" s="2346">
        <v>142.15</v>
      </c>
      <c r="BZ488" s="2346">
        <v>112.23</v>
      </c>
      <c r="CA488" s="2346">
        <v>158.69</v>
      </c>
      <c r="CB488" s="2346">
        <v>167.15</v>
      </c>
      <c r="CC488" s="2346">
        <v>177.38</v>
      </c>
      <c r="CD488" s="2346">
        <v>184.69</v>
      </c>
      <c r="CE488" s="2346">
        <v>203.77</v>
      </c>
      <c r="CF488" s="2346">
        <v>223.08</v>
      </c>
      <c r="CG488" s="2346">
        <v>246.23</v>
      </c>
      <c r="CH488" s="2346">
        <v>269.69</v>
      </c>
      <c r="CI488" s="2346">
        <v>293.31</v>
      </c>
      <c r="CJ488" s="2346">
        <v>329.92</v>
      </c>
      <c r="CK488" s="2346">
        <v>351.08</v>
      </c>
      <c r="CL488" s="2346">
        <v>418.92</v>
      </c>
      <c r="CM488" s="2347">
        <v>1650</v>
      </c>
      <c r="CN488" s="2275"/>
      <c r="CO488" s="2276">
        <f>HLOOKUP(CO475,BL476:CL488,11,0)</f>
        <v>29.23</v>
      </c>
      <c r="CP488" s="2276">
        <f t="shared" si="359"/>
        <v>45</v>
      </c>
      <c r="CQ488" s="2275">
        <v>1450</v>
      </c>
      <c r="CR488" s="2275"/>
      <c r="CS488" s="2275"/>
      <c r="CT488" s="2275"/>
      <c r="CU488" s="2275"/>
      <c r="CV488" s="2275"/>
      <c r="CW488" s="2275"/>
      <c r="CX488" s="2250"/>
      <c r="CY488" s="2250"/>
      <c r="CZ488" s="2250"/>
      <c r="DA488" s="2250"/>
      <c r="DB488" s="2250"/>
      <c r="DC488" s="2250"/>
      <c r="DD488" s="2250"/>
      <c r="DE488" s="2250"/>
      <c r="DF488" s="2250"/>
      <c r="DG488" s="2250"/>
      <c r="DH488" s="2250"/>
      <c r="DI488" s="2250"/>
      <c r="DJ488" s="2250"/>
      <c r="DK488" s="2250"/>
      <c r="DL488" s="2250"/>
      <c r="DM488" s="2250"/>
      <c r="DN488" s="2250"/>
      <c r="DO488" s="53"/>
      <c r="DP488" s="53"/>
      <c r="DY488" s="2275"/>
      <c r="DZ488" s="2345">
        <v>1650</v>
      </c>
      <c r="EA488" s="2346">
        <v>58</v>
      </c>
      <c r="EB488" s="2346">
        <v>65.38</v>
      </c>
      <c r="EC488" s="2346">
        <v>72.150000000000006</v>
      </c>
      <c r="ED488" s="2346">
        <v>72.150000000000006</v>
      </c>
      <c r="EE488" s="2346">
        <v>76.150000000000006</v>
      </c>
      <c r="EF488" s="2346">
        <v>82.31</v>
      </c>
      <c r="EG488" s="2346">
        <v>86.77</v>
      </c>
      <c r="EH488" s="2346">
        <v>96.15</v>
      </c>
      <c r="EI488" s="2346">
        <v>102.15</v>
      </c>
      <c r="EJ488" s="2346">
        <v>109.54</v>
      </c>
      <c r="EK488" s="2346">
        <v>114.85</v>
      </c>
      <c r="EL488" s="2346">
        <v>133.91999999999999</v>
      </c>
      <c r="EM488" s="2346">
        <v>135.31</v>
      </c>
      <c r="EN488" s="2346">
        <v>142.15</v>
      </c>
      <c r="EO488" s="2346">
        <v>112.23</v>
      </c>
      <c r="EP488" s="2346">
        <v>158.69</v>
      </c>
      <c r="EQ488" s="2346">
        <v>167.15</v>
      </c>
      <c r="ER488" s="2346">
        <v>177.38</v>
      </c>
      <c r="ES488" s="2346">
        <v>184.69</v>
      </c>
      <c r="ET488" s="2346">
        <v>203.77</v>
      </c>
      <c r="EU488" s="2346">
        <v>223.08</v>
      </c>
      <c r="EV488" s="2346">
        <v>246.23</v>
      </c>
      <c r="EW488" s="2346">
        <v>269.69</v>
      </c>
      <c r="EX488" s="2346">
        <v>293.31</v>
      </c>
      <c r="EY488" s="2346">
        <v>329.92</v>
      </c>
      <c r="EZ488" s="2346">
        <v>351.08</v>
      </c>
      <c r="FA488" s="2346">
        <v>418.92</v>
      </c>
      <c r="FB488" s="2347">
        <v>1650</v>
      </c>
      <c r="FC488" s="2275"/>
      <c r="FD488" s="2276">
        <f>HLOOKUP(FD475,EA476:FA488,11,0)</f>
        <v>48</v>
      </c>
      <c r="FE488" s="2276">
        <f t="shared" si="360"/>
        <v>77.69</v>
      </c>
      <c r="FF488" s="2275">
        <v>1450</v>
      </c>
      <c r="FG488" s="2275"/>
      <c r="FH488" s="2275"/>
      <c r="FI488" s="2275"/>
      <c r="FJ488" s="2275"/>
      <c r="FK488" s="2275"/>
      <c r="FL488" s="2275"/>
      <c r="FM488" s="2250"/>
      <c r="FN488" s="2250"/>
      <c r="FO488" s="2250"/>
      <c r="FP488" s="2250"/>
      <c r="FQ488" s="2250"/>
      <c r="FR488" s="2250"/>
      <c r="FS488" s="2250"/>
      <c r="FT488" s="2250"/>
      <c r="FU488" s="2250"/>
      <c r="FV488" s="2250"/>
      <c r="FW488" s="2250"/>
      <c r="FX488" s="2250"/>
      <c r="FY488" s="2250"/>
      <c r="FZ488" s="2250"/>
      <c r="GA488" s="2250"/>
      <c r="GB488" s="2250"/>
      <c r="GC488" s="2276"/>
      <c r="GD488" s="2276"/>
      <c r="GE488" s="2250"/>
      <c r="GF488" s="2275"/>
      <c r="GG488" s="2275"/>
      <c r="GH488" s="2345">
        <v>1650</v>
      </c>
      <c r="GI488" s="2346">
        <v>58</v>
      </c>
      <c r="GJ488" s="2346">
        <v>65.38</v>
      </c>
      <c r="GK488" s="2346">
        <v>72.150000000000006</v>
      </c>
      <c r="GL488" s="2346">
        <v>72.150000000000006</v>
      </c>
      <c r="GM488" s="2346">
        <v>76.150000000000006</v>
      </c>
      <c r="GN488" s="2346">
        <v>82.31</v>
      </c>
      <c r="GO488" s="2346">
        <v>86.77</v>
      </c>
      <c r="GP488" s="2346">
        <v>96.15</v>
      </c>
      <c r="GQ488" s="2346">
        <v>102.15</v>
      </c>
      <c r="GR488" s="2346">
        <v>109.54</v>
      </c>
      <c r="GS488" s="2346">
        <v>114.85</v>
      </c>
      <c r="GT488" s="2346">
        <v>133.91999999999999</v>
      </c>
      <c r="GU488" s="2346">
        <v>135.31</v>
      </c>
      <c r="GV488" s="2346">
        <v>142.15</v>
      </c>
      <c r="GW488" s="2346">
        <v>112.23</v>
      </c>
      <c r="GX488" s="2346">
        <v>158.69</v>
      </c>
      <c r="GY488" s="2346">
        <v>167.15</v>
      </c>
      <c r="GZ488" s="2346">
        <v>177.38</v>
      </c>
      <c r="HA488" s="2346">
        <v>184.69</v>
      </c>
      <c r="HB488" s="2346">
        <v>203.77</v>
      </c>
      <c r="HC488" s="2346">
        <v>223.08</v>
      </c>
      <c r="HD488" s="2346">
        <v>246.23</v>
      </c>
      <c r="HE488" s="2346">
        <v>269.69</v>
      </c>
      <c r="HF488" s="2346">
        <v>293.31</v>
      </c>
      <c r="HG488" s="2346">
        <v>329.92</v>
      </c>
      <c r="HH488" s="2346">
        <v>351.08</v>
      </c>
      <c r="HI488" s="2346">
        <v>418.92</v>
      </c>
      <c r="HJ488" s="2347">
        <v>1650</v>
      </c>
      <c r="HK488" s="2275"/>
      <c r="HL488" s="2276">
        <f>HLOOKUP(HL475,GI476:HI488,11,0)</f>
        <v>47.54</v>
      </c>
      <c r="HM488" s="2276">
        <f t="shared" si="361"/>
        <v>71.62</v>
      </c>
      <c r="HN488" s="2275">
        <v>1450</v>
      </c>
      <c r="HO488" s="2275"/>
      <c r="HP488" s="2275"/>
      <c r="HQ488" s="2275"/>
      <c r="HR488" s="2275"/>
      <c r="HS488" s="2275"/>
      <c r="HT488" s="2275"/>
      <c r="HU488" s="2250"/>
      <c r="HV488" s="2250"/>
      <c r="HW488" s="2250"/>
      <c r="HX488" s="2250"/>
      <c r="HY488" s="2250"/>
      <c r="HZ488" s="2250"/>
      <c r="IA488" s="2250"/>
      <c r="IB488" s="2250"/>
      <c r="IC488" s="2250"/>
      <c r="ID488" s="2250"/>
      <c r="IE488" s="2250"/>
      <c r="IF488" s="2250"/>
      <c r="IG488" s="2250"/>
      <c r="IH488" s="2250"/>
      <c r="II488" s="2250"/>
      <c r="IJ488" s="2250"/>
      <c r="IK488" s="2250"/>
      <c r="IL488" s="53"/>
      <c r="IM488" s="53"/>
    </row>
    <row r="489" spans="2:247" ht="21.95" customHeight="1">
      <c r="B489" s="2275"/>
      <c r="C489" s="2275"/>
      <c r="D489" s="2275"/>
      <c r="E489" s="2275"/>
      <c r="F489" s="2275"/>
      <c r="G489" s="2275"/>
      <c r="H489" s="2275"/>
      <c r="I489" s="2275"/>
      <c r="J489" s="2275"/>
      <c r="K489" s="2275"/>
      <c r="L489" s="2275"/>
      <c r="M489" s="2275"/>
      <c r="N489" s="2275"/>
      <c r="O489" s="2275"/>
      <c r="P489" s="2275"/>
      <c r="Q489" s="2275"/>
      <c r="R489" s="2275"/>
      <c r="S489" s="2275"/>
      <c r="T489" s="2275"/>
      <c r="U489" s="2275"/>
      <c r="V489" s="2275"/>
      <c r="W489" s="2275"/>
      <c r="X489" s="2275"/>
      <c r="Y489" s="2275"/>
      <c r="Z489" s="2275"/>
      <c r="AA489" s="2275"/>
      <c r="AB489" s="2275"/>
      <c r="AC489" s="2275"/>
      <c r="AD489" s="2275"/>
      <c r="AE489" s="2346"/>
      <c r="AF489" s="2275"/>
      <c r="AG489" s="2276">
        <f>HLOOKUP(AG475,D476:AD488,12,0)</f>
        <v>49.77</v>
      </c>
      <c r="AH489" s="2276">
        <f t="shared" si="358"/>
        <v>72.150000000000006</v>
      </c>
      <c r="AI489" s="2275">
        <v>1650</v>
      </c>
      <c r="AJ489" s="2275"/>
      <c r="AK489" s="2275"/>
      <c r="AL489" s="2275"/>
      <c r="AM489" s="2275"/>
      <c r="AN489" s="2275"/>
      <c r="AO489" s="2275"/>
      <c r="AP489" s="2250"/>
      <c r="AQ489" s="2250"/>
      <c r="AR489" s="2250"/>
      <c r="AS489" s="2250"/>
      <c r="AT489" s="2250"/>
      <c r="AU489" s="2250"/>
      <c r="AV489" s="2250"/>
      <c r="AW489" s="2250"/>
      <c r="AX489" s="2250"/>
      <c r="AY489" s="2250"/>
      <c r="AZ489" s="2250"/>
      <c r="BA489" s="2250"/>
      <c r="BB489" s="2250"/>
      <c r="BC489" s="2250"/>
      <c r="BD489" s="2250"/>
      <c r="BE489" s="2250"/>
      <c r="BF489" s="2276"/>
      <c r="BG489" s="2276"/>
      <c r="BH489" s="2250"/>
      <c r="BI489" s="2275"/>
      <c r="BJ489" s="2275"/>
      <c r="BK489" s="2275"/>
      <c r="BL489" s="2275"/>
      <c r="BM489" s="2275"/>
      <c r="BN489" s="2275"/>
      <c r="BO489" s="2275"/>
      <c r="BP489" s="2275"/>
      <c r="BQ489" s="2275"/>
      <c r="BR489" s="2275"/>
      <c r="BS489" s="2275"/>
      <c r="BT489" s="2275"/>
      <c r="BU489" s="2275"/>
      <c r="BV489" s="2275"/>
      <c r="BW489" s="2275"/>
      <c r="BX489" s="2275"/>
      <c r="BY489" s="2275"/>
      <c r="BZ489" s="2275"/>
      <c r="CA489" s="2275"/>
      <c r="CB489" s="2275"/>
      <c r="CC489" s="2275"/>
      <c r="CD489" s="2275"/>
      <c r="CE489" s="2275"/>
      <c r="CF489" s="2275"/>
      <c r="CG489" s="2275"/>
      <c r="CH489" s="2275"/>
      <c r="CI489" s="2275"/>
      <c r="CJ489" s="2275"/>
      <c r="CK489" s="2275"/>
      <c r="CL489" s="2275"/>
      <c r="CM489" s="2346"/>
      <c r="CN489" s="2275"/>
      <c r="CO489" s="2276">
        <f>HLOOKUP(CO475,BL476:CL488,12,0)</f>
        <v>45</v>
      </c>
      <c r="CP489" s="2276">
        <f t="shared" si="359"/>
        <v>65.38</v>
      </c>
      <c r="CQ489" s="2275">
        <v>1650</v>
      </c>
      <c r="CR489" s="2275"/>
      <c r="CS489" s="2275"/>
      <c r="CT489" s="2275"/>
      <c r="CU489" s="2275"/>
      <c r="CV489" s="2275"/>
      <c r="CW489" s="2275"/>
      <c r="CX489" s="2250"/>
      <c r="CY489" s="2250"/>
      <c r="CZ489" s="2250"/>
      <c r="DA489" s="2250"/>
      <c r="DB489" s="2250"/>
      <c r="DC489" s="2250"/>
      <c r="DD489" s="2250"/>
      <c r="DE489" s="2250"/>
      <c r="DF489" s="2250"/>
      <c r="DG489" s="2250"/>
      <c r="DH489" s="2250"/>
      <c r="DI489" s="2250"/>
      <c r="DJ489" s="2250"/>
      <c r="DK489" s="2250"/>
      <c r="DL489" s="2250"/>
      <c r="DM489" s="2250"/>
      <c r="DN489" s="2250"/>
      <c r="DO489" s="53"/>
      <c r="DP489" s="53"/>
      <c r="DY489" s="2275"/>
      <c r="DZ489" s="2275"/>
      <c r="EA489" s="2275"/>
      <c r="EB489" s="2275"/>
      <c r="EC489" s="2275"/>
      <c r="ED489" s="2275"/>
      <c r="EE489" s="2275"/>
      <c r="EF489" s="2275"/>
      <c r="EG489" s="2275"/>
      <c r="EH489" s="2275"/>
      <c r="EI489" s="2275"/>
      <c r="EJ489" s="2275"/>
      <c r="EK489" s="2275"/>
      <c r="EL489" s="2275"/>
      <c r="EM489" s="2275"/>
      <c r="EN489" s="2275"/>
      <c r="EO489" s="2275"/>
      <c r="EP489" s="2275"/>
      <c r="EQ489" s="2275"/>
      <c r="ER489" s="2275"/>
      <c r="ES489" s="2275"/>
      <c r="ET489" s="2275"/>
      <c r="EU489" s="2275"/>
      <c r="EV489" s="2275"/>
      <c r="EW489" s="2275"/>
      <c r="EX489" s="2275"/>
      <c r="EY489" s="2275"/>
      <c r="EZ489" s="2275"/>
      <c r="FA489" s="2275"/>
      <c r="FB489" s="2346"/>
      <c r="FC489" s="2275"/>
      <c r="FD489" s="2276">
        <f>HLOOKUP(FD475,EA476:FA488,12,0)</f>
        <v>77.69</v>
      </c>
      <c r="FE489" s="2276">
        <f t="shared" si="360"/>
        <v>109.54</v>
      </c>
      <c r="FF489" s="2275">
        <v>1650</v>
      </c>
      <c r="FG489" s="2275"/>
      <c r="FH489" s="2275"/>
      <c r="FI489" s="2275"/>
      <c r="FJ489" s="2275"/>
      <c r="FK489" s="2275"/>
      <c r="FL489" s="2275"/>
      <c r="FM489" s="2250"/>
      <c r="FN489" s="2250"/>
      <c r="FO489" s="2250"/>
      <c r="FP489" s="2250"/>
      <c r="FQ489" s="2250"/>
      <c r="FR489" s="2250"/>
      <c r="FS489" s="2250"/>
      <c r="FT489" s="2250"/>
      <c r="FU489" s="2250"/>
      <c r="FV489" s="2250"/>
      <c r="FW489" s="2250"/>
      <c r="FX489" s="2250"/>
      <c r="FY489" s="2250"/>
      <c r="FZ489" s="2250"/>
      <c r="GA489" s="2250"/>
      <c r="GB489" s="2250"/>
      <c r="GC489" s="2276"/>
      <c r="GD489" s="2276"/>
      <c r="GE489" s="2250"/>
      <c r="GF489" s="2275"/>
      <c r="GG489" s="2275"/>
      <c r="GH489" s="2275"/>
      <c r="GI489" s="2275"/>
      <c r="GJ489" s="2275"/>
      <c r="GK489" s="2275"/>
      <c r="GL489" s="2275"/>
      <c r="GM489" s="2275"/>
      <c r="GN489" s="2275"/>
      <c r="GO489" s="2275"/>
      <c r="GP489" s="2275"/>
      <c r="GQ489" s="2275"/>
      <c r="GR489" s="2275"/>
      <c r="GS489" s="2275"/>
      <c r="GT489" s="2275"/>
      <c r="GU489" s="2275"/>
      <c r="GV489" s="2275"/>
      <c r="GW489" s="2275"/>
      <c r="GX489" s="2275"/>
      <c r="GY489" s="2275"/>
      <c r="GZ489" s="2275"/>
      <c r="HA489" s="2275"/>
      <c r="HB489" s="2275"/>
      <c r="HC489" s="2275"/>
      <c r="HD489" s="2275"/>
      <c r="HE489" s="2275"/>
      <c r="HF489" s="2275"/>
      <c r="HG489" s="2275"/>
      <c r="HH489" s="2275"/>
      <c r="HI489" s="2275"/>
      <c r="HJ489" s="2346"/>
      <c r="HK489" s="2275"/>
      <c r="HL489" s="2276">
        <f>HLOOKUP(HL475,GI476:HI488,12,0)</f>
        <v>71.62</v>
      </c>
      <c r="HM489" s="2276">
        <f t="shared" si="361"/>
        <v>102.15</v>
      </c>
      <c r="HN489" s="2275">
        <v>1650</v>
      </c>
      <c r="HO489" s="2275"/>
      <c r="HP489" s="2275"/>
      <c r="HQ489" s="2275"/>
      <c r="HR489" s="2275"/>
      <c r="HS489" s="2275"/>
      <c r="HT489" s="2275"/>
      <c r="HU489" s="2250"/>
      <c r="HV489" s="2250"/>
      <c r="HW489" s="2250"/>
      <c r="HX489" s="2250"/>
      <c r="HY489" s="2250"/>
      <c r="HZ489" s="2250"/>
      <c r="IA489" s="2250"/>
      <c r="IB489" s="2250"/>
      <c r="IC489" s="2250"/>
      <c r="ID489" s="2250"/>
      <c r="IE489" s="2250"/>
      <c r="IF489" s="2250"/>
      <c r="IG489" s="2250"/>
      <c r="IH489" s="2250"/>
      <c r="II489" s="2250"/>
      <c r="IJ489" s="2250"/>
      <c r="IK489" s="2250"/>
      <c r="IL489" s="53"/>
      <c r="IM489" s="53"/>
    </row>
    <row r="490" spans="2:247" ht="21.95" customHeight="1">
      <c r="B490" s="2276">
        <f>AG475</f>
        <v>190.4</v>
      </c>
      <c r="C490" s="2275">
        <v>0</v>
      </c>
      <c r="D490" s="2276">
        <f>VLOOKUP(B492,C478:AD488,2,0)</f>
        <v>17.62</v>
      </c>
      <c r="E490" s="2276">
        <f>VLOOKUP(B492,C478:E488,3,0)</f>
        <v>19.850000000000001</v>
      </c>
      <c r="F490" s="2276">
        <f>VLOOKUP(B492,C478:F488,4,0)</f>
        <v>22</v>
      </c>
      <c r="G490" s="2276">
        <f>VLOOKUP(B492,C478:G488,5,0)</f>
        <v>24.38</v>
      </c>
      <c r="H490" s="2276">
        <f>VLOOKUP(B492,C478:H488,6,0)</f>
        <v>26.62</v>
      </c>
      <c r="I490" s="2276">
        <f>VLOOKUP(B492,C478:I488,7,0)</f>
        <v>25.08</v>
      </c>
      <c r="J490" s="2276">
        <f>VLOOKUP(B492,C478:J488,8,0)</f>
        <v>27.77</v>
      </c>
      <c r="K490" s="2276">
        <f>VLOOKUP(B492,C478:K488,9,0)</f>
        <v>30.38</v>
      </c>
      <c r="L490" s="2276">
        <f>VLOOKUP(B492,C478:L488,10,0)</f>
        <v>32.380000000000003</v>
      </c>
      <c r="M490" s="2276">
        <f>VLOOKUP(B492,C478:M488,11,0)</f>
        <v>34.380000000000003</v>
      </c>
      <c r="N490" s="2276">
        <f>VLOOKUP(B492,C478:N488,12,0)</f>
        <v>40.31</v>
      </c>
      <c r="O490" s="2276">
        <f>VLOOKUP(B492,C478:O488,13,0)</f>
        <v>43</v>
      </c>
      <c r="P490" s="2276">
        <f>VLOOKUP(B492,C478:P488,14,0)</f>
        <v>45.85</v>
      </c>
      <c r="Q490" s="2276">
        <f>VLOOKUP(B492,C478:Q488,15,0)</f>
        <v>44.54</v>
      </c>
      <c r="R490" s="2276">
        <f>VLOOKUP(B492,C478:R488,16,0)</f>
        <v>47.77</v>
      </c>
      <c r="S490" s="2276">
        <f>VLOOKUP(B492,C478:S488,17,0)</f>
        <v>50.38</v>
      </c>
      <c r="T490" s="2276">
        <f>VLOOKUP(B492,C478:T488,18,0)</f>
        <v>54.77</v>
      </c>
      <c r="U490" s="2276">
        <f>VLOOKUP(B492,C478:U488,19,0)</f>
        <v>57.23</v>
      </c>
      <c r="V490" s="2276">
        <f>VLOOKUP(B492,C478:V488,20,0)</f>
        <v>60.69</v>
      </c>
      <c r="W490" s="2276">
        <f>VLOOKUP(B492,C478:W488,21,0)</f>
        <v>67.23</v>
      </c>
      <c r="X490" s="2276">
        <f>VLOOKUP(B492,C478:X488,22,0)</f>
        <v>70.849999999999994</v>
      </c>
      <c r="Y490" s="2276">
        <f>VLOOKUP(B492,C478:Y488,23,0)</f>
        <v>77.69</v>
      </c>
      <c r="Z490" s="2276">
        <f>VLOOKUP(B492,C478:Z488,24,0)</f>
        <v>85.15</v>
      </c>
      <c r="AA490" s="2276">
        <f>VLOOKUP(B492,C478:AA488,25,0)</f>
        <v>101.92</v>
      </c>
      <c r="AB490" s="2276">
        <f>VLOOKUP(B492,C478:AB488,26,0)</f>
        <v>104</v>
      </c>
      <c r="AC490" s="2276">
        <f>VLOOKUP(B492,C478:AC488,27,0)</f>
        <v>120.54</v>
      </c>
      <c r="AD490" s="2276">
        <f>VLOOKUP(B492,C478:AD488,28,0)</f>
        <v>136</v>
      </c>
      <c r="AE490" s="2346"/>
      <c r="AF490" s="2275"/>
      <c r="AG490" s="2276">
        <f>HLOOKUP(AG475,D476:AD488,13,0)</f>
        <v>72.150000000000006</v>
      </c>
      <c r="AH490" s="2275"/>
      <c r="AI490" s="2275"/>
      <c r="AJ490" s="2275"/>
      <c r="AK490" s="2275"/>
      <c r="AL490" s="2275"/>
      <c r="AM490" s="2275"/>
      <c r="AN490" s="2275"/>
      <c r="AO490" s="2275"/>
      <c r="AP490" s="2250"/>
      <c r="AQ490" s="2250"/>
      <c r="AR490" s="2250"/>
      <c r="AS490" s="2250"/>
      <c r="AT490" s="2250"/>
      <c r="AU490" s="2250"/>
      <c r="AV490" s="2250"/>
      <c r="AW490" s="2250"/>
      <c r="AX490" s="2250"/>
      <c r="AY490" s="2250"/>
      <c r="AZ490" s="2250"/>
      <c r="BA490" s="2250"/>
      <c r="BB490" s="2250"/>
      <c r="BC490" s="2250"/>
      <c r="BD490" s="2250"/>
      <c r="BE490" s="2250"/>
      <c r="BF490" s="2276"/>
      <c r="BG490" s="2276"/>
      <c r="BH490" s="2250"/>
      <c r="BI490" s="2275"/>
      <c r="BJ490" s="2276">
        <f>CO475</f>
        <v>206.43</v>
      </c>
      <c r="BK490" s="2275">
        <v>0</v>
      </c>
      <c r="BL490" s="2276">
        <f>VLOOKUP(BJ492,BK478:CL488,2,0)</f>
        <v>25.92</v>
      </c>
      <c r="BM490" s="2276">
        <f>VLOOKUP(BJ492,BK478:BM488,3,0)</f>
        <v>29.23</v>
      </c>
      <c r="BN490" s="2276">
        <f>VLOOKUP(BJ492,BK478:BN488,4,0)</f>
        <v>32.31</v>
      </c>
      <c r="BO490" s="2276">
        <f>VLOOKUP(BJ492,BK478:BO488,5,0)</f>
        <v>35.85</v>
      </c>
      <c r="BP490" s="2276">
        <f>VLOOKUP(BJ492,BK478:BP488,6,0)</f>
        <v>38.619999999999997</v>
      </c>
      <c r="BQ490" s="2276">
        <f>VLOOKUP(BJ492,BK478:BQ488,7,0)</f>
        <v>36.770000000000003</v>
      </c>
      <c r="BR490" s="2276">
        <f>VLOOKUP(BJ492,BK478:BR488,8,0)</f>
        <v>40.770000000000003</v>
      </c>
      <c r="BS490" s="2276">
        <f>VLOOKUP(BJ492,BK478:BS488,9,0)</f>
        <v>43.38</v>
      </c>
      <c r="BT490" s="2276">
        <f>VLOOKUP(BJ492,BK478:BT488,10,0)</f>
        <v>47.54</v>
      </c>
      <c r="BU490" s="2276">
        <f>VLOOKUP(BJ492,BK478:BU488,11,0)</f>
        <v>48</v>
      </c>
      <c r="BV490" s="2276">
        <f>VLOOKUP(BJ492,BK478:BV488,12,0)</f>
        <v>55.15</v>
      </c>
      <c r="BW490" s="2276">
        <f>VLOOKUP(BJ492,BK478:BW488,13,0)</f>
        <v>61.62</v>
      </c>
      <c r="BX490" s="2276">
        <f>VLOOKUP(BJ492,BK478:BX488,14,0)</f>
        <v>62.23</v>
      </c>
      <c r="BY490" s="2276">
        <f>VLOOKUP(BJ492,BK478:BY488,15,0)</f>
        <v>65.38</v>
      </c>
      <c r="BZ490" s="2276">
        <f>VLOOKUP(BJ492,BK478:BZ488,16,0)</f>
        <v>68.459999999999994</v>
      </c>
      <c r="CA490" s="2276">
        <f>VLOOKUP(BJ492,BK478:CA488,17,0)</f>
        <v>73.69</v>
      </c>
      <c r="CB490" s="2276">
        <f>VLOOKUP(BJ492,BK478:CB488,18,0)</f>
        <v>77.31</v>
      </c>
      <c r="CC490" s="2276">
        <f>VLOOKUP(BJ492,BK478:CC488,19,0)</f>
        <v>84.08</v>
      </c>
      <c r="CD490" s="2276">
        <f>VLOOKUP(BJ492,BK478:CD488,20,0)</f>
        <v>89.15</v>
      </c>
      <c r="CE490" s="2276">
        <f>VLOOKUP(BJ492,BK478:CE488,21,0)</f>
        <v>96.15</v>
      </c>
      <c r="CF490" s="2276">
        <f>VLOOKUP(BJ492,BK478:CF488,22,0)</f>
        <v>102.46</v>
      </c>
      <c r="CG490" s="2276">
        <f>VLOOKUP(BJ492,BK478:CG488,23,0)</f>
        <v>107.31</v>
      </c>
      <c r="CH490" s="2276">
        <f>VLOOKUP(BJ492,BK478:CH488,24,0)</f>
        <v>119.08</v>
      </c>
      <c r="CI490" s="2276">
        <f>VLOOKUP(BJ492,BK478:CI488,25,0)</f>
        <v>129.15</v>
      </c>
      <c r="CJ490" s="2276">
        <f>VLOOKUP(BJ492,BK478:CJ488,26,0)</f>
        <v>146.62</v>
      </c>
      <c r="CK490" s="2276">
        <f>VLOOKUP(BJ492,BK478:CK488,27,0)</f>
        <v>168.31</v>
      </c>
      <c r="CL490" s="2276">
        <f>VLOOKUP(BJ492,BK478:CL488,28,0)</f>
        <v>177.46</v>
      </c>
      <c r="CM490" s="2346"/>
      <c r="CN490" s="2275"/>
      <c r="CO490" s="2276">
        <f>HLOOKUP(CO475,BL476:CL488,13,0)</f>
        <v>65.38</v>
      </c>
      <c r="CP490" s="2275"/>
      <c r="CQ490" s="2275"/>
      <c r="CR490" s="2275"/>
      <c r="CS490" s="2275"/>
      <c r="CT490" s="2275"/>
      <c r="CU490" s="2275"/>
      <c r="CV490" s="2275"/>
      <c r="CW490" s="2275"/>
      <c r="CX490" s="2250"/>
      <c r="CY490" s="2250"/>
      <c r="CZ490" s="2250"/>
      <c r="DA490" s="2250"/>
      <c r="DB490" s="2250"/>
      <c r="DC490" s="2250"/>
      <c r="DD490" s="2250"/>
      <c r="DE490" s="2250"/>
      <c r="DF490" s="2250"/>
      <c r="DG490" s="2250"/>
      <c r="DH490" s="2250"/>
      <c r="DI490" s="2250"/>
      <c r="DJ490" s="2250"/>
      <c r="DK490" s="2250"/>
      <c r="DL490" s="2250"/>
      <c r="DM490" s="2250"/>
      <c r="DN490" s="2250"/>
      <c r="DO490" s="53"/>
      <c r="DP490" s="53"/>
      <c r="DY490" s="2276">
        <f>FD475</f>
        <v>120.7</v>
      </c>
      <c r="DZ490" s="2275">
        <v>0</v>
      </c>
      <c r="EA490" s="2276">
        <f>VLOOKUP(DY492,DZ478:FA488,2,0)</f>
        <v>13.15</v>
      </c>
      <c r="EB490" s="2276">
        <f>VLOOKUP(DY492,DZ478:EB488,3,0)</f>
        <v>14.77</v>
      </c>
      <c r="EC490" s="2276">
        <f>VLOOKUP(DY492,DZ478:EC488,4,0)</f>
        <v>16.38</v>
      </c>
      <c r="ED490" s="2276">
        <f>VLOOKUP(DY492,DZ478:ED488,5,0)</f>
        <v>17.309999999999999</v>
      </c>
      <c r="EE490" s="2276">
        <f>VLOOKUP(DY492,DZ478:EE488,6,0)</f>
        <v>17.309999999999999</v>
      </c>
      <c r="EF490" s="2276">
        <f>VLOOKUP(DY492,DZ478:EF488,7,0)</f>
        <v>18.62</v>
      </c>
      <c r="EG490" s="2276">
        <f>VLOOKUP(DY492,DZ478:EG488,8,0)</f>
        <v>20.62</v>
      </c>
      <c r="EH490" s="2276">
        <f>VLOOKUP(DY492,DZ478:EH488,9,0)</f>
        <v>22</v>
      </c>
      <c r="EI490" s="2276">
        <f>VLOOKUP(DY492,DZ478:EI488,10,0)</f>
        <v>23.38</v>
      </c>
      <c r="EJ490" s="2276">
        <f>VLOOKUP(DY492,DZ478:EJ488,11,0)</f>
        <v>25.46</v>
      </c>
      <c r="EK490" s="2276">
        <f>VLOOKUP(DY492,DZ478:EK488,12,0)</f>
        <v>26</v>
      </c>
      <c r="EL490" s="2276">
        <f>VLOOKUP(DY492,DZ478:EL488,13,0)</f>
        <v>30.46</v>
      </c>
      <c r="EM490" s="2276">
        <f>VLOOKUP(DY492,DZ478:EM488,14,0)</f>
        <v>30.62</v>
      </c>
      <c r="EN490" s="2276">
        <f>VLOOKUP(DY492,DZ478:EN488,15,0)</f>
        <v>30.85</v>
      </c>
      <c r="EO490" s="2276">
        <f>VLOOKUP(DY492,DZ478:EO488,16,0)</f>
        <v>32.46</v>
      </c>
      <c r="EP490" s="2276">
        <f>VLOOKUP(DY492,DZ478:EP488,17,0)</f>
        <v>35.380000000000003</v>
      </c>
      <c r="EQ490" s="2276">
        <f>VLOOKUP(DY492,DZ478:EQ488,18,0)</f>
        <v>37.85</v>
      </c>
      <c r="ER490" s="2276">
        <f>VLOOKUP(DY492,DZ478:ER488,19,0)</f>
        <v>39.770000000000003</v>
      </c>
      <c r="ES490" s="2276">
        <f>VLOOKUP(DY492,DZ478:ES488,20,0)</f>
        <v>41.77</v>
      </c>
      <c r="ET490" s="2276">
        <f>VLOOKUP(DY492,DZ478:ET488,21,0)</f>
        <v>45.85</v>
      </c>
      <c r="EU490" s="2276">
        <f>VLOOKUP(DY492,DZ478:EU488,22,0)</f>
        <v>49.31</v>
      </c>
      <c r="EV490" s="2276">
        <f>VLOOKUP(DY492,DZ478:EV488,23,0)</f>
        <v>53.54</v>
      </c>
      <c r="EW490" s="2276">
        <f>VLOOKUP(DY492,DZ478:EW488,24,0)</f>
        <v>58</v>
      </c>
      <c r="EX490" s="2276">
        <f>VLOOKUP(DY492,DZ478:EX488,25,0)</f>
        <v>63.69</v>
      </c>
      <c r="EY490" s="2276">
        <f>VLOOKUP(DY492,DZ478:EY488,26,0)</f>
        <v>70.08</v>
      </c>
      <c r="EZ490" s="2276">
        <f>VLOOKUP(DY492,DZ478:EZ488,27,0)</f>
        <v>77.23</v>
      </c>
      <c r="FA490" s="2276">
        <f>VLOOKUP(DY492,DZ478:FA488,28,0)</f>
        <v>91.15</v>
      </c>
      <c r="FB490" s="2346"/>
      <c r="FC490" s="2275"/>
      <c r="FD490" s="2276">
        <f>HLOOKUP(FD475,EA476:FA488,13,0)</f>
        <v>109.54</v>
      </c>
      <c r="FE490" s="2275"/>
      <c r="FF490" s="2275"/>
      <c r="FG490" s="2275"/>
      <c r="FH490" s="2275"/>
      <c r="FI490" s="2275"/>
      <c r="FJ490" s="2275"/>
      <c r="FK490" s="2275"/>
      <c r="FL490" s="2275"/>
      <c r="FM490" s="2250"/>
      <c r="FN490" s="2250"/>
      <c r="FO490" s="2250"/>
      <c r="FP490" s="2250"/>
      <c r="FQ490" s="2250"/>
      <c r="FR490" s="2250"/>
      <c r="FS490" s="2250"/>
      <c r="FT490" s="2250"/>
      <c r="FU490" s="2250"/>
      <c r="FV490" s="2250"/>
      <c r="FW490" s="2250"/>
      <c r="FX490" s="2250"/>
      <c r="FY490" s="2250"/>
      <c r="FZ490" s="2250"/>
      <c r="GA490" s="2250"/>
      <c r="GB490" s="2250"/>
      <c r="GC490" s="2276"/>
      <c r="GD490" s="2276"/>
      <c r="GE490" s="2250"/>
      <c r="GF490" s="2275"/>
      <c r="GG490" s="2276">
        <f>HL475</f>
        <v>129.80000000000001</v>
      </c>
      <c r="GH490" s="2275">
        <v>0</v>
      </c>
      <c r="GI490" s="2276">
        <f>VLOOKUP(GG492,GH478:HI488,2,0)</f>
        <v>13.15</v>
      </c>
      <c r="GJ490" s="2276">
        <f>VLOOKUP(GG492,GH478:GJ488,3,0)</f>
        <v>14.77</v>
      </c>
      <c r="GK490" s="2276">
        <f>VLOOKUP(GG492,GH478:GK488,4,0)</f>
        <v>16.38</v>
      </c>
      <c r="GL490" s="2276">
        <f>VLOOKUP(GG492,GH478:GL488,5,0)</f>
        <v>17.309999999999999</v>
      </c>
      <c r="GM490" s="2276">
        <f>VLOOKUP(GG492,GH478:GM488,6,0)</f>
        <v>17.309999999999999</v>
      </c>
      <c r="GN490" s="2276">
        <f>VLOOKUP(GG492,GH478:GN488,7,0)</f>
        <v>18.62</v>
      </c>
      <c r="GO490" s="2276">
        <f>VLOOKUP(GG492,GH478:GO488,8,0)</f>
        <v>20.62</v>
      </c>
      <c r="GP490" s="2276">
        <f>VLOOKUP(GG492,GH478:GP488,9,0)</f>
        <v>22</v>
      </c>
      <c r="GQ490" s="2276">
        <f>VLOOKUP(GG492,GH478:GQ488,10,0)</f>
        <v>23.38</v>
      </c>
      <c r="GR490" s="2276">
        <f>VLOOKUP(GG492,GH478:GR488,11,0)</f>
        <v>25.46</v>
      </c>
      <c r="GS490" s="2276">
        <f>VLOOKUP(GG492,GH478:GS488,12,0)</f>
        <v>26</v>
      </c>
      <c r="GT490" s="2276">
        <f>VLOOKUP(GG492,GH478:GT488,13,0)</f>
        <v>30.46</v>
      </c>
      <c r="GU490" s="2276">
        <f>VLOOKUP(GG492,GH478:GU488,14,0)</f>
        <v>30.62</v>
      </c>
      <c r="GV490" s="2276">
        <f>VLOOKUP(GG492,GH478:GV488,15,0)</f>
        <v>30.85</v>
      </c>
      <c r="GW490" s="2276">
        <f>VLOOKUP(GG492,GH478:GW488,16,0)</f>
        <v>32.46</v>
      </c>
      <c r="GX490" s="2276">
        <f>VLOOKUP(GG492,GH478:GX488,17,0)</f>
        <v>35.380000000000003</v>
      </c>
      <c r="GY490" s="2276">
        <f>VLOOKUP(GG492,GH478:GY488,18,0)</f>
        <v>37.85</v>
      </c>
      <c r="GZ490" s="2276">
        <f>VLOOKUP(GG492,GH478:GZ488,19,0)</f>
        <v>39.770000000000003</v>
      </c>
      <c r="HA490" s="2276">
        <f>VLOOKUP(GG492,GH478:HA488,20,0)</f>
        <v>41.77</v>
      </c>
      <c r="HB490" s="2276">
        <f>VLOOKUP(GG492,GH478:HB488,21,0)</f>
        <v>45.85</v>
      </c>
      <c r="HC490" s="2276">
        <f>VLOOKUP(GG492,GH478:HC488,22,0)</f>
        <v>49.31</v>
      </c>
      <c r="HD490" s="2276">
        <f>VLOOKUP(GG492,GH478:HD488,23,0)</f>
        <v>53.54</v>
      </c>
      <c r="HE490" s="2276">
        <f>VLOOKUP(GG492,GH478:HE488,24,0)</f>
        <v>58</v>
      </c>
      <c r="HF490" s="2276">
        <f>VLOOKUP(GG492,GH478:HF488,25,0)</f>
        <v>63.69</v>
      </c>
      <c r="HG490" s="2276">
        <f>VLOOKUP(GG492,GH478:HG488,26,0)</f>
        <v>70.08</v>
      </c>
      <c r="HH490" s="2276">
        <f>VLOOKUP(GG492,GH478:HH488,27,0)</f>
        <v>77.23</v>
      </c>
      <c r="HI490" s="2276">
        <f>VLOOKUP(GG492,GH478:HI488,28,0)</f>
        <v>91.15</v>
      </c>
      <c r="HJ490" s="2346"/>
      <c r="HK490" s="2275"/>
      <c r="HL490" s="2276">
        <f>HLOOKUP(HL475,GI476:HI488,13,0)</f>
        <v>102.15</v>
      </c>
      <c r="HM490" s="2275"/>
      <c r="HN490" s="2275"/>
      <c r="HO490" s="2275"/>
      <c r="HP490" s="2275"/>
      <c r="HQ490" s="2275"/>
      <c r="HR490" s="2275"/>
      <c r="HS490" s="2275"/>
      <c r="HT490" s="2275"/>
      <c r="HU490" s="2250"/>
      <c r="HV490" s="2250"/>
      <c r="HW490" s="2250"/>
      <c r="HX490" s="2250"/>
      <c r="HY490" s="2250"/>
      <c r="HZ490" s="2250"/>
      <c r="IA490" s="2250"/>
      <c r="IB490" s="2250"/>
      <c r="IC490" s="2250"/>
      <c r="ID490" s="2250"/>
      <c r="IE490" s="2250"/>
      <c r="IF490" s="2250"/>
      <c r="IG490" s="2250"/>
      <c r="IH490" s="2250"/>
      <c r="II490" s="2250"/>
      <c r="IJ490" s="2250"/>
      <c r="IK490" s="2250"/>
      <c r="IL490" s="53"/>
      <c r="IM490" s="53"/>
    </row>
    <row r="491" spans="2:247" ht="21.95" customHeight="1">
      <c r="B491" s="2276">
        <f>AH492</f>
        <v>22</v>
      </c>
      <c r="C491" s="2275"/>
      <c r="D491" s="2275"/>
      <c r="E491" s="2275"/>
      <c r="F491" s="2275"/>
      <c r="G491" s="2275"/>
      <c r="H491" s="2275"/>
      <c r="I491" s="2275"/>
      <c r="J491" s="2275"/>
      <c r="K491" s="2275"/>
      <c r="L491" s="2275"/>
      <c r="M491" s="2275"/>
      <c r="N491" s="2275"/>
      <c r="O491" s="2275"/>
      <c r="P491" s="2275"/>
      <c r="Q491" s="2275"/>
      <c r="R491" s="2275"/>
      <c r="S491" s="2275"/>
      <c r="T491" s="2275"/>
      <c r="U491" s="2275"/>
      <c r="V491" s="2275"/>
      <c r="W491" s="2275"/>
      <c r="X491" s="2275"/>
      <c r="Y491" s="2275"/>
      <c r="Z491" s="2275"/>
      <c r="AA491" s="2275"/>
      <c r="AB491" s="2275"/>
      <c r="AC491" s="2275"/>
      <c r="AD491" s="2275"/>
      <c r="AE491" s="2275"/>
      <c r="AF491" s="2275"/>
      <c r="AG491" s="2276">
        <f>VLOOKUP(AG476,AG478:AG490,1)</f>
        <v>16.38</v>
      </c>
      <c r="AH491" s="2276">
        <f>IFERROR(VLOOKUP(AG476,AH479:AH489,1,0),0)</f>
        <v>0</v>
      </c>
      <c r="AI491" s="2275"/>
      <c r="AJ491" s="2275"/>
      <c r="AK491" s="2275"/>
      <c r="AL491" s="2275"/>
      <c r="AM491" s="2275"/>
      <c r="AN491" s="2275"/>
      <c r="AO491" s="2275"/>
      <c r="AP491" s="2250"/>
      <c r="AQ491" s="2250"/>
      <c r="AR491" s="2250"/>
      <c r="AS491" s="2250"/>
      <c r="AT491" s="2250"/>
      <c r="AU491" s="2250"/>
      <c r="AV491" s="2250"/>
      <c r="AW491" s="2250"/>
      <c r="AX491" s="2250"/>
      <c r="AY491" s="2250"/>
      <c r="AZ491" s="2250"/>
      <c r="BA491" s="2250"/>
      <c r="BB491" s="2250"/>
      <c r="BC491" s="2250"/>
      <c r="BD491" s="2250"/>
      <c r="BE491" s="2250"/>
      <c r="BF491" s="2276"/>
      <c r="BG491" s="2276"/>
      <c r="BH491" s="2250"/>
      <c r="BI491" s="2275"/>
      <c r="BJ491" s="2276">
        <f>CP492</f>
        <v>29.23</v>
      </c>
      <c r="BK491" s="2275"/>
      <c r="BL491" s="2275"/>
      <c r="BM491" s="2275"/>
      <c r="BN491" s="2275"/>
      <c r="BO491" s="2275"/>
      <c r="BP491" s="2275"/>
      <c r="BQ491" s="2275"/>
      <c r="BR491" s="2275"/>
      <c r="BS491" s="2275"/>
      <c r="BT491" s="2275"/>
      <c r="BU491" s="2275"/>
      <c r="BV491" s="2275"/>
      <c r="BW491" s="2275"/>
      <c r="BX491" s="2275"/>
      <c r="BY491" s="2275"/>
      <c r="BZ491" s="2275"/>
      <c r="CA491" s="2275"/>
      <c r="CB491" s="2275"/>
      <c r="CC491" s="2275"/>
      <c r="CD491" s="2275"/>
      <c r="CE491" s="2275"/>
      <c r="CF491" s="2275"/>
      <c r="CG491" s="2275"/>
      <c r="CH491" s="2275"/>
      <c r="CI491" s="2275"/>
      <c r="CJ491" s="2275"/>
      <c r="CK491" s="2275"/>
      <c r="CL491" s="2275"/>
      <c r="CM491" s="2275"/>
      <c r="CN491" s="2275"/>
      <c r="CO491" s="2276">
        <f>VLOOKUP(CO476,CO478:CO490,1)</f>
        <v>19.850000000000001</v>
      </c>
      <c r="CP491" s="2276">
        <f>IFERROR(VLOOKUP(CO476,CP479:CP489,1,0),0)</f>
        <v>0</v>
      </c>
      <c r="CQ491" s="2275"/>
      <c r="CR491" s="2275"/>
      <c r="CS491" s="2275"/>
      <c r="CT491" s="2275"/>
      <c r="CU491" s="2275"/>
      <c r="CV491" s="2275"/>
      <c r="CW491" s="2275"/>
      <c r="CX491" s="2250"/>
      <c r="CY491" s="2250"/>
      <c r="CZ491" s="2250"/>
      <c r="DA491" s="2250"/>
      <c r="DB491" s="2250"/>
      <c r="DC491" s="2250"/>
      <c r="DD491" s="2250"/>
      <c r="DE491" s="2250"/>
      <c r="DF491" s="2250"/>
      <c r="DG491" s="2250"/>
      <c r="DH491" s="2250"/>
      <c r="DI491" s="2250"/>
      <c r="DJ491" s="2250"/>
      <c r="DK491" s="2250"/>
      <c r="DL491" s="2250"/>
      <c r="DM491" s="2250"/>
      <c r="DN491" s="2250"/>
      <c r="DO491" s="53"/>
      <c r="DP491" s="53"/>
      <c r="DY491" s="2276">
        <f>FE492</f>
        <v>25.46</v>
      </c>
      <c r="DZ491" s="2275"/>
      <c r="EA491" s="2275"/>
      <c r="EB491" s="2275"/>
      <c r="EC491" s="2275"/>
      <c r="ED491" s="2275"/>
      <c r="EE491" s="2275"/>
      <c r="EF491" s="2275"/>
      <c r="EG491" s="2275"/>
      <c r="EH491" s="2275"/>
      <c r="EI491" s="2275"/>
      <c r="EJ491" s="2275"/>
      <c r="EK491" s="2275"/>
      <c r="EL491" s="2275"/>
      <c r="EM491" s="2275"/>
      <c r="EN491" s="2275"/>
      <c r="EO491" s="2275"/>
      <c r="EP491" s="2275"/>
      <c r="EQ491" s="2275"/>
      <c r="ER491" s="2275"/>
      <c r="ES491" s="2275"/>
      <c r="ET491" s="2275"/>
      <c r="EU491" s="2275"/>
      <c r="EV491" s="2275"/>
      <c r="EW491" s="2275"/>
      <c r="EX491" s="2275"/>
      <c r="EY491" s="2275"/>
      <c r="EZ491" s="2275"/>
      <c r="FA491" s="2275"/>
      <c r="FB491" s="2275"/>
      <c r="FC491" s="2275"/>
      <c r="FD491" s="2276">
        <f>VLOOKUP(FD476,FD478:FD490,1)</f>
        <v>17.079999999999998</v>
      </c>
      <c r="FE491" s="2276">
        <f>IFERROR(VLOOKUP(FD476,FE479:FE489,1,0),0)</f>
        <v>0</v>
      </c>
      <c r="FF491" s="2275"/>
      <c r="FG491" s="2275"/>
      <c r="FH491" s="2275"/>
      <c r="FI491" s="2275"/>
      <c r="FJ491" s="2275"/>
      <c r="FK491" s="2275"/>
      <c r="FL491" s="2275"/>
      <c r="FM491" s="2250"/>
      <c r="FN491" s="2250"/>
      <c r="FO491" s="2250"/>
      <c r="FP491" s="2250"/>
      <c r="FQ491" s="2250"/>
      <c r="FR491" s="2250"/>
      <c r="FS491" s="2250"/>
      <c r="FT491" s="2250"/>
      <c r="FU491" s="2250"/>
      <c r="FV491" s="2250"/>
      <c r="FW491" s="2250"/>
      <c r="FX491" s="2250"/>
      <c r="FY491" s="2250"/>
      <c r="FZ491" s="2250"/>
      <c r="GA491" s="2250"/>
      <c r="GB491" s="2250"/>
      <c r="GC491" s="2276"/>
      <c r="GD491" s="2276"/>
      <c r="GE491" s="2250"/>
      <c r="GF491" s="2275"/>
      <c r="GG491" s="2276">
        <f>HM492</f>
        <v>23.38</v>
      </c>
      <c r="GH491" s="2275"/>
      <c r="GI491" s="2275"/>
      <c r="GJ491" s="2275"/>
      <c r="GK491" s="2275"/>
      <c r="GL491" s="2275"/>
      <c r="GM491" s="2275"/>
      <c r="GN491" s="2275"/>
      <c r="GO491" s="2275"/>
      <c r="GP491" s="2275"/>
      <c r="GQ491" s="2275"/>
      <c r="GR491" s="2275"/>
      <c r="GS491" s="2275"/>
      <c r="GT491" s="2275"/>
      <c r="GU491" s="2275"/>
      <c r="GV491" s="2275"/>
      <c r="GW491" s="2275"/>
      <c r="GX491" s="2275"/>
      <c r="GY491" s="2275"/>
      <c r="GZ491" s="2275"/>
      <c r="HA491" s="2275"/>
      <c r="HB491" s="2275"/>
      <c r="HC491" s="2275"/>
      <c r="HD491" s="2275"/>
      <c r="HE491" s="2275"/>
      <c r="HF491" s="2275"/>
      <c r="HG491" s="2275"/>
      <c r="HH491" s="2275"/>
      <c r="HI491" s="2275"/>
      <c r="HJ491" s="2275"/>
      <c r="HK491" s="2275"/>
      <c r="HL491" s="2276">
        <f>VLOOKUP(HL476,HL478:HL490,1)</f>
        <v>16.079999999999998</v>
      </c>
      <c r="HM491" s="2276">
        <f>IFERROR(VLOOKUP(HL476,HM479:HM489,1,0),0)</f>
        <v>0</v>
      </c>
      <c r="HN491" s="2275"/>
      <c r="HO491" s="2275"/>
      <c r="HP491" s="2275"/>
      <c r="HQ491" s="2275"/>
      <c r="HR491" s="2275"/>
      <c r="HS491" s="2275"/>
      <c r="HT491" s="2275"/>
      <c r="HU491" s="2250"/>
      <c r="HV491" s="2250"/>
      <c r="HW491" s="2250"/>
      <c r="HX491" s="2250"/>
      <c r="HY491" s="2250"/>
      <c r="HZ491" s="2250"/>
      <c r="IA491" s="2250"/>
      <c r="IB491" s="2250"/>
      <c r="IC491" s="2250"/>
      <c r="ID491" s="2250"/>
      <c r="IE491" s="2250"/>
      <c r="IF491" s="2250"/>
      <c r="IG491" s="2250"/>
      <c r="IH491" s="2250"/>
      <c r="II491" s="2250"/>
      <c r="IJ491" s="2250"/>
      <c r="IK491" s="2250"/>
      <c r="IL491" s="53"/>
      <c r="IM491" s="53"/>
    </row>
    <row r="492" spans="2:247" ht="21.95" customHeight="1">
      <c r="B492" s="3693">
        <f>AI492</f>
        <v>1100</v>
      </c>
      <c r="C492" s="2346" t="s">
        <v>739</v>
      </c>
      <c r="D492" s="3693">
        <f>HLOOKUP(B490,D476:AD490,15,0)</f>
        <v>22</v>
      </c>
      <c r="E492" s="3693" t="str">
        <f>IF(B491=D492,"Right","Wrong")</f>
        <v>Right</v>
      </c>
      <c r="F492" s="2275"/>
      <c r="G492" s="2275"/>
      <c r="H492" s="2275"/>
      <c r="I492" s="2275"/>
      <c r="J492" s="2275"/>
      <c r="K492" s="2275"/>
      <c r="L492" s="2275"/>
      <c r="M492" s="2275"/>
      <c r="N492" s="2275"/>
      <c r="O492" s="2275"/>
      <c r="P492" s="2275"/>
      <c r="Q492" s="2275"/>
      <c r="R492" s="2275"/>
      <c r="S492" s="2275"/>
      <c r="T492" s="2275"/>
      <c r="U492" s="2275"/>
      <c r="V492" s="2275"/>
      <c r="W492" s="2275"/>
      <c r="X492" s="2275"/>
      <c r="Y492" s="2275"/>
      <c r="Z492" s="2275"/>
      <c r="AA492" s="2275"/>
      <c r="AB492" s="2275"/>
      <c r="AC492" s="2275"/>
      <c r="AD492" s="2275"/>
      <c r="AE492" s="2275"/>
      <c r="AF492" s="2275"/>
      <c r="AG492" s="2276">
        <f>VLOOKUP(AG491,AG478:AH489,2,0)</f>
        <v>22</v>
      </c>
      <c r="AH492" s="2276">
        <f>IF(AH491&gt;0,AH491,AG492)</f>
        <v>22</v>
      </c>
      <c r="AI492" s="2276">
        <f>VLOOKUP(AH492,AH479:AI489,2,0)</f>
        <v>1100</v>
      </c>
      <c r="AJ492" s="2275"/>
      <c r="AK492" s="2275"/>
      <c r="AL492" s="2275"/>
      <c r="AM492" s="2275"/>
      <c r="AN492" s="2275"/>
      <c r="AO492" s="2275"/>
      <c r="AP492" s="2250"/>
      <c r="AQ492" s="2250"/>
      <c r="AR492" s="2250"/>
      <c r="AS492" s="2250"/>
      <c r="AT492" s="2250"/>
      <c r="AU492" s="2250"/>
      <c r="AV492" s="2250"/>
      <c r="AW492" s="2250"/>
      <c r="AX492" s="2250"/>
      <c r="AY492" s="2250"/>
      <c r="AZ492" s="2250"/>
      <c r="BA492" s="2250"/>
      <c r="BB492" s="2250"/>
      <c r="BC492" s="2250"/>
      <c r="BD492" s="2250"/>
      <c r="BE492" s="2250"/>
      <c r="BF492" s="2276"/>
      <c r="BG492" s="2276"/>
      <c r="BH492" s="2250"/>
      <c r="BI492" s="2275"/>
      <c r="BJ492" s="3693">
        <f>CQ492</f>
        <v>1250</v>
      </c>
      <c r="BK492" s="2346" t="s">
        <v>739</v>
      </c>
      <c r="BL492" s="3693">
        <f>HLOOKUP(BJ490,BL476:CL490,15,0)</f>
        <v>29.23</v>
      </c>
      <c r="BM492" s="3693" t="str">
        <f>IF(BJ491=BL492,"Right","Wrong")</f>
        <v>Right</v>
      </c>
      <c r="BN492" s="2275"/>
      <c r="BO492" s="2275"/>
      <c r="BP492" s="2275"/>
      <c r="BQ492" s="2275"/>
      <c r="BR492" s="2275"/>
      <c r="BS492" s="2275"/>
      <c r="BT492" s="2275"/>
      <c r="BU492" s="2275"/>
      <c r="BV492" s="2275"/>
      <c r="BW492" s="2275"/>
      <c r="BX492" s="2275"/>
      <c r="BY492" s="2275"/>
      <c r="BZ492" s="2275"/>
      <c r="CA492" s="2275"/>
      <c r="CB492" s="2275"/>
      <c r="CC492" s="2275"/>
      <c r="CD492" s="2275"/>
      <c r="CE492" s="2275"/>
      <c r="CF492" s="2275"/>
      <c r="CG492" s="2275"/>
      <c r="CH492" s="2275"/>
      <c r="CI492" s="2275"/>
      <c r="CJ492" s="2275"/>
      <c r="CK492" s="2275"/>
      <c r="CL492" s="2275"/>
      <c r="CM492" s="2275"/>
      <c r="CN492" s="2275"/>
      <c r="CO492" s="2276">
        <f>VLOOKUP(CO491,CO478:CP489,2,0)</f>
        <v>29.23</v>
      </c>
      <c r="CP492" s="2276">
        <f>IF(CP491&gt;0,CP491,CO492)</f>
        <v>29.23</v>
      </c>
      <c r="CQ492" s="2276">
        <f>VLOOKUP(CP492,CP479:CQ489,2,0)</f>
        <v>1250</v>
      </c>
      <c r="CR492" s="2275"/>
      <c r="CS492" s="2275"/>
      <c r="CT492" s="2275"/>
      <c r="CU492" s="2275"/>
      <c r="CV492" s="2275"/>
      <c r="CW492" s="2275"/>
      <c r="CX492" s="2250"/>
      <c r="CY492" s="2250"/>
      <c r="CZ492" s="2250"/>
      <c r="DA492" s="2250"/>
      <c r="DB492" s="2250"/>
      <c r="DC492" s="2250"/>
      <c r="DD492" s="2250"/>
      <c r="DE492" s="2250"/>
      <c r="DF492" s="2250"/>
      <c r="DG492" s="2250"/>
      <c r="DH492" s="2250"/>
      <c r="DI492" s="2250"/>
      <c r="DJ492" s="2250"/>
      <c r="DK492" s="2250"/>
      <c r="DL492" s="2250"/>
      <c r="DM492" s="2250"/>
      <c r="DN492" s="2250"/>
      <c r="DO492" s="53"/>
      <c r="DP492" s="53"/>
      <c r="DY492" s="3693">
        <f>FF492</f>
        <v>950</v>
      </c>
      <c r="DZ492" s="2346" t="s">
        <v>739</v>
      </c>
      <c r="EA492" s="3693">
        <f>HLOOKUP(DY490,EA476:FA490,15,0)</f>
        <v>25.46</v>
      </c>
      <c r="EB492" s="3693" t="str">
        <f>IF(DY491=EA492,"Right","Wrong")</f>
        <v>Right</v>
      </c>
      <c r="EC492" s="2275"/>
      <c r="ED492" s="2275"/>
      <c r="EE492" s="2275"/>
      <c r="EF492" s="2275"/>
      <c r="EG492" s="2275"/>
      <c r="EH492" s="2275"/>
      <c r="EI492" s="2275"/>
      <c r="EJ492" s="2275"/>
      <c r="EK492" s="2275"/>
      <c r="EL492" s="2275"/>
      <c r="EM492" s="2275"/>
      <c r="EN492" s="2275"/>
      <c r="EO492" s="2275"/>
      <c r="EP492" s="2275"/>
      <c r="EQ492" s="2275"/>
      <c r="ER492" s="2275"/>
      <c r="ES492" s="2275"/>
      <c r="ET492" s="2275"/>
      <c r="EU492" s="2275"/>
      <c r="EV492" s="2275"/>
      <c r="EW492" s="2275"/>
      <c r="EX492" s="2275"/>
      <c r="EY492" s="2275"/>
      <c r="EZ492" s="2275"/>
      <c r="FA492" s="2275"/>
      <c r="FB492" s="2275"/>
      <c r="FC492" s="2275"/>
      <c r="FD492" s="2276">
        <f>VLOOKUP(FD491,FD478:FE489,2,0)</f>
        <v>25.46</v>
      </c>
      <c r="FE492" s="2276">
        <f>IF(FE491&gt;0,FE491,FD492)</f>
        <v>25.46</v>
      </c>
      <c r="FF492" s="2276">
        <f>VLOOKUP(FE492,FE479:FF489,2,0)</f>
        <v>950</v>
      </c>
      <c r="FG492" s="2275"/>
      <c r="FH492" s="2275"/>
      <c r="FI492" s="2275"/>
      <c r="FJ492" s="2275"/>
      <c r="FK492" s="2275"/>
      <c r="FL492" s="2275"/>
      <c r="FM492" s="2250"/>
      <c r="FN492" s="2250"/>
      <c r="FO492" s="2250"/>
      <c r="FP492" s="2250"/>
      <c r="FQ492" s="2250"/>
      <c r="FR492" s="2250"/>
      <c r="FS492" s="2250"/>
      <c r="FT492" s="2250"/>
      <c r="FU492" s="2250"/>
      <c r="FV492" s="2250"/>
      <c r="FW492" s="2250"/>
      <c r="FX492" s="2250"/>
      <c r="FY492" s="2250"/>
      <c r="FZ492" s="2250"/>
      <c r="GA492" s="2250"/>
      <c r="GB492" s="2250"/>
      <c r="GC492" s="2276"/>
      <c r="GD492" s="2276"/>
      <c r="GE492" s="2250"/>
      <c r="GF492" s="2275"/>
      <c r="GG492" s="3693">
        <f>HN492</f>
        <v>950</v>
      </c>
      <c r="GH492" s="2346" t="s">
        <v>739</v>
      </c>
      <c r="GI492" s="3693">
        <f>HLOOKUP(GG490,GI476:HI490,15,0)</f>
        <v>23.38</v>
      </c>
      <c r="GJ492" s="3693" t="str">
        <f>IF(GG491=GI492,"Right","Wrong")</f>
        <v>Right</v>
      </c>
      <c r="GK492" s="2275"/>
      <c r="GL492" s="2275"/>
      <c r="GM492" s="2275"/>
      <c r="GN492" s="2275"/>
      <c r="GO492" s="2275"/>
      <c r="GP492" s="2275"/>
      <c r="GQ492" s="2275"/>
      <c r="GR492" s="2275"/>
      <c r="GS492" s="2275"/>
      <c r="GT492" s="2275"/>
      <c r="GU492" s="2275"/>
      <c r="GV492" s="2275"/>
      <c r="GW492" s="2275"/>
      <c r="GX492" s="2275"/>
      <c r="GY492" s="2275"/>
      <c r="GZ492" s="2275"/>
      <c r="HA492" s="2275"/>
      <c r="HB492" s="2275"/>
      <c r="HC492" s="2275"/>
      <c r="HD492" s="2275"/>
      <c r="HE492" s="2275"/>
      <c r="HF492" s="2275"/>
      <c r="HG492" s="2275"/>
      <c r="HH492" s="2275"/>
      <c r="HI492" s="2275"/>
      <c r="HJ492" s="2275"/>
      <c r="HK492" s="2275"/>
      <c r="HL492" s="2276">
        <f>VLOOKUP(HL491,HL478:HM489,2,0)</f>
        <v>23.38</v>
      </c>
      <c r="HM492" s="2276">
        <f>IF(HM491&gt;0,HM491,HL492)</f>
        <v>23.38</v>
      </c>
      <c r="HN492" s="2276">
        <f>VLOOKUP(HM492,HM479:HN489,2,0)</f>
        <v>950</v>
      </c>
      <c r="HO492" s="2275"/>
      <c r="HP492" s="2275"/>
      <c r="HQ492" s="2275"/>
      <c r="HR492" s="2275"/>
      <c r="HS492" s="2275"/>
      <c r="HT492" s="2275"/>
      <c r="HU492" s="2250"/>
      <c r="HV492" s="2250"/>
      <c r="HW492" s="2250"/>
      <c r="HX492" s="2250"/>
      <c r="HY492" s="2250"/>
      <c r="HZ492" s="2250"/>
      <c r="IA492" s="2250"/>
      <c r="IB492" s="2250"/>
      <c r="IC492" s="2250"/>
      <c r="ID492" s="2250"/>
      <c r="IE492" s="2250"/>
      <c r="IF492" s="2250"/>
      <c r="IG492" s="2250"/>
      <c r="IH492" s="2250"/>
      <c r="II492" s="2250"/>
      <c r="IJ492" s="2250"/>
      <c r="IK492" s="2250"/>
      <c r="IL492" s="53"/>
      <c r="IM492" s="53"/>
    </row>
    <row r="493" spans="2:247" ht="21.95" customHeight="1">
      <c r="B493" s="2250"/>
      <c r="C493" s="2275"/>
      <c r="D493" s="2276">
        <f>+IF(B472&lt;=D478,D478,IF(B472&lt;=D479,D479,IF(B472&lt;=D480,D480,IF(B472&lt;=D481,D481,IF(B472&lt;=D482,D482,IF(B472&lt;=D483,D483,IF(B472&lt;=D484,D484,IF(B472&lt;=D485,D485,0))))))))</f>
        <v>0</v>
      </c>
      <c r="E493" s="2276">
        <f>+IF(B472&lt;=E478,E478,IF(B472&lt;=E479,E479,IF(B472&lt;=E480,E480,IF(B472&lt;=E481,E481,IF(B472&lt;=E482,E482,IF(B472&lt;=E483,E483,IF(B472&lt;=E484,E484,IF(B472&lt;=E485,E485,0))))))))</f>
        <v>0</v>
      </c>
      <c r="F493" s="2276">
        <f>+IF(B472&lt;=F478,F478,IF(B472&lt;=F479,F479,IF(B472&lt;=F480,F480,IF(B472&lt;=F481,F481,IF(B472&lt;=F482,F482,IF(B472&lt;=F483,F483,IF(B472&lt;=F484,F484,IF(B472&lt;=F485,F485,0))))))))</f>
        <v>22</v>
      </c>
      <c r="G493" s="2276">
        <f>+IF(B472&lt;=G478,G478,IF(B472&lt;=G479,G479,IF(B472&lt;=G480,G480,IF(B472&lt;=G481,G481,IF(B472&lt;=G482,G482,IF(B472&lt;=G483,G483,IF(B472&lt;=G484,G484,IF(B472&lt;=G485,G485,0))))))))</f>
        <v>24.38</v>
      </c>
      <c r="H493" s="2276">
        <f>+IF(B472&lt;=H478,H478,IF(B472&lt;=H479,H479,IF(B472&lt;=H480,H480,IF(B472&lt;=H481,H481,IF(B472&lt;=H482,H482,IF(B472&lt;=H483,H483,IF(B472&lt;=H484,H484,IF(B472&lt;=H485,H485,0))))))))</f>
        <v>26.62</v>
      </c>
      <c r="I493" s="2276">
        <f>+IF(B472&lt;=I478,I478,IF(B472&lt;=I479,I479,IF(B472&lt;=I480,I480,IF(B472&lt;=I481,I481,IF(B472&lt;=I482,I482,IF(B472&lt;=I483,I483,IF(B472&lt;=I484,I484,IF(B472&lt;=I485,I485,0))))))))</f>
        <v>25.08</v>
      </c>
      <c r="J493" s="2276">
        <f>+IF(B472&lt;=J478,J478,IF(B472&lt;=J479,J479,IF(B472&lt;=J480,J480,IF(B472&lt;=J481,J481,IF(B472&lt;=J482,J482,IF(B472&lt;=J483,J483,IF(B472&lt;=J484,J484,IF(B472&lt;=J485,J485,0))))))))</f>
        <v>20.62</v>
      </c>
      <c r="K493" s="2276">
        <f>+IF(B472&lt;=K478,K478,IF(B472&lt;=K479,K479,IF(B472&lt;=K480,K480,IF(B472&lt;=K481,K481,IF(B472&lt;=K482,K482,IF(B472&lt;=K483,K483,IF(B472&lt;=K484,K484,IF(B472&lt;=K485,K485,0))))))))</f>
        <v>22</v>
      </c>
      <c r="L493" s="2276">
        <f>+IF(B472&lt;=L478,L478,IF(B472&lt;=L479,L479,IF(B472&lt;=L480,L480,IF(B472&lt;=L481,L481,IF(B472&lt;=L482,L482,IF(B472&lt;=L483,L483,IF(B472&lt;=L484,L484,IF(B472&lt;=L485,L485,0))))))))</f>
        <v>23.38</v>
      </c>
      <c r="M493" s="2276">
        <f>+IF(B472&lt;=M478,M478,IF(B472&lt;=M479,M479,IF(B472&lt;=M480,M480,IF(B472&lt;=M481,M481,IF(B472&lt;=M482,M482,IF(B472&lt;=M483,M483,IF(B472&lt;=M484,M484,IF(B472&lt;=M485,M485,0))))))))</f>
        <v>25.46</v>
      </c>
      <c r="N493" s="2276">
        <f>+IF(B472&lt;=N478,N478,IF(B472&lt;=N479,N479,IF(B472&lt;=N480,N480,IF(B472&lt;=N481,N481,IF(B472&lt;=N482,N482,IF(B472&lt;=N483,N483,IF(B472&lt;=N484,N484,IF(B472&lt;=N485,N485,0))))))))</f>
        <v>26</v>
      </c>
      <c r="O493" s="2276">
        <f>+IF(B472&lt;=O478,O478,IF(B472&lt;=O479,O479,IF(B472&lt;=O480,O480,IF(B472&lt;=O481,O481,IF(B472&lt;=O482,O482,IF(B472&lt;=O483,O483,IF(B472&lt;=O484,O484,IF(B472&lt;=O485,O485,0))))))))</f>
        <v>20.149999999999999</v>
      </c>
      <c r="P493" s="2276">
        <f>+IF(B472&lt;=P478,P478,IF(B472&lt;=P479,P479,IF(B472&lt;=P480,P480,IF(B472&lt;=P481,P481,IF(B472&lt;=P482,P482,IF(B472&lt;=P483,P483,IF(B472&lt;=P484,P484,IF(B472&lt;=P485,P485,0))))))))</f>
        <v>21.08</v>
      </c>
      <c r="Q493" s="2276">
        <f>+IF(B472&lt;=Q478,Q478,IF(B472&lt;=Q479,Q479,IF(B472&lt;=Q480,Q480,IF(B472&lt;=Q481,Q481,IF(B472&lt;=Q482,Q482,IF(B472&lt;=Q483,Q483,IF(B472&lt;=Q484,Q484,IF(B472&lt;=Q485,Q485,0))))))))</f>
        <v>21.54</v>
      </c>
      <c r="R493" s="2276">
        <f>+IF(B472&lt;=R478,R478,IF(B472&lt;=R479,R479,IF(B472&lt;=R480,R480,IF(B472&lt;=R481,R481,IF(B472&lt;=R482,R482,IF(B472&lt;=R483,R483,IF(B472&lt;=R484,R484,IF(B472&lt;=R485,R485,0))))))))</f>
        <v>22.15</v>
      </c>
      <c r="S493" s="2276">
        <f>+IF(B472&lt;=S478,S478,IF(B472&lt;=S479,S479,IF(B472&lt;=S480,S480,IF(B472&lt;=S481,S481,IF(B472&lt;=S482,S482,IF(B472&lt;=S483,S483,IF(B472&lt;=S484,S484,IF(B472&lt;=S485,S485,0))))))))</f>
        <v>24.31</v>
      </c>
      <c r="T493" s="2276">
        <f>+IF(B472&lt;=T478,T478,IF(B472&lt;=T479,T479,IF(B472&lt;=T480,T480,IF(B472&lt;=T481,T481,IF(B472&lt;=T482,T482,IF(B472&lt;=T483,T483,IF(B472&lt;=T484,T484,IF(B472&lt;=T485,T485,0))))))))</f>
        <v>20.149999999999999</v>
      </c>
      <c r="U493" s="2276">
        <f>+IF(B472&lt;=U478,U478,IF(B472&lt;=U479,U479,IF(B472&lt;=U480,U480,IF(B472&lt;=U481,U481,IF(B472&lt;=U482,U482,IF(B472&lt;=U483,U483,IF(B472&lt;=U484,U484,IF(B472&lt;=U485,U485,0))))))))</f>
        <v>21.08</v>
      </c>
      <c r="V493" s="2276">
        <f>+IF(B472&lt;=V478,V478,IF(B472&lt;=V479,V479,IF(B472&lt;=V480,V480,IF(B472&lt;=V481,V481,IF(B472&lt;=V482,V482,IF(B472&lt;=V483,V483,IF(B472&lt;=V484,V484,IF(B472&lt;=V485,V485,0))))))))</f>
        <v>22.38</v>
      </c>
      <c r="W493" s="2276">
        <f>+IF(B472&lt;=W478,W478,IF(B472&lt;=W479,W479,IF(B472&lt;=W480,W480,IF(B472&lt;=W481,W481,IF(B472&lt;=W482,W482,IF(B472&lt;=W483,W483,IF(B472&lt;=W484,W484,IF(B472&lt;=W485,W485,0))))))))</f>
        <v>24.62</v>
      </c>
      <c r="X493" s="2276">
        <f>+IF(B472&lt;=X478,X478,IF(B472&lt;=X479,X479,IF(B472&lt;=X480,X480,IF(B472&lt;=X481,X481,IF(B472&lt;=X482,X482,IF(B472&lt;=X483,X483,IF(B472&lt;=X484,X484,IF(B472&lt;=X485,X485,0))))))))</f>
        <v>26.08</v>
      </c>
      <c r="Y493" s="2276">
        <f>+IF(B472&lt;=Y478,Y478,IF(B472&lt;=Y479,Y479,IF(B472&lt;=Y480,Y480,IF(B472&lt;=Y481,Y481,IF(B472&lt;=Y482,Y482,IF(B472&lt;=Y483,Y483,IF(B472&lt;=Y484,Y484,IF(B472&lt;=Y485,Y485,0))))))))</f>
        <v>28.62</v>
      </c>
      <c r="Z493" s="2276">
        <f>+IF(B472&lt;=Z478,Z478,IF(B472&lt;=Z479,Z479,IF(B472&lt;=Z480,Z480,IF(B472&lt;=Z481,Z481,IF(B472&lt;=Z482,Z482,IF(B472&lt;=Z483,Z483,IF(B472&lt;=Z484,Z484,IF(B472&lt;=Z485,Z485,0))))))))</f>
        <v>31.77</v>
      </c>
      <c r="AA493" s="2276">
        <f>+IF(B472&lt;=AA478,AA478,IF(B472&lt;=AA479,AA479,IF(B472&lt;=AA480,AA480,IF(B472&lt;=AA481,AA481,IF(B472&lt;=AA482,AA482,IF(B472&lt;=AA483,AA483,IF(B472&lt;=AA484,AA484,IF(B472&lt;=AA485,AA485,0))))))))</f>
        <v>21.62</v>
      </c>
      <c r="AB493" s="2276">
        <f>+IF(B472&lt;=AB478,AB478,IF(B472&lt;=AB479,AB479,IF(B472&lt;=AB480,AB480,IF(B472&lt;=AB481,AB481,IF(B472&lt;=AB482,AB482,IF(B472&lt;=AB483,AB483,IF(B472&lt;=AB484,AB484,IF(B472&lt;=AB485,AB485,0))))))))</f>
        <v>24.08</v>
      </c>
      <c r="AC493" s="2276">
        <f>+IF(B472&lt;=AC478,AC478,IF(B472&lt;=AC479,AC479,IF(B472&lt;=AC480,AC480,IF(B472&lt;=AC481,AC481,IF(B472&lt;=AC482,AC482,IF(B472&lt;=AC483,AC483,IF(B472&lt;=AC484,AC484,IF(B472&lt;=AC485,AC485,0))))))))</f>
        <v>25.85</v>
      </c>
      <c r="AD493" s="2276">
        <f>+IF(B472&lt;=AD478,AD478,IF(B472&lt;=AD479,AD479,IF(B472&lt;=AD480,AD480,IF(B472&lt;=AD481,AD481,IF(B472&lt;=AD482,AD482,IF(B472&lt;=AD483,AD483,IF(B472&lt;=AD484,AD484,IF(B472&lt;=AD485,AD485,0))))))))</f>
        <v>30.46</v>
      </c>
      <c r="AE493" s="2275"/>
      <c r="AF493" s="2275"/>
      <c r="AG493" s="2275"/>
      <c r="AH493" s="2275"/>
      <c r="AI493" s="2275"/>
      <c r="AJ493" s="2275"/>
      <c r="AK493" s="2275"/>
      <c r="AL493" s="2275"/>
      <c r="AM493" s="2275"/>
      <c r="AN493" s="2275"/>
      <c r="AO493" s="2275"/>
      <c r="AP493" s="2250"/>
      <c r="AQ493" s="2250"/>
      <c r="AR493" s="2250"/>
      <c r="AS493" s="2250"/>
      <c r="AT493" s="2250"/>
      <c r="AU493" s="2250"/>
      <c r="AV493" s="2250"/>
      <c r="AW493" s="2250"/>
      <c r="AX493" s="2250"/>
      <c r="AY493" s="2250"/>
      <c r="AZ493" s="2250"/>
      <c r="BA493" s="2250"/>
      <c r="BB493" s="2250"/>
      <c r="BC493" s="2250"/>
      <c r="BD493" s="2250"/>
      <c r="BE493" s="2250"/>
      <c r="BF493" s="2276"/>
      <c r="BG493" s="2276"/>
      <c r="BH493" s="2250"/>
      <c r="BI493" s="2275"/>
      <c r="BJ493" s="2250"/>
      <c r="BK493" s="2275"/>
      <c r="BL493" s="2276">
        <f>+IF(BJ472&lt;=BL478,BL478,IF(BJ472&lt;=BL479,BL479,IF(BJ472&lt;=BL480,BL480,IF(BJ472&lt;=BL481,BL481,IF(BJ472&lt;=BL482,BL482,IF(BJ472&lt;=BL483,BL483,IF(BJ472&lt;=BL484,BL484,IF(BJ472&lt;=BL485,BL485,0))))))))</f>
        <v>0</v>
      </c>
      <c r="BM493" s="2276">
        <f>+IF(BJ472&lt;=BM478,BM478,IF(BJ472&lt;=BM479,BM479,IF(BJ472&lt;=BM480,BM480,IF(BJ472&lt;=BM481,BM481,IF(BJ472&lt;=BM482,BM482,IF(BJ472&lt;=BM483,BM483,IF(BJ472&lt;=BM484,BM484,IF(BJ472&lt;=BM485,BM485,0))))))))</f>
        <v>0</v>
      </c>
      <c r="BN493" s="2276">
        <f>+IF(BJ472&lt;=BN478,BN478,IF(BJ472&lt;=BN479,BN479,IF(BJ472&lt;=BN480,BN480,IF(BJ472&lt;=BN481,BN481,IF(BJ472&lt;=BN482,BN482,IF(BJ472&lt;=BN483,BN483,IF(BJ472&lt;=BN484,BN484,IF(BJ472&lt;=BN485,BN485,0))))))))</f>
        <v>22</v>
      </c>
      <c r="BO493" s="2276">
        <f>+IF(BJ472&lt;=BO478,BO478,IF(BJ472&lt;=BO479,BO479,IF(BJ472&lt;=BO480,BO480,IF(BJ472&lt;=BO481,BO481,IF(BJ472&lt;=BO482,BO482,IF(BJ472&lt;=BO483,BO483,IF(BJ472&lt;=BO484,BO484,IF(BJ472&lt;=BO485,BO485,0))))))))</f>
        <v>24.38</v>
      </c>
      <c r="BP493" s="2276">
        <f>+IF(BJ472&lt;=BP478,BP478,IF(BJ472&lt;=BP479,BP479,IF(BJ472&lt;=BP480,BP480,IF(BJ472&lt;=BP481,BP481,IF(BJ472&lt;=BP482,BP482,IF(BJ472&lt;=BP483,BP483,IF(BJ472&lt;=BP484,BP484,IF(BJ472&lt;=BP485,BP485,0))))))))</f>
        <v>26.62</v>
      </c>
      <c r="BQ493" s="2276">
        <f>+IF(BJ472&lt;=BQ478,BQ478,IF(BJ472&lt;=BQ479,BQ479,IF(BJ472&lt;=BQ480,BQ480,IF(BJ472&lt;=BQ481,BQ481,IF(BJ472&lt;=BQ482,BQ482,IF(BJ472&lt;=BQ483,BQ483,IF(BJ472&lt;=BQ484,BQ484,IF(BJ472&lt;=BQ485,BQ485,0))))))))</f>
        <v>25.08</v>
      </c>
      <c r="BR493" s="2276">
        <f>+IF(BJ472&lt;=BR478,BR478,IF(BJ472&lt;=BR479,BR479,IF(BJ472&lt;=BR480,BR480,IF(BJ472&lt;=BR481,BR481,IF(BJ472&lt;=BR482,BR482,IF(BJ472&lt;=BR483,BR483,IF(BJ472&lt;=BR484,BR484,IF(BJ472&lt;=BR485,BR485,0))))))))</f>
        <v>20.62</v>
      </c>
      <c r="BS493" s="2276">
        <f>+IF(BJ472&lt;=BS478,BS478,IF(BJ472&lt;=BS479,BS479,IF(BJ472&lt;=BS480,BS480,IF(BJ472&lt;=BS481,BS481,IF(BJ472&lt;=BS482,BS482,IF(BJ472&lt;=BS483,BS483,IF(BJ472&lt;=BS484,BS484,IF(BJ472&lt;=BS485,BS485,0))))))))</f>
        <v>22</v>
      </c>
      <c r="BT493" s="2276">
        <f>+IF(BJ472&lt;=BT478,BT478,IF(BJ472&lt;=BT479,BT479,IF(BJ472&lt;=BT480,BT480,IF(BJ472&lt;=BT481,BT481,IF(BJ472&lt;=BT482,BT482,IF(BJ472&lt;=BT483,BT483,IF(BJ472&lt;=BT484,BT484,IF(BJ472&lt;=BT485,BT485,0))))))))</f>
        <v>23.38</v>
      </c>
      <c r="BU493" s="2276">
        <f>+IF(BJ472&lt;=BU478,BU478,IF(BJ472&lt;=BU479,BU479,IF(BJ472&lt;=BU480,BU480,IF(BJ472&lt;=BU481,BU481,IF(BJ472&lt;=BU482,BU482,IF(BJ472&lt;=BU483,BU483,IF(BJ472&lt;=BU484,BU484,IF(BJ472&lt;=BU485,BU485,0))))))))</f>
        <v>25.46</v>
      </c>
      <c r="BV493" s="2276">
        <f>+IF(BJ472&lt;=BV478,BV478,IF(BJ472&lt;=BV479,BV479,IF(BJ472&lt;=BV480,BV480,IF(BJ472&lt;=BV481,BV481,IF(BJ472&lt;=BV482,BV482,IF(BJ472&lt;=BV483,BV483,IF(BJ472&lt;=BV484,BV484,IF(BJ472&lt;=BV485,BV485,0))))))))</f>
        <v>26</v>
      </c>
      <c r="BW493" s="2276">
        <f>+IF(BJ472&lt;=BW478,BW478,IF(BJ472&lt;=BW479,BW479,IF(BJ472&lt;=BW480,BW480,IF(BJ472&lt;=BW481,BW481,IF(BJ472&lt;=BW482,BW482,IF(BJ472&lt;=BW483,BW483,IF(BJ472&lt;=BW484,BW484,IF(BJ472&lt;=BW485,BW485,0))))))))</f>
        <v>20.149999999999999</v>
      </c>
      <c r="BX493" s="2276">
        <f>+IF(BJ472&lt;=BX478,BX478,IF(BJ472&lt;=BX479,BX479,IF(BJ472&lt;=BX480,BX480,IF(BJ472&lt;=BX481,BX481,IF(BJ472&lt;=BX482,BX482,IF(BJ472&lt;=BX483,BX483,IF(BJ472&lt;=BX484,BX484,IF(BJ472&lt;=BX485,BX485,0))))))))</f>
        <v>21.08</v>
      </c>
      <c r="BY493" s="2276">
        <f>+IF(BJ472&lt;=BY478,BY478,IF(BJ472&lt;=BY479,BY479,IF(BJ472&lt;=BY480,BY480,IF(BJ472&lt;=BY481,BY481,IF(BJ472&lt;=BY482,BY482,IF(BJ472&lt;=BY483,BY483,IF(BJ472&lt;=BY484,BY484,IF(BJ472&lt;=BY485,BY485,0))))))))</f>
        <v>21.54</v>
      </c>
      <c r="BZ493" s="2276">
        <f>+IF(BJ472&lt;=BZ478,BZ478,IF(BJ472&lt;=BZ479,BZ479,IF(BJ472&lt;=BZ480,BZ480,IF(BJ472&lt;=BZ481,BZ481,IF(BJ472&lt;=BZ482,BZ482,IF(BJ472&lt;=BZ483,BZ483,IF(BJ472&lt;=BZ484,BZ484,IF(BJ472&lt;=BZ485,BZ485,0))))))))</f>
        <v>22.15</v>
      </c>
      <c r="CA493" s="2276">
        <f>+IF(BJ472&lt;=CA478,CA478,IF(BJ472&lt;=CA479,CA479,IF(BJ472&lt;=CA480,CA480,IF(BJ472&lt;=CA481,CA481,IF(BJ472&lt;=CA482,CA482,IF(BJ472&lt;=CA483,CA483,IF(BJ472&lt;=CA484,CA484,IF(BJ472&lt;=CA485,CA485,0))))))))</f>
        <v>24.31</v>
      </c>
      <c r="CB493" s="2276">
        <f>+IF(BJ472&lt;=CB478,CB478,IF(BJ472&lt;=CB479,CB479,IF(BJ472&lt;=CB480,CB480,IF(BJ472&lt;=CB481,CB481,IF(BJ472&lt;=CB482,CB482,IF(BJ472&lt;=CB483,CB483,IF(BJ472&lt;=CB484,CB484,IF(BJ472&lt;=CB485,CB485,0))))))))</f>
        <v>20.149999999999999</v>
      </c>
      <c r="CC493" s="2276">
        <f>+IF(BJ472&lt;=CC478,CC478,IF(BJ472&lt;=CC479,CC479,IF(BJ472&lt;=CC480,CC480,IF(BJ472&lt;=CC481,CC481,IF(BJ472&lt;=CC482,CC482,IF(BJ472&lt;=CC483,CC483,IF(BJ472&lt;=CC484,CC484,IF(BJ472&lt;=CC485,CC485,0))))))))</f>
        <v>21.08</v>
      </c>
      <c r="CD493" s="2276">
        <f>+IF(BJ472&lt;=CD478,CD478,IF(BJ472&lt;=CD479,CD479,IF(BJ472&lt;=CD480,CD480,IF(BJ472&lt;=CD481,CD481,IF(BJ472&lt;=CD482,CD482,IF(BJ472&lt;=CD483,CD483,IF(BJ472&lt;=CD484,CD484,IF(BJ472&lt;=CD485,CD485,0))))))))</f>
        <v>22.38</v>
      </c>
      <c r="CE493" s="2276">
        <f>+IF(BJ472&lt;=CE478,CE478,IF(BJ472&lt;=CE479,CE479,IF(BJ472&lt;=CE480,CE480,IF(BJ472&lt;=CE481,CE481,IF(BJ472&lt;=CE482,CE482,IF(BJ472&lt;=CE483,CE483,IF(BJ472&lt;=CE484,CE484,IF(BJ472&lt;=CE485,CE485,0))))))))</f>
        <v>24.62</v>
      </c>
      <c r="CF493" s="2276">
        <f>+IF(BJ472&lt;=CF478,CF478,IF(BJ472&lt;=CF479,CF479,IF(BJ472&lt;=CF480,CF480,IF(BJ472&lt;=CF481,CF481,IF(BJ472&lt;=CF482,CF482,IF(BJ472&lt;=CF483,CF483,IF(BJ472&lt;=CF484,CF484,IF(BJ472&lt;=CF485,CF485,0))))))))</f>
        <v>26.08</v>
      </c>
      <c r="CG493" s="2276">
        <f>+IF(BJ472&lt;=CG478,CG478,IF(BJ472&lt;=CG479,CG479,IF(BJ472&lt;=CG480,CG480,IF(BJ472&lt;=CG481,CG481,IF(BJ472&lt;=CG482,CG482,IF(BJ472&lt;=CG483,CG483,IF(BJ472&lt;=CG484,CG484,IF(BJ472&lt;=CG485,CG485,0))))))))</f>
        <v>28.62</v>
      </c>
      <c r="CH493" s="2276">
        <f>+IF(BJ472&lt;=CH478,CH478,IF(BJ472&lt;=CH479,CH479,IF(BJ472&lt;=CH480,CH480,IF(BJ472&lt;=CH481,CH481,IF(BJ472&lt;=CH482,CH482,IF(BJ472&lt;=CH483,CH483,IF(BJ472&lt;=CH484,CH484,IF(BJ472&lt;=CH485,CH485,0))))))))</f>
        <v>31.77</v>
      </c>
      <c r="CI493" s="2276">
        <f>+IF(BJ472&lt;=CI478,CI478,IF(BJ472&lt;=CI479,CI479,IF(BJ472&lt;=CI480,CI480,IF(BJ472&lt;=CI481,CI481,IF(BJ472&lt;=CI482,CI482,IF(BJ472&lt;=CI483,CI483,IF(BJ472&lt;=CI484,CI484,IF(BJ472&lt;=CI485,CI485,0))))))))</f>
        <v>21.62</v>
      </c>
      <c r="CJ493" s="2276">
        <f>+IF(BJ472&lt;=CJ478,CJ478,IF(BJ472&lt;=CJ479,CJ479,IF(BJ472&lt;=CJ480,CJ480,IF(BJ472&lt;=CJ481,CJ481,IF(BJ472&lt;=CJ482,CJ482,IF(BJ472&lt;=CJ483,CJ483,IF(BJ472&lt;=CJ484,CJ484,IF(BJ472&lt;=CJ485,CJ485,0))))))))</f>
        <v>24.08</v>
      </c>
      <c r="CK493" s="2276">
        <f>+IF(BJ472&lt;=CK478,CK478,IF(BJ472&lt;=CK479,CK479,IF(BJ472&lt;=CK480,CK480,IF(BJ472&lt;=CK481,CK481,IF(BJ472&lt;=CK482,CK482,IF(BJ472&lt;=CK483,CK483,IF(BJ472&lt;=CK484,CK484,IF(BJ472&lt;=CK485,CK485,0))))))))</f>
        <v>25.85</v>
      </c>
      <c r="CL493" s="2276">
        <f>+IF(BJ472&lt;=CL478,CL478,IF(BJ472&lt;=CL479,CL479,IF(BJ472&lt;=CL480,CL480,IF(BJ472&lt;=CL481,CL481,IF(BJ472&lt;=CL482,CL482,IF(BJ472&lt;=CL483,CL483,IF(BJ472&lt;=CL484,CL484,IF(BJ472&lt;=CL485,CL485,0))))))))</f>
        <v>30.46</v>
      </c>
      <c r="CM493" s="2275"/>
      <c r="CN493" s="2275"/>
      <c r="CO493" s="2275"/>
      <c r="CP493" s="2275"/>
      <c r="CQ493" s="2275"/>
      <c r="CR493" s="2275"/>
      <c r="CS493" s="2275"/>
      <c r="CT493" s="2275"/>
      <c r="CU493" s="2275"/>
      <c r="CV493" s="2275"/>
      <c r="CW493" s="2275"/>
      <c r="CX493" s="2250"/>
      <c r="CY493" s="2250"/>
      <c r="CZ493" s="2250"/>
      <c r="DA493" s="2250"/>
      <c r="DB493" s="2250"/>
      <c r="DC493" s="2250"/>
      <c r="DD493" s="2250"/>
      <c r="DE493" s="2250"/>
      <c r="DF493" s="2250"/>
      <c r="DG493" s="2250"/>
      <c r="DH493" s="2250"/>
      <c r="DI493" s="2250"/>
      <c r="DJ493" s="2250"/>
      <c r="DK493" s="2250"/>
      <c r="DL493" s="2250"/>
      <c r="DM493" s="2250"/>
      <c r="DN493" s="2250"/>
      <c r="DO493" s="53"/>
      <c r="DP493" s="53"/>
      <c r="DY493" s="2250"/>
      <c r="DZ493" s="2275"/>
      <c r="EA493" s="2276">
        <f>+IF(DY472&lt;=EA478,EA478,IF(DY472&lt;=EA479,EA479,IF(DY472&lt;=EA480,EA480,IF(DY472&lt;=EA481,EA481,IF(DY472&lt;=EA482,EA482,IF(DY472&lt;=EA483,EA483,IF(DY472&lt;=EA484,EA484,IF(DY472&lt;=EA485,EA485,0))))))))</f>
        <v>0</v>
      </c>
      <c r="EB493" s="2276">
        <f>+IF(DY472&lt;=EB478,EB478,IF(DY472&lt;=EB479,EB479,IF(DY472&lt;=EB480,EB480,IF(DY472&lt;=EB481,EB481,IF(DY472&lt;=EB482,EB482,IF(DY472&lt;=EB483,EB483,IF(DY472&lt;=EB484,EB484,IF(DY472&lt;=EB485,EB485,0))))))))</f>
        <v>0</v>
      </c>
      <c r="EC493" s="2276">
        <f>+IF(DY472&lt;=EC478,EC478,IF(DY472&lt;=EC479,EC479,IF(DY472&lt;=EC480,EC480,IF(DY472&lt;=EC481,EC481,IF(DY472&lt;=EC482,EC482,IF(DY472&lt;=EC483,EC483,IF(DY472&lt;=EC484,EC484,IF(DY472&lt;=EC485,EC485,0))))))))</f>
        <v>22</v>
      </c>
      <c r="ED493" s="2276">
        <f>+IF(DY472&lt;=ED478,ED478,IF(DY472&lt;=ED479,ED479,IF(DY472&lt;=ED480,ED480,IF(DY472&lt;=ED481,ED481,IF(DY472&lt;=ED482,ED482,IF(DY472&lt;=ED483,ED483,IF(DY472&lt;=ED484,ED484,IF(DY472&lt;=ED485,ED485,0))))))))</f>
        <v>24.38</v>
      </c>
      <c r="EE493" s="2276">
        <f>+IF(DY472&lt;=EE478,EE478,IF(DY472&lt;=EE479,EE479,IF(DY472&lt;=EE480,EE480,IF(DY472&lt;=EE481,EE481,IF(DY472&lt;=EE482,EE482,IF(DY472&lt;=EE483,EE483,IF(DY472&lt;=EE484,EE484,IF(DY472&lt;=EE485,EE485,0))))))))</f>
        <v>26.62</v>
      </c>
      <c r="EF493" s="2276">
        <f>+IF(DY472&lt;=EF478,EF478,IF(DY472&lt;=EF479,EF479,IF(DY472&lt;=EF480,EF480,IF(DY472&lt;=EF481,EF481,IF(DY472&lt;=EF482,EF482,IF(DY472&lt;=EF483,EF483,IF(DY472&lt;=EF484,EF484,IF(DY472&lt;=EF485,EF485,0))))))))</f>
        <v>25.08</v>
      </c>
      <c r="EG493" s="2276">
        <f>+IF(DY472&lt;=EG478,EG478,IF(DY472&lt;=EG479,EG479,IF(DY472&lt;=EG480,EG480,IF(DY472&lt;=EG481,EG481,IF(DY472&lt;=EG482,EG482,IF(DY472&lt;=EG483,EG483,IF(DY472&lt;=EG484,EG484,IF(DY472&lt;=EG485,EG485,0))))))))</f>
        <v>20.62</v>
      </c>
      <c r="EH493" s="2276">
        <f>+IF(DY472&lt;=EH478,EH478,IF(DY472&lt;=EH479,EH479,IF(DY472&lt;=EH480,EH480,IF(DY472&lt;=EH481,EH481,IF(DY472&lt;=EH482,EH482,IF(DY472&lt;=EH483,EH483,IF(DY472&lt;=EH484,EH484,IF(DY472&lt;=EH485,EH485,0))))))))</f>
        <v>22</v>
      </c>
      <c r="EI493" s="2276">
        <f>+IF(DY472&lt;=EI478,EI478,IF(DY472&lt;=EI479,EI479,IF(DY472&lt;=EI480,EI480,IF(DY472&lt;=EI481,EI481,IF(DY472&lt;=EI482,EI482,IF(DY472&lt;=EI483,EI483,IF(DY472&lt;=EI484,EI484,IF(DY472&lt;=EI485,EI485,0))))))))</f>
        <v>23.38</v>
      </c>
      <c r="EJ493" s="2276">
        <f>+IF(DY472&lt;=EJ478,EJ478,IF(DY472&lt;=EJ479,EJ479,IF(DY472&lt;=EJ480,EJ480,IF(DY472&lt;=EJ481,EJ481,IF(DY472&lt;=EJ482,EJ482,IF(DY472&lt;=EJ483,EJ483,IF(DY472&lt;=EJ484,EJ484,IF(DY472&lt;=EJ485,EJ485,0))))))))</f>
        <v>25.46</v>
      </c>
      <c r="EK493" s="2276">
        <f>+IF(DY472&lt;=EK478,EK478,IF(DY472&lt;=EK479,EK479,IF(DY472&lt;=EK480,EK480,IF(DY472&lt;=EK481,EK481,IF(DY472&lt;=EK482,EK482,IF(DY472&lt;=EK483,EK483,IF(DY472&lt;=EK484,EK484,IF(DY472&lt;=EK485,EK485,0))))))))</f>
        <v>26</v>
      </c>
      <c r="EL493" s="2276">
        <f>+IF(DY472&lt;=EL478,EL478,IF(DY472&lt;=EL479,EL479,IF(DY472&lt;=EL480,EL480,IF(DY472&lt;=EL481,EL481,IF(DY472&lt;=EL482,EL482,IF(DY472&lt;=EL483,EL483,IF(DY472&lt;=EL484,EL484,IF(DY472&lt;=EL485,EL485,0))))))))</f>
        <v>20.149999999999999</v>
      </c>
      <c r="EM493" s="2276">
        <f>+IF(DY472&lt;=EM478,EM478,IF(DY472&lt;=EM479,EM479,IF(DY472&lt;=EM480,EM480,IF(DY472&lt;=EM481,EM481,IF(DY472&lt;=EM482,EM482,IF(DY472&lt;=EM483,EM483,IF(DY472&lt;=EM484,EM484,IF(DY472&lt;=EM485,EM485,0))))))))</f>
        <v>21.08</v>
      </c>
      <c r="EN493" s="2276">
        <f>+IF(DY472&lt;=EN478,EN478,IF(DY472&lt;=EN479,EN479,IF(DY472&lt;=EN480,EN480,IF(DY472&lt;=EN481,EN481,IF(DY472&lt;=EN482,EN482,IF(DY472&lt;=EN483,EN483,IF(DY472&lt;=EN484,EN484,IF(DY472&lt;=EN485,EN485,0))))))))</f>
        <v>21.54</v>
      </c>
      <c r="EO493" s="2276">
        <f>+IF(DY472&lt;=EO478,EO478,IF(DY472&lt;=EO479,EO479,IF(DY472&lt;=EO480,EO480,IF(DY472&lt;=EO481,EO481,IF(DY472&lt;=EO482,EO482,IF(DY472&lt;=EO483,EO483,IF(DY472&lt;=EO484,EO484,IF(DY472&lt;=EO485,EO485,0))))))))</f>
        <v>22.15</v>
      </c>
      <c r="EP493" s="2276">
        <f>+IF(DY472&lt;=EP478,EP478,IF(DY472&lt;=EP479,EP479,IF(DY472&lt;=EP480,EP480,IF(DY472&lt;=EP481,EP481,IF(DY472&lt;=EP482,EP482,IF(DY472&lt;=EP483,EP483,IF(DY472&lt;=EP484,EP484,IF(DY472&lt;=EP485,EP485,0))))))))</f>
        <v>24.31</v>
      </c>
      <c r="EQ493" s="2276">
        <f>+IF(DY472&lt;=EQ478,EQ478,IF(DY472&lt;=EQ479,EQ479,IF(DY472&lt;=EQ480,EQ480,IF(DY472&lt;=EQ481,EQ481,IF(DY472&lt;=EQ482,EQ482,IF(DY472&lt;=EQ483,EQ483,IF(DY472&lt;=EQ484,EQ484,IF(DY472&lt;=EQ485,EQ485,0))))))))</f>
        <v>20.149999999999999</v>
      </c>
      <c r="ER493" s="2276">
        <f>+IF(DY472&lt;=ER478,ER478,IF(DY472&lt;=ER479,ER479,IF(DY472&lt;=ER480,ER480,IF(DY472&lt;=ER481,ER481,IF(DY472&lt;=ER482,ER482,IF(DY472&lt;=ER483,ER483,IF(DY472&lt;=ER484,ER484,IF(DY472&lt;=ER485,ER485,0))))))))</f>
        <v>21.08</v>
      </c>
      <c r="ES493" s="2276">
        <f>+IF(DY472&lt;=ES478,ES478,IF(DY472&lt;=ES479,ES479,IF(DY472&lt;=ES480,ES480,IF(DY472&lt;=ES481,ES481,IF(DY472&lt;=ES482,ES482,IF(DY472&lt;=ES483,ES483,IF(DY472&lt;=ES484,ES484,IF(DY472&lt;=ES485,ES485,0))))))))</f>
        <v>22.38</v>
      </c>
      <c r="ET493" s="2276">
        <f>+IF(DY472&lt;=ET478,ET478,IF(DY472&lt;=ET479,ET479,IF(DY472&lt;=ET480,ET480,IF(DY472&lt;=ET481,ET481,IF(DY472&lt;=ET482,ET482,IF(DY472&lt;=ET483,ET483,IF(DY472&lt;=ET484,ET484,IF(DY472&lt;=ET485,ET485,0))))))))</f>
        <v>24.62</v>
      </c>
      <c r="EU493" s="2276">
        <f>+IF(DY472&lt;=EU478,EU478,IF(DY472&lt;=EU479,EU479,IF(DY472&lt;=EU480,EU480,IF(DY472&lt;=EU481,EU481,IF(DY472&lt;=EU482,EU482,IF(DY472&lt;=EU483,EU483,IF(DY472&lt;=EU484,EU484,IF(DY472&lt;=EU485,EU485,0))))))))</f>
        <v>26.08</v>
      </c>
      <c r="EV493" s="2276">
        <f>+IF(DY472&lt;=EV478,EV478,IF(DY472&lt;=EV479,EV479,IF(DY472&lt;=EV480,EV480,IF(DY472&lt;=EV481,EV481,IF(DY472&lt;=EV482,EV482,IF(DY472&lt;=EV483,EV483,IF(DY472&lt;=EV484,EV484,IF(DY472&lt;=EV485,EV485,0))))))))</f>
        <v>28.62</v>
      </c>
      <c r="EW493" s="2276">
        <f>+IF(DY472&lt;=EW478,EW478,IF(DY472&lt;=EW479,EW479,IF(DY472&lt;=EW480,EW480,IF(DY472&lt;=EW481,EW481,IF(DY472&lt;=EW482,EW482,IF(DY472&lt;=EW483,EW483,IF(DY472&lt;=EW484,EW484,IF(DY472&lt;=EW485,EW485,0))))))))</f>
        <v>31.77</v>
      </c>
      <c r="EX493" s="2276">
        <f>+IF(DY472&lt;=EX478,EX478,IF(DY472&lt;=EX479,EX479,IF(DY472&lt;=EX480,EX480,IF(DY472&lt;=EX481,EX481,IF(DY472&lt;=EX482,EX482,IF(DY472&lt;=EX483,EX483,IF(DY472&lt;=EX484,EX484,IF(DY472&lt;=EX485,EX485,0))))))))</f>
        <v>21.62</v>
      </c>
      <c r="EY493" s="2276">
        <f>+IF(DY472&lt;=EY478,EY478,IF(DY472&lt;=EY479,EY479,IF(DY472&lt;=EY480,EY480,IF(DY472&lt;=EY481,EY481,IF(DY472&lt;=EY482,EY482,IF(DY472&lt;=EY483,EY483,IF(DY472&lt;=EY484,EY484,IF(DY472&lt;=EY485,EY485,0))))))))</f>
        <v>24.08</v>
      </c>
      <c r="EZ493" s="2276">
        <f>+IF(DY472&lt;=EZ478,EZ478,IF(DY472&lt;=EZ479,EZ479,IF(DY472&lt;=EZ480,EZ480,IF(DY472&lt;=EZ481,EZ481,IF(DY472&lt;=EZ482,EZ482,IF(DY472&lt;=EZ483,EZ483,IF(DY472&lt;=EZ484,EZ484,IF(DY472&lt;=EZ485,EZ485,0))))))))</f>
        <v>25.85</v>
      </c>
      <c r="FA493" s="2276">
        <f>+IF(DY472&lt;=FA478,FA478,IF(DY472&lt;=FA479,FA479,IF(DY472&lt;=FA480,FA480,IF(DY472&lt;=FA481,FA481,IF(DY472&lt;=FA482,FA482,IF(DY472&lt;=FA483,FA483,IF(DY472&lt;=FA484,FA484,IF(DY472&lt;=FA485,FA485,0))))))))</f>
        <v>30.46</v>
      </c>
      <c r="FB493" s="2275"/>
      <c r="FC493" s="2275"/>
      <c r="FD493" s="2275"/>
      <c r="FE493" s="2275"/>
      <c r="FF493" s="2275"/>
      <c r="FG493" s="2275"/>
      <c r="FH493" s="2275"/>
      <c r="FI493" s="2275"/>
      <c r="FJ493" s="2275"/>
      <c r="FK493" s="2275"/>
      <c r="FL493" s="2275"/>
      <c r="FM493" s="2250"/>
      <c r="FN493" s="2250"/>
      <c r="FO493" s="2250"/>
      <c r="FP493" s="2250"/>
      <c r="FQ493" s="2250"/>
      <c r="FR493" s="2250"/>
      <c r="FS493" s="2250"/>
      <c r="FT493" s="2250"/>
      <c r="FU493" s="2250"/>
      <c r="FV493" s="2250"/>
      <c r="FW493" s="2250"/>
      <c r="FX493" s="2250"/>
      <c r="FY493" s="2250"/>
      <c r="FZ493" s="2250"/>
      <c r="GA493" s="2250"/>
      <c r="GB493" s="2250"/>
      <c r="GC493" s="2276"/>
      <c r="GD493" s="2276"/>
      <c r="GE493" s="2250"/>
      <c r="GF493" s="2275"/>
      <c r="GG493" s="2250"/>
      <c r="GH493" s="2275"/>
      <c r="GI493" s="2276">
        <f>+IF(GG472&lt;=GI478,GI478,IF(GG472&lt;=GI479,GI479,IF(GG472&lt;=GI480,GI480,IF(GG472&lt;=GI481,GI481,IF(GG472&lt;=GI482,GI482,IF(GG472&lt;=GI483,GI483,IF(GG472&lt;=GI484,GI484,IF(GG472&lt;=GI485,GI485,0))))))))</f>
        <v>0</v>
      </c>
      <c r="GJ493" s="2276">
        <f>+IF(GG472&lt;=GJ478,GJ478,IF(GG472&lt;=GJ479,GJ479,IF(GG472&lt;=GJ480,GJ480,IF(GG472&lt;=GJ481,GJ481,IF(GG472&lt;=GJ482,GJ482,IF(GG472&lt;=GJ483,GJ483,IF(GG472&lt;=GJ484,GJ484,IF(GG472&lt;=GJ485,GJ485,0))))))))</f>
        <v>0</v>
      </c>
      <c r="GK493" s="2276">
        <f>+IF(GG472&lt;=GK478,GK478,IF(GG472&lt;=GK479,GK479,IF(GG472&lt;=GK480,GK480,IF(GG472&lt;=GK481,GK481,IF(GG472&lt;=GK482,GK482,IF(GG472&lt;=GK483,GK483,IF(GG472&lt;=GK484,GK484,IF(GG472&lt;=GK485,GK485,0))))))))</f>
        <v>22</v>
      </c>
      <c r="GL493" s="2276">
        <f>+IF(GG472&lt;=GL478,GL478,IF(GG472&lt;=GL479,GL479,IF(GG472&lt;=GL480,GL480,IF(GG472&lt;=GL481,GL481,IF(GG472&lt;=GL482,GL482,IF(GG472&lt;=GL483,GL483,IF(GG472&lt;=GL484,GL484,IF(GG472&lt;=GL485,GL485,0))))))))</f>
        <v>24.38</v>
      </c>
      <c r="GM493" s="2276">
        <f>+IF(GG472&lt;=GM478,GM478,IF(GG472&lt;=GM479,GM479,IF(GG472&lt;=GM480,GM480,IF(GG472&lt;=GM481,GM481,IF(GG472&lt;=GM482,GM482,IF(GG472&lt;=GM483,GM483,IF(GG472&lt;=GM484,GM484,IF(GG472&lt;=GM485,GM485,0))))))))</f>
        <v>26.62</v>
      </c>
      <c r="GN493" s="2276">
        <f>+IF(GG472&lt;=GN478,GN478,IF(GG472&lt;=GN479,GN479,IF(GG472&lt;=GN480,GN480,IF(GG472&lt;=GN481,GN481,IF(GG472&lt;=GN482,GN482,IF(GG472&lt;=GN483,GN483,IF(GG472&lt;=GN484,GN484,IF(GG472&lt;=GN485,GN485,0))))))))</f>
        <v>25.08</v>
      </c>
      <c r="GO493" s="2276">
        <f>+IF(GG472&lt;=GO478,GO478,IF(GG472&lt;=GO479,GO479,IF(GG472&lt;=GO480,GO480,IF(GG472&lt;=GO481,GO481,IF(GG472&lt;=GO482,GO482,IF(GG472&lt;=GO483,GO483,IF(GG472&lt;=GO484,GO484,IF(GG472&lt;=GO485,GO485,0))))))))</f>
        <v>20.62</v>
      </c>
      <c r="GP493" s="2276">
        <f>+IF(GG472&lt;=GP478,GP478,IF(GG472&lt;=GP479,GP479,IF(GG472&lt;=GP480,GP480,IF(GG472&lt;=GP481,GP481,IF(GG472&lt;=GP482,GP482,IF(GG472&lt;=GP483,GP483,IF(GG472&lt;=GP484,GP484,IF(GG472&lt;=GP485,GP485,0))))))))</f>
        <v>22</v>
      </c>
      <c r="GQ493" s="2276">
        <f>+IF(GG472&lt;=GQ478,GQ478,IF(GG472&lt;=GQ479,GQ479,IF(GG472&lt;=GQ480,GQ480,IF(GG472&lt;=GQ481,GQ481,IF(GG472&lt;=GQ482,GQ482,IF(GG472&lt;=GQ483,GQ483,IF(GG472&lt;=GQ484,GQ484,IF(GG472&lt;=GQ485,GQ485,0))))))))</f>
        <v>23.38</v>
      </c>
      <c r="GR493" s="2276">
        <f>+IF(GG472&lt;=GR478,GR478,IF(GG472&lt;=GR479,GR479,IF(GG472&lt;=GR480,GR480,IF(GG472&lt;=GR481,GR481,IF(GG472&lt;=GR482,GR482,IF(GG472&lt;=GR483,GR483,IF(GG472&lt;=GR484,GR484,IF(GG472&lt;=GR485,GR485,0))))))))</f>
        <v>25.46</v>
      </c>
      <c r="GS493" s="2276">
        <f>+IF(GG472&lt;=GS478,GS478,IF(GG472&lt;=GS479,GS479,IF(GG472&lt;=GS480,GS480,IF(GG472&lt;=GS481,GS481,IF(GG472&lt;=GS482,GS482,IF(GG472&lt;=GS483,GS483,IF(GG472&lt;=GS484,GS484,IF(GG472&lt;=GS485,GS485,0))))))))</f>
        <v>26</v>
      </c>
      <c r="GT493" s="2276">
        <f>+IF(GG472&lt;=GT478,GT478,IF(GG472&lt;=GT479,GT479,IF(GG472&lt;=GT480,GT480,IF(GG472&lt;=GT481,GT481,IF(GG472&lt;=GT482,GT482,IF(GG472&lt;=GT483,GT483,IF(GG472&lt;=GT484,GT484,IF(GG472&lt;=GT485,GT485,0))))))))</f>
        <v>20.149999999999999</v>
      </c>
      <c r="GU493" s="2276">
        <f>+IF(GG472&lt;=GU478,GU478,IF(GG472&lt;=GU479,GU479,IF(GG472&lt;=GU480,GU480,IF(GG472&lt;=GU481,GU481,IF(GG472&lt;=GU482,GU482,IF(GG472&lt;=GU483,GU483,IF(GG472&lt;=GU484,GU484,IF(GG472&lt;=GU485,GU485,0))))))))</f>
        <v>21.08</v>
      </c>
      <c r="GV493" s="2276">
        <f>+IF(GG472&lt;=GV478,GV478,IF(GG472&lt;=GV479,GV479,IF(GG472&lt;=GV480,GV480,IF(GG472&lt;=GV481,GV481,IF(GG472&lt;=GV482,GV482,IF(GG472&lt;=GV483,GV483,IF(GG472&lt;=GV484,GV484,IF(GG472&lt;=GV485,GV485,0))))))))</f>
        <v>21.54</v>
      </c>
      <c r="GW493" s="2276">
        <f>+IF(GG472&lt;=GW478,GW478,IF(GG472&lt;=GW479,GW479,IF(GG472&lt;=GW480,GW480,IF(GG472&lt;=GW481,GW481,IF(GG472&lt;=GW482,GW482,IF(GG472&lt;=GW483,GW483,IF(GG472&lt;=GW484,GW484,IF(GG472&lt;=GW485,GW485,0))))))))</f>
        <v>22.15</v>
      </c>
      <c r="GX493" s="2276">
        <f>+IF(GG472&lt;=GX478,GX478,IF(GG472&lt;=GX479,GX479,IF(GG472&lt;=GX480,GX480,IF(GG472&lt;=GX481,GX481,IF(GG472&lt;=GX482,GX482,IF(GG472&lt;=GX483,GX483,IF(GG472&lt;=GX484,GX484,IF(GG472&lt;=GX485,GX485,0))))))))</f>
        <v>24.31</v>
      </c>
      <c r="GY493" s="2276">
        <f>+IF(GG472&lt;=GY478,GY478,IF(GG472&lt;=GY479,GY479,IF(GG472&lt;=GY480,GY480,IF(GG472&lt;=GY481,GY481,IF(GG472&lt;=GY482,GY482,IF(GG472&lt;=GY483,GY483,IF(GG472&lt;=GY484,GY484,IF(GG472&lt;=GY485,GY485,0))))))))</f>
        <v>20.149999999999999</v>
      </c>
      <c r="GZ493" s="2276">
        <f>+IF(GG472&lt;=GZ478,GZ478,IF(GG472&lt;=GZ479,GZ479,IF(GG472&lt;=GZ480,GZ480,IF(GG472&lt;=GZ481,GZ481,IF(GG472&lt;=GZ482,GZ482,IF(GG472&lt;=GZ483,GZ483,IF(GG472&lt;=GZ484,GZ484,IF(GG472&lt;=GZ485,GZ485,0))))))))</f>
        <v>21.08</v>
      </c>
      <c r="HA493" s="2276">
        <f>+IF(GG472&lt;=HA478,HA478,IF(GG472&lt;=HA479,HA479,IF(GG472&lt;=HA480,HA480,IF(GG472&lt;=HA481,HA481,IF(GG472&lt;=HA482,HA482,IF(GG472&lt;=HA483,HA483,IF(GG472&lt;=HA484,HA484,IF(GG472&lt;=HA485,HA485,0))))))))</f>
        <v>22.38</v>
      </c>
      <c r="HB493" s="2276">
        <f>+IF(GG472&lt;=HB478,HB478,IF(GG472&lt;=HB479,HB479,IF(GG472&lt;=HB480,HB480,IF(GG472&lt;=HB481,HB481,IF(GG472&lt;=HB482,HB482,IF(GG472&lt;=HB483,HB483,IF(GG472&lt;=HB484,HB484,IF(GG472&lt;=HB485,HB485,0))))))))</f>
        <v>24.62</v>
      </c>
      <c r="HC493" s="2276">
        <f>+IF(GG472&lt;=HC478,HC478,IF(GG472&lt;=HC479,HC479,IF(GG472&lt;=HC480,HC480,IF(GG472&lt;=HC481,HC481,IF(GG472&lt;=HC482,HC482,IF(GG472&lt;=HC483,HC483,IF(GG472&lt;=HC484,HC484,IF(GG472&lt;=HC485,HC485,0))))))))</f>
        <v>26.08</v>
      </c>
      <c r="HD493" s="2276">
        <f>+IF(GG472&lt;=HD478,HD478,IF(GG472&lt;=HD479,HD479,IF(GG472&lt;=HD480,HD480,IF(GG472&lt;=HD481,HD481,IF(GG472&lt;=HD482,HD482,IF(GG472&lt;=HD483,HD483,IF(GG472&lt;=HD484,HD484,IF(GG472&lt;=HD485,HD485,0))))))))</f>
        <v>28.62</v>
      </c>
      <c r="HE493" s="2276">
        <f>+IF(GG472&lt;=HE478,HE478,IF(GG472&lt;=HE479,HE479,IF(GG472&lt;=HE480,HE480,IF(GG472&lt;=HE481,HE481,IF(GG472&lt;=HE482,HE482,IF(GG472&lt;=HE483,HE483,IF(GG472&lt;=HE484,HE484,IF(GG472&lt;=HE485,HE485,0))))))))</f>
        <v>31.77</v>
      </c>
      <c r="HF493" s="2276">
        <f>+IF(GG472&lt;=HF478,HF478,IF(GG472&lt;=HF479,HF479,IF(GG472&lt;=HF480,HF480,IF(GG472&lt;=HF481,HF481,IF(GG472&lt;=HF482,HF482,IF(GG472&lt;=HF483,HF483,IF(GG472&lt;=HF484,HF484,IF(GG472&lt;=HF485,HF485,0))))))))</f>
        <v>21.62</v>
      </c>
      <c r="HG493" s="2276">
        <f>+IF(GG472&lt;=HG478,HG478,IF(GG472&lt;=HG479,HG479,IF(GG472&lt;=HG480,HG480,IF(GG472&lt;=HG481,HG481,IF(GG472&lt;=HG482,HG482,IF(GG472&lt;=HG483,HG483,IF(GG472&lt;=HG484,HG484,IF(GG472&lt;=HG485,HG485,0))))))))</f>
        <v>24.08</v>
      </c>
      <c r="HH493" s="2276">
        <f>+IF(GG472&lt;=HH478,HH478,IF(GG472&lt;=HH479,HH479,IF(GG472&lt;=HH480,HH480,IF(GG472&lt;=HH481,HH481,IF(GG472&lt;=HH482,HH482,IF(GG472&lt;=HH483,HH483,IF(GG472&lt;=HH484,HH484,IF(GG472&lt;=HH485,HH485,0))))))))</f>
        <v>25.85</v>
      </c>
      <c r="HI493" s="2276">
        <f>+IF(GG472&lt;=HI478,HI478,IF(GG472&lt;=HI479,HI479,IF(GG472&lt;=HI480,HI480,IF(GG472&lt;=HI481,HI481,IF(GG472&lt;=HI482,HI482,IF(GG472&lt;=HI483,HI483,IF(GG472&lt;=HI484,HI484,IF(GG472&lt;=HI485,HI485,0))))))))</f>
        <v>30.46</v>
      </c>
      <c r="HJ493" s="2275"/>
      <c r="HK493" s="2275"/>
      <c r="HL493" s="2275"/>
      <c r="HM493" s="2275"/>
      <c r="HN493" s="2275"/>
      <c r="HO493" s="2275"/>
      <c r="HP493" s="2275"/>
      <c r="HQ493" s="2275"/>
      <c r="HR493" s="2275"/>
      <c r="HS493" s="2275"/>
      <c r="HT493" s="2275"/>
      <c r="HU493" s="2250"/>
      <c r="HV493" s="2250"/>
      <c r="HW493" s="2250"/>
      <c r="HX493" s="2250"/>
      <c r="HY493" s="2250"/>
      <c r="HZ493" s="2250"/>
      <c r="IA493" s="2250"/>
      <c r="IB493" s="2250"/>
      <c r="IC493" s="2250"/>
      <c r="ID493" s="2250"/>
      <c r="IE493" s="2250"/>
      <c r="IF493" s="2250"/>
      <c r="IG493" s="2250"/>
      <c r="IH493" s="2250"/>
      <c r="II493" s="2250"/>
      <c r="IJ493" s="2250"/>
      <c r="IK493" s="2250"/>
      <c r="IL493" s="53"/>
      <c r="IM493" s="53"/>
    </row>
    <row r="494" spans="2:247" ht="21.95" customHeight="1">
      <c r="B494" s="2276">
        <f>B428</f>
        <v>19.915970774546171</v>
      </c>
      <c r="C494" s="2276">
        <f>HLOOKUP(B495,D476:AD496,20,0)</f>
        <v>22</v>
      </c>
      <c r="D494" s="2276">
        <f>+IF(B472&lt;=D486,D486,IF(B472&lt;=D487,D487,IF(B472&lt;=D488,D488,)))</f>
        <v>25.92</v>
      </c>
      <c r="E494" s="2276">
        <f>+IF(B472&lt;=E486,E486,IF(B472&lt;=E487,E487,IF(B472&lt;=E488,E488,)))</f>
        <v>29.23</v>
      </c>
      <c r="F494" s="2276">
        <f>+IF(B472&lt;=F486,F486,IF(B472&lt;=F487,F487,IF(B472&lt;=F488,F488,)))</f>
        <v>32.31</v>
      </c>
      <c r="G494" s="2276">
        <f>+IF(B472&lt;=G486,G486,IF(B472&lt;=G487,G487,IF(B472&lt;=G488,G488,)))</f>
        <v>35.85</v>
      </c>
      <c r="H494" s="2276">
        <f>+IF(B472&lt;=H486,H486,IF(B472&lt;=H487,H487,IF(B472&lt;=H488,H488,)))</f>
        <v>38.619999999999997</v>
      </c>
      <c r="I494" s="2276">
        <f>+IF(B472&lt;=I486,I486,IF(B472&lt;=I487,I487,IF(B472&lt;=I488,I488,)))</f>
        <v>36.770000000000003</v>
      </c>
      <c r="J494" s="2276">
        <f>+IF(B472&lt;=J486,J486,IF(B472&lt;=J487,J487,IF(B472&lt;=J488,J488,)))</f>
        <v>40.770000000000003</v>
      </c>
      <c r="K494" s="2276">
        <f>+IF(B472&lt;=K486,K486,IF(B472&lt;=K487,K487,IF(B472&lt;=K488,K488,)))</f>
        <v>43.38</v>
      </c>
      <c r="L494" s="2276">
        <f>+IF(B472&lt;=L486,L486,IF(B472&lt;=L487,L487,IF(B472&lt;=L488,L488,)))</f>
        <v>47.54</v>
      </c>
      <c r="M494" s="2276">
        <f>+IF(B472&lt;=M486,M486,IF(B472&lt;=M487,M487,IF(B472&lt;=M488,M488,)))</f>
        <v>48</v>
      </c>
      <c r="N494" s="2276">
        <f>+IF(B472&lt;=N486,N486,IF(B472&lt;=N487,N487,IF(B472&lt;=N488,N488,)))</f>
        <v>55.15</v>
      </c>
      <c r="O494" s="2276">
        <f>+IF(B472&lt;=O486,O486,IF(B472&lt;=O487,O487,IF(B472&lt;=O488,O488,)))</f>
        <v>61.62</v>
      </c>
      <c r="P494" s="2276">
        <f>+IF(B472&lt;=P486,P486,IF(B472&lt;=P487,P487,IF(B472&lt;=P488,P488,)))</f>
        <v>62.23</v>
      </c>
      <c r="Q494" s="2276">
        <f>+IF(B472&lt;=Q486,Q486,IF(B472&lt;=Q487,Q487,IF(B472&lt;=Q488,Q488,)))</f>
        <v>65.38</v>
      </c>
      <c r="R494" s="2276">
        <f>+IF(B472&lt;=R486,R486,IF(B472&lt;=R487,R487,IF(B472&lt;=R488,R488,)))</f>
        <v>68.459999999999994</v>
      </c>
      <c r="S494" s="2276">
        <f>+IF(B472&lt;=S486,S486,IF(B472&lt;=S487,S487,IF(B472&lt;=S488,S488,)))</f>
        <v>73.69</v>
      </c>
      <c r="T494" s="2276">
        <f>+IF(B472&lt;=T486,T486,IF(B472&lt;=T487,T487,IF(B472&lt;=T488,T488,)))</f>
        <v>77.31</v>
      </c>
      <c r="U494" s="2276">
        <f>+IF(B472&lt;=U486,U486,IF(B472&lt;=U487,U487,IF(B472&lt;=U488,U488,)))</f>
        <v>84.08</v>
      </c>
      <c r="V494" s="2276">
        <f>+IF(B472&lt;=V486,V486,IF(B472&lt;=V487,V487,IF(B472&lt;=V488,V488,)))</f>
        <v>89.15</v>
      </c>
      <c r="W494" s="2276">
        <f>+IF(B472&lt;=W486,W486,IF(B472&lt;=W487,W487,IF(B472&lt;=W488,W488,)))</f>
        <v>96.15</v>
      </c>
      <c r="X494" s="2276">
        <f>+IF(B472&lt;=X486,X486,IF(B472&lt;=X487,X487,IF(B472&lt;=X488,X488,)))</f>
        <v>102.46</v>
      </c>
      <c r="Y494" s="2276">
        <f>+IF(B472&lt;=Y486,Y486,IF(B472&lt;=Y487,Y487,IF(B472&lt;=Y488,Y488,)))</f>
        <v>107.31</v>
      </c>
      <c r="Z494" s="2276">
        <f>+IF(B472&lt;=Z486,Z486,IF(B472&lt;=Z487,Z487,IF(B472&lt;=Z488,Z488,)))</f>
        <v>119.08</v>
      </c>
      <c r="AA494" s="2276">
        <f>+IF(B472&lt;=AA486,AA486,IF(B472&lt;=AA487,AA487,IF(B472&lt;=AA488,AA488,)))</f>
        <v>129.15</v>
      </c>
      <c r="AB494" s="2276">
        <f>+IF(B472&lt;=AB486,AB486,IF(B472&lt;=AB487,AB487,IF(B472&lt;=AB488,AB488,)))</f>
        <v>146.62</v>
      </c>
      <c r="AC494" s="2276">
        <f>+IF(B472&lt;=AC486,AC486,IF(B472&lt;=AC487,AC487,IF(B472&lt;=AC488,AC488,)))</f>
        <v>168.31</v>
      </c>
      <c r="AD494" s="2276">
        <f>+IF(B472&lt;=AD486,AD486,IF(B472&lt;=AD487,AD487,IF(B472&lt;=AD488,AD488,)))</f>
        <v>177.46</v>
      </c>
      <c r="AE494" s="2275"/>
      <c r="AF494" s="2275"/>
      <c r="AG494" s="2275"/>
      <c r="AH494" s="2275"/>
      <c r="AI494" s="2275"/>
      <c r="AJ494" s="2275"/>
      <c r="AK494" s="2275"/>
      <c r="AL494" s="2275"/>
      <c r="AM494" s="2275"/>
      <c r="AN494" s="2275"/>
      <c r="AO494" s="2275"/>
      <c r="AP494" s="2250"/>
      <c r="AQ494" s="2250"/>
      <c r="AR494" s="2250"/>
      <c r="AS494" s="2250"/>
      <c r="AT494" s="2250"/>
      <c r="AU494" s="2250"/>
      <c r="AV494" s="2250"/>
      <c r="AW494" s="2250"/>
      <c r="AX494" s="2250"/>
      <c r="AY494" s="2250"/>
      <c r="AZ494" s="2250"/>
      <c r="BA494" s="2250"/>
      <c r="BB494" s="2250"/>
      <c r="BC494" s="2250"/>
      <c r="BD494" s="2250"/>
      <c r="BE494" s="2250"/>
      <c r="BF494" s="2276"/>
      <c r="BG494" s="2276"/>
      <c r="BH494" s="2250"/>
      <c r="BI494" s="2275"/>
      <c r="BJ494" s="2276">
        <f>BJ428</f>
        <v>19.915970774546171</v>
      </c>
      <c r="BK494" s="2276">
        <f>HLOOKUP(BJ495,BL476:CL496,20,0)</f>
        <v>29.23</v>
      </c>
      <c r="BL494" s="2276">
        <f>+IF(BJ472&lt;=BL486,BL486,IF(BJ472&lt;=BL487,BL487,IF(BJ472&lt;=BL488,BL488,)))</f>
        <v>25.92</v>
      </c>
      <c r="BM494" s="2276">
        <f>+IF(BJ472&lt;=BM486,BM486,IF(BJ472&lt;=BM487,BM487,IF(BJ472&lt;=BM488,BM488,)))</f>
        <v>29.23</v>
      </c>
      <c r="BN494" s="2276">
        <f>+IF(BJ472&lt;=BN486,BN486,IF(BJ472&lt;=BN487,BN487,IF(BJ472&lt;=BN488,BN488,)))</f>
        <v>32.31</v>
      </c>
      <c r="BO494" s="2276">
        <f>+IF(BJ472&lt;=BO486,BO486,IF(BJ472&lt;=BO487,BO487,IF(BJ472&lt;=BO488,BO488,)))</f>
        <v>35.85</v>
      </c>
      <c r="BP494" s="2276">
        <f>+IF(BJ472&lt;=BP486,BP486,IF(BJ472&lt;=BP487,BP487,IF(BJ472&lt;=BP488,BP488,)))</f>
        <v>38.619999999999997</v>
      </c>
      <c r="BQ494" s="2276">
        <f>+IF(BJ472&lt;=BQ486,BQ486,IF(BJ472&lt;=BQ487,BQ487,IF(BJ472&lt;=BQ488,BQ488,)))</f>
        <v>36.770000000000003</v>
      </c>
      <c r="BR494" s="2276">
        <f>+IF(BJ472&lt;=BR486,BR486,IF(BJ472&lt;=BR487,BR487,IF(BJ472&lt;=BR488,BR488,)))</f>
        <v>40.770000000000003</v>
      </c>
      <c r="BS494" s="2276">
        <f>+IF(BJ472&lt;=BS486,BS486,IF(BJ472&lt;=BS487,BS487,IF(BJ472&lt;=BS488,BS488,)))</f>
        <v>43.38</v>
      </c>
      <c r="BT494" s="2276">
        <f>+IF(BJ472&lt;=BT486,BT486,IF(BJ472&lt;=BT487,BT487,IF(BJ472&lt;=BT488,BT488,)))</f>
        <v>47.54</v>
      </c>
      <c r="BU494" s="2276">
        <f>+IF(BJ472&lt;=BU486,BU486,IF(BJ472&lt;=BU487,BU487,IF(BJ472&lt;=BU488,BU488,)))</f>
        <v>48</v>
      </c>
      <c r="BV494" s="2276">
        <f>+IF(BJ472&lt;=BV486,BV486,IF(BJ472&lt;=BV487,BV487,IF(BJ472&lt;=BV488,BV488,)))</f>
        <v>55.15</v>
      </c>
      <c r="BW494" s="2276">
        <f>+IF(BJ472&lt;=BW486,BW486,IF(BJ472&lt;=BW487,BW487,IF(BJ472&lt;=BW488,BW488,)))</f>
        <v>61.62</v>
      </c>
      <c r="BX494" s="2276">
        <f>+IF(BJ472&lt;=BX486,BX486,IF(BJ472&lt;=BX487,BX487,IF(BJ472&lt;=BX488,BX488,)))</f>
        <v>62.23</v>
      </c>
      <c r="BY494" s="2276">
        <f>+IF(BJ472&lt;=BY486,BY486,IF(BJ472&lt;=BY487,BY487,IF(BJ472&lt;=BY488,BY488,)))</f>
        <v>65.38</v>
      </c>
      <c r="BZ494" s="2276">
        <f>+IF(BJ472&lt;=BZ486,BZ486,IF(BJ472&lt;=BZ487,BZ487,IF(BJ472&lt;=BZ488,BZ488,)))</f>
        <v>68.459999999999994</v>
      </c>
      <c r="CA494" s="2276">
        <f>+IF(BJ472&lt;=CA486,CA486,IF(BJ472&lt;=CA487,CA487,IF(BJ472&lt;=CA488,CA488,)))</f>
        <v>73.69</v>
      </c>
      <c r="CB494" s="2276">
        <f>+IF(BJ472&lt;=CB486,CB486,IF(BJ472&lt;=CB487,CB487,IF(BJ472&lt;=CB488,CB488,)))</f>
        <v>77.31</v>
      </c>
      <c r="CC494" s="2276">
        <f>+IF(BJ472&lt;=CC486,CC486,IF(BJ472&lt;=CC487,CC487,IF(BJ472&lt;=CC488,CC488,)))</f>
        <v>84.08</v>
      </c>
      <c r="CD494" s="2276">
        <f>+IF(BJ472&lt;=CD486,CD486,IF(BJ472&lt;=CD487,CD487,IF(BJ472&lt;=CD488,CD488,)))</f>
        <v>89.15</v>
      </c>
      <c r="CE494" s="2276">
        <f>+IF(BJ472&lt;=CE486,CE486,IF(BJ472&lt;=CE487,CE487,IF(BJ472&lt;=CE488,CE488,)))</f>
        <v>96.15</v>
      </c>
      <c r="CF494" s="2276">
        <f>+IF(BJ472&lt;=CF486,CF486,IF(BJ472&lt;=CF487,CF487,IF(BJ472&lt;=CF488,CF488,)))</f>
        <v>102.46</v>
      </c>
      <c r="CG494" s="2276">
        <f>+IF(BJ472&lt;=CG486,CG486,IF(BJ472&lt;=CG487,CG487,IF(BJ472&lt;=CG488,CG488,)))</f>
        <v>107.31</v>
      </c>
      <c r="CH494" s="2276">
        <f>+IF(BJ472&lt;=CH486,CH486,IF(BJ472&lt;=CH487,CH487,IF(BJ472&lt;=CH488,CH488,)))</f>
        <v>119.08</v>
      </c>
      <c r="CI494" s="2276">
        <f>+IF(BJ472&lt;=CI486,CI486,IF(BJ472&lt;=CI487,CI487,IF(BJ472&lt;=CI488,CI488,)))</f>
        <v>129.15</v>
      </c>
      <c r="CJ494" s="2276">
        <f>+IF(BJ472&lt;=CJ486,CJ486,IF(BJ472&lt;=CJ487,CJ487,IF(BJ472&lt;=CJ488,CJ488,)))</f>
        <v>146.62</v>
      </c>
      <c r="CK494" s="2276">
        <f>+IF(BJ472&lt;=CK486,CK486,IF(BJ472&lt;=CK487,CK487,IF(BJ472&lt;=CK488,CK488,)))</f>
        <v>168.31</v>
      </c>
      <c r="CL494" s="2276">
        <f>+IF(BJ472&lt;=CL486,CL486,IF(BJ472&lt;=CL487,CL487,IF(BJ472&lt;=CL488,CL488,)))</f>
        <v>177.46</v>
      </c>
      <c r="CM494" s="2275"/>
      <c r="CN494" s="2275"/>
      <c r="CO494" s="2275"/>
      <c r="CP494" s="2275"/>
      <c r="CQ494" s="2275"/>
      <c r="CR494" s="2275"/>
      <c r="CS494" s="2275"/>
      <c r="CT494" s="2275"/>
      <c r="CU494" s="2275"/>
      <c r="CV494" s="2275"/>
      <c r="CW494" s="2275"/>
      <c r="CX494" s="2250"/>
      <c r="CY494" s="2250"/>
      <c r="CZ494" s="2250"/>
      <c r="DA494" s="2250"/>
      <c r="DB494" s="2250"/>
      <c r="DC494" s="2250"/>
      <c r="DD494" s="2250"/>
      <c r="DE494" s="2250"/>
      <c r="DF494" s="2250"/>
      <c r="DG494" s="2250"/>
      <c r="DH494" s="2250"/>
      <c r="DI494" s="2250"/>
      <c r="DJ494" s="2250"/>
      <c r="DK494" s="2250"/>
      <c r="DL494" s="2250"/>
      <c r="DM494" s="2250"/>
      <c r="DN494" s="2250"/>
      <c r="DO494" s="53"/>
      <c r="DP494" s="53"/>
      <c r="DY494" s="2276">
        <f>DY428</f>
        <v>19.968225884687833</v>
      </c>
      <c r="DZ494" s="2276">
        <f>HLOOKUP(DY495,EA476:FA496,20,0)</f>
        <v>25.46</v>
      </c>
      <c r="EA494" s="2276">
        <f>+IF(DY472&lt;=EA486,EA486,IF(DY472&lt;=EA487,EA487,IF(DY472&lt;=EA488,EA488,)))</f>
        <v>25.92</v>
      </c>
      <c r="EB494" s="2276">
        <f>+IF(DY472&lt;=EB486,EB486,IF(DY472&lt;=EB487,EB487,IF(DY472&lt;=EB488,EB488,)))</f>
        <v>29.23</v>
      </c>
      <c r="EC494" s="2276">
        <f>+IF(DY472&lt;=EC486,EC486,IF(DY472&lt;=EC487,EC487,IF(DY472&lt;=EC488,EC488,)))</f>
        <v>32.31</v>
      </c>
      <c r="ED494" s="2276">
        <f>+IF(DY472&lt;=ED486,ED486,IF(DY472&lt;=ED487,ED487,IF(DY472&lt;=ED488,ED488,)))</f>
        <v>35.85</v>
      </c>
      <c r="EE494" s="2276">
        <f>+IF(DY472&lt;=EE486,EE486,IF(DY472&lt;=EE487,EE487,IF(DY472&lt;=EE488,EE488,)))</f>
        <v>38.619999999999997</v>
      </c>
      <c r="EF494" s="2276">
        <f>+IF(DY472&lt;=EF486,EF486,IF(DY472&lt;=EF487,EF487,IF(DY472&lt;=EF488,EF488,)))</f>
        <v>36.770000000000003</v>
      </c>
      <c r="EG494" s="2276">
        <f>+IF(DY472&lt;=EG486,EG486,IF(DY472&lt;=EG487,EG487,IF(DY472&lt;=EG488,EG488,)))</f>
        <v>40.770000000000003</v>
      </c>
      <c r="EH494" s="2276">
        <f>+IF(DY472&lt;=EH486,EH486,IF(DY472&lt;=EH487,EH487,IF(DY472&lt;=EH488,EH488,)))</f>
        <v>43.38</v>
      </c>
      <c r="EI494" s="2276">
        <f>+IF(DY472&lt;=EI486,EI486,IF(DY472&lt;=EI487,EI487,IF(DY472&lt;=EI488,EI488,)))</f>
        <v>47.54</v>
      </c>
      <c r="EJ494" s="2276">
        <f>+IF(DY472&lt;=EJ486,EJ486,IF(DY472&lt;=EJ487,EJ487,IF(DY472&lt;=EJ488,EJ488,)))</f>
        <v>48</v>
      </c>
      <c r="EK494" s="2276">
        <f>+IF(DY472&lt;=EK486,EK486,IF(DY472&lt;=EK487,EK487,IF(DY472&lt;=EK488,EK488,)))</f>
        <v>55.15</v>
      </c>
      <c r="EL494" s="2276">
        <f>+IF(DY472&lt;=EL486,EL486,IF(DY472&lt;=EL487,EL487,IF(DY472&lt;=EL488,EL488,)))</f>
        <v>61.62</v>
      </c>
      <c r="EM494" s="2276">
        <f>+IF(DY472&lt;=EM486,EM486,IF(DY472&lt;=EM487,EM487,IF(DY472&lt;=EM488,EM488,)))</f>
        <v>62.23</v>
      </c>
      <c r="EN494" s="2276">
        <f>+IF(DY472&lt;=EN486,EN486,IF(DY472&lt;=EN487,EN487,IF(DY472&lt;=EN488,EN488,)))</f>
        <v>65.38</v>
      </c>
      <c r="EO494" s="2276">
        <f>+IF(DY472&lt;=EO486,EO486,IF(DY472&lt;=EO487,EO487,IF(DY472&lt;=EO488,EO488,)))</f>
        <v>68.459999999999994</v>
      </c>
      <c r="EP494" s="2276">
        <f>+IF(DY472&lt;=EP486,EP486,IF(DY472&lt;=EP487,EP487,IF(DY472&lt;=EP488,EP488,)))</f>
        <v>73.69</v>
      </c>
      <c r="EQ494" s="2276">
        <f>+IF(DY472&lt;=EQ486,EQ486,IF(DY472&lt;=EQ487,EQ487,IF(DY472&lt;=EQ488,EQ488,)))</f>
        <v>77.31</v>
      </c>
      <c r="ER494" s="2276">
        <f>+IF(DY472&lt;=ER486,ER486,IF(DY472&lt;=ER487,ER487,IF(DY472&lt;=ER488,ER488,)))</f>
        <v>84.08</v>
      </c>
      <c r="ES494" s="2276">
        <f>+IF(DY472&lt;=ES486,ES486,IF(DY472&lt;=ES487,ES487,IF(DY472&lt;=ES488,ES488,)))</f>
        <v>89.15</v>
      </c>
      <c r="ET494" s="2276">
        <f>+IF(DY472&lt;=ET486,ET486,IF(DY472&lt;=ET487,ET487,IF(DY472&lt;=ET488,ET488,)))</f>
        <v>96.15</v>
      </c>
      <c r="EU494" s="2276">
        <f>+IF(DY472&lt;=EU486,EU486,IF(DY472&lt;=EU487,EU487,IF(DY472&lt;=EU488,EU488,)))</f>
        <v>102.46</v>
      </c>
      <c r="EV494" s="2276">
        <f>+IF(DY472&lt;=EV486,EV486,IF(DY472&lt;=EV487,EV487,IF(DY472&lt;=EV488,EV488,)))</f>
        <v>107.31</v>
      </c>
      <c r="EW494" s="2276">
        <f>+IF(DY472&lt;=EW486,EW486,IF(DY472&lt;=EW487,EW487,IF(DY472&lt;=EW488,EW488,)))</f>
        <v>119.08</v>
      </c>
      <c r="EX494" s="2276">
        <f>+IF(DY472&lt;=EX486,EX486,IF(DY472&lt;=EX487,EX487,IF(DY472&lt;=EX488,EX488,)))</f>
        <v>129.15</v>
      </c>
      <c r="EY494" s="2276">
        <f>+IF(DY472&lt;=EY486,EY486,IF(DY472&lt;=EY487,EY487,IF(DY472&lt;=EY488,EY488,)))</f>
        <v>146.62</v>
      </c>
      <c r="EZ494" s="2276">
        <f>+IF(DY472&lt;=EZ486,EZ486,IF(DY472&lt;=EZ487,EZ487,IF(DY472&lt;=EZ488,EZ488,)))</f>
        <v>168.31</v>
      </c>
      <c r="FA494" s="2276">
        <f>+IF(DY472&lt;=FA486,FA486,IF(DY472&lt;=FA487,FA487,IF(DY472&lt;=FA488,FA488,)))</f>
        <v>177.46</v>
      </c>
      <c r="FB494" s="2275"/>
      <c r="FC494" s="2275"/>
      <c r="FD494" s="2275"/>
      <c r="FE494" s="2275"/>
      <c r="FF494" s="2275"/>
      <c r="FG494" s="2275"/>
      <c r="FH494" s="2275"/>
      <c r="FI494" s="2275"/>
      <c r="FJ494" s="2275"/>
      <c r="FK494" s="2275"/>
      <c r="FL494" s="2275"/>
      <c r="FM494" s="2250"/>
      <c r="FN494" s="2250"/>
      <c r="FO494" s="2250"/>
      <c r="FP494" s="2250"/>
      <c r="FQ494" s="2250"/>
      <c r="FR494" s="2250"/>
      <c r="FS494" s="2250"/>
      <c r="FT494" s="2250"/>
      <c r="FU494" s="2250"/>
      <c r="FV494" s="2250"/>
      <c r="FW494" s="2250"/>
      <c r="FX494" s="2250"/>
      <c r="FY494" s="2250"/>
      <c r="FZ494" s="2250"/>
      <c r="GA494" s="2250"/>
      <c r="GB494" s="2250"/>
      <c r="GC494" s="2276"/>
      <c r="GD494" s="2276"/>
      <c r="GE494" s="2250"/>
      <c r="GF494" s="2275"/>
      <c r="GG494" s="2276">
        <f>GG428</f>
        <v>19.968225884687833</v>
      </c>
      <c r="GH494" s="2276">
        <f>HLOOKUP(GG495,GI476:HI496,20,0)</f>
        <v>23.38</v>
      </c>
      <c r="GI494" s="2276">
        <f>+IF(GG472&lt;=GI486,GI486,IF(GG472&lt;=GI487,GI487,IF(GG472&lt;=GI488,GI488,)))</f>
        <v>25.92</v>
      </c>
      <c r="GJ494" s="2276">
        <f>+IF(GG472&lt;=GJ486,GJ486,IF(GG472&lt;=GJ487,GJ487,IF(GG472&lt;=GJ488,GJ488,)))</f>
        <v>29.23</v>
      </c>
      <c r="GK494" s="2276">
        <f>+IF(GG472&lt;=GK486,GK486,IF(GG472&lt;=GK487,GK487,IF(GG472&lt;=GK488,GK488,)))</f>
        <v>32.31</v>
      </c>
      <c r="GL494" s="2276">
        <f>+IF(GG472&lt;=GL486,GL486,IF(GG472&lt;=GL487,GL487,IF(GG472&lt;=GL488,GL488,)))</f>
        <v>35.85</v>
      </c>
      <c r="GM494" s="2276">
        <f>+IF(GG472&lt;=GM486,GM486,IF(GG472&lt;=GM487,GM487,IF(GG472&lt;=GM488,GM488,)))</f>
        <v>38.619999999999997</v>
      </c>
      <c r="GN494" s="2276">
        <f>+IF(GG472&lt;=GN486,GN486,IF(GG472&lt;=GN487,GN487,IF(GG472&lt;=GN488,GN488,)))</f>
        <v>36.770000000000003</v>
      </c>
      <c r="GO494" s="2276">
        <f>+IF(GG472&lt;=GO486,GO486,IF(GG472&lt;=GO487,GO487,IF(GG472&lt;=GO488,GO488,)))</f>
        <v>40.770000000000003</v>
      </c>
      <c r="GP494" s="2276">
        <f>+IF(GG472&lt;=GP486,GP486,IF(GG472&lt;=GP487,GP487,IF(GG472&lt;=GP488,GP488,)))</f>
        <v>43.38</v>
      </c>
      <c r="GQ494" s="2276">
        <f>+IF(GG472&lt;=GQ486,GQ486,IF(GG472&lt;=GQ487,GQ487,IF(GG472&lt;=GQ488,GQ488,)))</f>
        <v>47.54</v>
      </c>
      <c r="GR494" s="2276">
        <f>+IF(GG472&lt;=GR486,GR486,IF(GG472&lt;=GR487,GR487,IF(GG472&lt;=GR488,GR488,)))</f>
        <v>48</v>
      </c>
      <c r="GS494" s="2276">
        <f>+IF(GG472&lt;=GS486,GS486,IF(GG472&lt;=GS487,GS487,IF(GG472&lt;=GS488,GS488,)))</f>
        <v>55.15</v>
      </c>
      <c r="GT494" s="2276">
        <f>+IF(GG472&lt;=GT486,GT486,IF(GG472&lt;=GT487,GT487,IF(GG472&lt;=GT488,GT488,)))</f>
        <v>61.62</v>
      </c>
      <c r="GU494" s="2276">
        <f>+IF(GG472&lt;=GU486,GU486,IF(GG472&lt;=GU487,GU487,IF(GG472&lt;=GU488,GU488,)))</f>
        <v>62.23</v>
      </c>
      <c r="GV494" s="2276">
        <f>+IF(GG472&lt;=GV486,GV486,IF(GG472&lt;=GV487,GV487,IF(GG472&lt;=GV488,GV488,)))</f>
        <v>65.38</v>
      </c>
      <c r="GW494" s="2276">
        <f>+IF(GG472&lt;=GW486,GW486,IF(GG472&lt;=GW487,GW487,IF(GG472&lt;=GW488,GW488,)))</f>
        <v>68.459999999999994</v>
      </c>
      <c r="GX494" s="2276">
        <f>+IF(GG472&lt;=GX486,GX486,IF(GG472&lt;=GX487,GX487,IF(GG472&lt;=GX488,GX488,)))</f>
        <v>73.69</v>
      </c>
      <c r="GY494" s="2276">
        <f>+IF(GG472&lt;=GY486,GY486,IF(GG472&lt;=GY487,GY487,IF(GG472&lt;=GY488,GY488,)))</f>
        <v>77.31</v>
      </c>
      <c r="GZ494" s="2276">
        <f>+IF(GG472&lt;=GZ486,GZ486,IF(GG472&lt;=GZ487,GZ487,IF(GG472&lt;=GZ488,GZ488,)))</f>
        <v>84.08</v>
      </c>
      <c r="HA494" s="2276">
        <f>+IF(GG472&lt;=HA486,HA486,IF(GG472&lt;=HA487,HA487,IF(GG472&lt;=HA488,HA488,)))</f>
        <v>89.15</v>
      </c>
      <c r="HB494" s="2276">
        <f>+IF(GG472&lt;=HB486,HB486,IF(GG472&lt;=HB487,HB487,IF(GG472&lt;=HB488,HB488,)))</f>
        <v>96.15</v>
      </c>
      <c r="HC494" s="2276">
        <f>+IF(GG472&lt;=HC486,HC486,IF(GG472&lt;=HC487,HC487,IF(GG472&lt;=HC488,HC488,)))</f>
        <v>102.46</v>
      </c>
      <c r="HD494" s="2276">
        <f>+IF(GG472&lt;=HD486,HD486,IF(GG472&lt;=HD487,HD487,IF(GG472&lt;=HD488,HD488,)))</f>
        <v>107.31</v>
      </c>
      <c r="HE494" s="2276">
        <f>+IF(GG472&lt;=HE486,HE486,IF(GG472&lt;=HE487,HE487,IF(GG472&lt;=HE488,HE488,)))</f>
        <v>119.08</v>
      </c>
      <c r="HF494" s="2276">
        <f>+IF(GG472&lt;=HF486,HF486,IF(GG472&lt;=HF487,HF487,IF(GG472&lt;=HF488,HF488,)))</f>
        <v>129.15</v>
      </c>
      <c r="HG494" s="2276">
        <f>+IF(GG472&lt;=HG486,HG486,IF(GG472&lt;=HG487,HG487,IF(GG472&lt;=HG488,HG488,)))</f>
        <v>146.62</v>
      </c>
      <c r="HH494" s="2276">
        <f>+IF(GG472&lt;=HH486,HH486,IF(GG472&lt;=HH487,HH487,IF(GG472&lt;=HH488,HH488,)))</f>
        <v>168.31</v>
      </c>
      <c r="HI494" s="2276">
        <f>+IF(GG472&lt;=HI486,HI486,IF(GG472&lt;=HI487,HI487,IF(GG472&lt;=HI488,HI488,)))</f>
        <v>177.46</v>
      </c>
      <c r="HJ494" s="2275"/>
      <c r="HK494" s="2275"/>
      <c r="HL494" s="2275"/>
      <c r="HM494" s="2275"/>
      <c r="HN494" s="2275"/>
      <c r="HO494" s="2275"/>
      <c r="HP494" s="2275"/>
      <c r="HQ494" s="2275"/>
      <c r="HR494" s="2275"/>
      <c r="HS494" s="2275"/>
      <c r="HT494" s="2275"/>
      <c r="HU494" s="2250"/>
      <c r="HV494" s="2250"/>
      <c r="HW494" s="2250"/>
      <c r="HX494" s="2250"/>
      <c r="HY494" s="2250"/>
      <c r="HZ494" s="2250"/>
      <c r="IA494" s="2250"/>
      <c r="IB494" s="2250"/>
      <c r="IC494" s="2250"/>
      <c r="ID494" s="2250"/>
      <c r="IE494" s="2250"/>
      <c r="IF494" s="2250"/>
      <c r="IG494" s="2250"/>
      <c r="IH494" s="2250"/>
      <c r="II494" s="2250"/>
      <c r="IJ494" s="2250"/>
      <c r="IK494" s="2250"/>
      <c r="IL494" s="53"/>
      <c r="IM494" s="53"/>
    </row>
    <row r="495" spans="2:247" ht="21.95" customHeight="1">
      <c r="B495" s="2276">
        <f>B429</f>
        <v>190.4</v>
      </c>
      <c r="C495" s="2276">
        <f>HLOOKUP(B495,D476:AD496,21,0)</f>
        <v>1100</v>
      </c>
      <c r="D495" s="2276">
        <f t="shared" ref="D495:AD495" si="362">IF(D493=0,D494,D493)</f>
        <v>25.92</v>
      </c>
      <c r="E495" s="2276">
        <f t="shared" si="362"/>
        <v>29.23</v>
      </c>
      <c r="F495" s="2276">
        <f t="shared" si="362"/>
        <v>22</v>
      </c>
      <c r="G495" s="2276">
        <f t="shared" si="362"/>
        <v>24.38</v>
      </c>
      <c r="H495" s="2276">
        <f t="shared" si="362"/>
        <v>26.62</v>
      </c>
      <c r="I495" s="2276">
        <f t="shared" si="362"/>
        <v>25.08</v>
      </c>
      <c r="J495" s="2276">
        <f t="shared" si="362"/>
        <v>20.62</v>
      </c>
      <c r="K495" s="2276">
        <f t="shared" si="362"/>
        <v>22</v>
      </c>
      <c r="L495" s="2276">
        <f t="shared" si="362"/>
        <v>23.38</v>
      </c>
      <c r="M495" s="2276">
        <f t="shared" si="362"/>
        <v>25.46</v>
      </c>
      <c r="N495" s="2276">
        <f t="shared" si="362"/>
        <v>26</v>
      </c>
      <c r="O495" s="2276">
        <f t="shared" si="362"/>
        <v>20.149999999999999</v>
      </c>
      <c r="P495" s="2276">
        <f t="shared" si="362"/>
        <v>21.08</v>
      </c>
      <c r="Q495" s="2276">
        <f t="shared" si="362"/>
        <v>21.54</v>
      </c>
      <c r="R495" s="2276">
        <f t="shared" si="362"/>
        <v>22.15</v>
      </c>
      <c r="S495" s="2276">
        <f t="shared" si="362"/>
        <v>24.31</v>
      </c>
      <c r="T495" s="2276">
        <f t="shared" si="362"/>
        <v>20.149999999999999</v>
      </c>
      <c r="U495" s="2276">
        <f t="shared" si="362"/>
        <v>21.08</v>
      </c>
      <c r="V495" s="2276">
        <f t="shared" si="362"/>
        <v>22.38</v>
      </c>
      <c r="W495" s="2276">
        <f t="shared" si="362"/>
        <v>24.62</v>
      </c>
      <c r="X495" s="2276">
        <f t="shared" si="362"/>
        <v>26.08</v>
      </c>
      <c r="Y495" s="2276">
        <f t="shared" si="362"/>
        <v>28.62</v>
      </c>
      <c r="Z495" s="2276">
        <f t="shared" si="362"/>
        <v>31.77</v>
      </c>
      <c r="AA495" s="2276">
        <f t="shared" si="362"/>
        <v>21.62</v>
      </c>
      <c r="AB495" s="2276">
        <f t="shared" si="362"/>
        <v>24.08</v>
      </c>
      <c r="AC495" s="2276">
        <f t="shared" si="362"/>
        <v>25.85</v>
      </c>
      <c r="AD495" s="2276">
        <f t="shared" si="362"/>
        <v>30.46</v>
      </c>
      <c r="AE495" s="2275"/>
      <c r="AF495" s="2275"/>
      <c r="AG495" s="2275"/>
      <c r="AH495" s="2275"/>
      <c r="AI495" s="2275"/>
      <c r="AJ495" s="2275"/>
      <c r="AK495" s="2275"/>
      <c r="AL495" s="2275"/>
      <c r="AM495" s="2275"/>
      <c r="AN495" s="2275"/>
      <c r="AO495" s="2275"/>
      <c r="AP495" s="2250"/>
      <c r="AQ495" s="2250"/>
      <c r="AR495" s="2250"/>
      <c r="AS495" s="2250"/>
      <c r="AT495" s="2250"/>
      <c r="AU495" s="2250"/>
      <c r="AV495" s="2250"/>
      <c r="AW495" s="2250"/>
      <c r="AX495" s="2250"/>
      <c r="AY495" s="2250"/>
      <c r="AZ495" s="2250"/>
      <c r="BA495" s="2250"/>
      <c r="BB495" s="2250"/>
      <c r="BC495" s="2250"/>
      <c r="BD495" s="2250"/>
      <c r="BE495" s="2250"/>
      <c r="BF495" s="2276"/>
      <c r="BG495" s="2276"/>
      <c r="BH495" s="2250"/>
      <c r="BI495" s="2275"/>
      <c r="BJ495" s="2276">
        <f>BJ429</f>
        <v>206.43</v>
      </c>
      <c r="BK495" s="2276">
        <f>HLOOKUP(BJ495,BL476:CL496,21,0)</f>
        <v>1250</v>
      </c>
      <c r="BL495" s="2276">
        <f t="shared" ref="BL495:CL495" si="363">IF(BL493=0,BL494,BL493)</f>
        <v>25.92</v>
      </c>
      <c r="BM495" s="2276">
        <f t="shared" si="363"/>
        <v>29.23</v>
      </c>
      <c r="BN495" s="2276">
        <f t="shared" si="363"/>
        <v>22</v>
      </c>
      <c r="BO495" s="2276">
        <f t="shared" si="363"/>
        <v>24.38</v>
      </c>
      <c r="BP495" s="2276">
        <f t="shared" si="363"/>
        <v>26.62</v>
      </c>
      <c r="BQ495" s="2276">
        <f t="shared" si="363"/>
        <v>25.08</v>
      </c>
      <c r="BR495" s="2276">
        <f t="shared" si="363"/>
        <v>20.62</v>
      </c>
      <c r="BS495" s="2276">
        <f t="shared" si="363"/>
        <v>22</v>
      </c>
      <c r="BT495" s="2276">
        <f t="shared" si="363"/>
        <v>23.38</v>
      </c>
      <c r="BU495" s="2276">
        <f t="shared" si="363"/>
        <v>25.46</v>
      </c>
      <c r="BV495" s="2276">
        <f t="shared" si="363"/>
        <v>26</v>
      </c>
      <c r="BW495" s="2276">
        <f t="shared" si="363"/>
        <v>20.149999999999999</v>
      </c>
      <c r="BX495" s="2276">
        <f t="shared" si="363"/>
        <v>21.08</v>
      </c>
      <c r="BY495" s="2276">
        <f t="shared" si="363"/>
        <v>21.54</v>
      </c>
      <c r="BZ495" s="2276">
        <f t="shared" si="363"/>
        <v>22.15</v>
      </c>
      <c r="CA495" s="2276">
        <f t="shared" si="363"/>
        <v>24.31</v>
      </c>
      <c r="CB495" s="2276">
        <f t="shared" si="363"/>
        <v>20.149999999999999</v>
      </c>
      <c r="CC495" s="2276">
        <f t="shared" si="363"/>
        <v>21.08</v>
      </c>
      <c r="CD495" s="2276">
        <f t="shared" si="363"/>
        <v>22.38</v>
      </c>
      <c r="CE495" s="2276">
        <f t="shared" si="363"/>
        <v>24.62</v>
      </c>
      <c r="CF495" s="2276">
        <f t="shared" si="363"/>
        <v>26.08</v>
      </c>
      <c r="CG495" s="2276">
        <f t="shared" si="363"/>
        <v>28.62</v>
      </c>
      <c r="CH495" s="2276">
        <f t="shared" si="363"/>
        <v>31.77</v>
      </c>
      <c r="CI495" s="2276">
        <f t="shared" si="363"/>
        <v>21.62</v>
      </c>
      <c r="CJ495" s="2276">
        <f t="shared" si="363"/>
        <v>24.08</v>
      </c>
      <c r="CK495" s="2276">
        <f t="shared" si="363"/>
        <v>25.85</v>
      </c>
      <c r="CL495" s="2276">
        <f t="shared" si="363"/>
        <v>30.46</v>
      </c>
      <c r="CM495" s="2275"/>
      <c r="CN495" s="2275"/>
      <c r="CO495" s="2275"/>
      <c r="CP495" s="2275"/>
      <c r="CQ495" s="2275"/>
      <c r="CR495" s="2275"/>
      <c r="CS495" s="2275"/>
      <c r="CT495" s="2275"/>
      <c r="CU495" s="2275"/>
      <c r="CV495" s="2275"/>
      <c r="CW495" s="2275"/>
      <c r="CX495" s="2250"/>
      <c r="CY495" s="2250"/>
      <c r="CZ495" s="2250"/>
      <c r="DA495" s="2250"/>
      <c r="DB495" s="2250"/>
      <c r="DC495" s="2250"/>
      <c r="DD495" s="2250"/>
      <c r="DE495" s="2250"/>
      <c r="DF495" s="2250"/>
      <c r="DG495" s="2250"/>
      <c r="DH495" s="2250"/>
      <c r="DI495" s="2250"/>
      <c r="DJ495" s="2250"/>
      <c r="DK495" s="2250"/>
      <c r="DL495" s="2250"/>
      <c r="DM495" s="2250"/>
      <c r="DN495" s="2250"/>
      <c r="DO495" s="53"/>
      <c r="DP495" s="53"/>
      <c r="DY495" s="2276">
        <f>DY429</f>
        <v>120.7</v>
      </c>
      <c r="DZ495" s="2276">
        <f>HLOOKUP(DY495,EA476:FA496,21,0)</f>
        <v>950</v>
      </c>
      <c r="EA495" s="2276">
        <f t="shared" ref="EA495:FA495" si="364">IF(EA493=0,EA494,EA493)</f>
        <v>25.92</v>
      </c>
      <c r="EB495" s="2276">
        <f t="shared" si="364"/>
        <v>29.23</v>
      </c>
      <c r="EC495" s="2276">
        <f t="shared" si="364"/>
        <v>22</v>
      </c>
      <c r="ED495" s="2276">
        <f t="shared" si="364"/>
        <v>24.38</v>
      </c>
      <c r="EE495" s="2276">
        <f t="shared" si="364"/>
        <v>26.62</v>
      </c>
      <c r="EF495" s="2276">
        <f t="shared" si="364"/>
        <v>25.08</v>
      </c>
      <c r="EG495" s="2276">
        <f t="shared" si="364"/>
        <v>20.62</v>
      </c>
      <c r="EH495" s="2276">
        <f t="shared" si="364"/>
        <v>22</v>
      </c>
      <c r="EI495" s="2276">
        <f t="shared" si="364"/>
        <v>23.38</v>
      </c>
      <c r="EJ495" s="2276">
        <f t="shared" si="364"/>
        <v>25.46</v>
      </c>
      <c r="EK495" s="2276">
        <f t="shared" si="364"/>
        <v>26</v>
      </c>
      <c r="EL495" s="2276">
        <f t="shared" si="364"/>
        <v>20.149999999999999</v>
      </c>
      <c r="EM495" s="2276">
        <f t="shared" si="364"/>
        <v>21.08</v>
      </c>
      <c r="EN495" s="2276">
        <f t="shared" si="364"/>
        <v>21.54</v>
      </c>
      <c r="EO495" s="2276">
        <f t="shared" si="364"/>
        <v>22.15</v>
      </c>
      <c r="EP495" s="2276">
        <f t="shared" si="364"/>
        <v>24.31</v>
      </c>
      <c r="EQ495" s="2276">
        <f t="shared" si="364"/>
        <v>20.149999999999999</v>
      </c>
      <c r="ER495" s="2276">
        <f t="shared" si="364"/>
        <v>21.08</v>
      </c>
      <c r="ES495" s="2276">
        <f t="shared" si="364"/>
        <v>22.38</v>
      </c>
      <c r="ET495" s="2276">
        <f t="shared" si="364"/>
        <v>24.62</v>
      </c>
      <c r="EU495" s="2276">
        <f t="shared" si="364"/>
        <v>26.08</v>
      </c>
      <c r="EV495" s="2276">
        <f t="shared" si="364"/>
        <v>28.62</v>
      </c>
      <c r="EW495" s="2276">
        <f t="shared" si="364"/>
        <v>31.77</v>
      </c>
      <c r="EX495" s="2276">
        <f t="shared" si="364"/>
        <v>21.62</v>
      </c>
      <c r="EY495" s="2276">
        <f t="shared" si="364"/>
        <v>24.08</v>
      </c>
      <c r="EZ495" s="2276">
        <f t="shared" si="364"/>
        <v>25.85</v>
      </c>
      <c r="FA495" s="2276">
        <f t="shared" si="364"/>
        <v>30.46</v>
      </c>
      <c r="FB495" s="2275"/>
      <c r="FC495" s="2275"/>
      <c r="FD495" s="2275"/>
      <c r="FE495" s="2275"/>
      <c r="FF495" s="2275"/>
      <c r="FG495" s="2275"/>
      <c r="FH495" s="2275"/>
      <c r="FI495" s="2275"/>
      <c r="FJ495" s="2275"/>
      <c r="FK495" s="2275"/>
      <c r="FL495" s="2275"/>
      <c r="FM495" s="2250"/>
      <c r="FN495" s="2250"/>
      <c r="FO495" s="2250"/>
      <c r="FP495" s="2250"/>
      <c r="FQ495" s="2250"/>
      <c r="FR495" s="2250"/>
      <c r="FS495" s="2250"/>
      <c r="FT495" s="2250"/>
      <c r="FU495" s="2250"/>
      <c r="FV495" s="2250"/>
      <c r="FW495" s="2250"/>
      <c r="FX495" s="2250"/>
      <c r="FY495" s="2250"/>
      <c r="FZ495" s="2250"/>
      <c r="GA495" s="2250"/>
      <c r="GB495" s="2250"/>
      <c r="GC495" s="2276"/>
      <c r="GD495" s="2276"/>
      <c r="GE495" s="2250"/>
      <c r="GF495" s="2275"/>
      <c r="GG495" s="2276">
        <f>GG429</f>
        <v>129.80000000000001</v>
      </c>
      <c r="GH495" s="2276">
        <f>HLOOKUP(GG495,GI476:HI496,21,0)</f>
        <v>950</v>
      </c>
      <c r="GI495" s="2276">
        <f t="shared" ref="GI495:HI495" si="365">IF(GI493=0,GI494,GI493)</f>
        <v>25.92</v>
      </c>
      <c r="GJ495" s="2276">
        <f t="shared" si="365"/>
        <v>29.23</v>
      </c>
      <c r="GK495" s="2276">
        <f t="shared" si="365"/>
        <v>22</v>
      </c>
      <c r="GL495" s="2276">
        <f t="shared" si="365"/>
        <v>24.38</v>
      </c>
      <c r="GM495" s="2276">
        <f t="shared" si="365"/>
        <v>26.62</v>
      </c>
      <c r="GN495" s="2276">
        <f t="shared" si="365"/>
        <v>25.08</v>
      </c>
      <c r="GO495" s="2276">
        <f t="shared" si="365"/>
        <v>20.62</v>
      </c>
      <c r="GP495" s="2276">
        <f t="shared" si="365"/>
        <v>22</v>
      </c>
      <c r="GQ495" s="2276">
        <f t="shared" si="365"/>
        <v>23.38</v>
      </c>
      <c r="GR495" s="2276">
        <f t="shared" si="365"/>
        <v>25.46</v>
      </c>
      <c r="GS495" s="2276">
        <f t="shared" si="365"/>
        <v>26</v>
      </c>
      <c r="GT495" s="2276">
        <f t="shared" si="365"/>
        <v>20.149999999999999</v>
      </c>
      <c r="GU495" s="2276">
        <f t="shared" si="365"/>
        <v>21.08</v>
      </c>
      <c r="GV495" s="2276">
        <f t="shared" si="365"/>
        <v>21.54</v>
      </c>
      <c r="GW495" s="2276">
        <f t="shared" si="365"/>
        <v>22.15</v>
      </c>
      <c r="GX495" s="2276">
        <f t="shared" si="365"/>
        <v>24.31</v>
      </c>
      <c r="GY495" s="2276">
        <f t="shared" si="365"/>
        <v>20.149999999999999</v>
      </c>
      <c r="GZ495" s="2276">
        <f t="shared" si="365"/>
        <v>21.08</v>
      </c>
      <c r="HA495" s="2276">
        <f t="shared" si="365"/>
        <v>22.38</v>
      </c>
      <c r="HB495" s="2276">
        <f t="shared" si="365"/>
        <v>24.62</v>
      </c>
      <c r="HC495" s="2276">
        <f t="shared" si="365"/>
        <v>26.08</v>
      </c>
      <c r="HD495" s="2276">
        <f t="shared" si="365"/>
        <v>28.62</v>
      </c>
      <c r="HE495" s="2276">
        <f t="shared" si="365"/>
        <v>31.77</v>
      </c>
      <c r="HF495" s="2276">
        <f t="shared" si="365"/>
        <v>21.62</v>
      </c>
      <c r="HG495" s="2276">
        <f t="shared" si="365"/>
        <v>24.08</v>
      </c>
      <c r="HH495" s="2276">
        <f t="shared" si="365"/>
        <v>25.85</v>
      </c>
      <c r="HI495" s="2276">
        <f t="shared" si="365"/>
        <v>30.46</v>
      </c>
      <c r="HJ495" s="2275"/>
      <c r="HK495" s="2275"/>
      <c r="HL495" s="2275"/>
      <c r="HM495" s="2275"/>
      <c r="HN495" s="2275"/>
      <c r="HO495" s="2275"/>
      <c r="HP495" s="2275"/>
      <c r="HQ495" s="2275"/>
      <c r="HR495" s="2275"/>
      <c r="HS495" s="2275"/>
      <c r="HT495" s="2275"/>
      <c r="HU495" s="2250"/>
      <c r="HV495" s="2250"/>
      <c r="HW495" s="2250"/>
      <c r="HX495" s="2250"/>
      <c r="HY495" s="2250"/>
      <c r="HZ495" s="2250"/>
      <c r="IA495" s="2250"/>
      <c r="IB495" s="2250"/>
      <c r="IC495" s="2250"/>
      <c r="ID495" s="2250"/>
      <c r="IE495" s="2250"/>
      <c r="IF495" s="2250"/>
      <c r="IG495" s="2250"/>
      <c r="IH495" s="2250"/>
      <c r="II495" s="2250"/>
      <c r="IJ495" s="2250"/>
      <c r="IK495" s="2250"/>
      <c r="IL495" s="53"/>
      <c r="IM495" s="53"/>
    </row>
    <row r="496" spans="2:247" ht="21.95" customHeight="1">
      <c r="B496" s="2250"/>
      <c r="C496" s="2276" t="str">
        <f>IF(C494=AH492,IF(C495=AI492,"Right","Wrong"))</f>
        <v>Right</v>
      </c>
      <c r="D496" s="2276">
        <f>VLOOKUP(D495,D478:AE488,28,0)</f>
        <v>1250</v>
      </c>
      <c r="E496" s="2276">
        <f>VLOOKUP(E495,E478:AE488,27,0)</f>
        <v>1250</v>
      </c>
      <c r="F496" s="2276">
        <f>VLOOKUP(F495,F476:AE488,26,0)</f>
        <v>1100</v>
      </c>
      <c r="G496" s="2276">
        <f>VLOOKUP(G495,G476:AE488,25,0)</f>
        <v>1100</v>
      </c>
      <c r="H496" s="2276">
        <f>VLOOKUP(H495,H476:AE488,24,0)</f>
        <v>1100</v>
      </c>
      <c r="I496" s="2276">
        <f>VLOOKUP(I495,I476:AE488,23,0)</f>
        <v>1100</v>
      </c>
      <c r="J496" s="2276">
        <f>VLOOKUP(J495,J476:AE488,22,0)</f>
        <v>950</v>
      </c>
      <c r="K496" s="2276">
        <f>VLOOKUP(K495,K476:AE488,21,0)</f>
        <v>950</v>
      </c>
      <c r="L496" s="2276">
        <f>VLOOKUP(L495,L476:AE488,20,0)</f>
        <v>950</v>
      </c>
      <c r="M496" s="2276">
        <f>VLOOKUP(M495,M476:AE488,19,0)</f>
        <v>950</v>
      </c>
      <c r="N496" s="2276">
        <f>VLOOKUP(N495,N476:AE488,18,0)</f>
        <v>950</v>
      </c>
      <c r="O496" s="2276">
        <f>VLOOKUP(O495,O476:AE488,17,0)</f>
        <v>825</v>
      </c>
      <c r="P496" s="2276">
        <f>VLOOKUP(P495,P476:AE488,16,0)</f>
        <v>825</v>
      </c>
      <c r="Q496" s="2276">
        <f>VLOOKUP(Q495,Q476:AE488,15,0)</f>
        <v>825</v>
      </c>
      <c r="R496" s="2276">
        <f>VLOOKUP(R495,R476:AE488,14,0)</f>
        <v>825</v>
      </c>
      <c r="S496" s="2276">
        <f>VLOOKUP(S495,S476:AE488,13,0)</f>
        <v>825</v>
      </c>
      <c r="T496" s="2276">
        <f>VLOOKUP(T495,T476:AE488,12,0)</f>
        <v>775</v>
      </c>
      <c r="U496" s="2276">
        <f>VLOOKUP(U495,U476:AE488,11,0)</f>
        <v>775</v>
      </c>
      <c r="V496" s="2276">
        <f>VLOOKUP(V495,V476:AE488,10,0)</f>
        <v>775</v>
      </c>
      <c r="W496" s="2276">
        <f>VLOOKUP(W495,W476:AE488,9,0)</f>
        <v>775</v>
      </c>
      <c r="X496" s="2276">
        <f>VLOOKUP(X495,X476:AE488,8,0)</f>
        <v>775</v>
      </c>
      <c r="Y496" s="2276">
        <f>VLOOKUP(Y495,Y476:AE488,7,0)</f>
        <v>775</v>
      </c>
      <c r="Z496" s="2276">
        <f>VLOOKUP(Z495,Z476:AE488,6,0)</f>
        <v>775</v>
      </c>
      <c r="AA496" s="2276">
        <f>VLOOKUP(AA495,AA476:AE488,5,0)</f>
        <v>650</v>
      </c>
      <c r="AB496" s="2276">
        <f>VLOOKUP(AB495,AB476:AE488,4,0)</f>
        <v>650</v>
      </c>
      <c r="AC496" s="2276">
        <f>VLOOKUP(AC495,AC476:AE488,3,0)</f>
        <v>650</v>
      </c>
      <c r="AD496" s="2276">
        <f>VLOOKUP(AD495,AD476:AE488,2,0)</f>
        <v>650</v>
      </c>
      <c r="AE496" s="2275"/>
      <c r="AF496" s="2275"/>
      <c r="AG496" s="2275"/>
      <c r="AH496" s="2275"/>
      <c r="AI496" s="2275"/>
      <c r="AJ496" s="2275"/>
      <c r="AK496" s="2275"/>
      <c r="AL496" s="2275"/>
      <c r="AM496" s="2275"/>
      <c r="AN496" s="2275"/>
      <c r="AO496" s="2275"/>
      <c r="AP496" s="2250"/>
      <c r="AQ496" s="2250"/>
      <c r="AR496" s="2250"/>
      <c r="AS496" s="2250"/>
      <c r="AT496" s="2250"/>
      <c r="AU496" s="2250"/>
      <c r="AV496" s="2250"/>
      <c r="AW496" s="2250"/>
      <c r="AX496" s="2250"/>
      <c r="AY496" s="2250"/>
      <c r="AZ496" s="2250"/>
      <c r="BA496" s="2250"/>
      <c r="BB496" s="2250"/>
      <c r="BC496" s="2250"/>
      <c r="BD496" s="2250"/>
      <c r="BE496" s="2250"/>
      <c r="BF496" s="2276"/>
      <c r="BG496" s="2276"/>
      <c r="BH496" s="2250"/>
      <c r="BI496" s="2275"/>
      <c r="BJ496" s="2250"/>
      <c r="BK496" s="2276" t="str">
        <f>IF(BK494=CP492,IF(BK495=CQ492,"Right","Wrong"))</f>
        <v>Right</v>
      </c>
      <c r="BL496" s="2276">
        <f>VLOOKUP(BL495,BL478:CM488,28,0)</f>
        <v>1250</v>
      </c>
      <c r="BM496" s="2276">
        <f>VLOOKUP(BM495,BM478:CM488,27,0)</f>
        <v>1250</v>
      </c>
      <c r="BN496" s="2276">
        <f>VLOOKUP(BN495,BN476:CM488,26,0)</f>
        <v>1100</v>
      </c>
      <c r="BO496" s="2276">
        <f>VLOOKUP(BO495,BO476:CM488,25,0)</f>
        <v>1100</v>
      </c>
      <c r="BP496" s="2276">
        <f>VLOOKUP(BP495,BP476:CM488,24,0)</f>
        <v>1100</v>
      </c>
      <c r="BQ496" s="2276">
        <f>VLOOKUP(BQ495,BQ476:CM488,23,0)</f>
        <v>1100</v>
      </c>
      <c r="BR496" s="2276">
        <f>VLOOKUP(BR495,BR476:CM488,22,0)</f>
        <v>950</v>
      </c>
      <c r="BS496" s="2276">
        <f>VLOOKUP(BS495,BS476:CM488,21,0)</f>
        <v>950</v>
      </c>
      <c r="BT496" s="2276">
        <f>VLOOKUP(BT495,BT476:CM488,20,0)</f>
        <v>950</v>
      </c>
      <c r="BU496" s="2276">
        <f>VLOOKUP(BU495,BU476:CM488,19,0)</f>
        <v>950</v>
      </c>
      <c r="BV496" s="2276">
        <f>VLOOKUP(BV495,BV476:CM488,18,0)</f>
        <v>950</v>
      </c>
      <c r="BW496" s="2276">
        <f>VLOOKUP(BW495,BW476:CM488,17,0)</f>
        <v>825</v>
      </c>
      <c r="BX496" s="2276">
        <f>VLOOKUP(BX495,BX476:CM488,16,0)</f>
        <v>825</v>
      </c>
      <c r="BY496" s="2276">
        <f>VLOOKUP(BY495,BY476:CM488,15,0)</f>
        <v>825</v>
      </c>
      <c r="BZ496" s="2276">
        <f>VLOOKUP(BZ495,BZ476:CM488,14,0)</f>
        <v>825</v>
      </c>
      <c r="CA496" s="2276">
        <f>VLOOKUP(CA495,CA476:CM488,13,0)</f>
        <v>825</v>
      </c>
      <c r="CB496" s="2276">
        <f>VLOOKUP(CB495,CB476:CM488,12,0)</f>
        <v>775</v>
      </c>
      <c r="CC496" s="2276">
        <f>VLOOKUP(CC495,CC476:CM488,11,0)</f>
        <v>775</v>
      </c>
      <c r="CD496" s="2276">
        <f>VLOOKUP(CD495,CD476:CM488,10,0)</f>
        <v>775</v>
      </c>
      <c r="CE496" s="2276">
        <f>VLOOKUP(CE495,CE476:CM488,9,0)</f>
        <v>775</v>
      </c>
      <c r="CF496" s="2276">
        <f>VLOOKUP(CF495,CF476:CM488,8,0)</f>
        <v>775</v>
      </c>
      <c r="CG496" s="2276">
        <f>VLOOKUP(CG495,CG476:CM488,7,0)</f>
        <v>775</v>
      </c>
      <c r="CH496" s="2276">
        <f>VLOOKUP(CH495,CH476:CM488,6,0)</f>
        <v>775</v>
      </c>
      <c r="CI496" s="2276">
        <f>VLOOKUP(CI495,CI476:CM488,5,0)</f>
        <v>650</v>
      </c>
      <c r="CJ496" s="2276">
        <f>VLOOKUP(CJ495,CJ476:CM488,4,0)</f>
        <v>650</v>
      </c>
      <c r="CK496" s="2276">
        <f>VLOOKUP(CK495,CK476:CM488,3,0)</f>
        <v>650</v>
      </c>
      <c r="CL496" s="2276">
        <f>VLOOKUP(CL495,CL476:CM488,2,0)</f>
        <v>650</v>
      </c>
      <c r="CM496" s="2275"/>
      <c r="CN496" s="2275"/>
      <c r="CO496" s="2275"/>
      <c r="CP496" s="2275"/>
      <c r="CQ496" s="2275"/>
      <c r="CR496" s="2275"/>
      <c r="CS496" s="2275"/>
      <c r="CT496" s="2275"/>
      <c r="CU496" s="2275"/>
      <c r="CV496" s="2275"/>
      <c r="CW496" s="2275"/>
      <c r="CX496" s="2250"/>
      <c r="CY496" s="2250"/>
      <c r="CZ496" s="2250"/>
      <c r="DA496" s="2250"/>
      <c r="DB496" s="2250"/>
      <c r="DC496" s="2250"/>
      <c r="DD496" s="2250"/>
      <c r="DE496" s="2250"/>
      <c r="DF496" s="2250"/>
      <c r="DG496" s="2250"/>
      <c r="DH496" s="2250"/>
      <c r="DI496" s="2250"/>
      <c r="DJ496" s="2250"/>
      <c r="DK496" s="2250"/>
      <c r="DL496" s="2250"/>
      <c r="DM496" s="2250"/>
      <c r="DN496" s="2250"/>
      <c r="DO496" s="53"/>
      <c r="DP496" s="53"/>
      <c r="DY496" s="2250"/>
      <c r="DZ496" s="2276" t="str">
        <f>IF(DZ494=FE492,IF(DZ495=FF492,"Right","Wrong"))</f>
        <v>Right</v>
      </c>
      <c r="EA496" s="2276">
        <f>VLOOKUP(EA495,EA478:FB488,28,0)</f>
        <v>1250</v>
      </c>
      <c r="EB496" s="2276">
        <f>VLOOKUP(EB495,EB478:FB488,27,0)</f>
        <v>1250</v>
      </c>
      <c r="EC496" s="2276">
        <f>VLOOKUP(EC495,EC476:FB488,26,0)</f>
        <v>1100</v>
      </c>
      <c r="ED496" s="2276">
        <f>VLOOKUP(ED495,ED476:FB488,25,0)</f>
        <v>1100</v>
      </c>
      <c r="EE496" s="2276">
        <f>VLOOKUP(EE495,EE476:FB488,24,0)</f>
        <v>1100</v>
      </c>
      <c r="EF496" s="2276">
        <f>VLOOKUP(EF495,EF476:FB488,23,0)</f>
        <v>1100</v>
      </c>
      <c r="EG496" s="2276">
        <f>VLOOKUP(EG495,EG476:FB488,22,0)</f>
        <v>950</v>
      </c>
      <c r="EH496" s="2276">
        <f>VLOOKUP(EH495,EH476:FB488,21,0)</f>
        <v>950</v>
      </c>
      <c r="EI496" s="2276">
        <f>VLOOKUP(EI495,EI476:FB488,20,0)</f>
        <v>950</v>
      </c>
      <c r="EJ496" s="2276">
        <f>VLOOKUP(EJ495,EJ476:FB488,19,0)</f>
        <v>950</v>
      </c>
      <c r="EK496" s="2276">
        <f>VLOOKUP(EK495,EK476:FB488,18,0)</f>
        <v>950</v>
      </c>
      <c r="EL496" s="2276">
        <f>VLOOKUP(EL495,EL476:FB488,17,0)</f>
        <v>825</v>
      </c>
      <c r="EM496" s="2276">
        <f>VLOOKUP(EM495,EM476:FB488,16,0)</f>
        <v>825</v>
      </c>
      <c r="EN496" s="2276">
        <f>VLOOKUP(EN495,EN476:FB488,15,0)</f>
        <v>825</v>
      </c>
      <c r="EO496" s="2276">
        <f>VLOOKUP(EO495,EO476:FB488,14,0)</f>
        <v>825</v>
      </c>
      <c r="EP496" s="2276">
        <f>VLOOKUP(EP495,EP476:FB488,13,0)</f>
        <v>825</v>
      </c>
      <c r="EQ496" s="2276">
        <f>VLOOKUP(EQ495,EQ476:FB488,12,0)</f>
        <v>775</v>
      </c>
      <c r="ER496" s="2276">
        <f>VLOOKUP(ER495,ER476:FB488,11,0)</f>
        <v>775</v>
      </c>
      <c r="ES496" s="2276">
        <f>VLOOKUP(ES495,ES476:FB488,10,0)</f>
        <v>775</v>
      </c>
      <c r="ET496" s="2276">
        <f>VLOOKUP(ET495,ET476:FB488,9,0)</f>
        <v>775</v>
      </c>
      <c r="EU496" s="2276">
        <f>VLOOKUP(EU495,EU476:FB488,8,0)</f>
        <v>775</v>
      </c>
      <c r="EV496" s="2276">
        <f>VLOOKUP(EV495,EV476:FB488,7,0)</f>
        <v>775</v>
      </c>
      <c r="EW496" s="2276">
        <f>VLOOKUP(EW495,EW476:FB488,6,0)</f>
        <v>775</v>
      </c>
      <c r="EX496" s="2276">
        <f>VLOOKUP(EX495,EX476:FB488,5,0)</f>
        <v>650</v>
      </c>
      <c r="EY496" s="2276">
        <f>VLOOKUP(EY495,EY476:FB488,4,0)</f>
        <v>650</v>
      </c>
      <c r="EZ496" s="2276">
        <f>VLOOKUP(EZ495,EZ476:FB488,3,0)</f>
        <v>650</v>
      </c>
      <c r="FA496" s="2276">
        <f>VLOOKUP(FA495,FA476:FB488,2,0)</f>
        <v>650</v>
      </c>
      <c r="FB496" s="2275"/>
      <c r="FC496" s="2275"/>
      <c r="FD496" s="2275"/>
      <c r="FE496" s="2275"/>
      <c r="FF496" s="2275"/>
      <c r="FG496" s="2275"/>
      <c r="FH496" s="2275"/>
      <c r="FI496" s="2275"/>
      <c r="FJ496" s="2275"/>
      <c r="FK496" s="2275"/>
      <c r="FL496" s="2275"/>
      <c r="FM496" s="2250"/>
      <c r="FN496" s="2250"/>
      <c r="FO496" s="2250"/>
      <c r="FP496" s="2250"/>
      <c r="FQ496" s="2250"/>
      <c r="FR496" s="2250"/>
      <c r="FS496" s="2250"/>
      <c r="FT496" s="2250"/>
      <c r="FU496" s="2250"/>
      <c r="FV496" s="2250"/>
      <c r="FW496" s="2250"/>
      <c r="FX496" s="2250"/>
      <c r="FY496" s="2250"/>
      <c r="FZ496" s="2250"/>
      <c r="GA496" s="2250"/>
      <c r="GB496" s="2250"/>
      <c r="GC496" s="2276"/>
      <c r="GD496" s="2276"/>
      <c r="GE496" s="2250"/>
      <c r="GF496" s="2275"/>
      <c r="GG496" s="2250"/>
      <c r="GH496" s="2276" t="str">
        <f>IF(GH494=HM492,IF(GH495=HN492,"Right","Wrong"))</f>
        <v>Right</v>
      </c>
      <c r="GI496" s="2276">
        <f>VLOOKUP(GI495,GI478:HJ488,28,0)</f>
        <v>1250</v>
      </c>
      <c r="GJ496" s="2276">
        <f>VLOOKUP(GJ495,GJ478:HJ488,27,0)</f>
        <v>1250</v>
      </c>
      <c r="GK496" s="2276">
        <f>VLOOKUP(GK495,GK476:HJ488,26,0)</f>
        <v>1100</v>
      </c>
      <c r="GL496" s="2276">
        <f>VLOOKUP(GL495,GL476:HJ488,25,0)</f>
        <v>1100</v>
      </c>
      <c r="GM496" s="2276">
        <f>VLOOKUP(GM495,GM476:HJ488,24,0)</f>
        <v>1100</v>
      </c>
      <c r="GN496" s="2276">
        <f>VLOOKUP(GN495,GN476:HJ488,23,0)</f>
        <v>1100</v>
      </c>
      <c r="GO496" s="2276">
        <f>VLOOKUP(GO495,GO476:HJ488,22,0)</f>
        <v>950</v>
      </c>
      <c r="GP496" s="2276">
        <f>VLOOKUP(GP495,GP476:HJ488,21,0)</f>
        <v>950</v>
      </c>
      <c r="GQ496" s="2276">
        <f>VLOOKUP(GQ495,GQ476:HJ488,20,0)</f>
        <v>950</v>
      </c>
      <c r="GR496" s="2276">
        <f>VLOOKUP(GR495,GR476:HJ488,19,0)</f>
        <v>950</v>
      </c>
      <c r="GS496" s="2276">
        <f>VLOOKUP(GS495,GS476:HJ488,18,0)</f>
        <v>950</v>
      </c>
      <c r="GT496" s="2276">
        <f>VLOOKUP(GT495,GT476:HJ488,17,0)</f>
        <v>825</v>
      </c>
      <c r="GU496" s="2276">
        <f>VLOOKUP(GU495,GU476:HJ488,16,0)</f>
        <v>825</v>
      </c>
      <c r="GV496" s="2276">
        <f>VLOOKUP(GV495,GV476:HJ488,15,0)</f>
        <v>825</v>
      </c>
      <c r="GW496" s="2276">
        <f>VLOOKUP(GW495,GW476:HJ488,14,0)</f>
        <v>825</v>
      </c>
      <c r="GX496" s="2276">
        <f>VLOOKUP(GX495,GX476:HJ488,13,0)</f>
        <v>825</v>
      </c>
      <c r="GY496" s="2276">
        <f>VLOOKUP(GY495,GY476:HJ488,12,0)</f>
        <v>775</v>
      </c>
      <c r="GZ496" s="2276">
        <f>VLOOKUP(GZ495,GZ476:HJ488,11,0)</f>
        <v>775</v>
      </c>
      <c r="HA496" s="2276">
        <f>VLOOKUP(HA495,HA476:HJ488,10,0)</f>
        <v>775</v>
      </c>
      <c r="HB496" s="2276">
        <f>VLOOKUP(HB495,HB476:HJ488,9,0)</f>
        <v>775</v>
      </c>
      <c r="HC496" s="2276">
        <f>VLOOKUP(HC495,HC476:HJ488,8,0)</f>
        <v>775</v>
      </c>
      <c r="HD496" s="2276">
        <f>VLOOKUP(HD495,HD476:HJ488,7,0)</f>
        <v>775</v>
      </c>
      <c r="HE496" s="2276">
        <f>VLOOKUP(HE495,HE476:HJ488,6,0)</f>
        <v>775</v>
      </c>
      <c r="HF496" s="2276">
        <f>VLOOKUP(HF495,HF476:HJ488,5,0)</f>
        <v>650</v>
      </c>
      <c r="HG496" s="2276">
        <f>VLOOKUP(HG495,HG476:HJ488,4,0)</f>
        <v>650</v>
      </c>
      <c r="HH496" s="2276">
        <f>VLOOKUP(HH495,HH476:HJ488,3,0)</f>
        <v>650</v>
      </c>
      <c r="HI496" s="2276">
        <f>VLOOKUP(HI495,HI476:HJ488,2,0)</f>
        <v>650</v>
      </c>
      <c r="HJ496" s="2275"/>
      <c r="HK496" s="2275"/>
      <c r="HL496" s="2275"/>
      <c r="HM496" s="2275"/>
      <c r="HN496" s="2275"/>
      <c r="HO496" s="2275"/>
      <c r="HP496" s="2275"/>
      <c r="HQ496" s="2275"/>
      <c r="HR496" s="2275"/>
      <c r="HS496" s="2275"/>
      <c r="HT496" s="2275"/>
      <c r="HU496" s="2250"/>
      <c r="HV496" s="2250"/>
      <c r="HW496" s="2250"/>
      <c r="HX496" s="2250"/>
      <c r="HY496" s="2250"/>
      <c r="HZ496" s="2250"/>
      <c r="IA496" s="2250"/>
      <c r="IB496" s="2250"/>
      <c r="IC496" s="2250"/>
      <c r="ID496" s="2250"/>
      <c r="IE496" s="2250"/>
      <c r="IF496" s="2250"/>
      <c r="IG496" s="2250"/>
      <c r="IH496" s="2250"/>
      <c r="II496" s="2250"/>
      <c r="IJ496" s="2250"/>
      <c r="IK496" s="2250"/>
      <c r="IL496" s="53"/>
      <c r="IM496" s="53"/>
    </row>
    <row r="497" spans="2:247" ht="21.95" customHeight="1">
      <c r="B497" s="2275"/>
      <c r="C497" s="2275"/>
      <c r="D497" s="2275"/>
      <c r="E497" s="2275"/>
      <c r="F497" s="2275"/>
      <c r="G497" s="2275"/>
      <c r="H497" s="2275"/>
      <c r="I497" s="2275"/>
      <c r="J497" s="2275"/>
      <c r="K497" s="2275"/>
      <c r="L497" s="2275"/>
      <c r="M497" s="2275"/>
      <c r="N497" s="2275"/>
      <c r="O497" s="2275"/>
      <c r="P497" s="2275"/>
      <c r="Q497" s="2275"/>
      <c r="R497" s="2275"/>
      <c r="S497" s="2275"/>
      <c r="T497" s="2275"/>
      <c r="U497" s="2275"/>
      <c r="V497" s="2275"/>
      <c r="W497" s="2275"/>
      <c r="X497" s="2275"/>
      <c r="Y497" s="2275"/>
      <c r="Z497" s="2275"/>
      <c r="AA497" s="2275"/>
      <c r="AB497" s="2275"/>
      <c r="AC497" s="2275"/>
      <c r="AD497" s="2275"/>
      <c r="AE497" s="2275"/>
      <c r="AF497" s="2275"/>
      <c r="AG497" s="2275"/>
      <c r="AH497" s="2275"/>
      <c r="AI497" s="2275"/>
      <c r="AJ497" s="2275"/>
      <c r="AK497" s="2275"/>
      <c r="AL497" s="2275"/>
      <c r="AM497" s="2275"/>
      <c r="AN497" s="2275"/>
      <c r="AO497" s="2275"/>
      <c r="AP497" s="2250"/>
      <c r="AQ497" s="2250"/>
      <c r="AR497" s="2250"/>
      <c r="AS497" s="2250"/>
      <c r="AT497" s="2250"/>
      <c r="AU497" s="2250"/>
      <c r="AV497" s="2250"/>
      <c r="AW497" s="2250"/>
      <c r="AX497" s="2250"/>
      <c r="AY497" s="2250"/>
      <c r="AZ497" s="2250"/>
      <c r="BA497" s="2250"/>
      <c r="BB497" s="2250"/>
      <c r="BC497" s="2250"/>
      <c r="BD497" s="2250"/>
      <c r="BE497" s="2250"/>
      <c r="BF497" s="2276"/>
      <c r="BG497" s="2276"/>
      <c r="BH497" s="2250"/>
      <c r="BI497" s="2275"/>
      <c r="BJ497" s="2275"/>
      <c r="BK497" s="2275"/>
      <c r="BL497" s="2275"/>
      <c r="BM497" s="2275"/>
      <c r="BN497" s="2275"/>
      <c r="BO497" s="2275"/>
      <c r="BP497" s="2275"/>
      <c r="BQ497" s="2275"/>
      <c r="BR497" s="2275"/>
      <c r="BS497" s="2275"/>
      <c r="BT497" s="2275"/>
      <c r="BU497" s="2275"/>
      <c r="BV497" s="2275"/>
      <c r="BW497" s="2275"/>
      <c r="BX497" s="2275"/>
      <c r="BY497" s="2275"/>
      <c r="BZ497" s="2275"/>
      <c r="CA497" s="2275"/>
      <c r="CB497" s="2275"/>
      <c r="CC497" s="2275"/>
      <c r="CD497" s="2275"/>
      <c r="CE497" s="2275"/>
      <c r="CF497" s="2275"/>
      <c r="CG497" s="2275"/>
      <c r="CH497" s="2275"/>
      <c r="CI497" s="2275"/>
      <c r="CJ497" s="2275"/>
      <c r="CK497" s="2275"/>
      <c r="CL497" s="2275"/>
      <c r="CM497" s="2275"/>
      <c r="CN497" s="2275"/>
      <c r="CO497" s="2275"/>
      <c r="CP497" s="2275"/>
      <c r="CQ497" s="2275"/>
      <c r="CR497" s="2275"/>
      <c r="CS497" s="2275"/>
      <c r="CT497" s="2275"/>
      <c r="CU497" s="2275"/>
      <c r="CV497" s="2275"/>
      <c r="CW497" s="2275"/>
      <c r="CX497" s="2250"/>
      <c r="CY497" s="2250"/>
      <c r="CZ497" s="2250"/>
      <c r="DA497" s="2250"/>
      <c r="DB497" s="2250"/>
      <c r="DC497" s="2250"/>
      <c r="DD497" s="2250"/>
      <c r="DE497" s="2250"/>
      <c r="DF497" s="2250"/>
      <c r="DG497" s="2250"/>
      <c r="DH497" s="2250"/>
      <c r="DI497" s="2250"/>
      <c r="DJ497" s="2250"/>
      <c r="DK497" s="2250"/>
      <c r="DL497" s="2250"/>
      <c r="DM497" s="2250"/>
      <c r="DN497" s="2250"/>
      <c r="DO497" s="53"/>
      <c r="DP497" s="53"/>
      <c r="DY497" s="2275"/>
      <c r="DZ497" s="2275"/>
      <c r="EA497" s="2275"/>
      <c r="EB497" s="2275"/>
      <c r="EC497" s="2275"/>
      <c r="ED497" s="2275"/>
      <c r="EE497" s="2275"/>
      <c r="EF497" s="2275"/>
      <c r="EG497" s="2275"/>
      <c r="EH497" s="2275"/>
      <c r="EI497" s="2275"/>
      <c r="EJ497" s="2275"/>
      <c r="EK497" s="2275"/>
      <c r="EL497" s="2275"/>
      <c r="EM497" s="2275"/>
      <c r="EN497" s="2275"/>
      <c r="EO497" s="2275"/>
      <c r="EP497" s="2275"/>
      <c r="EQ497" s="2275"/>
      <c r="ER497" s="2275"/>
      <c r="ES497" s="2275"/>
      <c r="ET497" s="2275"/>
      <c r="EU497" s="2275"/>
      <c r="EV497" s="2275"/>
      <c r="EW497" s="2275"/>
      <c r="EX497" s="2275"/>
      <c r="EY497" s="2275"/>
      <c r="EZ497" s="2275"/>
      <c r="FA497" s="2275"/>
      <c r="FB497" s="2275"/>
      <c r="FC497" s="2275"/>
      <c r="FD497" s="2275"/>
      <c r="FE497" s="2275"/>
      <c r="FF497" s="2275"/>
      <c r="FG497" s="2275"/>
      <c r="FH497" s="2275"/>
      <c r="FI497" s="2275"/>
      <c r="FJ497" s="2275"/>
      <c r="FK497" s="2275"/>
      <c r="FL497" s="2275"/>
      <c r="FM497" s="2250"/>
      <c r="FN497" s="2250"/>
      <c r="FO497" s="2250"/>
      <c r="FP497" s="2250"/>
      <c r="FQ497" s="2250"/>
      <c r="FR497" s="2250"/>
      <c r="FS497" s="2250"/>
      <c r="FT497" s="2250"/>
      <c r="FU497" s="2250"/>
      <c r="FV497" s="2250"/>
      <c r="FW497" s="2250"/>
      <c r="FX497" s="2250"/>
      <c r="FY497" s="2250"/>
      <c r="FZ497" s="2250"/>
      <c r="GA497" s="2250"/>
      <c r="GB497" s="2250"/>
      <c r="GC497" s="2276"/>
      <c r="GD497" s="2276"/>
      <c r="GE497" s="2250"/>
      <c r="GF497" s="2275"/>
      <c r="GG497" s="2275"/>
      <c r="GH497" s="2275"/>
      <c r="GI497" s="2275"/>
      <c r="GJ497" s="2275"/>
      <c r="GK497" s="2275"/>
      <c r="GL497" s="2275"/>
      <c r="GM497" s="2275"/>
      <c r="GN497" s="2275"/>
      <c r="GO497" s="2275"/>
      <c r="GP497" s="2275"/>
      <c r="GQ497" s="2275"/>
      <c r="GR497" s="2275"/>
      <c r="GS497" s="2275"/>
      <c r="GT497" s="2275"/>
      <c r="GU497" s="2275"/>
      <c r="GV497" s="2275"/>
      <c r="GW497" s="2275"/>
      <c r="GX497" s="2275"/>
      <c r="GY497" s="2275"/>
      <c r="GZ497" s="2275"/>
      <c r="HA497" s="2275"/>
      <c r="HB497" s="2275"/>
      <c r="HC497" s="2275"/>
      <c r="HD497" s="2275"/>
      <c r="HE497" s="2275"/>
      <c r="HF497" s="2275"/>
      <c r="HG497" s="2275"/>
      <c r="HH497" s="2275"/>
      <c r="HI497" s="2275"/>
      <c r="HJ497" s="2275"/>
      <c r="HK497" s="2275"/>
      <c r="HL497" s="2275"/>
      <c r="HM497" s="2275"/>
      <c r="HN497" s="2275"/>
      <c r="HO497" s="2275"/>
      <c r="HP497" s="2275"/>
      <c r="HQ497" s="2275"/>
      <c r="HR497" s="2275"/>
      <c r="HS497" s="2275"/>
      <c r="HT497" s="2275"/>
      <c r="HU497" s="2250"/>
      <c r="HV497" s="2250"/>
      <c r="HW497" s="2250"/>
      <c r="HX497" s="2250"/>
      <c r="HY497" s="2250"/>
      <c r="HZ497" s="2250"/>
      <c r="IA497" s="2250"/>
      <c r="IB497" s="2250"/>
      <c r="IC497" s="2250"/>
      <c r="ID497" s="2250"/>
      <c r="IE497" s="2250"/>
      <c r="IF497" s="2250"/>
      <c r="IG497" s="2250"/>
      <c r="IH497" s="2250"/>
      <c r="II497" s="2250"/>
      <c r="IJ497" s="2250"/>
      <c r="IK497" s="2250"/>
      <c r="IL497" s="53"/>
      <c r="IM497" s="53"/>
    </row>
    <row r="498" spans="2:247" ht="21.95" customHeight="1">
      <c r="B498" s="2275"/>
      <c r="C498" s="2275"/>
      <c r="D498" s="2275"/>
      <c r="E498" s="2275"/>
      <c r="F498" s="2275"/>
      <c r="G498" s="2275"/>
      <c r="H498" s="2275"/>
      <c r="I498" s="2275"/>
      <c r="J498" s="2275"/>
      <c r="K498" s="2275"/>
      <c r="L498" s="2275"/>
      <c r="M498" s="2275"/>
      <c r="N498" s="2275"/>
      <c r="O498" s="2275"/>
      <c r="P498" s="2275"/>
      <c r="Q498" s="2275"/>
      <c r="R498" s="2275"/>
      <c r="S498" s="2275"/>
      <c r="T498" s="2275"/>
      <c r="U498" s="2275"/>
      <c r="V498" s="2275"/>
      <c r="W498" s="2275"/>
      <c r="X498" s="2275"/>
      <c r="Y498" s="2275"/>
      <c r="Z498" s="2275"/>
      <c r="AA498" s="2275"/>
      <c r="AB498" s="2275"/>
      <c r="AC498" s="2275"/>
      <c r="AD498" s="2275"/>
      <c r="AE498" s="2275"/>
      <c r="AF498" s="2275"/>
      <c r="AG498" s="2275"/>
      <c r="AH498" s="2275"/>
      <c r="AI498" s="2275"/>
      <c r="AJ498" s="2275"/>
      <c r="AK498" s="2275"/>
      <c r="AL498" s="2275"/>
      <c r="AM498" s="2275"/>
      <c r="AN498" s="2275"/>
      <c r="AO498" s="2275"/>
      <c r="AP498" s="2250"/>
      <c r="AQ498" s="2250"/>
      <c r="AR498" s="2250"/>
      <c r="AS498" s="2250"/>
      <c r="AT498" s="2250"/>
      <c r="AU498" s="2250"/>
      <c r="AV498" s="2250"/>
      <c r="AW498" s="2250"/>
      <c r="AX498" s="2250"/>
      <c r="AY498" s="2250"/>
      <c r="AZ498" s="2250"/>
      <c r="BA498" s="2250"/>
      <c r="BB498" s="2250"/>
      <c r="BC498" s="2250"/>
      <c r="BD498" s="2250"/>
      <c r="BE498" s="2250"/>
      <c r="BF498" s="2276"/>
      <c r="BG498" s="2276"/>
      <c r="BH498" s="2250"/>
      <c r="BI498" s="2275"/>
      <c r="BJ498" s="2275"/>
      <c r="BK498" s="2275"/>
      <c r="BL498" s="2275"/>
      <c r="BM498" s="2275"/>
      <c r="BN498" s="2275"/>
      <c r="BO498" s="2275"/>
      <c r="BP498" s="2275"/>
      <c r="BQ498" s="2275"/>
      <c r="BR498" s="2275"/>
      <c r="BS498" s="2275"/>
      <c r="BT498" s="2275"/>
      <c r="BU498" s="2275"/>
      <c r="BV498" s="2275"/>
      <c r="BW498" s="2275"/>
      <c r="BX498" s="2275"/>
      <c r="BY498" s="2275"/>
      <c r="BZ498" s="2275"/>
      <c r="CA498" s="2275"/>
      <c r="CB498" s="2275"/>
      <c r="CC498" s="2275"/>
      <c r="CD498" s="2275"/>
      <c r="CE498" s="2275"/>
      <c r="CF498" s="2275"/>
      <c r="CG498" s="2275"/>
      <c r="CH498" s="2275"/>
      <c r="CI498" s="2275"/>
      <c r="CJ498" s="2275"/>
      <c r="CK498" s="2275"/>
      <c r="CL498" s="2275"/>
      <c r="CM498" s="2275"/>
      <c r="CN498" s="2275"/>
      <c r="CO498" s="2275"/>
      <c r="CP498" s="2275"/>
      <c r="CQ498" s="2275"/>
      <c r="CR498" s="2275"/>
      <c r="CS498" s="2275"/>
      <c r="CT498" s="2275"/>
      <c r="CU498" s="2275"/>
      <c r="CV498" s="2275"/>
      <c r="CW498" s="2275"/>
      <c r="CX498" s="2250"/>
      <c r="CY498" s="2250"/>
      <c r="CZ498" s="2250"/>
      <c r="DA498" s="2250"/>
      <c r="DB498" s="2250"/>
      <c r="DC498" s="2250"/>
      <c r="DD498" s="2250"/>
      <c r="DE498" s="2250"/>
      <c r="DF498" s="2250"/>
      <c r="DG498" s="2250"/>
      <c r="DH498" s="2250"/>
      <c r="DI498" s="2250"/>
      <c r="DJ498" s="2250"/>
      <c r="DK498" s="2250"/>
      <c r="DL498" s="2250"/>
      <c r="DM498" s="2250"/>
      <c r="DN498" s="2250"/>
      <c r="DO498" s="53"/>
      <c r="DP498" s="53"/>
      <c r="DY498" s="2275"/>
      <c r="DZ498" s="2275"/>
      <c r="EA498" s="2275"/>
      <c r="EB498" s="2275"/>
      <c r="EC498" s="2275"/>
      <c r="ED498" s="2275"/>
      <c r="EE498" s="2275"/>
      <c r="EF498" s="2275"/>
      <c r="EG498" s="2275"/>
      <c r="EH498" s="2275"/>
      <c r="EI498" s="2275"/>
      <c r="EJ498" s="2275"/>
      <c r="EK498" s="2275"/>
      <c r="EL498" s="2275"/>
      <c r="EM498" s="2275"/>
      <c r="EN498" s="2275"/>
      <c r="EO498" s="2275"/>
      <c r="EP498" s="2275"/>
      <c r="EQ498" s="2275"/>
      <c r="ER498" s="2275"/>
      <c r="ES498" s="2275"/>
      <c r="ET498" s="2275"/>
      <c r="EU498" s="2275"/>
      <c r="EV498" s="2275"/>
      <c r="EW498" s="2275"/>
      <c r="EX498" s="2275"/>
      <c r="EY498" s="2275"/>
      <c r="EZ498" s="2275"/>
      <c r="FA498" s="2275"/>
      <c r="FB498" s="2275"/>
      <c r="FC498" s="2275"/>
      <c r="FD498" s="2275"/>
      <c r="FE498" s="2275"/>
      <c r="FF498" s="2275"/>
      <c r="FG498" s="2275"/>
      <c r="FH498" s="2275"/>
      <c r="FI498" s="2275"/>
      <c r="FJ498" s="2275"/>
      <c r="FK498" s="2275"/>
      <c r="FL498" s="2275"/>
      <c r="FM498" s="2250"/>
      <c r="FN498" s="2250"/>
      <c r="FO498" s="2250"/>
      <c r="FP498" s="2250"/>
      <c r="FQ498" s="2250"/>
      <c r="FR498" s="2250"/>
      <c r="FS498" s="2250"/>
      <c r="FT498" s="2250"/>
      <c r="FU498" s="2250"/>
      <c r="FV498" s="2250"/>
      <c r="FW498" s="2250"/>
      <c r="FX498" s="2250"/>
      <c r="FY498" s="2250"/>
      <c r="FZ498" s="2250"/>
      <c r="GA498" s="2250"/>
      <c r="GB498" s="2250"/>
      <c r="GC498" s="2276"/>
      <c r="GD498" s="2276"/>
      <c r="GE498" s="2250"/>
      <c r="GF498" s="2275"/>
      <c r="GG498" s="2275"/>
      <c r="GH498" s="2275"/>
      <c r="GI498" s="2275"/>
      <c r="GJ498" s="2275"/>
      <c r="GK498" s="2275"/>
      <c r="GL498" s="2275"/>
      <c r="GM498" s="2275"/>
      <c r="GN498" s="2275"/>
      <c r="GO498" s="2275"/>
      <c r="GP498" s="2275"/>
      <c r="GQ498" s="2275"/>
      <c r="GR498" s="2275"/>
      <c r="GS498" s="2275"/>
      <c r="GT498" s="2275"/>
      <c r="GU498" s="2275"/>
      <c r="GV498" s="2275"/>
      <c r="GW498" s="2275"/>
      <c r="GX498" s="2275"/>
      <c r="GY498" s="2275"/>
      <c r="GZ498" s="2275"/>
      <c r="HA498" s="2275"/>
      <c r="HB498" s="2275"/>
      <c r="HC498" s="2275"/>
      <c r="HD498" s="2275"/>
      <c r="HE498" s="2275"/>
      <c r="HF498" s="2275"/>
      <c r="HG498" s="2275"/>
      <c r="HH498" s="2275"/>
      <c r="HI498" s="2275"/>
      <c r="HJ498" s="2275"/>
      <c r="HK498" s="2275"/>
      <c r="HL498" s="2275"/>
      <c r="HM498" s="2275"/>
      <c r="HN498" s="2275"/>
      <c r="HO498" s="2275"/>
      <c r="HP498" s="2275"/>
      <c r="HQ498" s="2275"/>
      <c r="HR498" s="2275"/>
      <c r="HS498" s="2275"/>
      <c r="HT498" s="2275"/>
      <c r="HU498" s="2250"/>
      <c r="HV498" s="2250"/>
      <c r="HW498" s="2250"/>
      <c r="HX498" s="2250"/>
      <c r="HY498" s="2250"/>
      <c r="HZ498" s="2250"/>
      <c r="IA498" s="2250"/>
      <c r="IB498" s="2250"/>
      <c r="IC498" s="2250"/>
      <c r="ID498" s="2250"/>
      <c r="IE498" s="2250"/>
      <c r="IF498" s="2250"/>
      <c r="IG498" s="2250"/>
      <c r="IH498" s="2250"/>
      <c r="II498" s="2250"/>
      <c r="IJ498" s="2250"/>
      <c r="IK498" s="2250"/>
      <c r="IL498" s="53"/>
      <c r="IM498" s="53"/>
    </row>
    <row r="499" spans="2:247" ht="21.95" customHeight="1">
      <c r="B499" s="2275"/>
      <c r="C499" s="2275"/>
      <c r="D499" s="2275"/>
      <c r="E499" s="2275"/>
      <c r="F499" s="2275"/>
      <c r="G499" s="2275"/>
      <c r="H499" s="2275"/>
      <c r="I499" s="2275"/>
      <c r="J499" s="2275"/>
      <c r="K499" s="2275"/>
      <c r="L499" s="2275"/>
      <c r="M499" s="2275"/>
      <c r="N499" s="2275"/>
      <c r="O499" s="2275"/>
      <c r="P499" s="2275"/>
      <c r="Q499" s="2275"/>
      <c r="R499" s="2275"/>
      <c r="S499" s="2275"/>
      <c r="T499" s="2275"/>
      <c r="U499" s="2275"/>
      <c r="V499" s="2275"/>
      <c r="W499" s="2275"/>
      <c r="X499" s="2275"/>
      <c r="Y499" s="2275"/>
      <c r="Z499" s="2275"/>
      <c r="AA499" s="2275"/>
      <c r="AB499" s="2275"/>
      <c r="AC499" s="2275"/>
      <c r="AD499" s="2275"/>
      <c r="AE499" s="2275"/>
      <c r="AF499" s="2275"/>
      <c r="AG499" s="2275"/>
      <c r="AH499" s="2275"/>
      <c r="AI499" s="2275"/>
      <c r="AJ499" s="2275"/>
      <c r="AK499" s="2275"/>
      <c r="AL499" s="2275"/>
      <c r="AM499" s="2275"/>
      <c r="AN499" s="2275"/>
      <c r="AO499" s="2275"/>
      <c r="AP499" s="2250"/>
      <c r="AQ499" s="2250"/>
      <c r="AR499" s="2250"/>
      <c r="AS499" s="2250"/>
      <c r="AT499" s="2250"/>
      <c r="AU499" s="2250"/>
      <c r="AV499" s="2250"/>
      <c r="AW499" s="2250"/>
      <c r="AX499" s="2250"/>
      <c r="AY499" s="2250"/>
      <c r="AZ499" s="2250"/>
      <c r="BA499" s="2250"/>
      <c r="BB499" s="2250"/>
      <c r="BC499" s="2250"/>
      <c r="BD499" s="2250"/>
      <c r="BE499" s="2250"/>
      <c r="BF499" s="2276"/>
      <c r="BG499" s="2276"/>
      <c r="BH499" s="2250"/>
      <c r="BI499" s="2250"/>
      <c r="BJ499" s="2250"/>
      <c r="BK499" s="2250"/>
      <c r="BL499" s="2250"/>
      <c r="BM499" s="2250"/>
      <c r="BN499" s="2250"/>
      <c r="BO499" s="2250"/>
      <c r="BP499" s="2250"/>
      <c r="BQ499" s="2250"/>
      <c r="BR499" s="2250"/>
      <c r="BS499" s="2250"/>
      <c r="BT499" s="2250"/>
      <c r="BU499" s="2250"/>
      <c r="BV499" s="2250"/>
      <c r="BW499" s="2250"/>
      <c r="BX499" s="2250"/>
      <c r="BY499" s="2250"/>
      <c r="BZ499" s="2250"/>
      <c r="CA499" s="2250"/>
      <c r="CB499" s="2250"/>
      <c r="CC499" s="2250"/>
      <c r="CD499" s="2250"/>
      <c r="CE499" s="2250"/>
      <c r="CF499" s="2250"/>
      <c r="CG499" s="2250"/>
      <c r="CH499" s="2250"/>
      <c r="CI499" s="2250"/>
      <c r="CJ499" s="2250"/>
      <c r="CK499" s="2250"/>
      <c r="CL499" s="2250"/>
      <c r="CM499" s="2250"/>
      <c r="CN499" s="2250"/>
      <c r="CO499" s="2250"/>
      <c r="CP499" s="2250"/>
      <c r="CQ499" s="2250"/>
      <c r="CR499" s="2250"/>
      <c r="CS499" s="2250"/>
      <c r="CT499" s="2250"/>
      <c r="CU499" s="2250"/>
      <c r="CV499" s="2250"/>
      <c r="CW499" s="2250"/>
      <c r="CX499" s="2250"/>
      <c r="CY499" s="2250"/>
      <c r="CZ499" s="2250"/>
      <c r="DA499" s="2250"/>
      <c r="DB499" s="2250"/>
      <c r="DC499" s="2250"/>
      <c r="DD499" s="2250"/>
      <c r="DE499" s="2250"/>
      <c r="DF499" s="2250"/>
      <c r="DG499" s="2250"/>
      <c r="DH499" s="2250"/>
      <c r="DI499" s="2250"/>
      <c r="DJ499" s="2250"/>
      <c r="DK499" s="2250"/>
      <c r="DL499" s="2250"/>
      <c r="DM499" s="2250"/>
      <c r="DN499" s="2250"/>
      <c r="DO499" s="53"/>
      <c r="DP499" s="53"/>
      <c r="DY499" s="2275"/>
      <c r="DZ499" s="2275"/>
      <c r="EA499" s="2275"/>
      <c r="EB499" s="2275"/>
      <c r="EC499" s="2275"/>
      <c r="ED499" s="2275"/>
      <c r="EE499" s="2275"/>
      <c r="EF499" s="2275"/>
      <c r="EG499" s="2275"/>
      <c r="EH499" s="2275"/>
      <c r="EI499" s="2275"/>
      <c r="EJ499" s="2275"/>
      <c r="EK499" s="2275"/>
      <c r="EL499" s="2275"/>
      <c r="EM499" s="2275"/>
      <c r="EN499" s="2275"/>
      <c r="EO499" s="2275"/>
      <c r="EP499" s="2275"/>
      <c r="EQ499" s="2275"/>
      <c r="ER499" s="2275"/>
      <c r="ES499" s="2275"/>
      <c r="ET499" s="2275"/>
      <c r="EU499" s="2275"/>
      <c r="EV499" s="2275"/>
      <c r="EW499" s="2275"/>
      <c r="EX499" s="2275"/>
      <c r="EY499" s="2275"/>
      <c r="EZ499" s="2275"/>
      <c r="FA499" s="2275"/>
      <c r="FB499" s="2275"/>
      <c r="FC499" s="2275"/>
      <c r="FD499" s="2275"/>
      <c r="FE499" s="2275"/>
      <c r="FF499" s="2275"/>
      <c r="FG499" s="2275"/>
      <c r="FH499" s="2275"/>
      <c r="FI499" s="2275"/>
      <c r="FJ499" s="2275"/>
      <c r="FK499" s="2275"/>
      <c r="FL499" s="2275"/>
      <c r="FM499" s="2250"/>
      <c r="FN499" s="2250"/>
      <c r="FO499" s="2250"/>
      <c r="FP499" s="2250"/>
      <c r="FQ499" s="2250"/>
      <c r="FR499" s="2250"/>
      <c r="FS499" s="2250"/>
      <c r="FT499" s="2250"/>
      <c r="FU499" s="2250"/>
      <c r="FV499" s="2250"/>
      <c r="FW499" s="2250"/>
      <c r="FX499" s="2250"/>
      <c r="FY499" s="2250"/>
      <c r="FZ499" s="2250"/>
      <c r="GA499" s="2250"/>
      <c r="GB499" s="2250"/>
      <c r="GC499" s="2276"/>
      <c r="GD499" s="2276"/>
      <c r="GE499" s="2250"/>
      <c r="GF499" s="2250"/>
      <c r="GG499" s="2250"/>
      <c r="GH499" s="2250"/>
      <c r="GI499" s="2250"/>
      <c r="GJ499" s="2250"/>
      <c r="GK499" s="2250"/>
      <c r="GL499" s="2250"/>
      <c r="GM499" s="2250"/>
      <c r="GN499" s="2250"/>
      <c r="GO499" s="2250"/>
      <c r="GP499" s="2250"/>
      <c r="GQ499" s="2250"/>
      <c r="GR499" s="2250"/>
      <c r="GS499" s="2250"/>
      <c r="GT499" s="2250"/>
      <c r="GU499" s="2250"/>
      <c r="GV499" s="2250"/>
      <c r="GW499" s="2250"/>
      <c r="GX499" s="2250"/>
      <c r="GY499" s="2250"/>
      <c r="GZ499" s="2250"/>
      <c r="HA499" s="2250"/>
      <c r="HB499" s="2250"/>
      <c r="HC499" s="2250"/>
      <c r="HD499" s="2250"/>
      <c r="HE499" s="2250"/>
      <c r="HF499" s="2250"/>
      <c r="HG499" s="2250"/>
      <c r="HH499" s="2250"/>
      <c r="HI499" s="2250"/>
      <c r="HJ499" s="2250"/>
      <c r="HK499" s="2250"/>
      <c r="HL499" s="2250"/>
      <c r="HM499" s="2250"/>
      <c r="HN499" s="2250"/>
      <c r="HO499" s="2250"/>
      <c r="HP499" s="2250"/>
      <c r="HQ499" s="2250"/>
      <c r="HR499" s="2250"/>
      <c r="HS499" s="2250"/>
      <c r="HT499" s="2250"/>
      <c r="HU499" s="2250"/>
      <c r="HV499" s="2250"/>
      <c r="HW499" s="2250"/>
      <c r="HX499" s="2250"/>
      <c r="HY499" s="2250"/>
      <c r="HZ499" s="2250"/>
      <c r="IA499" s="2250"/>
      <c r="IB499" s="2250"/>
      <c r="IC499" s="2250"/>
      <c r="ID499" s="2250"/>
      <c r="IE499" s="2250"/>
      <c r="IF499" s="2250"/>
      <c r="IG499" s="2250"/>
      <c r="IH499" s="2250"/>
      <c r="II499" s="2250"/>
      <c r="IJ499" s="2250"/>
      <c r="IK499" s="2250"/>
      <c r="IL499" s="53"/>
      <c r="IM499" s="53"/>
    </row>
    <row r="500" spans="2:247" ht="21.95" customHeight="1">
      <c r="B500" s="2275"/>
      <c r="C500" s="2275"/>
      <c r="D500" s="2275"/>
      <c r="E500" s="2275"/>
      <c r="F500" s="2275"/>
      <c r="G500" s="2275"/>
      <c r="H500" s="2275"/>
      <c r="I500" s="2275"/>
      <c r="J500" s="2275"/>
      <c r="K500" s="2275"/>
      <c r="L500" s="2275"/>
      <c r="M500" s="2275"/>
      <c r="N500" s="2275"/>
      <c r="O500" s="2275"/>
      <c r="P500" s="2275"/>
      <c r="Q500" s="2275"/>
      <c r="R500" s="2275"/>
      <c r="S500" s="2275"/>
      <c r="T500" s="2275"/>
      <c r="U500" s="2275"/>
      <c r="V500" s="2275"/>
      <c r="W500" s="2275"/>
      <c r="X500" s="2275"/>
      <c r="Y500" s="2275"/>
      <c r="Z500" s="2275"/>
      <c r="AA500" s="2275"/>
      <c r="AB500" s="2275"/>
      <c r="AC500" s="2275"/>
      <c r="AD500" s="2275"/>
      <c r="AE500" s="2275"/>
      <c r="AF500" s="2275"/>
      <c r="AG500" s="2275"/>
      <c r="AH500" s="2275"/>
      <c r="AI500" s="2275"/>
      <c r="AJ500" s="2275"/>
      <c r="AK500" s="2275"/>
      <c r="AL500" s="2275"/>
      <c r="AM500" s="2275"/>
      <c r="AN500" s="2275"/>
      <c r="AO500" s="2275"/>
      <c r="AP500" s="2250"/>
      <c r="AQ500" s="2250"/>
      <c r="AR500" s="2250"/>
      <c r="AS500" s="2250"/>
      <c r="AT500" s="2250"/>
      <c r="AU500" s="2250"/>
      <c r="AV500" s="2250"/>
      <c r="AW500" s="2250"/>
      <c r="AX500" s="2250"/>
      <c r="AY500" s="2250"/>
      <c r="AZ500" s="2250"/>
      <c r="BA500" s="2250"/>
      <c r="BB500" s="2250"/>
      <c r="BC500" s="2250"/>
      <c r="BD500" s="2250"/>
      <c r="BE500" s="2250"/>
      <c r="BF500" s="2276"/>
      <c r="BG500" s="2276"/>
      <c r="BH500" s="2250"/>
      <c r="BI500" s="2250"/>
      <c r="BJ500" s="2250"/>
      <c r="BK500" s="2250"/>
      <c r="BL500" s="2250"/>
      <c r="BM500" s="2250"/>
      <c r="BN500" s="2250"/>
      <c r="BO500" s="2250"/>
      <c r="BP500" s="2250"/>
      <c r="BQ500" s="2250"/>
      <c r="BR500" s="2250"/>
      <c r="BS500" s="2250"/>
      <c r="BT500" s="2250"/>
      <c r="BU500" s="2250"/>
      <c r="BV500" s="2250"/>
      <c r="BW500" s="2250"/>
      <c r="BX500" s="2250"/>
      <c r="BY500" s="2250"/>
      <c r="BZ500" s="2250"/>
      <c r="CA500" s="2250"/>
      <c r="CB500" s="2250"/>
      <c r="CC500" s="2250"/>
      <c r="CD500" s="2250"/>
      <c r="CE500" s="2250"/>
      <c r="CF500" s="2250"/>
      <c r="CG500" s="2250"/>
      <c r="CH500" s="2250"/>
      <c r="CI500" s="2250"/>
      <c r="CJ500" s="2250"/>
      <c r="CK500" s="2250"/>
      <c r="CL500" s="2250"/>
      <c r="CM500" s="2250"/>
      <c r="CN500" s="2250"/>
      <c r="CO500" s="2250"/>
      <c r="CP500" s="2250"/>
      <c r="CQ500" s="2250"/>
      <c r="CR500" s="2250"/>
      <c r="CS500" s="2250"/>
      <c r="CT500" s="2250"/>
      <c r="CU500" s="2250"/>
      <c r="CV500" s="2250"/>
      <c r="CW500" s="2250"/>
      <c r="CX500" s="2250"/>
      <c r="CY500" s="2250"/>
      <c r="CZ500" s="2250"/>
      <c r="DA500" s="2250"/>
      <c r="DB500" s="2250"/>
      <c r="DC500" s="2250"/>
      <c r="DD500" s="2250"/>
      <c r="DE500" s="2250"/>
      <c r="DF500" s="2250"/>
      <c r="DG500" s="2250"/>
      <c r="DH500" s="2250"/>
      <c r="DI500" s="2250"/>
      <c r="DJ500" s="2250"/>
      <c r="DK500" s="2250"/>
      <c r="DL500" s="2250"/>
      <c r="DM500" s="2250"/>
      <c r="DN500" s="2250"/>
      <c r="DO500" s="53"/>
      <c r="DP500" s="53"/>
      <c r="DY500" s="2275"/>
      <c r="DZ500" s="2275"/>
      <c r="EA500" s="2275"/>
      <c r="EB500" s="2275"/>
      <c r="EC500" s="2275"/>
      <c r="ED500" s="2275"/>
      <c r="EE500" s="2275"/>
      <c r="EF500" s="2275"/>
      <c r="EG500" s="2275"/>
      <c r="EH500" s="2275"/>
      <c r="EI500" s="2275"/>
      <c r="EJ500" s="2275"/>
      <c r="EK500" s="2275"/>
      <c r="EL500" s="2275"/>
      <c r="EM500" s="2275"/>
      <c r="EN500" s="2275"/>
      <c r="EO500" s="2275"/>
      <c r="EP500" s="2275"/>
      <c r="EQ500" s="2275"/>
      <c r="ER500" s="2275"/>
      <c r="ES500" s="2275"/>
      <c r="ET500" s="2275"/>
      <c r="EU500" s="2275"/>
      <c r="EV500" s="2275"/>
      <c r="EW500" s="2275"/>
      <c r="EX500" s="2275"/>
      <c r="EY500" s="2275"/>
      <c r="EZ500" s="2275"/>
      <c r="FA500" s="2275"/>
      <c r="FB500" s="2275"/>
      <c r="FC500" s="2275"/>
      <c r="FD500" s="2275"/>
      <c r="FE500" s="2275"/>
      <c r="FF500" s="2275"/>
      <c r="FG500" s="2275"/>
      <c r="FH500" s="2275"/>
      <c r="FI500" s="2275"/>
      <c r="FJ500" s="2275"/>
      <c r="FK500" s="2275"/>
      <c r="FL500" s="2275"/>
      <c r="FM500" s="2250"/>
      <c r="FN500" s="2250"/>
      <c r="FO500" s="2250"/>
      <c r="FP500" s="2250"/>
      <c r="FQ500" s="2250"/>
      <c r="FR500" s="2250"/>
      <c r="FS500" s="2250"/>
      <c r="FT500" s="2250"/>
      <c r="FU500" s="2250"/>
      <c r="FV500" s="2250"/>
      <c r="FW500" s="2250"/>
      <c r="FX500" s="2250"/>
      <c r="FY500" s="2250"/>
      <c r="FZ500" s="2250"/>
      <c r="GA500" s="2250"/>
      <c r="GB500" s="2250"/>
      <c r="GC500" s="2276"/>
      <c r="GD500" s="2276"/>
      <c r="GE500" s="2250"/>
      <c r="GF500" s="2250"/>
      <c r="GG500" s="2250"/>
      <c r="GH500" s="2250"/>
      <c r="GI500" s="2250"/>
      <c r="GJ500" s="2250"/>
      <c r="GK500" s="2250"/>
      <c r="GL500" s="2250"/>
      <c r="GM500" s="2250"/>
      <c r="GN500" s="2250"/>
      <c r="GO500" s="2250"/>
      <c r="GP500" s="2250"/>
      <c r="GQ500" s="2250"/>
      <c r="GR500" s="2250"/>
      <c r="GS500" s="2250"/>
      <c r="GT500" s="2250"/>
      <c r="GU500" s="2250"/>
      <c r="GV500" s="2250"/>
      <c r="GW500" s="2250"/>
      <c r="GX500" s="2250"/>
      <c r="GY500" s="2250"/>
      <c r="GZ500" s="2250"/>
      <c r="HA500" s="2250"/>
      <c r="HB500" s="2250"/>
      <c r="HC500" s="2250"/>
      <c r="HD500" s="2250"/>
      <c r="HE500" s="2250"/>
      <c r="HF500" s="2250"/>
      <c r="HG500" s="2250"/>
      <c r="HH500" s="2250"/>
      <c r="HI500" s="2250"/>
      <c r="HJ500" s="2250"/>
      <c r="HK500" s="2250"/>
      <c r="HL500" s="2250"/>
      <c r="HM500" s="2250"/>
      <c r="HN500" s="2250"/>
      <c r="HO500" s="2250"/>
      <c r="HP500" s="2250"/>
      <c r="HQ500" s="2250"/>
      <c r="HR500" s="2250"/>
      <c r="HS500" s="2250"/>
      <c r="HT500" s="2250"/>
      <c r="HU500" s="2250"/>
      <c r="HV500" s="2250"/>
      <c r="HW500" s="2250"/>
      <c r="HX500" s="2250"/>
      <c r="HY500" s="2250"/>
      <c r="HZ500" s="2250"/>
      <c r="IA500" s="2250"/>
      <c r="IB500" s="2250"/>
      <c r="IC500" s="2250"/>
      <c r="ID500" s="2250"/>
      <c r="IE500" s="2250"/>
      <c r="IF500" s="2250"/>
      <c r="IG500" s="2250"/>
      <c r="IH500" s="2250"/>
      <c r="II500" s="2250"/>
      <c r="IJ500" s="2250"/>
      <c r="IK500" s="2250"/>
      <c r="IL500" s="53"/>
      <c r="IM500" s="53"/>
    </row>
  </sheetData>
  <sheetProtection selectLockedCells="1"/>
  <mergeCells count="214">
    <mergeCell ref="GG478:GG480"/>
    <mergeCell ref="HL478:HN478"/>
    <mergeCell ref="DY434:DY436"/>
    <mergeCell ref="FD434:FF434"/>
    <mergeCell ref="GG434:GG436"/>
    <mergeCell ref="HL434:HN434"/>
    <mergeCell ref="DY437:DY442"/>
    <mergeCell ref="GG437:GG442"/>
    <mergeCell ref="DY456:DY458"/>
    <mergeCell ref="FD456:FF456"/>
    <mergeCell ref="GG456:GG458"/>
    <mergeCell ref="HL456:HN456"/>
    <mergeCell ref="HX341:HY341"/>
    <mergeCell ref="DY412:DY414"/>
    <mergeCell ref="FD412:FF412"/>
    <mergeCell ref="GG412:GG414"/>
    <mergeCell ref="HL412:HN412"/>
    <mergeCell ref="DY415:DY420"/>
    <mergeCell ref="GG415:GG420"/>
    <mergeCell ref="DZ341:EA341"/>
    <mergeCell ref="EC341:EH341"/>
    <mergeCell ref="EN341:EO341"/>
    <mergeCell ref="EQ341:EV341"/>
    <mergeCell ref="FB341:FC341"/>
    <mergeCell ref="FP341:FQ341"/>
    <mergeCell ref="GC341:GD341"/>
    <mergeCell ref="GH341:GI341"/>
    <mergeCell ref="GK341:GP341"/>
    <mergeCell ref="HI331:HJ331"/>
    <mergeCell ref="FA332:FB332"/>
    <mergeCell ref="HI332:HJ332"/>
    <mergeCell ref="FA333:FB333"/>
    <mergeCell ref="HI333:HJ333"/>
    <mergeCell ref="FA334:FB334"/>
    <mergeCell ref="HI334:HJ334"/>
    <mergeCell ref="GV341:GW341"/>
    <mergeCell ref="GY341:HD341"/>
    <mergeCell ref="HJ341:HK341"/>
    <mergeCell ref="HI327:HJ327"/>
    <mergeCell ref="HK327:HL327"/>
    <mergeCell ref="FA328:FB328"/>
    <mergeCell ref="FC328:FD328"/>
    <mergeCell ref="HI328:HJ328"/>
    <mergeCell ref="HK328:HL328"/>
    <mergeCell ref="FA329:FD329"/>
    <mergeCell ref="HI329:HL329"/>
    <mergeCell ref="FA330:FB330"/>
    <mergeCell ref="HI330:HJ330"/>
    <mergeCell ref="B478:B480"/>
    <mergeCell ref="AG478:AI478"/>
    <mergeCell ref="BJ478:BJ480"/>
    <mergeCell ref="CO478:CQ478"/>
    <mergeCell ref="FA327:FB327"/>
    <mergeCell ref="FC327:FD327"/>
    <mergeCell ref="FA331:FB331"/>
    <mergeCell ref="DY478:DY480"/>
    <mergeCell ref="FD478:FF478"/>
    <mergeCell ref="AD327:AE327"/>
    <mergeCell ref="AF327:AG327"/>
    <mergeCell ref="CL327:CM327"/>
    <mergeCell ref="CN327:CO327"/>
    <mergeCell ref="AD328:AE328"/>
    <mergeCell ref="AF328:AG328"/>
    <mergeCell ref="CL328:CM328"/>
    <mergeCell ref="CN328:CO328"/>
    <mergeCell ref="AD329:AG329"/>
    <mergeCell ref="CL329:CO329"/>
    <mergeCell ref="CL330:CM330"/>
    <mergeCell ref="AD331:AE331"/>
    <mergeCell ref="CL331:CM331"/>
    <mergeCell ref="AD332:AE332"/>
    <mergeCell ref="CL332:CM332"/>
    <mergeCell ref="AD333:AE333"/>
    <mergeCell ref="CL333:CM333"/>
    <mergeCell ref="AD334:AE334"/>
    <mergeCell ref="CL334:CM334"/>
    <mergeCell ref="B437:B442"/>
    <mergeCell ref="BJ437:BJ442"/>
    <mergeCell ref="AG434:AI434"/>
    <mergeCell ref="BJ434:BJ436"/>
    <mergeCell ref="B456:B458"/>
    <mergeCell ref="AG456:AI456"/>
    <mergeCell ref="BJ456:BJ458"/>
    <mergeCell ref="B415:B420"/>
    <mergeCell ref="B434:B436"/>
    <mergeCell ref="CO456:CQ456"/>
    <mergeCell ref="C341:D341"/>
    <mergeCell ref="F341:K341"/>
    <mergeCell ref="Q341:R341"/>
    <mergeCell ref="T341:Y341"/>
    <mergeCell ref="AE341:AF341"/>
    <mergeCell ref="AS341:AT341"/>
    <mergeCell ref="BF341:BG341"/>
    <mergeCell ref="BK341:BL341"/>
    <mergeCell ref="BN341:BS341"/>
    <mergeCell ref="BY341:BZ341"/>
    <mergeCell ref="CB341:CG341"/>
    <mergeCell ref="CM341:CN341"/>
    <mergeCell ref="AG412:AI412"/>
    <mergeCell ref="BJ412:BJ414"/>
    <mergeCell ref="CO412:CQ412"/>
    <mergeCell ref="BJ415:BJ420"/>
    <mergeCell ref="CO434:CQ434"/>
    <mergeCell ref="DA341:DB341"/>
    <mergeCell ref="B412:B414"/>
    <mergeCell ref="DY290:DY292"/>
    <mergeCell ref="FD290:FF290"/>
    <mergeCell ref="GG290:GG292"/>
    <mergeCell ref="HL290:HN290"/>
    <mergeCell ref="HL246:HN246"/>
    <mergeCell ref="DY249:DY254"/>
    <mergeCell ref="GG249:GG254"/>
    <mergeCell ref="DY268:DY270"/>
    <mergeCell ref="FD268:FF268"/>
    <mergeCell ref="GG268:GG270"/>
    <mergeCell ref="HL268:HN268"/>
    <mergeCell ref="B248:B253"/>
    <mergeCell ref="BJ248:BJ253"/>
    <mergeCell ref="B267:B269"/>
    <mergeCell ref="AG267:AI267"/>
    <mergeCell ref="BJ267:BJ269"/>
    <mergeCell ref="CO267:CQ267"/>
    <mergeCell ref="B289:B291"/>
    <mergeCell ref="AG289:AI289"/>
    <mergeCell ref="BJ289:BJ291"/>
    <mergeCell ref="CO289:CQ289"/>
    <mergeCell ref="AD330:AE330"/>
    <mergeCell ref="DY227:DY232"/>
    <mergeCell ref="GG227:GG232"/>
    <mergeCell ref="DY246:DY248"/>
    <mergeCell ref="FD246:FF246"/>
    <mergeCell ref="GG246:GG248"/>
    <mergeCell ref="HX153:HY153"/>
    <mergeCell ref="DY224:DY226"/>
    <mergeCell ref="FD224:FF224"/>
    <mergeCell ref="GG224:GG226"/>
    <mergeCell ref="HL224:HN224"/>
    <mergeCell ref="FA145:FB145"/>
    <mergeCell ref="HI145:HJ145"/>
    <mergeCell ref="FA146:FB146"/>
    <mergeCell ref="HI146:HJ146"/>
    <mergeCell ref="DZ153:EA153"/>
    <mergeCell ref="EC153:EH153"/>
    <mergeCell ref="EN153:EO153"/>
    <mergeCell ref="EQ153:EV153"/>
    <mergeCell ref="FB153:FC153"/>
    <mergeCell ref="FP153:FQ153"/>
    <mergeCell ref="GC153:GD153"/>
    <mergeCell ref="GH153:GI153"/>
    <mergeCell ref="GK153:GP153"/>
    <mergeCell ref="GV153:GW153"/>
    <mergeCell ref="GY153:HD153"/>
    <mergeCell ref="HJ153:HK153"/>
    <mergeCell ref="FA142:FB142"/>
    <mergeCell ref="HI142:HJ142"/>
    <mergeCell ref="FA143:FB143"/>
    <mergeCell ref="HI143:HJ143"/>
    <mergeCell ref="FA144:FB144"/>
    <mergeCell ref="HI144:HJ144"/>
    <mergeCell ref="FA140:FB140"/>
    <mergeCell ref="FC140:FD140"/>
    <mergeCell ref="HI140:HJ140"/>
    <mergeCell ref="HK140:HL140"/>
    <mergeCell ref="FA141:FD141"/>
    <mergeCell ref="HI141:HL141"/>
    <mergeCell ref="FH4:FI4"/>
    <mergeCell ref="FA139:FB139"/>
    <mergeCell ref="FC139:FD139"/>
    <mergeCell ref="HI139:HJ139"/>
    <mergeCell ref="HK139:HL139"/>
    <mergeCell ref="AD139:AE139"/>
    <mergeCell ref="AF139:AG139"/>
    <mergeCell ref="CL139:CM139"/>
    <mergeCell ref="CN139:CO139"/>
    <mergeCell ref="AK3:AL3"/>
    <mergeCell ref="AD138:AE138"/>
    <mergeCell ref="AF138:AG138"/>
    <mergeCell ref="CL138:CM138"/>
    <mergeCell ref="CN138:CO138"/>
    <mergeCell ref="AD140:AG140"/>
    <mergeCell ref="CL140:CO140"/>
    <mergeCell ref="AD141:AE141"/>
    <mergeCell ref="CL141:CM141"/>
    <mergeCell ref="AD142:AE142"/>
    <mergeCell ref="CL142:CM142"/>
    <mergeCell ref="AD143:AE143"/>
    <mergeCell ref="CL143:CM143"/>
    <mergeCell ref="AD144:AE144"/>
    <mergeCell ref="CL144:CM144"/>
    <mergeCell ref="AD145:AE145"/>
    <mergeCell ref="CL145:CM145"/>
    <mergeCell ref="B226:B231"/>
    <mergeCell ref="BJ226:BJ231"/>
    <mergeCell ref="BF152:BG152"/>
    <mergeCell ref="BK152:BL152"/>
    <mergeCell ref="BN152:BS152"/>
    <mergeCell ref="C152:D152"/>
    <mergeCell ref="F152:K152"/>
    <mergeCell ref="Q152:R152"/>
    <mergeCell ref="T152:Y152"/>
    <mergeCell ref="AE152:AF152"/>
    <mergeCell ref="AS152:AT152"/>
    <mergeCell ref="DA152:DB152"/>
    <mergeCell ref="B223:B225"/>
    <mergeCell ref="AG223:AI223"/>
    <mergeCell ref="BJ223:BJ225"/>
    <mergeCell ref="CO223:CQ223"/>
    <mergeCell ref="BY152:BZ152"/>
    <mergeCell ref="CB152:CG152"/>
    <mergeCell ref="CM152:CN152"/>
    <mergeCell ref="B245:B247"/>
    <mergeCell ref="AG245:AI245"/>
    <mergeCell ref="BJ245:BJ247"/>
    <mergeCell ref="CO245:CQ245"/>
  </mergeCells>
  <dataValidations disablePrompts="1" count="4">
    <dataValidation type="list" allowBlank="1" showInputMessage="1" showErrorMessage="1" sqref="C3" xr:uid="{00000000-0002-0000-0F00-000000000000}">
      <formula1>$C$9:$C$12</formula1>
    </dataValidation>
    <dataValidation type="list" allowBlank="1" showInputMessage="1" showErrorMessage="1" sqref="HK140:HL140 FC140:FD140 AF139:AG139 CN139:CO139" xr:uid="{00000000-0002-0000-0F00-000001000000}">
      <formula1>$AK$19:$AK$45</formula1>
    </dataValidation>
    <dataValidation type="list" allowBlank="1" showInputMessage="1" showErrorMessage="1" sqref="DZ3" xr:uid="{00000000-0002-0000-0F00-000002000000}">
      <formula1>$DZ$9:$DZ$12</formula1>
    </dataValidation>
    <dataValidation type="list" allowBlank="1" showInputMessage="1" showErrorMessage="1" sqref="CN328:CO328 FC328:FD328 HK328:HL328 AF328:AG328" xr:uid="{00000000-0002-0000-0F00-000003000000}">
      <formula1>$AK$1:$AK$24</formula1>
    </dataValidation>
  </dataValidations>
  <pageMargins left="0.24" right="0.7" top="0.17" bottom="0.2" header="0.3" footer="0.3"/>
  <pageSetup paperSize="8" scale="60" orientation="landscape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O1083"/>
  <sheetViews>
    <sheetView zoomScale="70" zoomScaleNormal="70" zoomScaleSheetLayoutView="55" workbookViewId="0">
      <pane ySplit="1" topLeftCell="A124" activePane="bottomLeft" state="frozen"/>
      <selection activeCell="E24" sqref="E24"/>
      <selection pane="bottomLeft" activeCell="E24" sqref="E24"/>
    </sheetView>
  </sheetViews>
  <sheetFormatPr defaultColWidth="9.1328125" defaultRowHeight="21.95" customHeight="1"/>
  <cols>
    <col min="1" max="1" width="7.33203125" style="1" customWidth="1"/>
    <col min="2" max="2" width="9.86328125" style="277" bestFit="1" customWidth="1"/>
    <col min="3" max="8" width="21.46484375" style="277" customWidth="1"/>
    <col min="9" max="9" width="9.6640625" style="277" customWidth="1"/>
    <col min="10" max="11" width="9.33203125" style="277" bestFit="1" customWidth="1"/>
    <col min="12" max="16" width="11.33203125" style="277" customWidth="1"/>
    <col min="17" max="17" width="15.46484375" style="277" customWidth="1"/>
    <col min="18" max="18" width="9.33203125" style="277" bestFit="1" customWidth="1"/>
    <col min="19" max="19" width="9.33203125" style="2176" bestFit="1" customWidth="1"/>
    <col min="20" max="20" width="9.6640625" style="2176" bestFit="1" customWidth="1"/>
    <col min="21" max="24" width="9.33203125" style="277" bestFit="1" customWidth="1"/>
    <col min="25" max="25" width="10.46484375" style="277" bestFit="1" customWidth="1"/>
    <col min="26" max="29" width="9.33203125" style="277" bestFit="1" customWidth="1"/>
    <col min="30" max="30" width="9.86328125" style="277" bestFit="1" customWidth="1"/>
    <col min="31" max="40" width="9.33203125" style="277" bestFit="1" customWidth="1"/>
    <col min="41" max="41" width="9.33203125" style="2174" bestFit="1" customWidth="1"/>
    <col min="42" max="43" width="9.33203125" style="277" bestFit="1" customWidth="1"/>
    <col min="44" max="44" width="9.86328125" style="277" bestFit="1" customWidth="1"/>
    <col min="45" max="47" width="9.33203125" style="277" bestFit="1" customWidth="1"/>
    <col min="48" max="48" width="10.46484375" style="277" bestFit="1" customWidth="1"/>
    <col min="49" max="49" width="12.33203125" style="277" bestFit="1" customWidth="1"/>
    <col min="50" max="55" width="9.33203125" style="277" bestFit="1" customWidth="1"/>
    <col min="56" max="57" width="9.1328125" style="277"/>
    <col min="58" max="60" width="9.33203125" style="277" bestFit="1" customWidth="1"/>
    <col min="61" max="61" width="9.33203125" style="2176" bestFit="1" customWidth="1"/>
    <col min="62" max="62" width="9.86328125" style="2176" bestFit="1" customWidth="1"/>
    <col min="63" max="64" width="9.33203125" style="277" bestFit="1" customWidth="1"/>
    <col min="65" max="65" width="9.86328125" style="277" bestFit="1" customWidth="1"/>
    <col min="66" max="68" width="9.33203125" style="277" bestFit="1" customWidth="1"/>
    <col min="69" max="69" width="9.46484375" style="277" bestFit="1" customWidth="1"/>
    <col min="70" max="70" width="10.46484375" style="277" bestFit="1" customWidth="1"/>
    <col min="71" max="75" width="9.33203125" style="277" bestFit="1" customWidth="1"/>
    <col min="76" max="76" width="9.86328125" style="277" bestFit="1" customWidth="1"/>
    <col min="77" max="89" width="9.33203125" style="277" bestFit="1" customWidth="1"/>
    <col min="90" max="90" width="9.86328125" style="277" bestFit="1" customWidth="1"/>
    <col min="91" max="91" width="10.46484375" style="277" bestFit="1" customWidth="1"/>
    <col min="92" max="92" width="10.53125" style="277" bestFit="1" customWidth="1"/>
    <col min="93" max="103" width="9.33203125" style="277" bestFit="1" customWidth="1"/>
    <col min="104" max="104" width="9.86328125" style="277" bestFit="1" customWidth="1"/>
    <col min="105" max="111" width="9.33203125" style="277" bestFit="1" customWidth="1"/>
    <col min="112" max="112" width="10.46484375" style="277" bestFit="1" customWidth="1"/>
    <col min="113" max="115" width="9.33203125" style="277" bestFit="1" customWidth="1"/>
    <col min="116" max="119" width="9.1328125" style="277"/>
    <col min="120" max="120" width="9.1328125" style="277" customWidth="1"/>
    <col min="121" max="122" width="9.1328125" style="2171"/>
    <col min="123" max="123" width="9.1328125" style="286"/>
    <col min="124" max="128" width="9.1328125" style="277"/>
    <col min="129" max="129" width="9.86328125" style="277" bestFit="1" customWidth="1"/>
    <col min="130" max="130" width="18.53125" style="277" customWidth="1"/>
    <col min="131" max="135" width="12.86328125" style="277" customWidth="1"/>
    <col min="136" max="138" width="11.6640625" style="277" customWidth="1"/>
    <col min="139" max="142" width="9.33203125" style="277" bestFit="1" customWidth="1"/>
    <col min="143" max="143" width="9.86328125" style="277" bestFit="1" customWidth="1"/>
    <col min="144" max="156" width="9.33203125" style="277" bestFit="1" customWidth="1"/>
    <col min="157" max="157" width="9.86328125" style="277" bestFit="1" customWidth="1"/>
    <col min="158" max="170" width="9.33203125" style="277" bestFit="1" customWidth="1"/>
    <col min="171" max="171" width="9.86328125" style="277" bestFit="1" customWidth="1"/>
    <col min="172" max="175" width="9.33203125" style="277" bestFit="1" customWidth="1"/>
    <col min="176" max="176" width="10.53125" style="277" bestFit="1" customWidth="1"/>
    <col min="177" max="182" width="9.33203125" style="277" bestFit="1" customWidth="1"/>
    <col min="183" max="184" width="9.1328125" style="277"/>
    <col min="185" max="188" width="9.33203125" style="277" bestFit="1" customWidth="1"/>
    <col min="189" max="189" width="9.86328125" style="277" bestFit="1" customWidth="1"/>
    <col min="190" max="191" width="9.33203125" style="277" bestFit="1" customWidth="1"/>
    <col min="192" max="192" width="9.86328125" style="277" bestFit="1" customWidth="1"/>
    <col min="193" max="195" width="9.33203125" style="277" bestFit="1" customWidth="1"/>
    <col min="196" max="196" width="9.46484375" style="277" bestFit="1" customWidth="1"/>
    <col min="197" max="202" width="9.33203125" style="277" bestFit="1" customWidth="1"/>
    <col min="203" max="203" width="9.86328125" style="277" bestFit="1" customWidth="1"/>
    <col min="204" max="216" width="9.33203125" style="277" bestFit="1" customWidth="1"/>
    <col min="217" max="217" width="9.86328125" style="277" bestFit="1" customWidth="1"/>
    <col min="218" max="218" width="9.33203125" style="277" bestFit="1" customWidth="1"/>
    <col min="219" max="219" width="10.53125" style="277" bestFit="1" customWidth="1"/>
    <col min="220" max="230" width="9.33203125" style="277" bestFit="1" customWidth="1"/>
    <col min="231" max="231" width="9.86328125" style="277" bestFit="1" customWidth="1"/>
    <col min="232" max="242" width="9.33203125" style="277" bestFit="1" customWidth="1"/>
    <col min="243" max="244" width="9.1328125" style="277"/>
    <col min="245" max="245" width="9.1328125" style="277" customWidth="1"/>
    <col min="246" max="246" width="9.1328125" style="277"/>
    <col min="247" max="247" width="9.1328125" style="277" customWidth="1"/>
    <col min="248" max="249" width="9.1328125" style="2171"/>
    <col min="250" max="16384" width="9.1328125" style="277"/>
  </cols>
  <sheetData>
    <row r="1" spans="1:249" ht="21.95" customHeight="1">
      <c r="A1" s="2169"/>
      <c r="B1" s="2170"/>
      <c r="C1" s="2170"/>
      <c r="D1" s="2170"/>
      <c r="E1" s="2170"/>
      <c r="F1" s="2170"/>
      <c r="G1" s="2170"/>
      <c r="H1" s="2170"/>
      <c r="I1" s="2170"/>
      <c r="J1" s="2170"/>
      <c r="K1" s="2170"/>
      <c r="L1" s="2170"/>
      <c r="M1" s="2170"/>
      <c r="N1" s="2170"/>
      <c r="O1" s="2170"/>
      <c r="P1" s="2170"/>
      <c r="Q1" s="2170"/>
      <c r="R1" s="2170"/>
      <c r="S1" s="2170"/>
      <c r="T1" s="2170"/>
      <c r="U1" s="2170"/>
      <c r="V1" s="2170"/>
      <c r="W1" s="2170"/>
      <c r="X1" s="2170"/>
      <c r="Y1" s="2170"/>
      <c r="Z1" s="2170"/>
      <c r="AA1" s="2170"/>
      <c r="AB1" s="2170"/>
      <c r="AC1" s="2170"/>
      <c r="AD1" s="2170"/>
      <c r="AE1" s="2170"/>
      <c r="AF1" s="2170"/>
      <c r="AG1" s="2170"/>
      <c r="AH1" s="2170"/>
      <c r="AI1" s="2170"/>
      <c r="AJ1" s="10"/>
      <c r="AK1" s="10"/>
      <c r="AL1" s="2170"/>
      <c r="AM1" s="2170"/>
      <c r="AN1" s="10"/>
      <c r="AO1" s="2170"/>
      <c r="AP1" s="2170"/>
      <c r="AQ1" s="10"/>
      <c r="AR1" s="2170"/>
      <c r="AS1" s="2170"/>
      <c r="AT1" s="10"/>
      <c r="AU1" s="2170"/>
      <c r="AV1" s="2170"/>
      <c r="AW1" s="10"/>
      <c r="AX1" s="2170"/>
      <c r="AY1" s="2170"/>
      <c r="AZ1" s="2170"/>
      <c r="BA1" s="2170"/>
      <c r="BB1" s="2170"/>
      <c r="BC1" s="2170"/>
      <c r="BD1" s="2170"/>
      <c r="BE1" s="2170"/>
      <c r="BF1" s="2170"/>
      <c r="BG1" s="2170"/>
      <c r="BH1" s="2170"/>
      <c r="BI1" s="2170"/>
      <c r="BJ1" s="2170"/>
      <c r="BK1" s="2170"/>
      <c r="BL1" s="2170"/>
      <c r="BM1" s="2170"/>
      <c r="BN1" s="2170"/>
      <c r="BO1" s="2170"/>
      <c r="BP1" s="2170"/>
      <c r="BQ1" s="2170"/>
      <c r="BR1" s="2170"/>
      <c r="BS1" s="2170"/>
      <c r="BT1" s="2170"/>
      <c r="BU1" s="2170"/>
      <c r="BV1" s="2170"/>
      <c r="BW1" s="2170"/>
      <c r="BX1" s="2170"/>
      <c r="BY1" s="2170"/>
      <c r="BZ1" s="2170"/>
      <c r="CA1" s="10"/>
      <c r="CB1" s="10"/>
      <c r="CC1" s="2170"/>
      <c r="CD1" s="2170"/>
      <c r="CE1" s="10"/>
      <c r="CF1" s="2170"/>
      <c r="CG1" s="2170"/>
      <c r="CH1" s="10"/>
      <c r="CI1" s="2170"/>
      <c r="CJ1" s="2170"/>
      <c r="CK1" s="10"/>
      <c r="CL1" s="2170"/>
      <c r="CM1" s="2170"/>
      <c r="CN1" s="10"/>
      <c r="CO1" s="2170"/>
      <c r="CP1" s="2170"/>
      <c r="CQ1" s="2170"/>
      <c r="CR1" s="2170"/>
      <c r="CS1" s="2170"/>
      <c r="CT1" s="2170"/>
      <c r="CU1" s="2170"/>
      <c r="CV1" s="2170"/>
      <c r="CW1" s="2170"/>
      <c r="CX1" s="2170"/>
      <c r="CY1" s="2170"/>
      <c r="CZ1" s="2170"/>
      <c r="DA1" s="2170"/>
      <c r="DB1" s="2170"/>
      <c r="DC1" s="2170"/>
      <c r="DD1" s="2170"/>
      <c r="DE1" s="2170"/>
      <c r="DF1" s="2170"/>
      <c r="DG1" s="2170"/>
      <c r="DH1" s="2170"/>
      <c r="DI1" s="2170"/>
      <c r="DJ1" s="2170"/>
      <c r="DK1" s="2170"/>
      <c r="DL1" s="2170"/>
      <c r="DM1" s="2170"/>
      <c r="DN1" s="2170"/>
      <c r="DO1" s="2170"/>
      <c r="DP1" s="2170"/>
      <c r="DS1" s="277"/>
      <c r="DW1" s="2354"/>
      <c r="DX1" s="2350"/>
      <c r="DY1" s="2350"/>
      <c r="DZ1" s="2350"/>
      <c r="EA1" s="2350"/>
      <c r="EB1" s="2350"/>
      <c r="EC1" s="2350"/>
      <c r="ED1" s="2350"/>
      <c r="EE1" s="2350"/>
      <c r="EF1" s="2350"/>
      <c r="EG1" s="2350"/>
      <c r="EH1" s="2350"/>
      <c r="EI1" s="2350"/>
      <c r="EJ1" s="2350"/>
      <c r="EK1" s="2350"/>
      <c r="EL1" s="2350"/>
      <c r="EM1" s="2350"/>
      <c r="EN1" s="2350"/>
      <c r="EO1" s="2350"/>
      <c r="EP1" s="2350"/>
      <c r="EQ1" s="2350"/>
      <c r="ER1" s="2350"/>
      <c r="ES1" s="2350"/>
      <c r="ET1" s="2350"/>
      <c r="EU1" s="2350"/>
      <c r="EV1" s="2350"/>
      <c r="EW1" s="2350"/>
      <c r="EX1" s="2350"/>
      <c r="EY1" s="2350"/>
      <c r="EZ1" s="2350"/>
      <c r="FA1" s="2350"/>
      <c r="FB1" s="2350"/>
      <c r="FC1" s="2350"/>
      <c r="FD1" s="2350"/>
      <c r="FE1" s="2350"/>
      <c r="FF1" s="16"/>
      <c r="FG1" s="16"/>
      <c r="FH1" s="2350"/>
      <c r="FI1" s="2350"/>
      <c r="FJ1" s="16"/>
      <c r="FK1" s="2350"/>
      <c r="FL1" s="2350"/>
      <c r="FM1" s="16"/>
      <c r="FN1" s="2350"/>
      <c r="FO1" s="2350"/>
      <c r="FP1" s="16"/>
      <c r="FQ1" s="2350"/>
      <c r="FR1" s="2350"/>
      <c r="FS1" s="16"/>
      <c r="FT1" s="2350"/>
      <c r="FU1" s="2350"/>
      <c r="FV1" s="2350"/>
      <c r="FW1" s="2350"/>
      <c r="FX1" s="2350"/>
      <c r="FY1" s="2350"/>
      <c r="FZ1" s="2350"/>
      <c r="GA1" s="2350"/>
      <c r="GB1" s="2350"/>
      <c r="GC1" s="2350"/>
      <c r="GD1" s="2350"/>
      <c r="GE1" s="2350"/>
      <c r="GF1" s="2350"/>
      <c r="GG1" s="2350"/>
      <c r="GH1" s="2350"/>
      <c r="GI1" s="2350"/>
      <c r="GJ1" s="2350"/>
      <c r="GK1" s="2350"/>
      <c r="GL1" s="2350"/>
      <c r="GM1" s="2350"/>
      <c r="GN1" s="2350"/>
      <c r="GO1" s="2350"/>
      <c r="GP1" s="2350"/>
      <c r="GQ1" s="2350"/>
      <c r="GR1" s="2350"/>
      <c r="GS1" s="2350"/>
      <c r="GT1" s="2350"/>
      <c r="GU1" s="2350"/>
      <c r="GV1" s="2350"/>
      <c r="GW1" s="16"/>
      <c r="GX1" s="16"/>
      <c r="GY1" s="2350"/>
      <c r="GZ1" s="2350"/>
      <c r="HA1" s="16"/>
      <c r="HB1" s="2350"/>
      <c r="HC1" s="2350"/>
      <c r="HD1" s="16"/>
      <c r="HE1" s="2350"/>
      <c r="HF1" s="2350"/>
      <c r="HG1" s="16"/>
      <c r="HH1" s="2350"/>
      <c r="HI1" s="2350"/>
      <c r="HJ1" s="16"/>
      <c r="HK1" s="2350"/>
      <c r="HL1" s="2350"/>
      <c r="HM1" s="2350"/>
      <c r="HN1" s="2350"/>
      <c r="HO1" s="2350"/>
      <c r="HP1" s="2350"/>
      <c r="HQ1" s="2350"/>
      <c r="HR1" s="2350"/>
      <c r="HS1" s="2350"/>
      <c r="HT1" s="2350"/>
      <c r="HU1" s="2350"/>
      <c r="HV1" s="2350"/>
      <c r="HW1" s="2350"/>
      <c r="HX1" s="2350"/>
      <c r="HY1" s="2350"/>
      <c r="HZ1" s="2350"/>
      <c r="IA1" s="2350"/>
      <c r="IB1" s="2350"/>
      <c r="IC1" s="2350"/>
      <c r="ID1" s="2350"/>
      <c r="IE1" s="2350"/>
      <c r="IF1" s="2350"/>
      <c r="IG1" s="2350"/>
      <c r="IH1" s="2350"/>
      <c r="II1" s="2350"/>
      <c r="IJ1" s="2350"/>
      <c r="IK1" s="2350"/>
      <c r="IL1" s="2170"/>
      <c r="IN1" s="277"/>
      <c r="IO1" s="277"/>
    </row>
    <row r="2" spans="1:249" ht="21.95" customHeight="1">
      <c r="S2" s="286"/>
      <c r="T2" s="286"/>
      <c r="AF2" s="2174"/>
      <c r="AG2" s="2174"/>
      <c r="AJ2" s="1"/>
      <c r="AO2" s="286"/>
      <c r="AP2" s="286"/>
      <c r="AQ2" s="286"/>
      <c r="BB2" s="2175"/>
      <c r="BC2" s="2176"/>
      <c r="BI2" s="277"/>
      <c r="BJ2" s="277"/>
      <c r="BX2" s="2174"/>
      <c r="CA2" s="1"/>
      <c r="CD2" s="286"/>
      <c r="CE2" s="286"/>
      <c r="CF2" s="286"/>
      <c r="CG2" s="286"/>
      <c r="CR2" s="2175"/>
      <c r="CS2" s="2176"/>
      <c r="DS2" s="277"/>
      <c r="DW2" s="1"/>
      <c r="EO2" s="286"/>
      <c r="EP2" s="286"/>
      <c r="FB2" s="2174"/>
      <c r="FC2" s="2174"/>
      <c r="FF2" s="1"/>
      <c r="FK2" s="286"/>
      <c r="FL2" s="286"/>
      <c r="FM2" s="286"/>
      <c r="FX2" s="2175"/>
      <c r="FY2" s="2176"/>
      <c r="GT2" s="2174"/>
      <c r="GW2" s="1"/>
      <c r="GZ2" s="286"/>
      <c r="HA2" s="286"/>
      <c r="HB2" s="286"/>
      <c r="HC2" s="286"/>
      <c r="HN2" s="2175"/>
      <c r="HO2" s="2176"/>
      <c r="IN2" s="277"/>
      <c r="IO2" s="277"/>
    </row>
    <row r="3" spans="1:249" ht="21.95" customHeight="1">
      <c r="C3" s="2248" t="str">
        <f>MH!J284</f>
        <v>Class II</v>
      </c>
      <c r="G3" s="2171" t="s">
        <v>1274</v>
      </c>
      <c r="H3" s="2171" t="s">
        <v>2237</v>
      </c>
      <c r="I3" s="13"/>
      <c r="J3" s="2171" t="s">
        <v>1154</v>
      </c>
      <c r="K3" s="2171" t="s">
        <v>1144</v>
      </c>
      <c r="L3" s="13"/>
      <c r="S3" s="286"/>
      <c r="T3" s="286"/>
      <c r="AF3" s="2174"/>
      <c r="AG3" s="2174"/>
      <c r="AJ3" s="2177"/>
      <c r="AK3" s="4681"/>
      <c r="AL3" s="4681"/>
      <c r="AM3" s="2178"/>
      <c r="AN3" s="2178"/>
      <c r="AO3" s="2178"/>
      <c r="AP3" s="2178"/>
      <c r="AQ3" s="2178"/>
      <c r="AR3" s="2178"/>
      <c r="AS3" s="2178"/>
      <c r="AT3" s="2178"/>
      <c r="AV3" s="2179"/>
      <c r="AY3" s="2178"/>
      <c r="BB3" s="2176"/>
      <c r="BC3" s="2176"/>
      <c r="BI3" s="277"/>
      <c r="BJ3" s="277"/>
      <c r="BX3" s="2174"/>
      <c r="CA3" s="2180"/>
      <c r="CR3" s="2176"/>
      <c r="CS3" s="2176"/>
      <c r="DS3" s="277"/>
      <c r="DW3" s="1"/>
      <c r="DY3" s="2248" t="str">
        <f>MH!J284</f>
        <v>Class II</v>
      </c>
      <c r="EC3" s="2171" t="s">
        <v>1274</v>
      </c>
      <c r="ED3" s="2171" t="s">
        <v>2237</v>
      </c>
      <c r="EE3" s="13"/>
      <c r="EF3" s="2171" t="s">
        <v>1154</v>
      </c>
      <c r="EG3" s="2171" t="s">
        <v>1144</v>
      </c>
      <c r="EH3" s="13"/>
      <c r="EO3" s="286"/>
      <c r="EP3" s="286"/>
      <c r="FB3" s="2174"/>
      <c r="FC3" s="2174"/>
      <c r="FF3" s="2177"/>
      <c r="FG3" s="4681"/>
      <c r="FH3" s="4681"/>
      <c r="FI3" s="2178"/>
      <c r="FJ3" s="2178"/>
      <c r="FK3" s="2178"/>
      <c r="FL3" s="2178"/>
      <c r="FM3" s="2178"/>
      <c r="FN3" s="2178"/>
      <c r="FO3" s="2178"/>
      <c r="FP3" s="2178"/>
      <c r="FR3" s="2179"/>
      <c r="FU3" s="2178"/>
      <c r="FX3" s="2176"/>
      <c r="FY3" s="2176"/>
      <c r="GT3" s="2174"/>
      <c r="GW3" s="2180"/>
      <c r="HN3" s="2176"/>
      <c r="HO3" s="2176"/>
      <c r="IN3" s="277"/>
      <c r="IO3" s="277"/>
    </row>
    <row r="4" spans="1:249" ht="21.95" customHeight="1">
      <c r="C4" s="280"/>
      <c r="D4" s="2249" t="s">
        <v>2238</v>
      </c>
      <c r="E4" s="2181">
        <f>CT_wh!I74</f>
        <v>0.75631178540277322</v>
      </c>
      <c r="F4" s="2182"/>
      <c r="G4" s="2183">
        <f>MH!J287</f>
        <v>19.915970774546171</v>
      </c>
      <c r="H4" s="2183">
        <f>AH!J287</f>
        <v>19.968225884687833</v>
      </c>
      <c r="I4" s="2183"/>
      <c r="J4" s="2183">
        <f>CT_wh!I74</f>
        <v>0.75631178540277322</v>
      </c>
      <c r="K4" s="2183">
        <f>LT_wh!I73</f>
        <v>1.3354563802212776</v>
      </c>
      <c r="S4" s="286"/>
      <c r="T4" s="286"/>
      <c r="AF4" s="2174"/>
      <c r="AG4" s="2174"/>
      <c r="AJ4" s="2184" t="s">
        <v>682</v>
      </c>
      <c r="AK4" s="2184">
        <v>160</v>
      </c>
      <c r="AL4" s="2184">
        <v>180</v>
      </c>
      <c r="AM4" s="2184">
        <v>200</v>
      </c>
      <c r="AN4" s="2184">
        <v>225</v>
      </c>
      <c r="AO4" s="2184">
        <v>250</v>
      </c>
      <c r="AP4" s="2184">
        <v>280</v>
      </c>
      <c r="AQ4" s="2184">
        <v>315</v>
      </c>
      <c r="AR4" s="2184">
        <v>355</v>
      </c>
      <c r="AS4" s="2184">
        <v>400</v>
      </c>
      <c r="AT4" s="2184">
        <v>450</v>
      </c>
      <c r="AU4" s="2185">
        <v>500</v>
      </c>
      <c r="AV4" s="2185">
        <v>560</v>
      </c>
      <c r="AW4" s="2185">
        <v>630</v>
      </c>
      <c r="AX4" s="2185">
        <v>710</v>
      </c>
      <c r="AY4" s="2184">
        <v>800</v>
      </c>
      <c r="BB4" s="2186">
        <v>0</v>
      </c>
      <c r="BC4" s="2187">
        <v>6.3</v>
      </c>
      <c r="BF4" s="2184" t="s">
        <v>682</v>
      </c>
      <c r="BG4" s="2188">
        <v>160</v>
      </c>
      <c r="BH4" s="2188">
        <v>180</v>
      </c>
      <c r="BI4" s="2184">
        <v>200</v>
      </c>
      <c r="BJ4" s="2184">
        <v>225</v>
      </c>
      <c r="BK4" s="2184">
        <v>250</v>
      </c>
      <c r="BL4" s="2184">
        <v>280</v>
      </c>
      <c r="BM4" s="2184">
        <v>315</v>
      </c>
      <c r="BN4" s="2184">
        <v>355</v>
      </c>
      <c r="BO4" s="2184">
        <v>400</v>
      </c>
      <c r="BP4" s="2184">
        <v>450</v>
      </c>
      <c r="BQ4" s="2185">
        <v>500</v>
      </c>
      <c r="BR4" s="2185">
        <v>560</v>
      </c>
      <c r="BS4" s="2185">
        <v>630</v>
      </c>
      <c r="BT4" s="2185">
        <v>710</v>
      </c>
      <c r="BU4" s="2184">
        <v>800</v>
      </c>
      <c r="BX4" s="2174"/>
      <c r="CA4" s="2184" t="s">
        <v>682</v>
      </c>
      <c r="CB4" s="2184">
        <v>140</v>
      </c>
      <c r="CC4" s="2184">
        <v>160</v>
      </c>
      <c r="CD4" s="2184">
        <v>180</v>
      </c>
      <c r="CE4" s="2184">
        <v>200</v>
      </c>
      <c r="CF4" s="2184">
        <v>225</v>
      </c>
      <c r="CG4" s="2184">
        <v>250</v>
      </c>
      <c r="CH4" s="2184">
        <v>280</v>
      </c>
      <c r="CI4" s="2184">
        <v>315</v>
      </c>
      <c r="CJ4" s="2184">
        <v>355</v>
      </c>
      <c r="CK4" s="2184">
        <v>400</v>
      </c>
      <c r="CL4" s="2189">
        <v>450</v>
      </c>
      <c r="CM4" s="2189">
        <v>500</v>
      </c>
      <c r="CN4" s="2189">
        <v>560</v>
      </c>
      <c r="CO4" s="2190">
        <v>630</v>
      </c>
      <c r="CR4" s="2186">
        <v>0</v>
      </c>
      <c r="CS4" s="2187">
        <v>5.6</v>
      </c>
      <c r="CV4" s="2184" t="s">
        <v>682</v>
      </c>
      <c r="CW4" s="2184">
        <v>140</v>
      </c>
      <c r="CX4" s="2184">
        <v>160</v>
      </c>
      <c r="CY4" s="2184">
        <v>180</v>
      </c>
      <c r="CZ4" s="2184">
        <v>200</v>
      </c>
      <c r="DA4" s="2184">
        <v>225</v>
      </c>
      <c r="DB4" s="2184">
        <v>250</v>
      </c>
      <c r="DC4" s="2184">
        <v>280</v>
      </c>
      <c r="DD4" s="2184">
        <v>315</v>
      </c>
      <c r="DE4" s="2184">
        <v>355</v>
      </c>
      <c r="DF4" s="2184">
        <v>400</v>
      </c>
      <c r="DG4" s="2189">
        <v>450</v>
      </c>
      <c r="DH4" s="2189">
        <v>500</v>
      </c>
      <c r="DI4" s="2189">
        <v>560</v>
      </c>
      <c r="DJ4" s="2190">
        <v>630</v>
      </c>
      <c r="DS4" s="277"/>
      <c r="DW4" s="1"/>
      <c r="DY4" s="280"/>
      <c r="DZ4" s="2249" t="s">
        <v>2238</v>
      </c>
      <c r="EA4" s="2181">
        <f>LT_wh!I73</f>
        <v>1.3354563802212776</v>
      </c>
      <c r="EB4" s="2182"/>
      <c r="EC4" s="2183">
        <f>MH!J287</f>
        <v>19.915970774546171</v>
      </c>
      <c r="ED4" s="2183">
        <f>AH!J287</f>
        <v>19.968225884687833</v>
      </c>
      <c r="EE4" s="2183"/>
      <c r="EF4" s="2183">
        <f>CT_wh!I74</f>
        <v>0.75631178540277322</v>
      </c>
      <c r="EG4" s="2183">
        <f>LT_wh!I73</f>
        <v>1.3354563802212776</v>
      </c>
      <c r="EO4" s="286"/>
      <c r="EP4" s="286"/>
      <c r="FB4" s="2174"/>
      <c r="FC4" s="2174"/>
      <c r="FF4" s="2184" t="s">
        <v>682</v>
      </c>
      <c r="FG4" s="2184">
        <v>160</v>
      </c>
      <c r="FH4" s="2184">
        <v>180</v>
      </c>
      <c r="FI4" s="2184">
        <v>200</v>
      </c>
      <c r="FJ4" s="2184">
        <v>225</v>
      </c>
      <c r="FK4" s="2184">
        <v>250</v>
      </c>
      <c r="FL4" s="2184">
        <v>280</v>
      </c>
      <c r="FM4" s="2184">
        <v>315</v>
      </c>
      <c r="FN4" s="2184">
        <v>355</v>
      </c>
      <c r="FO4" s="2184">
        <v>400</v>
      </c>
      <c r="FP4" s="2184">
        <v>450</v>
      </c>
      <c r="FQ4" s="2185">
        <v>500</v>
      </c>
      <c r="FR4" s="2185">
        <v>560</v>
      </c>
      <c r="FS4" s="2185">
        <v>630</v>
      </c>
      <c r="FT4" s="2185">
        <v>710</v>
      </c>
      <c r="FU4" s="2184">
        <v>800</v>
      </c>
      <c r="FX4" s="2186">
        <v>0</v>
      </c>
      <c r="FY4" s="2187">
        <v>6.3</v>
      </c>
      <c r="GB4" s="2184" t="s">
        <v>682</v>
      </c>
      <c r="GC4" s="2188">
        <v>160</v>
      </c>
      <c r="GD4" s="2188">
        <v>180</v>
      </c>
      <c r="GE4" s="2184">
        <v>200</v>
      </c>
      <c r="GF4" s="2184">
        <v>225</v>
      </c>
      <c r="GG4" s="2184">
        <v>250</v>
      </c>
      <c r="GH4" s="2184">
        <v>280</v>
      </c>
      <c r="GI4" s="2184">
        <v>315</v>
      </c>
      <c r="GJ4" s="2184">
        <v>355</v>
      </c>
      <c r="GK4" s="2184">
        <v>400</v>
      </c>
      <c r="GL4" s="2184">
        <v>450</v>
      </c>
      <c r="GM4" s="2185">
        <v>500</v>
      </c>
      <c r="GN4" s="2185">
        <v>560</v>
      </c>
      <c r="GO4" s="2185">
        <v>630</v>
      </c>
      <c r="GP4" s="2185">
        <v>710</v>
      </c>
      <c r="GQ4" s="2184">
        <v>800</v>
      </c>
      <c r="GT4" s="2174"/>
      <c r="GW4" s="2184" t="s">
        <v>682</v>
      </c>
      <c r="GX4" s="2184">
        <v>140</v>
      </c>
      <c r="GY4" s="2184">
        <v>160</v>
      </c>
      <c r="GZ4" s="2184">
        <v>180</v>
      </c>
      <c r="HA4" s="2184">
        <v>200</v>
      </c>
      <c r="HB4" s="2184">
        <v>225</v>
      </c>
      <c r="HC4" s="2184">
        <v>250</v>
      </c>
      <c r="HD4" s="2184">
        <v>280</v>
      </c>
      <c r="HE4" s="2184">
        <v>315</v>
      </c>
      <c r="HF4" s="2184">
        <v>355</v>
      </c>
      <c r="HG4" s="2184">
        <v>400</v>
      </c>
      <c r="HH4" s="2189">
        <v>450</v>
      </c>
      <c r="HI4" s="2189">
        <v>500</v>
      </c>
      <c r="HJ4" s="2189">
        <v>560</v>
      </c>
      <c r="HK4" s="2190">
        <v>630</v>
      </c>
      <c r="HN4" s="2186">
        <v>0</v>
      </c>
      <c r="HO4" s="2187">
        <v>5.6</v>
      </c>
      <c r="HR4" s="2184" t="s">
        <v>682</v>
      </c>
      <c r="HS4" s="2184">
        <v>140</v>
      </c>
      <c r="HT4" s="2184">
        <v>160</v>
      </c>
      <c r="HU4" s="2184">
        <v>180</v>
      </c>
      <c r="HV4" s="2184">
        <v>200</v>
      </c>
      <c r="HW4" s="2184">
        <v>225</v>
      </c>
      <c r="HX4" s="2184">
        <v>250</v>
      </c>
      <c r="HY4" s="2184">
        <v>280</v>
      </c>
      <c r="HZ4" s="2184">
        <v>315</v>
      </c>
      <c r="IA4" s="2184">
        <v>355</v>
      </c>
      <c r="IB4" s="2184">
        <v>400</v>
      </c>
      <c r="IC4" s="2189">
        <v>450</v>
      </c>
      <c r="ID4" s="2189">
        <v>500</v>
      </c>
      <c r="IE4" s="2189">
        <v>560</v>
      </c>
      <c r="IF4" s="2190">
        <v>630</v>
      </c>
      <c r="IN4" s="277"/>
      <c r="IO4" s="277"/>
    </row>
    <row r="5" spans="1:249" ht="21.95" customHeight="1">
      <c r="C5" s="280"/>
      <c r="D5" s="2249" t="s">
        <v>2170</v>
      </c>
      <c r="E5" s="2181">
        <f>CT_wh!I68</f>
        <v>72.382464000000013</v>
      </c>
      <c r="F5" s="2191"/>
      <c r="G5" s="2183">
        <f>MH!J279</f>
        <v>204.36114285714288</v>
      </c>
      <c r="H5" s="2183">
        <f>AH!J279</f>
        <v>125.03040000000001</v>
      </c>
      <c r="I5" s="2183"/>
      <c r="J5" s="2183">
        <f>CT_wh!I68</f>
        <v>72.382464000000013</v>
      </c>
      <c r="K5" s="2183">
        <f>LT_wh!I67</f>
        <v>45.239040000000003</v>
      </c>
      <c r="S5" s="286"/>
      <c r="T5" s="286"/>
      <c r="AA5" s="2192" t="s">
        <v>2288</v>
      </c>
      <c r="AB5" s="2192" t="s">
        <v>2289</v>
      </c>
      <c r="AC5" s="2192" t="s">
        <v>660</v>
      </c>
      <c r="AD5" s="2192" t="s">
        <v>656</v>
      </c>
      <c r="AF5" s="2174"/>
      <c r="AG5" s="2174"/>
      <c r="AJ5" s="2193">
        <v>6.3</v>
      </c>
      <c r="AK5" s="2194">
        <v>71</v>
      </c>
      <c r="AL5" s="2194">
        <v>100</v>
      </c>
      <c r="AM5" s="2194">
        <v>145</v>
      </c>
      <c r="AN5" s="2194">
        <v>215</v>
      </c>
      <c r="AO5" s="2194">
        <v>280</v>
      </c>
      <c r="AP5" s="2194">
        <v>400</v>
      </c>
      <c r="AQ5" s="2194">
        <v>560</v>
      </c>
      <c r="AR5" s="2194">
        <v>800</v>
      </c>
      <c r="AS5" s="2194">
        <v>1100</v>
      </c>
      <c r="AT5" s="2194">
        <v>1520</v>
      </c>
      <c r="AU5" s="280">
        <v>2650</v>
      </c>
      <c r="AV5" s="280">
        <v>3650</v>
      </c>
      <c r="AW5" s="2355">
        <v>4780</v>
      </c>
      <c r="AX5" s="280">
        <v>7120</v>
      </c>
      <c r="AY5" s="2194">
        <v>0</v>
      </c>
      <c r="BB5" s="2187">
        <v>6.3</v>
      </c>
      <c r="BC5" s="2187">
        <v>7.1</v>
      </c>
      <c r="BF5" s="2193">
        <v>6.3</v>
      </c>
      <c r="BG5" s="2194">
        <v>71</v>
      </c>
      <c r="BH5" s="2194">
        <v>100</v>
      </c>
      <c r="BI5" s="2194">
        <v>145</v>
      </c>
      <c r="BJ5" s="2194">
        <v>215</v>
      </c>
      <c r="BK5" s="2194">
        <v>280</v>
      </c>
      <c r="BL5" s="2194">
        <v>400</v>
      </c>
      <c r="BM5" s="2194">
        <v>560</v>
      </c>
      <c r="BN5" s="2194">
        <v>800</v>
      </c>
      <c r="BO5" s="2194">
        <v>1100</v>
      </c>
      <c r="BP5" s="2194">
        <v>1520</v>
      </c>
      <c r="BQ5" s="280">
        <v>2650</v>
      </c>
      <c r="BR5" s="280">
        <v>3650</v>
      </c>
      <c r="BS5" s="280">
        <v>4780</v>
      </c>
      <c r="BT5" s="280">
        <v>7120</v>
      </c>
      <c r="BU5" s="2194">
        <v>0</v>
      </c>
      <c r="BX5" s="2174"/>
      <c r="CA5" s="2193">
        <v>5.6</v>
      </c>
      <c r="CB5" s="2194">
        <v>55.1</v>
      </c>
      <c r="CC5" s="2194">
        <v>82.7</v>
      </c>
      <c r="CD5" s="2194">
        <v>104</v>
      </c>
      <c r="CE5" s="2194">
        <v>142</v>
      </c>
      <c r="CF5" s="2194">
        <v>207</v>
      </c>
      <c r="CG5" s="2194">
        <v>274</v>
      </c>
      <c r="CH5" s="2194">
        <v>452</v>
      </c>
      <c r="CI5" s="2194">
        <v>605</v>
      </c>
      <c r="CJ5" s="2194">
        <v>766</v>
      </c>
      <c r="CK5" s="2194">
        <v>1073</v>
      </c>
      <c r="CL5" s="280">
        <v>1635</v>
      </c>
      <c r="CM5" s="280">
        <v>2050</v>
      </c>
      <c r="CN5" s="280">
        <v>3290</v>
      </c>
      <c r="CO5" s="2194">
        <v>4290</v>
      </c>
      <c r="CR5" s="2187">
        <v>5.6</v>
      </c>
      <c r="CS5" s="2187">
        <v>6.2</v>
      </c>
      <c r="CV5" s="2193">
        <v>5.6</v>
      </c>
      <c r="CW5" s="2194">
        <v>55.1</v>
      </c>
      <c r="CX5" s="2194">
        <v>82.7</v>
      </c>
      <c r="CY5" s="2194">
        <v>104</v>
      </c>
      <c r="CZ5" s="2194">
        <v>142</v>
      </c>
      <c r="DA5" s="2194">
        <v>207</v>
      </c>
      <c r="DB5" s="2194">
        <v>274</v>
      </c>
      <c r="DC5" s="2194">
        <v>452</v>
      </c>
      <c r="DD5" s="2194">
        <v>605</v>
      </c>
      <c r="DE5" s="2194">
        <v>766</v>
      </c>
      <c r="DF5" s="2194">
        <v>1073</v>
      </c>
      <c r="DG5" s="280">
        <v>1635</v>
      </c>
      <c r="DH5" s="280">
        <v>2050</v>
      </c>
      <c r="DI5" s="280">
        <v>3290</v>
      </c>
      <c r="DJ5" s="2194">
        <v>4290</v>
      </c>
      <c r="DS5" s="277"/>
      <c r="DW5" s="1"/>
      <c r="DY5" s="280"/>
      <c r="DZ5" s="2249" t="s">
        <v>2170</v>
      </c>
      <c r="EA5" s="2181">
        <f>LT_wh!I67</f>
        <v>45.239040000000003</v>
      </c>
      <c r="EB5" s="2191"/>
      <c r="EC5" s="2183">
        <f>MH!J279</f>
        <v>204.36114285714288</v>
      </c>
      <c r="ED5" s="2183">
        <f>AH!J279</f>
        <v>125.03040000000001</v>
      </c>
      <c r="EE5" s="2183"/>
      <c r="EF5" s="2183">
        <f>CT_wh!I68</f>
        <v>72.382464000000013</v>
      </c>
      <c r="EG5" s="2183">
        <f>LT_wh!I67</f>
        <v>45.239040000000003</v>
      </c>
      <c r="EO5" s="286"/>
      <c r="EP5" s="286"/>
      <c r="EW5" s="2192" t="s">
        <v>2288</v>
      </c>
      <c r="EX5" s="2192" t="s">
        <v>2289</v>
      </c>
      <c r="EY5" s="2192" t="s">
        <v>660</v>
      </c>
      <c r="EZ5" s="2192" t="s">
        <v>656</v>
      </c>
      <c r="FB5" s="2174"/>
      <c r="FC5" s="2174"/>
      <c r="FF5" s="2193">
        <v>6.3</v>
      </c>
      <c r="FG5" s="2194">
        <v>71</v>
      </c>
      <c r="FH5" s="2194">
        <v>100</v>
      </c>
      <c r="FI5" s="2194">
        <v>145</v>
      </c>
      <c r="FJ5" s="2194">
        <v>215</v>
      </c>
      <c r="FK5" s="2194">
        <v>280</v>
      </c>
      <c r="FL5" s="2194">
        <v>400</v>
      </c>
      <c r="FM5" s="2194">
        <v>560</v>
      </c>
      <c r="FN5" s="2194">
        <v>800</v>
      </c>
      <c r="FO5" s="2194">
        <v>1100</v>
      </c>
      <c r="FP5" s="2194">
        <v>1520</v>
      </c>
      <c r="FQ5" s="280">
        <v>2650</v>
      </c>
      <c r="FR5" s="280">
        <v>3650</v>
      </c>
      <c r="FS5" s="2355">
        <v>4780</v>
      </c>
      <c r="FT5" s="280">
        <v>7120</v>
      </c>
      <c r="FU5" s="2194">
        <v>0</v>
      </c>
      <c r="FX5" s="2187">
        <v>6.3</v>
      </c>
      <c r="FY5" s="2187">
        <v>7.1</v>
      </c>
      <c r="GB5" s="2193">
        <v>6.3</v>
      </c>
      <c r="GC5" s="2194">
        <v>71</v>
      </c>
      <c r="GD5" s="2194">
        <v>100</v>
      </c>
      <c r="GE5" s="2194">
        <v>145</v>
      </c>
      <c r="GF5" s="2194">
        <v>215</v>
      </c>
      <c r="GG5" s="2194">
        <v>280</v>
      </c>
      <c r="GH5" s="2194">
        <v>400</v>
      </c>
      <c r="GI5" s="2194">
        <v>560</v>
      </c>
      <c r="GJ5" s="2194">
        <v>800</v>
      </c>
      <c r="GK5" s="2194">
        <v>1100</v>
      </c>
      <c r="GL5" s="2194">
        <v>1520</v>
      </c>
      <c r="GM5" s="280">
        <v>2650</v>
      </c>
      <c r="GN5" s="280">
        <v>3650</v>
      </c>
      <c r="GO5" s="280">
        <v>4780</v>
      </c>
      <c r="GP5" s="280">
        <v>7120</v>
      </c>
      <c r="GQ5" s="2194">
        <v>0</v>
      </c>
      <c r="GT5" s="2174"/>
      <c r="GW5" s="2193">
        <v>5.6</v>
      </c>
      <c r="GX5" s="2194">
        <v>55.1</v>
      </c>
      <c r="GY5" s="2194">
        <v>82.7</v>
      </c>
      <c r="GZ5" s="2194">
        <v>104</v>
      </c>
      <c r="HA5" s="2194">
        <v>142</v>
      </c>
      <c r="HB5" s="2194">
        <v>207</v>
      </c>
      <c r="HC5" s="2194">
        <v>274</v>
      </c>
      <c r="HD5" s="2194">
        <v>452</v>
      </c>
      <c r="HE5" s="2194">
        <v>605</v>
      </c>
      <c r="HF5" s="2194">
        <v>766</v>
      </c>
      <c r="HG5" s="2194">
        <v>1073</v>
      </c>
      <c r="HH5" s="280">
        <v>1635</v>
      </c>
      <c r="HI5" s="280">
        <v>2050</v>
      </c>
      <c r="HJ5" s="280">
        <v>3290</v>
      </c>
      <c r="HK5" s="2194">
        <v>4290</v>
      </c>
      <c r="HN5" s="2187">
        <v>5.6</v>
      </c>
      <c r="HO5" s="2187">
        <v>6.2</v>
      </c>
      <c r="HR5" s="2193">
        <v>5.6</v>
      </c>
      <c r="HS5" s="2194">
        <v>55.1</v>
      </c>
      <c r="HT5" s="2194">
        <v>82.7</v>
      </c>
      <c r="HU5" s="2194">
        <v>104</v>
      </c>
      <c r="HV5" s="2194">
        <v>142</v>
      </c>
      <c r="HW5" s="2194">
        <v>207</v>
      </c>
      <c r="HX5" s="2194">
        <v>274</v>
      </c>
      <c r="HY5" s="2194">
        <v>452</v>
      </c>
      <c r="HZ5" s="2194">
        <v>605</v>
      </c>
      <c r="IA5" s="2194">
        <v>766</v>
      </c>
      <c r="IB5" s="2194">
        <v>1073</v>
      </c>
      <c r="IC5" s="280">
        <v>1635</v>
      </c>
      <c r="ID5" s="280">
        <v>2050</v>
      </c>
      <c r="IE5" s="280">
        <v>3290</v>
      </c>
      <c r="IF5" s="2194">
        <v>4290</v>
      </c>
      <c r="IN5" s="277"/>
      <c r="IO5" s="277"/>
    </row>
    <row r="6" spans="1:249" ht="21.95" customHeight="1">
      <c r="C6" s="281"/>
      <c r="D6" s="281"/>
      <c r="F6" s="281"/>
      <c r="G6" s="281"/>
      <c r="H6" s="281"/>
      <c r="I6" s="281"/>
      <c r="J6" s="281"/>
      <c r="S6" s="286"/>
      <c r="T6" s="286"/>
      <c r="AA6" s="2250" t="str">
        <f>AI144</f>
        <v>Right</v>
      </c>
      <c r="AB6" s="2250" t="str">
        <f>AI376</f>
        <v>Right</v>
      </c>
      <c r="AC6" s="277" t="str">
        <f>AT46</f>
        <v>Right</v>
      </c>
      <c r="AD6" s="277" t="str">
        <f>CK46</f>
        <v>Right</v>
      </c>
      <c r="AF6" s="2174"/>
      <c r="AG6" s="2174"/>
      <c r="AJ6" s="2193">
        <v>7.1</v>
      </c>
      <c r="AK6" s="2194">
        <v>66</v>
      </c>
      <c r="AL6" s="2194">
        <v>93</v>
      </c>
      <c r="AM6" s="2194">
        <v>135</v>
      </c>
      <c r="AN6" s="2194">
        <v>200</v>
      </c>
      <c r="AO6" s="2194">
        <v>255</v>
      </c>
      <c r="AP6" s="2194">
        <v>365</v>
      </c>
      <c r="AQ6" s="2194">
        <v>490</v>
      </c>
      <c r="AR6" s="2194">
        <v>720</v>
      </c>
      <c r="AS6" s="2194">
        <v>1000</v>
      </c>
      <c r="AT6" s="2194">
        <v>1400</v>
      </c>
      <c r="AU6" s="280">
        <v>2330</v>
      </c>
      <c r="AV6" s="280">
        <v>3270</v>
      </c>
      <c r="AW6" s="280">
        <v>4210</v>
      </c>
      <c r="AX6" s="280">
        <v>6270</v>
      </c>
      <c r="AY6" s="2194">
        <v>0</v>
      </c>
      <c r="BB6" s="2187">
        <v>7.1</v>
      </c>
      <c r="BC6" s="2187">
        <v>8</v>
      </c>
      <c r="BF6" s="2193">
        <v>7.1</v>
      </c>
      <c r="BG6" s="2194">
        <v>66</v>
      </c>
      <c r="BH6" s="2194">
        <v>93</v>
      </c>
      <c r="BI6" s="2194">
        <v>135</v>
      </c>
      <c r="BJ6" s="2194">
        <v>200</v>
      </c>
      <c r="BK6" s="2194">
        <v>255</v>
      </c>
      <c r="BL6" s="2194">
        <v>365</v>
      </c>
      <c r="BM6" s="2194">
        <v>490</v>
      </c>
      <c r="BN6" s="2194">
        <v>720</v>
      </c>
      <c r="BO6" s="2194">
        <v>1000</v>
      </c>
      <c r="BP6" s="2194">
        <v>1400</v>
      </c>
      <c r="BQ6" s="280">
        <v>2330</v>
      </c>
      <c r="BR6" s="280">
        <v>3270</v>
      </c>
      <c r="BS6" s="280">
        <v>4210</v>
      </c>
      <c r="BT6" s="280">
        <v>6270</v>
      </c>
      <c r="BU6" s="2194">
        <v>0</v>
      </c>
      <c r="BX6" s="2174"/>
      <c r="CA6" s="2193">
        <v>6.2</v>
      </c>
      <c r="CB6" s="2194">
        <v>51</v>
      </c>
      <c r="CC6" s="2194">
        <v>78</v>
      </c>
      <c r="CD6" s="2194">
        <v>98.6</v>
      </c>
      <c r="CE6" s="2194">
        <v>132</v>
      </c>
      <c r="CF6" s="2194">
        <v>190</v>
      </c>
      <c r="CG6" s="2194">
        <v>314</v>
      </c>
      <c r="CH6" s="2194">
        <v>413</v>
      </c>
      <c r="CI6" s="2194">
        <v>550</v>
      </c>
      <c r="CJ6" s="2194">
        <v>722</v>
      </c>
      <c r="CK6" s="2194">
        <v>993</v>
      </c>
      <c r="CL6" s="280">
        <v>1479</v>
      </c>
      <c r="CM6" s="280">
        <v>1880</v>
      </c>
      <c r="CN6" s="280">
        <v>3000</v>
      </c>
      <c r="CO6" s="2194">
        <v>3980</v>
      </c>
      <c r="CR6" s="2187">
        <v>6.2</v>
      </c>
      <c r="CS6" s="2187">
        <v>6.86</v>
      </c>
      <c r="CV6" s="2193">
        <v>6.2</v>
      </c>
      <c r="CW6" s="2194">
        <v>51</v>
      </c>
      <c r="CX6" s="2194">
        <v>78</v>
      </c>
      <c r="CY6" s="2194">
        <v>98.6</v>
      </c>
      <c r="CZ6" s="2194">
        <v>132</v>
      </c>
      <c r="DA6" s="2194">
        <v>190</v>
      </c>
      <c r="DB6" s="2194">
        <v>314</v>
      </c>
      <c r="DC6" s="2194">
        <v>413</v>
      </c>
      <c r="DD6" s="2194">
        <v>550</v>
      </c>
      <c r="DE6" s="2194">
        <v>722</v>
      </c>
      <c r="DF6" s="2194">
        <v>993</v>
      </c>
      <c r="DG6" s="280">
        <v>1479</v>
      </c>
      <c r="DH6" s="280">
        <v>1880</v>
      </c>
      <c r="DI6" s="280">
        <v>3000</v>
      </c>
      <c r="DJ6" s="2194">
        <v>3980</v>
      </c>
      <c r="DS6" s="277"/>
      <c r="DW6" s="1"/>
      <c r="DY6" s="281"/>
      <c r="DZ6" s="281"/>
      <c r="EB6" s="281"/>
      <c r="EC6" s="281"/>
      <c r="ED6" s="281"/>
      <c r="EE6" s="281"/>
      <c r="EF6" s="281"/>
      <c r="EO6" s="286"/>
      <c r="EP6" s="286"/>
      <c r="EW6" s="2250" t="str">
        <f>FE144</f>
        <v>Right</v>
      </c>
      <c r="EX6" s="2250" t="str">
        <f>FE376</f>
        <v>Right</v>
      </c>
      <c r="EY6" s="277" t="str">
        <f>FP46</f>
        <v>Right</v>
      </c>
      <c r="EZ6" s="277" t="str">
        <f>HG46</f>
        <v>Right</v>
      </c>
      <c r="FB6" s="2174"/>
      <c r="FC6" s="2174"/>
      <c r="FF6" s="2193">
        <v>7.1</v>
      </c>
      <c r="FG6" s="2194">
        <v>66</v>
      </c>
      <c r="FH6" s="2194">
        <v>93</v>
      </c>
      <c r="FI6" s="2194">
        <v>135</v>
      </c>
      <c r="FJ6" s="2194">
        <v>200</v>
      </c>
      <c r="FK6" s="2194">
        <v>255</v>
      </c>
      <c r="FL6" s="2194">
        <v>365</v>
      </c>
      <c r="FM6" s="2194">
        <v>490</v>
      </c>
      <c r="FN6" s="2194">
        <v>720</v>
      </c>
      <c r="FO6" s="2194">
        <v>1000</v>
      </c>
      <c r="FP6" s="2194">
        <v>1400</v>
      </c>
      <c r="FQ6" s="280">
        <v>2330</v>
      </c>
      <c r="FR6" s="280">
        <v>3270</v>
      </c>
      <c r="FS6" s="280">
        <v>4210</v>
      </c>
      <c r="FT6" s="280">
        <v>6270</v>
      </c>
      <c r="FU6" s="2194">
        <v>0</v>
      </c>
      <c r="FX6" s="2187">
        <v>7.1</v>
      </c>
      <c r="FY6" s="2187">
        <v>8</v>
      </c>
      <c r="GB6" s="2193">
        <v>7.1</v>
      </c>
      <c r="GC6" s="2194">
        <v>66</v>
      </c>
      <c r="GD6" s="2194">
        <v>93</v>
      </c>
      <c r="GE6" s="2194">
        <v>135</v>
      </c>
      <c r="GF6" s="2194">
        <v>200</v>
      </c>
      <c r="GG6" s="2194">
        <v>255</v>
      </c>
      <c r="GH6" s="2194">
        <v>365</v>
      </c>
      <c r="GI6" s="2194">
        <v>490</v>
      </c>
      <c r="GJ6" s="2194">
        <v>720</v>
      </c>
      <c r="GK6" s="2194">
        <v>1000</v>
      </c>
      <c r="GL6" s="2194">
        <v>1400</v>
      </c>
      <c r="GM6" s="280">
        <v>2330</v>
      </c>
      <c r="GN6" s="280">
        <v>3270</v>
      </c>
      <c r="GO6" s="280">
        <v>4210</v>
      </c>
      <c r="GP6" s="280">
        <v>6270</v>
      </c>
      <c r="GQ6" s="2194">
        <v>0</v>
      </c>
      <c r="GT6" s="2174"/>
      <c r="GW6" s="2193">
        <v>6.2</v>
      </c>
      <c r="GX6" s="2194">
        <v>51</v>
      </c>
      <c r="GY6" s="2194">
        <v>78</v>
      </c>
      <c r="GZ6" s="2194">
        <v>98.6</v>
      </c>
      <c r="HA6" s="2194">
        <v>132</v>
      </c>
      <c r="HB6" s="2194">
        <v>190</v>
      </c>
      <c r="HC6" s="2194">
        <v>314</v>
      </c>
      <c r="HD6" s="2194">
        <v>413</v>
      </c>
      <c r="HE6" s="2194">
        <v>550</v>
      </c>
      <c r="HF6" s="2194">
        <v>722</v>
      </c>
      <c r="HG6" s="2194">
        <v>993</v>
      </c>
      <c r="HH6" s="280">
        <v>1479</v>
      </c>
      <c r="HI6" s="280">
        <v>1880</v>
      </c>
      <c r="HJ6" s="280">
        <v>3000</v>
      </c>
      <c r="HK6" s="2194">
        <v>3980</v>
      </c>
      <c r="HN6" s="2187">
        <v>6.2</v>
      </c>
      <c r="HO6" s="2187">
        <v>6.86</v>
      </c>
      <c r="HR6" s="2193">
        <v>6.2</v>
      </c>
      <c r="HS6" s="2194">
        <v>51</v>
      </c>
      <c r="HT6" s="2194">
        <v>78</v>
      </c>
      <c r="HU6" s="2194">
        <v>98.6</v>
      </c>
      <c r="HV6" s="2194">
        <v>132</v>
      </c>
      <c r="HW6" s="2194">
        <v>190</v>
      </c>
      <c r="HX6" s="2194">
        <v>314</v>
      </c>
      <c r="HY6" s="2194">
        <v>413</v>
      </c>
      <c r="HZ6" s="2194">
        <v>550</v>
      </c>
      <c r="IA6" s="2194">
        <v>722</v>
      </c>
      <c r="IB6" s="2194">
        <v>993</v>
      </c>
      <c r="IC6" s="280">
        <v>1479</v>
      </c>
      <c r="ID6" s="280">
        <v>1880</v>
      </c>
      <c r="IE6" s="280">
        <v>3000</v>
      </c>
      <c r="IF6" s="2194">
        <v>3980</v>
      </c>
      <c r="IN6" s="277"/>
      <c r="IO6" s="277"/>
    </row>
    <row r="7" spans="1:249" ht="21.95" customHeight="1">
      <c r="C7" s="762" t="str">
        <f>IF(I8="Right",IF(I15="Right",IF(I22="Right",IF(I26="Right",IF(I31="Right",IF(I38="Right","Right","Wrong"),"Wrong"),"Wrong"),"Wrong"),"Wrong"),"Wrong")</f>
        <v>Right</v>
      </c>
      <c r="D7" s="281"/>
      <c r="E7" s="281"/>
      <c r="F7" s="281"/>
      <c r="G7" s="281"/>
      <c r="H7" s="281"/>
      <c r="I7" s="281"/>
      <c r="J7" s="281"/>
      <c r="S7" s="286"/>
      <c r="T7" s="286"/>
      <c r="AA7" s="2250" t="str">
        <f>AI145</f>
        <v>Right</v>
      </c>
      <c r="AB7" s="2250" t="str">
        <f t="shared" ref="AB7:AB9" si="0">AI377</f>
        <v>Right</v>
      </c>
      <c r="AC7" s="277" t="str">
        <f>IF(AK40&gt;50,"Right",AL72)</f>
        <v>Right</v>
      </c>
      <c r="AD7" s="277" t="str">
        <f>IF(CB40&gt;31.4,"Right",CC72)</f>
        <v>Right</v>
      </c>
      <c r="AF7" s="2174"/>
      <c r="AG7" s="2174"/>
      <c r="AJ7" s="2193">
        <v>8</v>
      </c>
      <c r="AK7" s="2194">
        <v>60</v>
      </c>
      <c r="AL7" s="2194">
        <v>85</v>
      </c>
      <c r="AM7" s="2194">
        <v>125</v>
      </c>
      <c r="AN7" s="2194">
        <v>180</v>
      </c>
      <c r="AO7" s="2194">
        <v>245</v>
      </c>
      <c r="AP7" s="2194">
        <v>335</v>
      </c>
      <c r="AQ7" s="2194">
        <v>450</v>
      </c>
      <c r="AR7" s="2194">
        <v>680</v>
      </c>
      <c r="AS7" s="2194">
        <v>950</v>
      </c>
      <c r="AT7" s="2194">
        <v>1270</v>
      </c>
      <c r="AU7" s="280">
        <v>2120</v>
      </c>
      <c r="AV7" s="280">
        <v>2970</v>
      </c>
      <c r="AW7" s="280">
        <v>3820</v>
      </c>
      <c r="AX7" s="280">
        <v>5700</v>
      </c>
      <c r="AY7" s="2194">
        <v>0</v>
      </c>
      <c r="BB7" s="2187">
        <v>8</v>
      </c>
      <c r="BC7" s="2187">
        <v>9</v>
      </c>
      <c r="BF7" s="2193">
        <v>8</v>
      </c>
      <c r="BG7" s="2194">
        <v>60</v>
      </c>
      <c r="BH7" s="2194">
        <v>85</v>
      </c>
      <c r="BI7" s="2194">
        <v>125</v>
      </c>
      <c r="BJ7" s="2194">
        <v>180</v>
      </c>
      <c r="BK7" s="2194">
        <v>245</v>
      </c>
      <c r="BL7" s="2194">
        <v>335</v>
      </c>
      <c r="BM7" s="2194">
        <v>450</v>
      </c>
      <c r="BN7" s="2194">
        <v>680</v>
      </c>
      <c r="BO7" s="2194">
        <v>950</v>
      </c>
      <c r="BP7" s="2194">
        <v>1270</v>
      </c>
      <c r="BQ7" s="280">
        <v>2120</v>
      </c>
      <c r="BR7" s="280">
        <v>2970</v>
      </c>
      <c r="BS7" s="280">
        <v>3820</v>
      </c>
      <c r="BT7" s="280">
        <v>5700</v>
      </c>
      <c r="BU7" s="2194">
        <v>0</v>
      </c>
      <c r="BX7" s="2174"/>
      <c r="CA7" s="2193">
        <v>6.86</v>
      </c>
      <c r="CB7" s="2194">
        <v>51</v>
      </c>
      <c r="CC7" s="2194">
        <v>78</v>
      </c>
      <c r="CD7" s="2194">
        <v>98.6</v>
      </c>
      <c r="CE7" s="2194">
        <v>132</v>
      </c>
      <c r="CF7" s="2194">
        <v>182</v>
      </c>
      <c r="CG7" s="2194">
        <v>300</v>
      </c>
      <c r="CH7" s="2194">
        <v>395</v>
      </c>
      <c r="CI7" s="2194">
        <v>525</v>
      </c>
      <c r="CJ7" s="2194">
        <v>722</v>
      </c>
      <c r="CK7" s="2194">
        <v>993</v>
      </c>
      <c r="CL7" s="280">
        <v>1479</v>
      </c>
      <c r="CM7" s="280">
        <v>1860</v>
      </c>
      <c r="CN7" s="280">
        <v>2720</v>
      </c>
      <c r="CO7" s="2194">
        <v>3770</v>
      </c>
      <c r="CR7" s="2187">
        <v>6.86</v>
      </c>
      <c r="CS7" s="2187">
        <v>7.59</v>
      </c>
      <c r="CV7" s="2193">
        <v>6.86</v>
      </c>
      <c r="CW7" s="2194">
        <v>51</v>
      </c>
      <c r="CX7" s="2194">
        <v>78</v>
      </c>
      <c r="CY7" s="2194">
        <v>98.6</v>
      </c>
      <c r="CZ7" s="2194">
        <v>132</v>
      </c>
      <c r="DA7" s="2194">
        <v>182</v>
      </c>
      <c r="DB7" s="2194">
        <v>300</v>
      </c>
      <c r="DC7" s="2194">
        <v>395</v>
      </c>
      <c r="DD7" s="2194">
        <v>525</v>
      </c>
      <c r="DE7" s="2194">
        <v>722</v>
      </c>
      <c r="DF7" s="2194">
        <v>993</v>
      </c>
      <c r="DG7" s="280">
        <v>1479</v>
      </c>
      <c r="DH7" s="280">
        <v>1860</v>
      </c>
      <c r="DI7" s="280">
        <v>2720</v>
      </c>
      <c r="DJ7" s="2194">
        <v>3770</v>
      </c>
      <c r="DS7" s="277"/>
      <c r="DW7" s="1"/>
      <c r="DY7" s="762" t="str">
        <f>IF(EE8="Right",IF(EE15="Right",IF(EE22="Right",IF(EE26="Right",IF(EE31="Right",IF(EE38="Right","Right","Wrong"),"Wrong"),"Wrong"),"Wrong"),"Wrong"),"Wrong")</f>
        <v>Right</v>
      </c>
      <c r="DZ7" s="281"/>
      <c r="EA7" s="281"/>
      <c r="EB7" s="281"/>
      <c r="EC7" s="281"/>
      <c r="ED7" s="281"/>
      <c r="EE7" s="281"/>
      <c r="EF7" s="281"/>
      <c r="EO7" s="286"/>
      <c r="EP7" s="286"/>
      <c r="EW7" s="2250" t="str">
        <f>FE145</f>
        <v>Right</v>
      </c>
      <c r="EX7" s="2250" t="str">
        <f>FE377</f>
        <v>Right</v>
      </c>
      <c r="EY7" s="277" t="str">
        <f>IF(FG40&gt;50,"Right",FH72)</f>
        <v>Right</v>
      </c>
      <c r="EZ7" s="277" t="str">
        <f>IF(GX40&gt;31.4,"Right",GY72)</f>
        <v>Right</v>
      </c>
      <c r="FB7" s="2174"/>
      <c r="FC7" s="2174"/>
      <c r="FF7" s="2193">
        <v>8</v>
      </c>
      <c r="FG7" s="2194">
        <v>60</v>
      </c>
      <c r="FH7" s="2194">
        <v>85</v>
      </c>
      <c r="FI7" s="2194">
        <v>125</v>
      </c>
      <c r="FJ7" s="2194">
        <v>180</v>
      </c>
      <c r="FK7" s="2194">
        <v>245</v>
      </c>
      <c r="FL7" s="2194">
        <v>335</v>
      </c>
      <c r="FM7" s="2194">
        <v>450</v>
      </c>
      <c r="FN7" s="2194">
        <v>680</v>
      </c>
      <c r="FO7" s="2194">
        <v>950</v>
      </c>
      <c r="FP7" s="2194">
        <v>1270</v>
      </c>
      <c r="FQ7" s="280">
        <v>2120</v>
      </c>
      <c r="FR7" s="280">
        <v>2970</v>
      </c>
      <c r="FS7" s="280">
        <v>3820</v>
      </c>
      <c r="FT7" s="280">
        <v>5700</v>
      </c>
      <c r="FU7" s="2194">
        <v>0</v>
      </c>
      <c r="FX7" s="2187">
        <v>8</v>
      </c>
      <c r="FY7" s="2187">
        <v>9</v>
      </c>
      <c r="GB7" s="2193">
        <v>8</v>
      </c>
      <c r="GC7" s="2194">
        <v>60</v>
      </c>
      <c r="GD7" s="2194">
        <v>85</v>
      </c>
      <c r="GE7" s="2194">
        <v>125</v>
      </c>
      <c r="GF7" s="2194">
        <v>180</v>
      </c>
      <c r="GG7" s="2194">
        <v>245</v>
      </c>
      <c r="GH7" s="2194">
        <v>335</v>
      </c>
      <c r="GI7" s="2194">
        <v>450</v>
      </c>
      <c r="GJ7" s="2194">
        <v>680</v>
      </c>
      <c r="GK7" s="2194">
        <v>950</v>
      </c>
      <c r="GL7" s="2194">
        <v>1270</v>
      </c>
      <c r="GM7" s="280">
        <v>2120</v>
      </c>
      <c r="GN7" s="280">
        <v>2970</v>
      </c>
      <c r="GO7" s="280">
        <v>3820</v>
      </c>
      <c r="GP7" s="280">
        <v>5700</v>
      </c>
      <c r="GQ7" s="2194">
        <v>0</v>
      </c>
      <c r="GT7" s="2174"/>
      <c r="GW7" s="2193">
        <v>6.86</v>
      </c>
      <c r="GX7" s="2194">
        <v>51</v>
      </c>
      <c r="GY7" s="2194">
        <v>78</v>
      </c>
      <c r="GZ7" s="2194">
        <v>98.6</v>
      </c>
      <c r="HA7" s="2194">
        <v>132</v>
      </c>
      <c r="HB7" s="2194">
        <v>182</v>
      </c>
      <c r="HC7" s="2194">
        <v>300</v>
      </c>
      <c r="HD7" s="2194">
        <v>395</v>
      </c>
      <c r="HE7" s="2194">
        <v>525</v>
      </c>
      <c r="HF7" s="2194">
        <v>722</v>
      </c>
      <c r="HG7" s="2194">
        <v>993</v>
      </c>
      <c r="HH7" s="280">
        <v>1479</v>
      </c>
      <c r="HI7" s="280">
        <v>1860</v>
      </c>
      <c r="HJ7" s="280">
        <v>2720</v>
      </c>
      <c r="HK7" s="2194">
        <v>3770</v>
      </c>
      <c r="HN7" s="2187">
        <v>6.86</v>
      </c>
      <c r="HO7" s="2187">
        <v>7.59</v>
      </c>
      <c r="HR7" s="2193">
        <v>6.86</v>
      </c>
      <c r="HS7" s="2194">
        <v>51</v>
      </c>
      <c r="HT7" s="2194">
        <v>78</v>
      </c>
      <c r="HU7" s="2194">
        <v>98.6</v>
      </c>
      <c r="HV7" s="2194">
        <v>132</v>
      </c>
      <c r="HW7" s="2194">
        <v>182</v>
      </c>
      <c r="HX7" s="2194">
        <v>300</v>
      </c>
      <c r="HY7" s="2194">
        <v>395</v>
      </c>
      <c r="HZ7" s="2194">
        <v>525</v>
      </c>
      <c r="IA7" s="2194">
        <v>722</v>
      </c>
      <c r="IB7" s="2194">
        <v>993</v>
      </c>
      <c r="IC7" s="280">
        <v>1479</v>
      </c>
      <c r="ID7" s="280">
        <v>1860</v>
      </c>
      <c r="IE7" s="280">
        <v>2720</v>
      </c>
      <c r="IF7" s="2194">
        <v>3770</v>
      </c>
      <c r="IN7" s="277"/>
      <c r="IO7" s="277"/>
    </row>
    <row r="8" spans="1:249" ht="21.95" customHeight="1">
      <c r="C8" s="777" t="s">
        <v>2795</v>
      </c>
      <c r="D8" s="778" t="s">
        <v>2171</v>
      </c>
      <c r="E8" s="779" t="s">
        <v>2172</v>
      </c>
      <c r="F8" s="779" t="s">
        <v>2173</v>
      </c>
      <c r="G8" s="779" t="s">
        <v>1682</v>
      </c>
      <c r="H8" s="779" t="s">
        <v>2174</v>
      </c>
      <c r="I8" s="3" t="str">
        <f>F151</f>
        <v>Right</v>
      </c>
      <c r="J8" s="281"/>
      <c r="S8" s="286"/>
      <c r="T8" s="286"/>
      <c r="AA8" s="2250" t="str">
        <f>AI146</f>
        <v>Right</v>
      </c>
      <c r="AB8" s="2250" t="str">
        <f t="shared" si="0"/>
        <v>Right</v>
      </c>
      <c r="AC8" s="277" t="str">
        <f>IF(AK40&gt;50,"Right",AL73)</f>
        <v>Right</v>
      </c>
      <c r="AD8" s="277" t="str">
        <f>IF(CB40&gt;31.4,"Right",CC73)</f>
        <v>Right</v>
      </c>
      <c r="AF8" s="2174"/>
      <c r="AG8" s="2174"/>
      <c r="AJ8" s="2193">
        <v>9</v>
      </c>
      <c r="AK8" s="2194">
        <v>56</v>
      </c>
      <c r="AL8" s="2194">
        <v>86</v>
      </c>
      <c r="AM8" s="2194">
        <v>125</v>
      </c>
      <c r="AN8" s="2194">
        <v>160</v>
      </c>
      <c r="AO8" s="2194">
        <v>215</v>
      </c>
      <c r="AP8" s="2194">
        <v>300</v>
      </c>
      <c r="AQ8" s="2194">
        <v>430</v>
      </c>
      <c r="AR8" s="2194">
        <v>620</v>
      </c>
      <c r="AS8" s="2194">
        <v>800</v>
      </c>
      <c r="AT8" s="2194">
        <v>1120</v>
      </c>
      <c r="AU8" s="280">
        <v>1890</v>
      </c>
      <c r="AV8" s="280">
        <v>2640</v>
      </c>
      <c r="AW8" s="280">
        <v>3400</v>
      </c>
      <c r="AX8" s="280">
        <v>5070</v>
      </c>
      <c r="AY8" s="2194">
        <v>0</v>
      </c>
      <c r="BB8" s="2187">
        <v>9</v>
      </c>
      <c r="BC8" s="2187">
        <v>10</v>
      </c>
      <c r="BF8" s="2193">
        <v>9</v>
      </c>
      <c r="BG8" s="2194">
        <v>56</v>
      </c>
      <c r="BH8" s="2194">
        <v>86</v>
      </c>
      <c r="BI8" s="2194">
        <v>125</v>
      </c>
      <c r="BJ8" s="2194">
        <v>160</v>
      </c>
      <c r="BK8" s="2194">
        <v>215</v>
      </c>
      <c r="BL8" s="2194">
        <v>300</v>
      </c>
      <c r="BM8" s="2194">
        <v>430</v>
      </c>
      <c r="BN8" s="2194">
        <v>620</v>
      </c>
      <c r="BO8" s="2194">
        <v>800</v>
      </c>
      <c r="BP8" s="2194">
        <v>1120</v>
      </c>
      <c r="BQ8" s="280">
        <v>1890</v>
      </c>
      <c r="BR8" s="280">
        <v>2640</v>
      </c>
      <c r="BS8" s="280">
        <v>3400</v>
      </c>
      <c r="BT8" s="280">
        <v>5070</v>
      </c>
      <c r="BU8" s="2194">
        <v>0</v>
      </c>
      <c r="BX8" s="2174"/>
      <c r="CA8" s="2193">
        <v>7.59</v>
      </c>
      <c r="CB8" s="2194">
        <v>53.2</v>
      </c>
      <c r="CC8" s="2194">
        <v>74.8</v>
      </c>
      <c r="CD8" s="2194">
        <v>99.1</v>
      </c>
      <c r="CE8" s="2194">
        <v>126</v>
      </c>
      <c r="CF8" s="2194">
        <v>166</v>
      </c>
      <c r="CG8" s="2194">
        <v>270</v>
      </c>
      <c r="CH8" s="2194">
        <v>360</v>
      </c>
      <c r="CI8" s="2194">
        <v>498</v>
      </c>
      <c r="CJ8" s="2194">
        <v>652</v>
      </c>
      <c r="CK8" s="2194">
        <v>933</v>
      </c>
      <c r="CL8" s="280">
        <v>1385</v>
      </c>
      <c r="CM8" s="280">
        <v>1800</v>
      </c>
      <c r="CN8" s="280">
        <v>2520</v>
      </c>
      <c r="CO8" s="2194">
        <v>3720</v>
      </c>
      <c r="CR8" s="2187">
        <v>7.59</v>
      </c>
      <c r="CS8" s="2187">
        <v>8.4</v>
      </c>
      <c r="CV8" s="2193">
        <v>7.59</v>
      </c>
      <c r="CW8" s="2194">
        <v>53.2</v>
      </c>
      <c r="CX8" s="2194">
        <v>74.8</v>
      </c>
      <c r="CY8" s="2194">
        <v>99.1</v>
      </c>
      <c r="CZ8" s="2194">
        <v>126</v>
      </c>
      <c r="DA8" s="2194">
        <v>166</v>
      </c>
      <c r="DB8" s="2194">
        <v>270</v>
      </c>
      <c r="DC8" s="2194">
        <v>360</v>
      </c>
      <c r="DD8" s="2194">
        <v>498</v>
      </c>
      <c r="DE8" s="2194">
        <v>652</v>
      </c>
      <c r="DF8" s="2194">
        <v>933</v>
      </c>
      <c r="DG8" s="280">
        <v>1385</v>
      </c>
      <c r="DH8" s="280">
        <v>1800</v>
      </c>
      <c r="DI8" s="280">
        <v>2520</v>
      </c>
      <c r="DJ8" s="2194">
        <v>3720</v>
      </c>
      <c r="DS8" s="277"/>
      <c r="DW8" s="1"/>
      <c r="DY8" s="777" t="s">
        <v>2795</v>
      </c>
      <c r="DZ8" s="778" t="s">
        <v>2171</v>
      </c>
      <c r="EA8" s="779" t="s">
        <v>2172</v>
      </c>
      <c r="EB8" s="779" t="s">
        <v>2173</v>
      </c>
      <c r="EC8" s="779" t="s">
        <v>1682</v>
      </c>
      <c r="ED8" s="779" t="s">
        <v>2174</v>
      </c>
      <c r="EE8" s="3" t="str">
        <f>EB151</f>
        <v>Right</v>
      </c>
      <c r="EF8" s="281"/>
      <c r="EO8" s="286"/>
      <c r="EP8" s="286"/>
      <c r="EW8" s="2250" t="str">
        <f>FE146</f>
        <v>Right</v>
      </c>
      <c r="EX8" s="2250" t="str">
        <f>FE378</f>
        <v>Right</v>
      </c>
      <c r="EY8" s="277" t="str">
        <f>IF(FG40&gt;50,"Right",FH73)</f>
        <v>Right</v>
      </c>
      <c r="EZ8" s="277" t="str">
        <f>IF(GX40&gt;31.4,"Right",GY73)</f>
        <v>Right</v>
      </c>
      <c r="FB8" s="2174"/>
      <c r="FC8" s="2174"/>
      <c r="FF8" s="2193">
        <v>9</v>
      </c>
      <c r="FG8" s="2194">
        <v>56</v>
      </c>
      <c r="FH8" s="2194">
        <v>86</v>
      </c>
      <c r="FI8" s="2194">
        <v>125</v>
      </c>
      <c r="FJ8" s="2194">
        <v>160</v>
      </c>
      <c r="FK8" s="2194">
        <v>215</v>
      </c>
      <c r="FL8" s="2194">
        <v>300</v>
      </c>
      <c r="FM8" s="2194">
        <v>430</v>
      </c>
      <c r="FN8" s="2194">
        <v>620</v>
      </c>
      <c r="FO8" s="2194">
        <v>800</v>
      </c>
      <c r="FP8" s="2194">
        <v>1120</v>
      </c>
      <c r="FQ8" s="280">
        <v>1890</v>
      </c>
      <c r="FR8" s="280">
        <v>2640</v>
      </c>
      <c r="FS8" s="280">
        <v>3400</v>
      </c>
      <c r="FT8" s="280">
        <v>5070</v>
      </c>
      <c r="FU8" s="2194">
        <v>0</v>
      </c>
      <c r="FX8" s="2187">
        <v>9</v>
      </c>
      <c r="FY8" s="2187">
        <v>10</v>
      </c>
      <c r="GB8" s="2193">
        <v>9</v>
      </c>
      <c r="GC8" s="2194">
        <v>56</v>
      </c>
      <c r="GD8" s="2194">
        <v>86</v>
      </c>
      <c r="GE8" s="2194">
        <v>125</v>
      </c>
      <c r="GF8" s="2194">
        <v>160</v>
      </c>
      <c r="GG8" s="2194">
        <v>215</v>
      </c>
      <c r="GH8" s="2194">
        <v>300</v>
      </c>
      <c r="GI8" s="2194">
        <v>430</v>
      </c>
      <c r="GJ8" s="2194">
        <v>620</v>
      </c>
      <c r="GK8" s="2194">
        <v>800</v>
      </c>
      <c r="GL8" s="2194">
        <v>1120</v>
      </c>
      <c r="GM8" s="280">
        <v>1890</v>
      </c>
      <c r="GN8" s="280">
        <v>2640</v>
      </c>
      <c r="GO8" s="280">
        <v>3400</v>
      </c>
      <c r="GP8" s="280">
        <v>5070</v>
      </c>
      <c r="GQ8" s="2194">
        <v>0</v>
      </c>
      <c r="GT8" s="2174"/>
      <c r="GW8" s="2193">
        <v>7.59</v>
      </c>
      <c r="GX8" s="2194">
        <v>53.2</v>
      </c>
      <c r="GY8" s="2194">
        <v>74.8</v>
      </c>
      <c r="GZ8" s="2194">
        <v>99.1</v>
      </c>
      <c r="HA8" s="2194">
        <v>126</v>
      </c>
      <c r="HB8" s="2194">
        <v>166</v>
      </c>
      <c r="HC8" s="2194">
        <v>270</v>
      </c>
      <c r="HD8" s="2194">
        <v>360</v>
      </c>
      <c r="HE8" s="2194">
        <v>498</v>
      </c>
      <c r="HF8" s="2194">
        <v>652</v>
      </c>
      <c r="HG8" s="2194">
        <v>933</v>
      </c>
      <c r="HH8" s="280">
        <v>1385</v>
      </c>
      <c r="HI8" s="280">
        <v>1800</v>
      </c>
      <c r="HJ8" s="280">
        <v>2520</v>
      </c>
      <c r="HK8" s="2194">
        <v>3720</v>
      </c>
      <c r="HN8" s="2187">
        <v>7.59</v>
      </c>
      <c r="HO8" s="2187">
        <v>8.4</v>
      </c>
      <c r="HR8" s="2193">
        <v>7.59</v>
      </c>
      <c r="HS8" s="2194">
        <v>53.2</v>
      </c>
      <c r="HT8" s="2194">
        <v>74.8</v>
      </c>
      <c r="HU8" s="2194">
        <v>99.1</v>
      </c>
      <c r="HV8" s="2194">
        <v>126</v>
      </c>
      <c r="HW8" s="2194">
        <v>166</v>
      </c>
      <c r="HX8" s="2194">
        <v>270</v>
      </c>
      <c r="HY8" s="2194">
        <v>360</v>
      </c>
      <c r="HZ8" s="2194">
        <v>498</v>
      </c>
      <c r="IA8" s="2194">
        <v>652</v>
      </c>
      <c r="IB8" s="2194">
        <v>933</v>
      </c>
      <c r="IC8" s="280">
        <v>1385</v>
      </c>
      <c r="ID8" s="280">
        <v>1800</v>
      </c>
      <c r="IE8" s="280">
        <v>2520</v>
      </c>
      <c r="IF8" s="2194">
        <v>3720</v>
      </c>
      <c r="IN8" s="277"/>
      <c r="IO8" s="277"/>
    </row>
    <row r="9" spans="1:249" ht="21.95" customHeight="1">
      <c r="C9" s="283" t="s">
        <v>651</v>
      </c>
      <c r="D9" s="284">
        <f>E147</f>
        <v>10.1</v>
      </c>
      <c r="E9" s="284" t="str">
        <f>+F147</f>
        <v>3AH400</v>
      </c>
      <c r="F9" s="284">
        <f>VLOOKUP(E9,C49:F66,2,0)</f>
        <v>46500</v>
      </c>
      <c r="G9" s="284"/>
      <c r="H9" s="284">
        <f>VLOOKUP(E9,C49:F66,4,0)</f>
        <v>330</v>
      </c>
      <c r="I9" s="281"/>
      <c r="J9" s="281"/>
      <c r="S9" s="286"/>
      <c r="T9" s="286"/>
      <c r="AA9" s="2250" t="str">
        <f>AI147</f>
        <v>Right</v>
      </c>
      <c r="AB9" s="2250" t="str">
        <f t="shared" si="0"/>
        <v>Right</v>
      </c>
      <c r="AC9" s="277" t="str">
        <f>AQ49</f>
        <v>Right</v>
      </c>
      <c r="AD9" s="277" t="str">
        <f>CH49</f>
        <v>Right</v>
      </c>
      <c r="AF9" s="2174"/>
      <c r="AG9" s="2174"/>
      <c r="AJ9" s="2193">
        <v>10</v>
      </c>
      <c r="AK9" s="2194">
        <v>49</v>
      </c>
      <c r="AL9" s="2194">
        <v>68</v>
      </c>
      <c r="AM9" s="2194">
        <v>95</v>
      </c>
      <c r="AN9" s="2194">
        <v>145</v>
      </c>
      <c r="AO9" s="2194">
        <v>195</v>
      </c>
      <c r="AP9" s="2194">
        <v>265</v>
      </c>
      <c r="AQ9" s="2194">
        <v>360</v>
      </c>
      <c r="AR9" s="2194">
        <v>540</v>
      </c>
      <c r="AS9" s="2194">
        <v>750</v>
      </c>
      <c r="AT9" s="2194">
        <v>1000</v>
      </c>
      <c r="AU9" s="280">
        <v>1700</v>
      </c>
      <c r="AV9" s="280">
        <v>2380</v>
      </c>
      <c r="AW9" s="280">
        <v>3060</v>
      </c>
      <c r="AX9" s="280">
        <v>4560</v>
      </c>
      <c r="AY9" s="2194">
        <v>0</v>
      </c>
      <c r="BB9" s="2187">
        <v>10</v>
      </c>
      <c r="BC9" s="2187">
        <v>11.2</v>
      </c>
      <c r="BF9" s="2193">
        <v>10</v>
      </c>
      <c r="BG9" s="2194">
        <v>49</v>
      </c>
      <c r="BH9" s="2194">
        <v>68</v>
      </c>
      <c r="BI9" s="2194">
        <v>95</v>
      </c>
      <c r="BJ9" s="2194">
        <v>145</v>
      </c>
      <c r="BK9" s="2194">
        <v>195</v>
      </c>
      <c r="BL9" s="2194">
        <v>265</v>
      </c>
      <c r="BM9" s="2194">
        <v>360</v>
      </c>
      <c r="BN9" s="2194">
        <v>540</v>
      </c>
      <c r="BO9" s="2194">
        <v>750</v>
      </c>
      <c r="BP9" s="2194">
        <v>1000</v>
      </c>
      <c r="BQ9" s="280">
        <v>1700</v>
      </c>
      <c r="BR9" s="280">
        <v>2380</v>
      </c>
      <c r="BS9" s="280">
        <v>3060</v>
      </c>
      <c r="BT9" s="280">
        <v>4560</v>
      </c>
      <c r="BU9" s="2194">
        <v>0</v>
      </c>
      <c r="BX9" s="2174"/>
      <c r="CA9" s="2193">
        <v>8.4</v>
      </c>
      <c r="CB9" s="2194">
        <v>44.2</v>
      </c>
      <c r="CC9" s="2194">
        <v>65.099999999999994</v>
      </c>
      <c r="CD9" s="2194">
        <v>87.6</v>
      </c>
      <c r="CE9" s="2194">
        <v>120</v>
      </c>
      <c r="CF9" s="2194">
        <v>181</v>
      </c>
      <c r="CG9" s="2194">
        <v>260</v>
      </c>
      <c r="CH9" s="2194">
        <v>365</v>
      </c>
      <c r="CI9" s="2194">
        <v>468</v>
      </c>
      <c r="CJ9" s="2194">
        <v>667</v>
      </c>
      <c r="CK9" s="2194">
        <v>871</v>
      </c>
      <c r="CL9" s="280">
        <v>1323</v>
      </c>
      <c r="CM9" s="280">
        <v>1760</v>
      </c>
      <c r="CN9" s="280">
        <v>2550</v>
      </c>
      <c r="CO9" s="2194">
        <v>3080</v>
      </c>
      <c r="CR9" s="2187">
        <v>8.4</v>
      </c>
      <c r="CS9" s="2187">
        <v>9.3000000000000007</v>
      </c>
      <c r="CV9" s="2193">
        <v>8.4</v>
      </c>
      <c r="CW9" s="2194">
        <v>44.2</v>
      </c>
      <c r="CX9" s="2194">
        <v>65.099999999999994</v>
      </c>
      <c r="CY9" s="2194">
        <v>87.6</v>
      </c>
      <c r="CZ9" s="2194">
        <v>120</v>
      </c>
      <c r="DA9" s="2194">
        <v>181</v>
      </c>
      <c r="DB9" s="2194">
        <v>260</v>
      </c>
      <c r="DC9" s="2194">
        <v>365</v>
      </c>
      <c r="DD9" s="2194">
        <v>468</v>
      </c>
      <c r="DE9" s="2194">
        <v>667</v>
      </c>
      <c r="DF9" s="2194">
        <v>871</v>
      </c>
      <c r="DG9" s="280">
        <v>1323</v>
      </c>
      <c r="DH9" s="280">
        <v>1760</v>
      </c>
      <c r="DI9" s="280">
        <v>2550</v>
      </c>
      <c r="DJ9" s="2194">
        <v>3080</v>
      </c>
      <c r="DS9" s="277"/>
      <c r="DW9" s="1"/>
      <c r="DY9" s="283" t="s">
        <v>651</v>
      </c>
      <c r="DZ9" s="284">
        <f>EA147</f>
        <v>14.95</v>
      </c>
      <c r="EA9" s="284" t="str">
        <f>+EB147</f>
        <v>3AH400</v>
      </c>
      <c r="EB9" s="284">
        <f>VLOOKUP(EA9,DY49:EB66,2,0)</f>
        <v>46500</v>
      </c>
      <c r="EC9" s="284"/>
      <c r="ED9" s="284">
        <f>VLOOKUP(EA9,DY49:EB66,4,0)</f>
        <v>330</v>
      </c>
      <c r="EE9" s="281"/>
      <c r="EF9" s="281"/>
      <c r="EO9" s="286"/>
      <c r="EP9" s="286"/>
      <c r="EW9" s="2250" t="str">
        <f>FE147</f>
        <v>Right</v>
      </c>
      <c r="EX9" s="2250" t="str">
        <f>FE379</f>
        <v>Right</v>
      </c>
      <c r="EY9" s="277" t="str">
        <f>FM49</f>
        <v>Right</v>
      </c>
      <c r="EZ9" s="277" t="str">
        <f>HD49</f>
        <v>Right</v>
      </c>
      <c r="FB9" s="2174"/>
      <c r="FC9" s="2174"/>
      <c r="FF9" s="2193">
        <v>10</v>
      </c>
      <c r="FG9" s="2194">
        <v>49</v>
      </c>
      <c r="FH9" s="2194">
        <v>68</v>
      </c>
      <c r="FI9" s="2194">
        <v>95</v>
      </c>
      <c r="FJ9" s="2194">
        <v>145</v>
      </c>
      <c r="FK9" s="2194">
        <v>195</v>
      </c>
      <c r="FL9" s="2194">
        <v>265</v>
      </c>
      <c r="FM9" s="2194">
        <v>360</v>
      </c>
      <c r="FN9" s="2194">
        <v>540</v>
      </c>
      <c r="FO9" s="2194">
        <v>750</v>
      </c>
      <c r="FP9" s="2194">
        <v>1000</v>
      </c>
      <c r="FQ9" s="280">
        <v>1700</v>
      </c>
      <c r="FR9" s="280">
        <v>2380</v>
      </c>
      <c r="FS9" s="280">
        <v>3060</v>
      </c>
      <c r="FT9" s="280">
        <v>4560</v>
      </c>
      <c r="FU9" s="2194">
        <v>0</v>
      </c>
      <c r="FX9" s="2187">
        <v>10</v>
      </c>
      <c r="FY9" s="2187">
        <v>11.2</v>
      </c>
      <c r="GB9" s="2193">
        <v>10</v>
      </c>
      <c r="GC9" s="2194">
        <v>49</v>
      </c>
      <c r="GD9" s="2194">
        <v>68</v>
      </c>
      <c r="GE9" s="2194">
        <v>95</v>
      </c>
      <c r="GF9" s="2194">
        <v>145</v>
      </c>
      <c r="GG9" s="2194">
        <v>195</v>
      </c>
      <c r="GH9" s="2194">
        <v>265</v>
      </c>
      <c r="GI9" s="2194">
        <v>360</v>
      </c>
      <c r="GJ9" s="2194">
        <v>540</v>
      </c>
      <c r="GK9" s="2194">
        <v>750</v>
      </c>
      <c r="GL9" s="2194">
        <v>1000</v>
      </c>
      <c r="GM9" s="280">
        <v>1700</v>
      </c>
      <c r="GN9" s="280">
        <v>2380</v>
      </c>
      <c r="GO9" s="280">
        <v>3060</v>
      </c>
      <c r="GP9" s="280">
        <v>4560</v>
      </c>
      <c r="GQ9" s="2194">
        <v>0</v>
      </c>
      <c r="GT9" s="2174"/>
      <c r="GW9" s="2193">
        <v>8.4</v>
      </c>
      <c r="GX9" s="2194">
        <v>44.2</v>
      </c>
      <c r="GY9" s="2194">
        <v>65.099999999999994</v>
      </c>
      <c r="GZ9" s="2194">
        <v>87.6</v>
      </c>
      <c r="HA9" s="2194">
        <v>120</v>
      </c>
      <c r="HB9" s="2194">
        <v>181</v>
      </c>
      <c r="HC9" s="2194">
        <v>260</v>
      </c>
      <c r="HD9" s="2194">
        <v>365</v>
      </c>
      <c r="HE9" s="2194">
        <v>468</v>
      </c>
      <c r="HF9" s="2194">
        <v>667</v>
      </c>
      <c r="HG9" s="2194">
        <v>871</v>
      </c>
      <c r="HH9" s="280">
        <v>1323</v>
      </c>
      <c r="HI9" s="280">
        <v>1760</v>
      </c>
      <c r="HJ9" s="280">
        <v>2550</v>
      </c>
      <c r="HK9" s="2194">
        <v>3080</v>
      </c>
      <c r="HN9" s="2187">
        <v>8.4</v>
      </c>
      <c r="HO9" s="2187">
        <v>9.3000000000000007</v>
      </c>
      <c r="HR9" s="2193">
        <v>8.4</v>
      </c>
      <c r="HS9" s="2194">
        <v>44.2</v>
      </c>
      <c r="HT9" s="2194">
        <v>65.099999999999994</v>
      </c>
      <c r="HU9" s="2194">
        <v>87.6</v>
      </c>
      <c r="HV9" s="2194">
        <v>120</v>
      </c>
      <c r="HW9" s="2194">
        <v>181</v>
      </c>
      <c r="HX9" s="2194">
        <v>260</v>
      </c>
      <c r="HY9" s="2194">
        <v>365</v>
      </c>
      <c r="HZ9" s="2194">
        <v>468</v>
      </c>
      <c r="IA9" s="2194">
        <v>667</v>
      </c>
      <c r="IB9" s="2194">
        <v>871</v>
      </c>
      <c r="IC9" s="280">
        <v>1323</v>
      </c>
      <c r="ID9" s="280">
        <v>1760</v>
      </c>
      <c r="IE9" s="280">
        <v>2550</v>
      </c>
      <c r="IF9" s="2194">
        <v>3080</v>
      </c>
      <c r="IN9" s="277"/>
      <c r="IO9" s="277"/>
    </row>
    <row r="10" spans="1:249" ht="21.95" customHeight="1">
      <c r="C10" s="283" t="s">
        <v>654</v>
      </c>
      <c r="D10" s="284">
        <f>E148</f>
        <v>7.33</v>
      </c>
      <c r="E10" s="284" t="str">
        <f>+F148</f>
        <v>3AH400</v>
      </c>
      <c r="F10" s="284">
        <f>VLOOKUP(E10,C49:F66,2,0)</f>
        <v>46500</v>
      </c>
      <c r="G10" s="284"/>
      <c r="H10" s="284">
        <f>VLOOKUP(E10,C49:F66,4,0)</f>
        <v>330</v>
      </c>
      <c r="I10" s="281"/>
      <c r="J10" s="281"/>
      <c r="S10" s="286"/>
      <c r="T10" s="286"/>
      <c r="AA10" s="2250" t="str">
        <f>CO144</f>
        <v>Right</v>
      </c>
      <c r="AB10" s="2250" t="str">
        <f>CQ376</f>
        <v>Right</v>
      </c>
      <c r="AC10" s="277" t="str">
        <f>AQ50</f>
        <v>Right</v>
      </c>
      <c r="AD10" s="277" t="str">
        <f>CH50</f>
        <v>Right</v>
      </c>
      <c r="AF10" s="2174"/>
      <c r="AG10" s="2174"/>
      <c r="AJ10" s="2193">
        <v>11.2</v>
      </c>
      <c r="AK10" s="2194">
        <v>45</v>
      </c>
      <c r="AL10" s="2194">
        <v>65</v>
      </c>
      <c r="AM10" s="2194">
        <v>95</v>
      </c>
      <c r="AN10" s="2194">
        <v>130</v>
      </c>
      <c r="AO10" s="2194">
        <v>175</v>
      </c>
      <c r="AP10" s="2194">
        <v>245</v>
      </c>
      <c r="AQ10" s="2194">
        <v>360</v>
      </c>
      <c r="AR10" s="2194">
        <v>500</v>
      </c>
      <c r="AS10" s="2194">
        <v>680</v>
      </c>
      <c r="AT10" s="2194">
        <v>940</v>
      </c>
      <c r="AU10" s="280">
        <v>1530</v>
      </c>
      <c r="AV10" s="280">
        <v>2140</v>
      </c>
      <c r="AW10" s="280">
        <v>2750</v>
      </c>
      <c r="AX10" s="280">
        <v>4320</v>
      </c>
      <c r="AY10" s="2194">
        <v>0</v>
      </c>
      <c r="BB10" s="2187">
        <v>11.2</v>
      </c>
      <c r="BC10" s="2187">
        <v>12.5</v>
      </c>
      <c r="BF10" s="2193">
        <v>11.2</v>
      </c>
      <c r="BG10" s="2194">
        <v>45</v>
      </c>
      <c r="BH10" s="2194">
        <v>65</v>
      </c>
      <c r="BI10" s="2194">
        <v>95</v>
      </c>
      <c r="BJ10" s="2194">
        <v>130</v>
      </c>
      <c r="BK10" s="2194">
        <v>175</v>
      </c>
      <c r="BL10" s="2194">
        <v>245</v>
      </c>
      <c r="BM10" s="2194">
        <v>360</v>
      </c>
      <c r="BN10" s="2194">
        <v>500</v>
      </c>
      <c r="BO10" s="2194">
        <v>680</v>
      </c>
      <c r="BP10" s="2194">
        <v>940</v>
      </c>
      <c r="BQ10" s="280">
        <v>1530</v>
      </c>
      <c r="BR10" s="280">
        <v>2140</v>
      </c>
      <c r="BS10" s="280">
        <v>2750</v>
      </c>
      <c r="BT10" s="280">
        <v>4320</v>
      </c>
      <c r="BU10" s="2194">
        <v>0</v>
      </c>
      <c r="BX10" s="2174"/>
      <c r="CA10" s="2193">
        <v>9.3000000000000007</v>
      </c>
      <c r="CB10" s="2194">
        <v>41.5</v>
      </c>
      <c r="CC10" s="2194">
        <v>60.9</v>
      </c>
      <c r="CD10" s="2194">
        <v>79.3</v>
      </c>
      <c r="CE10" s="2194">
        <v>113</v>
      </c>
      <c r="CF10" s="2194">
        <v>155</v>
      </c>
      <c r="CG10" s="2194">
        <v>247</v>
      </c>
      <c r="CH10" s="2194">
        <v>333</v>
      </c>
      <c r="CI10" s="2194">
        <v>439</v>
      </c>
      <c r="CJ10" s="2194">
        <v>621</v>
      </c>
      <c r="CK10" s="2194">
        <v>799</v>
      </c>
      <c r="CL10" s="280">
        <v>1198</v>
      </c>
      <c r="CM10" s="280">
        <v>1740</v>
      </c>
      <c r="CN10" s="280">
        <v>2470</v>
      </c>
      <c r="CO10" s="2194">
        <v>3060</v>
      </c>
      <c r="CR10" s="2187">
        <v>9.3000000000000007</v>
      </c>
      <c r="CS10" s="2187">
        <v>10.3</v>
      </c>
      <c r="CV10" s="2193">
        <v>9.3000000000000007</v>
      </c>
      <c r="CW10" s="2194">
        <v>41.5</v>
      </c>
      <c r="CX10" s="2194">
        <v>60.9</v>
      </c>
      <c r="CY10" s="2194">
        <v>79.3</v>
      </c>
      <c r="CZ10" s="2194">
        <v>113</v>
      </c>
      <c r="DA10" s="2194">
        <v>155</v>
      </c>
      <c r="DB10" s="2194">
        <v>247</v>
      </c>
      <c r="DC10" s="2194">
        <v>333</v>
      </c>
      <c r="DD10" s="2194">
        <v>439</v>
      </c>
      <c r="DE10" s="2194">
        <v>621</v>
      </c>
      <c r="DF10" s="2194">
        <v>799</v>
      </c>
      <c r="DG10" s="280">
        <v>1198</v>
      </c>
      <c r="DH10" s="280">
        <v>1740</v>
      </c>
      <c r="DI10" s="280">
        <v>2470</v>
      </c>
      <c r="DJ10" s="2194">
        <v>3060</v>
      </c>
      <c r="DS10" s="277"/>
      <c r="DW10" s="1"/>
      <c r="DY10" s="283" t="s">
        <v>654</v>
      </c>
      <c r="DZ10" s="284">
        <f>EA148</f>
        <v>10.79</v>
      </c>
      <c r="EA10" s="284" t="str">
        <f>+EB148</f>
        <v>3AH400</v>
      </c>
      <c r="EB10" s="284">
        <f>VLOOKUP(EA10,DY49:EB66,2,0)</f>
        <v>46500</v>
      </c>
      <c r="EC10" s="284"/>
      <c r="ED10" s="284">
        <f>VLOOKUP(EA10,DY49:EB66,4,0)</f>
        <v>330</v>
      </c>
      <c r="EE10" s="281"/>
      <c r="EF10" s="281"/>
      <c r="EO10" s="286"/>
      <c r="EP10" s="286"/>
      <c r="EW10" s="2250" t="str">
        <f>HK144</f>
        <v>Right</v>
      </c>
      <c r="EX10" s="2250" t="str">
        <f>HM376</f>
        <v>Right</v>
      </c>
      <c r="EY10" s="277" t="str">
        <f>FM50</f>
        <v>Right</v>
      </c>
      <c r="EZ10" s="277" t="str">
        <f>HD50</f>
        <v>Right</v>
      </c>
      <c r="FB10" s="2174"/>
      <c r="FC10" s="2174"/>
      <c r="FF10" s="2193">
        <v>11.2</v>
      </c>
      <c r="FG10" s="2194">
        <v>45</v>
      </c>
      <c r="FH10" s="2194">
        <v>65</v>
      </c>
      <c r="FI10" s="2194">
        <v>95</v>
      </c>
      <c r="FJ10" s="2194">
        <v>130</v>
      </c>
      <c r="FK10" s="2194">
        <v>175</v>
      </c>
      <c r="FL10" s="2194">
        <v>245</v>
      </c>
      <c r="FM10" s="2194">
        <v>360</v>
      </c>
      <c r="FN10" s="2194">
        <v>500</v>
      </c>
      <c r="FO10" s="2194">
        <v>680</v>
      </c>
      <c r="FP10" s="2194">
        <v>940</v>
      </c>
      <c r="FQ10" s="280">
        <v>1530</v>
      </c>
      <c r="FR10" s="280">
        <v>2140</v>
      </c>
      <c r="FS10" s="280">
        <v>2750</v>
      </c>
      <c r="FT10" s="280">
        <v>4320</v>
      </c>
      <c r="FU10" s="2194">
        <v>0</v>
      </c>
      <c r="FX10" s="2187">
        <v>11.2</v>
      </c>
      <c r="FY10" s="2187">
        <v>12.5</v>
      </c>
      <c r="GB10" s="2193">
        <v>11.2</v>
      </c>
      <c r="GC10" s="2194">
        <v>45</v>
      </c>
      <c r="GD10" s="2194">
        <v>65</v>
      </c>
      <c r="GE10" s="2194">
        <v>95</v>
      </c>
      <c r="GF10" s="2194">
        <v>130</v>
      </c>
      <c r="GG10" s="2194">
        <v>175</v>
      </c>
      <c r="GH10" s="2194">
        <v>245</v>
      </c>
      <c r="GI10" s="2194">
        <v>360</v>
      </c>
      <c r="GJ10" s="2194">
        <v>500</v>
      </c>
      <c r="GK10" s="2194">
        <v>680</v>
      </c>
      <c r="GL10" s="2194">
        <v>940</v>
      </c>
      <c r="GM10" s="280">
        <v>1530</v>
      </c>
      <c r="GN10" s="280">
        <v>2140</v>
      </c>
      <c r="GO10" s="280">
        <v>2750</v>
      </c>
      <c r="GP10" s="280">
        <v>4320</v>
      </c>
      <c r="GQ10" s="2194">
        <v>0</v>
      </c>
      <c r="GT10" s="2174"/>
      <c r="GW10" s="2193">
        <v>9.3000000000000007</v>
      </c>
      <c r="GX10" s="2194">
        <v>41.5</v>
      </c>
      <c r="GY10" s="2194">
        <v>60.9</v>
      </c>
      <c r="GZ10" s="2194">
        <v>79.3</v>
      </c>
      <c r="HA10" s="2194">
        <v>113</v>
      </c>
      <c r="HB10" s="2194">
        <v>155</v>
      </c>
      <c r="HC10" s="2194">
        <v>247</v>
      </c>
      <c r="HD10" s="2194">
        <v>333</v>
      </c>
      <c r="HE10" s="2194">
        <v>439</v>
      </c>
      <c r="HF10" s="2194">
        <v>621</v>
      </c>
      <c r="HG10" s="2194">
        <v>799</v>
      </c>
      <c r="HH10" s="280">
        <v>1198</v>
      </c>
      <c r="HI10" s="280">
        <v>1740</v>
      </c>
      <c r="HJ10" s="280">
        <v>2470</v>
      </c>
      <c r="HK10" s="2194">
        <v>3060</v>
      </c>
      <c r="HN10" s="2187">
        <v>9.3000000000000007</v>
      </c>
      <c r="HO10" s="2187">
        <v>10.3</v>
      </c>
      <c r="HR10" s="2193">
        <v>9.3000000000000007</v>
      </c>
      <c r="HS10" s="2194">
        <v>41.5</v>
      </c>
      <c r="HT10" s="2194">
        <v>60.9</v>
      </c>
      <c r="HU10" s="2194">
        <v>79.3</v>
      </c>
      <c r="HV10" s="2194">
        <v>113</v>
      </c>
      <c r="HW10" s="2194">
        <v>155</v>
      </c>
      <c r="HX10" s="2194">
        <v>247</v>
      </c>
      <c r="HY10" s="2194">
        <v>333</v>
      </c>
      <c r="HZ10" s="2194">
        <v>439</v>
      </c>
      <c r="IA10" s="2194">
        <v>621</v>
      </c>
      <c r="IB10" s="2194">
        <v>799</v>
      </c>
      <c r="IC10" s="280">
        <v>1198</v>
      </c>
      <c r="ID10" s="280">
        <v>1740</v>
      </c>
      <c r="IE10" s="280">
        <v>2470</v>
      </c>
      <c r="IF10" s="2194">
        <v>3060</v>
      </c>
      <c r="IN10" s="277"/>
      <c r="IO10" s="277"/>
    </row>
    <row r="11" spans="1:249" ht="21.95" customHeight="1">
      <c r="C11" s="283" t="s">
        <v>658</v>
      </c>
      <c r="D11" s="284">
        <f>E149</f>
        <v>6.43</v>
      </c>
      <c r="E11" s="284" t="str">
        <f>+F149</f>
        <v>3AH400</v>
      </c>
      <c r="F11" s="284">
        <f>VLOOKUP(E11,C49:F66,2,0)</f>
        <v>46500</v>
      </c>
      <c r="G11" s="284"/>
      <c r="H11" s="284">
        <f>VLOOKUP(E11,C49:F66,4,0)</f>
        <v>330</v>
      </c>
      <c r="I11" s="281"/>
      <c r="J11" s="281"/>
      <c r="S11" s="286"/>
      <c r="T11" s="286"/>
      <c r="AA11" s="2250" t="str">
        <f>CO145</f>
        <v>Right</v>
      </c>
      <c r="AB11" s="2250" t="str">
        <f t="shared" ref="AB11:AB13" si="1">CQ377</f>
        <v>Right</v>
      </c>
      <c r="AC11" s="277" t="str">
        <f>IF(AK40&gt;50,"Right",AL80)</f>
        <v>Right</v>
      </c>
      <c r="AD11" s="277" t="str">
        <f>IF(CB40&gt;31.4,"Right",CC80)</f>
        <v>Right</v>
      </c>
      <c r="AF11" s="2174"/>
      <c r="AG11" s="2174"/>
      <c r="AJ11" s="2193">
        <v>12.5</v>
      </c>
      <c r="AK11" s="2194">
        <v>37</v>
      </c>
      <c r="AL11" s="2194">
        <v>52</v>
      </c>
      <c r="AM11" s="2194">
        <v>77</v>
      </c>
      <c r="AN11" s="2194">
        <v>115</v>
      </c>
      <c r="AO11" s="2194">
        <v>165</v>
      </c>
      <c r="AP11" s="2194">
        <v>220</v>
      </c>
      <c r="AQ11" s="2194">
        <v>300</v>
      </c>
      <c r="AR11" s="2194">
        <v>450</v>
      </c>
      <c r="AS11" s="2194">
        <v>600</v>
      </c>
      <c r="AT11" s="2194">
        <v>850</v>
      </c>
      <c r="AU11" s="280">
        <v>1390</v>
      </c>
      <c r="AV11" s="280">
        <v>1970</v>
      </c>
      <c r="AW11" s="280">
        <v>2600</v>
      </c>
      <c r="AX11" s="280">
        <v>3800</v>
      </c>
      <c r="AY11" s="2194">
        <v>0</v>
      </c>
      <c r="BB11" s="2356">
        <v>12.5</v>
      </c>
      <c r="BC11" s="2356">
        <v>14</v>
      </c>
      <c r="BF11" s="2193">
        <v>12.5</v>
      </c>
      <c r="BG11" s="2194">
        <v>37</v>
      </c>
      <c r="BH11" s="2194">
        <v>52</v>
      </c>
      <c r="BI11" s="2194">
        <v>77</v>
      </c>
      <c r="BJ11" s="2194">
        <v>115</v>
      </c>
      <c r="BK11" s="2194">
        <v>165</v>
      </c>
      <c r="BL11" s="2194">
        <v>220</v>
      </c>
      <c r="BM11" s="2194">
        <v>300</v>
      </c>
      <c r="BN11" s="2194">
        <v>450</v>
      </c>
      <c r="BO11" s="2194">
        <v>600</v>
      </c>
      <c r="BP11" s="2194">
        <v>850</v>
      </c>
      <c r="BQ11" s="280">
        <v>1390</v>
      </c>
      <c r="BR11" s="280">
        <v>1970</v>
      </c>
      <c r="BS11" s="280">
        <v>2600</v>
      </c>
      <c r="BT11" s="280">
        <v>3800</v>
      </c>
      <c r="BU11" s="2194">
        <v>0</v>
      </c>
      <c r="BX11" s="2174"/>
      <c r="CA11" s="2193">
        <v>10.3</v>
      </c>
      <c r="CB11" s="2194">
        <v>35.9</v>
      </c>
      <c r="CC11" s="2194">
        <v>55.4</v>
      </c>
      <c r="CD11" s="2194">
        <v>75.2</v>
      </c>
      <c r="CE11" s="2194">
        <v>101</v>
      </c>
      <c r="CF11" s="2194">
        <v>149</v>
      </c>
      <c r="CG11" s="2194">
        <v>235</v>
      </c>
      <c r="CH11" s="2194">
        <v>307</v>
      </c>
      <c r="CI11" s="2194">
        <v>420</v>
      </c>
      <c r="CJ11" s="2194">
        <v>531</v>
      </c>
      <c r="CK11" s="2194">
        <v>719</v>
      </c>
      <c r="CL11" s="280">
        <v>1083</v>
      </c>
      <c r="CM11" s="280">
        <v>1700</v>
      </c>
      <c r="CN11" s="280">
        <v>2350</v>
      </c>
      <c r="CO11" s="2194">
        <v>3140</v>
      </c>
      <c r="CR11" s="2187">
        <v>10.3</v>
      </c>
      <c r="CS11" s="2187">
        <v>12.6</v>
      </c>
      <c r="CV11" s="2193">
        <v>10.3</v>
      </c>
      <c r="CW11" s="2194">
        <v>35.9</v>
      </c>
      <c r="CX11" s="2194">
        <v>55.4</v>
      </c>
      <c r="CY11" s="2194">
        <v>75.2</v>
      </c>
      <c r="CZ11" s="2194">
        <v>101</v>
      </c>
      <c r="DA11" s="2194">
        <v>149</v>
      </c>
      <c r="DB11" s="2194">
        <v>235</v>
      </c>
      <c r="DC11" s="2194">
        <v>307</v>
      </c>
      <c r="DD11" s="2194">
        <v>420</v>
      </c>
      <c r="DE11" s="2194">
        <v>531</v>
      </c>
      <c r="DF11" s="2194">
        <v>719</v>
      </c>
      <c r="DG11" s="280">
        <v>1083</v>
      </c>
      <c r="DH11" s="280">
        <v>1700</v>
      </c>
      <c r="DI11" s="280">
        <v>2350</v>
      </c>
      <c r="DJ11" s="2194">
        <v>3140</v>
      </c>
      <c r="DS11" s="277"/>
      <c r="DW11" s="1"/>
      <c r="DY11" s="283" t="s">
        <v>658</v>
      </c>
      <c r="DZ11" s="284">
        <f>EA149</f>
        <v>9.26</v>
      </c>
      <c r="EA11" s="284" t="str">
        <f>+EB149</f>
        <v>3AH400</v>
      </c>
      <c r="EB11" s="284">
        <f>VLOOKUP(EA11,DY49:EB66,2,0)</f>
        <v>46500</v>
      </c>
      <c r="EC11" s="284"/>
      <c r="ED11" s="284">
        <f>VLOOKUP(EA11,DY49:EB66,4,0)</f>
        <v>330</v>
      </c>
      <c r="EE11" s="281"/>
      <c r="EF11" s="281"/>
      <c r="EO11" s="286"/>
      <c r="EP11" s="286"/>
      <c r="EW11" s="2250" t="str">
        <f>HK145</f>
        <v>Right</v>
      </c>
      <c r="EX11" s="2250" t="str">
        <f>HM377</f>
        <v>Right</v>
      </c>
      <c r="EY11" s="277" t="str">
        <f>IF(FG40&gt;50,"Right",FH80)</f>
        <v>Right</v>
      </c>
      <c r="EZ11" s="277" t="str">
        <f>IF(GX40&gt;31.4,"Right",GY80)</f>
        <v>Right</v>
      </c>
      <c r="FB11" s="2174"/>
      <c r="FC11" s="2174"/>
      <c r="FF11" s="2193">
        <v>12.5</v>
      </c>
      <c r="FG11" s="2194">
        <v>37</v>
      </c>
      <c r="FH11" s="2194">
        <v>52</v>
      </c>
      <c r="FI11" s="2194">
        <v>77</v>
      </c>
      <c r="FJ11" s="2194">
        <v>115</v>
      </c>
      <c r="FK11" s="2194">
        <v>165</v>
      </c>
      <c r="FL11" s="2194">
        <v>220</v>
      </c>
      <c r="FM11" s="2194">
        <v>300</v>
      </c>
      <c r="FN11" s="2194">
        <v>450</v>
      </c>
      <c r="FO11" s="2194">
        <v>600</v>
      </c>
      <c r="FP11" s="2194">
        <v>850</v>
      </c>
      <c r="FQ11" s="280">
        <v>1390</v>
      </c>
      <c r="FR11" s="280">
        <v>1970</v>
      </c>
      <c r="FS11" s="280">
        <v>2600</v>
      </c>
      <c r="FT11" s="280">
        <v>3800</v>
      </c>
      <c r="FU11" s="2194">
        <v>0</v>
      </c>
      <c r="FX11" s="2356">
        <v>12.5</v>
      </c>
      <c r="FY11" s="2356">
        <v>14</v>
      </c>
      <c r="GB11" s="2193">
        <v>12.5</v>
      </c>
      <c r="GC11" s="2194">
        <v>37</v>
      </c>
      <c r="GD11" s="2194">
        <v>52</v>
      </c>
      <c r="GE11" s="2194">
        <v>77</v>
      </c>
      <c r="GF11" s="2194">
        <v>115</v>
      </c>
      <c r="GG11" s="2194">
        <v>165</v>
      </c>
      <c r="GH11" s="2194">
        <v>220</v>
      </c>
      <c r="GI11" s="2194">
        <v>300</v>
      </c>
      <c r="GJ11" s="2194">
        <v>450</v>
      </c>
      <c r="GK11" s="2194">
        <v>600</v>
      </c>
      <c r="GL11" s="2194">
        <v>850</v>
      </c>
      <c r="GM11" s="280">
        <v>1390</v>
      </c>
      <c r="GN11" s="280">
        <v>1970</v>
      </c>
      <c r="GO11" s="280">
        <v>2600</v>
      </c>
      <c r="GP11" s="280">
        <v>3800</v>
      </c>
      <c r="GQ11" s="2194">
        <v>0</v>
      </c>
      <c r="GT11" s="2174"/>
      <c r="GW11" s="2193">
        <v>10.3</v>
      </c>
      <c r="GX11" s="2194">
        <v>35.9</v>
      </c>
      <c r="GY11" s="2194">
        <v>55.4</v>
      </c>
      <c r="GZ11" s="2194">
        <v>75.2</v>
      </c>
      <c r="HA11" s="2194">
        <v>101</v>
      </c>
      <c r="HB11" s="2194">
        <v>149</v>
      </c>
      <c r="HC11" s="2194">
        <v>235</v>
      </c>
      <c r="HD11" s="2194">
        <v>307</v>
      </c>
      <c r="HE11" s="2194">
        <v>420</v>
      </c>
      <c r="HF11" s="2194">
        <v>531</v>
      </c>
      <c r="HG11" s="2194">
        <v>719</v>
      </c>
      <c r="HH11" s="280">
        <v>1083</v>
      </c>
      <c r="HI11" s="280">
        <v>1700</v>
      </c>
      <c r="HJ11" s="280">
        <v>2350</v>
      </c>
      <c r="HK11" s="2194">
        <v>3140</v>
      </c>
      <c r="HN11" s="2187">
        <v>10.3</v>
      </c>
      <c r="HO11" s="2187">
        <v>12.6</v>
      </c>
      <c r="HR11" s="2193">
        <v>10.3</v>
      </c>
      <c r="HS11" s="2194">
        <v>35.9</v>
      </c>
      <c r="HT11" s="2194">
        <v>55.4</v>
      </c>
      <c r="HU11" s="2194">
        <v>75.2</v>
      </c>
      <c r="HV11" s="2194">
        <v>101</v>
      </c>
      <c r="HW11" s="2194">
        <v>149</v>
      </c>
      <c r="HX11" s="2194">
        <v>235</v>
      </c>
      <c r="HY11" s="2194">
        <v>307</v>
      </c>
      <c r="HZ11" s="2194">
        <v>420</v>
      </c>
      <c r="IA11" s="2194">
        <v>531</v>
      </c>
      <c r="IB11" s="2194">
        <v>719</v>
      </c>
      <c r="IC11" s="280">
        <v>1083</v>
      </c>
      <c r="ID11" s="280">
        <v>1700</v>
      </c>
      <c r="IE11" s="280">
        <v>2350</v>
      </c>
      <c r="IF11" s="2194">
        <v>3140</v>
      </c>
      <c r="IN11" s="277"/>
      <c r="IO11" s="277"/>
    </row>
    <row r="12" spans="1:249" ht="21.95" customHeight="1">
      <c r="C12" s="283" t="s">
        <v>662</v>
      </c>
      <c r="D12" s="284">
        <f>E150</f>
        <v>3.86</v>
      </c>
      <c r="E12" s="284" t="str">
        <f>+F150</f>
        <v>3AH400</v>
      </c>
      <c r="F12" s="284">
        <f>VLOOKUP(E12,C49:F66,2,0)</f>
        <v>46500</v>
      </c>
      <c r="G12" s="284"/>
      <c r="H12" s="284">
        <f>VLOOKUP(E12,C49:F66,4,0)</f>
        <v>330</v>
      </c>
      <c r="I12" s="281"/>
      <c r="J12" s="281"/>
      <c r="S12" s="286"/>
      <c r="T12" s="286"/>
      <c r="AA12" s="2250" t="str">
        <f>CO146</f>
        <v>Right</v>
      </c>
      <c r="AB12" s="2250" t="str">
        <f t="shared" si="1"/>
        <v>Right</v>
      </c>
      <c r="AC12" s="277" t="str">
        <f>IF(AK40&gt;50,"Right",AL73)</f>
        <v>Right</v>
      </c>
      <c r="AD12" s="277" t="str">
        <f>IF(CB40&gt;31.4,"Right",CE80)</f>
        <v>Right</v>
      </c>
      <c r="AF12" s="2174"/>
      <c r="AG12" s="2174"/>
      <c r="AJ12" s="2357">
        <v>14</v>
      </c>
      <c r="AK12" s="2351">
        <v>34</v>
      </c>
      <c r="AL12" s="2351">
        <v>47</v>
      </c>
      <c r="AM12" s="2351">
        <v>73</v>
      </c>
      <c r="AN12" s="2351">
        <v>95</v>
      </c>
      <c r="AO12" s="2351">
        <v>135</v>
      </c>
      <c r="AP12" s="2351">
        <v>190</v>
      </c>
      <c r="AQ12" s="2351">
        <v>270</v>
      </c>
      <c r="AR12" s="2351">
        <v>390</v>
      </c>
      <c r="AS12" s="2351">
        <v>500</v>
      </c>
      <c r="AT12" s="2351">
        <v>700</v>
      </c>
      <c r="AU12" s="2352">
        <v>1250</v>
      </c>
      <c r="AV12" s="2352">
        <v>1770</v>
      </c>
      <c r="AW12" s="2352">
        <v>2340</v>
      </c>
      <c r="AX12" s="2352">
        <v>3420</v>
      </c>
      <c r="AY12" s="2351">
        <v>4900</v>
      </c>
      <c r="BB12" s="2187">
        <v>14</v>
      </c>
      <c r="BC12" s="2187">
        <v>16</v>
      </c>
      <c r="BF12" s="2357">
        <v>14</v>
      </c>
      <c r="BG12" s="2351">
        <v>34</v>
      </c>
      <c r="BH12" s="2351">
        <v>47</v>
      </c>
      <c r="BI12" s="2351">
        <v>73</v>
      </c>
      <c r="BJ12" s="2351">
        <v>95</v>
      </c>
      <c r="BK12" s="2351">
        <v>135</v>
      </c>
      <c r="BL12" s="2351">
        <v>190</v>
      </c>
      <c r="BM12" s="2351">
        <v>270</v>
      </c>
      <c r="BN12" s="2351">
        <v>390</v>
      </c>
      <c r="BO12" s="2351">
        <v>500</v>
      </c>
      <c r="BP12" s="2351">
        <v>700</v>
      </c>
      <c r="BQ12" s="2352">
        <v>1250</v>
      </c>
      <c r="BR12" s="2352">
        <v>1770</v>
      </c>
      <c r="BS12" s="2352">
        <v>2340</v>
      </c>
      <c r="BT12" s="2352">
        <v>3420</v>
      </c>
      <c r="BU12" s="2351">
        <v>4900</v>
      </c>
      <c r="BX12" s="2174"/>
      <c r="CA12" s="2193">
        <v>12.6</v>
      </c>
      <c r="CB12" s="2194">
        <v>29.1</v>
      </c>
      <c r="CC12" s="2194">
        <v>43</v>
      </c>
      <c r="CD12" s="2194">
        <v>61.5</v>
      </c>
      <c r="CE12" s="2194">
        <v>86.9</v>
      </c>
      <c r="CF12" s="2194">
        <v>125</v>
      </c>
      <c r="CG12" s="2194">
        <v>177</v>
      </c>
      <c r="CH12" s="2194">
        <v>253</v>
      </c>
      <c r="CI12" s="2194">
        <v>339</v>
      </c>
      <c r="CJ12" s="2194">
        <v>496</v>
      </c>
      <c r="CK12" s="2194">
        <v>632</v>
      </c>
      <c r="CL12" s="280">
        <v>950</v>
      </c>
      <c r="CM12" s="280">
        <v>1255</v>
      </c>
      <c r="CN12" s="280">
        <v>1810</v>
      </c>
      <c r="CO12" s="2194">
        <v>0</v>
      </c>
      <c r="CR12" s="2187">
        <v>12.6</v>
      </c>
      <c r="CS12" s="2187">
        <v>14</v>
      </c>
      <c r="CV12" s="2193">
        <v>12.6</v>
      </c>
      <c r="CW12" s="2194">
        <v>29.1</v>
      </c>
      <c r="CX12" s="2194">
        <v>43</v>
      </c>
      <c r="CY12" s="2194">
        <v>61.5</v>
      </c>
      <c r="CZ12" s="2194">
        <v>86.9</v>
      </c>
      <c r="DA12" s="2194">
        <v>125</v>
      </c>
      <c r="DB12" s="2194">
        <v>177</v>
      </c>
      <c r="DC12" s="2194">
        <v>253</v>
      </c>
      <c r="DD12" s="2194">
        <v>339</v>
      </c>
      <c r="DE12" s="2194">
        <v>496</v>
      </c>
      <c r="DF12" s="2194">
        <v>632</v>
      </c>
      <c r="DG12" s="280">
        <v>950</v>
      </c>
      <c r="DH12" s="280">
        <v>1255</v>
      </c>
      <c r="DI12" s="280">
        <v>1810</v>
      </c>
      <c r="DJ12" s="2194">
        <v>0</v>
      </c>
      <c r="DS12" s="277"/>
      <c r="DW12" s="1"/>
      <c r="DY12" s="283" t="s">
        <v>662</v>
      </c>
      <c r="DZ12" s="284">
        <f>EA150</f>
        <v>5.35</v>
      </c>
      <c r="EA12" s="284" t="str">
        <f>+EB150</f>
        <v>3AH400</v>
      </c>
      <c r="EB12" s="284">
        <f>VLOOKUP(EA12,DY49:EB66,2,0)</f>
        <v>46500</v>
      </c>
      <c r="EC12" s="284"/>
      <c r="ED12" s="284">
        <f>VLOOKUP(EA12,DY49:EB66,4,0)</f>
        <v>330</v>
      </c>
      <c r="EE12" s="281"/>
      <c r="EF12" s="281"/>
      <c r="EO12" s="286"/>
      <c r="EP12" s="286"/>
      <c r="EW12" s="2250" t="str">
        <f>HK146</f>
        <v>Right</v>
      </c>
      <c r="EX12" s="2250" t="str">
        <f>HM378</f>
        <v>Right</v>
      </c>
      <c r="EY12" s="277" t="str">
        <f>IF(FG40&gt;50,"Right",FH73)</f>
        <v>Right</v>
      </c>
      <c r="EZ12" s="277" t="str">
        <f>IF(GX40&gt;31.4,"Right",HA80)</f>
        <v>Right</v>
      </c>
      <c r="FB12" s="2174"/>
      <c r="FC12" s="2174"/>
      <c r="FF12" s="2357">
        <v>14</v>
      </c>
      <c r="FG12" s="2351">
        <v>34</v>
      </c>
      <c r="FH12" s="2351">
        <v>47</v>
      </c>
      <c r="FI12" s="2351">
        <v>73</v>
      </c>
      <c r="FJ12" s="2351">
        <v>95</v>
      </c>
      <c r="FK12" s="2351">
        <v>135</v>
      </c>
      <c r="FL12" s="2351">
        <v>190</v>
      </c>
      <c r="FM12" s="2351">
        <v>270</v>
      </c>
      <c r="FN12" s="2351">
        <v>390</v>
      </c>
      <c r="FO12" s="2351">
        <v>500</v>
      </c>
      <c r="FP12" s="2351">
        <v>700</v>
      </c>
      <c r="FQ12" s="2352">
        <v>1250</v>
      </c>
      <c r="FR12" s="2352">
        <v>1770</v>
      </c>
      <c r="FS12" s="2352">
        <v>2340</v>
      </c>
      <c r="FT12" s="2352">
        <v>3420</v>
      </c>
      <c r="FU12" s="2351">
        <v>4900</v>
      </c>
      <c r="FX12" s="2187">
        <v>14</v>
      </c>
      <c r="FY12" s="2187">
        <v>16</v>
      </c>
      <c r="GB12" s="2357">
        <v>14</v>
      </c>
      <c r="GC12" s="2351">
        <v>34</v>
      </c>
      <c r="GD12" s="2351">
        <v>47</v>
      </c>
      <c r="GE12" s="2351">
        <v>73</v>
      </c>
      <c r="GF12" s="2351">
        <v>95</v>
      </c>
      <c r="GG12" s="2351">
        <v>135</v>
      </c>
      <c r="GH12" s="2351">
        <v>190</v>
      </c>
      <c r="GI12" s="2351">
        <v>270</v>
      </c>
      <c r="GJ12" s="2351">
        <v>390</v>
      </c>
      <c r="GK12" s="2351">
        <v>500</v>
      </c>
      <c r="GL12" s="2351">
        <v>700</v>
      </c>
      <c r="GM12" s="2352">
        <v>1250</v>
      </c>
      <c r="GN12" s="2352">
        <v>1770</v>
      </c>
      <c r="GO12" s="2352">
        <v>2340</v>
      </c>
      <c r="GP12" s="2352">
        <v>3420</v>
      </c>
      <c r="GQ12" s="2351">
        <v>4900</v>
      </c>
      <c r="GT12" s="2174"/>
      <c r="GW12" s="2193">
        <v>12.6</v>
      </c>
      <c r="GX12" s="2194">
        <v>29.1</v>
      </c>
      <c r="GY12" s="2194">
        <v>43</v>
      </c>
      <c r="GZ12" s="2194">
        <v>61.5</v>
      </c>
      <c r="HA12" s="2194">
        <v>86.9</v>
      </c>
      <c r="HB12" s="2194">
        <v>125</v>
      </c>
      <c r="HC12" s="2194">
        <v>177</v>
      </c>
      <c r="HD12" s="2194">
        <v>253</v>
      </c>
      <c r="HE12" s="2194">
        <v>339</v>
      </c>
      <c r="HF12" s="2194">
        <v>496</v>
      </c>
      <c r="HG12" s="2194">
        <v>632</v>
      </c>
      <c r="HH12" s="280">
        <v>950</v>
      </c>
      <c r="HI12" s="280">
        <v>1255</v>
      </c>
      <c r="HJ12" s="280">
        <v>1810</v>
      </c>
      <c r="HK12" s="2194">
        <v>0</v>
      </c>
      <c r="HN12" s="2187">
        <v>12.6</v>
      </c>
      <c r="HO12" s="2187">
        <v>14</v>
      </c>
      <c r="HR12" s="2193">
        <v>12.6</v>
      </c>
      <c r="HS12" s="2194">
        <v>29.1</v>
      </c>
      <c r="HT12" s="2194">
        <v>43</v>
      </c>
      <c r="HU12" s="2194">
        <v>61.5</v>
      </c>
      <c r="HV12" s="2194">
        <v>86.9</v>
      </c>
      <c r="HW12" s="2194">
        <v>125</v>
      </c>
      <c r="HX12" s="2194">
        <v>177</v>
      </c>
      <c r="HY12" s="2194">
        <v>253</v>
      </c>
      <c r="HZ12" s="2194">
        <v>339</v>
      </c>
      <c r="IA12" s="2194">
        <v>496</v>
      </c>
      <c r="IB12" s="2194">
        <v>632</v>
      </c>
      <c r="IC12" s="280">
        <v>950</v>
      </c>
      <c r="ID12" s="280">
        <v>1255</v>
      </c>
      <c r="IE12" s="280">
        <v>1810</v>
      </c>
      <c r="IF12" s="2194">
        <v>0</v>
      </c>
      <c r="IN12" s="277"/>
      <c r="IO12" s="277"/>
    </row>
    <row r="13" spans="1:249" ht="21.95" customHeight="1">
      <c r="B13" s="9">
        <f>E5/C13-1</f>
        <v>5.9772532942899304E-2</v>
      </c>
      <c r="C13" s="780">
        <f>X141</f>
        <v>68.3</v>
      </c>
      <c r="D13" s="780">
        <f>VLOOKUP(C3,C9:H12,2,0)</f>
        <v>7.33</v>
      </c>
      <c r="E13" s="780" t="str">
        <f>VLOOKUP(C3,C9:H12,3,0)</f>
        <v>3AH400</v>
      </c>
      <c r="F13" s="780">
        <f>VLOOKUP(C3,C9:H12,4,0)</f>
        <v>46500</v>
      </c>
      <c r="G13" s="780"/>
      <c r="H13" s="780">
        <f>VLOOKUP(C3,C9:H12,6,0)</f>
        <v>330</v>
      </c>
      <c r="I13" s="281"/>
      <c r="J13" s="281"/>
      <c r="S13" s="286"/>
      <c r="T13" s="286"/>
      <c r="AA13" s="2250" t="str">
        <f>CO147</f>
        <v>Right</v>
      </c>
      <c r="AB13" s="2250" t="str">
        <f t="shared" si="1"/>
        <v>Right</v>
      </c>
      <c r="AC13" s="277" t="str">
        <f>IF(AK40&gt;50,"Right",BH72)</f>
        <v>Right</v>
      </c>
      <c r="AD13" s="277" t="str">
        <f>IF(CW40&gt;31.4,"Right",CX72)</f>
        <v>Right</v>
      </c>
      <c r="AF13" s="2174"/>
      <c r="AG13" s="2174"/>
      <c r="AJ13" s="2193">
        <v>16</v>
      </c>
      <c r="AK13" s="2194">
        <v>32</v>
      </c>
      <c r="AL13" s="2194">
        <v>44</v>
      </c>
      <c r="AM13" s="2194">
        <v>66</v>
      </c>
      <c r="AN13" s="2194">
        <v>88</v>
      </c>
      <c r="AO13" s="2194">
        <v>120</v>
      </c>
      <c r="AP13" s="2194">
        <v>170</v>
      </c>
      <c r="AQ13" s="2194">
        <v>250</v>
      </c>
      <c r="AR13" s="2194">
        <v>350</v>
      </c>
      <c r="AS13" s="2194">
        <v>460</v>
      </c>
      <c r="AT13" s="2194">
        <v>640</v>
      </c>
      <c r="AU13" s="280">
        <v>1120</v>
      </c>
      <c r="AV13" s="280">
        <v>1580</v>
      </c>
      <c r="AW13" s="280">
        <v>2090</v>
      </c>
      <c r="AX13" s="280">
        <v>3060</v>
      </c>
      <c r="AY13" s="2194">
        <v>4390</v>
      </c>
      <c r="BB13" s="2187">
        <v>16</v>
      </c>
      <c r="BC13" s="2187">
        <v>18</v>
      </c>
      <c r="BF13" s="2193">
        <v>16</v>
      </c>
      <c r="BG13" s="2194">
        <v>32</v>
      </c>
      <c r="BH13" s="2194">
        <v>44</v>
      </c>
      <c r="BI13" s="2194">
        <v>66</v>
      </c>
      <c r="BJ13" s="2194">
        <v>88</v>
      </c>
      <c r="BK13" s="2194">
        <v>120</v>
      </c>
      <c r="BL13" s="2194">
        <v>170</v>
      </c>
      <c r="BM13" s="2194">
        <v>250</v>
      </c>
      <c r="BN13" s="2194">
        <v>350</v>
      </c>
      <c r="BO13" s="2194">
        <v>460</v>
      </c>
      <c r="BP13" s="2194">
        <v>640</v>
      </c>
      <c r="BQ13" s="280">
        <v>1120</v>
      </c>
      <c r="BR13" s="280">
        <v>1580</v>
      </c>
      <c r="BS13" s="280">
        <v>2090</v>
      </c>
      <c r="BT13" s="280">
        <v>3060</v>
      </c>
      <c r="BU13" s="2194">
        <v>4390</v>
      </c>
      <c r="BX13" s="2174"/>
      <c r="CA13" s="2193">
        <v>14</v>
      </c>
      <c r="CB13" s="2194">
        <v>26.9</v>
      </c>
      <c r="CC13" s="2194">
        <v>35.1</v>
      </c>
      <c r="CD13" s="2194">
        <v>56</v>
      </c>
      <c r="CE13" s="2194">
        <v>79</v>
      </c>
      <c r="CF13" s="2194">
        <v>116</v>
      </c>
      <c r="CG13" s="2194">
        <v>171</v>
      </c>
      <c r="CH13" s="2194">
        <v>229</v>
      </c>
      <c r="CI13" s="2194">
        <v>311</v>
      </c>
      <c r="CJ13" s="2194">
        <v>400</v>
      </c>
      <c r="CK13" s="2194">
        <v>572</v>
      </c>
      <c r="CL13" s="280">
        <v>861</v>
      </c>
      <c r="CM13" s="280">
        <v>1250</v>
      </c>
      <c r="CN13" s="280">
        <v>1770</v>
      </c>
      <c r="CO13" s="2194">
        <v>0</v>
      </c>
      <c r="CR13" s="2187">
        <v>14</v>
      </c>
      <c r="CS13" s="2187">
        <v>15.4</v>
      </c>
      <c r="CV13" s="2193">
        <v>14</v>
      </c>
      <c r="CW13" s="2194">
        <v>26.9</v>
      </c>
      <c r="CX13" s="2194">
        <v>35.1</v>
      </c>
      <c r="CY13" s="2194">
        <v>56</v>
      </c>
      <c r="CZ13" s="2194">
        <v>79</v>
      </c>
      <c r="DA13" s="2194">
        <v>116</v>
      </c>
      <c r="DB13" s="2194">
        <v>171</v>
      </c>
      <c r="DC13" s="2194">
        <v>229</v>
      </c>
      <c r="DD13" s="2194">
        <v>311</v>
      </c>
      <c r="DE13" s="2194">
        <v>400</v>
      </c>
      <c r="DF13" s="2194">
        <v>572</v>
      </c>
      <c r="DG13" s="280">
        <v>861</v>
      </c>
      <c r="DH13" s="280">
        <v>1250</v>
      </c>
      <c r="DI13" s="280">
        <v>1770</v>
      </c>
      <c r="DJ13" s="2194">
        <v>0</v>
      </c>
      <c r="DS13" s="277"/>
      <c r="DW13" s="1"/>
      <c r="DX13" s="9">
        <f>EA5/DY13-1</f>
        <v>3.0502050113895285E-2</v>
      </c>
      <c r="DY13" s="780">
        <f>ET141</f>
        <v>43.9</v>
      </c>
      <c r="DZ13" s="780">
        <f>VLOOKUP(DY3,DY9:ED12,2,0)</f>
        <v>10.79</v>
      </c>
      <c r="EA13" s="780" t="str">
        <f>VLOOKUP(DY3,DY9:ED12,3,0)</f>
        <v>3AH400</v>
      </c>
      <c r="EB13" s="780">
        <f>VLOOKUP(DY3,DY9:ED12,4,0)</f>
        <v>46500</v>
      </c>
      <c r="EC13" s="780"/>
      <c r="ED13" s="780">
        <f>VLOOKUP(DY3,DY9:ED12,6,0)</f>
        <v>330</v>
      </c>
      <c r="EE13" s="281"/>
      <c r="EF13" s="281"/>
      <c r="EO13" s="286"/>
      <c r="EP13" s="286"/>
      <c r="EW13" s="2250" t="str">
        <f>HK147</f>
        <v>Right</v>
      </c>
      <c r="EX13" s="2250" t="str">
        <f>HM379</f>
        <v>Right</v>
      </c>
      <c r="EY13" s="277" t="str">
        <f>IF(FG40&gt;50,"Right",GD72)</f>
        <v>Right</v>
      </c>
      <c r="EZ13" s="277" t="str">
        <f>IF(HS40&gt;31.4,"Right",HT72)</f>
        <v>Right</v>
      </c>
      <c r="FB13" s="2174"/>
      <c r="FC13" s="2174"/>
      <c r="FF13" s="2193">
        <v>16</v>
      </c>
      <c r="FG13" s="2194">
        <v>32</v>
      </c>
      <c r="FH13" s="2194">
        <v>44</v>
      </c>
      <c r="FI13" s="2194">
        <v>66</v>
      </c>
      <c r="FJ13" s="2194">
        <v>88</v>
      </c>
      <c r="FK13" s="2194">
        <v>120</v>
      </c>
      <c r="FL13" s="2194">
        <v>170</v>
      </c>
      <c r="FM13" s="2194">
        <v>250</v>
      </c>
      <c r="FN13" s="2194">
        <v>350</v>
      </c>
      <c r="FO13" s="2194">
        <v>460</v>
      </c>
      <c r="FP13" s="2194">
        <v>640</v>
      </c>
      <c r="FQ13" s="280">
        <v>1120</v>
      </c>
      <c r="FR13" s="280">
        <v>1580</v>
      </c>
      <c r="FS13" s="280">
        <v>2090</v>
      </c>
      <c r="FT13" s="280">
        <v>3060</v>
      </c>
      <c r="FU13" s="2194">
        <v>4390</v>
      </c>
      <c r="FX13" s="2187">
        <v>16</v>
      </c>
      <c r="FY13" s="2187">
        <v>18</v>
      </c>
      <c r="GB13" s="2193">
        <v>16</v>
      </c>
      <c r="GC13" s="2194">
        <v>32</v>
      </c>
      <c r="GD13" s="2194">
        <v>44</v>
      </c>
      <c r="GE13" s="2194">
        <v>66</v>
      </c>
      <c r="GF13" s="2194">
        <v>88</v>
      </c>
      <c r="GG13" s="2194">
        <v>120</v>
      </c>
      <c r="GH13" s="2194">
        <v>170</v>
      </c>
      <c r="GI13" s="2194">
        <v>250</v>
      </c>
      <c r="GJ13" s="2194">
        <v>350</v>
      </c>
      <c r="GK13" s="2194">
        <v>460</v>
      </c>
      <c r="GL13" s="2194">
        <v>640</v>
      </c>
      <c r="GM13" s="280">
        <v>1120</v>
      </c>
      <c r="GN13" s="280">
        <v>1580</v>
      </c>
      <c r="GO13" s="280">
        <v>2090</v>
      </c>
      <c r="GP13" s="280">
        <v>3060</v>
      </c>
      <c r="GQ13" s="2194">
        <v>4390</v>
      </c>
      <c r="GT13" s="2174"/>
      <c r="GW13" s="2193">
        <v>14</v>
      </c>
      <c r="GX13" s="2194">
        <v>26.9</v>
      </c>
      <c r="GY13" s="2194">
        <v>35.1</v>
      </c>
      <c r="GZ13" s="2194">
        <v>56</v>
      </c>
      <c r="HA13" s="2194">
        <v>79</v>
      </c>
      <c r="HB13" s="2194">
        <v>116</v>
      </c>
      <c r="HC13" s="2194">
        <v>171</v>
      </c>
      <c r="HD13" s="2194">
        <v>229</v>
      </c>
      <c r="HE13" s="2194">
        <v>311</v>
      </c>
      <c r="HF13" s="2194">
        <v>400</v>
      </c>
      <c r="HG13" s="2194">
        <v>572</v>
      </c>
      <c r="HH13" s="280">
        <v>861</v>
      </c>
      <c r="HI13" s="280">
        <v>1250</v>
      </c>
      <c r="HJ13" s="280">
        <v>1770</v>
      </c>
      <c r="HK13" s="2194">
        <v>0</v>
      </c>
      <c r="HN13" s="2187">
        <v>14</v>
      </c>
      <c r="HO13" s="2187">
        <v>15.4</v>
      </c>
      <c r="HR13" s="2193">
        <v>14</v>
      </c>
      <c r="HS13" s="2194">
        <v>26.9</v>
      </c>
      <c r="HT13" s="2194">
        <v>35.1</v>
      </c>
      <c r="HU13" s="2194">
        <v>56</v>
      </c>
      <c r="HV13" s="2194">
        <v>79</v>
      </c>
      <c r="HW13" s="2194">
        <v>116</v>
      </c>
      <c r="HX13" s="2194">
        <v>171</v>
      </c>
      <c r="HY13" s="2194">
        <v>229</v>
      </c>
      <c r="HZ13" s="2194">
        <v>311</v>
      </c>
      <c r="IA13" s="2194">
        <v>400</v>
      </c>
      <c r="IB13" s="2194">
        <v>572</v>
      </c>
      <c r="IC13" s="280">
        <v>861</v>
      </c>
      <c r="ID13" s="280">
        <v>1250</v>
      </c>
      <c r="IE13" s="280">
        <v>1770</v>
      </c>
      <c r="IF13" s="2194">
        <v>0</v>
      </c>
      <c r="IN13" s="277"/>
      <c r="IO13" s="277"/>
    </row>
    <row r="14" spans="1:249" ht="21.95" customHeight="1">
      <c r="S14" s="286"/>
      <c r="T14" s="286"/>
      <c r="AA14" s="277" t="str">
        <f>F151</f>
        <v>Right</v>
      </c>
      <c r="AB14" s="277" t="str">
        <f>F383</f>
        <v>Right</v>
      </c>
      <c r="AC14" s="277" t="str">
        <f>IF(AK40&gt;50,"Right",BH73)</f>
        <v>Right</v>
      </c>
      <c r="AD14" s="277" t="str">
        <f>IF(CW40&gt;31.4,"Right",CX73)</f>
        <v>Right</v>
      </c>
      <c r="AF14" s="2174"/>
      <c r="AG14" s="2174"/>
      <c r="AJ14" s="2193">
        <v>18</v>
      </c>
      <c r="AK14" s="2195">
        <v>30</v>
      </c>
      <c r="AL14" s="2195">
        <v>42</v>
      </c>
      <c r="AM14" s="2195">
        <v>60</v>
      </c>
      <c r="AN14" s="2195">
        <v>80</v>
      </c>
      <c r="AO14" s="2195">
        <v>105</v>
      </c>
      <c r="AP14" s="2195">
        <v>150</v>
      </c>
      <c r="AQ14" s="2195">
        <v>220</v>
      </c>
      <c r="AR14" s="2195">
        <v>320</v>
      </c>
      <c r="AS14" s="2195">
        <v>420</v>
      </c>
      <c r="AT14" s="2195">
        <v>590</v>
      </c>
      <c r="AU14" s="280">
        <v>1000</v>
      </c>
      <c r="AV14" s="280">
        <v>1410</v>
      </c>
      <c r="AW14" s="280">
        <v>1860</v>
      </c>
      <c r="AX14" s="280">
        <v>2720</v>
      </c>
      <c r="AY14" s="2195">
        <v>3900</v>
      </c>
      <c r="BB14" s="2187">
        <v>18</v>
      </c>
      <c r="BC14" s="2187">
        <v>20</v>
      </c>
      <c r="BF14" s="2193">
        <v>18</v>
      </c>
      <c r="BG14" s="2195">
        <v>30</v>
      </c>
      <c r="BH14" s="2195">
        <v>42</v>
      </c>
      <c r="BI14" s="2195">
        <v>60</v>
      </c>
      <c r="BJ14" s="2195">
        <v>80</v>
      </c>
      <c r="BK14" s="2195">
        <v>105</v>
      </c>
      <c r="BL14" s="2195">
        <v>150</v>
      </c>
      <c r="BM14" s="2195">
        <v>220</v>
      </c>
      <c r="BN14" s="2195">
        <v>320</v>
      </c>
      <c r="BO14" s="2195">
        <v>420</v>
      </c>
      <c r="BP14" s="2195">
        <v>590</v>
      </c>
      <c r="BQ14" s="280">
        <v>1000</v>
      </c>
      <c r="BR14" s="280">
        <v>1410</v>
      </c>
      <c r="BS14" s="280">
        <v>1860</v>
      </c>
      <c r="BT14" s="280">
        <v>2720</v>
      </c>
      <c r="BU14" s="2195">
        <v>3900</v>
      </c>
      <c r="BX14" s="2174"/>
      <c r="CA14" s="2193">
        <v>15.4</v>
      </c>
      <c r="CB14" s="2195">
        <v>23.8</v>
      </c>
      <c r="CC14" s="2195">
        <v>34.5</v>
      </c>
      <c r="CD14" s="2195">
        <v>51.7</v>
      </c>
      <c r="CE14" s="2195">
        <v>61.1</v>
      </c>
      <c r="CF14" s="2195">
        <v>82.7</v>
      </c>
      <c r="CG14" s="2195">
        <v>129</v>
      </c>
      <c r="CH14" s="2195">
        <v>175</v>
      </c>
      <c r="CI14" s="2195">
        <v>264</v>
      </c>
      <c r="CJ14" s="2195">
        <v>335</v>
      </c>
      <c r="CK14" s="2195">
        <v>501</v>
      </c>
      <c r="CL14" s="280">
        <v>690</v>
      </c>
      <c r="CM14" s="280">
        <v>1060</v>
      </c>
      <c r="CN14" s="280">
        <v>1540</v>
      </c>
      <c r="CO14" s="2195">
        <v>0</v>
      </c>
      <c r="CR14" s="2187">
        <v>15.4</v>
      </c>
      <c r="CS14" s="2187">
        <v>17.100000000000001</v>
      </c>
      <c r="CV14" s="2193">
        <v>15.4</v>
      </c>
      <c r="CW14" s="2195">
        <v>23.8</v>
      </c>
      <c r="CX14" s="2195">
        <v>34.5</v>
      </c>
      <c r="CY14" s="2195">
        <v>51.7</v>
      </c>
      <c r="CZ14" s="2195">
        <v>61.1</v>
      </c>
      <c r="DA14" s="2195">
        <v>82.7</v>
      </c>
      <c r="DB14" s="2195">
        <v>129</v>
      </c>
      <c r="DC14" s="2195">
        <v>175</v>
      </c>
      <c r="DD14" s="2195">
        <v>264</v>
      </c>
      <c r="DE14" s="2195">
        <v>335</v>
      </c>
      <c r="DF14" s="2195">
        <v>501</v>
      </c>
      <c r="DG14" s="280">
        <v>690</v>
      </c>
      <c r="DH14" s="280">
        <v>1060</v>
      </c>
      <c r="DI14" s="280">
        <v>1540</v>
      </c>
      <c r="DJ14" s="2195">
        <v>0</v>
      </c>
      <c r="DS14" s="277"/>
      <c r="DW14" s="1"/>
      <c r="EO14" s="286"/>
      <c r="EP14" s="286"/>
      <c r="EW14" s="277" t="str">
        <f>EB151</f>
        <v>Right</v>
      </c>
      <c r="EX14" s="277" t="str">
        <f>EB383</f>
        <v>Right</v>
      </c>
      <c r="EY14" s="277" t="str">
        <f>IF(FG40&gt;50,"Right",GD73)</f>
        <v>Right</v>
      </c>
      <c r="EZ14" s="277" t="str">
        <f>IF(HS40&gt;31.4,"Right",HT73)</f>
        <v>Right</v>
      </c>
      <c r="FB14" s="2174"/>
      <c r="FC14" s="2174"/>
      <c r="FF14" s="2193">
        <v>18</v>
      </c>
      <c r="FG14" s="2195">
        <v>30</v>
      </c>
      <c r="FH14" s="2195">
        <v>42</v>
      </c>
      <c r="FI14" s="2195">
        <v>60</v>
      </c>
      <c r="FJ14" s="2195">
        <v>80</v>
      </c>
      <c r="FK14" s="2195">
        <v>105</v>
      </c>
      <c r="FL14" s="2195">
        <v>150</v>
      </c>
      <c r="FM14" s="2195">
        <v>220</v>
      </c>
      <c r="FN14" s="2195">
        <v>320</v>
      </c>
      <c r="FO14" s="2195">
        <v>420</v>
      </c>
      <c r="FP14" s="2195">
        <v>590</v>
      </c>
      <c r="FQ14" s="280">
        <v>1000</v>
      </c>
      <c r="FR14" s="280">
        <v>1410</v>
      </c>
      <c r="FS14" s="280">
        <v>1860</v>
      </c>
      <c r="FT14" s="280">
        <v>2720</v>
      </c>
      <c r="FU14" s="2195">
        <v>3900</v>
      </c>
      <c r="FX14" s="2187">
        <v>18</v>
      </c>
      <c r="FY14" s="2187">
        <v>20</v>
      </c>
      <c r="GB14" s="2193">
        <v>18</v>
      </c>
      <c r="GC14" s="2195">
        <v>30</v>
      </c>
      <c r="GD14" s="2195">
        <v>42</v>
      </c>
      <c r="GE14" s="2195">
        <v>60</v>
      </c>
      <c r="GF14" s="2195">
        <v>80</v>
      </c>
      <c r="GG14" s="2195">
        <v>105</v>
      </c>
      <c r="GH14" s="2195">
        <v>150</v>
      </c>
      <c r="GI14" s="2195">
        <v>220</v>
      </c>
      <c r="GJ14" s="2195">
        <v>320</v>
      </c>
      <c r="GK14" s="2195">
        <v>420</v>
      </c>
      <c r="GL14" s="2195">
        <v>590</v>
      </c>
      <c r="GM14" s="280">
        <v>1000</v>
      </c>
      <c r="GN14" s="280">
        <v>1410</v>
      </c>
      <c r="GO14" s="280">
        <v>1860</v>
      </c>
      <c r="GP14" s="280">
        <v>2720</v>
      </c>
      <c r="GQ14" s="2195">
        <v>3900</v>
      </c>
      <c r="GT14" s="2174"/>
      <c r="GW14" s="2193">
        <v>15.4</v>
      </c>
      <c r="GX14" s="2195">
        <v>23.8</v>
      </c>
      <c r="GY14" s="2195">
        <v>34.5</v>
      </c>
      <c r="GZ14" s="2195">
        <v>51.7</v>
      </c>
      <c r="HA14" s="2195">
        <v>61.1</v>
      </c>
      <c r="HB14" s="2195">
        <v>82.7</v>
      </c>
      <c r="HC14" s="2195">
        <v>129</v>
      </c>
      <c r="HD14" s="2195">
        <v>175</v>
      </c>
      <c r="HE14" s="2195">
        <v>264</v>
      </c>
      <c r="HF14" s="2195">
        <v>335</v>
      </c>
      <c r="HG14" s="2195">
        <v>501</v>
      </c>
      <c r="HH14" s="280">
        <v>690</v>
      </c>
      <c r="HI14" s="280">
        <v>1060</v>
      </c>
      <c r="HJ14" s="280">
        <v>1540</v>
      </c>
      <c r="HK14" s="2195">
        <v>0</v>
      </c>
      <c r="HN14" s="2187">
        <v>15.4</v>
      </c>
      <c r="HO14" s="2187">
        <v>17.100000000000001</v>
      </c>
      <c r="HR14" s="2193">
        <v>15.4</v>
      </c>
      <c r="HS14" s="2195">
        <v>23.8</v>
      </c>
      <c r="HT14" s="2195">
        <v>34.5</v>
      </c>
      <c r="HU14" s="2195">
        <v>51.7</v>
      </c>
      <c r="HV14" s="2195">
        <v>61.1</v>
      </c>
      <c r="HW14" s="2195">
        <v>82.7</v>
      </c>
      <c r="HX14" s="2195">
        <v>129</v>
      </c>
      <c r="HY14" s="2195">
        <v>175</v>
      </c>
      <c r="HZ14" s="2195">
        <v>264</v>
      </c>
      <c r="IA14" s="2195">
        <v>335</v>
      </c>
      <c r="IB14" s="2195">
        <v>501</v>
      </c>
      <c r="IC14" s="280">
        <v>690</v>
      </c>
      <c r="ID14" s="280">
        <v>1060</v>
      </c>
      <c r="IE14" s="280">
        <v>1540</v>
      </c>
      <c r="IF14" s="2195">
        <v>0</v>
      </c>
      <c r="IN14" s="277"/>
      <c r="IO14" s="277"/>
    </row>
    <row r="15" spans="1:249" ht="21.95" customHeight="1">
      <c r="C15" s="777" t="s">
        <v>2795</v>
      </c>
      <c r="D15" s="778" t="s">
        <v>2175</v>
      </c>
      <c r="E15" s="778" t="s">
        <v>2176</v>
      </c>
      <c r="F15" s="779" t="s">
        <v>2173</v>
      </c>
      <c r="G15" s="779" t="s">
        <v>1682</v>
      </c>
      <c r="H15" s="779" t="s">
        <v>2174</v>
      </c>
      <c r="I15" s="2" t="str">
        <f>H151</f>
        <v>Right</v>
      </c>
      <c r="J15" s="281"/>
      <c r="S15" s="286"/>
      <c r="T15" s="286"/>
      <c r="AA15" s="277" t="str">
        <f>H151</f>
        <v>Right</v>
      </c>
      <c r="AB15" s="277" t="str">
        <f>H383</f>
        <v>Right</v>
      </c>
      <c r="AC15" s="277" t="str">
        <f>IF(AK40&gt;50,"Right",BH80)</f>
        <v>Right</v>
      </c>
      <c r="AD15" s="277" t="str">
        <f>IF(CW40&gt;31.4,"Right",CX80)</f>
        <v>Right</v>
      </c>
      <c r="AF15" s="2174"/>
      <c r="AG15" s="2174"/>
      <c r="AJ15" s="2193">
        <v>20</v>
      </c>
      <c r="AK15" s="2195">
        <v>27</v>
      </c>
      <c r="AL15" s="2195">
        <v>39</v>
      </c>
      <c r="AM15" s="2195">
        <v>54</v>
      </c>
      <c r="AN15" s="2195">
        <v>70</v>
      </c>
      <c r="AO15" s="2195">
        <v>98</v>
      </c>
      <c r="AP15" s="2195">
        <v>140</v>
      </c>
      <c r="AQ15" s="2195">
        <v>200</v>
      </c>
      <c r="AR15" s="2195">
        <v>290</v>
      </c>
      <c r="AS15" s="2195">
        <v>380</v>
      </c>
      <c r="AT15" s="2195">
        <v>550</v>
      </c>
      <c r="AU15" s="280">
        <v>880</v>
      </c>
      <c r="AV15" s="280">
        <v>1240</v>
      </c>
      <c r="AW15" s="280">
        <v>1640</v>
      </c>
      <c r="AX15" s="280">
        <v>2400</v>
      </c>
      <c r="AY15" s="2195">
        <v>3440</v>
      </c>
      <c r="BB15" s="2187">
        <v>20</v>
      </c>
      <c r="BC15" s="2187">
        <v>22.4</v>
      </c>
      <c r="BF15" s="2193">
        <v>20</v>
      </c>
      <c r="BG15" s="2195">
        <v>27</v>
      </c>
      <c r="BH15" s="2195">
        <v>39</v>
      </c>
      <c r="BI15" s="2195">
        <v>54</v>
      </c>
      <c r="BJ15" s="2195">
        <v>70</v>
      </c>
      <c r="BK15" s="2195">
        <v>98</v>
      </c>
      <c r="BL15" s="2195">
        <v>140</v>
      </c>
      <c r="BM15" s="2195">
        <v>200</v>
      </c>
      <c r="BN15" s="2195">
        <v>290</v>
      </c>
      <c r="BO15" s="2195">
        <v>380</v>
      </c>
      <c r="BP15" s="2195">
        <v>550</v>
      </c>
      <c r="BQ15" s="280">
        <v>880</v>
      </c>
      <c r="BR15" s="280">
        <v>1240</v>
      </c>
      <c r="BS15" s="280">
        <v>1640</v>
      </c>
      <c r="BT15" s="280">
        <v>2400</v>
      </c>
      <c r="BU15" s="2195">
        <v>3440</v>
      </c>
      <c r="BX15" s="2174"/>
      <c r="CA15" s="2193">
        <v>17.100000000000001</v>
      </c>
      <c r="CB15" s="2195">
        <v>21.5</v>
      </c>
      <c r="CC15" s="2195">
        <v>31.7</v>
      </c>
      <c r="CD15" s="2195">
        <v>45.5</v>
      </c>
      <c r="CE15" s="2195">
        <v>61.1</v>
      </c>
      <c r="CF15" s="2195">
        <v>82.7</v>
      </c>
      <c r="CG15" s="2195">
        <v>129</v>
      </c>
      <c r="CH15" s="2195">
        <v>175</v>
      </c>
      <c r="CI15" s="2195">
        <v>264</v>
      </c>
      <c r="CJ15" s="2195">
        <v>326</v>
      </c>
      <c r="CK15" s="2195">
        <v>494</v>
      </c>
      <c r="CL15" s="280">
        <v>691</v>
      </c>
      <c r="CM15" s="280">
        <v>980</v>
      </c>
      <c r="CN15" s="280">
        <v>1390</v>
      </c>
      <c r="CO15" s="2195">
        <v>0</v>
      </c>
      <c r="CR15" s="2187">
        <v>17.100000000000001</v>
      </c>
      <c r="CS15" s="2187">
        <v>18.899999999999999</v>
      </c>
      <c r="CV15" s="2193">
        <v>17.100000000000001</v>
      </c>
      <c r="CW15" s="2195">
        <v>21.5</v>
      </c>
      <c r="CX15" s="2195">
        <v>31.7</v>
      </c>
      <c r="CY15" s="2195">
        <v>45.5</v>
      </c>
      <c r="CZ15" s="2195">
        <v>61.1</v>
      </c>
      <c r="DA15" s="2195">
        <v>82.7</v>
      </c>
      <c r="DB15" s="2195">
        <v>129</v>
      </c>
      <c r="DC15" s="2195">
        <v>175</v>
      </c>
      <c r="DD15" s="2195">
        <v>264</v>
      </c>
      <c r="DE15" s="2195">
        <v>326</v>
      </c>
      <c r="DF15" s="2195">
        <v>494</v>
      </c>
      <c r="DG15" s="280">
        <v>691</v>
      </c>
      <c r="DH15" s="280">
        <v>980</v>
      </c>
      <c r="DI15" s="280">
        <v>1390</v>
      </c>
      <c r="DJ15" s="2195">
        <v>0</v>
      </c>
      <c r="DS15" s="277"/>
      <c r="DW15" s="1"/>
      <c r="DY15" s="777" t="s">
        <v>2795</v>
      </c>
      <c r="DZ15" s="778" t="s">
        <v>2175</v>
      </c>
      <c r="EA15" s="778" t="s">
        <v>2176</v>
      </c>
      <c r="EB15" s="779" t="s">
        <v>2173</v>
      </c>
      <c r="EC15" s="779" t="s">
        <v>1682</v>
      </c>
      <c r="ED15" s="779" t="s">
        <v>2174</v>
      </c>
      <c r="EE15" s="2" t="str">
        <f>ED151</f>
        <v>Right</v>
      </c>
      <c r="EF15" s="281"/>
      <c r="EO15" s="286"/>
      <c r="EP15" s="286"/>
      <c r="EW15" s="277" t="str">
        <f>ED151</f>
        <v>Right</v>
      </c>
      <c r="EX15" s="277" t="str">
        <f>ED383</f>
        <v>Right</v>
      </c>
      <c r="EY15" s="277" t="str">
        <f>IF(FG40&gt;50,"Right",GD80)</f>
        <v>Right</v>
      </c>
      <c r="EZ15" s="277" t="str">
        <f>IF(HS40&gt;31.4,"Right",HT80)</f>
        <v>Right</v>
      </c>
      <c r="FB15" s="2174"/>
      <c r="FC15" s="2174"/>
      <c r="FF15" s="2193">
        <v>20</v>
      </c>
      <c r="FG15" s="2195">
        <v>27</v>
      </c>
      <c r="FH15" s="2195">
        <v>39</v>
      </c>
      <c r="FI15" s="2195">
        <v>54</v>
      </c>
      <c r="FJ15" s="2195">
        <v>70</v>
      </c>
      <c r="FK15" s="2195">
        <v>98</v>
      </c>
      <c r="FL15" s="2195">
        <v>140</v>
      </c>
      <c r="FM15" s="2195">
        <v>200</v>
      </c>
      <c r="FN15" s="2195">
        <v>290</v>
      </c>
      <c r="FO15" s="2195">
        <v>380</v>
      </c>
      <c r="FP15" s="2195">
        <v>550</v>
      </c>
      <c r="FQ15" s="280">
        <v>880</v>
      </c>
      <c r="FR15" s="280">
        <v>1240</v>
      </c>
      <c r="FS15" s="280">
        <v>1640</v>
      </c>
      <c r="FT15" s="280">
        <v>2400</v>
      </c>
      <c r="FU15" s="2195">
        <v>3440</v>
      </c>
      <c r="FX15" s="2187">
        <v>20</v>
      </c>
      <c r="FY15" s="2187">
        <v>22.4</v>
      </c>
      <c r="GB15" s="2193">
        <v>20</v>
      </c>
      <c r="GC15" s="2195">
        <v>27</v>
      </c>
      <c r="GD15" s="2195">
        <v>39</v>
      </c>
      <c r="GE15" s="2195">
        <v>54</v>
      </c>
      <c r="GF15" s="2195">
        <v>70</v>
      </c>
      <c r="GG15" s="2195">
        <v>98</v>
      </c>
      <c r="GH15" s="2195">
        <v>140</v>
      </c>
      <c r="GI15" s="2195">
        <v>200</v>
      </c>
      <c r="GJ15" s="2195">
        <v>290</v>
      </c>
      <c r="GK15" s="2195">
        <v>380</v>
      </c>
      <c r="GL15" s="2195">
        <v>550</v>
      </c>
      <c r="GM15" s="280">
        <v>880</v>
      </c>
      <c r="GN15" s="280">
        <v>1240</v>
      </c>
      <c r="GO15" s="280">
        <v>1640</v>
      </c>
      <c r="GP15" s="280">
        <v>2400</v>
      </c>
      <c r="GQ15" s="2195">
        <v>3440</v>
      </c>
      <c r="GT15" s="2174"/>
      <c r="GW15" s="2193">
        <v>17.100000000000001</v>
      </c>
      <c r="GX15" s="2195">
        <v>21.5</v>
      </c>
      <c r="GY15" s="2195">
        <v>31.7</v>
      </c>
      <c r="GZ15" s="2195">
        <v>45.5</v>
      </c>
      <c r="HA15" s="2195">
        <v>61.1</v>
      </c>
      <c r="HB15" s="2195">
        <v>82.7</v>
      </c>
      <c r="HC15" s="2195">
        <v>129</v>
      </c>
      <c r="HD15" s="2195">
        <v>175</v>
      </c>
      <c r="HE15" s="2195">
        <v>264</v>
      </c>
      <c r="HF15" s="2195">
        <v>326</v>
      </c>
      <c r="HG15" s="2195">
        <v>494</v>
      </c>
      <c r="HH15" s="280">
        <v>691</v>
      </c>
      <c r="HI15" s="280">
        <v>980</v>
      </c>
      <c r="HJ15" s="280">
        <v>1390</v>
      </c>
      <c r="HK15" s="2195">
        <v>0</v>
      </c>
      <c r="HN15" s="2187">
        <v>17.100000000000001</v>
      </c>
      <c r="HO15" s="2187">
        <v>18.899999999999999</v>
      </c>
      <c r="HR15" s="2193">
        <v>17.100000000000001</v>
      </c>
      <c r="HS15" s="2195">
        <v>21.5</v>
      </c>
      <c r="HT15" s="2195">
        <v>31.7</v>
      </c>
      <c r="HU15" s="2195">
        <v>45.5</v>
      </c>
      <c r="HV15" s="2195">
        <v>61.1</v>
      </c>
      <c r="HW15" s="2195">
        <v>82.7</v>
      </c>
      <c r="HX15" s="2195">
        <v>129</v>
      </c>
      <c r="HY15" s="2195">
        <v>175</v>
      </c>
      <c r="HZ15" s="2195">
        <v>264</v>
      </c>
      <c r="IA15" s="2195">
        <v>326</v>
      </c>
      <c r="IB15" s="2195">
        <v>494</v>
      </c>
      <c r="IC15" s="280">
        <v>691</v>
      </c>
      <c r="ID15" s="280">
        <v>980</v>
      </c>
      <c r="IE15" s="280">
        <v>1390</v>
      </c>
      <c r="IF15" s="2195">
        <v>0</v>
      </c>
      <c r="IN15" s="277"/>
      <c r="IO15" s="277"/>
    </row>
    <row r="16" spans="1:249" s="286" customFormat="1" ht="21.95" customHeight="1">
      <c r="B16" s="8"/>
      <c r="C16" s="283" t="s">
        <v>651</v>
      </c>
      <c r="D16" s="285">
        <f t="shared" ref="D16:E19" si="2">G147</f>
        <v>9.31</v>
      </c>
      <c r="E16" s="285" t="str">
        <f t="shared" si="2"/>
        <v>3AH400</v>
      </c>
      <c r="F16" s="285">
        <f>VLOOKUP(E16,C49:F66,2,0)</f>
        <v>46500</v>
      </c>
      <c r="G16" s="285"/>
      <c r="H16" s="285">
        <f>VLOOKUP(E16,C49:F66,4,0)</f>
        <v>330</v>
      </c>
      <c r="I16" s="281"/>
      <c r="J16" s="281"/>
      <c r="K16" s="277"/>
      <c r="L16" s="277"/>
      <c r="M16" s="277"/>
      <c r="N16" s="277"/>
      <c r="O16" s="277"/>
      <c r="AA16" s="277" t="str">
        <f>+AA15</f>
        <v>Right</v>
      </c>
      <c r="AB16" s="277" t="str">
        <f>+AB15</f>
        <v>Right</v>
      </c>
      <c r="AC16" s="277" t="str">
        <f>IF(AK40&gt;50,"Right",BH73)</f>
        <v>Right</v>
      </c>
      <c r="AD16" s="277" t="str">
        <f>IF(CW40&gt;31.4,"Right",CX73)</f>
        <v>Right</v>
      </c>
      <c r="AF16" s="2174"/>
      <c r="AG16" s="2174"/>
      <c r="AJ16" s="773">
        <v>22.4</v>
      </c>
      <c r="AK16" s="2196">
        <v>24</v>
      </c>
      <c r="AL16" s="2196">
        <v>35</v>
      </c>
      <c r="AM16" s="2196">
        <v>50</v>
      </c>
      <c r="AN16" s="2196">
        <v>65</v>
      </c>
      <c r="AO16" s="2196">
        <v>91</v>
      </c>
      <c r="AP16" s="2196">
        <v>130</v>
      </c>
      <c r="AQ16" s="2196">
        <v>190</v>
      </c>
      <c r="AR16" s="2196">
        <v>265</v>
      </c>
      <c r="AS16" s="2196">
        <v>345</v>
      </c>
      <c r="AT16" s="2196">
        <v>520</v>
      </c>
      <c r="AU16" s="275">
        <v>780</v>
      </c>
      <c r="AV16" s="275">
        <v>1100</v>
      </c>
      <c r="AW16" s="275">
        <v>1450</v>
      </c>
      <c r="AX16" s="275">
        <v>2120</v>
      </c>
      <c r="AY16" s="2196">
        <v>3040</v>
      </c>
      <c r="BB16" s="2187">
        <v>22.4</v>
      </c>
      <c r="BC16" s="2187">
        <v>25</v>
      </c>
      <c r="BF16" s="773">
        <v>22.4</v>
      </c>
      <c r="BG16" s="2196">
        <v>24</v>
      </c>
      <c r="BH16" s="2196">
        <v>35</v>
      </c>
      <c r="BI16" s="2196">
        <v>50</v>
      </c>
      <c r="BJ16" s="2196">
        <v>65</v>
      </c>
      <c r="BK16" s="2196">
        <v>91</v>
      </c>
      <c r="BL16" s="2196">
        <v>130</v>
      </c>
      <c r="BM16" s="2196">
        <v>190</v>
      </c>
      <c r="BN16" s="2196">
        <v>265</v>
      </c>
      <c r="BO16" s="2196">
        <v>345</v>
      </c>
      <c r="BP16" s="2196">
        <v>520</v>
      </c>
      <c r="BQ16" s="275">
        <v>780</v>
      </c>
      <c r="BR16" s="275">
        <v>1100</v>
      </c>
      <c r="BS16" s="275">
        <v>1450</v>
      </c>
      <c r="BT16" s="275">
        <v>2120</v>
      </c>
      <c r="BU16" s="2196">
        <v>3040</v>
      </c>
      <c r="BX16" s="2174"/>
      <c r="CA16" s="773">
        <v>18.899999999999999</v>
      </c>
      <c r="CB16" s="2196">
        <v>19.100000000000001</v>
      </c>
      <c r="CC16" s="2196">
        <v>28.5</v>
      </c>
      <c r="CD16" s="2196">
        <v>41</v>
      </c>
      <c r="CE16" s="2196">
        <v>47.6</v>
      </c>
      <c r="CF16" s="2196">
        <v>70.599999999999994</v>
      </c>
      <c r="CG16" s="2196">
        <v>100</v>
      </c>
      <c r="CH16" s="2196">
        <v>144</v>
      </c>
      <c r="CI16" s="2196">
        <v>204</v>
      </c>
      <c r="CJ16" s="2196">
        <v>283</v>
      </c>
      <c r="CK16" s="2196">
        <v>389</v>
      </c>
      <c r="CL16" s="275">
        <v>563</v>
      </c>
      <c r="CM16" s="275">
        <v>900</v>
      </c>
      <c r="CN16" s="275">
        <v>1280</v>
      </c>
      <c r="CO16" s="2196">
        <v>0</v>
      </c>
      <c r="CR16" s="2187">
        <v>18.899999999999999</v>
      </c>
      <c r="CS16" s="2187">
        <v>20.9</v>
      </c>
      <c r="CV16" s="773">
        <v>18.899999999999999</v>
      </c>
      <c r="CW16" s="2196">
        <v>19.100000000000001</v>
      </c>
      <c r="CX16" s="2196">
        <v>28.5</v>
      </c>
      <c r="CY16" s="2196">
        <v>41</v>
      </c>
      <c r="CZ16" s="2196">
        <v>47.6</v>
      </c>
      <c r="DA16" s="2196">
        <v>70.599999999999994</v>
      </c>
      <c r="DB16" s="2196">
        <v>100</v>
      </c>
      <c r="DC16" s="2196">
        <v>144</v>
      </c>
      <c r="DD16" s="2196">
        <v>204</v>
      </c>
      <c r="DE16" s="2196">
        <v>283</v>
      </c>
      <c r="DF16" s="2196">
        <v>389</v>
      </c>
      <c r="DG16" s="275">
        <v>563</v>
      </c>
      <c r="DH16" s="275">
        <v>900</v>
      </c>
      <c r="DI16" s="275">
        <v>1280</v>
      </c>
      <c r="DJ16" s="2196">
        <v>0</v>
      </c>
      <c r="DQ16" s="2171"/>
      <c r="DR16" s="2171"/>
      <c r="DX16" s="8"/>
      <c r="DY16" s="283" t="s">
        <v>651</v>
      </c>
      <c r="DZ16" s="285">
        <f t="shared" ref="DZ16:EA19" si="3">EC147</f>
        <v>13.66</v>
      </c>
      <c r="EA16" s="285" t="str">
        <f t="shared" si="3"/>
        <v>3AH400</v>
      </c>
      <c r="EB16" s="285">
        <f>VLOOKUP(EA16,DY49:EB66,2,0)</f>
        <v>46500</v>
      </c>
      <c r="EC16" s="285"/>
      <c r="ED16" s="285">
        <f>VLOOKUP(EA16,DY49:EB66,4,0)</f>
        <v>330</v>
      </c>
      <c r="EE16" s="281"/>
      <c r="EF16" s="281"/>
      <c r="EG16" s="277"/>
      <c r="EH16" s="277"/>
      <c r="EI16" s="277"/>
      <c r="EJ16" s="277"/>
      <c r="EK16" s="277"/>
      <c r="EW16" s="277" t="str">
        <f>+EW15</f>
        <v>Right</v>
      </c>
      <c r="EX16" s="277" t="str">
        <f>+EX15</f>
        <v>Right</v>
      </c>
      <c r="EY16" s="277" t="str">
        <f>IF(FG40&gt;50,"Right",GD73)</f>
        <v>Right</v>
      </c>
      <c r="EZ16" s="277" t="str">
        <f>IF(HS40&gt;31.4,"Right",HT73)</f>
        <v>Right</v>
      </c>
      <c r="FB16" s="2174"/>
      <c r="FC16" s="2174"/>
      <c r="FF16" s="773">
        <v>22.4</v>
      </c>
      <c r="FG16" s="2196">
        <v>24</v>
      </c>
      <c r="FH16" s="2196">
        <v>35</v>
      </c>
      <c r="FI16" s="2196">
        <v>50</v>
      </c>
      <c r="FJ16" s="2196">
        <v>65</v>
      </c>
      <c r="FK16" s="2196">
        <v>91</v>
      </c>
      <c r="FL16" s="2196">
        <v>130</v>
      </c>
      <c r="FM16" s="2196">
        <v>190</v>
      </c>
      <c r="FN16" s="2196">
        <v>265</v>
      </c>
      <c r="FO16" s="2196">
        <v>345</v>
      </c>
      <c r="FP16" s="2196">
        <v>520</v>
      </c>
      <c r="FQ16" s="275">
        <v>780</v>
      </c>
      <c r="FR16" s="275">
        <v>1100</v>
      </c>
      <c r="FS16" s="275">
        <v>1450</v>
      </c>
      <c r="FT16" s="275">
        <v>2120</v>
      </c>
      <c r="FU16" s="2196">
        <v>3040</v>
      </c>
      <c r="FX16" s="2187">
        <v>22.4</v>
      </c>
      <c r="FY16" s="2187">
        <v>25</v>
      </c>
      <c r="GB16" s="773">
        <v>22.4</v>
      </c>
      <c r="GC16" s="2196">
        <v>24</v>
      </c>
      <c r="GD16" s="2196">
        <v>35</v>
      </c>
      <c r="GE16" s="2196">
        <v>50</v>
      </c>
      <c r="GF16" s="2196">
        <v>65</v>
      </c>
      <c r="GG16" s="2196">
        <v>91</v>
      </c>
      <c r="GH16" s="2196">
        <v>130</v>
      </c>
      <c r="GI16" s="2196">
        <v>190</v>
      </c>
      <c r="GJ16" s="2196">
        <v>265</v>
      </c>
      <c r="GK16" s="2196">
        <v>345</v>
      </c>
      <c r="GL16" s="2196">
        <v>520</v>
      </c>
      <c r="GM16" s="275">
        <v>780</v>
      </c>
      <c r="GN16" s="275">
        <v>1100</v>
      </c>
      <c r="GO16" s="275">
        <v>1450</v>
      </c>
      <c r="GP16" s="275">
        <v>2120</v>
      </c>
      <c r="GQ16" s="2196">
        <v>3040</v>
      </c>
      <c r="GT16" s="2174"/>
      <c r="GW16" s="773">
        <v>18.899999999999999</v>
      </c>
      <c r="GX16" s="2196">
        <v>19.100000000000001</v>
      </c>
      <c r="GY16" s="2196">
        <v>28.5</v>
      </c>
      <c r="GZ16" s="2196">
        <v>41</v>
      </c>
      <c r="HA16" s="2196">
        <v>47.6</v>
      </c>
      <c r="HB16" s="2196">
        <v>70.599999999999994</v>
      </c>
      <c r="HC16" s="2196">
        <v>100</v>
      </c>
      <c r="HD16" s="2196">
        <v>144</v>
      </c>
      <c r="HE16" s="2196">
        <v>204</v>
      </c>
      <c r="HF16" s="2196">
        <v>283</v>
      </c>
      <c r="HG16" s="2196">
        <v>389</v>
      </c>
      <c r="HH16" s="275">
        <v>563</v>
      </c>
      <c r="HI16" s="275">
        <v>900</v>
      </c>
      <c r="HJ16" s="275">
        <v>1280</v>
      </c>
      <c r="HK16" s="2196">
        <v>0</v>
      </c>
      <c r="HN16" s="2187">
        <v>18.899999999999999</v>
      </c>
      <c r="HO16" s="2187">
        <v>20.9</v>
      </c>
      <c r="HR16" s="773">
        <v>18.899999999999999</v>
      </c>
      <c r="HS16" s="2196">
        <v>19.100000000000001</v>
      </c>
      <c r="HT16" s="2196">
        <v>28.5</v>
      </c>
      <c r="HU16" s="2196">
        <v>41</v>
      </c>
      <c r="HV16" s="2196">
        <v>47.6</v>
      </c>
      <c r="HW16" s="2196">
        <v>70.599999999999994</v>
      </c>
      <c r="HX16" s="2196">
        <v>100</v>
      </c>
      <c r="HY16" s="2196">
        <v>144</v>
      </c>
      <c r="HZ16" s="2196">
        <v>204</v>
      </c>
      <c r="IA16" s="2196">
        <v>283</v>
      </c>
      <c r="IB16" s="2196">
        <v>389</v>
      </c>
      <c r="IC16" s="275">
        <v>563</v>
      </c>
      <c r="ID16" s="275">
        <v>900</v>
      </c>
      <c r="IE16" s="275">
        <v>1280</v>
      </c>
      <c r="IF16" s="2196">
        <v>0</v>
      </c>
    </row>
    <row r="17" spans="2:249" ht="21.95" customHeight="1">
      <c r="C17" s="283" t="s">
        <v>654</v>
      </c>
      <c r="D17" s="284">
        <f t="shared" si="2"/>
        <v>6.73</v>
      </c>
      <c r="E17" s="285" t="str">
        <f t="shared" si="2"/>
        <v>3AH400</v>
      </c>
      <c r="F17" s="284">
        <f>VLOOKUP(E17,C49:F66,2,0)</f>
        <v>46500</v>
      </c>
      <c r="G17" s="284"/>
      <c r="H17" s="284">
        <f>VLOOKUP(E17,C49:F66,4,0)</f>
        <v>330</v>
      </c>
      <c r="I17" s="281"/>
      <c r="J17" s="281"/>
      <c r="L17" s="286"/>
      <c r="M17" s="286"/>
      <c r="N17" s="286"/>
      <c r="O17" s="286"/>
      <c r="S17" s="286"/>
      <c r="T17" s="286"/>
      <c r="AA17" s="2197" t="str">
        <f>IF(AA6="Right",IF(AA7="Right",IF(AA8="Right",IF(AA9="Right",IF(AA10="Right",IF(AA11="Right",IF(AA12="Right",IF(AA13="Right",IF(AA14="Right",IF(AA15="Right",IF(AA16="Right","Right","Wrong")))))))))))</f>
        <v>Right</v>
      </c>
      <c r="AB17" s="2197" t="str">
        <f>IF(AB6="Right",IF(AB7="Right",IF(AB8="Right",IF(AB9="Right",IF(AB10="Right",IF(AB11="Right",IF(AB12="Right",IF(AB13="Right",IF(AB14="Right",IF(AB15="Right",IF(AB16="Right","Right","Wrong")))))))))))</f>
        <v>Right</v>
      </c>
      <c r="AC17" s="2197" t="str">
        <f t="shared" ref="AC17" si="4">IF(AC6="Right",IF(AC7="Right",IF(AC8="Right",IF(AC9="Right",IF(AC10="Right",IF(AC11="Right",IF(AC12="Right",IF(AC13="Right",IF(AC14="Right",IF(AC15="Right",IF(AC16="Right","Right","Wrong")))))))))))</f>
        <v>Right</v>
      </c>
      <c r="AD17" s="2197" t="str">
        <f>IF(AD6="Right",IF(AD7="Right",IF(AD8="Right",IF(AD9="Right",IF(AD10="Right",IF(AD11="Right",IF(AD12="Right",IF(AD13="Right",IF(AD14="Right",IF(AD15="Right",IF(AD16="Right","Right","Wrong")))))))))))</f>
        <v>Right</v>
      </c>
      <c r="AF17" s="2174"/>
      <c r="AG17" s="2174"/>
      <c r="AJ17" s="2193">
        <v>25</v>
      </c>
      <c r="AK17" s="2195">
        <v>20</v>
      </c>
      <c r="AL17" s="2195">
        <v>30</v>
      </c>
      <c r="AM17" s="2195">
        <v>42</v>
      </c>
      <c r="AN17" s="2195">
        <v>57</v>
      </c>
      <c r="AO17" s="2195">
        <v>80</v>
      </c>
      <c r="AP17" s="2195">
        <v>110</v>
      </c>
      <c r="AQ17" s="2195">
        <v>165</v>
      </c>
      <c r="AR17" s="2195">
        <v>255</v>
      </c>
      <c r="AS17" s="2195">
        <v>315</v>
      </c>
      <c r="AT17" s="2195">
        <v>460</v>
      </c>
      <c r="AU17" s="280">
        <v>730</v>
      </c>
      <c r="AV17" s="280">
        <v>1040</v>
      </c>
      <c r="AW17" s="280">
        <v>1350</v>
      </c>
      <c r="AX17" s="280">
        <v>2010</v>
      </c>
      <c r="AY17" s="2195">
        <v>2900</v>
      </c>
      <c r="BB17" s="2187">
        <v>25</v>
      </c>
      <c r="BC17" s="2187">
        <v>28</v>
      </c>
      <c r="BF17" s="2193">
        <v>25</v>
      </c>
      <c r="BG17" s="2195">
        <v>20</v>
      </c>
      <c r="BH17" s="2195">
        <v>30</v>
      </c>
      <c r="BI17" s="2195">
        <v>42</v>
      </c>
      <c r="BJ17" s="2195">
        <v>57</v>
      </c>
      <c r="BK17" s="2195">
        <v>80</v>
      </c>
      <c r="BL17" s="2195">
        <v>110</v>
      </c>
      <c r="BM17" s="2195">
        <v>165</v>
      </c>
      <c r="BN17" s="2195">
        <v>255</v>
      </c>
      <c r="BO17" s="2195">
        <v>315</v>
      </c>
      <c r="BP17" s="2195">
        <v>460</v>
      </c>
      <c r="BQ17" s="280">
        <v>730</v>
      </c>
      <c r="BR17" s="280">
        <v>1040</v>
      </c>
      <c r="BS17" s="280">
        <v>1350</v>
      </c>
      <c r="BT17" s="280">
        <v>2010</v>
      </c>
      <c r="BU17" s="2195">
        <v>2900</v>
      </c>
      <c r="BX17" s="2174"/>
      <c r="CA17" s="2193">
        <v>20.9</v>
      </c>
      <c r="CB17" s="2195">
        <v>16.600000000000001</v>
      </c>
      <c r="CC17" s="2195">
        <v>26.6</v>
      </c>
      <c r="CD17" s="2195">
        <v>36</v>
      </c>
      <c r="CE17" s="2195">
        <v>46.5</v>
      </c>
      <c r="CF17" s="2195">
        <v>61</v>
      </c>
      <c r="CG17" s="2195">
        <v>87.5</v>
      </c>
      <c r="CH17" s="2195">
        <v>132</v>
      </c>
      <c r="CI17" s="2195">
        <v>181</v>
      </c>
      <c r="CJ17" s="2195">
        <v>252</v>
      </c>
      <c r="CK17" s="2195">
        <v>334</v>
      </c>
      <c r="CL17" s="280">
        <v>540</v>
      </c>
      <c r="CM17" s="280">
        <v>830</v>
      </c>
      <c r="CN17" s="280">
        <v>1230</v>
      </c>
      <c r="CO17" s="2195">
        <v>0</v>
      </c>
      <c r="CR17" s="2187">
        <v>20.9</v>
      </c>
      <c r="CS17" s="2187">
        <v>23.2</v>
      </c>
      <c r="CV17" s="2193">
        <v>20.9</v>
      </c>
      <c r="CW17" s="2195">
        <v>16.600000000000001</v>
      </c>
      <c r="CX17" s="2195">
        <v>26.6</v>
      </c>
      <c r="CY17" s="2195">
        <v>36</v>
      </c>
      <c r="CZ17" s="2195">
        <v>46.5</v>
      </c>
      <c r="DA17" s="2195">
        <v>61</v>
      </c>
      <c r="DB17" s="2195">
        <v>87.5</v>
      </c>
      <c r="DC17" s="2195">
        <v>132</v>
      </c>
      <c r="DD17" s="2195">
        <v>181</v>
      </c>
      <c r="DE17" s="2195">
        <v>252</v>
      </c>
      <c r="DF17" s="2195">
        <v>334</v>
      </c>
      <c r="DG17" s="280">
        <v>540</v>
      </c>
      <c r="DH17" s="280">
        <v>830</v>
      </c>
      <c r="DI17" s="280">
        <v>1230</v>
      </c>
      <c r="DJ17" s="2195">
        <v>0</v>
      </c>
      <c r="DS17" s="277"/>
      <c r="DW17" s="1"/>
      <c r="DY17" s="283" t="s">
        <v>654</v>
      </c>
      <c r="DZ17" s="284">
        <f t="shared" si="3"/>
        <v>9.8000000000000007</v>
      </c>
      <c r="EA17" s="285" t="str">
        <f t="shared" si="3"/>
        <v>3AH400</v>
      </c>
      <c r="EB17" s="284">
        <f>VLOOKUP(EA17,DY49:EB66,2,0)</f>
        <v>46500</v>
      </c>
      <c r="EC17" s="284"/>
      <c r="ED17" s="284">
        <f>VLOOKUP(EA17,DY49:EB66,4,0)</f>
        <v>330</v>
      </c>
      <c r="EE17" s="281"/>
      <c r="EF17" s="281"/>
      <c r="EH17" s="286"/>
      <c r="EI17" s="286"/>
      <c r="EJ17" s="286"/>
      <c r="EK17" s="286"/>
      <c r="EO17" s="286"/>
      <c r="EP17" s="286"/>
      <c r="EW17" s="2197" t="str">
        <f>IF(EW6="Right",IF(EW7="Right",IF(EW8="Right",IF(EW9="Right",IF(EW10="Right",IF(EW11="Right",IF(EW12="Right",IF(EW13="Right",IF(EW14="Right",IF(EW15="Right",IF(EW16="Right","Right","Wrong")))))))))))</f>
        <v>Right</v>
      </c>
      <c r="EX17" s="2197" t="str">
        <f>IF(EX6="Right",IF(EX7="Right",IF(EX8="Right",IF(EX9="Right",IF(EX10="Right",IF(EX11="Right",IF(EX12="Right",IF(EX13="Right",IF(EX14="Right",IF(EX15="Right",IF(EX16="Right","Right","Wrong")))))))))))</f>
        <v>Right</v>
      </c>
      <c r="EY17" s="2197" t="str">
        <f>IF(EY6="Right",IF(EY7="Right",IF(EY8="Right",IF(EY9="Right",IF(EY10="Right",IF(EY11="Right",IF(EY12="Right",IF(EY13="Right",IF(EY14="Right",IF(EY15="Right",IF(EY16="Right","Right","Wrong")))))))))))</f>
        <v>Right</v>
      </c>
      <c r="EZ17" s="2197" t="str">
        <f>IF(EZ6="Right",IF(EZ7="Right",IF(EZ8="Right",IF(EZ9="Right",IF(EZ10="Right",IF(EZ11="Right",IF(EZ12="Right",IF(EZ13="Right",IF(EZ14="Right",IF(EZ15="Right",IF(EZ16="Right","Right","Wrong")))))))))))</f>
        <v>Right</v>
      </c>
      <c r="FB17" s="2174"/>
      <c r="FC17" s="2174"/>
      <c r="FF17" s="2193">
        <v>25</v>
      </c>
      <c r="FG17" s="2195">
        <v>20</v>
      </c>
      <c r="FH17" s="2195">
        <v>30</v>
      </c>
      <c r="FI17" s="2195">
        <v>42</v>
      </c>
      <c r="FJ17" s="2195">
        <v>57</v>
      </c>
      <c r="FK17" s="2195">
        <v>80</v>
      </c>
      <c r="FL17" s="2195">
        <v>110</v>
      </c>
      <c r="FM17" s="2195">
        <v>165</v>
      </c>
      <c r="FN17" s="2195">
        <v>255</v>
      </c>
      <c r="FO17" s="2195">
        <v>315</v>
      </c>
      <c r="FP17" s="2195">
        <v>460</v>
      </c>
      <c r="FQ17" s="280">
        <v>730</v>
      </c>
      <c r="FR17" s="280">
        <v>1040</v>
      </c>
      <c r="FS17" s="280">
        <v>1350</v>
      </c>
      <c r="FT17" s="280">
        <v>2010</v>
      </c>
      <c r="FU17" s="2195">
        <v>2900</v>
      </c>
      <c r="FX17" s="2187">
        <v>25</v>
      </c>
      <c r="FY17" s="2187">
        <v>28</v>
      </c>
      <c r="GB17" s="2193">
        <v>25</v>
      </c>
      <c r="GC17" s="2195">
        <v>20</v>
      </c>
      <c r="GD17" s="2195">
        <v>30</v>
      </c>
      <c r="GE17" s="2195">
        <v>42</v>
      </c>
      <c r="GF17" s="2195">
        <v>57</v>
      </c>
      <c r="GG17" s="2195">
        <v>80</v>
      </c>
      <c r="GH17" s="2195">
        <v>110</v>
      </c>
      <c r="GI17" s="2195">
        <v>165</v>
      </c>
      <c r="GJ17" s="2195">
        <v>255</v>
      </c>
      <c r="GK17" s="2195">
        <v>315</v>
      </c>
      <c r="GL17" s="2195">
        <v>460</v>
      </c>
      <c r="GM17" s="280">
        <v>730</v>
      </c>
      <c r="GN17" s="280">
        <v>1040</v>
      </c>
      <c r="GO17" s="280">
        <v>1350</v>
      </c>
      <c r="GP17" s="280">
        <v>2010</v>
      </c>
      <c r="GQ17" s="2195">
        <v>2900</v>
      </c>
      <c r="GT17" s="2174"/>
      <c r="GW17" s="2193">
        <v>20.9</v>
      </c>
      <c r="GX17" s="2195">
        <v>16.600000000000001</v>
      </c>
      <c r="GY17" s="2195">
        <v>26.6</v>
      </c>
      <c r="GZ17" s="2195">
        <v>36</v>
      </c>
      <c r="HA17" s="2195">
        <v>46.5</v>
      </c>
      <c r="HB17" s="2195">
        <v>61</v>
      </c>
      <c r="HC17" s="2195">
        <v>87.5</v>
      </c>
      <c r="HD17" s="2195">
        <v>132</v>
      </c>
      <c r="HE17" s="2195">
        <v>181</v>
      </c>
      <c r="HF17" s="2195">
        <v>252</v>
      </c>
      <c r="HG17" s="2195">
        <v>334</v>
      </c>
      <c r="HH17" s="280">
        <v>540</v>
      </c>
      <c r="HI17" s="280">
        <v>830</v>
      </c>
      <c r="HJ17" s="280">
        <v>1230</v>
      </c>
      <c r="HK17" s="2195">
        <v>0</v>
      </c>
      <c r="HN17" s="2187">
        <v>20.9</v>
      </c>
      <c r="HO17" s="2187">
        <v>23.2</v>
      </c>
      <c r="HR17" s="2193">
        <v>20.9</v>
      </c>
      <c r="HS17" s="2195">
        <v>16.600000000000001</v>
      </c>
      <c r="HT17" s="2195">
        <v>26.6</v>
      </c>
      <c r="HU17" s="2195">
        <v>36</v>
      </c>
      <c r="HV17" s="2195">
        <v>46.5</v>
      </c>
      <c r="HW17" s="2195">
        <v>61</v>
      </c>
      <c r="HX17" s="2195">
        <v>87.5</v>
      </c>
      <c r="HY17" s="2195">
        <v>132</v>
      </c>
      <c r="HZ17" s="2195">
        <v>181</v>
      </c>
      <c r="IA17" s="2195">
        <v>252</v>
      </c>
      <c r="IB17" s="2195">
        <v>334</v>
      </c>
      <c r="IC17" s="280">
        <v>540</v>
      </c>
      <c r="ID17" s="280">
        <v>830</v>
      </c>
      <c r="IE17" s="280">
        <v>1230</v>
      </c>
      <c r="IF17" s="2195">
        <v>0</v>
      </c>
      <c r="IN17" s="277"/>
      <c r="IO17" s="277"/>
    </row>
    <row r="18" spans="2:249" ht="21.95" customHeight="1">
      <c r="B18" s="286"/>
      <c r="C18" s="283" t="s">
        <v>658</v>
      </c>
      <c r="D18" s="284">
        <f t="shared" si="2"/>
        <v>5.87</v>
      </c>
      <c r="E18" s="285" t="str">
        <f t="shared" si="2"/>
        <v>3AH400</v>
      </c>
      <c r="F18" s="284">
        <f>VLOOKUP(E18,C49:F66,2,0)</f>
        <v>46500</v>
      </c>
      <c r="G18" s="284"/>
      <c r="H18" s="284">
        <f>VLOOKUP(E18,C49:F66,4,0)</f>
        <v>330</v>
      </c>
      <c r="I18" s="281"/>
      <c r="J18" s="281"/>
      <c r="S18" s="286"/>
      <c r="T18" s="286"/>
      <c r="AF18" s="2174"/>
      <c r="AG18" s="2174"/>
      <c r="AJ18" s="2193">
        <v>28</v>
      </c>
      <c r="AK18" s="2195">
        <v>18</v>
      </c>
      <c r="AL18" s="2195">
        <v>27</v>
      </c>
      <c r="AM18" s="2195">
        <v>38</v>
      </c>
      <c r="AN18" s="2195">
        <v>52</v>
      </c>
      <c r="AO18" s="2195">
        <v>72</v>
      </c>
      <c r="AP18" s="2195">
        <v>100</v>
      </c>
      <c r="AQ18" s="2195">
        <v>150</v>
      </c>
      <c r="AR18" s="2195">
        <v>230</v>
      </c>
      <c r="AS18" s="2195">
        <v>285</v>
      </c>
      <c r="AT18" s="2195">
        <v>420</v>
      </c>
      <c r="AU18" s="280">
        <v>640</v>
      </c>
      <c r="AV18" s="280">
        <v>910</v>
      </c>
      <c r="AW18" s="280">
        <v>1190</v>
      </c>
      <c r="AX18" s="280">
        <v>1770</v>
      </c>
      <c r="AY18" s="2195">
        <v>2550</v>
      </c>
      <c r="BB18" s="2187">
        <v>28</v>
      </c>
      <c r="BC18" s="2187">
        <v>31.5</v>
      </c>
      <c r="BF18" s="2193">
        <v>28</v>
      </c>
      <c r="BG18" s="2195">
        <v>18</v>
      </c>
      <c r="BH18" s="2195">
        <v>27</v>
      </c>
      <c r="BI18" s="2195">
        <v>38</v>
      </c>
      <c r="BJ18" s="2195">
        <v>52</v>
      </c>
      <c r="BK18" s="2195">
        <v>72</v>
      </c>
      <c r="BL18" s="2195">
        <v>100</v>
      </c>
      <c r="BM18" s="2195">
        <v>150</v>
      </c>
      <c r="BN18" s="2195">
        <v>230</v>
      </c>
      <c r="BO18" s="2195">
        <v>285</v>
      </c>
      <c r="BP18" s="2195">
        <v>420</v>
      </c>
      <c r="BQ18" s="280">
        <v>640</v>
      </c>
      <c r="BR18" s="280">
        <v>910</v>
      </c>
      <c r="BS18" s="280">
        <v>1190</v>
      </c>
      <c r="BT18" s="280">
        <v>1770</v>
      </c>
      <c r="BU18" s="2195">
        <v>2550</v>
      </c>
      <c r="BX18" s="2174"/>
      <c r="CA18" s="773">
        <v>23.2</v>
      </c>
      <c r="CB18" s="2196">
        <v>14.9</v>
      </c>
      <c r="CC18" s="2196">
        <v>22</v>
      </c>
      <c r="CD18" s="2196">
        <v>32.5</v>
      </c>
      <c r="CE18" s="2196">
        <v>42.5</v>
      </c>
      <c r="CF18" s="2196">
        <v>54.7</v>
      </c>
      <c r="CG18" s="2196">
        <v>77</v>
      </c>
      <c r="CH18" s="2196">
        <v>121</v>
      </c>
      <c r="CI18" s="2196">
        <v>167</v>
      </c>
      <c r="CJ18" s="2196">
        <v>227</v>
      </c>
      <c r="CK18" s="2196">
        <v>303</v>
      </c>
      <c r="CL18" s="275">
        <v>499</v>
      </c>
      <c r="CM18" s="275">
        <v>0</v>
      </c>
      <c r="CN18" s="275">
        <v>0</v>
      </c>
      <c r="CO18" s="2196">
        <v>0</v>
      </c>
      <c r="CR18" s="2356">
        <v>23.2</v>
      </c>
      <c r="CS18" s="2356">
        <v>25.6</v>
      </c>
      <c r="CV18" s="740">
        <v>23.2</v>
      </c>
      <c r="CW18" s="740">
        <v>14.9</v>
      </c>
      <c r="CX18" s="277">
        <v>22</v>
      </c>
      <c r="CY18" s="2193">
        <v>32.5</v>
      </c>
      <c r="CZ18" s="2195">
        <v>42.5</v>
      </c>
      <c r="DA18" s="2195">
        <v>54.7</v>
      </c>
      <c r="DB18" s="2195">
        <v>77</v>
      </c>
      <c r="DC18" s="2195">
        <v>121</v>
      </c>
      <c r="DD18" s="2195">
        <v>167</v>
      </c>
      <c r="DE18" s="2195">
        <v>227</v>
      </c>
      <c r="DF18" s="2195">
        <v>303</v>
      </c>
      <c r="DG18" s="2195">
        <v>499</v>
      </c>
      <c r="DH18" s="2195">
        <v>0</v>
      </c>
      <c r="DI18" s="2195">
        <v>0</v>
      </c>
      <c r="DJ18" s="280">
        <v>0</v>
      </c>
      <c r="DS18" s="277"/>
      <c r="DW18" s="1"/>
      <c r="DX18" s="286"/>
      <c r="DY18" s="283" t="s">
        <v>658</v>
      </c>
      <c r="DZ18" s="284">
        <f t="shared" si="3"/>
        <v>8.58</v>
      </c>
      <c r="EA18" s="285" t="str">
        <f t="shared" si="3"/>
        <v>3AH400</v>
      </c>
      <c r="EB18" s="284">
        <f>VLOOKUP(EA18,DY49:EB66,2,0)</f>
        <v>46500</v>
      </c>
      <c r="EC18" s="284"/>
      <c r="ED18" s="284">
        <f>VLOOKUP(EA18,DY49:EB66,4,0)</f>
        <v>330</v>
      </c>
      <c r="EE18" s="281"/>
      <c r="EF18" s="281"/>
      <c r="EO18" s="286"/>
      <c r="EP18" s="286"/>
      <c r="FB18" s="2174"/>
      <c r="FC18" s="2174"/>
      <c r="FF18" s="2193">
        <v>28</v>
      </c>
      <c r="FG18" s="2195">
        <v>18</v>
      </c>
      <c r="FH18" s="2195">
        <v>27</v>
      </c>
      <c r="FI18" s="2195">
        <v>38</v>
      </c>
      <c r="FJ18" s="2195">
        <v>52</v>
      </c>
      <c r="FK18" s="2195">
        <v>72</v>
      </c>
      <c r="FL18" s="2195">
        <v>100</v>
      </c>
      <c r="FM18" s="2195">
        <v>150</v>
      </c>
      <c r="FN18" s="2195">
        <v>230</v>
      </c>
      <c r="FO18" s="2195">
        <v>285</v>
      </c>
      <c r="FP18" s="2195">
        <v>420</v>
      </c>
      <c r="FQ18" s="280">
        <v>640</v>
      </c>
      <c r="FR18" s="280">
        <v>910</v>
      </c>
      <c r="FS18" s="280">
        <v>1190</v>
      </c>
      <c r="FT18" s="280">
        <v>1770</v>
      </c>
      <c r="FU18" s="2195">
        <v>2550</v>
      </c>
      <c r="FX18" s="2187">
        <v>28</v>
      </c>
      <c r="FY18" s="2187">
        <v>31.5</v>
      </c>
      <c r="GB18" s="2193">
        <v>28</v>
      </c>
      <c r="GC18" s="2195">
        <v>18</v>
      </c>
      <c r="GD18" s="2195">
        <v>27</v>
      </c>
      <c r="GE18" s="2195">
        <v>38</v>
      </c>
      <c r="GF18" s="2195">
        <v>52</v>
      </c>
      <c r="GG18" s="2195">
        <v>72</v>
      </c>
      <c r="GH18" s="2195">
        <v>100</v>
      </c>
      <c r="GI18" s="2195">
        <v>150</v>
      </c>
      <c r="GJ18" s="2195">
        <v>230</v>
      </c>
      <c r="GK18" s="2195">
        <v>285</v>
      </c>
      <c r="GL18" s="2195">
        <v>420</v>
      </c>
      <c r="GM18" s="280">
        <v>640</v>
      </c>
      <c r="GN18" s="280">
        <v>910</v>
      </c>
      <c r="GO18" s="280">
        <v>1190</v>
      </c>
      <c r="GP18" s="280">
        <v>1770</v>
      </c>
      <c r="GQ18" s="2195">
        <v>2550</v>
      </c>
      <c r="GT18" s="2174"/>
      <c r="GW18" s="773">
        <v>23.2</v>
      </c>
      <c r="GX18" s="2196">
        <v>14.9</v>
      </c>
      <c r="GY18" s="2196">
        <v>22</v>
      </c>
      <c r="GZ18" s="2196">
        <v>32.5</v>
      </c>
      <c r="HA18" s="2196">
        <v>42.5</v>
      </c>
      <c r="HB18" s="2196">
        <v>54.7</v>
      </c>
      <c r="HC18" s="2196">
        <v>77</v>
      </c>
      <c r="HD18" s="2196">
        <v>121</v>
      </c>
      <c r="HE18" s="2196">
        <v>167</v>
      </c>
      <c r="HF18" s="2196">
        <v>227</v>
      </c>
      <c r="HG18" s="2196">
        <v>303</v>
      </c>
      <c r="HH18" s="275">
        <v>499</v>
      </c>
      <c r="HI18" s="275">
        <v>0</v>
      </c>
      <c r="HJ18" s="275">
        <v>0</v>
      </c>
      <c r="HK18" s="2196">
        <v>0</v>
      </c>
      <c r="HN18" s="2356">
        <v>23.2</v>
      </c>
      <c r="HO18" s="2356">
        <v>25.6</v>
      </c>
      <c r="HR18" s="740">
        <v>23.2</v>
      </c>
      <c r="HS18" s="740">
        <v>14.9</v>
      </c>
      <c r="HT18" s="277">
        <v>22</v>
      </c>
      <c r="HU18" s="2193">
        <v>32.5</v>
      </c>
      <c r="HV18" s="2195">
        <v>42.5</v>
      </c>
      <c r="HW18" s="2195">
        <v>54.7</v>
      </c>
      <c r="HX18" s="2195">
        <v>77</v>
      </c>
      <c r="HY18" s="2195">
        <v>121</v>
      </c>
      <c r="HZ18" s="2195">
        <v>167</v>
      </c>
      <c r="IA18" s="2195">
        <v>227</v>
      </c>
      <c r="IB18" s="2195">
        <v>303</v>
      </c>
      <c r="IC18" s="2195">
        <v>499</v>
      </c>
      <c r="ID18" s="2195">
        <v>0</v>
      </c>
      <c r="IE18" s="2195">
        <v>0</v>
      </c>
      <c r="IF18" s="280">
        <v>0</v>
      </c>
      <c r="IN18" s="277"/>
      <c r="IO18" s="277"/>
    </row>
    <row r="19" spans="2:249" ht="21.95" customHeight="1">
      <c r="C19" s="283" t="s">
        <v>662</v>
      </c>
      <c r="D19" s="284">
        <f t="shared" si="2"/>
        <v>3.76</v>
      </c>
      <c r="E19" s="285" t="str">
        <f t="shared" si="2"/>
        <v>3AH400</v>
      </c>
      <c r="F19" s="284">
        <f>VLOOKUP(E19,C49:F66,2,0)</f>
        <v>46500</v>
      </c>
      <c r="G19" s="284"/>
      <c r="H19" s="284">
        <f>VLOOKUP(E19,C49:F66,4,0)</f>
        <v>330</v>
      </c>
      <c r="I19" s="281"/>
      <c r="J19" s="281"/>
      <c r="S19" s="286"/>
      <c r="T19" s="286"/>
      <c r="Z19" s="277" t="str">
        <f>'E Data'!$N$19</f>
        <v>A</v>
      </c>
      <c r="AA19" s="277" t="s">
        <v>2662</v>
      </c>
      <c r="AB19" s="277" t="str">
        <f>IF(Z19="A",AA17,IF(Z19="B",AB17))</f>
        <v>Right</v>
      </c>
      <c r="AF19" s="2174"/>
      <c r="AG19" s="2174"/>
      <c r="AJ19" s="2193">
        <v>31.5</v>
      </c>
      <c r="AK19" s="2195">
        <v>16</v>
      </c>
      <c r="AL19" s="2195">
        <v>22</v>
      </c>
      <c r="AM19" s="2195">
        <v>33</v>
      </c>
      <c r="AN19" s="2195">
        <v>46</v>
      </c>
      <c r="AO19" s="2195">
        <v>63</v>
      </c>
      <c r="AP19" s="2195">
        <v>87</v>
      </c>
      <c r="AQ19" s="2195">
        <v>130</v>
      </c>
      <c r="AR19" s="2195">
        <v>200</v>
      </c>
      <c r="AS19" s="2195">
        <v>255</v>
      </c>
      <c r="AT19" s="2195">
        <v>370</v>
      </c>
      <c r="AU19" s="280">
        <v>580</v>
      </c>
      <c r="AV19" s="280">
        <v>820</v>
      </c>
      <c r="AW19" s="280">
        <v>1070</v>
      </c>
      <c r="AX19" s="280">
        <v>1600</v>
      </c>
      <c r="AY19" s="2195">
        <v>2310</v>
      </c>
      <c r="BB19" s="2187">
        <v>31.5</v>
      </c>
      <c r="BC19" s="2187">
        <v>35.5</v>
      </c>
      <c r="BF19" s="2193">
        <v>31.5</v>
      </c>
      <c r="BG19" s="2195">
        <v>16</v>
      </c>
      <c r="BH19" s="2195">
        <v>22</v>
      </c>
      <c r="BI19" s="2195">
        <v>33</v>
      </c>
      <c r="BJ19" s="2195">
        <v>46</v>
      </c>
      <c r="BK19" s="2195">
        <v>63</v>
      </c>
      <c r="BL19" s="2195">
        <v>87</v>
      </c>
      <c r="BM19" s="2195">
        <v>130</v>
      </c>
      <c r="BN19" s="2195">
        <v>200</v>
      </c>
      <c r="BO19" s="2195">
        <v>255</v>
      </c>
      <c r="BP19" s="2195">
        <v>370</v>
      </c>
      <c r="BQ19" s="280">
        <v>580</v>
      </c>
      <c r="BR19" s="280">
        <v>820</v>
      </c>
      <c r="BS19" s="280">
        <v>1070</v>
      </c>
      <c r="BT19" s="280">
        <v>1600</v>
      </c>
      <c r="BU19" s="2195">
        <v>2310</v>
      </c>
      <c r="BV19" s="2358" t="s">
        <v>2763</v>
      </c>
      <c r="BX19" s="2174"/>
      <c r="CA19" s="2357">
        <v>25.6</v>
      </c>
      <c r="CB19" s="2351">
        <v>14.8</v>
      </c>
      <c r="CC19" s="2351">
        <v>22.8</v>
      </c>
      <c r="CD19" s="2351">
        <v>33.200000000000003</v>
      </c>
      <c r="CE19" s="2351">
        <v>48.1</v>
      </c>
      <c r="CF19" s="2351">
        <v>63</v>
      </c>
      <c r="CG19" s="2351">
        <v>93.5</v>
      </c>
      <c r="CH19" s="2351">
        <v>128</v>
      </c>
      <c r="CI19" s="2351">
        <v>174</v>
      </c>
      <c r="CJ19" s="2351">
        <v>248</v>
      </c>
      <c r="CK19" s="2351">
        <v>368</v>
      </c>
      <c r="CL19" s="2352">
        <v>513</v>
      </c>
      <c r="CM19" s="2352">
        <v>782</v>
      </c>
      <c r="CN19" s="2352">
        <v>1035</v>
      </c>
      <c r="CO19" s="2351">
        <v>1354</v>
      </c>
      <c r="CR19" s="2187">
        <v>25.6</v>
      </c>
      <c r="CS19" s="2187">
        <v>28.4</v>
      </c>
      <c r="CV19" s="2357">
        <v>25.6</v>
      </c>
      <c r="CW19" s="2351">
        <v>14.8</v>
      </c>
      <c r="CX19" s="2351">
        <v>22.8</v>
      </c>
      <c r="CY19" s="2351">
        <v>33.200000000000003</v>
      </c>
      <c r="CZ19" s="2351">
        <v>48.1</v>
      </c>
      <c r="DA19" s="2351">
        <v>63</v>
      </c>
      <c r="DB19" s="2351">
        <v>93.5</v>
      </c>
      <c r="DC19" s="2351">
        <v>128</v>
      </c>
      <c r="DD19" s="2351">
        <v>174</v>
      </c>
      <c r="DE19" s="2351">
        <v>248</v>
      </c>
      <c r="DF19" s="2351">
        <v>368</v>
      </c>
      <c r="DG19" s="2352">
        <v>513</v>
      </c>
      <c r="DH19" s="2352">
        <v>782</v>
      </c>
      <c r="DI19" s="2352">
        <v>1035</v>
      </c>
      <c r="DJ19" s="2351">
        <v>1354</v>
      </c>
      <c r="DS19" s="277"/>
      <c r="DW19" s="1"/>
      <c r="DY19" s="283" t="s">
        <v>662</v>
      </c>
      <c r="DZ19" s="284">
        <f t="shared" si="3"/>
        <v>5.25</v>
      </c>
      <c r="EA19" s="285" t="str">
        <f t="shared" si="3"/>
        <v>3AH400</v>
      </c>
      <c r="EB19" s="284">
        <f>VLOOKUP(EA19,DY49:EB66,2,0)</f>
        <v>46500</v>
      </c>
      <c r="EC19" s="284"/>
      <c r="ED19" s="284">
        <f>VLOOKUP(EA19,DY49:EB66,4,0)</f>
        <v>330</v>
      </c>
      <c r="EE19" s="281"/>
      <c r="EF19" s="281"/>
      <c r="EO19" s="286"/>
      <c r="EP19" s="286"/>
      <c r="EV19" s="277" t="str">
        <f>'E Data'!$N$19</f>
        <v>A</v>
      </c>
      <c r="EW19" s="277" t="s">
        <v>2662</v>
      </c>
      <c r="EX19" s="277" t="str">
        <f>IF(EV19="A",EW17,IF(EV19="B",EX17))</f>
        <v>Right</v>
      </c>
      <c r="FB19" s="2174"/>
      <c r="FC19" s="2174"/>
      <c r="FF19" s="2193">
        <v>31.5</v>
      </c>
      <c r="FG19" s="2195">
        <v>16</v>
      </c>
      <c r="FH19" s="2195">
        <v>22</v>
      </c>
      <c r="FI19" s="2195">
        <v>33</v>
      </c>
      <c r="FJ19" s="2195">
        <v>46</v>
      </c>
      <c r="FK19" s="2195">
        <v>63</v>
      </c>
      <c r="FL19" s="2195">
        <v>87</v>
      </c>
      <c r="FM19" s="2195">
        <v>130</v>
      </c>
      <c r="FN19" s="2195">
        <v>200</v>
      </c>
      <c r="FO19" s="2195">
        <v>255</v>
      </c>
      <c r="FP19" s="2195">
        <v>370</v>
      </c>
      <c r="FQ19" s="280">
        <v>580</v>
      </c>
      <c r="FR19" s="280">
        <v>820</v>
      </c>
      <c r="FS19" s="280">
        <v>1070</v>
      </c>
      <c r="FT19" s="280">
        <v>1600</v>
      </c>
      <c r="FU19" s="2195">
        <v>2310</v>
      </c>
      <c r="FX19" s="2187">
        <v>31.5</v>
      </c>
      <c r="FY19" s="2187">
        <v>35.5</v>
      </c>
      <c r="GB19" s="2193">
        <v>31.5</v>
      </c>
      <c r="GC19" s="2195">
        <v>16</v>
      </c>
      <c r="GD19" s="2195">
        <v>22</v>
      </c>
      <c r="GE19" s="2195">
        <v>33</v>
      </c>
      <c r="GF19" s="2195">
        <v>46</v>
      </c>
      <c r="GG19" s="2195">
        <v>63</v>
      </c>
      <c r="GH19" s="2195">
        <v>87</v>
      </c>
      <c r="GI19" s="2195">
        <v>130</v>
      </c>
      <c r="GJ19" s="2195">
        <v>200</v>
      </c>
      <c r="GK19" s="2195">
        <v>255</v>
      </c>
      <c r="GL19" s="2195">
        <v>370</v>
      </c>
      <c r="GM19" s="280">
        <v>580</v>
      </c>
      <c r="GN19" s="280">
        <v>820</v>
      </c>
      <c r="GO19" s="280">
        <v>1070</v>
      </c>
      <c r="GP19" s="280">
        <v>1600</v>
      </c>
      <c r="GQ19" s="2195">
        <v>2310</v>
      </c>
      <c r="GR19" s="2358" t="s">
        <v>2763</v>
      </c>
      <c r="GT19" s="2174"/>
      <c r="GW19" s="2357">
        <v>25.6</v>
      </c>
      <c r="GX19" s="2351">
        <v>14.8</v>
      </c>
      <c r="GY19" s="2351">
        <v>22.8</v>
      </c>
      <c r="GZ19" s="2351">
        <v>33.200000000000003</v>
      </c>
      <c r="HA19" s="2351">
        <v>48.1</v>
      </c>
      <c r="HB19" s="2351">
        <v>63</v>
      </c>
      <c r="HC19" s="2351">
        <v>93.5</v>
      </c>
      <c r="HD19" s="2351">
        <v>128</v>
      </c>
      <c r="HE19" s="2351">
        <v>174</v>
      </c>
      <c r="HF19" s="2351">
        <v>248</v>
      </c>
      <c r="HG19" s="2351">
        <v>368</v>
      </c>
      <c r="HH19" s="2352">
        <v>513</v>
      </c>
      <c r="HI19" s="2352">
        <v>782</v>
      </c>
      <c r="HJ19" s="2352">
        <v>1035</v>
      </c>
      <c r="HK19" s="2351">
        <v>1354</v>
      </c>
      <c r="HN19" s="2187">
        <v>25.6</v>
      </c>
      <c r="HO19" s="2187">
        <v>28.4</v>
      </c>
      <c r="HR19" s="2357">
        <v>25.6</v>
      </c>
      <c r="HS19" s="2351">
        <v>14.8</v>
      </c>
      <c r="HT19" s="2351">
        <v>22.8</v>
      </c>
      <c r="HU19" s="2351">
        <v>33.200000000000003</v>
      </c>
      <c r="HV19" s="2351">
        <v>48.1</v>
      </c>
      <c r="HW19" s="2351">
        <v>63</v>
      </c>
      <c r="HX19" s="2351">
        <v>93.5</v>
      </c>
      <c r="HY19" s="2351">
        <v>128</v>
      </c>
      <c r="HZ19" s="2351">
        <v>174</v>
      </c>
      <c r="IA19" s="2351">
        <v>248</v>
      </c>
      <c r="IB19" s="2351">
        <v>368</v>
      </c>
      <c r="IC19" s="2352">
        <v>513</v>
      </c>
      <c r="ID19" s="2352">
        <v>782</v>
      </c>
      <c r="IE19" s="2352">
        <v>1035</v>
      </c>
      <c r="IF19" s="2351">
        <v>1354</v>
      </c>
      <c r="IN19" s="277"/>
      <c r="IO19" s="277"/>
    </row>
    <row r="20" spans="2:249" ht="21.95" customHeight="1">
      <c r="B20" s="11">
        <f>1-E5/C20</f>
        <v>1.7877014925372969E-2</v>
      </c>
      <c r="C20" s="780">
        <f>CD141</f>
        <v>73.7</v>
      </c>
      <c r="D20" s="780">
        <f>VLOOKUP(C3,C16:H19,2,0)</f>
        <v>6.73</v>
      </c>
      <c r="E20" s="780" t="str">
        <f>VLOOKUP(C3,C16:H19,3,0)</f>
        <v>3AH400</v>
      </c>
      <c r="F20" s="780">
        <f>VLOOKUP(C3,C16:H19,4,0)</f>
        <v>46500</v>
      </c>
      <c r="G20" s="780"/>
      <c r="H20" s="780">
        <f>VLOOKUP(C3,C16:H19,6,0)</f>
        <v>330</v>
      </c>
      <c r="I20" s="281"/>
      <c r="J20" s="281"/>
      <c r="K20" s="286"/>
      <c r="S20" s="286"/>
      <c r="T20" s="286"/>
      <c r="AA20" s="277" t="s">
        <v>660</v>
      </c>
      <c r="AB20" s="277" t="str">
        <f>AC17</f>
        <v>Right</v>
      </c>
      <c r="AF20" s="2174"/>
      <c r="AG20" s="2174"/>
      <c r="AJ20" s="2193">
        <v>35.5</v>
      </c>
      <c r="AK20" s="2195">
        <v>15</v>
      </c>
      <c r="AL20" s="2195">
        <v>22</v>
      </c>
      <c r="AM20" s="2195">
        <v>30</v>
      </c>
      <c r="AN20" s="2195">
        <v>41</v>
      </c>
      <c r="AO20" s="2195">
        <v>58</v>
      </c>
      <c r="AP20" s="2195">
        <v>82</v>
      </c>
      <c r="AQ20" s="2195">
        <v>120</v>
      </c>
      <c r="AR20" s="2195">
        <v>185</v>
      </c>
      <c r="AS20" s="2195">
        <v>230</v>
      </c>
      <c r="AT20" s="2195">
        <v>340</v>
      </c>
      <c r="AU20" s="280">
        <v>510</v>
      </c>
      <c r="AV20" s="280">
        <v>720</v>
      </c>
      <c r="AW20" s="280">
        <v>950</v>
      </c>
      <c r="AX20" s="280">
        <v>1410</v>
      </c>
      <c r="AY20" s="2195">
        <v>2030</v>
      </c>
      <c r="BB20" s="2187">
        <v>35.5</v>
      </c>
      <c r="BC20" s="2187">
        <v>40</v>
      </c>
      <c r="BF20" s="2193">
        <v>35.5</v>
      </c>
      <c r="BG20" s="2195">
        <v>15</v>
      </c>
      <c r="BH20" s="2195">
        <v>22</v>
      </c>
      <c r="BI20" s="2195">
        <v>30</v>
      </c>
      <c r="BJ20" s="2195">
        <v>41</v>
      </c>
      <c r="BK20" s="2195">
        <v>58</v>
      </c>
      <c r="BL20" s="2195">
        <v>82</v>
      </c>
      <c r="BM20" s="2195">
        <v>120</v>
      </c>
      <c r="BN20" s="2195">
        <v>185</v>
      </c>
      <c r="BO20" s="2195">
        <v>230</v>
      </c>
      <c r="BP20" s="2195">
        <v>340</v>
      </c>
      <c r="BQ20" s="280">
        <v>510</v>
      </c>
      <c r="BR20" s="280">
        <v>720</v>
      </c>
      <c r="BS20" s="280">
        <v>950</v>
      </c>
      <c r="BT20" s="280">
        <v>1410</v>
      </c>
      <c r="BU20" s="2195">
        <v>2030</v>
      </c>
      <c r="BX20" s="2174"/>
      <c r="CA20" s="2193">
        <v>28.4</v>
      </c>
      <c r="CB20" s="2195">
        <v>14</v>
      </c>
      <c r="CC20" s="2195">
        <v>19.899999999999999</v>
      </c>
      <c r="CD20" s="2195">
        <v>30.3</v>
      </c>
      <c r="CE20" s="2195">
        <v>44.5</v>
      </c>
      <c r="CF20" s="2195">
        <v>58.2</v>
      </c>
      <c r="CG20" s="2195">
        <v>85</v>
      </c>
      <c r="CH20" s="2195">
        <v>116</v>
      </c>
      <c r="CI20" s="2195">
        <v>152</v>
      </c>
      <c r="CJ20" s="2195">
        <v>221</v>
      </c>
      <c r="CK20" s="2195">
        <v>330</v>
      </c>
      <c r="CL20" s="280">
        <v>471</v>
      </c>
      <c r="CM20" s="280">
        <v>705</v>
      </c>
      <c r="CN20" s="280">
        <v>940</v>
      </c>
      <c r="CO20" s="2195">
        <v>1208</v>
      </c>
      <c r="CR20" s="2187">
        <v>28.4</v>
      </c>
      <c r="CS20" s="2187">
        <v>31.4</v>
      </c>
      <c r="CV20" s="2193">
        <v>28.4</v>
      </c>
      <c r="CW20" s="2195">
        <v>14</v>
      </c>
      <c r="CX20" s="2195">
        <v>19.899999999999999</v>
      </c>
      <c r="CY20" s="2195">
        <v>30.3</v>
      </c>
      <c r="CZ20" s="2195">
        <v>44.5</v>
      </c>
      <c r="DA20" s="2195">
        <v>58.2</v>
      </c>
      <c r="DB20" s="2195">
        <v>85</v>
      </c>
      <c r="DC20" s="2195">
        <v>116</v>
      </c>
      <c r="DD20" s="2195">
        <v>152</v>
      </c>
      <c r="DE20" s="2195">
        <v>221</v>
      </c>
      <c r="DF20" s="2195">
        <v>330</v>
      </c>
      <c r="DG20" s="280">
        <v>471</v>
      </c>
      <c r="DH20" s="280">
        <v>705</v>
      </c>
      <c r="DI20" s="280">
        <v>940</v>
      </c>
      <c r="DJ20" s="2195">
        <v>1208</v>
      </c>
      <c r="DS20" s="277"/>
      <c r="DW20" s="1"/>
      <c r="DX20" s="11">
        <f>1-EA5/DY20</f>
        <v>7.2970491803278525E-2</v>
      </c>
      <c r="DY20" s="780">
        <f>GZ141</f>
        <v>48.8</v>
      </c>
      <c r="DZ20" s="780">
        <f>VLOOKUP(DY3,DY16:ED19,2,0)</f>
        <v>9.8000000000000007</v>
      </c>
      <c r="EA20" s="780" t="str">
        <f>VLOOKUP(DY3,DY16:ED19,3,0)</f>
        <v>3AH400</v>
      </c>
      <c r="EB20" s="780">
        <f>VLOOKUP(DY3,DY16:ED19,4,0)</f>
        <v>46500</v>
      </c>
      <c r="EC20" s="780"/>
      <c r="ED20" s="780">
        <f>VLOOKUP(DY3,DY16:ED19,6,0)</f>
        <v>330</v>
      </c>
      <c r="EE20" s="281"/>
      <c r="EF20" s="281"/>
      <c r="EG20" s="286"/>
      <c r="EO20" s="286"/>
      <c r="EP20" s="286"/>
      <c r="EW20" s="277" t="s">
        <v>660</v>
      </c>
      <c r="EX20" s="277" t="str">
        <f>EY17</f>
        <v>Right</v>
      </c>
      <c r="FB20" s="2174"/>
      <c r="FC20" s="2174"/>
      <c r="FF20" s="2193">
        <v>35.5</v>
      </c>
      <c r="FG20" s="2195">
        <v>15</v>
      </c>
      <c r="FH20" s="2195">
        <v>22</v>
      </c>
      <c r="FI20" s="2195">
        <v>30</v>
      </c>
      <c r="FJ20" s="2195">
        <v>41</v>
      </c>
      <c r="FK20" s="2195">
        <v>58</v>
      </c>
      <c r="FL20" s="2195">
        <v>82</v>
      </c>
      <c r="FM20" s="2195">
        <v>120</v>
      </c>
      <c r="FN20" s="2195">
        <v>185</v>
      </c>
      <c r="FO20" s="2195">
        <v>230</v>
      </c>
      <c r="FP20" s="2195">
        <v>340</v>
      </c>
      <c r="FQ20" s="280">
        <v>510</v>
      </c>
      <c r="FR20" s="280">
        <v>720</v>
      </c>
      <c r="FS20" s="280">
        <v>950</v>
      </c>
      <c r="FT20" s="280">
        <v>1410</v>
      </c>
      <c r="FU20" s="2195">
        <v>2030</v>
      </c>
      <c r="FX20" s="2187">
        <v>35.5</v>
      </c>
      <c r="FY20" s="2187">
        <v>40</v>
      </c>
      <c r="GB20" s="2193">
        <v>35.5</v>
      </c>
      <c r="GC20" s="2195">
        <v>15</v>
      </c>
      <c r="GD20" s="2195">
        <v>22</v>
      </c>
      <c r="GE20" s="2195">
        <v>30</v>
      </c>
      <c r="GF20" s="2195">
        <v>41</v>
      </c>
      <c r="GG20" s="2195">
        <v>58</v>
      </c>
      <c r="GH20" s="2195">
        <v>82</v>
      </c>
      <c r="GI20" s="2195">
        <v>120</v>
      </c>
      <c r="GJ20" s="2195">
        <v>185</v>
      </c>
      <c r="GK20" s="2195">
        <v>230</v>
      </c>
      <c r="GL20" s="2195">
        <v>340</v>
      </c>
      <c r="GM20" s="280">
        <v>510</v>
      </c>
      <c r="GN20" s="280">
        <v>720</v>
      </c>
      <c r="GO20" s="280">
        <v>950</v>
      </c>
      <c r="GP20" s="280">
        <v>1410</v>
      </c>
      <c r="GQ20" s="2195">
        <v>2030</v>
      </c>
      <c r="GT20" s="2174"/>
      <c r="GW20" s="2193">
        <v>28.4</v>
      </c>
      <c r="GX20" s="2195">
        <v>14</v>
      </c>
      <c r="GY20" s="2195">
        <v>19.899999999999999</v>
      </c>
      <c r="GZ20" s="2195">
        <v>30.3</v>
      </c>
      <c r="HA20" s="2195">
        <v>44.5</v>
      </c>
      <c r="HB20" s="2195">
        <v>58.2</v>
      </c>
      <c r="HC20" s="2195">
        <v>85</v>
      </c>
      <c r="HD20" s="2195">
        <v>116</v>
      </c>
      <c r="HE20" s="2195">
        <v>152</v>
      </c>
      <c r="HF20" s="2195">
        <v>221</v>
      </c>
      <c r="HG20" s="2195">
        <v>330</v>
      </c>
      <c r="HH20" s="280">
        <v>471</v>
      </c>
      <c r="HI20" s="280">
        <v>705</v>
      </c>
      <c r="HJ20" s="280">
        <v>940</v>
      </c>
      <c r="HK20" s="2195">
        <v>1208</v>
      </c>
      <c r="HN20" s="2187">
        <v>28.4</v>
      </c>
      <c r="HO20" s="2187">
        <v>31.4</v>
      </c>
      <c r="HR20" s="2193">
        <v>28.4</v>
      </c>
      <c r="HS20" s="2195">
        <v>14</v>
      </c>
      <c r="HT20" s="2195">
        <v>19.899999999999999</v>
      </c>
      <c r="HU20" s="2195">
        <v>30.3</v>
      </c>
      <c r="HV20" s="2195">
        <v>44.5</v>
      </c>
      <c r="HW20" s="2195">
        <v>58.2</v>
      </c>
      <c r="HX20" s="2195">
        <v>85</v>
      </c>
      <c r="HY20" s="2195">
        <v>116</v>
      </c>
      <c r="HZ20" s="2195">
        <v>152</v>
      </c>
      <c r="IA20" s="2195">
        <v>221</v>
      </c>
      <c r="IB20" s="2195">
        <v>330</v>
      </c>
      <c r="IC20" s="280">
        <v>471</v>
      </c>
      <c r="ID20" s="280">
        <v>705</v>
      </c>
      <c r="IE20" s="280">
        <v>940</v>
      </c>
      <c r="IF20" s="2195">
        <v>1208</v>
      </c>
      <c r="IN20" s="277"/>
      <c r="IO20" s="277"/>
    </row>
    <row r="21" spans="2:249" ht="21.95" customHeight="1">
      <c r="S21" s="286"/>
      <c r="T21" s="286"/>
      <c r="AA21" s="277" t="s">
        <v>656</v>
      </c>
      <c r="AB21" s="277" t="str">
        <f>AD17</f>
        <v>Right</v>
      </c>
      <c r="AF21" s="2174"/>
      <c r="AG21" s="2174"/>
      <c r="AJ21" s="2193">
        <v>40</v>
      </c>
      <c r="AK21" s="2195">
        <v>14</v>
      </c>
      <c r="AL21" s="2195">
        <v>21</v>
      </c>
      <c r="AM21" s="2195">
        <v>28</v>
      </c>
      <c r="AN21" s="2195">
        <v>37</v>
      </c>
      <c r="AO21" s="2195">
        <v>52</v>
      </c>
      <c r="AP21" s="2195">
        <v>72</v>
      </c>
      <c r="AQ21" s="2195">
        <v>105</v>
      </c>
      <c r="AR21" s="2195">
        <v>165</v>
      </c>
      <c r="AS21" s="2195">
        <v>205</v>
      </c>
      <c r="AT21" s="2195">
        <v>300</v>
      </c>
      <c r="AU21" s="280">
        <v>465</v>
      </c>
      <c r="AV21" s="280">
        <v>660</v>
      </c>
      <c r="AW21" s="280">
        <v>860</v>
      </c>
      <c r="AX21" s="280">
        <v>1280</v>
      </c>
      <c r="AY21" s="2195">
        <v>1850</v>
      </c>
      <c r="BB21" s="2187">
        <v>40</v>
      </c>
      <c r="BC21" s="2187">
        <v>45</v>
      </c>
      <c r="BF21" s="2193">
        <v>40</v>
      </c>
      <c r="BG21" s="2195">
        <v>14</v>
      </c>
      <c r="BH21" s="2195">
        <v>21</v>
      </c>
      <c r="BI21" s="2195">
        <v>28</v>
      </c>
      <c r="BJ21" s="2195">
        <v>37</v>
      </c>
      <c r="BK21" s="2195">
        <v>52</v>
      </c>
      <c r="BL21" s="2195">
        <v>72</v>
      </c>
      <c r="BM21" s="2195">
        <v>105</v>
      </c>
      <c r="BN21" s="2195">
        <v>165</v>
      </c>
      <c r="BO21" s="2195">
        <v>205</v>
      </c>
      <c r="BP21" s="2195">
        <v>300</v>
      </c>
      <c r="BQ21" s="280">
        <v>465</v>
      </c>
      <c r="BR21" s="280">
        <v>660</v>
      </c>
      <c r="BS21" s="280">
        <v>860</v>
      </c>
      <c r="BT21" s="280">
        <v>1280</v>
      </c>
      <c r="BU21" s="2195">
        <v>1850</v>
      </c>
      <c r="BX21" s="2174"/>
      <c r="CA21" s="2193">
        <v>31.4</v>
      </c>
      <c r="CB21" s="2195">
        <v>11.5</v>
      </c>
      <c r="CC21" s="2195">
        <v>17.7</v>
      </c>
      <c r="CD21" s="2195">
        <v>27.5</v>
      </c>
      <c r="CE21" s="2195">
        <v>40</v>
      </c>
      <c r="CF21" s="2195">
        <v>51.5</v>
      </c>
      <c r="CG21" s="2195">
        <v>82.2</v>
      </c>
      <c r="CH21" s="2195">
        <v>105</v>
      </c>
      <c r="CI21" s="2195">
        <v>141</v>
      </c>
      <c r="CJ21" s="2195">
        <v>203</v>
      </c>
      <c r="CK21" s="2195">
        <v>297</v>
      </c>
      <c r="CL21" s="280">
        <v>415</v>
      </c>
      <c r="CM21" s="280">
        <v>648</v>
      </c>
      <c r="CN21" s="280">
        <v>852</v>
      </c>
      <c r="CO21" s="2195">
        <v>1114</v>
      </c>
      <c r="CR21" s="2187">
        <v>31.4</v>
      </c>
      <c r="CS21" s="2187">
        <v>34.700000000000003</v>
      </c>
      <c r="CV21" s="2193">
        <v>31.4</v>
      </c>
      <c r="CW21" s="2195">
        <v>11.5</v>
      </c>
      <c r="CX21" s="2195">
        <v>17.7</v>
      </c>
      <c r="CY21" s="2195">
        <v>27.5</v>
      </c>
      <c r="CZ21" s="2195">
        <v>40</v>
      </c>
      <c r="DA21" s="2195">
        <v>51.5</v>
      </c>
      <c r="DB21" s="2195">
        <v>82.2</v>
      </c>
      <c r="DC21" s="2195">
        <v>105</v>
      </c>
      <c r="DD21" s="2195">
        <v>141</v>
      </c>
      <c r="DE21" s="2195">
        <v>203</v>
      </c>
      <c r="DF21" s="2195">
        <v>297</v>
      </c>
      <c r="DG21" s="280">
        <v>415</v>
      </c>
      <c r="DH21" s="280">
        <v>648</v>
      </c>
      <c r="DI21" s="280">
        <v>852</v>
      </c>
      <c r="DJ21" s="2195">
        <v>1114</v>
      </c>
      <c r="DS21" s="277"/>
      <c r="DW21" s="1"/>
      <c r="EO21" s="286"/>
      <c r="EP21" s="286"/>
      <c r="EW21" s="277" t="s">
        <v>656</v>
      </c>
      <c r="EX21" s="277" t="str">
        <f>EZ17</f>
        <v>Right</v>
      </c>
      <c r="FB21" s="2174"/>
      <c r="FC21" s="2174"/>
      <c r="FF21" s="2193">
        <v>40</v>
      </c>
      <c r="FG21" s="2195">
        <v>14</v>
      </c>
      <c r="FH21" s="2195">
        <v>21</v>
      </c>
      <c r="FI21" s="2195">
        <v>28</v>
      </c>
      <c r="FJ21" s="2195">
        <v>37</v>
      </c>
      <c r="FK21" s="2195">
        <v>52</v>
      </c>
      <c r="FL21" s="2195">
        <v>72</v>
      </c>
      <c r="FM21" s="2195">
        <v>105</v>
      </c>
      <c r="FN21" s="2195">
        <v>165</v>
      </c>
      <c r="FO21" s="2195">
        <v>205</v>
      </c>
      <c r="FP21" s="2195">
        <v>300</v>
      </c>
      <c r="FQ21" s="280">
        <v>465</v>
      </c>
      <c r="FR21" s="280">
        <v>660</v>
      </c>
      <c r="FS21" s="280">
        <v>860</v>
      </c>
      <c r="FT21" s="280">
        <v>1280</v>
      </c>
      <c r="FU21" s="2195">
        <v>1850</v>
      </c>
      <c r="FX21" s="2187">
        <v>40</v>
      </c>
      <c r="FY21" s="2187">
        <v>45</v>
      </c>
      <c r="GB21" s="2193">
        <v>40</v>
      </c>
      <c r="GC21" s="2195">
        <v>14</v>
      </c>
      <c r="GD21" s="2195">
        <v>21</v>
      </c>
      <c r="GE21" s="2195">
        <v>28</v>
      </c>
      <c r="GF21" s="2195">
        <v>37</v>
      </c>
      <c r="GG21" s="2195">
        <v>52</v>
      </c>
      <c r="GH21" s="2195">
        <v>72</v>
      </c>
      <c r="GI21" s="2195">
        <v>105</v>
      </c>
      <c r="GJ21" s="2195">
        <v>165</v>
      </c>
      <c r="GK21" s="2195">
        <v>205</v>
      </c>
      <c r="GL21" s="2195">
        <v>300</v>
      </c>
      <c r="GM21" s="280">
        <v>465</v>
      </c>
      <c r="GN21" s="280">
        <v>660</v>
      </c>
      <c r="GO21" s="280">
        <v>860</v>
      </c>
      <c r="GP21" s="280">
        <v>1280</v>
      </c>
      <c r="GQ21" s="2195">
        <v>1850</v>
      </c>
      <c r="GT21" s="2174"/>
      <c r="GW21" s="2193">
        <v>31.4</v>
      </c>
      <c r="GX21" s="2195">
        <v>11.5</v>
      </c>
      <c r="GY21" s="2195">
        <v>17.7</v>
      </c>
      <c r="GZ21" s="2195">
        <v>27.5</v>
      </c>
      <c r="HA21" s="2195">
        <v>40</v>
      </c>
      <c r="HB21" s="2195">
        <v>51.5</v>
      </c>
      <c r="HC21" s="2195">
        <v>82.2</v>
      </c>
      <c r="HD21" s="2195">
        <v>105</v>
      </c>
      <c r="HE21" s="2195">
        <v>141</v>
      </c>
      <c r="HF21" s="2195">
        <v>203</v>
      </c>
      <c r="HG21" s="2195">
        <v>297</v>
      </c>
      <c r="HH21" s="280">
        <v>415</v>
      </c>
      <c r="HI21" s="280">
        <v>648</v>
      </c>
      <c r="HJ21" s="280">
        <v>852</v>
      </c>
      <c r="HK21" s="2195">
        <v>1114</v>
      </c>
      <c r="HN21" s="2187">
        <v>31.4</v>
      </c>
      <c r="HO21" s="2187">
        <v>34.700000000000003</v>
      </c>
      <c r="HR21" s="2193">
        <v>31.4</v>
      </c>
      <c r="HS21" s="2195">
        <v>11.5</v>
      </c>
      <c r="HT21" s="2195">
        <v>17.7</v>
      </c>
      <c r="HU21" s="2195">
        <v>27.5</v>
      </c>
      <c r="HV21" s="2195">
        <v>40</v>
      </c>
      <c r="HW21" s="2195">
        <v>51.5</v>
      </c>
      <c r="HX21" s="2195">
        <v>82.2</v>
      </c>
      <c r="HY21" s="2195">
        <v>105</v>
      </c>
      <c r="HZ21" s="2195">
        <v>141</v>
      </c>
      <c r="IA21" s="2195">
        <v>203</v>
      </c>
      <c r="IB21" s="2195">
        <v>297</v>
      </c>
      <c r="IC21" s="280">
        <v>415</v>
      </c>
      <c r="ID21" s="280">
        <v>648</v>
      </c>
      <c r="IE21" s="280">
        <v>852</v>
      </c>
      <c r="IF21" s="2195">
        <v>1114</v>
      </c>
      <c r="IN21" s="277"/>
      <c r="IO21" s="277"/>
    </row>
    <row r="22" spans="2:249" ht="21.95" customHeight="1">
      <c r="C22" s="777" t="s">
        <v>2177</v>
      </c>
      <c r="D22" s="778" t="s">
        <v>2178</v>
      </c>
      <c r="E22" s="778" t="s">
        <v>2179</v>
      </c>
      <c r="F22" s="779" t="s">
        <v>2173</v>
      </c>
      <c r="G22" s="778" t="s">
        <v>2785</v>
      </c>
      <c r="H22" s="779" t="s">
        <v>2174</v>
      </c>
      <c r="I22" s="3" t="str">
        <f>CK46</f>
        <v>Right</v>
      </c>
      <c r="J22" s="281"/>
      <c r="S22" s="286"/>
      <c r="T22" s="286"/>
      <c r="AF22" s="2174"/>
      <c r="AG22" s="2174"/>
      <c r="AJ22" s="2193">
        <v>45</v>
      </c>
      <c r="AK22" s="2195">
        <v>12</v>
      </c>
      <c r="AL22" s="2195">
        <v>17</v>
      </c>
      <c r="AM22" s="2195">
        <v>25</v>
      </c>
      <c r="AN22" s="2195">
        <v>33</v>
      </c>
      <c r="AO22" s="2195">
        <v>46</v>
      </c>
      <c r="AP22" s="2195">
        <v>64</v>
      </c>
      <c r="AQ22" s="2195">
        <v>95</v>
      </c>
      <c r="AR22" s="2195">
        <v>150</v>
      </c>
      <c r="AS22" s="2195">
        <v>180</v>
      </c>
      <c r="AT22" s="2195">
        <v>265</v>
      </c>
      <c r="AU22" s="280">
        <v>455</v>
      </c>
      <c r="AV22" s="280">
        <v>640</v>
      </c>
      <c r="AW22" s="280">
        <v>760</v>
      </c>
      <c r="AX22" s="280">
        <v>1140</v>
      </c>
      <c r="AY22" s="2195">
        <v>1650</v>
      </c>
      <c r="BB22" s="2187">
        <v>45</v>
      </c>
      <c r="BC22" s="2187">
        <v>50</v>
      </c>
      <c r="BF22" s="2193">
        <v>45</v>
      </c>
      <c r="BG22" s="2195">
        <v>12</v>
      </c>
      <c r="BH22" s="2195">
        <v>17</v>
      </c>
      <c r="BI22" s="2195">
        <v>25</v>
      </c>
      <c r="BJ22" s="2195">
        <v>33</v>
      </c>
      <c r="BK22" s="2195">
        <v>46</v>
      </c>
      <c r="BL22" s="2195">
        <v>64</v>
      </c>
      <c r="BM22" s="2195">
        <v>95</v>
      </c>
      <c r="BN22" s="2195">
        <v>150</v>
      </c>
      <c r="BO22" s="2195">
        <v>180</v>
      </c>
      <c r="BP22" s="2195">
        <v>265</v>
      </c>
      <c r="BQ22" s="280">
        <v>455</v>
      </c>
      <c r="BR22" s="280">
        <v>640</v>
      </c>
      <c r="BS22" s="280">
        <v>760</v>
      </c>
      <c r="BT22" s="280">
        <v>1140</v>
      </c>
      <c r="BU22" s="2195">
        <v>1650</v>
      </c>
      <c r="BX22" s="2174"/>
      <c r="CA22" s="773">
        <v>34.700000000000003</v>
      </c>
      <c r="CB22" s="2196">
        <v>11.1</v>
      </c>
      <c r="CC22" s="2196">
        <v>16.399999999999999</v>
      </c>
      <c r="CD22" s="2196">
        <v>25.4</v>
      </c>
      <c r="CE22" s="2196">
        <v>35.299999999999997</v>
      </c>
      <c r="CF22" s="2196">
        <v>46.6</v>
      </c>
      <c r="CG22" s="2196">
        <v>71.599999999999994</v>
      </c>
      <c r="CH22" s="2196">
        <v>93.4</v>
      </c>
      <c r="CI22" s="2196">
        <v>126</v>
      </c>
      <c r="CJ22" s="2196">
        <v>186</v>
      </c>
      <c r="CK22" s="2196">
        <v>272</v>
      </c>
      <c r="CL22" s="275">
        <v>383</v>
      </c>
      <c r="CM22" s="275">
        <v>571</v>
      </c>
      <c r="CN22" s="275">
        <v>756</v>
      </c>
      <c r="CO22" s="2196">
        <v>989</v>
      </c>
      <c r="CR22" s="2187">
        <v>34.700000000000003</v>
      </c>
      <c r="CS22" s="2187">
        <v>38.4</v>
      </c>
      <c r="CV22" s="773">
        <v>34.700000000000003</v>
      </c>
      <c r="CW22" s="2196">
        <v>11.1</v>
      </c>
      <c r="CX22" s="2196">
        <v>16.399999999999999</v>
      </c>
      <c r="CY22" s="2196">
        <v>25.4</v>
      </c>
      <c r="CZ22" s="2196">
        <v>35.299999999999997</v>
      </c>
      <c r="DA22" s="2196">
        <v>46.6</v>
      </c>
      <c r="DB22" s="2196">
        <v>71.599999999999994</v>
      </c>
      <c r="DC22" s="2196">
        <v>93.4</v>
      </c>
      <c r="DD22" s="2196">
        <v>126</v>
      </c>
      <c r="DE22" s="2196">
        <v>186</v>
      </c>
      <c r="DF22" s="2196">
        <v>272</v>
      </c>
      <c r="DG22" s="275">
        <v>383</v>
      </c>
      <c r="DH22" s="275">
        <v>571</v>
      </c>
      <c r="DI22" s="275">
        <v>756</v>
      </c>
      <c r="DJ22" s="2196">
        <v>989</v>
      </c>
      <c r="DS22" s="277"/>
      <c r="DW22" s="1"/>
      <c r="DY22" s="777" t="s">
        <v>2177</v>
      </c>
      <c r="DZ22" s="778" t="s">
        <v>2178</v>
      </c>
      <c r="EA22" s="778" t="s">
        <v>2179</v>
      </c>
      <c r="EB22" s="779" t="s">
        <v>2173</v>
      </c>
      <c r="EC22" s="778" t="s">
        <v>2785</v>
      </c>
      <c r="ED22" s="779" t="s">
        <v>2174</v>
      </c>
      <c r="EE22" s="3" t="str">
        <f>HG46</f>
        <v>Right</v>
      </c>
      <c r="EF22" s="281"/>
      <c r="EO22" s="286"/>
      <c r="EP22" s="286"/>
      <c r="FB22" s="2174"/>
      <c r="FC22" s="2174"/>
      <c r="FF22" s="2193">
        <v>45</v>
      </c>
      <c r="FG22" s="2195">
        <v>12</v>
      </c>
      <c r="FH22" s="2195">
        <v>17</v>
      </c>
      <c r="FI22" s="2195">
        <v>25</v>
      </c>
      <c r="FJ22" s="2195">
        <v>33</v>
      </c>
      <c r="FK22" s="2195">
        <v>46</v>
      </c>
      <c r="FL22" s="2195">
        <v>64</v>
      </c>
      <c r="FM22" s="2195">
        <v>95</v>
      </c>
      <c r="FN22" s="2195">
        <v>150</v>
      </c>
      <c r="FO22" s="2195">
        <v>180</v>
      </c>
      <c r="FP22" s="2195">
        <v>265</v>
      </c>
      <c r="FQ22" s="280">
        <v>455</v>
      </c>
      <c r="FR22" s="280">
        <v>640</v>
      </c>
      <c r="FS22" s="280">
        <v>760</v>
      </c>
      <c r="FT22" s="280">
        <v>1140</v>
      </c>
      <c r="FU22" s="2195">
        <v>1650</v>
      </c>
      <c r="FX22" s="2187">
        <v>45</v>
      </c>
      <c r="FY22" s="2187">
        <v>50</v>
      </c>
      <c r="GB22" s="2193">
        <v>45</v>
      </c>
      <c r="GC22" s="2195">
        <v>12</v>
      </c>
      <c r="GD22" s="2195">
        <v>17</v>
      </c>
      <c r="GE22" s="2195">
        <v>25</v>
      </c>
      <c r="GF22" s="2195">
        <v>33</v>
      </c>
      <c r="GG22" s="2195">
        <v>46</v>
      </c>
      <c r="GH22" s="2195">
        <v>64</v>
      </c>
      <c r="GI22" s="2195">
        <v>95</v>
      </c>
      <c r="GJ22" s="2195">
        <v>150</v>
      </c>
      <c r="GK22" s="2195">
        <v>180</v>
      </c>
      <c r="GL22" s="2195">
        <v>265</v>
      </c>
      <c r="GM22" s="280">
        <v>455</v>
      </c>
      <c r="GN22" s="280">
        <v>640</v>
      </c>
      <c r="GO22" s="280">
        <v>760</v>
      </c>
      <c r="GP22" s="280">
        <v>1140</v>
      </c>
      <c r="GQ22" s="2195">
        <v>1650</v>
      </c>
      <c r="GT22" s="2174"/>
      <c r="GW22" s="773">
        <v>34.700000000000003</v>
      </c>
      <c r="GX22" s="2196">
        <v>11.1</v>
      </c>
      <c r="GY22" s="2196">
        <v>16.399999999999999</v>
      </c>
      <c r="GZ22" s="2196">
        <v>25.4</v>
      </c>
      <c r="HA22" s="2196">
        <v>35.299999999999997</v>
      </c>
      <c r="HB22" s="2196">
        <v>46.6</v>
      </c>
      <c r="HC22" s="2196">
        <v>71.599999999999994</v>
      </c>
      <c r="HD22" s="2196">
        <v>93.4</v>
      </c>
      <c r="HE22" s="2196">
        <v>126</v>
      </c>
      <c r="HF22" s="2196">
        <v>186</v>
      </c>
      <c r="HG22" s="2196">
        <v>272</v>
      </c>
      <c r="HH22" s="275">
        <v>383</v>
      </c>
      <c r="HI22" s="275">
        <v>571</v>
      </c>
      <c r="HJ22" s="275">
        <v>756</v>
      </c>
      <c r="HK22" s="2196">
        <v>989</v>
      </c>
      <c r="HN22" s="2187">
        <v>34.700000000000003</v>
      </c>
      <c r="HO22" s="2187">
        <v>38.4</v>
      </c>
      <c r="HR22" s="773">
        <v>34.700000000000003</v>
      </c>
      <c r="HS22" s="2196">
        <v>11.1</v>
      </c>
      <c r="HT22" s="2196">
        <v>16.399999999999999</v>
      </c>
      <c r="HU22" s="2196">
        <v>25.4</v>
      </c>
      <c r="HV22" s="2196">
        <v>35.299999999999997</v>
      </c>
      <c r="HW22" s="2196">
        <v>46.6</v>
      </c>
      <c r="HX22" s="2196">
        <v>71.599999999999994</v>
      </c>
      <c r="HY22" s="2196">
        <v>93.4</v>
      </c>
      <c r="HZ22" s="2196">
        <v>126</v>
      </c>
      <c r="IA22" s="2196">
        <v>186</v>
      </c>
      <c r="IB22" s="2196">
        <v>272</v>
      </c>
      <c r="IC22" s="275">
        <v>383</v>
      </c>
      <c r="ID22" s="275">
        <v>571</v>
      </c>
      <c r="IE22" s="275">
        <v>756</v>
      </c>
      <c r="IF22" s="2196">
        <v>989</v>
      </c>
      <c r="IN22" s="277"/>
      <c r="IO22" s="277"/>
    </row>
    <row r="23" spans="2:249" ht="21.95" customHeight="1">
      <c r="B23" s="11">
        <f>E5/C23-1</f>
        <v>2.5247365439093672E-2</v>
      </c>
      <c r="C23" s="763">
        <f>CJ49</f>
        <v>70.599999999999994</v>
      </c>
      <c r="D23" s="285">
        <f t="shared" ref="D23:E24" si="5">CK49</f>
        <v>5.16</v>
      </c>
      <c r="E23" s="285" t="str">
        <f t="shared" si="5"/>
        <v>PCD3 140</v>
      </c>
      <c r="F23" s="285">
        <f>CN49</f>
        <v>89700</v>
      </c>
      <c r="G23" s="285"/>
      <c r="H23" s="285">
        <f>CP49</f>
        <v>299</v>
      </c>
      <c r="I23" s="281"/>
      <c r="J23" s="281"/>
      <c r="S23" s="286"/>
      <c r="T23" s="286"/>
      <c r="Z23" s="277" t="s">
        <v>714</v>
      </c>
      <c r="AA23" s="2202" t="str">
        <f>CT_wh!I72</f>
        <v>Elite</v>
      </c>
      <c r="AB23" s="2197" t="str">
        <f>VLOOKUP(AA23,AA19:AB21,2,0)</f>
        <v>Right</v>
      </c>
      <c r="AF23" s="2174"/>
      <c r="AG23" s="2174"/>
      <c r="AJ23" s="773">
        <v>50</v>
      </c>
      <c r="AK23" s="2196">
        <v>11</v>
      </c>
      <c r="AL23" s="2196">
        <v>15</v>
      </c>
      <c r="AM23" s="2196">
        <v>22</v>
      </c>
      <c r="AN23" s="2196">
        <v>31</v>
      </c>
      <c r="AO23" s="2196">
        <v>43</v>
      </c>
      <c r="AP23" s="2196">
        <v>60</v>
      </c>
      <c r="AQ23" s="2196">
        <v>87</v>
      </c>
      <c r="AR23" s="2196">
        <v>135</v>
      </c>
      <c r="AS23" s="2196">
        <v>165</v>
      </c>
      <c r="AT23" s="2196">
        <v>240</v>
      </c>
      <c r="AU23" s="275">
        <v>365</v>
      </c>
      <c r="AV23" s="275">
        <v>520</v>
      </c>
      <c r="AW23" s="275">
        <v>690</v>
      </c>
      <c r="AX23" s="275">
        <v>1020</v>
      </c>
      <c r="AY23" s="2196">
        <v>1480</v>
      </c>
      <c r="BB23" s="2187">
        <v>50</v>
      </c>
      <c r="BC23" s="2187">
        <v>56</v>
      </c>
      <c r="BF23" s="2193">
        <v>50</v>
      </c>
      <c r="BG23" s="2195">
        <v>11</v>
      </c>
      <c r="BH23" s="2195">
        <v>15</v>
      </c>
      <c r="BI23" s="2195">
        <v>22</v>
      </c>
      <c r="BJ23" s="2195">
        <v>31</v>
      </c>
      <c r="BK23" s="2195">
        <v>43</v>
      </c>
      <c r="BL23" s="2195">
        <v>60</v>
      </c>
      <c r="BM23" s="2195">
        <v>87</v>
      </c>
      <c r="BN23" s="2195">
        <v>135</v>
      </c>
      <c r="BO23" s="2195">
        <v>165</v>
      </c>
      <c r="BP23" s="2195">
        <v>240</v>
      </c>
      <c r="BQ23" s="280">
        <v>365</v>
      </c>
      <c r="BR23" s="280">
        <v>520</v>
      </c>
      <c r="BS23" s="280">
        <v>690</v>
      </c>
      <c r="BT23" s="280">
        <v>1020</v>
      </c>
      <c r="BU23" s="2195">
        <v>1480</v>
      </c>
      <c r="BX23" s="2174"/>
      <c r="CA23" s="2193">
        <v>38.4</v>
      </c>
      <c r="CB23" s="2195">
        <v>9.91</v>
      </c>
      <c r="CC23" s="2195">
        <v>14.9</v>
      </c>
      <c r="CD23" s="2195">
        <v>22.3</v>
      </c>
      <c r="CE23" s="2195">
        <v>33.4</v>
      </c>
      <c r="CF23" s="2195">
        <v>42</v>
      </c>
      <c r="CG23" s="2195">
        <v>69.7</v>
      </c>
      <c r="CH23" s="2195">
        <v>85.6</v>
      </c>
      <c r="CI23" s="2195">
        <v>114</v>
      </c>
      <c r="CJ23" s="2195">
        <v>164</v>
      </c>
      <c r="CK23" s="2195">
        <v>246</v>
      </c>
      <c r="CL23" s="280">
        <v>341</v>
      </c>
      <c r="CM23" s="280">
        <v>531</v>
      </c>
      <c r="CN23" s="280">
        <v>697</v>
      </c>
      <c r="CO23" s="2195">
        <v>900</v>
      </c>
      <c r="CR23" s="2187">
        <v>38.4</v>
      </c>
      <c r="CS23" s="2187">
        <v>42.5</v>
      </c>
      <c r="CV23" s="2193">
        <v>38.4</v>
      </c>
      <c r="CW23" s="2195">
        <v>9.91</v>
      </c>
      <c r="CX23" s="2195">
        <v>14.9</v>
      </c>
      <c r="CY23" s="2195">
        <v>22.3</v>
      </c>
      <c r="CZ23" s="2195">
        <v>33.4</v>
      </c>
      <c r="DA23" s="2195">
        <v>42</v>
      </c>
      <c r="DB23" s="2195">
        <v>69.7</v>
      </c>
      <c r="DC23" s="2195">
        <v>85.6</v>
      </c>
      <c r="DD23" s="2195">
        <v>114</v>
      </c>
      <c r="DE23" s="2195">
        <v>164</v>
      </c>
      <c r="DF23" s="2195">
        <v>246</v>
      </c>
      <c r="DG23" s="280">
        <v>341</v>
      </c>
      <c r="DH23" s="280">
        <v>531</v>
      </c>
      <c r="DI23" s="280">
        <v>697</v>
      </c>
      <c r="DJ23" s="2195">
        <v>900</v>
      </c>
      <c r="DS23" s="277"/>
      <c r="DW23" s="1"/>
      <c r="DX23" s="11">
        <f>EA5/DY23-1</f>
        <v>6.4448000000000061E-2</v>
      </c>
      <c r="DY23" s="763">
        <f t="shared" ref="DY23:EA24" si="6">HF49</f>
        <v>42.5</v>
      </c>
      <c r="DZ23" s="285">
        <f t="shared" si="6"/>
        <v>8.89</v>
      </c>
      <c r="EA23" s="285" t="str">
        <f t="shared" si="6"/>
        <v>PCD3 140</v>
      </c>
      <c r="EB23" s="285">
        <f>HJ49</f>
        <v>89700</v>
      </c>
      <c r="EC23" s="285"/>
      <c r="ED23" s="285">
        <f>HL49</f>
        <v>299</v>
      </c>
      <c r="EE23" s="281"/>
      <c r="EF23" s="281"/>
      <c r="EO23" s="286"/>
      <c r="EP23" s="286"/>
      <c r="EV23" s="277" t="s">
        <v>714</v>
      </c>
      <c r="EW23" s="2202" t="str">
        <f>CT_wh!I72</f>
        <v>Elite</v>
      </c>
      <c r="EX23" s="2197" t="str">
        <f>VLOOKUP(EW23,EW19:EX21,2,0)</f>
        <v>Right</v>
      </c>
      <c r="FB23" s="2174"/>
      <c r="FC23" s="2174"/>
      <c r="FF23" s="773">
        <v>50</v>
      </c>
      <c r="FG23" s="2196">
        <v>11</v>
      </c>
      <c r="FH23" s="2196">
        <v>15</v>
      </c>
      <c r="FI23" s="2196">
        <v>22</v>
      </c>
      <c r="FJ23" s="2196">
        <v>31</v>
      </c>
      <c r="FK23" s="2196">
        <v>43</v>
      </c>
      <c r="FL23" s="2196">
        <v>60</v>
      </c>
      <c r="FM23" s="2196">
        <v>87</v>
      </c>
      <c r="FN23" s="2196">
        <v>135</v>
      </c>
      <c r="FO23" s="2196">
        <v>165</v>
      </c>
      <c r="FP23" s="2196">
        <v>240</v>
      </c>
      <c r="FQ23" s="275">
        <v>365</v>
      </c>
      <c r="FR23" s="275">
        <v>520</v>
      </c>
      <c r="FS23" s="275">
        <v>690</v>
      </c>
      <c r="FT23" s="275">
        <v>1020</v>
      </c>
      <c r="FU23" s="2196">
        <v>1480</v>
      </c>
      <c r="FX23" s="2187">
        <v>50</v>
      </c>
      <c r="FY23" s="2187">
        <v>56</v>
      </c>
      <c r="GB23" s="2193">
        <v>50</v>
      </c>
      <c r="GC23" s="2195">
        <v>11</v>
      </c>
      <c r="GD23" s="2195">
        <v>15</v>
      </c>
      <c r="GE23" s="2195">
        <v>22</v>
      </c>
      <c r="GF23" s="2195">
        <v>31</v>
      </c>
      <c r="GG23" s="2195">
        <v>43</v>
      </c>
      <c r="GH23" s="2195">
        <v>60</v>
      </c>
      <c r="GI23" s="2195">
        <v>87</v>
      </c>
      <c r="GJ23" s="2195">
        <v>135</v>
      </c>
      <c r="GK23" s="2195">
        <v>165</v>
      </c>
      <c r="GL23" s="2195">
        <v>240</v>
      </c>
      <c r="GM23" s="280">
        <v>365</v>
      </c>
      <c r="GN23" s="280">
        <v>520</v>
      </c>
      <c r="GO23" s="280">
        <v>690</v>
      </c>
      <c r="GP23" s="280">
        <v>1020</v>
      </c>
      <c r="GQ23" s="2195">
        <v>1480</v>
      </c>
      <c r="GT23" s="2174"/>
      <c r="GW23" s="2193">
        <v>38.4</v>
      </c>
      <c r="GX23" s="2195">
        <v>9.91</v>
      </c>
      <c r="GY23" s="2195">
        <v>14.9</v>
      </c>
      <c r="GZ23" s="2195">
        <v>22.3</v>
      </c>
      <c r="HA23" s="2195">
        <v>33.4</v>
      </c>
      <c r="HB23" s="2195">
        <v>42</v>
      </c>
      <c r="HC23" s="2195">
        <v>69.7</v>
      </c>
      <c r="HD23" s="2195">
        <v>85.6</v>
      </c>
      <c r="HE23" s="2195">
        <v>114</v>
      </c>
      <c r="HF23" s="2195">
        <v>164</v>
      </c>
      <c r="HG23" s="2195">
        <v>246</v>
      </c>
      <c r="HH23" s="280">
        <v>341</v>
      </c>
      <c r="HI23" s="280">
        <v>531</v>
      </c>
      <c r="HJ23" s="280">
        <v>697</v>
      </c>
      <c r="HK23" s="2195">
        <v>900</v>
      </c>
      <c r="HN23" s="2187">
        <v>38.4</v>
      </c>
      <c r="HO23" s="2187">
        <v>42.5</v>
      </c>
      <c r="HR23" s="2193">
        <v>38.4</v>
      </c>
      <c r="HS23" s="2195">
        <v>9.91</v>
      </c>
      <c r="HT23" s="2195">
        <v>14.9</v>
      </c>
      <c r="HU23" s="2195">
        <v>22.3</v>
      </c>
      <c r="HV23" s="2195">
        <v>33.4</v>
      </c>
      <c r="HW23" s="2195">
        <v>42</v>
      </c>
      <c r="HX23" s="2195">
        <v>69.7</v>
      </c>
      <c r="HY23" s="2195">
        <v>85.6</v>
      </c>
      <c r="HZ23" s="2195">
        <v>114</v>
      </c>
      <c r="IA23" s="2195">
        <v>164</v>
      </c>
      <c r="IB23" s="2195">
        <v>246</v>
      </c>
      <c r="IC23" s="280">
        <v>341</v>
      </c>
      <c r="ID23" s="280">
        <v>531</v>
      </c>
      <c r="IE23" s="280">
        <v>697</v>
      </c>
      <c r="IF23" s="2195">
        <v>900</v>
      </c>
      <c r="IN23" s="277"/>
      <c r="IO23" s="277"/>
    </row>
    <row r="24" spans="2:249" ht="21.95" customHeight="1">
      <c r="B24" s="11">
        <f>1-E5/C24</f>
        <v>7.4393043478260701E-2</v>
      </c>
      <c r="C24" s="763">
        <f>CJ50</f>
        <v>78.2</v>
      </c>
      <c r="D24" s="285">
        <f t="shared" si="5"/>
        <v>4.5599999999999996</v>
      </c>
      <c r="E24" s="285" t="str">
        <f t="shared" si="5"/>
        <v>PCD3 140</v>
      </c>
      <c r="F24" s="285">
        <f>CN50</f>
        <v>89700</v>
      </c>
      <c r="G24" s="285"/>
      <c r="H24" s="285">
        <f>CP50</f>
        <v>299</v>
      </c>
      <c r="I24" s="281"/>
      <c r="J24" s="281"/>
      <c r="S24" s="286"/>
      <c r="T24" s="286"/>
      <c r="AB24" s="14" t="str">
        <f>IF(CT_HP!I39="Gear Brake Motor","Right",AB23)</f>
        <v>Right</v>
      </c>
      <c r="AF24" s="2174"/>
      <c r="AG24" s="2174"/>
      <c r="AJ24" s="773">
        <v>56</v>
      </c>
      <c r="AK24" s="2196">
        <v>9.5</v>
      </c>
      <c r="AL24" s="2196">
        <v>14</v>
      </c>
      <c r="AM24" s="2196">
        <v>19</v>
      </c>
      <c r="AN24" s="2196">
        <v>27</v>
      </c>
      <c r="AO24" s="2196">
        <v>38</v>
      </c>
      <c r="AP24" s="2196">
        <v>53</v>
      </c>
      <c r="AQ24" s="2196">
        <v>77</v>
      </c>
      <c r="AR24" s="2196">
        <v>120</v>
      </c>
      <c r="AS24" s="2196">
        <v>145</v>
      </c>
      <c r="AT24" s="2196">
        <v>215</v>
      </c>
      <c r="AU24" s="275">
        <v>340</v>
      </c>
      <c r="AV24" s="275">
        <v>485</v>
      </c>
      <c r="AW24" s="275">
        <v>640</v>
      </c>
      <c r="AX24" s="275">
        <v>930</v>
      </c>
      <c r="AY24" s="2196">
        <v>1330</v>
      </c>
      <c r="BB24" s="2187">
        <v>56</v>
      </c>
      <c r="BC24" s="2187">
        <v>63</v>
      </c>
      <c r="BF24" s="773">
        <v>56</v>
      </c>
      <c r="BG24" s="2196">
        <v>9.5</v>
      </c>
      <c r="BH24" s="2196">
        <v>14</v>
      </c>
      <c r="BI24" s="2196">
        <v>19</v>
      </c>
      <c r="BJ24" s="2196">
        <v>27</v>
      </c>
      <c r="BK24" s="2196">
        <v>38</v>
      </c>
      <c r="BL24" s="2196">
        <v>53</v>
      </c>
      <c r="BM24" s="2196">
        <v>77</v>
      </c>
      <c r="BN24" s="2196">
        <v>120</v>
      </c>
      <c r="BO24" s="2196">
        <v>145</v>
      </c>
      <c r="BP24" s="2196">
        <v>215</v>
      </c>
      <c r="BQ24" s="275">
        <v>340</v>
      </c>
      <c r="BR24" s="275">
        <v>485</v>
      </c>
      <c r="BS24" s="275">
        <v>640</v>
      </c>
      <c r="BT24" s="275">
        <v>930</v>
      </c>
      <c r="BU24" s="2196">
        <v>1330</v>
      </c>
      <c r="BX24" s="2174"/>
      <c r="CA24" s="2193">
        <v>42.5</v>
      </c>
      <c r="CB24" s="2195">
        <v>8.89</v>
      </c>
      <c r="CC24" s="2195">
        <v>13.3</v>
      </c>
      <c r="CD24" s="2195">
        <v>20.6</v>
      </c>
      <c r="CE24" s="2195">
        <v>29.4</v>
      </c>
      <c r="CF24" s="2195">
        <v>38</v>
      </c>
      <c r="CG24" s="2195">
        <v>60.9</v>
      </c>
      <c r="CH24" s="2195">
        <v>76.3</v>
      </c>
      <c r="CI24" s="2195">
        <v>102</v>
      </c>
      <c r="CJ24" s="2195">
        <v>152</v>
      </c>
      <c r="CK24" s="2195">
        <v>220</v>
      </c>
      <c r="CL24" s="280">
        <v>309</v>
      </c>
      <c r="CM24" s="280">
        <v>472</v>
      </c>
      <c r="CN24" s="280">
        <v>622</v>
      </c>
      <c r="CO24" s="2195">
        <v>812</v>
      </c>
      <c r="CR24" s="2187">
        <v>42.5</v>
      </c>
      <c r="CS24" s="2187">
        <v>47.1</v>
      </c>
      <c r="CV24" s="2193">
        <v>42.5</v>
      </c>
      <c r="CW24" s="2195">
        <v>8.89</v>
      </c>
      <c r="CX24" s="2195">
        <v>13.3</v>
      </c>
      <c r="CY24" s="2195">
        <v>20.6</v>
      </c>
      <c r="CZ24" s="2195">
        <v>29.4</v>
      </c>
      <c r="DA24" s="2195">
        <v>38</v>
      </c>
      <c r="DB24" s="2195">
        <v>60.9</v>
      </c>
      <c r="DC24" s="2195">
        <v>76.3</v>
      </c>
      <c r="DD24" s="2195">
        <v>102</v>
      </c>
      <c r="DE24" s="2195">
        <v>152</v>
      </c>
      <c r="DF24" s="2195">
        <v>220</v>
      </c>
      <c r="DG24" s="280">
        <v>309</v>
      </c>
      <c r="DH24" s="280">
        <v>472</v>
      </c>
      <c r="DI24" s="280">
        <v>622</v>
      </c>
      <c r="DJ24" s="2195">
        <v>812</v>
      </c>
      <c r="DS24" s="277"/>
      <c r="DW24" s="1"/>
      <c r="DX24" s="11">
        <f>1-EA5/DY24</f>
        <v>3.9510828025477673E-2</v>
      </c>
      <c r="DY24" s="763">
        <f t="shared" si="6"/>
        <v>47.1</v>
      </c>
      <c r="DZ24" s="285">
        <f t="shared" si="6"/>
        <v>8.35</v>
      </c>
      <c r="EA24" s="285" t="str">
        <f t="shared" si="6"/>
        <v>PCD3 140</v>
      </c>
      <c r="EB24" s="285">
        <f>HJ50</f>
        <v>89700</v>
      </c>
      <c r="EC24" s="285"/>
      <c r="ED24" s="285">
        <f>HL50</f>
        <v>299</v>
      </c>
      <c r="EE24" s="281"/>
      <c r="EF24" s="281"/>
      <c r="EO24" s="286"/>
      <c r="EP24" s="286"/>
      <c r="EX24" s="14" t="str">
        <f>IF(LT_HP!I43="Gear Brake Motor","Right",EX23)</f>
        <v>Right</v>
      </c>
      <c r="FB24" s="2174"/>
      <c r="FC24" s="2174"/>
      <c r="FF24" s="773">
        <v>56</v>
      </c>
      <c r="FG24" s="2196">
        <v>9.5</v>
      </c>
      <c r="FH24" s="2196">
        <v>14</v>
      </c>
      <c r="FI24" s="2196">
        <v>19</v>
      </c>
      <c r="FJ24" s="2196">
        <v>27</v>
      </c>
      <c r="FK24" s="2196">
        <v>38</v>
      </c>
      <c r="FL24" s="2196">
        <v>53</v>
      </c>
      <c r="FM24" s="2196">
        <v>77</v>
      </c>
      <c r="FN24" s="2196">
        <v>120</v>
      </c>
      <c r="FO24" s="2196">
        <v>145</v>
      </c>
      <c r="FP24" s="2196">
        <v>215</v>
      </c>
      <c r="FQ24" s="275">
        <v>340</v>
      </c>
      <c r="FR24" s="275">
        <v>485</v>
      </c>
      <c r="FS24" s="275">
        <v>640</v>
      </c>
      <c r="FT24" s="275">
        <v>930</v>
      </c>
      <c r="FU24" s="2196">
        <v>1330</v>
      </c>
      <c r="FX24" s="2187">
        <v>56</v>
      </c>
      <c r="FY24" s="2187">
        <v>63</v>
      </c>
      <c r="GB24" s="773">
        <v>56</v>
      </c>
      <c r="GC24" s="2196">
        <v>9.5</v>
      </c>
      <c r="GD24" s="2196">
        <v>14</v>
      </c>
      <c r="GE24" s="2196">
        <v>19</v>
      </c>
      <c r="GF24" s="2196">
        <v>27</v>
      </c>
      <c r="GG24" s="2196">
        <v>38</v>
      </c>
      <c r="GH24" s="2196">
        <v>53</v>
      </c>
      <c r="GI24" s="2196">
        <v>77</v>
      </c>
      <c r="GJ24" s="2196">
        <v>120</v>
      </c>
      <c r="GK24" s="2196">
        <v>145</v>
      </c>
      <c r="GL24" s="2196">
        <v>215</v>
      </c>
      <c r="GM24" s="275">
        <v>340</v>
      </c>
      <c r="GN24" s="275">
        <v>485</v>
      </c>
      <c r="GO24" s="275">
        <v>640</v>
      </c>
      <c r="GP24" s="275">
        <v>930</v>
      </c>
      <c r="GQ24" s="2196">
        <v>1330</v>
      </c>
      <c r="GT24" s="2174"/>
      <c r="GW24" s="2193">
        <v>42.5</v>
      </c>
      <c r="GX24" s="2195">
        <v>8.89</v>
      </c>
      <c r="GY24" s="2195">
        <v>13.3</v>
      </c>
      <c r="GZ24" s="2195">
        <v>20.6</v>
      </c>
      <c r="HA24" s="2195">
        <v>29.4</v>
      </c>
      <c r="HB24" s="2195">
        <v>38</v>
      </c>
      <c r="HC24" s="2195">
        <v>60.9</v>
      </c>
      <c r="HD24" s="2195">
        <v>76.3</v>
      </c>
      <c r="HE24" s="2195">
        <v>102</v>
      </c>
      <c r="HF24" s="2195">
        <v>152</v>
      </c>
      <c r="HG24" s="2195">
        <v>220</v>
      </c>
      <c r="HH24" s="280">
        <v>309</v>
      </c>
      <c r="HI24" s="280">
        <v>472</v>
      </c>
      <c r="HJ24" s="280">
        <v>622</v>
      </c>
      <c r="HK24" s="2195">
        <v>812</v>
      </c>
      <c r="HN24" s="2187">
        <v>42.5</v>
      </c>
      <c r="HO24" s="2187">
        <v>47.1</v>
      </c>
      <c r="HR24" s="2193">
        <v>42.5</v>
      </c>
      <c r="HS24" s="2195">
        <v>8.89</v>
      </c>
      <c r="HT24" s="2195">
        <v>13.3</v>
      </c>
      <c r="HU24" s="2195">
        <v>20.6</v>
      </c>
      <c r="HV24" s="2195">
        <v>29.4</v>
      </c>
      <c r="HW24" s="2195">
        <v>38</v>
      </c>
      <c r="HX24" s="2195">
        <v>60.9</v>
      </c>
      <c r="HY24" s="2195">
        <v>76.3</v>
      </c>
      <c r="HZ24" s="2195">
        <v>102</v>
      </c>
      <c r="IA24" s="2195">
        <v>152</v>
      </c>
      <c r="IB24" s="2195">
        <v>220</v>
      </c>
      <c r="IC24" s="280">
        <v>309</v>
      </c>
      <c r="ID24" s="280">
        <v>472</v>
      </c>
      <c r="IE24" s="280">
        <v>622</v>
      </c>
      <c r="IF24" s="2195">
        <v>812</v>
      </c>
      <c r="IN24" s="277"/>
      <c r="IO24" s="277"/>
    </row>
    <row r="25" spans="2:249" ht="21.95" customHeight="1">
      <c r="B25" s="1"/>
      <c r="C25" s="281"/>
      <c r="D25" s="281"/>
      <c r="E25" s="281"/>
      <c r="F25" s="281"/>
      <c r="G25" s="281"/>
      <c r="H25" s="281"/>
      <c r="I25" s="281"/>
      <c r="J25" s="281"/>
      <c r="S25" s="286"/>
      <c r="T25" s="286"/>
      <c r="AF25" s="2174"/>
      <c r="AG25" s="2174"/>
      <c r="AJ25" s="2193">
        <v>63</v>
      </c>
      <c r="AK25" s="2195">
        <v>7.5</v>
      </c>
      <c r="AL25" s="2195">
        <v>11</v>
      </c>
      <c r="AM25" s="2195">
        <v>16</v>
      </c>
      <c r="AN25" s="2195">
        <v>24</v>
      </c>
      <c r="AO25" s="2195">
        <v>30</v>
      </c>
      <c r="AP25" s="2195">
        <v>43</v>
      </c>
      <c r="AQ25" s="2195">
        <v>69</v>
      </c>
      <c r="AR25" s="2195">
        <v>105</v>
      </c>
      <c r="AS25" s="2195">
        <v>130</v>
      </c>
      <c r="AT25" s="2195">
        <v>190</v>
      </c>
      <c r="AU25" s="280">
        <v>300</v>
      </c>
      <c r="AV25" s="280">
        <v>430</v>
      </c>
      <c r="AW25" s="280">
        <v>560</v>
      </c>
      <c r="AX25" s="280">
        <v>820</v>
      </c>
      <c r="AY25" s="2195">
        <v>1180</v>
      </c>
      <c r="BB25" s="2187">
        <v>63</v>
      </c>
      <c r="BC25" s="2187">
        <v>71</v>
      </c>
      <c r="BF25" s="2193">
        <v>63</v>
      </c>
      <c r="BG25" s="2195">
        <v>7.5</v>
      </c>
      <c r="BH25" s="2195">
        <v>11</v>
      </c>
      <c r="BI25" s="2195">
        <v>16</v>
      </c>
      <c r="BJ25" s="2195">
        <v>24</v>
      </c>
      <c r="BK25" s="2195">
        <v>30</v>
      </c>
      <c r="BL25" s="2195">
        <v>43</v>
      </c>
      <c r="BM25" s="2195">
        <v>69</v>
      </c>
      <c r="BN25" s="2195">
        <v>105</v>
      </c>
      <c r="BO25" s="2195">
        <v>130</v>
      </c>
      <c r="BP25" s="2195">
        <v>190</v>
      </c>
      <c r="BQ25" s="280">
        <v>300</v>
      </c>
      <c r="BR25" s="280">
        <v>430</v>
      </c>
      <c r="BS25" s="280">
        <v>560</v>
      </c>
      <c r="BT25" s="280">
        <v>820</v>
      </c>
      <c r="BU25" s="2195">
        <v>1180</v>
      </c>
      <c r="BX25" s="2174"/>
      <c r="CA25" s="2193">
        <v>47.1</v>
      </c>
      <c r="CB25" s="2195">
        <v>8.35</v>
      </c>
      <c r="CC25" s="2195">
        <v>13.3</v>
      </c>
      <c r="CD25" s="2195">
        <v>20.6</v>
      </c>
      <c r="CE25" s="2195">
        <v>24.6</v>
      </c>
      <c r="CF25" s="2195">
        <v>39</v>
      </c>
      <c r="CG25" s="2195">
        <v>58</v>
      </c>
      <c r="CH25" s="2195">
        <v>73.5</v>
      </c>
      <c r="CI25" s="2195">
        <v>102</v>
      </c>
      <c r="CJ25" s="2195">
        <v>133</v>
      </c>
      <c r="CK25" s="2195">
        <v>190</v>
      </c>
      <c r="CL25" s="280">
        <v>283</v>
      </c>
      <c r="CM25" s="280">
        <v>434</v>
      </c>
      <c r="CN25" s="280">
        <v>606</v>
      </c>
      <c r="CO25" s="2195">
        <v>0</v>
      </c>
      <c r="CR25" s="2187">
        <v>47.1</v>
      </c>
      <c r="CS25" s="2187">
        <v>52.1</v>
      </c>
      <c r="CV25" s="2193">
        <v>47.1</v>
      </c>
      <c r="CW25" s="2195">
        <v>8.35</v>
      </c>
      <c r="CX25" s="2195">
        <v>13.3</v>
      </c>
      <c r="CY25" s="2195">
        <v>20.6</v>
      </c>
      <c r="CZ25" s="2195">
        <v>24.6</v>
      </c>
      <c r="DA25" s="2195">
        <v>39</v>
      </c>
      <c r="DB25" s="2195">
        <v>58</v>
      </c>
      <c r="DC25" s="2195">
        <v>73.5</v>
      </c>
      <c r="DD25" s="2195">
        <v>102</v>
      </c>
      <c r="DE25" s="2195">
        <v>133</v>
      </c>
      <c r="DF25" s="2195">
        <v>190</v>
      </c>
      <c r="DG25" s="280">
        <v>283</v>
      </c>
      <c r="DH25" s="280">
        <v>434</v>
      </c>
      <c r="DI25" s="280">
        <v>606</v>
      </c>
      <c r="DJ25" s="2195">
        <v>0</v>
      </c>
      <c r="DS25" s="277"/>
      <c r="DW25" s="1"/>
      <c r="DX25" s="1"/>
      <c r="DY25" s="281"/>
      <c r="DZ25" s="281"/>
      <c r="EA25" s="281"/>
      <c r="EB25" s="281"/>
      <c r="EC25" s="281"/>
      <c r="ED25" s="281"/>
      <c r="EE25" s="281"/>
      <c r="EF25" s="281"/>
      <c r="EO25" s="286"/>
      <c r="EP25" s="286"/>
      <c r="FB25" s="2174"/>
      <c r="FC25" s="2174"/>
      <c r="FF25" s="2193">
        <v>63</v>
      </c>
      <c r="FG25" s="2195">
        <v>7.5</v>
      </c>
      <c r="FH25" s="2195">
        <v>11</v>
      </c>
      <c r="FI25" s="2195">
        <v>16</v>
      </c>
      <c r="FJ25" s="2195">
        <v>24</v>
      </c>
      <c r="FK25" s="2195">
        <v>30</v>
      </c>
      <c r="FL25" s="2195">
        <v>43</v>
      </c>
      <c r="FM25" s="2195">
        <v>69</v>
      </c>
      <c r="FN25" s="2195">
        <v>105</v>
      </c>
      <c r="FO25" s="2195">
        <v>130</v>
      </c>
      <c r="FP25" s="2195">
        <v>190</v>
      </c>
      <c r="FQ25" s="280">
        <v>300</v>
      </c>
      <c r="FR25" s="280">
        <v>430</v>
      </c>
      <c r="FS25" s="280">
        <v>560</v>
      </c>
      <c r="FT25" s="280">
        <v>820</v>
      </c>
      <c r="FU25" s="2195">
        <v>1180</v>
      </c>
      <c r="FX25" s="2187">
        <v>63</v>
      </c>
      <c r="FY25" s="2187">
        <v>71</v>
      </c>
      <c r="GB25" s="2193">
        <v>63</v>
      </c>
      <c r="GC25" s="2195">
        <v>7.5</v>
      </c>
      <c r="GD25" s="2195">
        <v>11</v>
      </c>
      <c r="GE25" s="2195">
        <v>16</v>
      </c>
      <c r="GF25" s="2195">
        <v>24</v>
      </c>
      <c r="GG25" s="2195">
        <v>30</v>
      </c>
      <c r="GH25" s="2195">
        <v>43</v>
      </c>
      <c r="GI25" s="2195">
        <v>69</v>
      </c>
      <c r="GJ25" s="2195">
        <v>105</v>
      </c>
      <c r="GK25" s="2195">
        <v>130</v>
      </c>
      <c r="GL25" s="2195">
        <v>190</v>
      </c>
      <c r="GM25" s="280">
        <v>300</v>
      </c>
      <c r="GN25" s="280">
        <v>430</v>
      </c>
      <c r="GO25" s="280">
        <v>560</v>
      </c>
      <c r="GP25" s="280">
        <v>820</v>
      </c>
      <c r="GQ25" s="2195">
        <v>1180</v>
      </c>
      <c r="GT25" s="2174"/>
      <c r="GW25" s="2193">
        <v>47.1</v>
      </c>
      <c r="GX25" s="2195">
        <v>8.35</v>
      </c>
      <c r="GY25" s="2195">
        <v>13.3</v>
      </c>
      <c r="GZ25" s="2195">
        <v>20.6</v>
      </c>
      <c r="HA25" s="2195">
        <v>24.6</v>
      </c>
      <c r="HB25" s="2195">
        <v>39</v>
      </c>
      <c r="HC25" s="2195">
        <v>58</v>
      </c>
      <c r="HD25" s="2195">
        <v>73.5</v>
      </c>
      <c r="HE25" s="2195">
        <v>102</v>
      </c>
      <c r="HF25" s="2195">
        <v>133</v>
      </c>
      <c r="HG25" s="2195">
        <v>190</v>
      </c>
      <c r="HH25" s="280">
        <v>283</v>
      </c>
      <c r="HI25" s="280">
        <v>434</v>
      </c>
      <c r="HJ25" s="280">
        <v>606</v>
      </c>
      <c r="HK25" s="2195">
        <v>0</v>
      </c>
      <c r="HN25" s="2187">
        <v>47.1</v>
      </c>
      <c r="HO25" s="2187">
        <v>52.1</v>
      </c>
      <c r="HR25" s="2193">
        <v>47.1</v>
      </c>
      <c r="HS25" s="2195">
        <v>8.35</v>
      </c>
      <c r="HT25" s="2195">
        <v>13.3</v>
      </c>
      <c r="HU25" s="2195">
        <v>20.6</v>
      </c>
      <c r="HV25" s="2195">
        <v>24.6</v>
      </c>
      <c r="HW25" s="2195">
        <v>39</v>
      </c>
      <c r="HX25" s="2195">
        <v>58</v>
      </c>
      <c r="HY25" s="2195">
        <v>73.5</v>
      </c>
      <c r="HZ25" s="2195">
        <v>102</v>
      </c>
      <c r="IA25" s="2195">
        <v>133</v>
      </c>
      <c r="IB25" s="2195">
        <v>190</v>
      </c>
      <c r="IC25" s="280">
        <v>283</v>
      </c>
      <c r="ID25" s="280">
        <v>434</v>
      </c>
      <c r="IE25" s="280">
        <v>606</v>
      </c>
      <c r="IF25" s="2195">
        <v>0</v>
      </c>
      <c r="IN25" s="277"/>
      <c r="IO25" s="277"/>
    </row>
    <row r="26" spans="2:249" ht="21.95" customHeight="1">
      <c r="B26" s="1"/>
      <c r="C26" s="777" t="s">
        <v>2181</v>
      </c>
      <c r="D26" s="778" t="s">
        <v>2178</v>
      </c>
      <c r="E26" s="778" t="s">
        <v>2179</v>
      </c>
      <c r="F26" s="779" t="s">
        <v>2173</v>
      </c>
      <c r="G26" s="778" t="s">
        <v>2785</v>
      </c>
      <c r="H26" s="779" t="s">
        <v>2174</v>
      </c>
      <c r="I26" s="3" t="str">
        <f>AT46</f>
        <v>Right</v>
      </c>
      <c r="J26" s="281"/>
      <c r="S26" s="286"/>
      <c r="T26" s="286"/>
      <c r="AF26" s="2174"/>
      <c r="AG26" s="2174"/>
      <c r="AJ26" s="2193">
        <v>71</v>
      </c>
      <c r="AK26" s="2195">
        <v>6.5</v>
      </c>
      <c r="AL26" s="2195">
        <v>10</v>
      </c>
      <c r="AM26" s="2195">
        <v>14</v>
      </c>
      <c r="AN26" s="2195">
        <v>22</v>
      </c>
      <c r="AO26" s="2195">
        <v>27</v>
      </c>
      <c r="AP26" s="2195">
        <v>39</v>
      </c>
      <c r="AQ26" s="2195">
        <v>61</v>
      </c>
      <c r="AR26" s="2195">
        <v>92</v>
      </c>
      <c r="AS26" s="2195">
        <v>115</v>
      </c>
      <c r="AT26" s="2195">
        <v>170</v>
      </c>
      <c r="AU26" s="280">
        <v>270</v>
      </c>
      <c r="AV26" s="280">
        <v>380</v>
      </c>
      <c r="AW26" s="280">
        <v>500</v>
      </c>
      <c r="AX26" s="280">
        <v>730</v>
      </c>
      <c r="AY26" s="2195">
        <v>1050</v>
      </c>
      <c r="BB26" s="2187">
        <v>71</v>
      </c>
      <c r="BC26" s="2187">
        <v>80</v>
      </c>
      <c r="BF26" s="2193">
        <v>71</v>
      </c>
      <c r="BG26" s="2195">
        <v>6.5</v>
      </c>
      <c r="BH26" s="2195">
        <v>10</v>
      </c>
      <c r="BI26" s="2195">
        <v>14</v>
      </c>
      <c r="BJ26" s="2195">
        <v>22</v>
      </c>
      <c r="BK26" s="2195">
        <v>27</v>
      </c>
      <c r="BL26" s="2195">
        <v>39</v>
      </c>
      <c r="BM26" s="2195">
        <v>61</v>
      </c>
      <c r="BN26" s="2195">
        <v>92</v>
      </c>
      <c r="BO26" s="2195">
        <v>115</v>
      </c>
      <c r="BP26" s="2195">
        <v>170</v>
      </c>
      <c r="BQ26" s="280">
        <v>270</v>
      </c>
      <c r="BR26" s="280">
        <v>380</v>
      </c>
      <c r="BS26" s="280">
        <v>500</v>
      </c>
      <c r="BT26" s="280">
        <v>730</v>
      </c>
      <c r="BU26" s="2195">
        <v>1050</v>
      </c>
      <c r="BX26" s="2174"/>
      <c r="CA26" s="2193">
        <v>52.1</v>
      </c>
      <c r="CB26" s="2195">
        <v>7.38</v>
      </c>
      <c r="CC26" s="2195">
        <v>11.1</v>
      </c>
      <c r="CD26" s="2195">
        <v>15.9</v>
      </c>
      <c r="CE26" s="2195">
        <v>22.2</v>
      </c>
      <c r="CF26" s="2195">
        <v>36.299999999999997</v>
      </c>
      <c r="CG26" s="2195">
        <v>51.9</v>
      </c>
      <c r="CH26" s="2195">
        <v>66.599999999999994</v>
      </c>
      <c r="CI26" s="2195">
        <v>92.3</v>
      </c>
      <c r="CJ26" s="2195">
        <v>119</v>
      </c>
      <c r="CK26" s="2195">
        <v>171</v>
      </c>
      <c r="CL26" s="280">
        <v>264</v>
      </c>
      <c r="CM26" s="280">
        <v>387</v>
      </c>
      <c r="CN26" s="280">
        <v>551</v>
      </c>
      <c r="CO26" s="2195">
        <v>0</v>
      </c>
      <c r="CR26" s="2187">
        <v>52.1</v>
      </c>
      <c r="CS26" s="2187">
        <v>57.7</v>
      </c>
      <c r="CV26" s="2193">
        <v>52.1</v>
      </c>
      <c r="CW26" s="2195">
        <v>7.38</v>
      </c>
      <c r="CX26" s="2195">
        <v>11.1</v>
      </c>
      <c r="CY26" s="2195">
        <v>15.9</v>
      </c>
      <c r="CZ26" s="2195">
        <v>22.2</v>
      </c>
      <c r="DA26" s="2195">
        <v>36.299999999999997</v>
      </c>
      <c r="DB26" s="2195">
        <v>51.9</v>
      </c>
      <c r="DC26" s="2195">
        <v>66.599999999999994</v>
      </c>
      <c r="DD26" s="2195">
        <v>92.3</v>
      </c>
      <c r="DE26" s="2195">
        <v>119</v>
      </c>
      <c r="DF26" s="2195">
        <v>171</v>
      </c>
      <c r="DG26" s="280">
        <v>264</v>
      </c>
      <c r="DH26" s="280">
        <v>387</v>
      </c>
      <c r="DI26" s="280">
        <v>551</v>
      </c>
      <c r="DJ26" s="2195">
        <v>0</v>
      </c>
      <c r="DS26" s="277"/>
      <c r="DW26" s="1"/>
      <c r="DX26" s="1"/>
      <c r="DY26" s="777" t="s">
        <v>2181</v>
      </c>
      <c r="DZ26" s="778" t="s">
        <v>2178</v>
      </c>
      <c r="EA26" s="778" t="s">
        <v>2179</v>
      </c>
      <c r="EB26" s="779" t="s">
        <v>2173</v>
      </c>
      <c r="EC26" s="778" t="s">
        <v>2785</v>
      </c>
      <c r="ED26" s="779" t="s">
        <v>2174</v>
      </c>
      <c r="EE26" s="3" t="str">
        <f>FP46</f>
        <v>Right</v>
      </c>
      <c r="EF26" s="281"/>
      <c r="EO26" s="286"/>
      <c r="EP26" s="286"/>
      <c r="FB26" s="2174"/>
      <c r="FC26" s="2174"/>
      <c r="FF26" s="2193">
        <v>71</v>
      </c>
      <c r="FG26" s="2195">
        <v>6.5</v>
      </c>
      <c r="FH26" s="2195">
        <v>10</v>
      </c>
      <c r="FI26" s="2195">
        <v>14</v>
      </c>
      <c r="FJ26" s="2195">
        <v>22</v>
      </c>
      <c r="FK26" s="2195">
        <v>27</v>
      </c>
      <c r="FL26" s="2195">
        <v>39</v>
      </c>
      <c r="FM26" s="2195">
        <v>61</v>
      </c>
      <c r="FN26" s="2195">
        <v>92</v>
      </c>
      <c r="FO26" s="2195">
        <v>115</v>
      </c>
      <c r="FP26" s="2195">
        <v>170</v>
      </c>
      <c r="FQ26" s="280">
        <v>270</v>
      </c>
      <c r="FR26" s="280">
        <v>380</v>
      </c>
      <c r="FS26" s="280">
        <v>500</v>
      </c>
      <c r="FT26" s="280">
        <v>730</v>
      </c>
      <c r="FU26" s="2195">
        <v>1050</v>
      </c>
      <c r="FX26" s="2187">
        <v>71</v>
      </c>
      <c r="FY26" s="2187">
        <v>80</v>
      </c>
      <c r="GB26" s="2193">
        <v>71</v>
      </c>
      <c r="GC26" s="2195">
        <v>6.5</v>
      </c>
      <c r="GD26" s="2195">
        <v>10</v>
      </c>
      <c r="GE26" s="2195">
        <v>14</v>
      </c>
      <c r="GF26" s="2195">
        <v>22</v>
      </c>
      <c r="GG26" s="2195">
        <v>27</v>
      </c>
      <c r="GH26" s="2195">
        <v>39</v>
      </c>
      <c r="GI26" s="2195">
        <v>61</v>
      </c>
      <c r="GJ26" s="2195">
        <v>92</v>
      </c>
      <c r="GK26" s="2195">
        <v>115</v>
      </c>
      <c r="GL26" s="2195">
        <v>170</v>
      </c>
      <c r="GM26" s="280">
        <v>270</v>
      </c>
      <c r="GN26" s="280">
        <v>380</v>
      </c>
      <c r="GO26" s="280">
        <v>500</v>
      </c>
      <c r="GP26" s="280">
        <v>730</v>
      </c>
      <c r="GQ26" s="2195">
        <v>1050</v>
      </c>
      <c r="GT26" s="2174"/>
      <c r="GW26" s="2193">
        <v>52.1</v>
      </c>
      <c r="GX26" s="2195">
        <v>7.38</v>
      </c>
      <c r="GY26" s="2195">
        <v>11.1</v>
      </c>
      <c r="GZ26" s="2195">
        <v>15.9</v>
      </c>
      <c r="HA26" s="2195">
        <v>22.2</v>
      </c>
      <c r="HB26" s="2195">
        <v>36.299999999999997</v>
      </c>
      <c r="HC26" s="2195">
        <v>51.9</v>
      </c>
      <c r="HD26" s="2195">
        <v>66.599999999999994</v>
      </c>
      <c r="HE26" s="2195">
        <v>92.3</v>
      </c>
      <c r="HF26" s="2195">
        <v>119</v>
      </c>
      <c r="HG26" s="2195">
        <v>171</v>
      </c>
      <c r="HH26" s="280">
        <v>264</v>
      </c>
      <c r="HI26" s="280">
        <v>387</v>
      </c>
      <c r="HJ26" s="280">
        <v>551</v>
      </c>
      <c r="HK26" s="2195">
        <v>0</v>
      </c>
      <c r="HN26" s="2187">
        <v>52.1</v>
      </c>
      <c r="HO26" s="2187">
        <v>57.7</v>
      </c>
      <c r="HR26" s="2193">
        <v>52.1</v>
      </c>
      <c r="HS26" s="2195">
        <v>7.38</v>
      </c>
      <c r="HT26" s="2195">
        <v>11.1</v>
      </c>
      <c r="HU26" s="2195">
        <v>15.9</v>
      </c>
      <c r="HV26" s="2195">
        <v>22.2</v>
      </c>
      <c r="HW26" s="2195">
        <v>36.299999999999997</v>
      </c>
      <c r="HX26" s="2195">
        <v>51.9</v>
      </c>
      <c r="HY26" s="2195">
        <v>66.599999999999994</v>
      </c>
      <c r="HZ26" s="2195">
        <v>92.3</v>
      </c>
      <c r="IA26" s="2195">
        <v>119</v>
      </c>
      <c r="IB26" s="2195">
        <v>171</v>
      </c>
      <c r="IC26" s="280">
        <v>264</v>
      </c>
      <c r="ID26" s="280">
        <v>387</v>
      </c>
      <c r="IE26" s="280">
        <v>551</v>
      </c>
      <c r="IF26" s="2195">
        <v>0</v>
      </c>
      <c r="IN26" s="277"/>
      <c r="IO26" s="277"/>
    </row>
    <row r="27" spans="2:249" ht="21.95" customHeight="1">
      <c r="B27" s="11">
        <f>E5/C27-1</f>
        <v>1.9471323943662133E-2</v>
      </c>
      <c r="C27" s="763">
        <f>AS49</f>
        <v>71</v>
      </c>
      <c r="D27" s="285">
        <f t="shared" ref="D27:E28" si="7">AT49</f>
        <v>6.5</v>
      </c>
      <c r="E27" s="285" t="str">
        <f>AU49</f>
        <v>SCN 160</v>
      </c>
      <c r="F27" s="285">
        <f>VLOOKUP(E27,C101:D131,2,0)</f>
        <v>50400</v>
      </c>
      <c r="G27" s="285"/>
      <c r="H27" s="285">
        <f>VLOOKUP(E27,C101:F131,4,0)</f>
        <v>168</v>
      </c>
      <c r="I27" s="281"/>
      <c r="J27" s="281"/>
      <c r="S27" s="286"/>
      <c r="T27" s="286"/>
      <c r="AF27" s="2174"/>
      <c r="AG27" s="2174"/>
      <c r="AJ27" s="2203">
        <v>80</v>
      </c>
      <c r="AK27" s="2195">
        <v>6</v>
      </c>
      <c r="AL27" s="2195">
        <v>9</v>
      </c>
      <c r="AM27" s="2195">
        <v>13</v>
      </c>
      <c r="AN27" s="2195">
        <v>19</v>
      </c>
      <c r="AO27" s="2195">
        <v>24</v>
      </c>
      <c r="AP27" s="2195">
        <v>34</v>
      </c>
      <c r="AQ27" s="2195">
        <v>54</v>
      </c>
      <c r="AR27" s="2195">
        <v>82</v>
      </c>
      <c r="AS27" s="2195">
        <v>100</v>
      </c>
      <c r="AT27" s="2195">
        <v>150</v>
      </c>
      <c r="AU27" s="280">
        <v>240</v>
      </c>
      <c r="AV27" s="280">
        <v>340</v>
      </c>
      <c r="AW27" s="280">
        <v>450</v>
      </c>
      <c r="AX27" s="280">
        <v>650</v>
      </c>
      <c r="AY27" s="2195">
        <v>940</v>
      </c>
      <c r="BB27" s="2187">
        <v>80</v>
      </c>
      <c r="BC27" s="2187">
        <v>90</v>
      </c>
      <c r="BF27" s="2203">
        <v>80</v>
      </c>
      <c r="BG27" s="2195">
        <v>6</v>
      </c>
      <c r="BH27" s="2195">
        <v>9</v>
      </c>
      <c r="BI27" s="2195">
        <v>13</v>
      </c>
      <c r="BJ27" s="2195">
        <v>19</v>
      </c>
      <c r="BK27" s="2195">
        <v>24</v>
      </c>
      <c r="BL27" s="2195">
        <v>34</v>
      </c>
      <c r="BM27" s="2195">
        <v>54</v>
      </c>
      <c r="BN27" s="2195">
        <v>82</v>
      </c>
      <c r="BO27" s="2195">
        <v>100</v>
      </c>
      <c r="BP27" s="2195">
        <v>150</v>
      </c>
      <c r="BQ27" s="280">
        <v>240</v>
      </c>
      <c r="BR27" s="280">
        <v>340</v>
      </c>
      <c r="BS27" s="280">
        <v>450</v>
      </c>
      <c r="BT27" s="280">
        <v>650</v>
      </c>
      <c r="BU27" s="2195">
        <v>940</v>
      </c>
      <c r="BX27" s="2174"/>
      <c r="CA27" s="2193">
        <v>57.7</v>
      </c>
      <c r="CB27" s="2195">
        <v>6.59</v>
      </c>
      <c r="CC27" s="2195">
        <v>10.5</v>
      </c>
      <c r="CD27" s="2195">
        <v>14.2</v>
      </c>
      <c r="CE27" s="2195">
        <v>20.6</v>
      </c>
      <c r="CF27" s="2195">
        <v>32.9</v>
      </c>
      <c r="CG27" s="2195">
        <v>47.2</v>
      </c>
      <c r="CH27" s="2195">
        <v>61.5</v>
      </c>
      <c r="CI27" s="2195">
        <v>85.9</v>
      </c>
      <c r="CJ27" s="2195">
        <v>106</v>
      </c>
      <c r="CK27" s="2195">
        <v>160</v>
      </c>
      <c r="CL27" s="280">
        <v>231</v>
      </c>
      <c r="CM27" s="280">
        <v>359</v>
      </c>
      <c r="CN27" s="280">
        <v>503</v>
      </c>
      <c r="CO27" s="2195">
        <v>0</v>
      </c>
      <c r="CR27" s="2187">
        <v>57.7</v>
      </c>
      <c r="CS27" s="2187">
        <v>63.8</v>
      </c>
      <c r="CV27" s="2193">
        <v>57.7</v>
      </c>
      <c r="CW27" s="2195">
        <v>6.59</v>
      </c>
      <c r="CX27" s="2195">
        <v>10.5</v>
      </c>
      <c r="CY27" s="2195">
        <v>14.2</v>
      </c>
      <c r="CZ27" s="2195">
        <v>20.6</v>
      </c>
      <c r="DA27" s="2195">
        <v>32.9</v>
      </c>
      <c r="DB27" s="2195">
        <v>47.2</v>
      </c>
      <c r="DC27" s="2195">
        <v>61.5</v>
      </c>
      <c r="DD27" s="2195">
        <v>85.9</v>
      </c>
      <c r="DE27" s="2195">
        <v>106</v>
      </c>
      <c r="DF27" s="2195">
        <v>160</v>
      </c>
      <c r="DG27" s="280">
        <v>231</v>
      </c>
      <c r="DH27" s="280">
        <v>359</v>
      </c>
      <c r="DI27" s="280">
        <v>503</v>
      </c>
      <c r="DJ27" s="2195">
        <v>0</v>
      </c>
      <c r="DS27" s="277"/>
      <c r="DW27" s="1"/>
      <c r="DX27" s="11">
        <f>EA5/DY27-1</f>
        <v>5.3119999999999834E-3</v>
      </c>
      <c r="DY27" s="763">
        <f t="shared" ref="DY27:EA28" si="8">FO49</f>
        <v>45</v>
      </c>
      <c r="DZ27" s="285">
        <f t="shared" si="8"/>
        <v>12</v>
      </c>
      <c r="EA27" s="285" t="str">
        <f t="shared" si="8"/>
        <v>SCN 160</v>
      </c>
      <c r="EB27" s="285">
        <f>FS49</f>
        <v>50400</v>
      </c>
      <c r="EC27" s="285"/>
      <c r="ED27" s="285">
        <f>FU49</f>
        <v>168</v>
      </c>
      <c r="EE27" s="281"/>
      <c r="EF27" s="281"/>
      <c r="EO27" s="286"/>
      <c r="EP27" s="286"/>
      <c r="FB27" s="2174"/>
      <c r="FC27" s="2174"/>
      <c r="FF27" s="2203">
        <v>80</v>
      </c>
      <c r="FG27" s="2195">
        <v>6</v>
      </c>
      <c r="FH27" s="2195">
        <v>9</v>
      </c>
      <c r="FI27" s="2195">
        <v>13</v>
      </c>
      <c r="FJ27" s="2195">
        <v>19</v>
      </c>
      <c r="FK27" s="2195">
        <v>24</v>
      </c>
      <c r="FL27" s="2195">
        <v>34</v>
      </c>
      <c r="FM27" s="2195">
        <v>54</v>
      </c>
      <c r="FN27" s="2195">
        <v>82</v>
      </c>
      <c r="FO27" s="2195">
        <v>100</v>
      </c>
      <c r="FP27" s="2195">
        <v>150</v>
      </c>
      <c r="FQ27" s="280">
        <v>240</v>
      </c>
      <c r="FR27" s="280">
        <v>340</v>
      </c>
      <c r="FS27" s="280">
        <v>450</v>
      </c>
      <c r="FT27" s="280">
        <v>650</v>
      </c>
      <c r="FU27" s="2195">
        <v>940</v>
      </c>
      <c r="FX27" s="2187">
        <v>80</v>
      </c>
      <c r="FY27" s="2187">
        <v>90</v>
      </c>
      <c r="GB27" s="2203">
        <v>80</v>
      </c>
      <c r="GC27" s="2195">
        <v>6</v>
      </c>
      <c r="GD27" s="2195">
        <v>9</v>
      </c>
      <c r="GE27" s="2195">
        <v>13</v>
      </c>
      <c r="GF27" s="2195">
        <v>19</v>
      </c>
      <c r="GG27" s="2195">
        <v>24</v>
      </c>
      <c r="GH27" s="2195">
        <v>34</v>
      </c>
      <c r="GI27" s="2195">
        <v>54</v>
      </c>
      <c r="GJ27" s="2195">
        <v>82</v>
      </c>
      <c r="GK27" s="2195">
        <v>100</v>
      </c>
      <c r="GL27" s="2195">
        <v>150</v>
      </c>
      <c r="GM27" s="280">
        <v>240</v>
      </c>
      <c r="GN27" s="280">
        <v>340</v>
      </c>
      <c r="GO27" s="280">
        <v>450</v>
      </c>
      <c r="GP27" s="280">
        <v>650</v>
      </c>
      <c r="GQ27" s="2195">
        <v>940</v>
      </c>
      <c r="GT27" s="2174"/>
      <c r="GW27" s="2193">
        <v>57.7</v>
      </c>
      <c r="GX27" s="2195">
        <v>6.59</v>
      </c>
      <c r="GY27" s="2195">
        <v>10.5</v>
      </c>
      <c r="GZ27" s="2195">
        <v>14.2</v>
      </c>
      <c r="HA27" s="2195">
        <v>20.6</v>
      </c>
      <c r="HB27" s="2195">
        <v>32.9</v>
      </c>
      <c r="HC27" s="2195">
        <v>47.2</v>
      </c>
      <c r="HD27" s="2195">
        <v>61.5</v>
      </c>
      <c r="HE27" s="2195">
        <v>85.9</v>
      </c>
      <c r="HF27" s="2195">
        <v>106</v>
      </c>
      <c r="HG27" s="2195">
        <v>160</v>
      </c>
      <c r="HH27" s="280">
        <v>231</v>
      </c>
      <c r="HI27" s="280">
        <v>359</v>
      </c>
      <c r="HJ27" s="280">
        <v>503</v>
      </c>
      <c r="HK27" s="2195">
        <v>0</v>
      </c>
      <c r="HN27" s="2187">
        <v>57.7</v>
      </c>
      <c r="HO27" s="2187">
        <v>63.8</v>
      </c>
      <c r="HR27" s="2193">
        <v>57.7</v>
      </c>
      <c r="HS27" s="2195">
        <v>6.59</v>
      </c>
      <c r="HT27" s="2195">
        <v>10.5</v>
      </c>
      <c r="HU27" s="2195">
        <v>14.2</v>
      </c>
      <c r="HV27" s="2195">
        <v>20.6</v>
      </c>
      <c r="HW27" s="2195">
        <v>32.9</v>
      </c>
      <c r="HX27" s="2195">
        <v>47.2</v>
      </c>
      <c r="HY27" s="2195">
        <v>61.5</v>
      </c>
      <c r="HZ27" s="2195">
        <v>85.9</v>
      </c>
      <c r="IA27" s="2195">
        <v>106</v>
      </c>
      <c r="IB27" s="2195">
        <v>160</v>
      </c>
      <c r="IC27" s="280">
        <v>231</v>
      </c>
      <c r="ID27" s="280">
        <v>359</v>
      </c>
      <c r="IE27" s="280">
        <v>503</v>
      </c>
      <c r="IF27" s="2195">
        <v>0</v>
      </c>
      <c r="IN27" s="277"/>
      <c r="IO27" s="277"/>
    </row>
    <row r="28" spans="2:249" ht="21.95" customHeight="1">
      <c r="B28" s="11">
        <f>1-E5/C28</f>
        <v>9.5219199999999837E-2</v>
      </c>
      <c r="C28" s="763">
        <f>AS50</f>
        <v>80</v>
      </c>
      <c r="D28" s="285">
        <f t="shared" si="7"/>
        <v>6</v>
      </c>
      <c r="E28" s="285" t="str">
        <f t="shared" si="7"/>
        <v>SCN 160</v>
      </c>
      <c r="F28" s="285">
        <f>VLOOKUP(E28,C101:D131,2,0)</f>
        <v>50400</v>
      </c>
      <c r="G28" s="285"/>
      <c r="H28" s="285">
        <f>VLOOKUP(E28,C101:F131,4,0)</f>
        <v>168</v>
      </c>
      <c r="I28" s="281"/>
      <c r="J28" s="281"/>
      <c r="S28" s="286"/>
      <c r="T28" s="286"/>
      <c r="AF28" s="2174"/>
      <c r="AG28" s="2174"/>
      <c r="AJ28" s="2203">
        <v>90</v>
      </c>
      <c r="AK28" s="2195">
        <v>5.5</v>
      </c>
      <c r="AL28" s="2195">
        <v>8</v>
      </c>
      <c r="AM28" s="2195">
        <v>11</v>
      </c>
      <c r="AN28" s="2195">
        <v>17</v>
      </c>
      <c r="AO28" s="2195">
        <v>22</v>
      </c>
      <c r="AP28" s="2195">
        <v>31</v>
      </c>
      <c r="AQ28" s="2195">
        <v>49</v>
      </c>
      <c r="AR28" s="2195">
        <v>74</v>
      </c>
      <c r="AS28" s="2195">
        <v>92</v>
      </c>
      <c r="AT28" s="2195">
        <v>135</v>
      </c>
      <c r="AU28" s="280">
        <v>210</v>
      </c>
      <c r="AV28" s="280">
        <v>300</v>
      </c>
      <c r="AW28" s="280">
        <v>395</v>
      </c>
      <c r="AX28" s="280">
        <v>570</v>
      </c>
      <c r="AY28" s="2195">
        <v>820</v>
      </c>
      <c r="BB28" s="2187">
        <v>90</v>
      </c>
      <c r="BC28" s="2187">
        <v>100</v>
      </c>
      <c r="BF28" s="2203">
        <v>90</v>
      </c>
      <c r="BG28" s="2195">
        <v>5.5</v>
      </c>
      <c r="BH28" s="2195">
        <v>8</v>
      </c>
      <c r="BI28" s="2195">
        <v>11</v>
      </c>
      <c r="BJ28" s="2195">
        <v>17</v>
      </c>
      <c r="BK28" s="2195">
        <v>22</v>
      </c>
      <c r="BL28" s="2195">
        <v>31</v>
      </c>
      <c r="BM28" s="2195">
        <v>49</v>
      </c>
      <c r="BN28" s="2195">
        <v>74</v>
      </c>
      <c r="BO28" s="2195">
        <v>92</v>
      </c>
      <c r="BP28" s="2195">
        <v>135</v>
      </c>
      <c r="BQ28" s="280">
        <v>210</v>
      </c>
      <c r="BR28" s="280">
        <v>300</v>
      </c>
      <c r="BS28" s="280">
        <v>395</v>
      </c>
      <c r="BT28" s="280">
        <v>570</v>
      </c>
      <c r="BU28" s="2195">
        <v>820</v>
      </c>
      <c r="BX28" s="2174"/>
      <c r="CA28" s="2193">
        <v>63.8</v>
      </c>
      <c r="CB28" s="2195">
        <v>5.61</v>
      </c>
      <c r="CC28" s="2195">
        <v>9.0299999999999994</v>
      </c>
      <c r="CD28" s="2195">
        <v>11.8</v>
      </c>
      <c r="CE28" s="2195">
        <v>18.399999999999999</v>
      </c>
      <c r="CF28" s="2195">
        <v>29.8</v>
      </c>
      <c r="CG28" s="2195">
        <v>42.6</v>
      </c>
      <c r="CH28" s="2195">
        <v>54.7</v>
      </c>
      <c r="CI28" s="2195">
        <v>77.400000000000006</v>
      </c>
      <c r="CJ28" s="2195">
        <v>99.2</v>
      </c>
      <c r="CK28" s="2195">
        <v>144</v>
      </c>
      <c r="CL28" s="280">
        <v>210</v>
      </c>
      <c r="CM28" s="280">
        <v>320</v>
      </c>
      <c r="CN28" s="280">
        <v>448</v>
      </c>
      <c r="CO28" s="2195">
        <v>0</v>
      </c>
      <c r="CR28" s="2187">
        <v>63.8</v>
      </c>
      <c r="CS28" s="2187">
        <v>70.599999999999994</v>
      </c>
      <c r="CV28" s="2193">
        <v>63.8</v>
      </c>
      <c r="CW28" s="2195">
        <v>5.61</v>
      </c>
      <c r="CX28" s="2195">
        <v>9.0299999999999994</v>
      </c>
      <c r="CY28" s="2195">
        <v>11.8</v>
      </c>
      <c r="CZ28" s="2195">
        <v>18.399999999999999</v>
      </c>
      <c r="DA28" s="2195">
        <v>29.8</v>
      </c>
      <c r="DB28" s="2195">
        <v>42.6</v>
      </c>
      <c r="DC28" s="2195">
        <v>54.7</v>
      </c>
      <c r="DD28" s="2195">
        <v>77.400000000000006</v>
      </c>
      <c r="DE28" s="2195">
        <v>99.2</v>
      </c>
      <c r="DF28" s="2195">
        <v>144</v>
      </c>
      <c r="DG28" s="280">
        <v>210</v>
      </c>
      <c r="DH28" s="280">
        <v>320</v>
      </c>
      <c r="DI28" s="280">
        <v>448</v>
      </c>
      <c r="DJ28" s="2195">
        <v>0</v>
      </c>
      <c r="DS28" s="277"/>
      <c r="DW28" s="1"/>
      <c r="DX28" s="11">
        <f>1-EA5/DY28</f>
        <v>9.5219199999999948E-2</v>
      </c>
      <c r="DY28" s="763">
        <f t="shared" si="8"/>
        <v>50</v>
      </c>
      <c r="DZ28" s="285">
        <f t="shared" si="8"/>
        <v>11</v>
      </c>
      <c r="EA28" s="285" t="str">
        <f t="shared" si="8"/>
        <v>SCN 160</v>
      </c>
      <c r="EB28" s="285">
        <f>FS50</f>
        <v>50400</v>
      </c>
      <c r="EC28" s="285"/>
      <c r="ED28" s="285">
        <f>FU50</f>
        <v>168</v>
      </c>
      <c r="EE28" s="281"/>
      <c r="EF28" s="281"/>
      <c r="EO28" s="286"/>
      <c r="EP28" s="286"/>
      <c r="FB28" s="2174"/>
      <c r="FC28" s="2174"/>
      <c r="FF28" s="2203">
        <v>90</v>
      </c>
      <c r="FG28" s="2195">
        <v>5.5</v>
      </c>
      <c r="FH28" s="2195">
        <v>8</v>
      </c>
      <c r="FI28" s="2195">
        <v>11</v>
      </c>
      <c r="FJ28" s="2195">
        <v>17</v>
      </c>
      <c r="FK28" s="2195">
        <v>22</v>
      </c>
      <c r="FL28" s="2195">
        <v>31</v>
      </c>
      <c r="FM28" s="2195">
        <v>49</v>
      </c>
      <c r="FN28" s="2195">
        <v>74</v>
      </c>
      <c r="FO28" s="2195">
        <v>92</v>
      </c>
      <c r="FP28" s="2195">
        <v>135</v>
      </c>
      <c r="FQ28" s="280">
        <v>210</v>
      </c>
      <c r="FR28" s="280">
        <v>300</v>
      </c>
      <c r="FS28" s="280">
        <v>395</v>
      </c>
      <c r="FT28" s="280">
        <v>570</v>
      </c>
      <c r="FU28" s="2195">
        <v>820</v>
      </c>
      <c r="FX28" s="2187">
        <v>90</v>
      </c>
      <c r="FY28" s="2187">
        <v>100</v>
      </c>
      <c r="GB28" s="2203">
        <v>90</v>
      </c>
      <c r="GC28" s="2195">
        <v>5.5</v>
      </c>
      <c r="GD28" s="2195">
        <v>8</v>
      </c>
      <c r="GE28" s="2195">
        <v>11</v>
      </c>
      <c r="GF28" s="2195">
        <v>17</v>
      </c>
      <c r="GG28" s="2195">
        <v>22</v>
      </c>
      <c r="GH28" s="2195">
        <v>31</v>
      </c>
      <c r="GI28" s="2195">
        <v>49</v>
      </c>
      <c r="GJ28" s="2195">
        <v>74</v>
      </c>
      <c r="GK28" s="2195">
        <v>92</v>
      </c>
      <c r="GL28" s="2195">
        <v>135</v>
      </c>
      <c r="GM28" s="280">
        <v>210</v>
      </c>
      <c r="GN28" s="280">
        <v>300</v>
      </c>
      <c r="GO28" s="280">
        <v>395</v>
      </c>
      <c r="GP28" s="280">
        <v>570</v>
      </c>
      <c r="GQ28" s="2195">
        <v>820</v>
      </c>
      <c r="GT28" s="2174"/>
      <c r="GW28" s="2193">
        <v>63.8</v>
      </c>
      <c r="GX28" s="2195">
        <v>5.61</v>
      </c>
      <c r="GY28" s="2195">
        <v>9.0299999999999994</v>
      </c>
      <c r="GZ28" s="2195">
        <v>11.8</v>
      </c>
      <c r="HA28" s="2195">
        <v>18.399999999999999</v>
      </c>
      <c r="HB28" s="2195">
        <v>29.8</v>
      </c>
      <c r="HC28" s="2195">
        <v>42.6</v>
      </c>
      <c r="HD28" s="2195">
        <v>54.7</v>
      </c>
      <c r="HE28" s="2195">
        <v>77.400000000000006</v>
      </c>
      <c r="HF28" s="2195">
        <v>99.2</v>
      </c>
      <c r="HG28" s="2195">
        <v>144</v>
      </c>
      <c r="HH28" s="280">
        <v>210</v>
      </c>
      <c r="HI28" s="280">
        <v>320</v>
      </c>
      <c r="HJ28" s="280">
        <v>448</v>
      </c>
      <c r="HK28" s="2195">
        <v>0</v>
      </c>
      <c r="HN28" s="2187">
        <v>63.8</v>
      </c>
      <c r="HO28" s="2187">
        <v>70.599999999999994</v>
      </c>
      <c r="HR28" s="2193">
        <v>63.8</v>
      </c>
      <c r="HS28" s="2195">
        <v>5.61</v>
      </c>
      <c r="HT28" s="2195">
        <v>9.0299999999999994</v>
      </c>
      <c r="HU28" s="2195">
        <v>11.8</v>
      </c>
      <c r="HV28" s="2195">
        <v>18.399999999999999</v>
      </c>
      <c r="HW28" s="2195">
        <v>29.8</v>
      </c>
      <c r="HX28" s="2195">
        <v>42.6</v>
      </c>
      <c r="HY28" s="2195">
        <v>54.7</v>
      </c>
      <c r="HZ28" s="2195">
        <v>77.400000000000006</v>
      </c>
      <c r="IA28" s="2195">
        <v>99.2</v>
      </c>
      <c r="IB28" s="2195">
        <v>144</v>
      </c>
      <c r="IC28" s="280">
        <v>210</v>
      </c>
      <c r="ID28" s="280">
        <v>320</v>
      </c>
      <c r="IE28" s="280">
        <v>448</v>
      </c>
      <c r="IF28" s="2195">
        <v>0</v>
      </c>
      <c r="IN28" s="277"/>
      <c r="IO28" s="277"/>
    </row>
    <row r="29" spans="2:249" ht="21.95" customHeight="1">
      <c r="S29" s="286"/>
      <c r="T29" s="286"/>
      <c r="AF29" s="2174"/>
      <c r="AG29" s="2174"/>
      <c r="AJ29" s="2203">
        <v>100</v>
      </c>
      <c r="AK29" s="2195">
        <v>0</v>
      </c>
      <c r="AL29" s="2195">
        <v>6.5</v>
      </c>
      <c r="AM29" s="2195">
        <v>11</v>
      </c>
      <c r="AN29" s="2195">
        <v>16</v>
      </c>
      <c r="AO29" s="2195">
        <v>21</v>
      </c>
      <c r="AP29" s="2195">
        <v>30</v>
      </c>
      <c r="AQ29" s="2195">
        <v>40</v>
      </c>
      <c r="AR29" s="2195">
        <v>63</v>
      </c>
      <c r="AS29" s="2195">
        <v>86</v>
      </c>
      <c r="AT29" s="2195">
        <v>115</v>
      </c>
      <c r="AU29" s="280">
        <v>190</v>
      </c>
      <c r="AV29" s="280">
        <v>270</v>
      </c>
      <c r="AW29" s="280">
        <v>360</v>
      </c>
      <c r="AX29" s="280">
        <v>520</v>
      </c>
      <c r="AY29" s="2195">
        <v>750</v>
      </c>
      <c r="BB29" s="2187">
        <v>100</v>
      </c>
      <c r="BC29" s="2187">
        <v>112</v>
      </c>
      <c r="BF29" s="2203">
        <v>100</v>
      </c>
      <c r="BG29" s="2195">
        <v>0</v>
      </c>
      <c r="BH29" s="2195">
        <v>6.5</v>
      </c>
      <c r="BI29" s="2195">
        <v>11</v>
      </c>
      <c r="BJ29" s="2195">
        <v>16</v>
      </c>
      <c r="BK29" s="2195">
        <v>21</v>
      </c>
      <c r="BL29" s="2195">
        <v>30</v>
      </c>
      <c r="BM29" s="2195">
        <v>40</v>
      </c>
      <c r="BN29" s="2195">
        <v>63</v>
      </c>
      <c r="BO29" s="2195">
        <v>86</v>
      </c>
      <c r="BP29" s="2195">
        <v>115</v>
      </c>
      <c r="BQ29" s="280">
        <v>190</v>
      </c>
      <c r="BR29" s="280">
        <v>270</v>
      </c>
      <c r="BS29" s="280">
        <v>360</v>
      </c>
      <c r="BT29" s="280">
        <v>520</v>
      </c>
      <c r="BU29" s="2195">
        <v>750</v>
      </c>
      <c r="BX29" s="2174"/>
      <c r="CA29" s="2193">
        <v>70.599999999999994</v>
      </c>
      <c r="CB29" s="2195">
        <v>5.16</v>
      </c>
      <c r="CC29" s="2195">
        <v>8.2100000000000009</v>
      </c>
      <c r="CD29" s="2195">
        <v>11.6</v>
      </c>
      <c r="CE29" s="2195">
        <v>14.7</v>
      </c>
      <c r="CF29" s="2195">
        <v>23.3</v>
      </c>
      <c r="CG29" s="2195">
        <v>31.4</v>
      </c>
      <c r="CH29" s="2195">
        <v>47.7</v>
      </c>
      <c r="CI29" s="2195">
        <v>61.1</v>
      </c>
      <c r="CJ29" s="2195">
        <v>92.2</v>
      </c>
      <c r="CK29" s="2195">
        <v>130</v>
      </c>
      <c r="CL29" s="280">
        <v>182</v>
      </c>
      <c r="CM29" s="280">
        <v>294</v>
      </c>
      <c r="CN29" s="280">
        <v>410</v>
      </c>
      <c r="CO29" s="2195">
        <v>0</v>
      </c>
      <c r="CR29" s="2187">
        <v>70.599999999999994</v>
      </c>
      <c r="CS29" s="2187">
        <v>78.2</v>
      </c>
      <c r="CV29" s="2193">
        <v>70.599999999999994</v>
      </c>
      <c r="CW29" s="2195">
        <v>5.16</v>
      </c>
      <c r="CX29" s="2195">
        <v>8.2100000000000009</v>
      </c>
      <c r="CY29" s="2195">
        <v>11.6</v>
      </c>
      <c r="CZ29" s="2195">
        <v>14.7</v>
      </c>
      <c r="DA29" s="2195">
        <v>23.3</v>
      </c>
      <c r="DB29" s="2195">
        <v>31.4</v>
      </c>
      <c r="DC29" s="2195">
        <v>47.7</v>
      </c>
      <c r="DD29" s="2195">
        <v>61.1</v>
      </c>
      <c r="DE29" s="2195">
        <v>92.2</v>
      </c>
      <c r="DF29" s="2195">
        <v>130</v>
      </c>
      <c r="DG29" s="280">
        <v>182</v>
      </c>
      <c r="DH29" s="280">
        <v>294</v>
      </c>
      <c r="DI29" s="280">
        <v>410</v>
      </c>
      <c r="DJ29" s="2195">
        <v>0</v>
      </c>
      <c r="DS29" s="277"/>
      <c r="DW29" s="1"/>
      <c r="EO29" s="286"/>
      <c r="EP29" s="286"/>
      <c r="FB29" s="2174"/>
      <c r="FC29" s="2174"/>
      <c r="FF29" s="2203">
        <v>100</v>
      </c>
      <c r="FG29" s="2195">
        <v>0</v>
      </c>
      <c r="FH29" s="2195">
        <v>6.5</v>
      </c>
      <c r="FI29" s="2195">
        <v>11</v>
      </c>
      <c r="FJ29" s="2195">
        <v>16</v>
      </c>
      <c r="FK29" s="2195">
        <v>21</v>
      </c>
      <c r="FL29" s="2195">
        <v>30</v>
      </c>
      <c r="FM29" s="2195">
        <v>40</v>
      </c>
      <c r="FN29" s="2195">
        <v>63</v>
      </c>
      <c r="FO29" s="2195">
        <v>86</v>
      </c>
      <c r="FP29" s="2195">
        <v>115</v>
      </c>
      <c r="FQ29" s="280">
        <v>190</v>
      </c>
      <c r="FR29" s="280">
        <v>270</v>
      </c>
      <c r="FS29" s="280">
        <v>360</v>
      </c>
      <c r="FT29" s="280">
        <v>520</v>
      </c>
      <c r="FU29" s="2195">
        <v>750</v>
      </c>
      <c r="FX29" s="2187">
        <v>100</v>
      </c>
      <c r="FY29" s="2187">
        <v>112</v>
      </c>
      <c r="GB29" s="2203">
        <v>100</v>
      </c>
      <c r="GC29" s="2195">
        <v>0</v>
      </c>
      <c r="GD29" s="2195">
        <v>6.5</v>
      </c>
      <c r="GE29" s="2195">
        <v>11</v>
      </c>
      <c r="GF29" s="2195">
        <v>16</v>
      </c>
      <c r="GG29" s="2195">
        <v>21</v>
      </c>
      <c r="GH29" s="2195">
        <v>30</v>
      </c>
      <c r="GI29" s="2195">
        <v>40</v>
      </c>
      <c r="GJ29" s="2195">
        <v>63</v>
      </c>
      <c r="GK29" s="2195">
        <v>86</v>
      </c>
      <c r="GL29" s="2195">
        <v>115</v>
      </c>
      <c r="GM29" s="280">
        <v>190</v>
      </c>
      <c r="GN29" s="280">
        <v>270</v>
      </c>
      <c r="GO29" s="280">
        <v>360</v>
      </c>
      <c r="GP29" s="280">
        <v>520</v>
      </c>
      <c r="GQ29" s="2195">
        <v>750</v>
      </c>
      <c r="GT29" s="2174"/>
      <c r="GW29" s="2193">
        <v>70.599999999999994</v>
      </c>
      <c r="GX29" s="2195">
        <v>5.16</v>
      </c>
      <c r="GY29" s="2195">
        <v>8.2100000000000009</v>
      </c>
      <c r="GZ29" s="2195">
        <v>11.6</v>
      </c>
      <c r="HA29" s="2195">
        <v>14.7</v>
      </c>
      <c r="HB29" s="2195">
        <v>23.3</v>
      </c>
      <c r="HC29" s="2195">
        <v>31.4</v>
      </c>
      <c r="HD29" s="2195">
        <v>47.7</v>
      </c>
      <c r="HE29" s="2195">
        <v>61.1</v>
      </c>
      <c r="HF29" s="2195">
        <v>92.2</v>
      </c>
      <c r="HG29" s="2195">
        <v>130</v>
      </c>
      <c r="HH29" s="280">
        <v>182</v>
      </c>
      <c r="HI29" s="280">
        <v>294</v>
      </c>
      <c r="HJ29" s="280">
        <v>410</v>
      </c>
      <c r="HK29" s="2195">
        <v>0</v>
      </c>
      <c r="HN29" s="2187">
        <v>70.599999999999994</v>
      </c>
      <c r="HO29" s="2187">
        <v>78.2</v>
      </c>
      <c r="HR29" s="2193">
        <v>70.599999999999994</v>
      </c>
      <c r="HS29" s="2195">
        <v>5.16</v>
      </c>
      <c r="HT29" s="2195">
        <v>8.2100000000000009</v>
      </c>
      <c r="HU29" s="2195">
        <v>11.6</v>
      </c>
      <c r="HV29" s="2195">
        <v>14.7</v>
      </c>
      <c r="HW29" s="2195">
        <v>23.3</v>
      </c>
      <c r="HX29" s="2195">
        <v>31.4</v>
      </c>
      <c r="HY29" s="2195">
        <v>47.7</v>
      </c>
      <c r="HZ29" s="2195">
        <v>61.1</v>
      </c>
      <c r="IA29" s="2195">
        <v>92.2</v>
      </c>
      <c r="IB29" s="2195">
        <v>130</v>
      </c>
      <c r="IC29" s="280">
        <v>182</v>
      </c>
      <c r="ID29" s="280">
        <v>294</v>
      </c>
      <c r="IE29" s="280">
        <v>410</v>
      </c>
      <c r="IF29" s="2195">
        <v>0</v>
      </c>
      <c r="IN29" s="277"/>
      <c r="IO29" s="277"/>
    </row>
    <row r="30" spans="2:249" ht="21.95" customHeight="1">
      <c r="C30" s="762"/>
      <c r="D30" s="281"/>
      <c r="E30" s="281"/>
      <c r="F30" s="281"/>
      <c r="G30" s="281"/>
      <c r="H30" s="281"/>
      <c r="I30" s="281"/>
      <c r="S30" s="286"/>
      <c r="T30" s="286"/>
      <c r="AF30" s="2174"/>
      <c r="AG30" s="2174"/>
      <c r="AJ30" s="2203">
        <v>112</v>
      </c>
      <c r="AK30" s="2195">
        <v>0</v>
      </c>
      <c r="AL30" s="2195">
        <v>0</v>
      </c>
      <c r="AM30" s="2195">
        <v>10</v>
      </c>
      <c r="AN30" s="2195">
        <v>14</v>
      </c>
      <c r="AO30" s="2195">
        <v>19</v>
      </c>
      <c r="AP30" s="2195">
        <v>27</v>
      </c>
      <c r="AQ30" s="2195">
        <v>36</v>
      </c>
      <c r="AR30" s="2195">
        <v>57</v>
      </c>
      <c r="AS30" s="2195">
        <v>78</v>
      </c>
      <c r="AT30" s="2195">
        <v>105</v>
      </c>
      <c r="AU30" s="280">
        <v>170</v>
      </c>
      <c r="AV30" s="280">
        <v>245</v>
      </c>
      <c r="AW30" s="280">
        <v>325</v>
      </c>
      <c r="AX30" s="280">
        <v>470</v>
      </c>
      <c r="AY30" s="2195">
        <v>670</v>
      </c>
      <c r="BB30" s="2187">
        <v>112</v>
      </c>
      <c r="BC30" s="2186">
        <v>125</v>
      </c>
      <c r="BF30" s="2203">
        <v>112</v>
      </c>
      <c r="BG30" s="2195">
        <v>0</v>
      </c>
      <c r="BH30" s="2195">
        <v>0</v>
      </c>
      <c r="BI30" s="2195">
        <v>10</v>
      </c>
      <c r="BJ30" s="2195">
        <v>14</v>
      </c>
      <c r="BK30" s="2195">
        <v>19</v>
      </c>
      <c r="BL30" s="2195">
        <v>27</v>
      </c>
      <c r="BM30" s="2195">
        <v>36</v>
      </c>
      <c r="BN30" s="2195">
        <v>57</v>
      </c>
      <c r="BO30" s="2195">
        <v>78</v>
      </c>
      <c r="BP30" s="2195">
        <v>105</v>
      </c>
      <c r="BQ30" s="280">
        <v>170</v>
      </c>
      <c r="BR30" s="280">
        <v>245</v>
      </c>
      <c r="BS30" s="280">
        <v>325</v>
      </c>
      <c r="BT30" s="280">
        <v>470</v>
      </c>
      <c r="BU30" s="2195">
        <v>670</v>
      </c>
      <c r="BX30" s="2174"/>
      <c r="CA30" s="2193">
        <v>78.2</v>
      </c>
      <c r="CB30" s="2195">
        <v>4.5599999999999996</v>
      </c>
      <c r="CC30" s="2195">
        <v>7.17</v>
      </c>
      <c r="CD30" s="2195">
        <v>10.9</v>
      </c>
      <c r="CE30" s="2195">
        <v>15.1</v>
      </c>
      <c r="CF30" s="2195">
        <v>22.7</v>
      </c>
      <c r="CG30" s="2195">
        <v>33.5</v>
      </c>
      <c r="CH30" s="2195">
        <v>45.7</v>
      </c>
      <c r="CI30" s="2195">
        <v>65.099999999999994</v>
      </c>
      <c r="CJ30" s="2195">
        <v>79.099999999999994</v>
      </c>
      <c r="CK30" s="2195">
        <v>118</v>
      </c>
      <c r="CL30" s="280">
        <v>171</v>
      </c>
      <c r="CM30" s="280">
        <v>259</v>
      </c>
      <c r="CN30" s="280">
        <v>368</v>
      </c>
      <c r="CO30" s="2195">
        <v>0</v>
      </c>
      <c r="CR30" s="2187">
        <v>78.2</v>
      </c>
      <c r="CS30" s="2186">
        <v>86.5</v>
      </c>
      <c r="CV30" s="2193">
        <v>78.2</v>
      </c>
      <c r="CW30" s="2195">
        <v>4.5599999999999996</v>
      </c>
      <c r="CX30" s="2195">
        <v>7.17</v>
      </c>
      <c r="CY30" s="2195">
        <v>10.9</v>
      </c>
      <c r="CZ30" s="2195">
        <v>15.1</v>
      </c>
      <c r="DA30" s="2195">
        <v>22.7</v>
      </c>
      <c r="DB30" s="2195">
        <v>33.5</v>
      </c>
      <c r="DC30" s="2195">
        <v>45.7</v>
      </c>
      <c r="DD30" s="2195">
        <v>65.099999999999994</v>
      </c>
      <c r="DE30" s="2195">
        <v>79.099999999999994</v>
      </c>
      <c r="DF30" s="2195">
        <v>118</v>
      </c>
      <c r="DG30" s="280">
        <v>171</v>
      </c>
      <c r="DH30" s="280">
        <v>259</v>
      </c>
      <c r="DI30" s="280">
        <v>368</v>
      </c>
      <c r="DJ30" s="2195">
        <v>0</v>
      </c>
      <c r="DS30" s="277"/>
      <c r="DW30" s="1"/>
      <c r="DY30" s="762"/>
      <c r="DZ30" s="281"/>
      <c r="EA30" s="281"/>
      <c r="EB30" s="281"/>
      <c r="EC30" s="281"/>
      <c r="ED30" s="281"/>
      <c r="EE30" s="281"/>
      <c r="EO30" s="286"/>
      <c r="EP30" s="286"/>
      <c r="FB30" s="2174"/>
      <c r="FC30" s="2174"/>
      <c r="FF30" s="2203">
        <v>112</v>
      </c>
      <c r="FG30" s="2195">
        <v>0</v>
      </c>
      <c r="FH30" s="2195">
        <v>0</v>
      </c>
      <c r="FI30" s="2195">
        <v>10</v>
      </c>
      <c r="FJ30" s="2195">
        <v>14</v>
      </c>
      <c r="FK30" s="2195">
        <v>19</v>
      </c>
      <c r="FL30" s="2195">
        <v>27</v>
      </c>
      <c r="FM30" s="2195">
        <v>36</v>
      </c>
      <c r="FN30" s="2195">
        <v>57</v>
      </c>
      <c r="FO30" s="2195">
        <v>78</v>
      </c>
      <c r="FP30" s="2195">
        <v>105</v>
      </c>
      <c r="FQ30" s="280">
        <v>170</v>
      </c>
      <c r="FR30" s="280">
        <v>245</v>
      </c>
      <c r="FS30" s="280">
        <v>325</v>
      </c>
      <c r="FT30" s="280">
        <v>470</v>
      </c>
      <c r="FU30" s="2195">
        <v>670</v>
      </c>
      <c r="FX30" s="2187">
        <v>112</v>
      </c>
      <c r="FY30" s="2186">
        <v>125</v>
      </c>
      <c r="GB30" s="2203">
        <v>112</v>
      </c>
      <c r="GC30" s="2195">
        <v>0</v>
      </c>
      <c r="GD30" s="2195">
        <v>0</v>
      </c>
      <c r="GE30" s="2195">
        <v>10</v>
      </c>
      <c r="GF30" s="2195">
        <v>14</v>
      </c>
      <c r="GG30" s="2195">
        <v>19</v>
      </c>
      <c r="GH30" s="2195">
        <v>27</v>
      </c>
      <c r="GI30" s="2195">
        <v>36</v>
      </c>
      <c r="GJ30" s="2195">
        <v>57</v>
      </c>
      <c r="GK30" s="2195">
        <v>78</v>
      </c>
      <c r="GL30" s="2195">
        <v>105</v>
      </c>
      <c r="GM30" s="280">
        <v>170</v>
      </c>
      <c r="GN30" s="280">
        <v>245</v>
      </c>
      <c r="GO30" s="280">
        <v>325</v>
      </c>
      <c r="GP30" s="280">
        <v>470</v>
      </c>
      <c r="GQ30" s="2195">
        <v>670</v>
      </c>
      <c r="GT30" s="2174"/>
      <c r="GW30" s="2193">
        <v>78.2</v>
      </c>
      <c r="GX30" s="2195">
        <v>4.5599999999999996</v>
      </c>
      <c r="GY30" s="2195">
        <v>7.17</v>
      </c>
      <c r="GZ30" s="2195">
        <v>10.9</v>
      </c>
      <c r="HA30" s="2195">
        <v>15.1</v>
      </c>
      <c r="HB30" s="2195">
        <v>22.7</v>
      </c>
      <c r="HC30" s="2195">
        <v>33.5</v>
      </c>
      <c r="HD30" s="2195">
        <v>45.7</v>
      </c>
      <c r="HE30" s="2195">
        <v>65.099999999999994</v>
      </c>
      <c r="HF30" s="2195">
        <v>79.099999999999994</v>
      </c>
      <c r="HG30" s="2195">
        <v>118</v>
      </c>
      <c r="HH30" s="280">
        <v>171</v>
      </c>
      <c r="HI30" s="280">
        <v>259</v>
      </c>
      <c r="HJ30" s="280">
        <v>368</v>
      </c>
      <c r="HK30" s="2195">
        <v>0</v>
      </c>
      <c r="HN30" s="2187">
        <v>78.2</v>
      </c>
      <c r="HO30" s="2186">
        <v>86.5</v>
      </c>
      <c r="HR30" s="2193">
        <v>78.2</v>
      </c>
      <c r="HS30" s="2195">
        <v>4.5599999999999996</v>
      </c>
      <c r="HT30" s="2195">
        <v>7.17</v>
      </c>
      <c r="HU30" s="2195">
        <v>10.9</v>
      </c>
      <c r="HV30" s="2195">
        <v>15.1</v>
      </c>
      <c r="HW30" s="2195">
        <v>22.7</v>
      </c>
      <c r="HX30" s="2195">
        <v>33.5</v>
      </c>
      <c r="HY30" s="2195">
        <v>45.7</v>
      </c>
      <c r="HZ30" s="2195">
        <v>65.099999999999994</v>
      </c>
      <c r="IA30" s="2195">
        <v>79.099999999999994</v>
      </c>
      <c r="IB30" s="2195">
        <v>118</v>
      </c>
      <c r="IC30" s="280">
        <v>171</v>
      </c>
      <c r="ID30" s="280">
        <v>259</v>
      </c>
      <c r="IE30" s="280">
        <v>368</v>
      </c>
      <c r="IF30" s="2195">
        <v>0</v>
      </c>
      <c r="IN30" s="277"/>
      <c r="IO30" s="277"/>
    </row>
    <row r="31" spans="2:249" ht="21.95" customHeight="1">
      <c r="C31" s="777" t="s">
        <v>2796</v>
      </c>
      <c r="D31" s="778" t="s">
        <v>2171</v>
      </c>
      <c r="E31" s="779" t="s">
        <v>2172</v>
      </c>
      <c r="F31" s="779" t="s">
        <v>2173</v>
      </c>
      <c r="G31" s="779" t="s">
        <v>1682</v>
      </c>
      <c r="H31" s="779" t="s">
        <v>2174</v>
      </c>
      <c r="I31" s="3" t="str">
        <f>F383</f>
        <v>Right</v>
      </c>
      <c r="S31" s="286"/>
      <c r="T31" s="286"/>
      <c r="AF31" s="2174"/>
      <c r="AG31" s="2174"/>
      <c r="AJ31" s="2204">
        <v>125</v>
      </c>
      <c r="AK31" s="280">
        <v>0</v>
      </c>
      <c r="AL31" s="280">
        <v>0</v>
      </c>
      <c r="AM31" s="280">
        <v>0</v>
      </c>
      <c r="AN31" s="280">
        <v>12</v>
      </c>
      <c r="AO31" s="280">
        <v>17</v>
      </c>
      <c r="AP31" s="280">
        <v>23</v>
      </c>
      <c r="AQ31" s="280">
        <v>34</v>
      </c>
      <c r="AR31" s="280">
        <v>53</v>
      </c>
      <c r="AS31" s="280">
        <v>64</v>
      </c>
      <c r="AT31" s="280">
        <v>95</v>
      </c>
      <c r="AU31" s="280">
        <v>155</v>
      </c>
      <c r="AV31" s="280">
        <v>210</v>
      </c>
      <c r="AW31" s="280">
        <v>285</v>
      </c>
      <c r="AX31" s="280">
        <v>420</v>
      </c>
      <c r="AY31" s="280">
        <v>570</v>
      </c>
      <c r="BB31" s="2186">
        <v>125</v>
      </c>
      <c r="BC31" s="2186">
        <v>140</v>
      </c>
      <c r="BF31" s="2204">
        <v>125</v>
      </c>
      <c r="BG31" s="280">
        <v>0</v>
      </c>
      <c r="BH31" s="280">
        <v>0</v>
      </c>
      <c r="BI31" s="280">
        <v>0</v>
      </c>
      <c r="BJ31" s="280">
        <v>12</v>
      </c>
      <c r="BK31" s="280">
        <v>17</v>
      </c>
      <c r="BL31" s="280">
        <v>23</v>
      </c>
      <c r="BM31" s="280">
        <v>34</v>
      </c>
      <c r="BN31" s="280">
        <v>53</v>
      </c>
      <c r="BO31" s="280">
        <v>64</v>
      </c>
      <c r="BP31" s="280">
        <v>95</v>
      </c>
      <c r="BQ31" s="280">
        <v>155</v>
      </c>
      <c r="BR31" s="280">
        <v>210</v>
      </c>
      <c r="BS31" s="280">
        <v>285</v>
      </c>
      <c r="BT31" s="280">
        <v>420</v>
      </c>
      <c r="BU31" s="280">
        <v>570</v>
      </c>
      <c r="BX31" s="2174"/>
      <c r="CA31" s="2193">
        <v>86.5</v>
      </c>
      <c r="CB31" s="280">
        <v>4.2699999999999996</v>
      </c>
      <c r="CC31" s="280">
        <v>6.41</v>
      </c>
      <c r="CD31" s="280">
        <v>9.86</v>
      </c>
      <c r="CE31" s="280">
        <v>11.8</v>
      </c>
      <c r="CF31" s="280">
        <v>18.899999999999999</v>
      </c>
      <c r="CG31" s="280">
        <v>25.5</v>
      </c>
      <c r="CH31" s="280">
        <v>38.9</v>
      </c>
      <c r="CI31" s="280">
        <v>48.5</v>
      </c>
      <c r="CJ31" s="280">
        <v>79.3</v>
      </c>
      <c r="CK31" s="280">
        <v>103</v>
      </c>
      <c r="CL31" s="280">
        <v>152</v>
      </c>
      <c r="CM31" s="280">
        <v>211</v>
      </c>
      <c r="CN31" s="280">
        <v>313</v>
      </c>
      <c r="CO31" s="280">
        <v>0</v>
      </c>
      <c r="CR31" s="2186">
        <v>86.5</v>
      </c>
      <c r="CS31" s="2186">
        <v>95.7</v>
      </c>
      <c r="CV31" s="2193">
        <v>86.5</v>
      </c>
      <c r="CW31" s="280">
        <v>4.2699999999999996</v>
      </c>
      <c r="CX31" s="280">
        <v>6.41</v>
      </c>
      <c r="CY31" s="280">
        <v>9.86</v>
      </c>
      <c r="CZ31" s="280">
        <v>11.8</v>
      </c>
      <c r="DA31" s="280">
        <v>18.899999999999999</v>
      </c>
      <c r="DB31" s="280">
        <v>25.5</v>
      </c>
      <c r="DC31" s="280">
        <v>38.9</v>
      </c>
      <c r="DD31" s="280">
        <v>48.5</v>
      </c>
      <c r="DE31" s="280">
        <v>79.3</v>
      </c>
      <c r="DF31" s="280">
        <v>103</v>
      </c>
      <c r="DG31" s="280">
        <v>152</v>
      </c>
      <c r="DH31" s="280">
        <v>211</v>
      </c>
      <c r="DI31" s="280">
        <v>313</v>
      </c>
      <c r="DJ31" s="280">
        <v>0</v>
      </c>
      <c r="DS31" s="277"/>
      <c r="DW31" s="1"/>
      <c r="DY31" s="777" t="s">
        <v>2796</v>
      </c>
      <c r="DZ31" s="778" t="s">
        <v>2171</v>
      </c>
      <c r="EA31" s="779" t="s">
        <v>2172</v>
      </c>
      <c r="EB31" s="779" t="s">
        <v>2173</v>
      </c>
      <c r="EC31" s="779" t="s">
        <v>1682</v>
      </c>
      <c r="ED31" s="779" t="s">
        <v>2174</v>
      </c>
      <c r="EE31" s="3" t="str">
        <f>EB383</f>
        <v>Right</v>
      </c>
      <c r="EO31" s="286"/>
      <c r="EP31" s="286"/>
      <c r="FB31" s="2174"/>
      <c r="FC31" s="2174"/>
      <c r="FF31" s="2204">
        <v>125</v>
      </c>
      <c r="FG31" s="280">
        <v>0</v>
      </c>
      <c r="FH31" s="280">
        <v>0</v>
      </c>
      <c r="FI31" s="280">
        <v>0</v>
      </c>
      <c r="FJ31" s="280">
        <v>12</v>
      </c>
      <c r="FK31" s="280">
        <v>17</v>
      </c>
      <c r="FL31" s="280">
        <v>23</v>
      </c>
      <c r="FM31" s="280">
        <v>34</v>
      </c>
      <c r="FN31" s="280">
        <v>53</v>
      </c>
      <c r="FO31" s="280">
        <v>64</v>
      </c>
      <c r="FP31" s="280">
        <v>95</v>
      </c>
      <c r="FQ31" s="280">
        <v>155</v>
      </c>
      <c r="FR31" s="280">
        <v>210</v>
      </c>
      <c r="FS31" s="280">
        <v>285</v>
      </c>
      <c r="FT31" s="280">
        <v>420</v>
      </c>
      <c r="FU31" s="280">
        <v>570</v>
      </c>
      <c r="FX31" s="2186">
        <v>125</v>
      </c>
      <c r="FY31" s="2186">
        <v>140</v>
      </c>
      <c r="GB31" s="2204">
        <v>125</v>
      </c>
      <c r="GC31" s="280">
        <v>0</v>
      </c>
      <c r="GD31" s="280">
        <v>0</v>
      </c>
      <c r="GE31" s="280">
        <v>0</v>
      </c>
      <c r="GF31" s="280">
        <v>12</v>
      </c>
      <c r="GG31" s="280">
        <v>17</v>
      </c>
      <c r="GH31" s="280">
        <v>23</v>
      </c>
      <c r="GI31" s="280">
        <v>34</v>
      </c>
      <c r="GJ31" s="280">
        <v>53</v>
      </c>
      <c r="GK31" s="280">
        <v>64</v>
      </c>
      <c r="GL31" s="280">
        <v>95</v>
      </c>
      <c r="GM31" s="280">
        <v>155</v>
      </c>
      <c r="GN31" s="280">
        <v>210</v>
      </c>
      <c r="GO31" s="280">
        <v>285</v>
      </c>
      <c r="GP31" s="280">
        <v>420</v>
      </c>
      <c r="GQ31" s="280">
        <v>570</v>
      </c>
      <c r="GT31" s="2174"/>
      <c r="GW31" s="2193">
        <v>86.5</v>
      </c>
      <c r="GX31" s="280">
        <v>4.2699999999999996</v>
      </c>
      <c r="GY31" s="280">
        <v>6.41</v>
      </c>
      <c r="GZ31" s="280">
        <v>9.86</v>
      </c>
      <c r="HA31" s="280">
        <v>11.8</v>
      </c>
      <c r="HB31" s="280">
        <v>18.899999999999999</v>
      </c>
      <c r="HC31" s="280">
        <v>25.5</v>
      </c>
      <c r="HD31" s="280">
        <v>38.9</v>
      </c>
      <c r="HE31" s="280">
        <v>48.5</v>
      </c>
      <c r="HF31" s="280">
        <v>79.3</v>
      </c>
      <c r="HG31" s="280">
        <v>103</v>
      </c>
      <c r="HH31" s="280">
        <v>152</v>
      </c>
      <c r="HI31" s="280">
        <v>211</v>
      </c>
      <c r="HJ31" s="280">
        <v>313</v>
      </c>
      <c r="HK31" s="280">
        <v>0</v>
      </c>
      <c r="HN31" s="2186">
        <v>86.5</v>
      </c>
      <c r="HO31" s="2186">
        <v>95.7</v>
      </c>
      <c r="HR31" s="2193">
        <v>86.5</v>
      </c>
      <c r="HS31" s="280">
        <v>4.2699999999999996</v>
      </c>
      <c r="HT31" s="280">
        <v>6.41</v>
      </c>
      <c r="HU31" s="280">
        <v>9.86</v>
      </c>
      <c r="HV31" s="280">
        <v>11.8</v>
      </c>
      <c r="HW31" s="280">
        <v>18.899999999999999</v>
      </c>
      <c r="HX31" s="280">
        <v>25.5</v>
      </c>
      <c r="HY31" s="280">
        <v>38.9</v>
      </c>
      <c r="HZ31" s="280">
        <v>48.5</v>
      </c>
      <c r="IA31" s="280">
        <v>79.3</v>
      </c>
      <c r="IB31" s="280">
        <v>103</v>
      </c>
      <c r="IC31" s="280">
        <v>152</v>
      </c>
      <c r="ID31" s="280">
        <v>211</v>
      </c>
      <c r="IE31" s="280">
        <v>313</v>
      </c>
      <c r="IF31" s="280">
        <v>0</v>
      </c>
      <c r="IN31" s="277"/>
      <c r="IO31" s="277"/>
    </row>
    <row r="32" spans="2:249" ht="21.95" customHeight="1">
      <c r="C32" s="283" t="s">
        <v>651</v>
      </c>
      <c r="D32" s="284">
        <f>E379</f>
        <v>0</v>
      </c>
      <c r="E32" s="284" t="str">
        <f>+F379</f>
        <v>3AH475</v>
      </c>
      <c r="F32" s="284">
        <f>VLOOKUP(E32,C49:F66,2,0)</f>
        <v>70660</v>
      </c>
      <c r="G32" s="284"/>
      <c r="H32" s="284">
        <f>VLOOKUP(E32,C49:F66,4,0)</f>
        <v>450</v>
      </c>
      <c r="I32" s="281"/>
      <c r="S32" s="286"/>
      <c r="T32" s="286"/>
      <c r="AF32" s="2174"/>
      <c r="AG32" s="2174"/>
      <c r="AJ32" s="2204">
        <v>140</v>
      </c>
      <c r="AK32" s="280">
        <v>0</v>
      </c>
      <c r="AL32" s="280">
        <v>0</v>
      </c>
      <c r="AM32" s="280">
        <v>0</v>
      </c>
      <c r="AN32" s="280">
        <v>11</v>
      </c>
      <c r="AO32" s="280">
        <v>16</v>
      </c>
      <c r="AP32" s="280">
        <v>21</v>
      </c>
      <c r="AQ32" s="280">
        <v>31</v>
      </c>
      <c r="AR32" s="280">
        <v>47</v>
      </c>
      <c r="AS32" s="280">
        <v>58</v>
      </c>
      <c r="AT32" s="280">
        <v>85</v>
      </c>
      <c r="AU32" s="280">
        <v>135</v>
      </c>
      <c r="AV32" s="280">
        <v>190</v>
      </c>
      <c r="AW32" s="280">
        <v>250</v>
      </c>
      <c r="AX32" s="280">
        <v>365</v>
      </c>
      <c r="AY32" s="280">
        <v>520</v>
      </c>
      <c r="BB32" s="2186">
        <v>140</v>
      </c>
      <c r="BC32" s="2186">
        <v>160</v>
      </c>
      <c r="BF32" s="2204">
        <v>140</v>
      </c>
      <c r="BG32" s="280">
        <v>0</v>
      </c>
      <c r="BH32" s="280">
        <v>0</v>
      </c>
      <c r="BI32" s="280">
        <v>0</v>
      </c>
      <c r="BJ32" s="280">
        <v>11</v>
      </c>
      <c r="BK32" s="280">
        <v>16</v>
      </c>
      <c r="BL32" s="280">
        <v>21</v>
      </c>
      <c r="BM32" s="280">
        <v>31</v>
      </c>
      <c r="BN32" s="280">
        <v>47</v>
      </c>
      <c r="BO32" s="280">
        <v>58</v>
      </c>
      <c r="BP32" s="280">
        <v>85</v>
      </c>
      <c r="BQ32" s="280">
        <v>135</v>
      </c>
      <c r="BR32" s="280">
        <v>190</v>
      </c>
      <c r="BS32" s="280">
        <v>250</v>
      </c>
      <c r="BT32" s="280">
        <v>365</v>
      </c>
      <c r="BU32" s="280">
        <v>520</v>
      </c>
      <c r="BX32" s="2174"/>
      <c r="CA32" s="2193">
        <v>95.7</v>
      </c>
      <c r="CB32" s="280">
        <v>3.86</v>
      </c>
      <c r="CC32" s="280">
        <v>5.51</v>
      </c>
      <c r="CD32" s="280">
        <v>8.0500000000000007</v>
      </c>
      <c r="CE32" s="280">
        <v>10.7</v>
      </c>
      <c r="CF32" s="280">
        <v>17.399999999999999</v>
      </c>
      <c r="CG32" s="280">
        <v>23.8</v>
      </c>
      <c r="CH32" s="280">
        <v>36</v>
      </c>
      <c r="CI32" s="280">
        <v>46.4</v>
      </c>
      <c r="CJ32" s="280">
        <v>70.2</v>
      </c>
      <c r="CK32" s="280">
        <v>95.6</v>
      </c>
      <c r="CL32" s="280">
        <v>134</v>
      </c>
      <c r="CM32" s="280">
        <v>186</v>
      </c>
      <c r="CN32" s="280">
        <v>281</v>
      </c>
      <c r="CO32" s="280">
        <v>0</v>
      </c>
      <c r="CR32" s="2186">
        <v>95.7</v>
      </c>
      <c r="CS32" s="2186">
        <v>106</v>
      </c>
      <c r="CV32" s="2193">
        <v>95.7</v>
      </c>
      <c r="CW32" s="280">
        <v>3.86</v>
      </c>
      <c r="CX32" s="280">
        <v>5.51</v>
      </c>
      <c r="CY32" s="280">
        <v>8.0500000000000007</v>
      </c>
      <c r="CZ32" s="280">
        <v>10.7</v>
      </c>
      <c r="DA32" s="280">
        <v>17.399999999999999</v>
      </c>
      <c r="DB32" s="280">
        <v>23.8</v>
      </c>
      <c r="DC32" s="280">
        <v>36</v>
      </c>
      <c r="DD32" s="280">
        <v>46.4</v>
      </c>
      <c r="DE32" s="280">
        <v>70.2</v>
      </c>
      <c r="DF32" s="280">
        <v>95.6</v>
      </c>
      <c r="DG32" s="280">
        <v>134</v>
      </c>
      <c r="DH32" s="280">
        <v>186</v>
      </c>
      <c r="DI32" s="280">
        <v>281</v>
      </c>
      <c r="DJ32" s="280">
        <v>0</v>
      </c>
      <c r="DS32" s="277"/>
      <c r="DW32" s="1"/>
      <c r="DY32" s="283" t="s">
        <v>651</v>
      </c>
      <c r="DZ32" s="284">
        <f>EA379</f>
        <v>0</v>
      </c>
      <c r="EA32" s="284" t="str">
        <f>+EB379</f>
        <v>3AH475</v>
      </c>
      <c r="EB32" s="284">
        <f>VLOOKUP(EA32,DY49:EB66,2,0)</f>
        <v>70660</v>
      </c>
      <c r="EC32" s="284"/>
      <c r="ED32" s="284">
        <f>VLOOKUP(EA32,DY49:EB66,4,0)</f>
        <v>450</v>
      </c>
      <c r="EE32" s="281"/>
      <c r="EO32" s="286"/>
      <c r="EP32" s="286"/>
      <c r="FB32" s="2174"/>
      <c r="FC32" s="2174"/>
      <c r="FF32" s="2204">
        <v>140</v>
      </c>
      <c r="FG32" s="280">
        <v>0</v>
      </c>
      <c r="FH32" s="280">
        <v>0</v>
      </c>
      <c r="FI32" s="280">
        <v>0</v>
      </c>
      <c r="FJ32" s="280">
        <v>11</v>
      </c>
      <c r="FK32" s="280">
        <v>16</v>
      </c>
      <c r="FL32" s="280">
        <v>21</v>
      </c>
      <c r="FM32" s="280">
        <v>31</v>
      </c>
      <c r="FN32" s="280">
        <v>47</v>
      </c>
      <c r="FO32" s="280">
        <v>58</v>
      </c>
      <c r="FP32" s="280">
        <v>85</v>
      </c>
      <c r="FQ32" s="280">
        <v>135</v>
      </c>
      <c r="FR32" s="280">
        <v>190</v>
      </c>
      <c r="FS32" s="280">
        <v>250</v>
      </c>
      <c r="FT32" s="280">
        <v>365</v>
      </c>
      <c r="FU32" s="280">
        <v>520</v>
      </c>
      <c r="FX32" s="2186">
        <v>140</v>
      </c>
      <c r="FY32" s="2186">
        <v>160</v>
      </c>
      <c r="GB32" s="2204">
        <v>140</v>
      </c>
      <c r="GC32" s="280">
        <v>0</v>
      </c>
      <c r="GD32" s="280">
        <v>0</v>
      </c>
      <c r="GE32" s="280">
        <v>0</v>
      </c>
      <c r="GF32" s="280">
        <v>11</v>
      </c>
      <c r="GG32" s="280">
        <v>16</v>
      </c>
      <c r="GH32" s="280">
        <v>21</v>
      </c>
      <c r="GI32" s="280">
        <v>31</v>
      </c>
      <c r="GJ32" s="280">
        <v>47</v>
      </c>
      <c r="GK32" s="280">
        <v>58</v>
      </c>
      <c r="GL32" s="280">
        <v>85</v>
      </c>
      <c r="GM32" s="280">
        <v>135</v>
      </c>
      <c r="GN32" s="280">
        <v>190</v>
      </c>
      <c r="GO32" s="280">
        <v>250</v>
      </c>
      <c r="GP32" s="280">
        <v>365</v>
      </c>
      <c r="GQ32" s="280">
        <v>520</v>
      </c>
      <c r="GT32" s="2174"/>
      <c r="GW32" s="2193">
        <v>95.7</v>
      </c>
      <c r="GX32" s="280">
        <v>3.86</v>
      </c>
      <c r="GY32" s="280">
        <v>5.51</v>
      </c>
      <c r="GZ32" s="280">
        <v>8.0500000000000007</v>
      </c>
      <c r="HA32" s="280">
        <v>10.7</v>
      </c>
      <c r="HB32" s="280">
        <v>17.399999999999999</v>
      </c>
      <c r="HC32" s="280">
        <v>23.8</v>
      </c>
      <c r="HD32" s="280">
        <v>36</v>
      </c>
      <c r="HE32" s="280">
        <v>46.4</v>
      </c>
      <c r="HF32" s="280">
        <v>70.2</v>
      </c>
      <c r="HG32" s="280">
        <v>95.6</v>
      </c>
      <c r="HH32" s="280">
        <v>134</v>
      </c>
      <c r="HI32" s="280">
        <v>186</v>
      </c>
      <c r="HJ32" s="280">
        <v>281</v>
      </c>
      <c r="HK32" s="280">
        <v>0</v>
      </c>
      <c r="HN32" s="2186">
        <v>95.7</v>
      </c>
      <c r="HO32" s="2186">
        <v>106</v>
      </c>
      <c r="HR32" s="2193">
        <v>95.7</v>
      </c>
      <c r="HS32" s="280">
        <v>3.86</v>
      </c>
      <c r="HT32" s="280">
        <v>5.51</v>
      </c>
      <c r="HU32" s="280">
        <v>8.0500000000000007</v>
      </c>
      <c r="HV32" s="280">
        <v>10.7</v>
      </c>
      <c r="HW32" s="280">
        <v>17.399999999999999</v>
      </c>
      <c r="HX32" s="280">
        <v>23.8</v>
      </c>
      <c r="HY32" s="280">
        <v>36</v>
      </c>
      <c r="HZ32" s="280">
        <v>46.4</v>
      </c>
      <c r="IA32" s="280">
        <v>70.2</v>
      </c>
      <c r="IB32" s="280">
        <v>95.6</v>
      </c>
      <c r="IC32" s="280">
        <v>134</v>
      </c>
      <c r="ID32" s="280">
        <v>186</v>
      </c>
      <c r="IE32" s="280">
        <v>281</v>
      </c>
      <c r="IF32" s="280">
        <v>0</v>
      </c>
      <c r="IN32" s="277"/>
      <c r="IO32" s="277"/>
    </row>
    <row r="33" spans="2:249" ht="21.95" customHeight="1">
      <c r="C33" s="283" t="s">
        <v>654</v>
      </c>
      <c r="D33" s="284">
        <f>E380</f>
        <v>6.81</v>
      </c>
      <c r="E33" s="284" t="str">
        <f>+F380</f>
        <v>3AH475</v>
      </c>
      <c r="F33" s="284">
        <f>VLOOKUP(E33,C49:F66,2,0)</f>
        <v>70660</v>
      </c>
      <c r="G33" s="284"/>
      <c r="H33" s="284">
        <f>VLOOKUP(E33,C49:F66,4,0)</f>
        <v>450</v>
      </c>
      <c r="I33" s="281"/>
      <c r="O33" s="2252" t="s">
        <v>2262</v>
      </c>
      <c r="S33" s="286"/>
      <c r="T33" s="286"/>
      <c r="AF33" s="2174"/>
      <c r="AG33" s="2174"/>
      <c r="AJ33" s="2204">
        <v>160</v>
      </c>
      <c r="AK33" s="280">
        <v>0</v>
      </c>
      <c r="AL33" s="280">
        <v>0</v>
      </c>
      <c r="AM33" s="280">
        <v>0</v>
      </c>
      <c r="AN33" s="280">
        <v>9.5</v>
      </c>
      <c r="AO33" s="280">
        <v>14</v>
      </c>
      <c r="AP33" s="280">
        <v>18</v>
      </c>
      <c r="AQ33" s="280">
        <v>27</v>
      </c>
      <c r="AR33" s="280">
        <v>42</v>
      </c>
      <c r="AS33" s="280">
        <v>51</v>
      </c>
      <c r="AT33" s="280">
        <v>75</v>
      </c>
      <c r="AU33" s="280">
        <v>120</v>
      </c>
      <c r="AV33" s="280">
        <v>170</v>
      </c>
      <c r="AW33" s="280">
        <v>225</v>
      </c>
      <c r="AX33" s="280">
        <v>330</v>
      </c>
      <c r="AY33" s="280">
        <v>470</v>
      </c>
      <c r="BB33" s="2186">
        <v>160</v>
      </c>
      <c r="BC33" s="2186">
        <v>180</v>
      </c>
      <c r="BF33" s="2204">
        <v>160</v>
      </c>
      <c r="BG33" s="280">
        <v>0</v>
      </c>
      <c r="BH33" s="280">
        <v>0</v>
      </c>
      <c r="BI33" s="280">
        <v>0</v>
      </c>
      <c r="BJ33" s="280">
        <v>9.5</v>
      </c>
      <c r="BK33" s="280">
        <v>14</v>
      </c>
      <c r="BL33" s="280">
        <v>18</v>
      </c>
      <c r="BM33" s="280">
        <v>27</v>
      </c>
      <c r="BN33" s="280">
        <v>42</v>
      </c>
      <c r="BO33" s="280">
        <v>51</v>
      </c>
      <c r="BP33" s="280">
        <v>75</v>
      </c>
      <c r="BQ33" s="280">
        <v>120</v>
      </c>
      <c r="BR33" s="280">
        <v>170</v>
      </c>
      <c r="BS33" s="280">
        <v>225</v>
      </c>
      <c r="BT33" s="280">
        <v>330</v>
      </c>
      <c r="BU33" s="280">
        <v>470</v>
      </c>
      <c r="BX33" s="2174"/>
      <c r="CA33" s="2193">
        <v>106</v>
      </c>
      <c r="CB33" s="280">
        <v>3.49</v>
      </c>
      <c r="CC33" s="280">
        <v>5.13</v>
      </c>
      <c r="CD33" s="280">
        <v>7.18</v>
      </c>
      <c r="CE33" s="280">
        <v>9.6999999999999993</v>
      </c>
      <c r="CF33" s="280">
        <v>15.5</v>
      </c>
      <c r="CG33" s="280">
        <v>21.4</v>
      </c>
      <c r="CH33" s="280">
        <v>32.5</v>
      </c>
      <c r="CI33" s="280">
        <v>40.700000000000003</v>
      </c>
      <c r="CJ33" s="280">
        <v>63.2</v>
      </c>
      <c r="CK33" s="280">
        <v>85</v>
      </c>
      <c r="CL33" s="280">
        <v>124</v>
      </c>
      <c r="CM33" s="280">
        <v>172</v>
      </c>
      <c r="CN33" s="280">
        <v>258</v>
      </c>
      <c r="CO33" s="280">
        <v>0</v>
      </c>
      <c r="CR33" s="2186">
        <v>106</v>
      </c>
      <c r="CS33" s="2186">
        <v>117</v>
      </c>
      <c r="CV33" s="2193">
        <v>106</v>
      </c>
      <c r="CW33" s="280">
        <v>3.49</v>
      </c>
      <c r="CX33" s="280">
        <v>5.13</v>
      </c>
      <c r="CY33" s="280">
        <v>7.18</v>
      </c>
      <c r="CZ33" s="280">
        <v>9.6999999999999993</v>
      </c>
      <c r="DA33" s="280">
        <v>15.5</v>
      </c>
      <c r="DB33" s="280">
        <v>21.4</v>
      </c>
      <c r="DC33" s="280">
        <v>32.5</v>
      </c>
      <c r="DD33" s="280">
        <v>40.700000000000003</v>
      </c>
      <c r="DE33" s="280">
        <v>63.2</v>
      </c>
      <c r="DF33" s="280">
        <v>85</v>
      </c>
      <c r="DG33" s="280">
        <v>124</v>
      </c>
      <c r="DH33" s="280">
        <v>172</v>
      </c>
      <c r="DI33" s="280">
        <v>258</v>
      </c>
      <c r="DJ33" s="280">
        <v>0</v>
      </c>
      <c r="DS33" s="277"/>
      <c r="DW33" s="1"/>
      <c r="DY33" s="283" t="s">
        <v>654</v>
      </c>
      <c r="DZ33" s="284">
        <f>EA380</f>
        <v>9.8800000000000008</v>
      </c>
      <c r="EA33" s="284" t="str">
        <f>+EB380</f>
        <v>3AH475</v>
      </c>
      <c r="EB33" s="284">
        <f>VLOOKUP(EA33,DY49:EB66,2,0)</f>
        <v>70660</v>
      </c>
      <c r="EC33" s="284"/>
      <c r="ED33" s="284">
        <f>VLOOKUP(EA33,DY49:EB66,4,0)</f>
        <v>450</v>
      </c>
      <c r="EE33" s="281"/>
      <c r="EK33" s="2252" t="s">
        <v>2262</v>
      </c>
      <c r="EO33" s="286"/>
      <c r="EP33" s="286"/>
      <c r="FB33" s="2174"/>
      <c r="FC33" s="2174"/>
      <c r="FF33" s="2204">
        <v>160</v>
      </c>
      <c r="FG33" s="280">
        <v>0</v>
      </c>
      <c r="FH33" s="280">
        <v>0</v>
      </c>
      <c r="FI33" s="280">
        <v>0</v>
      </c>
      <c r="FJ33" s="280">
        <v>9.5</v>
      </c>
      <c r="FK33" s="280">
        <v>14</v>
      </c>
      <c r="FL33" s="280">
        <v>18</v>
      </c>
      <c r="FM33" s="280">
        <v>27</v>
      </c>
      <c r="FN33" s="280">
        <v>42</v>
      </c>
      <c r="FO33" s="280">
        <v>51</v>
      </c>
      <c r="FP33" s="280">
        <v>75</v>
      </c>
      <c r="FQ33" s="280">
        <v>120</v>
      </c>
      <c r="FR33" s="280">
        <v>170</v>
      </c>
      <c r="FS33" s="280">
        <v>225</v>
      </c>
      <c r="FT33" s="280">
        <v>330</v>
      </c>
      <c r="FU33" s="280">
        <v>470</v>
      </c>
      <c r="FX33" s="2186">
        <v>160</v>
      </c>
      <c r="FY33" s="2186">
        <v>180</v>
      </c>
      <c r="GB33" s="2204">
        <v>160</v>
      </c>
      <c r="GC33" s="280">
        <v>0</v>
      </c>
      <c r="GD33" s="280">
        <v>0</v>
      </c>
      <c r="GE33" s="280">
        <v>0</v>
      </c>
      <c r="GF33" s="280">
        <v>9.5</v>
      </c>
      <c r="GG33" s="280">
        <v>14</v>
      </c>
      <c r="GH33" s="280">
        <v>18</v>
      </c>
      <c r="GI33" s="280">
        <v>27</v>
      </c>
      <c r="GJ33" s="280">
        <v>42</v>
      </c>
      <c r="GK33" s="280">
        <v>51</v>
      </c>
      <c r="GL33" s="280">
        <v>75</v>
      </c>
      <c r="GM33" s="280">
        <v>120</v>
      </c>
      <c r="GN33" s="280">
        <v>170</v>
      </c>
      <c r="GO33" s="280">
        <v>225</v>
      </c>
      <c r="GP33" s="280">
        <v>330</v>
      </c>
      <c r="GQ33" s="280">
        <v>470</v>
      </c>
      <c r="GT33" s="2174"/>
      <c r="GW33" s="2193">
        <v>106</v>
      </c>
      <c r="GX33" s="280">
        <v>3.49</v>
      </c>
      <c r="GY33" s="280">
        <v>5.13</v>
      </c>
      <c r="GZ33" s="280">
        <v>7.18</v>
      </c>
      <c r="HA33" s="280">
        <v>9.6999999999999993</v>
      </c>
      <c r="HB33" s="280">
        <v>15.5</v>
      </c>
      <c r="HC33" s="280">
        <v>21.4</v>
      </c>
      <c r="HD33" s="280">
        <v>32.5</v>
      </c>
      <c r="HE33" s="280">
        <v>40.700000000000003</v>
      </c>
      <c r="HF33" s="280">
        <v>63.2</v>
      </c>
      <c r="HG33" s="280">
        <v>85</v>
      </c>
      <c r="HH33" s="280">
        <v>124</v>
      </c>
      <c r="HI33" s="280">
        <v>172</v>
      </c>
      <c r="HJ33" s="280">
        <v>258</v>
      </c>
      <c r="HK33" s="280">
        <v>0</v>
      </c>
      <c r="HN33" s="2186">
        <v>106</v>
      </c>
      <c r="HO33" s="2186">
        <v>117</v>
      </c>
      <c r="HR33" s="2193">
        <v>106</v>
      </c>
      <c r="HS33" s="280">
        <v>3.49</v>
      </c>
      <c r="HT33" s="280">
        <v>5.13</v>
      </c>
      <c r="HU33" s="280">
        <v>7.18</v>
      </c>
      <c r="HV33" s="280">
        <v>9.6999999999999993</v>
      </c>
      <c r="HW33" s="280">
        <v>15.5</v>
      </c>
      <c r="HX33" s="280">
        <v>21.4</v>
      </c>
      <c r="HY33" s="280">
        <v>32.5</v>
      </c>
      <c r="HZ33" s="280">
        <v>40.700000000000003</v>
      </c>
      <c r="IA33" s="280">
        <v>63.2</v>
      </c>
      <c r="IB33" s="280">
        <v>85</v>
      </c>
      <c r="IC33" s="280">
        <v>124</v>
      </c>
      <c r="ID33" s="280">
        <v>172</v>
      </c>
      <c r="IE33" s="280">
        <v>258</v>
      </c>
      <c r="IF33" s="280">
        <v>0</v>
      </c>
      <c r="IN33" s="277"/>
      <c r="IO33" s="277"/>
    </row>
    <row r="34" spans="2:249" ht="21.95" customHeight="1">
      <c r="C34" s="283" t="s">
        <v>658</v>
      </c>
      <c r="D34" s="284">
        <f>E381</f>
        <v>5.67</v>
      </c>
      <c r="E34" s="284" t="str">
        <f>+F381</f>
        <v>3AH475</v>
      </c>
      <c r="F34" s="284">
        <f>VLOOKUP(E34,C49:F66,2,0)</f>
        <v>70660</v>
      </c>
      <c r="G34" s="284"/>
      <c r="H34" s="284">
        <f>VLOOKUP(E34,C49:F66,4,0)</f>
        <v>450</v>
      </c>
      <c r="I34" s="281"/>
      <c r="S34" s="286"/>
      <c r="T34" s="286"/>
      <c r="AF34" s="2174"/>
      <c r="AG34" s="2174"/>
      <c r="AJ34" s="2204">
        <v>180</v>
      </c>
      <c r="AK34" s="280">
        <v>0</v>
      </c>
      <c r="AL34" s="280">
        <v>0</v>
      </c>
      <c r="AM34" s="280">
        <v>0</v>
      </c>
      <c r="AN34" s="280">
        <v>8.5</v>
      </c>
      <c r="AO34" s="280">
        <v>12</v>
      </c>
      <c r="AP34" s="280">
        <v>17</v>
      </c>
      <c r="AQ34" s="280">
        <v>25</v>
      </c>
      <c r="AR34" s="280">
        <v>38</v>
      </c>
      <c r="AS34" s="280">
        <v>46</v>
      </c>
      <c r="AT34" s="280">
        <v>68</v>
      </c>
      <c r="AU34" s="280">
        <v>105</v>
      </c>
      <c r="AV34" s="280">
        <v>150</v>
      </c>
      <c r="AW34" s="280">
        <v>200</v>
      </c>
      <c r="AX34" s="280">
        <v>290</v>
      </c>
      <c r="AY34" s="280">
        <v>420</v>
      </c>
      <c r="BB34" s="2186">
        <v>180</v>
      </c>
      <c r="BC34" s="2186">
        <v>200</v>
      </c>
      <c r="BF34" s="2204">
        <v>180</v>
      </c>
      <c r="BG34" s="280">
        <v>0</v>
      </c>
      <c r="BH34" s="280">
        <v>0</v>
      </c>
      <c r="BI34" s="280">
        <v>0</v>
      </c>
      <c r="BJ34" s="280">
        <v>8.5</v>
      </c>
      <c r="BK34" s="280">
        <v>12</v>
      </c>
      <c r="BL34" s="280">
        <v>17</v>
      </c>
      <c r="BM34" s="280">
        <v>25</v>
      </c>
      <c r="BN34" s="280">
        <v>38</v>
      </c>
      <c r="BO34" s="280">
        <v>46</v>
      </c>
      <c r="BP34" s="280">
        <v>68</v>
      </c>
      <c r="BQ34" s="280">
        <v>105</v>
      </c>
      <c r="BR34" s="280">
        <v>150</v>
      </c>
      <c r="BS34" s="280">
        <v>200</v>
      </c>
      <c r="BT34" s="280">
        <v>290</v>
      </c>
      <c r="BU34" s="280">
        <v>420</v>
      </c>
      <c r="BX34" s="2174"/>
      <c r="CA34" s="2193">
        <v>117</v>
      </c>
      <c r="CB34" s="280">
        <v>3.14</v>
      </c>
      <c r="CC34" s="280">
        <v>4.4800000000000004</v>
      </c>
      <c r="CD34" s="280">
        <v>6.58</v>
      </c>
      <c r="CE34" s="280">
        <v>8.74</v>
      </c>
      <c r="CF34" s="280">
        <v>14</v>
      </c>
      <c r="CG34" s="280">
        <v>18.899999999999999</v>
      </c>
      <c r="CH34" s="280">
        <v>29.3</v>
      </c>
      <c r="CI34" s="280">
        <v>36.299999999999997</v>
      </c>
      <c r="CJ34" s="280">
        <v>58.1</v>
      </c>
      <c r="CK34" s="280">
        <v>76.599999999999994</v>
      </c>
      <c r="CL34" s="280">
        <v>113</v>
      </c>
      <c r="CM34" s="280">
        <v>0</v>
      </c>
      <c r="CN34" s="280">
        <v>0</v>
      </c>
      <c r="CO34" s="280">
        <v>0</v>
      </c>
      <c r="CR34" s="2186">
        <v>117</v>
      </c>
      <c r="CS34" s="2186">
        <v>130</v>
      </c>
      <c r="CV34" s="2193">
        <v>117</v>
      </c>
      <c r="CW34" s="280">
        <v>3.14</v>
      </c>
      <c r="CX34" s="280">
        <v>4.4800000000000004</v>
      </c>
      <c r="CY34" s="280">
        <v>6.58</v>
      </c>
      <c r="CZ34" s="280">
        <v>8.74</v>
      </c>
      <c r="DA34" s="280">
        <v>14</v>
      </c>
      <c r="DB34" s="280">
        <v>18.899999999999999</v>
      </c>
      <c r="DC34" s="280">
        <v>29.3</v>
      </c>
      <c r="DD34" s="280">
        <v>36.299999999999997</v>
      </c>
      <c r="DE34" s="280">
        <v>58.1</v>
      </c>
      <c r="DF34" s="280">
        <v>76.599999999999994</v>
      </c>
      <c r="DG34" s="280">
        <v>113</v>
      </c>
      <c r="DH34" s="280">
        <v>0</v>
      </c>
      <c r="DI34" s="280">
        <v>0</v>
      </c>
      <c r="DJ34" s="280">
        <v>0</v>
      </c>
      <c r="DS34" s="277"/>
      <c r="DW34" s="1"/>
      <c r="DY34" s="283" t="s">
        <v>658</v>
      </c>
      <c r="DZ34" s="284">
        <f>EA381</f>
        <v>8.1999999999999993</v>
      </c>
      <c r="EA34" s="284" t="str">
        <f>+EB381</f>
        <v>3AH475</v>
      </c>
      <c r="EB34" s="284">
        <f>VLOOKUP(EA34,DY49:EB66,2,0)</f>
        <v>70660</v>
      </c>
      <c r="EC34" s="284"/>
      <c r="ED34" s="284">
        <f>VLOOKUP(EA34,DY49:EB66,4,0)</f>
        <v>450</v>
      </c>
      <c r="EE34" s="281"/>
      <c r="EO34" s="286"/>
      <c r="EP34" s="286"/>
      <c r="FB34" s="2174"/>
      <c r="FC34" s="2174"/>
      <c r="FF34" s="2204">
        <v>180</v>
      </c>
      <c r="FG34" s="280">
        <v>0</v>
      </c>
      <c r="FH34" s="280">
        <v>0</v>
      </c>
      <c r="FI34" s="280">
        <v>0</v>
      </c>
      <c r="FJ34" s="280">
        <v>8.5</v>
      </c>
      <c r="FK34" s="280">
        <v>12</v>
      </c>
      <c r="FL34" s="280">
        <v>17</v>
      </c>
      <c r="FM34" s="280">
        <v>25</v>
      </c>
      <c r="FN34" s="280">
        <v>38</v>
      </c>
      <c r="FO34" s="280">
        <v>46</v>
      </c>
      <c r="FP34" s="280">
        <v>68</v>
      </c>
      <c r="FQ34" s="280">
        <v>105</v>
      </c>
      <c r="FR34" s="280">
        <v>150</v>
      </c>
      <c r="FS34" s="280">
        <v>200</v>
      </c>
      <c r="FT34" s="280">
        <v>290</v>
      </c>
      <c r="FU34" s="280">
        <v>420</v>
      </c>
      <c r="FX34" s="2186">
        <v>180</v>
      </c>
      <c r="FY34" s="2186">
        <v>200</v>
      </c>
      <c r="GB34" s="2204">
        <v>180</v>
      </c>
      <c r="GC34" s="280">
        <v>0</v>
      </c>
      <c r="GD34" s="280">
        <v>0</v>
      </c>
      <c r="GE34" s="280">
        <v>0</v>
      </c>
      <c r="GF34" s="280">
        <v>8.5</v>
      </c>
      <c r="GG34" s="280">
        <v>12</v>
      </c>
      <c r="GH34" s="280">
        <v>17</v>
      </c>
      <c r="GI34" s="280">
        <v>25</v>
      </c>
      <c r="GJ34" s="280">
        <v>38</v>
      </c>
      <c r="GK34" s="280">
        <v>46</v>
      </c>
      <c r="GL34" s="280">
        <v>68</v>
      </c>
      <c r="GM34" s="280">
        <v>105</v>
      </c>
      <c r="GN34" s="280">
        <v>150</v>
      </c>
      <c r="GO34" s="280">
        <v>200</v>
      </c>
      <c r="GP34" s="280">
        <v>290</v>
      </c>
      <c r="GQ34" s="280">
        <v>420</v>
      </c>
      <c r="GT34" s="2174"/>
      <c r="GW34" s="2193">
        <v>117</v>
      </c>
      <c r="GX34" s="280">
        <v>3.14</v>
      </c>
      <c r="GY34" s="280">
        <v>4.4800000000000004</v>
      </c>
      <c r="GZ34" s="280">
        <v>6.58</v>
      </c>
      <c r="HA34" s="280">
        <v>8.74</v>
      </c>
      <c r="HB34" s="280">
        <v>14</v>
      </c>
      <c r="HC34" s="280">
        <v>18.899999999999999</v>
      </c>
      <c r="HD34" s="280">
        <v>29.3</v>
      </c>
      <c r="HE34" s="280">
        <v>36.299999999999997</v>
      </c>
      <c r="HF34" s="280">
        <v>58.1</v>
      </c>
      <c r="HG34" s="280">
        <v>76.599999999999994</v>
      </c>
      <c r="HH34" s="280">
        <v>113</v>
      </c>
      <c r="HI34" s="280">
        <v>0</v>
      </c>
      <c r="HJ34" s="280">
        <v>0</v>
      </c>
      <c r="HK34" s="280">
        <v>0</v>
      </c>
      <c r="HN34" s="2186">
        <v>117</v>
      </c>
      <c r="HO34" s="2186">
        <v>130</v>
      </c>
      <c r="HR34" s="2193">
        <v>117</v>
      </c>
      <c r="HS34" s="280">
        <v>3.14</v>
      </c>
      <c r="HT34" s="280">
        <v>4.4800000000000004</v>
      </c>
      <c r="HU34" s="280">
        <v>6.58</v>
      </c>
      <c r="HV34" s="280">
        <v>8.74</v>
      </c>
      <c r="HW34" s="280">
        <v>14</v>
      </c>
      <c r="HX34" s="280">
        <v>18.899999999999999</v>
      </c>
      <c r="HY34" s="280">
        <v>29.3</v>
      </c>
      <c r="HZ34" s="280">
        <v>36.299999999999997</v>
      </c>
      <c r="IA34" s="280">
        <v>58.1</v>
      </c>
      <c r="IB34" s="280">
        <v>76.599999999999994</v>
      </c>
      <c r="IC34" s="280">
        <v>113</v>
      </c>
      <c r="ID34" s="280">
        <v>0</v>
      </c>
      <c r="IE34" s="280">
        <v>0</v>
      </c>
      <c r="IF34" s="280">
        <v>0</v>
      </c>
      <c r="IN34" s="277"/>
      <c r="IO34" s="277"/>
    </row>
    <row r="35" spans="2:249" ht="21.95" customHeight="1">
      <c r="C35" s="283" t="s">
        <v>662</v>
      </c>
      <c r="D35" s="284">
        <f>E382</f>
        <v>4.38</v>
      </c>
      <c r="E35" s="284" t="str">
        <f>+F382</f>
        <v>3AH475</v>
      </c>
      <c r="F35" s="284">
        <f>VLOOKUP(E35,C49:F66,2,0)</f>
        <v>70660</v>
      </c>
      <c r="G35" s="284"/>
      <c r="H35" s="284">
        <f>VLOOKUP(E35,C49:F66,4,0)</f>
        <v>450</v>
      </c>
      <c r="I35" s="281"/>
      <c r="S35" s="286"/>
      <c r="T35" s="286"/>
      <c r="AF35" s="2174"/>
      <c r="AG35" s="2174"/>
      <c r="AJ35" s="2204">
        <v>200</v>
      </c>
      <c r="AK35" s="280">
        <v>0</v>
      </c>
      <c r="AL35" s="280">
        <v>0</v>
      </c>
      <c r="AM35" s="280">
        <v>0</v>
      </c>
      <c r="AN35" s="280">
        <v>8</v>
      </c>
      <c r="AO35" s="280">
        <v>10</v>
      </c>
      <c r="AP35" s="280">
        <v>14</v>
      </c>
      <c r="AQ35" s="280">
        <v>22</v>
      </c>
      <c r="AR35" s="280">
        <v>34</v>
      </c>
      <c r="AS35" s="280">
        <v>41</v>
      </c>
      <c r="AT35" s="280">
        <v>61</v>
      </c>
      <c r="AU35" s="280">
        <v>96</v>
      </c>
      <c r="AV35" s="280">
        <v>135</v>
      </c>
      <c r="AW35" s="280">
        <v>180</v>
      </c>
      <c r="AX35" s="280">
        <v>260</v>
      </c>
      <c r="AY35" s="280">
        <v>375</v>
      </c>
      <c r="BB35" s="2186">
        <v>200</v>
      </c>
      <c r="BC35" s="2186">
        <v>224</v>
      </c>
      <c r="BF35" s="2204">
        <v>200</v>
      </c>
      <c r="BG35" s="280">
        <v>0</v>
      </c>
      <c r="BH35" s="280">
        <v>0</v>
      </c>
      <c r="BI35" s="280">
        <v>0</v>
      </c>
      <c r="BJ35" s="280">
        <v>8</v>
      </c>
      <c r="BK35" s="280">
        <v>10</v>
      </c>
      <c r="BL35" s="280">
        <v>14</v>
      </c>
      <c r="BM35" s="280">
        <v>22</v>
      </c>
      <c r="BN35" s="280">
        <v>34</v>
      </c>
      <c r="BO35" s="280">
        <v>41</v>
      </c>
      <c r="BP35" s="280">
        <v>61</v>
      </c>
      <c r="BQ35" s="280">
        <v>96</v>
      </c>
      <c r="BR35" s="280">
        <v>135</v>
      </c>
      <c r="BS35" s="280">
        <v>180</v>
      </c>
      <c r="BT35" s="280">
        <v>260</v>
      </c>
      <c r="BU35" s="280">
        <v>375</v>
      </c>
      <c r="BX35" s="2174"/>
      <c r="CA35" s="2193">
        <v>130</v>
      </c>
      <c r="CB35" s="280">
        <v>2.4900000000000002</v>
      </c>
      <c r="CC35" s="280">
        <v>4.01</v>
      </c>
      <c r="CD35" s="280">
        <v>5.52</v>
      </c>
      <c r="CE35" s="280">
        <v>8.5399999999999991</v>
      </c>
      <c r="CF35" s="280">
        <v>11.1</v>
      </c>
      <c r="CG35" s="280">
        <v>16.399999999999999</v>
      </c>
      <c r="CH35" s="280">
        <v>21</v>
      </c>
      <c r="CI35" s="280">
        <v>30.3</v>
      </c>
      <c r="CJ35" s="280">
        <v>41.1</v>
      </c>
      <c r="CK35" s="280">
        <v>66</v>
      </c>
      <c r="CL35" s="280">
        <v>86.9</v>
      </c>
      <c r="CM35" s="280">
        <v>0</v>
      </c>
      <c r="CN35" s="280">
        <v>0</v>
      </c>
      <c r="CO35" s="280">
        <v>0</v>
      </c>
      <c r="CR35" s="2186">
        <v>130</v>
      </c>
      <c r="CS35" s="2186">
        <v>144</v>
      </c>
      <c r="CV35" s="2193">
        <v>130</v>
      </c>
      <c r="CW35" s="280">
        <v>2.4900000000000002</v>
      </c>
      <c r="CX35" s="280">
        <v>4.01</v>
      </c>
      <c r="CY35" s="280">
        <v>5.52</v>
      </c>
      <c r="CZ35" s="280">
        <v>8.5399999999999991</v>
      </c>
      <c r="DA35" s="280">
        <v>11.1</v>
      </c>
      <c r="DB35" s="280">
        <v>16.399999999999999</v>
      </c>
      <c r="DC35" s="280">
        <v>21</v>
      </c>
      <c r="DD35" s="280">
        <v>30.3</v>
      </c>
      <c r="DE35" s="280">
        <v>41.1</v>
      </c>
      <c r="DF35" s="280">
        <v>66</v>
      </c>
      <c r="DG35" s="280">
        <v>86.9</v>
      </c>
      <c r="DH35" s="280">
        <v>0</v>
      </c>
      <c r="DI35" s="280">
        <v>0</v>
      </c>
      <c r="DJ35" s="280">
        <v>0</v>
      </c>
      <c r="DS35" s="277"/>
      <c r="DW35" s="1"/>
      <c r="DY35" s="283" t="s">
        <v>662</v>
      </c>
      <c r="DZ35" s="284">
        <f>EA382</f>
        <v>6.77</v>
      </c>
      <c r="EA35" s="284" t="str">
        <f>+EB382</f>
        <v>3AH475</v>
      </c>
      <c r="EB35" s="284">
        <f>VLOOKUP(EA35,DY49:EB66,2,0)</f>
        <v>70660</v>
      </c>
      <c r="EC35" s="284"/>
      <c r="ED35" s="284">
        <f>VLOOKUP(EA35,DY49:EB66,4,0)</f>
        <v>450</v>
      </c>
      <c r="EE35" s="281"/>
      <c r="EO35" s="286"/>
      <c r="EP35" s="286"/>
      <c r="FB35" s="2174"/>
      <c r="FC35" s="2174"/>
      <c r="FF35" s="2204">
        <v>200</v>
      </c>
      <c r="FG35" s="280">
        <v>0</v>
      </c>
      <c r="FH35" s="280">
        <v>0</v>
      </c>
      <c r="FI35" s="280">
        <v>0</v>
      </c>
      <c r="FJ35" s="280">
        <v>8</v>
      </c>
      <c r="FK35" s="280">
        <v>10</v>
      </c>
      <c r="FL35" s="280">
        <v>14</v>
      </c>
      <c r="FM35" s="280">
        <v>22</v>
      </c>
      <c r="FN35" s="280">
        <v>34</v>
      </c>
      <c r="FO35" s="280">
        <v>41</v>
      </c>
      <c r="FP35" s="280">
        <v>61</v>
      </c>
      <c r="FQ35" s="280">
        <v>96</v>
      </c>
      <c r="FR35" s="280">
        <v>135</v>
      </c>
      <c r="FS35" s="280">
        <v>180</v>
      </c>
      <c r="FT35" s="280">
        <v>260</v>
      </c>
      <c r="FU35" s="280">
        <v>375</v>
      </c>
      <c r="FX35" s="2186">
        <v>200</v>
      </c>
      <c r="FY35" s="2186">
        <v>224</v>
      </c>
      <c r="GB35" s="2204">
        <v>200</v>
      </c>
      <c r="GC35" s="280">
        <v>0</v>
      </c>
      <c r="GD35" s="280">
        <v>0</v>
      </c>
      <c r="GE35" s="280">
        <v>0</v>
      </c>
      <c r="GF35" s="280">
        <v>8</v>
      </c>
      <c r="GG35" s="280">
        <v>10</v>
      </c>
      <c r="GH35" s="280">
        <v>14</v>
      </c>
      <c r="GI35" s="280">
        <v>22</v>
      </c>
      <c r="GJ35" s="280">
        <v>34</v>
      </c>
      <c r="GK35" s="280">
        <v>41</v>
      </c>
      <c r="GL35" s="280">
        <v>61</v>
      </c>
      <c r="GM35" s="280">
        <v>96</v>
      </c>
      <c r="GN35" s="280">
        <v>135</v>
      </c>
      <c r="GO35" s="280">
        <v>180</v>
      </c>
      <c r="GP35" s="280">
        <v>260</v>
      </c>
      <c r="GQ35" s="280">
        <v>375</v>
      </c>
      <c r="GT35" s="2174"/>
      <c r="GW35" s="2193">
        <v>130</v>
      </c>
      <c r="GX35" s="280">
        <v>2.4900000000000002</v>
      </c>
      <c r="GY35" s="280">
        <v>4.01</v>
      </c>
      <c r="GZ35" s="280">
        <v>5.52</v>
      </c>
      <c r="HA35" s="280">
        <v>8.5399999999999991</v>
      </c>
      <c r="HB35" s="280">
        <v>11.1</v>
      </c>
      <c r="HC35" s="280">
        <v>16.399999999999999</v>
      </c>
      <c r="HD35" s="280">
        <v>21</v>
      </c>
      <c r="HE35" s="280">
        <v>30.3</v>
      </c>
      <c r="HF35" s="280">
        <v>41.1</v>
      </c>
      <c r="HG35" s="280">
        <v>66</v>
      </c>
      <c r="HH35" s="280">
        <v>86.9</v>
      </c>
      <c r="HI35" s="280">
        <v>0</v>
      </c>
      <c r="HJ35" s="280">
        <v>0</v>
      </c>
      <c r="HK35" s="280">
        <v>0</v>
      </c>
      <c r="HN35" s="2186">
        <v>130</v>
      </c>
      <c r="HO35" s="2186">
        <v>144</v>
      </c>
      <c r="HR35" s="2193">
        <v>130</v>
      </c>
      <c r="HS35" s="280">
        <v>2.4900000000000002</v>
      </c>
      <c r="HT35" s="280">
        <v>4.01</v>
      </c>
      <c r="HU35" s="280">
        <v>5.52</v>
      </c>
      <c r="HV35" s="280">
        <v>8.5399999999999991</v>
      </c>
      <c r="HW35" s="280">
        <v>11.1</v>
      </c>
      <c r="HX35" s="280">
        <v>16.399999999999999</v>
      </c>
      <c r="HY35" s="280">
        <v>21</v>
      </c>
      <c r="HZ35" s="280">
        <v>30.3</v>
      </c>
      <c r="IA35" s="280">
        <v>41.1</v>
      </c>
      <c r="IB35" s="280">
        <v>66</v>
      </c>
      <c r="IC35" s="280">
        <v>86.9</v>
      </c>
      <c r="ID35" s="280">
        <v>0</v>
      </c>
      <c r="IE35" s="280">
        <v>0</v>
      </c>
      <c r="IF35" s="280">
        <v>0</v>
      </c>
      <c r="IN35" s="277"/>
      <c r="IO35" s="277"/>
    </row>
    <row r="36" spans="2:249" ht="21.95" customHeight="1">
      <c r="B36" s="11">
        <f>E5/C36-1</f>
        <v>5.9772532942899304E-2</v>
      </c>
      <c r="C36" s="780">
        <f>X373</f>
        <v>68.3</v>
      </c>
      <c r="D36" s="780">
        <f>VLOOKUP(C3,C32:H35,2,0)</f>
        <v>6.81</v>
      </c>
      <c r="E36" s="780" t="str">
        <f>VLOOKUP(C3,C32:H35,3,0)</f>
        <v>3AH475</v>
      </c>
      <c r="F36" s="780">
        <f>VLOOKUP(C3,C32:H35,4,0)</f>
        <v>70660</v>
      </c>
      <c r="G36" s="780"/>
      <c r="H36" s="780">
        <f>VLOOKUP(C3,C32:H35,6,0)</f>
        <v>450</v>
      </c>
      <c r="I36" s="281"/>
      <c r="S36" s="286"/>
      <c r="T36" s="286"/>
      <c r="AF36" s="2174"/>
      <c r="AG36" s="2174"/>
      <c r="AJ36" s="2204">
        <v>224</v>
      </c>
      <c r="AK36" s="280">
        <v>0</v>
      </c>
      <c r="AL36" s="280">
        <v>0</v>
      </c>
      <c r="AM36" s="280">
        <v>0</v>
      </c>
      <c r="AN36" s="280">
        <v>7</v>
      </c>
      <c r="AO36" s="280">
        <v>9</v>
      </c>
      <c r="AP36" s="280">
        <v>13</v>
      </c>
      <c r="AQ36" s="280">
        <v>20</v>
      </c>
      <c r="AR36" s="280">
        <v>30</v>
      </c>
      <c r="AS36" s="280">
        <v>37</v>
      </c>
      <c r="AT36" s="280">
        <v>54</v>
      </c>
      <c r="AU36" s="280">
        <v>86</v>
      </c>
      <c r="AV36" s="280">
        <v>120</v>
      </c>
      <c r="AW36" s="280">
        <v>160</v>
      </c>
      <c r="AX36" s="280">
        <v>235</v>
      </c>
      <c r="AY36" s="280">
        <v>340</v>
      </c>
      <c r="BB36" s="2186">
        <v>224</v>
      </c>
      <c r="BC36" s="2186">
        <v>250</v>
      </c>
      <c r="BF36" s="2204">
        <v>224</v>
      </c>
      <c r="BG36" s="280">
        <v>0</v>
      </c>
      <c r="BH36" s="280">
        <v>0</v>
      </c>
      <c r="BI36" s="280">
        <v>0</v>
      </c>
      <c r="BJ36" s="280">
        <v>7</v>
      </c>
      <c r="BK36" s="280">
        <v>9</v>
      </c>
      <c r="BL36" s="280">
        <v>13</v>
      </c>
      <c r="BM36" s="280">
        <v>20</v>
      </c>
      <c r="BN36" s="280">
        <v>30</v>
      </c>
      <c r="BO36" s="280">
        <v>37</v>
      </c>
      <c r="BP36" s="280">
        <v>54</v>
      </c>
      <c r="BQ36" s="280">
        <v>86</v>
      </c>
      <c r="BR36" s="280">
        <v>120</v>
      </c>
      <c r="BS36" s="280">
        <v>160</v>
      </c>
      <c r="BT36" s="280">
        <v>235</v>
      </c>
      <c r="BU36" s="280">
        <v>340</v>
      </c>
      <c r="BX36" s="2174"/>
      <c r="CA36" s="2193">
        <v>144</v>
      </c>
      <c r="CB36" s="280">
        <v>2.6</v>
      </c>
      <c r="CC36" s="280">
        <v>4.0999999999999996</v>
      </c>
      <c r="CD36" s="280">
        <v>6</v>
      </c>
      <c r="CE36" s="280">
        <v>7.3</v>
      </c>
      <c r="CF36" s="280">
        <v>10.1</v>
      </c>
      <c r="CG36" s="280">
        <v>17.399999999999999</v>
      </c>
      <c r="CH36" s="280">
        <v>22.3</v>
      </c>
      <c r="CI36" s="280">
        <v>30.7</v>
      </c>
      <c r="CJ36" s="280">
        <v>38.700000000000003</v>
      </c>
      <c r="CK36" s="280">
        <v>47.4</v>
      </c>
      <c r="CL36" s="280">
        <v>74.7</v>
      </c>
      <c r="CM36" s="280">
        <v>131</v>
      </c>
      <c r="CN36" s="280">
        <v>186</v>
      </c>
      <c r="CO36" s="280">
        <v>251</v>
      </c>
      <c r="CR36" s="2186">
        <v>144</v>
      </c>
      <c r="CS36" s="2186">
        <v>159</v>
      </c>
      <c r="CV36" s="2193">
        <v>144</v>
      </c>
      <c r="CW36" s="280">
        <v>2.6</v>
      </c>
      <c r="CX36" s="280">
        <v>4.0999999999999996</v>
      </c>
      <c r="CY36" s="280">
        <v>6</v>
      </c>
      <c r="CZ36" s="280">
        <v>7.3</v>
      </c>
      <c r="DA36" s="280">
        <v>10.1</v>
      </c>
      <c r="DB36" s="280">
        <v>17.399999999999999</v>
      </c>
      <c r="DC36" s="280">
        <v>22.3</v>
      </c>
      <c r="DD36" s="280">
        <v>30.7</v>
      </c>
      <c r="DE36" s="280">
        <v>38.700000000000003</v>
      </c>
      <c r="DF36" s="280">
        <v>47.4</v>
      </c>
      <c r="DG36" s="280">
        <v>74.7</v>
      </c>
      <c r="DH36" s="280">
        <v>131</v>
      </c>
      <c r="DI36" s="280">
        <v>186</v>
      </c>
      <c r="DJ36" s="280">
        <v>251</v>
      </c>
      <c r="DS36" s="277"/>
      <c r="DW36" s="1"/>
      <c r="DX36" s="11">
        <f>EA5/DY36-1</f>
        <v>3.0502050113895285E-2</v>
      </c>
      <c r="DY36" s="780">
        <f>ET373</f>
        <v>43.9</v>
      </c>
      <c r="DZ36" s="780">
        <f>VLOOKUP(DY3,DY32:ED35,2,0)</f>
        <v>9.8800000000000008</v>
      </c>
      <c r="EA36" s="780" t="str">
        <f>VLOOKUP(DY3,DY32:ED35,3,0)</f>
        <v>3AH475</v>
      </c>
      <c r="EB36" s="780">
        <f>VLOOKUP(DY3,DY32:ED35,4,0)</f>
        <v>70660</v>
      </c>
      <c r="EC36" s="780"/>
      <c r="ED36" s="780">
        <f>VLOOKUP(DY3,DY32:ED35,6,0)</f>
        <v>450</v>
      </c>
      <c r="EE36" s="281"/>
      <c r="EO36" s="286"/>
      <c r="EP36" s="286"/>
      <c r="FB36" s="2174"/>
      <c r="FC36" s="2174"/>
      <c r="FF36" s="2204">
        <v>224</v>
      </c>
      <c r="FG36" s="280">
        <v>0</v>
      </c>
      <c r="FH36" s="280">
        <v>0</v>
      </c>
      <c r="FI36" s="280">
        <v>0</v>
      </c>
      <c r="FJ36" s="280">
        <v>7</v>
      </c>
      <c r="FK36" s="280">
        <v>9</v>
      </c>
      <c r="FL36" s="280">
        <v>13</v>
      </c>
      <c r="FM36" s="280">
        <v>20</v>
      </c>
      <c r="FN36" s="280">
        <v>30</v>
      </c>
      <c r="FO36" s="280">
        <v>37</v>
      </c>
      <c r="FP36" s="280">
        <v>54</v>
      </c>
      <c r="FQ36" s="280">
        <v>86</v>
      </c>
      <c r="FR36" s="280">
        <v>120</v>
      </c>
      <c r="FS36" s="280">
        <v>160</v>
      </c>
      <c r="FT36" s="280">
        <v>235</v>
      </c>
      <c r="FU36" s="280">
        <v>340</v>
      </c>
      <c r="FX36" s="2186">
        <v>224</v>
      </c>
      <c r="FY36" s="2186">
        <v>250</v>
      </c>
      <c r="GB36" s="2204">
        <v>224</v>
      </c>
      <c r="GC36" s="280">
        <v>0</v>
      </c>
      <c r="GD36" s="280">
        <v>0</v>
      </c>
      <c r="GE36" s="280">
        <v>0</v>
      </c>
      <c r="GF36" s="280">
        <v>7</v>
      </c>
      <c r="GG36" s="280">
        <v>9</v>
      </c>
      <c r="GH36" s="280">
        <v>13</v>
      </c>
      <c r="GI36" s="280">
        <v>20</v>
      </c>
      <c r="GJ36" s="280">
        <v>30</v>
      </c>
      <c r="GK36" s="280">
        <v>37</v>
      </c>
      <c r="GL36" s="280">
        <v>54</v>
      </c>
      <c r="GM36" s="280">
        <v>86</v>
      </c>
      <c r="GN36" s="280">
        <v>120</v>
      </c>
      <c r="GO36" s="280">
        <v>160</v>
      </c>
      <c r="GP36" s="280">
        <v>235</v>
      </c>
      <c r="GQ36" s="280">
        <v>340</v>
      </c>
      <c r="GT36" s="2174"/>
      <c r="GW36" s="2193">
        <v>144</v>
      </c>
      <c r="GX36" s="280">
        <v>2.6</v>
      </c>
      <c r="GY36" s="280">
        <v>4.0999999999999996</v>
      </c>
      <c r="GZ36" s="280">
        <v>6</v>
      </c>
      <c r="HA36" s="280">
        <v>7.3</v>
      </c>
      <c r="HB36" s="280">
        <v>10.1</v>
      </c>
      <c r="HC36" s="280">
        <v>17.399999999999999</v>
      </c>
      <c r="HD36" s="280">
        <v>22.3</v>
      </c>
      <c r="HE36" s="280">
        <v>30.7</v>
      </c>
      <c r="HF36" s="280">
        <v>38.700000000000003</v>
      </c>
      <c r="HG36" s="280">
        <v>47.4</v>
      </c>
      <c r="HH36" s="280">
        <v>74.7</v>
      </c>
      <c r="HI36" s="280">
        <v>131</v>
      </c>
      <c r="HJ36" s="280">
        <v>186</v>
      </c>
      <c r="HK36" s="280">
        <v>251</v>
      </c>
      <c r="HN36" s="2186">
        <v>144</v>
      </c>
      <c r="HO36" s="2186">
        <v>159</v>
      </c>
      <c r="HR36" s="2193">
        <v>144</v>
      </c>
      <c r="HS36" s="280">
        <v>2.6</v>
      </c>
      <c r="HT36" s="280">
        <v>4.0999999999999996</v>
      </c>
      <c r="HU36" s="280">
        <v>6</v>
      </c>
      <c r="HV36" s="280">
        <v>7.3</v>
      </c>
      <c r="HW36" s="280">
        <v>10.1</v>
      </c>
      <c r="HX36" s="280">
        <v>17.399999999999999</v>
      </c>
      <c r="HY36" s="280">
        <v>22.3</v>
      </c>
      <c r="HZ36" s="280">
        <v>30.7</v>
      </c>
      <c r="IA36" s="280">
        <v>38.700000000000003</v>
      </c>
      <c r="IB36" s="280">
        <v>47.4</v>
      </c>
      <c r="IC36" s="280">
        <v>74.7</v>
      </c>
      <c r="ID36" s="280">
        <v>131</v>
      </c>
      <c r="IE36" s="280">
        <v>186</v>
      </c>
      <c r="IF36" s="280">
        <v>251</v>
      </c>
      <c r="IN36" s="277"/>
      <c r="IO36" s="277"/>
    </row>
    <row r="37" spans="2:249" ht="21.95" customHeight="1">
      <c r="S37" s="286"/>
      <c r="T37" s="286"/>
      <c r="AF37" s="2174"/>
      <c r="AG37" s="2174"/>
      <c r="AJ37" s="2204">
        <v>250</v>
      </c>
      <c r="AK37" s="280">
        <v>0</v>
      </c>
      <c r="AL37" s="280">
        <v>0</v>
      </c>
      <c r="AM37" s="280">
        <v>0</v>
      </c>
      <c r="AN37" s="280">
        <v>6</v>
      </c>
      <c r="AO37" s="280">
        <v>8.5</v>
      </c>
      <c r="AP37" s="280">
        <v>12</v>
      </c>
      <c r="AQ37" s="280">
        <v>17</v>
      </c>
      <c r="AR37" s="280">
        <v>27</v>
      </c>
      <c r="AS37" s="280">
        <v>32</v>
      </c>
      <c r="AT37" s="280">
        <v>48</v>
      </c>
      <c r="AU37" s="280">
        <v>77</v>
      </c>
      <c r="AV37" s="280">
        <v>110</v>
      </c>
      <c r="AW37" s="280">
        <v>145</v>
      </c>
      <c r="AX37" s="280">
        <v>210</v>
      </c>
      <c r="AY37" s="280">
        <v>300</v>
      </c>
      <c r="BB37" s="2186">
        <v>250</v>
      </c>
      <c r="BC37" s="2186">
        <v>280</v>
      </c>
      <c r="BF37" s="2204">
        <v>250</v>
      </c>
      <c r="BG37" s="280">
        <v>0</v>
      </c>
      <c r="BH37" s="280">
        <v>0</v>
      </c>
      <c r="BI37" s="280">
        <v>0</v>
      </c>
      <c r="BJ37" s="280">
        <v>6</v>
      </c>
      <c r="BK37" s="280">
        <v>8.5</v>
      </c>
      <c r="BL37" s="280">
        <v>12</v>
      </c>
      <c r="BM37" s="280">
        <v>17</v>
      </c>
      <c r="BN37" s="280">
        <v>27</v>
      </c>
      <c r="BO37" s="280">
        <v>32</v>
      </c>
      <c r="BP37" s="280">
        <v>48</v>
      </c>
      <c r="BQ37" s="280">
        <v>77</v>
      </c>
      <c r="BR37" s="280">
        <v>110</v>
      </c>
      <c r="BS37" s="280">
        <v>145</v>
      </c>
      <c r="BT37" s="280">
        <v>210</v>
      </c>
      <c r="BU37" s="280">
        <v>300</v>
      </c>
      <c r="BX37" s="2174"/>
      <c r="CA37" s="773">
        <v>159</v>
      </c>
      <c r="CB37" s="2195">
        <v>2.2999999999999998</v>
      </c>
      <c r="CC37" s="2195">
        <v>3.7</v>
      </c>
      <c r="CD37" s="2195">
        <v>5.4</v>
      </c>
      <c r="CE37" s="2195">
        <v>6.9</v>
      </c>
      <c r="CF37" s="2195">
        <v>9.5</v>
      </c>
      <c r="CG37" s="2195">
        <v>15.8</v>
      </c>
      <c r="CH37" s="2195">
        <v>20.7</v>
      </c>
      <c r="CI37" s="2195">
        <v>27.8</v>
      </c>
      <c r="CJ37" s="2195">
        <v>35.9</v>
      </c>
      <c r="CK37" s="2195">
        <v>44.1</v>
      </c>
      <c r="CL37" s="280">
        <v>70</v>
      </c>
      <c r="CM37" s="280">
        <v>121</v>
      </c>
      <c r="CN37" s="280">
        <v>257</v>
      </c>
      <c r="CO37" s="2195">
        <v>342</v>
      </c>
      <c r="CR37" s="2186">
        <v>159</v>
      </c>
      <c r="CS37" s="2186">
        <v>159</v>
      </c>
      <c r="CV37" s="773">
        <v>159</v>
      </c>
      <c r="CW37" s="2195">
        <v>2.2999999999999998</v>
      </c>
      <c r="CX37" s="2195">
        <v>3.7</v>
      </c>
      <c r="CY37" s="2195">
        <v>5.4</v>
      </c>
      <c r="CZ37" s="2195">
        <v>6.9</v>
      </c>
      <c r="DA37" s="2195">
        <v>9.5</v>
      </c>
      <c r="DB37" s="2195">
        <v>15.8</v>
      </c>
      <c r="DC37" s="2195">
        <v>20.7</v>
      </c>
      <c r="DD37" s="2195">
        <v>27.8</v>
      </c>
      <c r="DE37" s="2195">
        <v>35.9</v>
      </c>
      <c r="DF37" s="2195">
        <v>44.1</v>
      </c>
      <c r="DG37" s="280">
        <v>70</v>
      </c>
      <c r="DH37" s="280">
        <v>121</v>
      </c>
      <c r="DI37" s="280">
        <v>257</v>
      </c>
      <c r="DJ37" s="2195">
        <v>342</v>
      </c>
      <c r="DS37" s="277"/>
      <c r="DW37" s="1"/>
      <c r="EO37" s="286"/>
      <c r="EP37" s="286"/>
      <c r="FB37" s="2174"/>
      <c r="FC37" s="2174"/>
      <c r="FF37" s="2204">
        <v>250</v>
      </c>
      <c r="FG37" s="280">
        <v>0</v>
      </c>
      <c r="FH37" s="280">
        <v>0</v>
      </c>
      <c r="FI37" s="280">
        <v>0</v>
      </c>
      <c r="FJ37" s="280">
        <v>6</v>
      </c>
      <c r="FK37" s="280">
        <v>8.5</v>
      </c>
      <c r="FL37" s="280">
        <v>12</v>
      </c>
      <c r="FM37" s="280">
        <v>17</v>
      </c>
      <c r="FN37" s="280">
        <v>27</v>
      </c>
      <c r="FO37" s="280">
        <v>32</v>
      </c>
      <c r="FP37" s="280">
        <v>48</v>
      </c>
      <c r="FQ37" s="280">
        <v>77</v>
      </c>
      <c r="FR37" s="280">
        <v>110</v>
      </c>
      <c r="FS37" s="280">
        <v>145</v>
      </c>
      <c r="FT37" s="280">
        <v>210</v>
      </c>
      <c r="FU37" s="280">
        <v>300</v>
      </c>
      <c r="FX37" s="2186">
        <v>250</v>
      </c>
      <c r="FY37" s="2186">
        <v>280</v>
      </c>
      <c r="GB37" s="2204">
        <v>250</v>
      </c>
      <c r="GC37" s="280">
        <v>0</v>
      </c>
      <c r="GD37" s="280">
        <v>0</v>
      </c>
      <c r="GE37" s="280">
        <v>0</v>
      </c>
      <c r="GF37" s="280">
        <v>6</v>
      </c>
      <c r="GG37" s="280">
        <v>8.5</v>
      </c>
      <c r="GH37" s="280">
        <v>12</v>
      </c>
      <c r="GI37" s="280">
        <v>17</v>
      </c>
      <c r="GJ37" s="280">
        <v>27</v>
      </c>
      <c r="GK37" s="280">
        <v>32</v>
      </c>
      <c r="GL37" s="280">
        <v>48</v>
      </c>
      <c r="GM37" s="280">
        <v>77</v>
      </c>
      <c r="GN37" s="280">
        <v>110</v>
      </c>
      <c r="GO37" s="280">
        <v>145</v>
      </c>
      <c r="GP37" s="280">
        <v>210</v>
      </c>
      <c r="GQ37" s="280">
        <v>300</v>
      </c>
      <c r="GT37" s="2174"/>
      <c r="GW37" s="773">
        <v>159</v>
      </c>
      <c r="GX37" s="2195">
        <v>2.2999999999999998</v>
      </c>
      <c r="GY37" s="2195">
        <v>3.7</v>
      </c>
      <c r="GZ37" s="2195">
        <v>5.4</v>
      </c>
      <c r="HA37" s="2195">
        <v>6.9</v>
      </c>
      <c r="HB37" s="2195">
        <v>9.5</v>
      </c>
      <c r="HC37" s="2195">
        <v>15.8</v>
      </c>
      <c r="HD37" s="2195">
        <v>20.7</v>
      </c>
      <c r="HE37" s="2195">
        <v>27.8</v>
      </c>
      <c r="HF37" s="2195">
        <v>35.9</v>
      </c>
      <c r="HG37" s="2195">
        <v>44.1</v>
      </c>
      <c r="HH37" s="280">
        <v>70</v>
      </c>
      <c r="HI37" s="280">
        <v>121</v>
      </c>
      <c r="HJ37" s="280">
        <v>257</v>
      </c>
      <c r="HK37" s="2195">
        <v>342</v>
      </c>
      <c r="HN37" s="2186">
        <v>159</v>
      </c>
      <c r="HO37" s="2186">
        <v>159</v>
      </c>
      <c r="HR37" s="773">
        <v>159</v>
      </c>
      <c r="HS37" s="2195">
        <v>2.2999999999999998</v>
      </c>
      <c r="HT37" s="2195">
        <v>3.7</v>
      </c>
      <c r="HU37" s="2195">
        <v>5.4</v>
      </c>
      <c r="HV37" s="2195">
        <v>6.9</v>
      </c>
      <c r="HW37" s="2195">
        <v>9.5</v>
      </c>
      <c r="HX37" s="2195">
        <v>15.8</v>
      </c>
      <c r="HY37" s="2195">
        <v>20.7</v>
      </c>
      <c r="HZ37" s="2195">
        <v>27.8</v>
      </c>
      <c r="IA37" s="2195">
        <v>35.9</v>
      </c>
      <c r="IB37" s="2195">
        <v>44.1</v>
      </c>
      <c r="IC37" s="280">
        <v>70</v>
      </c>
      <c r="ID37" s="280">
        <v>121</v>
      </c>
      <c r="IE37" s="280">
        <v>257</v>
      </c>
      <c r="IF37" s="2195">
        <v>342</v>
      </c>
      <c r="IN37" s="277"/>
      <c r="IO37" s="277"/>
    </row>
    <row r="38" spans="2:249" ht="21.95" customHeight="1">
      <c r="C38" s="777" t="s">
        <v>2796</v>
      </c>
      <c r="D38" s="778" t="s">
        <v>2175</v>
      </c>
      <c r="E38" s="778" t="s">
        <v>2176</v>
      </c>
      <c r="F38" s="779" t="s">
        <v>2173</v>
      </c>
      <c r="G38" s="779" t="s">
        <v>1682</v>
      </c>
      <c r="H38" s="779" t="s">
        <v>2174</v>
      </c>
      <c r="I38" s="2" t="str">
        <f>H383</f>
        <v>Right</v>
      </c>
      <c r="L38" s="2252" t="s">
        <v>2261</v>
      </c>
      <c r="S38" s="286"/>
      <c r="T38" s="286"/>
      <c r="AF38" s="2174"/>
      <c r="AG38" s="2174"/>
      <c r="AJ38" s="2193">
        <v>630</v>
      </c>
      <c r="AK38" s="2195">
        <v>0</v>
      </c>
      <c r="AL38" s="2195">
        <v>0</v>
      </c>
      <c r="AM38" s="2195">
        <v>0</v>
      </c>
      <c r="AN38" s="2195">
        <v>0</v>
      </c>
      <c r="AO38" s="2195">
        <v>0</v>
      </c>
      <c r="AP38" s="2195">
        <v>0</v>
      </c>
      <c r="AQ38" s="2195">
        <v>6.5</v>
      </c>
      <c r="AR38" s="2195">
        <v>10</v>
      </c>
      <c r="AS38" s="2195">
        <v>14</v>
      </c>
      <c r="AT38" s="2195">
        <v>18</v>
      </c>
      <c r="AU38" s="280">
        <v>30</v>
      </c>
      <c r="AV38" s="280">
        <v>43</v>
      </c>
      <c r="AW38" s="280">
        <v>57</v>
      </c>
      <c r="AX38" s="280">
        <v>83</v>
      </c>
      <c r="AY38" s="2195">
        <v>120</v>
      </c>
      <c r="BB38" s="2186">
        <v>280</v>
      </c>
      <c r="BC38" s="2187">
        <v>315</v>
      </c>
      <c r="BF38" s="2193">
        <v>630</v>
      </c>
      <c r="BG38" s="2195">
        <v>0</v>
      </c>
      <c r="BH38" s="2195">
        <v>0</v>
      </c>
      <c r="BI38" s="2195">
        <v>0</v>
      </c>
      <c r="BJ38" s="2195">
        <v>0</v>
      </c>
      <c r="BK38" s="2195">
        <v>0</v>
      </c>
      <c r="BL38" s="2195">
        <v>0</v>
      </c>
      <c r="BM38" s="2195">
        <v>6.5</v>
      </c>
      <c r="BN38" s="2195">
        <v>10</v>
      </c>
      <c r="BO38" s="2195">
        <v>14</v>
      </c>
      <c r="BP38" s="2195">
        <v>18</v>
      </c>
      <c r="BQ38" s="280">
        <v>30</v>
      </c>
      <c r="BR38" s="280">
        <v>43</v>
      </c>
      <c r="BS38" s="280">
        <v>57</v>
      </c>
      <c r="BT38" s="280">
        <v>83</v>
      </c>
      <c r="BU38" s="2195">
        <v>120</v>
      </c>
      <c r="BX38" s="2174"/>
      <c r="CR38" s="2205"/>
      <c r="CS38" s="2206"/>
      <c r="DS38" s="277"/>
      <c r="DW38" s="1"/>
      <c r="DY38" s="777" t="s">
        <v>2796</v>
      </c>
      <c r="DZ38" s="778" t="s">
        <v>2175</v>
      </c>
      <c r="EA38" s="778" t="s">
        <v>2176</v>
      </c>
      <c r="EB38" s="779" t="s">
        <v>2173</v>
      </c>
      <c r="EC38" s="779" t="s">
        <v>1682</v>
      </c>
      <c r="ED38" s="779" t="s">
        <v>2174</v>
      </c>
      <c r="EE38" s="2" t="str">
        <f>ED383</f>
        <v>Right</v>
      </c>
      <c r="EH38" s="2252" t="s">
        <v>2261</v>
      </c>
      <c r="EO38" s="286"/>
      <c r="EP38" s="286"/>
      <c r="FB38" s="2174"/>
      <c r="FC38" s="2174"/>
      <c r="FF38" s="2193">
        <v>630</v>
      </c>
      <c r="FG38" s="2195">
        <v>0</v>
      </c>
      <c r="FH38" s="2195">
        <v>0</v>
      </c>
      <c r="FI38" s="2195">
        <v>0</v>
      </c>
      <c r="FJ38" s="2195">
        <v>0</v>
      </c>
      <c r="FK38" s="2195">
        <v>0</v>
      </c>
      <c r="FL38" s="2195">
        <v>0</v>
      </c>
      <c r="FM38" s="2195">
        <v>6.5</v>
      </c>
      <c r="FN38" s="2195">
        <v>10</v>
      </c>
      <c r="FO38" s="2195">
        <v>14</v>
      </c>
      <c r="FP38" s="2195">
        <v>18</v>
      </c>
      <c r="FQ38" s="280">
        <v>30</v>
      </c>
      <c r="FR38" s="280">
        <v>43</v>
      </c>
      <c r="FS38" s="280">
        <v>57</v>
      </c>
      <c r="FT38" s="280">
        <v>83</v>
      </c>
      <c r="FU38" s="2195">
        <v>120</v>
      </c>
      <c r="FX38" s="2186">
        <v>280</v>
      </c>
      <c r="FY38" s="2187">
        <v>315</v>
      </c>
      <c r="GB38" s="2193">
        <v>630</v>
      </c>
      <c r="GC38" s="2195">
        <v>0</v>
      </c>
      <c r="GD38" s="2195">
        <v>0</v>
      </c>
      <c r="GE38" s="2195">
        <v>0</v>
      </c>
      <c r="GF38" s="2195">
        <v>0</v>
      </c>
      <c r="GG38" s="2195">
        <v>0</v>
      </c>
      <c r="GH38" s="2195">
        <v>0</v>
      </c>
      <c r="GI38" s="2195">
        <v>6.5</v>
      </c>
      <c r="GJ38" s="2195">
        <v>10</v>
      </c>
      <c r="GK38" s="2195">
        <v>14</v>
      </c>
      <c r="GL38" s="2195">
        <v>18</v>
      </c>
      <c r="GM38" s="280">
        <v>30</v>
      </c>
      <c r="GN38" s="280">
        <v>43</v>
      </c>
      <c r="GO38" s="280">
        <v>57</v>
      </c>
      <c r="GP38" s="280">
        <v>83</v>
      </c>
      <c r="GQ38" s="2195">
        <v>120</v>
      </c>
      <c r="GT38" s="2174"/>
      <c r="HN38" s="2205"/>
      <c r="HO38" s="2206"/>
      <c r="IN38" s="277"/>
      <c r="IO38" s="277"/>
    </row>
    <row r="39" spans="2:249" ht="21.95" customHeight="1">
      <c r="B39" s="8"/>
      <c r="C39" s="283" t="s">
        <v>651</v>
      </c>
      <c r="D39" s="285">
        <f>G379</f>
        <v>0</v>
      </c>
      <c r="E39" s="285" t="str">
        <f>+H379</f>
        <v>3AH475</v>
      </c>
      <c r="F39" s="284">
        <f>VLOOKUP(E39,C49:F66,2,0)</f>
        <v>70660</v>
      </c>
      <c r="G39" s="285"/>
      <c r="H39" s="285">
        <f>VLOOKUP(E39,C49:F66,4,0)</f>
        <v>450</v>
      </c>
      <c r="I39" s="281"/>
      <c r="S39" s="286"/>
      <c r="T39" s="286"/>
      <c r="AF39" s="2174"/>
      <c r="AG39" s="2174"/>
      <c r="AJ39" s="2177"/>
      <c r="AK39" s="2178"/>
      <c r="AL39" s="2178"/>
      <c r="AM39" s="2178"/>
      <c r="AN39" s="2178"/>
      <c r="AO39" s="2178"/>
      <c r="AP39" s="2178"/>
      <c r="AQ39" s="2178"/>
      <c r="AR39" s="2178"/>
      <c r="AS39" s="2178"/>
      <c r="AT39" s="2178"/>
      <c r="AU39" s="2178"/>
      <c r="AV39" s="2179"/>
      <c r="BB39" s="2205"/>
      <c r="BC39" s="2206"/>
      <c r="BF39" s="2177"/>
      <c r="BG39" s="2178"/>
      <c r="BH39" s="2178"/>
      <c r="BI39" s="2178"/>
      <c r="BJ39" s="2178"/>
      <c r="BK39" s="2178"/>
      <c r="BL39" s="2178"/>
      <c r="BM39" s="2178"/>
      <c r="BN39" s="2178"/>
      <c r="BO39" s="2178"/>
      <c r="BP39" s="2178"/>
      <c r="BQ39" s="2178"/>
      <c r="BR39" s="2179"/>
      <c r="BX39" s="2174"/>
      <c r="CA39" s="2180"/>
      <c r="CB39" s="2207"/>
      <c r="CC39" s="2207"/>
      <c r="CD39" s="2207"/>
      <c r="CE39" s="2207"/>
      <c r="CF39" s="2207"/>
      <c r="CG39" s="2207"/>
      <c r="CH39" s="2207"/>
      <c r="CI39" s="2207"/>
      <c r="CJ39" s="2207"/>
      <c r="CK39" s="2207"/>
      <c r="CL39" s="2207"/>
      <c r="CR39" s="2186">
        <f>VLOOKUP(CN41,CR4:CR37,1)</f>
        <v>70.599999999999994</v>
      </c>
      <c r="CS39" s="2186">
        <f>VLOOKUP(CR39,CR4:CS37,2,0)</f>
        <v>78.2</v>
      </c>
      <c r="CV39" s="2180"/>
      <c r="CW39" s="2207"/>
      <c r="CX39" s="2207"/>
      <c r="CY39" s="2207"/>
      <c r="CZ39" s="2207"/>
      <c r="DA39" s="2207"/>
      <c r="DB39" s="2207"/>
      <c r="DC39" s="2207"/>
      <c r="DD39" s="2207"/>
      <c r="DE39" s="2207"/>
      <c r="DF39" s="2207"/>
      <c r="DG39" s="2207"/>
      <c r="DS39" s="277"/>
      <c r="DW39" s="1"/>
      <c r="DX39" s="8"/>
      <c r="DY39" s="283" t="s">
        <v>651</v>
      </c>
      <c r="DZ39" s="285">
        <f>EC379</f>
        <v>0</v>
      </c>
      <c r="EA39" s="285" t="str">
        <f>+ED379</f>
        <v>3AH475</v>
      </c>
      <c r="EB39" s="284">
        <f>VLOOKUP(EA39,DY49:EB66,2,0)</f>
        <v>70660</v>
      </c>
      <c r="EC39" s="285"/>
      <c r="ED39" s="285">
        <f>VLOOKUP(EA39,DY49:EB66,4,0)</f>
        <v>450</v>
      </c>
      <c r="EE39" s="281"/>
      <c r="EO39" s="286"/>
      <c r="EP39" s="286"/>
      <c r="FB39" s="2174"/>
      <c r="FC39" s="2174"/>
      <c r="FF39" s="2177"/>
      <c r="FG39" s="2178"/>
      <c r="FH39" s="2178"/>
      <c r="FI39" s="2178"/>
      <c r="FJ39" s="2178"/>
      <c r="FK39" s="2178"/>
      <c r="FL39" s="2178"/>
      <c r="FM39" s="2178"/>
      <c r="FN39" s="2178"/>
      <c r="FO39" s="2178"/>
      <c r="FP39" s="2178"/>
      <c r="FQ39" s="2178"/>
      <c r="FR39" s="2179"/>
      <c r="FX39" s="2205"/>
      <c r="FY39" s="2206"/>
      <c r="GB39" s="2177"/>
      <c r="GC39" s="2178"/>
      <c r="GD39" s="2178"/>
      <c r="GE39" s="2178"/>
      <c r="GF39" s="2178"/>
      <c r="GG39" s="2178"/>
      <c r="GH39" s="2178"/>
      <c r="GI39" s="2178"/>
      <c r="GJ39" s="2178"/>
      <c r="GK39" s="2178"/>
      <c r="GL39" s="2178"/>
      <c r="GM39" s="2178"/>
      <c r="GN39" s="2179"/>
      <c r="GT39" s="2174"/>
      <c r="GW39" s="2180"/>
      <c r="GX39" s="2207"/>
      <c r="GY39" s="2207"/>
      <c r="GZ39" s="2207"/>
      <c r="HA39" s="2207"/>
      <c r="HB39" s="2207"/>
      <c r="HC39" s="2207"/>
      <c r="HD39" s="2207"/>
      <c r="HE39" s="2207"/>
      <c r="HF39" s="2207"/>
      <c r="HG39" s="2207"/>
      <c r="HH39" s="2207"/>
      <c r="HN39" s="2186">
        <f>VLOOKUP(HJ41,HN4:HN37,1)</f>
        <v>42.5</v>
      </c>
      <c r="HO39" s="2186">
        <f>VLOOKUP(HN39,HN4:HO37,2,0)</f>
        <v>47.1</v>
      </c>
      <c r="HR39" s="2180"/>
      <c r="HS39" s="2207"/>
      <c r="HT39" s="2207"/>
      <c r="HU39" s="2207"/>
      <c r="HV39" s="2207"/>
      <c r="HW39" s="2207"/>
      <c r="HX39" s="2207"/>
      <c r="HY39" s="2207"/>
      <c r="HZ39" s="2207"/>
      <c r="IA39" s="2207"/>
      <c r="IB39" s="2207"/>
      <c r="IC39" s="2207"/>
      <c r="IN39" s="277"/>
      <c r="IO39" s="277"/>
    </row>
    <row r="40" spans="2:249" ht="21.95" customHeight="1">
      <c r="C40" s="283" t="s">
        <v>654</v>
      </c>
      <c r="D40" s="285">
        <f t="shared" ref="D40:D42" si="9">G380</f>
        <v>6.26</v>
      </c>
      <c r="E40" s="285" t="str">
        <f>+H380</f>
        <v>3AH475</v>
      </c>
      <c r="F40" s="284">
        <f>VLOOKUP(E40,C49:F66,2,0)</f>
        <v>70660</v>
      </c>
      <c r="G40" s="284"/>
      <c r="H40" s="284">
        <f>VLOOKUP(E40,C49:F66,4,0)</f>
        <v>450</v>
      </c>
      <c r="I40" s="281"/>
      <c r="S40" s="286"/>
      <c r="T40" s="286"/>
      <c r="AF40" s="2174"/>
      <c r="AG40" s="2174"/>
      <c r="AJ40" s="2208" t="s">
        <v>682</v>
      </c>
      <c r="AK40" s="4">
        <f>+BC40</f>
        <v>80</v>
      </c>
      <c r="AL40" s="2178"/>
      <c r="AM40" s="2179"/>
      <c r="AN40" s="2179"/>
      <c r="AO40" s="277"/>
      <c r="AP40" s="2179"/>
      <c r="AQ40" s="2209" t="s">
        <v>2182</v>
      </c>
      <c r="AR40" s="5">
        <f>AM62</f>
        <v>160</v>
      </c>
      <c r="AS40" s="2179" t="str">
        <f>AJ72</f>
        <v>Right</v>
      </c>
      <c r="AW40" s="277" t="s">
        <v>2183</v>
      </c>
      <c r="AX40" s="2212">
        <f>E4</f>
        <v>0.75631178540277322</v>
      </c>
      <c r="BB40" s="2186">
        <f>VLOOKUP(AX41,BB4:BB38,1)</f>
        <v>71</v>
      </c>
      <c r="BC40" s="2186">
        <f>VLOOKUP(BB40,BB4:BC38,2,0)</f>
        <v>80</v>
      </c>
      <c r="BF40" s="2208" t="s">
        <v>682</v>
      </c>
      <c r="BG40" s="4">
        <f>+BB40</f>
        <v>71</v>
      </c>
      <c r="BH40" s="2178"/>
      <c r="BI40" s="2179"/>
      <c r="BJ40" s="2179"/>
      <c r="BK40" s="2210"/>
      <c r="BL40" s="2209" t="s">
        <v>2182</v>
      </c>
      <c r="BM40" s="5">
        <f>BI62</f>
        <v>160</v>
      </c>
      <c r="BN40" s="2179" t="str">
        <f>BF72</f>
        <v>Right</v>
      </c>
      <c r="BX40" s="2174"/>
      <c r="CA40" s="2208" t="s">
        <v>682</v>
      </c>
      <c r="CB40" s="4">
        <f>+CS39</f>
        <v>78.2</v>
      </c>
      <c r="CC40" s="2207"/>
      <c r="CH40" s="2209" t="s">
        <v>2182</v>
      </c>
      <c r="CI40" s="5">
        <f>CD62</f>
        <v>140</v>
      </c>
      <c r="CJ40" s="277" t="str">
        <f>CA72</f>
        <v>Right</v>
      </c>
      <c r="CM40" s="277" t="s">
        <v>2183</v>
      </c>
      <c r="CN40" s="2213">
        <f>E4</f>
        <v>0.75631178540277322</v>
      </c>
      <c r="CR40" s="2176"/>
      <c r="CS40" s="2176"/>
      <c r="CV40" s="2208" t="s">
        <v>682</v>
      </c>
      <c r="CW40" s="4">
        <f>+CR39</f>
        <v>70.599999999999994</v>
      </c>
      <c r="CX40" s="2207"/>
      <c r="DC40" s="2209" t="s">
        <v>2182</v>
      </c>
      <c r="DD40" s="5">
        <f>CY62</f>
        <v>140</v>
      </c>
      <c r="DE40" s="277" t="str">
        <f>CV72</f>
        <v>Right</v>
      </c>
      <c r="DS40" s="277"/>
      <c r="DW40" s="1"/>
      <c r="DY40" s="283" t="s">
        <v>654</v>
      </c>
      <c r="DZ40" s="285">
        <f>EC380</f>
        <v>9.08</v>
      </c>
      <c r="EA40" s="285" t="str">
        <f>+ED380</f>
        <v>3AH475</v>
      </c>
      <c r="EB40" s="284">
        <f>VLOOKUP(EA40,DY49:EB66,2,0)</f>
        <v>70660</v>
      </c>
      <c r="EC40" s="284"/>
      <c r="ED40" s="284">
        <f>VLOOKUP(EA40,DY49:EB66,4,0)</f>
        <v>450</v>
      </c>
      <c r="EE40" s="281"/>
      <c r="EO40" s="286"/>
      <c r="EP40" s="286"/>
      <c r="FB40" s="2174"/>
      <c r="FC40" s="2174"/>
      <c r="FF40" s="2208" t="s">
        <v>682</v>
      </c>
      <c r="FG40" s="4">
        <f>+FY40</f>
        <v>50</v>
      </c>
      <c r="FH40" s="2178"/>
      <c r="FI40" s="2179"/>
      <c r="FJ40" s="2179"/>
      <c r="FL40" s="2179"/>
      <c r="FM40" s="2209" t="s">
        <v>2182</v>
      </c>
      <c r="FN40" s="5">
        <f>FI62</f>
        <v>160</v>
      </c>
      <c r="FO40" s="2179" t="str">
        <f>FF72</f>
        <v>Right</v>
      </c>
      <c r="FS40" s="277" t="s">
        <v>2183</v>
      </c>
      <c r="FT40" s="2212">
        <f>EA4</f>
        <v>1.3354563802212776</v>
      </c>
      <c r="FX40" s="2186">
        <f>VLOOKUP(FT41,FX4:FX38,1)</f>
        <v>45</v>
      </c>
      <c r="FY40" s="2186">
        <f>VLOOKUP(FX40,FX4:FY38,2,0)</f>
        <v>50</v>
      </c>
      <c r="GB40" s="2208" t="s">
        <v>682</v>
      </c>
      <c r="GC40" s="4">
        <f>+FX40</f>
        <v>45</v>
      </c>
      <c r="GD40" s="2178"/>
      <c r="GE40" s="2179"/>
      <c r="GF40" s="2179"/>
      <c r="GG40" s="2210"/>
      <c r="GH40" s="2209" t="s">
        <v>2182</v>
      </c>
      <c r="GI40" s="5">
        <f>GE62</f>
        <v>160</v>
      </c>
      <c r="GJ40" s="2179" t="str">
        <f>GB72</f>
        <v>Right</v>
      </c>
      <c r="GT40" s="2174"/>
      <c r="GW40" s="2208" t="s">
        <v>682</v>
      </c>
      <c r="GX40" s="4">
        <f>+HO39</f>
        <v>47.1</v>
      </c>
      <c r="GY40" s="2207"/>
      <c r="HD40" s="2209" t="s">
        <v>2182</v>
      </c>
      <c r="HE40" s="5">
        <f>GZ62</f>
        <v>140</v>
      </c>
      <c r="HF40" s="277" t="str">
        <f>GW72</f>
        <v>Right</v>
      </c>
      <c r="HI40" s="277" t="s">
        <v>2183</v>
      </c>
      <c r="HJ40" s="2213">
        <f>EA4</f>
        <v>1.3354563802212776</v>
      </c>
      <c r="HN40" s="2176"/>
      <c r="HO40" s="2176"/>
      <c r="HR40" s="2208" t="s">
        <v>682</v>
      </c>
      <c r="HS40" s="4">
        <f>+HN39</f>
        <v>42.5</v>
      </c>
      <c r="HT40" s="2207"/>
      <c r="HY40" s="2209" t="s">
        <v>2182</v>
      </c>
      <c r="HZ40" s="5">
        <f>HU62</f>
        <v>140</v>
      </c>
      <c r="IA40" s="277" t="str">
        <f>HR72</f>
        <v>Right</v>
      </c>
      <c r="IN40" s="277"/>
      <c r="IO40" s="277"/>
    </row>
    <row r="41" spans="2:249" ht="21.95" customHeight="1">
      <c r="B41" s="286"/>
      <c r="C41" s="283" t="s">
        <v>658</v>
      </c>
      <c r="D41" s="285">
        <f t="shared" si="9"/>
        <v>5.2</v>
      </c>
      <c r="E41" s="285" t="str">
        <f>+H381</f>
        <v>3AH475</v>
      </c>
      <c r="F41" s="284">
        <f>VLOOKUP(E41,C49:F66,2,0)</f>
        <v>70660</v>
      </c>
      <c r="G41" s="284"/>
      <c r="H41" s="284">
        <f>VLOOKUP(E41,C49:F66,4,0)</f>
        <v>450</v>
      </c>
      <c r="I41" s="281"/>
      <c r="S41" s="286"/>
      <c r="T41" s="286"/>
      <c r="AF41" s="2174"/>
      <c r="AG41" s="2174"/>
      <c r="AJ41" s="2208" t="s">
        <v>737</v>
      </c>
      <c r="AK41" s="2211">
        <f>+AX40</f>
        <v>0.75631178540277322</v>
      </c>
      <c r="AL41" s="2178"/>
      <c r="AM41" s="2179"/>
      <c r="AN41" s="2179"/>
      <c r="AO41" s="277"/>
      <c r="AP41" s="2179"/>
      <c r="AQ41" s="2179" t="s">
        <v>737</v>
      </c>
      <c r="AR41" s="5">
        <f>AL62</f>
        <v>6</v>
      </c>
      <c r="AS41" s="2179" t="str">
        <f>AJ73</f>
        <v>Right</v>
      </c>
      <c r="AW41" s="277" t="s">
        <v>2184</v>
      </c>
      <c r="AX41" s="2212">
        <f>E5</f>
        <v>72.382464000000013</v>
      </c>
      <c r="BB41" s="2176"/>
      <c r="BC41" s="2176"/>
      <c r="BF41" s="2208" t="s">
        <v>737</v>
      </c>
      <c r="BG41" s="2211">
        <f>+AX40</f>
        <v>0.75631178540277322</v>
      </c>
      <c r="BH41" s="2178"/>
      <c r="BI41" s="2179"/>
      <c r="BJ41" s="2179"/>
      <c r="BK41" s="2210"/>
      <c r="BL41" s="2209" t="s">
        <v>737</v>
      </c>
      <c r="BM41" s="5">
        <f>BH62</f>
        <v>6.5</v>
      </c>
      <c r="BN41" s="2179" t="str">
        <f>BF73</f>
        <v>Right</v>
      </c>
      <c r="BX41" s="2174"/>
      <c r="CA41" s="2208" t="s">
        <v>737</v>
      </c>
      <c r="CB41" s="2359">
        <f>+CN40</f>
        <v>0.75631178540277322</v>
      </c>
      <c r="CC41" s="2207"/>
      <c r="CH41" s="2209" t="s">
        <v>737</v>
      </c>
      <c r="CI41" s="5">
        <f>CC62</f>
        <v>4.5599999999999996</v>
      </c>
      <c r="CJ41" s="277" t="str">
        <f>CA73</f>
        <v>Right</v>
      </c>
      <c r="CM41" s="277" t="s">
        <v>2184</v>
      </c>
      <c r="CN41" s="2213">
        <f>E5</f>
        <v>72.382464000000013</v>
      </c>
      <c r="CR41" s="2176"/>
      <c r="CS41" s="2176"/>
      <c r="CV41" s="2208" t="s">
        <v>737</v>
      </c>
      <c r="CW41" s="2211">
        <f>+CN40</f>
        <v>0.75631178540277322</v>
      </c>
      <c r="CX41" s="2207"/>
      <c r="DC41" s="2209" t="s">
        <v>737</v>
      </c>
      <c r="DD41" s="5">
        <f>CX62</f>
        <v>5.16</v>
      </c>
      <c r="DE41" s="277" t="str">
        <f>CV73</f>
        <v>Right</v>
      </c>
      <c r="DS41" s="277"/>
      <c r="DW41" s="1"/>
      <c r="DX41" s="286"/>
      <c r="DY41" s="283" t="s">
        <v>658</v>
      </c>
      <c r="DZ41" s="285">
        <f>EC381</f>
        <v>7.53</v>
      </c>
      <c r="EA41" s="285" t="str">
        <f>+ED381</f>
        <v>3AH475</v>
      </c>
      <c r="EB41" s="284">
        <f>VLOOKUP(EA41,DY49:EB66,2,0)</f>
        <v>70660</v>
      </c>
      <c r="EC41" s="284"/>
      <c r="ED41" s="284">
        <f>VLOOKUP(EA41,DY49:EB66,4,0)</f>
        <v>450</v>
      </c>
      <c r="EE41" s="281"/>
      <c r="EO41" s="286"/>
      <c r="EP41" s="286"/>
      <c r="FB41" s="2174"/>
      <c r="FC41" s="2174"/>
      <c r="FF41" s="2208" t="s">
        <v>737</v>
      </c>
      <c r="FG41" s="2211">
        <f>+FT40</f>
        <v>1.3354563802212776</v>
      </c>
      <c r="FH41" s="2178"/>
      <c r="FI41" s="2179"/>
      <c r="FJ41" s="2179"/>
      <c r="FL41" s="2179"/>
      <c r="FM41" s="2179" t="s">
        <v>737</v>
      </c>
      <c r="FN41" s="5">
        <f>FH62</f>
        <v>11</v>
      </c>
      <c r="FO41" s="2179" t="str">
        <f>FF73</f>
        <v>Right</v>
      </c>
      <c r="FS41" s="277" t="s">
        <v>2184</v>
      </c>
      <c r="FT41" s="2212">
        <f>EA5</f>
        <v>45.239040000000003</v>
      </c>
      <c r="FX41" s="2176"/>
      <c r="FY41" s="2176"/>
      <c r="GB41" s="2208" t="s">
        <v>737</v>
      </c>
      <c r="GC41" s="2211">
        <f>+FT40</f>
        <v>1.3354563802212776</v>
      </c>
      <c r="GD41" s="2178"/>
      <c r="GE41" s="2179"/>
      <c r="GF41" s="2179"/>
      <c r="GG41" s="2210"/>
      <c r="GH41" s="2209" t="s">
        <v>737</v>
      </c>
      <c r="GI41" s="5">
        <f>GD62</f>
        <v>12</v>
      </c>
      <c r="GJ41" s="2179" t="str">
        <f>GB73</f>
        <v>Right</v>
      </c>
      <c r="GT41" s="2174"/>
      <c r="GW41" s="2208" t="s">
        <v>737</v>
      </c>
      <c r="GX41" s="2359">
        <f>+HJ40</f>
        <v>1.3354563802212776</v>
      </c>
      <c r="GY41" s="2207"/>
      <c r="HD41" s="2209" t="s">
        <v>737</v>
      </c>
      <c r="HE41" s="5">
        <f>GY62</f>
        <v>8.35</v>
      </c>
      <c r="HF41" s="277" t="str">
        <f>GW73</f>
        <v>Right</v>
      </c>
      <c r="HI41" s="277" t="s">
        <v>2184</v>
      </c>
      <c r="HJ41" s="2213">
        <f>EA5</f>
        <v>45.239040000000003</v>
      </c>
      <c r="HN41" s="2176"/>
      <c r="HO41" s="2176"/>
      <c r="HR41" s="2208" t="s">
        <v>737</v>
      </c>
      <c r="HS41" s="2211">
        <f>+HJ40</f>
        <v>1.3354563802212776</v>
      </c>
      <c r="HT41" s="2207"/>
      <c r="HY41" s="2209" t="s">
        <v>737</v>
      </c>
      <c r="HZ41" s="5">
        <f>HT62</f>
        <v>8.89</v>
      </c>
      <c r="IA41" s="277" t="str">
        <f>HR73</f>
        <v>Right</v>
      </c>
      <c r="IN41" s="277"/>
      <c r="IO41" s="277"/>
    </row>
    <row r="42" spans="2:249" ht="21.95" customHeight="1">
      <c r="C42" s="283" t="s">
        <v>662</v>
      </c>
      <c r="D42" s="285">
        <f t="shared" si="9"/>
        <v>4.08</v>
      </c>
      <c r="E42" s="285" t="str">
        <f>+H382</f>
        <v>3AH475</v>
      </c>
      <c r="F42" s="284">
        <f>VLOOKUP(E42,C49:F66,2,0)</f>
        <v>70660</v>
      </c>
      <c r="G42" s="284"/>
      <c r="H42" s="284">
        <f>VLOOKUP(E42,C49:F66,4,0)</f>
        <v>450</v>
      </c>
      <c r="I42" s="281"/>
      <c r="S42" s="286"/>
      <c r="T42" s="286"/>
      <c r="AF42" s="2174"/>
      <c r="AG42" s="2174"/>
      <c r="AJ42" s="2177"/>
      <c r="AK42" s="2178"/>
      <c r="AL42" s="2178"/>
      <c r="AM42" s="2214" t="s">
        <v>707</v>
      </c>
      <c r="AN42" s="2178"/>
      <c r="AO42" s="2178"/>
      <c r="AP42" s="2178"/>
      <c r="AQ42" s="2178"/>
      <c r="AR42" s="2178"/>
      <c r="AS42" s="2178"/>
      <c r="AT42" s="2178"/>
      <c r="AU42" s="2178"/>
      <c r="AV42" s="2179"/>
      <c r="BB42" s="2176"/>
      <c r="BC42" s="2176"/>
      <c r="BF42" s="2177"/>
      <c r="BG42" s="2178"/>
      <c r="BH42" s="2178"/>
      <c r="BI42" s="2214" t="s">
        <v>707</v>
      </c>
      <c r="BJ42" s="2178"/>
      <c r="BK42" s="2178"/>
      <c r="BL42" s="2178"/>
      <c r="BM42" s="2178"/>
      <c r="BN42" s="2178"/>
      <c r="BO42" s="2178"/>
      <c r="BP42" s="2215"/>
      <c r="BQ42" s="2178"/>
      <c r="BR42" s="2179"/>
      <c r="BX42" s="2174"/>
      <c r="CA42" s="2180"/>
      <c r="CB42" s="2207"/>
      <c r="CC42" s="2207"/>
      <c r="CD42" s="2214" t="s">
        <v>707</v>
      </c>
      <c r="CE42" s="2207"/>
      <c r="CF42" s="2207"/>
      <c r="CG42" s="2207"/>
      <c r="CH42" s="2207"/>
      <c r="CI42" s="2207"/>
      <c r="CJ42" s="2207"/>
      <c r="CK42" s="2207"/>
      <c r="CL42" s="2207"/>
      <c r="CR42" s="2176"/>
      <c r="CS42" s="2176"/>
      <c r="CV42" s="2180"/>
      <c r="CW42" s="2207"/>
      <c r="CX42" s="2207"/>
      <c r="CY42" s="2214" t="s">
        <v>707</v>
      </c>
      <c r="CZ42" s="2207"/>
      <c r="DA42" s="2207"/>
      <c r="DB42" s="2207"/>
      <c r="DC42" s="2207"/>
      <c r="DD42" s="2207"/>
      <c r="DE42" s="2207"/>
      <c r="DF42" s="2207"/>
      <c r="DG42" s="2207"/>
      <c r="DS42" s="277"/>
      <c r="DW42" s="1"/>
      <c r="DY42" s="283" t="s">
        <v>662</v>
      </c>
      <c r="DZ42" s="285">
        <f>EC382</f>
        <v>6</v>
      </c>
      <c r="EA42" s="285" t="str">
        <f>+ED382</f>
        <v>3AH475</v>
      </c>
      <c r="EB42" s="284">
        <f>VLOOKUP(EA42,DY49:EB66,2,0)</f>
        <v>70660</v>
      </c>
      <c r="EC42" s="284"/>
      <c r="ED42" s="284">
        <f>VLOOKUP(EA42,DY49:EB66,4,0)</f>
        <v>450</v>
      </c>
      <c r="EE42" s="281"/>
      <c r="EO42" s="286"/>
      <c r="EP42" s="286"/>
      <c r="FB42" s="2174"/>
      <c r="FC42" s="2174"/>
      <c r="FF42" s="2177"/>
      <c r="FG42" s="2178"/>
      <c r="FH42" s="2178"/>
      <c r="FI42" s="2214" t="s">
        <v>707</v>
      </c>
      <c r="FJ42" s="2178"/>
      <c r="FK42" s="2178"/>
      <c r="FL42" s="2178"/>
      <c r="FM42" s="2178"/>
      <c r="FN42" s="2178"/>
      <c r="FO42" s="2178"/>
      <c r="FP42" s="2178"/>
      <c r="FQ42" s="2178"/>
      <c r="FR42" s="2179"/>
      <c r="FX42" s="2176"/>
      <c r="FY42" s="2176"/>
      <c r="GB42" s="2177"/>
      <c r="GC42" s="2178"/>
      <c r="GD42" s="2178"/>
      <c r="GE42" s="2214" t="s">
        <v>707</v>
      </c>
      <c r="GF42" s="2178"/>
      <c r="GG42" s="2178"/>
      <c r="GH42" s="2178"/>
      <c r="GI42" s="2178"/>
      <c r="GJ42" s="2178"/>
      <c r="GK42" s="2178"/>
      <c r="GL42" s="2215"/>
      <c r="GM42" s="2178"/>
      <c r="GN42" s="2179"/>
      <c r="GT42" s="2174"/>
      <c r="GW42" s="2180"/>
      <c r="GX42" s="2207"/>
      <c r="GY42" s="2207"/>
      <c r="GZ42" s="2214" t="s">
        <v>707</v>
      </c>
      <c r="HA42" s="2207"/>
      <c r="HB42" s="2207"/>
      <c r="HC42" s="2207"/>
      <c r="HD42" s="2207"/>
      <c r="HE42" s="2207"/>
      <c r="HF42" s="2207"/>
      <c r="HG42" s="2207"/>
      <c r="HH42" s="2207"/>
      <c r="HN42" s="2176"/>
      <c r="HO42" s="2176"/>
      <c r="HR42" s="2180"/>
      <c r="HS42" s="2207"/>
      <c r="HT42" s="2207"/>
      <c r="HU42" s="2214" t="s">
        <v>707</v>
      </c>
      <c r="HV42" s="2207"/>
      <c r="HW42" s="2207"/>
      <c r="HX42" s="2207"/>
      <c r="HY42" s="2207"/>
      <c r="HZ42" s="2207"/>
      <c r="IA42" s="2207"/>
      <c r="IB42" s="2207"/>
      <c r="IC42" s="2207"/>
      <c r="IN42" s="277"/>
      <c r="IO42" s="277"/>
    </row>
    <row r="43" spans="2:249" ht="21.95" customHeight="1">
      <c r="B43" s="11">
        <f>1-E5/C43</f>
        <v>1.7877014925372969E-2</v>
      </c>
      <c r="C43" s="780">
        <f>CF373</f>
        <v>73.7</v>
      </c>
      <c r="D43" s="780">
        <f>VLOOKUP(C3,C39:H42,2,0)</f>
        <v>6.26</v>
      </c>
      <c r="E43" s="780" t="str">
        <f>VLOOKUP(C3,C39:H42,3,0)</f>
        <v>3AH475</v>
      </c>
      <c r="F43" s="780">
        <f>VLOOKUP(C3,C39:H42,4,0)</f>
        <v>70660</v>
      </c>
      <c r="G43" s="780"/>
      <c r="H43" s="780">
        <f>VLOOKUP(C3,C39:H42,6,0)</f>
        <v>450</v>
      </c>
      <c r="I43" s="281"/>
      <c r="S43" s="286"/>
      <c r="T43" s="286"/>
      <c r="AF43" s="2174"/>
      <c r="AG43" s="2174"/>
      <c r="AJ43" s="2208" t="s">
        <v>707</v>
      </c>
      <c r="AK43" s="2214">
        <v>0</v>
      </c>
      <c r="AL43" s="2214">
        <f t="shared" ref="AL43:AL58" si="10">+AK44</f>
        <v>6</v>
      </c>
      <c r="AM43" s="2214">
        <v>160</v>
      </c>
      <c r="AN43" s="2178"/>
      <c r="AO43" s="2179"/>
      <c r="AP43" s="2179"/>
      <c r="AQ43" s="2179"/>
      <c r="AR43" s="2179"/>
      <c r="AS43" s="2179"/>
      <c r="AT43" s="2179"/>
      <c r="AU43" s="2179"/>
      <c r="AV43" s="2179"/>
      <c r="BB43" s="2176"/>
      <c r="BC43" s="2176"/>
      <c r="BF43" s="2208" t="s">
        <v>707</v>
      </c>
      <c r="BG43" s="2214">
        <v>0</v>
      </c>
      <c r="BH43" s="2214">
        <f t="shared" ref="BH43:BH58" si="11">+BG44</f>
        <v>6.5</v>
      </c>
      <c r="BI43" s="2214">
        <v>160</v>
      </c>
      <c r="BJ43" s="2178"/>
      <c r="BK43" s="2179"/>
      <c r="BL43" s="2179"/>
      <c r="BM43" s="2179"/>
      <c r="BN43" s="2179"/>
      <c r="BO43" s="2179"/>
      <c r="BP43" s="2179"/>
      <c r="BQ43" s="2179"/>
      <c r="BR43" s="2179"/>
      <c r="BX43" s="2174"/>
      <c r="CA43" s="2208" t="s">
        <v>707</v>
      </c>
      <c r="CB43" s="2214">
        <v>0</v>
      </c>
      <c r="CC43" s="2214">
        <f t="shared" ref="CC43:CC56" si="12">+CB44</f>
        <v>4.5599999999999996</v>
      </c>
      <c r="CD43" s="2214">
        <v>140</v>
      </c>
      <c r="CE43" s="2207"/>
      <c r="CR43" s="2176"/>
      <c r="CS43" s="2176"/>
      <c r="CV43" s="2208" t="s">
        <v>707</v>
      </c>
      <c r="CW43" s="2214">
        <v>0</v>
      </c>
      <c r="CX43" s="2214">
        <f t="shared" ref="CX43:CX56" si="13">+CW44</f>
        <v>5.16</v>
      </c>
      <c r="CY43" s="2214">
        <v>140</v>
      </c>
      <c r="CZ43" s="2207"/>
      <c r="DS43" s="277"/>
      <c r="DW43" s="1"/>
      <c r="DX43" s="11">
        <f>1-EA5/DY43</f>
        <v>7.2970491803278525E-2</v>
      </c>
      <c r="DY43" s="780">
        <f>HB373</f>
        <v>48.8</v>
      </c>
      <c r="DZ43" s="780">
        <f>VLOOKUP(DY3,DY39:ED42,2,0)</f>
        <v>9.08</v>
      </c>
      <c r="EA43" s="780" t="str">
        <f>VLOOKUP(DY3,DY39:ED42,3,0)</f>
        <v>3AH475</v>
      </c>
      <c r="EB43" s="780">
        <f>VLOOKUP(DY3,DY39:ED42,4,0)</f>
        <v>70660</v>
      </c>
      <c r="EC43" s="780"/>
      <c r="ED43" s="780">
        <f>VLOOKUP(DY3,DY39:ED42,6,0)</f>
        <v>450</v>
      </c>
      <c r="EE43" s="281"/>
      <c r="EO43" s="286"/>
      <c r="EP43" s="286"/>
      <c r="FB43" s="2174"/>
      <c r="FC43" s="2174"/>
      <c r="FF43" s="2208" t="s">
        <v>707</v>
      </c>
      <c r="FG43" s="2214">
        <v>0</v>
      </c>
      <c r="FH43" s="2214">
        <f t="shared" ref="FH43:FH58" si="14">+FG44</f>
        <v>11</v>
      </c>
      <c r="FI43" s="2214">
        <v>160</v>
      </c>
      <c r="FJ43" s="2178"/>
      <c r="FK43" s="2179"/>
      <c r="FL43" s="2179"/>
      <c r="FM43" s="2179"/>
      <c r="FN43" s="2179"/>
      <c r="FO43" s="2179"/>
      <c r="FP43" s="2179"/>
      <c r="FQ43" s="2179"/>
      <c r="FR43" s="2179"/>
      <c r="FX43" s="2176"/>
      <c r="FY43" s="2176"/>
      <c r="GB43" s="2208" t="s">
        <v>707</v>
      </c>
      <c r="GC43" s="2214">
        <v>0</v>
      </c>
      <c r="GD43" s="2214">
        <f t="shared" ref="GD43:GD58" si="15">+GC44</f>
        <v>12</v>
      </c>
      <c r="GE43" s="2214">
        <v>160</v>
      </c>
      <c r="GF43" s="2178"/>
      <c r="GG43" s="2179"/>
      <c r="GH43" s="2179"/>
      <c r="GI43" s="2179"/>
      <c r="GJ43" s="2179"/>
      <c r="GK43" s="2179"/>
      <c r="GL43" s="2179"/>
      <c r="GM43" s="2179"/>
      <c r="GN43" s="2179"/>
      <c r="GT43" s="2174"/>
      <c r="GW43" s="2208" t="s">
        <v>707</v>
      </c>
      <c r="GX43" s="2214">
        <v>0</v>
      </c>
      <c r="GY43" s="2214">
        <f t="shared" ref="GY43:GY56" si="16">+GX44</f>
        <v>8.35</v>
      </c>
      <c r="GZ43" s="2214">
        <v>140</v>
      </c>
      <c r="HA43" s="2207"/>
      <c r="HN43" s="2176"/>
      <c r="HO43" s="2176"/>
      <c r="HR43" s="2208" t="s">
        <v>707</v>
      </c>
      <c r="HS43" s="2214">
        <v>0</v>
      </c>
      <c r="HT43" s="2214">
        <f t="shared" ref="HT43:HT56" si="17">+HS44</f>
        <v>8.89</v>
      </c>
      <c r="HU43" s="2214">
        <v>140</v>
      </c>
      <c r="HV43" s="2207"/>
      <c r="IN43" s="277"/>
      <c r="IO43" s="277"/>
    </row>
    <row r="44" spans="2:249" ht="21.95" customHeight="1">
      <c r="S44" s="286"/>
      <c r="T44" s="286"/>
      <c r="AF44" s="2174"/>
      <c r="AG44" s="2174"/>
      <c r="AJ44" s="2208">
        <v>160</v>
      </c>
      <c r="AK44" s="2214">
        <f>VLOOKUP(AK40,AJ5:AY38,2,0)</f>
        <v>6</v>
      </c>
      <c r="AL44" s="2214">
        <f t="shared" si="10"/>
        <v>9</v>
      </c>
      <c r="AM44" s="2214">
        <v>180</v>
      </c>
      <c r="AN44" s="2178"/>
      <c r="AO44" s="2179"/>
      <c r="AP44" s="2179"/>
      <c r="AQ44" s="2179"/>
      <c r="AR44" s="2216" t="s">
        <v>507</v>
      </c>
      <c r="AS44" s="2210"/>
      <c r="BB44" s="2176"/>
      <c r="BC44" s="2176"/>
      <c r="BF44" s="2208">
        <v>160</v>
      </c>
      <c r="BG44" s="2214">
        <f>VLOOKUP(BG40,BF5:BU38,2,0)</f>
        <v>6.5</v>
      </c>
      <c r="BH44" s="2214">
        <f t="shared" si="11"/>
        <v>10</v>
      </c>
      <c r="BI44" s="2214">
        <v>180</v>
      </c>
      <c r="BJ44" s="2178"/>
      <c r="BK44" s="2179"/>
      <c r="BL44" s="2179"/>
      <c r="BM44" s="2216" t="s">
        <v>512</v>
      </c>
      <c r="BN44" s="2179"/>
      <c r="BO44" s="2179"/>
      <c r="BP44" s="2179"/>
      <c r="BQ44" s="2179"/>
      <c r="BR44" s="2179"/>
      <c r="BX44" s="2174"/>
      <c r="CA44" s="2208">
        <v>140</v>
      </c>
      <c r="CB44" s="2214">
        <f>VLOOKUP(CB40,CA5:CP38,2,0)</f>
        <v>4.5599999999999996</v>
      </c>
      <c r="CC44" s="2214">
        <f t="shared" si="12"/>
        <v>7.17</v>
      </c>
      <c r="CD44" s="2214">
        <v>160</v>
      </c>
      <c r="CE44" s="2207"/>
      <c r="CI44" s="2216" t="s">
        <v>507</v>
      </c>
      <c r="CR44" s="2176"/>
      <c r="CS44" s="2176"/>
      <c r="CV44" s="2208">
        <v>140</v>
      </c>
      <c r="CW44" s="2214">
        <f>VLOOKUP(CW40,CV5:DK38,2,0)</f>
        <v>5.16</v>
      </c>
      <c r="CX44" s="2214">
        <f t="shared" si="13"/>
        <v>8.2100000000000009</v>
      </c>
      <c r="CY44" s="2214">
        <v>160</v>
      </c>
      <c r="CZ44" s="2207"/>
      <c r="DD44" s="2216" t="s">
        <v>512</v>
      </c>
      <c r="DS44" s="277"/>
      <c r="DW44" s="1"/>
      <c r="EO44" s="286"/>
      <c r="EP44" s="286"/>
      <c r="FB44" s="2174"/>
      <c r="FC44" s="2174"/>
      <c r="FF44" s="2208">
        <v>160</v>
      </c>
      <c r="FG44" s="2214">
        <f>VLOOKUP(FG40,FF5:FU38,2,0)</f>
        <v>11</v>
      </c>
      <c r="FH44" s="2214">
        <f t="shared" si="14"/>
        <v>15</v>
      </c>
      <c r="FI44" s="2214">
        <v>180</v>
      </c>
      <c r="FJ44" s="2178"/>
      <c r="FK44" s="2179"/>
      <c r="FL44" s="2179"/>
      <c r="FM44" s="2179"/>
      <c r="FN44" s="2216" t="s">
        <v>507</v>
      </c>
      <c r="FO44" s="2210"/>
      <c r="FX44" s="2176"/>
      <c r="FY44" s="2176"/>
      <c r="GB44" s="2208">
        <v>160</v>
      </c>
      <c r="GC44" s="2214">
        <f>VLOOKUP(GC40,GB5:GQ38,2,0)</f>
        <v>12</v>
      </c>
      <c r="GD44" s="2214">
        <f t="shared" si="15"/>
        <v>17</v>
      </c>
      <c r="GE44" s="2214">
        <v>180</v>
      </c>
      <c r="GF44" s="2178"/>
      <c r="GG44" s="2179"/>
      <c r="GH44" s="2179"/>
      <c r="GI44" s="2216" t="s">
        <v>512</v>
      </c>
      <c r="GJ44" s="2179"/>
      <c r="GK44" s="2179"/>
      <c r="GL44" s="2179"/>
      <c r="GM44" s="2179"/>
      <c r="GN44" s="2179"/>
      <c r="GT44" s="2174"/>
      <c r="GW44" s="2208">
        <v>140</v>
      </c>
      <c r="GX44" s="2214">
        <f>VLOOKUP(GX40,GW5:HL38,2,0)</f>
        <v>8.35</v>
      </c>
      <c r="GY44" s="2214">
        <f t="shared" si="16"/>
        <v>13.3</v>
      </c>
      <c r="GZ44" s="2214">
        <v>160</v>
      </c>
      <c r="HA44" s="2207"/>
      <c r="HE44" s="2216" t="s">
        <v>507</v>
      </c>
      <c r="HN44" s="2176"/>
      <c r="HO44" s="2176"/>
      <c r="HR44" s="2208">
        <v>140</v>
      </c>
      <c r="HS44" s="2214">
        <f>VLOOKUP(HS40,HR5:IG38,2,0)</f>
        <v>8.89</v>
      </c>
      <c r="HT44" s="2214">
        <f t="shared" si="17"/>
        <v>13.3</v>
      </c>
      <c r="HU44" s="2214">
        <v>160</v>
      </c>
      <c r="HV44" s="2207"/>
      <c r="HZ44" s="2216" t="s">
        <v>512</v>
      </c>
      <c r="IN44" s="277"/>
      <c r="IO44" s="277"/>
    </row>
    <row r="45" spans="2:249" ht="21.95" customHeight="1" thickBot="1">
      <c r="S45" s="286"/>
      <c r="T45" s="286"/>
      <c r="AF45" s="2174"/>
      <c r="AG45" s="2174"/>
      <c r="AJ45" s="2208">
        <v>180</v>
      </c>
      <c r="AK45" s="2214">
        <f>VLOOKUP(AK40,AJ5:AY38,3,0)</f>
        <v>9</v>
      </c>
      <c r="AL45" s="2214">
        <f t="shared" si="10"/>
        <v>13</v>
      </c>
      <c r="AM45" s="2214">
        <v>200</v>
      </c>
      <c r="AN45" s="2178"/>
      <c r="AO45" s="2179"/>
      <c r="AP45" s="2179"/>
      <c r="AQ45" s="2179"/>
      <c r="AR45" s="2179"/>
      <c r="BB45" s="2176"/>
      <c r="BC45" s="2176"/>
      <c r="BF45" s="2208">
        <v>180</v>
      </c>
      <c r="BG45" s="2214">
        <f>VLOOKUP(BG40,BF5:BU38,3,0)</f>
        <v>10</v>
      </c>
      <c r="BH45" s="2214">
        <f t="shared" si="11"/>
        <v>14</v>
      </c>
      <c r="BI45" s="2214">
        <v>200</v>
      </c>
      <c r="BJ45" s="2178"/>
      <c r="BK45" s="2179"/>
      <c r="BL45" s="2179"/>
      <c r="BM45" s="2179"/>
      <c r="BN45" s="2179"/>
      <c r="BO45" s="2179"/>
      <c r="BP45" s="2179"/>
      <c r="BQ45" s="2179"/>
      <c r="BR45" s="2179"/>
      <c r="BX45" s="2174"/>
      <c r="CA45" s="2208">
        <v>160</v>
      </c>
      <c r="CB45" s="2214">
        <f>VLOOKUP(CB40,CA5:CP38,3,0)</f>
        <v>7.17</v>
      </c>
      <c r="CC45" s="2214">
        <f t="shared" si="12"/>
        <v>10.9</v>
      </c>
      <c r="CD45" s="2214">
        <v>180</v>
      </c>
      <c r="CE45" s="2207"/>
      <c r="CR45" s="2176"/>
      <c r="CS45" s="2176"/>
      <c r="CV45" s="2208">
        <v>160</v>
      </c>
      <c r="CW45" s="2214">
        <f>VLOOKUP(CW40,CV5:DK38,3,0)</f>
        <v>8.2100000000000009</v>
      </c>
      <c r="CX45" s="2214">
        <f t="shared" si="13"/>
        <v>11.6</v>
      </c>
      <c r="CY45" s="2214">
        <v>180</v>
      </c>
      <c r="CZ45" s="2207"/>
      <c r="DS45" s="277"/>
      <c r="DW45" s="1"/>
      <c r="EO45" s="286"/>
      <c r="EP45" s="286"/>
      <c r="FB45" s="2174"/>
      <c r="FC45" s="2174"/>
      <c r="FF45" s="2208">
        <v>180</v>
      </c>
      <c r="FG45" s="2214">
        <f>VLOOKUP(FG40,FF5:FU38,3,0)</f>
        <v>15</v>
      </c>
      <c r="FH45" s="2214">
        <f t="shared" si="14"/>
        <v>22</v>
      </c>
      <c r="FI45" s="2214">
        <v>200</v>
      </c>
      <c r="FJ45" s="2178"/>
      <c r="FK45" s="2179"/>
      <c r="FL45" s="2179"/>
      <c r="FM45" s="2179"/>
      <c r="FN45" s="2179"/>
      <c r="FX45" s="2176"/>
      <c r="FY45" s="2176"/>
      <c r="GB45" s="2208">
        <v>180</v>
      </c>
      <c r="GC45" s="2214">
        <f>VLOOKUP(GC40,GB5:GQ38,3,0)</f>
        <v>17</v>
      </c>
      <c r="GD45" s="2214">
        <f t="shared" si="15"/>
        <v>25</v>
      </c>
      <c r="GE45" s="2214">
        <v>200</v>
      </c>
      <c r="GF45" s="2178"/>
      <c r="GG45" s="2179"/>
      <c r="GH45" s="2179"/>
      <c r="GI45" s="2179"/>
      <c r="GJ45" s="2179"/>
      <c r="GK45" s="2179"/>
      <c r="GL45" s="2179"/>
      <c r="GM45" s="2179"/>
      <c r="GN45" s="2179"/>
      <c r="GT45" s="2174"/>
      <c r="GW45" s="2208">
        <v>160</v>
      </c>
      <c r="GX45" s="2214">
        <f>VLOOKUP(GX40,GW5:HL38,3,0)</f>
        <v>13.3</v>
      </c>
      <c r="GY45" s="2214">
        <f t="shared" si="16"/>
        <v>20.6</v>
      </c>
      <c r="GZ45" s="2214">
        <v>180</v>
      </c>
      <c r="HA45" s="2207"/>
      <c r="HN45" s="2176"/>
      <c r="HO45" s="2176"/>
      <c r="HR45" s="2208">
        <v>160</v>
      </c>
      <c r="HS45" s="2214">
        <f>VLOOKUP(HS40,HR5:IG38,3,0)</f>
        <v>13.3</v>
      </c>
      <c r="HT45" s="2214">
        <f t="shared" si="17"/>
        <v>20.6</v>
      </c>
      <c r="HU45" s="2214">
        <v>180</v>
      </c>
      <c r="HV45" s="2207"/>
      <c r="IN45" s="277"/>
      <c r="IO45" s="277"/>
    </row>
    <row r="46" spans="2:249" ht="21.95" customHeight="1" thickBot="1">
      <c r="S46" s="286"/>
      <c r="T46" s="286"/>
      <c r="AF46" s="2174"/>
      <c r="AG46" s="2174"/>
      <c r="AJ46" s="2208">
        <v>200</v>
      </c>
      <c r="AK46" s="2214">
        <f>VLOOKUP(AK40,AJ5:AY38,4,0)</f>
        <v>13</v>
      </c>
      <c r="AL46" s="2214">
        <f t="shared" si="10"/>
        <v>19</v>
      </c>
      <c r="AM46" s="2214">
        <v>225</v>
      </c>
      <c r="AN46" s="2178"/>
      <c r="AO46" s="2179"/>
      <c r="AP46" s="2179"/>
      <c r="AQ46" s="2179"/>
      <c r="AR46" s="2179"/>
      <c r="AT46" s="2217" t="str">
        <f>IF(AQ50="Right",IF(AQ49="Right","Right","Wrong"),"Wrong")</f>
        <v>Right</v>
      </c>
      <c r="BB46" s="2176"/>
      <c r="BC46" s="2176"/>
      <c r="BF46" s="2208">
        <v>200</v>
      </c>
      <c r="BG46" s="2214">
        <f>VLOOKUP(BG40,BF5:BU38,4,0)</f>
        <v>14</v>
      </c>
      <c r="BH46" s="2214">
        <f t="shared" si="11"/>
        <v>22</v>
      </c>
      <c r="BI46" s="2214">
        <v>225</v>
      </c>
      <c r="BJ46" s="2178"/>
      <c r="BK46" s="2179"/>
      <c r="BL46" s="2179"/>
      <c r="BM46" s="2179"/>
      <c r="BN46" s="2179"/>
      <c r="BO46" s="2179"/>
      <c r="BP46" s="2179"/>
      <c r="BQ46" s="2179"/>
      <c r="BR46" s="2179"/>
      <c r="BX46" s="2174"/>
      <c r="CA46" s="2208">
        <v>180</v>
      </c>
      <c r="CB46" s="2214">
        <f>VLOOKUP(CB40,CA5:CP38,4,0)</f>
        <v>10.9</v>
      </c>
      <c r="CC46" s="2214">
        <f t="shared" si="12"/>
        <v>15.1</v>
      </c>
      <c r="CD46" s="2214">
        <v>200</v>
      </c>
      <c r="CE46" s="2207"/>
      <c r="CK46" s="2217" t="str">
        <f>IF(CH49="Right",IF(CH50="Right","Right","Wrong"),"Wrong")</f>
        <v>Right</v>
      </c>
      <c r="CR46" s="2176"/>
      <c r="CS46" s="2176"/>
      <c r="CV46" s="2208">
        <v>180</v>
      </c>
      <c r="CW46" s="2214">
        <f>VLOOKUP(CW40,CV5:DK38,4,0)</f>
        <v>11.6</v>
      </c>
      <c r="CX46" s="2214">
        <f t="shared" si="13"/>
        <v>14.7</v>
      </c>
      <c r="CY46" s="2214">
        <v>200</v>
      </c>
      <c r="CZ46" s="2207"/>
      <c r="DS46" s="277"/>
      <c r="DW46" s="1"/>
      <c r="EO46" s="286"/>
      <c r="EP46" s="286"/>
      <c r="FB46" s="2174"/>
      <c r="FC46" s="2174"/>
      <c r="FF46" s="2208">
        <v>200</v>
      </c>
      <c r="FG46" s="2214">
        <f>VLOOKUP(FG40,FF5:FU38,4,0)</f>
        <v>22</v>
      </c>
      <c r="FH46" s="2214">
        <f t="shared" si="14"/>
        <v>31</v>
      </c>
      <c r="FI46" s="2214">
        <v>225</v>
      </c>
      <c r="FJ46" s="2178"/>
      <c r="FK46" s="2179"/>
      <c r="FL46" s="2179"/>
      <c r="FM46" s="2179"/>
      <c r="FN46" s="2179"/>
      <c r="FP46" s="2217" t="str">
        <f>IF(FM50="Right",IF(FM49="Right","Right","Wrong"),"Wrong")</f>
        <v>Right</v>
      </c>
      <c r="FX46" s="2176"/>
      <c r="FY46" s="2176"/>
      <c r="GB46" s="2208">
        <v>200</v>
      </c>
      <c r="GC46" s="2214">
        <f>VLOOKUP(GC40,GB5:GQ38,4,0)</f>
        <v>25</v>
      </c>
      <c r="GD46" s="2214">
        <f t="shared" si="15"/>
        <v>33</v>
      </c>
      <c r="GE46" s="2214">
        <v>225</v>
      </c>
      <c r="GF46" s="2178"/>
      <c r="GG46" s="2179"/>
      <c r="GH46" s="2179"/>
      <c r="GI46" s="2179"/>
      <c r="GJ46" s="2179"/>
      <c r="GK46" s="2179"/>
      <c r="GL46" s="2179"/>
      <c r="GM46" s="2179"/>
      <c r="GN46" s="2179"/>
      <c r="GT46" s="2174"/>
      <c r="GW46" s="2208">
        <v>180</v>
      </c>
      <c r="GX46" s="2214">
        <f>VLOOKUP(GX40,GW5:HL38,4,0)</f>
        <v>20.6</v>
      </c>
      <c r="GY46" s="2214">
        <f t="shared" si="16"/>
        <v>24.6</v>
      </c>
      <c r="GZ46" s="2214">
        <v>200</v>
      </c>
      <c r="HA46" s="2207"/>
      <c r="HG46" s="2217" t="str">
        <f>IF(HD49="Right",IF(HD50="Right","Right","Wrong"),"Wrong")</f>
        <v>Right</v>
      </c>
      <c r="HN46" s="2176"/>
      <c r="HO46" s="2176"/>
      <c r="HR46" s="2208">
        <v>180</v>
      </c>
      <c r="HS46" s="2214">
        <f>VLOOKUP(HS40,HR5:IG38,4,0)</f>
        <v>20.6</v>
      </c>
      <c r="HT46" s="2214">
        <f t="shared" si="17"/>
        <v>29.4</v>
      </c>
      <c r="HU46" s="2214">
        <v>200</v>
      </c>
      <c r="HV46" s="2207"/>
      <c r="IN46" s="277"/>
      <c r="IO46" s="277"/>
    </row>
    <row r="47" spans="2:249" ht="21.95" customHeight="1">
      <c r="S47" s="286"/>
      <c r="T47" s="286"/>
      <c r="AF47" s="2174"/>
      <c r="AG47" s="2174"/>
      <c r="AJ47" s="2208">
        <v>225</v>
      </c>
      <c r="AK47" s="2214">
        <f>VLOOKUP(AK40,AJ5:AY38,5,0)</f>
        <v>19</v>
      </c>
      <c r="AL47" s="2214">
        <f t="shared" si="10"/>
        <v>24</v>
      </c>
      <c r="AM47" s="2214">
        <v>250</v>
      </c>
      <c r="AN47" s="2178"/>
      <c r="AO47" s="2179"/>
      <c r="AP47" s="2179"/>
      <c r="AQ47" s="2179"/>
      <c r="AR47" s="2179"/>
      <c r="BB47" s="2176"/>
      <c r="BC47" s="2176"/>
      <c r="BF47" s="2208">
        <v>225</v>
      </c>
      <c r="BG47" s="2214">
        <f>VLOOKUP(BG40,BF5:BU38,5,0)</f>
        <v>22</v>
      </c>
      <c r="BH47" s="2214">
        <f t="shared" si="11"/>
        <v>27</v>
      </c>
      <c r="BI47" s="2214">
        <v>250</v>
      </c>
      <c r="BJ47" s="2178"/>
      <c r="BK47" s="2179"/>
      <c r="BL47" s="2179"/>
      <c r="BM47" s="2179"/>
      <c r="BN47" s="2179"/>
      <c r="BO47" s="2179"/>
      <c r="BP47" s="2179"/>
      <c r="BQ47" s="2179"/>
      <c r="BR47" s="2179"/>
      <c r="BX47" s="2174"/>
      <c r="CA47" s="2208">
        <v>200</v>
      </c>
      <c r="CB47" s="2214">
        <f>VLOOKUP(CB40,CA5:CP38,5,0)</f>
        <v>15.1</v>
      </c>
      <c r="CC47" s="2214">
        <f t="shared" si="12"/>
        <v>22.7</v>
      </c>
      <c r="CD47" s="2214">
        <v>225</v>
      </c>
      <c r="CE47" s="2207"/>
      <c r="CR47" s="2176"/>
      <c r="CS47" s="2176"/>
      <c r="CV47" s="2208">
        <v>200</v>
      </c>
      <c r="CW47" s="2214">
        <f>VLOOKUP(CW40,CV5:DK38,5,0)</f>
        <v>14.7</v>
      </c>
      <c r="CX47" s="2214">
        <f t="shared" si="13"/>
        <v>23.3</v>
      </c>
      <c r="CY47" s="2214">
        <v>225</v>
      </c>
      <c r="CZ47" s="2207"/>
      <c r="DS47" s="277"/>
      <c r="DW47" s="1"/>
      <c r="EO47" s="286"/>
      <c r="EP47" s="286"/>
      <c r="FB47" s="2174"/>
      <c r="FC47" s="2174"/>
      <c r="FF47" s="2208">
        <v>225</v>
      </c>
      <c r="FG47" s="2214">
        <f>VLOOKUP(FG40,FF5:FU38,5,0)</f>
        <v>31</v>
      </c>
      <c r="FH47" s="2214">
        <f t="shared" si="14"/>
        <v>43</v>
      </c>
      <c r="FI47" s="2214">
        <v>250</v>
      </c>
      <c r="FJ47" s="2178"/>
      <c r="FK47" s="2179"/>
      <c r="FL47" s="2179"/>
      <c r="FM47" s="2179"/>
      <c r="FN47" s="2179"/>
      <c r="FX47" s="2176"/>
      <c r="FY47" s="2176"/>
      <c r="GB47" s="2208">
        <v>225</v>
      </c>
      <c r="GC47" s="2214">
        <f>VLOOKUP(GC40,GB5:GQ38,5,0)</f>
        <v>33</v>
      </c>
      <c r="GD47" s="2214">
        <f t="shared" si="15"/>
        <v>46</v>
      </c>
      <c r="GE47" s="2214">
        <v>250</v>
      </c>
      <c r="GF47" s="2178"/>
      <c r="GG47" s="2179"/>
      <c r="GH47" s="2179"/>
      <c r="GI47" s="2179"/>
      <c r="GJ47" s="2179"/>
      <c r="GK47" s="2179"/>
      <c r="GL47" s="2179"/>
      <c r="GM47" s="2179"/>
      <c r="GN47" s="2179"/>
      <c r="GT47" s="2174"/>
      <c r="GW47" s="2208">
        <v>200</v>
      </c>
      <c r="GX47" s="2214">
        <f>VLOOKUP(GX40,GW5:HL38,5,0)</f>
        <v>24.6</v>
      </c>
      <c r="GY47" s="2214">
        <f t="shared" si="16"/>
        <v>39</v>
      </c>
      <c r="GZ47" s="2214">
        <v>225</v>
      </c>
      <c r="HA47" s="2207"/>
      <c r="HN47" s="2176"/>
      <c r="HO47" s="2176"/>
      <c r="HR47" s="2208">
        <v>200</v>
      </c>
      <c r="HS47" s="2214">
        <f>VLOOKUP(HS40,HR5:IG38,5,0)</f>
        <v>29.4</v>
      </c>
      <c r="HT47" s="2214">
        <f t="shared" si="17"/>
        <v>38</v>
      </c>
      <c r="HU47" s="2214">
        <v>225</v>
      </c>
      <c r="HV47" s="2207"/>
      <c r="IN47" s="277"/>
      <c r="IO47" s="277"/>
    </row>
    <row r="48" spans="2:249" ht="21.95" customHeight="1">
      <c r="C48" s="729" t="s">
        <v>2784</v>
      </c>
      <c r="D48" s="729" t="s">
        <v>674</v>
      </c>
      <c r="E48" s="729" t="s">
        <v>675</v>
      </c>
      <c r="F48" s="730" t="s">
        <v>676</v>
      </c>
      <c r="G48" s="729" t="s">
        <v>670</v>
      </c>
      <c r="S48" s="286"/>
      <c r="T48" s="286"/>
      <c r="AF48" s="2174"/>
      <c r="AG48" s="2174"/>
      <c r="AJ48" s="2208">
        <v>250</v>
      </c>
      <c r="AK48" s="2214">
        <f>VLOOKUP(AK40,AJ5:AY38,6,0)</f>
        <v>24</v>
      </c>
      <c r="AL48" s="2214">
        <f t="shared" si="10"/>
        <v>34</v>
      </c>
      <c r="AM48" s="2214">
        <v>280</v>
      </c>
      <c r="AN48" s="2178"/>
      <c r="AO48" s="2179"/>
      <c r="AP48" s="2179"/>
      <c r="AQ48" s="2179"/>
      <c r="AR48" s="280" t="s">
        <v>714</v>
      </c>
      <c r="AS48" s="280" t="s">
        <v>682</v>
      </c>
      <c r="AT48" s="280" t="s">
        <v>737</v>
      </c>
      <c r="AU48" s="280" t="s">
        <v>2185</v>
      </c>
      <c r="AW48" s="277" t="s">
        <v>274</v>
      </c>
      <c r="AX48" s="277" t="s">
        <v>675</v>
      </c>
      <c r="AY48" s="277" t="s">
        <v>2186</v>
      </c>
      <c r="BB48" s="2176"/>
      <c r="BC48" s="2176"/>
      <c r="BF48" s="2208">
        <v>250</v>
      </c>
      <c r="BG48" s="2214">
        <f>VLOOKUP(BG40,BF5:BU38,6,0)</f>
        <v>27</v>
      </c>
      <c r="BH48" s="2214">
        <f t="shared" si="11"/>
        <v>39</v>
      </c>
      <c r="BI48" s="2214">
        <v>280</v>
      </c>
      <c r="BJ48" s="2178"/>
      <c r="BK48" s="2179"/>
      <c r="BL48" s="2179"/>
      <c r="BM48" s="2179"/>
      <c r="BN48" s="2179"/>
      <c r="BO48" s="2179"/>
      <c r="BP48" s="2179"/>
      <c r="BQ48" s="2179"/>
      <c r="BR48" s="2179"/>
      <c r="BX48" s="2174"/>
      <c r="CA48" s="2208">
        <v>225</v>
      </c>
      <c r="CB48" s="2214">
        <f>VLOOKUP(CB40,CA5:CP38,6,0)</f>
        <v>22.7</v>
      </c>
      <c r="CC48" s="2214">
        <f t="shared" si="12"/>
        <v>33.5</v>
      </c>
      <c r="CD48" s="2214">
        <v>250</v>
      </c>
      <c r="CE48" s="2207"/>
      <c r="CI48" s="280" t="s">
        <v>714</v>
      </c>
      <c r="CJ48" s="280" t="s">
        <v>682</v>
      </c>
      <c r="CK48" s="280" t="s">
        <v>737</v>
      </c>
      <c r="CL48" s="280" t="s">
        <v>2185</v>
      </c>
      <c r="CN48" s="277" t="s">
        <v>274</v>
      </c>
      <c r="CO48" s="277" t="s">
        <v>675</v>
      </c>
      <c r="CP48" s="277" t="s">
        <v>2186</v>
      </c>
      <c r="CR48" s="2176"/>
      <c r="CS48" s="2176"/>
      <c r="CV48" s="2208">
        <v>225</v>
      </c>
      <c r="CW48" s="2214">
        <f>VLOOKUP(CW40,CV5:DK38,6,0)</f>
        <v>23.3</v>
      </c>
      <c r="CX48" s="2214">
        <f t="shared" si="13"/>
        <v>31.4</v>
      </c>
      <c r="CY48" s="2214">
        <v>250</v>
      </c>
      <c r="CZ48" s="2207"/>
      <c r="DS48" s="277"/>
      <c r="DW48" s="1"/>
      <c r="DY48" s="729" t="s">
        <v>2784</v>
      </c>
      <c r="DZ48" s="729" t="s">
        <v>674</v>
      </c>
      <c r="EA48" s="729" t="s">
        <v>675</v>
      </c>
      <c r="EB48" s="730" t="s">
        <v>676</v>
      </c>
      <c r="EC48" s="729" t="s">
        <v>670</v>
      </c>
      <c r="EO48" s="286"/>
      <c r="EP48" s="286"/>
      <c r="FB48" s="2174"/>
      <c r="FC48" s="2174"/>
      <c r="FF48" s="2208">
        <v>250</v>
      </c>
      <c r="FG48" s="2214">
        <f>VLOOKUP(FG40,FF5:FU38,6,0)</f>
        <v>43</v>
      </c>
      <c r="FH48" s="2214">
        <f t="shared" si="14"/>
        <v>60</v>
      </c>
      <c r="FI48" s="2214">
        <v>280</v>
      </c>
      <c r="FJ48" s="2178"/>
      <c r="FK48" s="2179"/>
      <c r="FL48" s="2179"/>
      <c r="FM48" s="2179"/>
      <c r="FN48" s="280" t="s">
        <v>714</v>
      </c>
      <c r="FO48" s="280" t="s">
        <v>682</v>
      </c>
      <c r="FP48" s="280" t="s">
        <v>737</v>
      </c>
      <c r="FQ48" s="280" t="s">
        <v>2185</v>
      </c>
      <c r="FS48" s="277" t="s">
        <v>274</v>
      </c>
      <c r="FT48" s="277" t="s">
        <v>675</v>
      </c>
      <c r="FU48" s="277" t="s">
        <v>2186</v>
      </c>
      <c r="FX48" s="2176"/>
      <c r="FY48" s="2176"/>
      <c r="GB48" s="2208">
        <v>250</v>
      </c>
      <c r="GC48" s="2214">
        <f>VLOOKUP(GC40,GB5:GQ38,6,0)</f>
        <v>46</v>
      </c>
      <c r="GD48" s="2214">
        <f t="shared" si="15"/>
        <v>64</v>
      </c>
      <c r="GE48" s="2214">
        <v>280</v>
      </c>
      <c r="GF48" s="2178"/>
      <c r="GG48" s="2179"/>
      <c r="GH48" s="2179"/>
      <c r="GI48" s="2179"/>
      <c r="GJ48" s="2179"/>
      <c r="GK48" s="2179"/>
      <c r="GL48" s="2179"/>
      <c r="GM48" s="2179"/>
      <c r="GN48" s="2179"/>
      <c r="GT48" s="2174"/>
      <c r="GW48" s="2208">
        <v>225</v>
      </c>
      <c r="GX48" s="2214">
        <f>VLOOKUP(GX40,GW5:HL38,6,0)</f>
        <v>39</v>
      </c>
      <c r="GY48" s="2214">
        <f t="shared" si="16"/>
        <v>58</v>
      </c>
      <c r="GZ48" s="2214">
        <v>250</v>
      </c>
      <c r="HA48" s="2207"/>
      <c r="HE48" s="280" t="s">
        <v>714</v>
      </c>
      <c r="HF48" s="280" t="s">
        <v>682</v>
      </c>
      <c r="HG48" s="280" t="s">
        <v>737</v>
      </c>
      <c r="HH48" s="280" t="s">
        <v>2185</v>
      </c>
      <c r="HJ48" s="277" t="s">
        <v>274</v>
      </c>
      <c r="HK48" s="277" t="s">
        <v>675</v>
      </c>
      <c r="HL48" s="277" t="s">
        <v>2186</v>
      </c>
      <c r="HN48" s="2176"/>
      <c r="HO48" s="2176"/>
      <c r="HR48" s="2208">
        <v>225</v>
      </c>
      <c r="HS48" s="2214">
        <f>VLOOKUP(HS40,HR5:IG38,6,0)</f>
        <v>38</v>
      </c>
      <c r="HT48" s="2214">
        <f t="shared" si="17"/>
        <v>60.9</v>
      </c>
      <c r="HU48" s="2214">
        <v>250</v>
      </c>
      <c r="HV48" s="2207"/>
      <c r="IN48" s="277"/>
      <c r="IO48" s="277"/>
    </row>
    <row r="49" spans="3:249" ht="21.95" customHeight="1">
      <c r="C49" s="735" t="s">
        <v>2270</v>
      </c>
      <c r="D49" s="2360">
        <v>24258</v>
      </c>
      <c r="E49" s="2360">
        <v>15750</v>
      </c>
      <c r="F49" s="1095">
        <v>130</v>
      </c>
      <c r="G49" s="2361">
        <v>475</v>
      </c>
      <c r="S49" s="286"/>
      <c r="T49" s="286"/>
      <c r="AF49" s="2174"/>
      <c r="AG49" s="2174"/>
      <c r="AJ49" s="2208">
        <v>280</v>
      </c>
      <c r="AK49" s="2214">
        <f>VLOOKUP(AK40,AJ5:AY38,7,0)</f>
        <v>34</v>
      </c>
      <c r="AL49" s="2214">
        <f t="shared" si="10"/>
        <v>54</v>
      </c>
      <c r="AM49" s="2214">
        <v>315</v>
      </c>
      <c r="AN49" s="2178"/>
      <c r="AO49" s="2179"/>
      <c r="AP49" s="2179"/>
      <c r="AQ49" s="277" t="str">
        <f>BN72</f>
        <v>Right</v>
      </c>
      <c r="AR49" s="2218" t="s">
        <v>2187</v>
      </c>
      <c r="AS49" s="280">
        <f>+BB40</f>
        <v>71</v>
      </c>
      <c r="AT49" s="280">
        <f>+BM41</f>
        <v>6.5</v>
      </c>
      <c r="AU49" s="280" t="str">
        <f>AT52&amp;AU52</f>
        <v>SCN 160</v>
      </c>
      <c r="AW49" s="277">
        <f>VLOOKUP(AU49,C101:F128,2,0)</f>
        <v>50400</v>
      </c>
      <c r="AX49" s="277">
        <f>VLOOKUP(AU49,C101:F128,3,0)</f>
        <v>15750</v>
      </c>
      <c r="AY49" s="277">
        <f>VLOOKUP(AU49,C101:F128,4,0)</f>
        <v>168</v>
      </c>
      <c r="BB49" s="2176"/>
      <c r="BC49" s="2176"/>
      <c r="BF49" s="2208">
        <v>280</v>
      </c>
      <c r="BG49" s="2214">
        <f>VLOOKUP(BG40,BF5:BU38,7,0)</f>
        <v>39</v>
      </c>
      <c r="BH49" s="2214">
        <f t="shared" si="11"/>
        <v>61</v>
      </c>
      <c r="BI49" s="2214">
        <v>315</v>
      </c>
      <c r="BJ49" s="2178"/>
      <c r="BK49" s="2179"/>
      <c r="BL49" s="2179"/>
      <c r="BM49" s="2179"/>
      <c r="BN49" s="2179"/>
      <c r="BO49" s="2179"/>
      <c r="BP49" s="2179"/>
      <c r="BQ49" s="2179"/>
      <c r="BR49" s="2179"/>
      <c r="BX49" s="2174"/>
      <c r="CA49" s="2208">
        <v>250</v>
      </c>
      <c r="CB49" s="2214">
        <f>VLOOKUP(CB40,CA5:CP38,7,0)</f>
        <v>33.5</v>
      </c>
      <c r="CC49" s="2214">
        <f t="shared" si="12"/>
        <v>45.7</v>
      </c>
      <c r="CD49" s="2214">
        <v>280</v>
      </c>
      <c r="CE49" s="2207"/>
      <c r="CH49" s="277" t="str">
        <f>DD72</f>
        <v>Right</v>
      </c>
      <c r="CI49" s="2218" t="s">
        <v>2187</v>
      </c>
      <c r="CJ49" s="280">
        <f>+CR39</f>
        <v>70.599999999999994</v>
      </c>
      <c r="CK49" s="280">
        <f>+DD41</f>
        <v>5.16</v>
      </c>
      <c r="CL49" s="280" t="str">
        <f>CK52&amp;CL52</f>
        <v>PCD3 140</v>
      </c>
      <c r="CN49" s="277">
        <f>VLOOKUP(CL49,C69:F98,2,0)</f>
        <v>89700</v>
      </c>
      <c r="CO49" s="277">
        <f>VLOOKUP(CL49,C69:F98,3,0)</f>
        <v>23100</v>
      </c>
      <c r="CP49" s="277">
        <f>VLOOKUP(CL49,C69:F98,4,0)</f>
        <v>299</v>
      </c>
      <c r="CR49" s="2176"/>
      <c r="CS49" s="2176"/>
      <c r="CV49" s="2208">
        <v>250</v>
      </c>
      <c r="CW49" s="2214">
        <f>VLOOKUP(CW40,CV5:DK38,7,0)</f>
        <v>31.4</v>
      </c>
      <c r="CX49" s="2214">
        <f t="shared" si="13"/>
        <v>47.7</v>
      </c>
      <c r="CY49" s="2214">
        <v>280</v>
      </c>
      <c r="CZ49" s="2207"/>
      <c r="DS49" s="277"/>
      <c r="DW49" s="1"/>
      <c r="DY49" s="735" t="s">
        <v>2270</v>
      </c>
      <c r="DZ49" s="2360">
        <v>24258</v>
      </c>
      <c r="EA49" s="2360">
        <v>15750</v>
      </c>
      <c r="EB49" s="1095">
        <v>130</v>
      </c>
      <c r="EC49" s="2361">
        <v>475</v>
      </c>
      <c r="EO49" s="286"/>
      <c r="EP49" s="286"/>
      <c r="FB49" s="2174"/>
      <c r="FC49" s="2174"/>
      <c r="FF49" s="2208">
        <v>280</v>
      </c>
      <c r="FG49" s="2214">
        <f>VLOOKUP(FG40,FF5:FU38,7,0)</f>
        <v>60</v>
      </c>
      <c r="FH49" s="2214">
        <f t="shared" si="14"/>
        <v>87</v>
      </c>
      <c r="FI49" s="2214">
        <v>315</v>
      </c>
      <c r="FJ49" s="2178"/>
      <c r="FK49" s="2179"/>
      <c r="FL49" s="2179"/>
      <c r="FM49" s="277" t="str">
        <f>GJ72</f>
        <v>Right</v>
      </c>
      <c r="FN49" s="2218" t="s">
        <v>2187</v>
      </c>
      <c r="FO49" s="280">
        <f>+FX40</f>
        <v>45</v>
      </c>
      <c r="FP49" s="280">
        <f>+GI41</f>
        <v>12</v>
      </c>
      <c r="FQ49" s="280" t="str">
        <f>FP52&amp;FQ52</f>
        <v>SCN 160</v>
      </c>
      <c r="FS49" s="277">
        <f>VLOOKUP(FQ49,DY101:EB128,2,0)</f>
        <v>50400</v>
      </c>
      <c r="FT49" s="277">
        <f>VLOOKUP(FQ49,DY101:EB128,3,0)</f>
        <v>15750</v>
      </c>
      <c r="FU49" s="277">
        <f>VLOOKUP(FQ49,DY101:EB128,4,0)</f>
        <v>168</v>
      </c>
      <c r="FX49" s="2176"/>
      <c r="FY49" s="2176"/>
      <c r="GB49" s="2208">
        <v>280</v>
      </c>
      <c r="GC49" s="2214">
        <f>VLOOKUP(GC40,GB5:GQ38,7,0)</f>
        <v>64</v>
      </c>
      <c r="GD49" s="2214">
        <f t="shared" si="15"/>
        <v>95</v>
      </c>
      <c r="GE49" s="2214">
        <v>315</v>
      </c>
      <c r="GF49" s="2178"/>
      <c r="GG49" s="2179"/>
      <c r="GH49" s="2179"/>
      <c r="GI49" s="2179"/>
      <c r="GJ49" s="2179"/>
      <c r="GK49" s="2179"/>
      <c r="GL49" s="2179"/>
      <c r="GM49" s="2179"/>
      <c r="GN49" s="2179"/>
      <c r="GT49" s="2174"/>
      <c r="GW49" s="2208">
        <v>250</v>
      </c>
      <c r="GX49" s="2214">
        <f>VLOOKUP(GX40,GW5:HL38,7,0)</f>
        <v>58</v>
      </c>
      <c r="GY49" s="2214">
        <f t="shared" si="16"/>
        <v>73.5</v>
      </c>
      <c r="GZ49" s="2214">
        <v>280</v>
      </c>
      <c r="HA49" s="2207"/>
      <c r="HD49" s="277" t="str">
        <f>HZ72</f>
        <v>Right</v>
      </c>
      <c r="HE49" s="2218" t="s">
        <v>2187</v>
      </c>
      <c r="HF49" s="280">
        <f>+HN39</f>
        <v>42.5</v>
      </c>
      <c r="HG49" s="280">
        <f>+HZ41</f>
        <v>8.89</v>
      </c>
      <c r="HH49" s="280" t="str">
        <f>HG52&amp;HH52</f>
        <v>PCD3 140</v>
      </c>
      <c r="HJ49" s="277">
        <f>VLOOKUP(HH49,DY69:EB98,2,0)</f>
        <v>89700</v>
      </c>
      <c r="HK49" s="277">
        <f>VLOOKUP(HH49,DY69:EB98,3,0)</f>
        <v>23100</v>
      </c>
      <c r="HL49" s="277">
        <f>VLOOKUP(HH49,DY69:EB98,4,0)</f>
        <v>299</v>
      </c>
      <c r="HN49" s="2176"/>
      <c r="HO49" s="2176"/>
      <c r="HR49" s="2208">
        <v>250</v>
      </c>
      <c r="HS49" s="2214">
        <f>VLOOKUP(HS40,HR5:IG38,7,0)</f>
        <v>60.9</v>
      </c>
      <c r="HT49" s="2214">
        <f t="shared" si="17"/>
        <v>76.3</v>
      </c>
      <c r="HU49" s="2214">
        <v>280</v>
      </c>
      <c r="HV49" s="2207"/>
      <c r="IN49" s="277"/>
      <c r="IO49" s="277"/>
    </row>
    <row r="50" spans="3:249" ht="21.95" customHeight="1">
      <c r="C50" s="280" t="s">
        <v>2271</v>
      </c>
      <c r="D50" s="990">
        <v>33331</v>
      </c>
      <c r="E50" s="990">
        <v>15750</v>
      </c>
      <c r="F50" s="990">
        <v>180</v>
      </c>
      <c r="G50" s="990"/>
      <c r="S50" s="286"/>
      <c r="T50" s="286"/>
      <c r="AF50" s="2174"/>
      <c r="AG50" s="2174"/>
      <c r="AJ50" s="2208">
        <v>315</v>
      </c>
      <c r="AK50" s="2214">
        <f>VLOOKUP(AK40,AJ5:AY38,8,0)</f>
        <v>54</v>
      </c>
      <c r="AL50" s="2214">
        <f t="shared" si="10"/>
        <v>82</v>
      </c>
      <c r="AM50" s="2214">
        <v>355</v>
      </c>
      <c r="AN50" s="2178"/>
      <c r="AO50" s="2179"/>
      <c r="AP50" s="2179"/>
      <c r="AQ50" s="277" t="str">
        <f>AR72</f>
        <v>Right</v>
      </c>
      <c r="AR50" s="2218" t="s">
        <v>2188</v>
      </c>
      <c r="AS50" s="280">
        <f>+BC40</f>
        <v>80</v>
      </c>
      <c r="AT50" s="280">
        <f>+AR41</f>
        <v>6</v>
      </c>
      <c r="AU50" s="280" t="str">
        <f>AT53&amp;AU53</f>
        <v>SCN 160</v>
      </c>
      <c r="AW50" s="277">
        <f>VLOOKUP(AU50,C101:F128,2,0)</f>
        <v>50400</v>
      </c>
      <c r="AX50" s="277">
        <f>VLOOKUP(AU50,C101:F128,3,0)</f>
        <v>15750</v>
      </c>
      <c r="AY50" s="277">
        <f>VLOOKUP(AU50,C101:F128,4,0)</f>
        <v>168</v>
      </c>
      <c r="BB50" s="2176"/>
      <c r="BC50" s="2176"/>
      <c r="BF50" s="2208">
        <v>315</v>
      </c>
      <c r="BG50" s="2214">
        <f>VLOOKUP(BG40,BF5:BU38,8,0)</f>
        <v>61</v>
      </c>
      <c r="BH50" s="2214">
        <f t="shared" si="11"/>
        <v>92</v>
      </c>
      <c r="BI50" s="2214">
        <v>355</v>
      </c>
      <c r="BJ50" s="2178"/>
      <c r="BK50" s="2179"/>
      <c r="BL50" s="2179"/>
      <c r="BM50" s="2179"/>
      <c r="BN50" s="2179"/>
      <c r="BO50" s="2179"/>
      <c r="BP50" s="2179"/>
      <c r="BQ50" s="2179"/>
      <c r="BR50" s="2179"/>
      <c r="BX50" s="2174"/>
      <c r="CA50" s="2208">
        <v>280</v>
      </c>
      <c r="CB50" s="2214">
        <f>VLOOKUP(CB40,CA5:CP38,8,0)</f>
        <v>45.7</v>
      </c>
      <c r="CC50" s="2214">
        <f t="shared" si="12"/>
        <v>65.099999999999994</v>
      </c>
      <c r="CD50" s="2214">
        <v>315</v>
      </c>
      <c r="CE50" s="2207"/>
      <c r="CH50" s="277" t="str">
        <f>CI72</f>
        <v>Right</v>
      </c>
      <c r="CI50" s="2218" t="s">
        <v>2188</v>
      </c>
      <c r="CJ50" s="280">
        <f>+CS39</f>
        <v>78.2</v>
      </c>
      <c r="CK50" s="280">
        <f>+CI41</f>
        <v>4.5599999999999996</v>
      </c>
      <c r="CL50" s="280" t="str">
        <f>CK53&amp;CL53</f>
        <v>PCD3 140</v>
      </c>
      <c r="CN50" s="277">
        <f>VLOOKUP(CL50,C69:F98,2,0)</f>
        <v>89700</v>
      </c>
      <c r="CO50" s="277">
        <f>VLOOKUP(CL50,C69:F98,3,0)</f>
        <v>23100</v>
      </c>
      <c r="CP50" s="277">
        <f>VLOOKUP(CL50,C69:F98,4,0)</f>
        <v>299</v>
      </c>
      <c r="CR50" s="2176"/>
      <c r="CS50" s="2176"/>
      <c r="CV50" s="2208">
        <v>280</v>
      </c>
      <c r="CW50" s="2214">
        <f>VLOOKUP(CW40,CV5:DK38,8,0)</f>
        <v>47.7</v>
      </c>
      <c r="CX50" s="2214">
        <f t="shared" si="13"/>
        <v>61.1</v>
      </c>
      <c r="CY50" s="2214">
        <v>315</v>
      </c>
      <c r="CZ50" s="2207"/>
      <c r="DS50" s="277"/>
      <c r="DW50" s="1"/>
      <c r="DY50" s="280" t="s">
        <v>2271</v>
      </c>
      <c r="DZ50" s="990">
        <v>33331</v>
      </c>
      <c r="EA50" s="990">
        <v>15750</v>
      </c>
      <c r="EB50" s="990">
        <v>180</v>
      </c>
      <c r="EC50" s="990"/>
      <c r="EO50" s="286"/>
      <c r="EP50" s="286"/>
      <c r="FB50" s="2174"/>
      <c r="FC50" s="2174"/>
      <c r="FF50" s="2208">
        <v>315</v>
      </c>
      <c r="FG50" s="2214">
        <f>VLOOKUP(FG40,FF5:FU38,8,0)</f>
        <v>87</v>
      </c>
      <c r="FH50" s="2214">
        <f t="shared" si="14"/>
        <v>135</v>
      </c>
      <c r="FI50" s="2214">
        <v>355</v>
      </c>
      <c r="FJ50" s="2178"/>
      <c r="FK50" s="2179"/>
      <c r="FL50" s="2179"/>
      <c r="FM50" s="277" t="str">
        <f>FN72</f>
        <v>Right</v>
      </c>
      <c r="FN50" s="2218" t="s">
        <v>2188</v>
      </c>
      <c r="FO50" s="280">
        <f>+FY40</f>
        <v>50</v>
      </c>
      <c r="FP50" s="280">
        <f>+FN41</f>
        <v>11</v>
      </c>
      <c r="FQ50" s="280" t="str">
        <f>FP53&amp;FQ53</f>
        <v>SCN 160</v>
      </c>
      <c r="FS50" s="277">
        <f>VLOOKUP(FQ50,DY101:EB128,2,0)</f>
        <v>50400</v>
      </c>
      <c r="FT50" s="277">
        <f>VLOOKUP(FQ50,DY101:EB128,3,0)</f>
        <v>15750</v>
      </c>
      <c r="FU50" s="277">
        <f>VLOOKUP(FQ50,DY101:EB128,4,0)</f>
        <v>168</v>
      </c>
      <c r="FX50" s="2176"/>
      <c r="FY50" s="2176"/>
      <c r="GB50" s="2208">
        <v>315</v>
      </c>
      <c r="GC50" s="2214">
        <f>VLOOKUP(GC40,GB5:GQ38,8,0)</f>
        <v>95</v>
      </c>
      <c r="GD50" s="2214">
        <f t="shared" si="15"/>
        <v>150</v>
      </c>
      <c r="GE50" s="2214">
        <v>355</v>
      </c>
      <c r="GF50" s="2178"/>
      <c r="GG50" s="2179"/>
      <c r="GH50" s="2179"/>
      <c r="GI50" s="2179"/>
      <c r="GJ50" s="2179"/>
      <c r="GK50" s="2179"/>
      <c r="GL50" s="2179"/>
      <c r="GM50" s="2179"/>
      <c r="GN50" s="2179"/>
      <c r="GT50" s="2174"/>
      <c r="GW50" s="2208">
        <v>280</v>
      </c>
      <c r="GX50" s="2214">
        <f>VLOOKUP(GX40,GW5:HL38,8,0)</f>
        <v>73.5</v>
      </c>
      <c r="GY50" s="2214">
        <f t="shared" si="16"/>
        <v>102</v>
      </c>
      <c r="GZ50" s="2214">
        <v>315</v>
      </c>
      <c r="HA50" s="2207"/>
      <c r="HD50" s="277" t="str">
        <f>HE72</f>
        <v>Right</v>
      </c>
      <c r="HE50" s="2218" t="s">
        <v>2188</v>
      </c>
      <c r="HF50" s="280">
        <f>+HO39</f>
        <v>47.1</v>
      </c>
      <c r="HG50" s="280">
        <f>+HE41</f>
        <v>8.35</v>
      </c>
      <c r="HH50" s="280" t="str">
        <f>HG53&amp;HH53</f>
        <v>PCD3 140</v>
      </c>
      <c r="HJ50" s="277">
        <f>VLOOKUP(HH50,DY69:EB98,2,0)</f>
        <v>89700</v>
      </c>
      <c r="HK50" s="277">
        <f>VLOOKUP(HH50,DY69:EB98,3,0)</f>
        <v>23100</v>
      </c>
      <c r="HL50" s="277">
        <f>VLOOKUP(HH50,DY69:EB98,4,0)</f>
        <v>299</v>
      </c>
      <c r="HN50" s="2176"/>
      <c r="HO50" s="2176"/>
      <c r="HR50" s="2208">
        <v>280</v>
      </c>
      <c r="HS50" s="2214">
        <f>VLOOKUP(HS40,HR5:IG38,8,0)</f>
        <v>76.3</v>
      </c>
      <c r="HT50" s="2214">
        <f t="shared" si="17"/>
        <v>102</v>
      </c>
      <c r="HU50" s="2214">
        <v>315</v>
      </c>
      <c r="HV50" s="2207"/>
      <c r="IN50" s="277"/>
      <c r="IO50" s="277"/>
    </row>
    <row r="51" spans="3:249" ht="21.95" customHeight="1">
      <c r="C51" s="280" t="s">
        <v>2272</v>
      </c>
      <c r="D51" s="990">
        <v>34650</v>
      </c>
      <c r="E51" s="990">
        <v>23100</v>
      </c>
      <c r="F51" s="990">
        <v>230</v>
      </c>
      <c r="G51" s="990"/>
      <c r="S51" s="286"/>
      <c r="T51" s="286"/>
      <c r="AF51" s="2174"/>
      <c r="AG51" s="2174"/>
      <c r="AJ51" s="2208">
        <v>355</v>
      </c>
      <c r="AK51" s="2214">
        <f>VLOOKUP(AK40,AJ5:AY38,9,0)</f>
        <v>82</v>
      </c>
      <c r="AL51" s="2214">
        <f t="shared" si="10"/>
        <v>100</v>
      </c>
      <c r="AM51" s="2214">
        <v>400</v>
      </c>
      <c r="AN51" s="2178"/>
      <c r="AO51" s="2179"/>
      <c r="AP51" s="2179"/>
      <c r="AQ51" s="2179"/>
      <c r="AR51" s="2179"/>
      <c r="AS51" s="2179"/>
      <c r="AT51" s="2179"/>
      <c r="AU51" s="2179"/>
      <c r="AV51" s="2179"/>
      <c r="BB51" s="2176"/>
      <c r="BC51" s="2176"/>
      <c r="BF51" s="2208">
        <v>355</v>
      </c>
      <c r="BG51" s="2214">
        <f>VLOOKUP(BG40,BF5:BU38,9,0)</f>
        <v>92</v>
      </c>
      <c r="BH51" s="2214">
        <f t="shared" si="11"/>
        <v>115</v>
      </c>
      <c r="BI51" s="2214">
        <v>400</v>
      </c>
      <c r="BJ51" s="2178"/>
      <c r="BK51" s="2179"/>
      <c r="BL51" s="2179"/>
      <c r="BM51" s="2179"/>
      <c r="BN51" s="2179"/>
      <c r="BO51" s="2179"/>
      <c r="BP51" s="2179"/>
      <c r="BQ51" s="2179"/>
      <c r="BR51" s="2179"/>
      <c r="BX51" s="2174"/>
      <c r="CA51" s="2208">
        <v>315</v>
      </c>
      <c r="CB51" s="2214">
        <f>VLOOKUP(CB40,CA5:CP38,9,0)</f>
        <v>65.099999999999994</v>
      </c>
      <c r="CC51" s="2214">
        <f t="shared" si="12"/>
        <v>79.099999999999994</v>
      </c>
      <c r="CD51" s="2214">
        <v>355</v>
      </c>
      <c r="CE51" s="2207"/>
      <c r="CR51" s="2176"/>
      <c r="CS51" s="2176"/>
      <c r="CV51" s="2208">
        <v>315</v>
      </c>
      <c r="CW51" s="2214">
        <f>VLOOKUP(CW40,CV5:DK38,9,0)</f>
        <v>61.1</v>
      </c>
      <c r="CX51" s="2214">
        <f t="shared" si="13"/>
        <v>92.2</v>
      </c>
      <c r="CY51" s="2214">
        <v>355</v>
      </c>
      <c r="CZ51" s="2207"/>
      <c r="DS51" s="277"/>
      <c r="DW51" s="1"/>
      <c r="DY51" s="280" t="s">
        <v>2272</v>
      </c>
      <c r="DZ51" s="990">
        <v>34650</v>
      </c>
      <c r="EA51" s="990">
        <v>23100</v>
      </c>
      <c r="EB51" s="990">
        <v>230</v>
      </c>
      <c r="EC51" s="990"/>
      <c r="EO51" s="286"/>
      <c r="EP51" s="286"/>
      <c r="FB51" s="2174"/>
      <c r="FC51" s="2174"/>
      <c r="FF51" s="2208">
        <v>355</v>
      </c>
      <c r="FG51" s="2214">
        <f>VLOOKUP(FG40,FF5:FU38,9,0)</f>
        <v>135</v>
      </c>
      <c r="FH51" s="2214">
        <f t="shared" si="14"/>
        <v>165</v>
      </c>
      <c r="FI51" s="2214">
        <v>400</v>
      </c>
      <c r="FJ51" s="2178"/>
      <c r="FK51" s="2179"/>
      <c r="FL51" s="2179"/>
      <c r="FM51" s="2179"/>
      <c r="FN51" s="2179"/>
      <c r="FO51" s="2179"/>
      <c r="FP51" s="2179"/>
      <c r="FQ51" s="2179"/>
      <c r="FR51" s="2179"/>
      <c r="FX51" s="2176"/>
      <c r="FY51" s="2176"/>
      <c r="GB51" s="2208">
        <v>355</v>
      </c>
      <c r="GC51" s="2214">
        <f>VLOOKUP(GC40,GB5:GQ38,9,0)</f>
        <v>150</v>
      </c>
      <c r="GD51" s="2214">
        <f t="shared" si="15"/>
        <v>180</v>
      </c>
      <c r="GE51" s="2214">
        <v>400</v>
      </c>
      <c r="GF51" s="2178"/>
      <c r="GG51" s="2179"/>
      <c r="GH51" s="2179"/>
      <c r="GI51" s="2179"/>
      <c r="GJ51" s="2179"/>
      <c r="GK51" s="2179"/>
      <c r="GL51" s="2179"/>
      <c r="GM51" s="2179"/>
      <c r="GN51" s="2179"/>
      <c r="GT51" s="2174"/>
      <c r="GW51" s="2208">
        <v>315</v>
      </c>
      <c r="GX51" s="2214">
        <f>VLOOKUP(GX40,GW5:HL38,9,0)</f>
        <v>102</v>
      </c>
      <c r="GY51" s="2214">
        <f t="shared" si="16"/>
        <v>133</v>
      </c>
      <c r="GZ51" s="2214">
        <v>355</v>
      </c>
      <c r="HA51" s="2207"/>
      <c r="HN51" s="2176"/>
      <c r="HO51" s="2176"/>
      <c r="HR51" s="2208">
        <v>315</v>
      </c>
      <c r="HS51" s="2214">
        <f>VLOOKUP(HS40,HR5:IG38,9,0)</f>
        <v>102</v>
      </c>
      <c r="HT51" s="2214">
        <f t="shared" si="17"/>
        <v>152</v>
      </c>
      <c r="HU51" s="2214">
        <v>355</v>
      </c>
      <c r="HV51" s="2207"/>
      <c r="IN51" s="277"/>
      <c r="IO51" s="277"/>
    </row>
    <row r="52" spans="3:249" ht="21.95" customHeight="1">
      <c r="C52" s="280" t="s">
        <v>2273</v>
      </c>
      <c r="D52" s="990">
        <v>53550</v>
      </c>
      <c r="E52" s="990">
        <v>26250</v>
      </c>
      <c r="F52" s="990">
        <v>310</v>
      </c>
      <c r="G52" s="990"/>
      <c r="S52" s="286"/>
      <c r="T52" s="286"/>
      <c r="AF52" s="2174"/>
      <c r="AG52" s="2174"/>
      <c r="AJ52" s="2208">
        <v>400</v>
      </c>
      <c r="AK52" s="2214">
        <f>VLOOKUP(AK40,AJ5:AY38,10,0)</f>
        <v>100</v>
      </c>
      <c r="AL52" s="2214">
        <f t="shared" si="10"/>
        <v>150</v>
      </c>
      <c r="AM52" s="2214">
        <v>450</v>
      </c>
      <c r="AN52" s="2178"/>
      <c r="AO52" s="2179"/>
      <c r="AP52" s="2179"/>
      <c r="AQ52" s="2179"/>
      <c r="AR52" s="2179"/>
      <c r="AS52" s="2179"/>
      <c r="AT52" s="280" t="str">
        <f>IF(AS49&lt;13,"SBN ","SCN ")</f>
        <v xml:space="preserve">SCN </v>
      </c>
      <c r="AU52" s="280">
        <f>+BM40</f>
        <v>160</v>
      </c>
      <c r="BB52" s="2176"/>
      <c r="BC52" s="2176"/>
      <c r="BF52" s="2208">
        <v>400</v>
      </c>
      <c r="BG52" s="2214">
        <f>VLOOKUP(BG40,BF5:BU38,10,0)</f>
        <v>115</v>
      </c>
      <c r="BH52" s="2214">
        <f t="shared" si="11"/>
        <v>170</v>
      </c>
      <c r="BI52" s="2214">
        <v>450</v>
      </c>
      <c r="BJ52" s="2178"/>
      <c r="BK52" s="2179"/>
      <c r="BL52" s="2179"/>
      <c r="BM52" s="2179"/>
      <c r="BN52" s="2179"/>
      <c r="BO52" s="2179"/>
      <c r="BP52" s="2179"/>
      <c r="BQ52" s="2179"/>
      <c r="BR52" s="2179"/>
      <c r="BX52" s="2174"/>
      <c r="CA52" s="2208">
        <v>355</v>
      </c>
      <c r="CB52" s="2214">
        <f>VLOOKUP(CB40,CA5:CP38,10,0)</f>
        <v>79.099999999999994</v>
      </c>
      <c r="CC52" s="2214">
        <f t="shared" si="12"/>
        <v>118</v>
      </c>
      <c r="CD52" s="2214">
        <v>400</v>
      </c>
      <c r="CE52" s="2207"/>
      <c r="CK52" s="280" t="str">
        <f>IF(CJ49&lt;24,"PCD2 ",IF(CJ49&lt;140,"PCD3 ","PCD4 "))</f>
        <v xml:space="preserve">PCD3 </v>
      </c>
      <c r="CL52" s="280">
        <f>+DD40</f>
        <v>140</v>
      </c>
      <c r="CR52" s="2176"/>
      <c r="CS52" s="2176"/>
      <c r="CV52" s="2208">
        <v>355</v>
      </c>
      <c r="CW52" s="2214">
        <f>VLOOKUP(CW40,CV5:DK38,10,0)</f>
        <v>92.2</v>
      </c>
      <c r="CX52" s="2214">
        <f t="shared" si="13"/>
        <v>130</v>
      </c>
      <c r="CY52" s="2214">
        <v>400</v>
      </c>
      <c r="CZ52" s="2207"/>
      <c r="DS52" s="277"/>
      <c r="DW52" s="1"/>
      <c r="DY52" s="280" t="s">
        <v>2273</v>
      </c>
      <c r="DZ52" s="990">
        <v>53550</v>
      </c>
      <c r="EA52" s="990">
        <v>26250</v>
      </c>
      <c r="EB52" s="990">
        <v>310</v>
      </c>
      <c r="EC52" s="990"/>
      <c r="EO52" s="286"/>
      <c r="EP52" s="286"/>
      <c r="FB52" s="2174"/>
      <c r="FC52" s="2174"/>
      <c r="FF52" s="2208">
        <v>400</v>
      </c>
      <c r="FG52" s="2214">
        <f>VLOOKUP(FG40,FF5:FU38,10,0)</f>
        <v>165</v>
      </c>
      <c r="FH52" s="2214">
        <f t="shared" si="14"/>
        <v>240</v>
      </c>
      <c r="FI52" s="2214">
        <v>450</v>
      </c>
      <c r="FJ52" s="2178"/>
      <c r="FK52" s="2179"/>
      <c r="FL52" s="2179"/>
      <c r="FM52" s="2179"/>
      <c r="FN52" s="2179"/>
      <c r="FO52" s="2179"/>
      <c r="FP52" s="280" t="str">
        <f>IF(FO49&lt;13,"SBN ","SCN ")</f>
        <v xml:space="preserve">SCN </v>
      </c>
      <c r="FQ52" s="280">
        <f>+GI40</f>
        <v>160</v>
      </c>
      <c r="FX52" s="2176"/>
      <c r="FY52" s="2176"/>
      <c r="GB52" s="2208">
        <v>400</v>
      </c>
      <c r="GC52" s="2214">
        <f>VLOOKUP(GC40,GB5:GQ38,10,0)</f>
        <v>180</v>
      </c>
      <c r="GD52" s="2214">
        <f t="shared" si="15"/>
        <v>265</v>
      </c>
      <c r="GE52" s="2214">
        <v>450</v>
      </c>
      <c r="GF52" s="2178"/>
      <c r="GG52" s="2179"/>
      <c r="GH52" s="2179"/>
      <c r="GI52" s="2179"/>
      <c r="GJ52" s="2179"/>
      <c r="GK52" s="2179"/>
      <c r="GL52" s="2179"/>
      <c r="GM52" s="2179"/>
      <c r="GN52" s="2179"/>
      <c r="GT52" s="2174"/>
      <c r="GW52" s="2208">
        <v>355</v>
      </c>
      <c r="GX52" s="2214">
        <f>VLOOKUP(GX40,GW5:HL38,10,0)</f>
        <v>133</v>
      </c>
      <c r="GY52" s="2214">
        <f t="shared" si="16"/>
        <v>190</v>
      </c>
      <c r="GZ52" s="2214">
        <v>400</v>
      </c>
      <c r="HA52" s="2207"/>
      <c r="HG52" s="280" t="str">
        <f>IF(HF49&lt;24,"PCD2 ",IF(HF49&lt;140,"PCD3 ","PCD4 "))</f>
        <v xml:space="preserve">PCD3 </v>
      </c>
      <c r="HH52" s="280">
        <f>+HZ40</f>
        <v>140</v>
      </c>
      <c r="HN52" s="2176"/>
      <c r="HO52" s="2176"/>
      <c r="HR52" s="2208">
        <v>355</v>
      </c>
      <c r="HS52" s="2214">
        <f>VLOOKUP(HS40,HR5:IG38,10,0)</f>
        <v>152</v>
      </c>
      <c r="HT52" s="2214">
        <f t="shared" si="17"/>
        <v>220</v>
      </c>
      <c r="HU52" s="2214">
        <v>400</v>
      </c>
      <c r="HV52" s="2207"/>
      <c r="IN52" s="277"/>
      <c r="IO52" s="277"/>
    </row>
    <row r="53" spans="3:249" ht="21.95" customHeight="1">
      <c r="C53" s="280" t="s">
        <v>2274</v>
      </c>
      <c r="D53" s="990">
        <v>75600</v>
      </c>
      <c r="E53" s="990">
        <v>29400</v>
      </c>
      <c r="F53" s="990">
        <v>400</v>
      </c>
      <c r="G53" s="990"/>
      <c r="S53" s="286"/>
      <c r="T53" s="286"/>
      <c r="AF53" s="2174"/>
      <c r="AG53" s="2174"/>
      <c r="AJ53" s="2208">
        <v>450</v>
      </c>
      <c r="AK53" s="2214">
        <f>VLOOKUP(AK40,AJ5:AY38,11,0)</f>
        <v>150</v>
      </c>
      <c r="AL53" s="2214">
        <f t="shared" si="10"/>
        <v>240</v>
      </c>
      <c r="AM53" s="2214">
        <v>500</v>
      </c>
      <c r="AN53" s="2178"/>
      <c r="AO53" s="2179"/>
      <c r="AP53" s="2179"/>
      <c r="AQ53" s="2179"/>
      <c r="AR53" s="2179"/>
      <c r="AS53" s="2179"/>
      <c r="AT53" s="280" t="str">
        <f>IF(AS50&lt;13,"SBN ","SCN ")</f>
        <v xml:space="preserve">SCN </v>
      </c>
      <c r="AU53" s="280">
        <f>+AR40</f>
        <v>160</v>
      </c>
      <c r="BB53" s="2176"/>
      <c r="BC53" s="2176"/>
      <c r="BF53" s="2208">
        <v>450</v>
      </c>
      <c r="BG53" s="2214">
        <f>VLOOKUP(BG40,BF5:BU38,11,0)</f>
        <v>170</v>
      </c>
      <c r="BH53" s="2214">
        <f t="shared" si="11"/>
        <v>270</v>
      </c>
      <c r="BI53" s="2214">
        <v>500</v>
      </c>
      <c r="BJ53" s="2178"/>
      <c r="BK53" s="2179"/>
      <c r="BL53" s="2179"/>
      <c r="BM53" s="2179"/>
      <c r="BN53" s="2179"/>
      <c r="BO53" s="2179"/>
      <c r="BP53" s="2179"/>
      <c r="BQ53" s="2179"/>
      <c r="BR53" s="2179"/>
      <c r="BX53" s="2174"/>
      <c r="CA53" s="2208">
        <v>400</v>
      </c>
      <c r="CB53" s="2214">
        <f>VLOOKUP(CB40,CA5:CP38,11,0)</f>
        <v>118</v>
      </c>
      <c r="CC53" s="2214">
        <f t="shared" si="12"/>
        <v>171</v>
      </c>
      <c r="CD53" s="2214">
        <v>450</v>
      </c>
      <c r="CE53" s="2207"/>
      <c r="CK53" s="280" t="str">
        <f>IF(CJ50&lt;24,"PCD2 ",IF(CJ50&lt;140,"PCD3 ","PCD4 "))</f>
        <v xml:space="preserve">PCD3 </v>
      </c>
      <c r="CL53" s="280">
        <f>+CI40</f>
        <v>140</v>
      </c>
      <c r="CR53" s="2176"/>
      <c r="CS53" s="2176"/>
      <c r="CV53" s="2208">
        <v>400</v>
      </c>
      <c r="CW53" s="2214">
        <f>VLOOKUP(CW40,CV5:DK38,11,0)</f>
        <v>130</v>
      </c>
      <c r="CX53" s="2214">
        <f t="shared" si="13"/>
        <v>182</v>
      </c>
      <c r="CY53" s="2214">
        <v>450</v>
      </c>
      <c r="CZ53" s="2207"/>
      <c r="DS53" s="277"/>
      <c r="DW53" s="1"/>
      <c r="DY53" s="280" t="s">
        <v>2274</v>
      </c>
      <c r="DZ53" s="990">
        <v>75600</v>
      </c>
      <c r="EA53" s="990">
        <v>29400</v>
      </c>
      <c r="EB53" s="990">
        <v>400</v>
      </c>
      <c r="EC53" s="990"/>
      <c r="EO53" s="286"/>
      <c r="EP53" s="286"/>
      <c r="FB53" s="2174"/>
      <c r="FC53" s="2174"/>
      <c r="FF53" s="2208">
        <v>450</v>
      </c>
      <c r="FG53" s="2214">
        <f>VLOOKUP(FG40,FF5:FU38,11,0)</f>
        <v>240</v>
      </c>
      <c r="FH53" s="2214">
        <f t="shared" si="14"/>
        <v>365</v>
      </c>
      <c r="FI53" s="2214">
        <v>500</v>
      </c>
      <c r="FJ53" s="2178"/>
      <c r="FK53" s="2179"/>
      <c r="FL53" s="2179"/>
      <c r="FM53" s="2179"/>
      <c r="FN53" s="2179"/>
      <c r="FO53" s="2179"/>
      <c r="FP53" s="280" t="str">
        <f>IF(FO50&lt;13,"SBN ","SCN ")</f>
        <v xml:space="preserve">SCN </v>
      </c>
      <c r="FQ53" s="280">
        <f>+FN40</f>
        <v>160</v>
      </c>
      <c r="FX53" s="2176"/>
      <c r="FY53" s="2176"/>
      <c r="GB53" s="2208">
        <v>450</v>
      </c>
      <c r="GC53" s="2214">
        <f>VLOOKUP(GC40,GB5:GQ38,11,0)</f>
        <v>265</v>
      </c>
      <c r="GD53" s="2214">
        <f t="shared" si="15"/>
        <v>455</v>
      </c>
      <c r="GE53" s="2214">
        <v>500</v>
      </c>
      <c r="GF53" s="2178"/>
      <c r="GG53" s="2179"/>
      <c r="GH53" s="2179"/>
      <c r="GI53" s="2179"/>
      <c r="GJ53" s="2179"/>
      <c r="GK53" s="2179"/>
      <c r="GL53" s="2179"/>
      <c r="GM53" s="2179"/>
      <c r="GN53" s="2179"/>
      <c r="GT53" s="2174"/>
      <c r="GW53" s="2208">
        <v>400</v>
      </c>
      <c r="GX53" s="2214">
        <f>VLOOKUP(GX40,GW5:HL38,11,0)</f>
        <v>190</v>
      </c>
      <c r="GY53" s="2214">
        <f t="shared" si="16"/>
        <v>283</v>
      </c>
      <c r="GZ53" s="2214">
        <v>450</v>
      </c>
      <c r="HA53" s="2207"/>
      <c r="HG53" s="280" t="str">
        <f>IF(HF50&lt;24,"PCD2 ",IF(HF50&lt;140,"PCD3 ","PCD4 "))</f>
        <v xml:space="preserve">PCD3 </v>
      </c>
      <c r="HH53" s="280">
        <f>+HE40</f>
        <v>140</v>
      </c>
      <c r="HN53" s="2176"/>
      <c r="HO53" s="2176"/>
      <c r="HR53" s="2208">
        <v>400</v>
      </c>
      <c r="HS53" s="2214">
        <f>VLOOKUP(HS40,HR5:IG38,11,0)</f>
        <v>220</v>
      </c>
      <c r="HT53" s="2214">
        <f t="shared" si="17"/>
        <v>309</v>
      </c>
      <c r="HU53" s="2214">
        <v>450</v>
      </c>
      <c r="HV53" s="2207"/>
      <c r="IN53" s="277"/>
      <c r="IO53" s="277"/>
    </row>
    <row r="54" spans="3:249" ht="21.95" customHeight="1">
      <c r="C54" s="280" t="s">
        <v>2275</v>
      </c>
      <c r="D54" s="990">
        <v>85050</v>
      </c>
      <c r="E54" s="990">
        <v>33600</v>
      </c>
      <c r="F54" s="990">
        <v>400</v>
      </c>
      <c r="G54" s="990"/>
      <c r="S54" s="286"/>
      <c r="T54" s="286"/>
      <c r="AF54" s="2174"/>
      <c r="AG54" s="2174"/>
      <c r="AJ54" s="2208">
        <v>500</v>
      </c>
      <c r="AK54" s="2214">
        <f>VLOOKUP(AK40,AJ5:AY38,12,0)</f>
        <v>240</v>
      </c>
      <c r="AL54" s="2214">
        <f t="shared" si="10"/>
        <v>340</v>
      </c>
      <c r="AM54" s="2214">
        <v>560</v>
      </c>
      <c r="AO54" s="277"/>
      <c r="BB54" s="2176"/>
      <c r="BC54" s="2176"/>
      <c r="BF54" s="2208">
        <v>500</v>
      </c>
      <c r="BG54" s="2214">
        <f>VLOOKUP(BG40,BF5:BU38,12,0)</f>
        <v>270</v>
      </c>
      <c r="BH54" s="2214">
        <f t="shared" si="11"/>
        <v>380</v>
      </c>
      <c r="BI54" s="2214">
        <v>560</v>
      </c>
      <c r="BJ54" s="277"/>
      <c r="BX54" s="2174"/>
      <c r="CA54" s="2208">
        <v>450</v>
      </c>
      <c r="CB54" s="2214">
        <f>VLOOKUP(CB40,CA5:CP38,12,0)</f>
        <v>171</v>
      </c>
      <c r="CC54" s="2214">
        <f t="shared" si="12"/>
        <v>259</v>
      </c>
      <c r="CD54" s="2214">
        <v>500</v>
      </c>
      <c r="CR54" s="2176"/>
      <c r="CS54" s="2176"/>
      <c r="CV54" s="2208">
        <v>450</v>
      </c>
      <c r="CW54" s="2214">
        <f>VLOOKUP(CW40,CV5:DK38,12,0)</f>
        <v>182</v>
      </c>
      <c r="CX54" s="2214">
        <f t="shared" si="13"/>
        <v>294</v>
      </c>
      <c r="CY54" s="2214">
        <v>500</v>
      </c>
      <c r="DS54" s="277"/>
      <c r="DW54" s="1"/>
      <c r="DY54" s="280" t="s">
        <v>2275</v>
      </c>
      <c r="DZ54" s="990">
        <v>85050</v>
      </c>
      <c r="EA54" s="990">
        <v>33600</v>
      </c>
      <c r="EB54" s="990">
        <v>400</v>
      </c>
      <c r="EC54" s="990"/>
      <c r="EO54" s="286"/>
      <c r="EP54" s="286"/>
      <c r="FB54" s="2174"/>
      <c r="FC54" s="2174"/>
      <c r="FF54" s="2208">
        <v>500</v>
      </c>
      <c r="FG54" s="2214">
        <f>VLOOKUP(FG40,FF5:FU38,12,0)</f>
        <v>365</v>
      </c>
      <c r="FH54" s="2214">
        <f t="shared" si="14"/>
        <v>520</v>
      </c>
      <c r="FI54" s="2214">
        <v>560</v>
      </c>
      <c r="FX54" s="2176"/>
      <c r="FY54" s="2176"/>
      <c r="GB54" s="2208">
        <v>500</v>
      </c>
      <c r="GC54" s="2214">
        <f>VLOOKUP(GC40,GB5:GQ38,12,0)</f>
        <v>455</v>
      </c>
      <c r="GD54" s="2214">
        <f t="shared" si="15"/>
        <v>640</v>
      </c>
      <c r="GE54" s="2214">
        <v>560</v>
      </c>
      <c r="GT54" s="2174"/>
      <c r="GW54" s="2208">
        <v>450</v>
      </c>
      <c r="GX54" s="2214">
        <f>VLOOKUP(GX40,GW5:HL38,12,0)</f>
        <v>283</v>
      </c>
      <c r="GY54" s="2214">
        <f t="shared" si="16"/>
        <v>434</v>
      </c>
      <c r="GZ54" s="2214">
        <v>500</v>
      </c>
      <c r="HN54" s="2176"/>
      <c r="HO54" s="2176"/>
      <c r="HR54" s="2208">
        <v>450</v>
      </c>
      <c r="HS54" s="2214">
        <f>VLOOKUP(HS40,HR5:IG38,12,0)</f>
        <v>309</v>
      </c>
      <c r="HT54" s="2214">
        <f t="shared" si="17"/>
        <v>472</v>
      </c>
      <c r="HU54" s="2214">
        <v>500</v>
      </c>
      <c r="IN54" s="277"/>
      <c r="IO54" s="277"/>
    </row>
    <row r="55" spans="3:249" ht="21.95" customHeight="1">
      <c r="C55" s="280" t="s">
        <v>2276</v>
      </c>
      <c r="D55" s="990">
        <v>130200</v>
      </c>
      <c r="E55" s="990">
        <v>36750</v>
      </c>
      <c r="F55" s="990">
        <v>450</v>
      </c>
      <c r="G55" s="990"/>
      <c r="I55" s="2209"/>
      <c r="S55" s="286"/>
      <c r="T55" s="286"/>
      <c r="AF55" s="2174"/>
      <c r="AG55" s="2174"/>
      <c r="AJ55" s="2208">
        <v>560</v>
      </c>
      <c r="AK55" s="2214">
        <f>VLOOKUP(AK40,AJ5:AY38,13,0)</f>
        <v>340</v>
      </c>
      <c r="AL55" s="2214">
        <f t="shared" si="10"/>
        <v>450</v>
      </c>
      <c r="AM55" s="2214">
        <v>630</v>
      </c>
      <c r="AO55" s="277"/>
      <c r="BB55" s="2176"/>
      <c r="BC55" s="2176"/>
      <c r="BF55" s="2208">
        <v>560</v>
      </c>
      <c r="BG55" s="2214">
        <f>VLOOKUP(BG40,BF5:BU38,13,0)</f>
        <v>380</v>
      </c>
      <c r="BH55" s="2214">
        <f t="shared" si="11"/>
        <v>500</v>
      </c>
      <c r="BI55" s="2214">
        <v>630</v>
      </c>
      <c r="BJ55" s="277"/>
      <c r="BX55" s="2174"/>
      <c r="CA55" s="2208">
        <v>500</v>
      </c>
      <c r="CB55" s="2214">
        <f>VLOOKUP(CB40,CA5:CP38,13,0)</f>
        <v>259</v>
      </c>
      <c r="CC55" s="2214">
        <f t="shared" si="12"/>
        <v>368</v>
      </c>
      <c r="CD55" s="2214">
        <v>560</v>
      </c>
      <c r="CR55" s="2176"/>
      <c r="CS55" s="2176"/>
      <c r="CV55" s="2208">
        <v>500</v>
      </c>
      <c r="CW55" s="2214">
        <f>VLOOKUP(CW40,CV5:DK38,13,0)</f>
        <v>294</v>
      </c>
      <c r="CX55" s="2214">
        <f t="shared" si="13"/>
        <v>410</v>
      </c>
      <c r="CY55" s="2214">
        <v>560</v>
      </c>
      <c r="DS55" s="277"/>
      <c r="DW55" s="1"/>
      <c r="DY55" s="280" t="s">
        <v>2276</v>
      </c>
      <c r="DZ55" s="990">
        <v>130200</v>
      </c>
      <c r="EA55" s="990">
        <v>36750</v>
      </c>
      <c r="EB55" s="990">
        <v>450</v>
      </c>
      <c r="EC55" s="990"/>
      <c r="EE55" s="2209"/>
      <c r="EO55" s="286"/>
      <c r="EP55" s="286"/>
      <c r="FB55" s="2174"/>
      <c r="FC55" s="2174"/>
      <c r="FF55" s="2208">
        <v>560</v>
      </c>
      <c r="FG55" s="2214">
        <f>VLOOKUP(FG40,FF5:FU38,13,0)</f>
        <v>520</v>
      </c>
      <c r="FH55" s="2214">
        <f t="shared" si="14"/>
        <v>690</v>
      </c>
      <c r="FI55" s="2214">
        <v>630</v>
      </c>
      <c r="FX55" s="2176"/>
      <c r="FY55" s="2176"/>
      <c r="GB55" s="2208">
        <v>560</v>
      </c>
      <c r="GC55" s="2214">
        <f>VLOOKUP(GC40,GB5:GQ38,13,0)</f>
        <v>640</v>
      </c>
      <c r="GD55" s="2214">
        <f t="shared" si="15"/>
        <v>760</v>
      </c>
      <c r="GE55" s="2214">
        <v>630</v>
      </c>
      <c r="GT55" s="2174"/>
      <c r="GW55" s="2208">
        <v>500</v>
      </c>
      <c r="GX55" s="2214">
        <f>VLOOKUP(GX40,GW5:HL38,13,0)</f>
        <v>434</v>
      </c>
      <c r="GY55" s="2214">
        <f t="shared" si="16"/>
        <v>606</v>
      </c>
      <c r="GZ55" s="2214">
        <v>560</v>
      </c>
      <c r="HN55" s="2176"/>
      <c r="HO55" s="2176"/>
      <c r="HR55" s="2208">
        <v>500</v>
      </c>
      <c r="HS55" s="2214">
        <f>VLOOKUP(HS40,HR5:IG38,13,0)</f>
        <v>472</v>
      </c>
      <c r="HT55" s="2214">
        <f t="shared" si="17"/>
        <v>622</v>
      </c>
      <c r="HU55" s="2214">
        <v>560</v>
      </c>
      <c r="IN55" s="277"/>
      <c r="IO55" s="277"/>
    </row>
    <row r="56" spans="3:249" ht="21.95" customHeight="1">
      <c r="C56" s="280" t="s">
        <v>677</v>
      </c>
      <c r="D56" s="990">
        <v>46500</v>
      </c>
      <c r="E56" s="990">
        <v>15750</v>
      </c>
      <c r="F56" s="735">
        <v>330</v>
      </c>
      <c r="G56" s="990"/>
      <c r="I56" s="2209"/>
      <c r="S56" s="286"/>
      <c r="T56" s="286"/>
      <c r="AF56" s="2174"/>
      <c r="AG56" s="2174"/>
      <c r="AJ56" s="2208">
        <v>630</v>
      </c>
      <c r="AK56" s="2214">
        <f>VLOOKUP(AK40,AJ5:AY38,14,0)</f>
        <v>450</v>
      </c>
      <c r="AL56" s="2214">
        <f t="shared" si="10"/>
        <v>650</v>
      </c>
      <c r="AM56" s="2214">
        <v>710</v>
      </c>
      <c r="AO56" s="277"/>
      <c r="BB56" s="2176"/>
      <c r="BC56" s="2176"/>
      <c r="BF56" s="2208">
        <v>630</v>
      </c>
      <c r="BG56" s="2214">
        <f>VLOOKUP(BG40,BF5:BU38,14,0)</f>
        <v>500</v>
      </c>
      <c r="BH56" s="2214">
        <f t="shared" si="11"/>
        <v>730</v>
      </c>
      <c r="BI56" s="2214">
        <v>710</v>
      </c>
      <c r="BJ56" s="277"/>
      <c r="BX56" s="2174"/>
      <c r="CA56" s="2208">
        <v>560</v>
      </c>
      <c r="CB56" s="2214">
        <f>VLOOKUP(CB40,CA5:CP38,14,0)</f>
        <v>368</v>
      </c>
      <c r="CC56" s="2214">
        <f t="shared" si="12"/>
        <v>0</v>
      </c>
      <c r="CD56" s="2214">
        <v>630</v>
      </c>
      <c r="CR56" s="2176"/>
      <c r="CS56" s="2176"/>
      <c r="CV56" s="2208">
        <v>560</v>
      </c>
      <c r="CW56" s="2214">
        <f>VLOOKUP(CW40,CV5:DK38,14,0)</f>
        <v>410</v>
      </c>
      <c r="CX56" s="2214">
        <f t="shared" si="13"/>
        <v>0</v>
      </c>
      <c r="CY56" s="2214">
        <v>630</v>
      </c>
      <c r="DS56" s="277"/>
      <c r="DW56" s="1"/>
      <c r="DY56" s="280" t="s">
        <v>677</v>
      </c>
      <c r="DZ56" s="990">
        <v>46500</v>
      </c>
      <c r="EA56" s="990">
        <v>15750</v>
      </c>
      <c r="EB56" s="735">
        <v>330</v>
      </c>
      <c r="EC56" s="990"/>
      <c r="EE56" s="2209"/>
      <c r="EO56" s="286"/>
      <c r="EP56" s="286"/>
      <c r="FB56" s="2174"/>
      <c r="FC56" s="2174"/>
      <c r="FF56" s="2208">
        <v>630</v>
      </c>
      <c r="FG56" s="2214">
        <f>VLOOKUP(FG40,FF5:FU38,14,0)</f>
        <v>690</v>
      </c>
      <c r="FH56" s="2214">
        <f t="shared" si="14"/>
        <v>1020</v>
      </c>
      <c r="FI56" s="2214">
        <v>710</v>
      </c>
      <c r="FX56" s="2176"/>
      <c r="FY56" s="2176"/>
      <c r="GB56" s="2208">
        <v>630</v>
      </c>
      <c r="GC56" s="2214">
        <f>VLOOKUP(GC40,GB5:GQ38,14,0)</f>
        <v>760</v>
      </c>
      <c r="GD56" s="2214">
        <f t="shared" si="15"/>
        <v>1140</v>
      </c>
      <c r="GE56" s="2214">
        <v>710</v>
      </c>
      <c r="GT56" s="2174"/>
      <c r="GW56" s="2208">
        <v>560</v>
      </c>
      <c r="GX56" s="2214">
        <f>VLOOKUP(GX40,GW5:HL38,14,0)</f>
        <v>606</v>
      </c>
      <c r="GY56" s="2214">
        <f t="shared" si="16"/>
        <v>0</v>
      </c>
      <c r="GZ56" s="2214">
        <v>630</v>
      </c>
      <c r="HN56" s="2176"/>
      <c r="HO56" s="2176"/>
      <c r="HR56" s="2208">
        <v>560</v>
      </c>
      <c r="HS56" s="2214">
        <f>VLOOKUP(HS40,HR5:IG38,14,0)</f>
        <v>622</v>
      </c>
      <c r="HT56" s="2214">
        <f t="shared" si="17"/>
        <v>812</v>
      </c>
      <c r="HU56" s="2214">
        <v>630</v>
      </c>
      <c r="IN56" s="277"/>
      <c r="IO56" s="277"/>
    </row>
    <row r="57" spans="3:249" ht="21.95" customHeight="1">
      <c r="C57" s="735" t="s">
        <v>678</v>
      </c>
      <c r="D57" s="2360">
        <v>70660</v>
      </c>
      <c r="E57" s="2360">
        <v>15750</v>
      </c>
      <c r="F57" s="735">
        <v>450</v>
      </c>
      <c r="G57" s="2361">
        <v>475</v>
      </c>
      <c r="S57" s="286"/>
      <c r="T57" s="286"/>
      <c r="AF57" s="2174"/>
      <c r="AG57" s="2174"/>
      <c r="AJ57" s="2208">
        <v>710</v>
      </c>
      <c r="AK57" s="2214">
        <f>VLOOKUP(AK40,AJ5:AY38,15,0)</f>
        <v>650</v>
      </c>
      <c r="AL57" s="2214">
        <f t="shared" si="10"/>
        <v>940</v>
      </c>
      <c r="AM57" s="2214">
        <v>800</v>
      </c>
      <c r="AO57" s="277"/>
      <c r="BB57" s="2176"/>
      <c r="BC57" s="2176"/>
      <c r="BF57" s="2208">
        <v>710</v>
      </c>
      <c r="BG57" s="2214">
        <f>VLOOKUP(BG40,BF5:BU38,15,0)</f>
        <v>730</v>
      </c>
      <c r="BH57" s="2214">
        <f t="shared" si="11"/>
        <v>1050</v>
      </c>
      <c r="BI57" s="2214">
        <v>800</v>
      </c>
      <c r="BJ57" s="277"/>
      <c r="BX57" s="2174"/>
      <c r="CA57" s="2208">
        <v>630</v>
      </c>
      <c r="CB57" s="2214">
        <f>VLOOKUP(CB40,CA5:CP38,15,0)</f>
        <v>0</v>
      </c>
      <c r="CC57" s="2214"/>
      <c r="CD57" s="2214"/>
      <c r="CR57" s="2176"/>
      <c r="CS57" s="2176"/>
      <c r="CV57" s="2208">
        <v>630</v>
      </c>
      <c r="CW57" s="2214">
        <f>VLOOKUP(CW40,CV5:DK38,15,0)</f>
        <v>0</v>
      </c>
      <c r="CX57" s="2214"/>
      <c r="CY57" s="2214"/>
      <c r="DS57" s="277"/>
      <c r="DW57" s="1"/>
      <c r="DY57" s="735" t="s">
        <v>678</v>
      </c>
      <c r="DZ57" s="2360">
        <v>70660</v>
      </c>
      <c r="EA57" s="2360">
        <v>15750</v>
      </c>
      <c r="EB57" s="735">
        <v>450</v>
      </c>
      <c r="EC57" s="2361">
        <v>475</v>
      </c>
      <c r="EO57" s="286"/>
      <c r="EP57" s="286"/>
      <c r="FB57" s="2174"/>
      <c r="FC57" s="2174"/>
      <c r="FF57" s="2208">
        <v>710</v>
      </c>
      <c r="FG57" s="2214">
        <f>VLOOKUP(FG40,FF5:FU38,15,0)</f>
        <v>1020</v>
      </c>
      <c r="FH57" s="2214">
        <f t="shared" si="14"/>
        <v>1480</v>
      </c>
      <c r="FI57" s="2214">
        <v>800</v>
      </c>
      <c r="FX57" s="2176"/>
      <c r="FY57" s="2176"/>
      <c r="GB57" s="2208">
        <v>710</v>
      </c>
      <c r="GC57" s="2214">
        <f>VLOOKUP(GC40,GB5:GQ38,15,0)</f>
        <v>1140</v>
      </c>
      <c r="GD57" s="2214">
        <f t="shared" si="15"/>
        <v>1650</v>
      </c>
      <c r="GE57" s="2214">
        <v>800</v>
      </c>
      <c r="GT57" s="2174"/>
      <c r="GW57" s="2208">
        <v>630</v>
      </c>
      <c r="GX57" s="2214">
        <f>VLOOKUP(GX40,GW5:HL38,15,0)</f>
        <v>0</v>
      </c>
      <c r="GY57" s="2214"/>
      <c r="GZ57" s="2214"/>
      <c r="HN57" s="2176"/>
      <c r="HO57" s="2176"/>
      <c r="HR57" s="2208">
        <v>630</v>
      </c>
      <c r="HS57" s="2214">
        <f>VLOOKUP(HS40,HR5:IG38,15,0)</f>
        <v>812</v>
      </c>
      <c r="HT57" s="2214"/>
      <c r="HU57" s="2214"/>
      <c r="IN57" s="277"/>
      <c r="IO57" s="277"/>
    </row>
    <row r="58" spans="3:249" ht="21.95" customHeight="1">
      <c r="C58" s="735" t="s">
        <v>680</v>
      </c>
      <c r="D58" s="2360">
        <v>92292</v>
      </c>
      <c r="E58" s="2360">
        <v>23100</v>
      </c>
      <c r="F58" s="735">
        <v>550</v>
      </c>
      <c r="G58" s="2361">
        <v>550</v>
      </c>
      <c r="S58" s="286"/>
      <c r="T58" s="286"/>
      <c r="AF58" s="2174"/>
      <c r="AG58" s="2174"/>
      <c r="AJ58" s="2208">
        <v>800</v>
      </c>
      <c r="AK58" s="2214">
        <f>VLOOKUP(AK40,AJ5:AY38,16,0)</f>
        <v>940</v>
      </c>
      <c r="AL58" s="2214">
        <f t="shared" si="10"/>
        <v>0</v>
      </c>
      <c r="AM58" s="2179"/>
      <c r="AN58" s="2178"/>
      <c r="AO58" s="2179"/>
      <c r="AP58" s="2179"/>
      <c r="AQ58" s="2179"/>
      <c r="AR58" s="2179"/>
      <c r="AS58" s="2179"/>
      <c r="AT58" s="2179"/>
      <c r="AU58" s="2179"/>
      <c r="AV58" s="2179"/>
      <c r="BB58" s="2176"/>
      <c r="BC58" s="2176"/>
      <c r="BF58" s="2208">
        <v>800</v>
      </c>
      <c r="BG58" s="2214">
        <f>VLOOKUP(BG40,BF5:BU38,16,0)</f>
        <v>1050</v>
      </c>
      <c r="BH58" s="2214">
        <f t="shared" si="11"/>
        <v>0</v>
      </c>
      <c r="BI58" s="2179"/>
      <c r="BJ58" s="2178"/>
      <c r="BK58" s="2179"/>
      <c r="BL58" s="2179"/>
      <c r="BM58" s="2179"/>
      <c r="BN58" s="2179"/>
      <c r="BO58" s="2179"/>
      <c r="BP58" s="2179"/>
      <c r="BQ58" s="2179"/>
      <c r="BR58" s="2179"/>
      <c r="BX58" s="2174"/>
      <c r="CA58" s="2208"/>
      <c r="CB58" s="2214"/>
      <c r="CC58" s="2214"/>
      <c r="CE58" s="2207"/>
      <c r="CR58" s="2176"/>
      <c r="CS58" s="2176"/>
      <c r="CV58" s="2208"/>
      <c r="CW58" s="2214"/>
      <c r="CX58" s="2214"/>
      <c r="CZ58" s="2207"/>
      <c r="DS58" s="277"/>
      <c r="DW58" s="1"/>
      <c r="DY58" s="735" t="s">
        <v>680</v>
      </c>
      <c r="DZ58" s="2360">
        <v>92292</v>
      </c>
      <c r="EA58" s="2360">
        <v>23100</v>
      </c>
      <c r="EB58" s="735">
        <v>550</v>
      </c>
      <c r="EC58" s="2361">
        <v>550</v>
      </c>
      <c r="EO58" s="286"/>
      <c r="EP58" s="286"/>
      <c r="FB58" s="2174"/>
      <c r="FC58" s="2174"/>
      <c r="FF58" s="2208">
        <v>800</v>
      </c>
      <c r="FG58" s="2214">
        <f>VLOOKUP(FG40,FF5:FU38,16,0)</f>
        <v>1480</v>
      </c>
      <c r="FH58" s="2214">
        <f t="shared" si="14"/>
        <v>0</v>
      </c>
      <c r="FI58" s="2179"/>
      <c r="FJ58" s="2178"/>
      <c r="FK58" s="2179"/>
      <c r="FL58" s="2179"/>
      <c r="FM58" s="2179"/>
      <c r="FN58" s="2179"/>
      <c r="FO58" s="2179"/>
      <c r="FP58" s="2179"/>
      <c r="FQ58" s="2179"/>
      <c r="FR58" s="2179"/>
      <c r="FX58" s="2176"/>
      <c r="FY58" s="2176"/>
      <c r="GB58" s="2208">
        <v>800</v>
      </c>
      <c r="GC58" s="2214">
        <f>VLOOKUP(GC40,GB5:GQ38,16,0)</f>
        <v>1650</v>
      </c>
      <c r="GD58" s="2214">
        <f t="shared" si="15"/>
        <v>0</v>
      </c>
      <c r="GE58" s="2179"/>
      <c r="GF58" s="2178"/>
      <c r="GG58" s="2179"/>
      <c r="GH58" s="2179"/>
      <c r="GI58" s="2179"/>
      <c r="GJ58" s="2179"/>
      <c r="GK58" s="2179"/>
      <c r="GL58" s="2179"/>
      <c r="GM58" s="2179"/>
      <c r="GN58" s="2179"/>
      <c r="GT58" s="2174"/>
      <c r="GW58" s="2208"/>
      <c r="GX58" s="2214"/>
      <c r="GY58" s="2214"/>
      <c r="HA58" s="2207"/>
      <c r="HN58" s="2176"/>
      <c r="HO58" s="2176"/>
      <c r="HR58" s="2208"/>
      <c r="HS58" s="2214"/>
      <c r="HT58" s="2214"/>
      <c r="HV58" s="2207"/>
      <c r="IN58" s="277"/>
      <c r="IO58" s="277"/>
    </row>
    <row r="59" spans="3:249" ht="21.95" customHeight="1">
      <c r="C59" s="735" t="s">
        <v>681</v>
      </c>
      <c r="D59" s="2360">
        <v>108150</v>
      </c>
      <c r="E59" s="2360">
        <v>26250</v>
      </c>
      <c r="F59" s="735">
        <v>700</v>
      </c>
      <c r="G59" s="2361">
        <v>650</v>
      </c>
      <c r="S59" s="286"/>
      <c r="T59" s="286"/>
      <c r="AF59" s="2174"/>
      <c r="AG59" s="2174"/>
      <c r="AJ59" s="2208"/>
      <c r="AK59" s="2214"/>
      <c r="AL59" s="2214"/>
      <c r="AM59" s="2214"/>
      <c r="AN59" s="2178"/>
      <c r="AO59" s="2179"/>
      <c r="AP59" s="2179"/>
      <c r="AQ59" s="2179"/>
      <c r="AR59" s="2179"/>
      <c r="AS59" s="2179"/>
      <c r="AT59" s="2179"/>
      <c r="AU59" s="2179"/>
      <c r="AV59" s="2179"/>
      <c r="BB59" s="2176"/>
      <c r="BC59" s="2176"/>
      <c r="BF59" s="2208"/>
      <c r="BG59" s="2214"/>
      <c r="BH59" s="2214"/>
      <c r="BI59" s="2214"/>
      <c r="BJ59" s="2178"/>
      <c r="BK59" s="2179"/>
      <c r="BL59" s="2179"/>
      <c r="BM59" s="2179"/>
      <c r="BN59" s="2179"/>
      <c r="BO59" s="2179"/>
      <c r="BP59" s="2179"/>
      <c r="BQ59" s="2179"/>
      <c r="BR59" s="2179"/>
      <c r="BX59" s="2174"/>
      <c r="CA59" s="2208"/>
      <c r="CB59" s="2214"/>
      <c r="CC59" s="2214"/>
      <c r="CD59" s="2214"/>
      <c r="CE59" s="2207"/>
      <c r="CR59" s="2176"/>
      <c r="CS59" s="2176"/>
      <c r="CV59" s="2208"/>
      <c r="CW59" s="2214"/>
      <c r="CX59" s="2214"/>
      <c r="CY59" s="2214"/>
      <c r="CZ59" s="2207"/>
      <c r="DS59" s="277"/>
      <c r="DW59" s="1"/>
      <c r="DY59" s="735" t="s">
        <v>681</v>
      </c>
      <c r="DZ59" s="2360">
        <v>108150</v>
      </c>
      <c r="EA59" s="2360">
        <v>26250</v>
      </c>
      <c r="EB59" s="735">
        <v>700</v>
      </c>
      <c r="EC59" s="2361">
        <v>650</v>
      </c>
      <c r="EO59" s="286"/>
      <c r="EP59" s="286"/>
      <c r="FB59" s="2174"/>
      <c r="FC59" s="2174"/>
      <c r="FF59" s="2208"/>
      <c r="FG59" s="2214"/>
      <c r="FH59" s="2214"/>
      <c r="FI59" s="2214"/>
      <c r="FJ59" s="2178"/>
      <c r="FK59" s="2179"/>
      <c r="FL59" s="2179"/>
      <c r="FM59" s="2179"/>
      <c r="FN59" s="2179"/>
      <c r="FO59" s="2179"/>
      <c r="FP59" s="2179"/>
      <c r="FQ59" s="2179"/>
      <c r="FR59" s="2179"/>
      <c r="FX59" s="2176"/>
      <c r="FY59" s="2176"/>
      <c r="GB59" s="2208"/>
      <c r="GC59" s="2214"/>
      <c r="GD59" s="2214"/>
      <c r="GE59" s="2214"/>
      <c r="GF59" s="2178"/>
      <c r="GG59" s="2179"/>
      <c r="GH59" s="2179"/>
      <c r="GI59" s="2179"/>
      <c r="GJ59" s="2179"/>
      <c r="GK59" s="2179"/>
      <c r="GL59" s="2179"/>
      <c r="GM59" s="2179"/>
      <c r="GN59" s="2179"/>
      <c r="GT59" s="2174"/>
      <c r="GW59" s="2208"/>
      <c r="GX59" s="2214"/>
      <c r="GY59" s="2214"/>
      <c r="GZ59" s="2214"/>
      <c r="HA59" s="2207"/>
      <c r="HN59" s="2176"/>
      <c r="HO59" s="2176"/>
      <c r="HR59" s="2208"/>
      <c r="HS59" s="2214"/>
      <c r="HT59" s="2214"/>
      <c r="HU59" s="2214"/>
      <c r="HV59" s="2207"/>
      <c r="IN59" s="277"/>
      <c r="IO59" s="277"/>
    </row>
    <row r="60" spans="3:249" ht="21.95" customHeight="1">
      <c r="C60" s="735" t="s">
        <v>683</v>
      </c>
      <c r="D60" s="2360">
        <v>195532</v>
      </c>
      <c r="E60" s="2360">
        <v>29400</v>
      </c>
      <c r="F60" s="735">
        <v>1100</v>
      </c>
      <c r="G60" s="2361">
        <v>775</v>
      </c>
      <c r="S60" s="286"/>
      <c r="T60" s="286"/>
      <c r="AF60" s="2174"/>
      <c r="AG60" s="2174"/>
      <c r="AJ60" s="2208"/>
      <c r="AK60" s="2214">
        <f>VLOOKUP(AK41,AK43:AK58,1)</f>
        <v>0</v>
      </c>
      <c r="AL60" s="2214">
        <f>VLOOKUP(AK60,AK43:AL58,2,0)</f>
        <v>6</v>
      </c>
      <c r="AM60" s="2214"/>
      <c r="AN60" s="2178"/>
      <c r="AO60" s="2179"/>
      <c r="AP60" s="2179"/>
      <c r="AQ60" s="2179"/>
      <c r="AR60" s="2179"/>
      <c r="AS60" s="2179"/>
      <c r="AT60" s="2179"/>
      <c r="AU60" s="2179"/>
      <c r="AV60" s="2179"/>
      <c r="BB60" s="2176"/>
      <c r="BC60" s="2176"/>
      <c r="BF60" s="2208"/>
      <c r="BG60" s="2214">
        <f>VLOOKUP(BG41,BG43:BG58,1)</f>
        <v>0</v>
      </c>
      <c r="BH60" s="2214">
        <f>VLOOKUP(BG60,BG43:BH58,2,0)</f>
        <v>6.5</v>
      </c>
      <c r="BI60" s="2214"/>
      <c r="BJ60" s="2178"/>
      <c r="BK60" s="2179"/>
      <c r="BL60" s="2179"/>
      <c r="BM60" s="2179"/>
      <c r="BN60" s="2179"/>
      <c r="BO60" s="2179"/>
      <c r="BP60" s="2179"/>
      <c r="BQ60" s="2179"/>
      <c r="BR60" s="2179"/>
      <c r="BX60" s="2174"/>
      <c r="CA60" s="2208"/>
      <c r="CB60" s="2214">
        <f>VLOOKUP(CB41,CB43:CB58,1)</f>
        <v>0</v>
      </c>
      <c r="CC60" s="2214">
        <f>VLOOKUP(CB60,CB43:CC58,2,0)</f>
        <v>4.5599999999999996</v>
      </c>
      <c r="CD60" s="2214"/>
      <c r="CE60" s="2207"/>
      <c r="CR60" s="2176"/>
      <c r="CS60" s="2176"/>
      <c r="CV60" s="2208"/>
      <c r="CW60" s="2214">
        <f>VLOOKUP(CW41,CW43:CW58,1)</f>
        <v>0</v>
      </c>
      <c r="CX60" s="2214">
        <f>VLOOKUP(CW60,CW43:CX58,2,0)</f>
        <v>5.16</v>
      </c>
      <c r="CY60" s="2214"/>
      <c r="CZ60" s="2207"/>
      <c r="DS60" s="277"/>
      <c r="DW60" s="1"/>
      <c r="DY60" s="735" t="s">
        <v>683</v>
      </c>
      <c r="DZ60" s="2360">
        <v>195532</v>
      </c>
      <c r="EA60" s="2360">
        <v>29400</v>
      </c>
      <c r="EB60" s="735">
        <v>1100</v>
      </c>
      <c r="EC60" s="2361">
        <v>775</v>
      </c>
      <c r="EO60" s="286"/>
      <c r="EP60" s="286"/>
      <c r="FB60" s="2174"/>
      <c r="FC60" s="2174"/>
      <c r="FF60" s="2208"/>
      <c r="FG60" s="2214">
        <f>VLOOKUP(FG41,FG43:FG58,1)</f>
        <v>0</v>
      </c>
      <c r="FH60" s="2214">
        <f>VLOOKUP(FG60,FG43:FH58,2,0)</f>
        <v>11</v>
      </c>
      <c r="FI60" s="2214"/>
      <c r="FJ60" s="2178"/>
      <c r="FK60" s="2179"/>
      <c r="FL60" s="2179"/>
      <c r="FM60" s="2179"/>
      <c r="FN60" s="2179"/>
      <c r="FO60" s="2179"/>
      <c r="FP60" s="2179"/>
      <c r="FQ60" s="2179"/>
      <c r="FR60" s="2179"/>
      <c r="FX60" s="2176"/>
      <c r="FY60" s="2176"/>
      <c r="GB60" s="2208"/>
      <c r="GC60" s="2214">
        <f>VLOOKUP(GC41,GC43:GC58,1)</f>
        <v>0</v>
      </c>
      <c r="GD60" s="2214">
        <f>VLOOKUP(GC60,GC43:GD58,2,0)</f>
        <v>12</v>
      </c>
      <c r="GE60" s="2214"/>
      <c r="GF60" s="2178"/>
      <c r="GG60" s="2179"/>
      <c r="GH60" s="2179"/>
      <c r="GI60" s="2179"/>
      <c r="GJ60" s="2179"/>
      <c r="GK60" s="2179"/>
      <c r="GL60" s="2179"/>
      <c r="GM60" s="2179"/>
      <c r="GN60" s="2179"/>
      <c r="GT60" s="2174"/>
      <c r="GW60" s="2208"/>
      <c r="GX60" s="2214">
        <f>VLOOKUP(GX41,GX43:GX58,1)</f>
        <v>0</v>
      </c>
      <c r="GY60" s="2214">
        <f>VLOOKUP(GX60,GX43:GY58,2,0)</f>
        <v>8.35</v>
      </c>
      <c r="GZ60" s="2214"/>
      <c r="HA60" s="2207"/>
      <c r="HN60" s="2176"/>
      <c r="HO60" s="2176"/>
      <c r="HR60" s="2208"/>
      <c r="HS60" s="2214">
        <f>VLOOKUP(HS41,HS43:HS58,1)</f>
        <v>0</v>
      </c>
      <c r="HT60" s="2214">
        <f>VLOOKUP(HS60,HS43:HT58,2,0)</f>
        <v>8.89</v>
      </c>
      <c r="HU60" s="2214"/>
      <c r="HV60" s="2207"/>
      <c r="IN60" s="277"/>
      <c r="IO60" s="277"/>
    </row>
    <row r="61" spans="3:249" ht="21.95" customHeight="1" thickBot="1">
      <c r="C61" s="735" t="s">
        <v>684</v>
      </c>
      <c r="D61" s="2360">
        <v>203682</v>
      </c>
      <c r="E61" s="2360">
        <v>33600</v>
      </c>
      <c r="F61" s="735">
        <v>1400</v>
      </c>
      <c r="G61" s="2361">
        <v>825</v>
      </c>
      <c r="S61" s="286"/>
      <c r="T61" s="286"/>
      <c r="AF61" s="2174"/>
      <c r="AG61" s="2174"/>
      <c r="AJ61" s="2208"/>
      <c r="AK61" s="2214">
        <f>IFERROR(VLOOKUP(AK41,AK43:AK58,1,0),0)</f>
        <v>0</v>
      </c>
      <c r="AL61" s="2219">
        <f>IF(AK61&gt;0,AK61,AL60)</f>
        <v>6</v>
      </c>
      <c r="AM61" s="2219">
        <f>VLOOKUP(AL61,AL43:AM58,2,0)</f>
        <v>160</v>
      </c>
      <c r="AN61" s="2178"/>
      <c r="AO61" s="2179"/>
      <c r="AP61" s="2179"/>
      <c r="AQ61" s="2179"/>
      <c r="AR61" s="2179"/>
      <c r="AS61" s="2179"/>
      <c r="AT61" s="2179"/>
      <c r="AU61" s="2179"/>
      <c r="AV61" s="2179"/>
      <c r="BB61" s="2176"/>
      <c r="BC61" s="2176"/>
      <c r="BF61" s="2208"/>
      <c r="BG61" s="2214">
        <f>IFERROR(VLOOKUP(BG41,BG43:BG58,1,0),0)</f>
        <v>0</v>
      </c>
      <c r="BH61" s="2219">
        <f>IF(BG61&gt;0,BG61,BH60)</f>
        <v>6.5</v>
      </c>
      <c r="BI61" s="2219">
        <f>VLOOKUP(BH61,BH43:BI58,2,0)</f>
        <v>160</v>
      </c>
      <c r="BJ61" s="2178"/>
      <c r="BK61" s="2179"/>
      <c r="BL61" s="2179"/>
      <c r="BM61" s="2179"/>
      <c r="BN61" s="2179"/>
      <c r="BO61" s="2179"/>
      <c r="BP61" s="2179"/>
      <c r="BQ61" s="2179"/>
      <c r="BR61" s="2179"/>
      <c r="BX61" s="2174"/>
      <c r="CA61" s="2208"/>
      <c r="CB61" s="2214">
        <f>IFERROR(VLOOKUP(CB41,CB43:CB58,1,0),0)</f>
        <v>0</v>
      </c>
      <c r="CC61" s="2219">
        <f>IF(CB61&gt;0,CB61,CC60)</f>
        <v>4.5599999999999996</v>
      </c>
      <c r="CD61" s="2219">
        <f>VLOOKUP(CC61,CC43:CD58,2,0)</f>
        <v>140</v>
      </c>
      <c r="CE61" s="2207"/>
      <c r="CR61" s="2176"/>
      <c r="CS61" s="2176"/>
      <c r="CV61" s="2208"/>
      <c r="CW61" s="2214">
        <f>IFERROR(VLOOKUP(CW41,CW43:CW58,1,0),0)</f>
        <v>0</v>
      </c>
      <c r="CX61" s="2219">
        <f>IF(CW61&gt;0,CW61,CX60)</f>
        <v>5.16</v>
      </c>
      <c r="CY61" s="2219">
        <f>VLOOKUP(CX61,CX43:CY58,2,0)</f>
        <v>140</v>
      </c>
      <c r="CZ61" s="2207"/>
      <c r="DS61" s="277"/>
      <c r="DW61" s="1"/>
      <c r="DY61" s="735" t="s">
        <v>684</v>
      </c>
      <c r="DZ61" s="2360">
        <v>203682</v>
      </c>
      <c r="EA61" s="2360">
        <v>33600</v>
      </c>
      <c r="EB61" s="735">
        <v>1400</v>
      </c>
      <c r="EC61" s="2361">
        <v>825</v>
      </c>
      <c r="EO61" s="286"/>
      <c r="EP61" s="286"/>
      <c r="FB61" s="2174"/>
      <c r="FC61" s="2174"/>
      <c r="FF61" s="2208"/>
      <c r="FG61" s="2214">
        <f>IFERROR(VLOOKUP(FG41,FG43:FG58,1,0),0)</f>
        <v>0</v>
      </c>
      <c r="FH61" s="2219">
        <f>IF(FG61&gt;0,FG61,FH60)</f>
        <v>11</v>
      </c>
      <c r="FI61" s="2219">
        <f>VLOOKUP(FH61,FH43:FI58,2,0)</f>
        <v>160</v>
      </c>
      <c r="FJ61" s="2178"/>
      <c r="FK61" s="2179"/>
      <c r="FL61" s="2179"/>
      <c r="FM61" s="2179"/>
      <c r="FN61" s="2179"/>
      <c r="FO61" s="2179"/>
      <c r="FP61" s="2179"/>
      <c r="FQ61" s="2179"/>
      <c r="FR61" s="2179"/>
      <c r="FX61" s="2176"/>
      <c r="FY61" s="2176"/>
      <c r="GB61" s="2208"/>
      <c r="GC61" s="2214">
        <f>IFERROR(VLOOKUP(GC41,GC43:GC58,1,0),0)</f>
        <v>0</v>
      </c>
      <c r="GD61" s="2219">
        <f>IF(GC61&gt;0,GC61,GD60)</f>
        <v>12</v>
      </c>
      <c r="GE61" s="2219">
        <f>VLOOKUP(GD61,GD43:GE58,2,0)</f>
        <v>160</v>
      </c>
      <c r="GF61" s="2178"/>
      <c r="GG61" s="2179"/>
      <c r="GH61" s="2179"/>
      <c r="GI61" s="2179"/>
      <c r="GJ61" s="2179"/>
      <c r="GK61" s="2179"/>
      <c r="GL61" s="2179"/>
      <c r="GM61" s="2179"/>
      <c r="GN61" s="2179"/>
      <c r="GT61" s="2174"/>
      <c r="GW61" s="2208"/>
      <c r="GX61" s="2214">
        <f>IFERROR(VLOOKUP(GX41,GX43:GX58,1,0),0)</f>
        <v>0</v>
      </c>
      <c r="GY61" s="2219">
        <f>IF(GX61&gt;0,GX61,GY60)</f>
        <v>8.35</v>
      </c>
      <c r="GZ61" s="2219">
        <f>VLOOKUP(GY61,GY43:GZ58,2,0)</f>
        <v>140</v>
      </c>
      <c r="HA61" s="2207"/>
      <c r="HN61" s="2176"/>
      <c r="HO61" s="2176"/>
      <c r="HR61" s="2208"/>
      <c r="HS61" s="2214">
        <f>IFERROR(VLOOKUP(HS41,HS43:HS58,1,0),0)</f>
        <v>0</v>
      </c>
      <c r="HT61" s="2219">
        <f>IF(HS61&gt;0,HS61,HT60)</f>
        <v>8.89</v>
      </c>
      <c r="HU61" s="2219">
        <f>VLOOKUP(HT61,HT43:HU58,2,0)</f>
        <v>140</v>
      </c>
      <c r="HV61" s="2207"/>
      <c r="IN61" s="277"/>
      <c r="IO61" s="277"/>
    </row>
    <row r="62" spans="3:249" ht="21.95" customHeight="1" thickBot="1">
      <c r="C62" s="735" t="s">
        <v>686</v>
      </c>
      <c r="D62" s="2360">
        <v>321637</v>
      </c>
      <c r="E62" s="2360">
        <v>36750</v>
      </c>
      <c r="F62" s="735">
        <v>2200</v>
      </c>
      <c r="G62" s="2361">
        <v>950</v>
      </c>
      <c r="S62" s="286"/>
      <c r="T62" s="286"/>
      <c r="AF62" s="2174"/>
      <c r="AG62" s="2174"/>
      <c r="AJ62" s="2220" t="s">
        <v>714</v>
      </c>
      <c r="AK62" s="2221"/>
      <c r="AL62" s="2221">
        <f>AL61</f>
        <v>6</v>
      </c>
      <c r="AM62" s="2222">
        <f>AM61</f>
        <v>160</v>
      </c>
      <c r="AN62" s="2178"/>
      <c r="AO62" s="2178"/>
      <c r="AP62" s="2178"/>
      <c r="AQ62" s="2178"/>
      <c r="AR62" s="2178"/>
      <c r="AS62" s="2178"/>
      <c r="AT62" s="2178"/>
      <c r="AU62" s="2178"/>
      <c r="AV62" s="2179"/>
      <c r="BB62" s="2176"/>
      <c r="BC62" s="2176"/>
      <c r="BF62" s="2220" t="s">
        <v>714</v>
      </c>
      <c r="BG62" s="2221"/>
      <c r="BH62" s="2221">
        <f>BH61</f>
        <v>6.5</v>
      </c>
      <c r="BI62" s="2222">
        <f>BI61</f>
        <v>160</v>
      </c>
      <c r="BJ62" s="2178"/>
      <c r="BK62" s="2178"/>
      <c r="BL62" s="2178"/>
      <c r="BM62" s="2178"/>
      <c r="BN62" s="2178"/>
      <c r="BO62" s="2178"/>
      <c r="BP62" s="2178"/>
      <c r="BQ62" s="2178"/>
      <c r="BR62" s="2179"/>
      <c r="BX62" s="2174"/>
      <c r="CA62" s="2223" t="s">
        <v>714</v>
      </c>
      <c r="CB62" s="2224"/>
      <c r="CC62" s="2224">
        <f>CC61</f>
        <v>4.5599999999999996</v>
      </c>
      <c r="CD62" s="2225">
        <f>CD61</f>
        <v>140</v>
      </c>
      <c r="CE62" s="2207"/>
      <c r="CF62" s="2207"/>
      <c r="CG62" s="2207"/>
      <c r="CH62" s="2207"/>
      <c r="CI62" s="2207"/>
      <c r="CJ62" s="2207"/>
      <c r="CK62" s="2207"/>
      <c r="CL62" s="2207"/>
      <c r="CR62" s="2176"/>
      <c r="CS62" s="2176"/>
      <c r="CV62" s="2223" t="s">
        <v>714</v>
      </c>
      <c r="CW62" s="2224"/>
      <c r="CX62" s="2224">
        <f>CX61</f>
        <v>5.16</v>
      </c>
      <c r="CY62" s="2225">
        <f>CY61</f>
        <v>140</v>
      </c>
      <c r="CZ62" s="2207"/>
      <c r="DA62" s="2207"/>
      <c r="DB62" s="2207"/>
      <c r="DC62" s="2207"/>
      <c r="DD62" s="2207"/>
      <c r="DE62" s="2207"/>
      <c r="DF62" s="2207"/>
      <c r="DG62" s="2207"/>
      <c r="DS62" s="277"/>
      <c r="DW62" s="1"/>
      <c r="DY62" s="735" t="s">
        <v>686</v>
      </c>
      <c r="DZ62" s="2360">
        <v>321637</v>
      </c>
      <c r="EA62" s="2360">
        <v>36750</v>
      </c>
      <c r="EB62" s="735">
        <v>2200</v>
      </c>
      <c r="EC62" s="2361">
        <v>950</v>
      </c>
      <c r="EO62" s="286"/>
      <c r="EP62" s="286"/>
      <c r="FB62" s="2174"/>
      <c r="FC62" s="2174"/>
      <c r="FF62" s="2220" t="s">
        <v>714</v>
      </c>
      <c r="FG62" s="2221"/>
      <c r="FH62" s="2221">
        <f>FH61</f>
        <v>11</v>
      </c>
      <c r="FI62" s="2222">
        <f>FI61</f>
        <v>160</v>
      </c>
      <c r="FJ62" s="2178"/>
      <c r="FK62" s="2178"/>
      <c r="FL62" s="2178"/>
      <c r="FM62" s="2178"/>
      <c r="FN62" s="2178"/>
      <c r="FO62" s="2178"/>
      <c r="FP62" s="2178"/>
      <c r="FQ62" s="2178"/>
      <c r="FR62" s="2179"/>
      <c r="FX62" s="2176"/>
      <c r="FY62" s="2176"/>
      <c r="GB62" s="2220" t="s">
        <v>714</v>
      </c>
      <c r="GC62" s="2221"/>
      <c r="GD62" s="2221">
        <f>GD61</f>
        <v>12</v>
      </c>
      <c r="GE62" s="2222">
        <f>GE61</f>
        <v>160</v>
      </c>
      <c r="GF62" s="2178"/>
      <c r="GG62" s="2178"/>
      <c r="GH62" s="2178"/>
      <c r="GI62" s="2178"/>
      <c r="GJ62" s="2178"/>
      <c r="GK62" s="2178"/>
      <c r="GL62" s="2178"/>
      <c r="GM62" s="2178"/>
      <c r="GN62" s="2179"/>
      <c r="GT62" s="2174"/>
      <c r="GW62" s="2223" t="s">
        <v>714</v>
      </c>
      <c r="GX62" s="2224"/>
      <c r="GY62" s="2224">
        <f>GY61</f>
        <v>8.35</v>
      </c>
      <c r="GZ62" s="2225">
        <f>GZ61</f>
        <v>140</v>
      </c>
      <c r="HA62" s="2207"/>
      <c r="HB62" s="2207"/>
      <c r="HC62" s="2207"/>
      <c r="HD62" s="2207"/>
      <c r="HE62" s="2207"/>
      <c r="HF62" s="2207"/>
      <c r="HG62" s="2207"/>
      <c r="HH62" s="2207"/>
      <c r="HN62" s="2176"/>
      <c r="HO62" s="2176"/>
      <c r="HR62" s="2223" t="s">
        <v>714</v>
      </c>
      <c r="HS62" s="2224"/>
      <c r="HT62" s="2224">
        <f>HT61</f>
        <v>8.89</v>
      </c>
      <c r="HU62" s="2225">
        <f>HU61</f>
        <v>140</v>
      </c>
      <c r="HV62" s="2207"/>
      <c r="HW62" s="2207"/>
      <c r="HX62" s="2207"/>
      <c r="HY62" s="2207"/>
      <c r="HZ62" s="2207"/>
      <c r="IA62" s="2207"/>
      <c r="IB62" s="2207"/>
      <c r="IC62" s="2207"/>
      <c r="IN62" s="277"/>
      <c r="IO62" s="277"/>
    </row>
    <row r="63" spans="3:249" ht="21.95" customHeight="1">
      <c r="C63" s="735" t="s">
        <v>687</v>
      </c>
      <c r="D63" s="2360">
        <v>412631</v>
      </c>
      <c r="E63" s="2360">
        <v>42000</v>
      </c>
      <c r="F63" s="735">
        <v>2600</v>
      </c>
      <c r="G63" s="2361">
        <v>1100</v>
      </c>
      <c r="S63" s="286"/>
      <c r="T63" s="286"/>
      <c r="AF63" s="2174"/>
      <c r="AG63" s="2174"/>
      <c r="AJ63" s="2177"/>
      <c r="AK63" s="2178"/>
      <c r="AL63" s="2178"/>
      <c r="AM63" s="2178"/>
      <c r="AN63" s="2178"/>
      <c r="AO63" s="2178"/>
      <c r="AP63" s="2178"/>
      <c r="AQ63" s="2178"/>
      <c r="AR63" s="2178"/>
      <c r="AS63" s="2178"/>
      <c r="AT63" s="2178"/>
      <c r="AU63" s="2178"/>
      <c r="AV63" s="2179"/>
      <c r="BB63" s="2176"/>
      <c r="BC63" s="2176"/>
      <c r="BF63" s="2177"/>
      <c r="BG63" s="2178"/>
      <c r="BH63" s="2178"/>
      <c r="BI63" s="2178"/>
      <c r="BJ63" s="2178"/>
      <c r="BK63" s="2178"/>
      <c r="BL63" s="2178"/>
      <c r="BM63" s="2178"/>
      <c r="BN63" s="2178"/>
      <c r="BO63" s="2178"/>
      <c r="BP63" s="2178"/>
      <c r="BQ63" s="2178"/>
      <c r="BR63" s="2179"/>
      <c r="BX63" s="2174"/>
      <c r="CA63" s="2180"/>
      <c r="CB63" s="2207"/>
      <c r="CC63" s="2207"/>
      <c r="CD63" s="2207"/>
      <c r="CE63" s="2207"/>
      <c r="CF63" s="2207"/>
      <c r="CG63" s="2207"/>
      <c r="CH63" s="2207"/>
      <c r="CI63" s="2207"/>
      <c r="CJ63" s="2207"/>
      <c r="CK63" s="2207"/>
      <c r="CL63" s="2207"/>
      <c r="CR63" s="2176"/>
      <c r="CS63" s="2176"/>
      <c r="CV63" s="2180"/>
      <c r="CW63" s="2207"/>
      <c r="CX63" s="2207"/>
      <c r="CY63" s="2207"/>
      <c r="CZ63" s="2207"/>
      <c r="DA63" s="2207"/>
      <c r="DB63" s="2207"/>
      <c r="DC63" s="2207"/>
      <c r="DD63" s="2207"/>
      <c r="DE63" s="2207"/>
      <c r="DF63" s="2207"/>
      <c r="DG63" s="2207"/>
      <c r="DS63" s="277"/>
      <c r="DW63" s="1"/>
      <c r="DY63" s="735" t="s">
        <v>687</v>
      </c>
      <c r="DZ63" s="2360">
        <v>412631</v>
      </c>
      <c r="EA63" s="2360">
        <v>42000</v>
      </c>
      <c r="EB63" s="735">
        <v>2600</v>
      </c>
      <c r="EC63" s="2361">
        <v>1100</v>
      </c>
      <c r="EO63" s="286"/>
      <c r="EP63" s="286"/>
      <c r="FB63" s="2174"/>
      <c r="FC63" s="2174"/>
      <c r="FF63" s="2177"/>
      <c r="FG63" s="2178"/>
      <c r="FH63" s="2178"/>
      <c r="FI63" s="2178"/>
      <c r="FJ63" s="2178"/>
      <c r="FK63" s="2178"/>
      <c r="FL63" s="2178"/>
      <c r="FM63" s="2178"/>
      <c r="FN63" s="2178"/>
      <c r="FO63" s="2178"/>
      <c r="FP63" s="2178"/>
      <c r="FQ63" s="2178"/>
      <c r="FR63" s="2179"/>
      <c r="FX63" s="2176"/>
      <c r="FY63" s="2176"/>
      <c r="GB63" s="2177"/>
      <c r="GC63" s="2178"/>
      <c r="GD63" s="2178"/>
      <c r="GE63" s="2178"/>
      <c r="GF63" s="2178"/>
      <c r="GG63" s="2178"/>
      <c r="GH63" s="2178"/>
      <c r="GI63" s="2178"/>
      <c r="GJ63" s="2178"/>
      <c r="GK63" s="2178"/>
      <c r="GL63" s="2178"/>
      <c r="GM63" s="2178"/>
      <c r="GN63" s="2179"/>
      <c r="GT63" s="2174"/>
      <c r="GW63" s="2180"/>
      <c r="GX63" s="2207"/>
      <c r="GY63" s="2207"/>
      <c r="GZ63" s="2207"/>
      <c r="HA63" s="2207"/>
      <c r="HB63" s="2207"/>
      <c r="HC63" s="2207"/>
      <c r="HD63" s="2207"/>
      <c r="HE63" s="2207"/>
      <c r="HF63" s="2207"/>
      <c r="HG63" s="2207"/>
      <c r="HH63" s="2207"/>
      <c r="HN63" s="2176"/>
      <c r="HO63" s="2176"/>
      <c r="HR63" s="2180"/>
      <c r="HS63" s="2207"/>
      <c r="HT63" s="2207"/>
      <c r="HU63" s="2207"/>
      <c r="HV63" s="2207"/>
      <c r="HW63" s="2207"/>
      <c r="HX63" s="2207"/>
      <c r="HY63" s="2207"/>
      <c r="HZ63" s="2207"/>
      <c r="IA63" s="2207"/>
      <c r="IB63" s="2207"/>
      <c r="IC63" s="2207"/>
      <c r="IN63" s="277"/>
      <c r="IO63" s="277"/>
    </row>
    <row r="64" spans="3:249" ht="21.95" customHeight="1">
      <c r="C64" s="735" t="s">
        <v>690</v>
      </c>
      <c r="D64" s="2360">
        <v>504000</v>
      </c>
      <c r="E64" s="2360">
        <v>52500</v>
      </c>
      <c r="F64" s="735">
        <v>3300</v>
      </c>
      <c r="G64" s="2361">
        <v>1250</v>
      </c>
      <c r="S64" s="286"/>
      <c r="T64" s="286"/>
      <c r="AF64" s="2174"/>
      <c r="AG64" s="2174"/>
      <c r="AJ64" s="2226" t="s">
        <v>736</v>
      </c>
      <c r="AK64" s="311">
        <v>160</v>
      </c>
      <c r="AL64" s="311">
        <v>180</v>
      </c>
      <c r="AM64" s="311">
        <v>200</v>
      </c>
      <c r="AN64" s="311">
        <v>225</v>
      </c>
      <c r="AO64" s="311">
        <v>250</v>
      </c>
      <c r="AP64" s="311">
        <v>280</v>
      </c>
      <c r="AQ64" s="311">
        <v>315</v>
      </c>
      <c r="AR64" s="311">
        <v>355</v>
      </c>
      <c r="AS64" s="311">
        <v>400</v>
      </c>
      <c r="AT64" s="311">
        <v>450</v>
      </c>
      <c r="AU64" s="311">
        <v>500</v>
      </c>
      <c r="AV64" s="311">
        <v>560</v>
      </c>
      <c r="AW64" s="311">
        <v>630</v>
      </c>
      <c r="AX64" s="311">
        <v>710</v>
      </c>
      <c r="AY64" s="311">
        <v>800</v>
      </c>
      <c r="BB64" s="2176"/>
      <c r="BC64" s="2176"/>
      <c r="BF64" s="2226" t="s">
        <v>736</v>
      </c>
      <c r="BG64" s="311">
        <v>160</v>
      </c>
      <c r="BH64" s="311">
        <v>180</v>
      </c>
      <c r="BI64" s="311">
        <v>200</v>
      </c>
      <c r="BJ64" s="311">
        <v>225</v>
      </c>
      <c r="BK64" s="311">
        <v>250</v>
      </c>
      <c r="BL64" s="311">
        <v>280</v>
      </c>
      <c r="BM64" s="311">
        <v>315</v>
      </c>
      <c r="BN64" s="311">
        <v>355</v>
      </c>
      <c r="BO64" s="311">
        <v>400</v>
      </c>
      <c r="BP64" s="311">
        <v>450</v>
      </c>
      <c r="BQ64" s="311">
        <v>500</v>
      </c>
      <c r="BR64" s="311">
        <v>560</v>
      </c>
      <c r="BS64" s="311">
        <v>630</v>
      </c>
      <c r="BT64" s="311">
        <v>710</v>
      </c>
      <c r="BU64" s="311">
        <v>800</v>
      </c>
      <c r="BX64" s="2174"/>
      <c r="CA64" s="2226" t="s">
        <v>736</v>
      </c>
      <c r="CB64" s="2227">
        <v>140</v>
      </c>
      <c r="CC64" s="2227">
        <v>160</v>
      </c>
      <c r="CD64" s="2227">
        <v>180</v>
      </c>
      <c r="CE64" s="2227">
        <v>200</v>
      </c>
      <c r="CF64" s="2227">
        <v>225</v>
      </c>
      <c r="CG64" s="2227">
        <v>250</v>
      </c>
      <c r="CH64" s="2227">
        <v>280</v>
      </c>
      <c r="CI64" s="2227">
        <v>315</v>
      </c>
      <c r="CJ64" s="2227">
        <v>355</v>
      </c>
      <c r="CK64" s="2227">
        <v>400</v>
      </c>
      <c r="CL64" s="2227">
        <v>450</v>
      </c>
      <c r="CM64" s="2227">
        <v>500</v>
      </c>
      <c r="CN64" s="2227">
        <v>560</v>
      </c>
      <c r="CO64" s="2227">
        <v>630</v>
      </c>
      <c r="CP64" s="2227"/>
      <c r="CR64" s="2176"/>
      <c r="CS64" s="2176"/>
      <c r="CV64" s="2226" t="s">
        <v>736</v>
      </c>
      <c r="CW64" s="2227">
        <v>140</v>
      </c>
      <c r="CX64" s="2227">
        <v>160</v>
      </c>
      <c r="CY64" s="2227">
        <v>180</v>
      </c>
      <c r="CZ64" s="2227">
        <v>200</v>
      </c>
      <c r="DA64" s="2227">
        <v>225</v>
      </c>
      <c r="DB64" s="2227">
        <v>250</v>
      </c>
      <c r="DC64" s="2227">
        <v>280</v>
      </c>
      <c r="DD64" s="2227">
        <v>315</v>
      </c>
      <c r="DE64" s="2227">
        <v>355</v>
      </c>
      <c r="DF64" s="2227">
        <v>400</v>
      </c>
      <c r="DG64" s="2227">
        <v>450</v>
      </c>
      <c r="DH64" s="2227">
        <v>500</v>
      </c>
      <c r="DI64" s="2227">
        <v>560</v>
      </c>
      <c r="DJ64" s="2227">
        <v>630</v>
      </c>
      <c r="DK64" s="2227"/>
      <c r="DS64" s="277"/>
      <c r="DW64" s="1"/>
      <c r="DY64" s="735" t="s">
        <v>690</v>
      </c>
      <c r="DZ64" s="2360">
        <v>504000</v>
      </c>
      <c r="EA64" s="2360">
        <v>52500</v>
      </c>
      <c r="EB64" s="735">
        <v>3300</v>
      </c>
      <c r="EC64" s="2361">
        <v>1250</v>
      </c>
      <c r="EO64" s="286"/>
      <c r="EP64" s="286"/>
      <c r="FB64" s="2174"/>
      <c r="FC64" s="2174"/>
      <c r="FF64" s="2226" t="s">
        <v>736</v>
      </c>
      <c r="FG64" s="311">
        <v>160</v>
      </c>
      <c r="FH64" s="311">
        <v>180</v>
      </c>
      <c r="FI64" s="311">
        <v>200</v>
      </c>
      <c r="FJ64" s="311">
        <v>225</v>
      </c>
      <c r="FK64" s="311">
        <v>250</v>
      </c>
      <c r="FL64" s="311">
        <v>280</v>
      </c>
      <c r="FM64" s="311">
        <v>315</v>
      </c>
      <c r="FN64" s="311">
        <v>355</v>
      </c>
      <c r="FO64" s="311">
        <v>400</v>
      </c>
      <c r="FP64" s="311">
        <v>450</v>
      </c>
      <c r="FQ64" s="311">
        <v>500</v>
      </c>
      <c r="FR64" s="311">
        <v>560</v>
      </c>
      <c r="FS64" s="311">
        <v>630</v>
      </c>
      <c r="FT64" s="311">
        <v>710</v>
      </c>
      <c r="FU64" s="311">
        <v>800</v>
      </c>
      <c r="FX64" s="2176"/>
      <c r="FY64" s="2176"/>
      <c r="GB64" s="2226" t="s">
        <v>736</v>
      </c>
      <c r="GC64" s="311">
        <v>160</v>
      </c>
      <c r="GD64" s="311">
        <v>180</v>
      </c>
      <c r="GE64" s="311">
        <v>200</v>
      </c>
      <c r="GF64" s="311">
        <v>225</v>
      </c>
      <c r="GG64" s="311">
        <v>250</v>
      </c>
      <c r="GH64" s="311">
        <v>280</v>
      </c>
      <c r="GI64" s="311">
        <v>315</v>
      </c>
      <c r="GJ64" s="311">
        <v>355</v>
      </c>
      <c r="GK64" s="311">
        <v>400</v>
      </c>
      <c r="GL64" s="311">
        <v>450</v>
      </c>
      <c r="GM64" s="311">
        <v>500</v>
      </c>
      <c r="GN64" s="311">
        <v>560</v>
      </c>
      <c r="GO64" s="311">
        <v>630</v>
      </c>
      <c r="GP64" s="311">
        <v>710</v>
      </c>
      <c r="GQ64" s="311">
        <v>800</v>
      </c>
      <c r="GT64" s="2174"/>
      <c r="GW64" s="2226" t="s">
        <v>736</v>
      </c>
      <c r="GX64" s="2227">
        <v>140</v>
      </c>
      <c r="GY64" s="2227">
        <v>160</v>
      </c>
      <c r="GZ64" s="2227">
        <v>180</v>
      </c>
      <c r="HA64" s="2227">
        <v>200</v>
      </c>
      <c r="HB64" s="2227">
        <v>225</v>
      </c>
      <c r="HC64" s="2227">
        <v>250</v>
      </c>
      <c r="HD64" s="2227">
        <v>280</v>
      </c>
      <c r="HE64" s="2227">
        <v>315</v>
      </c>
      <c r="HF64" s="2227">
        <v>355</v>
      </c>
      <c r="HG64" s="2227">
        <v>400</v>
      </c>
      <c r="HH64" s="2227">
        <v>450</v>
      </c>
      <c r="HI64" s="2227">
        <v>500</v>
      </c>
      <c r="HJ64" s="2227">
        <v>560</v>
      </c>
      <c r="HK64" s="2227">
        <v>630</v>
      </c>
      <c r="HL64" s="2227"/>
      <c r="HN64" s="2176"/>
      <c r="HO64" s="2176"/>
      <c r="HR64" s="2226" t="s">
        <v>736</v>
      </c>
      <c r="HS64" s="2227">
        <v>140</v>
      </c>
      <c r="HT64" s="2227">
        <v>160</v>
      </c>
      <c r="HU64" s="2227">
        <v>180</v>
      </c>
      <c r="HV64" s="2227">
        <v>200</v>
      </c>
      <c r="HW64" s="2227">
        <v>225</v>
      </c>
      <c r="HX64" s="2227">
        <v>250</v>
      </c>
      <c r="HY64" s="2227">
        <v>280</v>
      </c>
      <c r="HZ64" s="2227">
        <v>315</v>
      </c>
      <c r="IA64" s="2227">
        <v>355</v>
      </c>
      <c r="IB64" s="2227">
        <v>400</v>
      </c>
      <c r="IC64" s="2227">
        <v>450</v>
      </c>
      <c r="ID64" s="2227">
        <v>500</v>
      </c>
      <c r="IE64" s="2227">
        <v>560</v>
      </c>
      <c r="IF64" s="2227">
        <v>630</v>
      </c>
      <c r="IG64" s="2227"/>
      <c r="IN64" s="277"/>
      <c r="IO64" s="277"/>
    </row>
    <row r="65" spans="3:249" ht="21.95" customHeight="1">
      <c r="C65" s="735" t="s">
        <v>692</v>
      </c>
      <c r="D65" s="2360">
        <v>693000</v>
      </c>
      <c r="E65" s="2360">
        <v>57750</v>
      </c>
      <c r="F65" s="735">
        <v>4250</v>
      </c>
      <c r="G65" s="2361">
        <v>1450</v>
      </c>
      <c r="S65" s="286"/>
      <c r="T65" s="286"/>
      <c r="AF65" s="2174"/>
      <c r="AG65" s="2174"/>
      <c r="AJ65" s="2226">
        <f>AK40</f>
        <v>80</v>
      </c>
      <c r="AK65" s="311">
        <f>VLOOKUP(AJ65,AJ5:AY38,2,0)</f>
        <v>6</v>
      </c>
      <c r="AL65" s="311">
        <f>VLOOKUP(AJ65,AJ5:AY38,3,0)</f>
        <v>9</v>
      </c>
      <c r="AM65" s="311">
        <f>VLOOKUP(AJ65,AJ5:AY38,4,0)</f>
        <v>13</v>
      </c>
      <c r="AN65" s="311">
        <f>VLOOKUP(AJ65,AJ5:AY38,5,0)</f>
        <v>19</v>
      </c>
      <c r="AO65" s="311">
        <f>VLOOKUP(AJ65,AJ5:AY38,6,0)</f>
        <v>24</v>
      </c>
      <c r="AP65" s="311">
        <f>VLOOKUP(AJ65,AJ5:AY38,7,0)</f>
        <v>34</v>
      </c>
      <c r="AQ65" s="311">
        <f>VLOOKUP(AJ65,AJ5:AY38,8,0)</f>
        <v>54</v>
      </c>
      <c r="AR65" s="311">
        <f>VLOOKUP(AJ65,AJ5:AY38,9,0)</f>
        <v>82</v>
      </c>
      <c r="AS65" s="311">
        <f>VLOOKUP(AJ65,AJ5:AY38,10,0)</f>
        <v>100</v>
      </c>
      <c r="AT65" s="311">
        <f>VLOOKUP(AJ65,AJ5:AY38,11,0)</f>
        <v>150</v>
      </c>
      <c r="AU65" s="311">
        <f>VLOOKUP(AJ65,AJ5:AY38,12,0)</f>
        <v>240</v>
      </c>
      <c r="AV65" s="311">
        <f>VLOOKUP(AJ65,AJ5:AY38,13,0)</f>
        <v>340</v>
      </c>
      <c r="AW65" s="311">
        <f>VLOOKUP(AJ65,AJ5:AY38,14,0)</f>
        <v>450</v>
      </c>
      <c r="AX65" s="311">
        <f>VLOOKUP(AJ65,AJ5:AY38,15,0)</f>
        <v>650</v>
      </c>
      <c r="AY65" s="311">
        <f>VLOOKUP(AJ65,AJ5:AY38,16,0)</f>
        <v>940</v>
      </c>
      <c r="BB65" s="2176"/>
      <c r="BC65" s="2176"/>
      <c r="BF65" s="2226">
        <f>BG40</f>
        <v>71</v>
      </c>
      <c r="BG65" s="311">
        <f>VLOOKUP(BF65,BF5:BU38,2,0)</f>
        <v>6.5</v>
      </c>
      <c r="BH65" s="311">
        <f>VLOOKUP(BF65,BF5:BU38,3,0)</f>
        <v>10</v>
      </c>
      <c r="BI65" s="311">
        <f>VLOOKUP(BF65,BF5:BU38,4,0)</f>
        <v>14</v>
      </c>
      <c r="BJ65" s="311">
        <f>VLOOKUP(BF65,BF5:BU38,5,0)</f>
        <v>22</v>
      </c>
      <c r="BK65" s="311">
        <f>VLOOKUP(BF65,BF5:BU38,6,0)</f>
        <v>27</v>
      </c>
      <c r="BL65" s="311">
        <f>VLOOKUP(BF65,BF5:BU38,7,0)</f>
        <v>39</v>
      </c>
      <c r="BM65" s="311">
        <f>VLOOKUP(BF65,BF5:BU38,8,0)</f>
        <v>61</v>
      </c>
      <c r="BN65" s="311">
        <f>VLOOKUP(BF65,BF5:BU38,9,0)</f>
        <v>92</v>
      </c>
      <c r="BO65" s="311">
        <f>VLOOKUP(BF65,BF5:BU38,10,0)</f>
        <v>115</v>
      </c>
      <c r="BP65" s="311">
        <f>VLOOKUP(BF65,BF5:BU38,11,0)</f>
        <v>170</v>
      </c>
      <c r="BQ65" s="311">
        <f>VLOOKUP(BF65,BF5:BU38,12,0)</f>
        <v>270</v>
      </c>
      <c r="BR65" s="311">
        <f>VLOOKUP(BF65,BF5:BU38,13,0)</f>
        <v>380</v>
      </c>
      <c r="BS65" s="311">
        <f>VLOOKUP(BF65,BF5:BU38,14,0)</f>
        <v>500</v>
      </c>
      <c r="BT65" s="311">
        <f>VLOOKUP(BF65,BF5:BU38,15,0)</f>
        <v>730</v>
      </c>
      <c r="BU65" s="311">
        <f>VLOOKUP(BF65,BF5:BU38,16,0)</f>
        <v>1050</v>
      </c>
      <c r="BX65" s="2174"/>
      <c r="CA65" s="2226">
        <f>CB40</f>
        <v>78.2</v>
      </c>
      <c r="CB65" s="2227">
        <f>VLOOKUP(CA65,CA5:CP38,2,0)</f>
        <v>4.5599999999999996</v>
      </c>
      <c r="CC65" s="2227">
        <f>VLOOKUP(CA65,CA5:CP38,3,0)</f>
        <v>7.17</v>
      </c>
      <c r="CD65" s="2227">
        <f>VLOOKUP(CA65,CA5:CP38,4,0)</f>
        <v>10.9</v>
      </c>
      <c r="CE65" s="2227">
        <f>VLOOKUP(CA65,CA5:CP38,5,0)</f>
        <v>15.1</v>
      </c>
      <c r="CF65" s="2227">
        <f>VLOOKUP(CA65,CA5:CP38,6,0)</f>
        <v>22.7</v>
      </c>
      <c r="CG65" s="2227">
        <f>VLOOKUP(CA65,CA5:CP38,7,0)</f>
        <v>33.5</v>
      </c>
      <c r="CH65" s="2227">
        <f>VLOOKUP(CA65,CA5:CP38,8,0)</f>
        <v>45.7</v>
      </c>
      <c r="CI65" s="2227">
        <f>VLOOKUP(CA65,CA5:CP38,9,0)</f>
        <v>65.099999999999994</v>
      </c>
      <c r="CJ65" s="2227">
        <f>VLOOKUP(CA65,CA5:CP38,10,0)</f>
        <v>79.099999999999994</v>
      </c>
      <c r="CK65" s="2227">
        <f>VLOOKUP(CA65,CA5:CP38,11,0)</f>
        <v>118</v>
      </c>
      <c r="CL65" s="2227">
        <f>VLOOKUP(CA65,CA5:CP38,12,0)</f>
        <v>171</v>
      </c>
      <c r="CM65" s="2227">
        <f>VLOOKUP(CA65,CA5:CP38,13,0)</f>
        <v>259</v>
      </c>
      <c r="CN65" s="2227">
        <f>VLOOKUP(CA65,CA5:CP38,14,0)</f>
        <v>368</v>
      </c>
      <c r="CO65" s="2227">
        <f>VLOOKUP(CA65,CA5:CP38,15,0)</f>
        <v>0</v>
      </c>
      <c r="CP65" s="2227"/>
      <c r="CR65" s="2176"/>
      <c r="CS65" s="2176"/>
      <c r="CV65" s="2226">
        <f>CW40</f>
        <v>70.599999999999994</v>
      </c>
      <c r="CW65" s="2227">
        <f>VLOOKUP(CV65,CV5:DK38,2,0)</f>
        <v>5.16</v>
      </c>
      <c r="CX65" s="2227">
        <f>VLOOKUP(CV65,CV5:DK38,3,0)</f>
        <v>8.2100000000000009</v>
      </c>
      <c r="CY65" s="2227">
        <f>VLOOKUP(CV65,CV5:DK38,4,0)</f>
        <v>11.6</v>
      </c>
      <c r="CZ65" s="2227">
        <f>VLOOKUP(CV65,CV5:DK38,5,0)</f>
        <v>14.7</v>
      </c>
      <c r="DA65" s="2227">
        <f>VLOOKUP(CV65,CV5:DK38,6,0)</f>
        <v>23.3</v>
      </c>
      <c r="DB65" s="2227">
        <f>VLOOKUP(CV65,CV5:DK38,7,0)</f>
        <v>31.4</v>
      </c>
      <c r="DC65" s="2227">
        <f>VLOOKUP(CV65,CV5:DK38,8,0)</f>
        <v>47.7</v>
      </c>
      <c r="DD65" s="2227">
        <f>VLOOKUP(CV65,CV5:DK38,9,0)</f>
        <v>61.1</v>
      </c>
      <c r="DE65" s="2227">
        <f>VLOOKUP(CV65,CV5:DK38,10,0)</f>
        <v>92.2</v>
      </c>
      <c r="DF65" s="2227">
        <f>VLOOKUP(CV65,CV5:DK38,11,0)</f>
        <v>130</v>
      </c>
      <c r="DG65" s="2227">
        <f>VLOOKUP(CV65,CV5:DK38,12,0)</f>
        <v>182</v>
      </c>
      <c r="DH65" s="2227">
        <f>VLOOKUP(CV65,CV5:DK38,13,0)</f>
        <v>294</v>
      </c>
      <c r="DI65" s="2227">
        <f>VLOOKUP(CV65,CV5:DK38,14,0)</f>
        <v>410</v>
      </c>
      <c r="DJ65" s="2227">
        <f>VLOOKUP(CV65,CV5:DK38,15,0)</f>
        <v>0</v>
      </c>
      <c r="DK65" s="2227"/>
      <c r="DS65" s="277"/>
      <c r="DW65" s="1"/>
      <c r="DY65" s="735" t="s">
        <v>692</v>
      </c>
      <c r="DZ65" s="2360">
        <v>693000</v>
      </c>
      <c r="EA65" s="2360">
        <v>57750</v>
      </c>
      <c r="EB65" s="735">
        <v>4250</v>
      </c>
      <c r="EC65" s="2361">
        <v>1450</v>
      </c>
      <c r="EO65" s="286"/>
      <c r="EP65" s="286"/>
      <c r="FB65" s="2174"/>
      <c r="FC65" s="2174"/>
      <c r="FF65" s="2226">
        <f>FG40</f>
        <v>50</v>
      </c>
      <c r="FG65" s="311">
        <f>VLOOKUP(FF65,FF5:FU38,2,0)</f>
        <v>11</v>
      </c>
      <c r="FH65" s="311">
        <f>VLOOKUP(FF65,FF5:FU38,3,0)</f>
        <v>15</v>
      </c>
      <c r="FI65" s="311">
        <f>VLOOKUP(FF65,FF5:FU38,4,0)</f>
        <v>22</v>
      </c>
      <c r="FJ65" s="311">
        <f>VLOOKUP(FF65,FF5:FU38,5,0)</f>
        <v>31</v>
      </c>
      <c r="FK65" s="311">
        <f>VLOOKUP(FF65,FF5:FU38,6,0)</f>
        <v>43</v>
      </c>
      <c r="FL65" s="311">
        <f>VLOOKUP(FF65,FF5:FU38,7,0)</f>
        <v>60</v>
      </c>
      <c r="FM65" s="311">
        <f>VLOOKUP(FF65,FF5:FU38,8,0)</f>
        <v>87</v>
      </c>
      <c r="FN65" s="311">
        <f>VLOOKUP(FF65,FF5:FU38,9,0)</f>
        <v>135</v>
      </c>
      <c r="FO65" s="311">
        <f>VLOOKUP(FF65,FF5:FU38,10,0)</f>
        <v>165</v>
      </c>
      <c r="FP65" s="311">
        <f>VLOOKUP(FF65,FF5:FU38,11,0)</f>
        <v>240</v>
      </c>
      <c r="FQ65" s="311">
        <f>VLOOKUP(FF65,FF5:FU38,12,0)</f>
        <v>365</v>
      </c>
      <c r="FR65" s="311">
        <f>VLOOKUP(FF65,FF5:FU38,13,0)</f>
        <v>520</v>
      </c>
      <c r="FS65" s="311">
        <f>VLOOKUP(FF65,FF5:FU38,14,0)</f>
        <v>690</v>
      </c>
      <c r="FT65" s="311">
        <f>VLOOKUP(FF65,FF5:FU38,15,0)</f>
        <v>1020</v>
      </c>
      <c r="FU65" s="311">
        <f>VLOOKUP(FF65,FF5:FU38,16,0)</f>
        <v>1480</v>
      </c>
      <c r="FX65" s="2176"/>
      <c r="FY65" s="2176"/>
      <c r="GB65" s="2226">
        <f>GC40</f>
        <v>45</v>
      </c>
      <c r="GC65" s="311">
        <f>VLOOKUP(GB65,GB5:GQ38,2,0)</f>
        <v>12</v>
      </c>
      <c r="GD65" s="311">
        <f>VLOOKUP(GB65,GB5:GQ38,3,0)</f>
        <v>17</v>
      </c>
      <c r="GE65" s="311">
        <f>VLOOKUP(GB65,GB5:GQ38,4,0)</f>
        <v>25</v>
      </c>
      <c r="GF65" s="311">
        <f>VLOOKUP(GB65,GB5:GQ38,5,0)</f>
        <v>33</v>
      </c>
      <c r="GG65" s="311">
        <f>VLOOKUP(GB65,GB5:GQ38,6,0)</f>
        <v>46</v>
      </c>
      <c r="GH65" s="311">
        <f>VLOOKUP(GB65,GB5:GQ38,7,0)</f>
        <v>64</v>
      </c>
      <c r="GI65" s="311">
        <f>VLOOKUP(GB65,GB5:GQ38,8,0)</f>
        <v>95</v>
      </c>
      <c r="GJ65" s="311">
        <f>VLOOKUP(GB65,GB5:GQ38,9,0)</f>
        <v>150</v>
      </c>
      <c r="GK65" s="311">
        <f>VLOOKUP(GB65,GB5:GQ38,10,0)</f>
        <v>180</v>
      </c>
      <c r="GL65" s="311">
        <f>VLOOKUP(GB65,GB5:GQ38,11,0)</f>
        <v>265</v>
      </c>
      <c r="GM65" s="311">
        <f>VLOOKUP(GB65,GB5:GQ38,12,0)</f>
        <v>455</v>
      </c>
      <c r="GN65" s="311">
        <f>VLOOKUP(GB65,GB5:GQ38,13,0)</f>
        <v>640</v>
      </c>
      <c r="GO65" s="311">
        <f>VLOOKUP(GB65,GB5:GQ38,14,0)</f>
        <v>760</v>
      </c>
      <c r="GP65" s="311">
        <f>VLOOKUP(GB65,GB5:GQ38,15,0)</f>
        <v>1140</v>
      </c>
      <c r="GQ65" s="311">
        <f>VLOOKUP(GB65,GB5:GQ38,16,0)</f>
        <v>1650</v>
      </c>
      <c r="GT65" s="2174"/>
      <c r="GW65" s="2226">
        <f>GX40</f>
        <v>47.1</v>
      </c>
      <c r="GX65" s="2227">
        <f>VLOOKUP(GW65,GW5:HL38,2,0)</f>
        <v>8.35</v>
      </c>
      <c r="GY65" s="2227">
        <f>VLOOKUP(GW65,GW5:HL38,3,0)</f>
        <v>13.3</v>
      </c>
      <c r="GZ65" s="2227">
        <f>VLOOKUP(GW65,GW5:HL38,4,0)</f>
        <v>20.6</v>
      </c>
      <c r="HA65" s="2227">
        <f>VLOOKUP(GW65,GW5:HL38,5,0)</f>
        <v>24.6</v>
      </c>
      <c r="HB65" s="2227">
        <f>VLOOKUP(GW65,GW5:HL38,6,0)</f>
        <v>39</v>
      </c>
      <c r="HC65" s="2227">
        <f>VLOOKUP(GW65,GW5:HL38,7,0)</f>
        <v>58</v>
      </c>
      <c r="HD65" s="2227">
        <f>VLOOKUP(GW65,GW5:HL38,8,0)</f>
        <v>73.5</v>
      </c>
      <c r="HE65" s="2227">
        <f>VLOOKUP(GW65,GW5:HL38,9,0)</f>
        <v>102</v>
      </c>
      <c r="HF65" s="2227">
        <f>VLOOKUP(GW65,GW5:HL38,10,0)</f>
        <v>133</v>
      </c>
      <c r="HG65" s="2227">
        <f>VLOOKUP(GW65,GW5:HL38,11,0)</f>
        <v>190</v>
      </c>
      <c r="HH65" s="2227">
        <f>VLOOKUP(GW65,GW5:HL38,12,0)</f>
        <v>283</v>
      </c>
      <c r="HI65" s="2227">
        <f>VLOOKUP(GW65,GW5:HL38,13,0)</f>
        <v>434</v>
      </c>
      <c r="HJ65" s="2227">
        <f>VLOOKUP(GW65,GW5:HL38,14,0)</f>
        <v>606</v>
      </c>
      <c r="HK65" s="2227">
        <f>VLOOKUP(GW65,GW5:HL38,15,0)</f>
        <v>0</v>
      </c>
      <c r="HL65" s="2227"/>
      <c r="HN65" s="2176"/>
      <c r="HO65" s="2176"/>
      <c r="HR65" s="2226">
        <f>HS40</f>
        <v>42.5</v>
      </c>
      <c r="HS65" s="2227">
        <f>VLOOKUP(HR65,HR5:IG38,2,0)</f>
        <v>8.89</v>
      </c>
      <c r="HT65" s="2227">
        <f>VLOOKUP(HR65,HR5:IG38,3,0)</f>
        <v>13.3</v>
      </c>
      <c r="HU65" s="2227">
        <f>VLOOKUP(HR65,HR5:IG38,4,0)</f>
        <v>20.6</v>
      </c>
      <c r="HV65" s="2227">
        <f>VLOOKUP(HR65,HR5:IG38,5,0)</f>
        <v>29.4</v>
      </c>
      <c r="HW65" s="2227">
        <f>VLOOKUP(HR65,HR5:IG38,6,0)</f>
        <v>38</v>
      </c>
      <c r="HX65" s="2227">
        <f>VLOOKUP(HR65,HR5:IG38,7,0)</f>
        <v>60.9</v>
      </c>
      <c r="HY65" s="2227">
        <f>VLOOKUP(HR65,HR5:IG38,8,0)</f>
        <v>76.3</v>
      </c>
      <c r="HZ65" s="2227">
        <f>VLOOKUP(HR65,HR5:IG38,9,0)</f>
        <v>102</v>
      </c>
      <c r="IA65" s="2227">
        <f>VLOOKUP(HR65,HR5:IG38,10,0)</f>
        <v>152</v>
      </c>
      <c r="IB65" s="2227">
        <f>VLOOKUP(HR65,HR5:IG38,11,0)</f>
        <v>220</v>
      </c>
      <c r="IC65" s="2227">
        <f>VLOOKUP(HR65,HR5:IG38,12,0)</f>
        <v>309</v>
      </c>
      <c r="ID65" s="2227">
        <f>VLOOKUP(HR65,HR5:IG38,13,0)</f>
        <v>472</v>
      </c>
      <c r="IE65" s="2227">
        <f>VLOOKUP(HR65,HR5:IG38,14,0)</f>
        <v>622</v>
      </c>
      <c r="IF65" s="2227">
        <f>VLOOKUP(HR65,HR5:IG38,15,0)</f>
        <v>812</v>
      </c>
      <c r="IG65" s="2227"/>
      <c r="IN65" s="277"/>
      <c r="IO65" s="277"/>
    </row>
    <row r="66" spans="3:249" ht="21.95" customHeight="1">
      <c r="C66" s="735" t="s">
        <v>694</v>
      </c>
      <c r="D66" s="2360">
        <v>945000</v>
      </c>
      <c r="E66" s="2360">
        <v>73500</v>
      </c>
      <c r="F66" s="735">
        <v>4900</v>
      </c>
      <c r="G66" s="2361">
        <v>1650</v>
      </c>
      <c r="S66" s="286"/>
      <c r="T66" s="286"/>
      <c r="AF66" s="2174"/>
      <c r="AG66" s="2174"/>
      <c r="AJ66" s="2228"/>
      <c r="AK66" s="2179"/>
      <c r="AL66" s="2179"/>
      <c r="AM66" s="2179"/>
      <c r="AN66" s="2179"/>
      <c r="AO66" s="2179"/>
      <c r="AP66" s="2179"/>
      <c r="AQ66" s="2179"/>
      <c r="AR66" s="2179"/>
      <c r="AS66" s="2179"/>
      <c r="AV66" s="2179"/>
      <c r="AX66" s="2179"/>
      <c r="AY66" s="2179"/>
      <c r="BB66" s="2176"/>
      <c r="BC66" s="2176"/>
      <c r="BF66" s="2228"/>
      <c r="BG66" s="2179"/>
      <c r="BH66" s="2179"/>
      <c r="BI66" s="2179"/>
      <c r="BJ66" s="2179"/>
      <c r="BK66" s="2179"/>
      <c r="BL66" s="2179"/>
      <c r="BM66" s="2179"/>
      <c r="BN66" s="2179"/>
      <c r="BO66" s="2179"/>
      <c r="BR66" s="2179"/>
      <c r="BT66" s="2179"/>
      <c r="BU66" s="2179"/>
      <c r="BX66" s="2174"/>
      <c r="CA66" s="1"/>
      <c r="CR66" s="2176"/>
      <c r="CS66" s="2176"/>
      <c r="CV66" s="1"/>
      <c r="DS66" s="277"/>
      <c r="DW66" s="1"/>
      <c r="DY66" s="735" t="s">
        <v>694</v>
      </c>
      <c r="DZ66" s="2360">
        <v>945000</v>
      </c>
      <c r="EA66" s="2360">
        <v>73500</v>
      </c>
      <c r="EB66" s="735">
        <v>4900</v>
      </c>
      <c r="EC66" s="2361">
        <v>1650</v>
      </c>
      <c r="EO66" s="286"/>
      <c r="EP66" s="286"/>
      <c r="FB66" s="2174"/>
      <c r="FC66" s="2174"/>
      <c r="FF66" s="2228"/>
      <c r="FG66" s="2179"/>
      <c r="FH66" s="2179"/>
      <c r="FI66" s="2179"/>
      <c r="FJ66" s="2179"/>
      <c r="FK66" s="2179"/>
      <c r="FL66" s="2179"/>
      <c r="FM66" s="2179"/>
      <c r="FN66" s="2179"/>
      <c r="FO66" s="2179"/>
      <c r="FR66" s="2179"/>
      <c r="FT66" s="2179"/>
      <c r="FU66" s="2179"/>
      <c r="FX66" s="2176"/>
      <c r="FY66" s="2176"/>
      <c r="GB66" s="2228"/>
      <c r="GC66" s="2179"/>
      <c r="GD66" s="2179"/>
      <c r="GE66" s="2179"/>
      <c r="GF66" s="2179"/>
      <c r="GG66" s="2179"/>
      <c r="GH66" s="2179"/>
      <c r="GI66" s="2179"/>
      <c r="GJ66" s="2179"/>
      <c r="GK66" s="2179"/>
      <c r="GN66" s="2179"/>
      <c r="GP66" s="2179"/>
      <c r="GQ66" s="2179"/>
      <c r="GT66" s="2174"/>
      <c r="GW66" s="1"/>
      <c r="HN66" s="2176"/>
      <c r="HO66" s="2176"/>
      <c r="HR66" s="1"/>
      <c r="IN66" s="277"/>
      <c r="IO66" s="277"/>
    </row>
    <row r="67" spans="3:249" ht="21.95" customHeight="1">
      <c r="G67" s="748" t="s">
        <v>670</v>
      </c>
      <c r="S67" s="286"/>
      <c r="T67" s="286"/>
      <c r="AF67" s="2174"/>
      <c r="AG67" s="2174"/>
      <c r="AJ67" s="2226">
        <v>0</v>
      </c>
      <c r="AK67" s="311">
        <f t="shared" ref="AK67:AY67" si="18">AK65</f>
        <v>6</v>
      </c>
      <c r="AL67" s="311">
        <f t="shared" si="18"/>
        <v>9</v>
      </c>
      <c r="AM67" s="311">
        <f t="shared" si="18"/>
        <v>13</v>
      </c>
      <c r="AN67" s="311">
        <f t="shared" si="18"/>
        <v>19</v>
      </c>
      <c r="AO67" s="311">
        <f t="shared" si="18"/>
        <v>24</v>
      </c>
      <c r="AP67" s="311">
        <f t="shared" si="18"/>
        <v>34</v>
      </c>
      <c r="AQ67" s="311">
        <f t="shared" si="18"/>
        <v>54</v>
      </c>
      <c r="AR67" s="311">
        <f t="shared" si="18"/>
        <v>82</v>
      </c>
      <c r="AS67" s="311">
        <f t="shared" si="18"/>
        <v>100</v>
      </c>
      <c r="AT67" s="311">
        <f t="shared" si="18"/>
        <v>150</v>
      </c>
      <c r="AU67" s="311">
        <f t="shared" si="18"/>
        <v>240</v>
      </c>
      <c r="AV67" s="311">
        <f t="shared" si="18"/>
        <v>340</v>
      </c>
      <c r="AW67" s="311">
        <f t="shared" si="18"/>
        <v>450</v>
      </c>
      <c r="AX67" s="311">
        <f t="shared" si="18"/>
        <v>650</v>
      </c>
      <c r="AY67" s="311">
        <f t="shared" si="18"/>
        <v>940</v>
      </c>
      <c r="BB67" s="2176"/>
      <c r="BC67" s="2176"/>
      <c r="BF67" s="2226">
        <v>0</v>
      </c>
      <c r="BG67" s="311">
        <f t="shared" ref="BG67:BU67" si="19">BG65</f>
        <v>6.5</v>
      </c>
      <c r="BH67" s="311">
        <f t="shared" si="19"/>
        <v>10</v>
      </c>
      <c r="BI67" s="311">
        <f t="shared" si="19"/>
        <v>14</v>
      </c>
      <c r="BJ67" s="311">
        <f t="shared" si="19"/>
        <v>22</v>
      </c>
      <c r="BK67" s="311">
        <f t="shared" si="19"/>
        <v>27</v>
      </c>
      <c r="BL67" s="311">
        <f t="shared" si="19"/>
        <v>39</v>
      </c>
      <c r="BM67" s="311">
        <f t="shared" si="19"/>
        <v>61</v>
      </c>
      <c r="BN67" s="311">
        <f t="shared" si="19"/>
        <v>92</v>
      </c>
      <c r="BO67" s="311">
        <f t="shared" si="19"/>
        <v>115</v>
      </c>
      <c r="BP67" s="311">
        <f t="shared" si="19"/>
        <v>170</v>
      </c>
      <c r="BQ67" s="311">
        <f t="shared" si="19"/>
        <v>270</v>
      </c>
      <c r="BR67" s="311">
        <f t="shared" si="19"/>
        <v>380</v>
      </c>
      <c r="BS67" s="311">
        <f t="shared" si="19"/>
        <v>500</v>
      </c>
      <c r="BT67" s="311">
        <f t="shared" si="19"/>
        <v>730</v>
      </c>
      <c r="BU67" s="311">
        <f t="shared" si="19"/>
        <v>1050</v>
      </c>
      <c r="BX67" s="2174"/>
      <c r="CA67" s="2226">
        <v>0</v>
      </c>
      <c r="CB67" s="2227">
        <f t="shared" ref="CB67:CO67" si="20">CB65</f>
        <v>4.5599999999999996</v>
      </c>
      <c r="CC67" s="2227">
        <f t="shared" si="20"/>
        <v>7.17</v>
      </c>
      <c r="CD67" s="2227">
        <f t="shared" si="20"/>
        <v>10.9</v>
      </c>
      <c r="CE67" s="2227">
        <f t="shared" si="20"/>
        <v>15.1</v>
      </c>
      <c r="CF67" s="2227">
        <f t="shared" si="20"/>
        <v>22.7</v>
      </c>
      <c r="CG67" s="2227">
        <f t="shared" si="20"/>
        <v>33.5</v>
      </c>
      <c r="CH67" s="2227">
        <f t="shared" si="20"/>
        <v>45.7</v>
      </c>
      <c r="CI67" s="2227">
        <f t="shared" si="20"/>
        <v>65.099999999999994</v>
      </c>
      <c r="CJ67" s="2227">
        <f t="shared" si="20"/>
        <v>79.099999999999994</v>
      </c>
      <c r="CK67" s="2227">
        <f t="shared" si="20"/>
        <v>118</v>
      </c>
      <c r="CL67" s="2227">
        <f t="shared" si="20"/>
        <v>171</v>
      </c>
      <c r="CM67" s="2227">
        <f t="shared" si="20"/>
        <v>259</v>
      </c>
      <c r="CN67" s="2227">
        <f t="shared" si="20"/>
        <v>368</v>
      </c>
      <c r="CO67" s="2227">
        <f t="shared" si="20"/>
        <v>0</v>
      </c>
      <c r="CP67" s="2227"/>
      <c r="CR67" s="2176"/>
      <c r="CS67" s="2176"/>
      <c r="CV67" s="2226">
        <v>0</v>
      </c>
      <c r="CW67" s="2227">
        <f t="shared" ref="CW67:DJ67" si="21">CW65</f>
        <v>5.16</v>
      </c>
      <c r="CX67" s="2227">
        <f t="shared" si="21"/>
        <v>8.2100000000000009</v>
      </c>
      <c r="CY67" s="2227">
        <f t="shared" si="21"/>
        <v>11.6</v>
      </c>
      <c r="CZ67" s="2227">
        <f t="shared" si="21"/>
        <v>14.7</v>
      </c>
      <c r="DA67" s="2227">
        <f t="shared" si="21"/>
        <v>23.3</v>
      </c>
      <c r="DB67" s="2227">
        <f t="shared" si="21"/>
        <v>31.4</v>
      </c>
      <c r="DC67" s="2227">
        <f t="shared" si="21"/>
        <v>47.7</v>
      </c>
      <c r="DD67" s="2227">
        <f t="shared" si="21"/>
        <v>61.1</v>
      </c>
      <c r="DE67" s="2227">
        <f t="shared" si="21"/>
        <v>92.2</v>
      </c>
      <c r="DF67" s="2227">
        <f t="shared" si="21"/>
        <v>130</v>
      </c>
      <c r="DG67" s="2227">
        <f t="shared" si="21"/>
        <v>182</v>
      </c>
      <c r="DH67" s="2227">
        <f t="shared" si="21"/>
        <v>294</v>
      </c>
      <c r="DI67" s="2227">
        <f t="shared" si="21"/>
        <v>410</v>
      </c>
      <c r="DJ67" s="2227">
        <f t="shared" si="21"/>
        <v>0</v>
      </c>
      <c r="DK67" s="2227"/>
      <c r="DS67" s="277"/>
      <c r="DW67" s="1"/>
      <c r="EC67" s="748" t="s">
        <v>670</v>
      </c>
      <c r="EO67" s="286"/>
      <c r="EP67" s="286"/>
      <c r="FB67" s="2174"/>
      <c r="FC67" s="2174"/>
      <c r="FF67" s="2226">
        <v>0</v>
      </c>
      <c r="FG67" s="311">
        <f t="shared" ref="FG67:FU67" si="22">FG65</f>
        <v>11</v>
      </c>
      <c r="FH67" s="311">
        <f t="shared" si="22"/>
        <v>15</v>
      </c>
      <c r="FI67" s="311">
        <f t="shared" si="22"/>
        <v>22</v>
      </c>
      <c r="FJ67" s="311">
        <f t="shared" si="22"/>
        <v>31</v>
      </c>
      <c r="FK67" s="311">
        <f t="shared" si="22"/>
        <v>43</v>
      </c>
      <c r="FL67" s="311">
        <f t="shared" si="22"/>
        <v>60</v>
      </c>
      <c r="FM67" s="311">
        <f t="shared" si="22"/>
        <v>87</v>
      </c>
      <c r="FN67" s="311">
        <f t="shared" si="22"/>
        <v>135</v>
      </c>
      <c r="FO67" s="311">
        <f t="shared" si="22"/>
        <v>165</v>
      </c>
      <c r="FP67" s="311">
        <f t="shared" si="22"/>
        <v>240</v>
      </c>
      <c r="FQ67" s="311">
        <f t="shared" si="22"/>
        <v>365</v>
      </c>
      <c r="FR67" s="311">
        <f t="shared" si="22"/>
        <v>520</v>
      </c>
      <c r="FS67" s="311">
        <f t="shared" si="22"/>
        <v>690</v>
      </c>
      <c r="FT67" s="311">
        <f t="shared" si="22"/>
        <v>1020</v>
      </c>
      <c r="FU67" s="311">
        <f t="shared" si="22"/>
        <v>1480</v>
      </c>
      <c r="FX67" s="2176"/>
      <c r="FY67" s="2176"/>
      <c r="GB67" s="2226">
        <v>0</v>
      </c>
      <c r="GC67" s="311">
        <f t="shared" ref="GC67:GQ67" si="23">GC65</f>
        <v>12</v>
      </c>
      <c r="GD67" s="311">
        <f t="shared" si="23"/>
        <v>17</v>
      </c>
      <c r="GE67" s="311">
        <f t="shared" si="23"/>
        <v>25</v>
      </c>
      <c r="GF67" s="311">
        <f t="shared" si="23"/>
        <v>33</v>
      </c>
      <c r="GG67" s="311">
        <f t="shared" si="23"/>
        <v>46</v>
      </c>
      <c r="GH67" s="311">
        <f t="shared" si="23"/>
        <v>64</v>
      </c>
      <c r="GI67" s="311">
        <f t="shared" si="23"/>
        <v>95</v>
      </c>
      <c r="GJ67" s="311">
        <f t="shared" si="23"/>
        <v>150</v>
      </c>
      <c r="GK67" s="311">
        <f t="shared" si="23"/>
        <v>180</v>
      </c>
      <c r="GL67" s="311">
        <f t="shared" si="23"/>
        <v>265</v>
      </c>
      <c r="GM67" s="311">
        <f t="shared" si="23"/>
        <v>455</v>
      </c>
      <c r="GN67" s="311">
        <f t="shared" si="23"/>
        <v>640</v>
      </c>
      <c r="GO67" s="311">
        <f t="shared" si="23"/>
        <v>760</v>
      </c>
      <c r="GP67" s="311">
        <f t="shared" si="23"/>
        <v>1140</v>
      </c>
      <c r="GQ67" s="311">
        <f t="shared" si="23"/>
        <v>1650</v>
      </c>
      <c r="GT67" s="2174"/>
      <c r="GW67" s="2226">
        <v>0</v>
      </c>
      <c r="GX67" s="2227">
        <f t="shared" ref="GX67:HK67" si="24">GX65</f>
        <v>8.35</v>
      </c>
      <c r="GY67" s="2227">
        <f t="shared" si="24"/>
        <v>13.3</v>
      </c>
      <c r="GZ67" s="2227">
        <f t="shared" si="24"/>
        <v>20.6</v>
      </c>
      <c r="HA67" s="2227">
        <f t="shared" si="24"/>
        <v>24.6</v>
      </c>
      <c r="HB67" s="2227">
        <f t="shared" si="24"/>
        <v>39</v>
      </c>
      <c r="HC67" s="2227">
        <f t="shared" si="24"/>
        <v>58</v>
      </c>
      <c r="HD67" s="2227">
        <f t="shared" si="24"/>
        <v>73.5</v>
      </c>
      <c r="HE67" s="2227">
        <f t="shared" si="24"/>
        <v>102</v>
      </c>
      <c r="HF67" s="2227">
        <f t="shared" si="24"/>
        <v>133</v>
      </c>
      <c r="HG67" s="2227">
        <f t="shared" si="24"/>
        <v>190</v>
      </c>
      <c r="HH67" s="2227">
        <f t="shared" si="24"/>
        <v>283</v>
      </c>
      <c r="HI67" s="2227">
        <f t="shared" si="24"/>
        <v>434</v>
      </c>
      <c r="HJ67" s="2227">
        <f t="shared" si="24"/>
        <v>606</v>
      </c>
      <c r="HK67" s="2227">
        <f t="shared" si="24"/>
        <v>0</v>
      </c>
      <c r="HL67" s="2227"/>
      <c r="HN67" s="2176"/>
      <c r="HO67" s="2176"/>
      <c r="HR67" s="2226">
        <v>0</v>
      </c>
      <c r="HS67" s="2227">
        <f t="shared" ref="HS67:IF67" si="25">HS65</f>
        <v>8.89</v>
      </c>
      <c r="HT67" s="2227">
        <f t="shared" si="25"/>
        <v>13.3</v>
      </c>
      <c r="HU67" s="2227">
        <f t="shared" si="25"/>
        <v>20.6</v>
      </c>
      <c r="HV67" s="2227">
        <f t="shared" si="25"/>
        <v>29.4</v>
      </c>
      <c r="HW67" s="2227">
        <f t="shared" si="25"/>
        <v>38</v>
      </c>
      <c r="HX67" s="2227">
        <f t="shared" si="25"/>
        <v>60.9</v>
      </c>
      <c r="HY67" s="2227">
        <f t="shared" si="25"/>
        <v>76.3</v>
      </c>
      <c r="HZ67" s="2227">
        <f t="shared" si="25"/>
        <v>102</v>
      </c>
      <c r="IA67" s="2227">
        <f t="shared" si="25"/>
        <v>152</v>
      </c>
      <c r="IB67" s="2227">
        <f t="shared" si="25"/>
        <v>220</v>
      </c>
      <c r="IC67" s="2227">
        <f t="shared" si="25"/>
        <v>309</v>
      </c>
      <c r="ID67" s="2227">
        <f t="shared" si="25"/>
        <v>472</v>
      </c>
      <c r="IE67" s="2227">
        <f t="shared" si="25"/>
        <v>622</v>
      </c>
      <c r="IF67" s="2227">
        <f t="shared" si="25"/>
        <v>812</v>
      </c>
      <c r="IG67" s="2227"/>
      <c r="IN67" s="277"/>
      <c r="IO67" s="277"/>
    </row>
    <row r="68" spans="3:249" ht="21.95" customHeight="1">
      <c r="C68" s="749" t="s">
        <v>2239</v>
      </c>
      <c r="D68" s="750">
        <f>CT_wh!K81</f>
        <v>300</v>
      </c>
      <c r="E68" s="751" t="s">
        <v>675</v>
      </c>
      <c r="F68" s="278" t="s">
        <v>695</v>
      </c>
      <c r="G68" s="729"/>
      <c r="S68" s="286"/>
      <c r="T68" s="286"/>
      <c r="AF68" s="2174"/>
      <c r="AG68" s="2174"/>
      <c r="AJ68" s="2226">
        <f t="shared" ref="AJ68:AX68" si="26">AK67</f>
        <v>6</v>
      </c>
      <c r="AK68" s="311">
        <f t="shared" si="26"/>
        <v>9</v>
      </c>
      <c r="AL68" s="311">
        <f t="shared" si="26"/>
        <v>13</v>
      </c>
      <c r="AM68" s="311">
        <f t="shared" si="26"/>
        <v>19</v>
      </c>
      <c r="AN68" s="311">
        <f t="shared" si="26"/>
        <v>24</v>
      </c>
      <c r="AO68" s="311">
        <f t="shared" si="26"/>
        <v>34</v>
      </c>
      <c r="AP68" s="311">
        <f t="shared" si="26"/>
        <v>54</v>
      </c>
      <c r="AQ68" s="311">
        <f t="shared" si="26"/>
        <v>82</v>
      </c>
      <c r="AR68" s="311">
        <f t="shared" si="26"/>
        <v>100</v>
      </c>
      <c r="AS68" s="311">
        <f t="shared" si="26"/>
        <v>150</v>
      </c>
      <c r="AT68" s="311">
        <f t="shared" si="26"/>
        <v>240</v>
      </c>
      <c r="AU68" s="311">
        <f t="shared" si="26"/>
        <v>340</v>
      </c>
      <c r="AV68" s="311">
        <f t="shared" si="26"/>
        <v>450</v>
      </c>
      <c r="AW68" s="311">
        <f t="shared" si="26"/>
        <v>650</v>
      </c>
      <c r="AX68" s="311">
        <f t="shared" si="26"/>
        <v>940</v>
      </c>
      <c r="AY68" s="311">
        <f>+AX68</f>
        <v>940</v>
      </c>
      <c r="BB68" s="2176"/>
      <c r="BC68" s="2176"/>
      <c r="BF68" s="2226">
        <f t="shared" ref="BF68:BT68" si="27">BG67</f>
        <v>6.5</v>
      </c>
      <c r="BG68" s="311">
        <f t="shared" si="27"/>
        <v>10</v>
      </c>
      <c r="BH68" s="311">
        <f t="shared" si="27"/>
        <v>14</v>
      </c>
      <c r="BI68" s="311">
        <f t="shared" si="27"/>
        <v>22</v>
      </c>
      <c r="BJ68" s="311">
        <f t="shared" si="27"/>
        <v>27</v>
      </c>
      <c r="BK68" s="311">
        <f t="shared" si="27"/>
        <v>39</v>
      </c>
      <c r="BL68" s="311">
        <f t="shared" si="27"/>
        <v>61</v>
      </c>
      <c r="BM68" s="311">
        <f t="shared" si="27"/>
        <v>92</v>
      </c>
      <c r="BN68" s="311">
        <f t="shared" si="27"/>
        <v>115</v>
      </c>
      <c r="BO68" s="311">
        <f t="shared" si="27"/>
        <v>170</v>
      </c>
      <c r="BP68" s="311">
        <f t="shared" si="27"/>
        <v>270</v>
      </c>
      <c r="BQ68" s="311">
        <f t="shared" si="27"/>
        <v>380</v>
      </c>
      <c r="BR68" s="311">
        <f t="shared" si="27"/>
        <v>500</v>
      </c>
      <c r="BS68" s="311">
        <f t="shared" si="27"/>
        <v>730</v>
      </c>
      <c r="BT68" s="311">
        <f t="shared" si="27"/>
        <v>1050</v>
      </c>
      <c r="BU68" s="311">
        <f>+BT68</f>
        <v>1050</v>
      </c>
      <c r="BX68" s="2174"/>
      <c r="CA68" s="2226">
        <f t="shared" ref="CA68:CO68" si="28">CB67</f>
        <v>4.5599999999999996</v>
      </c>
      <c r="CB68" s="2227">
        <f t="shared" si="28"/>
        <v>7.17</v>
      </c>
      <c r="CC68" s="2227">
        <f t="shared" si="28"/>
        <v>10.9</v>
      </c>
      <c r="CD68" s="2227">
        <f t="shared" si="28"/>
        <v>15.1</v>
      </c>
      <c r="CE68" s="2227">
        <f t="shared" si="28"/>
        <v>22.7</v>
      </c>
      <c r="CF68" s="2227">
        <f t="shared" si="28"/>
        <v>33.5</v>
      </c>
      <c r="CG68" s="2227">
        <f t="shared" si="28"/>
        <v>45.7</v>
      </c>
      <c r="CH68" s="2227">
        <f t="shared" si="28"/>
        <v>65.099999999999994</v>
      </c>
      <c r="CI68" s="2227">
        <f t="shared" si="28"/>
        <v>79.099999999999994</v>
      </c>
      <c r="CJ68" s="2227">
        <f t="shared" si="28"/>
        <v>118</v>
      </c>
      <c r="CK68" s="2227">
        <f t="shared" si="28"/>
        <v>171</v>
      </c>
      <c r="CL68" s="2227">
        <f t="shared" si="28"/>
        <v>259</v>
      </c>
      <c r="CM68" s="2227">
        <f t="shared" si="28"/>
        <v>368</v>
      </c>
      <c r="CN68" s="2227">
        <f t="shared" si="28"/>
        <v>0</v>
      </c>
      <c r="CO68" s="2227">
        <f t="shared" si="28"/>
        <v>0</v>
      </c>
      <c r="CP68" s="2227"/>
      <c r="CR68" s="2176"/>
      <c r="CS68" s="2176"/>
      <c r="CV68" s="2226">
        <f t="shared" ref="CV68:DJ68" si="29">CW67</f>
        <v>5.16</v>
      </c>
      <c r="CW68" s="2227">
        <f t="shared" si="29"/>
        <v>8.2100000000000009</v>
      </c>
      <c r="CX68" s="2227">
        <f t="shared" si="29"/>
        <v>11.6</v>
      </c>
      <c r="CY68" s="2227">
        <f t="shared" si="29"/>
        <v>14.7</v>
      </c>
      <c r="CZ68" s="2227">
        <f t="shared" si="29"/>
        <v>23.3</v>
      </c>
      <c r="DA68" s="2227">
        <f t="shared" si="29"/>
        <v>31.4</v>
      </c>
      <c r="DB68" s="2227">
        <f t="shared" si="29"/>
        <v>47.7</v>
      </c>
      <c r="DC68" s="2227">
        <f t="shared" si="29"/>
        <v>61.1</v>
      </c>
      <c r="DD68" s="2227">
        <f t="shared" si="29"/>
        <v>92.2</v>
      </c>
      <c r="DE68" s="2227">
        <f t="shared" si="29"/>
        <v>130</v>
      </c>
      <c r="DF68" s="2227">
        <f t="shared" si="29"/>
        <v>182</v>
      </c>
      <c r="DG68" s="2227">
        <f t="shared" si="29"/>
        <v>294</v>
      </c>
      <c r="DH68" s="2227">
        <f t="shared" si="29"/>
        <v>410</v>
      </c>
      <c r="DI68" s="2227">
        <f t="shared" si="29"/>
        <v>0</v>
      </c>
      <c r="DJ68" s="2227">
        <f t="shared" si="29"/>
        <v>0</v>
      </c>
      <c r="DK68" s="2227"/>
      <c r="DS68" s="277"/>
      <c r="DW68" s="1"/>
      <c r="DY68" s="749" t="s">
        <v>2239</v>
      </c>
      <c r="DZ68" s="750">
        <f>LT_wh!K79</f>
        <v>300</v>
      </c>
      <c r="EA68" s="751" t="s">
        <v>675</v>
      </c>
      <c r="EB68" s="278" t="s">
        <v>695</v>
      </c>
      <c r="EC68" s="729"/>
      <c r="EO68" s="286"/>
      <c r="EP68" s="286"/>
      <c r="FB68" s="2174"/>
      <c r="FC68" s="2174"/>
      <c r="FF68" s="2226">
        <f t="shared" ref="FF68:FT68" si="30">FG67</f>
        <v>11</v>
      </c>
      <c r="FG68" s="311">
        <f t="shared" si="30"/>
        <v>15</v>
      </c>
      <c r="FH68" s="311">
        <f t="shared" si="30"/>
        <v>22</v>
      </c>
      <c r="FI68" s="311">
        <f t="shared" si="30"/>
        <v>31</v>
      </c>
      <c r="FJ68" s="311">
        <f t="shared" si="30"/>
        <v>43</v>
      </c>
      <c r="FK68" s="311">
        <f t="shared" si="30"/>
        <v>60</v>
      </c>
      <c r="FL68" s="311">
        <f t="shared" si="30"/>
        <v>87</v>
      </c>
      <c r="FM68" s="311">
        <f t="shared" si="30"/>
        <v>135</v>
      </c>
      <c r="FN68" s="311">
        <f t="shared" si="30"/>
        <v>165</v>
      </c>
      <c r="FO68" s="311">
        <f t="shared" si="30"/>
        <v>240</v>
      </c>
      <c r="FP68" s="311">
        <f t="shared" si="30"/>
        <v>365</v>
      </c>
      <c r="FQ68" s="311">
        <f t="shared" si="30"/>
        <v>520</v>
      </c>
      <c r="FR68" s="311">
        <f t="shared" si="30"/>
        <v>690</v>
      </c>
      <c r="FS68" s="311">
        <f t="shared" si="30"/>
        <v>1020</v>
      </c>
      <c r="FT68" s="311">
        <f t="shared" si="30"/>
        <v>1480</v>
      </c>
      <c r="FU68" s="311">
        <f>+FT68</f>
        <v>1480</v>
      </c>
      <c r="FX68" s="2176"/>
      <c r="FY68" s="2176"/>
      <c r="GB68" s="2226">
        <f t="shared" ref="GB68:GP68" si="31">GC67</f>
        <v>12</v>
      </c>
      <c r="GC68" s="311">
        <f t="shared" si="31"/>
        <v>17</v>
      </c>
      <c r="GD68" s="311">
        <f t="shared" si="31"/>
        <v>25</v>
      </c>
      <c r="GE68" s="311">
        <f t="shared" si="31"/>
        <v>33</v>
      </c>
      <c r="GF68" s="311">
        <f t="shared" si="31"/>
        <v>46</v>
      </c>
      <c r="GG68" s="311">
        <f t="shared" si="31"/>
        <v>64</v>
      </c>
      <c r="GH68" s="311">
        <f t="shared" si="31"/>
        <v>95</v>
      </c>
      <c r="GI68" s="311">
        <f t="shared" si="31"/>
        <v>150</v>
      </c>
      <c r="GJ68" s="311">
        <f t="shared" si="31"/>
        <v>180</v>
      </c>
      <c r="GK68" s="311">
        <f t="shared" si="31"/>
        <v>265</v>
      </c>
      <c r="GL68" s="311">
        <f t="shared" si="31"/>
        <v>455</v>
      </c>
      <c r="GM68" s="311">
        <f t="shared" si="31"/>
        <v>640</v>
      </c>
      <c r="GN68" s="311">
        <f t="shared" si="31"/>
        <v>760</v>
      </c>
      <c r="GO68" s="311">
        <f t="shared" si="31"/>
        <v>1140</v>
      </c>
      <c r="GP68" s="311">
        <f t="shared" si="31"/>
        <v>1650</v>
      </c>
      <c r="GQ68" s="311">
        <f>+GP68</f>
        <v>1650</v>
      </c>
      <c r="GT68" s="2174"/>
      <c r="GW68" s="2226">
        <f t="shared" ref="GW68:HK68" si="32">GX67</f>
        <v>8.35</v>
      </c>
      <c r="GX68" s="2227">
        <f t="shared" si="32"/>
        <v>13.3</v>
      </c>
      <c r="GY68" s="2227">
        <f t="shared" si="32"/>
        <v>20.6</v>
      </c>
      <c r="GZ68" s="2227">
        <f t="shared" si="32"/>
        <v>24.6</v>
      </c>
      <c r="HA68" s="2227">
        <f t="shared" si="32"/>
        <v>39</v>
      </c>
      <c r="HB68" s="2227">
        <f t="shared" si="32"/>
        <v>58</v>
      </c>
      <c r="HC68" s="2227">
        <f t="shared" si="32"/>
        <v>73.5</v>
      </c>
      <c r="HD68" s="2227">
        <f t="shared" si="32"/>
        <v>102</v>
      </c>
      <c r="HE68" s="2227">
        <f t="shared" si="32"/>
        <v>133</v>
      </c>
      <c r="HF68" s="2227">
        <f t="shared" si="32"/>
        <v>190</v>
      </c>
      <c r="HG68" s="2227">
        <f t="shared" si="32"/>
        <v>283</v>
      </c>
      <c r="HH68" s="2227">
        <f t="shared" si="32"/>
        <v>434</v>
      </c>
      <c r="HI68" s="2227">
        <f t="shared" si="32"/>
        <v>606</v>
      </c>
      <c r="HJ68" s="2227">
        <f t="shared" si="32"/>
        <v>0</v>
      </c>
      <c r="HK68" s="2227">
        <f t="shared" si="32"/>
        <v>0</v>
      </c>
      <c r="HL68" s="2227"/>
      <c r="HN68" s="2176"/>
      <c r="HO68" s="2176"/>
      <c r="HR68" s="2226">
        <f t="shared" ref="HR68:IF68" si="33">HS67</f>
        <v>8.89</v>
      </c>
      <c r="HS68" s="2227">
        <f t="shared" si="33"/>
        <v>13.3</v>
      </c>
      <c r="HT68" s="2227">
        <f t="shared" si="33"/>
        <v>20.6</v>
      </c>
      <c r="HU68" s="2227">
        <f t="shared" si="33"/>
        <v>29.4</v>
      </c>
      <c r="HV68" s="2227">
        <f t="shared" si="33"/>
        <v>38</v>
      </c>
      <c r="HW68" s="2227">
        <f t="shared" si="33"/>
        <v>60.9</v>
      </c>
      <c r="HX68" s="2227">
        <f t="shared" si="33"/>
        <v>76.3</v>
      </c>
      <c r="HY68" s="2227">
        <f t="shared" si="33"/>
        <v>102</v>
      </c>
      <c r="HZ68" s="2227">
        <f t="shared" si="33"/>
        <v>152</v>
      </c>
      <c r="IA68" s="2227">
        <f t="shared" si="33"/>
        <v>220</v>
      </c>
      <c r="IB68" s="2227">
        <f t="shared" si="33"/>
        <v>309</v>
      </c>
      <c r="IC68" s="2227">
        <f t="shared" si="33"/>
        <v>472</v>
      </c>
      <c r="ID68" s="2227">
        <f t="shared" si="33"/>
        <v>622</v>
      </c>
      <c r="IE68" s="2227">
        <f t="shared" si="33"/>
        <v>812</v>
      </c>
      <c r="IF68" s="2227">
        <f t="shared" si="33"/>
        <v>0</v>
      </c>
      <c r="IG68" s="2227"/>
      <c r="IN68" s="277"/>
      <c r="IO68" s="277"/>
    </row>
    <row r="69" spans="3:249" ht="21.95" customHeight="1">
      <c r="C69" s="735"/>
      <c r="D69" s="735"/>
      <c r="E69" s="734"/>
      <c r="F69" s="275"/>
      <c r="G69" s="735"/>
      <c r="S69" s="286"/>
      <c r="T69" s="286"/>
      <c r="AF69" s="2174"/>
      <c r="AG69" s="2174"/>
      <c r="AJ69" s="2226">
        <v>160</v>
      </c>
      <c r="AK69" s="311">
        <v>180</v>
      </c>
      <c r="AL69" s="311">
        <v>200</v>
      </c>
      <c r="AM69" s="311">
        <v>225</v>
      </c>
      <c r="AN69" s="311">
        <v>250</v>
      </c>
      <c r="AO69" s="311">
        <v>280</v>
      </c>
      <c r="AP69" s="311">
        <v>315</v>
      </c>
      <c r="AQ69" s="311">
        <v>355</v>
      </c>
      <c r="AR69" s="311">
        <v>400</v>
      </c>
      <c r="AS69" s="311">
        <v>450</v>
      </c>
      <c r="AT69" s="311">
        <v>500</v>
      </c>
      <c r="AU69" s="311">
        <v>560</v>
      </c>
      <c r="AV69" s="311">
        <v>630</v>
      </c>
      <c r="AW69" s="311">
        <v>710</v>
      </c>
      <c r="AX69" s="311">
        <v>800</v>
      </c>
      <c r="AY69" s="2179"/>
      <c r="BB69" s="2176"/>
      <c r="BC69" s="2176"/>
      <c r="BF69" s="2226">
        <v>160</v>
      </c>
      <c r="BG69" s="311">
        <v>180</v>
      </c>
      <c r="BH69" s="311">
        <v>200</v>
      </c>
      <c r="BI69" s="311">
        <v>225</v>
      </c>
      <c r="BJ69" s="311">
        <v>250</v>
      </c>
      <c r="BK69" s="311">
        <v>280</v>
      </c>
      <c r="BL69" s="311">
        <v>315</v>
      </c>
      <c r="BM69" s="311">
        <v>355</v>
      </c>
      <c r="BN69" s="311">
        <v>400</v>
      </c>
      <c r="BO69" s="311">
        <v>450</v>
      </c>
      <c r="BP69" s="311">
        <v>500</v>
      </c>
      <c r="BQ69" s="311">
        <v>560</v>
      </c>
      <c r="BR69" s="311">
        <v>630</v>
      </c>
      <c r="BS69" s="311">
        <v>710</v>
      </c>
      <c r="BT69" s="311">
        <v>800</v>
      </c>
      <c r="BU69" s="2179"/>
      <c r="BX69" s="2174"/>
      <c r="CA69" s="2226">
        <v>140</v>
      </c>
      <c r="CB69" s="2227">
        <v>160</v>
      </c>
      <c r="CC69" s="2227">
        <v>180</v>
      </c>
      <c r="CD69" s="2227">
        <v>200</v>
      </c>
      <c r="CE69" s="2227">
        <v>225</v>
      </c>
      <c r="CF69" s="2227">
        <v>250</v>
      </c>
      <c r="CG69" s="2227">
        <v>280</v>
      </c>
      <c r="CH69" s="2227">
        <v>315</v>
      </c>
      <c r="CI69" s="2227">
        <v>355</v>
      </c>
      <c r="CJ69" s="2227">
        <v>400</v>
      </c>
      <c r="CK69" s="2227">
        <v>450</v>
      </c>
      <c r="CL69" s="2227">
        <v>500</v>
      </c>
      <c r="CM69" s="2227">
        <v>560</v>
      </c>
      <c r="CN69" s="2227">
        <v>630</v>
      </c>
      <c r="CO69" s="2227"/>
      <c r="CR69" s="2176"/>
      <c r="CS69" s="2176"/>
      <c r="CV69" s="2226">
        <v>140</v>
      </c>
      <c r="CW69" s="2227">
        <v>160</v>
      </c>
      <c r="CX69" s="2227">
        <v>180</v>
      </c>
      <c r="CY69" s="2227">
        <v>200</v>
      </c>
      <c r="CZ69" s="2227">
        <v>225</v>
      </c>
      <c r="DA69" s="2227">
        <v>250</v>
      </c>
      <c r="DB69" s="2227">
        <v>280</v>
      </c>
      <c r="DC69" s="2227">
        <v>315</v>
      </c>
      <c r="DD69" s="2227">
        <v>355</v>
      </c>
      <c r="DE69" s="2227">
        <v>400</v>
      </c>
      <c r="DF69" s="2227">
        <v>450</v>
      </c>
      <c r="DG69" s="2227">
        <v>500</v>
      </c>
      <c r="DH69" s="2227">
        <v>560</v>
      </c>
      <c r="DI69" s="2227">
        <v>630</v>
      </c>
      <c r="DJ69" s="2227"/>
      <c r="DS69" s="277"/>
      <c r="DW69" s="1"/>
      <c r="DY69" s="735"/>
      <c r="DZ69" s="735"/>
      <c r="EA69" s="734"/>
      <c r="EB69" s="275"/>
      <c r="EC69" s="735"/>
      <c r="EO69" s="286"/>
      <c r="EP69" s="286"/>
      <c r="FB69" s="2174"/>
      <c r="FC69" s="2174"/>
      <c r="FF69" s="2226">
        <v>160</v>
      </c>
      <c r="FG69" s="311">
        <v>180</v>
      </c>
      <c r="FH69" s="311">
        <v>200</v>
      </c>
      <c r="FI69" s="311">
        <v>225</v>
      </c>
      <c r="FJ69" s="311">
        <v>250</v>
      </c>
      <c r="FK69" s="311">
        <v>280</v>
      </c>
      <c r="FL69" s="311">
        <v>315</v>
      </c>
      <c r="FM69" s="311">
        <v>355</v>
      </c>
      <c r="FN69" s="311">
        <v>400</v>
      </c>
      <c r="FO69" s="311">
        <v>450</v>
      </c>
      <c r="FP69" s="311">
        <v>500</v>
      </c>
      <c r="FQ69" s="311">
        <v>560</v>
      </c>
      <c r="FR69" s="311">
        <v>630</v>
      </c>
      <c r="FS69" s="311">
        <v>710</v>
      </c>
      <c r="FT69" s="311">
        <v>800</v>
      </c>
      <c r="FU69" s="2179"/>
      <c r="FX69" s="2176"/>
      <c r="FY69" s="2176"/>
      <c r="GB69" s="2226">
        <v>160</v>
      </c>
      <c r="GC69" s="311">
        <v>180</v>
      </c>
      <c r="GD69" s="311">
        <v>200</v>
      </c>
      <c r="GE69" s="311">
        <v>225</v>
      </c>
      <c r="GF69" s="311">
        <v>250</v>
      </c>
      <c r="GG69" s="311">
        <v>280</v>
      </c>
      <c r="GH69" s="311">
        <v>315</v>
      </c>
      <c r="GI69" s="311">
        <v>355</v>
      </c>
      <c r="GJ69" s="311">
        <v>400</v>
      </c>
      <c r="GK69" s="311">
        <v>450</v>
      </c>
      <c r="GL69" s="311">
        <v>500</v>
      </c>
      <c r="GM69" s="311">
        <v>560</v>
      </c>
      <c r="GN69" s="311">
        <v>630</v>
      </c>
      <c r="GO69" s="311">
        <v>710</v>
      </c>
      <c r="GP69" s="311">
        <v>800</v>
      </c>
      <c r="GQ69" s="2179"/>
      <c r="GT69" s="2174"/>
      <c r="GW69" s="2226">
        <v>140</v>
      </c>
      <c r="GX69" s="2227">
        <v>160</v>
      </c>
      <c r="GY69" s="2227">
        <v>180</v>
      </c>
      <c r="GZ69" s="2227">
        <v>200</v>
      </c>
      <c r="HA69" s="2227">
        <v>225</v>
      </c>
      <c r="HB69" s="2227">
        <v>250</v>
      </c>
      <c r="HC69" s="2227">
        <v>280</v>
      </c>
      <c r="HD69" s="2227">
        <v>315</v>
      </c>
      <c r="HE69" s="2227">
        <v>355</v>
      </c>
      <c r="HF69" s="2227">
        <v>400</v>
      </c>
      <c r="HG69" s="2227">
        <v>450</v>
      </c>
      <c r="HH69" s="2227">
        <v>500</v>
      </c>
      <c r="HI69" s="2227">
        <v>560</v>
      </c>
      <c r="HJ69" s="2227">
        <v>630</v>
      </c>
      <c r="HK69" s="2227"/>
      <c r="HN69" s="2176"/>
      <c r="HO69" s="2176"/>
      <c r="HR69" s="2226">
        <v>140</v>
      </c>
      <c r="HS69" s="2227">
        <v>160</v>
      </c>
      <c r="HT69" s="2227">
        <v>180</v>
      </c>
      <c r="HU69" s="2227">
        <v>200</v>
      </c>
      <c r="HV69" s="2227">
        <v>225</v>
      </c>
      <c r="HW69" s="2227">
        <v>250</v>
      </c>
      <c r="HX69" s="2227">
        <v>280</v>
      </c>
      <c r="HY69" s="2227">
        <v>315</v>
      </c>
      <c r="HZ69" s="2227">
        <v>355</v>
      </c>
      <c r="IA69" s="2227">
        <v>400</v>
      </c>
      <c r="IB69" s="2227">
        <v>450</v>
      </c>
      <c r="IC69" s="2227">
        <v>500</v>
      </c>
      <c r="ID69" s="2227">
        <v>560</v>
      </c>
      <c r="IE69" s="2227">
        <v>630</v>
      </c>
      <c r="IF69" s="2227"/>
      <c r="IN69" s="277"/>
      <c r="IO69" s="277"/>
    </row>
    <row r="70" spans="3:249" ht="21.95" customHeight="1">
      <c r="C70" s="735" t="s">
        <v>716</v>
      </c>
      <c r="D70" s="735">
        <f>F70*D68</f>
        <v>72600</v>
      </c>
      <c r="E70" s="734">
        <v>23100</v>
      </c>
      <c r="F70" s="275">
        <v>242</v>
      </c>
      <c r="G70" s="748" t="s">
        <v>670</v>
      </c>
      <c r="H70" s="277">
        <v>235</v>
      </c>
      <c r="I70" s="277">
        <v>7</v>
      </c>
      <c r="J70" s="277">
        <f>H70+I70</f>
        <v>242</v>
      </c>
      <c r="S70" s="286"/>
      <c r="T70" s="286"/>
      <c r="AF70" s="2174"/>
      <c r="AG70" s="2174"/>
      <c r="AJ70" s="2229">
        <f>HLOOKUP(AK41,AJ67:AY67,1)</f>
        <v>0</v>
      </c>
      <c r="AK70" s="2229">
        <f>HLOOKUP(AJ70,AJ67:AY68,2,0)</f>
        <v>6</v>
      </c>
      <c r="AL70" s="2179"/>
      <c r="AM70" s="2179"/>
      <c r="AN70" s="2179"/>
      <c r="AO70" s="2179"/>
      <c r="AP70" s="2179"/>
      <c r="AQ70" s="2179"/>
      <c r="AR70" s="2179"/>
      <c r="AS70" s="2179"/>
      <c r="AT70" s="2179"/>
      <c r="AU70" s="2179"/>
      <c r="AV70" s="2179"/>
      <c r="BB70" s="2176"/>
      <c r="BC70" s="2176"/>
      <c r="BF70" s="2229">
        <f>HLOOKUP(BG41,BF67:BU67,1)</f>
        <v>0</v>
      </c>
      <c r="BG70" s="2229">
        <f>HLOOKUP(BF70,BF67:BU68,2,0)</f>
        <v>6.5</v>
      </c>
      <c r="BH70" s="2179"/>
      <c r="BI70" s="2179"/>
      <c r="BJ70" s="2179"/>
      <c r="BK70" s="2179"/>
      <c r="BL70" s="2179"/>
      <c r="BM70" s="2179"/>
      <c r="BN70" s="2179"/>
      <c r="BO70" s="2179"/>
      <c r="BP70" s="2179"/>
      <c r="BQ70" s="2179"/>
      <c r="BR70" s="2179"/>
      <c r="BX70" s="2174"/>
      <c r="CA70" s="2230">
        <f>HLOOKUP(CB41,CA67:CP67,1)</f>
        <v>0</v>
      </c>
      <c r="CB70" s="2230">
        <f>HLOOKUP(CA70,CA67:CP68,2,0)</f>
        <v>4.5599999999999996</v>
      </c>
      <c r="CR70" s="2176"/>
      <c r="CS70" s="2176"/>
      <c r="CV70" s="2230">
        <f>HLOOKUP(CW41,CV67:DK67,1)</f>
        <v>0</v>
      </c>
      <c r="CW70" s="2230">
        <f>HLOOKUP(CV70,CV67:DK68,2,0)</f>
        <v>5.16</v>
      </c>
      <c r="DS70" s="277"/>
      <c r="DW70" s="1"/>
      <c r="DY70" s="735" t="s">
        <v>716</v>
      </c>
      <c r="DZ70" s="735">
        <f>EB70*DZ68</f>
        <v>72600</v>
      </c>
      <c r="EA70" s="734">
        <v>23100</v>
      </c>
      <c r="EB70" s="275">
        <v>242</v>
      </c>
      <c r="EC70" s="748" t="s">
        <v>670</v>
      </c>
      <c r="ED70" s="277">
        <v>235</v>
      </c>
      <c r="EE70" s="277">
        <v>7</v>
      </c>
      <c r="EO70" s="286"/>
      <c r="EP70" s="286"/>
      <c r="FB70" s="2174"/>
      <c r="FC70" s="2174"/>
      <c r="FF70" s="2229">
        <f>HLOOKUP(FG41,FF67:FU67,1)</f>
        <v>0</v>
      </c>
      <c r="FG70" s="2229">
        <f>HLOOKUP(FF70,FF67:FU68,2,0)</f>
        <v>11</v>
      </c>
      <c r="FH70" s="2179"/>
      <c r="FI70" s="2179"/>
      <c r="FJ70" s="2179"/>
      <c r="FK70" s="2179"/>
      <c r="FL70" s="2179"/>
      <c r="FM70" s="2179"/>
      <c r="FN70" s="2179"/>
      <c r="FO70" s="2179"/>
      <c r="FP70" s="2179"/>
      <c r="FQ70" s="2179"/>
      <c r="FR70" s="2179"/>
      <c r="FX70" s="2176"/>
      <c r="FY70" s="2176"/>
      <c r="GB70" s="2229">
        <f>HLOOKUP(GC41,GB67:GQ67,1)</f>
        <v>0</v>
      </c>
      <c r="GC70" s="2229">
        <f>HLOOKUP(GB70,GB67:GQ68,2,0)</f>
        <v>12</v>
      </c>
      <c r="GD70" s="2179"/>
      <c r="GE70" s="2179"/>
      <c r="GF70" s="2179"/>
      <c r="GG70" s="2179"/>
      <c r="GH70" s="2179"/>
      <c r="GI70" s="2179"/>
      <c r="GJ70" s="2179"/>
      <c r="GK70" s="2179"/>
      <c r="GL70" s="2179"/>
      <c r="GM70" s="2179"/>
      <c r="GN70" s="2179"/>
      <c r="GT70" s="2174"/>
      <c r="GW70" s="2230">
        <f>HLOOKUP(GX41,GW67:HL67,1)</f>
        <v>0</v>
      </c>
      <c r="GX70" s="2230">
        <f>HLOOKUP(GW70,GW67:HL68,2,0)</f>
        <v>8.35</v>
      </c>
      <c r="HN70" s="2176"/>
      <c r="HO70" s="2176"/>
      <c r="HR70" s="2230">
        <f>HLOOKUP(HS41,HR67:IG67,1)</f>
        <v>0</v>
      </c>
      <c r="HS70" s="2230">
        <f>HLOOKUP(HR70,HR67:IG68,2,0)</f>
        <v>8.89</v>
      </c>
      <c r="IN70" s="277"/>
      <c r="IO70" s="277"/>
    </row>
    <row r="71" spans="3:249" ht="21.95" customHeight="1">
      <c r="C71" s="735" t="s">
        <v>717</v>
      </c>
      <c r="D71" s="735">
        <f>F71*D68</f>
        <v>82800</v>
      </c>
      <c r="E71" s="734">
        <v>26250</v>
      </c>
      <c r="F71" s="275">
        <v>276</v>
      </c>
      <c r="G71" s="748"/>
      <c r="H71" s="277">
        <v>265</v>
      </c>
      <c r="I71" s="277">
        <v>11</v>
      </c>
      <c r="J71" s="277">
        <f t="shared" ref="J71:J83" si="34">H71+I71</f>
        <v>276</v>
      </c>
      <c r="S71" s="286"/>
      <c r="T71" s="286"/>
      <c r="AF71" s="2174"/>
      <c r="AG71" s="2174"/>
      <c r="AJ71" s="2229">
        <f>IFERROR(HLOOKUP(AK41,AJ67:AY67,1,0),0)</f>
        <v>0</v>
      </c>
      <c r="AL71" s="2179"/>
      <c r="AM71" s="2179"/>
      <c r="AN71" s="2179"/>
      <c r="AO71" s="2179"/>
      <c r="AP71" s="2179"/>
      <c r="AQ71" s="2179"/>
      <c r="AR71" s="2179"/>
      <c r="AS71" s="2179"/>
      <c r="AT71" s="2179"/>
      <c r="AU71" s="2179"/>
      <c r="AV71" s="2179"/>
      <c r="BB71" s="2176"/>
      <c r="BC71" s="2176"/>
      <c r="BF71" s="2229">
        <f>IFERROR(HLOOKUP(BG41,BF67:BU67,1,0),0)</f>
        <v>0</v>
      </c>
      <c r="BH71" s="2179"/>
      <c r="BI71" s="2179"/>
      <c r="BJ71" s="2179"/>
      <c r="BK71" s="2179"/>
      <c r="BL71" s="2179"/>
      <c r="BM71" s="2179"/>
      <c r="BN71" s="2179"/>
      <c r="BO71" s="2179"/>
      <c r="BP71" s="2179"/>
      <c r="BQ71" s="2179"/>
      <c r="BR71" s="2179"/>
      <c r="BX71" s="2174"/>
      <c r="CA71" s="2230">
        <f>IFERROR(HLOOKUP(CB41,CA67:CP67,1,0),0)</f>
        <v>0</v>
      </c>
      <c r="CR71" s="2176"/>
      <c r="CS71" s="2176"/>
      <c r="CV71" s="2230">
        <f>IFERROR(HLOOKUP(CW41,CV67:DK67,1,0),0)</f>
        <v>0</v>
      </c>
      <c r="DS71" s="277"/>
      <c r="DW71" s="1"/>
      <c r="DY71" s="735" t="s">
        <v>717</v>
      </c>
      <c r="DZ71" s="735">
        <f>EB71*DZ68</f>
        <v>82800</v>
      </c>
      <c r="EA71" s="734">
        <v>26250</v>
      </c>
      <c r="EB71" s="275">
        <v>276</v>
      </c>
      <c r="EC71" s="748"/>
      <c r="ED71" s="277">
        <v>265</v>
      </c>
      <c r="EE71" s="277">
        <v>11</v>
      </c>
      <c r="EO71" s="286"/>
      <c r="EP71" s="286"/>
      <c r="FB71" s="2174"/>
      <c r="FC71" s="2174"/>
      <c r="FF71" s="2229">
        <f>IFERROR(HLOOKUP(FG41,FF67:FU67,1,0),0)</f>
        <v>0</v>
      </c>
      <c r="FH71" s="2179"/>
      <c r="FI71" s="2179"/>
      <c r="FJ71" s="2179"/>
      <c r="FK71" s="2179"/>
      <c r="FL71" s="2179"/>
      <c r="FM71" s="2179"/>
      <c r="FN71" s="2179"/>
      <c r="FO71" s="2179"/>
      <c r="FP71" s="2179"/>
      <c r="FQ71" s="2179"/>
      <c r="FR71" s="2179"/>
      <c r="FX71" s="2176"/>
      <c r="FY71" s="2176"/>
      <c r="GB71" s="2229">
        <f>IFERROR(HLOOKUP(GC41,GB67:GQ67,1,0),0)</f>
        <v>0</v>
      </c>
      <c r="GD71" s="2179"/>
      <c r="GE71" s="2179"/>
      <c r="GF71" s="2179"/>
      <c r="GG71" s="2179"/>
      <c r="GH71" s="2179"/>
      <c r="GI71" s="2179"/>
      <c r="GJ71" s="2179"/>
      <c r="GK71" s="2179"/>
      <c r="GL71" s="2179"/>
      <c r="GM71" s="2179"/>
      <c r="GN71" s="2179"/>
      <c r="GT71" s="2174"/>
      <c r="GW71" s="2230">
        <f>IFERROR(HLOOKUP(GX41,GW67:HL67,1,0),0)</f>
        <v>0</v>
      </c>
      <c r="HN71" s="2176"/>
      <c r="HO71" s="2176"/>
      <c r="HR71" s="2230">
        <f>IFERROR(HLOOKUP(HS41,HR67:IG67,1,0),0)</f>
        <v>0</v>
      </c>
      <c r="IN71" s="277"/>
      <c r="IO71" s="277"/>
    </row>
    <row r="72" spans="3:249" ht="21.95" customHeight="1">
      <c r="C72" s="735" t="s">
        <v>718</v>
      </c>
      <c r="D72" s="735">
        <f>F72*D68</f>
        <v>94500</v>
      </c>
      <c r="E72" s="734">
        <v>29400</v>
      </c>
      <c r="F72" s="275">
        <v>315</v>
      </c>
      <c r="G72" s="748"/>
      <c r="H72" s="277">
        <v>300</v>
      </c>
      <c r="I72" s="277">
        <v>15</v>
      </c>
      <c r="J72" s="277">
        <f t="shared" si="34"/>
        <v>315</v>
      </c>
      <c r="S72" s="286"/>
      <c r="T72" s="286"/>
      <c r="AF72" s="2174"/>
      <c r="AG72" s="2174"/>
      <c r="AJ72" s="2229" t="str">
        <f>IF(AK72=AM62,"Right","Wrong")</f>
        <v>Right</v>
      </c>
      <c r="AK72" s="2229">
        <f>HLOOKUP(AK73,AJ68:AX69,2,0)</f>
        <v>160</v>
      </c>
      <c r="AL72" s="2230" t="str">
        <f>IF(AM62=AN81,"Right","Wrong")</f>
        <v>Wrong</v>
      </c>
      <c r="AN72" s="277" t="str">
        <f>IF(AN80="Right",IF(AL72="Right","Right","Wrong"),"Wrong")</f>
        <v>Wrong</v>
      </c>
      <c r="AO72" s="277"/>
      <c r="AP72" s="277" t="str">
        <f>IF(AN73="Right",IF(AN72="Right","Right","Wrong"),"Wrong")</f>
        <v>Wrong</v>
      </c>
      <c r="AR72" s="277" t="str">
        <f>IF(AK40&gt;13,AP73,AP72)</f>
        <v>Right</v>
      </c>
      <c r="BB72" s="2176"/>
      <c r="BC72" s="2176"/>
      <c r="BF72" s="2229" t="str">
        <f>IF(BG72=BI62,"Right","Wrong")</f>
        <v>Right</v>
      </c>
      <c r="BG72" s="2229">
        <f>HLOOKUP(BG73,BF68:BT69,2,0)</f>
        <v>160</v>
      </c>
      <c r="BH72" s="2230" t="str">
        <f>IF(BI62=BJ81,"Right","Wrong")</f>
        <v>Wrong</v>
      </c>
      <c r="BI72" s="277"/>
      <c r="BJ72" s="277" t="str">
        <f>IF(BJ80="Right",IF(BH72="Right","Right","Wrong"),"Wrong")</f>
        <v>Wrong</v>
      </c>
      <c r="BL72" s="277" t="str">
        <f>IF(BJ73="Right",IF(BJ72="Right","Right","Wrong"),"Wrong")</f>
        <v>Wrong</v>
      </c>
      <c r="BN72" s="277" t="str">
        <f>IF(BG40&gt;13,BL73,BL72)</f>
        <v>Right</v>
      </c>
      <c r="BX72" s="2174"/>
      <c r="CA72" s="2230" t="str">
        <f>IF(CB72=CD62,"Right","Wrong")</f>
        <v>Right</v>
      </c>
      <c r="CB72" s="2230">
        <f>HLOOKUP(CB73,CA68:CO69,2,0)</f>
        <v>140</v>
      </c>
      <c r="CC72" s="2230" t="str">
        <f>IF(CD62=CE81,"Right","Wrong")</f>
        <v>Wrong</v>
      </c>
      <c r="CE72" s="277" t="str">
        <f>IF(CE80="Right",IF(CC72="Right","Right","Wrong"),"Wrong")</f>
        <v>Wrong</v>
      </c>
      <c r="CG72" s="277" t="str">
        <f>IF(CE73="Right",IF(CE72="Right","Right","Wrong"),"Wrong")</f>
        <v>Wrong</v>
      </c>
      <c r="CI72" s="277" t="str">
        <f>IF(CB40&gt;24,CG73,CG72)</f>
        <v>Right</v>
      </c>
      <c r="CR72" s="2176"/>
      <c r="CS72" s="2176"/>
      <c r="CV72" s="2230" t="str">
        <f>IF(CW72=CY62,"Right","Wrong")</f>
        <v>Right</v>
      </c>
      <c r="CW72" s="2230">
        <f>HLOOKUP(CW73,CV68:DJ69,2,0)</f>
        <v>140</v>
      </c>
      <c r="CX72" s="2230" t="str">
        <f>IF(CY62=CZ81,"Right","Wrong")</f>
        <v>Wrong</v>
      </c>
      <c r="CZ72" s="277" t="str">
        <f>IF(CZ80="Right",IF(CX72="Right","Right","Wrong"),"Wrong")</f>
        <v>Wrong</v>
      </c>
      <c r="DB72" s="277" t="str">
        <f>IF(CZ73="Right",IF(CZ72="Right","Right","Wrong"),"Wrong")</f>
        <v>Wrong</v>
      </c>
      <c r="DD72" s="277" t="str">
        <f>IF(CW40&gt;24,DB73,DB72)</f>
        <v>Right</v>
      </c>
      <c r="DS72" s="277"/>
      <c r="DW72" s="1"/>
      <c r="DY72" s="735" t="s">
        <v>718</v>
      </c>
      <c r="DZ72" s="735">
        <f>EB72*DZ68</f>
        <v>94500</v>
      </c>
      <c r="EA72" s="734">
        <v>29400</v>
      </c>
      <c r="EB72" s="275">
        <v>315</v>
      </c>
      <c r="EC72" s="748"/>
      <c r="ED72" s="277">
        <v>300</v>
      </c>
      <c r="EE72" s="277">
        <v>15</v>
      </c>
      <c r="EO72" s="286"/>
      <c r="EP72" s="286"/>
      <c r="FB72" s="2174"/>
      <c r="FC72" s="2174"/>
      <c r="FF72" s="2229" t="str">
        <f>IF(FG72=FI62,"Right","Wrong")</f>
        <v>Right</v>
      </c>
      <c r="FG72" s="2229">
        <f>HLOOKUP(FG73,FF68:FT69,2,0)</f>
        <v>160</v>
      </c>
      <c r="FH72" s="2230" t="str">
        <f>IF(FI62=FJ81,"Right","Wrong")</f>
        <v>Right</v>
      </c>
      <c r="FJ72" s="277" t="str">
        <f>IF(FJ80="Right",IF(FH72="Right","Right","Wrong"),"Wrong")</f>
        <v>Right</v>
      </c>
      <c r="FL72" s="277" t="str">
        <f>IF(FJ73="Right",IF(FJ72="Right","Right","Wrong"),"Wrong")</f>
        <v>Right</v>
      </c>
      <c r="FN72" s="277" t="str">
        <f>IF(FG40&gt;13,FL73,FL72)</f>
        <v>Right</v>
      </c>
      <c r="FX72" s="2176"/>
      <c r="FY72" s="2176"/>
      <c r="GB72" s="2229" t="str">
        <f>IF(GC72=GE62,"Right","Wrong")</f>
        <v>Right</v>
      </c>
      <c r="GC72" s="2229">
        <f>HLOOKUP(GC73,GB68:GP69,2,0)</f>
        <v>160</v>
      </c>
      <c r="GD72" s="2230" t="str">
        <f>IF(GE62=GF81,"Right","Wrong")</f>
        <v>Right</v>
      </c>
      <c r="GF72" s="277" t="str">
        <f>IF(GF80="Right",IF(GD72="Right","Right","Wrong"),"Wrong")</f>
        <v>Right</v>
      </c>
      <c r="GH72" s="277" t="str">
        <f>IF(GF73="Right",IF(GF72="Right","Right","Wrong"),"Wrong")</f>
        <v>Right</v>
      </c>
      <c r="GJ72" s="277" t="str">
        <f>IF(GC40&gt;13,GH73,GH72)</f>
        <v>Right</v>
      </c>
      <c r="GT72" s="2174"/>
      <c r="GW72" s="2230" t="str">
        <f>IF(GX72=GZ62,"Right","Wrong")</f>
        <v>Right</v>
      </c>
      <c r="GX72" s="2230">
        <f>HLOOKUP(GX73,GW68:HK69,2,0)</f>
        <v>140</v>
      </c>
      <c r="GY72" s="2230" t="str">
        <f>IF(GZ62=HA81,"Right","Wrong")</f>
        <v>Wrong</v>
      </c>
      <c r="HA72" s="277" t="str">
        <f>IF(HA80="Right",IF(GY72="Right","Right","Wrong"),"Wrong")</f>
        <v>Wrong</v>
      </c>
      <c r="HC72" s="277" t="str">
        <f>IF(HA73="Right",IF(HA72="Right","Right","Wrong"),"Wrong")</f>
        <v>Wrong</v>
      </c>
      <c r="HE72" s="277" t="str">
        <f>IF(GX40&gt;24,HC73,HC72)</f>
        <v>Right</v>
      </c>
      <c r="HN72" s="2176"/>
      <c r="HO72" s="2176"/>
      <c r="HR72" s="2230" t="str">
        <f>IF(HS72=HU62,"Right","Wrong")</f>
        <v>Right</v>
      </c>
      <c r="HS72" s="2230">
        <f>HLOOKUP(HS73,HR68:IF69,2,0)</f>
        <v>140</v>
      </c>
      <c r="HT72" s="2230" t="str">
        <f>IF(HU62=HV81,"Right","Wrong")</f>
        <v>Wrong</v>
      </c>
      <c r="HV72" s="277" t="str">
        <f>IF(HV80="Right",IF(HT72="Right","Right","Wrong"),"Wrong")</f>
        <v>Wrong</v>
      </c>
      <c r="HX72" s="277" t="str">
        <f>IF(HV73="Right",IF(HV72="Right","Right","Wrong"),"Wrong")</f>
        <v>Wrong</v>
      </c>
      <c r="HZ72" s="277" t="str">
        <f>IF(HS40&gt;24,HX73,HX72)</f>
        <v>Right</v>
      </c>
      <c r="IN72" s="277"/>
      <c r="IO72" s="277"/>
    </row>
    <row r="73" spans="3:249" ht="21.95" customHeight="1">
      <c r="C73" s="735" t="s">
        <v>719</v>
      </c>
      <c r="D73" s="735">
        <f>F73*D68</f>
        <v>114000</v>
      </c>
      <c r="E73" s="734">
        <v>33600</v>
      </c>
      <c r="F73" s="275">
        <v>380</v>
      </c>
      <c r="G73" s="748"/>
      <c r="H73" s="277">
        <v>360</v>
      </c>
      <c r="I73" s="277">
        <v>20</v>
      </c>
      <c r="J73" s="277">
        <f t="shared" si="34"/>
        <v>380</v>
      </c>
      <c r="S73" s="286"/>
      <c r="T73" s="286"/>
      <c r="AF73" s="2174"/>
      <c r="AG73" s="2174"/>
      <c r="AJ73" s="2253" t="str">
        <f>IF(AK73=AL62,"Right","Wrong")</f>
        <v>Right</v>
      </c>
      <c r="AK73" s="2229">
        <f>IF(AJ71&gt;0,AJ71,AK70)</f>
        <v>6</v>
      </c>
      <c r="AL73" s="2230" t="str">
        <f>IF(AL81=AL62,"Right","Wrong")</f>
        <v>Wrong</v>
      </c>
      <c r="AN73" s="277" t="str">
        <f>IF(AL80="Right",IF(AL73="Right","Right","Wrong"),"Wrong")</f>
        <v>Wrong</v>
      </c>
      <c r="AO73" s="277"/>
      <c r="AP73" s="277" t="str">
        <f>IF(AJ73="Right",IF(AJ72="Right","Right","Wrong"),"Wrong")</f>
        <v>Right</v>
      </c>
      <c r="BB73" s="2176"/>
      <c r="BC73" s="2176"/>
      <c r="BF73" s="2253" t="str">
        <f>IF(BG73=BH62,"Right","Wrong")</f>
        <v>Right</v>
      </c>
      <c r="BG73" s="2229">
        <f>IF(BF71&gt;0,BF71,BG70)</f>
        <v>6.5</v>
      </c>
      <c r="BH73" s="2230" t="str">
        <f>IF(BH81=BH62,"Right","Wrong")</f>
        <v>Wrong</v>
      </c>
      <c r="BI73" s="277"/>
      <c r="BJ73" s="277" t="str">
        <f>IF(BH80="Right",IF(BH73="Right","Right","Wrong"),"Wrong")</f>
        <v>Wrong</v>
      </c>
      <c r="BL73" s="277" t="str">
        <f>IF(BF73="Right",IF(BF72="Right","Right","Wrong"),"Wrong")</f>
        <v>Right</v>
      </c>
      <c r="BX73" s="2174"/>
      <c r="CA73" s="2230" t="str">
        <f>IF(CB73=CC62,"Right","Wrong")</f>
        <v>Right</v>
      </c>
      <c r="CB73" s="2230">
        <f>IF(CA71&gt;0,CA71,CB70)</f>
        <v>4.5599999999999996</v>
      </c>
      <c r="CC73" s="2230" t="str">
        <f>IF(CC81=CC62,"Right","Wrong")</f>
        <v>Wrong</v>
      </c>
      <c r="CE73" s="277" t="str">
        <f>IF(CC80="Right",IF(CC73="Right","Right","Wrong"),"Wrong")</f>
        <v>Wrong</v>
      </c>
      <c r="CG73" s="277" t="str">
        <f>IF(CA73="Right",IF(CA72="Right","Right","Wrong"),"Wrong")</f>
        <v>Right</v>
      </c>
      <c r="CR73" s="2176"/>
      <c r="CS73" s="2176"/>
      <c r="CV73" s="2230" t="str">
        <f>IF(CW73=CX62,"Right","Wrong")</f>
        <v>Right</v>
      </c>
      <c r="CW73" s="2230">
        <f>IF(CV71&gt;0,CV71,CW70)</f>
        <v>5.16</v>
      </c>
      <c r="CX73" s="2230" t="str">
        <f>IF(CX81=CX62,"Right","Wrong")</f>
        <v>Wrong</v>
      </c>
      <c r="CZ73" s="277" t="str">
        <f>IF(CX80="Right",IF(CX73="Right","Right","Wrong"),"Wrong")</f>
        <v>Wrong</v>
      </c>
      <c r="DB73" s="277" t="str">
        <f>IF(CV73="Right",IF(CV72="Right","Right","Wrong"),"Wrong")</f>
        <v>Right</v>
      </c>
      <c r="DS73" s="277"/>
      <c r="DW73" s="1"/>
      <c r="DY73" s="735" t="s">
        <v>719</v>
      </c>
      <c r="DZ73" s="735">
        <f>EB73*DZ68</f>
        <v>114000</v>
      </c>
      <c r="EA73" s="734">
        <v>33600</v>
      </c>
      <c r="EB73" s="275">
        <v>380</v>
      </c>
      <c r="EC73" s="748"/>
      <c r="ED73" s="277">
        <v>360</v>
      </c>
      <c r="EE73" s="277">
        <v>20</v>
      </c>
      <c r="EO73" s="286"/>
      <c r="EP73" s="286"/>
      <c r="FB73" s="2174"/>
      <c r="FC73" s="2174"/>
      <c r="FF73" s="2253" t="str">
        <f>IF(FG73=FH62,"Right","Wrong")</f>
        <v>Right</v>
      </c>
      <c r="FG73" s="2229">
        <f>IF(FF71&gt;0,FF71,FG70)</f>
        <v>11</v>
      </c>
      <c r="FH73" s="2230" t="str">
        <f>IF(FH81=FH62,"Right","Wrong")</f>
        <v>Right</v>
      </c>
      <c r="FJ73" s="277" t="str">
        <f>IF(FH80="Right",IF(FH73="Right","Right","Wrong"),"Wrong")</f>
        <v>Right</v>
      </c>
      <c r="FL73" s="277" t="str">
        <f>IF(FF73="Right",IF(FF72="Right","Right","Wrong"),"Wrong")</f>
        <v>Right</v>
      </c>
      <c r="FX73" s="2176"/>
      <c r="FY73" s="2176"/>
      <c r="GB73" s="2253" t="str">
        <f>IF(GC73=GD62,"Right","Wrong")</f>
        <v>Right</v>
      </c>
      <c r="GC73" s="2229">
        <f>IF(GB71&gt;0,GB71,GC70)</f>
        <v>12</v>
      </c>
      <c r="GD73" s="2230" t="str">
        <f>IF(GD81=GD62,"Right","Wrong")</f>
        <v>Right</v>
      </c>
      <c r="GF73" s="277" t="str">
        <f>IF(GD80="Right",IF(GD73="Right","Right","Wrong"),"Wrong")</f>
        <v>Right</v>
      </c>
      <c r="GH73" s="277" t="str">
        <f>IF(GB73="Right",IF(GB72="Right","Right","Wrong"),"Wrong")</f>
        <v>Right</v>
      </c>
      <c r="GT73" s="2174"/>
      <c r="GW73" s="2230" t="str">
        <f>IF(GX73=GY62,"Right","Wrong")</f>
        <v>Right</v>
      </c>
      <c r="GX73" s="2230">
        <f>IF(GW71&gt;0,GW71,GX70)</f>
        <v>8.35</v>
      </c>
      <c r="GY73" s="2230" t="str">
        <f>IF(GY81=GY62,"Right","Wrong")</f>
        <v>Wrong</v>
      </c>
      <c r="HA73" s="277" t="str">
        <f>IF(GY80="Right",IF(GY73="Right","Right","Wrong"),"Wrong")</f>
        <v>Wrong</v>
      </c>
      <c r="HC73" s="277" t="str">
        <f>IF(GW73="Right",IF(GW72="Right","Right","Wrong"),"Wrong")</f>
        <v>Right</v>
      </c>
      <c r="HN73" s="2176"/>
      <c r="HO73" s="2176"/>
      <c r="HR73" s="2230" t="str">
        <f>IF(HS73=HT62,"Right","Wrong")</f>
        <v>Right</v>
      </c>
      <c r="HS73" s="2230">
        <f>IF(HR71&gt;0,HR71,HS70)</f>
        <v>8.89</v>
      </c>
      <c r="HT73" s="2230" t="str">
        <f>IF(HT81=HT62,"Right","Wrong")</f>
        <v>Wrong</v>
      </c>
      <c r="HV73" s="277" t="str">
        <f>IF(HT80="Right",IF(HT73="Right","Right","Wrong"),"Wrong")</f>
        <v>Wrong</v>
      </c>
      <c r="HX73" s="277" t="str">
        <f>IF(HR73="Right",IF(HR72="Right","Right","Wrong"),"Wrong")</f>
        <v>Right</v>
      </c>
      <c r="IN73" s="277"/>
      <c r="IO73" s="277"/>
    </row>
    <row r="74" spans="3:249" ht="21.95" customHeight="1">
      <c r="C74" s="735" t="s">
        <v>720</v>
      </c>
      <c r="D74" s="735">
        <f>F74*D68</f>
        <v>149100</v>
      </c>
      <c r="E74" s="734">
        <v>36750</v>
      </c>
      <c r="F74" s="275">
        <v>497</v>
      </c>
      <c r="G74" s="748"/>
      <c r="H74" s="277">
        <v>470</v>
      </c>
      <c r="I74" s="277">
        <v>27</v>
      </c>
      <c r="J74" s="277">
        <f t="shared" si="34"/>
        <v>497</v>
      </c>
      <c r="S74" s="286"/>
      <c r="T74" s="286"/>
      <c r="AF74" s="2174"/>
      <c r="AG74" s="2174"/>
      <c r="AJ74" s="1"/>
      <c r="AO74" s="277"/>
      <c r="BB74" s="2176"/>
      <c r="BC74" s="2176"/>
      <c r="BF74" s="1"/>
      <c r="BI74" s="277"/>
      <c r="BJ74" s="277"/>
      <c r="BX74" s="2174"/>
      <c r="CA74" s="1"/>
      <c r="CR74" s="2176"/>
      <c r="CS74" s="2176"/>
      <c r="CV74" s="1"/>
      <c r="DS74" s="277"/>
      <c r="DW74" s="1"/>
      <c r="DY74" s="735" t="s">
        <v>720</v>
      </c>
      <c r="DZ74" s="735">
        <f>EB74*DZ68</f>
        <v>149100</v>
      </c>
      <c r="EA74" s="734">
        <v>36750</v>
      </c>
      <c r="EB74" s="275">
        <v>497</v>
      </c>
      <c r="EC74" s="748"/>
      <c r="ED74" s="277">
        <v>470</v>
      </c>
      <c r="EE74" s="277">
        <v>27</v>
      </c>
      <c r="EO74" s="286"/>
      <c r="EP74" s="286"/>
      <c r="FB74" s="2174"/>
      <c r="FC74" s="2174"/>
      <c r="FF74" s="1"/>
      <c r="FX74" s="2176"/>
      <c r="FY74" s="2176"/>
      <c r="GB74" s="1"/>
      <c r="GT74" s="2174"/>
      <c r="GW74" s="1"/>
      <c r="HN74" s="2176"/>
      <c r="HO74" s="2176"/>
      <c r="HR74" s="1"/>
      <c r="IN74" s="277"/>
      <c r="IO74" s="277"/>
    </row>
    <row r="75" spans="3:249" ht="21.95" customHeight="1">
      <c r="C75" s="735" t="s">
        <v>721</v>
      </c>
      <c r="D75" s="735">
        <f>F75*D68</f>
        <v>187500</v>
      </c>
      <c r="E75" s="734">
        <v>42000</v>
      </c>
      <c r="F75" s="275">
        <v>625</v>
      </c>
      <c r="G75" s="748"/>
      <c r="H75" s="277">
        <v>590</v>
      </c>
      <c r="I75" s="277">
        <v>35</v>
      </c>
      <c r="J75" s="277">
        <f t="shared" si="34"/>
        <v>625</v>
      </c>
      <c r="S75" s="286"/>
      <c r="T75" s="286"/>
      <c r="AF75" s="2174"/>
      <c r="AG75" s="2174"/>
      <c r="AJ75" s="1"/>
      <c r="AO75" s="277"/>
      <c r="BB75" s="2176"/>
      <c r="BC75" s="2176"/>
      <c r="BI75" s="277"/>
      <c r="BJ75" s="277"/>
      <c r="BX75" s="2174"/>
      <c r="CA75" s="1"/>
      <c r="CR75" s="2176"/>
      <c r="CS75" s="2176"/>
      <c r="CW75" s="2231"/>
      <c r="CX75" s="2231"/>
      <c r="CY75" s="2231"/>
      <c r="CZ75" s="2231"/>
      <c r="DA75" s="2231"/>
      <c r="DB75" s="2231"/>
      <c r="DS75" s="277"/>
      <c r="DW75" s="1"/>
      <c r="DY75" s="735" t="s">
        <v>721</v>
      </c>
      <c r="DZ75" s="735">
        <f>EB75*DZ68</f>
        <v>187500</v>
      </c>
      <c r="EA75" s="734">
        <v>42000</v>
      </c>
      <c r="EB75" s="275">
        <v>625</v>
      </c>
      <c r="EC75" s="748"/>
      <c r="ED75" s="277">
        <v>590</v>
      </c>
      <c r="EE75" s="277">
        <v>35</v>
      </c>
      <c r="EO75" s="286"/>
      <c r="EP75" s="286"/>
      <c r="FB75" s="2174"/>
      <c r="FC75" s="2174"/>
      <c r="FF75" s="1"/>
      <c r="FX75" s="2176"/>
      <c r="FY75" s="2176"/>
      <c r="GT75" s="2174"/>
      <c r="GW75" s="1"/>
      <c r="HN75" s="2176"/>
      <c r="HO75" s="2176"/>
      <c r="HS75" s="2231"/>
      <c r="HT75" s="2231"/>
      <c r="HU75" s="2231"/>
      <c r="HV75" s="2231"/>
      <c r="HW75" s="2231"/>
      <c r="HX75" s="2231"/>
      <c r="IN75" s="277"/>
      <c r="IO75" s="277"/>
    </row>
    <row r="76" spans="3:249" ht="21.95" customHeight="1">
      <c r="C76" s="735" t="s">
        <v>722</v>
      </c>
      <c r="D76" s="735">
        <f>F76*D68</f>
        <v>258000</v>
      </c>
      <c r="E76" s="734">
        <v>52500</v>
      </c>
      <c r="F76" s="275">
        <v>860</v>
      </c>
      <c r="G76" s="748"/>
      <c r="H76" s="277">
        <v>810</v>
      </c>
      <c r="I76" s="277">
        <v>50</v>
      </c>
      <c r="J76" s="277">
        <f t="shared" si="34"/>
        <v>860</v>
      </c>
      <c r="S76" s="286"/>
      <c r="T76" s="286"/>
      <c r="AF76" s="2174"/>
      <c r="AG76" s="2174"/>
      <c r="AH76" s="2232"/>
      <c r="AI76" s="2232"/>
      <c r="AJ76" s="2233"/>
      <c r="AK76" s="2232"/>
      <c r="AL76" s="2232"/>
      <c r="AM76" s="2232"/>
      <c r="AN76" s="2232"/>
      <c r="AO76" s="2232"/>
      <c r="AP76" s="2232"/>
      <c r="AQ76" s="2232"/>
      <c r="AR76" s="2232"/>
      <c r="AS76" s="2232"/>
      <c r="AT76" s="2232"/>
      <c r="AU76" s="2232"/>
      <c r="AV76" s="2232"/>
      <c r="AW76" s="2232"/>
      <c r="AX76" s="2232"/>
      <c r="AY76" s="2232"/>
      <c r="AZ76" s="2232"/>
      <c r="BA76" s="2232"/>
      <c r="BB76" s="2232"/>
      <c r="BC76" s="2232"/>
      <c r="BD76" s="2232"/>
      <c r="BE76" s="2232"/>
      <c r="BF76" s="2232"/>
      <c r="BG76" s="2232"/>
      <c r="BH76" s="2232"/>
      <c r="BI76" s="2232"/>
      <c r="BJ76" s="2232"/>
      <c r="BK76" s="2232"/>
      <c r="BL76" s="2232"/>
      <c r="BM76" s="2232"/>
      <c r="BN76" s="2232"/>
      <c r="BO76" s="2232"/>
      <c r="BP76" s="2232"/>
      <c r="BQ76" s="2232"/>
      <c r="BR76" s="2232"/>
      <c r="BS76" s="2232"/>
      <c r="BT76" s="2232"/>
      <c r="BU76" s="2232"/>
      <c r="BV76" s="2232"/>
      <c r="BW76" s="2232"/>
      <c r="BX76" s="2232"/>
      <c r="BY76" s="2232"/>
      <c r="BZ76" s="2232"/>
      <c r="CA76" s="2233"/>
      <c r="CB76" s="2232"/>
      <c r="CC76" s="2232"/>
      <c r="CD76" s="2232"/>
      <c r="CE76" s="2232"/>
      <c r="CF76" s="2232"/>
      <c r="CG76" s="2232"/>
      <c r="CH76" s="2232"/>
      <c r="CI76" s="2232"/>
      <c r="CJ76" s="2232"/>
      <c r="CK76" s="2232"/>
      <c r="CL76" s="2232"/>
      <c r="CM76" s="2232"/>
      <c r="CN76" s="2232"/>
      <c r="CO76" s="2232"/>
      <c r="CP76" s="2232"/>
      <c r="CQ76" s="2232"/>
      <c r="CR76" s="2232"/>
      <c r="CS76" s="2232"/>
      <c r="CT76" s="2232"/>
      <c r="CU76" s="2232"/>
      <c r="CV76" s="2232"/>
      <c r="CW76" s="2234"/>
      <c r="CX76" s="2234"/>
      <c r="CY76" s="2234"/>
      <c r="CZ76" s="2234"/>
      <c r="DA76" s="2234"/>
      <c r="DB76" s="2234"/>
      <c r="DC76" s="2234"/>
      <c r="DD76" s="2234"/>
      <c r="DE76" s="2234"/>
      <c r="DF76" s="2234"/>
      <c r="DG76" s="2234"/>
      <c r="DH76" s="2234"/>
      <c r="DI76" s="2234"/>
      <c r="DJ76" s="2232"/>
      <c r="DK76" s="2232"/>
      <c r="DL76" s="2232"/>
      <c r="DM76" s="2232"/>
      <c r="DN76" s="2232"/>
      <c r="DO76" s="2232"/>
      <c r="DP76" s="2232"/>
      <c r="DS76" s="277"/>
      <c r="DW76" s="1"/>
      <c r="DY76" s="735" t="s">
        <v>722</v>
      </c>
      <c r="DZ76" s="735">
        <f>EB76*DZ68</f>
        <v>258000</v>
      </c>
      <c r="EA76" s="734">
        <v>52500</v>
      </c>
      <c r="EB76" s="275">
        <v>860</v>
      </c>
      <c r="EC76" s="748"/>
      <c r="ED76" s="277">
        <v>810</v>
      </c>
      <c r="EE76" s="277">
        <v>50</v>
      </c>
      <c r="EO76" s="286"/>
      <c r="EP76" s="286"/>
      <c r="FB76" s="2174"/>
      <c r="FC76" s="2174"/>
      <c r="FD76" s="2232"/>
      <c r="FE76" s="2232"/>
      <c r="FF76" s="2233"/>
      <c r="FG76" s="2232"/>
      <c r="FH76" s="2232"/>
      <c r="FI76" s="2232"/>
      <c r="FJ76" s="2232"/>
      <c r="FK76" s="2232"/>
      <c r="FL76" s="2232"/>
      <c r="FM76" s="2232"/>
      <c r="FN76" s="2232"/>
      <c r="FO76" s="2232"/>
      <c r="FP76" s="2232"/>
      <c r="FQ76" s="2232"/>
      <c r="FR76" s="2232"/>
      <c r="FS76" s="2232"/>
      <c r="FT76" s="2232"/>
      <c r="FU76" s="2232"/>
      <c r="FV76" s="2232"/>
      <c r="FW76" s="2232"/>
      <c r="FX76" s="2232"/>
      <c r="FY76" s="2232"/>
      <c r="FZ76" s="2232"/>
      <c r="GA76" s="2232"/>
      <c r="GB76" s="2232"/>
      <c r="GC76" s="2232"/>
      <c r="GD76" s="2232"/>
      <c r="GE76" s="2232"/>
      <c r="GF76" s="2232"/>
      <c r="GG76" s="2232"/>
      <c r="GH76" s="2232"/>
      <c r="GI76" s="2232"/>
      <c r="GJ76" s="2232"/>
      <c r="GK76" s="2232"/>
      <c r="GL76" s="2232"/>
      <c r="GM76" s="2232"/>
      <c r="GN76" s="2232"/>
      <c r="GO76" s="2232"/>
      <c r="GP76" s="2232"/>
      <c r="GQ76" s="2232"/>
      <c r="GR76" s="2232"/>
      <c r="GS76" s="2232"/>
      <c r="GT76" s="2232"/>
      <c r="GU76" s="2232"/>
      <c r="GV76" s="2232"/>
      <c r="GW76" s="2233"/>
      <c r="GX76" s="2232"/>
      <c r="GY76" s="2232"/>
      <c r="GZ76" s="2232"/>
      <c r="HA76" s="2232"/>
      <c r="HB76" s="2232"/>
      <c r="HC76" s="2232"/>
      <c r="HD76" s="2232"/>
      <c r="HE76" s="2232"/>
      <c r="HF76" s="2232"/>
      <c r="HG76" s="2232"/>
      <c r="HH76" s="2232"/>
      <c r="HI76" s="2232"/>
      <c r="HJ76" s="2232"/>
      <c r="HK76" s="2232"/>
      <c r="HL76" s="2232"/>
      <c r="HM76" s="2232"/>
      <c r="HN76" s="2232"/>
      <c r="HO76" s="2232"/>
      <c r="HP76" s="2232"/>
      <c r="HQ76" s="2232"/>
      <c r="HR76" s="2232"/>
      <c r="HS76" s="2234"/>
      <c r="HT76" s="2234"/>
      <c r="HU76" s="2234"/>
      <c r="HV76" s="2234"/>
      <c r="HW76" s="2234"/>
      <c r="HX76" s="2234"/>
      <c r="HY76" s="2234"/>
      <c r="HZ76" s="2234"/>
      <c r="IA76" s="2234"/>
      <c r="IB76" s="2234"/>
      <c r="IC76" s="2234"/>
      <c r="ID76" s="2234"/>
      <c r="IE76" s="2234"/>
      <c r="IF76" s="2232"/>
      <c r="IG76" s="2232"/>
      <c r="IH76" s="2232"/>
      <c r="II76" s="2232"/>
      <c r="IJ76" s="2232"/>
      <c r="IK76" s="2232"/>
      <c r="IL76" s="2232"/>
      <c r="IN76" s="277"/>
      <c r="IO76" s="277"/>
    </row>
    <row r="77" spans="3:249" ht="21.95" customHeight="1">
      <c r="C77" s="735" t="s">
        <v>723</v>
      </c>
      <c r="D77" s="735">
        <f>F77*D68</f>
        <v>348000</v>
      </c>
      <c r="E77" s="734">
        <v>57750</v>
      </c>
      <c r="F77" s="275">
        <v>1160</v>
      </c>
      <c r="G77" s="748"/>
      <c r="H77" s="277">
        <v>1090</v>
      </c>
      <c r="I77" s="277">
        <v>70</v>
      </c>
      <c r="J77" s="277">
        <f t="shared" si="34"/>
        <v>1160</v>
      </c>
      <c r="S77" s="286"/>
      <c r="T77" s="286"/>
      <c r="AF77" s="2174"/>
      <c r="AG77" s="2174"/>
      <c r="AJ77" s="1"/>
      <c r="AO77" s="277"/>
      <c r="BB77" s="2176"/>
      <c r="BC77" s="2176"/>
      <c r="BI77" s="277"/>
      <c r="BJ77" s="277"/>
      <c r="BX77" s="2174"/>
      <c r="CF77" s="2231"/>
      <c r="CG77" s="2231"/>
      <c r="CH77" s="2231"/>
      <c r="CI77" s="2231"/>
      <c r="CJ77" s="2231"/>
      <c r="CK77" s="2231"/>
      <c r="CL77" s="2231"/>
      <c r="CM77" s="2231"/>
      <c r="CN77" s="2231"/>
      <c r="CO77" s="2231"/>
      <c r="CP77" s="2231"/>
      <c r="CQ77" s="2231"/>
      <c r="CR77" s="2235"/>
      <c r="CS77" s="2235"/>
      <c r="DH77" s="2231"/>
      <c r="DI77" s="2231"/>
      <c r="DS77" s="277"/>
      <c r="DW77" s="1"/>
      <c r="DY77" s="735" t="s">
        <v>723</v>
      </c>
      <c r="DZ77" s="735">
        <f>EB77*DZ68</f>
        <v>348000</v>
      </c>
      <c r="EA77" s="734">
        <v>57750</v>
      </c>
      <c r="EB77" s="275">
        <v>1160</v>
      </c>
      <c r="EC77" s="748"/>
      <c r="ED77" s="277">
        <v>1090</v>
      </c>
      <c r="EE77" s="277">
        <v>70</v>
      </c>
      <c r="EO77" s="286"/>
      <c r="EP77" s="286"/>
      <c r="FB77" s="2174"/>
      <c r="FC77" s="2174"/>
      <c r="FF77" s="1"/>
      <c r="FX77" s="2176"/>
      <c r="FY77" s="2176"/>
      <c r="GT77" s="2174"/>
      <c r="HB77" s="2231"/>
      <c r="HC77" s="2231"/>
      <c r="HD77" s="2231"/>
      <c r="HE77" s="2231"/>
      <c r="HF77" s="2231"/>
      <c r="HG77" s="2231"/>
      <c r="HH77" s="2231"/>
      <c r="HI77" s="2231"/>
      <c r="HJ77" s="2231"/>
      <c r="HK77" s="2231"/>
      <c r="HL77" s="2231"/>
      <c r="HM77" s="2231"/>
      <c r="HN77" s="2235"/>
      <c r="HO77" s="2235"/>
      <c r="ID77" s="2231"/>
      <c r="IE77" s="2231"/>
      <c r="IN77" s="277"/>
      <c r="IO77" s="277"/>
    </row>
    <row r="78" spans="3:249" ht="21.95" customHeight="1">
      <c r="C78" s="735" t="s">
        <v>724</v>
      </c>
      <c r="D78" s="735">
        <f>F78*D68</f>
        <v>463500</v>
      </c>
      <c r="E78" s="734">
        <v>73500</v>
      </c>
      <c r="F78" s="275">
        <v>1545</v>
      </c>
      <c r="G78" s="748"/>
      <c r="H78" s="277">
        <v>1445</v>
      </c>
      <c r="I78" s="277">
        <v>100</v>
      </c>
      <c r="J78" s="277">
        <f t="shared" si="34"/>
        <v>1545</v>
      </c>
      <c r="S78" s="286"/>
      <c r="T78" s="286"/>
      <c r="AF78" s="2174"/>
      <c r="AG78" s="2174"/>
      <c r="AJ78" s="1"/>
      <c r="AO78" s="277"/>
      <c r="BB78" s="2176"/>
      <c r="BC78" s="2176"/>
      <c r="BI78" s="277"/>
      <c r="BJ78" s="277"/>
      <c r="BX78" s="2174"/>
      <c r="CA78" s="1"/>
      <c r="CR78" s="2176"/>
      <c r="CS78" s="2176"/>
      <c r="CW78" s="2231"/>
      <c r="CX78" s="2231"/>
      <c r="CY78" s="2231"/>
      <c r="CZ78" s="2231"/>
      <c r="DA78" s="2231"/>
      <c r="DB78" s="2231"/>
      <c r="DC78" s="2231"/>
      <c r="DD78" s="2231"/>
      <c r="DE78" s="2231"/>
      <c r="DF78" s="2231"/>
      <c r="DG78" s="2231"/>
      <c r="DH78" s="2231"/>
      <c r="DI78" s="2231"/>
      <c r="DS78" s="277"/>
      <c r="DW78" s="1"/>
      <c r="DY78" s="735" t="s">
        <v>724</v>
      </c>
      <c r="DZ78" s="735">
        <f>EB78*DZ68</f>
        <v>463500</v>
      </c>
      <c r="EA78" s="734">
        <v>73500</v>
      </c>
      <c r="EB78" s="275">
        <v>1545</v>
      </c>
      <c r="EC78" s="748"/>
      <c r="ED78" s="277">
        <v>1445</v>
      </c>
      <c r="EE78" s="277">
        <v>100</v>
      </c>
      <c r="EO78" s="286"/>
      <c r="EP78" s="286"/>
      <c r="FB78" s="2174"/>
      <c r="FC78" s="2174"/>
      <c r="FF78" s="1"/>
      <c r="FX78" s="2176"/>
      <c r="FY78" s="2176"/>
      <c r="GT78" s="2174"/>
      <c r="GW78" s="1"/>
      <c r="HN78" s="2176"/>
      <c r="HO78" s="2176"/>
      <c r="HS78" s="2231"/>
      <c r="HT78" s="2231"/>
      <c r="HU78" s="2231"/>
      <c r="HV78" s="2231"/>
      <c r="HW78" s="2231"/>
      <c r="HX78" s="2231"/>
      <c r="HY78" s="2231"/>
      <c r="HZ78" s="2231"/>
      <c r="IA78" s="2231"/>
      <c r="IB78" s="2231"/>
      <c r="IC78" s="2231"/>
      <c r="ID78" s="2231"/>
      <c r="IE78" s="2231"/>
      <c r="IN78" s="277"/>
      <c r="IO78" s="277"/>
    </row>
    <row r="79" spans="3:249" ht="21.95" customHeight="1">
      <c r="C79" s="735" t="s">
        <v>725</v>
      </c>
      <c r="D79" s="735">
        <f>F79*D68</f>
        <v>633000</v>
      </c>
      <c r="E79" s="734">
        <f>+E78*1.05</f>
        <v>77175</v>
      </c>
      <c r="F79" s="275">
        <v>2110</v>
      </c>
      <c r="G79" s="748"/>
      <c r="H79" s="277">
        <v>1970</v>
      </c>
      <c r="I79" s="277">
        <v>140</v>
      </c>
      <c r="J79" s="277">
        <f t="shared" si="34"/>
        <v>2110</v>
      </c>
      <c r="S79" s="286"/>
      <c r="T79" s="286"/>
      <c r="AF79" s="2174"/>
      <c r="AG79" s="2174"/>
      <c r="AJ79" s="1"/>
      <c r="AO79" s="277"/>
      <c r="BB79" s="2176"/>
      <c r="BC79" s="2176"/>
      <c r="BI79" s="277"/>
      <c r="BJ79" s="277"/>
      <c r="BX79" s="2174"/>
      <c r="CA79" s="1"/>
      <c r="CR79" s="2176"/>
      <c r="CS79" s="2176"/>
      <c r="DS79" s="277"/>
      <c r="DW79" s="1"/>
      <c r="DY79" s="735" t="s">
        <v>725</v>
      </c>
      <c r="DZ79" s="735">
        <f>EB79*DZ68</f>
        <v>633000</v>
      </c>
      <c r="EA79" s="734">
        <f>+EA78*1.05</f>
        <v>77175</v>
      </c>
      <c r="EB79" s="275">
        <v>2110</v>
      </c>
      <c r="EC79" s="748"/>
      <c r="ED79" s="277">
        <v>1970</v>
      </c>
      <c r="EE79" s="277">
        <v>140</v>
      </c>
      <c r="EO79" s="286"/>
      <c r="EP79" s="286"/>
      <c r="FB79" s="2174"/>
      <c r="FC79" s="2174"/>
      <c r="FF79" s="1"/>
      <c r="FX79" s="2176"/>
      <c r="FY79" s="2176"/>
      <c r="GT79" s="2174"/>
      <c r="GW79" s="1"/>
      <c r="HN79" s="2176"/>
      <c r="HO79" s="2176"/>
      <c r="IN79" s="277"/>
      <c r="IO79" s="277"/>
    </row>
    <row r="80" spans="3:249" ht="21.95" customHeight="1">
      <c r="C80" s="735" t="s">
        <v>726</v>
      </c>
      <c r="D80" s="735">
        <f>F80*D68</f>
        <v>868500</v>
      </c>
      <c r="E80" s="734">
        <f>+E79*1.05</f>
        <v>81033.75</v>
      </c>
      <c r="F80" s="275">
        <v>2895</v>
      </c>
      <c r="G80" s="748"/>
      <c r="H80" s="277">
        <v>2690</v>
      </c>
      <c r="I80" s="277">
        <v>205</v>
      </c>
      <c r="J80" s="277">
        <f t="shared" si="34"/>
        <v>2895</v>
      </c>
      <c r="S80" s="286"/>
      <c r="T80" s="286"/>
      <c r="AF80" s="2174"/>
      <c r="AG80" s="2174"/>
      <c r="AJ80" s="2179"/>
      <c r="AK80" s="2179"/>
      <c r="AL80" s="2230" t="str">
        <f>IF(AK73=AL81,"Right","Wrong")</f>
        <v>Wrong</v>
      </c>
      <c r="AM80" s="2179"/>
      <c r="AN80" s="2230" t="str">
        <f>IF(AK72=AN81,"Right","Wrong")</f>
        <v>Wrong</v>
      </c>
      <c r="AO80" s="2179"/>
      <c r="AP80" s="2179"/>
      <c r="AQ80" s="2179"/>
      <c r="AR80" s="2179"/>
      <c r="AS80" s="2179"/>
      <c r="AT80" s="2179"/>
      <c r="AW80" s="286"/>
      <c r="BB80" s="2176"/>
      <c r="BC80" s="2176"/>
      <c r="BF80" s="2179"/>
      <c r="BG80" s="2179"/>
      <c r="BH80" s="2230" t="str">
        <f>IF(BG73=BH81,"Right","Wrong")</f>
        <v>Wrong</v>
      </c>
      <c r="BI80" s="2179"/>
      <c r="BJ80" s="2230" t="str">
        <f>IF(BG72=BJ81,"Right","Wrong")</f>
        <v>Wrong</v>
      </c>
      <c r="BK80" s="2179"/>
      <c r="BL80" s="2179"/>
      <c r="BM80" s="2179"/>
      <c r="BN80" s="2179"/>
      <c r="BO80" s="2179"/>
      <c r="BP80" s="2179"/>
      <c r="BS80" s="286"/>
      <c r="BX80" s="2174"/>
      <c r="CA80" s="2179"/>
      <c r="CB80" s="2179"/>
      <c r="CC80" s="2230" t="str">
        <f>IF(CB73=CC81,"Right","Wrong")</f>
        <v>Wrong</v>
      </c>
      <c r="CD80" s="2179"/>
      <c r="CE80" s="2230" t="str">
        <f>IF(CB72=CE81,"Right","Wrong")</f>
        <v>Wrong</v>
      </c>
      <c r="CF80" s="2179"/>
      <c r="CG80" s="2179"/>
      <c r="CH80" s="2179"/>
      <c r="CI80" s="2179"/>
      <c r="CJ80" s="2179"/>
      <c r="CK80" s="2179"/>
      <c r="CN80" s="286"/>
      <c r="CR80" s="2176"/>
      <c r="CS80" s="2176"/>
      <c r="CV80" s="2179"/>
      <c r="CW80" s="2179"/>
      <c r="CX80" s="2230" t="str">
        <f>IF(CW73=CX81,"Right","Wrong")</f>
        <v>Wrong</v>
      </c>
      <c r="CY80" s="2179"/>
      <c r="CZ80" s="2230" t="str">
        <f>IF(CW72=CZ81,"Right","Wrong")</f>
        <v>Wrong</v>
      </c>
      <c r="DA80" s="2179"/>
      <c r="DB80" s="2179"/>
      <c r="DC80" s="2179"/>
      <c r="DD80" s="2179"/>
      <c r="DE80" s="2179"/>
      <c r="DF80" s="2179"/>
      <c r="DI80" s="286"/>
      <c r="DS80" s="277"/>
      <c r="DW80" s="1"/>
      <c r="DY80" s="735" t="s">
        <v>726</v>
      </c>
      <c r="DZ80" s="735">
        <f>EB80*DZ68</f>
        <v>868500</v>
      </c>
      <c r="EA80" s="734">
        <f>+EA79*1.05</f>
        <v>81033.75</v>
      </c>
      <c r="EB80" s="275">
        <v>2895</v>
      </c>
      <c r="EC80" s="748"/>
      <c r="ED80" s="277">
        <v>2690</v>
      </c>
      <c r="EE80" s="277">
        <v>205</v>
      </c>
      <c r="EO80" s="286"/>
      <c r="EP80" s="286"/>
      <c r="FB80" s="2174"/>
      <c r="FC80" s="2174"/>
      <c r="FF80" s="2179"/>
      <c r="FG80" s="2179"/>
      <c r="FH80" s="2230" t="str">
        <f>IF(FG73=FH81,"Right","Wrong")</f>
        <v>Right</v>
      </c>
      <c r="FI80" s="2179"/>
      <c r="FJ80" s="2230" t="str">
        <f>IF(FG72=FJ81,"Right","Wrong")</f>
        <v>Right</v>
      </c>
      <c r="FK80" s="2179"/>
      <c r="FL80" s="2179"/>
      <c r="FM80" s="2179"/>
      <c r="FN80" s="2179"/>
      <c r="FO80" s="2179"/>
      <c r="FP80" s="2179"/>
      <c r="FS80" s="286"/>
      <c r="FX80" s="2176"/>
      <c r="FY80" s="2176"/>
      <c r="GB80" s="2179"/>
      <c r="GC80" s="2179"/>
      <c r="GD80" s="2230" t="str">
        <f>IF(GC73=GD81,"Right","Wrong")</f>
        <v>Right</v>
      </c>
      <c r="GE80" s="2179"/>
      <c r="GF80" s="2230" t="str">
        <f>IF(GC72=GF81,"Right","Wrong")</f>
        <v>Right</v>
      </c>
      <c r="GG80" s="2179"/>
      <c r="GH80" s="2179"/>
      <c r="GI80" s="2179"/>
      <c r="GJ80" s="2179"/>
      <c r="GK80" s="2179"/>
      <c r="GL80" s="2179"/>
      <c r="GO80" s="286"/>
      <c r="GT80" s="2174"/>
      <c r="GW80" s="2179"/>
      <c r="GX80" s="2179"/>
      <c r="GY80" s="2230" t="str">
        <f>IF(GX73=GY81,"Right","Wrong")</f>
        <v>Wrong</v>
      </c>
      <c r="GZ80" s="2179"/>
      <c r="HA80" s="2230" t="str">
        <f>IF(GX72=HA81,"Right","Wrong")</f>
        <v>Wrong</v>
      </c>
      <c r="HB80" s="2179"/>
      <c r="HC80" s="2179"/>
      <c r="HD80" s="2179"/>
      <c r="HE80" s="2179"/>
      <c r="HF80" s="2179"/>
      <c r="HG80" s="2179"/>
      <c r="HJ80" s="286"/>
      <c r="HN80" s="2176"/>
      <c r="HO80" s="2176"/>
      <c r="HR80" s="2179"/>
      <c r="HS80" s="2179"/>
      <c r="HT80" s="2230" t="str">
        <f>IF(HS73=HT81,"Right","Wrong")</f>
        <v>Wrong</v>
      </c>
      <c r="HU80" s="2179"/>
      <c r="HV80" s="2230" t="str">
        <f>IF(HS72=HV81,"Right","Wrong")</f>
        <v>Wrong</v>
      </c>
      <c r="HW80" s="2179"/>
      <c r="HX80" s="2179"/>
      <c r="HY80" s="2179"/>
      <c r="HZ80" s="2179"/>
      <c r="IA80" s="2179"/>
      <c r="IB80" s="2179"/>
      <c r="IE80" s="286"/>
      <c r="IN80" s="277"/>
      <c r="IO80" s="277"/>
    </row>
    <row r="81" spans="3:249" ht="21.95" customHeight="1">
      <c r="C81" s="735" t="s">
        <v>727</v>
      </c>
      <c r="D81" s="735">
        <f>F81*D68</f>
        <v>1158000</v>
      </c>
      <c r="E81" s="734">
        <f>+E80*1.05</f>
        <v>85085.4375</v>
      </c>
      <c r="F81" s="275">
        <v>3860</v>
      </c>
      <c r="G81" s="748"/>
      <c r="H81" s="277">
        <v>3540</v>
      </c>
      <c r="I81" s="277">
        <v>320</v>
      </c>
      <c r="J81" s="277">
        <f t="shared" si="34"/>
        <v>3860</v>
      </c>
      <c r="S81" s="286"/>
      <c r="T81" s="286"/>
      <c r="AF81" s="2174"/>
      <c r="AG81" s="2174"/>
      <c r="AJ81" s="2254" t="s">
        <v>729</v>
      </c>
      <c r="AK81" s="277" t="s">
        <v>737</v>
      </c>
      <c r="AL81" s="2254">
        <f>IF(AX82&gt;0,AX82,AX103)</f>
        <v>0</v>
      </c>
      <c r="AM81" s="277" t="s">
        <v>2185</v>
      </c>
      <c r="AN81" s="2254">
        <f>IF(AX83&gt;0,AX83,AX104)</f>
        <v>0</v>
      </c>
      <c r="AO81" s="2179"/>
      <c r="AP81" s="2179"/>
      <c r="AQ81" s="2179"/>
      <c r="AR81" s="2179"/>
      <c r="AS81" s="2179"/>
      <c r="AT81" s="2179"/>
      <c r="AV81" s="277" t="s">
        <v>737</v>
      </c>
      <c r="AW81" s="277" t="s">
        <v>682</v>
      </c>
      <c r="AX81" s="2210"/>
      <c r="AY81" s="2179"/>
      <c r="BB81" s="2176"/>
      <c r="BC81" s="2176"/>
      <c r="BF81" s="2254" t="s">
        <v>729</v>
      </c>
      <c r="BG81" s="277" t="s">
        <v>737</v>
      </c>
      <c r="BH81" s="2254">
        <f>IF(BT82&gt;0,BT82,BT103)</f>
        <v>0</v>
      </c>
      <c r="BI81" s="277" t="s">
        <v>2185</v>
      </c>
      <c r="BJ81" s="2254">
        <f>IF(BT83&gt;0,BT83,BT104)</f>
        <v>0</v>
      </c>
      <c r="BK81" s="2179"/>
      <c r="BL81" s="2179"/>
      <c r="BM81" s="2179"/>
      <c r="BN81" s="2179"/>
      <c r="BO81" s="2179"/>
      <c r="BP81" s="2179"/>
      <c r="BR81" s="277" t="s">
        <v>737</v>
      </c>
      <c r="BS81" s="277" t="s">
        <v>682</v>
      </c>
      <c r="BT81" s="2210"/>
      <c r="BU81" s="2179"/>
      <c r="BX81" s="2174"/>
      <c r="CA81" s="2254" t="s">
        <v>729</v>
      </c>
      <c r="CB81" s="277" t="s">
        <v>737</v>
      </c>
      <c r="CC81" s="2254">
        <f>IF(CO82&gt;0,CO82,CO103)</f>
        <v>0</v>
      </c>
      <c r="CD81" s="277" t="s">
        <v>2185</v>
      </c>
      <c r="CE81" s="2254">
        <f>IF(CO83&gt;0,CO83,CO104)</f>
        <v>0</v>
      </c>
      <c r="CF81" s="2179"/>
      <c r="CG81" s="2179"/>
      <c r="CH81" s="2179"/>
      <c r="CI81" s="2179"/>
      <c r="CJ81" s="2179"/>
      <c r="CK81" s="2179"/>
      <c r="CM81" s="277" t="s">
        <v>737</v>
      </c>
      <c r="CN81" s="277" t="s">
        <v>682</v>
      </c>
      <c r="CO81" s="2210"/>
      <c r="CP81" s="2179"/>
      <c r="CQ81" s="2231"/>
      <c r="CR81" s="2235"/>
      <c r="CS81" s="2176"/>
      <c r="CV81" s="2254" t="s">
        <v>729</v>
      </c>
      <c r="CW81" s="277" t="s">
        <v>737</v>
      </c>
      <c r="CX81" s="2254">
        <f>IF(DJ82&gt;0,DJ82,DJ103)</f>
        <v>0</v>
      </c>
      <c r="CY81" s="277" t="s">
        <v>2185</v>
      </c>
      <c r="CZ81" s="2254">
        <f>IF(DJ83&gt;0,DJ83,DJ104)</f>
        <v>0</v>
      </c>
      <c r="DA81" s="2179"/>
      <c r="DB81" s="2179"/>
      <c r="DC81" s="2179"/>
      <c r="DD81" s="2179"/>
      <c r="DE81" s="2179"/>
      <c r="DF81" s="2179"/>
      <c r="DH81" s="277" t="s">
        <v>737</v>
      </c>
      <c r="DI81" s="277" t="s">
        <v>682</v>
      </c>
      <c r="DJ81" s="2210"/>
      <c r="DK81" s="2179"/>
      <c r="DS81" s="277"/>
      <c r="DW81" s="1"/>
      <c r="DY81" s="735" t="s">
        <v>727</v>
      </c>
      <c r="DZ81" s="735">
        <f>EB81*DZ68</f>
        <v>1158000</v>
      </c>
      <c r="EA81" s="734">
        <f>+EA80*1.05</f>
        <v>85085.4375</v>
      </c>
      <c r="EB81" s="275">
        <v>3860</v>
      </c>
      <c r="EC81" s="748"/>
      <c r="ED81" s="277">
        <v>3540</v>
      </c>
      <c r="EE81" s="277">
        <v>320</v>
      </c>
      <c r="EO81" s="286"/>
      <c r="EP81" s="286"/>
      <c r="FB81" s="2174"/>
      <c r="FC81" s="2174"/>
      <c r="FF81" s="2254" t="s">
        <v>729</v>
      </c>
      <c r="FG81" s="277" t="s">
        <v>737</v>
      </c>
      <c r="FH81" s="2254">
        <f>IF(FT82&gt;0,FT82,FT103)</f>
        <v>11</v>
      </c>
      <c r="FI81" s="277" t="s">
        <v>2185</v>
      </c>
      <c r="FJ81" s="2254">
        <f>IF(FT83&gt;0,FT83,FT104)</f>
        <v>160</v>
      </c>
      <c r="FK81" s="2179"/>
      <c r="FL81" s="2179"/>
      <c r="FM81" s="2179"/>
      <c r="FN81" s="2179"/>
      <c r="FO81" s="2179"/>
      <c r="FP81" s="2179"/>
      <c r="FR81" s="277" t="s">
        <v>737</v>
      </c>
      <c r="FS81" s="277" t="s">
        <v>682</v>
      </c>
      <c r="FT81" s="2210"/>
      <c r="FU81" s="2179"/>
      <c r="FX81" s="2176"/>
      <c r="FY81" s="2176"/>
      <c r="GB81" s="2254" t="s">
        <v>729</v>
      </c>
      <c r="GC81" s="277" t="s">
        <v>737</v>
      </c>
      <c r="GD81" s="2254">
        <f>IF(GP82&gt;0,GP82,GP103)</f>
        <v>12</v>
      </c>
      <c r="GE81" s="277" t="s">
        <v>2185</v>
      </c>
      <c r="GF81" s="2254">
        <f>IF(GP83&gt;0,GP83,GP104)</f>
        <v>160</v>
      </c>
      <c r="GG81" s="2179"/>
      <c r="GH81" s="2179"/>
      <c r="GI81" s="2179"/>
      <c r="GJ81" s="2179"/>
      <c r="GK81" s="2179"/>
      <c r="GL81" s="2179"/>
      <c r="GN81" s="277" t="s">
        <v>737</v>
      </c>
      <c r="GO81" s="277" t="s">
        <v>682</v>
      </c>
      <c r="GP81" s="2210"/>
      <c r="GQ81" s="2179"/>
      <c r="GT81" s="2174"/>
      <c r="GW81" s="2254" t="s">
        <v>729</v>
      </c>
      <c r="GX81" s="277" t="s">
        <v>737</v>
      </c>
      <c r="GY81" s="2254">
        <f>IF(HK82&gt;0,HK82,HK103)</f>
        <v>0</v>
      </c>
      <c r="GZ81" s="277" t="s">
        <v>2185</v>
      </c>
      <c r="HA81" s="2254">
        <f>IF(HK83&gt;0,HK83,HK104)</f>
        <v>0</v>
      </c>
      <c r="HB81" s="2179"/>
      <c r="HC81" s="2179"/>
      <c r="HD81" s="2179"/>
      <c r="HE81" s="2179"/>
      <c r="HF81" s="2179"/>
      <c r="HG81" s="2179"/>
      <c r="HI81" s="277" t="s">
        <v>737</v>
      </c>
      <c r="HJ81" s="277" t="s">
        <v>682</v>
      </c>
      <c r="HK81" s="2210"/>
      <c r="HL81" s="2179"/>
      <c r="HM81" s="2231"/>
      <c r="HN81" s="2235"/>
      <c r="HO81" s="2176"/>
      <c r="HR81" s="2254" t="s">
        <v>729</v>
      </c>
      <c r="HS81" s="277" t="s">
        <v>737</v>
      </c>
      <c r="HT81" s="2254">
        <f>IF(IF82&gt;0,IF82,IF103)</f>
        <v>0</v>
      </c>
      <c r="HU81" s="277" t="s">
        <v>2185</v>
      </c>
      <c r="HV81" s="2254">
        <f>IF(IF83&gt;0,IF83,IF104)</f>
        <v>0</v>
      </c>
      <c r="HW81" s="2179"/>
      <c r="HX81" s="2179"/>
      <c r="HY81" s="2179"/>
      <c r="HZ81" s="2179"/>
      <c r="IA81" s="2179"/>
      <c r="IB81" s="2179"/>
      <c r="ID81" s="277" t="s">
        <v>737</v>
      </c>
      <c r="IE81" s="277" t="s">
        <v>682</v>
      </c>
      <c r="IF81" s="2210"/>
      <c r="IG81" s="2179"/>
      <c r="IN81" s="277"/>
      <c r="IO81" s="277"/>
    </row>
    <row r="82" spans="3:249" ht="21.95" customHeight="1" thickBot="1">
      <c r="C82" s="280" t="s">
        <v>728</v>
      </c>
      <c r="D82" s="735">
        <f>F82*D68</f>
        <v>1585500</v>
      </c>
      <c r="E82" s="995">
        <f>+E81*10.5</f>
        <v>893397.09375</v>
      </c>
      <c r="F82" s="280">
        <v>5285</v>
      </c>
      <c r="G82" s="280"/>
      <c r="H82" s="277">
        <v>4860</v>
      </c>
      <c r="I82" s="277">
        <v>425</v>
      </c>
      <c r="J82" s="277">
        <f t="shared" si="34"/>
        <v>5285</v>
      </c>
      <c r="S82" s="286"/>
      <c r="T82" s="286"/>
      <c r="AF82" s="2174"/>
      <c r="AG82" s="2174"/>
      <c r="AJ82" s="2179"/>
      <c r="AK82" s="2179"/>
      <c r="AL82" s="2179"/>
      <c r="AM82" s="2179"/>
      <c r="AN82" s="2179"/>
      <c r="AO82" s="2179"/>
      <c r="AP82" s="2179"/>
      <c r="AQ82" s="2179"/>
      <c r="AR82" s="2179"/>
      <c r="AS82" s="182"/>
      <c r="AT82" s="2179"/>
      <c r="AV82" s="2255">
        <f>AK41</f>
        <v>0.75631178540277322</v>
      </c>
      <c r="AW82" s="2256">
        <f>AK40</f>
        <v>80</v>
      </c>
      <c r="AX82" s="2257">
        <f>IFERROR(AW100,0)</f>
        <v>0</v>
      </c>
      <c r="AY82" s="2179" t="str">
        <f>IF(AL81&gt;AV82,"Right","Wrong")</f>
        <v>Wrong</v>
      </c>
      <c r="BB82" s="2176"/>
      <c r="BC82" s="2176"/>
      <c r="BF82" s="2179"/>
      <c r="BG82" s="2179"/>
      <c r="BH82" s="2179"/>
      <c r="BI82" s="2179"/>
      <c r="BJ82" s="2179"/>
      <c r="BK82" s="2179"/>
      <c r="BL82" s="2179"/>
      <c r="BM82" s="2179"/>
      <c r="BN82" s="2179"/>
      <c r="BO82" s="182"/>
      <c r="BP82" s="2179"/>
      <c r="BR82" s="2255">
        <f>BG41</f>
        <v>0.75631178540277322</v>
      </c>
      <c r="BS82" s="2256">
        <f>BG40</f>
        <v>71</v>
      </c>
      <c r="BT82" s="2257">
        <f>IFERROR(BS100,0)</f>
        <v>0</v>
      </c>
      <c r="BU82" s="2179" t="str">
        <f>IF(BH81&gt;BR82,"Right","Wrong")</f>
        <v>Wrong</v>
      </c>
      <c r="BX82" s="2174"/>
      <c r="CA82" s="2179"/>
      <c r="CB82" s="2179"/>
      <c r="CC82" s="2179"/>
      <c r="CD82" s="2179"/>
      <c r="CE82" s="2179"/>
      <c r="CF82" s="2179"/>
      <c r="CG82" s="2179"/>
      <c r="CH82" s="2179"/>
      <c r="CI82" s="2179"/>
      <c r="CJ82" s="182"/>
      <c r="CK82" s="2179"/>
      <c r="CM82" s="2255">
        <f>CB41</f>
        <v>0.75631178540277322</v>
      </c>
      <c r="CN82" s="2256">
        <f>CB40</f>
        <v>78.2</v>
      </c>
      <c r="CO82" s="2257">
        <f>IFERROR(CN100,0)</f>
        <v>0</v>
      </c>
      <c r="CP82" s="2179" t="str">
        <f>IF(CC81&gt;CM82,"Right","Wrong")</f>
        <v>Wrong</v>
      </c>
      <c r="CR82" s="2176"/>
      <c r="CS82" s="2176"/>
      <c r="CV82" s="2179"/>
      <c r="CW82" s="2179"/>
      <c r="CX82" s="2179"/>
      <c r="CY82" s="2179"/>
      <c r="CZ82" s="2179"/>
      <c r="DA82" s="2179"/>
      <c r="DB82" s="2179"/>
      <c r="DC82" s="2179"/>
      <c r="DD82" s="2179"/>
      <c r="DE82" s="182"/>
      <c r="DF82" s="2179"/>
      <c r="DH82" s="2255">
        <f>CW41</f>
        <v>0.75631178540277322</v>
      </c>
      <c r="DI82" s="2256">
        <f>CW40</f>
        <v>70.599999999999994</v>
      </c>
      <c r="DJ82" s="2257">
        <f>IFERROR(DI100,0)</f>
        <v>0</v>
      </c>
      <c r="DK82" s="2179" t="str">
        <f>IF(CX81&gt;DH82,"Right","Wrong")</f>
        <v>Wrong</v>
      </c>
      <c r="DS82" s="277"/>
      <c r="DW82" s="1"/>
      <c r="DY82" s="280" t="s">
        <v>728</v>
      </c>
      <c r="DZ82" s="735">
        <f>EB82*DZ68</f>
        <v>1585500</v>
      </c>
      <c r="EA82" s="995">
        <f>+EA81*10.5</f>
        <v>893397.09375</v>
      </c>
      <c r="EB82" s="280">
        <v>5285</v>
      </c>
      <c r="EC82" s="280"/>
      <c r="ED82" s="277">
        <v>4860</v>
      </c>
      <c r="EE82" s="277">
        <v>425</v>
      </c>
      <c r="EO82" s="286"/>
      <c r="EP82" s="286"/>
      <c r="FB82" s="2174"/>
      <c r="FC82" s="2174"/>
      <c r="FF82" s="2179"/>
      <c r="FG82" s="2179"/>
      <c r="FH82" s="2179"/>
      <c r="FI82" s="2179"/>
      <c r="FJ82" s="2179"/>
      <c r="FK82" s="2179"/>
      <c r="FL82" s="2179"/>
      <c r="FM82" s="2179"/>
      <c r="FN82" s="2179"/>
      <c r="FO82" s="182"/>
      <c r="FP82" s="2179"/>
      <c r="FR82" s="2255">
        <f>FG41</f>
        <v>1.3354563802212776</v>
      </c>
      <c r="FS82" s="2256">
        <f>FG40</f>
        <v>50</v>
      </c>
      <c r="FT82" s="2257">
        <f>IFERROR(FS100,0)</f>
        <v>0</v>
      </c>
      <c r="FU82" s="2179" t="str">
        <f>IF(FH81&gt;FR82,"Right","Wrong")</f>
        <v>Right</v>
      </c>
      <c r="FX82" s="2176"/>
      <c r="FY82" s="2176"/>
      <c r="GB82" s="2179"/>
      <c r="GC82" s="2179"/>
      <c r="GD82" s="2179"/>
      <c r="GE82" s="2179"/>
      <c r="GF82" s="2179"/>
      <c r="GG82" s="2179"/>
      <c r="GH82" s="2179"/>
      <c r="GI82" s="2179"/>
      <c r="GJ82" s="2179"/>
      <c r="GK82" s="182"/>
      <c r="GL82" s="2179"/>
      <c r="GN82" s="2255">
        <f>GC41</f>
        <v>1.3354563802212776</v>
      </c>
      <c r="GO82" s="2256">
        <f>GC40</f>
        <v>45</v>
      </c>
      <c r="GP82" s="2257">
        <f>IFERROR(GO100,0)</f>
        <v>0</v>
      </c>
      <c r="GQ82" s="2179" t="str">
        <f>IF(GD81&gt;GN82,"Right","Wrong")</f>
        <v>Right</v>
      </c>
      <c r="GT82" s="2174"/>
      <c r="GW82" s="2179"/>
      <c r="GX82" s="2179"/>
      <c r="GY82" s="2179"/>
      <c r="GZ82" s="2179"/>
      <c r="HA82" s="2179"/>
      <c r="HB82" s="2179"/>
      <c r="HC82" s="2179"/>
      <c r="HD82" s="2179"/>
      <c r="HE82" s="2179"/>
      <c r="HF82" s="182"/>
      <c r="HG82" s="2179"/>
      <c r="HI82" s="2255">
        <f>GX41</f>
        <v>1.3354563802212776</v>
      </c>
      <c r="HJ82" s="2256">
        <f>GX40</f>
        <v>47.1</v>
      </c>
      <c r="HK82" s="2257">
        <f>IFERROR(HJ100,0)</f>
        <v>0</v>
      </c>
      <c r="HL82" s="2179" t="str">
        <f>IF(GY81&gt;HI82,"Right","Wrong")</f>
        <v>Wrong</v>
      </c>
      <c r="HN82" s="2176"/>
      <c r="HO82" s="2176"/>
      <c r="HR82" s="2179"/>
      <c r="HS82" s="2179"/>
      <c r="HT82" s="2179"/>
      <c r="HU82" s="2179"/>
      <c r="HV82" s="2179"/>
      <c r="HW82" s="2179"/>
      <c r="HX82" s="2179"/>
      <c r="HY82" s="2179"/>
      <c r="HZ82" s="2179"/>
      <c r="IA82" s="182"/>
      <c r="IB82" s="2179"/>
      <c r="ID82" s="2255">
        <f>HS41</f>
        <v>1.3354563802212776</v>
      </c>
      <c r="IE82" s="2256">
        <f>HS40</f>
        <v>42.5</v>
      </c>
      <c r="IF82" s="2257">
        <f>IFERROR(IE100,0)</f>
        <v>0</v>
      </c>
      <c r="IG82" s="2179" t="str">
        <f>IF(HT81&gt;ID82,"Right","Wrong")</f>
        <v>Wrong</v>
      </c>
      <c r="IN82" s="277"/>
      <c r="IO82" s="277"/>
    </row>
    <row r="83" spans="3:249" ht="21.95" customHeight="1" thickBot="1">
      <c r="C83" s="280" t="s">
        <v>2277</v>
      </c>
      <c r="D83" s="735">
        <f>F83*D68</f>
        <v>2163000</v>
      </c>
      <c r="E83" s="995">
        <f>+E82*1.05</f>
        <v>938066.94843750005</v>
      </c>
      <c r="F83" s="280">
        <v>7210</v>
      </c>
      <c r="G83" s="280"/>
      <c r="H83" s="277">
        <v>6560</v>
      </c>
      <c r="I83" s="277">
        <v>650</v>
      </c>
      <c r="J83" s="277">
        <f t="shared" si="34"/>
        <v>7210</v>
      </c>
      <c r="S83" s="286"/>
      <c r="T83" s="286"/>
      <c r="AF83" s="2174"/>
      <c r="AG83" s="2174"/>
      <c r="AJ83" s="2258" t="s">
        <v>730</v>
      </c>
      <c r="AK83" s="245">
        <v>6.3</v>
      </c>
      <c r="AL83" s="245">
        <v>7.1</v>
      </c>
      <c r="AM83" s="245">
        <v>8</v>
      </c>
      <c r="AN83" s="245">
        <v>9</v>
      </c>
      <c r="AO83" s="245">
        <v>10</v>
      </c>
      <c r="AP83" s="245">
        <v>11.2</v>
      </c>
      <c r="AQ83" s="245">
        <v>12.5</v>
      </c>
      <c r="AR83" s="245">
        <v>14</v>
      </c>
      <c r="AS83" s="6">
        <v>16</v>
      </c>
      <c r="AT83" s="2179"/>
      <c r="AV83" s="990"/>
      <c r="AW83" s="2237"/>
      <c r="AX83" s="2257">
        <f>IFERROR(AX100,0)</f>
        <v>0</v>
      </c>
      <c r="AY83" s="2179"/>
      <c r="BB83" s="2176"/>
      <c r="BC83" s="2259"/>
      <c r="BD83" s="108"/>
      <c r="BE83" s="108"/>
      <c r="BF83" s="2258" t="s">
        <v>730</v>
      </c>
      <c r="BG83" s="245">
        <v>6.3</v>
      </c>
      <c r="BH83" s="245">
        <v>7.1</v>
      </c>
      <c r="BI83" s="245">
        <v>8</v>
      </c>
      <c r="BJ83" s="245">
        <v>9</v>
      </c>
      <c r="BK83" s="245">
        <v>10</v>
      </c>
      <c r="BL83" s="245">
        <v>11.2</v>
      </c>
      <c r="BM83" s="245">
        <v>12.5</v>
      </c>
      <c r="BN83" s="245">
        <v>14</v>
      </c>
      <c r="BO83" s="6">
        <v>16</v>
      </c>
      <c r="BP83" s="2179"/>
      <c r="BR83" s="990"/>
      <c r="BS83" s="2237"/>
      <c r="BT83" s="2257">
        <f>IFERROR(BT100,0)</f>
        <v>0</v>
      </c>
      <c r="BU83" s="2179"/>
      <c r="BX83" s="2174"/>
      <c r="CA83" s="2260" t="s">
        <v>730</v>
      </c>
      <c r="CB83" s="2261">
        <v>5.6</v>
      </c>
      <c r="CC83" s="2261">
        <v>6.2</v>
      </c>
      <c r="CD83" s="2261">
        <v>6.86</v>
      </c>
      <c r="CE83" s="2261">
        <v>7.59</v>
      </c>
      <c r="CF83" s="2261">
        <v>8.4</v>
      </c>
      <c r="CG83" s="2261">
        <v>9.3000000000000007</v>
      </c>
      <c r="CH83" s="2261">
        <v>10.3</v>
      </c>
      <c r="CI83" s="2262">
        <v>12.6</v>
      </c>
      <c r="CJ83" s="2179"/>
      <c r="CK83" s="2179"/>
      <c r="CM83" s="990"/>
      <c r="CN83" s="2237"/>
      <c r="CO83" s="2257">
        <f>IFERROR(CO100,0)</f>
        <v>0</v>
      </c>
      <c r="CP83" s="2179"/>
      <c r="CR83" s="2176"/>
      <c r="CS83" s="2176"/>
      <c r="CV83" s="2260" t="s">
        <v>730</v>
      </c>
      <c r="CW83" s="2261">
        <v>5.6</v>
      </c>
      <c r="CX83" s="2261">
        <v>6.2</v>
      </c>
      <c r="CY83" s="2261">
        <v>6.86</v>
      </c>
      <c r="CZ83" s="2261">
        <v>7.59</v>
      </c>
      <c r="DA83" s="2261">
        <v>8.4</v>
      </c>
      <c r="DB83" s="2261">
        <v>9.3000000000000007</v>
      </c>
      <c r="DC83" s="2261">
        <v>10.3</v>
      </c>
      <c r="DD83" s="2262">
        <v>12.6</v>
      </c>
      <c r="DE83" s="2179"/>
      <c r="DF83" s="2179"/>
      <c r="DH83" s="990"/>
      <c r="DI83" s="2237"/>
      <c r="DJ83" s="2257">
        <f>IFERROR(DJ100,0)</f>
        <v>0</v>
      </c>
      <c r="DK83" s="2179"/>
      <c r="DS83" s="277"/>
      <c r="DW83" s="1"/>
      <c r="DY83" s="280" t="s">
        <v>2277</v>
      </c>
      <c r="DZ83" s="735">
        <f>EB83*DZ68</f>
        <v>2163000</v>
      </c>
      <c r="EA83" s="995">
        <f>+EA82*1.05</f>
        <v>938066.94843750005</v>
      </c>
      <c r="EB83" s="280">
        <v>7210</v>
      </c>
      <c r="EC83" s="280"/>
      <c r="ED83" s="277">
        <v>6560</v>
      </c>
      <c r="EE83" s="277">
        <v>650</v>
      </c>
      <c r="EO83" s="286"/>
      <c r="EP83" s="286"/>
      <c r="FB83" s="2174"/>
      <c r="FC83" s="2174"/>
      <c r="FF83" s="2258" t="s">
        <v>730</v>
      </c>
      <c r="FG83" s="245">
        <v>6.3</v>
      </c>
      <c r="FH83" s="245">
        <v>7.1</v>
      </c>
      <c r="FI83" s="245">
        <v>8</v>
      </c>
      <c r="FJ83" s="245">
        <v>9</v>
      </c>
      <c r="FK83" s="245">
        <v>10</v>
      </c>
      <c r="FL83" s="245">
        <v>11.2</v>
      </c>
      <c r="FM83" s="245">
        <v>12.5</v>
      </c>
      <c r="FN83" s="245">
        <v>14</v>
      </c>
      <c r="FO83" s="6">
        <v>16</v>
      </c>
      <c r="FP83" s="2179"/>
      <c r="FR83" s="990"/>
      <c r="FS83" s="2237"/>
      <c r="FT83" s="2257">
        <f>IFERROR(FT100,0)</f>
        <v>0</v>
      </c>
      <c r="FU83" s="2179"/>
      <c r="FX83" s="2176"/>
      <c r="FY83" s="2259"/>
      <c r="FZ83" s="108"/>
      <c r="GA83" s="108"/>
      <c r="GB83" s="2258" t="s">
        <v>730</v>
      </c>
      <c r="GC83" s="245">
        <v>6.3</v>
      </c>
      <c r="GD83" s="245">
        <v>7.1</v>
      </c>
      <c r="GE83" s="245">
        <v>8</v>
      </c>
      <c r="GF83" s="245">
        <v>9</v>
      </c>
      <c r="GG83" s="245">
        <v>10</v>
      </c>
      <c r="GH83" s="245">
        <v>11.2</v>
      </c>
      <c r="GI83" s="245">
        <v>12.5</v>
      </c>
      <c r="GJ83" s="245">
        <v>14</v>
      </c>
      <c r="GK83" s="6">
        <v>16</v>
      </c>
      <c r="GL83" s="2179"/>
      <c r="GN83" s="990"/>
      <c r="GO83" s="2237"/>
      <c r="GP83" s="2257">
        <f>IFERROR(GP100,0)</f>
        <v>0</v>
      </c>
      <c r="GQ83" s="2179"/>
      <c r="GT83" s="2174"/>
      <c r="GW83" s="2260" t="s">
        <v>730</v>
      </c>
      <c r="GX83" s="2261">
        <v>5.6</v>
      </c>
      <c r="GY83" s="2261">
        <v>6.2</v>
      </c>
      <c r="GZ83" s="2261">
        <v>6.86</v>
      </c>
      <c r="HA83" s="2261">
        <v>7.59</v>
      </c>
      <c r="HB83" s="2261">
        <v>8.4</v>
      </c>
      <c r="HC83" s="2261">
        <v>9.3000000000000007</v>
      </c>
      <c r="HD83" s="2261">
        <v>10.3</v>
      </c>
      <c r="HE83" s="2262">
        <v>12.6</v>
      </c>
      <c r="HF83" s="2179"/>
      <c r="HG83" s="2179"/>
      <c r="HI83" s="990"/>
      <c r="HJ83" s="2237"/>
      <c r="HK83" s="2257">
        <f>IFERROR(HK100,0)</f>
        <v>0</v>
      </c>
      <c r="HL83" s="2179"/>
      <c r="HN83" s="2176"/>
      <c r="HO83" s="2176"/>
      <c r="HR83" s="2260" t="s">
        <v>730</v>
      </c>
      <c r="HS83" s="2261">
        <v>5.6</v>
      </c>
      <c r="HT83" s="2261">
        <v>6.2</v>
      </c>
      <c r="HU83" s="2261">
        <v>6.86</v>
      </c>
      <c r="HV83" s="2261">
        <v>7.59</v>
      </c>
      <c r="HW83" s="2261">
        <v>8.4</v>
      </c>
      <c r="HX83" s="2261">
        <v>9.3000000000000007</v>
      </c>
      <c r="HY83" s="2261">
        <v>10.3</v>
      </c>
      <c r="HZ83" s="2262">
        <v>12.6</v>
      </c>
      <c r="IA83" s="2179"/>
      <c r="IB83" s="2179"/>
      <c r="ID83" s="990"/>
      <c r="IE83" s="2237"/>
      <c r="IF83" s="2257">
        <f>IFERROR(IF100,0)</f>
        <v>0</v>
      </c>
      <c r="IG83" s="2179"/>
      <c r="IN83" s="277"/>
      <c r="IO83" s="277"/>
    </row>
    <row r="84" spans="3:249" ht="21.95" customHeight="1">
      <c r="C84" s="280" t="s">
        <v>698</v>
      </c>
      <c r="D84" s="280"/>
      <c r="E84" s="280"/>
      <c r="F84" s="280"/>
      <c r="G84" s="280"/>
      <c r="S84" s="286"/>
      <c r="T84" s="286"/>
      <c r="AF84" s="2174"/>
      <c r="AG84" s="2174"/>
      <c r="AJ84" s="7">
        <v>160</v>
      </c>
      <c r="AK84" s="29">
        <v>71</v>
      </c>
      <c r="AL84" s="29">
        <v>66</v>
      </c>
      <c r="AM84" s="29">
        <v>60</v>
      </c>
      <c r="AN84" s="29">
        <v>56</v>
      </c>
      <c r="AO84" s="29">
        <v>49</v>
      </c>
      <c r="AP84" s="29">
        <v>45</v>
      </c>
      <c r="AQ84" s="280">
        <v>37</v>
      </c>
      <c r="AR84" s="280">
        <v>34</v>
      </c>
      <c r="AS84" s="990">
        <v>32</v>
      </c>
      <c r="AT84" s="2179"/>
      <c r="AV84" s="990">
        <v>0</v>
      </c>
      <c r="AW84" s="990" t="e">
        <f t="shared" ref="AW84:AW96" si="35">+AV85</f>
        <v>#N/A</v>
      </c>
      <c r="AX84" s="2263">
        <v>160</v>
      </c>
      <c r="AY84" s="2179"/>
      <c r="BB84" s="2176"/>
      <c r="BC84" s="2176"/>
      <c r="BF84" s="7">
        <v>160</v>
      </c>
      <c r="BG84" s="29">
        <v>71</v>
      </c>
      <c r="BH84" s="29">
        <v>66</v>
      </c>
      <c r="BI84" s="29">
        <v>60</v>
      </c>
      <c r="BJ84" s="29">
        <v>56</v>
      </c>
      <c r="BK84" s="29">
        <v>49</v>
      </c>
      <c r="BL84" s="29">
        <v>45</v>
      </c>
      <c r="BM84" s="280">
        <v>37</v>
      </c>
      <c r="BN84" s="280">
        <v>34</v>
      </c>
      <c r="BO84" s="990">
        <v>32</v>
      </c>
      <c r="BP84" s="2179"/>
      <c r="BR84" s="990">
        <v>0</v>
      </c>
      <c r="BS84" s="990" t="e">
        <f t="shared" ref="BS84:BS96" si="36">+BR85</f>
        <v>#N/A</v>
      </c>
      <c r="BT84" s="2263">
        <v>160</v>
      </c>
      <c r="BU84" s="2179"/>
      <c r="BX84" s="2174"/>
      <c r="CA84" s="2264">
        <v>140</v>
      </c>
      <c r="CB84" s="2265">
        <v>55.1</v>
      </c>
      <c r="CC84" s="2265">
        <v>51</v>
      </c>
      <c r="CD84" s="2265">
        <v>51</v>
      </c>
      <c r="CE84" s="2265">
        <v>53.2</v>
      </c>
      <c r="CF84" s="2265">
        <v>44.2</v>
      </c>
      <c r="CG84" s="2265">
        <v>41.5</v>
      </c>
      <c r="CH84" s="2238">
        <v>35.9</v>
      </c>
      <c r="CI84" s="2239">
        <v>29.1</v>
      </c>
      <c r="CJ84" s="2179"/>
      <c r="CK84" s="2179"/>
      <c r="CM84" s="990">
        <v>0</v>
      </c>
      <c r="CN84" s="990" t="e">
        <f t="shared" ref="CN84:CN96" si="37">+CM85</f>
        <v>#N/A</v>
      </c>
      <c r="CO84" s="2263">
        <v>140</v>
      </c>
      <c r="CP84" s="2179"/>
      <c r="CR84" s="2176"/>
      <c r="CS84" s="2176"/>
      <c r="CV84" s="2264">
        <v>140</v>
      </c>
      <c r="CW84" s="2265">
        <v>55.1</v>
      </c>
      <c r="CX84" s="2265">
        <v>51</v>
      </c>
      <c r="CY84" s="2265">
        <v>51</v>
      </c>
      <c r="CZ84" s="2265">
        <v>53.2</v>
      </c>
      <c r="DA84" s="2265">
        <v>44.2</v>
      </c>
      <c r="DB84" s="2265">
        <v>41.5</v>
      </c>
      <c r="DC84" s="2238">
        <v>35.9</v>
      </c>
      <c r="DD84" s="2239">
        <v>29.1</v>
      </c>
      <c r="DE84" s="2179"/>
      <c r="DF84" s="2179"/>
      <c r="DH84" s="990">
        <v>0</v>
      </c>
      <c r="DI84" s="990" t="e">
        <f t="shared" ref="DI84:DI96" si="38">+DH85</f>
        <v>#N/A</v>
      </c>
      <c r="DJ84" s="2263">
        <v>140</v>
      </c>
      <c r="DK84" s="2179"/>
      <c r="DS84" s="277"/>
      <c r="DW84" s="1"/>
      <c r="DY84" s="280" t="s">
        <v>698</v>
      </c>
      <c r="DZ84" s="280"/>
      <c r="EA84" s="280"/>
      <c r="EB84" s="280"/>
      <c r="EC84" s="280"/>
      <c r="EO84" s="286"/>
      <c r="EP84" s="286"/>
      <c r="FB84" s="2174"/>
      <c r="FC84" s="2174"/>
      <c r="FF84" s="7">
        <v>160</v>
      </c>
      <c r="FG84" s="29">
        <v>71</v>
      </c>
      <c r="FH84" s="29">
        <v>66</v>
      </c>
      <c r="FI84" s="29">
        <v>60</v>
      </c>
      <c r="FJ84" s="29">
        <v>56</v>
      </c>
      <c r="FK84" s="29">
        <v>49</v>
      </c>
      <c r="FL84" s="29">
        <v>45</v>
      </c>
      <c r="FM84" s="280">
        <v>37</v>
      </c>
      <c r="FN84" s="280">
        <v>34</v>
      </c>
      <c r="FO84" s="990">
        <v>32</v>
      </c>
      <c r="FP84" s="2179"/>
      <c r="FR84" s="990">
        <v>0</v>
      </c>
      <c r="FS84" s="990" t="e">
        <f t="shared" ref="FS84:FS96" si="39">+FR85</f>
        <v>#N/A</v>
      </c>
      <c r="FT84" s="2263">
        <v>160</v>
      </c>
      <c r="FU84" s="2179"/>
      <c r="FX84" s="2176"/>
      <c r="FY84" s="2176"/>
      <c r="GB84" s="7">
        <v>160</v>
      </c>
      <c r="GC84" s="29">
        <v>71</v>
      </c>
      <c r="GD84" s="29">
        <v>66</v>
      </c>
      <c r="GE84" s="29">
        <v>60</v>
      </c>
      <c r="GF84" s="29">
        <v>56</v>
      </c>
      <c r="GG84" s="29">
        <v>49</v>
      </c>
      <c r="GH84" s="29">
        <v>45</v>
      </c>
      <c r="GI84" s="280">
        <v>37</v>
      </c>
      <c r="GJ84" s="280">
        <v>34</v>
      </c>
      <c r="GK84" s="990">
        <v>32</v>
      </c>
      <c r="GL84" s="2179"/>
      <c r="GN84" s="990">
        <v>0</v>
      </c>
      <c r="GO84" s="990" t="e">
        <f t="shared" ref="GO84:GO96" si="40">+GN85</f>
        <v>#N/A</v>
      </c>
      <c r="GP84" s="2263">
        <v>160</v>
      </c>
      <c r="GQ84" s="2179"/>
      <c r="GT84" s="2174"/>
      <c r="GW84" s="2264">
        <v>140</v>
      </c>
      <c r="GX84" s="2265">
        <v>55.1</v>
      </c>
      <c r="GY84" s="2265">
        <v>51</v>
      </c>
      <c r="GZ84" s="2265">
        <v>51</v>
      </c>
      <c r="HA84" s="2265">
        <v>53.2</v>
      </c>
      <c r="HB84" s="2265">
        <v>44.2</v>
      </c>
      <c r="HC84" s="2265">
        <v>41.5</v>
      </c>
      <c r="HD84" s="2238">
        <v>35.9</v>
      </c>
      <c r="HE84" s="2239">
        <v>29.1</v>
      </c>
      <c r="HF84" s="2179"/>
      <c r="HG84" s="2179"/>
      <c r="HI84" s="990">
        <v>0</v>
      </c>
      <c r="HJ84" s="990" t="e">
        <f t="shared" ref="HJ84:HJ96" si="41">+HI85</f>
        <v>#N/A</v>
      </c>
      <c r="HK84" s="2263">
        <v>140</v>
      </c>
      <c r="HL84" s="2179"/>
      <c r="HN84" s="2176"/>
      <c r="HO84" s="2176"/>
      <c r="HR84" s="2264">
        <v>140</v>
      </c>
      <c r="HS84" s="2265">
        <v>55.1</v>
      </c>
      <c r="HT84" s="2265">
        <v>51</v>
      </c>
      <c r="HU84" s="2265">
        <v>51</v>
      </c>
      <c r="HV84" s="2265">
        <v>53.2</v>
      </c>
      <c r="HW84" s="2265">
        <v>44.2</v>
      </c>
      <c r="HX84" s="2265">
        <v>41.5</v>
      </c>
      <c r="HY84" s="2238">
        <v>35.9</v>
      </c>
      <c r="HZ84" s="2239">
        <v>29.1</v>
      </c>
      <c r="IA84" s="2179"/>
      <c r="IB84" s="2179"/>
      <c r="ID84" s="990">
        <v>0</v>
      </c>
      <c r="IE84" s="990" t="e">
        <f t="shared" ref="IE84:IE96" si="42">+ID85</f>
        <v>#N/A</v>
      </c>
      <c r="IF84" s="2263">
        <v>140</v>
      </c>
      <c r="IG84" s="2179"/>
      <c r="IN84" s="277"/>
      <c r="IO84" s="277"/>
    </row>
    <row r="85" spans="3:249" ht="21.95" customHeight="1">
      <c r="C85" s="280" t="s">
        <v>699</v>
      </c>
      <c r="D85" s="735">
        <f>F85*D68</f>
        <v>89700</v>
      </c>
      <c r="E85" s="734">
        <v>23100</v>
      </c>
      <c r="F85" s="275">
        <f>290+9</f>
        <v>299</v>
      </c>
      <c r="G85" s="280"/>
      <c r="H85" s="277">
        <v>290</v>
      </c>
      <c r="I85" s="277">
        <v>9</v>
      </c>
      <c r="S85" s="286"/>
      <c r="T85" s="286"/>
      <c r="AF85" s="2174"/>
      <c r="AG85" s="2174"/>
      <c r="AJ85" s="7">
        <v>180</v>
      </c>
      <c r="AK85" s="29">
        <v>100</v>
      </c>
      <c r="AL85" s="29">
        <v>93</v>
      </c>
      <c r="AM85" s="29">
        <v>85</v>
      </c>
      <c r="AN85" s="29">
        <v>86</v>
      </c>
      <c r="AO85" s="29">
        <v>68</v>
      </c>
      <c r="AP85" s="29">
        <v>65</v>
      </c>
      <c r="AQ85" s="280">
        <v>52</v>
      </c>
      <c r="AR85" s="280">
        <v>47</v>
      </c>
      <c r="AS85" s="990">
        <v>44</v>
      </c>
      <c r="AT85" s="2179"/>
      <c r="AV85" s="990" t="e">
        <f>HLOOKUP(AW82,AK83:AS96,2,0)</f>
        <v>#N/A</v>
      </c>
      <c r="AW85" s="990" t="e">
        <f t="shared" si="35"/>
        <v>#N/A</v>
      </c>
      <c r="AX85" s="735">
        <v>180</v>
      </c>
      <c r="AY85" s="2179"/>
      <c r="BB85" s="2176"/>
      <c r="BC85" s="2176"/>
      <c r="BF85" s="7">
        <v>180</v>
      </c>
      <c r="BG85" s="29">
        <v>100</v>
      </c>
      <c r="BH85" s="29">
        <v>93</v>
      </c>
      <c r="BI85" s="29">
        <v>85</v>
      </c>
      <c r="BJ85" s="29">
        <v>86</v>
      </c>
      <c r="BK85" s="29">
        <v>68</v>
      </c>
      <c r="BL85" s="29">
        <v>65</v>
      </c>
      <c r="BM85" s="280">
        <v>52</v>
      </c>
      <c r="BN85" s="280">
        <v>47</v>
      </c>
      <c r="BO85" s="990">
        <v>44</v>
      </c>
      <c r="BP85" s="2179"/>
      <c r="BR85" s="990" t="e">
        <f>HLOOKUP(BS82,BG83:BO96,2,0)</f>
        <v>#N/A</v>
      </c>
      <c r="BS85" s="990" t="e">
        <f t="shared" si="36"/>
        <v>#N/A</v>
      </c>
      <c r="BT85" s="735">
        <v>180</v>
      </c>
      <c r="BU85" s="2179"/>
      <c r="BX85" s="2174"/>
      <c r="CA85" s="2266">
        <v>160</v>
      </c>
      <c r="CB85" s="29">
        <v>82.7</v>
      </c>
      <c r="CC85" s="29">
        <v>78</v>
      </c>
      <c r="CD85" s="29">
        <v>78</v>
      </c>
      <c r="CE85" s="29">
        <v>74.8</v>
      </c>
      <c r="CF85" s="29">
        <v>65.099999999999994</v>
      </c>
      <c r="CG85" s="29">
        <v>60.9</v>
      </c>
      <c r="CH85" s="280">
        <v>55.4</v>
      </c>
      <c r="CI85" s="2240">
        <v>43</v>
      </c>
      <c r="CJ85" s="2179"/>
      <c r="CK85" s="2179"/>
      <c r="CM85" s="990" t="e">
        <f>HLOOKUP(CN82,CB83:CI96,2,0)</f>
        <v>#N/A</v>
      </c>
      <c r="CN85" s="990" t="e">
        <f t="shared" si="37"/>
        <v>#N/A</v>
      </c>
      <c r="CO85" s="735">
        <v>160</v>
      </c>
      <c r="CP85" s="2179"/>
      <c r="CR85" s="2176"/>
      <c r="CS85" s="2176"/>
      <c r="CV85" s="2266">
        <v>160</v>
      </c>
      <c r="CW85" s="29">
        <v>82.7</v>
      </c>
      <c r="CX85" s="29">
        <v>78</v>
      </c>
      <c r="CY85" s="29">
        <v>78</v>
      </c>
      <c r="CZ85" s="29">
        <v>74.8</v>
      </c>
      <c r="DA85" s="29">
        <v>65.099999999999994</v>
      </c>
      <c r="DB85" s="29">
        <v>60.9</v>
      </c>
      <c r="DC85" s="280">
        <v>55.4</v>
      </c>
      <c r="DD85" s="2240">
        <v>43</v>
      </c>
      <c r="DE85" s="2179"/>
      <c r="DF85" s="2179"/>
      <c r="DH85" s="990" t="e">
        <f>HLOOKUP(DI82,CW83:DD96,2,0)</f>
        <v>#N/A</v>
      </c>
      <c r="DI85" s="990" t="e">
        <f t="shared" si="38"/>
        <v>#N/A</v>
      </c>
      <c r="DJ85" s="735">
        <v>160</v>
      </c>
      <c r="DK85" s="2179"/>
      <c r="DS85" s="277"/>
      <c r="DW85" s="1"/>
      <c r="DY85" s="280" t="s">
        <v>699</v>
      </c>
      <c r="DZ85" s="735">
        <f>EB85*DZ68</f>
        <v>89700</v>
      </c>
      <c r="EA85" s="734">
        <v>23100</v>
      </c>
      <c r="EB85" s="275">
        <f>290+9</f>
        <v>299</v>
      </c>
      <c r="EC85" s="280"/>
      <c r="ED85" s="277">
        <v>290</v>
      </c>
      <c r="EE85" s="277">
        <v>9</v>
      </c>
      <c r="EO85" s="286"/>
      <c r="EP85" s="286"/>
      <c r="FB85" s="2174"/>
      <c r="FC85" s="2174"/>
      <c r="FF85" s="7">
        <v>180</v>
      </c>
      <c r="FG85" s="29">
        <v>100</v>
      </c>
      <c r="FH85" s="29">
        <v>93</v>
      </c>
      <c r="FI85" s="29">
        <v>85</v>
      </c>
      <c r="FJ85" s="29">
        <v>86</v>
      </c>
      <c r="FK85" s="29">
        <v>68</v>
      </c>
      <c r="FL85" s="29">
        <v>65</v>
      </c>
      <c r="FM85" s="280">
        <v>52</v>
      </c>
      <c r="FN85" s="280">
        <v>47</v>
      </c>
      <c r="FO85" s="990">
        <v>44</v>
      </c>
      <c r="FP85" s="2179"/>
      <c r="FR85" s="990" t="e">
        <f>HLOOKUP(FS82,FG83:FO96,2,0)</f>
        <v>#N/A</v>
      </c>
      <c r="FS85" s="990" t="e">
        <f t="shared" si="39"/>
        <v>#N/A</v>
      </c>
      <c r="FT85" s="735">
        <v>180</v>
      </c>
      <c r="FU85" s="2179"/>
      <c r="FX85" s="2176"/>
      <c r="FY85" s="2176"/>
      <c r="GB85" s="7">
        <v>180</v>
      </c>
      <c r="GC85" s="29">
        <v>100</v>
      </c>
      <c r="GD85" s="29">
        <v>93</v>
      </c>
      <c r="GE85" s="29">
        <v>85</v>
      </c>
      <c r="GF85" s="29">
        <v>86</v>
      </c>
      <c r="GG85" s="29">
        <v>68</v>
      </c>
      <c r="GH85" s="29">
        <v>65</v>
      </c>
      <c r="GI85" s="280">
        <v>52</v>
      </c>
      <c r="GJ85" s="280">
        <v>47</v>
      </c>
      <c r="GK85" s="990">
        <v>44</v>
      </c>
      <c r="GL85" s="2179"/>
      <c r="GN85" s="990" t="e">
        <f>HLOOKUP(GO82,GC83:GK96,2,0)</f>
        <v>#N/A</v>
      </c>
      <c r="GO85" s="990" t="e">
        <f t="shared" si="40"/>
        <v>#N/A</v>
      </c>
      <c r="GP85" s="735">
        <v>180</v>
      </c>
      <c r="GQ85" s="2179"/>
      <c r="GT85" s="2174"/>
      <c r="GW85" s="2266">
        <v>160</v>
      </c>
      <c r="GX85" s="29">
        <v>82.7</v>
      </c>
      <c r="GY85" s="29">
        <v>78</v>
      </c>
      <c r="GZ85" s="29">
        <v>78</v>
      </c>
      <c r="HA85" s="29">
        <v>74.8</v>
      </c>
      <c r="HB85" s="29">
        <v>65.099999999999994</v>
      </c>
      <c r="HC85" s="29">
        <v>60.9</v>
      </c>
      <c r="HD85" s="280">
        <v>55.4</v>
      </c>
      <c r="HE85" s="2240">
        <v>43</v>
      </c>
      <c r="HF85" s="2179"/>
      <c r="HG85" s="2179"/>
      <c r="HI85" s="990" t="e">
        <f>HLOOKUP(HJ82,GX83:HE96,2,0)</f>
        <v>#N/A</v>
      </c>
      <c r="HJ85" s="990" t="e">
        <f t="shared" si="41"/>
        <v>#N/A</v>
      </c>
      <c r="HK85" s="735">
        <v>160</v>
      </c>
      <c r="HL85" s="2179"/>
      <c r="HN85" s="2176"/>
      <c r="HO85" s="2176"/>
      <c r="HR85" s="2266">
        <v>160</v>
      </c>
      <c r="HS85" s="29">
        <v>82.7</v>
      </c>
      <c r="HT85" s="29">
        <v>78</v>
      </c>
      <c r="HU85" s="29">
        <v>78</v>
      </c>
      <c r="HV85" s="29">
        <v>74.8</v>
      </c>
      <c r="HW85" s="29">
        <v>65.099999999999994</v>
      </c>
      <c r="HX85" s="29">
        <v>60.9</v>
      </c>
      <c r="HY85" s="280">
        <v>55.4</v>
      </c>
      <c r="HZ85" s="2240">
        <v>43</v>
      </c>
      <c r="IA85" s="2179"/>
      <c r="IB85" s="2179"/>
      <c r="ID85" s="990" t="e">
        <f>HLOOKUP(IE82,HS83:HZ96,2,0)</f>
        <v>#N/A</v>
      </c>
      <c r="IE85" s="990" t="e">
        <f t="shared" si="42"/>
        <v>#N/A</v>
      </c>
      <c r="IF85" s="735">
        <v>160</v>
      </c>
      <c r="IG85" s="2179"/>
      <c r="IN85" s="277"/>
      <c r="IO85" s="277"/>
    </row>
    <row r="86" spans="3:249" ht="21.95" customHeight="1">
      <c r="C86" s="280" t="s">
        <v>700</v>
      </c>
      <c r="D86" s="735">
        <f>F86*D68</f>
        <v>96900</v>
      </c>
      <c r="E86" s="734">
        <v>26250</v>
      </c>
      <c r="F86" s="275">
        <f>310+13</f>
        <v>323</v>
      </c>
      <c r="G86" s="280"/>
      <c r="H86" s="277">
        <v>310</v>
      </c>
      <c r="I86" s="277">
        <v>13</v>
      </c>
      <c r="S86" s="286"/>
      <c r="T86" s="286"/>
      <c r="AF86" s="2174"/>
      <c r="AG86" s="2174"/>
      <c r="AJ86" s="7">
        <v>200</v>
      </c>
      <c r="AK86" s="29">
        <v>145</v>
      </c>
      <c r="AL86" s="29">
        <v>135</v>
      </c>
      <c r="AM86" s="29">
        <v>125</v>
      </c>
      <c r="AN86" s="29">
        <v>125</v>
      </c>
      <c r="AO86" s="29">
        <v>95</v>
      </c>
      <c r="AP86" s="29">
        <v>95</v>
      </c>
      <c r="AQ86" s="280">
        <v>77</v>
      </c>
      <c r="AR86" s="280">
        <v>73</v>
      </c>
      <c r="AS86" s="990">
        <v>66</v>
      </c>
      <c r="AT86" s="2179"/>
      <c r="AV86" s="990" t="e">
        <f>HLOOKUP(AW82,AK83:AS96,3,0)</f>
        <v>#N/A</v>
      </c>
      <c r="AW86" s="990" t="e">
        <f t="shared" si="35"/>
        <v>#N/A</v>
      </c>
      <c r="AX86" s="735">
        <v>200</v>
      </c>
      <c r="AY86" s="2179"/>
      <c r="BB86" s="2176"/>
      <c r="BC86" s="2176"/>
      <c r="BF86" s="7">
        <v>200</v>
      </c>
      <c r="BG86" s="29">
        <v>145</v>
      </c>
      <c r="BH86" s="29">
        <v>135</v>
      </c>
      <c r="BI86" s="29">
        <v>125</v>
      </c>
      <c r="BJ86" s="29">
        <v>125</v>
      </c>
      <c r="BK86" s="29">
        <v>95</v>
      </c>
      <c r="BL86" s="29">
        <v>95</v>
      </c>
      <c r="BM86" s="280">
        <v>77</v>
      </c>
      <c r="BN86" s="280">
        <v>73</v>
      </c>
      <c r="BO86" s="990">
        <v>66</v>
      </c>
      <c r="BP86" s="2179"/>
      <c r="BR86" s="990" t="e">
        <f>HLOOKUP(BS82,BG83:BO96,3,0)</f>
        <v>#N/A</v>
      </c>
      <c r="BS86" s="990" t="e">
        <f t="shared" si="36"/>
        <v>#N/A</v>
      </c>
      <c r="BT86" s="735">
        <v>200</v>
      </c>
      <c r="BU86" s="2179"/>
      <c r="BX86" s="2174"/>
      <c r="CA86" s="2266">
        <v>180</v>
      </c>
      <c r="CB86" s="29">
        <v>104</v>
      </c>
      <c r="CC86" s="29">
        <v>98.6</v>
      </c>
      <c r="CD86" s="29">
        <v>98.6</v>
      </c>
      <c r="CE86" s="29">
        <v>99.1</v>
      </c>
      <c r="CF86" s="29">
        <v>87.6</v>
      </c>
      <c r="CG86" s="29">
        <v>79.3</v>
      </c>
      <c r="CH86" s="280">
        <v>75.2</v>
      </c>
      <c r="CI86" s="2240">
        <v>61.5</v>
      </c>
      <c r="CJ86" s="2179"/>
      <c r="CK86" s="2179"/>
      <c r="CM86" s="990" t="e">
        <f>HLOOKUP(CN82,CB83:CI96,3,0)</f>
        <v>#N/A</v>
      </c>
      <c r="CN86" s="990" t="e">
        <f t="shared" si="37"/>
        <v>#N/A</v>
      </c>
      <c r="CO86" s="735">
        <v>180</v>
      </c>
      <c r="CP86" s="2179"/>
      <c r="CR86" s="2176"/>
      <c r="CS86" s="2176"/>
      <c r="CV86" s="2266">
        <v>180</v>
      </c>
      <c r="CW86" s="29">
        <v>104</v>
      </c>
      <c r="CX86" s="29">
        <v>98.6</v>
      </c>
      <c r="CY86" s="29">
        <v>98.6</v>
      </c>
      <c r="CZ86" s="29">
        <v>99.1</v>
      </c>
      <c r="DA86" s="29">
        <v>87.6</v>
      </c>
      <c r="DB86" s="29">
        <v>79.3</v>
      </c>
      <c r="DC86" s="280">
        <v>75.2</v>
      </c>
      <c r="DD86" s="2240">
        <v>61.5</v>
      </c>
      <c r="DE86" s="2179"/>
      <c r="DF86" s="2179"/>
      <c r="DH86" s="990" t="e">
        <f>HLOOKUP(DI82,CW83:DD96,3,0)</f>
        <v>#N/A</v>
      </c>
      <c r="DI86" s="990" t="e">
        <f t="shared" si="38"/>
        <v>#N/A</v>
      </c>
      <c r="DJ86" s="735">
        <v>180</v>
      </c>
      <c r="DK86" s="2179"/>
      <c r="DS86" s="277"/>
      <c r="DW86" s="1"/>
      <c r="DY86" s="280" t="s">
        <v>700</v>
      </c>
      <c r="DZ86" s="735">
        <f>EB86*DZ68</f>
        <v>96900</v>
      </c>
      <c r="EA86" s="734">
        <v>26250</v>
      </c>
      <c r="EB86" s="275">
        <f>310+13</f>
        <v>323</v>
      </c>
      <c r="EC86" s="280"/>
      <c r="ED86" s="277">
        <v>310</v>
      </c>
      <c r="EE86" s="277">
        <v>13</v>
      </c>
      <c r="EO86" s="286"/>
      <c r="EP86" s="286"/>
      <c r="FB86" s="2174"/>
      <c r="FC86" s="2174"/>
      <c r="FF86" s="7">
        <v>200</v>
      </c>
      <c r="FG86" s="29">
        <v>145</v>
      </c>
      <c r="FH86" s="29">
        <v>135</v>
      </c>
      <c r="FI86" s="29">
        <v>125</v>
      </c>
      <c r="FJ86" s="29">
        <v>125</v>
      </c>
      <c r="FK86" s="29">
        <v>95</v>
      </c>
      <c r="FL86" s="29">
        <v>95</v>
      </c>
      <c r="FM86" s="280">
        <v>77</v>
      </c>
      <c r="FN86" s="280">
        <v>73</v>
      </c>
      <c r="FO86" s="990">
        <v>66</v>
      </c>
      <c r="FP86" s="2179"/>
      <c r="FR86" s="990" t="e">
        <f>HLOOKUP(FS82,FG83:FO96,3,0)</f>
        <v>#N/A</v>
      </c>
      <c r="FS86" s="990" t="e">
        <f t="shared" si="39"/>
        <v>#N/A</v>
      </c>
      <c r="FT86" s="735">
        <v>200</v>
      </c>
      <c r="FU86" s="2179"/>
      <c r="FX86" s="2176"/>
      <c r="FY86" s="2176"/>
      <c r="GB86" s="7">
        <v>200</v>
      </c>
      <c r="GC86" s="29">
        <v>145</v>
      </c>
      <c r="GD86" s="29">
        <v>135</v>
      </c>
      <c r="GE86" s="29">
        <v>125</v>
      </c>
      <c r="GF86" s="29">
        <v>125</v>
      </c>
      <c r="GG86" s="29">
        <v>95</v>
      </c>
      <c r="GH86" s="29">
        <v>95</v>
      </c>
      <c r="GI86" s="280">
        <v>77</v>
      </c>
      <c r="GJ86" s="280">
        <v>73</v>
      </c>
      <c r="GK86" s="990">
        <v>66</v>
      </c>
      <c r="GL86" s="2179"/>
      <c r="GN86" s="990" t="e">
        <f>HLOOKUP(GO82,GC83:GK96,3,0)</f>
        <v>#N/A</v>
      </c>
      <c r="GO86" s="990" t="e">
        <f t="shared" si="40"/>
        <v>#N/A</v>
      </c>
      <c r="GP86" s="735">
        <v>200</v>
      </c>
      <c r="GQ86" s="2179"/>
      <c r="GT86" s="2174"/>
      <c r="GW86" s="2266">
        <v>180</v>
      </c>
      <c r="GX86" s="29">
        <v>104</v>
      </c>
      <c r="GY86" s="29">
        <v>98.6</v>
      </c>
      <c r="GZ86" s="29">
        <v>98.6</v>
      </c>
      <c r="HA86" s="29">
        <v>99.1</v>
      </c>
      <c r="HB86" s="29">
        <v>87.6</v>
      </c>
      <c r="HC86" s="29">
        <v>79.3</v>
      </c>
      <c r="HD86" s="280">
        <v>75.2</v>
      </c>
      <c r="HE86" s="2240">
        <v>61.5</v>
      </c>
      <c r="HF86" s="2179"/>
      <c r="HG86" s="2179"/>
      <c r="HI86" s="990" t="e">
        <f>HLOOKUP(HJ82,GX83:HE96,3,0)</f>
        <v>#N/A</v>
      </c>
      <c r="HJ86" s="990" t="e">
        <f t="shared" si="41"/>
        <v>#N/A</v>
      </c>
      <c r="HK86" s="735">
        <v>180</v>
      </c>
      <c r="HL86" s="2179"/>
      <c r="HN86" s="2176"/>
      <c r="HO86" s="2176"/>
      <c r="HR86" s="2266">
        <v>180</v>
      </c>
      <c r="HS86" s="29">
        <v>104</v>
      </c>
      <c r="HT86" s="29">
        <v>98.6</v>
      </c>
      <c r="HU86" s="29">
        <v>98.6</v>
      </c>
      <c r="HV86" s="29">
        <v>99.1</v>
      </c>
      <c r="HW86" s="29">
        <v>87.6</v>
      </c>
      <c r="HX86" s="29">
        <v>79.3</v>
      </c>
      <c r="HY86" s="280">
        <v>75.2</v>
      </c>
      <c r="HZ86" s="2240">
        <v>61.5</v>
      </c>
      <c r="IA86" s="2179"/>
      <c r="IB86" s="2179"/>
      <c r="ID86" s="990" t="e">
        <f>HLOOKUP(IE82,HS83:HZ96,3,0)</f>
        <v>#N/A</v>
      </c>
      <c r="IE86" s="990" t="e">
        <f t="shared" si="42"/>
        <v>#N/A</v>
      </c>
      <c r="IF86" s="735">
        <v>180</v>
      </c>
      <c r="IG86" s="2179"/>
      <c r="IN86" s="277"/>
      <c r="IO86" s="277"/>
    </row>
    <row r="87" spans="3:249" ht="21.95" customHeight="1">
      <c r="C87" s="280" t="s">
        <v>701</v>
      </c>
      <c r="D87" s="735">
        <f>F87*D68</f>
        <v>104100</v>
      </c>
      <c r="E87" s="734">
        <v>29400</v>
      </c>
      <c r="F87" s="275">
        <f>330+17</f>
        <v>347</v>
      </c>
      <c r="G87" s="280"/>
      <c r="H87" s="277">
        <v>330</v>
      </c>
      <c r="I87" s="277">
        <v>17</v>
      </c>
      <c r="S87" s="286"/>
      <c r="T87" s="286"/>
      <c r="AF87" s="2174"/>
      <c r="AG87" s="2174"/>
      <c r="AJ87" s="7">
        <v>225</v>
      </c>
      <c r="AK87" s="29">
        <v>215</v>
      </c>
      <c r="AL87" s="29">
        <v>200</v>
      </c>
      <c r="AM87" s="29">
        <v>180</v>
      </c>
      <c r="AN87" s="29">
        <v>160</v>
      </c>
      <c r="AO87" s="29">
        <v>145</v>
      </c>
      <c r="AP87" s="29">
        <v>130</v>
      </c>
      <c r="AQ87" s="280">
        <v>115</v>
      </c>
      <c r="AR87" s="280">
        <v>95</v>
      </c>
      <c r="AS87" s="990">
        <v>88</v>
      </c>
      <c r="AT87" s="2179"/>
      <c r="AV87" s="990" t="e">
        <f>HLOOKUP(AW82,AK83:AS96,4,0)</f>
        <v>#N/A</v>
      </c>
      <c r="AW87" s="990" t="e">
        <f t="shared" si="35"/>
        <v>#N/A</v>
      </c>
      <c r="AX87" s="735">
        <v>225</v>
      </c>
      <c r="AY87" s="2179"/>
      <c r="BB87" s="2176"/>
      <c r="BC87" s="2176"/>
      <c r="BF87" s="7">
        <v>225</v>
      </c>
      <c r="BG87" s="29">
        <v>215</v>
      </c>
      <c r="BH87" s="29">
        <v>200</v>
      </c>
      <c r="BI87" s="29">
        <v>180</v>
      </c>
      <c r="BJ87" s="29">
        <v>160</v>
      </c>
      <c r="BK87" s="29">
        <v>145</v>
      </c>
      <c r="BL87" s="29">
        <v>130</v>
      </c>
      <c r="BM87" s="280">
        <v>115</v>
      </c>
      <c r="BN87" s="280">
        <v>95</v>
      </c>
      <c r="BO87" s="990">
        <v>88</v>
      </c>
      <c r="BP87" s="2179"/>
      <c r="BR87" s="990" t="e">
        <f>HLOOKUP(BS82,BG83:BO96,4,0)</f>
        <v>#N/A</v>
      </c>
      <c r="BS87" s="990" t="e">
        <f t="shared" si="36"/>
        <v>#N/A</v>
      </c>
      <c r="BT87" s="735">
        <v>225</v>
      </c>
      <c r="BU87" s="2179"/>
      <c r="BX87" s="2174"/>
      <c r="CA87" s="2266">
        <v>200</v>
      </c>
      <c r="CB87" s="29">
        <v>142</v>
      </c>
      <c r="CC87" s="29">
        <v>132</v>
      </c>
      <c r="CD87" s="29">
        <v>132</v>
      </c>
      <c r="CE87" s="29">
        <v>126</v>
      </c>
      <c r="CF87" s="29">
        <v>120</v>
      </c>
      <c r="CG87" s="29">
        <v>113</v>
      </c>
      <c r="CH87" s="280">
        <v>101</v>
      </c>
      <c r="CI87" s="2240">
        <v>86.9</v>
      </c>
      <c r="CJ87" s="2179"/>
      <c r="CK87" s="2179"/>
      <c r="CM87" s="990" t="e">
        <f>HLOOKUP(CN82,CB83:CI96,4,0)</f>
        <v>#N/A</v>
      </c>
      <c r="CN87" s="990" t="e">
        <f t="shared" si="37"/>
        <v>#N/A</v>
      </c>
      <c r="CO87" s="735">
        <v>200</v>
      </c>
      <c r="CP87" s="2179"/>
      <c r="CR87" s="2176"/>
      <c r="CS87" s="2176"/>
      <c r="CV87" s="2266">
        <v>200</v>
      </c>
      <c r="CW87" s="29">
        <v>142</v>
      </c>
      <c r="CX87" s="29">
        <v>132</v>
      </c>
      <c r="CY87" s="29">
        <v>132</v>
      </c>
      <c r="CZ87" s="29">
        <v>126</v>
      </c>
      <c r="DA87" s="29">
        <v>120</v>
      </c>
      <c r="DB87" s="29">
        <v>113</v>
      </c>
      <c r="DC87" s="280">
        <v>101</v>
      </c>
      <c r="DD87" s="2240">
        <v>86.9</v>
      </c>
      <c r="DE87" s="2179"/>
      <c r="DF87" s="2179"/>
      <c r="DH87" s="990" t="e">
        <f>HLOOKUP(DI82,CW83:DD96,4,0)</f>
        <v>#N/A</v>
      </c>
      <c r="DI87" s="990" t="e">
        <f t="shared" si="38"/>
        <v>#N/A</v>
      </c>
      <c r="DJ87" s="735">
        <v>200</v>
      </c>
      <c r="DK87" s="2179"/>
      <c r="DS87" s="277"/>
      <c r="DW87" s="1"/>
      <c r="DY87" s="280" t="s">
        <v>701</v>
      </c>
      <c r="DZ87" s="735">
        <f>EB87*DZ68</f>
        <v>104100</v>
      </c>
      <c r="EA87" s="734">
        <v>29400</v>
      </c>
      <c r="EB87" s="275">
        <f>330+17</f>
        <v>347</v>
      </c>
      <c r="EC87" s="280"/>
      <c r="ED87" s="277">
        <v>330</v>
      </c>
      <c r="EE87" s="277">
        <v>17</v>
      </c>
      <c r="EO87" s="286"/>
      <c r="EP87" s="286"/>
      <c r="FB87" s="2174"/>
      <c r="FC87" s="2174"/>
      <c r="FF87" s="7">
        <v>225</v>
      </c>
      <c r="FG87" s="29">
        <v>215</v>
      </c>
      <c r="FH87" s="29">
        <v>200</v>
      </c>
      <c r="FI87" s="29">
        <v>180</v>
      </c>
      <c r="FJ87" s="29">
        <v>160</v>
      </c>
      <c r="FK87" s="29">
        <v>145</v>
      </c>
      <c r="FL87" s="29">
        <v>130</v>
      </c>
      <c r="FM87" s="280">
        <v>115</v>
      </c>
      <c r="FN87" s="280">
        <v>95</v>
      </c>
      <c r="FO87" s="990">
        <v>88</v>
      </c>
      <c r="FP87" s="2179"/>
      <c r="FR87" s="990" t="e">
        <f>HLOOKUP(FS82,FG83:FO96,4,0)</f>
        <v>#N/A</v>
      </c>
      <c r="FS87" s="990" t="e">
        <f t="shared" si="39"/>
        <v>#N/A</v>
      </c>
      <c r="FT87" s="735">
        <v>225</v>
      </c>
      <c r="FU87" s="2179"/>
      <c r="FX87" s="2176"/>
      <c r="FY87" s="2176"/>
      <c r="GB87" s="7">
        <v>225</v>
      </c>
      <c r="GC87" s="29">
        <v>215</v>
      </c>
      <c r="GD87" s="29">
        <v>200</v>
      </c>
      <c r="GE87" s="29">
        <v>180</v>
      </c>
      <c r="GF87" s="29">
        <v>160</v>
      </c>
      <c r="GG87" s="29">
        <v>145</v>
      </c>
      <c r="GH87" s="29">
        <v>130</v>
      </c>
      <c r="GI87" s="280">
        <v>115</v>
      </c>
      <c r="GJ87" s="280">
        <v>95</v>
      </c>
      <c r="GK87" s="990">
        <v>88</v>
      </c>
      <c r="GL87" s="2179"/>
      <c r="GN87" s="990" t="e">
        <f>HLOOKUP(GO82,GC83:GK96,4,0)</f>
        <v>#N/A</v>
      </c>
      <c r="GO87" s="990" t="e">
        <f t="shared" si="40"/>
        <v>#N/A</v>
      </c>
      <c r="GP87" s="735">
        <v>225</v>
      </c>
      <c r="GQ87" s="2179"/>
      <c r="GT87" s="2174"/>
      <c r="GW87" s="2266">
        <v>200</v>
      </c>
      <c r="GX87" s="29">
        <v>142</v>
      </c>
      <c r="GY87" s="29">
        <v>132</v>
      </c>
      <c r="GZ87" s="29">
        <v>132</v>
      </c>
      <c r="HA87" s="29">
        <v>126</v>
      </c>
      <c r="HB87" s="29">
        <v>120</v>
      </c>
      <c r="HC87" s="29">
        <v>113</v>
      </c>
      <c r="HD87" s="280">
        <v>101</v>
      </c>
      <c r="HE87" s="2240">
        <v>86.9</v>
      </c>
      <c r="HF87" s="2179"/>
      <c r="HG87" s="2179"/>
      <c r="HI87" s="990" t="e">
        <f>HLOOKUP(HJ82,GX83:HE96,4,0)</f>
        <v>#N/A</v>
      </c>
      <c r="HJ87" s="990" t="e">
        <f t="shared" si="41"/>
        <v>#N/A</v>
      </c>
      <c r="HK87" s="735">
        <v>200</v>
      </c>
      <c r="HL87" s="2179"/>
      <c r="HN87" s="2176"/>
      <c r="HO87" s="2176"/>
      <c r="HR87" s="2266">
        <v>200</v>
      </c>
      <c r="HS87" s="29">
        <v>142</v>
      </c>
      <c r="HT87" s="29">
        <v>132</v>
      </c>
      <c r="HU87" s="29">
        <v>132</v>
      </c>
      <c r="HV87" s="29">
        <v>126</v>
      </c>
      <c r="HW87" s="29">
        <v>120</v>
      </c>
      <c r="HX87" s="29">
        <v>113</v>
      </c>
      <c r="HY87" s="280">
        <v>101</v>
      </c>
      <c r="HZ87" s="2240">
        <v>86.9</v>
      </c>
      <c r="IA87" s="2179"/>
      <c r="IB87" s="2179"/>
      <c r="ID87" s="990" t="e">
        <f>HLOOKUP(IE82,HS83:HZ96,4,0)</f>
        <v>#N/A</v>
      </c>
      <c r="IE87" s="990" t="e">
        <f t="shared" si="42"/>
        <v>#N/A</v>
      </c>
      <c r="IF87" s="735">
        <v>200</v>
      </c>
      <c r="IG87" s="2179"/>
      <c r="IN87" s="277"/>
      <c r="IO87" s="277"/>
    </row>
    <row r="88" spans="3:249" ht="21.95" customHeight="1">
      <c r="C88" s="280" t="s">
        <v>702</v>
      </c>
      <c r="D88" s="735">
        <f>F88*D68</f>
        <v>120000</v>
      </c>
      <c r="E88" s="734">
        <v>33600</v>
      </c>
      <c r="F88" s="275">
        <f>380+20</f>
        <v>400</v>
      </c>
      <c r="G88" s="280"/>
      <c r="H88" s="277">
        <v>380</v>
      </c>
      <c r="I88" s="277">
        <v>20</v>
      </c>
      <c r="S88" s="286"/>
      <c r="T88" s="286"/>
      <c r="AF88" s="2174"/>
      <c r="AG88" s="2174"/>
      <c r="AJ88" s="7">
        <v>250</v>
      </c>
      <c r="AK88" s="29">
        <v>280</v>
      </c>
      <c r="AL88" s="29">
        <v>255</v>
      </c>
      <c r="AM88" s="29">
        <v>245</v>
      </c>
      <c r="AN88" s="29">
        <v>215</v>
      </c>
      <c r="AO88" s="29">
        <v>195</v>
      </c>
      <c r="AP88" s="29">
        <v>175</v>
      </c>
      <c r="AQ88" s="280">
        <v>165</v>
      </c>
      <c r="AR88" s="280">
        <v>135</v>
      </c>
      <c r="AS88" s="990">
        <v>120</v>
      </c>
      <c r="AT88" s="2179"/>
      <c r="AV88" s="990" t="e">
        <f>HLOOKUP(AW82,AK83:AS96,5,0)</f>
        <v>#N/A</v>
      </c>
      <c r="AW88" s="990" t="e">
        <f t="shared" si="35"/>
        <v>#N/A</v>
      </c>
      <c r="AX88" s="735">
        <v>250</v>
      </c>
      <c r="AY88" s="2179"/>
      <c r="BB88" s="2176"/>
      <c r="BC88" s="2176"/>
      <c r="BF88" s="7">
        <v>250</v>
      </c>
      <c r="BG88" s="29">
        <v>280</v>
      </c>
      <c r="BH88" s="29">
        <v>255</v>
      </c>
      <c r="BI88" s="29">
        <v>245</v>
      </c>
      <c r="BJ88" s="29">
        <v>215</v>
      </c>
      <c r="BK88" s="29">
        <v>195</v>
      </c>
      <c r="BL88" s="29">
        <v>175</v>
      </c>
      <c r="BM88" s="280">
        <v>165</v>
      </c>
      <c r="BN88" s="280">
        <v>135</v>
      </c>
      <c r="BO88" s="990">
        <v>120</v>
      </c>
      <c r="BP88" s="2179"/>
      <c r="BR88" s="990" t="e">
        <f>HLOOKUP(BS82,BG83:BO96,5,0)</f>
        <v>#N/A</v>
      </c>
      <c r="BS88" s="990" t="e">
        <f t="shared" si="36"/>
        <v>#N/A</v>
      </c>
      <c r="BT88" s="735">
        <v>250</v>
      </c>
      <c r="BU88" s="2179"/>
      <c r="BX88" s="2174"/>
      <c r="CA88" s="2266">
        <v>225</v>
      </c>
      <c r="CB88" s="29">
        <v>207</v>
      </c>
      <c r="CC88" s="29">
        <v>190</v>
      </c>
      <c r="CD88" s="29">
        <v>182</v>
      </c>
      <c r="CE88" s="29">
        <v>166</v>
      </c>
      <c r="CF88" s="29">
        <v>181</v>
      </c>
      <c r="CG88" s="29">
        <v>155</v>
      </c>
      <c r="CH88" s="280">
        <v>149</v>
      </c>
      <c r="CI88" s="2240">
        <v>125</v>
      </c>
      <c r="CJ88" s="2179"/>
      <c r="CK88" s="2179"/>
      <c r="CM88" s="990" t="e">
        <f>HLOOKUP(CN82,CB83:CI96,5,0)</f>
        <v>#N/A</v>
      </c>
      <c r="CN88" s="990" t="e">
        <f t="shared" si="37"/>
        <v>#N/A</v>
      </c>
      <c r="CO88" s="735">
        <v>225</v>
      </c>
      <c r="CP88" s="2179"/>
      <c r="CR88" s="2176"/>
      <c r="CS88" s="2176"/>
      <c r="CV88" s="2266">
        <v>225</v>
      </c>
      <c r="CW88" s="29">
        <v>207</v>
      </c>
      <c r="CX88" s="29">
        <v>190</v>
      </c>
      <c r="CY88" s="29">
        <v>182</v>
      </c>
      <c r="CZ88" s="29">
        <v>166</v>
      </c>
      <c r="DA88" s="29">
        <v>181</v>
      </c>
      <c r="DB88" s="29">
        <v>155</v>
      </c>
      <c r="DC88" s="280">
        <v>149</v>
      </c>
      <c r="DD88" s="2240">
        <v>125</v>
      </c>
      <c r="DE88" s="2179"/>
      <c r="DF88" s="2179"/>
      <c r="DH88" s="990" t="e">
        <f>HLOOKUP(DI82,CW83:DD96,5,0)</f>
        <v>#N/A</v>
      </c>
      <c r="DI88" s="990" t="e">
        <f t="shared" si="38"/>
        <v>#N/A</v>
      </c>
      <c r="DJ88" s="735">
        <v>225</v>
      </c>
      <c r="DK88" s="2179"/>
      <c r="DS88" s="277"/>
      <c r="DW88" s="1"/>
      <c r="DY88" s="280" t="s">
        <v>702</v>
      </c>
      <c r="DZ88" s="735">
        <f>EB88*DZ68</f>
        <v>120000</v>
      </c>
      <c r="EA88" s="734">
        <v>33600</v>
      </c>
      <c r="EB88" s="275">
        <f>380+20</f>
        <v>400</v>
      </c>
      <c r="EC88" s="280"/>
      <c r="ED88" s="277">
        <v>380</v>
      </c>
      <c r="EE88" s="277">
        <v>20</v>
      </c>
      <c r="EO88" s="286"/>
      <c r="EP88" s="286"/>
      <c r="FB88" s="2174"/>
      <c r="FC88" s="2174"/>
      <c r="FF88" s="7">
        <v>250</v>
      </c>
      <c r="FG88" s="29">
        <v>280</v>
      </c>
      <c r="FH88" s="29">
        <v>255</v>
      </c>
      <c r="FI88" s="29">
        <v>245</v>
      </c>
      <c r="FJ88" s="29">
        <v>215</v>
      </c>
      <c r="FK88" s="29">
        <v>195</v>
      </c>
      <c r="FL88" s="29">
        <v>175</v>
      </c>
      <c r="FM88" s="280">
        <v>165</v>
      </c>
      <c r="FN88" s="280">
        <v>135</v>
      </c>
      <c r="FO88" s="990">
        <v>120</v>
      </c>
      <c r="FP88" s="2179"/>
      <c r="FR88" s="990" t="e">
        <f>HLOOKUP(FS82,FG83:FO96,5,0)</f>
        <v>#N/A</v>
      </c>
      <c r="FS88" s="990" t="e">
        <f t="shared" si="39"/>
        <v>#N/A</v>
      </c>
      <c r="FT88" s="735">
        <v>250</v>
      </c>
      <c r="FU88" s="2179"/>
      <c r="FX88" s="2176"/>
      <c r="FY88" s="2176"/>
      <c r="GB88" s="7">
        <v>250</v>
      </c>
      <c r="GC88" s="29">
        <v>280</v>
      </c>
      <c r="GD88" s="29">
        <v>255</v>
      </c>
      <c r="GE88" s="29">
        <v>245</v>
      </c>
      <c r="GF88" s="29">
        <v>215</v>
      </c>
      <c r="GG88" s="29">
        <v>195</v>
      </c>
      <c r="GH88" s="29">
        <v>175</v>
      </c>
      <c r="GI88" s="280">
        <v>165</v>
      </c>
      <c r="GJ88" s="280">
        <v>135</v>
      </c>
      <c r="GK88" s="990">
        <v>120</v>
      </c>
      <c r="GL88" s="2179"/>
      <c r="GN88" s="990" t="e">
        <f>HLOOKUP(GO82,GC83:GK96,5,0)</f>
        <v>#N/A</v>
      </c>
      <c r="GO88" s="990" t="e">
        <f t="shared" si="40"/>
        <v>#N/A</v>
      </c>
      <c r="GP88" s="735">
        <v>250</v>
      </c>
      <c r="GQ88" s="2179"/>
      <c r="GT88" s="2174"/>
      <c r="GW88" s="2266">
        <v>225</v>
      </c>
      <c r="GX88" s="29">
        <v>207</v>
      </c>
      <c r="GY88" s="29">
        <v>190</v>
      </c>
      <c r="GZ88" s="29">
        <v>182</v>
      </c>
      <c r="HA88" s="29">
        <v>166</v>
      </c>
      <c r="HB88" s="29">
        <v>181</v>
      </c>
      <c r="HC88" s="29">
        <v>155</v>
      </c>
      <c r="HD88" s="280">
        <v>149</v>
      </c>
      <c r="HE88" s="2240">
        <v>125</v>
      </c>
      <c r="HF88" s="2179"/>
      <c r="HG88" s="2179"/>
      <c r="HI88" s="990" t="e">
        <f>HLOOKUP(HJ82,GX83:HE96,5,0)</f>
        <v>#N/A</v>
      </c>
      <c r="HJ88" s="990" t="e">
        <f t="shared" si="41"/>
        <v>#N/A</v>
      </c>
      <c r="HK88" s="735">
        <v>225</v>
      </c>
      <c r="HL88" s="2179"/>
      <c r="HN88" s="2176"/>
      <c r="HO88" s="2176"/>
      <c r="HR88" s="2266">
        <v>225</v>
      </c>
      <c r="HS88" s="29">
        <v>207</v>
      </c>
      <c r="HT88" s="29">
        <v>190</v>
      </c>
      <c r="HU88" s="29">
        <v>182</v>
      </c>
      <c r="HV88" s="29">
        <v>166</v>
      </c>
      <c r="HW88" s="29">
        <v>181</v>
      </c>
      <c r="HX88" s="29">
        <v>155</v>
      </c>
      <c r="HY88" s="280">
        <v>149</v>
      </c>
      <c r="HZ88" s="2240">
        <v>125</v>
      </c>
      <c r="IA88" s="2179"/>
      <c r="IB88" s="2179"/>
      <c r="ID88" s="990" t="e">
        <f>HLOOKUP(IE82,HS83:HZ96,5,0)</f>
        <v>#N/A</v>
      </c>
      <c r="IE88" s="990" t="e">
        <f t="shared" si="42"/>
        <v>#N/A</v>
      </c>
      <c r="IF88" s="735">
        <v>225</v>
      </c>
      <c r="IG88" s="2179"/>
      <c r="IN88" s="277"/>
      <c r="IO88" s="277"/>
    </row>
    <row r="89" spans="3:249" ht="21.95" customHeight="1">
      <c r="C89" s="280" t="s">
        <v>703</v>
      </c>
      <c r="D89" s="735">
        <f>F89*D68</f>
        <v>155100</v>
      </c>
      <c r="E89" s="734">
        <v>36750</v>
      </c>
      <c r="F89" s="275">
        <f>490+27</f>
        <v>517</v>
      </c>
      <c r="G89" s="280"/>
      <c r="H89" s="277">
        <v>490</v>
      </c>
      <c r="I89" s="277">
        <v>27</v>
      </c>
      <c r="S89" s="286"/>
      <c r="T89" s="286"/>
      <c r="AF89" s="2174"/>
      <c r="AG89" s="2174"/>
      <c r="AJ89" s="7">
        <v>280</v>
      </c>
      <c r="AK89" s="29">
        <v>400</v>
      </c>
      <c r="AL89" s="29">
        <v>365</v>
      </c>
      <c r="AM89" s="29">
        <v>335</v>
      </c>
      <c r="AN89" s="29">
        <v>300</v>
      </c>
      <c r="AO89" s="29">
        <v>265</v>
      </c>
      <c r="AP89" s="29">
        <v>245</v>
      </c>
      <c r="AQ89" s="280">
        <v>220</v>
      </c>
      <c r="AR89" s="280">
        <v>190</v>
      </c>
      <c r="AS89" s="990">
        <v>170</v>
      </c>
      <c r="AT89" s="2179"/>
      <c r="AV89" s="990" t="e">
        <f>HLOOKUP(AW82,AK83:AS96,6,0)</f>
        <v>#N/A</v>
      </c>
      <c r="AW89" s="990" t="e">
        <f t="shared" si="35"/>
        <v>#N/A</v>
      </c>
      <c r="AX89" s="735">
        <v>280</v>
      </c>
      <c r="AY89" s="2179"/>
      <c r="BB89" s="2176"/>
      <c r="BC89" s="2176"/>
      <c r="BF89" s="7">
        <v>280</v>
      </c>
      <c r="BG89" s="29">
        <v>400</v>
      </c>
      <c r="BH89" s="29">
        <v>365</v>
      </c>
      <c r="BI89" s="29">
        <v>335</v>
      </c>
      <c r="BJ89" s="29">
        <v>300</v>
      </c>
      <c r="BK89" s="29">
        <v>265</v>
      </c>
      <c r="BL89" s="29">
        <v>245</v>
      </c>
      <c r="BM89" s="280">
        <v>220</v>
      </c>
      <c r="BN89" s="280">
        <v>190</v>
      </c>
      <c r="BO89" s="990">
        <v>170</v>
      </c>
      <c r="BP89" s="2179"/>
      <c r="BR89" s="990" t="e">
        <f>HLOOKUP(BS82,BG83:BO96,6,0)</f>
        <v>#N/A</v>
      </c>
      <c r="BS89" s="990" t="e">
        <f t="shared" si="36"/>
        <v>#N/A</v>
      </c>
      <c r="BT89" s="735">
        <v>280</v>
      </c>
      <c r="BU89" s="2179"/>
      <c r="BX89" s="2174"/>
      <c r="CA89" s="2266">
        <v>250</v>
      </c>
      <c r="CB89" s="29">
        <v>274</v>
      </c>
      <c r="CC89" s="29">
        <v>314</v>
      </c>
      <c r="CD89" s="29">
        <v>300</v>
      </c>
      <c r="CE89" s="29">
        <v>270</v>
      </c>
      <c r="CF89" s="29">
        <v>260</v>
      </c>
      <c r="CG89" s="29">
        <v>247</v>
      </c>
      <c r="CH89" s="280">
        <v>235</v>
      </c>
      <c r="CI89" s="2240">
        <v>177</v>
      </c>
      <c r="CJ89" s="2179"/>
      <c r="CK89" s="2179"/>
      <c r="CM89" s="990" t="e">
        <f>HLOOKUP(CN82,CB83:CI96,6,0)</f>
        <v>#N/A</v>
      </c>
      <c r="CN89" s="990" t="e">
        <f t="shared" si="37"/>
        <v>#N/A</v>
      </c>
      <c r="CO89" s="735">
        <v>250</v>
      </c>
      <c r="CP89" s="2179"/>
      <c r="CR89" s="2176"/>
      <c r="CS89" s="2176"/>
      <c r="CV89" s="2266">
        <v>250</v>
      </c>
      <c r="CW89" s="29">
        <v>274</v>
      </c>
      <c r="CX89" s="29">
        <v>314</v>
      </c>
      <c r="CY89" s="29">
        <v>300</v>
      </c>
      <c r="CZ89" s="29">
        <v>270</v>
      </c>
      <c r="DA89" s="29">
        <v>260</v>
      </c>
      <c r="DB89" s="29">
        <v>247</v>
      </c>
      <c r="DC89" s="280">
        <v>235</v>
      </c>
      <c r="DD89" s="2240">
        <v>177</v>
      </c>
      <c r="DE89" s="2179"/>
      <c r="DF89" s="2179"/>
      <c r="DH89" s="990" t="e">
        <f>HLOOKUP(DI82,CW83:DD96,6,0)</f>
        <v>#N/A</v>
      </c>
      <c r="DI89" s="990" t="e">
        <f t="shared" si="38"/>
        <v>#N/A</v>
      </c>
      <c r="DJ89" s="735">
        <v>250</v>
      </c>
      <c r="DK89" s="2179"/>
      <c r="DS89" s="277"/>
      <c r="DW89" s="1"/>
      <c r="DY89" s="280" t="s">
        <v>703</v>
      </c>
      <c r="DZ89" s="735">
        <f>EB89*DZ68</f>
        <v>155100</v>
      </c>
      <c r="EA89" s="734">
        <v>36750</v>
      </c>
      <c r="EB89" s="275">
        <f>490+27</f>
        <v>517</v>
      </c>
      <c r="EC89" s="280"/>
      <c r="ED89" s="277">
        <v>490</v>
      </c>
      <c r="EE89" s="277">
        <v>27</v>
      </c>
      <c r="EO89" s="286"/>
      <c r="EP89" s="286"/>
      <c r="FB89" s="2174"/>
      <c r="FC89" s="2174"/>
      <c r="FF89" s="7">
        <v>280</v>
      </c>
      <c r="FG89" s="29">
        <v>400</v>
      </c>
      <c r="FH89" s="29">
        <v>365</v>
      </c>
      <c r="FI89" s="29">
        <v>335</v>
      </c>
      <c r="FJ89" s="29">
        <v>300</v>
      </c>
      <c r="FK89" s="29">
        <v>265</v>
      </c>
      <c r="FL89" s="29">
        <v>245</v>
      </c>
      <c r="FM89" s="280">
        <v>220</v>
      </c>
      <c r="FN89" s="280">
        <v>190</v>
      </c>
      <c r="FO89" s="990">
        <v>170</v>
      </c>
      <c r="FP89" s="2179"/>
      <c r="FR89" s="990" t="e">
        <f>HLOOKUP(FS82,FG83:FO96,6,0)</f>
        <v>#N/A</v>
      </c>
      <c r="FS89" s="990" t="e">
        <f t="shared" si="39"/>
        <v>#N/A</v>
      </c>
      <c r="FT89" s="735">
        <v>280</v>
      </c>
      <c r="FU89" s="2179"/>
      <c r="FX89" s="2176"/>
      <c r="FY89" s="2176"/>
      <c r="GB89" s="7">
        <v>280</v>
      </c>
      <c r="GC89" s="29">
        <v>400</v>
      </c>
      <c r="GD89" s="29">
        <v>365</v>
      </c>
      <c r="GE89" s="29">
        <v>335</v>
      </c>
      <c r="GF89" s="29">
        <v>300</v>
      </c>
      <c r="GG89" s="29">
        <v>265</v>
      </c>
      <c r="GH89" s="29">
        <v>245</v>
      </c>
      <c r="GI89" s="280">
        <v>220</v>
      </c>
      <c r="GJ89" s="280">
        <v>190</v>
      </c>
      <c r="GK89" s="990">
        <v>170</v>
      </c>
      <c r="GL89" s="2179"/>
      <c r="GN89" s="990" t="e">
        <f>HLOOKUP(GO82,GC83:GK96,6,0)</f>
        <v>#N/A</v>
      </c>
      <c r="GO89" s="990" t="e">
        <f t="shared" si="40"/>
        <v>#N/A</v>
      </c>
      <c r="GP89" s="735">
        <v>280</v>
      </c>
      <c r="GQ89" s="2179"/>
      <c r="GT89" s="2174"/>
      <c r="GW89" s="2266">
        <v>250</v>
      </c>
      <c r="GX89" s="29">
        <v>274</v>
      </c>
      <c r="GY89" s="29">
        <v>314</v>
      </c>
      <c r="GZ89" s="29">
        <v>300</v>
      </c>
      <c r="HA89" s="29">
        <v>270</v>
      </c>
      <c r="HB89" s="29">
        <v>260</v>
      </c>
      <c r="HC89" s="29">
        <v>247</v>
      </c>
      <c r="HD89" s="280">
        <v>235</v>
      </c>
      <c r="HE89" s="2240">
        <v>177</v>
      </c>
      <c r="HF89" s="2179"/>
      <c r="HG89" s="2179"/>
      <c r="HI89" s="990" t="e">
        <f>HLOOKUP(HJ82,GX83:HE96,6,0)</f>
        <v>#N/A</v>
      </c>
      <c r="HJ89" s="990" t="e">
        <f t="shared" si="41"/>
        <v>#N/A</v>
      </c>
      <c r="HK89" s="735">
        <v>250</v>
      </c>
      <c r="HL89" s="2179"/>
      <c r="HN89" s="2176"/>
      <c r="HO89" s="2176"/>
      <c r="HR89" s="2266">
        <v>250</v>
      </c>
      <c r="HS89" s="29">
        <v>274</v>
      </c>
      <c r="HT89" s="29">
        <v>314</v>
      </c>
      <c r="HU89" s="29">
        <v>300</v>
      </c>
      <c r="HV89" s="29">
        <v>270</v>
      </c>
      <c r="HW89" s="29">
        <v>260</v>
      </c>
      <c r="HX89" s="29">
        <v>247</v>
      </c>
      <c r="HY89" s="280">
        <v>235</v>
      </c>
      <c r="HZ89" s="2240">
        <v>177</v>
      </c>
      <c r="IA89" s="2179"/>
      <c r="IB89" s="2179"/>
      <c r="ID89" s="990" t="e">
        <f>HLOOKUP(IE82,HS83:HZ96,6,0)</f>
        <v>#N/A</v>
      </c>
      <c r="IE89" s="990" t="e">
        <f t="shared" si="42"/>
        <v>#N/A</v>
      </c>
      <c r="IF89" s="735">
        <v>250</v>
      </c>
      <c r="IG89" s="2179"/>
      <c r="IN89" s="277"/>
      <c r="IO89" s="277"/>
    </row>
    <row r="90" spans="3:249" ht="21.95" customHeight="1">
      <c r="C90" s="280" t="s">
        <v>704</v>
      </c>
      <c r="D90" s="735">
        <f>F90*D68</f>
        <v>199500</v>
      </c>
      <c r="E90" s="734">
        <v>42000</v>
      </c>
      <c r="F90" s="275">
        <f>630+35</f>
        <v>665</v>
      </c>
      <c r="G90" s="280"/>
      <c r="H90" s="277">
        <v>630</v>
      </c>
      <c r="I90" s="277">
        <v>35</v>
      </c>
      <c r="S90" s="286"/>
      <c r="T90" s="286"/>
      <c r="AF90" s="2174"/>
      <c r="AG90" s="2174"/>
      <c r="AJ90" s="7">
        <v>315</v>
      </c>
      <c r="AK90" s="29">
        <v>560</v>
      </c>
      <c r="AL90" s="29">
        <v>490</v>
      </c>
      <c r="AM90" s="29">
        <v>450</v>
      </c>
      <c r="AN90" s="29">
        <v>430</v>
      </c>
      <c r="AO90" s="29">
        <v>360</v>
      </c>
      <c r="AP90" s="29">
        <v>360</v>
      </c>
      <c r="AQ90" s="280">
        <v>300</v>
      </c>
      <c r="AR90" s="280">
        <v>270</v>
      </c>
      <c r="AS90" s="990">
        <v>250</v>
      </c>
      <c r="AT90" s="2179"/>
      <c r="AV90" s="990" t="e">
        <f>HLOOKUP(AW82,AK83:AS96,7,0)</f>
        <v>#N/A</v>
      </c>
      <c r="AW90" s="990" t="e">
        <f t="shared" si="35"/>
        <v>#N/A</v>
      </c>
      <c r="AX90" s="735">
        <v>315</v>
      </c>
      <c r="AY90" s="2179"/>
      <c r="BB90" s="2176"/>
      <c r="BC90" s="2176"/>
      <c r="BF90" s="7">
        <v>315</v>
      </c>
      <c r="BG90" s="29">
        <v>560</v>
      </c>
      <c r="BH90" s="29">
        <v>490</v>
      </c>
      <c r="BI90" s="29">
        <v>450</v>
      </c>
      <c r="BJ90" s="29">
        <v>430</v>
      </c>
      <c r="BK90" s="29">
        <v>360</v>
      </c>
      <c r="BL90" s="29">
        <v>360</v>
      </c>
      <c r="BM90" s="280">
        <v>300</v>
      </c>
      <c r="BN90" s="280">
        <v>270</v>
      </c>
      <c r="BO90" s="990">
        <v>250</v>
      </c>
      <c r="BP90" s="2179"/>
      <c r="BR90" s="990" t="e">
        <f>HLOOKUP(BS82,BG83:BO96,7,0)</f>
        <v>#N/A</v>
      </c>
      <c r="BS90" s="990" t="e">
        <f t="shared" si="36"/>
        <v>#N/A</v>
      </c>
      <c r="BT90" s="735">
        <v>315</v>
      </c>
      <c r="BU90" s="2179"/>
      <c r="BX90" s="2174"/>
      <c r="CA90" s="2266">
        <v>280</v>
      </c>
      <c r="CB90" s="29">
        <v>452</v>
      </c>
      <c r="CC90" s="29">
        <v>413</v>
      </c>
      <c r="CD90" s="29">
        <v>395</v>
      </c>
      <c r="CE90" s="29">
        <v>360</v>
      </c>
      <c r="CF90" s="29">
        <v>365</v>
      </c>
      <c r="CG90" s="29">
        <v>333</v>
      </c>
      <c r="CH90" s="280">
        <v>307</v>
      </c>
      <c r="CI90" s="2240">
        <v>253</v>
      </c>
      <c r="CJ90" s="2179"/>
      <c r="CK90" s="2179"/>
      <c r="CM90" s="990" t="e">
        <f>HLOOKUP(CN82,CB83:CI96,7,0)</f>
        <v>#N/A</v>
      </c>
      <c r="CN90" s="990" t="e">
        <f t="shared" si="37"/>
        <v>#N/A</v>
      </c>
      <c r="CO90" s="735">
        <v>280</v>
      </c>
      <c r="CP90" s="2179"/>
      <c r="CR90" s="2176"/>
      <c r="CS90" s="2176"/>
      <c r="CV90" s="2266">
        <v>280</v>
      </c>
      <c r="CW90" s="29">
        <v>452</v>
      </c>
      <c r="CX90" s="29">
        <v>413</v>
      </c>
      <c r="CY90" s="29">
        <v>395</v>
      </c>
      <c r="CZ90" s="29">
        <v>360</v>
      </c>
      <c r="DA90" s="29">
        <v>365</v>
      </c>
      <c r="DB90" s="29">
        <v>333</v>
      </c>
      <c r="DC90" s="280">
        <v>307</v>
      </c>
      <c r="DD90" s="2240">
        <v>253</v>
      </c>
      <c r="DE90" s="2179"/>
      <c r="DF90" s="2179"/>
      <c r="DH90" s="990" t="e">
        <f>HLOOKUP(DI82,CW83:DD96,7,0)</f>
        <v>#N/A</v>
      </c>
      <c r="DI90" s="990" t="e">
        <f t="shared" si="38"/>
        <v>#N/A</v>
      </c>
      <c r="DJ90" s="735">
        <v>280</v>
      </c>
      <c r="DK90" s="2179"/>
      <c r="DS90" s="277"/>
      <c r="DW90" s="1"/>
      <c r="DY90" s="280" t="s">
        <v>704</v>
      </c>
      <c r="DZ90" s="735">
        <f>EB90*DZ68</f>
        <v>199500</v>
      </c>
      <c r="EA90" s="734">
        <v>42000</v>
      </c>
      <c r="EB90" s="275">
        <f>630+35</f>
        <v>665</v>
      </c>
      <c r="EC90" s="280"/>
      <c r="ED90" s="277">
        <v>630</v>
      </c>
      <c r="EE90" s="277">
        <v>35</v>
      </c>
      <c r="EO90" s="286"/>
      <c r="EP90" s="286"/>
      <c r="FB90" s="2174"/>
      <c r="FC90" s="2174"/>
      <c r="FF90" s="7">
        <v>315</v>
      </c>
      <c r="FG90" s="29">
        <v>560</v>
      </c>
      <c r="FH90" s="29">
        <v>490</v>
      </c>
      <c r="FI90" s="29">
        <v>450</v>
      </c>
      <c r="FJ90" s="29">
        <v>430</v>
      </c>
      <c r="FK90" s="29">
        <v>360</v>
      </c>
      <c r="FL90" s="29">
        <v>360</v>
      </c>
      <c r="FM90" s="280">
        <v>300</v>
      </c>
      <c r="FN90" s="280">
        <v>270</v>
      </c>
      <c r="FO90" s="990">
        <v>250</v>
      </c>
      <c r="FP90" s="2179"/>
      <c r="FR90" s="990" t="e">
        <f>HLOOKUP(FS82,FG83:FO96,7,0)</f>
        <v>#N/A</v>
      </c>
      <c r="FS90" s="990" t="e">
        <f t="shared" si="39"/>
        <v>#N/A</v>
      </c>
      <c r="FT90" s="735">
        <v>315</v>
      </c>
      <c r="FU90" s="2179"/>
      <c r="FX90" s="2176"/>
      <c r="FY90" s="2176"/>
      <c r="GB90" s="7">
        <v>315</v>
      </c>
      <c r="GC90" s="29">
        <v>560</v>
      </c>
      <c r="GD90" s="29">
        <v>490</v>
      </c>
      <c r="GE90" s="29">
        <v>450</v>
      </c>
      <c r="GF90" s="29">
        <v>430</v>
      </c>
      <c r="GG90" s="29">
        <v>360</v>
      </c>
      <c r="GH90" s="29">
        <v>360</v>
      </c>
      <c r="GI90" s="280">
        <v>300</v>
      </c>
      <c r="GJ90" s="280">
        <v>270</v>
      </c>
      <c r="GK90" s="990">
        <v>250</v>
      </c>
      <c r="GL90" s="2179"/>
      <c r="GN90" s="990" t="e">
        <f>HLOOKUP(GO82,GC83:GK96,7,0)</f>
        <v>#N/A</v>
      </c>
      <c r="GO90" s="990" t="e">
        <f t="shared" si="40"/>
        <v>#N/A</v>
      </c>
      <c r="GP90" s="735">
        <v>315</v>
      </c>
      <c r="GQ90" s="2179"/>
      <c r="GT90" s="2174"/>
      <c r="GW90" s="2266">
        <v>280</v>
      </c>
      <c r="GX90" s="29">
        <v>452</v>
      </c>
      <c r="GY90" s="29">
        <v>413</v>
      </c>
      <c r="GZ90" s="29">
        <v>395</v>
      </c>
      <c r="HA90" s="29">
        <v>360</v>
      </c>
      <c r="HB90" s="29">
        <v>365</v>
      </c>
      <c r="HC90" s="29">
        <v>333</v>
      </c>
      <c r="HD90" s="280">
        <v>307</v>
      </c>
      <c r="HE90" s="2240">
        <v>253</v>
      </c>
      <c r="HF90" s="2179"/>
      <c r="HG90" s="2179"/>
      <c r="HI90" s="990" t="e">
        <f>HLOOKUP(HJ82,GX83:HE96,7,0)</f>
        <v>#N/A</v>
      </c>
      <c r="HJ90" s="990" t="e">
        <f t="shared" si="41"/>
        <v>#N/A</v>
      </c>
      <c r="HK90" s="735">
        <v>280</v>
      </c>
      <c r="HL90" s="2179"/>
      <c r="HN90" s="2176"/>
      <c r="HO90" s="2176"/>
      <c r="HR90" s="2266">
        <v>280</v>
      </c>
      <c r="HS90" s="29">
        <v>452</v>
      </c>
      <c r="HT90" s="29">
        <v>413</v>
      </c>
      <c r="HU90" s="29">
        <v>395</v>
      </c>
      <c r="HV90" s="29">
        <v>360</v>
      </c>
      <c r="HW90" s="29">
        <v>365</v>
      </c>
      <c r="HX90" s="29">
        <v>333</v>
      </c>
      <c r="HY90" s="280">
        <v>307</v>
      </c>
      <c r="HZ90" s="2240">
        <v>253</v>
      </c>
      <c r="IA90" s="2179"/>
      <c r="IB90" s="2179"/>
      <c r="ID90" s="990" t="e">
        <f>HLOOKUP(IE82,HS83:HZ96,7,0)</f>
        <v>#N/A</v>
      </c>
      <c r="IE90" s="990" t="e">
        <f t="shared" si="42"/>
        <v>#N/A</v>
      </c>
      <c r="IF90" s="735">
        <v>280</v>
      </c>
      <c r="IG90" s="2179"/>
      <c r="IN90" s="277"/>
      <c r="IO90" s="277"/>
    </row>
    <row r="91" spans="3:249" ht="21.95" customHeight="1">
      <c r="C91" s="280" t="s">
        <v>705</v>
      </c>
      <c r="D91" s="735">
        <f>F91*D68</f>
        <v>270000</v>
      </c>
      <c r="E91" s="734">
        <v>52500</v>
      </c>
      <c r="F91" s="275">
        <f>850+50</f>
        <v>900</v>
      </c>
      <c r="G91" s="280"/>
      <c r="H91" s="277">
        <v>850</v>
      </c>
      <c r="I91" s="277">
        <v>50</v>
      </c>
      <c r="S91" s="286"/>
      <c r="T91" s="286"/>
      <c r="AF91" s="2174"/>
      <c r="AG91" s="2174"/>
      <c r="AJ91" s="7">
        <v>355</v>
      </c>
      <c r="AK91" s="29">
        <v>800</v>
      </c>
      <c r="AL91" s="29">
        <v>720</v>
      </c>
      <c r="AM91" s="29">
        <v>680</v>
      </c>
      <c r="AN91" s="29">
        <v>620</v>
      </c>
      <c r="AO91" s="29">
        <v>540</v>
      </c>
      <c r="AP91" s="29">
        <v>500</v>
      </c>
      <c r="AQ91" s="280">
        <v>450</v>
      </c>
      <c r="AR91" s="280">
        <v>390</v>
      </c>
      <c r="AS91" s="990">
        <v>350</v>
      </c>
      <c r="AT91" s="2179"/>
      <c r="AV91" s="990" t="e">
        <f>HLOOKUP(AW82,AK83:AS96,8,0)</f>
        <v>#N/A</v>
      </c>
      <c r="AW91" s="990" t="e">
        <f t="shared" si="35"/>
        <v>#N/A</v>
      </c>
      <c r="AX91" s="735">
        <v>355</v>
      </c>
      <c r="AY91" s="2179"/>
      <c r="BB91" s="2176"/>
      <c r="BC91" s="2176"/>
      <c r="BF91" s="7">
        <v>355</v>
      </c>
      <c r="BG91" s="29">
        <v>800</v>
      </c>
      <c r="BH91" s="29">
        <v>720</v>
      </c>
      <c r="BI91" s="29">
        <v>680</v>
      </c>
      <c r="BJ91" s="29">
        <v>620</v>
      </c>
      <c r="BK91" s="29">
        <v>540</v>
      </c>
      <c r="BL91" s="29">
        <v>500</v>
      </c>
      <c r="BM91" s="280">
        <v>450</v>
      </c>
      <c r="BN91" s="280">
        <v>390</v>
      </c>
      <c r="BO91" s="990">
        <v>350</v>
      </c>
      <c r="BP91" s="2179"/>
      <c r="BR91" s="990" t="e">
        <f>HLOOKUP(BS82,BG83:BO96,8,0)</f>
        <v>#N/A</v>
      </c>
      <c r="BS91" s="990" t="e">
        <f t="shared" si="36"/>
        <v>#N/A</v>
      </c>
      <c r="BT91" s="735">
        <v>355</v>
      </c>
      <c r="BU91" s="2179"/>
      <c r="BX91" s="2174"/>
      <c r="CA91" s="2266">
        <v>315</v>
      </c>
      <c r="CB91" s="29">
        <v>605</v>
      </c>
      <c r="CC91" s="29">
        <v>550</v>
      </c>
      <c r="CD91" s="29">
        <v>525</v>
      </c>
      <c r="CE91" s="29">
        <v>498</v>
      </c>
      <c r="CF91" s="29">
        <v>468</v>
      </c>
      <c r="CG91" s="29">
        <v>439</v>
      </c>
      <c r="CH91" s="280">
        <v>420</v>
      </c>
      <c r="CI91" s="2240">
        <v>339</v>
      </c>
      <c r="CJ91" s="2179"/>
      <c r="CK91" s="2179"/>
      <c r="CM91" s="990" t="e">
        <f>HLOOKUP(CN82,CB83:CI96,8,0)</f>
        <v>#N/A</v>
      </c>
      <c r="CN91" s="990" t="e">
        <f t="shared" si="37"/>
        <v>#N/A</v>
      </c>
      <c r="CO91" s="735">
        <v>315</v>
      </c>
      <c r="CP91" s="2179"/>
      <c r="CR91" s="2176"/>
      <c r="CS91" s="2176"/>
      <c r="CV91" s="2266">
        <v>315</v>
      </c>
      <c r="CW91" s="29">
        <v>605</v>
      </c>
      <c r="CX91" s="29">
        <v>550</v>
      </c>
      <c r="CY91" s="29">
        <v>525</v>
      </c>
      <c r="CZ91" s="29">
        <v>498</v>
      </c>
      <c r="DA91" s="29">
        <v>468</v>
      </c>
      <c r="DB91" s="29">
        <v>439</v>
      </c>
      <c r="DC91" s="280">
        <v>420</v>
      </c>
      <c r="DD91" s="2240">
        <v>339</v>
      </c>
      <c r="DE91" s="2179"/>
      <c r="DF91" s="2179"/>
      <c r="DH91" s="990" t="e">
        <f>HLOOKUP(DI82,CW83:DD96,8,0)</f>
        <v>#N/A</v>
      </c>
      <c r="DI91" s="990" t="e">
        <f t="shared" si="38"/>
        <v>#N/A</v>
      </c>
      <c r="DJ91" s="735">
        <v>315</v>
      </c>
      <c r="DK91" s="2179"/>
      <c r="DS91" s="277"/>
      <c r="DW91" s="1"/>
      <c r="DY91" s="280" t="s">
        <v>705</v>
      </c>
      <c r="DZ91" s="735">
        <f>EB91*DZ68</f>
        <v>270000</v>
      </c>
      <c r="EA91" s="734">
        <v>52500</v>
      </c>
      <c r="EB91" s="275">
        <f>850+50</f>
        <v>900</v>
      </c>
      <c r="EC91" s="280"/>
      <c r="ED91" s="277">
        <v>850</v>
      </c>
      <c r="EE91" s="277">
        <v>50</v>
      </c>
      <c r="EO91" s="286"/>
      <c r="EP91" s="286"/>
      <c r="FB91" s="2174"/>
      <c r="FC91" s="2174"/>
      <c r="FF91" s="7">
        <v>355</v>
      </c>
      <c r="FG91" s="29">
        <v>800</v>
      </c>
      <c r="FH91" s="29">
        <v>720</v>
      </c>
      <c r="FI91" s="29">
        <v>680</v>
      </c>
      <c r="FJ91" s="29">
        <v>620</v>
      </c>
      <c r="FK91" s="29">
        <v>540</v>
      </c>
      <c r="FL91" s="29">
        <v>500</v>
      </c>
      <c r="FM91" s="280">
        <v>450</v>
      </c>
      <c r="FN91" s="280">
        <v>390</v>
      </c>
      <c r="FO91" s="990">
        <v>350</v>
      </c>
      <c r="FP91" s="2179"/>
      <c r="FR91" s="990" t="e">
        <f>HLOOKUP(FS82,FG83:FO96,8,0)</f>
        <v>#N/A</v>
      </c>
      <c r="FS91" s="990" t="e">
        <f t="shared" si="39"/>
        <v>#N/A</v>
      </c>
      <c r="FT91" s="735">
        <v>355</v>
      </c>
      <c r="FU91" s="2179"/>
      <c r="FX91" s="2176"/>
      <c r="FY91" s="2176"/>
      <c r="GB91" s="7">
        <v>355</v>
      </c>
      <c r="GC91" s="29">
        <v>800</v>
      </c>
      <c r="GD91" s="29">
        <v>720</v>
      </c>
      <c r="GE91" s="29">
        <v>680</v>
      </c>
      <c r="GF91" s="29">
        <v>620</v>
      </c>
      <c r="GG91" s="29">
        <v>540</v>
      </c>
      <c r="GH91" s="29">
        <v>500</v>
      </c>
      <c r="GI91" s="280">
        <v>450</v>
      </c>
      <c r="GJ91" s="280">
        <v>390</v>
      </c>
      <c r="GK91" s="990">
        <v>350</v>
      </c>
      <c r="GL91" s="2179"/>
      <c r="GN91" s="990" t="e">
        <f>HLOOKUP(GO82,GC83:GK96,8,0)</f>
        <v>#N/A</v>
      </c>
      <c r="GO91" s="990" t="e">
        <f t="shared" si="40"/>
        <v>#N/A</v>
      </c>
      <c r="GP91" s="735">
        <v>355</v>
      </c>
      <c r="GQ91" s="2179"/>
      <c r="GT91" s="2174"/>
      <c r="GW91" s="2266">
        <v>315</v>
      </c>
      <c r="GX91" s="29">
        <v>605</v>
      </c>
      <c r="GY91" s="29">
        <v>550</v>
      </c>
      <c r="GZ91" s="29">
        <v>525</v>
      </c>
      <c r="HA91" s="29">
        <v>498</v>
      </c>
      <c r="HB91" s="29">
        <v>468</v>
      </c>
      <c r="HC91" s="29">
        <v>439</v>
      </c>
      <c r="HD91" s="280">
        <v>420</v>
      </c>
      <c r="HE91" s="2240">
        <v>339</v>
      </c>
      <c r="HF91" s="2179"/>
      <c r="HG91" s="2179"/>
      <c r="HI91" s="990" t="e">
        <f>HLOOKUP(HJ82,GX83:HE96,8,0)</f>
        <v>#N/A</v>
      </c>
      <c r="HJ91" s="990" t="e">
        <f t="shared" si="41"/>
        <v>#N/A</v>
      </c>
      <c r="HK91" s="735">
        <v>315</v>
      </c>
      <c r="HL91" s="2179"/>
      <c r="HN91" s="2176"/>
      <c r="HO91" s="2176"/>
      <c r="HR91" s="2266">
        <v>315</v>
      </c>
      <c r="HS91" s="29">
        <v>605</v>
      </c>
      <c r="HT91" s="29">
        <v>550</v>
      </c>
      <c r="HU91" s="29">
        <v>525</v>
      </c>
      <c r="HV91" s="29">
        <v>498</v>
      </c>
      <c r="HW91" s="29">
        <v>468</v>
      </c>
      <c r="HX91" s="29">
        <v>439</v>
      </c>
      <c r="HY91" s="280">
        <v>420</v>
      </c>
      <c r="HZ91" s="2240">
        <v>339</v>
      </c>
      <c r="IA91" s="2179"/>
      <c r="IB91" s="2179"/>
      <c r="ID91" s="990" t="e">
        <f>HLOOKUP(IE82,HS83:HZ96,8,0)</f>
        <v>#N/A</v>
      </c>
      <c r="IE91" s="990" t="e">
        <f t="shared" si="42"/>
        <v>#N/A</v>
      </c>
      <c r="IF91" s="735">
        <v>315</v>
      </c>
      <c r="IG91" s="2179"/>
      <c r="IN91" s="277"/>
      <c r="IO91" s="277"/>
    </row>
    <row r="92" spans="3:249" ht="21.95" customHeight="1">
      <c r="C92" s="280" t="s">
        <v>708</v>
      </c>
      <c r="D92" s="735">
        <f>F92*D68</f>
        <v>366000</v>
      </c>
      <c r="E92" s="734">
        <v>57750</v>
      </c>
      <c r="F92" s="275">
        <f>1150+70</f>
        <v>1220</v>
      </c>
      <c r="G92" s="280"/>
      <c r="H92" s="277">
        <v>1150</v>
      </c>
      <c r="I92" s="277">
        <v>70</v>
      </c>
      <c r="S92" s="286"/>
      <c r="T92" s="286"/>
      <c r="AF92" s="2174"/>
      <c r="AG92" s="2174"/>
      <c r="AJ92" s="7">
        <v>400</v>
      </c>
      <c r="AK92" s="29">
        <v>1100</v>
      </c>
      <c r="AL92" s="29">
        <v>1000</v>
      </c>
      <c r="AM92" s="29">
        <v>950</v>
      </c>
      <c r="AN92" s="29">
        <v>800</v>
      </c>
      <c r="AO92" s="29">
        <v>750</v>
      </c>
      <c r="AP92" s="29">
        <v>680</v>
      </c>
      <c r="AQ92" s="280">
        <v>600</v>
      </c>
      <c r="AR92" s="280">
        <v>500</v>
      </c>
      <c r="AS92" s="990">
        <v>460</v>
      </c>
      <c r="AT92" s="2179"/>
      <c r="AV92" s="990" t="e">
        <f>HLOOKUP(AW82,AK83:AS96,9,0)</f>
        <v>#N/A</v>
      </c>
      <c r="AW92" s="990" t="e">
        <f t="shared" si="35"/>
        <v>#N/A</v>
      </c>
      <c r="AX92" s="735">
        <v>400</v>
      </c>
      <c r="AY92" s="2179"/>
      <c r="BB92" s="2176"/>
      <c r="BC92" s="2176"/>
      <c r="BF92" s="7">
        <v>400</v>
      </c>
      <c r="BG92" s="29">
        <v>1100</v>
      </c>
      <c r="BH92" s="29">
        <v>1000</v>
      </c>
      <c r="BI92" s="29">
        <v>950</v>
      </c>
      <c r="BJ92" s="29">
        <v>800</v>
      </c>
      <c r="BK92" s="29">
        <v>750</v>
      </c>
      <c r="BL92" s="29">
        <v>680</v>
      </c>
      <c r="BM92" s="280">
        <v>600</v>
      </c>
      <c r="BN92" s="280">
        <v>500</v>
      </c>
      <c r="BO92" s="990">
        <v>460</v>
      </c>
      <c r="BP92" s="2179"/>
      <c r="BR92" s="990" t="e">
        <f>HLOOKUP(BS82,BG83:BO96,9,0)</f>
        <v>#N/A</v>
      </c>
      <c r="BS92" s="990" t="e">
        <f t="shared" si="36"/>
        <v>#N/A</v>
      </c>
      <c r="BT92" s="735">
        <v>400</v>
      </c>
      <c r="BU92" s="2179"/>
      <c r="BX92" s="2174"/>
      <c r="CA92" s="2266">
        <v>355</v>
      </c>
      <c r="CB92" s="29">
        <v>766</v>
      </c>
      <c r="CC92" s="29">
        <v>722</v>
      </c>
      <c r="CD92" s="29">
        <v>722</v>
      </c>
      <c r="CE92" s="29">
        <v>652</v>
      </c>
      <c r="CF92" s="29">
        <v>667</v>
      </c>
      <c r="CG92" s="29">
        <v>621</v>
      </c>
      <c r="CH92" s="280">
        <v>531</v>
      </c>
      <c r="CI92" s="2240">
        <v>496</v>
      </c>
      <c r="CJ92" s="2179"/>
      <c r="CK92" s="2179"/>
      <c r="CM92" s="990" t="e">
        <f>HLOOKUP(CN82,CB83:CI96,9,0)</f>
        <v>#N/A</v>
      </c>
      <c r="CN92" s="990" t="e">
        <f t="shared" si="37"/>
        <v>#N/A</v>
      </c>
      <c r="CO92" s="735">
        <v>355</v>
      </c>
      <c r="CP92" s="2179"/>
      <c r="CR92" s="2176"/>
      <c r="CS92" s="2176"/>
      <c r="CV92" s="2266">
        <v>355</v>
      </c>
      <c r="CW92" s="29">
        <v>766</v>
      </c>
      <c r="CX92" s="29">
        <v>722</v>
      </c>
      <c r="CY92" s="29">
        <v>722</v>
      </c>
      <c r="CZ92" s="29">
        <v>652</v>
      </c>
      <c r="DA92" s="29">
        <v>667</v>
      </c>
      <c r="DB92" s="29">
        <v>621</v>
      </c>
      <c r="DC92" s="280">
        <v>531</v>
      </c>
      <c r="DD92" s="2240">
        <v>496</v>
      </c>
      <c r="DE92" s="2179"/>
      <c r="DF92" s="2179"/>
      <c r="DH92" s="990" t="e">
        <f>HLOOKUP(DI82,CW83:DD96,9,0)</f>
        <v>#N/A</v>
      </c>
      <c r="DI92" s="990" t="e">
        <f t="shared" si="38"/>
        <v>#N/A</v>
      </c>
      <c r="DJ92" s="735">
        <v>355</v>
      </c>
      <c r="DK92" s="2179"/>
      <c r="DS92" s="277"/>
      <c r="DW92" s="1"/>
      <c r="DY92" s="280" t="s">
        <v>708</v>
      </c>
      <c r="DZ92" s="735">
        <f>EB92*DZ68</f>
        <v>366000</v>
      </c>
      <c r="EA92" s="734">
        <v>57750</v>
      </c>
      <c r="EB92" s="275">
        <f>1150+70</f>
        <v>1220</v>
      </c>
      <c r="EC92" s="280"/>
      <c r="ED92" s="277">
        <v>1150</v>
      </c>
      <c r="EE92" s="277">
        <v>70</v>
      </c>
      <c r="EO92" s="286"/>
      <c r="EP92" s="286"/>
      <c r="FB92" s="2174"/>
      <c r="FC92" s="2174"/>
      <c r="FF92" s="7">
        <v>400</v>
      </c>
      <c r="FG92" s="29">
        <v>1100</v>
      </c>
      <c r="FH92" s="29">
        <v>1000</v>
      </c>
      <c r="FI92" s="29">
        <v>950</v>
      </c>
      <c r="FJ92" s="29">
        <v>800</v>
      </c>
      <c r="FK92" s="29">
        <v>750</v>
      </c>
      <c r="FL92" s="29">
        <v>680</v>
      </c>
      <c r="FM92" s="280">
        <v>600</v>
      </c>
      <c r="FN92" s="280">
        <v>500</v>
      </c>
      <c r="FO92" s="990">
        <v>460</v>
      </c>
      <c r="FP92" s="2179"/>
      <c r="FR92" s="990" t="e">
        <f>HLOOKUP(FS82,FG83:FO96,9,0)</f>
        <v>#N/A</v>
      </c>
      <c r="FS92" s="990" t="e">
        <f t="shared" si="39"/>
        <v>#N/A</v>
      </c>
      <c r="FT92" s="735">
        <v>400</v>
      </c>
      <c r="FU92" s="2179"/>
      <c r="FX92" s="2176"/>
      <c r="FY92" s="2176"/>
      <c r="GB92" s="7">
        <v>400</v>
      </c>
      <c r="GC92" s="29">
        <v>1100</v>
      </c>
      <c r="GD92" s="29">
        <v>1000</v>
      </c>
      <c r="GE92" s="29">
        <v>950</v>
      </c>
      <c r="GF92" s="29">
        <v>800</v>
      </c>
      <c r="GG92" s="29">
        <v>750</v>
      </c>
      <c r="GH92" s="29">
        <v>680</v>
      </c>
      <c r="GI92" s="280">
        <v>600</v>
      </c>
      <c r="GJ92" s="280">
        <v>500</v>
      </c>
      <c r="GK92" s="990">
        <v>460</v>
      </c>
      <c r="GL92" s="2179"/>
      <c r="GN92" s="990" t="e">
        <f>HLOOKUP(GO82,GC83:GK96,9,0)</f>
        <v>#N/A</v>
      </c>
      <c r="GO92" s="990" t="e">
        <f t="shared" si="40"/>
        <v>#N/A</v>
      </c>
      <c r="GP92" s="735">
        <v>400</v>
      </c>
      <c r="GQ92" s="2179"/>
      <c r="GT92" s="2174"/>
      <c r="GW92" s="2266">
        <v>355</v>
      </c>
      <c r="GX92" s="29">
        <v>766</v>
      </c>
      <c r="GY92" s="29">
        <v>722</v>
      </c>
      <c r="GZ92" s="29">
        <v>722</v>
      </c>
      <c r="HA92" s="29">
        <v>652</v>
      </c>
      <c r="HB92" s="29">
        <v>667</v>
      </c>
      <c r="HC92" s="29">
        <v>621</v>
      </c>
      <c r="HD92" s="280">
        <v>531</v>
      </c>
      <c r="HE92" s="2240">
        <v>496</v>
      </c>
      <c r="HF92" s="2179"/>
      <c r="HG92" s="2179"/>
      <c r="HI92" s="990" t="e">
        <f>HLOOKUP(HJ82,GX83:HE96,9,0)</f>
        <v>#N/A</v>
      </c>
      <c r="HJ92" s="990" t="e">
        <f t="shared" si="41"/>
        <v>#N/A</v>
      </c>
      <c r="HK92" s="735">
        <v>355</v>
      </c>
      <c r="HL92" s="2179"/>
      <c r="HN92" s="2176"/>
      <c r="HO92" s="2176"/>
      <c r="HR92" s="2266">
        <v>355</v>
      </c>
      <c r="HS92" s="29">
        <v>766</v>
      </c>
      <c r="HT92" s="29">
        <v>722</v>
      </c>
      <c r="HU92" s="29">
        <v>722</v>
      </c>
      <c r="HV92" s="29">
        <v>652</v>
      </c>
      <c r="HW92" s="29">
        <v>667</v>
      </c>
      <c r="HX92" s="29">
        <v>621</v>
      </c>
      <c r="HY92" s="280">
        <v>531</v>
      </c>
      <c r="HZ92" s="2240">
        <v>496</v>
      </c>
      <c r="IA92" s="2179"/>
      <c r="IB92" s="2179"/>
      <c r="ID92" s="990" t="e">
        <f>HLOOKUP(IE82,HS83:HZ96,9,0)</f>
        <v>#N/A</v>
      </c>
      <c r="IE92" s="990" t="e">
        <f t="shared" si="42"/>
        <v>#N/A</v>
      </c>
      <c r="IF92" s="735">
        <v>355</v>
      </c>
      <c r="IG92" s="2179"/>
      <c r="IN92" s="277"/>
      <c r="IO92" s="277"/>
    </row>
    <row r="93" spans="3:249" ht="21.95" customHeight="1">
      <c r="C93" s="280" t="s">
        <v>709</v>
      </c>
      <c r="D93" s="735">
        <f>F93*D68</f>
        <v>487500</v>
      </c>
      <c r="E93" s="734">
        <v>73500</v>
      </c>
      <c r="F93" s="275">
        <f>1525+100</f>
        <v>1625</v>
      </c>
      <c r="G93" s="280"/>
      <c r="H93" s="277">
        <v>1525</v>
      </c>
      <c r="I93" s="277">
        <v>100</v>
      </c>
      <c r="S93" s="286"/>
      <c r="T93" s="286"/>
      <c r="AF93" s="2174"/>
      <c r="AG93" s="2174"/>
      <c r="AJ93" s="7">
        <v>450</v>
      </c>
      <c r="AK93" s="29">
        <v>1520</v>
      </c>
      <c r="AL93" s="29">
        <v>1400</v>
      </c>
      <c r="AM93" s="29">
        <v>1270</v>
      </c>
      <c r="AN93" s="29">
        <v>1120</v>
      </c>
      <c r="AO93" s="29">
        <v>1000</v>
      </c>
      <c r="AP93" s="29">
        <v>940</v>
      </c>
      <c r="AQ93" s="280">
        <v>850</v>
      </c>
      <c r="AR93" s="280">
        <v>700</v>
      </c>
      <c r="AS93" s="990">
        <v>640</v>
      </c>
      <c r="AT93" s="2179"/>
      <c r="AV93" s="990" t="e">
        <f>HLOOKUP(AW82,AK83:AS96,10,0)</f>
        <v>#N/A</v>
      </c>
      <c r="AW93" s="990" t="e">
        <f t="shared" si="35"/>
        <v>#N/A</v>
      </c>
      <c r="AX93" s="735">
        <v>450</v>
      </c>
      <c r="AY93" s="2179"/>
      <c r="BB93" s="2176"/>
      <c r="BC93" s="2176"/>
      <c r="BF93" s="7">
        <v>450</v>
      </c>
      <c r="BG93" s="29">
        <v>1520</v>
      </c>
      <c r="BH93" s="29">
        <v>1400</v>
      </c>
      <c r="BI93" s="29">
        <v>1270</v>
      </c>
      <c r="BJ93" s="29">
        <v>1120</v>
      </c>
      <c r="BK93" s="29">
        <v>1000</v>
      </c>
      <c r="BL93" s="29">
        <v>940</v>
      </c>
      <c r="BM93" s="280">
        <v>850</v>
      </c>
      <c r="BN93" s="280">
        <v>700</v>
      </c>
      <c r="BO93" s="990">
        <v>640</v>
      </c>
      <c r="BP93" s="2179"/>
      <c r="BR93" s="990" t="e">
        <f>HLOOKUP(BS82,BG83:BO96,10,0)</f>
        <v>#N/A</v>
      </c>
      <c r="BS93" s="990" t="e">
        <f t="shared" si="36"/>
        <v>#N/A</v>
      </c>
      <c r="BT93" s="735">
        <v>450</v>
      </c>
      <c r="BU93" s="2179"/>
      <c r="BX93" s="2174"/>
      <c r="CA93" s="2266">
        <v>400</v>
      </c>
      <c r="CB93" s="29">
        <v>1073</v>
      </c>
      <c r="CC93" s="29">
        <v>993</v>
      </c>
      <c r="CD93" s="29">
        <v>993</v>
      </c>
      <c r="CE93" s="29">
        <v>933</v>
      </c>
      <c r="CF93" s="29">
        <v>871</v>
      </c>
      <c r="CG93" s="29">
        <v>799</v>
      </c>
      <c r="CH93" s="280">
        <v>719</v>
      </c>
      <c r="CI93" s="2240">
        <v>632</v>
      </c>
      <c r="CJ93" s="2179"/>
      <c r="CK93" s="2179"/>
      <c r="CM93" s="990" t="e">
        <f>HLOOKUP(CN82,CB83:CI96,10,0)</f>
        <v>#N/A</v>
      </c>
      <c r="CN93" s="990" t="e">
        <f t="shared" si="37"/>
        <v>#N/A</v>
      </c>
      <c r="CO93" s="735">
        <v>400</v>
      </c>
      <c r="CP93" s="2179"/>
      <c r="CR93" s="2176"/>
      <c r="CS93" s="2176"/>
      <c r="CV93" s="2266">
        <v>400</v>
      </c>
      <c r="CW93" s="29">
        <v>1073</v>
      </c>
      <c r="CX93" s="29">
        <v>993</v>
      </c>
      <c r="CY93" s="29">
        <v>993</v>
      </c>
      <c r="CZ93" s="29">
        <v>933</v>
      </c>
      <c r="DA93" s="29">
        <v>871</v>
      </c>
      <c r="DB93" s="29">
        <v>799</v>
      </c>
      <c r="DC93" s="280">
        <v>719</v>
      </c>
      <c r="DD93" s="2240">
        <v>632</v>
      </c>
      <c r="DE93" s="2179"/>
      <c r="DF93" s="2179"/>
      <c r="DH93" s="990" t="e">
        <f>HLOOKUP(DI82,CW83:DD96,10,0)</f>
        <v>#N/A</v>
      </c>
      <c r="DI93" s="990" t="e">
        <f t="shared" si="38"/>
        <v>#N/A</v>
      </c>
      <c r="DJ93" s="735">
        <v>400</v>
      </c>
      <c r="DK93" s="2179"/>
      <c r="DS93" s="277"/>
      <c r="DW93" s="1"/>
      <c r="DY93" s="280" t="s">
        <v>709</v>
      </c>
      <c r="DZ93" s="735">
        <f>EB93*DZ68</f>
        <v>487500</v>
      </c>
      <c r="EA93" s="734">
        <v>73500</v>
      </c>
      <c r="EB93" s="275">
        <f>1525+100</f>
        <v>1625</v>
      </c>
      <c r="EC93" s="280"/>
      <c r="ED93" s="277">
        <v>1525</v>
      </c>
      <c r="EE93" s="277">
        <v>100</v>
      </c>
      <c r="EO93" s="286"/>
      <c r="EP93" s="286"/>
      <c r="FB93" s="2174"/>
      <c r="FC93" s="2174"/>
      <c r="FF93" s="7">
        <v>450</v>
      </c>
      <c r="FG93" s="29">
        <v>1520</v>
      </c>
      <c r="FH93" s="29">
        <v>1400</v>
      </c>
      <c r="FI93" s="29">
        <v>1270</v>
      </c>
      <c r="FJ93" s="29">
        <v>1120</v>
      </c>
      <c r="FK93" s="29">
        <v>1000</v>
      </c>
      <c r="FL93" s="29">
        <v>940</v>
      </c>
      <c r="FM93" s="280">
        <v>850</v>
      </c>
      <c r="FN93" s="280">
        <v>700</v>
      </c>
      <c r="FO93" s="990">
        <v>640</v>
      </c>
      <c r="FP93" s="2179"/>
      <c r="FR93" s="990" t="e">
        <f>HLOOKUP(FS82,FG83:FO96,10,0)</f>
        <v>#N/A</v>
      </c>
      <c r="FS93" s="990" t="e">
        <f t="shared" si="39"/>
        <v>#N/A</v>
      </c>
      <c r="FT93" s="735">
        <v>450</v>
      </c>
      <c r="FU93" s="2179"/>
      <c r="FX93" s="2176"/>
      <c r="FY93" s="2176"/>
      <c r="GB93" s="7">
        <v>450</v>
      </c>
      <c r="GC93" s="29">
        <v>1520</v>
      </c>
      <c r="GD93" s="29">
        <v>1400</v>
      </c>
      <c r="GE93" s="29">
        <v>1270</v>
      </c>
      <c r="GF93" s="29">
        <v>1120</v>
      </c>
      <c r="GG93" s="29">
        <v>1000</v>
      </c>
      <c r="GH93" s="29">
        <v>940</v>
      </c>
      <c r="GI93" s="280">
        <v>850</v>
      </c>
      <c r="GJ93" s="280">
        <v>700</v>
      </c>
      <c r="GK93" s="990">
        <v>640</v>
      </c>
      <c r="GL93" s="2179"/>
      <c r="GN93" s="990" t="e">
        <f>HLOOKUP(GO82,GC83:GK96,10,0)</f>
        <v>#N/A</v>
      </c>
      <c r="GO93" s="990" t="e">
        <f t="shared" si="40"/>
        <v>#N/A</v>
      </c>
      <c r="GP93" s="735">
        <v>450</v>
      </c>
      <c r="GQ93" s="2179"/>
      <c r="GT93" s="2174"/>
      <c r="GW93" s="2266">
        <v>400</v>
      </c>
      <c r="GX93" s="29">
        <v>1073</v>
      </c>
      <c r="GY93" s="29">
        <v>993</v>
      </c>
      <c r="GZ93" s="29">
        <v>993</v>
      </c>
      <c r="HA93" s="29">
        <v>933</v>
      </c>
      <c r="HB93" s="29">
        <v>871</v>
      </c>
      <c r="HC93" s="29">
        <v>799</v>
      </c>
      <c r="HD93" s="280">
        <v>719</v>
      </c>
      <c r="HE93" s="2240">
        <v>632</v>
      </c>
      <c r="HF93" s="2179"/>
      <c r="HG93" s="2179"/>
      <c r="HI93" s="990" t="e">
        <f>HLOOKUP(HJ82,GX83:HE96,10,0)</f>
        <v>#N/A</v>
      </c>
      <c r="HJ93" s="990" t="e">
        <f t="shared" si="41"/>
        <v>#N/A</v>
      </c>
      <c r="HK93" s="735">
        <v>400</v>
      </c>
      <c r="HL93" s="2179"/>
      <c r="HN93" s="2176"/>
      <c r="HO93" s="2176"/>
      <c r="HR93" s="2266">
        <v>400</v>
      </c>
      <c r="HS93" s="29">
        <v>1073</v>
      </c>
      <c r="HT93" s="29">
        <v>993</v>
      </c>
      <c r="HU93" s="29">
        <v>993</v>
      </c>
      <c r="HV93" s="29">
        <v>933</v>
      </c>
      <c r="HW93" s="29">
        <v>871</v>
      </c>
      <c r="HX93" s="29">
        <v>799</v>
      </c>
      <c r="HY93" s="280">
        <v>719</v>
      </c>
      <c r="HZ93" s="2240">
        <v>632</v>
      </c>
      <c r="IA93" s="2179"/>
      <c r="IB93" s="2179"/>
      <c r="ID93" s="990" t="e">
        <f>HLOOKUP(IE82,HS83:HZ96,10,0)</f>
        <v>#N/A</v>
      </c>
      <c r="IE93" s="990" t="e">
        <f t="shared" si="42"/>
        <v>#N/A</v>
      </c>
      <c r="IF93" s="735">
        <v>400</v>
      </c>
      <c r="IG93" s="2179"/>
      <c r="IN93" s="277"/>
      <c r="IO93" s="277"/>
    </row>
    <row r="94" spans="3:249" ht="21.95" customHeight="1">
      <c r="C94" s="280" t="s">
        <v>710</v>
      </c>
      <c r="D94" s="735">
        <f>F94*D68</f>
        <v>666000</v>
      </c>
      <c r="E94" s="734">
        <f>+E93*1.05</f>
        <v>77175</v>
      </c>
      <c r="F94" s="275">
        <f>2080+140</f>
        <v>2220</v>
      </c>
      <c r="G94" s="280"/>
      <c r="H94" s="277">
        <v>2080</v>
      </c>
      <c r="I94" s="277">
        <v>140</v>
      </c>
      <c r="S94" s="286"/>
      <c r="T94" s="286"/>
      <c r="AF94" s="2174"/>
      <c r="AG94" s="2174"/>
      <c r="AJ94" s="7">
        <v>500</v>
      </c>
      <c r="AK94" s="29">
        <v>2650</v>
      </c>
      <c r="AL94" s="29">
        <v>2330</v>
      </c>
      <c r="AM94" s="29">
        <v>2120</v>
      </c>
      <c r="AN94" s="29">
        <v>1890</v>
      </c>
      <c r="AO94" s="29">
        <v>1700</v>
      </c>
      <c r="AP94" s="29">
        <v>1530</v>
      </c>
      <c r="AQ94" s="280">
        <v>1390</v>
      </c>
      <c r="AR94" s="280">
        <v>1250</v>
      </c>
      <c r="AS94" s="990">
        <v>1120</v>
      </c>
      <c r="AT94" s="2179"/>
      <c r="AV94" s="990" t="e">
        <f>HLOOKUP(AW82,AK83:AS96,11,0)</f>
        <v>#N/A</v>
      </c>
      <c r="AW94" s="990" t="e">
        <f t="shared" si="35"/>
        <v>#N/A</v>
      </c>
      <c r="AX94" s="735">
        <v>500</v>
      </c>
      <c r="AY94" s="2179"/>
      <c r="BB94" s="2176"/>
      <c r="BC94" s="2176"/>
      <c r="BF94" s="7">
        <v>500</v>
      </c>
      <c r="BG94" s="29">
        <v>2650</v>
      </c>
      <c r="BH94" s="29">
        <v>2330</v>
      </c>
      <c r="BI94" s="29">
        <v>2120</v>
      </c>
      <c r="BJ94" s="29">
        <v>1890</v>
      </c>
      <c r="BK94" s="29">
        <v>1700</v>
      </c>
      <c r="BL94" s="29">
        <v>1530</v>
      </c>
      <c r="BM94" s="280">
        <v>1390</v>
      </c>
      <c r="BN94" s="280">
        <v>1250</v>
      </c>
      <c r="BO94" s="990">
        <v>1120</v>
      </c>
      <c r="BP94" s="2179"/>
      <c r="BR94" s="990" t="e">
        <f>HLOOKUP(BS82,BG83:BO96,11,0)</f>
        <v>#N/A</v>
      </c>
      <c r="BS94" s="990" t="e">
        <f t="shared" si="36"/>
        <v>#N/A</v>
      </c>
      <c r="BT94" s="735">
        <v>500</v>
      </c>
      <c r="BU94" s="2179"/>
      <c r="BX94" s="2174"/>
      <c r="CA94" s="2266">
        <v>450</v>
      </c>
      <c r="CB94" s="29">
        <v>1635</v>
      </c>
      <c r="CC94" s="29">
        <v>1479</v>
      </c>
      <c r="CD94" s="29">
        <v>1479</v>
      </c>
      <c r="CE94" s="29">
        <v>1385</v>
      </c>
      <c r="CF94" s="29">
        <v>1323</v>
      </c>
      <c r="CG94" s="29">
        <v>1198</v>
      </c>
      <c r="CH94" s="280">
        <v>1083</v>
      </c>
      <c r="CI94" s="2240">
        <v>950</v>
      </c>
      <c r="CJ94" s="2179"/>
      <c r="CK94" s="2179"/>
      <c r="CM94" s="990" t="e">
        <f>HLOOKUP(CN82,CB83:CI96,11,0)</f>
        <v>#N/A</v>
      </c>
      <c r="CN94" s="990" t="e">
        <f t="shared" si="37"/>
        <v>#N/A</v>
      </c>
      <c r="CO94" s="735">
        <v>450</v>
      </c>
      <c r="CP94" s="2179"/>
      <c r="CR94" s="2176"/>
      <c r="CS94" s="2176"/>
      <c r="CV94" s="2266">
        <v>450</v>
      </c>
      <c r="CW94" s="29">
        <v>1635</v>
      </c>
      <c r="CX94" s="29">
        <v>1479</v>
      </c>
      <c r="CY94" s="29">
        <v>1479</v>
      </c>
      <c r="CZ94" s="29">
        <v>1385</v>
      </c>
      <c r="DA94" s="29">
        <v>1323</v>
      </c>
      <c r="DB94" s="29">
        <v>1198</v>
      </c>
      <c r="DC94" s="280">
        <v>1083</v>
      </c>
      <c r="DD94" s="2240">
        <v>950</v>
      </c>
      <c r="DE94" s="2179"/>
      <c r="DF94" s="2179"/>
      <c r="DH94" s="990" t="e">
        <f>HLOOKUP(DI82,CW83:DD96,11,0)</f>
        <v>#N/A</v>
      </c>
      <c r="DI94" s="990" t="e">
        <f t="shared" si="38"/>
        <v>#N/A</v>
      </c>
      <c r="DJ94" s="735">
        <v>450</v>
      </c>
      <c r="DK94" s="2179"/>
      <c r="DS94" s="277"/>
      <c r="DW94" s="1"/>
      <c r="DY94" s="280" t="s">
        <v>710</v>
      </c>
      <c r="DZ94" s="735">
        <f>EB94*DZ68</f>
        <v>666000</v>
      </c>
      <c r="EA94" s="734">
        <f>+EA93*1.05</f>
        <v>77175</v>
      </c>
      <c r="EB94" s="275">
        <f>2080+140</f>
        <v>2220</v>
      </c>
      <c r="EC94" s="280"/>
      <c r="ED94" s="277">
        <v>2080</v>
      </c>
      <c r="EE94" s="277">
        <v>140</v>
      </c>
      <c r="EO94" s="286"/>
      <c r="EP94" s="286"/>
      <c r="FB94" s="2174"/>
      <c r="FC94" s="2174"/>
      <c r="FF94" s="7">
        <v>500</v>
      </c>
      <c r="FG94" s="29">
        <v>2650</v>
      </c>
      <c r="FH94" s="29">
        <v>2330</v>
      </c>
      <c r="FI94" s="29">
        <v>2120</v>
      </c>
      <c r="FJ94" s="29">
        <v>1890</v>
      </c>
      <c r="FK94" s="29">
        <v>1700</v>
      </c>
      <c r="FL94" s="29">
        <v>1530</v>
      </c>
      <c r="FM94" s="280">
        <v>1390</v>
      </c>
      <c r="FN94" s="280">
        <v>1250</v>
      </c>
      <c r="FO94" s="990">
        <v>1120</v>
      </c>
      <c r="FP94" s="2179"/>
      <c r="FR94" s="990" t="e">
        <f>HLOOKUP(FS82,FG83:FO96,11,0)</f>
        <v>#N/A</v>
      </c>
      <c r="FS94" s="990" t="e">
        <f t="shared" si="39"/>
        <v>#N/A</v>
      </c>
      <c r="FT94" s="735">
        <v>500</v>
      </c>
      <c r="FU94" s="2179"/>
      <c r="FX94" s="2176"/>
      <c r="FY94" s="2176"/>
      <c r="GB94" s="7">
        <v>500</v>
      </c>
      <c r="GC94" s="29">
        <v>2650</v>
      </c>
      <c r="GD94" s="29">
        <v>2330</v>
      </c>
      <c r="GE94" s="29">
        <v>2120</v>
      </c>
      <c r="GF94" s="29">
        <v>1890</v>
      </c>
      <c r="GG94" s="29">
        <v>1700</v>
      </c>
      <c r="GH94" s="29">
        <v>1530</v>
      </c>
      <c r="GI94" s="280">
        <v>1390</v>
      </c>
      <c r="GJ94" s="280">
        <v>1250</v>
      </c>
      <c r="GK94" s="990">
        <v>1120</v>
      </c>
      <c r="GL94" s="2179"/>
      <c r="GN94" s="990" t="e">
        <f>HLOOKUP(GO82,GC83:GK96,11,0)</f>
        <v>#N/A</v>
      </c>
      <c r="GO94" s="990" t="e">
        <f t="shared" si="40"/>
        <v>#N/A</v>
      </c>
      <c r="GP94" s="735">
        <v>500</v>
      </c>
      <c r="GQ94" s="2179"/>
      <c r="GT94" s="2174"/>
      <c r="GW94" s="2266">
        <v>450</v>
      </c>
      <c r="GX94" s="29">
        <v>1635</v>
      </c>
      <c r="GY94" s="29">
        <v>1479</v>
      </c>
      <c r="GZ94" s="29">
        <v>1479</v>
      </c>
      <c r="HA94" s="29">
        <v>1385</v>
      </c>
      <c r="HB94" s="29">
        <v>1323</v>
      </c>
      <c r="HC94" s="29">
        <v>1198</v>
      </c>
      <c r="HD94" s="280">
        <v>1083</v>
      </c>
      <c r="HE94" s="2240">
        <v>950</v>
      </c>
      <c r="HF94" s="2179"/>
      <c r="HG94" s="2179"/>
      <c r="HI94" s="990" t="e">
        <f>HLOOKUP(HJ82,GX83:HE96,11,0)</f>
        <v>#N/A</v>
      </c>
      <c r="HJ94" s="990" t="e">
        <f t="shared" si="41"/>
        <v>#N/A</v>
      </c>
      <c r="HK94" s="735">
        <v>450</v>
      </c>
      <c r="HL94" s="2179"/>
      <c r="HN94" s="2176"/>
      <c r="HO94" s="2176"/>
      <c r="HR94" s="2266">
        <v>450</v>
      </c>
      <c r="HS94" s="29">
        <v>1635</v>
      </c>
      <c r="HT94" s="29">
        <v>1479</v>
      </c>
      <c r="HU94" s="29">
        <v>1479</v>
      </c>
      <c r="HV94" s="29">
        <v>1385</v>
      </c>
      <c r="HW94" s="29">
        <v>1323</v>
      </c>
      <c r="HX94" s="29">
        <v>1198</v>
      </c>
      <c r="HY94" s="280">
        <v>1083</v>
      </c>
      <c r="HZ94" s="2240">
        <v>950</v>
      </c>
      <c r="IA94" s="2179"/>
      <c r="IB94" s="2179"/>
      <c r="ID94" s="990" t="e">
        <f>HLOOKUP(IE82,HS83:HZ96,11,0)</f>
        <v>#N/A</v>
      </c>
      <c r="IE94" s="990" t="e">
        <f t="shared" si="42"/>
        <v>#N/A</v>
      </c>
      <c r="IF94" s="735">
        <v>450</v>
      </c>
      <c r="IG94" s="2179"/>
      <c r="IN94" s="277"/>
      <c r="IO94" s="277"/>
    </row>
    <row r="95" spans="3:249" ht="21.95" customHeight="1">
      <c r="C95" s="280" t="s">
        <v>711</v>
      </c>
      <c r="D95" s="735">
        <f>F95*D68</f>
        <v>913500</v>
      </c>
      <c r="E95" s="734">
        <f>+E94*1.05</f>
        <v>81033.75</v>
      </c>
      <c r="F95" s="275">
        <f>2840+205</f>
        <v>3045</v>
      </c>
      <c r="G95" s="280"/>
      <c r="H95" s="277">
        <v>2840</v>
      </c>
      <c r="I95" s="277">
        <v>205</v>
      </c>
      <c r="S95" s="286"/>
      <c r="T95" s="286"/>
      <c r="AF95" s="2174"/>
      <c r="AG95" s="2174"/>
      <c r="AJ95" s="7">
        <v>560</v>
      </c>
      <c r="AK95" s="29">
        <v>3650</v>
      </c>
      <c r="AL95" s="29">
        <v>3270</v>
      </c>
      <c r="AM95" s="29">
        <v>2970</v>
      </c>
      <c r="AN95" s="29">
        <v>2640</v>
      </c>
      <c r="AO95" s="29">
        <v>2380</v>
      </c>
      <c r="AP95" s="29">
        <v>2140</v>
      </c>
      <c r="AQ95" s="280">
        <v>1970</v>
      </c>
      <c r="AR95" s="280">
        <v>1770</v>
      </c>
      <c r="AS95" s="990">
        <v>1580</v>
      </c>
      <c r="AT95" s="2179"/>
      <c r="AV95" s="990" t="e">
        <f>HLOOKUP(AW82,AK83:AS96,12,0)</f>
        <v>#N/A</v>
      </c>
      <c r="AW95" s="990" t="e">
        <f t="shared" si="35"/>
        <v>#N/A</v>
      </c>
      <c r="AX95" s="735">
        <v>560</v>
      </c>
      <c r="AY95" s="2179"/>
      <c r="BB95" s="2176"/>
      <c r="BC95" s="2176"/>
      <c r="BF95" s="7">
        <v>560</v>
      </c>
      <c r="BG95" s="29">
        <v>3650</v>
      </c>
      <c r="BH95" s="29">
        <v>3270</v>
      </c>
      <c r="BI95" s="29">
        <v>2970</v>
      </c>
      <c r="BJ95" s="29">
        <v>2640</v>
      </c>
      <c r="BK95" s="29">
        <v>2380</v>
      </c>
      <c r="BL95" s="29">
        <v>2140</v>
      </c>
      <c r="BM95" s="280">
        <v>1970</v>
      </c>
      <c r="BN95" s="280">
        <v>1770</v>
      </c>
      <c r="BO95" s="990">
        <v>1580</v>
      </c>
      <c r="BP95" s="2179"/>
      <c r="BR95" s="990" t="e">
        <f>HLOOKUP(BS82,BG83:BO96,12,0)</f>
        <v>#N/A</v>
      </c>
      <c r="BS95" s="990" t="e">
        <f t="shared" si="36"/>
        <v>#N/A</v>
      </c>
      <c r="BT95" s="735">
        <v>560</v>
      </c>
      <c r="BU95" s="2179"/>
      <c r="BX95" s="2174"/>
      <c r="CA95" s="2266">
        <v>500</v>
      </c>
      <c r="CB95" s="29">
        <v>2050</v>
      </c>
      <c r="CC95" s="29">
        <v>1880</v>
      </c>
      <c r="CD95" s="29">
        <v>1860</v>
      </c>
      <c r="CE95" s="29">
        <v>1800</v>
      </c>
      <c r="CF95" s="29">
        <v>1760</v>
      </c>
      <c r="CG95" s="29">
        <v>1740</v>
      </c>
      <c r="CH95" s="280">
        <v>1700</v>
      </c>
      <c r="CI95" s="2240">
        <v>1255</v>
      </c>
      <c r="CJ95" s="2179"/>
      <c r="CK95" s="2179"/>
      <c r="CM95" s="990" t="e">
        <f>HLOOKUP(CN82,CB83:CI96,12,0)</f>
        <v>#N/A</v>
      </c>
      <c r="CN95" s="990" t="e">
        <f t="shared" si="37"/>
        <v>#N/A</v>
      </c>
      <c r="CO95" s="735">
        <v>500</v>
      </c>
      <c r="CP95" s="2179"/>
      <c r="CR95" s="2176"/>
      <c r="CS95" s="2176"/>
      <c r="CV95" s="2266">
        <v>500</v>
      </c>
      <c r="CW95" s="29">
        <v>2050</v>
      </c>
      <c r="CX95" s="29">
        <v>1880</v>
      </c>
      <c r="CY95" s="29">
        <v>1860</v>
      </c>
      <c r="CZ95" s="29">
        <v>1800</v>
      </c>
      <c r="DA95" s="29">
        <v>1760</v>
      </c>
      <c r="DB95" s="29">
        <v>1740</v>
      </c>
      <c r="DC95" s="280">
        <v>1700</v>
      </c>
      <c r="DD95" s="2240">
        <v>1255</v>
      </c>
      <c r="DE95" s="2179"/>
      <c r="DF95" s="2179"/>
      <c r="DH95" s="990" t="e">
        <f>HLOOKUP(DI82,CW83:DD96,12,0)</f>
        <v>#N/A</v>
      </c>
      <c r="DI95" s="990" t="e">
        <f t="shared" si="38"/>
        <v>#N/A</v>
      </c>
      <c r="DJ95" s="735">
        <v>500</v>
      </c>
      <c r="DK95" s="2179"/>
      <c r="DS95" s="277"/>
      <c r="DW95" s="1"/>
      <c r="DY95" s="280" t="s">
        <v>711</v>
      </c>
      <c r="DZ95" s="735">
        <f>EB95*DZ68</f>
        <v>913500</v>
      </c>
      <c r="EA95" s="734">
        <f>+EA94*1.05</f>
        <v>81033.75</v>
      </c>
      <c r="EB95" s="275">
        <f>2840+205</f>
        <v>3045</v>
      </c>
      <c r="EC95" s="280"/>
      <c r="ED95" s="277">
        <v>2840</v>
      </c>
      <c r="EE95" s="277">
        <v>205</v>
      </c>
      <c r="EO95" s="286"/>
      <c r="EP95" s="286"/>
      <c r="FB95" s="2174"/>
      <c r="FC95" s="2174"/>
      <c r="FF95" s="7">
        <v>560</v>
      </c>
      <c r="FG95" s="29">
        <v>3650</v>
      </c>
      <c r="FH95" s="29">
        <v>3270</v>
      </c>
      <c r="FI95" s="29">
        <v>2970</v>
      </c>
      <c r="FJ95" s="29">
        <v>2640</v>
      </c>
      <c r="FK95" s="29">
        <v>2380</v>
      </c>
      <c r="FL95" s="29">
        <v>2140</v>
      </c>
      <c r="FM95" s="280">
        <v>1970</v>
      </c>
      <c r="FN95" s="280">
        <v>1770</v>
      </c>
      <c r="FO95" s="990">
        <v>1580</v>
      </c>
      <c r="FP95" s="2179"/>
      <c r="FR95" s="990" t="e">
        <f>HLOOKUP(FS82,FG83:FO96,12,0)</f>
        <v>#N/A</v>
      </c>
      <c r="FS95" s="990" t="e">
        <f t="shared" si="39"/>
        <v>#N/A</v>
      </c>
      <c r="FT95" s="735">
        <v>560</v>
      </c>
      <c r="FU95" s="2179"/>
      <c r="FX95" s="2176"/>
      <c r="FY95" s="2176"/>
      <c r="GB95" s="7">
        <v>560</v>
      </c>
      <c r="GC95" s="29">
        <v>3650</v>
      </c>
      <c r="GD95" s="29">
        <v>3270</v>
      </c>
      <c r="GE95" s="29">
        <v>2970</v>
      </c>
      <c r="GF95" s="29">
        <v>2640</v>
      </c>
      <c r="GG95" s="29">
        <v>2380</v>
      </c>
      <c r="GH95" s="29">
        <v>2140</v>
      </c>
      <c r="GI95" s="280">
        <v>1970</v>
      </c>
      <c r="GJ95" s="280">
        <v>1770</v>
      </c>
      <c r="GK95" s="990">
        <v>1580</v>
      </c>
      <c r="GL95" s="2179"/>
      <c r="GN95" s="990" t="e">
        <f>HLOOKUP(GO82,GC83:GK96,12,0)</f>
        <v>#N/A</v>
      </c>
      <c r="GO95" s="990" t="e">
        <f t="shared" si="40"/>
        <v>#N/A</v>
      </c>
      <c r="GP95" s="735">
        <v>560</v>
      </c>
      <c r="GQ95" s="2179"/>
      <c r="GT95" s="2174"/>
      <c r="GW95" s="2266">
        <v>500</v>
      </c>
      <c r="GX95" s="29">
        <v>2050</v>
      </c>
      <c r="GY95" s="29">
        <v>1880</v>
      </c>
      <c r="GZ95" s="29">
        <v>1860</v>
      </c>
      <c r="HA95" s="29">
        <v>1800</v>
      </c>
      <c r="HB95" s="29">
        <v>1760</v>
      </c>
      <c r="HC95" s="29">
        <v>1740</v>
      </c>
      <c r="HD95" s="280">
        <v>1700</v>
      </c>
      <c r="HE95" s="2240">
        <v>1255</v>
      </c>
      <c r="HF95" s="2179"/>
      <c r="HG95" s="2179"/>
      <c r="HI95" s="990" t="e">
        <f>HLOOKUP(HJ82,GX83:HE96,12,0)</f>
        <v>#N/A</v>
      </c>
      <c r="HJ95" s="990" t="e">
        <f t="shared" si="41"/>
        <v>#N/A</v>
      </c>
      <c r="HK95" s="735">
        <v>500</v>
      </c>
      <c r="HL95" s="2179"/>
      <c r="HN95" s="2176"/>
      <c r="HO95" s="2176"/>
      <c r="HR95" s="2266">
        <v>500</v>
      </c>
      <c r="HS95" s="29">
        <v>2050</v>
      </c>
      <c r="HT95" s="29">
        <v>1880</v>
      </c>
      <c r="HU95" s="29">
        <v>1860</v>
      </c>
      <c r="HV95" s="29">
        <v>1800</v>
      </c>
      <c r="HW95" s="29">
        <v>1760</v>
      </c>
      <c r="HX95" s="29">
        <v>1740</v>
      </c>
      <c r="HY95" s="280">
        <v>1700</v>
      </c>
      <c r="HZ95" s="2240">
        <v>1255</v>
      </c>
      <c r="IA95" s="2179"/>
      <c r="IB95" s="2179"/>
      <c r="ID95" s="990" t="e">
        <f>HLOOKUP(IE82,HS83:HZ96,12,0)</f>
        <v>#N/A</v>
      </c>
      <c r="IE95" s="990" t="e">
        <f t="shared" si="42"/>
        <v>#N/A</v>
      </c>
      <c r="IF95" s="735">
        <v>500</v>
      </c>
      <c r="IG95" s="2179"/>
      <c r="IN95" s="277"/>
      <c r="IO95" s="277"/>
    </row>
    <row r="96" spans="3:249" ht="21.95" customHeight="1" thickBot="1">
      <c r="C96" s="280" t="s">
        <v>712</v>
      </c>
      <c r="D96" s="735">
        <f>F96*D68</f>
        <v>1258500</v>
      </c>
      <c r="E96" s="734">
        <f>+E95*1.05</f>
        <v>85085.4375</v>
      </c>
      <c r="F96" s="275">
        <f>3780+415</f>
        <v>4195</v>
      </c>
      <c r="G96" s="280"/>
      <c r="H96" s="277">
        <v>3780</v>
      </c>
      <c r="I96" s="277">
        <v>415</v>
      </c>
      <c r="S96" s="286"/>
      <c r="T96" s="286"/>
      <c r="AF96" s="2174"/>
      <c r="AG96" s="2174"/>
      <c r="AJ96" s="7">
        <v>630</v>
      </c>
      <c r="AK96" s="29">
        <v>4780</v>
      </c>
      <c r="AL96" s="29">
        <v>4210</v>
      </c>
      <c r="AM96" s="29">
        <v>3820</v>
      </c>
      <c r="AN96" s="29">
        <v>3400</v>
      </c>
      <c r="AO96" s="29">
        <v>3060</v>
      </c>
      <c r="AP96" s="29">
        <v>2750</v>
      </c>
      <c r="AQ96" s="280">
        <v>2600</v>
      </c>
      <c r="AR96" s="280">
        <v>2340</v>
      </c>
      <c r="AS96" s="990">
        <v>2090</v>
      </c>
      <c r="AT96" s="2179"/>
      <c r="AV96" s="990" t="e">
        <f>HLOOKUP(AW82,AK83:AS96,13,0)</f>
        <v>#N/A</v>
      </c>
      <c r="AW96" s="990" t="e">
        <f t="shared" si="35"/>
        <v>#N/A</v>
      </c>
      <c r="AX96" s="735">
        <v>630</v>
      </c>
      <c r="AY96" s="2179"/>
      <c r="BB96" s="2176"/>
      <c r="BC96" s="2176"/>
      <c r="BF96" s="7">
        <v>630</v>
      </c>
      <c r="BG96" s="29">
        <v>4780</v>
      </c>
      <c r="BH96" s="29">
        <v>4210</v>
      </c>
      <c r="BI96" s="29">
        <v>3820</v>
      </c>
      <c r="BJ96" s="29">
        <v>3400</v>
      </c>
      <c r="BK96" s="29">
        <v>3060</v>
      </c>
      <c r="BL96" s="29">
        <v>2750</v>
      </c>
      <c r="BM96" s="280">
        <v>2600</v>
      </c>
      <c r="BN96" s="280">
        <v>2340</v>
      </c>
      <c r="BO96" s="990">
        <v>2090</v>
      </c>
      <c r="BP96" s="2179"/>
      <c r="BR96" s="990" t="e">
        <f>HLOOKUP(BS82,BG83:BO96,13,0)</f>
        <v>#N/A</v>
      </c>
      <c r="BS96" s="990" t="e">
        <f t="shared" si="36"/>
        <v>#N/A</v>
      </c>
      <c r="BT96" s="735">
        <v>630</v>
      </c>
      <c r="BU96" s="2179"/>
      <c r="BX96" s="2174"/>
      <c r="CA96" s="2267">
        <v>560</v>
      </c>
      <c r="CB96" s="1395">
        <v>3290</v>
      </c>
      <c r="CC96" s="1395">
        <v>3000</v>
      </c>
      <c r="CD96" s="1395">
        <v>2720</v>
      </c>
      <c r="CE96" s="1395">
        <v>2520</v>
      </c>
      <c r="CF96" s="1395">
        <v>2550</v>
      </c>
      <c r="CG96" s="1395">
        <v>2470</v>
      </c>
      <c r="CH96" s="2241">
        <v>2350</v>
      </c>
      <c r="CI96" s="2242">
        <v>1810</v>
      </c>
      <c r="CJ96" s="2179"/>
      <c r="CK96" s="2179"/>
      <c r="CM96" s="990" t="e">
        <f>HLOOKUP(CN82,CB83:CI96,13,0)</f>
        <v>#N/A</v>
      </c>
      <c r="CN96" s="990" t="e">
        <f t="shared" si="37"/>
        <v>#N/A</v>
      </c>
      <c r="CO96" s="735">
        <v>560</v>
      </c>
      <c r="CP96" s="2179"/>
      <c r="CR96" s="2176"/>
      <c r="CS96" s="2176"/>
      <c r="CV96" s="2267">
        <v>560</v>
      </c>
      <c r="CW96" s="1395">
        <v>3290</v>
      </c>
      <c r="CX96" s="1395">
        <v>3000</v>
      </c>
      <c r="CY96" s="1395">
        <v>2720</v>
      </c>
      <c r="CZ96" s="1395">
        <v>2520</v>
      </c>
      <c r="DA96" s="1395">
        <v>2550</v>
      </c>
      <c r="DB96" s="1395">
        <v>2470</v>
      </c>
      <c r="DC96" s="2241">
        <v>2350</v>
      </c>
      <c r="DD96" s="2242">
        <v>1810</v>
      </c>
      <c r="DE96" s="2179"/>
      <c r="DF96" s="2179"/>
      <c r="DH96" s="990" t="e">
        <f>HLOOKUP(DI82,CW83:DD96,13,0)</f>
        <v>#N/A</v>
      </c>
      <c r="DI96" s="990" t="e">
        <f t="shared" si="38"/>
        <v>#N/A</v>
      </c>
      <c r="DJ96" s="735">
        <v>560</v>
      </c>
      <c r="DK96" s="2179"/>
      <c r="DS96" s="277"/>
      <c r="DW96" s="1"/>
      <c r="DY96" s="280" t="s">
        <v>712</v>
      </c>
      <c r="DZ96" s="735">
        <f>EB96*DZ68</f>
        <v>1258500</v>
      </c>
      <c r="EA96" s="734">
        <f>+EA95*1.05</f>
        <v>85085.4375</v>
      </c>
      <c r="EB96" s="275">
        <f>3780+415</f>
        <v>4195</v>
      </c>
      <c r="EC96" s="280"/>
      <c r="ED96" s="277">
        <v>3780</v>
      </c>
      <c r="EE96" s="277">
        <v>415</v>
      </c>
      <c r="EO96" s="286"/>
      <c r="EP96" s="286"/>
      <c r="FB96" s="2174"/>
      <c r="FC96" s="2174"/>
      <c r="FF96" s="7">
        <v>630</v>
      </c>
      <c r="FG96" s="29">
        <v>4780</v>
      </c>
      <c r="FH96" s="29">
        <v>4210</v>
      </c>
      <c r="FI96" s="29">
        <v>3820</v>
      </c>
      <c r="FJ96" s="29">
        <v>3400</v>
      </c>
      <c r="FK96" s="29">
        <v>3060</v>
      </c>
      <c r="FL96" s="29">
        <v>2750</v>
      </c>
      <c r="FM96" s="280">
        <v>2600</v>
      </c>
      <c r="FN96" s="280">
        <v>2340</v>
      </c>
      <c r="FO96" s="990">
        <v>2090</v>
      </c>
      <c r="FP96" s="2179"/>
      <c r="FR96" s="990" t="e">
        <f>HLOOKUP(FS82,FG83:FO96,13,0)</f>
        <v>#N/A</v>
      </c>
      <c r="FS96" s="990" t="e">
        <f t="shared" si="39"/>
        <v>#N/A</v>
      </c>
      <c r="FT96" s="735">
        <v>630</v>
      </c>
      <c r="FU96" s="2179"/>
      <c r="FX96" s="2176"/>
      <c r="FY96" s="2176"/>
      <c r="GB96" s="7">
        <v>630</v>
      </c>
      <c r="GC96" s="29">
        <v>4780</v>
      </c>
      <c r="GD96" s="29">
        <v>4210</v>
      </c>
      <c r="GE96" s="29">
        <v>3820</v>
      </c>
      <c r="GF96" s="29">
        <v>3400</v>
      </c>
      <c r="GG96" s="29">
        <v>3060</v>
      </c>
      <c r="GH96" s="29">
        <v>2750</v>
      </c>
      <c r="GI96" s="280">
        <v>2600</v>
      </c>
      <c r="GJ96" s="280">
        <v>2340</v>
      </c>
      <c r="GK96" s="990">
        <v>2090</v>
      </c>
      <c r="GL96" s="2179"/>
      <c r="GN96" s="990" t="e">
        <f>HLOOKUP(GO82,GC83:GK96,13,0)</f>
        <v>#N/A</v>
      </c>
      <c r="GO96" s="990" t="e">
        <f t="shared" si="40"/>
        <v>#N/A</v>
      </c>
      <c r="GP96" s="735">
        <v>630</v>
      </c>
      <c r="GQ96" s="2179"/>
      <c r="GT96" s="2174"/>
      <c r="GW96" s="2267">
        <v>560</v>
      </c>
      <c r="GX96" s="1395">
        <v>3290</v>
      </c>
      <c r="GY96" s="1395">
        <v>3000</v>
      </c>
      <c r="GZ96" s="1395">
        <v>2720</v>
      </c>
      <c r="HA96" s="1395">
        <v>2520</v>
      </c>
      <c r="HB96" s="1395">
        <v>2550</v>
      </c>
      <c r="HC96" s="1395">
        <v>2470</v>
      </c>
      <c r="HD96" s="2241">
        <v>2350</v>
      </c>
      <c r="HE96" s="2242">
        <v>1810</v>
      </c>
      <c r="HF96" s="2179"/>
      <c r="HG96" s="2179"/>
      <c r="HI96" s="990" t="e">
        <f>HLOOKUP(HJ82,GX83:HE96,13,0)</f>
        <v>#N/A</v>
      </c>
      <c r="HJ96" s="990" t="e">
        <f t="shared" si="41"/>
        <v>#N/A</v>
      </c>
      <c r="HK96" s="735">
        <v>560</v>
      </c>
      <c r="HL96" s="2179"/>
      <c r="HN96" s="2176"/>
      <c r="HO96" s="2176"/>
      <c r="HR96" s="2267">
        <v>560</v>
      </c>
      <c r="HS96" s="1395">
        <v>3290</v>
      </c>
      <c r="HT96" s="1395">
        <v>3000</v>
      </c>
      <c r="HU96" s="1395">
        <v>2720</v>
      </c>
      <c r="HV96" s="1395">
        <v>2520</v>
      </c>
      <c r="HW96" s="1395">
        <v>2550</v>
      </c>
      <c r="HX96" s="1395">
        <v>2470</v>
      </c>
      <c r="HY96" s="2241">
        <v>2350</v>
      </c>
      <c r="HZ96" s="2242">
        <v>1810</v>
      </c>
      <c r="IA96" s="2179"/>
      <c r="IB96" s="2179"/>
      <c r="ID96" s="990" t="e">
        <f>HLOOKUP(IE82,HS83:HZ96,13,0)</f>
        <v>#N/A</v>
      </c>
      <c r="IE96" s="990" t="e">
        <f t="shared" si="42"/>
        <v>#N/A</v>
      </c>
      <c r="IF96" s="735">
        <v>560</v>
      </c>
      <c r="IG96" s="2179"/>
      <c r="IN96" s="277"/>
      <c r="IO96" s="277"/>
    </row>
    <row r="97" spans="2:249" ht="21.95" customHeight="1">
      <c r="C97" s="280" t="s">
        <v>713</v>
      </c>
      <c r="D97" s="735">
        <f>F97*D68</f>
        <v>1695000</v>
      </c>
      <c r="E97" s="280">
        <f>+E96*10.5</f>
        <v>893397.09375</v>
      </c>
      <c r="F97" s="280">
        <f>5100+550</f>
        <v>5650</v>
      </c>
      <c r="G97" s="280"/>
      <c r="H97" s="277">
        <v>5100</v>
      </c>
      <c r="I97" s="277">
        <v>550</v>
      </c>
      <c r="S97" s="286"/>
      <c r="T97" s="286"/>
      <c r="AF97" s="2174"/>
      <c r="AG97" s="2174"/>
      <c r="AJ97" s="20"/>
      <c r="AK97" s="20"/>
      <c r="AL97" s="20"/>
      <c r="AM97" s="20"/>
      <c r="AN97" s="20"/>
      <c r="AO97" s="20"/>
      <c r="AP97" s="20"/>
      <c r="AQ97" s="2179"/>
      <c r="AR97" s="2179"/>
      <c r="AS97" s="2179"/>
      <c r="AT97" s="2179"/>
      <c r="AV97" s="990" t="e">
        <f>HLOOKUP(AW82,AK83:AS96,14,0)</f>
        <v>#N/A</v>
      </c>
      <c r="AW97" s="2243" t="e">
        <f>+AV97</f>
        <v>#N/A</v>
      </c>
      <c r="AX97" s="735"/>
      <c r="AY97" s="2179"/>
      <c r="BB97" s="2176"/>
      <c r="BC97" s="2176"/>
      <c r="BF97" s="20"/>
      <c r="BG97" s="20"/>
      <c r="BH97" s="20"/>
      <c r="BI97" s="20"/>
      <c r="BJ97" s="20"/>
      <c r="BK97" s="20"/>
      <c r="BL97" s="20"/>
      <c r="BM97" s="2179"/>
      <c r="BN97" s="2179"/>
      <c r="BO97" s="2179"/>
      <c r="BP97" s="2179"/>
      <c r="BR97" s="990" t="e">
        <f>HLOOKUP(BS82,BG83:BO96,14,0)</f>
        <v>#N/A</v>
      </c>
      <c r="BS97" s="2243" t="e">
        <f>+BR97</f>
        <v>#N/A</v>
      </c>
      <c r="BT97" s="735"/>
      <c r="BU97" s="2179"/>
      <c r="BX97" s="2174"/>
      <c r="CA97" s="20"/>
      <c r="CB97" s="20"/>
      <c r="CC97" s="20"/>
      <c r="CD97" s="20"/>
      <c r="CE97" s="20"/>
      <c r="CF97" s="20"/>
      <c r="CG97" s="20"/>
      <c r="CH97" s="2179"/>
      <c r="CI97" s="2179"/>
      <c r="CJ97" s="2179"/>
      <c r="CK97" s="2179"/>
      <c r="CM97" s="990" t="e">
        <f>HLOOKUP(CN82,CB83:CI96,14,0)</f>
        <v>#N/A</v>
      </c>
      <c r="CN97" s="2243" t="e">
        <f>+CM97</f>
        <v>#N/A</v>
      </c>
      <c r="CO97" s="735"/>
      <c r="CP97" s="2179"/>
      <c r="CR97" s="2176"/>
      <c r="CS97" s="2176"/>
      <c r="CV97" s="20"/>
      <c r="CW97" s="20"/>
      <c r="CX97" s="20"/>
      <c r="CY97" s="20"/>
      <c r="CZ97" s="20"/>
      <c r="DA97" s="20"/>
      <c r="DB97" s="20"/>
      <c r="DC97" s="2179"/>
      <c r="DD97" s="2179"/>
      <c r="DE97" s="2179"/>
      <c r="DF97" s="2179"/>
      <c r="DH97" s="990" t="e">
        <f>HLOOKUP(DI82,CW83:DD96,14,0)</f>
        <v>#N/A</v>
      </c>
      <c r="DI97" s="2243" t="e">
        <f>+DH97</f>
        <v>#N/A</v>
      </c>
      <c r="DJ97" s="735"/>
      <c r="DK97" s="2179"/>
      <c r="DS97" s="277"/>
      <c r="DW97" s="1"/>
      <c r="DY97" s="280" t="s">
        <v>713</v>
      </c>
      <c r="DZ97" s="735">
        <f>EB97*DZ68</f>
        <v>1695000</v>
      </c>
      <c r="EA97" s="280">
        <f>+EA96*10.5</f>
        <v>893397.09375</v>
      </c>
      <c r="EB97" s="280">
        <f>5100+550</f>
        <v>5650</v>
      </c>
      <c r="EC97" s="280"/>
      <c r="ED97" s="277">
        <v>5100</v>
      </c>
      <c r="EE97" s="277">
        <v>550</v>
      </c>
      <c r="EO97" s="286"/>
      <c r="EP97" s="286"/>
      <c r="FB97" s="2174"/>
      <c r="FC97" s="2174"/>
      <c r="FF97" s="20"/>
      <c r="FG97" s="20"/>
      <c r="FH97" s="20"/>
      <c r="FI97" s="20"/>
      <c r="FJ97" s="20"/>
      <c r="FK97" s="20"/>
      <c r="FL97" s="20"/>
      <c r="FM97" s="2179"/>
      <c r="FN97" s="2179"/>
      <c r="FO97" s="2179"/>
      <c r="FP97" s="2179"/>
      <c r="FR97" s="990" t="e">
        <f>HLOOKUP(FS82,FG83:FO96,14,0)</f>
        <v>#N/A</v>
      </c>
      <c r="FS97" s="2243" t="e">
        <f>+FR97</f>
        <v>#N/A</v>
      </c>
      <c r="FT97" s="735"/>
      <c r="FU97" s="2179"/>
      <c r="FX97" s="2176"/>
      <c r="FY97" s="2176"/>
      <c r="GB97" s="20"/>
      <c r="GC97" s="20"/>
      <c r="GD97" s="20"/>
      <c r="GE97" s="20"/>
      <c r="GF97" s="20"/>
      <c r="GG97" s="20"/>
      <c r="GH97" s="20"/>
      <c r="GI97" s="2179"/>
      <c r="GJ97" s="2179"/>
      <c r="GK97" s="2179"/>
      <c r="GL97" s="2179"/>
      <c r="GN97" s="990" t="e">
        <f>HLOOKUP(GO82,GC83:GK96,14,0)</f>
        <v>#N/A</v>
      </c>
      <c r="GO97" s="2243" t="e">
        <f>+GN97</f>
        <v>#N/A</v>
      </c>
      <c r="GP97" s="735"/>
      <c r="GQ97" s="2179"/>
      <c r="GT97" s="2174"/>
      <c r="GW97" s="20"/>
      <c r="GX97" s="20"/>
      <c r="GY97" s="20"/>
      <c r="GZ97" s="20"/>
      <c r="HA97" s="20"/>
      <c r="HB97" s="20"/>
      <c r="HC97" s="20"/>
      <c r="HD97" s="2179"/>
      <c r="HE97" s="2179"/>
      <c r="HF97" s="2179"/>
      <c r="HG97" s="2179"/>
      <c r="HI97" s="990" t="e">
        <f>HLOOKUP(HJ82,GX83:HE96,14,0)</f>
        <v>#N/A</v>
      </c>
      <c r="HJ97" s="2243" t="e">
        <f>+HI97</f>
        <v>#N/A</v>
      </c>
      <c r="HK97" s="735"/>
      <c r="HL97" s="2179"/>
      <c r="HN97" s="2176"/>
      <c r="HO97" s="2176"/>
      <c r="HR97" s="20"/>
      <c r="HS97" s="20"/>
      <c r="HT97" s="20"/>
      <c r="HU97" s="20"/>
      <c r="HV97" s="20"/>
      <c r="HW97" s="20"/>
      <c r="HX97" s="20"/>
      <c r="HY97" s="2179"/>
      <c r="HZ97" s="2179"/>
      <c r="IA97" s="2179"/>
      <c r="IB97" s="2179"/>
      <c r="ID97" s="990" t="e">
        <f>HLOOKUP(IE82,HS83:HZ96,14,0)</f>
        <v>#N/A</v>
      </c>
      <c r="IE97" s="2243" t="e">
        <f>+ID97</f>
        <v>#N/A</v>
      </c>
      <c r="IF97" s="735"/>
      <c r="IG97" s="2179"/>
      <c r="IN97" s="277"/>
      <c r="IO97" s="277"/>
    </row>
    <row r="98" spans="2:249" ht="21.95" customHeight="1">
      <c r="C98" s="735" t="s">
        <v>2189</v>
      </c>
      <c r="D98" s="735">
        <f>F98*D68</f>
        <v>2317500</v>
      </c>
      <c r="E98" s="280">
        <f>+E97*1.05</f>
        <v>938066.94843750005</v>
      </c>
      <c r="F98" s="280">
        <f>6900+825</f>
        <v>7725</v>
      </c>
      <c r="G98" s="748"/>
      <c r="H98" s="277">
        <v>6900</v>
      </c>
      <c r="I98" s="277">
        <v>825</v>
      </c>
      <c r="S98" s="286"/>
      <c r="T98" s="286"/>
      <c r="AF98" s="2174"/>
      <c r="AG98" s="2174"/>
      <c r="AJ98" s="20"/>
      <c r="AK98" s="20"/>
      <c r="AL98" s="20"/>
      <c r="AM98" s="20"/>
      <c r="AN98" s="20"/>
      <c r="AO98" s="20"/>
      <c r="AP98" s="20"/>
      <c r="AQ98" s="2179"/>
      <c r="AR98" s="2179"/>
      <c r="AS98" s="2179"/>
      <c r="AT98" s="2179"/>
      <c r="AV98" s="2237"/>
      <c r="AW98" s="990"/>
      <c r="AX98" s="990"/>
      <c r="AY98" s="2179"/>
      <c r="BB98" s="2176"/>
      <c r="BC98" s="2176"/>
      <c r="BF98" s="20"/>
      <c r="BG98" s="20"/>
      <c r="BH98" s="20"/>
      <c r="BI98" s="20"/>
      <c r="BJ98" s="20"/>
      <c r="BK98" s="20"/>
      <c r="BL98" s="20"/>
      <c r="BM98" s="2179"/>
      <c r="BN98" s="2179"/>
      <c r="BO98" s="2179"/>
      <c r="BP98" s="2179"/>
      <c r="BR98" s="2237"/>
      <c r="BS98" s="990"/>
      <c r="BT98" s="990"/>
      <c r="BU98" s="2179"/>
      <c r="BX98" s="2174"/>
      <c r="CA98" s="20"/>
      <c r="CB98" s="20"/>
      <c r="CC98" s="20"/>
      <c r="CD98" s="20"/>
      <c r="CE98" s="20"/>
      <c r="CF98" s="20"/>
      <c r="CG98" s="20"/>
      <c r="CH98" s="2179"/>
      <c r="CI98" s="2179"/>
      <c r="CJ98" s="2179"/>
      <c r="CK98" s="2179"/>
      <c r="CM98" s="2237"/>
      <c r="CN98" s="990"/>
      <c r="CO98" s="990"/>
      <c r="CP98" s="2179"/>
      <c r="CR98" s="2176"/>
      <c r="CS98" s="2176"/>
      <c r="CV98" s="20"/>
      <c r="CW98" s="20"/>
      <c r="CX98" s="20"/>
      <c r="CY98" s="20"/>
      <c r="CZ98" s="20"/>
      <c r="DA98" s="20"/>
      <c r="DB98" s="20"/>
      <c r="DC98" s="2179"/>
      <c r="DD98" s="2179"/>
      <c r="DE98" s="2179"/>
      <c r="DF98" s="2179"/>
      <c r="DH98" s="2237"/>
      <c r="DI98" s="990"/>
      <c r="DJ98" s="990"/>
      <c r="DK98" s="2179"/>
      <c r="DS98" s="277"/>
      <c r="DW98" s="1"/>
      <c r="DY98" s="735" t="s">
        <v>2189</v>
      </c>
      <c r="DZ98" s="735">
        <f>EB98*DZ68</f>
        <v>2317500</v>
      </c>
      <c r="EA98" s="280">
        <f>+EA97*1.05</f>
        <v>938066.94843750005</v>
      </c>
      <c r="EB98" s="280">
        <f>6900+825</f>
        <v>7725</v>
      </c>
      <c r="EC98" s="748"/>
      <c r="ED98" s="277">
        <v>6900</v>
      </c>
      <c r="EE98" s="277">
        <v>825</v>
      </c>
      <c r="EO98" s="286"/>
      <c r="EP98" s="286"/>
      <c r="FB98" s="2174"/>
      <c r="FC98" s="2174"/>
      <c r="FF98" s="20"/>
      <c r="FG98" s="20"/>
      <c r="FH98" s="20"/>
      <c r="FI98" s="20"/>
      <c r="FJ98" s="20"/>
      <c r="FK98" s="20"/>
      <c r="FL98" s="20"/>
      <c r="FM98" s="2179"/>
      <c r="FN98" s="2179"/>
      <c r="FO98" s="2179"/>
      <c r="FP98" s="2179"/>
      <c r="FR98" s="2237"/>
      <c r="FS98" s="990"/>
      <c r="FT98" s="990"/>
      <c r="FU98" s="2179"/>
      <c r="FX98" s="2176"/>
      <c r="FY98" s="2176"/>
      <c r="GB98" s="20"/>
      <c r="GC98" s="20"/>
      <c r="GD98" s="20"/>
      <c r="GE98" s="20"/>
      <c r="GF98" s="20"/>
      <c r="GG98" s="20"/>
      <c r="GH98" s="20"/>
      <c r="GI98" s="2179"/>
      <c r="GJ98" s="2179"/>
      <c r="GK98" s="2179"/>
      <c r="GL98" s="2179"/>
      <c r="GN98" s="2237"/>
      <c r="GO98" s="990"/>
      <c r="GP98" s="990"/>
      <c r="GQ98" s="2179"/>
      <c r="GT98" s="2174"/>
      <c r="GW98" s="20"/>
      <c r="GX98" s="20"/>
      <c r="GY98" s="20"/>
      <c r="GZ98" s="20"/>
      <c r="HA98" s="20"/>
      <c r="HB98" s="20"/>
      <c r="HC98" s="20"/>
      <c r="HD98" s="2179"/>
      <c r="HE98" s="2179"/>
      <c r="HF98" s="2179"/>
      <c r="HG98" s="2179"/>
      <c r="HI98" s="2237"/>
      <c r="HJ98" s="990"/>
      <c r="HK98" s="990"/>
      <c r="HL98" s="2179"/>
      <c r="HN98" s="2176"/>
      <c r="HO98" s="2176"/>
      <c r="HR98" s="20"/>
      <c r="HS98" s="20"/>
      <c r="HT98" s="20"/>
      <c r="HU98" s="20"/>
      <c r="HV98" s="20"/>
      <c r="HW98" s="20"/>
      <c r="HX98" s="20"/>
      <c r="HY98" s="2179"/>
      <c r="HZ98" s="2179"/>
      <c r="IA98" s="2179"/>
      <c r="IB98" s="2179"/>
      <c r="ID98" s="2237"/>
      <c r="IE98" s="990"/>
      <c r="IF98" s="990"/>
      <c r="IG98" s="2179"/>
      <c r="IN98" s="277"/>
      <c r="IO98" s="277"/>
    </row>
    <row r="99" spans="2:249" ht="21.95" customHeight="1">
      <c r="G99" s="775"/>
      <c r="S99" s="286"/>
      <c r="T99" s="286"/>
      <c r="AF99" s="2174"/>
      <c r="AG99" s="2174"/>
      <c r="AJ99" s="2179"/>
      <c r="AK99" s="2179"/>
      <c r="AL99" s="2179"/>
      <c r="AM99" s="2179"/>
      <c r="AN99" s="2179"/>
      <c r="AO99" s="2179"/>
      <c r="AP99" s="2179"/>
      <c r="AQ99" s="2179"/>
      <c r="AR99" s="2179"/>
      <c r="AS99" s="2179"/>
      <c r="AT99" s="2179"/>
      <c r="AV99" s="990">
        <f>VLOOKUP(AV82,AV84:AV97,1)</f>
        <v>0</v>
      </c>
      <c r="AW99" s="2245">
        <f>IFERROR(VLOOKUP(AV82,AV84:AV97,1,0),0)</f>
        <v>0</v>
      </c>
      <c r="AX99" s="990"/>
      <c r="AY99" s="2179"/>
      <c r="BB99" s="2176"/>
      <c r="BC99" s="2176"/>
      <c r="BF99" s="2179"/>
      <c r="BG99" s="2179"/>
      <c r="BH99" s="2179"/>
      <c r="BI99" s="2179"/>
      <c r="BJ99" s="2179"/>
      <c r="BK99" s="2179"/>
      <c r="BL99" s="2179"/>
      <c r="BM99" s="2179"/>
      <c r="BN99" s="2179"/>
      <c r="BO99" s="2179"/>
      <c r="BP99" s="2179"/>
      <c r="BR99" s="990">
        <f>VLOOKUP(BR82,BR84:BR97,1)</f>
        <v>0</v>
      </c>
      <c r="BS99" s="2245">
        <f>IFERROR(VLOOKUP(BR82,BR84:BR97,1,0),0)</f>
        <v>0</v>
      </c>
      <c r="BT99" s="990"/>
      <c r="BU99" s="2179"/>
      <c r="BX99" s="2174"/>
      <c r="CA99" s="2179"/>
      <c r="CB99" s="2179"/>
      <c r="CC99" s="2179"/>
      <c r="CD99" s="2179"/>
      <c r="CE99" s="2179"/>
      <c r="CF99" s="2179"/>
      <c r="CG99" s="2179"/>
      <c r="CH99" s="2179"/>
      <c r="CI99" s="2179"/>
      <c r="CJ99" s="2179"/>
      <c r="CK99" s="2179"/>
      <c r="CM99" s="990">
        <f>VLOOKUP(CM82,CM84:CM97,1)</f>
        <v>0</v>
      </c>
      <c r="CN99" s="2245">
        <f>IFERROR(VLOOKUP(CM82,CM84:CM97,1,0),0)</f>
        <v>0</v>
      </c>
      <c r="CO99" s="990"/>
      <c r="CP99" s="2179"/>
      <c r="CR99" s="2176"/>
      <c r="CS99" s="2176"/>
      <c r="CV99" s="2179"/>
      <c r="CW99" s="2179"/>
      <c r="CX99" s="2179"/>
      <c r="CY99" s="2179"/>
      <c r="CZ99" s="2179"/>
      <c r="DA99" s="2179"/>
      <c r="DB99" s="2179"/>
      <c r="DC99" s="2179"/>
      <c r="DD99" s="2179"/>
      <c r="DE99" s="2179"/>
      <c r="DF99" s="2179"/>
      <c r="DH99" s="990">
        <f>VLOOKUP(DH82,DH84:DH97,1)</f>
        <v>0</v>
      </c>
      <c r="DI99" s="2245">
        <f>IFERROR(VLOOKUP(DH82,DH84:DH97,1,0),0)</f>
        <v>0</v>
      </c>
      <c r="DJ99" s="990"/>
      <c r="DK99" s="2179"/>
      <c r="DS99" s="277"/>
      <c r="DW99" s="1"/>
      <c r="EC99" s="775"/>
      <c r="EO99" s="286"/>
      <c r="EP99" s="286"/>
      <c r="FB99" s="2174"/>
      <c r="FC99" s="2174"/>
      <c r="FF99" s="2179"/>
      <c r="FG99" s="2179"/>
      <c r="FH99" s="2179"/>
      <c r="FI99" s="2179"/>
      <c r="FJ99" s="2179"/>
      <c r="FK99" s="2179"/>
      <c r="FL99" s="2179"/>
      <c r="FM99" s="2179"/>
      <c r="FN99" s="2179"/>
      <c r="FO99" s="2179"/>
      <c r="FP99" s="2179"/>
      <c r="FR99" s="990">
        <f>VLOOKUP(FR82,FR84:FR97,1)</f>
        <v>0</v>
      </c>
      <c r="FS99" s="2245">
        <f>IFERROR(VLOOKUP(FR82,FR84:FR97,1,0),0)</f>
        <v>0</v>
      </c>
      <c r="FT99" s="990"/>
      <c r="FU99" s="2179"/>
      <c r="FX99" s="2176"/>
      <c r="FY99" s="2176"/>
      <c r="GB99" s="2179"/>
      <c r="GC99" s="2179"/>
      <c r="GD99" s="2179"/>
      <c r="GE99" s="2179"/>
      <c r="GF99" s="2179"/>
      <c r="GG99" s="2179"/>
      <c r="GH99" s="2179"/>
      <c r="GI99" s="2179"/>
      <c r="GJ99" s="2179"/>
      <c r="GK99" s="2179"/>
      <c r="GL99" s="2179"/>
      <c r="GN99" s="990">
        <f>VLOOKUP(GN82,GN84:GN97,1)</f>
        <v>0</v>
      </c>
      <c r="GO99" s="2245">
        <f>IFERROR(VLOOKUP(GN82,GN84:GN97,1,0),0)</f>
        <v>0</v>
      </c>
      <c r="GP99" s="990"/>
      <c r="GQ99" s="2179"/>
      <c r="GT99" s="2174"/>
      <c r="GW99" s="2179"/>
      <c r="GX99" s="2179"/>
      <c r="GY99" s="2179"/>
      <c r="GZ99" s="2179"/>
      <c r="HA99" s="2179"/>
      <c r="HB99" s="2179"/>
      <c r="HC99" s="2179"/>
      <c r="HD99" s="2179"/>
      <c r="HE99" s="2179"/>
      <c r="HF99" s="2179"/>
      <c r="HG99" s="2179"/>
      <c r="HI99" s="990">
        <f>VLOOKUP(HI82,HI84:HI97,1)</f>
        <v>0</v>
      </c>
      <c r="HJ99" s="2245">
        <f>IFERROR(VLOOKUP(HI82,HI84:HI97,1,0),0)</f>
        <v>0</v>
      </c>
      <c r="HK99" s="990"/>
      <c r="HL99" s="2179"/>
      <c r="HN99" s="2176"/>
      <c r="HO99" s="2176"/>
      <c r="HR99" s="2179"/>
      <c r="HS99" s="2179"/>
      <c r="HT99" s="2179"/>
      <c r="HU99" s="2179"/>
      <c r="HV99" s="2179"/>
      <c r="HW99" s="2179"/>
      <c r="HX99" s="2179"/>
      <c r="HY99" s="2179"/>
      <c r="HZ99" s="2179"/>
      <c r="IA99" s="2179"/>
      <c r="IB99" s="2179"/>
      <c r="ID99" s="990">
        <f>VLOOKUP(ID82,ID84:ID97,1)</f>
        <v>0</v>
      </c>
      <c r="IE99" s="2245">
        <f>IFERROR(VLOOKUP(ID82,ID84:ID97,1,0),0)</f>
        <v>0</v>
      </c>
      <c r="IF99" s="990"/>
      <c r="IG99" s="2179"/>
      <c r="IN99" s="277"/>
      <c r="IO99" s="277"/>
    </row>
    <row r="100" spans="2:249" ht="21.95" customHeight="1">
      <c r="C100" s="749" t="s">
        <v>2205</v>
      </c>
      <c r="D100" s="750">
        <f>D68</f>
        <v>300</v>
      </c>
      <c r="E100" s="751" t="s">
        <v>675</v>
      </c>
      <c r="F100" s="278" t="s">
        <v>695</v>
      </c>
      <c r="G100" s="776"/>
      <c r="S100" s="286"/>
      <c r="T100" s="286"/>
      <c r="AF100" s="2174"/>
      <c r="AG100" s="2174"/>
      <c r="AJ100" s="2179"/>
      <c r="AK100" s="2179"/>
      <c r="AL100" s="2179"/>
      <c r="AM100" s="2179"/>
      <c r="AN100" s="2179"/>
      <c r="AO100" s="2179"/>
      <c r="AP100" s="2179"/>
      <c r="AQ100" s="2179"/>
      <c r="AR100" s="2179"/>
      <c r="AS100" s="2179"/>
      <c r="AT100" s="2179"/>
      <c r="AV100" s="990" t="e">
        <f>VLOOKUP(AV99,AV84:AW97,2,0)</f>
        <v>#N/A</v>
      </c>
      <c r="AW100" s="2268" t="e">
        <f>IF(AW99&gt;0,AW99,AV100)</f>
        <v>#N/A</v>
      </c>
      <c r="AX100" s="990" t="e">
        <f>VLOOKUP(AW100,AW84:AX96,2,0)</f>
        <v>#N/A</v>
      </c>
      <c r="AY100" s="2179"/>
      <c r="BB100" s="2176"/>
      <c r="BC100" s="2176"/>
      <c r="BF100" s="2179"/>
      <c r="BG100" s="2179"/>
      <c r="BH100" s="2179"/>
      <c r="BI100" s="2179"/>
      <c r="BJ100" s="2179"/>
      <c r="BK100" s="2179"/>
      <c r="BL100" s="2179"/>
      <c r="BM100" s="2179"/>
      <c r="BN100" s="2179"/>
      <c r="BO100" s="2179"/>
      <c r="BP100" s="2179"/>
      <c r="BR100" s="990" t="e">
        <f>VLOOKUP(BR99,BR84:BS97,2,0)</f>
        <v>#N/A</v>
      </c>
      <c r="BS100" s="2268" t="e">
        <f>IF(BS99&gt;0,BS99,BR100)</f>
        <v>#N/A</v>
      </c>
      <c r="BT100" s="990" t="e">
        <f>VLOOKUP(BS100,BS84:BT96,2,0)</f>
        <v>#N/A</v>
      </c>
      <c r="BU100" s="2179"/>
      <c r="BX100" s="2174"/>
      <c r="CA100" s="2179"/>
      <c r="CB100" s="2179"/>
      <c r="CC100" s="2179"/>
      <c r="CD100" s="2179"/>
      <c r="CE100" s="2179"/>
      <c r="CF100" s="2179"/>
      <c r="CG100" s="2179"/>
      <c r="CH100" s="2179"/>
      <c r="CI100" s="2179"/>
      <c r="CJ100" s="2179"/>
      <c r="CK100" s="2179"/>
      <c r="CM100" s="990" t="e">
        <f>VLOOKUP(CM99,CM84:CN97,2,0)</f>
        <v>#N/A</v>
      </c>
      <c r="CN100" s="2268" t="e">
        <f>IF(CN99&gt;0,CN99,CM100)</f>
        <v>#N/A</v>
      </c>
      <c r="CO100" s="990" t="e">
        <f>VLOOKUP(CN100,CN84:CO96,2,0)</f>
        <v>#N/A</v>
      </c>
      <c r="CP100" s="2179"/>
      <c r="CR100" s="2176"/>
      <c r="CS100" s="2176"/>
      <c r="CV100" s="2179"/>
      <c r="CW100" s="2179"/>
      <c r="CX100" s="2179"/>
      <c r="CY100" s="2179"/>
      <c r="CZ100" s="2179"/>
      <c r="DA100" s="2179"/>
      <c r="DB100" s="2179"/>
      <c r="DC100" s="2179"/>
      <c r="DD100" s="2179"/>
      <c r="DE100" s="2179"/>
      <c r="DF100" s="2179"/>
      <c r="DH100" s="990" t="e">
        <f>VLOOKUP(DH99,DH84:DI97,2,0)</f>
        <v>#N/A</v>
      </c>
      <c r="DI100" s="2268" t="e">
        <f>IF(DI99&gt;0,DI99,DH100)</f>
        <v>#N/A</v>
      </c>
      <c r="DJ100" s="990" t="e">
        <f>VLOOKUP(DI100,DI84:DJ96,2,0)</f>
        <v>#N/A</v>
      </c>
      <c r="DK100" s="2179"/>
      <c r="DS100" s="277"/>
      <c r="DW100" s="1"/>
      <c r="DY100" s="749" t="s">
        <v>2205</v>
      </c>
      <c r="DZ100" s="750">
        <f>DZ68</f>
        <v>300</v>
      </c>
      <c r="EA100" s="751" t="s">
        <v>675</v>
      </c>
      <c r="EB100" s="278" t="s">
        <v>695</v>
      </c>
      <c r="EC100" s="776"/>
      <c r="EO100" s="286"/>
      <c r="EP100" s="286"/>
      <c r="FB100" s="2174"/>
      <c r="FC100" s="2174"/>
      <c r="FF100" s="2179"/>
      <c r="FG100" s="2179"/>
      <c r="FH100" s="2179"/>
      <c r="FI100" s="2179"/>
      <c r="FJ100" s="2179"/>
      <c r="FK100" s="2179"/>
      <c r="FL100" s="2179"/>
      <c r="FM100" s="2179"/>
      <c r="FN100" s="2179"/>
      <c r="FO100" s="2179"/>
      <c r="FP100" s="2179"/>
      <c r="FR100" s="990" t="e">
        <f>VLOOKUP(FR99,FR84:FS97,2,0)</f>
        <v>#N/A</v>
      </c>
      <c r="FS100" s="2268" t="e">
        <f>IF(FS99&gt;0,FS99,FR100)</f>
        <v>#N/A</v>
      </c>
      <c r="FT100" s="990" t="e">
        <f>VLOOKUP(FS100,FS84:FT96,2,0)</f>
        <v>#N/A</v>
      </c>
      <c r="FU100" s="2179"/>
      <c r="FX100" s="2176"/>
      <c r="FY100" s="2176"/>
      <c r="GB100" s="2179"/>
      <c r="GC100" s="2179"/>
      <c r="GD100" s="2179"/>
      <c r="GE100" s="2179"/>
      <c r="GF100" s="2179"/>
      <c r="GG100" s="2179"/>
      <c r="GH100" s="2179"/>
      <c r="GI100" s="2179"/>
      <c r="GJ100" s="2179"/>
      <c r="GK100" s="2179"/>
      <c r="GL100" s="2179"/>
      <c r="GN100" s="990" t="e">
        <f>VLOOKUP(GN99,GN84:GO97,2,0)</f>
        <v>#N/A</v>
      </c>
      <c r="GO100" s="2268" t="e">
        <f>IF(GO99&gt;0,GO99,GN100)</f>
        <v>#N/A</v>
      </c>
      <c r="GP100" s="990" t="e">
        <f>VLOOKUP(GO100,GO84:GP96,2,0)</f>
        <v>#N/A</v>
      </c>
      <c r="GQ100" s="2179"/>
      <c r="GT100" s="2174"/>
      <c r="GW100" s="2179"/>
      <c r="GX100" s="2179"/>
      <c r="GY100" s="2179"/>
      <c r="GZ100" s="2179"/>
      <c r="HA100" s="2179"/>
      <c r="HB100" s="2179"/>
      <c r="HC100" s="2179"/>
      <c r="HD100" s="2179"/>
      <c r="HE100" s="2179"/>
      <c r="HF100" s="2179"/>
      <c r="HG100" s="2179"/>
      <c r="HI100" s="990" t="e">
        <f>VLOOKUP(HI99,HI84:HJ97,2,0)</f>
        <v>#N/A</v>
      </c>
      <c r="HJ100" s="2268" t="e">
        <f>IF(HJ99&gt;0,HJ99,HI100)</f>
        <v>#N/A</v>
      </c>
      <c r="HK100" s="990" t="e">
        <f>VLOOKUP(HJ100,HJ84:HK96,2,0)</f>
        <v>#N/A</v>
      </c>
      <c r="HL100" s="2179"/>
      <c r="HN100" s="2176"/>
      <c r="HO100" s="2176"/>
      <c r="HR100" s="2179"/>
      <c r="HS100" s="2179"/>
      <c r="HT100" s="2179"/>
      <c r="HU100" s="2179"/>
      <c r="HV100" s="2179"/>
      <c r="HW100" s="2179"/>
      <c r="HX100" s="2179"/>
      <c r="HY100" s="2179"/>
      <c r="HZ100" s="2179"/>
      <c r="IA100" s="2179"/>
      <c r="IB100" s="2179"/>
      <c r="ID100" s="990" t="e">
        <f>VLOOKUP(ID99,ID84:IE97,2,0)</f>
        <v>#N/A</v>
      </c>
      <c r="IE100" s="2268" t="e">
        <f>IF(IE99&gt;0,IE99,ID100)</f>
        <v>#N/A</v>
      </c>
      <c r="IF100" s="990" t="e">
        <f>VLOOKUP(IE100,IE84:IF96,2,0)</f>
        <v>#N/A</v>
      </c>
      <c r="IG100" s="2179"/>
      <c r="IN100" s="277"/>
      <c r="IO100" s="277"/>
    </row>
    <row r="101" spans="2:249" ht="21.95" customHeight="1">
      <c r="B101" s="277">
        <v>1</v>
      </c>
      <c r="C101" s="735" t="s">
        <v>2243</v>
      </c>
      <c r="D101" s="735">
        <f>F101*D100</f>
        <v>45000</v>
      </c>
      <c r="E101" s="735">
        <v>15750</v>
      </c>
      <c r="F101" s="2353">
        <f>145+5</f>
        <v>150</v>
      </c>
      <c r="G101" s="748"/>
      <c r="H101" s="277">
        <v>145</v>
      </c>
      <c r="I101" s="277">
        <v>5</v>
      </c>
      <c r="S101" s="286"/>
      <c r="T101" s="286"/>
      <c r="AF101" s="2174"/>
      <c r="AG101" s="2174"/>
      <c r="AJ101" s="2179"/>
      <c r="AK101" s="2179"/>
      <c r="AL101" s="2179"/>
      <c r="AM101" s="2179"/>
      <c r="AN101" s="2179"/>
      <c r="AO101" s="2179"/>
      <c r="AP101" s="2179"/>
      <c r="AQ101" s="2179"/>
      <c r="AR101" s="2179"/>
      <c r="AS101" s="2179"/>
      <c r="AT101" s="2179"/>
      <c r="AV101" s="2179"/>
      <c r="AW101" s="2179"/>
      <c r="AX101" s="2179"/>
      <c r="AY101" s="2179"/>
      <c r="BB101" s="2176"/>
      <c r="BC101" s="2176"/>
      <c r="BF101" s="2179"/>
      <c r="BG101" s="2179"/>
      <c r="BH101" s="2179"/>
      <c r="BI101" s="2179"/>
      <c r="BJ101" s="2179"/>
      <c r="BK101" s="2179"/>
      <c r="BL101" s="2179"/>
      <c r="BM101" s="2179"/>
      <c r="BN101" s="2179"/>
      <c r="BO101" s="2179"/>
      <c r="BP101" s="2179"/>
      <c r="BR101" s="2179"/>
      <c r="BS101" s="2179"/>
      <c r="BT101" s="2179"/>
      <c r="BU101" s="2179"/>
      <c r="BX101" s="2174"/>
      <c r="CA101" s="2179"/>
      <c r="CB101" s="2179"/>
      <c r="CC101" s="2179"/>
      <c r="CD101" s="2179"/>
      <c r="CE101" s="2179"/>
      <c r="CF101" s="2179"/>
      <c r="CG101" s="2179"/>
      <c r="CH101" s="2179"/>
      <c r="CI101" s="2179"/>
      <c r="CJ101" s="2179"/>
      <c r="CK101" s="2179"/>
      <c r="CM101" s="2179"/>
      <c r="CN101" s="2179"/>
      <c r="CO101" s="2179"/>
      <c r="CP101" s="2179"/>
      <c r="CR101" s="2176"/>
      <c r="CS101" s="2176"/>
      <c r="CV101" s="2179"/>
      <c r="CW101" s="2179"/>
      <c r="CX101" s="2179"/>
      <c r="CY101" s="2179"/>
      <c r="CZ101" s="2179"/>
      <c r="DA101" s="2179"/>
      <c r="DB101" s="2179"/>
      <c r="DC101" s="2179"/>
      <c r="DD101" s="2179"/>
      <c r="DE101" s="2179"/>
      <c r="DF101" s="2179"/>
      <c r="DH101" s="2179"/>
      <c r="DI101" s="2179"/>
      <c r="DJ101" s="2179"/>
      <c r="DK101" s="2179"/>
      <c r="DS101" s="277"/>
      <c r="DW101" s="1"/>
      <c r="DX101" s="277">
        <v>1</v>
      </c>
      <c r="DY101" s="735" t="s">
        <v>2243</v>
      </c>
      <c r="DZ101" s="735">
        <f>EB101*DZ100</f>
        <v>45000</v>
      </c>
      <c r="EA101" s="735">
        <v>15750</v>
      </c>
      <c r="EB101" s="2353">
        <f>145+5</f>
        <v>150</v>
      </c>
      <c r="EC101" s="748"/>
      <c r="ED101" s="277">
        <v>145</v>
      </c>
      <c r="EE101" s="277">
        <v>5</v>
      </c>
      <c r="EO101" s="286"/>
      <c r="EP101" s="286"/>
      <c r="FB101" s="2174"/>
      <c r="FC101" s="2174"/>
      <c r="FF101" s="2179"/>
      <c r="FG101" s="2179"/>
      <c r="FH101" s="2179"/>
      <c r="FI101" s="2179"/>
      <c r="FJ101" s="2179"/>
      <c r="FK101" s="2179"/>
      <c r="FL101" s="2179"/>
      <c r="FM101" s="2179"/>
      <c r="FN101" s="2179"/>
      <c r="FO101" s="2179"/>
      <c r="FP101" s="2179"/>
      <c r="FR101" s="2179"/>
      <c r="FS101" s="2179"/>
      <c r="FT101" s="2179"/>
      <c r="FU101" s="2179"/>
      <c r="FX101" s="2176"/>
      <c r="FY101" s="2176"/>
      <c r="GB101" s="2179"/>
      <c r="GC101" s="2179"/>
      <c r="GD101" s="2179"/>
      <c r="GE101" s="2179"/>
      <c r="GF101" s="2179"/>
      <c r="GG101" s="2179"/>
      <c r="GH101" s="2179"/>
      <c r="GI101" s="2179"/>
      <c r="GJ101" s="2179"/>
      <c r="GK101" s="2179"/>
      <c r="GL101" s="2179"/>
      <c r="GN101" s="2179"/>
      <c r="GO101" s="2179"/>
      <c r="GP101" s="2179"/>
      <c r="GQ101" s="2179"/>
      <c r="GT101" s="2174"/>
      <c r="GW101" s="2179"/>
      <c r="GX101" s="2179"/>
      <c r="GY101" s="2179"/>
      <c r="GZ101" s="2179"/>
      <c r="HA101" s="2179"/>
      <c r="HB101" s="2179"/>
      <c r="HC101" s="2179"/>
      <c r="HD101" s="2179"/>
      <c r="HE101" s="2179"/>
      <c r="HF101" s="2179"/>
      <c r="HG101" s="2179"/>
      <c r="HI101" s="2179"/>
      <c r="HJ101" s="2179"/>
      <c r="HK101" s="2179"/>
      <c r="HL101" s="2179"/>
      <c r="HN101" s="2176"/>
      <c r="HO101" s="2176"/>
      <c r="HR101" s="2179"/>
      <c r="HS101" s="2179"/>
      <c r="HT101" s="2179"/>
      <c r="HU101" s="2179"/>
      <c r="HV101" s="2179"/>
      <c r="HW101" s="2179"/>
      <c r="HX101" s="2179"/>
      <c r="HY101" s="2179"/>
      <c r="HZ101" s="2179"/>
      <c r="IA101" s="2179"/>
      <c r="IB101" s="2179"/>
      <c r="ID101" s="2179"/>
      <c r="IE101" s="2179"/>
      <c r="IF101" s="2179"/>
      <c r="IG101" s="2179"/>
      <c r="IN101" s="277"/>
      <c r="IO101" s="277"/>
    </row>
    <row r="102" spans="2:249" ht="21.95" customHeight="1">
      <c r="B102" s="277">
        <v>2</v>
      </c>
      <c r="C102" s="735" t="s">
        <v>2244</v>
      </c>
      <c r="D102" s="735">
        <f>F102*D100</f>
        <v>62400</v>
      </c>
      <c r="E102" s="735">
        <v>23100</v>
      </c>
      <c r="F102" s="2353">
        <f>200+8</f>
        <v>208</v>
      </c>
      <c r="G102" s="748"/>
      <c r="H102" s="277">
        <v>200</v>
      </c>
      <c r="I102" s="277">
        <v>8</v>
      </c>
      <c r="S102" s="286"/>
      <c r="T102" s="286"/>
      <c r="AF102" s="2174"/>
      <c r="AG102" s="2174"/>
      <c r="AJ102" s="2179"/>
      <c r="AK102" s="2179"/>
      <c r="AL102" s="2179"/>
      <c r="AM102" s="2179"/>
      <c r="AN102" s="2179"/>
      <c r="AO102" s="2179"/>
      <c r="AP102" s="2179"/>
      <c r="AQ102" s="2179"/>
      <c r="AR102" s="2179"/>
      <c r="AS102" s="2179"/>
      <c r="AT102" s="2179"/>
      <c r="AV102" s="2179"/>
      <c r="AW102" s="2179"/>
      <c r="AX102" s="2179"/>
      <c r="AY102" s="2179"/>
      <c r="BB102" s="2176"/>
      <c r="BC102" s="2176"/>
      <c r="BF102" s="2179"/>
      <c r="BG102" s="2179"/>
      <c r="BH102" s="2179"/>
      <c r="BI102" s="2179"/>
      <c r="BJ102" s="2179"/>
      <c r="BK102" s="2179"/>
      <c r="BL102" s="2179"/>
      <c r="BM102" s="2179"/>
      <c r="BN102" s="2179"/>
      <c r="BO102" s="2179"/>
      <c r="BP102" s="2179"/>
      <c r="BR102" s="2179"/>
      <c r="BS102" s="2179"/>
      <c r="BT102" s="2179"/>
      <c r="BU102" s="2179"/>
      <c r="BX102" s="2174"/>
      <c r="CA102" s="2179"/>
      <c r="CB102" s="2179"/>
      <c r="CC102" s="2179"/>
      <c r="CD102" s="2179"/>
      <c r="CE102" s="2179"/>
      <c r="CF102" s="2179"/>
      <c r="CG102" s="2179"/>
      <c r="CH102" s="2179"/>
      <c r="CI102" s="2179"/>
      <c r="CJ102" s="2179"/>
      <c r="CK102" s="2179"/>
      <c r="CM102" s="2179"/>
      <c r="CN102" s="2179"/>
      <c r="CO102" s="2179"/>
      <c r="CP102" s="2179"/>
      <c r="CR102" s="2176"/>
      <c r="CS102" s="2176"/>
      <c r="CV102" s="2179"/>
      <c r="CW102" s="2179"/>
      <c r="CX102" s="2179"/>
      <c r="CY102" s="2179"/>
      <c r="CZ102" s="2179"/>
      <c r="DA102" s="2179"/>
      <c r="DB102" s="2179"/>
      <c r="DC102" s="2179"/>
      <c r="DD102" s="2179"/>
      <c r="DE102" s="2179"/>
      <c r="DF102" s="2179"/>
      <c r="DH102" s="2179"/>
      <c r="DI102" s="2179"/>
      <c r="DJ102" s="2179"/>
      <c r="DK102" s="2179"/>
      <c r="DS102" s="277"/>
      <c r="DW102" s="1"/>
      <c r="DX102" s="277">
        <v>2</v>
      </c>
      <c r="DY102" s="735" t="s">
        <v>2244</v>
      </c>
      <c r="DZ102" s="735">
        <f>EB102*DZ100</f>
        <v>62400</v>
      </c>
      <c r="EA102" s="735">
        <v>23100</v>
      </c>
      <c r="EB102" s="2353">
        <f>200+8</f>
        <v>208</v>
      </c>
      <c r="EC102" s="748"/>
      <c r="ED102" s="277">
        <v>200</v>
      </c>
      <c r="EE102" s="277">
        <v>8</v>
      </c>
      <c r="EO102" s="286"/>
      <c r="EP102" s="286"/>
      <c r="FB102" s="2174"/>
      <c r="FC102" s="2174"/>
      <c r="FF102" s="2179"/>
      <c r="FG102" s="2179"/>
      <c r="FH102" s="2179"/>
      <c r="FI102" s="2179"/>
      <c r="FJ102" s="2179"/>
      <c r="FK102" s="2179"/>
      <c r="FL102" s="2179"/>
      <c r="FM102" s="2179"/>
      <c r="FN102" s="2179"/>
      <c r="FO102" s="2179"/>
      <c r="FP102" s="2179"/>
      <c r="FR102" s="2179"/>
      <c r="FS102" s="2179"/>
      <c r="FT102" s="2179"/>
      <c r="FU102" s="2179"/>
      <c r="FX102" s="2176"/>
      <c r="FY102" s="2176"/>
      <c r="GB102" s="2179"/>
      <c r="GC102" s="2179"/>
      <c r="GD102" s="2179"/>
      <c r="GE102" s="2179"/>
      <c r="GF102" s="2179"/>
      <c r="GG102" s="2179"/>
      <c r="GH102" s="2179"/>
      <c r="GI102" s="2179"/>
      <c r="GJ102" s="2179"/>
      <c r="GK102" s="2179"/>
      <c r="GL102" s="2179"/>
      <c r="GN102" s="2179"/>
      <c r="GO102" s="2179"/>
      <c r="GP102" s="2179"/>
      <c r="GQ102" s="2179"/>
      <c r="GT102" s="2174"/>
      <c r="GW102" s="2179"/>
      <c r="GX102" s="2179"/>
      <c r="GY102" s="2179"/>
      <c r="GZ102" s="2179"/>
      <c r="HA102" s="2179"/>
      <c r="HB102" s="2179"/>
      <c r="HC102" s="2179"/>
      <c r="HD102" s="2179"/>
      <c r="HE102" s="2179"/>
      <c r="HF102" s="2179"/>
      <c r="HG102" s="2179"/>
      <c r="HI102" s="2179"/>
      <c r="HJ102" s="2179"/>
      <c r="HK102" s="2179"/>
      <c r="HL102" s="2179"/>
      <c r="HN102" s="2176"/>
      <c r="HO102" s="2176"/>
      <c r="HR102" s="2179"/>
      <c r="HS102" s="2179"/>
      <c r="HT102" s="2179"/>
      <c r="HU102" s="2179"/>
      <c r="HV102" s="2179"/>
      <c r="HW102" s="2179"/>
      <c r="HX102" s="2179"/>
      <c r="HY102" s="2179"/>
      <c r="HZ102" s="2179"/>
      <c r="IA102" s="2179"/>
      <c r="IB102" s="2179"/>
      <c r="ID102" s="2179"/>
      <c r="IE102" s="2179"/>
      <c r="IF102" s="2179"/>
      <c r="IG102" s="2179"/>
      <c r="IN102" s="277"/>
      <c r="IO102" s="277"/>
    </row>
    <row r="103" spans="2:249" ht="21.95" customHeight="1" thickBot="1">
      <c r="B103" s="277">
        <v>3</v>
      </c>
      <c r="C103" s="735" t="s">
        <v>2245</v>
      </c>
      <c r="D103" s="735">
        <f>F103*D100</f>
        <v>84300</v>
      </c>
      <c r="E103" s="735">
        <v>26250</v>
      </c>
      <c r="F103" s="2353">
        <f>270+11</f>
        <v>281</v>
      </c>
      <c r="G103" s="748"/>
      <c r="H103" s="277">
        <v>270</v>
      </c>
      <c r="I103" s="277">
        <v>11</v>
      </c>
      <c r="S103" s="286"/>
      <c r="T103" s="286"/>
      <c r="AF103" s="2174"/>
      <c r="AG103" s="2174"/>
      <c r="AJ103" s="2179"/>
      <c r="AK103" s="2179"/>
      <c r="AL103" s="2179"/>
      <c r="AM103" s="2179"/>
      <c r="AN103" s="2179"/>
      <c r="AO103" s="2179"/>
      <c r="AP103" s="2179"/>
      <c r="AQ103" s="2179"/>
      <c r="AR103" s="2179"/>
      <c r="AS103" s="2179"/>
      <c r="AT103" s="2179"/>
      <c r="AV103" s="2255">
        <f>AV82</f>
        <v>0.75631178540277322</v>
      </c>
      <c r="AW103" s="2269">
        <f>AW82</f>
        <v>80</v>
      </c>
      <c r="AX103" s="2270">
        <f>IFERROR(AW121,0)</f>
        <v>0</v>
      </c>
      <c r="AY103" s="2179"/>
      <c r="BB103" s="2176"/>
      <c r="BC103" s="2176"/>
      <c r="BF103" s="2179"/>
      <c r="BG103" s="2179"/>
      <c r="BH103" s="2179"/>
      <c r="BI103" s="2179"/>
      <c r="BJ103" s="2179"/>
      <c r="BK103" s="2179"/>
      <c r="BL103" s="2179"/>
      <c r="BM103" s="2179"/>
      <c r="BN103" s="2179"/>
      <c r="BO103" s="2179"/>
      <c r="BP103" s="2179"/>
      <c r="BR103" s="2255">
        <f>BR82</f>
        <v>0.75631178540277322</v>
      </c>
      <c r="BS103" s="2269">
        <f>BS82</f>
        <v>71</v>
      </c>
      <c r="BT103" s="2270">
        <f>IFERROR(BS121,0)</f>
        <v>0</v>
      </c>
      <c r="BU103" s="2179"/>
      <c r="BX103" s="2174"/>
      <c r="CA103" s="2179"/>
      <c r="CB103" s="2179"/>
      <c r="CC103" s="2179"/>
      <c r="CD103" s="2179"/>
      <c r="CE103" s="2179"/>
      <c r="CF103" s="2179"/>
      <c r="CG103" s="2179"/>
      <c r="CH103" s="2179"/>
      <c r="CI103" s="2179"/>
      <c r="CJ103" s="2179"/>
      <c r="CK103" s="2179"/>
      <c r="CM103" s="2255">
        <f>CM82</f>
        <v>0.75631178540277322</v>
      </c>
      <c r="CN103" s="2269">
        <f>CN82</f>
        <v>78.2</v>
      </c>
      <c r="CO103" s="2270">
        <f>IFERROR(CN121,0)</f>
        <v>0</v>
      </c>
      <c r="CP103" s="2179"/>
      <c r="CR103" s="2176"/>
      <c r="CS103" s="2176"/>
      <c r="CV103" s="2179"/>
      <c r="CW103" s="2179"/>
      <c r="CX103" s="2179"/>
      <c r="CY103" s="2179"/>
      <c r="CZ103" s="2179"/>
      <c r="DA103" s="2179"/>
      <c r="DB103" s="2179"/>
      <c r="DC103" s="2179"/>
      <c r="DD103" s="2179"/>
      <c r="DE103" s="2179"/>
      <c r="DF103" s="2179"/>
      <c r="DH103" s="2255">
        <f>DH82</f>
        <v>0.75631178540277322</v>
      </c>
      <c r="DI103" s="2269">
        <f>DI82</f>
        <v>70.599999999999994</v>
      </c>
      <c r="DJ103" s="2270">
        <f>IFERROR(DI121,0)</f>
        <v>0</v>
      </c>
      <c r="DK103" s="2179"/>
      <c r="DS103" s="277"/>
      <c r="DW103" s="1"/>
      <c r="DX103" s="277">
        <v>3</v>
      </c>
      <c r="DY103" s="735" t="s">
        <v>2245</v>
      </c>
      <c r="DZ103" s="735">
        <f>EB103*DZ100</f>
        <v>84300</v>
      </c>
      <c r="EA103" s="735">
        <v>26250</v>
      </c>
      <c r="EB103" s="2353">
        <f>270+11</f>
        <v>281</v>
      </c>
      <c r="EC103" s="748"/>
      <c r="ED103" s="277">
        <v>270</v>
      </c>
      <c r="EE103" s="277">
        <v>11</v>
      </c>
      <c r="EO103" s="286"/>
      <c r="EP103" s="286"/>
      <c r="FB103" s="2174"/>
      <c r="FC103" s="2174"/>
      <c r="FF103" s="2179"/>
      <c r="FG103" s="2179"/>
      <c r="FH103" s="2179"/>
      <c r="FI103" s="2179"/>
      <c r="FJ103" s="2179"/>
      <c r="FK103" s="2179"/>
      <c r="FL103" s="2179"/>
      <c r="FM103" s="2179"/>
      <c r="FN103" s="2179"/>
      <c r="FO103" s="2179"/>
      <c r="FP103" s="2179"/>
      <c r="FR103" s="2255">
        <f>FR82</f>
        <v>1.3354563802212776</v>
      </c>
      <c r="FS103" s="2269">
        <f>FS82</f>
        <v>50</v>
      </c>
      <c r="FT103" s="2270">
        <f>IFERROR(FS121,0)</f>
        <v>11</v>
      </c>
      <c r="FU103" s="2179"/>
      <c r="FX103" s="2176"/>
      <c r="FY103" s="2176"/>
      <c r="GB103" s="2179"/>
      <c r="GC103" s="2179"/>
      <c r="GD103" s="2179"/>
      <c r="GE103" s="2179"/>
      <c r="GF103" s="2179"/>
      <c r="GG103" s="2179"/>
      <c r="GH103" s="2179"/>
      <c r="GI103" s="2179"/>
      <c r="GJ103" s="2179"/>
      <c r="GK103" s="2179"/>
      <c r="GL103" s="2179"/>
      <c r="GN103" s="2255">
        <f>GN82</f>
        <v>1.3354563802212776</v>
      </c>
      <c r="GO103" s="2269">
        <f>GO82</f>
        <v>45</v>
      </c>
      <c r="GP103" s="2270">
        <f>IFERROR(GO121,0)</f>
        <v>12</v>
      </c>
      <c r="GQ103" s="2179"/>
      <c r="GT103" s="2174"/>
      <c r="GW103" s="2179"/>
      <c r="GX103" s="2179"/>
      <c r="GY103" s="2179"/>
      <c r="GZ103" s="2179"/>
      <c r="HA103" s="2179"/>
      <c r="HB103" s="2179"/>
      <c r="HC103" s="2179"/>
      <c r="HD103" s="2179"/>
      <c r="HE103" s="2179"/>
      <c r="HF103" s="2179"/>
      <c r="HG103" s="2179"/>
      <c r="HI103" s="2255">
        <f>HI82</f>
        <v>1.3354563802212776</v>
      </c>
      <c r="HJ103" s="2269">
        <f>HJ82</f>
        <v>47.1</v>
      </c>
      <c r="HK103" s="2270">
        <f>IFERROR(HJ121,0)</f>
        <v>0</v>
      </c>
      <c r="HL103" s="2179"/>
      <c r="HN103" s="2176"/>
      <c r="HO103" s="2176"/>
      <c r="HR103" s="2179"/>
      <c r="HS103" s="2179"/>
      <c r="HT103" s="2179"/>
      <c r="HU103" s="2179"/>
      <c r="HV103" s="2179"/>
      <c r="HW103" s="2179"/>
      <c r="HX103" s="2179"/>
      <c r="HY103" s="2179"/>
      <c r="HZ103" s="2179"/>
      <c r="IA103" s="2179"/>
      <c r="IB103" s="2179"/>
      <c r="ID103" s="2255">
        <f>ID82</f>
        <v>1.3354563802212776</v>
      </c>
      <c r="IE103" s="2269">
        <f>IE82</f>
        <v>42.5</v>
      </c>
      <c r="IF103" s="2270">
        <f>IFERROR(IE121,0)</f>
        <v>0</v>
      </c>
      <c r="IG103" s="2179"/>
      <c r="IN103" s="277"/>
      <c r="IO103" s="277"/>
    </row>
    <row r="104" spans="2:249" ht="21.95" customHeight="1" thickBot="1">
      <c r="B104" s="277">
        <v>4</v>
      </c>
      <c r="C104" s="735" t="s">
        <v>2246</v>
      </c>
      <c r="D104" s="735">
        <f>F104*D100</f>
        <v>112200</v>
      </c>
      <c r="E104" s="735">
        <v>29400</v>
      </c>
      <c r="F104" s="2353">
        <f>360+14</f>
        <v>374</v>
      </c>
      <c r="G104" s="748"/>
      <c r="H104" s="277">
        <v>360</v>
      </c>
      <c r="I104" s="277">
        <v>14</v>
      </c>
      <c r="S104" s="286"/>
      <c r="T104" s="286"/>
      <c r="AF104" s="2174"/>
      <c r="AG104" s="2174"/>
      <c r="AJ104" s="2258" t="s">
        <v>730</v>
      </c>
      <c r="AK104" s="2271">
        <v>18</v>
      </c>
      <c r="AL104" s="2271">
        <v>20</v>
      </c>
      <c r="AM104" s="2271">
        <v>22.4</v>
      </c>
      <c r="AN104" s="2271">
        <v>25</v>
      </c>
      <c r="AO104" s="2271">
        <v>28</v>
      </c>
      <c r="AP104" s="2271">
        <v>31.5</v>
      </c>
      <c r="AQ104" s="2271">
        <v>35.5</v>
      </c>
      <c r="AR104" s="2271">
        <v>40</v>
      </c>
      <c r="AS104" s="2271">
        <v>45</v>
      </c>
      <c r="AT104" s="6">
        <v>50</v>
      </c>
      <c r="AV104" s="990"/>
      <c r="AW104" s="990"/>
      <c r="AX104" s="2270">
        <f>IFERROR(AX121,0)</f>
        <v>0</v>
      </c>
      <c r="AY104" s="2179"/>
      <c r="BB104" s="2176"/>
      <c r="BC104" s="2176"/>
      <c r="BF104" s="2258" t="s">
        <v>730</v>
      </c>
      <c r="BG104" s="2271">
        <v>18</v>
      </c>
      <c r="BH104" s="2271">
        <v>20</v>
      </c>
      <c r="BI104" s="2271">
        <v>22.4</v>
      </c>
      <c r="BJ104" s="2271">
        <v>25</v>
      </c>
      <c r="BK104" s="2271">
        <v>28</v>
      </c>
      <c r="BL104" s="2271">
        <v>31.5</v>
      </c>
      <c r="BM104" s="2271">
        <v>35.5</v>
      </c>
      <c r="BN104" s="2271">
        <v>40</v>
      </c>
      <c r="BO104" s="2271">
        <v>45</v>
      </c>
      <c r="BP104" s="6">
        <v>50</v>
      </c>
      <c r="BR104" s="990"/>
      <c r="BS104" s="990"/>
      <c r="BT104" s="2270">
        <f>IFERROR(BT121,0)</f>
        <v>0</v>
      </c>
      <c r="BU104" s="2179"/>
      <c r="BX104" s="2174"/>
      <c r="CA104" s="2260" t="s">
        <v>730</v>
      </c>
      <c r="CB104" s="2272">
        <v>14</v>
      </c>
      <c r="CC104" s="2272">
        <v>15.4</v>
      </c>
      <c r="CD104" s="2272">
        <v>17.100000000000001</v>
      </c>
      <c r="CE104" s="2272">
        <v>18.899999999999999</v>
      </c>
      <c r="CF104" s="2272">
        <v>20.9</v>
      </c>
      <c r="CG104" s="2272">
        <v>23.2</v>
      </c>
      <c r="CH104" s="2272">
        <v>25.6</v>
      </c>
      <c r="CI104" s="2272">
        <v>28.4</v>
      </c>
      <c r="CJ104" s="2273">
        <v>31.4</v>
      </c>
      <c r="CK104" s="2179"/>
      <c r="CM104" s="990"/>
      <c r="CN104" s="990"/>
      <c r="CO104" s="2270">
        <f>IFERROR(CO121,0)</f>
        <v>0</v>
      </c>
      <c r="CP104" s="2179"/>
      <c r="CR104" s="2176"/>
      <c r="CS104" s="2176"/>
      <c r="CV104" s="2260" t="s">
        <v>730</v>
      </c>
      <c r="CW104" s="2272">
        <v>14</v>
      </c>
      <c r="CX104" s="2272">
        <v>15.4</v>
      </c>
      <c r="CY104" s="2272">
        <v>17.100000000000001</v>
      </c>
      <c r="CZ104" s="2272">
        <v>18.899999999999999</v>
      </c>
      <c r="DA104" s="2272">
        <v>20.9</v>
      </c>
      <c r="DB104" s="2272">
        <v>23.2</v>
      </c>
      <c r="DC104" s="2272">
        <v>25.6</v>
      </c>
      <c r="DD104" s="2272">
        <v>28.4</v>
      </c>
      <c r="DE104" s="2273">
        <v>31.4</v>
      </c>
      <c r="DF104" s="2179"/>
      <c r="DH104" s="990"/>
      <c r="DI104" s="990"/>
      <c r="DJ104" s="2270">
        <f>IFERROR(DJ121,0)</f>
        <v>0</v>
      </c>
      <c r="DK104" s="2179"/>
      <c r="DS104" s="277"/>
      <c r="DW104" s="1"/>
      <c r="DX104" s="277">
        <v>4</v>
      </c>
      <c r="DY104" s="735" t="s">
        <v>2246</v>
      </c>
      <c r="DZ104" s="735">
        <f>EB104*DZ100</f>
        <v>112200</v>
      </c>
      <c r="EA104" s="735">
        <v>29400</v>
      </c>
      <c r="EB104" s="2353">
        <f>360+14</f>
        <v>374</v>
      </c>
      <c r="EC104" s="748"/>
      <c r="ED104" s="277">
        <v>360</v>
      </c>
      <c r="EE104" s="277">
        <v>14</v>
      </c>
      <c r="EO104" s="286"/>
      <c r="EP104" s="286"/>
      <c r="FB104" s="2174"/>
      <c r="FC104" s="2174"/>
      <c r="FF104" s="2258" t="s">
        <v>730</v>
      </c>
      <c r="FG104" s="2271">
        <v>18</v>
      </c>
      <c r="FH104" s="2271">
        <v>20</v>
      </c>
      <c r="FI104" s="2271">
        <v>22.4</v>
      </c>
      <c r="FJ104" s="2271">
        <v>25</v>
      </c>
      <c r="FK104" s="2271">
        <v>28</v>
      </c>
      <c r="FL104" s="2271">
        <v>31.5</v>
      </c>
      <c r="FM104" s="2271">
        <v>35.5</v>
      </c>
      <c r="FN104" s="2271">
        <v>40</v>
      </c>
      <c r="FO104" s="2271">
        <v>45</v>
      </c>
      <c r="FP104" s="6">
        <v>50</v>
      </c>
      <c r="FR104" s="990"/>
      <c r="FS104" s="990"/>
      <c r="FT104" s="2270">
        <f>IFERROR(FT121,0)</f>
        <v>160</v>
      </c>
      <c r="FU104" s="2179"/>
      <c r="FX104" s="2176"/>
      <c r="FY104" s="2176"/>
      <c r="GB104" s="2258" t="s">
        <v>730</v>
      </c>
      <c r="GC104" s="2271">
        <v>18</v>
      </c>
      <c r="GD104" s="2271">
        <v>20</v>
      </c>
      <c r="GE104" s="2271">
        <v>22.4</v>
      </c>
      <c r="GF104" s="2271">
        <v>25</v>
      </c>
      <c r="GG104" s="2271">
        <v>28</v>
      </c>
      <c r="GH104" s="2271">
        <v>31.5</v>
      </c>
      <c r="GI104" s="2271">
        <v>35.5</v>
      </c>
      <c r="GJ104" s="2271">
        <v>40</v>
      </c>
      <c r="GK104" s="2271">
        <v>45</v>
      </c>
      <c r="GL104" s="6">
        <v>50</v>
      </c>
      <c r="GN104" s="990"/>
      <c r="GO104" s="990"/>
      <c r="GP104" s="2270">
        <f>IFERROR(GP121,0)</f>
        <v>160</v>
      </c>
      <c r="GQ104" s="2179"/>
      <c r="GT104" s="2174"/>
      <c r="GW104" s="2260" t="s">
        <v>730</v>
      </c>
      <c r="GX104" s="2272">
        <v>14</v>
      </c>
      <c r="GY104" s="2272">
        <v>15.4</v>
      </c>
      <c r="GZ104" s="2272">
        <v>17.100000000000001</v>
      </c>
      <c r="HA104" s="2272">
        <v>18.899999999999999</v>
      </c>
      <c r="HB104" s="2272">
        <v>20.9</v>
      </c>
      <c r="HC104" s="2272">
        <v>23.2</v>
      </c>
      <c r="HD104" s="2272">
        <v>25.6</v>
      </c>
      <c r="HE104" s="2272">
        <v>28.4</v>
      </c>
      <c r="HF104" s="2273">
        <v>31.4</v>
      </c>
      <c r="HG104" s="2179"/>
      <c r="HI104" s="990"/>
      <c r="HJ104" s="990"/>
      <c r="HK104" s="2270">
        <f>IFERROR(HK121,0)</f>
        <v>0</v>
      </c>
      <c r="HL104" s="2179"/>
      <c r="HN104" s="2176"/>
      <c r="HO104" s="2176"/>
      <c r="HR104" s="2260" t="s">
        <v>730</v>
      </c>
      <c r="HS104" s="2272">
        <v>14</v>
      </c>
      <c r="HT104" s="2272">
        <v>15.4</v>
      </c>
      <c r="HU104" s="2272">
        <v>17.100000000000001</v>
      </c>
      <c r="HV104" s="2272">
        <v>18.899999999999999</v>
      </c>
      <c r="HW104" s="2272">
        <v>20.9</v>
      </c>
      <c r="HX104" s="2272">
        <v>23.2</v>
      </c>
      <c r="HY104" s="2272">
        <v>25.6</v>
      </c>
      <c r="HZ104" s="2272">
        <v>28.4</v>
      </c>
      <c r="IA104" s="2273">
        <v>31.4</v>
      </c>
      <c r="IB104" s="2179"/>
      <c r="ID104" s="990"/>
      <c r="IE104" s="990"/>
      <c r="IF104" s="2270">
        <f>IFERROR(IF121,0)</f>
        <v>0</v>
      </c>
      <c r="IG104" s="2179"/>
      <c r="IN104" s="277"/>
      <c r="IO104" s="277"/>
    </row>
    <row r="105" spans="2:249" ht="21.95" customHeight="1">
      <c r="B105" s="277">
        <v>5</v>
      </c>
      <c r="C105" s="735" t="s">
        <v>2247</v>
      </c>
      <c r="D105" s="735">
        <f>F105*D100</f>
        <v>153300</v>
      </c>
      <c r="E105" s="735">
        <v>33600</v>
      </c>
      <c r="F105" s="2353">
        <f>490+21</f>
        <v>511</v>
      </c>
      <c r="G105" s="748"/>
      <c r="H105" s="277">
        <v>490</v>
      </c>
      <c r="I105" s="277">
        <v>21</v>
      </c>
      <c r="S105" s="286"/>
      <c r="T105" s="286"/>
      <c r="AF105" s="2174"/>
      <c r="AG105" s="2174"/>
      <c r="AJ105" s="7">
        <v>160</v>
      </c>
      <c r="AK105" s="280">
        <v>30</v>
      </c>
      <c r="AL105" s="280">
        <v>27</v>
      </c>
      <c r="AM105" s="280">
        <v>24</v>
      </c>
      <c r="AN105" s="280">
        <v>20</v>
      </c>
      <c r="AO105" s="280">
        <v>18</v>
      </c>
      <c r="AP105" s="280">
        <v>16</v>
      </c>
      <c r="AQ105" s="280">
        <v>15</v>
      </c>
      <c r="AR105" s="280">
        <v>14</v>
      </c>
      <c r="AS105" s="280">
        <v>12</v>
      </c>
      <c r="AT105" s="990">
        <v>11</v>
      </c>
      <c r="AV105" s="990">
        <v>0</v>
      </c>
      <c r="AW105" s="2237" t="e">
        <f t="shared" ref="AW105:AW117" si="43">+AV106</f>
        <v>#N/A</v>
      </c>
      <c r="AX105" s="2264">
        <v>160</v>
      </c>
      <c r="AY105" s="2179"/>
      <c r="BB105" s="2176"/>
      <c r="BC105" s="2176"/>
      <c r="BF105" s="7">
        <v>160</v>
      </c>
      <c r="BG105" s="280">
        <v>30</v>
      </c>
      <c r="BH105" s="280">
        <v>27</v>
      </c>
      <c r="BI105" s="280">
        <v>24</v>
      </c>
      <c r="BJ105" s="280">
        <v>20</v>
      </c>
      <c r="BK105" s="280">
        <v>18</v>
      </c>
      <c r="BL105" s="280">
        <v>16</v>
      </c>
      <c r="BM105" s="280">
        <v>15</v>
      </c>
      <c r="BN105" s="280">
        <v>14</v>
      </c>
      <c r="BO105" s="280">
        <v>12</v>
      </c>
      <c r="BP105" s="990">
        <v>11</v>
      </c>
      <c r="BR105" s="990">
        <v>0</v>
      </c>
      <c r="BS105" s="2237" t="e">
        <f t="shared" ref="BS105:BS117" si="44">+BR106</f>
        <v>#N/A</v>
      </c>
      <c r="BT105" s="2264">
        <v>160</v>
      </c>
      <c r="BU105" s="2179"/>
      <c r="BX105" s="2174"/>
      <c r="CA105" s="2264">
        <v>140</v>
      </c>
      <c r="CB105" s="2238">
        <v>26.9</v>
      </c>
      <c r="CC105" s="2238">
        <v>23.8</v>
      </c>
      <c r="CD105" s="2238">
        <v>21.5</v>
      </c>
      <c r="CE105" s="2238">
        <v>19.100000000000001</v>
      </c>
      <c r="CF105" s="2238">
        <v>16.600000000000001</v>
      </c>
      <c r="CG105" s="2238">
        <v>14.9</v>
      </c>
      <c r="CH105" s="2238">
        <v>14.8</v>
      </c>
      <c r="CI105" s="2238">
        <v>14</v>
      </c>
      <c r="CJ105" s="2239">
        <v>11.5</v>
      </c>
      <c r="CK105" s="2179"/>
      <c r="CM105" s="990">
        <v>0</v>
      </c>
      <c r="CN105" s="2237" t="e">
        <f t="shared" ref="CN105:CN117" si="45">+CM106</f>
        <v>#N/A</v>
      </c>
      <c r="CO105" s="735">
        <v>140</v>
      </c>
      <c r="CP105" s="2179"/>
      <c r="CR105" s="2176"/>
      <c r="CS105" s="2176"/>
      <c r="CV105" s="2264">
        <v>140</v>
      </c>
      <c r="CW105" s="2238">
        <v>26.9</v>
      </c>
      <c r="CX105" s="2238">
        <v>23.8</v>
      </c>
      <c r="CY105" s="2238">
        <v>21.5</v>
      </c>
      <c r="CZ105" s="2238">
        <v>19.100000000000001</v>
      </c>
      <c r="DA105" s="2238">
        <v>16.600000000000001</v>
      </c>
      <c r="DB105" s="2238">
        <v>14.9</v>
      </c>
      <c r="DC105" s="2238">
        <v>14.8</v>
      </c>
      <c r="DD105" s="2238">
        <v>14</v>
      </c>
      <c r="DE105" s="2239">
        <v>11.5</v>
      </c>
      <c r="DF105" s="2179"/>
      <c r="DH105" s="990">
        <v>0</v>
      </c>
      <c r="DI105" s="2237" t="e">
        <f t="shared" ref="DI105:DI117" si="46">+DH106</f>
        <v>#N/A</v>
      </c>
      <c r="DJ105" s="735">
        <v>140</v>
      </c>
      <c r="DK105" s="2179"/>
      <c r="DS105" s="277"/>
      <c r="DW105" s="1"/>
      <c r="DX105" s="277">
        <v>5</v>
      </c>
      <c r="DY105" s="735" t="s">
        <v>2247</v>
      </c>
      <c r="DZ105" s="735">
        <f>EB105*DZ100</f>
        <v>153300</v>
      </c>
      <c r="EA105" s="735">
        <v>33600</v>
      </c>
      <c r="EB105" s="2353">
        <f>490+21</f>
        <v>511</v>
      </c>
      <c r="EC105" s="748"/>
      <c r="ED105" s="277">
        <v>490</v>
      </c>
      <c r="EE105" s="277">
        <v>21</v>
      </c>
      <c r="EO105" s="286"/>
      <c r="EP105" s="286"/>
      <c r="FB105" s="2174"/>
      <c r="FC105" s="2174"/>
      <c r="FF105" s="7">
        <v>160</v>
      </c>
      <c r="FG105" s="280">
        <v>30</v>
      </c>
      <c r="FH105" s="280">
        <v>27</v>
      </c>
      <c r="FI105" s="280">
        <v>24</v>
      </c>
      <c r="FJ105" s="280">
        <v>20</v>
      </c>
      <c r="FK105" s="280">
        <v>18</v>
      </c>
      <c r="FL105" s="280">
        <v>16</v>
      </c>
      <c r="FM105" s="280">
        <v>15</v>
      </c>
      <c r="FN105" s="280">
        <v>14</v>
      </c>
      <c r="FO105" s="280">
        <v>12</v>
      </c>
      <c r="FP105" s="990">
        <v>11</v>
      </c>
      <c r="FR105" s="990">
        <v>0</v>
      </c>
      <c r="FS105" s="2237">
        <f t="shared" ref="FS105:FS117" si="47">+FR106</f>
        <v>11</v>
      </c>
      <c r="FT105" s="2264">
        <v>160</v>
      </c>
      <c r="FU105" s="2179"/>
      <c r="FX105" s="2176"/>
      <c r="FY105" s="2176"/>
      <c r="GB105" s="7">
        <v>160</v>
      </c>
      <c r="GC105" s="280">
        <v>30</v>
      </c>
      <c r="GD105" s="280">
        <v>27</v>
      </c>
      <c r="GE105" s="280">
        <v>24</v>
      </c>
      <c r="GF105" s="280">
        <v>20</v>
      </c>
      <c r="GG105" s="280">
        <v>18</v>
      </c>
      <c r="GH105" s="280">
        <v>16</v>
      </c>
      <c r="GI105" s="280">
        <v>15</v>
      </c>
      <c r="GJ105" s="280">
        <v>14</v>
      </c>
      <c r="GK105" s="280">
        <v>12</v>
      </c>
      <c r="GL105" s="990">
        <v>11</v>
      </c>
      <c r="GN105" s="990">
        <v>0</v>
      </c>
      <c r="GO105" s="2237">
        <f t="shared" ref="GO105:GO117" si="48">+GN106</f>
        <v>12</v>
      </c>
      <c r="GP105" s="2264">
        <v>160</v>
      </c>
      <c r="GQ105" s="2179"/>
      <c r="GT105" s="2174"/>
      <c r="GW105" s="2264">
        <v>140</v>
      </c>
      <c r="GX105" s="2238">
        <v>26.9</v>
      </c>
      <c r="GY105" s="2238">
        <v>23.8</v>
      </c>
      <c r="GZ105" s="2238">
        <v>21.5</v>
      </c>
      <c r="HA105" s="2238">
        <v>19.100000000000001</v>
      </c>
      <c r="HB105" s="2238">
        <v>16.600000000000001</v>
      </c>
      <c r="HC105" s="2238">
        <v>14.9</v>
      </c>
      <c r="HD105" s="2238">
        <v>14.8</v>
      </c>
      <c r="HE105" s="2238">
        <v>14</v>
      </c>
      <c r="HF105" s="2239">
        <v>11.5</v>
      </c>
      <c r="HG105" s="2179"/>
      <c r="HI105" s="990">
        <v>0</v>
      </c>
      <c r="HJ105" s="2237" t="e">
        <f t="shared" ref="HJ105:HJ117" si="49">+HI106</f>
        <v>#N/A</v>
      </c>
      <c r="HK105" s="735">
        <v>140</v>
      </c>
      <c r="HL105" s="2179"/>
      <c r="HN105" s="2176"/>
      <c r="HO105" s="2176"/>
      <c r="HR105" s="2264">
        <v>140</v>
      </c>
      <c r="HS105" s="2238">
        <v>26.9</v>
      </c>
      <c r="HT105" s="2238">
        <v>23.8</v>
      </c>
      <c r="HU105" s="2238">
        <v>21.5</v>
      </c>
      <c r="HV105" s="2238">
        <v>19.100000000000001</v>
      </c>
      <c r="HW105" s="2238">
        <v>16.600000000000001</v>
      </c>
      <c r="HX105" s="2238">
        <v>14.9</v>
      </c>
      <c r="HY105" s="2238">
        <v>14.8</v>
      </c>
      <c r="HZ105" s="2238">
        <v>14</v>
      </c>
      <c r="IA105" s="2239">
        <v>11.5</v>
      </c>
      <c r="IB105" s="2179"/>
      <c r="ID105" s="990">
        <v>0</v>
      </c>
      <c r="IE105" s="2237" t="e">
        <f t="shared" ref="IE105:IE117" si="50">+ID106</f>
        <v>#N/A</v>
      </c>
      <c r="IF105" s="735">
        <v>140</v>
      </c>
      <c r="IG105" s="2179"/>
      <c r="IN105" s="277"/>
      <c r="IO105" s="277"/>
    </row>
    <row r="106" spans="2:249" ht="21.95" customHeight="1">
      <c r="B106" s="277">
        <v>6</v>
      </c>
      <c r="C106" s="735" t="s">
        <v>2248</v>
      </c>
      <c r="D106" s="735">
        <f>F106*D100</f>
        <v>211200</v>
      </c>
      <c r="E106" s="735">
        <v>36750</v>
      </c>
      <c r="F106" s="2353">
        <f>675+29</f>
        <v>704</v>
      </c>
      <c r="G106" s="748"/>
      <c r="H106" s="277">
        <v>675</v>
      </c>
      <c r="I106" s="277">
        <v>29</v>
      </c>
      <c r="S106" s="286"/>
      <c r="T106" s="286"/>
      <c r="AF106" s="2174"/>
      <c r="AG106" s="2174"/>
      <c r="AJ106" s="7">
        <v>180</v>
      </c>
      <c r="AK106" s="280">
        <v>42</v>
      </c>
      <c r="AL106" s="280">
        <v>39</v>
      </c>
      <c r="AM106" s="280">
        <v>35</v>
      </c>
      <c r="AN106" s="280">
        <v>30</v>
      </c>
      <c r="AO106" s="280">
        <v>27</v>
      </c>
      <c r="AP106" s="280">
        <v>22</v>
      </c>
      <c r="AQ106" s="280">
        <v>22</v>
      </c>
      <c r="AR106" s="280">
        <v>21</v>
      </c>
      <c r="AS106" s="280">
        <v>17</v>
      </c>
      <c r="AT106" s="990">
        <v>15</v>
      </c>
      <c r="AV106" s="990" t="e">
        <f>HLOOKUP(AW103,AK104:AT117,2,0)</f>
        <v>#N/A</v>
      </c>
      <c r="AW106" s="2237" t="e">
        <f t="shared" si="43"/>
        <v>#N/A</v>
      </c>
      <c r="AX106" s="2266">
        <v>180</v>
      </c>
      <c r="AY106" s="2179"/>
      <c r="BB106" s="2176"/>
      <c r="BC106" s="2176"/>
      <c r="BF106" s="7">
        <v>180</v>
      </c>
      <c r="BG106" s="280">
        <v>42</v>
      </c>
      <c r="BH106" s="280">
        <v>39</v>
      </c>
      <c r="BI106" s="280">
        <v>35</v>
      </c>
      <c r="BJ106" s="280">
        <v>30</v>
      </c>
      <c r="BK106" s="280">
        <v>27</v>
      </c>
      <c r="BL106" s="280">
        <v>22</v>
      </c>
      <c r="BM106" s="280">
        <v>22</v>
      </c>
      <c r="BN106" s="280">
        <v>21</v>
      </c>
      <c r="BO106" s="280">
        <v>17</v>
      </c>
      <c r="BP106" s="990">
        <v>15</v>
      </c>
      <c r="BR106" s="990" t="e">
        <f>HLOOKUP(BS103,BG104:BP117,2,0)</f>
        <v>#N/A</v>
      </c>
      <c r="BS106" s="2237" t="e">
        <f t="shared" si="44"/>
        <v>#N/A</v>
      </c>
      <c r="BT106" s="2266">
        <v>180</v>
      </c>
      <c r="BU106" s="2179"/>
      <c r="BX106" s="2174"/>
      <c r="CA106" s="2266">
        <v>160</v>
      </c>
      <c r="CB106" s="280">
        <v>35.1</v>
      </c>
      <c r="CC106" s="280">
        <v>34.5</v>
      </c>
      <c r="CD106" s="280">
        <v>31.7</v>
      </c>
      <c r="CE106" s="280">
        <v>28.5</v>
      </c>
      <c r="CF106" s="280">
        <v>26.6</v>
      </c>
      <c r="CG106" s="280">
        <v>22</v>
      </c>
      <c r="CH106" s="280">
        <v>22.8</v>
      </c>
      <c r="CI106" s="280">
        <v>19.899999999999999</v>
      </c>
      <c r="CJ106" s="2240">
        <v>17.7</v>
      </c>
      <c r="CK106" s="2179"/>
      <c r="CM106" s="990" t="e">
        <f>HLOOKUP(CN103,CB104:CJ117,2,0)</f>
        <v>#N/A</v>
      </c>
      <c r="CN106" s="2237" t="e">
        <f t="shared" si="45"/>
        <v>#N/A</v>
      </c>
      <c r="CO106" s="735">
        <v>160</v>
      </c>
      <c r="CP106" s="2179"/>
      <c r="CR106" s="2176"/>
      <c r="CS106" s="2176"/>
      <c r="CV106" s="2266">
        <v>160</v>
      </c>
      <c r="CW106" s="280">
        <v>35.1</v>
      </c>
      <c r="CX106" s="280">
        <v>34.5</v>
      </c>
      <c r="CY106" s="280">
        <v>31.7</v>
      </c>
      <c r="CZ106" s="280">
        <v>28.5</v>
      </c>
      <c r="DA106" s="280">
        <v>26.6</v>
      </c>
      <c r="DB106" s="280">
        <v>22</v>
      </c>
      <c r="DC106" s="280">
        <v>22.8</v>
      </c>
      <c r="DD106" s="280">
        <v>19.899999999999999</v>
      </c>
      <c r="DE106" s="2240">
        <v>17.7</v>
      </c>
      <c r="DF106" s="2179"/>
      <c r="DH106" s="990" t="e">
        <f>HLOOKUP(DI103,CW104:DE117,2,0)</f>
        <v>#N/A</v>
      </c>
      <c r="DI106" s="2237" t="e">
        <f t="shared" si="46"/>
        <v>#N/A</v>
      </c>
      <c r="DJ106" s="735">
        <v>160</v>
      </c>
      <c r="DK106" s="2179"/>
      <c r="DS106" s="277"/>
      <c r="DW106" s="1"/>
      <c r="DX106" s="277">
        <v>6</v>
      </c>
      <c r="DY106" s="735" t="s">
        <v>2248</v>
      </c>
      <c r="DZ106" s="735">
        <f>EB106*DZ100</f>
        <v>211200</v>
      </c>
      <c r="EA106" s="735">
        <v>36750</v>
      </c>
      <c r="EB106" s="2353">
        <f>675+29</f>
        <v>704</v>
      </c>
      <c r="EC106" s="748"/>
      <c r="ED106" s="277">
        <v>675</v>
      </c>
      <c r="EE106" s="277">
        <v>29</v>
      </c>
      <c r="EO106" s="286"/>
      <c r="EP106" s="286"/>
      <c r="FB106" s="2174"/>
      <c r="FC106" s="2174"/>
      <c r="FF106" s="7">
        <v>180</v>
      </c>
      <c r="FG106" s="280">
        <v>42</v>
      </c>
      <c r="FH106" s="280">
        <v>39</v>
      </c>
      <c r="FI106" s="280">
        <v>35</v>
      </c>
      <c r="FJ106" s="280">
        <v>30</v>
      </c>
      <c r="FK106" s="280">
        <v>27</v>
      </c>
      <c r="FL106" s="280">
        <v>22</v>
      </c>
      <c r="FM106" s="280">
        <v>22</v>
      </c>
      <c r="FN106" s="280">
        <v>21</v>
      </c>
      <c r="FO106" s="280">
        <v>17</v>
      </c>
      <c r="FP106" s="990">
        <v>15</v>
      </c>
      <c r="FR106" s="990">
        <f>HLOOKUP(FS103,FG104:FP117,2,0)</f>
        <v>11</v>
      </c>
      <c r="FS106" s="2237">
        <f t="shared" si="47"/>
        <v>15</v>
      </c>
      <c r="FT106" s="2266">
        <v>180</v>
      </c>
      <c r="FU106" s="2179"/>
      <c r="FX106" s="2176"/>
      <c r="FY106" s="2176"/>
      <c r="GB106" s="7">
        <v>180</v>
      </c>
      <c r="GC106" s="280">
        <v>42</v>
      </c>
      <c r="GD106" s="280">
        <v>39</v>
      </c>
      <c r="GE106" s="280">
        <v>35</v>
      </c>
      <c r="GF106" s="280">
        <v>30</v>
      </c>
      <c r="GG106" s="280">
        <v>27</v>
      </c>
      <c r="GH106" s="280">
        <v>22</v>
      </c>
      <c r="GI106" s="280">
        <v>22</v>
      </c>
      <c r="GJ106" s="280">
        <v>21</v>
      </c>
      <c r="GK106" s="280">
        <v>17</v>
      </c>
      <c r="GL106" s="990">
        <v>15</v>
      </c>
      <c r="GN106" s="990">
        <f>HLOOKUP(GO103,GC104:GL117,2,0)</f>
        <v>12</v>
      </c>
      <c r="GO106" s="2237">
        <f t="shared" si="48"/>
        <v>17</v>
      </c>
      <c r="GP106" s="2266">
        <v>180</v>
      </c>
      <c r="GQ106" s="2179"/>
      <c r="GT106" s="2174"/>
      <c r="GW106" s="2266">
        <v>160</v>
      </c>
      <c r="GX106" s="280">
        <v>35.1</v>
      </c>
      <c r="GY106" s="280">
        <v>34.5</v>
      </c>
      <c r="GZ106" s="280">
        <v>31.7</v>
      </c>
      <c r="HA106" s="280">
        <v>28.5</v>
      </c>
      <c r="HB106" s="280">
        <v>26.6</v>
      </c>
      <c r="HC106" s="280">
        <v>22</v>
      </c>
      <c r="HD106" s="280">
        <v>22.8</v>
      </c>
      <c r="HE106" s="280">
        <v>19.899999999999999</v>
      </c>
      <c r="HF106" s="2240">
        <v>17.7</v>
      </c>
      <c r="HG106" s="2179"/>
      <c r="HI106" s="990" t="e">
        <f>HLOOKUP(HJ103,GX104:HF117,2,0)</f>
        <v>#N/A</v>
      </c>
      <c r="HJ106" s="2237" t="e">
        <f t="shared" si="49"/>
        <v>#N/A</v>
      </c>
      <c r="HK106" s="735">
        <v>160</v>
      </c>
      <c r="HL106" s="2179"/>
      <c r="HN106" s="2176"/>
      <c r="HO106" s="2176"/>
      <c r="HR106" s="2266">
        <v>160</v>
      </c>
      <c r="HS106" s="280">
        <v>35.1</v>
      </c>
      <c r="HT106" s="280">
        <v>34.5</v>
      </c>
      <c r="HU106" s="280">
        <v>31.7</v>
      </c>
      <c r="HV106" s="280">
        <v>28.5</v>
      </c>
      <c r="HW106" s="280">
        <v>26.6</v>
      </c>
      <c r="HX106" s="280">
        <v>22</v>
      </c>
      <c r="HY106" s="280">
        <v>22.8</v>
      </c>
      <c r="HZ106" s="280">
        <v>19.899999999999999</v>
      </c>
      <c r="IA106" s="2240">
        <v>17.7</v>
      </c>
      <c r="IB106" s="2179"/>
      <c r="ID106" s="990" t="e">
        <f>HLOOKUP(IE103,HS104:IA117,2,0)</f>
        <v>#N/A</v>
      </c>
      <c r="IE106" s="2237" t="e">
        <f t="shared" si="50"/>
        <v>#N/A</v>
      </c>
      <c r="IF106" s="735">
        <v>160</v>
      </c>
      <c r="IG106" s="2179"/>
      <c r="IN106" s="277"/>
      <c r="IO106" s="277"/>
    </row>
    <row r="107" spans="2:249" ht="21.95" customHeight="1">
      <c r="B107" s="277">
        <v>7</v>
      </c>
      <c r="C107" s="735" t="s">
        <v>2249</v>
      </c>
      <c r="D107" s="735">
        <f>F107*D100</f>
        <v>285600</v>
      </c>
      <c r="E107" s="735">
        <v>42000</v>
      </c>
      <c r="F107" s="2353">
        <f>910+42</f>
        <v>952</v>
      </c>
      <c r="G107" s="748"/>
      <c r="H107" s="277">
        <v>910</v>
      </c>
      <c r="I107" s="277">
        <v>42</v>
      </c>
      <c r="S107" s="286"/>
      <c r="T107" s="286"/>
      <c r="AF107" s="2174"/>
      <c r="AG107" s="2174"/>
      <c r="AJ107" s="7">
        <v>200</v>
      </c>
      <c r="AK107" s="280">
        <v>60</v>
      </c>
      <c r="AL107" s="280">
        <v>54</v>
      </c>
      <c r="AM107" s="280">
        <v>50</v>
      </c>
      <c r="AN107" s="280">
        <v>42</v>
      </c>
      <c r="AO107" s="280">
        <v>38</v>
      </c>
      <c r="AP107" s="280">
        <v>33</v>
      </c>
      <c r="AQ107" s="280">
        <v>30</v>
      </c>
      <c r="AR107" s="280">
        <v>28</v>
      </c>
      <c r="AS107" s="280">
        <v>25</v>
      </c>
      <c r="AT107" s="990">
        <v>22</v>
      </c>
      <c r="AV107" s="990" t="e">
        <f>HLOOKUP(AW103,AK104:AT117,3,0)</f>
        <v>#N/A</v>
      </c>
      <c r="AW107" s="2237" t="e">
        <f t="shared" si="43"/>
        <v>#N/A</v>
      </c>
      <c r="AX107" s="2266">
        <v>200</v>
      </c>
      <c r="AY107" s="2179"/>
      <c r="BB107" s="2176"/>
      <c r="BC107" s="2176"/>
      <c r="BF107" s="7">
        <v>200</v>
      </c>
      <c r="BG107" s="280">
        <v>60</v>
      </c>
      <c r="BH107" s="280">
        <v>54</v>
      </c>
      <c r="BI107" s="280">
        <v>50</v>
      </c>
      <c r="BJ107" s="280">
        <v>42</v>
      </c>
      <c r="BK107" s="280">
        <v>38</v>
      </c>
      <c r="BL107" s="280">
        <v>33</v>
      </c>
      <c r="BM107" s="280">
        <v>30</v>
      </c>
      <c r="BN107" s="280">
        <v>28</v>
      </c>
      <c r="BO107" s="280">
        <v>25</v>
      </c>
      <c r="BP107" s="990">
        <v>22</v>
      </c>
      <c r="BR107" s="990" t="e">
        <f>HLOOKUP(BS103,BG104:BP117,3,0)</f>
        <v>#N/A</v>
      </c>
      <c r="BS107" s="2237" t="e">
        <f t="shared" si="44"/>
        <v>#N/A</v>
      </c>
      <c r="BT107" s="2266">
        <v>200</v>
      </c>
      <c r="BU107" s="2179"/>
      <c r="BX107" s="2174"/>
      <c r="CA107" s="2266">
        <v>180</v>
      </c>
      <c r="CB107" s="280">
        <v>56</v>
      </c>
      <c r="CC107" s="280">
        <v>51.7</v>
      </c>
      <c r="CD107" s="280">
        <v>45.5</v>
      </c>
      <c r="CE107" s="280">
        <v>41</v>
      </c>
      <c r="CF107" s="280">
        <v>36</v>
      </c>
      <c r="CG107" s="280">
        <v>32.5</v>
      </c>
      <c r="CH107" s="280">
        <v>33.200000000000003</v>
      </c>
      <c r="CI107" s="280">
        <v>30.3</v>
      </c>
      <c r="CJ107" s="2240">
        <v>27.5</v>
      </c>
      <c r="CK107" s="2179"/>
      <c r="CM107" s="990" t="e">
        <f>HLOOKUP(CN103,CB104:CJ117,3,0)</f>
        <v>#N/A</v>
      </c>
      <c r="CN107" s="2237" t="e">
        <f t="shared" si="45"/>
        <v>#N/A</v>
      </c>
      <c r="CO107" s="735">
        <v>180</v>
      </c>
      <c r="CP107" s="2179"/>
      <c r="CR107" s="2176"/>
      <c r="CS107" s="2176"/>
      <c r="CV107" s="2266">
        <v>180</v>
      </c>
      <c r="CW107" s="280">
        <v>56</v>
      </c>
      <c r="CX107" s="280">
        <v>51.7</v>
      </c>
      <c r="CY107" s="280">
        <v>45.5</v>
      </c>
      <c r="CZ107" s="280">
        <v>41</v>
      </c>
      <c r="DA107" s="280">
        <v>36</v>
      </c>
      <c r="DB107" s="280">
        <v>32.5</v>
      </c>
      <c r="DC107" s="280">
        <v>33.200000000000003</v>
      </c>
      <c r="DD107" s="280">
        <v>30.3</v>
      </c>
      <c r="DE107" s="2240">
        <v>27.5</v>
      </c>
      <c r="DF107" s="2179"/>
      <c r="DH107" s="990" t="e">
        <f>HLOOKUP(DI103,CW104:DE117,3,0)</f>
        <v>#N/A</v>
      </c>
      <c r="DI107" s="2237" t="e">
        <f t="shared" si="46"/>
        <v>#N/A</v>
      </c>
      <c r="DJ107" s="735">
        <v>180</v>
      </c>
      <c r="DK107" s="2179"/>
      <c r="DS107" s="277"/>
      <c r="DW107" s="1"/>
      <c r="DX107" s="277">
        <v>7</v>
      </c>
      <c r="DY107" s="735" t="s">
        <v>2249</v>
      </c>
      <c r="DZ107" s="735">
        <f>EB107*DZ100</f>
        <v>285600</v>
      </c>
      <c r="EA107" s="735">
        <v>42000</v>
      </c>
      <c r="EB107" s="2353">
        <f>910+42</f>
        <v>952</v>
      </c>
      <c r="EC107" s="748"/>
      <c r="ED107" s="277">
        <v>910</v>
      </c>
      <c r="EE107" s="277">
        <v>42</v>
      </c>
      <c r="EO107" s="286"/>
      <c r="EP107" s="286"/>
      <c r="FB107" s="2174"/>
      <c r="FC107" s="2174"/>
      <c r="FF107" s="7">
        <v>200</v>
      </c>
      <c r="FG107" s="280">
        <v>60</v>
      </c>
      <c r="FH107" s="280">
        <v>54</v>
      </c>
      <c r="FI107" s="280">
        <v>50</v>
      </c>
      <c r="FJ107" s="280">
        <v>42</v>
      </c>
      <c r="FK107" s="280">
        <v>38</v>
      </c>
      <c r="FL107" s="280">
        <v>33</v>
      </c>
      <c r="FM107" s="280">
        <v>30</v>
      </c>
      <c r="FN107" s="280">
        <v>28</v>
      </c>
      <c r="FO107" s="280">
        <v>25</v>
      </c>
      <c r="FP107" s="990">
        <v>22</v>
      </c>
      <c r="FR107" s="990">
        <f>HLOOKUP(FS103,FG104:FP117,3,0)</f>
        <v>15</v>
      </c>
      <c r="FS107" s="2237">
        <f t="shared" si="47"/>
        <v>22</v>
      </c>
      <c r="FT107" s="2266">
        <v>200</v>
      </c>
      <c r="FU107" s="2179"/>
      <c r="FX107" s="2176"/>
      <c r="FY107" s="2176"/>
      <c r="GB107" s="7">
        <v>200</v>
      </c>
      <c r="GC107" s="280">
        <v>60</v>
      </c>
      <c r="GD107" s="280">
        <v>54</v>
      </c>
      <c r="GE107" s="280">
        <v>50</v>
      </c>
      <c r="GF107" s="280">
        <v>42</v>
      </c>
      <c r="GG107" s="280">
        <v>38</v>
      </c>
      <c r="GH107" s="280">
        <v>33</v>
      </c>
      <c r="GI107" s="280">
        <v>30</v>
      </c>
      <c r="GJ107" s="280">
        <v>28</v>
      </c>
      <c r="GK107" s="280">
        <v>25</v>
      </c>
      <c r="GL107" s="990">
        <v>22</v>
      </c>
      <c r="GN107" s="990">
        <f>HLOOKUP(GO103,GC104:GL117,3,0)</f>
        <v>17</v>
      </c>
      <c r="GO107" s="2237">
        <f t="shared" si="48"/>
        <v>25</v>
      </c>
      <c r="GP107" s="2266">
        <v>200</v>
      </c>
      <c r="GQ107" s="2179"/>
      <c r="GT107" s="2174"/>
      <c r="GW107" s="2266">
        <v>180</v>
      </c>
      <c r="GX107" s="280">
        <v>56</v>
      </c>
      <c r="GY107" s="280">
        <v>51.7</v>
      </c>
      <c r="GZ107" s="280">
        <v>45.5</v>
      </c>
      <c r="HA107" s="280">
        <v>41</v>
      </c>
      <c r="HB107" s="280">
        <v>36</v>
      </c>
      <c r="HC107" s="280">
        <v>32.5</v>
      </c>
      <c r="HD107" s="280">
        <v>33.200000000000003</v>
      </c>
      <c r="HE107" s="280">
        <v>30.3</v>
      </c>
      <c r="HF107" s="2240">
        <v>27.5</v>
      </c>
      <c r="HG107" s="2179"/>
      <c r="HI107" s="990" t="e">
        <f>HLOOKUP(HJ103,GX104:HF117,3,0)</f>
        <v>#N/A</v>
      </c>
      <c r="HJ107" s="2237" t="e">
        <f t="shared" si="49"/>
        <v>#N/A</v>
      </c>
      <c r="HK107" s="735">
        <v>180</v>
      </c>
      <c r="HL107" s="2179"/>
      <c r="HN107" s="2176"/>
      <c r="HO107" s="2176"/>
      <c r="HR107" s="2266">
        <v>180</v>
      </c>
      <c r="HS107" s="280">
        <v>56</v>
      </c>
      <c r="HT107" s="280">
        <v>51.7</v>
      </c>
      <c r="HU107" s="280">
        <v>45.5</v>
      </c>
      <c r="HV107" s="280">
        <v>41</v>
      </c>
      <c r="HW107" s="280">
        <v>36</v>
      </c>
      <c r="HX107" s="280">
        <v>32.5</v>
      </c>
      <c r="HY107" s="280">
        <v>33.200000000000003</v>
      </c>
      <c r="HZ107" s="280">
        <v>30.3</v>
      </c>
      <c r="IA107" s="2240">
        <v>27.5</v>
      </c>
      <c r="IB107" s="2179"/>
      <c r="ID107" s="990" t="e">
        <f>HLOOKUP(IE103,HS104:IA117,3,0)</f>
        <v>#N/A</v>
      </c>
      <c r="IE107" s="2237" t="e">
        <f t="shared" si="50"/>
        <v>#N/A</v>
      </c>
      <c r="IF107" s="735">
        <v>180</v>
      </c>
      <c r="IG107" s="2179"/>
      <c r="IN107" s="277"/>
      <c r="IO107" s="277"/>
    </row>
    <row r="108" spans="2:249" ht="21.95" customHeight="1">
      <c r="B108" s="277">
        <v>8</v>
      </c>
      <c r="C108" s="735" t="s">
        <v>2250</v>
      </c>
      <c r="D108" s="735">
        <f>F108*D100</f>
        <v>387000</v>
      </c>
      <c r="E108" s="735">
        <v>52500</v>
      </c>
      <c r="F108" s="2362">
        <f>1230+60</f>
        <v>1290</v>
      </c>
      <c r="G108" s="748"/>
      <c r="H108" s="277">
        <v>1230</v>
      </c>
      <c r="I108" s="277">
        <v>60</v>
      </c>
      <c r="S108" s="286"/>
      <c r="T108" s="286"/>
      <c r="AF108" s="2174"/>
      <c r="AG108" s="2174"/>
      <c r="AJ108" s="7">
        <v>225</v>
      </c>
      <c r="AK108" s="280">
        <v>80</v>
      </c>
      <c r="AL108" s="280">
        <v>70</v>
      </c>
      <c r="AM108" s="280">
        <v>65</v>
      </c>
      <c r="AN108" s="280">
        <v>57</v>
      </c>
      <c r="AO108" s="280">
        <v>52</v>
      </c>
      <c r="AP108" s="280">
        <v>46</v>
      </c>
      <c r="AQ108" s="280">
        <v>41</v>
      </c>
      <c r="AR108" s="280">
        <v>37</v>
      </c>
      <c r="AS108" s="280">
        <v>33</v>
      </c>
      <c r="AT108" s="990">
        <v>31</v>
      </c>
      <c r="AV108" s="990" t="e">
        <f>HLOOKUP(AW103,AK104:AT117,4,0)</f>
        <v>#N/A</v>
      </c>
      <c r="AW108" s="2237" t="e">
        <f t="shared" si="43"/>
        <v>#N/A</v>
      </c>
      <c r="AX108" s="2266">
        <v>225</v>
      </c>
      <c r="AY108" s="2179"/>
      <c r="BB108" s="2176"/>
      <c r="BC108" s="2176"/>
      <c r="BF108" s="7">
        <v>225</v>
      </c>
      <c r="BG108" s="280">
        <v>80</v>
      </c>
      <c r="BH108" s="280">
        <v>70</v>
      </c>
      <c r="BI108" s="280">
        <v>65</v>
      </c>
      <c r="BJ108" s="280">
        <v>57</v>
      </c>
      <c r="BK108" s="280">
        <v>52</v>
      </c>
      <c r="BL108" s="280">
        <v>46</v>
      </c>
      <c r="BM108" s="280">
        <v>41</v>
      </c>
      <c r="BN108" s="280">
        <v>37</v>
      </c>
      <c r="BO108" s="280">
        <v>33</v>
      </c>
      <c r="BP108" s="990">
        <v>31</v>
      </c>
      <c r="BR108" s="990" t="e">
        <f>HLOOKUP(BS103,BG104:BP117,4,0)</f>
        <v>#N/A</v>
      </c>
      <c r="BS108" s="2237" t="e">
        <f t="shared" si="44"/>
        <v>#N/A</v>
      </c>
      <c r="BT108" s="2266">
        <v>225</v>
      </c>
      <c r="BU108" s="2179"/>
      <c r="BX108" s="2174"/>
      <c r="CA108" s="2266">
        <v>200</v>
      </c>
      <c r="CB108" s="280">
        <v>79</v>
      </c>
      <c r="CC108" s="280">
        <v>61.1</v>
      </c>
      <c r="CD108" s="280">
        <v>61.1</v>
      </c>
      <c r="CE108" s="280">
        <v>47.6</v>
      </c>
      <c r="CF108" s="280">
        <v>46.5</v>
      </c>
      <c r="CG108" s="280">
        <v>42.5</v>
      </c>
      <c r="CH108" s="280">
        <v>48.1</v>
      </c>
      <c r="CI108" s="280">
        <v>44.5</v>
      </c>
      <c r="CJ108" s="2240">
        <v>40</v>
      </c>
      <c r="CK108" s="2179"/>
      <c r="CM108" s="990" t="e">
        <f>HLOOKUP(CN103,CB104:CJ117,4,0)</f>
        <v>#N/A</v>
      </c>
      <c r="CN108" s="2237" t="e">
        <f t="shared" si="45"/>
        <v>#N/A</v>
      </c>
      <c r="CO108" s="735">
        <v>200</v>
      </c>
      <c r="CP108" s="2179"/>
      <c r="CR108" s="2176"/>
      <c r="CS108" s="2176"/>
      <c r="CV108" s="2266">
        <v>200</v>
      </c>
      <c r="CW108" s="280">
        <v>79</v>
      </c>
      <c r="CX108" s="280">
        <v>61.1</v>
      </c>
      <c r="CY108" s="280">
        <v>61.1</v>
      </c>
      <c r="CZ108" s="280">
        <v>47.6</v>
      </c>
      <c r="DA108" s="280">
        <v>46.5</v>
      </c>
      <c r="DB108" s="280">
        <v>42.5</v>
      </c>
      <c r="DC108" s="280">
        <v>48.1</v>
      </c>
      <c r="DD108" s="280">
        <v>44.5</v>
      </c>
      <c r="DE108" s="2240">
        <v>40</v>
      </c>
      <c r="DF108" s="2179"/>
      <c r="DH108" s="990" t="e">
        <f>HLOOKUP(DI103,CW104:DE117,4,0)</f>
        <v>#N/A</v>
      </c>
      <c r="DI108" s="2237" t="e">
        <f t="shared" si="46"/>
        <v>#N/A</v>
      </c>
      <c r="DJ108" s="735">
        <v>200</v>
      </c>
      <c r="DK108" s="2179"/>
      <c r="DS108" s="277"/>
      <c r="DW108" s="1"/>
      <c r="DX108" s="277">
        <v>8</v>
      </c>
      <c r="DY108" s="735" t="s">
        <v>2250</v>
      </c>
      <c r="DZ108" s="735">
        <f>EB108*DZ100</f>
        <v>387000</v>
      </c>
      <c r="EA108" s="735">
        <v>52500</v>
      </c>
      <c r="EB108" s="2362">
        <f>1230+60</f>
        <v>1290</v>
      </c>
      <c r="EC108" s="748"/>
      <c r="ED108" s="277">
        <v>1230</v>
      </c>
      <c r="EE108" s="277">
        <v>60</v>
      </c>
      <c r="EO108" s="286"/>
      <c r="EP108" s="286"/>
      <c r="FB108" s="2174"/>
      <c r="FC108" s="2174"/>
      <c r="FF108" s="7">
        <v>225</v>
      </c>
      <c r="FG108" s="280">
        <v>80</v>
      </c>
      <c r="FH108" s="280">
        <v>70</v>
      </c>
      <c r="FI108" s="280">
        <v>65</v>
      </c>
      <c r="FJ108" s="280">
        <v>57</v>
      </c>
      <c r="FK108" s="280">
        <v>52</v>
      </c>
      <c r="FL108" s="280">
        <v>46</v>
      </c>
      <c r="FM108" s="280">
        <v>41</v>
      </c>
      <c r="FN108" s="280">
        <v>37</v>
      </c>
      <c r="FO108" s="280">
        <v>33</v>
      </c>
      <c r="FP108" s="990">
        <v>31</v>
      </c>
      <c r="FR108" s="990">
        <f>HLOOKUP(FS103,FG104:FP117,4,0)</f>
        <v>22</v>
      </c>
      <c r="FS108" s="2237">
        <f t="shared" si="47"/>
        <v>31</v>
      </c>
      <c r="FT108" s="2266">
        <v>225</v>
      </c>
      <c r="FU108" s="2179"/>
      <c r="FX108" s="2176"/>
      <c r="FY108" s="2176"/>
      <c r="GB108" s="7">
        <v>225</v>
      </c>
      <c r="GC108" s="280">
        <v>80</v>
      </c>
      <c r="GD108" s="280">
        <v>70</v>
      </c>
      <c r="GE108" s="280">
        <v>65</v>
      </c>
      <c r="GF108" s="280">
        <v>57</v>
      </c>
      <c r="GG108" s="280">
        <v>52</v>
      </c>
      <c r="GH108" s="280">
        <v>46</v>
      </c>
      <c r="GI108" s="280">
        <v>41</v>
      </c>
      <c r="GJ108" s="280">
        <v>37</v>
      </c>
      <c r="GK108" s="280">
        <v>33</v>
      </c>
      <c r="GL108" s="990">
        <v>31</v>
      </c>
      <c r="GN108" s="990">
        <f>HLOOKUP(GO103,GC104:GL117,4,0)</f>
        <v>25</v>
      </c>
      <c r="GO108" s="2237">
        <f t="shared" si="48"/>
        <v>33</v>
      </c>
      <c r="GP108" s="2266">
        <v>225</v>
      </c>
      <c r="GQ108" s="2179"/>
      <c r="GT108" s="2174"/>
      <c r="GW108" s="2266">
        <v>200</v>
      </c>
      <c r="GX108" s="280">
        <v>79</v>
      </c>
      <c r="GY108" s="280">
        <v>61.1</v>
      </c>
      <c r="GZ108" s="280">
        <v>61.1</v>
      </c>
      <c r="HA108" s="280">
        <v>47.6</v>
      </c>
      <c r="HB108" s="280">
        <v>46.5</v>
      </c>
      <c r="HC108" s="280">
        <v>42.5</v>
      </c>
      <c r="HD108" s="280">
        <v>48.1</v>
      </c>
      <c r="HE108" s="280">
        <v>44.5</v>
      </c>
      <c r="HF108" s="2240">
        <v>40</v>
      </c>
      <c r="HG108" s="2179"/>
      <c r="HI108" s="990" t="e">
        <f>HLOOKUP(HJ103,GX104:HF117,4,0)</f>
        <v>#N/A</v>
      </c>
      <c r="HJ108" s="2237" t="e">
        <f t="shared" si="49"/>
        <v>#N/A</v>
      </c>
      <c r="HK108" s="735">
        <v>200</v>
      </c>
      <c r="HL108" s="2179"/>
      <c r="HN108" s="2176"/>
      <c r="HO108" s="2176"/>
      <c r="HR108" s="2266">
        <v>200</v>
      </c>
      <c r="HS108" s="280">
        <v>79</v>
      </c>
      <c r="HT108" s="280">
        <v>61.1</v>
      </c>
      <c r="HU108" s="280">
        <v>61.1</v>
      </c>
      <c r="HV108" s="280">
        <v>47.6</v>
      </c>
      <c r="HW108" s="280">
        <v>46.5</v>
      </c>
      <c r="HX108" s="280">
        <v>42.5</v>
      </c>
      <c r="HY108" s="280">
        <v>48.1</v>
      </c>
      <c r="HZ108" s="280">
        <v>44.5</v>
      </c>
      <c r="IA108" s="2240">
        <v>40</v>
      </c>
      <c r="IB108" s="2179"/>
      <c r="ID108" s="990" t="e">
        <f>HLOOKUP(IE103,HS104:IA117,4,0)</f>
        <v>#N/A</v>
      </c>
      <c r="IE108" s="2237" t="e">
        <f t="shared" si="50"/>
        <v>#N/A</v>
      </c>
      <c r="IF108" s="735">
        <v>200</v>
      </c>
      <c r="IG108" s="2179"/>
      <c r="IN108" s="277"/>
      <c r="IO108" s="277"/>
    </row>
    <row r="109" spans="2:249" ht="21.95" customHeight="1">
      <c r="B109" s="277">
        <v>9</v>
      </c>
      <c r="C109" s="735" t="s">
        <v>2251</v>
      </c>
      <c r="D109" s="735">
        <f>F109*D100</f>
        <v>528000</v>
      </c>
      <c r="E109" s="735">
        <v>57750</v>
      </c>
      <c r="F109" s="2362">
        <f>1675+85</f>
        <v>1760</v>
      </c>
      <c r="G109" s="748"/>
      <c r="H109" s="277">
        <v>1675</v>
      </c>
      <c r="I109" s="277">
        <v>85</v>
      </c>
      <c r="S109" s="286"/>
      <c r="T109" s="286"/>
      <c r="AF109" s="2174"/>
      <c r="AG109" s="2174"/>
      <c r="AJ109" s="7">
        <v>250</v>
      </c>
      <c r="AK109" s="280">
        <v>105</v>
      </c>
      <c r="AL109" s="280">
        <v>98</v>
      </c>
      <c r="AM109" s="280">
        <v>91</v>
      </c>
      <c r="AN109" s="280">
        <v>80</v>
      </c>
      <c r="AO109" s="280">
        <v>72</v>
      </c>
      <c r="AP109" s="280">
        <v>63</v>
      </c>
      <c r="AQ109" s="280">
        <v>58</v>
      </c>
      <c r="AR109" s="280">
        <v>52</v>
      </c>
      <c r="AS109" s="280">
        <v>46</v>
      </c>
      <c r="AT109" s="990">
        <v>43</v>
      </c>
      <c r="AV109" s="990" t="e">
        <f>HLOOKUP(AW103,AK104:AT117,5,0)</f>
        <v>#N/A</v>
      </c>
      <c r="AW109" s="2237" t="e">
        <f t="shared" si="43"/>
        <v>#N/A</v>
      </c>
      <c r="AX109" s="2266">
        <v>250</v>
      </c>
      <c r="AY109" s="2179"/>
      <c r="BB109" s="2176"/>
      <c r="BC109" s="2176"/>
      <c r="BF109" s="7">
        <v>250</v>
      </c>
      <c r="BG109" s="280">
        <v>105</v>
      </c>
      <c r="BH109" s="280">
        <v>98</v>
      </c>
      <c r="BI109" s="280">
        <v>91</v>
      </c>
      <c r="BJ109" s="280">
        <v>80</v>
      </c>
      <c r="BK109" s="280">
        <v>72</v>
      </c>
      <c r="BL109" s="280">
        <v>63</v>
      </c>
      <c r="BM109" s="280">
        <v>58</v>
      </c>
      <c r="BN109" s="280">
        <v>52</v>
      </c>
      <c r="BO109" s="280">
        <v>46</v>
      </c>
      <c r="BP109" s="990">
        <v>43</v>
      </c>
      <c r="BR109" s="990" t="e">
        <f>HLOOKUP(BS103,BG104:BP117,5,0)</f>
        <v>#N/A</v>
      </c>
      <c r="BS109" s="2237" t="e">
        <f t="shared" si="44"/>
        <v>#N/A</v>
      </c>
      <c r="BT109" s="2266">
        <v>250</v>
      </c>
      <c r="BU109" s="2179"/>
      <c r="BX109" s="2174"/>
      <c r="CA109" s="2266">
        <v>225</v>
      </c>
      <c r="CB109" s="280">
        <v>116</v>
      </c>
      <c r="CC109" s="280">
        <v>82.7</v>
      </c>
      <c r="CD109" s="280">
        <v>82.7</v>
      </c>
      <c r="CE109" s="280">
        <v>70.599999999999994</v>
      </c>
      <c r="CF109" s="280">
        <v>61</v>
      </c>
      <c r="CG109" s="280">
        <v>54.7</v>
      </c>
      <c r="CH109" s="280">
        <v>63</v>
      </c>
      <c r="CI109" s="280">
        <v>58.2</v>
      </c>
      <c r="CJ109" s="2240">
        <v>51.5</v>
      </c>
      <c r="CK109" s="2179"/>
      <c r="CM109" s="990" t="e">
        <f>HLOOKUP(CN103,CB104:CJ117,5,0)</f>
        <v>#N/A</v>
      </c>
      <c r="CN109" s="2237" t="e">
        <f t="shared" si="45"/>
        <v>#N/A</v>
      </c>
      <c r="CO109" s="735">
        <v>225</v>
      </c>
      <c r="CP109" s="2179"/>
      <c r="CR109" s="2176"/>
      <c r="CS109" s="2176"/>
      <c r="CV109" s="2266">
        <v>225</v>
      </c>
      <c r="CW109" s="280">
        <v>116</v>
      </c>
      <c r="CX109" s="280">
        <v>82.7</v>
      </c>
      <c r="CY109" s="280">
        <v>82.7</v>
      </c>
      <c r="CZ109" s="280">
        <v>70.599999999999994</v>
      </c>
      <c r="DA109" s="280">
        <v>61</v>
      </c>
      <c r="DB109" s="280">
        <v>54.7</v>
      </c>
      <c r="DC109" s="280">
        <v>63</v>
      </c>
      <c r="DD109" s="280">
        <v>58.2</v>
      </c>
      <c r="DE109" s="2240">
        <v>51.5</v>
      </c>
      <c r="DF109" s="2179"/>
      <c r="DH109" s="990" t="e">
        <f>HLOOKUP(DI103,CW104:DE117,5,0)</f>
        <v>#N/A</v>
      </c>
      <c r="DI109" s="2237" t="e">
        <f t="shared" si="46"/>
        <v>#N/A</v>
      </c>
      <c r="DJ109" s="735">
        <v>225</v>
      </c>
      <c r="DK109" s="2179"/>
      <c r="DS109" s="277"/>
      <c r="DW109" s="1"/>
      <c r="DX109" s="277">
        <v>9</v>
      </c>
      <c r="DY109" s="735" t="s">
        <v>2251</v>
      </c>
      <c r="DZ109" s="735">
        <f>EB109*DZ100</f>
        <v>528000</v>
      </c>
      <c r="EA109" s="735">
        <v>57750</v>
      </c>
      <c r="EB109" s="2362">
        <f>1675+85</f>
        <v>1760</v>
      </c>
      <c r="EC109" s="748"/>
      <c r="ED109" s="277">
        <v>1675</v>
      </c>
      <c r="EE109" s="277">
        <v>85</v>
      </c>
      <c r="EO109" s="286"/>
      <c r="EP109" s="286"/>
      <c r="FB109" s="2174"/>
      <c r="FC109" s="2174"/>
      <c r="FF109" s="7">
        <v>250</v>
      </c>
      <c r="FG109" s="280">
        <v>105</v>
      </c>
      <c r="FH109" s="280">
        <v>98</v>
      </c>
      <c r="FI109" s="280">
        <v>91</v>
      </c>
      <c r="FJ109" s="280">
        <v>80</v>
      </c>
      <c r="FK109" s="280">
        <v>72</v>
      </c>
      <c r="FL109" s="280">
        <v>63</v>
      </c>
      <c r="FM109" s="280">
        <v>58</v>
      </c>
      <c r="FN109" s="280">
        <v>52</v>
      </c>
      <c r="FO109" s="280">
        <v>46</v>
      </c>
      <c r="FP109" s="990">
        <v>43</v>
      </c>
      <c r="FR109" s="990">
        <f>HLOOKUP(FS103,FG104:FP117,5,0)</f>
        <v>31</v>
      </c>
      <c r="FS109" s="2237">
        <f t="shared" si="47"/>
        <v>43</v>
      </c>
      <c r="FT109" s="2266">
        <v>250</v>
      </c>
      <c r="FU109" s="2179"/>
      <c r="FX109" s="2176"/>
      <c r="FY109" s="2176"/>
      <c r="GB109" s="7">
        <v>250</v>
      </c>
      <c r="GC109" s="280">
        <v>105</v>
      </c>
      <c r="GD109" s="280">
        <v>98</v>
      </c>
      <c r="GE109" s="280">
        <v>91</v>
      </c>
      <c r="GF109" s="280">
        <v>80</v>
      </c>
      <c r="GG109" s="280">
        <v>72</v>
      </c>
      <c r="GH109" s="280">
        <v>63</v>
      </c>
      <c r="GI109" s="280">
        <v>58</v>
      </c>
      <c r="GJ109" s="280">
        <v>52</v>
      </c>
      <c r="GK109" s="280">
        <v>46</v>
      </c>
      <c r="GL109" s="990">
        <v>43</v>
      </c>
      <c r="GN109" s="990">
        <f>HLOOKUP(GO103,GC104:GL117,5,0)</f>
        <v>33</v>
      </c>
      <c r="GO109" s="2237">
        <f t="shared" si="48"/>
        <v>46</v>
      </c>
      <c r="GP109" s="2266">
        <v>250</v>
      </c>
      <c r="GQ109" s="2179"/>
      <c r="GT109" s="2174"/>
      <c r="GW109" s="2266">
        <v>225</v>
      </c>
      <c r="GX109" s="280">
        <v>116</v>
      </c>
      <c r="GY109" s="280">
        <v>82.7</v>
      </c>
      <c r="GZ109" s="280">
        <v>82.7</v>
      </c>
      <c r="HA109" s="280">
        <v>70.599999999999994</v>
      </c>
      <c r="HB109" s="280">
        <v>61</v>
      </c>
      <c r="HC109" s="280">
        <v>54.7</v>
      </c>
      <c r="HD109" s="280">
        <v>63</v>
      </c>
      <c r="HE109" s="280">
        <v>58.2</v>
      </c>
      <c r="HF109" s="2240">
        <v>51.5</v>
      </c>
      <c r="HG109" s="2179"/>
      <c r="HI109" s="990" t="e">
        <f>HLOOKUP(HJ103,GX104:HF117,5,0)</f>
        <v>#N/A</v>
      </c>
      <c r="HJ109" s="2237" t="e">
        <f t="shared" si="49"/>
        <v>#N/A</v>
      </c>
      <c r="HK109" s="735">
        <v>225</v>
      </c>
      <c r="HL109" s="2179"/>
      <c r="HN109" s="2176"/>
      <c r="HO109" s="2176"/>
      <c r="HR109" s="2266">
        <v>225</v>
      </c>
      <c r="HS109" s="280">
        <v>116</v>
      </c>
      <c r="HT109" s="280">
        <v>82.7</v>
      </c>
      <c r="HU109" s="280">
        <v>82.7</v>
      </c>
      <c r="HV109" s="280">
        <v>70.599999999999994</v>
      </c>
      <c r="HW109" s="280">
        <v>61</v>
      </c>
      <c r="HX109" s="280">
        <v>54.7</v>
      </c>
      <c r="HY109" s="280">
        <v>63</v>
      </c>
      <c r="HZ109" s="280">
        <v>58.2</v>
      </c>
      <c r="IA109" s="2240">
        <v>51.5</v>
      </c>
      <c r="IB109" s="2179"/>
      <c r="ID109" s="990" t="e">
        <f>HLOOKUP(IE103,HS104:IA117,5,0)</f>
        <v>#N/A</v>
      </c>
      <c r="IE109" s="2237" t="e">
        <f t="shared" si="50"/>
        <v>#N/A</v>
      </c>
      <c r="IF109" s="735">
        <v>225</v>
      </c>
      <c r="IG109" s="2179"/>
      <c r="IN109" s="277"/>
      <c r="IO109" s="277"/>
    </row>
    <row r="110" spans="2:249" ht="21.95" customHeight="1">
      <c r="B110" s="277">
        <v>10</v>
      </c>
      <c r="C110" s="735" t="s">
        <v>2252</v>
      </c>
      <c r="D110" s="735">
        <f>F110*D100</f>
        <v>712500</v>
      </c>
      <c r="E110" s="735">
        <v>73500</v>
      </c>
      <c r="F110" s="2362">
        <f>2260+115</f>
        <v>2375</v>
      </c>
      <c r="G110" s="748"/>
      <c r="H110" s="277">
        <v>2260</v>
      </c>
      <c r="I110" s="277">
        <v>115</v>
      </c>
      <c r="S110" s="286"/>
      <c r="T110" s="286"/>
      <c r="AF110" s="2174"/>
      <c r="AG110" s="2174"/>
      <c r="AJ110" s="7">
        <v>280</v>
      </c>
      <c r="AK110" s="280">
        <v>150</v>
      </c>
      <c r="AL110" s="280">
        <v>140</v>
      </c>
      <c r="AM110" s="280">
        <v>130</v>
      </c>
      <c r="AN110" s="280">
        <v>110</v>
      </c>
      <c r="AO110" s="280">
        <v>100</v>
      </c>
      <c r="AP110" s="280">
        <v>87</v>
      </c>
      <c r="AQ110" s="280">
        <v>82</v>
      </c>
      <c r="AR110" s="280">
        <v>72</v>
      </c>
      <c r="AS110" s="280">
        <v>64</v>
      </c>
      <c r="AT110" s="990">
        <v>60</v>
      </c>
      <c r="AV110" s="990" t="e">
        <f>HLOOKUP(AW103,AK104:AT117,6,0)</f>
        <v>#N/A</v>
      </c>
      <c r="AW110" s="2237" t="e">
        <f t="shared" si="43"/>
        <v>#N/A</v>
      </c>
      <c r="AX110" s="2266">
        <v>280</v>
      </c>
      <c r="AY110" s="2179"/>
      <c r="BB110" s="2176"/>
      <c r="BC110" s="2176"/>
      <c r="BF110" s="7">
        <v>280</v>
      </c>
      <c r="BG110" s="280">
        <v>150</v>
      </c>
      <c r="BH110" s="280">
        <v>140</v>
      </c>
      <c r="BI110" s="280">
        <v>130</v>
      </c>
      <c r="BJ110" s="280">
        <v>110</v>
      </c>
      <c r="BK110" s="280">
        <v>100</v>
      </c>
      <c r="BL110" s="280">
        <v>87</v>
      </c>
      <c r="BM110" s="280">
        <v>82</v>
      </c>
      <c r="BN110" s="280">
        <v>72</v>
      </c>
      <c r="BO110" s="280">
        <v>64</v>
      </c>
      <c r="BP110" s="990">
        <v>60</v>
      </c>
      <c r="BR110" s="990" t="e">
        <f>HLOOKUP(BS103,BG104:BP117,6,0)</f>
        <v>#N/A</v>
      </c>
      <c r="BS110" s="2237" t="e">
        <f t="shared" si="44"/>
        <v>#N/A</v>
      </c>
      <c r="BT110" s="2266">
        <v>280</v>
      </c>
      <c r="BU110" s="2179"/>
      <c r="BX110" s="2174"/>
      <c r="CA110" s="2266">
        <v>250</v>
      </c>
      <c r="CB110" s="280">
        <v>171</v>
      </c>
      <c r="CC110" s="280">
        <v>129</v>
      </c>
      <c r="CD110" s="280">
        <v>129</v>
      </c>
      <c r="CE110" s="280">
        <v>100</v>
      </c>
      <c r="CF110" s="280">
        <v>87.5</v>
      </c>
      <c r="CG110" s="280">
        <v>77</v>
      </c>
      <c r="CH110" s="280">
        <v>93.5</v>
      </c>
      <c r="CI110" s="280">
        <v>85</v>
      </c>
      <c r="CJ110" s="2240">
        <v>82.2</v>
      </c>
      <c r="CK110" s="2179"/>
      <c r="CM110" s="990" t="e">
        <f>HLOOKUP(CN103,CB104:CJ117,6,0)</f>
        <v>#N/A</v>
      </c>
      <c r="CN110" s="2237" t="e">
        <f t="shared" si="45"/>
        <v>#N/A</v>
      </c>
      <c r="CO110" s="735">
        <v>250</v>
      </c>
      <c r="CP110" s="2179"/>
      <c r="CR110" s="2176"/>
      <c r="CS110" s="2176"/>
      <c r="CV110" s="2266">
        <v>250</v>
      </c>
      <c r="CW110" s="280">
        <v>171</v>
      </c>
      <c r="CX110" s="280">
        <v>129</v>
      </c>
      <c r="CY110" s="280">
        <v>129</v>
      </c>
      <c r="CZ110" s="280">
        <v>100</v>
      </c>
      <c r="DA110" s="280">
        <v>87.5</v>
      </c>
      <c r="DB110" s="280">
        <v>77</v>
      </c>
      <c r="DC110" s="280">
        <v>93.5</v>
      </c>
      <c r="DD110" s="280">
        <v>85</v>
      </c>
      <c r="DE110" s="2240">
        <v>82.2</v>
      </c>
      <c r="DF110" s="2179"/>
      <c r="DH110" s="990" t="e">
        <f>HLOOKUP(DI103,CW104:DE117,6,0)</f>
        <v>#N/A</v>
      </c>
      <c r="DI110" s="2237" t="e">
        <f t="shared" si="46"/>
        <v>#N/A</v>
      </c>
      <c r="DJ110" s="735">
        <v>250</v>
      </c>
      <c r="DK110" s="2179"/>
      <c r="DS110" s="277"/>
      <c r="DW110" s="1"/>
      <c r="DX110" s="277">
        <v>10</v>
      </c>
      <c r="DY110" s="735" t="s">
        <v>2252</v>
      </c>
      <c r="DZ110" s="735">
        <f>EB110*DZ100</f>
        <v>712500</v>
      </c>
      <c r="EA110" s="735">
        <v>73500</v>
      </c>
      <c r="EB110" s="2362">
        <f>2260+115</f>
        <v>2375</v>
      </c>
      <c r="EC110" s="748"/>
      <c r="ED110" s="277">
        <v>2260</v>
      </c>
      <c r="EE110" s="277">
        <v>115</v>
      </c>
      <c r="EO110" s="286"/>
      <c r="EP110" s="286"/>
      <c r="FB110" s="2174"/>
      <c r="FC110" s="2174"/>
      <c r="FF110" s="7">
        <v>280</v>
      </c>
      <c r="FG110" s="280">
        <v>150</v>
      </c>
      <c r="FH110" s="280">
        <v>140</v>
      </c>
      <c r="FI110" s="280">
        <v>130</v>
      </c>
      <c r="FJ110" s="280">
        <v>110</v>
      </c>
      <c r="FK110" s="280">
        <v>100</v>
      </c>
      <c r="FL110" s="280">
        <v>87</v>
      </c>
      <c r="FM110" s="280">
        <v>82</v>
      </c>
      <c r="FN110" s="280">
        <v>72</v>
      </c>
      <c r="FO110" s="280">
        <v>64</v>
      </c>
      <c r="FP110" s="990">
        <v>60</v>
      </c>
      <c r="FR110" s="990">
        <f>HLOOKUP(FS103,FG104:FP117,6,0)</f>
        <v>43</v>
      </c>
      <c r="FS110" s="2237">
        <f t="shared" si="47"/>
        <v>60</v>
      </c>
      <c r="FT110" s="2266">
        <v>280</v>
      </c>
      <c r="FU110" s="2179"/>
      <c r="FX110" s="2176"/>
      <c r="FY110" s="2176"/>
      <c r="GB110" s="7">
        <v>280</v>
      </c>
      <c r="GC110" s="280">
        <v>150</v>
      </c>
      <c r="GD110" s="280">
        <v>140</v>
      </c>
      <c r="GE110" s="280">
        <v>130</v>
      </c>
      <c r="GF110" s="280">
        <v>110</v>
      </c>
      <c r="GG110" s="280">
        <v>100</v>
      </c>
      <c r="GH110" s="280">
        <v>87</v>
      </c>
      <c r="GI110" s="280">
        <v>82</v>
      </c>
      <c r="GJ110" s="280">
        <v>72</v>
      </c>
      <c r="GK110" s="280">
        <v>64</v>
      </c>
      <c r="GL110" s="990">
        <v>60</v>
      </c>
      <c r="GN110" s="990">
        <f>HLOOKUP(GO103,GC104:GL117,6,0)</f>
        <v>46</v>
      </c>
      <c r="GO110" s="2237">
        <f t="shared" si="48"/>
        <v>64</v>
      </c>
      <c r="GP110" s="2266">
        <v>280</v>
      </c>
      <c r="GQ110" s="2179"/>
      <c r="GT110" s="2174"/>
      <c r="GW110" s="2266">
        <v>250</v>
      </c>
      <c r="GX110" s="280">
        <v>171</v>
      </c>
      <c r="GY110" s="280">
        <v>129</v>
      </c>
      <c r="GZ110" s="280">
        <v>129</v>
      </c>
      <c r="HA110" s="280">
        <v>100</v>
      </c>
      <c r="HB110" s="280">
        <v>87.5</v>
      </c>
      <c r="HC110" s="280">
        <v>77</v>
      </c>
      <c r="HD110" s="280">
        <v>93.5</v>
      </c>
      <c r="HE110" s="280">
        <v>85</v>
      </c>
      <c r="HF110" s="2240">
        <v>82.2</v>
      </c>
      <c r="HG110" s="2179"/>
      <c r="HI110" s="990" t="e">
        <f>HLOOKUP(HJ103,GX104:HF117,6,0)</f>
        <v>#N/A</v>
      </c>
      <c r="HJ110" s="2237" t="e">
        <f t="shared" si="49"/>
        <v>#N/A</v>
      </c>
      <c r="HK110" s="735">
        <v>250</v>
      </c>
      <c r="HL110" s="2179"/>
      <c r="HN110" s="2176"/>
      <c r="HO110" s="2176"/>
      <c r="HR110" s="2266">
        <v>250</v>
      </c>
      <c r="HS110" s="280">
        <v>171</v>
      </c>
      <c r="HT110" s="280">
        <v>129</v>
      </c>
      <c r="HU110" s="280">
        <v>129</v>
      </c>
      <c r="HV110" s="280">
        <v>100</v>
      </c>
      <c r="HW110" s="280">
        <v>87.5</v>
      </c>
      <c r="HX110" s="280">
        <v>77</v>
      </c>
      <c r="HY110" s="280">
        <v>93.5</v>
      </c>
      <c r="HZ110" s="280">
        <v>85</v>
      </c>
      <c r="IA110" s="2240">
        <v>82.2</v>
      </c>
      <c r="IB110" s="2179"/>
      <c r="ID110" s="990" t="e">
        <f>HLOOKUP(IE103,HS104:IA117,6,0)</f>
        <v>#N/A</v>
      </c>
      <c r="IE110" s="2237" t="e">
        <f t="shared" si="50"/>
        <v>#N/A</v>
      </c>
      <c r="IF110" s="735">
        <v>250</v>
      </c>
      <c r="IG110" s="2179"/>
      <c r="IN110" s="277"/>
      <c r="IO110" s="277"/>
    </row>
    <row r="111" spans="2:249" ht="21.95" customHeight="1">
      <c r="B111" s="277">
        <v>11</v>
      </c>
      <c r="C111" s="735" t="s">
        <v>2253</v>
      </c>
      <c r="D111" s="735">
        <f>F111*D100</f>
        <v>1099500</v>
      </c>
      <c r="E111" s="280">
        <v>77175</v>
      </c>
      <c r="F111" s="2362">
        <f>3500+165</f>
        <v>3665</v>
      </c>
      <c r="G111" s="748"/>
      <c r="H111" s="277">
        <v>3500</v>
      </c>
      <c r="I111" s="277">
        <v>165</v>
      </c>
      <c r="S111" s="286"/>
      <c r="T111" s="286"/>
      <c r="AF111" s="2174"/>
      <c r="AG111" s="2174"/>
      <c r="AJ111" s="7">
        <v>315</v>
      </c>
      <c r="AK111" s="280">
        <v>220</v>
      </c>
      <c r="AL111" s="280">
        <v>200</v>
      </c>
      <c r="AM111" s="280">
        <v>190</v>
      </c>
      <c r="AN111" s="280">
        <v>165</v>
      </c>
      <c r="AO111" s="280">
        <v>150</v>
      </c>
      <c r="AP111" s="280">
        <v>130</v>
      </c>
      <c r="AQ111" s="280">
        <v>120</v>
      </c>
      <c r="AR111" s="280">
        <v>105</v>
      </c>
      <c r="AS111" s="280">
        <v>95</v>
      </c>
      <c r="AT111" s="990">
        <v>87</v>
      </c>
      <c r="AV111" s="990" t="e">
        <f>HLOOKUP(AW103,AK104:AT117,7,0)</f>
        <v>#N/A</v>
      </c>
      <c r="AW111" s="2237" t="e">
        <f t="shared" si="43"/>
        <v>#N/A</v>
      </c>
      <c r="AX111" s="2266">
        <v>315</v>
      </c>
      <c r="AY111" s="2179"/>
      <c r="BB111" s="2176"/>
      <c r="BC111" s="2176"/>
      <c r="BF111" s="7">
        <v>315</v>
      </c>
      <c r="BG111" s="280">
        <v>220</v>
      </c>
      <c r="BH111" s="280">
        <v>200</v>
      </c>
      <c r="BI111" s="280">
        <v>190</v>
      </c>
      <c r="BJ111" s="280">
        <v>165</v>
      </c>
      <c r="BK111" s="280">
        <v>150</v>
      </c>
      <c r="BL111" s="280">
        <v>130</v>
      </c>
      <c r="BM111" s="280">
        <v>120</v>
      </c>
      <c r="BN111" s="280">
        <v>105</v>
      </c>
      <c r="BO111" s="280">
        <v>95</v>
      </c>
      <c r="BP111" s="990">
        <v>87</v>
      </c>
      <c r="BR111" s="990" t="e">
        <f>HLOOKUP(BS103,BG104:BP117,7,0)</f>
        <v>#N/A</v>
      </c>
      <c r="BS111" s="2237" t="e">
        <f t="shared" si="44"/>
        <v>#N/A</v>
      </c>
      <c r="BT111" s="2266">
        <v>315</v>
      </c>
      <c r="BU111" s="2179"/>
      <c r="BX111" s="2174"/>
      <c r="CA111" s="2266">
        <v>280</v>
      </c>
      <c r="CB111" s="280">
        <v>229</v>
      </c>
      <c r="CC111" s="280">
        <v>175</v>
      </c>
      <c r="CD111" s="280">
        <v>175</v>
      </c>
      <c r="CE111" s="280">
        <v>144</v>
      </c>
      <c r="CF111" s="280">
        <v>132</v>
      </c>
      <c r="CG111" s="280">
        <v>121</v>
      </c>
      <c r="CH111" s="280">
        <v>128</v>
      </c>
      <c r="CI111" s="280">
        <v>116</v>
      </c>
      <c r="CJ111" s="2240">
        <v>105</v>
      </c>
      <c r="CK111" s="2179"/>
      <c r="CM111" s="990" t="e">
        <f>HLOOKUP(CN103,CB104:CJ117,7,0)</f>
        <v>#N/A</v>
      </c>
      <c r="CN111" s="2237" t="e">
        <f t="shared" si="45"/>
        <v>#N/A</v>
      </c>
      <c r="CO111" s="735">
        <v>280</v>
      </c>
      <c r="CP111" s="2179"/>
      <c r="CR111" s="2176"/>
      <c r="CS111" s="2176"/>
      <c r="CV111" s="2266">
        <v>280</v>
      </c>
      <c r="CW111" s="280">
        <v>229</v>
      </c>
      <c r="CX111" s="280">
        <v>175</v>
      </c>
      <c r="CY111" s="280">
        <v>175</v>
      </c>
      <c r="CZ111" s="280">
        <v>144</v>
      </c>
      <c r="DA111" s="280">
        <v>132</v>
      </c>
      <c r="DB111" s="280">
        <v>121</v>
      </c>
      <c r="DC111" s="280">
        <v>128</v>
      </c>
      <c r="DD111" s="280">
        <v>116</v>
      </c>
      <c r="DE111" s="2240">
        <v>105</v>
      </c>
      <c r="DF111" s="2179"/>
      <c r="DH111" s="990" t="e">
        <f>HLOOKUP(DI103,CW104:DE117,7,0)</f>
        <v>#N/A</v>
      </c>
      <c r="DI111" s="2237" t="e">
        <f t="shared" si="46"/>
        <v>#N/A</v>
      </c>
      <c r="DJ111" s="735">
        <v>280</v>
      </c>
      <c r="DK111" s="2179"/>
      <c r="DS111" s="277"/>
      <c r="DW111" s="1"/>
      <c r="DX111" s="277">
        <v>11</v>
      </c>
      <c r="DY111" s="735" t="s">
        <v>2253</v>
      </c>
      <c r="DZ111" s="735">
        <f>EB111*DZ100</f>
        <v>1099500</v>
      </c>
      <c r="EA111" s="280">
        <v>77175</v>
      </c>
      <c r="EB111" s="2362">
        <f>3500+165</f>
        <v>3665</v>
      </c>
      <c r="EC111" s="748"/>
      <c r="ED111" s="277">
        <v>3500</v>
      </c>
      <c r="EE111" s="277">
        <v>165</v>
      </c>
      <c r="EO111" s="286"/>
      <c r="EP111" s="286"/>
      <c r="FB111" s="2174"/>
      <c r="FC111" s="2174"/>
      <c r="FF111" s="7">
        <v>315</v>
      </c>
      <c r="FG111" s="280">
        <v>220</v>
      </c>
      <c r="FH111" s="280">
        <v>200</v>
      </c>
      <c r="FI111" s="280">
        <v>190</v>
      </c>
      <c r="FJ111" s="280">
        <v>165</v>
      </c>
      <c r="FK111" s="280">
        <v>150</v>
      </c>
      <c r="FL111" s="280">
        <v>130</v>
      </c>
      <c r="FM111" s="280">
        <v>120</v>
      </c>
      <c r="FN111" s="280">
        <v>105</v>
      </c>
      <c r="FO111" s="280">
        <v>95</v>
      </c>
      <c r="FP111" s="990">
        <v>87</v>
      </c>
      <c r="FR111" s="990">
        <f>HLOOKUP(FS103,FG104:FP117,7,0)</f>
        <v>60</v>
      </c>
      <c r="FS111" s="2237">
        <f t="shared" si="47"/>
        <v>87</v>
      </c>
      <c r="FT111" s="2266">
        <v>315</v>
      </c>
      <c r="FU111" s="2179"/>
      <c r="FX111" s="2176"/>
      <c r="FY111" s="2176"/>
      <c r="GB111" s="7">
        <v>315</v>
      </c>
      <c r="GC111" s="280">
        <v>220</v>
      </c>
      <c r="GD111" s="280">
        <v>200</v>
      </c>
      <c r="GE111" s="280">
        <v>190</v>
      </c>
      <c r="GF111" s="280">
        <v>165</v>
      </c>
      <c r="GG111" s="280">
        <v>150</v>
      </c>
      <c r="GH111" s="280">
        <v>130</v>
      </c>
      <c r="GI111" s="280">
        <v>120</v>
      </c>
      <c r="GJ111" s="280">
        <v>105</v>
      </c>
      <c r="GK111" s="280">
        <v>95</v>
      </c>
      <c r="GL111" s="990">
        <v>87</v>
      </c>
      <c r="GN111" s="990">
        <f>HLOOKUP(GO103,GC104:GL117,7,0)</f>
        <v>64</v>
      </c>
      <c r="GO111" s="2237">
        <f t="shared" si="48"/>
        <v>95</v>
      </c>
      <c r="GP111" s="2266">
        <v>315</v>
      </c>
      <c r="GQ111" s="2179"/>
      <c r="GT111" s="2174"/>
      <c r="GW111" s="2266">
        <v>280</v>
      </c>
      <c r="GX111" s="280">
        <v>229</v>
      </c>
      <c r="GY111" s="280">
        <v>175</v>
      </c>
      <c r="GZ111" s="280">
        <v>175</v>
      </c>
      <c r="HA111" s="280">
        <v>144</v>
      </c>
      <c r="HB111" s="280">
        <v>132</v>
      </c>
      <c r="HC111" s="280">
        <v>121</v>
      </c>
      <c r="HD111" s="280">
        <v>128</v>
      </c>
      <c r="HE111" s="280">
        <v>116</v>
      </c>
      <c r="HF111" s="2240">
        <v>105</v>
      </c>
      <c r="HG111" s="2179"/>
      <c r="HI111" s="990" t="e">
        <f>HLOOKUP(HJ103,GX104:HF117,7,0)</f>
        <v>#N/A</v>
      </c>
      <c r="HJ111" s="2237" t="e">
        <f t="shared" si="49"/>
        <v>#N/A</v>
      </c>
      <c r="HK111" s="735">
        <v>280</v>
      </c>
      <c r="HL111" s="2179"/>
      <c r="HN111" s="2176"/>
      <c r="HO111" s="2176"/>
      <c r="HR111" s="2266">
        <v>280</v>
      </c>
      <c r="HS111" s="280">
        <v>229</v>
      </c>
      <c r="HT111" s="280">
        <v>175</v>
      </c>
      <c r="HU111" s="280">
        <v>175</v>
      </c>
      <c r="HV111" s="280">
        <v>144</v>
      </c>
      <c r="HW111" s="280">
        <v>132</v>
      </c>
      <c r="HX111" s="280">
        <v>121</v>
      </c>
      <c r="HY111" s="280">
        <v>128</v>
      </c>
      <c r="HZ111" s="280">
        <v>116</v>
      </c>
      <c r="IA111" s="2240">
        <v>105</v>
      </c>
      <c r="IB111" s="2179"/>
      <c r="ID111" s="990" t="e">
        <f>HLOOKUP(IE103,HS104:IA117,7,0)</f>
        <v>#N/A</v>
      </c>
      <c r="IE111" s="2237" t="e">
        <f t="shared" si="50"/>
        <v>#N/A</v>
      </c>
      <c r="IF111" s="735">
        <v>280</v>
      </c>
      <c r="IG111" s="2179"/>
      <c r="IN111" s="277"/>
      <c r="IO111" s="277"/>
    </row>
    <row r="112" spans="2:249" ht="21.95" customHeight="1">
      <c r="B112" s="277">
        <v>12</v>
      </c>
      <c r="C112" s="735" t="s">
        <v>2254</v>
      </c>
      <c r="D112" s="735">
        <f>F112*D100</f>
        <v>1510500</v>
      </c>
      <c r="E112" s="280">
        <v>81040</v>
      </c>
      <c r="F112" s="2362">
        <f>4800+235</f>
        <v>5035</v>
      </c>
      <c r="G112" s="748"/>
      <c r="H112" s="277">
        <v>4800</v>
      </c>
      <c r="I112" s="277">
        <v>235</v>
      </c>
      <c r="S112" s="286"/>
      <c r="T112" s="286"/>
      <c r="AF112" s="2174"/>
      <c r="AG112" s="2174"/>
      <c r="AJ112" s="7">
        <v>355</v>
      </c>
      <c r="AK112" s="280">
        <v>320</v>
      </c>
      <c r="AL112" s="280">
        <v>290</v>
      </c>
      <c r="AM112" s="280">
        <v>265</v>
      </c>
      <c r="AN112" s="280">
        <v>255</v>
      </c>
      <c r="AO112" s="280">
        <v>230</v>
      </c>
      <c r="AP112" s="280">
        <v>200</v>
      </c>
      <c r="AQ112" s="280">
        <v>185</v>
      </c>
      <c r="AR112" s="280">
        <v>165</v>
      </c>
      <c r="AS112" s="280">
        <v>150</v>
      </c>
      <c r="AT112" s="990">
        <v>135</v>
      </c>
      <c r="AV112" s="990" t="e">
        <f>HLOOKUP(AW103,AK104:AT117,8,0)</f>
        <v>#N/A</v>
      </c>
      <c r="AW112" s="2237" t="e">
        <f t="shared" si="43"/>
        <v>#N/A</v>
      </c>
      <c r="AX112" s="2266">
        <v>355</v>
      </c>
      <c r="AY112" s="2179"/>
      <c r="BB112" s="2176"/>
      <c r="BC112" s="2176"/>
      <c r="BF112" s="7">
        <v>355</v>
      </c>
      <c r="BG112" s="280">
        <v>320</v>
      </c>
      <c r="BH112" s="280">
        <v>290</v>
      </c>
      <c r="BI112" s="280">
        <v>265</v>
      </c>
      <c r="BJ112" s="280">
        <v>255</v>
      </c>
      <c r="BK112" s="280">
        <v>230</v>
      </c>
      <c r="BL112" s="280">
        <v>200</v>
      </c>
      <c r="BM112" s="280">
        <v>185</v>
      </c>
      <c r="BN112" s="280">
        <v>165</v>
      </c>
      <c r="BO112" s="280">
        <v>150</v>
      </c>
      <c r="BP112" s="990">
        <v>135</v>
      </c>
      <c r="BR112" s="990" t="e">
        <f>HLOOKUP(BS103,BG104:BP117,8,0)</f>
        <v>#N/A</v>
      </c>
      <c r="BS112" s="2237" t="e">
        <f t="shared" si="44"/>
        <v>#N/A</v>
      </c>
      <c r="BT112" s="2266">
        <v>355</v>
      </c>
      <c r="BU112" s="2179"/>
      <c r="BX112" s="2174"/>
      <c r="CA112" s="2266">
        <v>315</v>
      </c>
      <c r="CB112" s="280">
        <v>311</v>
      </c>
      <c r="CC112" s="280">
        <v>264</v>
      </c>
      <c r="CD112" s="280">
        <v>264</v>
      </c>
      <c r="CE112" s="280">
        <v>204</v>
      </c>
      <c r="CF112" s="280">
        <v>181</v>
      </c>
      <c r="CG112" s="280">
        <v>167</v>
      </c>
      <c r="CH112" s="280">
        <v>174</v>
      </c>
      <c r="CI112" s="280">
        <v>152</v>
      </c>
      <c r="CJ112" s="2240">
        <v>141</v>
      </c>
      <c r="CK112" s="2179"/>
      <c r="CM112" s="990" t="e">
        <f>HLOOKUP(CN103,CB104:CJ117,8,0)</f>
        <v>#N/A</v>
      </c>
      <c r="CN112" s="2237" t="e">
        <f t="shared" si="45"/>
        <v>#N/A</v>
      </c>
      <c r="CO112" s="735">
        <v>315</v>
      </c>
      <c r="CP112" s="2179"/>
      <c r="CR112" s="2176"/>
      <c r="CS112" s="2176"/>
      <c r="CV112" s="2266">
        <v>315</v>
      </c>
      <c r="CW112" s="280">
        <v>311</v>
      </c>
      <c r="CX112" s="280">
        <v>264</v>
      </c>
      <c r="CY112" s="280">
        <v>264</v>
      </c>
      <c r="CZ112" s="280">
        <v>204</v>
      </c>
      <c r="DA112" s="280">
        <v>181</v>
      </c>
      <c r="DB112" s="280">
        <v>167</v>
      </c>
      <c r="DC112" s="280">
        <v>174</v>
      </c>
      <c r="DD112" s="280">
        <v>152</v>
      </c>
      <c r="DE112" s="2240">
        <v>141</v>
      </c>
      <c r="DF112" s="2179"/>
      <c r="DH112" s="990" t="e">
        <f>HLOOKUP(DI103,CW104:DE117,8,0)</f>
        <v>#N/A</v>
      </c>
      <c r="DI112" s="2237" t="e">
        <f t="shared" si="46"/>
        <v>#N/A</v>
      </c>
      <c r="DJ112" s="735">
        <v>315</v>
      </c>
      <c r="DK112" s="2179"/>
      <c r="DS112" s="277"/>
      <c r="DW112" s="1"/>
      <c r="DX112" s="277">
        <v>12</v>
      </c>
      <c r="DY112" s="735" t="s">
        <v>2254</v>
      </c>
      <c r="DZ112" s="735">
        <f>EB112*DZ100</f>
        <v>1510500</v>
      </c>
      <c r="EA112" s="280">
        <v>81040</v>
      </c>
      <c r="EB112" s="2362">
        <f>4800+235</f>
        <v>5035</v>
      </c>
      <c r="EC112" s="748"/>
      <c r="ED112" s="277">
        <v>4800</v>
      </c>
      <c r="EE112" s="277">
        <v>235</v>
      </c>
      <c r="EO112" s="286"/>
      <c r="EP112" s="286"/>
      <c r="FB112" s="2174"/>
      <c r="FC112" s="2174"/>
      <c r="FF112" s="7">
        <v>355</v>
      </c>
      <c r="FG112" s="280">
        <v>320</v>
      </c>
      <c r="FH112" s="280">
        <v>290</v>
      </c>
      <c r="FI112" s="280">
        <v>265</v>
      </c>
      <c r="FJ112" s="280">
        <v>255</v>
      </c>
      <c r="FK112" s="280">
        <v>230</v>
      </c>
      <c r="FL112" s="280">
        <v>200</v>
      </c>
      <c r="FM112" s="280">
        <v>185</v>
      </c>
      <c r="FN112" s="280">
        <v>165</v>
      </c>
      <c r="FO112" s="280">
        <v>150</v>
      </c>
      <c r="FP112" s="990">
        <v>135</v>
      </c>
      <c r="FR112" s="990">
        <f>HLOOKUP(FS103,FG104:FP117,8,0)</f>
        <v>87</v>
      </c>
      <c r="FS112" s="2237">
        <f t="shared" si="47"/>
        <v>135</v>
      </c>
      <c r="FT112" s="2266">
        <v>355</v>
      </c>
      <c r="FU112" s="2179"/>
      <c r="FX112" s="2176"/>
      <c r="FY112" s="2176"/>
      <c r="GB112" s="7">
        <v>355</v>
      </c>
      <c r="GC112" s="280">
        <v>320</v>
      </c>
      <c r="GD112" s="280">
        <v>290</v>
      </c>
      <c r="GE112" s="280">
        <v>265</v>
      </c>
      <c r="GF112" s="280">
        <v>255</v>
      </c>
      <c r="GG112" s="280">
        <v>230</v>
      </c>
      <c r="GH112" s="280">
        <v>200</v>
      </c>
      <c r="GI112" s="280">
        <v>185</v>
      </c>
      <c r="GJ112" s="280">
        <v>165</v>
      </c>
      <c r="GK112" s="280">
        <v>150</v>
      </c>
      <c r="GL112" s="990">
        <v>135</v>
      </c>
      <c r="GN112" s="990">
        <f>HLOOKUP(GO103,GC104:GL117,8,0)</f>
        <v>95</v>
      </c>
      <c r="GO112" s="2237">
        <f t="shared" si="48"/>
        <v>150</v>
      </c>
      <c r="GP112" s="2266">
        <v>355</v>
      </c>
      <c r="GQ112" s="2179"/>
      <c r="GT112" s="2174"/>
      <c r="GW112" s="2266">
        <v>315</v>
      </c>
      <c r="GX112" s="280">
        <v>311</v>
      </c>
      <c r="GY112" s="280">
        <v>264</v>
      </c>
      <c r="GZ112" s="280">
        <v>264</v>
      </c>
      <c r="HA112" s="280">
        <v>204</v>
      </c>
      <c r="HB112" s="280">
        <v>181</v>
      </c>
      <c r="HC112" s="280">
        <v>167</v>
      </c>
      <c r="HD112" s="280">
        <v>174</v>
      </c>
      <c r="HE112" s="280">
        <v>152</v>
      </c>
      <c r="HF112" s="2240">
        <v>141</v>
      </c>
      <c r="HG112" s="2179"/>
      <c r="HI112" s="990" t="e">
        <f>HLOOKUP(HJ103,GX104:HF117,8,0)</f>
        <v>#N/A</v>
      </c>
      <c r="HJ112" s="2237" t="e">
        <f t="shared" si="49"/>
        <v>#N/A</v>
      </c>
      <c r="HK112" s="735">
        <v>315</v>
      </c>
      <c r="HL112" s="2179"/>
      <c r="HN112" s="2176"/>
      <c r="HO112" s="2176"/>
      <c r="HR112" s="2266">
        <v>315</v>
      </c>
      <c r="HS112" s="280">
        <v>311</v>
      </c>
      <c r="HT112" s="280">
        <v>264</v>
      </c>
      <c r="HU112" s="280">
        <v>264</v>
      </c>
      <c r="HV112" s="280">
        <v>204</v>
      </c>
      <c r="HW112" s="280">
        <v>181</v>
      </c>
      <c r="HX112" s="280">
        <v>167</v>
      </c>
      <c r="HY112" s="280">
        <v>174</v>
      </c>
      <c r="HZ112" s="280">
        <v>152</v>
      </c>
      <c r="IA112" s="2240">
        <v>141</v>
      </c>
      <c r="IB112" s="2179"/>
      <c r="ID112" s="990" t="e">
        <f>HLOOKUP(IE103,HS104:IA117,8,0)</f>
        <v>#N/A</v>
      </c>
      <c r="IE112" s="2237" t="e">
        <f t="shared" si="50"/>
        <v>#N/A</v>
      </c>
      <c r="IF112" s="735">
        <v>315</v>
      </c>
      <c r="IG112" s="2179"/>
      <c r="IN112" s="277"/>
      <c r="IO112" s="277"/>
    </row>
    <row r="113" spans="2:249" ht="21.95" customHeight="1">
      <c r="B113" s="277">
        <v>13</v>
      </c>
      <c r="C113" s="735" t="s">
        <v>2255</v>
      </c>
      <c r="D113" s="735">
        <f>F113*D100</f>
        <v>2049000</v>
      </c>
      <c r="E113" s="280">
        <v>85090</v>
      </c>
      <c r="F113" s="2362">
        <f>6500+330</f>
        <v>6830</v>
      </c>
      <c r="G113" s="748"/>
      <c r="H113" s="277">
        <v>6500</v>
      </c>
      <c r="I113" s="277">
        <v>330</v>
      </c>
      <c r="S113" s="286"/>
      <c r="T113" s="286"/>
      <c r="AF113" s="2174"/>
      <c r="AG113" s="2174"/>
      <c r="AJ113" s="7">
        <v>400</v>
      </c>
      <c r="AK113" s="280">
        <v>420</v>
      </c>
      <c r="AL113" s="280">
        <v>380</v>
      </c>
      <c r="AM113" s="280">
        <v>345</v>
      </c>
      <c r="AN113" s="280">
        <v>315</v>
      </c>
      <c r="AO113" s="280">
        <v>285</v>
      </c>
      <c r="AP113" s="280">
        <v>255</v>
      </c>
      <c r="AQ113" s="280">
        <v>230</v>
      </c>
      <c r="AR113" s="280">
        <v>205</v>
      </c>
      <c r="AS113" s="280">
        <v>180</v>
      </c>
      <c r="AT113" s="990">
        <v>165</v>
      </c>
      <c r="AV113" s="990" t="e">
        <f>HLOOKUP(AW103,AK104:AT117,9,0)</f>
        <v>#N/A</v>
      </c>
      <c r="AW113" s="2237" t="e">
        <f t="shared" si="43"/>
        <v>#N/A</v>
      </c>
      <c r="AX113" s="2266">
        <v>400</v>
      </c>
      <c r="AY113" s="2179"/>
      <c r="BB113" s="2176"/>
      <c r="BC113" s="2176"/>
      <c r="BF113" s="7">
        <v>400</v>
      </c>
      <c r="BG113" s="280">
        <v>420</v>
      </c>
      <c r="BH113" s="280">
        <v>380</v>
      </c>
      <c r="BI113" s="280">
        <v>345</v>
      </c>
      <c r="BJ113" s="280">
        <v>315</v>
      </c>
      <c r="BK113" s="280">
        <v>285</v>
      </c>
      <c r="BL113" s="280">
        <v>255</v>
      </c>
      <c r="BM113" s="280">
        <v>230</v>
      </c>
      <c r="BN113" s="280">
        <v>205</v>
      </c>
      <c r="BO113" s="280">
        <v>180</v>
      </c>
      <c r="BP113" s="990">
        <v>165</v>
      </c>
      <c r="BR113" s="990" t="e">
        <f>HLOOKUP(BS103,BG104:BP117,9,0)</f>
        <v>#N/A</v>
      </c>
      <c r="BS113" s="2237" t="e">
        <f t="shared" si="44"/>
        <v>#N/A</v>
      </c>
      <c r="BT113" s="2266">
        <v>400</v>
      </c>
      <c r="BU113" s="2179"/>
      <c r="BX113" s="2174"/>
      <c r="CA113" s="2266">
        <v>355</v>
      </c>
      <c r="CB113" s="280">
        <v>400</v>
      </c>
      <c r="CC113" s="280">
        <v>335</v>
      </c>
      <c r="CD113" s="280">
        <v>326</v>
      </c>
      <c r="CE113" s="280">
        <v>283</v>
      </c>
      <c r="CF113" s="280">
        <v>252</v>
      </c>
      <c r="CG113" s="280">
        <v>227</v>
      </c>
      <c r="CH113" s="280">
        <v>248</v>
      </c>
      <c r="CI113" s="280">
        <v>221</v>
      </c>
      <c r="CJ113" s="2240">
        <v>203</v>
      </c>
      <c r="CK113" s="2179"/>
      <c r="CM113" s="990" t="e">
        <f>HLOOKUP(CN103,CB104:CJ117,9,0)</f>
        <v>#N/A</v>
      </c>
      <c r="CN113" s="2237" t="e">
        <f t="shared" si="45"/>
        <v>#N/A</v>
      </c>
      <c r="CO113" s="735">
        <v>355</v>
      </c>
      <c r="CP113" s="2179"/>
      <c r="CR113" s="2176"/>
      <c r="CS113" s="2176"/>
      <c r="CV113" s="2266">
        <v>355</v>
      </c>
      <c r="CW113" s="280">
        <v>400</v>
      </c>
      <c r="CX113" s="280">
        <v>335</v>
      </c>
      <c r="CY113" s="280">
        <v>326</v>
      </c>
      <c r="CZ113" s="280">
        <v>283</v>
      </c>
      <c r="DA113" s="280">
        <v>252</v>
      </c>
      <c r="DB113" s="280">
        <v>227</v>
      </c>
      <c r="DC113" s="280">
        <v>248</v>
      </c>
      <c r="DD113" s="280">
        <v>221</v>
      </c>
      <c r="DE113" s="2240">
        <v>203</v>
      </c>
      <c r="DF113" s="2179"/>
      <c r="DH113" s="990" t="e">
        <f>HLOOKUP(DI103,CW104:DE117,9,0)</f>
        <v>#N/A</v>
      </c>
      <c r="DI113" s="2237" t="e">
        <f t="shared" si="46"/>
        <v>#N/A</v>
      </c>
      <c r="DJ113" s="735">
        <v>355</v>
      </c>
      <c r="DK113" s="2179"/>
      <c r="DS113" s="277"/>
      <c r="DW113" s="1"/>
      <c r="DX113" s="277">
        <v>13</v>
      </c>
      <c r="DY113" s="735" t="s">
        <v>2255</v>
      </c>
      <c r="DZ113" s="735">
        <f>EB113*DZ100</f>
        <v>2049000</v>
      </c>
      <c r="EA113" s="280">
        <v>85090</v>
      </c>
      <c r="EB113" s="2362">
        <f>6500+330</f>
        <v>6830</v>
      </c>
      <c r="EC113" s="748"/>
      <c r="ED113" s="277">
        <v>6500</v>
      </c>
      <c r="EE113" s="277">
        <v>330</v>
      </c>
      <c r="EO113" s="286"/>
      <c r="EP113" s="286"/>
      <c r="FB113" s="2174"/>
      <c r="FC113" s="2174"/>
      <c r="FF113" s="7">
        <v>400</v>
      </c>
      <c r="FG113" s="280">
        <v>420</v>
      </c>
      <c r="FH113" s="280">
        <v>380</v>
      </c>
      <c r="FI113" s="280">
        <v>345</v>
      </c>
      <c r="FJ113" s="280">
        <v>315</v>
      </c>
      <c r="FK113" s="280">
        <v>285</v>
      </c>
      <c r="FL113" s="280">
        <v>255</v>
      </c>
      <c r="FM113" s="280">
        <v>230</v>
      </c>
      <c r="FN113" s="280">
        <v>205</v>
      </c>
      <c r="FO113" s="280">
        <v>180</v>
      </c>
      <c r="FP113" s="990">
        <v>165</v>
      </c>
      <c r="FR113" s="990">
        <f>HLOOKUP(FS103,FG104:FP117,9,0)</f>
        <v>135</v>
      </c>
      <c r="FS113" s="2237">
        <f t="shared" si="47"/>
        <v>165</v>
      </c>
      <c r="FT113" s="2266">
        <v>400</v>
      </c>
      <c r="FU113" s="2179"/>
      <c r="FX113" s="2176"/>
      <c r="FY113" s="2176"/>
      <c r="GB113" s="7">
        <v>400</v>
      </c>
      <c r="GC113" s="280">
        <v>420</v>
      </c>
      <c r="GD113" s="280">
        <v>380</v>
      </c>
      <c r="GE113" s="280">
        <v>345</v>
      </c>
      <c r="GF113" s="280">
        <v>315</v>
      </c>
      <c r="GG113" s="280">
        <v>285</v>
      </c>
      <c r="GH113" s="280">
        <v>255</v>
      </c>
      <c r="GI113" s="280">
        <v>230</v>
      </c>
      <c r="GJ113" s="280">
        <v>205</v>
      </c>
      <c r="GK113" s="280">
        <v>180</v>
      </c>
      <c r="GL113" s="990">
        <v>165</v>
      </c>
      <c r="GN113" s="990">
        <f>HLOOKUP(GO103,GC104:GL117,9,0)</f>
        <v>150</v>
      </c>
      <c r="GO113" s="2237">
        <f t="shared" si="48"/>
        <v>180</v>
      </c>
      <c r="GP113" s="2266">
        <v>400</v>
      </c>
      <c r="GQ113" s="2179"/>
      <c r="GT113" s="2174"/>
      <c r="GW113" s="2266">
        <v>355</v>
      </c>
      <c r="GX113" s="280">
        <v>400</v>
      </c>
      <c r="GY113" s="280">
        <v>335</v>
      </c>
      <c r="GZ113" s="280">
        <v>326</v>
      </c>
      <c r="HA113" s="280">
        <v>283</v>
      </c>
      <c r="HB113" s="280">
        <v>252</v>
      </c>
      <c r="HC113" s="280">
        <v>227</v>
      </c>
      <c r="HD113" s="280">
        <v>248</v>
      </c>
      <c r="HE113" s="280">
        <v>221</v>
      </c>
      <c r="HF113" s="2240">
        <v>203</v>
      </c>
      <c r="HG113" s="2179"/>
      <c r="HI113" s="990" t="e">
        <f>HLOOKUP(HJ103,GX104:HF117,9,0)</f>
        <v>#N/A</v>
      </c>
      <c r="HJ113" s="2237" t="e">
        <f t="shared" si="49"/>
        <v>#N/A</v>
      </c>
      <c r="HK113" s="735">
        <v>355</v>
      </c>
      <c r="HL113" s="2179"/>
      <c r="HN113" s="2176"/>
      <c r="HO113" s="2176"/>
      <c r="HR113" s="2266">
        <v>355</v>
      </c>
      <c r="HS113" s="280">
        <v>400</v>
      </c>
      <c r="HT113" s="280">
        <v>335</v>
      </c>
      <c r="HU113" s="280">
        <v>326</v>
      </c>
      <c r="HV113" s="280">
        <v>283</v>
      </c>
      <c r="HW113" s="280">
        <v>252</v>
      </c>
      <c r="HX113" s="280">
        <v>227</v>
      </c>
      <c r="HY113" s="280">
        <v>248</v>
      </c>
      <c r="HZ113" s="280">
        <v>221</v>
      </c>
      <c r="IA113" s="2240">
        <v>203</v>
      </c>
      <c r="IB113" s="2179"/>
      <c r="ID113" s="990" t="e">
        <f>HLOOKUP(IE103,HS104:IA117,9,0)</f>
        <v>#N/A</v>
      </c>
      <c r="IE113" s="2237" t="e">
        <f t="shared" si="50"/>
        <v>#N/A</v>
      </c>
      <c r="IF113" s="735">
        <v>355</v>
      </c>
      <c r="IG113" s="2179"/>
      <c r="IN113" s="277"/>
      <c r="IO113" s="277"/>
    </row>
    <row r="114" spans="2:249" ht="21.95" customHeight="1">
      <c r="B114" s="277">
        <v>14</v>
      </c>
      <c r="C114" s="735" t="s">
        <v>2256</v>
      </c>
      <c r="D114" s="735">
        <f>F114*D100</f>
        <v>2862000</v>
      </c>
      <c r="E114" s="280">
        <v>89340</v>
      </c>
      <c r="F114" s="2362">
        <f>9100+440</f>
        <v>9540</v>
      </c>
      <c r="G114" s="748"/>
      <c r="H114" s="277">
        <v>9100</v>
      </c>
      <c r="I114" s="277">
        <v>440</v>
      </c>
      <c r="S114" s="286"/>
      <c r="T114" s="286"/>
      <c r="AF114" s="2174"/>
      <c r="AG114" s="2174"/>
      <c r="AJ114" s="7">
        <v>450</v>
      </c>
      <c r="AK114" s="280">
        <v>590</v>
      </c>
      <c r="AL114" s="280">
        <v>550</v>
      </c>
      <c r="AM114" s="280">
        <v>520</v>
      </c>
      <c r="AN114" s="280">
        <v>460</v>
      </c>
      <c r="AO114" s="280">
        <v>420</v>
      </c>
      <c r="AP114" s="280">
        <v>370</v>
      </c>
      <c r="AQ114" s="280">
        <v>340</v>
      </c>
      <c r="AR114" s="280">
        <v>300</v>
      </c>
      <c r="AS114" s="280">
        <v>265</v>
      </c>
      <c r="AT114" s="990">
        <v>240</v>
      </c>
      <c r="AV114" s="990" t="e">
        <f>HLOOKUP(AW103,AK104:AT117,10,0)</f>
        <v>#N/A</v>
      </c>
      <c r="AW114" s="2237" t="e">
        <f t="shared" si="43"/>
        <v>#N/A</v>
      </c>
      <c r="AX114" s="2266">
        <v>450</v>
      </c>
      <c r="AY114" s="2179"/>
      <c r="BB114" s="2176"/>
      <c r="BC114" s="2176"/>
      <c r="BF114" s="7">
        <v>450</v>
      </c>
      <c r="BG114" s="280">
        <v>590</v>
      </c>
      <c r="BH114" s="280">
        <v>550</v>
      </c>
      <c r="BI114" s="280">
        <v>520</v>
      </c>
      <c r="BJ114" s="280">
        <v>460</v>
      </c>
      <c r="BK114" s="280">
        <v>420</v>
      </c>
      <c r="BL114" s="280">
        <v>370</v>
      </c>
      <c r="BM114" s="280">
        <v>340</v>
      </c>
      <c r="BN114" s="280">
        <v>300</v>
      </c>
      <c r="BO114" s="280">
        <v>265</v>
      </c>
      <c r="BP114" s="990">
        <v>240</v>
      </c>
      <c r="BR114" s="990" t="e">
        <f>HLOOKUP(BS103,BG104:BP117,10,0)</f>
        <v>#N/A</v>
      </c>
      <c r="BS114" s="2237" t="e">
        <f t="shared" si="44"/>
        <v>#N/A</v>
      </c>
      <c r="BT114" s="2266">
        <v>450</v>
      </c>
      <c r="BU114" s="2179"/>
      <c r="BX114" s="2174"/>
      <c r="CA114" s="2266">
        <v>400</v>
      </c>
      <c r="CB114" s="280">
        <v>572</v>
      </c>
      <c r="CC114" s="280">
        <v>501</v>
      </c>
      <c r="CD114" s="280">
        <v>494</v>
      </c>
      <c r="CE114" s="280">
        <v>389</v>
      </c>
      <c r="CF114" s="280">
        <v>334</v>
      </c>
      <c r="CG114" s="280">
        <v>303</v>
      </c>
      <c r="CH114" s="280">
        <v>368</v>
      </c>
      <c r="CI114" s="280">
        <v>330</v>
      </c>
      <c r="CJ114" s="2240">
        <v>297</v>
      </c>
      <c r="CK114" s="2179"/>
      <c r="CM114" s="990" t="e">
        <f>HLOOKUP(CN103,CB104:CJ117,10,0)</f>
        <v>#N/A</v>
      </c>
      <c r="CN114" s="2237" t="e">
        <f t="shared" si="45"/>
        <v>#N/A</v>
      </c>
      <c r="CO114" s="735">
        <v>400</v>
      </c>
      <c r="CP114" s="2179"/>
      <c r="CR114" s="2176"/>
      <c r="CS114" s="2176"/>
      <c r="CV114" s="2266">
        <v>400</v>
      </c>
      <c r="CW114" s="280">
        <v>572</v>
      </c>
      <c r="CX114" s="280">
        <v>501</v>
      </c>
      <c r="CY114" s="280">
        <v>494</v>
      </c>
      <c r="CZ114" s="280">
        <v>389</v>
      </c>
      <c r="DA114" s="280">
        <v>334</v>
      </c>
      <c r="DB114" s="280">
        <v>303</v>
      </c>
      <c r="DC114" s="280">
        <v>368</v>
      </c>
      <c r="DD114" s="280">
        <v>330</v>
      </c>
      <c r="DE114" s="2240">
        <v>297</v>
      </c>
      <c r="DF114" s="2179"/>
      <c r="DH114" s="990" t="e">
        <f>HLOOKUP(DI103,CW104:DE117,10,0)</f>
        <v>#N/A</v>
      </c>
      <c r="DI114" s="2237" t="e">
        <f t="shared" si="46"/>
        <v>#N/A</v>
      </c>
      <c r="DJ114" s="735">
        <v>400</v>
      </c>
      <c r="DK114" s="2179"/>
      <c r="DS114" s="277"/>
      <c r="DW114" s="1"/>
      <c r="DX114" s="277">
        <v>14</v>
      </c>
      <c r="DY114" s="735" t="s">
        <v>2256</v>
      </c>
      <c r="DZ114" s="735">
        <f>EB114*DZ100</f>
        <v>2862000</v>
      </c>
      <c r="EA114" s="280">
        <v>89340</v>
      </c>
      <c r="EB114" s="2362">
        <f>9100+440</f>
        <v>9540</v>
      </c>
      <c r="EC114" s="748"/>
      <c r="ED114" s="277">
        <v>9100</v>
      </c>
      <c r="EE114" s="277">
        <v>440</v>
      </c>
      <c r="EO114" s="286"/>
      <c r="EP114" s="286"/>
      <c r="FB114" s="2174"/>
      <c r="FC114" s="2174"/>
      <c r="FF114" s="7">
        <v>450</v>
      </c>
      <c r="FG114" s="280">
        <v>590</v>
      </c>
      <c r="FH114" s="280">
        <v>550</v>
      </c>
      <c r="FI114" s="280">
        <v>520</v>
      </c>
      <c r="FJ114" s="280">
        <v>460</v>
      </c>
      <c r="FK114" s="280">
        <v>420</v>
      </c>
      <c r="FL114" s="280">
        <v>370</v>
      </c>
      <c r="FM114" s="280">
        <v>340</v>
      </c>
      <c r="FN114" s="280">
        <v>300</v>
      </c>
      <c r="FO114" s="280">
        <v>265</v>
      </c>
      <c r="FP114" s="990">
        <v>240</v>
      </c>
      <c r="FR114" s="990">
        <f>HLOOKUP(FS103,FG104:FP117,10,0)</f>
        <v>165</v>
      </c>
      <c r="FS114" s="2237">
        <f t="shared" si="47"/>
        <v>240</v>
      </c>
      <c r="FT114" s="2266">
        <v>450</v>
      </c>
      <c r="FU114" s="2179"/>
      <c r="FX114" s="2176"/>
      <c r="FY114" s="2176"/>
      <c r="GB114" s="7">
        <v>450</v>
      </c>
      <c r="GC114" s="280">
        <v>590</v>
      </c>
      <c r="GD114" s="280">
        <v>550</v>
      </c>
      <c r="GE114" s="280">
        <v>520</v>
      </c>
      <c r="GF114" s="280">
        <v>460</v>
      </c>
      <c r="GG114" s="280">
        <v>420</v>
      </c>
      <c r="GH114" s="280">
        <v>370</v>
      </c>
      <c r="GI114" s="280">
        <v>340</v>
      </c>
      <c r="GJ114" s="280">
        <v>300</v>
      </c>
      <c r="GK114" s="280">
        <v>265</v>
      </c>
      <c r="GL114" s="990">
        <v>240</v>
      </c>
      <c r="GN114" s="990">
        <f>HLOOKUP(GO103,GC104:GL117,10,0)</f>
        <v>180</v>
      </c>
      <c r="GO114" s="2237">
        <f t="shared" si="48"/>
        <v>265</v>
      </c>
      <c r="GP114" s="2266">
        <v>450</v>
      </c>
      <c r="GQ114" s="2179"/>
      <c r="GT114" s="2174"/>
      <c r="GW114" s="2266">
        <v>400</v>
      </c>
      <c r="GX114" s="280">
        <v>572</v>
      </c>
      <c r="GY114" s="280">
        <v>501</v>
      </c>
      <c r="GZ114" s="280">
        <v>494</v>
      </c>
      <c r="HA114" s="280">
        <v>389</v>
      </c>
      <c r="HB114" s="280">
        <v>334</v>
      </c>
      <c r="HC114" s="280">
        <v>303</v>
      </c>
      <c r="HD114" s="280">
        <v>368</v>
      </c>
      <c r="HE114" s="280">
        <v>330</v>
      </c>
      <c r="HF114" s="2240">
        <v>297</v>
      </c>
      <c r="HG114" s="2179"/>
      <c r="HI114" s="990" t="e">
        <f>HLOOKUP(HJ103,GX104:HF117,10,0)</f>
        <v>#N/A</v>
      </c>
      <c r="HJ114" s="2237" t="e">
        <f t="shared" si="49"/>
        <v>#N/A</v>
      </c>
      <c r="HK114" s="735">
        <v>400</v>
      </c>
      <c r="HL114" s="2179"/>
      <c r="HN114" s="2176"/>
      <c r="HO114" s="2176"/>
      <c r="HR114" s="2266">
        <v>400</v>
      </c>
      <c r="HS114" s="280">
        <v>572</v>
      </c>
      <c r="HT114" s="280">
        <v>501</v>
      </c>
      <c r="HU114" s="280">
        <v>494</v>
      </c>
      <c r="HV114" s="280">
        <v>389</v>
      </c>
      <c r="HW114" s="280">
        <v>334</v>
      </c>
      <c r="HX114" s="280">
        <v>303</v>
      </c>
      <c r="HY114" s="280">
        <v>368</v>
      </c>
      <c r="HZ114" s="280">
        <v>330</v>
      </c>
      <c r="IA114" s="2240">
        <v>297</v>
      </c>
      <c r="IB114" s="2179"/>
      <c r="ID114" s="990" t="e">
        <f>HLOOKUP(IE103,HS104:IA117,10,0)</f>
        <v>#N/A</v>
      </c>
      <c r="IE114" s="2237" t="e">
        <f t="shared" si="50"/>
        <v>#N/A</v>
      </c>
      <c r="IF114" s="735">
        <v>400</v>
      </c>
      <c r="IG114" s="2179"/>
      <c r="IN114" s="277"/>
      <c r="IO114" s="277"/>
    </row>
    <row r="115" spans="2:249" ht="21.95" customHeight="1">
      <c r="B115" s="277">
        <v>15</v>
      </c>
      <c r="C115" s="280" t="s">
        <v>2257</v>
      </c>
      <c r="D115" s="280">
        <f>F115*D100</f>
        <v>3930000</v>
      </c>
      <c r="E115" s="2274">
        <v>93800</v>
      </c>
      <c r="F115" s="2362">
        <f>12500+600</f>
        <v>13100</v>
      </c>
      <c r="G115" s="280"/>
      <c r="H115" s="277">
        <v>12500</v>
      </c>
      <c r="I115" s="277">
        <v>600</v>
      </c>
      <c r="S115" s="286"/>
      <c r="T115" s="286"/>
      <c r="AF115" s="2174"/>
      <c r="AG115" s="2174"/>
      <c r="AJ115" s="7">
        <v>500</v>
      </c>
      <c r="AK115" s="280">
        <v>1000</v>
      </c>
      <c r="AL115" s="280">
        <v>880</v>
      </c>
      <c r="AM115" s="280">
        <v>780</v>
      </c>
      <c r="AN115" s="280">
        <v>730</v>
      </c>
      <c r="AO115" s="280">
        <v>640</v>
      </c>
      <c r="AP115" s="280">
        <v>580</v>
      </c>
      <c r="AQ115" s="280">
        <v>510</v>
      </c>
      <c r="AR115" s="280">
        <v>465</v>
      </c>
      <c r="AS115" s="280">
        <v>455</v>
      </c>
      <c r="AT115" s="990">
        <v>365</v>
      </c>
      <c r="AV115" s="990" t="e">
        <f>HLOOKUP(AW103,AK104:AT117,11,0)</f>
        <v>#N/A</v>
      </c>
      <c r="AW115" s="2237" t="e">
        <f t="shared" si="43"/>
        <v>#N/A</v>
      </c>
      <c r="AX115" s="2266">
        <v>500</v>
      </c>
      <c r="AY115" s="2179"/>
      <c r="BB115" s="2176"/>
      <c r="BC115" s="2176"/>
      <c r="BF115" s="7">
        <v>500</v>
      </c>
      <c r="BG115" s="280">
        <v>1000</v>
      </c>
      <c r="BH115" s="280">
        <v>880</v>
      </c>
      <c r="BI115" s="280">
        <v>780</v>
      </c>
      <c r="BJ115" s="280">
        <v>730</v>
      </c>
      <c r="BK115" s="280">
        <v>640</v>
      </c>
      <c r="BL115" s="280">
        <v>580</v>
      </c>
      <c r="BM115" s="280">
        <v>510</v>
      </c>
      <c r="BN115" s="280">
        <v>465</v>
      </c>
      <c r="BO115" s="280">
        <v>455</v>
      </c>
      <c r="BP115" s="990">
        <v>365</v>
      </c>
      <c r="BR115" s="990" t="e">
        <f>HLOOKUP(BS103,BG104:BP117,11,0)</f>
        <v>#N/A</v>
      </c>
      <c r="BS115" s="2237" t="e">
        <f t="shared" si="44"/>
        <v>#N/A</v>
      </c>
      <c r="BT115" s="2266">
        <v>500</v>
      </c>
      <c r="BU115" s="2179"/>
      <c r="BX115" s="2174"/>
      <c r="CA115" s="2266">
        <v>450</v>
      </c>
      <c r="CB115" s="280">
        <v>861</v>
      </c>
      <c r="CC115" s="280">
        <v>690</v>
      </c>
      <c r="CD115" s="280">
        <v>691</v>
      </c>
      <c r="CE115" s="280">
        <v>563</v>
      </c>
      <c r="CF115" s="280">
        <v>540</v>
      </c>
      <c r="CG115" s="280">
        <v>499</v>
      </c>
      <c r="CH115" s="280">
        <v>513</v>
      </c>
      <c r="CI115" s="280">
        <v>471</v>
      </c>
      <c r="CJ115" s="2240">
        <v>415</v>
      </c>
      <c r="CK115" s="2179"/>
      <c r="CM115" s="990" t="e">
        <f>HLOOKUP(CN103,CB104:CJ117,11,0)</f>
        <v>#N/A</v>
      </c>
      <c r="CN115" s="2237" t="e">
        <f t="shared" si="45"/>
        <v>#N/A</v>
      </c>
      <c r="CO115" s="735">
        <v>450</v>
      </c>
      <c r="CP115" s="2179"/>
      <c r="CR115" s="2176"/>
      <c r="CS115" s="2176"/>
      <c r="CV115" s="2266">
        <v>450</v>
      </c>
      <c r="CW115" s="280">
        <v>861</v>
      </c>
      <c r="CX115" s="280">
        <v>690</v>
      </c>
      <c r="CY115" s="280">
        <v>691</v>
      </c>
      <c r="CZ115" s="280">
        <v>563</v>
      </c>
      <c r="DA115" s="280">
        <v>540</v>
      </c>
      <c r="DB115" s="280">
        <v>499</v>
      </c>
      <c r="DC115" s="280">
        <v>513</v>
      </c>
      <c r="DD115" s="280">
        <v>471</v>
      </c>
      <c r="DE115" s="2240">
        <v>415</v>
      </c>
      <c r="DF115" s="2179"/>
      <c r="DH115" s="990" t="e">
        <f>HLOOKUP(DI103,CW104:DE117,11,0)</f>
        <v>#N/A</v>
      </c>
      <c r="DI115" s="2237" t="e">
        <f t="shared" si="46"/>
        <v>#N/A</v>
      </c>
      <c r="DJ115" s="735">
        <v>450</v>
      </c>
      <c r="DK115" s="2179"/>
      <c r="DS115" s="277"/>
      <c r="DW115" s="1"/>
      <c r="DX115" s="277">
        <v>15</v>
      </c>
      <c r="DY115" s="280" t="s">
        <v>2257</v>
      </c>
      <c r="DZ115" s="280">
        <f>EB115*DZ100</f>
        <v>3930000</v>
      </c>
      <c r="EA115" s="2274">
        <v>93800</v>
      </c>
      <c r="EB115" s="2362">
        <f>12500+600</f>
        <v>13100</v>
      </c>
      <c r="EC115" s="280"/>
      <c r="ED115" s="277">
        <v>12500</v>
      </c>
      <c r="EE115" s="277">
        <v>600</v>
      </c>
      <c r="EO115" s="286"/>
      <c r="EP115" s="286"/>
      <c r="FB115" s="2174"/>
      <c r="FC115" s="2174"/>
      <c r="FF115" s="7">
        <v>500</v>
      </c>
      <c r="FG115" s="280">
        <v>1000</v>
      </c>
      <c r="FH115" s="280">
        <v>880</v>
      </c>
      <c r="FI115" s="280">
        <v>780</v>
      </c>
      <c r="FJ115" s="280">
        <v>730</v>
      </c>
      <c r="FK115" s="280">
        <v>640</v>
      </c>
      <c r="FL115" s="280">
        <v>580</v>
      </c>
      <c r="FM115" s="280">
        <v>510</v>
      </c>
      <c r="FN115" s="280">
        <v>465</v>
      </c>
      <c r="FO115" s="280">
        <v>455</v>
      </c>
      <c r="FP115" s="990">
        <v>365</v>
      </c>
      <c r="FR115" s="990">
        <f>HLOOKUP(FS103,FG104:FP117,11,0)</f>
        <v>240</v>
      </c>
      <c r="FS115" s="2237">
        <f t="shared" si="47"/>
        <v>365</v>
      </c>
      <c r="FT115" s="2266">
        <v>500</v>
      </c>
      <c r="FU115" s="2179"/>
      <c r="FX115" s="2176"/>
      <c r="FY115" s="2176"/>
      <c r="GB115" s="7">
        <v>500</v>
      </c>
      <c r="GC115" s="280">
        <v>1000</v>
      </c>
      <c r="GD115" s="280">
        <v>880</v>
      </c>
      <c r="GE115" s="280">
        <v>780</v>
      </c>
      <c r="GF115" s="280">
        <v>730</v>
      </c>
      <c r="GG115" s="280">
        <v>640</v>
      </c>
      <c r="GH115" s="280">
        <v>580</v>
      </c>
      <c r="GI115" s="280">
        <v>510</v>
      </c>
      <c r="GJ115" s="280">
        <v>465</v>
      </c>
      <c r="GK115" s="280">
        <v>455</v>
      </c>
      <c r="GL115" s="990">
        <v>365</v>
      </c>
      <c r="GN115" s="990">
        <f>HLOOKUP(GO103,GC104:GL117,11,0)</f>
        <v>265</v>
      </c>
      <c r="GO115" s="2237">
        <f t="shared" si="48"/>
        <v>455</v>
      </c>
      <c r="GP115" s="2266">
        <v>500</v>
      </c>
      <c r="GQ115" s="2179"/>
      <c r="GT115" s="2174"/>
      <c r="GW115" s="2266">
        <v>450</v>
      </c>
      <c r="GX115" s="280">
        <v>861</v>
      </c>
      <c r="GY115" s="280">
        <v>690</v>
      </c>
      <c r="GZ115" s="280">
        <v>691</v>
      </c>
      <c r="HA115" s="280">
        <v>563</v>
      </c>
      <c r="HB115" s="280">
        <v>540</v>
      </c>
      <c r="HC115" s="280">
        <v>499</v>
      </c>
      <c r="HD115" s="280">
        <v>513</v>
      </c>
      <c r="HE115" s="280">
        <v>471</v>
      </c>
      <c r="HF115" s="2240">
        <v>415</v>
      </c>
      <c r="HG115" s="2179"/>
      <c r="HI115" s="990" t="e">
        <f>HLOOKUP(HJ103,GX104:HF117,11,0)</f>
        <v>#N/A</v>
      </c>
      <c r="HJ115" s="2237" t="e">
        <f t="shared" si="49"/>
        <v>#N/A</v>
      </c>
      <c r="HK115" s="735">
        <v>450</v>
      </c>
      <c r="HL115" s="2179"/>
      <c r="HN115" s="2176"/>
      <c r="HO115" s="2176"/>
      <c r="HR115" s="2266">
        <v>450</v>
      </c>
      <c r="HS115" s="280">
        <v>861</v>
      </c>
      <c r="HT115" s="280">
        <v>690</v>
      </c>
      <c r="HU115" s="280">
        <v>691</v>
      </c>
      <c r="HV115" s="280">
        <v>563</v>
      </c>
      <c r="HW115" s="280">
        <v>540</v>
      </c>
      <c r="HX115" s="280">
        <v>499</v>
      </c>
      <c r="HY115" s="280">
        <v>513</v>
      </c>
      <c r="HZ115" s="280">
        <v>471</v>
      </c>
      <c r="IA115" s="2240">
        <v>415</v>
      </c>
      <c r="IB115" s="2179"/>
      <c r="ID115" s="990" t="e">
        <f>HLOOKUP(IE103,HS104:IA117,11,0)</f>
        <v>#N/A</v>
      </c>
      <c r="IE115" s="2237" t="e">
        <f t="shared" si="50"/>
        <v>#N/A</v>
      </c>
      <c r="IF115" s="735">
        <v>450</v>
      </c>
      <c r="IG115" s="2179"/>
      <c r="IN115" s="277"/>
      <c r="IO115" s="277"/>
    </row>
    <row r="116" spans="2:249" ht="21.95" customHeight="1">
      <c r="C116" s="280"/>
      <c r="D116" s="280"/>
      <c r="E116" s="280"/>
      <c r="F116" s="280"/>
      <c r="G116" s="280"/>
      <c r="S116" s="286"/>
      <c r="T116" s="286"/>
      <c r="AF116" s="2174"/>
      <c r="AG116" s="2174"/>
      <c r="AJ116" s="7">
        <v>560</v>
      </c>
      <c r="AK116" s="280">
        <v>1410</v>
      </c>
      <c r="AL116" s="280">
        <v>1240</v>
      </c>
      <c r="AM116" s="280">
        <v>1100</v>
      </c>
      <c r="AN116" s="280">
        <v>1040</v>
      </c>
      <c r="AO116" s="280">
        <v>910</v>
      </c>
      <c r="AP116" s="280">
        <v>820</v>
      </c>
      <c r="AQ116" s="280">
        <v>720</v>
      </c>
      <c r="AR116" s="280">
        <v>660</v>
      </c>
      <c r="AS116" s="280">
        <v>640</v>
      </c>
      <c r="AT116" s="990">
        <v>520</v>
      </c>
      <c r="AV116" s="990" t="e">
        <f>HLOOKUP(AW103,AK104:AT117,12,0)</f>
        <v>#N/A</v>
      </c>
      <c r="AW116" s="2237" t="e">
        <f t="shared" si="43"/>
        <v>#N/A</v>
      </c>
      <c r="AX116" s="2266">
        <v>560</v>
      </c>
      <c r="AY116" s="2179"/>
      <c r="BB116" s="2176"/>
      <c r="BC116" s="2176"/>
      <c r="BF116" s="7">
        <v>560</v>
      </c>
      <c r="BG116" s="280">
        <v>1410</v>
      </c>
      <c r="BH116" s="280">
        <v>1240</v>
      </c>
      <c r="BI116" s="280">
        <v>1100</v>
      </c>
      <c r="BJ116" s="280">
        <v>1040</v>
      </c>
      <c r="BK116" s="280">
        <v>910</v>
      </c>
      <c r="BL116" s="280">
        <v>820</v>
      </c>
      <c r="BM116" s="280">
        <v>720</v>
      </c>
      <c r="BN116" s="280">
        <v>660</v>
      </c>
      <c r="BO116" s="280">
        <v>640</v>
      </c>
      <c r="BP116" s="990">
        <v>520</v>
      </c>
      <c r="BR116" s="990" t="e">
        <f>HLOOKUP(BS103,BG104:BP117,12,0)</f>
        <v>#N/A</v>
      </c>
      <c r="BS116" s="2237" t="e">
        <f t="shared" si="44"/>
        <v>#N/A</v>
      </c>
      <c r="BT116" s="2266">
        <v>560</v>
      </c>
      <c r="BU116" s="2179"/>
      <c r="BX116" s="2174"/>
      <c r="CA116" s="2266">
        <v>500</v>
      </c>
      <c r="CB116" s="280">
        <v>1250</v>
      </c>
      <c r="CC116" s="280">
        <v>1060</v>
      </c>
      <c r="CD116" s="280">
        <v>980</v>
      </c>
      <c r="CE116" s="280">
        <v>900</v>
      </c>
      <c r="CF116" s="280">
        <v>830</v>
      </c>
      <c r="CG116" s="280"/>
      <c r="CH116" s="280">
        <v>782</v>
      </c>
      <c r="CI116" s="280">
        <v>705</v>
      </c>
      <c r="CJ116" s="2240">
        <v>648</v>
      </c>
      <c r="CK116" s="2179"/>
      <c r="CM116" s="990" t="e">
        <f>HLOOKUP(CN103,CB104:CJ117,12,0)</f>
        <v>#N/A</v>
      </c>
      <c r="CN116" s="2237" t="e">
        <f t="shared" si="45"/>
        <v>#N/A</v>
      </c>
      <c r="CO116" s="735">
        <v>500</v>
      </c>
      <c r="CP116" s="2179"/>
      <c r="CR116" s="2176"/>
      <c r="CS116" s="2176"/>
      <c r="CV116" s="2266">
        <v>500</v>
      </c>
      <c r="CW116" s="280">
        <v>1250</v>
      </c>
      <c r="CX116" s="280">
        <v>1060</v>
      </c>
      <c r="CY116" s="280">
        <v>980</v>
      </c>
      <c r="CZ116" s="280">
        <v>900</v>
      </c>
      <c r="DA116" s="280">
        <v>830</v>
      </c>
      <c r="DB116" s="280"/>
      <c r="DC116" s="280">
        <v>782</v>
      </c>
      <c r="DD116" s="280">
        <v>705</v>
      </c>
      <c r="DE116" s="2240">
        <v>648</v>
      </c>
      <c r="DF116" s="2179"/>
      <c r="DH116" s="990" t="e">
        <f>HLOOKUP(DI103,CW104:DE117,12,0)</f>
        <v>#N/A</v>
      </c>
      <c r="DI116" s="2237" t="e">
        <f t="shared" si="46"/>
        <v>#N/A</v>
      </c>
      <c r="DJ116" s="735">
        <v>500</v>
      </c>
      <c r="DK116" s="2179"/>
      <c r="DS116" s="277"/>
      <c r="DW116" s="1"/>
      <c r="DY116" s="280"/>
      <c r="DZ116" s="280"/>
      <c r="EA116" s="280"/>
      <c r="EB116" s="280"/>
      <c r="EC116" s="280"/>
      <c r="EO116" s="286"/>
      <c r="EP116" s="286"/>
      <c r="FB116" s="2174"/>
      <c r="FC116" s="2174"/>
      <c r="FF116" s="7">
        <v>560</v>
      </c>
      <c r="FG116" s="280">
        <v>1410</v>
      </c>
      <c r="FH116" s="280">
        <v>1240</v>
      </c>
      <c r="FI116" s="280">
        <v>1100</v>
      </c>
      <c r="FJ116" s="280">
        <v>1040</v>
      </c>
      <c r="FK116" s="280">
        <v>910</v>
      </c>
      <c r="FL116" s="280">
        <v>820</v>
      </c>
      <c r="FM116" s="280">
        <v>720</v>
      </c>
      <c r="FN116" s="280">
        <v>660</v>
      </c>
      <c r="FO116" s="280">
        <v>640</v>
      </c>
      <c r="FP116" s="990">
        <v>520</v>
      </c>
      <c r="FR116" s="990">
        <f>HLOOKUP(FS103,FG104:FP117,12,0)</f>
        <v>365</v>
      </c>
      <c r="FS116" s="2237">
        <f t="shared" si="47"/>
        <v>520</v>
      </c>
      <c r="FT116" s="2266">
        <v>560</v>
      </c>
      <c r="FU116" s="2179"/>
      <c r="FX116" s="2176"/>
      <c r="FY116" s="2176"/>
      <c r="GB116" s="7">
        <v>560</v>
      </c>
      <c r="GC116" s="280">
        <v>1410</v>
      </c>
      <c r="GD116" s="280">
        <v>1240</v>
      </c>
      <c r="GE116" s="280">
        <v>1100</v>
      </c>
      <c r="GF116" s="280">
        <v>1040</v>
      </c>
      <c r="GG116" s="280">
        <v>910</v>
      </c>
      <c r="GH116" s="280">
        <v>820</v>
      </c>
      <c r="GI116" s="280">
        <v>720</v>
      </c>
      <c r="GJ116" s="280">
        <v>660</v>
      </c>
      <c r="GK116" s="280">
        <v>640</v>
      </c>
      <c r="GL116" s="990">
        <v>520</v>
      </c>
      <c r="GN116" s="990">
        <f>HLOOKUP(GO103,GC104:GL117,12,0)</f>
        <v>455</v>
      </c>
      <c r="GO116" s="2237">
        <f t="shared" si="48"/>
        <v>640</v>
      </c>
      <c r="GP116" s="2266">
        <v>560</v>
      </c>
      <c r="GQ116" s="2179"/>
      <c r="GT116" s="2174"/>
      <c r="GW116" s="2266">
        <v>500</v>
      </c>
      <c r="GX116" s="280">
        <v>1250</v>
      </c>
      <c r="GY116" s="280">
        <v>1060</v>
      </c>
      <c r="GZ116" s="280">
        <v>980</v>
      </c>
      <c r="HA116" s="280">
        <v>900</v>
      </c>
      <c r="HB116" s="280">
        <v>830</v>
      </c>
      <c r="HC116" s="280"/>
      <c r="HD116" s="280">
        <v>782</v>
      </c>
      <c r="HE116" s="280">
        <v>705</v>
      </c>
      <c r="HF116" s="2240">
        <v>648</v>
      </c>
      <c r="HG116" s="2179"/>
      <c r="HI116" s="990" t="e">
        <f>HLOOKUP(HJ103,GX104:HF117,12,0)</f>
        <v>#N/A</v>
      </c>
      <c r="HJ116" s="2237" t="e">
        <f t="shared" si="49"/>
        <v>#N/A</v>
      </c>
      <c r="HK116" s="735">
        <v>500</v>
      </c>
      <c r="HL116" s="2179"/>
      <c r="HN116" s="2176"/>
      <c r="HO116" s="2176"/>
      <c r="HR116" s="2266">
        <v>500</v>
      </c>
      <c r="HS116" s="280">
        <v>1250</v>
      </c>
      <c r="HT116" s="280">
        <v>1060</v>
      </c>
      <c r="HU116" s="280">
        <v>980</v>
      </c>
      <c r="HV116" s="280">
        <v>900</v>
      </c>
      <c r="HW116" s="280">
        <v>830</v>
      </c>
      <c r="HX116" s="280"/>
      <c r="HY116" s="280">
        <v>782</v>
      </c>
      <c r="HZ116" s="280">
        <v>705</v>
      </c>
      <c r="IA116" s="2240">
        <v>648</v>
      </c>
      <c r="IB116" s="2179"/>
      <c r="ID116" s="990" t="e">
        <f>HLOOKUP(IE103,HS104:IA117,12,0)</f>
        <v>#N/A</v>
      </c>
      <c r="IE116" s="2237" t="e">
        <f t="shared" si="50"/>
        <v>#N/A</v>
      </c>
      <c r="IF116" s="735">
        <v>500</v>
      </c>
      <c r="IG116" s="2179"/>
      <c r="IN116" s="277"/>
      <c r="IO116" s="277"/>
    </row>
    <row r="117" spans="2:249" ht="21.95" customHeight="1" thickBot="1">
      <c r="B117" s="277">
        <v>1</v>
      </c>
      <c r="C117" s="735" t="s">
        <v>696</v>
      </c>
      <c r="D117" s="280">
        <f>F117*D100</f>
        <v>50400</v>
      </c>
      <c r="E117" s="735">
        <v>15750</v>
      </c>
      <c r="F117" s="275">
        <f>160+8</f>
        <v>168</v>
      </c>
      <c r="G117" s="280"/>
      <c r="H117" s="277">
        <v>160</v>
      </c>
      <c r="I117" s="277">
        <v>8</v>
      </c>
      <c r="S117" s="286"/>
      <c r="T117" s="286"/>
      <c r="AF117" s="2174"/>
      <c r="AG117" s="2174"/>
      <c r="AJ117" s="7">
        <v>630</v>
      </c>
      <c r="AK117" s="280">
        <v>1860</v>
      </c>
      <c r="AL117" s="280">
        <v>1640</v>
      </c>
      <c r="AM117" s="280">
        <v>1450</v>
      </c>
      <c r="AN117" s="280">
        <v>1350</v>
      </c>
      <c r="AO117" s="280">
        <v>1190</v>
      </c>
      <c r="AP117" s="280">
        <v>1070</v>
      </c>
      <c r="AQ117" s="280">
        <v>950</v>
      </c>
      <c r="AR117" s="280">
        <v>860</v>
      </c>
      <c r="AS117" s="280">
        <v>760</v>
      </c>
      <c r="AT117" s="990">
        <v>690</v>
      </c>
      <c r="AV117" s="990" t="e">
        <f>HLOOKUP(AW103,AK104:AT117,13,0)</f>
        <v>#N/A</v>
      </c>
      <c r="AW117" s="2237" t="e">
        <f t="shared" si="43"/>
        <v>#N/A</v>
      </c>
      <c r="AX117" s="2267">
        <v>630</v>
      </c>
      <c r="AY117" s="2179"/>
      <c r="BB117" s="2176"/>
      <c r="BC117" s="2176"/>
      <c r="BF117" s="7">
        <v>630</v>
      </c>
      <c r="BG117" s="280">
        <v>1860</v>
      </c>
      <c r="BH117" s="280">
        <v>1640</v>
      </c>
      <c r="BI117" s="280">
        <v>1450</v>
      </c>
      <c r="BJ117" s="280">
        <v>1350</v>
      </c>
      <c r="BK117" s="280">
        <v>1190</v>
      </c>
      <c r="BL117" s="280">
        <v>1070</v>
      </c>
      <c r="BM117" s="280">
        <v>950</v>
      </c>
      <c r="BN117" s="280">
        <v>860</v>
      </c>
      <c r="BO117" s="280">
        <v>760</v>
      </c>
      <c r="BP117" s="990">
        <v>690</v>
      </c>
      <c r="BR117" s="990" t="e">
        <f>HLOOKUP(BS103,BG104:BP117,13,0)</f>
        <v>#N/A</v>
      </c>
      <c r="BS117" s="2237" t="e">
        <f t="shared" si="44"/>
        <v>#N/A</v>
      </c>
      <c r="BT117" s="2267">
        <v>630</v>
      </c>
      <c r="BU117" s="2179"/>
      <c r="BX117" s="2174"/>
      <c r="CA117" s="2267">
        <v>560</v>
      </c>
      <c r="CB117" s="2241">
        <v>1770</v>
      </c>
      <c r="CC117" s="2241">
        <v>1540</v>
      </c>
      <c r="CD117" s="2241">
        <v>1390</v>
      </c>
      <c r="CE117" s="2241">
        <v>1280</v>
      </c>
      <c r="CF117" s="2241">
        <v>1230</v>
      </c>
      <c r="CG117" s="2241"/>
      <c r="CH117" s="2241">
        <v>1035</v>
      </c>
      <c r="CI117" s="2241">
        <v>940</v>
      </c>
      <c r="CJ117" s="2242">
        <v>852</v>
      </c>
      <c r="CK117" s="2179"/>
      <c r="CM117" s="990" t="e">
        <f>HLOOKUP(CN103,CB104:CJ117,13,0)</f>
        <v>#N/A</v>
      </c>
      <c r="CN117" s="2237" t="e">
        <f t="shared" si="45"/>
        <v>#N/A</v>
      </c>
      <c r="CO117" s="735">
        <v>560</v>
      </c>
      <c r="CP117" s="2179"/>
      <c r="CR117" s="2176"/>
      <c r="CS117" s="2176"/>
      <c r="CV117" s="2267">
        <v>560</v>
      </c>
      <c r="CW117" s="2241">
        <v>1770</v>
      </c>
      <c r="CX117" s="2241">
        <v>1540</v>
      </c>
      <c r="CY117" s="2241">
        <v>1390</v>
      </c>
      <c r="CZ117" s="2241">
        <v>1280</v>
      </c>
      <c r="DA117" s="2241">
        <v>1230</v>
      </c>
      <c r="DB117" s="2241"/>
      <c r="DC117" s="2241">
        <v>1035</v>
      </c>
      <c r="DD117" s="2241">
        <v>940</v>
      </c>
      <c r="DE117" s="2242">
        <v>852</v>
      </c>
      <c r="DF117" s="2179"/>
      <c r="DH117" s="990" t="e">
        <f>HLOOKUP(DI103,CW104:DE117,13,0)</f>
        <v>#N/A</v>
      </c>
      <c r="DI117" s="2237" t="e">
        <f t="shared" si="46"/>
        <v>#N/A</v>
      </c>
      <c r="DJ117" s="735">
        <v>560</v>
      </c>
      <c r="DK117" s="2179"/>
      <c r="DS117" s="277"/>
      <c r="DW117" s="1"/>
      <c r="DX117" s="277">
        <v>1</v>
      </c>
      <c r="DY117" s="735" t="s">
        <v>696</v>
      </c>
      <c r="DZ117" s="280">
        <f>EB117*DZ100</f>
        <v>50400</v>
      </c>
      <c r="EA117" s="735">
        <v>15750</v>
      </c>
      <c r="EB117" s="275">
        <f>160+8</f>
        <v>168</v>
      </c>
      <c r="EC117" s="280"/>
      <c r="ED117" s="277">
        <v>160</v>
      </c>
      <c r="EE117" s="277">
        <v>8</v>
      </c>
      <c r="EO117" s="286"/>
      <c r="EP117" s="286"/>
      <c r="FB117" s="2174"/>
      <c r="FC117" s="2174"/>
      <c r="FF117" s="7">
        <v>630</v>
      </c>
      <c r="FG117" s="280">
        <v>1860</v>
      </c>
      <c r="FH117" s="280">
        <v>1640</v>
      </c>
      <c r="FI117" s="280">
        <v>1450</v>
      </c>
      <c r="FJ117" s="280">
        <v>1350</v>
      </c>
      <c r="FK117" s="280">
        <v>1190</v>
      </c>
      <c r="FL117" s="280">
        <v>1070</v>
      </c>
      <c r="FM117" s="280">
        <v>950</v>
      </c>
      <c r="FN117" s="280">
        <v>860</v>
      </c>
      <c r="FO117" s="280">
        <v>760</v>
      </c>
      <c r="FP117" s="990">
        <v>690</v>
      </c>
      <c r="FR117" s="990">
        <f>HLOOKUP(FS103,FG104:FP117,13,0)</f>
        <v>520</v>
      </c>
      <c r="FS117" s="2237">
        <f t="shared" si="47"/>
        <v>690</v>
      </c>
      <c r="FT117" s="2267">
        <v>630</v>
      </c>
      <c r="FU117" s="2179"/>
      <c r="FX117" s="2176"/>
      <c r="FY117" s="2176"/>
      <c r="GB117" s="7">
        <v>630</v>
      </c>
      <c r="GC117" s="280">
        <v>1860</v>
      </c>
      <c r="GD117" s="280">
        <v>1640</v>
      </c>
      <c r="GE117" s="280">
        <v>1450</v>
      </c>
      <c r="GF117" s="280">
        <v>1350</v>
      </c>
      <c r="GG117" s="280">
        <v>1190</v>
      </c>
      <c r="GH117" s="280">
        <v>1070</v>
      </c>
      <c r="GI117" s="280">
        <v>950</v>
      </c>
      <c r="GJ117" s="280">
        <v>860</v>
      </c>
      <c r="GK117" s="280">
        <v>760</v>
      </c>
      <c r="GL117" s="990">
        <v>690</v>
      </c>
      <c r="GN117" s="990">
        <f>HLOOKUP(GO103,GC104:GL117,13,0)</f>
        <v>640</v>
      </c>
      <c r="GO117" s="2237">
        <f t="shared" si="48"/>
        <v>760</v>
      </c>
      <c r="GP117" s="2267">
        <v>630</v>
      </c>
      <c r="GQ117" s="2179"/>
      <c r="GT117" s="2174"/>
      <c r="GW117" s="2267">
        <v>560</v>
      </c>
      <c r="GX117" s="2241">
        <v>1770</v>
      </c>
      <c r="GY117" s="2241">
        <v>1540</v>
      </c>
      <c r="GZ117" s="2241">
        <v>1390</v>
      </c>
      <c r="HA117" s="2241">
        <v>1280</v>
      </c>
      <c r="HB117" s="2241">
        <v>1230</v>
      </c>
      <c r="HC117" s="2241"/>
      <c r="HD117" s="2241">
        <v>1035</v>
      </c>
      <c r="HE117" s="2241">
        <v>940</v>
      </c>
      <c r="HF117" s="2242">
        <v>852</v>
      </c>
      <c r="HG117" s="2179"/>
      <c r="HI117" s="990" t="e">
        <f>HLOOKUP(HJ103,GX104:HF117,13,0)</f>
        <v>#N/A</v>
      </c>
      <c r="HJ117" s="2237" t="e">
        <f t="shared" si="49"/>
        <v>#N/A</v>
      </c>
      <c r="HK117" s="735">
        <v>560</v>
      </c>
      <c r="HL117" s="2179"/>
      <c r="HN117" s="2176"/>
      <c r="HO117" s="2176"/>
      <c r="HR117" s="2267">
        <v>560</v>
      </c>
      <c r="HS117" s="2241">
        <v>1770</v>
      </c>
      <c r="HT117" s="2241">
        <v>1540</v>
      </c>
      <c r="HU117" s="2241">
        <v>1390</v>
      </c>
      <c r="HV117" s="2241">
        <v>1280</v>
      </c>
      <c r="HW117" s="2241">
        <v>1230</v>
      </c>
      <c r="HX117" s="2241"/>
      <c r="HY117" s="2241">
        <v>1035</v>
      </c>
      <c r="HZ117" s="2241">
        <v>940</v>
      </c>
      <c r="IA117" s="2242">
        <v>852</v>
      </c>
      <c r="IB117" s="2179"/>
      <c r="ID117" s="990" t="e">
        <f>HLOOKUP(IE103,HS104:IA117,13,0)</f>
        <v>#N/A</v>
      </c>
      <c r="IE117" s="2237" t="e">
        <f t="shared" si="50"/>
        <v>#N/A</v>
      </c>
      <c r="IF117" s="735">
        <v>560</v>
      </c>
      <c r="IG117" s="2179"/>
      <c r="IN117" s="277"/>
      <c r="IO117" s="277"/>
    </row>
    <row r="118" spans="2:249" ht="21.95" customHeight="1">
      <c r="B118" s="277">
        <v>2</v>
      </c>
      <c r="C118" s="735" t="s">
        <v>697</v>
      </c>
      <c r="D118" s="280">
        <f>F118*D100</f>
        <v>67500</v>
      </c>
      <c r="E118" s="735">
        <v>23100</v>
      </c>
      <c r="F118" s="275">
        <f>215+10</f>
        <v>225</v>
      </c>
      <c r="G118" s="280"/>
      <c r="H118" s="277">
        <v>215</v>
      </c>
      <c r="I118" s="277">
        <v>10</v>
      </c>
      <c r="S118" s="286"/>
      <c r="T118" s="286"/>
      <c r="AF118" s="2174"/>
      <c r="AG118" s="2174"/>
      <c r="AJ118" s="2210"/>
      <c r="AK118" s="2179"/>
      <c r="AL118" s="2179"/>
      <c r="AM118" s="2179"/>
      <c r="AN118" s="2179"/>
      <c r="AO118" s="2179"/>
      <c r="AP118" s="2179"/>
      <c r="AQ118" s="2179"/>
      <c r="AR118" s="2179"/>
      <c r="AS118" s="2179"/>
      <c r="AT118" s="2179"/>
      <c r="AV118" s="990" t="e">
        <f>HLOOKUP(AW103,AK104:AT117,14,0)</f>
        <v>#N/A</v>
      </c>
      <c r="AW118" s="2246" t="e">
        <f>+AV118</f>
        <v>#N/A</v>
      </c>
      <c r="AX118" s="735"/>
      <c r="AY118" s="2179"/>
      <c r="BB118" s="2176"/>
      <c r="BC118" s="2176"/>
      <c r="BF118" s="2210"/>
      <c r="BG118" s="2179"/>
      <c r="BH118" s="2179"/>
      <c r="BI118" s="2179"/>
      <c r="BJ118" s="2179"/>
      <c r="BK118" s="2179"/>
      <c r="BL118" s="2179"/>
      <c r="BM118" s="2179"/>
      <c r="BN118" s="2179"/>
      <c r="BO118" s="2179"/>
      <c r="BP118" s="2179"/>
      <c r="BR118" s="990" t="e">
        <f>HLOOKUP(BS103,BG104:BP117,14,0)</f>
        <v>#N/A</v>
      </c>
      <c r="BS118" s="2246" t="e">
        <f>+BR118</f>
        <v>#N/A</v>
      </c>
      <c r="BT118" s="735"/>
      <c r="BU118" s="2179"/>
      <c r="BX118" s="2174"/>
      <c r="CA118" s="2210"/>
      <c r="CB118" s="2179"/>
      <c r="CC118" s="2179"/>
      <c r="CD118" s="2179"/>
      <c r="CE118" s="2179"/>
      <c r="CF118" s="2179"/>
      <c r="CG118" s="2179"/>
      <c r="CH118" s="2179"/>
      <c r="CI118" s="2179"/>
      <c r="CJ118" s="2179"/>
      <c r="CK118" s="2179"/>
      <c r="CM118" s="990" t="e">
        <f>HLOOKUP(CN103,CB104:CJ117,14,0)</f>
        <v>#N/A</v>
      </c>
      <c r="CN118" s="2246" t="e">
        <f>+CM118</f>
        <v>#N/A</v>
      </c>
      <c r="CO118" s="735"/>
      <c r="CP118" s="2179"/>
      <c r="CR118" s="2176"/>
      <c r="CS118" s="2176"/>
      <c r="CV118" s="2210"/>
      <c r="CW118" s="2179"/>
      <c r="CX118" s="2179"/>
      <c r="CY118" s="2179"/>
      <c r="CZ118" s="2179"/>
      <c r="DA118" s="2179"/>
      <c r="DB118" s="2179"/>
      <c r="DC118" s="2179"/>
      <c r="DD118" s="2179"/>
      <c r="DE118" s="2179"/>
      <c r="DF118" s="2179"/>
      <c r="DH118" s="990" t="e">
        <f>HLOOKUP(DI103,CW104:DE117,14,0)</f>
        <v>#N/A</v>
      </c>
      <c r="DI118" s="2246" t="e">
        <f>+DH118</f>
        <v>#N/A</v>
      </c>
      <c r="DJ118" s="735"/>
      <c r="DK118" s="2179"/>
      <c r="DS118" s="277"/>
      <c r="DW118" s="1"/>
      <c r="DX118" s="277">
        <v>2</v>
      </c>
      <c r="DY118" s="735" t="s">
        <v>697</v>
      </c>
      <c r="DZ118" s="280">
        <f>EB118*DZ100</f>
        <v>67500</v>
      </c>
      <c r="EA118" s="735">
        <v>23100</v>
      </c>
      <c r="EB118" s="275">
        <f>215+10</f>
        <v>225</v>
      </c>
      <c r="EC118" s="280"/>
      <c r="ED118" s="277">
        <v>215</v>
      </c>
      <c r="EE118" s="277">
        <v>10</v>
      </c>
      <c r="EO118" s="286"/>
      <c r="EP118" s="286"/>
      <c r="FB118" s="2174"/>
      <c r="FC118" s="2174"/>
      <c r="FF118" s="2210"/>
      <c r="FG118" s="2179"/>
      <c r="FH118" s="2179"/>
      <c r="FI118" s="2179"/>
      <c r="FJ118" s="2179"/>
      <c r="FK118" s="2179"/>
      <c r="FL118" s="2179"/>
      <c r="FM118" s="2179"/>
      <c r="FN118" s="2179"/>
      <c r="FO118" s="2179"/>
      <c r="FP118" s="2179"/>
      <c r="FR118" s="990">
        <f>HLOOKUP(FS103,FG104:FP117,14,0)</f>
        <v>690</v>
      </c>
      <c r="FS118" s="2246">
        <f>+FR118</f>
        <v>690</v>
      </c>
      <c r="FT118" s="735"/>
      <c r="FU118" s="2179"/>
      <c r="FX118" s="2176"/>
      <c r="FY118" s="2176"/>
      <c r="GB118" s="2210"/>
      <c r="GC118" s="2179"/>
      <c r="GD118" s="2179"/>
      <c r="GE118" s="2179"/>
      <c r="GF118" s="2179"/>
      <c r="GG118" s="2179"/>
      <c r="GH118" s="2179"/>
      <c r="GI118" s="2179"/>
      <c r="GJ118" s="2179"/>
      <c r="GK118" s="2179"/>
      <c r="GL118" s="2179"/>
      <c r="GN118" s="990">
        <f>HLOOKUP(GO103,GC104:GL117,14,0)</f>
        <v>760</v>
      </c>
      <c r="GO118" s="2246">
        <f>+GN118</f>
        <v>760</v>
      </c>
      <c r="GP118" s="735"/>
      <c r="GQ118" s="2179"/>
      <c r="GT118" s="2174"/>
      <c r="GW118" s="2210"/>
      <c r="GX118" s="2179"/>
      <c r="GY118" s="2179"/>
      <c r="GZ118" s="2179"/>
      <c r="HA118" s="2179"/>
      <c r="HB118" s="2179"/>
      <c r="HC118" s="2179"/>
      <c r="HD118" s="2179"/>
      <c r="HE118" s="2179"/>
      <c r="HF118" s="2179"/>
      <c r="HG118" s="2179"/>
      <c r="HI118" s="990" t="e">
        <f>HLOOKUP(HJ103,GX104:HF117,14,0)</f>
        <v>#N/A</v>
      </c>
      <c r="HJ118" s="2246" t="e">
        <f>+HI118</f>
        <v>#N/A</v>
      </c>
      <c r="HK118" s="735"/>
      <c r="HL118" s="2179"/>
      <c r="HN118" s="2176"/>
      <c r="HO118" s="2176"/>
      <c r="HR118" s="2210"/>
      <c r="HS118" s="2179"/>
      <c r="HT118" s="2179"/>
      <c r="HU118" s="2179"/>
      <c r="HV118" s="2179"/>
      <c r="HW118" s="2179"/>
      <c r="HX118" s="2179"/>
      <c r="HY118" s="2179"/>
      <c r="HZ118" s="2179"/>
      <c r="IA118" s="2179"/>
      <c r="IB118" s="2179"/>
      <c r="ID118" s="990" t="e">
        <f>HLOOKUP(IE103,HS104:IA117,14,0)</f>
        <v>#N/A</v>
      </c>
      <c r="IE118" s="2246" t="e">
        <f>+ID118</f>
        <v>#N/A</v>
      </c>
      <c r="IF118" s="735"/>
      <c r="IG118" s="2179"/>
      <c r="IN118" s="277"/>
      <c r="IO118" s="277"/>
    </row>
    <row r="119" spans="2:249" ht="21.95" customHeight="1">
      <c r="B119" s="277">
        <v>3</v>
      </c>
      <c r="C119" s="735" t="s">
        <v>2206</v>
      </c>
      <c r="D119" s="280">
        <f>F119*D100</f>
        <v>92700</v>
      </c>
      <c r="E119" s="735">
        <v>26250</v>
      </c>
      <c r="F119" s="275">
        <f>295+14</f>
        <v>309</v>
      </c>
      <c r="G119" s="280"/>
      <c r="H119" s="277">
        <v>295</v>
      </c>
      <c r="I119" s="277">
        <v>14</v>
      </c>
      <c r="S119" s="286"/>
      <c r="T119" s="286"/>
      <c r="AF119" s="2174"/>
      <c r="AG119" s="2174"/>
      <c r="AJ119" s="2179"/>
      <c r="AK119" s="2179"/>
      <c r="AL119" s="2179"/>
      <c r="AM119" s="2179"/>
      <c r="AN119" s="2179"/>
      <c r="AO119" s="2179"/>
      <c r="AP119" s="2179"/>
      <c r="AQ119" s="2179"/>
      <c r="AR119" s="2179"/>
      <c r="AS119" s="2179"/>
      <c r="AT119" s="2179"/>
      <c r="AV119" s="2237"/>
      <c r="AW119" s="990"/>
      <c r="AX119" s="2244"/>
      <c r="AY119" s="2179"/>
      <c r="BB119" s="2176"/>
      <c r="BC119" s="2176"/>
      <c r="BF119" s="2179"/>
      <c r="BG119" s="2179"/>
      <c r="BH119" s="2179"/>
      <c r="BI119" s="2179"/>
      <c r="BJ119" s="2179"/>
      <c r="BK119" s="2179"/>
      <c r="BL119" s="2179"/>
      <c r="BM119" s="2179"/>
      <c r="BN119" s="2179"/>
      <c r="BO119" s="2179"/>
      <c r="BP119" s="2179"/>
      <c r="BR119" s="2237"/>
      <c r="BS119" s="990"/>
      <c r="BT119" s="2244"/>
      <c r="BU119" s="2179"/>
      <c r="BX119" s="2174"/>
      <c r="CA119" s="2179"/>
      <c r="CB119" s="2179"/>
      <c r="CC119" s="2179"/>
      <c r="CD119" s="2179"/>
      <c r="CE119" s="2179"/>
      <c r="CF119" s="2179"/>
      <c r="CG119" s="2179"/>
      <c r="CH119" s="2179"/>
      <c r="CI119" s="2179"/>
      <c r="CJ119" s="2179"/>
      <c r="CK119" s="2179"/>
      <c r="CM119" s="2237"/>
      <c r="CN119" s="990"/>
      <c r="CO119" s="2244"/>
      <c r="CP119" s="2179"/>
      <c r="CR119" s="2176"/>
      <c r="CS119" s="2176"/>
      <c r="CV119" s="2179"/>
      <c r="CW119" s="2179"/>
      <c r="CX119" s="2179"/>
      <c r="CY119" s="2179"/>
      <c r="CZ119" s="2179"/>
      <c r="DA119" s="2179"/>
      <c r="DB119" s="2179"/>
      <c r="DC119" s="2179"/>
      <c r="DD119" s="2179"/>
      <c r="DE119" s="2179"/>
      <c r="DF119" s="2179"/>
      <c r="DH119" s="2237"/>
      <c r="DI119" s="990"/>
      <c r="DJ119" s="2244"/>
      <c r="DK119" s="2179"/>
      <c r="DS119" s="277"/>
      <c r="DW119" s="1"/>
      <c r="DX119" s="277">
        <v>3</v>
      </c>
      <c r="DY119" s="735" t="s">
        <v>2206</v>
      </c>
      <c r="DZ119" s="280">
        <f>EB119*DZ100</f>
        <v>92700</v>
      </c>
      <c r="EA119" s="735">
        <v>26250</v>
      </c>
      <c r="EB119" s="275">
        <f>295+14</f>
        <v>309</v>
      </c>
      <c r="EC119" s="280"/>
      <c r="ED119" s="277">
        <v>295</v>
      </c>
      <c r="EE119" s="277">
        <v>14</v>
      </c>
      <c r="EO119" s="286"/>
      <c r="EP119" s="286"/>
      <c r="FB119" s="2174"/>
      <c r="FC119" s="2174"/>
      <c r="FF119" s="2179"/>
      <c r="FG119" s="2179"/>
      <c r="FH119" s="2179"/>
      <c r="FI119" s="2179"/>
      <c r="FJ119" s="2179"/>
      <c r="FK119" s="2179"/>
      <c r="FL119" s="2179"/>
      <c r="FM119" s="2179"/>
      <c r="FN119" s="2179"/>
      <c r="FO119" s="2179"/>
      <c r="FP119" s="2179"/>
      <c r="FR119" s="2237"/>
      <c r="FS119" s="990"/>
      <c r="FT119" s="2244"/>
      <c r="FU119" s="2179"/>
      <c r="FX119" s="2176"/>
      <c r="FY119" s="2176"/>
      <c r="GB119" s="2179"/>
      <c r="GC119" s="2179"/>
      <c r="GD119" s="2179"/>
      <c r="GE119" s="2179"/>
      <c r="GF119" s="2179"/>
      <c r="GG119" s="2179"/>
      <c r="GH119" s="2179"/>
      <c r="GI119" s="2179"/>
      <c r="GJ119" s="2179"/>
      <c r="GK119" s="2179"/>
      <c r="GL119" s="2179"/>
      <c r="GN119" s="2237"/>
      <c r="GO119" s="990"/>
      <c r="GP119" s="2244"/>
      <c r="GQ119" s="2179"/>
      <c r="GT119" s="2174"/>
      <c r="GW119" s="2179"/>
      <c r="GX119" s="2179"/>
      <c r="GY119" s="2179"/>
      <c r="GZ119" s="2179"/>
      <c r="HA119" s="2179"/>
      <c r="HB119" s="2179"/>
      <c r="HC119" s="2179"/>
      <c r="HD119" s="2179"/>
      <c r="HE119" s="2179"/>
      <c r="HF119" s="2179"/>
      <c r="HG119" s="2179"/>
      <c r="HI119" s="2237"/>
      <c r="HJ119" s="990"/>
      <c r="HK119" s="2244"/>
      <c r="HL119" s="2179"/>
      <c r="HN119" s="2176"/>
      <c r="HO119" s="2176"/>
      <c r="HR119" s="2179"/>
      <c r="HS119" s="2179"/>
      <c r="HT119" s="2179"/>
      <c r="HU119" s="2179"/>
      <c r="HV119" s="2179"/>
      <c r="HW119" s="2179"/>
      <c r="HX119" s="2179"/>
      <c r="HY119" s="2179"/>
      <c r="HZ119" s="2179"/>
      <c r="IA119" s="2179"/>
      <c r="IB119" s="2179"/>
      <c r="ID119" s="2237"/>
      <c r="IE119" s="990"/>
      <c r="IF119" s="2244"/>
      <c r="IG119" s="2179"/>
      <c r="IN119" s="277"/>
      <c r="IO119" s="277"/>
    </row>
    <row r="120" spans="2:249" ht="21.95" customHeight="1">
      <c r="B120" s="277">
        <v>4</v>
      </c>
      <c r="C120" s="735" t="s">
        <v>2207</v>
      </c>
      <c r="D120" s="280">
        <f>F120*D100</f>
        <v>128100</v>
      </c>
      <c r="E120" s="735">
        <v>29400</v>
      </c>
      <c r="F120" s="275">
        <f>405+22</f>
        <v>427</v>
      </c>
      <c r="G120" s="280"/>
      <c r="H120" s="277">
        <v>405</v>
      </c>
      <c r="I120" s="277">
        <v>22</v>
      </c>
      <c r="S120" s="286"/>
      <c r="T120" s="286"/>
      <c r="AF120" s="2174"/>
      <c r="AG120" s="2174"/>
      <c r="AJ120" s="2179"/>
      <c r="AK120" s="2179"/>
      <c r="AL120" s="2179"/>
      <c r="AM120" s="2179"/>
      <c r="AN120" s="2179"/>
      <c r="AO120" s="2179"/>
      <c r="AP120" s="2179"/>
      <c r="AQ120" s="2179"/>
      <c r="AR120" s="2179"/>
      <c r="AS120" s="2179"/>
      <c r="AT120" s="2179"/>
      <c r="AV120" s="2237">
        <f>VLOOKUP(AV103,AV105:AV118,1)</f>
        <v>0</v>
      </c>
      <c r="AW120" s="990">
        <f>IFERROR(VLOOKUP(AV103,AV105:AV118,1,0),0)</f>
        <v>0</v>
      </c>
      <c r="AX120" s="990"/>
      <c r="AY120" s="2179"/>
      <c r="BB120" s="2176"/>
      <c r="BC120" s="2176"/>
      <c r="BF120" s="2179"/>
      <c r="BG120" s="2179"/>
      <c r="BH120" s="2179"/>
      <c r="BI120" s="2179"/>
      <c r="BJ120" s="2179"/>
      <c r="BK120" s="2179"/>
      <c r="BL120" s="2179"/>
      <c r="BM120" s="2179"/>
      <c r="BN120" s="2179"/>
      <c r="BO120" s="2179"/>
      <c r="BP120" s="2179"/>
      <c r="BR120" s="2237">
        <f>VLOOKUP(BR103,BR105:BR118,1)</f>
        <v>0</v>
      </c>
      <c r="BS120" s="990">
        <f>IFERROR(VLOOKUP(BR103,BR105:BR118,1,0),0)</f>
        <v>0</v>
      </c>
      <c r="BT120" s="990"/>
      <c r="BU120" s="2179"/>
      <c r="BX120" s="2174"/>
      <c r="CA120" s="2179"/>
      <c r="CB120" s="2179"/>
      <c r="CC120" s="2179"/>
      <c r="CD120" s="2179"/>
      <c r="CE120" s="2179"/>
      <c r="CF120" s="2179"/>
      <c r="CG120" s="2179"/>
      <c r="CH120" s="2179"/>
      <c r="CI120" s="2179"/>
      <c r="CJ120" s="2179"/>
      <c r="CK120" s="2179"/>
      <c r="CM120" s="2237">
        <f>VLOOKUP(CM103,CM105:CM118,1)</f>
        <v>0</v>
      </c>
      <c r="CN120" s="990">
        <f>IFERROR(VLOOKUP(CM103,CM105:CM118,1,0),0)</f>
        <v>0</v>
      </c>
      <c r="CO120" s="990"/>
      <c r="CP120" s="2179"/>
      <c r="CR120" s="2176"/>
      <c r="CS120" s="2176"/>
      <c r="CV120" s="2179"/>
      <c r="CW120" s="2179"/>
      <c r="CX120" s="2179"/>
      <c r="CY120" s="2179"/>
      <c r="CZ120" s="2179"/>
      <c r="DA120" s="2179"/>
      <c r="DB120" s="2179"/>
      <c r="DC120" s="2179"/>
      <c r="DD120" s="2179"/>
      <c r="DE120" s="2179"/>
      <c r="DF120" s="2179"/>
      <c r="DH120" s="2237">
        <f>VLOOKUP(DH103,DH105:DH118,1)</f>
        <v>0</v>
      </c>
      <c r="DI120" s="990">
        <f>IFERROR(VLOOKUP(DH103,DH105:DH118,1,0),0)</f>
        <v>0</v>
      </c>
      <c r="DJ120" s="990"/>
      <c r="DK120" s="2179"/>
      <c r="DS120" s="277"/>
      <c r="DW120" s="1"/>
      <c r="DX120" s="277">
        <v>4</v>
      </c>
      <c r="DY120" s="735" t="s">
        <v>2207</v>
      </c>
      <c r="DZ120" s="280">
        <f>EB120*DZ100</f>
        <v>128100</v>
      </c>
      <c r="EA120" s="735">
        <v>29400</v>
      </c>
      <c r="EB120" s="275">
        <f>405+22</f>
        <v>427</v>
      </c>
      <c r="EC120" s="280"/>
      <c r="ED120" s="277">
        <v>405</v>
      </c>
      <c r="EE120" s="277">
        <v>22</v>
      </c>
      <c r="EO120" s="286"/>
      <c r="EP120" s="286"/>
      <c r="FB120" s="2174"/>
      <c r="FC120" s="2174"/>
      <c r="FF120" s="2179"/>
      <c r="FG120" s="2179"/>
      <c r="FH120" s="2179"/>
      <c r="FI120" s="2179"/>
      <c r="FJ120" s="2179"/>
      <c r="FK120" s="2179"/>
      <c r="FL120" s="2179"/>
      <c r="FM120" s="2179"/>
      <c r="FN120" s="2179"/>
      <c r="FO120" s="2179"/>
      <c r="FP120" s="2179"/>
      <c r="FR120" s="2237">
        <f>VLOOKUP(FR103,FR105:FR118,1)</f>
        <v>0</v>
      </c>
      <c r="FS120" s="990">
        <f>IFERROR(VLOOKUP(FR103,FR105:FR118,1,0),0)</f>
        <v>0</v>
      </c>
      <c r="FT120" s="990"/>
      <c r="FU120" s="2179"/>
      <c r="FX120" s="2176"/>
      <c r="FY120" s="2176"/>
      <c r="GB120" s="2179"/>
      <c r="GC120" s="2179"/>
      <c r="GD120" s="2179"/>
      <c r="GE120" s="2179"/>
      <c r="GF120" s="2179"/>
      <c r="GG120" s="2179"/>
      <c r="GH120" s="2179"/>
      <c r="GI120" s="2179"/>
      <c r="GJ120" s="2179"/>
      <c r="GK120" s="2179"/>
      <c r="GL120" s="2179"/>
      <c r="GN120" s="2237">
        <f>VLOOKUP(GN103,GN105:GN118,1)</f>
        <v>0</v>
      </c>
      <c r="GO120" s="990">
        <f>IFERROR(VLOOKUP(GN103,GN105:GN118,1,0),0)</f>
        <v>0</v>
      </c>
      <c r="GP120" s="990"/>
      <c r="GQ120" s="2179"/>
      <c r="GT120" s="2174"/>
      <c r="GW120" s="2179"/>
      <c r="GX120" s="2179"/>
      <c r="GY120" s="2179"/>
      <c r="GZ120" s="2179"/>
      <c r="HA120" s="2179"/>
      <c r="HB120" s="2179"/>
      <c r="HC120" s="2179"/>
      <c r="HD120" s="2179"/>
      <c r="HE120" s="2179"/>
      <c r="HF120" s="2179"/>
      <c r="HG120" s="2179"/>
      <c r="HI120" s="2237">
        <f>VLOOKUP(HI103,HI105:HI118,1)</f>
        <v>0</v>
      </c>
      <c r="HJ120" s="990">
        <f>IFERROR(VLOOKUP(HI103,HI105:HI118,1,0),0)</f>
        <v>0</v>
      </c>
      <c r="HK120" s="990"/>
      <c r="HL120" s="2179"/>
      <c r="HN120" s="2176"/>
      <c r="HO120" s="2176"/>
      <c r="HR120" s="2179"/>
      <c r="HS120" s="2179"/>
      <c r="HT120" s="2179"/>
      <c r="HU120" s="2179"/>
      <c r="HV120" s="2179"/>
      <c r="HW120" s="2179"/>
      <c r="HX120" s="2179"/>
      <c r="HY120" s="2179"/>
      <c r="HZ120" s="2179"/>
      <c r="IA120" s="2179"/>
      <c r="IB120" s="2179"/>
      <c r="ID120" s="2237">
        <f>VLOOKUP(ID103,ID105:ID118,1)</f>
        <v>0</v>
      </c>
      <c r="IE120" s="990">
        <f>IFERROR(VLOOKUP(ID103,ID105:ID118,1,0),0)</f>
        <v>0</v>
      </c>
      <c r="IF120" s="990"/>
      <c r="IG120" s="2179"/>
      <c r="IN120" s="277"/>
      <c r="IO120" s="277"/>
    </row>
    <row r="121" spans="2:249" ht="21.95" customHeight="1">
      <c r="B121" s="277">
        <v>5</v>
      </c>
      <c r="C121" s="735" t="s">
        <v>2208</v>
      </c>
      <c r="D121" s="280">
        <f>F121*D100</f>
        <v>170400</v>
      </c>
      <c r="E121" s="735">
        <v>33600</v>
      </c>
      <c r="F121" s="275">
        <f>540+28</f>
        <v>568</v>
      </c>
      <c r="G121" s="280"/>
      <c r="H121" s="277">
        <v>540</v>
      </c>
      <c r="I121" s="277">
        <v>28</v>
      </c>
      <c r="S121" s="286"/>
      <c r="T121" s="286"/>
      <c r="AF121" s="2174"/>
      <c r="AG121" s="2174"/>
      <c r="AJ121" s="2179"/>
      <c r="AK121" s="2179"/>
      <c r="AL121" s="2179"/>
      <c r="AM121" s="2179"/>
      <c r="AN121" s="2179"/>
      <c r="AO121" s="2179"/>
      <c r="AP121" s="2179"/>
      <c r="AQ121" s="2179"/>
      <c r="AR121" s="2179"/>
      <c r="AS121" s="2179"/>
      <c r="AT121" s="2179"/>
      <c r="AV121" s="2237" t="e">
        <f>VLOOKUP(AV120,AV105:AW118,2,0)</f>
        <v>#N/A</v>
      </c>
      <c r="AW121" s="2268" t="e">
        <f>IF(AW120&gt;0,AW120,AV121)</f>
        <v>#N/A</v>
      </c>
      <c r="AX121" s="990" t="e">
        <f>VLOOKUP(AW121,AW105:AX117,2,0)</f>
        <v>#N/A</v>
      </c>
      <c r="AY121" s="2179"/>
      <c r="BB121" s="2176"/>
      <c r="BC121" s="2176"/>
      <c r="BF121" s="2179"/>
      <c r="BG121" s="2179"/>
      <c r="BH121" s="2179"/>
      <c r="BI121" s="2179"/>
      <c r="BJ121" s="2179"/>
      <c r="BK121" s="2179"/>
      <c r="BL121" s="2179"/>
      <c r="BM121" s="2179"/>
      <c r="BN121" s="2179"/>
      <c r="BO121" s="2179"/>
      <c r="BP121" s="2179"/>
      <c r="BR121" s="2237" t="e">
        <f>VLOOKUP(BR120,BR105:BS118,2,0)</f>
        <v>#N/A</v>
      </c>
      <c r="BS121" s="2268" t="e">
        <f>IF(BS120&gt;0,BS120,BR121)</f>
        <v>#N/A</v>
      </c>
      <c r="BT121" s="990" t="e">
        <f>VLOOKUP(BS121,BS105:BT117,2,0)</f>
        <v>#N/A</v>
      </c>
      <c r="BU121" s="2179"/>
      <c r="BX121" s="2174"/>
      <c r="CA121" s="2179"/>
      <c r="CB121" s="2179"/>
      <c r="CC121" s="2179"/>
      <c r="CD121" s="2179"/>
      <c r="CE121" s="2179"/>
      <c r="CF121" s="2179"/>
      <c r="CG121" s="2179"/>
      <c r="CH121" s="2179"/>
      <c r="CI121" s="2179"/>
      <c r="CJ121" s="2179"/>
      <c r="CK121" s="2179"/>
      <c r="CM121" s="2237" t="e">
        <f>VLOOKUP(CM120,CM105:CN118,2,0)</f>
        <v>#N/A</v>
      </c>
      <c r="CN121" s="2268" t="e">
        <f>IF(CN120&gt;0,CN120,CM121)</f>
        <v>#N/A</v>
      </c>
      <c r="CO121" s="990" t="e">
        <f>VLOOKUP(CN121,CN105:CO117,2,0)</f>
        <v>#N/A</v>
      </c>
      <c r="CP121" s="2179"/>
      <c r="CR121" s="2176"/>
      <c r="CS121" s="2176"/>
      <c r="CV121" s="2179"/>
      <c r="CW121" s="2179"/>
      <c r="CX121" s="2179"/>
      <c r="CY121" s="2179"/>
      <c r="CZ121" s="2179"/>
      <c r="DA121" s="2179"/>
      <c r="DB121" s="2179"/>
      <c r="DC121" s="2179"/>
      <c r="DD121" s="2179"/>
      <c r="DE121" s="2179"/>
      <c r="DF121" s="2179"/>
      <c r="DH121" s="2237" t="e">
        <f>VLOOKUP(DH120,DH105:DI118,2,0)</f>
        <v>#N/A</v>
      </c>
      <c r="DI121" s="2268" t="e">
        <f>IF(DI120&gt;0,DI120,DH121)</f>
        <v>#N/A</v>
      </c>
      <c r="DJ121" s="990" t="e">
        <f>VLOOKUP(DI121,DI105:DJ117,2,0)</f>
        <v>#N/A</v>
      </c>
      <c r="DK121" s="2179"/>
      <c r="DS121" s="277"/>
      <c r="DW121" s="1"/>
      <c r="DX121" s="277">
        <v>5</v>
      </c>
      <c r="DY121" s="735" t="s">
        <v>2208</v>
      </c>
      <c r="DZ121" s="280">
        <f>EB121*DZ100</f>
        <v>170400</v>
      </c>
      <c r="EA121" s="735">
        <v>33600</v>
      </c>
      <c r="EB121" s="275">
        <f>540+28</f>
        <v>568</v>
      </c>
      <c r="EC121" s="280"/>
      <c r="ED121" s="277">
        <v>540</v>
      </c>
      <c r="EE121" s="277">
        <v>28</v>
      </c>
      <c r="EO121" s="286"/>
      <c r="EP121" s="286"/>
      <c r="FB121" s="2174"/>
      <c r="FC121" s="2174"/>
      <c r="FF121" s="2179"/>
      <c r="FG121" s="2179"/>
      <c r="FH121" s="2179"/>
      <c r="FI121" s="2179"/>
      <c r="FJ121" s="2179"/>
      <c r="FK121" s="2179"/>
      <c r="FL121" s="2179"/>
      <c r="FM121" s="2179"/>
      <c r="FN121" s="2179"/>
      <c r="FO121" s="2179"/>
      <c r="FP121" s="2179"/>
      <c r="FR121" s="2237">
        <f>VLOOKUP(FR120,FR105:FS118,2,0)</f>
        <v>11</v>
      </c>
      <c r="FS121" s="2268">
        <f>IF(FS120&gt;0,FS120,FR121)</f>
        <v>11</v>
      </c>
      <c r="FT121" s="990">
        <f>VLOOKUP(FS121,FS105:FT117,2,0)</f>
        <v>160</v>
      </c>
      <c r="FU121" s="2179"/>
      <c r="FX121" s="2176"/>
      <c r="FY121" s="2176"/>
      <c r="GB121" s="2179"/>
      <c r="GC121" s="2179"/>
      <c r="GD121" s="2179"/>
      <c r="GE121" s="2179"/>
      <c r="GF121" s="2179"/>
      <c r="GG121" s="2179"/>
      <c r="GH121" s="2179"/>
      <c r="GI121" s="2179"/>
      <c r="GJ121" s="2179"/>
      <c r="GK121" s="2179"/>
      <c r="GL121" s="2179"/>
      <c r="GN121" s="2237">
        <f>VLOOKUP(GN120,GN105:GO118,2,0)</f>
        <v>12</v>
      </c>
      <c r="GO121" s="2268">
        <f>IF(GO120&gt;0,GO120,GN121)</f>
        <v>12</v>
      </c>
      <c r="GP121" s="990">
        <f>VLOOKUP(GO121,GO105:GP117,2,0)</f>
        <v>160</v>
      </c>
      <c r="GQ121" s="2179"/>
      <c r="GT121" s="2174"/>
      <c r="GW121" s="2179"/>
      <c r="GX121" s="2179"/>
      <c r="GY121" s="2179"/>
      <c r="GZ121" s="2179"/>
      <c r="HA121" s="2179"/>
      <c r="HB121" s="2179"/>
      <c r="HC121" s="2179"/>
      <c r="HD121" s="2179"/>
      <c r="HE121" s="2179"/>
      <c r="HF121" s="2179"/>
      <c r="HG121" s="2179"/>
      <c r="HI121" s="2237" t="e">
        <f>VLOOKUP(HI120,HI105:HJ118,2,0)</f>
        <v>#N/A</v>
      </c>
      <c r="HJ121" s="2268" t="e">
        <f>IF(HJ120&gt;0,HJ120,HI121)</f>
        <v>#N/A</v>
      </c>
      <c r="HK121" s="990" t="e">
        <f>VLOOKUP(HJ121,HJ105:HK117,2,0)</f>
        <v>#N/A</v>
      </c>
      <c r="HL121" s="2179"/>
      <c r="HN121" s="2176"/>
      <c r="HO121" s="2176"/>
      <c r="HR121" s="2179"/>
      <c r="HS121" s="2179"/>
      <c r="HT121" s="2179"/>
      <c r="HU121" s="2179"/>
      <c r="HV121" s="2179"/>
      <c r="HW121" s="2179"/>
      <c r="HX121" s="2179"/>
      <c r="HY121" s="2179"/>
      <c r="HZ121" s="2179"/>
      <c r="IA121" s="2179"/>
      <c r="IB121" s="2179"/>
      <c r="ID121" s="2237" t="e">
        <f>VLOOKUP(ID120,ID105:IE118,2,0)</f>
        <v>#N/A</v>
      </c>
      <c r="IE121" s="2268" t="e">
        <f>IF(IE120&gt;0,IE120,ID121)</f>
        <v>#N/A</v>
      </c>
      <c r="IF121" s="990" t="e">
        <f>VLOOKUP(IE121,IE105:IF117,2,0)</f>
        <v>#N/A</v>
      </c>
      <c r="IG121" s="2179"/>
      <c r="IN121" s="277"/>
      <c r="IO121" s="277"/>
    </row>
    <row r="122" spans="2:249" ht="21.95" customHeight="1">
      <c r="B122" s="277">
        <v>6</v>
      </c>
      <c r="C122" s="735" t="s">
        <v>2209</v>
      </c>
      <c r="D122" s="280">
        <f>F122*D100</f>
        <v>227700</v>
      </c>
      <c r="E122" s="735">
        <v>36750</v>
      </c>
      <c r="F122" s="275">
        <f>720+39</f>
        <v>759</v>
      </c>
      <c r="G122" s="280"/>
      <c r="H122" s="277">
        <v>720</v>
      </c>
      <c r="I122" s="277">
        <v>39</v>
      </c>
      <c r="S122" s="286"/>
      <c r="T122" s="286"/>
      <c r="AF122" s="2174"/>
      <c r="AG122" s="2174"/>
      <c r="AJ122" s="1"/>
      <c r="AO122" s="277"/>
      <c r="BB122" s="2176"/>
      <c r="BC122" s="2176"/>
      <c r="BI122" s="277"/>
      <c r="BJ122" s="277"/>
      <c r="BX122" s="2174"/>
      <c r="CR122" s="2176"/>
      <c r="CS122" s="2176"/>
      <c r="CV122" s="286"/>
      <c r="CW122" s="286"/>
      <c r="DS122" s="277"/>
      <c r="DW122" s="1"/>
      <c r="DX122" s="277">
        <v>6</v>
      </c>
      <c r="DY122" s="735" t="s">
        <v>2209</v>
      </c>
      <c r="DZ122" s="280">
        <f>EB122*DZ100</f>
        <v>227700</v>
      </c>
      <c r="EA122" s="735">
        <v>36750</v>
      </c>
      <c r="EB122" s="275">
        <f>720+39</f>
        <v>759</v>
      </c>
      <c r="EC122" s="280"/>
      <c r="ED122" s="277">
        <v>720</v>
      </c>
      <c r="EE122" s="277">
        <v>39</v>
      </c>
      <c r="EO122" s="286"/>
      <c r="EP122" s="286"/>
      <c r="FB122" s="2174"/>
      <c r="FC122" s="2174"/>
      <c r="FF122" s="1"/>
      <c r="FX122" s="2176"/>
      <c r="FY122" s="2176"/>
      <c r="GT122" s="2174"/>
      <c r="HN122" s="2176"/>
      <c r="HO122" s="2176"/>
      <c r="HR122" s="286"/>
      <c r="HS122" s="286"/>
      <c r="IN122" s="277"/>
      <c r="IO122" s="277"/>
    </row>
    <row r="123" spans="2:249" ht="21.95" customHeight="1">
      <c r="B123" s="277">
        <v>7</v>
      </c>
      <c r="C123" s="735" t="s">
        <v>2210</v>
      </c>
      <c r="D123" s="280">
        <f>F123*D100</f>
        <v>307800</v>
      </c>
      <c r="E123" s="735">
        <v>42000</v>
      </c>
      <c r="F123" s="275">
        <f>970+56</f>
        <v>1026</v>
      </c>
      <c r="G123" s="280"/>
      <c r="H123" s="277">
        <v>970</v>
      </c>
      <c r="I123" s="277">
        <v>56</v>
      </c>
      <c r="S123" s="286"/>
      <c r="T123" s="286"/>
      <c r="AF123" s="2174"/>
      <c r="AG123" s="2174"/>
      <c r="AJ123" s="1"/>
      <c r="AO123" s="277"/>
      <c r="BB123" s="2176"/>
      <c r="BC123" s="2176"/>
      <c r="BI123" s="277"/>
      <c r="BJ123" s="277"/>
      <c r="BX123" s="2174"/>
      <c r="CR123" s="2176"/>
      <c r="CS123" s="2176"/>
      <c r="CV123" s="286"/>
      <c r="CW123" s="286"/>
      <c r="DS123" s="277"/>
      <c r="DW123" s="1"/>
      <c r="DX123" s="277">
        <v>7</v>
      </c>
      <c r="DY123" s="735" t="s">
        <v>2210</v>
      </c>
      <c r="DZ123" s="280">
        <f>EB123*DZ100</f>
        <v>307800</v>
      </c>
      <c r="EA123" s="735">
        <v>42000</v>
      </c>
      <c r="EB123" s="275">
        <f>970+56</f>
        <v>1026</v>
      </c>
      <c r="EC123" s="280"/>
      <c r="ED123" s="277">
        <v>970</v>
      </c>
      <c r="EE123" s="277">
        <v>56</v>
      </c>
      <c r="EO123" s="286"/>
      <c r="EP123" s="286"/>
      <c r="FB123" s="2174"/>
      <c r="FC123" s="2174"/>
      <c r="FF123" s="1"/>
      <c r="FX123" s="2176"/>
      <c r="FY123" s="2176"/>
      <c r="GT123" s="2174"/>
      <c r="HN123" s="2176"/>
      <c r="HO123" s="2176"/>
      <c r="HR123" s="286"/>
      <c r="HS123" s="286"/>
      <c r="IN123" s="277"/>
      <c r="IO123" s="277"/>
    </row>
    <row r="124" spans="2:249" ht="21.95" customHeight="1">
      <c r="B124" s="277">
        <v>8</v>
      </c>
      <c r="C124" s="735" t="s">
        <v>2211</v>
      </c>
      <c r="D124" s="280">
        <f>F124*D100</f>
        <v>414000</v>
      </c>
      <c r="E124" s="735">
        <v>52500</v>
      </c>
      <c r="F124" s="275">
        <f>1300+80</f>
        <v>1380</v>
      </c>
      <c r="G124" s="280"/>
      <c r="H124" s="277">
        <v>1300</v>
      </c>
      <c r="I124" s="277">
        <v>80</v>
      </c>
      <c r="S124" s="286"/>
      <c r="T124" s="286"/>
      <c r="AF124" s="2174"/>
      <c r="AG124" s="2174"/>
      <c r="AJ124" s="1"/>
      <c r="AO124" s="277"/>
      <c r="BB124" s="2176"/>
      <c r="BC124" s="2176"/>
      <c r="BI124" s="277"/>
      <c r="BJ124" s="277"/>
      <c r="BX124" s="2174"/>
      <c r="CR124" s="2176"/>
      <c r="CS124" s="2176"/>
      <c r="DS124" s="277"/>
      <c r="DW124" s="1"/>
      <c r="DX124" s="277">
        <v>8</v>
      </c>
      <c r="DY124" s="735" t="s">
        <v>2211</v>
      </c>
      <c r="DZ124" s="280">
        <f>EB124*DZ100</f>
        <v>414000</v>
      </c>
      <c r="EA124" s="735">
        <v>52500</v>
      </c>
      <c r="EB124" s="275">
        <f>1300+80</f>
        <v>1380</v>
      </c>
      <c r="EC124" s="280"/>
      <c r="ED124" s="277">
        <v>1300</v>
      </c>
      <c r="EE124" s="277">
        <v>80</v>
      </c>
      <c r="EO124" s="286"/>
      <c r="EP124" s="286"/>
      <c r="FB124" s="2174"/>
      <c r="FC124" s="2174"/>
      <c r="FF124" s="1"/>
      <c r="FX124" s="2176"/>
      <c r="FY124" s="2176"/>
      <c r="GT124" s="2174"/>
      <c r="HN124" s="2176"/>
      <c r="HO124" s="2176"/>
      <c r="IN124" s="277"/>
      <c r="IO124" s="277"/>
    </row>
    <row r="125" spans="2:249" ht="21.95" customHeight="1">
      <c r="B125" s="277">
        <v>9</v>
      </c>
      <c r="C125" s="735" t="s">
        <v>2212</v>
      </c>
      <c r="D125" s="280">
        <f>F125*D100</f>
        <v>565500</v>
      </c>
      <c r="E125" s="735">
        <v>57750</v>
      </c>
      <c r="F125" s="275">
        <f>1770+115</f>
        <v>1885</v>
      </c>
      <c r="G125" s="280"/>
      <c r="H125" s="277">
        <v>1770</v>
      </c>
      <c r="I125" s="277">
        <v>115</v>
      </c>
      <c r="S125" s="286"/>
      <c r="T125" s="286"/>
      <c r="AF125" s="2174"/>
      <c r="AG125" s="2174"/>
      <c r="AJ125" s="1"/>
      <c r="AO125" s="277"/>
      <c r="BB125" s="2176"/>
      <c r="BC125" s="2176"/>
      <c r="BI125" s="277"/>
      <c r="BJ125" s="277"/>
      <c r="BX125" s="2174"/>
      <c r="CR125" s="2176"/>
      <c r="CS125" s="2176"/>
      <c r="DS125" s="277"/>
      <c r="DW125" s="1"/>
      <c r="DX125" s="277">
        <v>9</v>
      </c>
      <c r="DY125" s="735" t="s">
        <v>2212</v>
      </c>
      <c r="DZ125" s="280">
        <f>EB125*DZ100</f>
        <v>565500</v>
      </c>
      <c r="EA125" s="735">
        <v>57750</v>
      </c>
      <c r="EB125" s="275">
        <f>1770+115</f>
        <v>1885</v>
      </c>
      <c r="EC125" s="280"/>
      <c r="ED125" s="277">
        <v>1770</v>
      </c>
      <c r="EE125" s="277">
        <v>115</v>
      </c>
      <c r="EO125" s="286"/>
      <c r="EP125" s="286"/>
      <c r="FB125" s="2174"/>
      <c r="FC125" s="2174"/>
      <c r="FF125" s="1"/>
      <c r="FX125" s="2176"/>
      <c r="FY125" s="2176"/>
      <c r="GT125" s="2174"/>
      <c r="HN125" s="2176"/>
      <c r="HO125" s="2176"/>
      <c r="IN125" s="277"/>
      <c r="IO125" s="277"/>
    </row>
    <row r="126" spans="2:249" ht="21.95" customHeight="1">
      <c r="B126" s="277">
        <v>10</v>
      </c>
      <c r="C126" s="735" t="s">
        <v>2213</v>
      </c>
      <c r="D126" s="280">
        <f>F126*D100</f>
        <v>754500</v>
      </c>
      <c r="E126" s="735">
        <v>73500</v>
      </c>
      <c r="F126" s="275">
        <f>2350+165</f>
        <v>2515</v>
      </c>
      <c r="G126" s="280"/>
      <c r="H126" s="277">
        <v>2350</v>
      </c>
      <c r="I126" s="277">
        <v>165</v>
      </c>
      <c r="S126" s="286"/>
      <c r="T126" s="286"/>
      <c r="AF126" s="2174"/>
      <c r="AG126" s="2174"/>
      <c r="AJ126" s="1"/>
      <c r="AO126" s="277"/>
      <c r="BB126" s="2176"/>
      <c r="BC126" s="2176"/>
      <c r="BI126" s="277"/>
      <c r="BJ126" s="277"/>
      <c r="BX126" s="2174"/>
      <c r="CR126" s="2176"/>
      <c r="CS126" s="2176"/>
      <c r="DS126" s="277"/>
      <c r="DW126" s="1"/>
      <c r="DX126" s="277">
        <v>10</v>
      </c>
      <c r="DY126" s="735" t="s">
        <v>2213</v>
      </c>
      <c r="DZ126" s="280">
        <f>EB126*DZ100</f>
        <v>754500</v>
      </c>
      <c r="EA126" s="735">
        <v>73500</v>
      </c>
      <c r="EB126" s="275">
        <f>2350+165</f>
        <v>2515</v>
      </c>
      <c r="EC126" s="280"/>
      <c r="ED126" s="277">
        <v>2350</v>
      </c>
      <c r="EE126" s="277">
        <v>165</v>
      </c>
      <c r="EO126" s="286"/>
      <c r="EP126" s="286"/>
      <c r="FB126" s="2174"/>
      <c r="FC126" s="2174"/>
      <c r="FF126" s="1"/>
      <c r="FX126" s="2176"/>
      <c r="FY126" s="2176"/>
      <c r="GT126" s="2174"/>
      <c r="HN126" s="2176"/>
      <c r="HO126" s="2176"/>
      <c r="IN126" s="277"/>
      <c r="IO126" s="277"/>
    </row>
    <row r="127" spans="2:249" ht="21.95" customHeight="1">
      <c r="B127" s="277">
        <v>11</v>
      </c>
      <c r="C127" s="735" t="s">
        <v>2214</v>
      </c>
      <c r="D127" s="280">
        <f>F127*D100</f>
        <v>1221000</v>
      </c>
      <c r="E127" s="280">
        <v>77175</v>
      </c>
      <c r="F127" s="275">
        <f>3850+220</f>
        <v>4070</v>
      </c>
      <c r="G127" s="280"/>
      <c r="H127" s="277">
        <v>3850</v>
      </c>
      <c r="I127" s="277">
        <v>220</v>
      </c>
      <c r="S127" s="286"/>
      <c r="T127" s="286"/>
      <c r="AF127" s="2174"/>
      <c r="AG127" s="2174"/>
      <c r="AJ127" s="1"/>
      <c r="AO127" s="277"/>
      <c r="BB127" s="2176"/>
      <c r="BC127" s="2176"/>
      <c r="BI127" s="277"/>
      <c r="BJ127" s="277"/>
      <c r="BX127" s="2174"/>
      <c r="CR127" s="2176"/>
      <c r="CS127" s="2176"/>
      <c r="DS127" s="277"/>
      <c r="DW127" s="1"/>
      <c r="DX127" s="277">
        <v>11</v>
      </c>
      <c r="DY127" s="735" t="s">
        <v>2214</v>
      </c>
      <c r="DZ127" s="280">
        <f>EB127*DZ100</f>
        <v>1221000</v>
      </c>
      <c r="EA127" s="280">
        <v>77175</v>
      </c>
      <c r="EB127" s="275">
        <f>3850+220</f>
        <v>4070</v>
      </c>
      <c r="EC127" s="280"/>
      <c r="ED127" s="277">
        <v>3850</v>
      </c>
      <c r="EE127" s="277">
        <v>220</v>
      </c>
      <c r="EO127" s="286"/>
      <c r="EP127" s="286"/>
      <c r="FB127" s="2174"/>
      <c r="FC127" s="2174"/>
      <c r="FF127" s="1"/>
      <c r="FX127" s="2176"/>
      <c r="FY127" s="2176"/>
      <c r="GT127" s="2174"/>
      <c r="HN127" s="2176"/>
      <c r="HO127" s="2176"/>
      <c r="IN127" s="277"/>
      <c r="IO127" s="277"/>
    </row>
    <row r="128" spans="2:249" ht="21.95" customHeight="1">
      <c r="B128" s="277">
        <v>12</v>
      </c>
      <c r="C128" s="735" t="s">
        <v>2215</v>
      </c>
      <c r="D128" s="280">
        <f>F128*D100</f>
        <v>1683000</v>
      </c>
      <c r="E128" s="280">
        <v>81040</v>
      </c>
      <c r="F128" s="275">
        <f>5300+310</f>
        <v>5610</v>
      </c>
      <c r="G128" s="280"/>
      <c r="H128" s="277">
        <v>5300</v>
      </c>
      <c r="I128" s="277">
        <v>310</v>
      </c>
      <c r="S128" s="286"/>
      <c r="T128" s="286"/>
      <c r="AF128" s="2174"/>
      <c r="AG128" s="2174"/>
      <c r="AJ128" s="1"/>
      <c r="AO128" s="277"/>
      <c r="BB128" s="2176"/>
      <c r="BC128" s="2176"/>
      <c r="BI128" s="277"/>
      <c r="BJ128" s="277"/>
      <c r="BX128" s="2174"/>
      <c r="CR128" s="2176"/>
      <c r="CS128" s="2176"/>
      <c r="DS128" s="277"/>
      <c r="DW128" s="1"/>
      <c r="DX128" s="277">
        <v>12</v>
      </c>
      <c r="DY128" s="735" t="s">
        <v>2215</v>
      </c>
      <c r="DZ128" s="280">
        <f>EB128*DZ100</f>
        <v>1683000</v>
      </c>
      <c r="EA128" s="280">
        <v>81040</v>
      </c>
      <c r="EB128" s="275">
        <f>5300+310</f>
        <v>5610</v>
      </c>
      <c r="EC128" s="280"/>
      <c r="ED128" s="277">
        <v>5300</v>
      </c>
      <c r="EE128" s="277">
        <v>310</v>
      </c>
      <c r="EO128" s="286"/>
      <c r="EP128" s="286"/>
      <c r="FB128" s="2174"/>
      <c r="FC128" s="2174"/>
      <c r="FF128" s="1"/>
      <c r="FX128" s="2176"/>
      <c r="FY128" s="2176"/>
      <c r="GT128" s="2174"/>
      <c r="HN128" s="2176"/>
      <c r="HO128" s="2176"/>
      <c r="IN128" s="277"/>
      <c r="IO128" s="277"/>
    </row>
    <row r="129" spans="1:249" s="286" customFormat="1" ht="21.95" customHeight="1">
      <c r="B129" s="286">
        <v>13</v>
      </c>
      <c r="C129" s="735" t="s">
        <v>2216</v>
      </c>
      <c r="D129" s="280">
        <f>F129*D100</f>
        <v>2310000</v>
      </c>
      <c r="E129" s="280">
        <v>85090</v>
      </c>
      <c r="F129" s="275">
        <f>7250+450</f>
        <v>7700</v>
      </c>
      <c r="G129" s="275"/>
      <c r="H129" s="277">
        <v>7250</v>
      </c>
      <c r="I129" s="277">
        <v>450</v>
      </c>
      <c r="AF129" s="2174"/>
      <c r="AG129" s="2174"/>
      <c r="AJ129" s="2236"/>
      <c r="BB129" s="2176"/>
      <c r="BC129" s="2176"/>
      <c r="BX129" s="2174"/>
      <c r="CR129" s="2176"/>
      <c r="CS129" s="2176"/>
      <c r="DQ129" s="2171"/>
      <c r="DR129" s="2171"/>
      <c r="DX129" s="286">
        <v>13</v>
      </c>
      <c r="DY129" s="735" t="s">
        <v>2216</v>
      </c>
      <c r="DZ129" s="280">
        <f>EB129*DZ100</f>
        <v>2310000</v>
      </c>
      <c r="EA129" s="280">
        <v>85090</v>
      </c>
      <c r="EB129" s="275">
        <f>7250+450</f>
        <v>7700</v>
      </c>
      <c r="EC129" s="275"/>
      <c r="ED129" s="277">
        <v>7250</v>
      </c>
      <c r="EE129" s="277">
        <v>450</v>
      </c>
      <c r="FB129" s="2174"/>
      <c r="FC129" s="2174"/>
      <c r="FF129" s="2236"/>
      <c r="FX129" s="2176"/>
      <c r="FY129" s="2176"/>
      <c r="GT129" s="2174"/>
      <c r="HN129" s="2176"/>
      <c r="HO129" s="2176"/>
    </row>
    <row r="130" spans="1:249" s="286" customFormat="1" ht="21.95" customHeight="1">
      <c r="B130" s="286">
        <v>14</v>
      </c>
      <c r="C130" s="735" t="s">
        <v>2217</v>
      </c>
      <c r="D130" s="280">
        <f>F130*D100</f>
        <v>3231000</v>
      </c>
      <c r="E130" s="280">
        <v>89340</v>
      </c>
      <c r="F130" s="275">
        <f>10100+670</f>
        <v>10770</v>
      </c>
      <c r="G130" s="275"/>
      <c r="H130" s="277">
        <v>10100</v>
      </c>
      <c r="I130" s="277">
        <v>670</v>
      </c>
      <c r="AF130" s="2174"/>
      <c r="AG130" s="2174"/>
      <c r="AJ130" s="2236"/>
      <c r="BB130" s="2176"/>
      <c r="BC130" s="2176"/>
      <c r="BX130" s="2174"/>
      <c r="CR130" s="2176"/>
      <c r="CS130" s="2176"/>
      <c r="DQ130" s="2171"/>
      <c r="DR130" s="2171"/>
      <c r="DX130" s="286">
        <v>14</v>
      </c>
      <c r="DY130" s="735" t="s">
        <v>2217</v>
      </c>
      <c r="DZ130" s="280">
        <f>EB130*DZ100</f>
        <v>3231000</v>
      </c>
      <c r="EA130" s="280">
        <v>89340</v>
      </c>
      <c r="EB130" s="275">
        <f>10100+670</f>
        <v>10770</v>
      </c>
      <c r="EC130" s="275"/>
      <c r="ED130" s="277">
        <v>10100</v>
      </c>
      <c r="EE130" s="277">
        <v>670</v>
      </c>
      <c r="FB130" s="2174"/>
      <c r="FC130" s="2174"/>
      <c r="FF130" s="2236"/>
      <c r="FX130" s="2176"/>
      <c r="FY130" s="2176"/>
      <c r="GT130" s="2174"/>
      <c r="HN130" s="2176"/>
      <c r="HO130" s="2176"/>
    </row>
    <row r="131" spans="1:249" s="286" customFormat="1" ht="21.95" customHeight="1">
      <c r="B131" s="277">
        <v>15</v>
      </c>
      <c r="C131" s="280" t="s">
        <v>2218</v>
      </c>
      <c r="D131" s="735">
        <f>F131*D100</f>
        <v>4500000</v>
      </c>
      <c r="E131" s="2274">
        <v>93800</v>
      </c>
      <c r="F131" s="280">
        <f>14100+900</f>
        <v>15000</v>
      </c>
      <c r="G131" s="748"/>
      <c r="H131" s="277">
        <v>14100</v>
      </c>
      <c r="I131" s="277">
        <v>900</v>
      </c>
      <c r="AF131" s="2174"/>
      <c r="AG131" s="2174"/>
      <c r="AJ131" s="2236"/>
      <c r="BB131" s="2176"/>
      <c r="BC131" s="2176"/>
      <c r="BX131" s="2174"/>
      <c r="CR131" s="2176"/>
      <c r="CS131" s="2176"/>
      <c r="DQ131" s="2171"/>
      <c r="DR131" s="2171"/>
      <c r="DX131" s="277">
        <v>15</v>
      </c>
      <c r="DY131" s="280" t="s">
        <v>2218</v>
      </c>
      <c r="DZ131" s="735">
        <f>EB131*DZ100</f>
        <v>4500000</v>
      </c>
      <c r="EA131" s="2274">
        <v>93800</v>
      </c>
      <c r="EB131" s="280">
        <f>14100+900</f>
        <v>15000</v>
      </c>
      <c r="EC131" s="748"/>
      <c r="ED131" s="277">
        <v>14100</v>
      </c>
      <c r="EE131" s="277">
        <v>900</v>
      </c>
      <c r="FB131" s="2174"/>
      <c r="FC131" s="2174"/>
      <c r="FF131" s="2236"/>
      <c r="FX131" s="2176"/>
      <c r="FY131" s="2176"/>
      <c r="GT131" s="2174"/>
      <c r="HN131" s="2176"/>
      <c r="HO131" s="2176"/>
    </row>
    <row r="132" spans="1:249" s="286" customFormat="1" ht="21.95" customHeight="1">
      <c r="AF132" s="2174"/>
      <c r="AG132" s="2174"/>
      <c r="AJ132" s="2236"/>
      <c r="BB132" s="2176"/>
      <c r="BC132" s="2176"/>
      <c r="BX132" s="2174"/>
      <c r="CR132" s="2176"/>
      <c r="CS132" s="2176"/>
      <c r="DQ132" s="2171"/>
      <c r="DR132" s="2171"/>
      <c r="FB132" s="2174"/>
      <c r="FC132" s="2174"/>
      <c r="FF132" s="2236"/>
      <c r="FX132" s="2176"/>
      <c r="FY132" s="2176"/>
      <c r="GT132" s="2174"/>
      <c r="HN132" s="2176"/>
      <c r="HO132" s="2176"/>
    </row>
    <row r="133" spans="1:249" s="2174" customFormat="1" ht="21.95" customHeight="1">
      <c r="AJ133" s="2247"/>
      <c r="DQ133" s="2171"/>
      <c r="DR133" s="2171"/>
      <c r="FF133" s="2247"/>
    </row>
    <row r="134" spans="1:249" s="2174" customFormat="1" ht="21.95" customHeight="1">
      <c r="A134" s="2247"/>
      <c r="DQ134" s="2171"/>
      <c r="DR134" s="2171"/>
      <c r="DW134" s="2247"/>
    </row>
    <row r="135" spans="1:249" ht="21.95" customHeight="1">
      <c r="A135" s="1">
        <v>3177</v>
      </c>
      <c r="B135" s="277">
        <v>3177</v>
      </c>
      <c r="C135" s="277">
        <v>3177</v>
      </c>
      <c r="D135" s="277">
        <v>3177</v>
      </c>
      <c r="E135" s="277">
        <v>3177</v>
      </c>
      <c r="F135" s="277">
        <v>3177</v>
      </c>
      <c r="G135" s="277">
        <v>3177</v>
      </c>
      <c r="H135" s="277">
        <v>3177</v>
      </c>
      <c r="I135" s="277">
        <v>3177</v>
      </c>
      <c r="J135" s="277">
        <v>3177</v>
      </c>
      <c r="K135" s="277">
        <v>3177</v>
      </c>
      <c r="L135" s="277">
        <v>3177</v>
      </c>
      <c r="M135" s="277">
        <v>3177</v>
      </c>
      <c r="N135" s="277">
        <v>3177</v>
      </c>
      <c r="O135" s="277">
        <v>3177</v>
      </c>
      <c r="P135" s="277">
        <v>3177</v>
      </c>
      <c r="Q135" s="277">
        <v>3177</v>
      </c>
      <c r="R135" s="277">
        <v>3177</v>
      </c>
      <c r="S135" s="277">
        <v>3177</v>
      </c>
      <c r="T135" s="277">
        <v>3177</v>
      </c>
      <c r="U135" s="277">
        <v>3177</v>
      </c>
      <c r="V135" s="277">
        <v>3177</v>
      </c>
      <c r="W135" s="277">
        <v>3177</v>
      </c>
      <c r="X135" s="277">
        <v>3177</v>
      </c>
      <c r="Y135" s="277">
        <v>3177</v>
      </c>
      <c r="Z135" s="277">
        <v>3177</v>
      </c>
      <c r="AA135" s="277">
        <v>3177</v>
      </c>
      <c r="AB135" s="277">
        <v>3177</v>
      </c>
      <c r="AC135" s="277">
        <v>3177</v>
      </c>
      <c r="AD135" s="277">
        <v>3177</v>
      </c>
      <c r="AE135" s="277">
        <v>3177</v>
      </c>
      <c r="AF135" s="277">
        <v>3177</v>
      </c>
      <c r="AG135" s="277">
        <v>3177</v>
      </c>
      <c r="AH135" s="277">
        <v>3177</v>
      </c>
      <c r="AI135" s="277">
        <v>3177</v>
      </c>
      <c r="AJ135" s="277">
        <v>3177</v>
      </c>
      <c r="AK135" s="277">
        <v>3177</v>
      </c>
      <c r="AL135" s="277">
        <v>3177</v>
      </c>
      <c r="AM135" s="277">
        <v>3177</v>
      </c>
      <c r="AN135" s="277">
        <v>3177</v>
      </c>
      <c r="AO135" s="277">
        <v>3177</v>
      </c>
      <c r="AP135" s="277">
        <v>3177</v>
      </c>
      <c r="AQ135" s="277">
        <v>3177</v>
      </c>
      <c r="AR135" s="277">
        <v>3177</v>
      </c>
      <c r="AS135" s="277">
        <v>3177</v>
      </c>
      <c r="AT135" s="277">
        <v>3177</v>
      </c>
      <c r="AU135" s="277">
        <v>3177</v>
      </c>
      <c r="AV135" s="277">
        <v>3177</v>
      </c>
      <c r="AW135" s="277">
        <v>3177</v>
      </c>
      <c r="AX135" s="277">
        <v>3177</v>
      </c>
      <c r="AY135" s="277">
        <v>3177</v>
      </c>
      <c r="AZ135" s="277">
        <v>3177</v>
      </c>
      <c r="BA135" s="277">
        <v>3177</v>
      </c>
      <c r="BB135" s="277">
        <v>3177</v>
      </c>
      <c r="BC135" s="277">
        <v>3177</v>
      </c>
      <c r="BD135" s="277">
        <v>3177</v>
      </c>
      <c r="BE135" s="277">
        <v>3177</v>
      </c>
      <c r="BF135" s="2176"/>
      <c r="BG135" s="2176"/>
      <c r="BH135" s="277">
        <v>3177</v>
      </c>
      <c r="BI135" s="286">
        <v>3177</v>
      </c>
      <c r="BJ135" s="277">
        <v>3177</v>
      </c>
      <c r="BK135" s="286">
        <v>3177</v>
      </c>
      <c r="BL135" s="277">
        <v>3177</v>
      </c>
      <c r="BM135" s="286">
        <v>3177</v>
      </c>
      <c r="BN135" s="277">
        <v>3177</v>
      </c>
      <c r="BO135" s="286">
        <v>3177</v>
      </c>
      <c r="BP135" s="277">
        <v>3177</v>
      </c>
      <c r="BQ135" s="286">
        <v>3177</v>
      </c>
      <c r="BR135" s="277">
        <v>3177</v>
      </c>
      <c r="BS135" s="286">
        <v>3177</v>
      </c>
      <c r="BT135" s="277">
        <v>3177</v>
      </c>
      <c r="BU135" s="277">
        <v>3177</v>
      </c>
      <c r="BV135" s="286">
        <v>3177</v>
      </c>
      <c r="BW135" s="277">
        <v>3177</v>
      </c>
      <c r="BX135" s="286">
        <v>3177</v>
      </c>
      <c r="BY135" s="277">
        <v>3177</v>
      </c>
      <c r="BZ135" s="286">
        <v>3177</v>
      </c>
      <c r="CA135" s="277">
        <v>3177</v>
      </c>
      <c r="CB135" s="286">
        <v>3177</v>
      </c>
      <c r="CC135" s="277">
        <v>3177</v>
      </c>
      <c r="CD135" s="286">
        <v>3177</v>
      </c>
      <c r="CE135" s="277">
        <v>3177</v>
      </c>
      <c r="CF135" s="286">
        <v>3177</v>
      </c>
      <c r="CG135" s="277">
        <v>3177</v>
      </c>
      <c r="CH135" s="277">
        <v>3177</v>
      </c>
      <c r="CI135" s="286">
        <v>3177</v>
      </c>
      <c r="CJ135" s="277">
        <v>3177</v>
      </c>
      <c r="CK135" s="286">
        <v>3177</v>
      </c>
      <c r="CL135" s="277">
        <v>3177</v>
      </c>
      <c r="CM135" s="286">
        <v>3177</v>
      </c>
      <c r="CN135" s="277">
        <v>3177</v>
      </c>
      <c r="CO135" s="286">
        <v>3177</v>
      </c>
      <c r="CP135" s="277">
        <v>3177</v>
      </c>
      <c r="CQ135" s="286">
        <v>3177</v>
      </c>
      <c r="CR135" s="277">
        <v>3177</v>
      </c>
      <c r="CS135" s="286">
        <v>3177</v>
      </c>
      <c r="CT135" s="277">
        <v>3177</v>
      </c>
      <c r="CU135" s="277">
        <v>3177</v>
      </c>
      <c r="CV135" s="286">
        <v>3177</v>
      </c>
      <c r="CW135" s="277">
        <v>3177</v>
      </c>
      <c r="CX135" s="286">
        <v>3177</v>
      </c>
      <c r="CY135" s="277">
        <v>3177</v>
      </c>
      <c r="CZ135" s="286">
        <v>3177</v>
      </c>
      <c r="DA135" s="277">
        <v>3177</v>
      </c>
      <c r="DB135" s="286">
        <v>3177</v>
      </c>
      <c r="DC135" s="277">
        <v>3177</v>
      </c>
      <c r="DD135" s="286">
        <v>3177</v>
      </c>
      <c r="DE135" s="277">
        <v>3177</v>
      </c>
      <c r="DF135" s="286">
        <v>3177</v>
      </c>
      <c r="DG135" s="277">
        <v>3177</v>
      </c>
      <c r="DH135" s="277">
        <v>3177</v>
      </c>
      <c r="DI135" s="286">
        <v>3177</v>
      </c>
      <c r="DJ135" s="277">
        <v>3177</v>
      </c>
      <c r="DK135" s="286">
        <v>3177</v>
      </c>
      <c r="DL135" s="277">
        <v>3177</v>
      </c>
      <c r="DM135" s="286">
        <v>3177</v>
      </c>
      <c r="DN135" s="277">
        <v>3177</v>
      </c>
      <c r="DO135" s="286">
        <v>3177</v>
      </c>
      <c r="DP135" s="277">
        <v>3177</v>
      </c>
      <c r="DS135" s="277"/>
      <c r="DW135" s="1">
        <v>3177</v>
      </c>
      <c r="DX135" s="277">
        <v>3177</v>
      </c>
      <c r="DY135" s="277">
        <v>3177</v>
      </c>
      <c r="DZ135" s="277">
        <v>3177</v>
      </c>
      <c r="EA135" s="277">
        <v>3177</v>
      </c>
      <c r="EB135" s="277">
        <v>3177</v>
      </c>
      <c r="EC135" s="277">
        <v>3177</v>
      </c>
      <c r="ED135" s="277">
        <v>3177</v>
      </c>
      <c r="EE135" s="277">
        <v>3177</v>
      </c>
      <c r="EF135" s="277">
        <v>3177</v>
      </c>
      <c r="EG135" s="277">
        <v>3177</v>
      </c>
      <c r="EH135" s="277">
        <v>3177</v>
      </c>
      <c r="EI135" s="277">
        <v>3177</v>
      </c>
      <c r="EJ135" s="277">
        <v>3177</v>
      </c>
      <c r="EK135" s="277">
        <v>3177</v>
      </c>
      <c r="EL135" s="277">
        <v>3177</v>
      </c>
      <c r="EM135" s="277">
        <v>3177</v>
      </c>
      <c r="EN135" s="277">
        <v>3177</v>
      </c>
      <c r="EO135" s="277">
        <v>3177</v>
      </c>
      <c r="EP135" s="277">
        <v>3177</v>
      </c>
      <c r="EQ135" s="277">
        <v>3177</v>
      </c>
      <c r="ER135" s="277">
        <v>3177</v>
      </c>
      <c r="ES135" s="277">
        <v>3177</v>
      </c>
      <c r="ET135" s="277">
        <v>3177</v>
      </c>
      <c r="EU135" s="277">
        <v>3177</v>
      </c>
      <c r="EV135" s="277">
        <v>3177</v>
      </c>
      <c r="EW135" s="277">
        <v>3177</v>
      </c>
      <c r="EX135" s="277">
        <v>3177</v>
      </c>
      <c r="EY135" s="277">
        <v>3177</v>
      </c>
      <c r="EZ135" s="277">
        <v>3177</v>
      </c>
      <c r="FA135" s="277">
        <v>3177</v>
      </c>
      <c r="FB135" s="277">
        <v>3177</v>
      </c>
      <c r="FC135" s="277">
        <v>3177</v>
      </c>
      <c r="FD135" s="277">
        <v>3177</v>
      </c>
      <c r="FE135" s="277">
        <v>3177</v>
      </c>
      <c r="FF135" s="277">
        <v>3177</v>
      </c>
      <c r="FG135" s="277">
        <v>3177</v>
      </c>
      <c r="FH135" s="277">
        <v>3177</v>
      </c>
      <c r="FI135" s="277">
        <v>3177</v>
      </c>
      <c r="FJ135" s="277">
        <v>3177</v>
      </c>
      <c r="FK135" s="277">
        <v>3177</v>
      </c>
      <c r="FL135" s="277">
        <v>3177</v>
      </c>
      <c r="FM135" s="277">
        <v>3177</v>
      </c>
      <c r="FN135" s="277">
        <v>3177</v>
      </c>
      <c r="FO135" s="277">
        <v>3177</v>
      </c>
      <c r="FP135" s="277">
        <v>3177</v>
      </c>
      <c r="FQ135" s="277">
        <v>3177</v>
      </c>
      <c r="FR135" s="277">
        <v>3177</v>
      </c>
      <c r="FS135" s="277">
        <v>3177</v>
      </c>
      <c r="FT135" s="277">
        <v>3177</v>
      </c>
      <c r="FU135" s="277">
        <v>3177</v>
      </c>
      <c r="FV135" s="277">
        <v>3177</v>
      </c>
      <c r="FW135" s="277">
        <v>3177</v>
      </c>
      <c r="FX135" s="277">
        <v>3177</v>
      </c>
      <c r="FY135" s="277">
        <v>3177</v>
      </c>
      <c r="FZ135" s="277">
        <v>3177</v>
      </c>
      <c r="GA135" s="277">
        <v>3177</v>
      </c>
      <c r="GB135" s="2176"/>
      <c r="GC135" s="2176"/>
      <c r="GD135" s="277">
        <v>3177</v>
      </c>
      <c r="GE135" s="286">
        <v>3177</v>
      </c>
      <c r="GF135" s="277">
        <v>3177</v>
      </c>
      <c r="GG135" s="286">
        <v>3177</v>
      </c>
      <c r="GH135" s="277">
        <v>3177</v>
      </c>
      <c r="GI135" s="286">
        <v>3177</v>
      </c>
      <c r="GJ135" s="277">
        <v>3177</v>
      </c>
      <c r="GK135" s="286">
        <v>3177</v>
      </c>
      <c r="GL135" s="277">
        <v>3177</v>
      </c>
      <c r="GM135" s="286">
        <v>3177</v>
      </c>
      <c r="GN135" s="277">
        <v>3177</v>
      </c>
      <c r="GO135" s="286">
        <v>3177</v>
      </c>
      <c r="GP135" s="277">
        <v>3177</v>
      </c>
      <c r="GQ135" s="277">
        <v>3177</v>
      </c>
      <c r="GR135" s="286">
        <v>3177</v>
      </c>
      <c r="GS135" s="277">
        <v>3177</v>
      </c>
      <c r="GT135" s="286">
        <v>3177</v>
      </c>
      <c r="GU135" s="277">
        <v>3177</v>
      </c>
      <c r="GV135" s="286">
        <v>3177</v>
      </c>
      <c r="GW135" s="277">
        <v>3177</v>
      </c>
      <c r="GX135" s="286">
        <v>3177</v>
      </c>
      <c r="GY135" s="277">
        <v>3177</v>
      </c>
      <c r="GZ135" s="286">
        <v>3177</v>
      </c>
      <c r="HA135" s="277">
        <v>3177</v>
      </c>
      <c r="HB135" s="286">
        <v>3177</v>
      </c>
      <c r="HC135" s="277">
        <v>3177</v>
      </c>
      <c r="HD135" s="277">
        <v>3177</v>
      </c>
      <c r="HE135" s="286">
        <v>3177</v>
      </c>
      <c r="HF135" s="277">
        <v>3177</v>
      </c>
      <c r="HG135" s="286">
        <v>3177</v>
      </c>
      <c r="HH135" s="277">
        <v>3177</v>
      </c>
      <c r="HI135" s="286">
        <v>3177</v>
      </c>
      <c r="HJ135" s="277">
        <v>3177</v>
      </c>
      <c r="HK135" s="286">
        <v>3177</v>
      </c>
      <c r="HL135" s="277">
        <v>3177</v>
      </c>
      <c r="HM135" s="286">
        <v>3177</v>
      </c>
      <c r="HN135" s="277">
        <v>3177</v>
      </c>
      <c r="HO135" s="286">
        <v>3177</v>
      </c>
      <c r="HP135" s="277">
        <v>3177</v>
      </c>
      <c r="HQ135" s="277">
        <v>3177</v>
      </c>
      <c r="HR135" s="286">
        <v>3177</v>
      </c>
      <c r="HS135" s="277">
        <v>3177</v>
      </c>
      <c r="HT135" s="286">
        <v>3177</v>
      </c>
      <c r="HU135" s="277">
        <v>3177</v>
      </c>
      <c r="HV135" s="286">
        <v>3177</v>
      </c>
      <c r="HW135" s="277">
        <v>3177</v>
      </c>
      <c r="HX135" s="286">
        <v>3177</v>
      </c>
      <c r="HY135" s="277">
        <v>3177</v>
      </c>
      <c r="HZ135" s="286">
        <v>3177</v>
      </c>
      <c r="IA135" s="277">
        <v>3177</v>
      </c>
      <c r="IB135" s="286">
        <v>3177</v>
      </c>
      <c r="IC135" s="277">
        <v>3177</v>
      </c>
      <c r="ID135" s="277">
        <v>3177</v>
      </c>
      <c r="IE135" s="286">
        <v>3177</v>
      </c>
      <c r="IF135" s="277">
        <v>3177</v>
      </c>
      <c r="IG135" s="286">
        <v>3177</v>
      </c>
      <c r="IH135" s="277">
        <v>3177</v>
      </c>
      <c r="II135" s="286">
        <v>3177</v>
      </c>
      <c r="IJ135" s="277">
        <v>3177</v>
      </c>
      <c r="IK135" s="286">
        <v>3177</v>
      </c>
      <c r="IL135" s="277">
        <v>3177</v>
      </c>
      <c r="IN135" s="277"/>
      <c r="IO135" s="277"/>
    </row>
    <row r="136" spans="1:249" ht="21.95" customHeight="1">
      <c r="S136" s="286"/>
      <c r="T136" s="286"/>
      <c r="AO136" s="286"/>
      <c r="BF136" s="2176"/>
      <c r="BG136" s="2176"/>
      <c r="BI136" s="286"/>
      <c r="BJ136" s="286"/>
      <c r="DS136" s="277"/>
      <c r="DW136" s="1"/>
      <c r="EO136" s="286"/>
      <c r="EP136" s="286"/>
      <c r="FK136" s="286"/>
      <c r="GB136" s="2176"/>
      <c r="GC136" s="2176"/>
      <c r="GE136" s="286"/>
      <c r="GF136" s="286"/>
      <c r="IN136" s="277"/>
      <c r="IO136" s="277"/>
    </row>
    <row r="137" spans="1:249" ht="21.95" customHeight="1">
      <c r="S137" s="286"/>
      <c r="T137" s="286"/>
      <c r="AO137" s="286"/>
      <c r="BF137" s="2176"/>
      <c r="BG137" s="2176"/>
      <c r="BI137" s="286"/>
      <c r="BJ137" s="286"/>
      <c r="DS137" s="277"/>
      <c r="DW137" s="1"/>
      <c r="EO137" s="286"/>
      <c r="EP137" s="286"/>
      <c r="FK137" s="286"/>
      <c r="GB137" s="2176"/>
      <c r="GC137" s="2176"/>
      <c r="GE137" s="286"/>
      <c r="GF137" s="286"/>
      <c r="IN137" s="277"/>
      <c r="IO137" s="277"/>
    </row>
    <row r="138" spans="1:249" ht="21.95" customHeight="1">
      <c r="A138" s="2275"/>
      <c r="B138" s="2250"/>
      <c r="C138" s="2250"/>
      <c r="D138" s="2250"/>
      <c r="E138" s="2250"/>
      <c r="F138" s="2250"/>
      <c r="G138" s="2250"/>
      <c r="H138" s="2250"/>
      <c r="I138" s="2250"/>
      <c r="J138" s="2250"/>
      <c r="K138" s="2250"/>
      <c r="L138" s="2250"/>
      <c r="M138" s="2250"/>
      <c r="N138" s="2250"/>
      <c r="O138" s="2250"/>
      <c r="P138" s="2250"/>
      <c r="Q138" s="2250"/>
      <c r="R138" s="2250"/>
      <c r="S138" s="2250"/>
      <c r="T138" s="2250"/>
      <c r="U138" s="2250"/>
      <c r="V138" s="2250"/>
      <c r="W138" s="2250"/>
      <c r="X138" s="2250"/>
      <c r="Y138" s="2250"/>
      <c r="Z138" s="2250"/>
      <c r="AA138" s="2250"/>
      <c r="AB138" s="2250"/>
      <c r="AC138" s="2250"/>
      <c r="AD138" s="2250"/>
      <c r="AE138" s="2250"/>
      <c r="AF138" s="2250"/>
      <c r="AG138" s="2250"/>
      <c r="AH138" s="2250"/>
      <c r="AI138" s="2250"/>
      <c r="AJ138" s="2250"/>
      <c r="AK138" s="2250"/>
      <c r="AL138" s="2250"/>
      <c r="AM138" s="2250"/>
      <c r="AN138" s="2250"/>
      <c r="AO138" s="2250"/>
      <c r="AP138" s="2250"/>
      <c r="AQ138" s="2250"/>
      <c r="AR138" s="2250"/>
      <c r="AS138" s="2250"/>
      <c r="AT138" s="2250"/>
      <c r="AU138" s="2250"/>
      <c r="AV138" s="2250"/>
      <c r="AW138" s="2250"/>
      <c r="AX138" s="2250"/>
      <c r="AY138" s="2250"/>
      <c r="AZ138" s="2250"/>
      <c r="BA138" s="2250"/>
      <c r="BB138" s="2250"/>
      <c r="BC138" s="2250"/>
      <c r="BD138" s="2250"/>
      <c r="BE138" s="2250"/>
      <c r="BF138" s="2276"/>
      <c r="BG138" s="2276"/>
      <c r="BH138" s="2250"/>
      <c r="BI138" s="2250"/>
      <c r="BJ138" s="2250"/>
      <c r="BK138" s="2250"/>
      <c r="BL138" s="2250"/>
      <c r="BM138" s="2250"/>
      <c r="BN138" s="2250"/>
      <c r="BO138" s="2250"/>
      <c r="BP138" s="2250"/>
      <c r="BQ138" s="2250"/>
      <c r="BR138" s="2250"/>
      <c r="BS138" s="2250"/>
      <c r="BT138" s="2250"/>
      <c r="BU138" s="2250"/>
      <c r="BV138" s="2250"/>
      <c r="BW138" s="2250"/>
      <c r="BX138" s="2250"/>
      <c r="BY138" s="2250"/>
      <c r="BZ138" s="2250"/>
      <c r="CA138" s="2250"/>
      <c r="CB138" s="2250"/>
      <c r="CC138" s="2250"/>
      <c r="CD138" s="2250"/>
      <c r="CE138" s="2250"/>
      <c r="CF138" s="2250"/>
      <c r="CG138" s="2250"/>
      <c r="CH138" s="2250"/>
      <c r="CI138" s="2250"/>
      <c r="CJ138" s="2250"/>
      <c r="CK138" s="2250"/>
      <c r="CL138" s="2250"/>
      <c r="CM138" s="2250"/>
      <c r="CN138" s="2250"/>
      <c r="CO138" s="2250"/>
      <c r="CP138" s="2250"/>
      <c r="CQ138" s="2250"/>
      <c r="CR138" s="2250"/>
      <c r="CS138" s="2250"/>
      <c r="CT138" s="2250"/>
      <c r="CU138" s="2250"/>
      <c r="CV138" s="2250"/>
      <c r="CW138" s="2250"/>
      <c r="CX138" s="2250"/>
      <c r="CY138" s="2250"/>
      <c r="CZ138" s="2250"/>
      <c r="DA138" s="2250"/>
      <c r="DB138" s="2250"/>
      <c r="DC138" s="2250"/>
      <c r="DD138" s="2250"/>
      <c r="DE138" s="2250"/>
      <c r="DF138" s="2250"/>
      <c r="DG138" s="2250"/>
      <c r="DH138" s="2250"/>
      <c r="DI138" s="2250"/>
      <c r="DJ138" s="2250"/>
      <c r="DK138" s="2250"/>
      <c r="DL138" s="2250"/>
      <c r="DM138" s="2250"/>
      <c r="DN138" s="2250"/>
      <c r="DO138" s="2250"/>
      <c r="DP138" s="2250"/>
      <c r="DQ138" s="2277"/>
      <c r="DR138" s="2277"/>
      <c r="DS138" s="277"/>
      <c r="DW138" s="2275"/>
      <c r="DX138" s="2250"/>
      <c r="DY138" s="2250"/>
      <c r="DZ138" s="2250"/>
      <c r="EA138" s="2250"/>
      <c r="EB138" s="2250"/>
      <c r="EC138" s="2250"/>
      <c r="ED138" s="2250"/>
      <c r="EE138" s="2250"/>
      <c r="EF138" s="2250"/>
      <c r="EG138" s="2250"/>
      <c r="EH138" s="2250"/>
      <c r="EI138" s="2250"/>
      <c r="EJ138" s="2250"/>
      <c r="EK138" s="2250"/>
      <c r="EL138" s="2250"/>
      <c r="EM138" s="2250"/>
      <c r="EN138" s="2250"/>
      <c r="EO138" s="2250"/>
      <c r="EP138" s="2250"/>
      <c r="EQ138" s="2250"/>
      <c r="ER138" s="2250"/>
      <c r="ES138" s="2250"/>
      <c r="ET138" s="2250"/>
      <c r="EU138" s="2250"/>
      <c r="EV138" s="2250"/>
      <c r="EW138" s="2250"/>
      <c r="EX138" s="2250"/>
      <c r="EY138" s="2250"/>
      <c r="EZ138" s="2250"/>
      <c r="FA138" s="2250"/>
      <c r="FB138" s="2250"/>
      <c r="FC138" s="2250"/>
      <c r="FD138" s="2250"/>
      <c r="FE138" s="2250"/>
      <c r="FF138" s="2250"/>
      <c r="FG138" s="2250"/>
      <c r="FH138" s="2250"/>
      <c r="FI138" s="2250"/>
      <c r="FJ138" s="2250"/>
      <c r="FK138" s="2250"/>
      <c r="FL138" s="2250"/>
      <c r="FM138" s="2250"/>
      <c r="FN138" s="2250"/>
      <c r="FO138" s="2250"/>
      <c r="FP138" s="2250"/>
      <c r="FQ138" s="2250"/>
      <c r="FR138" s="2250"/>
      <c r="FS138" s="2250"/>
      <c r="FT138" s="2250"/>
      <c r="FU138" s="2250"/>
      <c r="FV138" s="2250"/>
      <c r="FW138" s="2250"/>
      <c r="FX138" s="2250"/>
      <c r="FY138" s="2250"/>
      <c r="FZ138" s="2250"/>
      <c r="GA138" s="2250"/>
      <c r="GB138" s="2276"/>
      <c r="GC138" s="2276"/>
      <c r="GD138" s="2250"/>
      <c r="GE138" s="2250"/>
      <c r="GF138" s="2250"/>
      <c r="GG138" s="2250"/>
      <c r="GH138" s="2250"/>
      <c r="GI138" s="2250"/>
      <c r="GJ138" s="2250"/>
      <c r="GK138" s="2250"/>
      <c r="GL138" s="2250"/>
      <c r="GM138" s="2250"/>
      <c r="GN138" s="2250"/>
      <c r="GO138" s="2250"/>
      <c r="GP138" s="2250"/>
      <c r="GQ138" s="2250"/>
      <c r="GR138" s="2250"/>
      <c r="GS138" s="2250"/>
      <c r="GT138" s="2250"/>
      <c r="GU138" s="2250"/>
      <c r="GV138" s="2250"/>
      <c r="GW138" s="2250"/>
      <c r="GX138" s="2250"/>
      <c r="GY138" s="2250"/>
      <c r="GZ138" s="2250"/>
      <c r="HA138" s="2250"/>
      <c r="HB138" s="2250"/>
      <c r="HC138" s="2250"/>
      <c r="HD138" s="2250"/>
      <c r="HE138" s="2250"/>
      <c r="HF138" s="2250"/>
      <c r="HG138" s="2250"/>
      <c r="HH138" s="2250"/>
      <c r="HI138" s="2250"/>
      <c r="HJ138" s="2250"/>
      <c r="HK138" s="2250"/>
      <c r="HL138" s="2250"/>
      <c r="HM138" s="2250"/>
      <c r="HN138" s="2250"/>
      <c r="HO138" s="2250"/>
      <c r="HP138" s="2250"/>
      <c r="HQ138" s="2250"/>
      <c r="HR138" s="2250"/>
      <c r="HS138" s="2250"/>
      <c r="HT138" s="2250"/>
      <c r="HU138" s="2250"/>
      <c r="HV138" s="2250"/>
      <c r="HW138" s="2250"/>
      <c r="HX138" s="2250"/>
      <c r="HY138" s="2250"/>
      <c r="HZ138" s="2250"/>
      <c r="IA138" s="2250"/>
      <c r="IB138" s="2250"/>
      <c r="IC138" s="2250"/>
      <c r="ID138" s="2250"/>
      <c r="IE138" s="2250"/>
      <c r="IF138" s="2250"/>
      <c r="IG138" s="2250"/>
      <c r="IH138" s="2250"/>
      <c r="II138" s="2250"/>
      <c r="IJ138" s="2250"/>
      <c r="IK138" s="2250"/>
      <c r="IL138" s="2250"/>
      <c r="IN138" s="277"/>
      <c r="IO138" s="277"/>
    </row>
    <row r="139" spans="1:249" ht="21.95" customHeight="1" thickBot="1">
      <c r="A139" s="2275"/>
      <c r="B139" s="2250"/>
      <c r="C139" s="2250"/>
      <c r="D139" s="2250"/>
      <c r="E139" s="2250"/>
      <c r="F139" s="2250"/>
      <c r="G139" s="2250"/>
      <c r="H139" s="2250"/>
      <c r="I139" s="2250"/>
      <c r="J139" s="2250"/>
      <c r="K139" s="2250"/>
      <c r="L139" s="2250"/>
      <c r="M139" s="2250"/>
      <c r="N139" s="2250"/>
      <c r="O139" s="2250"/>
      <c r="P139" s="2250"/>
      <c r="Q139" s="2250"/>
      <c r="R139" s="2250"/>
      <c r="S139" s="2250"/>
      <c r="T139" s="2250"/>
      <c r="U139" s="2250"/>
      <c r="V139" s="2250"/>
      <c r="W139" s="2250"/>
      <c r="X139" s="2250"/>
      <c r="Y139" s="2250"/>
      <c r="Z139" s="2250"/>
      <c r="AA139" s="2250"/>
      <c r="AB139" s="2250"/>
      <c r="AC139" s="2250"/>
      <c r="AD139" s="2250"/>
      <c r="AE139" s="2250"/>
      <c r="AF139" s="2250"/>
      <c r="AG139" s="2250"/>
      <c r="AH139" s="2250"/>
      <c r="AI139" s="2250"/>
      <c r="AJ139" s="2250"/>
      <c r="AK139" s="2250"/>
      <c r="AL139" s="2250"/>
      <c r="AM139" s="2250"/>
      <c r="AN139" s="2250"/>
      <c r="AO139" s="2250"/>
      <c r="AP139" s="2250"/>
      <c r="AQ139" s="2250"/>
      <c r="AR139" s="2250"/>
      <c r="AS139" s="2250"/>
      <c r="AT139" s="2250"/>
      <c r="AU139" s="2250"/>
      <c r="AV139" s="2250"/>
      <c r="AW139" s="2250"/>
      <c r="AX139" s="2250"/>
      <c r="AY139" s="2250"/>
      <c r="AZ139" s="2250"/>
      <c r="BA139" s="2250"/>
      <c r="BB139" s="2250"/>
      <c r="BC139" s="2250"/>
      <c r="BD139" s="2250"/>
      <c r="BE139" s="2250"/>
      <c r="BF139" s="2276"/>
      <c r="BG139" s="2276"/>
      <c r="BH139" s="2250"/>
      <c r="BI139" s="2275"/>
      <c r="BJ139" s="2250"/>
      <c r="BK139" s="2250"/>
      <c r="BL139" s="2250"/>
      <c r="BM139" s="2250"/>
      <c r="BN139" s="2250"/>
      <c r="BO139" s="2250"/>
      <c r="BP139" s="2250"/>
      <c r="BQ139" s="2250"/>
      <c r="BR139" s="2250"/>
      <c r="BS139" s="2250"/>
      <c r="BT139" s="2250"/>
      <c r="BU139" s="2250"/>
      <c r="BV139" s="2250"/>
      <c r="BW139" s="2250"/>
      <c r="BX139" s="2250"/>
      <c r="BY139" s="2250"/>
      <c r="BZ139" s="2250"/>
      <c r="CA139" s="2250"/>
      <c r="CB139" s="2250"/>
      <c r="CC139" s="2250"/>
      <c r="CD139" s="2250"/>
      <c r="CE139" s="2250"/>
      <c r="CF139" s="2250"/>
      <c r="CG139" s="2250"/>
      <c r="CH139" s="2250"/>
      <c r="CI139" s="2250"/>
      <c r="CJ139" s="2250"/>
      <c r="CK139" s="2250"/>
      <c r="CP139" s="2250"/>
      <c r="CQ139" s="2250"/>
      <c r="CR139" s="2250"/>
      <c r="CS139" s="2250"/>
      <c r="CT139" s="2250"/>
      <c r="CU139" s="2250"/>
      <c r="CV139" s="2250"/>
      <c r="CW139" s="2250"/>
      <c r="CX139" s="2250"/>
      <c r="CY139" s="2250"/>
      <c r="CZ139" s="2250"/>
      <c r="DA139" s="2250"/>
      <c r="DB139" s="2250"/>
      <c r="DC139" s="2250"/>
      <c r="DD139" s="2250"/>
      <c r="DE139" s="2250"/>
      <c r="DF139" s="2250"/>
      <c r="DG139" s="2250"/>
      <c r="DH139" s="2250"/>
      <c r="DI139" s="2250"/>
      <c r="DJ139" s="2250"/>
      <c r="DK139" s="2250"/>
      <c r="DL139" s="2250"/>
      <c r="DM139" s="2250"/>
      <c r="DN139" s="2250"/>
      <c r="DO139" s="2250"/>
      <c r="DP139" s="2250"/>
      <c r="DQ139" s="2277"/>
      <c r="DR139" s="2277"/>
      <c r="DS139" s="277"/>
      <c r="DW139" s="2275"/>
      <c r="DX139" s="2250"/>
      <c r="DY139" s="2250"/>
      <c r="DZ139" s="2250"/>
      <c r="EA139" s="2250"/>
      <c r="EB139" s="2250"/>
      <c r="EC139" s="2250"/>
      <c r="ED139" s="2250"/>
      <c r="EE139" s="2250"/>
      <c r="EF139" s="2250"/>
      <c r="EG139" s="2250"/>
      <c r="EH139" s="2250"/>
      <c r="EI139" s="2250"/>
      <c r="EJ139" s="2250"/>
      <c r="EK139" s="2250"/>
      <c r="EL139" s="2250"/>
      <c r="EM139" s="2250"/>
      <c r="EN139" s="2250"/>
      <c r="EO139" s="2250"/>
      <c r="EP139" s="2250"/>
      <c r="EQ139" s="2250"/>
      <c r="ER139" s="2250"/>
      <c r="ES139" s="2250"/>
      <c r="ET139" s="2250"/>
      <c r="EU139" s="2250"/>
      <c r="EV139" s="2250"/>
      <c r="EW139" s="2250"/>
      <c r="EX139" s="2250"/>
      <c r="EY139" s="2250"/>
      <c r="EZ139" s="2250"/>
      <c r="FA139" s="2250"/>
      <c r="FB139" s="2250"/>
      <c r="FC139" s="2250"/>
      <c r="FD139" s="2250"/>
      <c r="FE139" s="2250"/>
      <c r="FF139" s="2250"/>
      <c r="FG139" s="2250"/>
      <c r="FH139" s="2250"/>
      <c r="FI139" s="2250"/>
      <c r="FJ139" s="2250"/>
      <c r="FK139" s="2250"/>
      <c r="FL139" s="2250"/>
      <c r="FM139" s="2250"/>
      <c r="FN139" s="2250"/>
      <c r="FO139" s="2250"/>
      <c r="FP139" s="2250"/>
      <c r="FQ139" s="2250"/>
      <c r="FR139" s="2250"/>
      <c r="FS139" s="2250"/>
      <c r="FT139" s="2250"/>
      <c r="FU139" s="2250"/>
      <c r="FV139" s="2250"/>
      <c r="FW139" s="2250"/>
      <c r="FX139" s="2250"/>
      <c r="FY139" s="2250"/>
      <c r="FZ139" s="2250"/>
      <c r="GA139" s="2250"/>
      <c r="GB139" s="2276"/>
      <c r="GC139" s="2276"/>
      <c r="GD139" s="2250"/>
      <c r="GE139" s="2275"/>
      <c r="GF139" s="2250"/>
      <c r="GG139" s="2250"/>
      <c r="GH139" s="2250"/>
      <c r="GI139" s="2250"/>
      <c r="GJ139" s="2250"/>
      <c r="GK139" s="2250"/>
      <c r="GL139" s="2250"/>
      <c r="GM139" s="2250"/>
      <c r="GN139" s="2250"/>
      <c r="GO139" s="2250"/>
      <c r="GP139" s="2250"/>
      <c r="GQ139" s="2250"/>
      <c r="GR139" s="2250"/>
      <c r="GS139" s="2250"/>
      <c r="GT139" s="2250"/>
      <c r="GU139" s="2250"/>
      <c r="GV139" s="2250"/>
      <c r="GW139" s="2250"/>
      <c r="GX139" s="2250"/>
      <c r="GY139" s="2250"/>
      <c r="GZ139" s="2250"/>
      <c r="HA139" s="2250"/>
      <c r="HB139" s="2250"/>
      <c r="HC139" s="2250"/>
      <c r="HD139" s="2250"/>
      <c r="HE139" s="2250"/>
      <c r="HF139" s="2250"/>
      <c r="HG139" s="2250"/>
      <c r="HL139" s="2250"/>
      <c r="HM139" s="2250"/>
      <c r="HN139" s="2250"/>
      <c r="HO139" s="2250"/>
      <c r="HP139" s="2250"/>
      <c r="HQ139" s="2250"/>
      <c r="HR139" s="2250"/>
      <c r="HS139" s="2250"/>
      <c r="HT139" s="2250"/>
      <c r="HU139" s="2250"/>
      <c r="HV139" s="2250"/>
      <c r="HW139" s="2250"/>
      <c r="HX139" s="2250"/>
      <c r="HY139" s="2250"/>
      <c r="HZ139" s="2250"/>
      <c r="IA139" s="2250"/>
      <c r="IB139" s="2250"/>
      <c r="IC139" s="2250"/>
      <c r="ID139" s="2250"/>
      <c r="IE139" s="2250"/>
      <c r="IF139" s="2250"/>
      <c r="IG139" s="2250"/>
      <c r="IH139" s="2250"/>
      <c r="II139" s="2250"/>
      <c r="IJ139" s="2250"/>
      <c r="IK139" s="2250"/>
      <c r="IL139" s="2250"/>
      <c r="IN139" s="277"/>
      <c r="IO139" s="277"/>
    </row>
    <row r="140" spans="1:249" ht="21.95" customHeight="1" thickBot="1">
      <c r="A140" s="2275"/>
      <c r="B140" s="2250"/>
      <c r="C140" s="2250"/>
      <c r="D140" s="2250"/>
      <c r="E140" s="2250"/>
      <c r="F140" s="2250"/>
      <c r="G140" s="2250"/>
      <c r="H140" s="2250"/>
      <c r="I140" s="2250"/>
      <c r="J140" s="2250"/>
      <c r="K140" s="2250"/>
      <c r="L140" s="2250"/>
      <c r="M140" s="2250"/>
      <c r="N140" s="2250"/>
      <c r="O140" s="2250"/>
      <c r="P140" s="2250"/>
      <c r="Q140" s="2250"/>
      <c r="R140" s="2250"/>
      <c r="S140" s="2250"/>
      <c r="T140" s="2250"/>
      <c r="U140" s="2250"/>
      <c r="V140" s="4682" t="s">
        <v>2266</v>
      </c>
      <c r="W140" s="4683"/>
      <c r="X140" s="4711">
        <f>+E143</f>
        <v>0.75631178540277322</v>
      </c>
      <c r="Y140" s="4712"/>
      <c r="Z140" s="2250"/>
      <c r="AA140" s="2250"/>
      <c r="AB140" s="2250"/>
      <c r="AC140" s="2250"/>
      <c r="AH140" s="2250"/>
      <c r="AI140" s="2250"/>
      <c r="AJ140" s="2250"/>
      <c r="AK140" s="2250"/>
      <c r="AL140" s="2279" t="s">
        <v>2233</v>
      </c>
      <c r="AM140" s="2280" t="s">
        <v>648</v>
      </c>
      <c r="AN140" s="2281" t="s">
        <v>706</v>
      </c>
      <c r="AO140" s="2282" t="s">
        <v>707</v>
      </c>
      <c r="AP140" s="2283" t="str">
        <f>IF(AP142="Right",IF(AP143="Right",IF(AP144="Right",IF(AP141="Right","Right","Wrong"),"Wrong"),"Wrong"),"Wrong")</f>
        <v>Right</v>
      </c>
      <c r="AQ140" s="2250"/>
      <c r="AR140" s="2284" t="str">
        <f>IF(AR142="Right",IF(AR143="Right",IF(AR144="Right",IF(AR141="Right","Right","Wrong"),"Wrong"),"Wrong"),"Wrong")</f>
        <v>Right</v>
      </c>
      <c r="AS140" s="2285" t="s">
        <v>648</v>
      </c>
      <c r="AT140" s="2281" t="s">
        <v>706</v>
      </c>
      <c r="AU140" s="2282" t="s">
        <v>707</v>
      </c>
      <c r="AV140" s="2286" t="str">
        <f>IF(AV142="Right",IF(AV143="Right",IF(AV144="Right",IF(AV141="Right","Right","Wrong"),"Wrong"),"Wrong"),"Wrong")</f>
        <v>Right</v>
      </c>
      <c r="AW140" s="2250"/>
      <c r="AX140" s="2287" t="str">
        <f>HYPERLINK("Z:\Marketing Common\Dhrumil\Selection\Elite_Gear_Box.pdf","Elite Gear Box")</f>
        <v>Elite Gear Box</v>
      </c>
      <c r="AY140" s="2250"/>
      <c r="AZ140" s="2250"/>
      <c r="BA140" s="2250"/>
      <c r="BB140" s="2250"/>
      <c r="BC140" s="2250"/>
      <c r="BD140" s="2250"/>
      <c r="BE140" s="2250"/>
      <c r="BF140" s="2276"/>
      <c r="BG140" s="2276"/>
      <c r="BH140" s="2250"/>
      <c r="BI140" s="2275"/>
      <c r="BJ140" s="2250"/>
      <c r="BK140" s="2250"/>
      <c r="BL140" s="2250"/>
      <c r="BM140" s="2250"/>
      <c r="BN140" s="2250"/>
      <c r="BO140" s="2250"/>
      <c r="BP140" s="2250"/>
      <c r="BQ140" s="2250"/>
      <c r="BR140" s="2250"/>
      <c r="BS140" s="2250"/>
      <c r="BT140" s="2250"/>
      <c r="BU140" s="2250"/>
      <c r="BV140" s="2250"/>
      <c r="BW140" s="2250"/>
      <c r="BX140" s="2250"/>
      <c r="BY140" s="2250"/>
      <c r="BZ140" s="2250"/>
      <c r="CA140" s="2250"/>
      <c r="CB140" s="4682" t="s">
        <v>2266</v>
      </c>
      <c r="CC140" s="4683"/>
      <c r="CD140" s="4711">
        <f>+E143</f>
        <v>0.75631178540277322</v>
      </c>
      <c r="CE140" s="4712"/>
      <c r="CF140" s="2250"/>
      <c r="CG140" s="2250"/>
      <c r="CH140" s="2250"/>
      <c r="CI140" s="2250"/>
      <c r="CJ140" s="2250"/>
      <c r="CK140" s="2250"/>
      <c r="CP140" s="2250"/>
      <c r="CQ140" s="2250"/>
      <c r="CR140" s="2250"/>
      <c r="CS140" s="2250"/>
      <c r="CT140" s="2279" t="s">
        <v>2233</v>
      </c>
      <c r="CU140" s="2280" t="s">
        <v>648</v>
      </c>
      <c r="CV140" s="2281" t="s">
        <v>706</v>
      </c>
      <c r="CW140" s="2282" t="s">
        <v>707</v>
      </c>
      <c r="CX140" s="2283" t="str">
        <f>IF(CX142="Right",IF(CX143="Right",IF(CX144="Right",IF(CX141="Right","Right","Wrong"),"Wrong"),"Wrong"),"Wrong")</f>
        <v>Right</v>
      </c>
      <c r="CY140" s="2250"/>
      <c r="CZ140" s="2284" t="str">
        <f>IF(CZ142="Right",IF(CZ143="Right",IF(CZ144="Right",IF(CZ141="Right","Right","Wrong"),"Wrong"),"Wrong"),"Wrong")</f>
        <v>Right</v>
      </c>
      <c r="DA140" s="2285" t="s">
        <v>648</v>
      </c>
      <c r="DB140" s="2281" t="s">
        <v>706</v>
      </c>
      <c r="DC140" s="2282" t="s">
        <v>707</v>
      </c>
      <c r="DD140" s="2286" t="str">
        <f>IF(DD142="Right",IF(DD143="Right",IF(DD144="Right",IF(DD141="Right","Right","Wrong"),"Wrong"),"Wrong"),"Wrong")</f>
        <v>Right</v>
      </c>
      <c r="DE140" s="2250"/>
      <c r="DF140" s="2287" t="str">
        <f>HYPERLINK("Z:\Marketing Common\Dhrumil\Selection\Elite_Gear_Box.pdf","Elite Gear Box")</f>
        <v>Elite Gear Box</v>
      </c>
      <c r="DG140" s="2250"/>
      <c r="DH140" s="2250"/>
      <c r="DI140" s="2250"/>
      <c r="DJ140" s="2250"/>
      <c r="DK140" s="2250"/>
      <c r="DL140" s="2250"/>
      <c r="DM140" s="2250"/>
      <c r="DN140" s="2250"/>
      <c r="DO140" s="2250"/>
      <c r="DP140" s="2250"/>
      <c r="DQ140" s="2277"/>
      <c r="DR140" s="2277"/>
      <c r="DS140" s="277"/>
      <c r="DW140" s="2275"/>
      <c r="DX140" s="2250"/>
      <c r="DY140" s="2250"/>
      <c r="DZ140" s="2250"/>
      <c r="EA140" s="2250"/>
      <c r="EB140" s="2250"/>
      <c r="EC140" s="2250"/>
      <c r="ED140" s="2250"/>
      <c r="EE140" s="2250"/>
      <c r="EF140" s="2250"/>
      <c r="EG140" s="2250"/>
      <c r="EH140" s="2250"/>
      <c r="EI140" s="2250"/>
      <c r="EJ140" s="2250"/>
      <c r="EK140" s="2250"/>
      <c r="EL140" s="2250"/>
      <c r="EM140" s="2250"/>
      <c r="EN140" s="2250"/>
      <c r="EO140" s="2250"/>
      <c r="EP140" s="2250"/>
      <c r="EQ140" s="2250"/>
      <c r="ER140" s="4682" t="s">
        <v>2266</v>
      </c>
      <c r="ES140" s="4683"/>
      <c r="ET140" s="4711">
        <f>+EA143</f>
        <v>1.3354563802212776</v>
      </c>
      <c r="EU140" s="4712"/>
      <c r="EV140" s="2250"/>
      <c r="EW140" s="2250"/>
      <c r="EX140" s="2250"/>
      <c r="EY140" s="2250"/>
      <c r="FD140" s="2250"/>
      <c r="FE140" s="2250"/>
      <c r="FF140" s="2250"/>
      <c r="FG140" s="2250"/>
      <c r="FH140" s="2279" t="s">
        <v>2233</v>
      </c>
      <c r="FI140" s="2280" t="s">
        <v>648</v>
      </c>
      <c r="FJ140" s="2281" t="s">
        <v>706</v>
      </c>
      <c r="FK140" s="2282" t="s">
        <v>707</v>
      </c>
      <c r="FL140" s="2283" t="str">
        <f>IF(FL142="Right",IF(FL143="Right",IF(FL144="Right",IF(FL141="Right","Right","Wrong"),"Wrong"),"Wrong"),"Wrong")</f>
        <v>Right</v>
      </c>
      <c r="FM140" s="2250"/>
      <c r="FN140" s="2284" t="str">
        <f>IF(FN142="Right",IF(FN143="Right",IF(FN144="Right",IF(FN141="Right","Right","Wrong"),"Wrong"),"Wrong"),"Wrong")</f>
        <v>Right</v>
      </c>
      <c r="FO140" s="2285" t="s">
        <v>648</v>
      </c>
      <c r="FP140" s="2281" t="s">
        <v>706</v>
      </c>
      <c r="FQ140" s="2282" t="s">
        <v>707</v>
      </c>
      <c r="FR140" s="2286" t="str">
        <f>IF(FR142="Right",IF(FR143="Right",IF(FR144="Right",IF(FR141="Right","Right","Wrong"),"Wrong"),"Wrong"),"Wrong")</f>
        <v>Right</v>
      </c>
      <c r="FS140" s="2250"/>
      <c r="FT140" s="2287" t="str">
        <f>HYPERLINK("Z:\Marketing Common\Dhrumil\Selection\Elite_Gear_Box.pdf","Elite Gear Box")</f>
        <v>Elite Gear Box</v>
      </c>
      <c r="FU140" s="2250"/>
      <c r="FV140" s="2250"/>
      <c r="FW140" s="2250"/>
      <c r="FX140" s="2250"/>
      <c r="FY140" s="2250"/>
      <c r="FZ140" s="2250"/>
      <c r="GA140" s="2250"/>
      <c r="GB140" s="2276"/>
      <c r="GC140" s="2276"/>
      <c r="GD140" s="2250"/>
      <c r="GE140" s="2275"/>
      <c r="GF140" s="2250"/>
      <c r="GG140" s="2250"/>
      <c r="GH140" s="2250"/>
      <c r="GI140" s="2250"/>
      <c r="GJ140" s="2250"/>
      <c r="GK140" s="2250"/>
      <c r="GL140" s="2250"/>
      <c r="GM140" s="2250"/>
      <c r="GN140" s="2250"/>
      <c r="GO140" s="2250"/>
      <c r="GP140" s="2250"/>
      <c r="GQ140" s="2250"/>
      <c r="GR140" s="2250"/>
      <c r="GS140" s="2250"/>
      <c r="GT140" s="2250"/>
      <c r="GU140" s="2250"/>
      <c r="GV140" s="2250"/>
      <c r="GW140" s="2250"/>
      <c r="GX140" s="4682" t="s">
        <v>2266</v>
      </c>
      <c r="GY140" s="4683"/>
      <c r="GZ140" s="4711">
        <f>+EA143</f>
        <v>1.3354563802212776</v>
      </c>
      <c r="HA140" s="4712"/>
      <c r="HB140" s="2250"/>
      <c r="HC140" s="2250"/>
      <c r="HD140" s="2250"/>
      <c r="HE140" s="2250"/>
      <c r="HF140" s="2250"/>
      <c r="HG140" s="2250"/>
      <c r="HL140" s="2250"/>
      <c r="HM140" s="2250"/>
      <c r="HN140" s="2250"/>
      <c r="HO140" s="2250"/>
      <c r="HP140" s="2279" t="s">
        <v>2233</v>
      </c>
      <c r="HQ140" s="2280" t="s">
        <v>648</v>
      </c>
      <c r="HR140" s="2281" t="s">
        <v>706</v>
      </c>
      <c r="HS140" s="2282" t="s">
        <v>707</v>
      </c>
      <c r="HT140" s="2283" t="str">
        <f>IF(HT142="Right",IF(HT143="Right",IF(HT144="Right",IF(HT141="Right","Right","Wrong"),"Wrong"),"Wrong"),"Wrong")</f>
        <v>Right</v>
      </c>
      <c r="HU140" s="2250"/>
      <c r="HV140" s="2284" t="str">
        <f>IF(HV142="Right",IF(HV143="Right",IF(HV144="Right",IF(HV141="Right","Right","Wrong"),"Wrong"),"Wrong"),"Wrong")</f>
        <v>Right</v>
      </c>
      <c r="HW140" s="2285" t="s">
        <v>648</v>
      </c>
      <c r="HX140" s="2281" t="s">
        <v>706</v>
      </c>
      <c r="HY140" s="2282" t="s">
        <v>707</v>
      </c>
      <c r="HZ140" s="2286" t="str">
        <f>IF(HZ142="Right",IF(HZ143="Right",IF(HZ144="Right",IF(HZ141="Right","Right","Wrong"),"Wrong"),"Wrong"),"Wrong")</f>
        <v>Right</v>
      </c>
      <c r="IA140" s="2250"/>
      <c r="IB140" s="2287" t="str">
        <f>HYPERLINK("Z:\Marketing Common\Dhrumil\Selection\Elite_Gear_Box.pdf","Elite Gear Box")</f>
        <v>Elite Gear Box</v>
      </c>
      <c r="IC140" s="2250"/>
      <c r="ID140" s="2250"/>
      <c r="IE140" s="2250"/>
      <c r="IF140" s="2250"/>
      <c r="IG140" s="2250"/>
      <c r="IH140" s="2250"/>
      <c r="II140" s="2250"/>
      <c r="IJ140" s="2250"/>
      <c r="IK140" s="2250"/>
      <c r="IL140" s="2250"/>
      <c r="IN140" s="277"/>
      <c r="IO140" s="277"/>
    </row>
    <row r="141" spans="1:249" ht="21.95" customHeight="1" thickBot="1">
      <c r="A141" s="2275"/>
      <c r="B141" s="2250"/>
      <c r="C141" s="2250"/>
      <c r="D141" s="2250"/>
      <c r="E141" s="2250"/>
      <c r="F141" s="2250"/>
      <c r="G141" s="2250"/>
      <c r="H141" s="2250"/>
      <c r="I141" s="2250"/>
      <c r="J141" s="2250"/>
      <c r="K141" s="2250"/>
      <c r="L141" s="2250"/>
      <c r="M141" s="2250"/>
      <c r="N141" s="2250"/>
      <c r="O141" s="2250"/>
      <c r="P141" s="2250"/>
      <c r="Q141" s="2250"/>
      <c r="R141" s="2250"/>
      <c r="S141" s="2250"/>
      <c r="T141" s="2250"/>
      <c r="U141" s="2250"/>
      <c r="V141" s="4736" t="s">
        <v>2267</v>
      </c>
      <c r="W141" s="4737"/>
      <c r="X141" s="4717">
        <f>BF184</f>
        <v>68.3</v>
      </c>
      <c r="Y141" s="4718"/>
      <c r="Z141" s="2250"/>
      <c r="AA141" s="2250"/>
      <c r="AB141" s="2250"/>
      <c r="AC141" s="2250"/>
      <c r="AD141" s="277" t="s">
        <v>2268</v>
      </c>
      <c r="AG141" s="277" t="s">
        <v>2269</v>
      </c>
      <c r="AH141" s="2250"/>
      <c r="AI141" s="2250"/>
      <c r="AJ141" s="2250"/>
      <c r="AK141" s="2250"/>
      <c r="AL141" s="2250"/>
      <c r="AM141" s="2288" t="s">
        <v>651</v>
      </c>
      <c r="AN141" s="2289">
        <f>D202</f>
        <v>10.1</v>
      </c>
      <c r="AO141" s="2290">
        <f>E202</f>
        <v>400</v>
      </c>
      <c r="AP141" s="2250" t="str">
        <f>IF(B212="Right",IF(B213="Right","Right","Wrong"),"Wrong")</f>
        <v>Right</v>
      </c>
      <c r="AQ141" s="2250"/>
      <c r="AR141" s="2251" t="str">
        <f>IF(AN141=AT141,IF(AN141=AN146,IF(AO141=AU141,IF(AO141=AO146,"Right","Wrong"),"Wrong")))</f>
        <v>Right</v>
      </c>
      <c r="AS141" s="2288" t="s">
        <v>651</v>
      </c>
      <c r="AT141" s="2289">
        <f>C241</f>
        <v>10.1</v>
      </c>
      <c r="AU141" s="2290">
        <f>+C242</f>
        <v>400</v>
      </c>
      <c r="AV141" s="2251" t="str">
        <f>IF(AN141=AT141,IF(AO141=AU141,IF(AN146=AT141,IF(AO146=AU141,"Right","Wrong"),"Wrong"),"Wrong"),"Wrong")</f>
        <v>Right</v>
      </c>
      <c r="AW141" s="2250"/>
      <c r="AX141" s="2250"/>
      <c r="AY141" s="2250"/>
      <c r="AZ141" s="2250"/>
      <c r="BA141" s="2250"/>
      <c r="BB141" s="2250"/>
      <c r="BC141" s="2250"/>
      <c r="BD141" s="2250"/>
      <c r="BE141" s="2250"/>
      <c r="BF141" s="2276"/>
      <c r="BG141" s="2276"/>
      <c r="BH141" s="2250"/>
      <c r="BI141" s="2275"/>
      <c r="BJ141" s="2250"/>
      <c r="BK141" s="2250"/>
      <c r="BL141" s="2250"/>
      <c r="BM141" s="2250"/>
      <c r="BN141" s="2250"/>
      <c r="BO141" s="2250"/>
      <c r="BP141" s="2250"/>
      <c r="BQ141" s="2250"/>
      <c r="BR141" s="2250"/>
      <c r="BS141" s="2250"/>
      <c r="BT141" s="2250"/>
      <c r="BU141" s="2250"/>
      <c r="BV141" s="2250"/>
      <c r="BW141" s="2250"/>
      <c r="BX141" s="2250"/>
      <c r="BY141" s="2250"/>
      <c r="BZ141" s="2250"/>
      <c r="CA141" s="2250"/>
      <c r="CB141" s="4738" t="s">
        <v>2267</v>
      </c>
      <c r="CC141" s="4739"/>
      <c r="CD141" s="4717">
        <f>BG184</f>
        <v>73.7</v>
      </c>
      <c r="CE141" s="4718"/>
      <c r="CF141" s="2250"/>
      <c r="CG141" s="2250"/>
      <c r="CH141" s="2250"/>
      <c r="CI141" s="2250"/>
      <c r="CJ141" s="277" t="s">
        <v>2268</v>
      </c>
      <c r="CK141" s="2250"/>
      <c r="CM141" s="277" t="s">
        <v>2269</v>
      </c>
      <c r="CP141" s="2250"/>
      <c r="CQ141" s="2250"/>
      <c r="CR141" s="2250"/>
      <c r="CS141" s="2250"/>
      <c r="CT141" s="2250"/>
      <c r="CU141" s="2288" t="s">
        <v>651</v>
      </c>
      <c r="CV141" s="2289">
        <f>BL202</f>
        <v>9.31</v>
      </c>
      <c r="CW141" s="2290">
        <f>BM202</f>
        <v>400</v>
      </c>
      <c r="CX141" s="2250" t="str">
        <f>IF(BJ212="Right",IF(BJ213="Right","Right","Wrong"),"Wrong")</f>
        <v>Right</v>
      </c>
      <c r="CY141" s="2250"/>
      <c r="CZ141" s="2251" t="str">
        <f>IF(CV141=DB141,IF(CV141=CV146,IF(CW141=DC141,IF(CW141=CW146,"Right","Wrong"),"Wrong")))</f>
        <v>Right</v>
      </c>
      <c r="DA141" s="2288" t="s">
        <v>651</v>
      </c>
      <c r="DB141" s="2289">
        <f>BK241</f>
        <v>9.31</v>
      </c>
      <c r="DC141" s="2290">
        <f>+BK242</f>
        <v>400</v>
      </c>
      <c r="DD141" s="2251" t="str">
        <f>IF(CV141=DB141,IF(CW141=DC141,IF(CV146=DB141,IF(CW146=DC141,"Right","Wrong"),"Wrong"),"Wrong"),"Wrong")</f>
        <v>Right</v>
      </c>
      <c r="DE141" s="2250"/>
      <c r="DF141" s="2250"/>
      <c r="DG141" s="2250"/>
      <c r="DH141" s="2250"/>
      <c r="DI141" s="2250"/>
      <c r="DJ141" s="2250"/>
      <c r="DK141" s="2250"/>
      <c r="DL141" s="2250"/>
      <c r="DM141" s="2250"/>
      <c r="DN141" s="2250"/>
      <c r="DO141" s="2250"/>
      <c r="DP141" s="2250"/>
      <c r="DQ141" s="2277"/>
      <c r="DR141" s="2277"/>
      <c r="DS141" s="277"/>
      <c r="DW141" s="2275"/>
      <c r="DX141" s="2250"/>
      <c r="DY141" s="2250"/>
      <c r="DZ141" s="2250"/>
      <c r="EA141" s="2250"/>
      <c r="EB141" s="2250"/>
      <c r="EC141" s="2250"/>
      <c r="ED141" s="2250"/>
      <c r="EE141" s="2250"/>
      <c r="EF141" s="2250"/>
      <c r="EG141" s="2250"/>
      <c r="EH141" s="2250"/>
      <c r="EI141" s="2250"/>
      <c r="EJ141" s="2250"/>
      <c r="EK141" s="2250"/>
      <c r="EL141" s="2250"/>
      <c r="EM141" s="2250"/>
      <c r="EN141" s="2250"/>
      <c r="EO141" s="2250"/>
      <c r="EP141" s="2250"/>
      <c r="EQ141" s="2250"/>
      <c r="ER141" s="4736" t="s">
        <v>2267</v>
      </c>
      <c r="ES141" s="4737"/>
      <c r="ET141" s="4717">
        <f>GB184</f>
        <v>43.9</v>
      </c>
      <c r="EU141" s="4718"/>
      <c r="EV141" s="2250"/>
      <c r="EW141" s="2250"/>
      <c r="EX141" s="2250"/>
      <c r="EY141" s="2250"/>
      <c r="EZ141" s="277" t="s">
        <v>2268</v>
      </c>
      <c r="FC141" s="277" t="s">
        <v>2269</v>
      </c>
      <c r="FD141" s="2250"/>
      <c r="FE141" s="2250"/>
      <c r="FF141" s="2250"/>
      <c r="FG141" s="2250"/>
      <c r="FH141" s="2250"/>
      <c r="FI141" s="2288" t="s">
        <v>651</v>
      </c>
      <c r="FJ141" s="2289">
        <f>DZ202</f>
        <v>14.95</v>
      </c>
      <c r="FK141" s="2290">
        <f>EA202</f>
        <v>400</v>
      </c>
      <c r="FL141" s="2250" t="str">
        <f>IF(DX212="Right",IF(DX213="Right","Right","Wrong"),"Wrong")</f>
        <v>Right</v>
      </c>
      <c r="FM141" s="2250"/>
      <c r="FN141" s="2251" t="str">
        <f>IF(FJ141=FP141,IF(FJ141=FJ146,IF(FK141=FQ141,IF(FK141=FK146,"Right","Wrong"),"Wrong")))</f>
        <v>Right</v>
      </c>
      <c r="FO141" s="2288" t="s">
        <v>651</v>
      </c>
      <c r="FP141" s="2289">
        <f>DY241</f>
        <v>14.95</v>
      </c>
      <c r="FQ141" s="2290">
        <f>+DY242</f>
        <v>400</v>
      </c>
      <c r="FR141" s="2251" t="str">
        <f>IF(FJ141=FP141,IF(FK141=FQ141,IF(FJ146=FP141,IF(FK146=FQ141,"Right","Wrong"),"Wrong"),"Wrong"),"Wrong")</f>
        <v>Right</v>
      </c>
      <c r="FS141" s="2250"/>
      <c r="FT141" s="2250"/>
      <c r="FU141" s="2250"/>
      <c r="FV141" s="2250"/>
      <c r="FW141" s="2250"/>
      <c r="FX141" s="2250"/>
      <c r="FY141" s="2250"/>
      <c r="FZ141" s="2250"/>
      <c r="GA141" s="2250"/>
      <c r="GB141" s="2276"/>
      <c r="GC141" s="2276"/>
      <c r="GD141" s="2250"/>
      <c r="GE141" s="2275"/>
      <c r="GF141" s="2250"/>
      <c r="GG141" s="2250"/>
      <c r="GH141" s="2250"/>
      <c r="GI141" s="2250"/>
      <c r="GJ141" s="2250"/>
      <c r="GK141" s="2250"/>
      <c r="GL141" s="2250"/>
      <c r="GM141" s="2250"/>
      <c r="GN141" s="2250"/>
      <c r="GO141" s="2250"/>
      <c r="GP141" s="2250"/>
      <c r="GQ141" s="2250"/>
      <c r="GR141" s="2250"/>
      <c r="GS141" s="2250"/>
      <c r="GT141" s="2250"/>
      <c r="GU141" s="2250"/>
      <c r="GV141" s="2250"/>
      <c r="GW141" s="2250"/>
      <c r="GX141" s="4738" t="s">
        <v>2267</v>
      </c>
      <c r="GY141" s="4739"/>
      <c r="GZ141" s="4717">
        <f>GC184</f>
        <v>48.8</v>
      </c>
      <c r="HA141" s="4718"/>
      <c r="HB141" s="2250"/>
      <c r="HC141" s="2250"/>
      <c r="HD141" s="2250"/>
      <c r="HE141" s="2250"/>
      <c r="HF141" s="277" t="s">
        <v>2268</v>
      </c>
      <c r="HG141" s="2250"/>
      <c r="HI141" s="277" t="s">
        <v>2269</v>
      </c>
      <c r="HL141" s="2250"/>
      <c r="HM141" s="2250"/>
      <c r="HN141" s="2250"/>
      <c r="HO141" s="2250"/>
      <c r="HP141" s="2250"/>
      <c r="HQ141" s="2288" t="s">
        <v>651</v>
      </c>
      <c r="HR141" s="2289">
        <f>GH202</f>
        <v>13.66</v>
      </c>
      <c r="HS141" s="2290">
        <f>GI202</f>
        <v>400</v>
      </c>
      <c r="HT141" s="2250" t="str">
        <f>IF(GF212="Right",IF(GF213="Right","Right","Wrong"),"Wrong")</f>
        <v>Right</v>
      </c>
      <c r="HU141" s="2250"/>
      <c r="HV141" s="2251" t="str">
        <f>IF(HR141=HX141,IF(HR141=HR146,IF(HS141=HY141,IF(HS141=HS146,"Right","Wrong"),"Wrong")))</f>
        <v>Right</v>
      </c>
      <c r="HW141" s="2288" t="s">
        <v>651</v>
      </c>
      <c r="HX141" s="2289">
        <f>GG241</f>
        <v>13.66</v>
      </c>
      <c r="HY141" s="2290">
        <f>+GG242</f>
        <v>400</v>
      </c>
      <c r="HZ141" s="2251" t="str">
        <f>IF(HR141=HX141,IF(HS141=HY141,IF(HR146=HX141,IF(HS146=HY141,"Right","Wrong"),"Wrong"),"Wrong"),"Wrong")</f>
        <v>Right</v>
      </c>
      <c r="IA141" s="2250"/>
      <c r="IB141" s="2250"/>
      <c r="IC141" s="2250"/>
      <c r="ID141" s="2250"/>
      <c r="IE141" s="2250"/>
      <c r="IF141" s="2250"/>
      <c r="IG141" s="2250"/>
      <c r="IH141" s="2250"/>
      <c r="II141" s="2250"/>
      <c r="IJ141" s="2250"/>
      <c r="IK141" s="2250"/>
      <c r="IL141" s="2250"/>
      <c r="IN141" s="277"/>
      <c r="IO141" s="277"/>
    </row>
    <row r="142" spans="1:249" ht="21.95" customHeight="1" thickBot="1">
      <c r="A142" s="2275"/>
      <c r="B142" s="2250"/>
      <c r="C142" s="2250"/>
      <c r="D142" s="2250"/>
      <c r="E142" s="2250"/>
      <c r="F142" s="2250"/>
      <c r="G142" s="2250"/>
      <c r="H142" s="2250"/>
      <c r="I142" s="2250"/>
      <c r="J142" s="2250"/>
      <c r="K142" s="2250"/>
      <c r="L142" s="2250"/>
      <c r="M142" s="2250"/>
      <c r="N142" s="2250"/>
      <c r="O142" s="2250"/>
      <c r="P142" s="2250"/>
      <c r="Q142" s="2250"/>
      <c r="R142" s="2250"/>
      <c r="S142" s="2250"/>
      <c r="T142" s="2250"/>
      <c r="U142" s="2250"/>
      <c r="V142" s="4686"/>
      <c r="W142" s="4687"/>
      <c r="X142" s="4688"/>
      <c r="Y142" s="4689"/>
      <c r="Z142" s="2250"/>
      <c r="AA142" s="2250"/>
      <c r="AB142" s="2250"/>
      <c r="AC142" s="2250"/>
      <c r="AH142" s="2250"/>
      <c r="AI142" s="2250"/>
      <c r="AJ142" s="2250"/>
      <c r="AK142" s="2250"/>
      <c r="AL142" s="2250"/>
      <c r="AM142" s="2291" t="s">
        <v>654</v>
      </c>
      <c r="AN142" s="2292">
        <f>R202</f>
        <v>7.33</v>
      </c>
      <c r="AO142" s="2293">
        <f>S202</f>
        <v>400</v>
      </c>
      <c r="AP142" s="2250" t="str">
        <f>IF(P212="Right",IF(P213="Right","Right","Wrong"),"Wrong")</f>
        <v>Right</v>
      </c>
      <c r="AQ142" s="2250"/>
      <c r="AR142" s="2251" t="str">
        <f>IF(AN142=AT142,IF(AN142=AN147,IF(AO142=AU142,IF(AO142=AO147,"Right","Wrong"),"Wrong"),"Wrong"),"Wrong")</f>
        <v>Right</v>
      </c>
      <c r="AS142" s="2291" t="s">
        <v>654</v>
      </c>
      <c r="AT142" s="2292">
        <f>C263</f>
        <v>7.33</v>
      </c>
      <c r="AU142" s="2293">
        <f>+C264</f>
        <v>400</v>
      </c>
      <c r="AV142" s="2251" t="str">
        <f>IF(AN142=AT142,IF(AO142=AU142,IF(AN147=AT142,IF(AO147=AU142,"Right","Wrong"),"Wrong"),"Wrong"),"Wrong")</f>
        <v>Right</v>
      </c>
      <c r="AW142" s="2250"/>
      <c r="AX142" s="2250"/>
      <c r="AY142" s="2250"/>
      <c r="AZ142" s="2250"/>
      <c r="BA142" s="2250"/>
      <c r="BB142" s="2250"/>
      <c r="BC142" s="2250"/>
      <c r="BD142" s="2250"/>
      <c r="BE142" s="2250"/>
      <c r="BF142" s="2276"/>
      <c r="BG142" s="2276"/>
      <c r="BH142" s="2250"/>
      <c r="BI142" s="2275"/>
      <c r="BJ142" s="2250"/>
      <c r="BK142" s="2250"/>
      <c r="BL142" s="2250"/>
      <c r="BM142" s="2250"/>
      <c r="BN142" s="2250"/>
      <c r="BO142" s="2250"/>
      <c r="BP142" s="2250"/>
      <c r="BQ142" s="2250"/>
      <c r="BR142" s="2250"/>
      <c r="BS142" s="2250"/>
      <c r="BT142" s="2250"/>
      <c r="BU142" s="2250"/>
      <c r="BV142" s="2250"/>
      <c r="BW142" s="2250"/>
      <c r="BX142" s="2250"/>
      <c r="BY142" s="2250"/>
      <c r="BZ142" s="2250"/>
      <c r="CA142" s="2250"/>
      <c r="CB142" s="4686"/>
      <c r="CC142" s="4687"/>
      <c r="CD142" s="4731"/>
      <c r="CE142" s="4732"/>
      <c r="CF142" s="2250"/>
      <c r="CG142" s="2250"/>
      <c r="CH142" s="2250"/>
      <c r="CI142" s="2250"/>
      <c r="CK142" s="2250"/>
      <c r="CP142" s="2250"/>
      <c r="CQ142" s="2250"/>
      <c r="CR142" s="2250"/>
      <c r="CS142" s="2250"/>
      <c r="CT142" s="2250"/>
      <c r="CU142" s="2291" t="s">
        <v>654</v>
      </c>
      <c r="CV142" s="2292">
        <f>BZ202</f>
        <v>6.73</v>
      </c>
      <c r="CW142" s="2293">
        <f>CA202</f>
        <v>400</v>
      </c>
      <c r="CX142" s="2250" t="str">
        <f>IF(BX212="Right",IF(BX213="Right","Right","Wrong"),"Wrong")</f>
        <v>Right</v>
      </c>
      <c r="CY142" s="2250"/>
      <c r="CZ142" s="2251" t="str">
        <f>IF(CV142=DB142,IF(CV142=CV147,IF(CW142=DC142,IF(CW142=CW147,"Right","Wrong"),"Wrong"),"Wrong"),"Wrong")</f>
        <v>Right</v>
      </c>
      <c r="DA142" s="2291" t="s">
        <v>654</v>
      </c>
      <c r="DB142" s="2292">
        <f>BK263</f>
        <v>6.73</v>
      </c>
      <c r="DC142" s="2293">
        <f>+BK264</f>
        <v>400</v>
      </c>
      <c r="DD142" s="2251" t="str">
        <f>IF(CV142=DB142,IF(CW142=DC142,IF(CV147=DB142,IF(CW147=DC142,"Right","Wrong"),"Wrong"),"Wrong"),"Wrong")</f>
        <v>Right</v>
      </c>
      <c r="DE142" s="2250"/>
      <c r="DF142" s="2250"/>
      <c r="DG142" s="2250"/>
      <c r="DH142" s="2250"/>
      <c r="DI142" s="2250"/>
      <c r="DJ142" s="2250"/>
      <c r="DK142" s="2250"/>
      <c r="DL142" s="2250"/>
      <c r="DM142" s="2250"/>
      <c r="DN142" s="2250"/>
      <c r="DO142" s="2250"/>
      <c r="DP142" s="2250"/>
      <c r="DQ142" s="2277"/>
      <c r="DR142" s="2277"/>
      <c r="DS142" s="277"/>
      <c r="DW142" s="2275"/>
      <c r="DX142" s="2250"/>
      <c r="DY142" s="2250"/>
      <c r="DZ142" s="2250"/>
      <c r="EA142" s="2250"/>
      <c r="EB142" s="2250"/>
      <c r="EC142" s="2250"/>
      <c r="ED142" s="2250"/>
      <c r="EE142" s="2250"/>
      <c r="EF142" s="2250"/>
      <c r="EG142" s="2250"/>
      <c r="EH142" s="2250"/>
      <c r="EI142" s="2250"/>
      <c r="EJ142" s="2250"/>
      <c r="EK142" s="2250"/>
      <c r="EL142" s="2250"/>
      <c r="EM142" s="2250"/>
      <c r="EN142" s="2250"/>
      <c r="EO142" s="2250"/>
      <c r="EP142" s="2250"/>
      <c r="EQ142" s="2250"/>
      <c r="ER142" s="4686"/>
      <c r="ES142" s="4687"/>
      <c r="ET142" s="4688"/>
      <c r="EU142" s="4689"/>
      <c r="EV142" s="2250"/>
      <c r="EW142" s="2250"/>
      <c r="EX142" s="2250"/>
      <c r="EY142" s="2250"/>
      <c r="FD142" s="2250"/>
      <c r="FE142" s="2250"/>
      <c r="FF142" s="2250"/>
      <c r="FG142" s="2250"/>
      <c r="FH142" s="2250"/>
      <c r="FI142" s="2291" t="s">
        <v>654</v>
      </c>
      <c r="FJ142" s="2292">
        <f>EN202</f>
        <v>10.79</v>
      </c>
      <c r="FK142" s="2293">
        <f>EO202</f>
        <v>400</v>
      </c>
      <c r="FL142" s="2250" t="str">
        <f>IF(EL212="Right",IF(EL213="Right","Right","Wrong"),"Wrong")</f>
        <v>Right</v>
      </c>
      <c r="FM142" s="2250"/>
      <c r="FN142" s="2251" t="str">
        <f>IF(FJ142=FP142,IF(FJ142=FJ147,IF(FK142=FQ142,IF(FK142=FK147,"Right","Wrong"),"Wrong"),"Wrong"),"Wrong")</f>
        <v>Right</v>
      </c>
      <c r="FO142" s="2291" t="s">
        <v>654</v>
      </c>
      <c r="FP142" s="2292">
        <f>DY263</f>
        <v>10.79</v>
      </c>
      <c r="FQ142" s="2293">
        <f>+DY264</f>
        <v>400</v>
      </c>
      <c r="FR142" s="2251" t="str">
        <f>IF(FJ142=FP142,IF(FK142=FQ142,IF(FJ147=FP142,IF(FK147=FQ142,"Right","Wrong"),"Wrong"),"Wrong"),"Wrong")</f>
        <v>Right</v>
      </c>
      <c r="FS142" s="2250"/>
      <c r="FT142" s="2250"/>
      <c r="FU142" s="2250"/>
      <c r="FV142" s="2250"/>
      <c r="FW142" s="2250"/>
      <c r="FX142" s="2250"/>
      <c r="FY142" s="2250"/>
      <c r="FZ142" s="2250"/>
      <c r="GA142" s="2250"/>
      <c r="GB142" s="2276"/>
      <c r="GC142" s="2276"/>
      <c r="GD142" s="2250"/>
      <c r="GE142" s="2275"/>
      <c r="GF142" s="2250"/>
      <c r="GG142" s="2250"/>
      <c r="GH142" s="2250"/>
      <c r="GI142" s="2250"/>
      <c r="GJ142" s="2250"/>
      <c r="GK142" s="2250"/>
      <c r="GL142" s="2250"/>
      <c r="GM142" s="2250"/>
      <c r="GN142" s="2250"/>
      <c r="GO142" s="2250"/>
      <c r="GP142" s="2250"/>
      <c r="GQ142" s="2250"/>
      <c r="GR142" s="2250"/>
      <c r="GS142" s="2250"/>
      <c r="GT142" s="2250"/>
      <c r="GU142" s="2250"/>
      <c r="GV142" s="2250"/>
      <c r="GW142" s="2250"/>
      <c r="GX142" s="4686"/>
      <c r="GY142" s="4687"/>
      <c r="GZ142" s="4731"/>
      <c r="HA142" s="4732"/>
      <c r="HB142" s="2250"/>
      <c r="HC142" s="2250"/>
      <c r="HD142" s="2250"/>
      <c r="HE142" s="2250"/>
      <c r="HG142" s="2250"/>
      <c r="HL142" s="2250"/>
      <c r="HM142" s="2250"/>
      <c r="HN142" s="2250"/>
      <c r="HO142" s="2250"/>
      <c r="HP142" s="2250"/>
      <c r="HQ142" s="2291" t="s">
        <v>654</v>
      </c>
      <c r="HR142" s="2292">
        <f>GV202</f>
        <v>9.8000000000000007</v>
      </c>
      <c r="HS142" s="2293">
        <f>GW202</f>
        <v>400</v>
      </c>
      <c r="HT142" s="2250" t="str">
        <f>IF(GT212="Right",IF(GT213="Right","Right","Wrong"),"Wrong")</f>
        <v>Right</v>
      </c>
      <c r="HU142" s="2250"/>
      <c r="HV142" s="2251" t="str">
        <f>IF(HR142=HX142,IF(HR142=HR147,IF(HS142=HY142,IF(HS142=HS147,"Right","Wrong"),"Wrong"),"Wrong"),"Wrong")</f>
        <v>Right</v>
      </c>
      <c r="HW142" s="2291" t="s">
        <v>654</v>
      </c>
      <c r="HX142" s="2292">
        <f>GG263</f>
        <v>9.8000000000000007</v>
      </c>
      <c r="HY142" s="2293">
        <f>+GG264</f>
        <v>400</v>
      </c>
      <c r="HZ142" s="2251" t="str">
        <f>IF(HR142=HX142,IF(HS142=HY142,IF(HR147=HX142,IF(HS147=HY142,"Right","Wrong"),"Wrong"),"Wrong"),"Wrong")</f>
        <v>Right</v>
      </c>
      <c r="IA142" s="2250"/>
      <c r="IB142" s="2250"/>
      <c r="IC142" s="2250"/>
      <c r="ID142" s="2250"/>
      <c r="IE142" s="2250"/>
      <c r="IF142" s="2250"/>
      <c r="IG142" s="2250"/>
      <c r="IH142" s="2250"/>
      <c r="II142" s="2250"/>
      <c r="IJ142" s="2250"/>
      <c r="IK142" s="2250"/>
      <c r="IL142" s="2250"/>
      <c r="IN142" s="277"/>
      <c r="IO142" s="277"/>
    </row>
    <row r="143" spans="1:249" ht="21.95" customHeight="1" thickBot="1">
      <c r="A143" s="2275"/>
      <c r="B143" s="2250"/>
      <c r="C143" s="2250"/>
      <c r="D143" s="2294" t="s">
        <v>2266</v>
      </c>
      <c r="E143" s="2295">
        <f>E4</f>
        <v>0.75631178540277322</v>
      </c>
      <c r="F143" s="2250"/>
      <c r="G143" s="2250"/>
      <c r="H143" s="2250"/>
      <c r="I143" s="2250"/>
      <c r="J143" s="2250"/>
      <c r="K143" s="2250"/>
      <c r="L143" s="2250"/>
      <c r="M143" s="2250"/>
      <c r="N143" s="2250"/>
      <c r="O143" s="2250"/>
      <c r="P143" s="2250"/>
      <c r="Q143" s="2250"/>
      <c r="R143" s="2250"/>
      <c r="S143" s="2250"/>
      <c r="T143" s="2250"/>
      <c r="U143" s="2250"/>
      <c r="V143" s="4703" t="s">
        <v>646</v>
      </c>
      <c r="W143" s="4704"/>
      <c r="X143" s="2296" t="s">
        <v>706</v>
      </c>
      <c r="Y143" s="2297" t="s">
        <v>2185</v>
      </c>
      <c r="Z143" s="2250"/>
      <c r="AC143" s="2296" t="s">
        <v>706</v>
      </c>
      <c r="AD143" s="2297" t="s">
        <v>2185</v>
      </c>
      <c r="AF143" s="2363" t="s">
        <v>706</v>
      </c>
      <c r="AG143" s="2297" t="s">
        <v>2185</v>
      </c>
      <c r="AH143" s="2250"/>
      <c r="AI143" s="2298" t="str">
        <f>HYPERLINK("Z:\Marketing Common\Dhrumil\Selection\Elite_Gear_Box.pdf","Elite Gear Box")</f>
        <v>Elite Gear Box</v>
      </c>
      <c r="AJ143" s="2250"/>
      <c r="AK143" s="2250"/>
      <c r="AL143" s="2250"/>
      <c r="AM143" s="2291" t="s">
        <v>658</v>
      </c>
      <c r="AN143" s="2292">
        <f>AF202</f>
        <v>6.43</v>
      </c>
      <c r="AO143" s="2293">
        <f>AG202</f>
        <v>400</v>
      </c>
      <c r="AP143" s="2250" t="str">
        <f>IF(AD212="Right",IF(AD213="Right","Right","Wrong"),"Wrong")</f>
        <v>Right</v>
      </c>
      <c r="AQ143" s="2250"/>
      <c r="AR143" s="2251" t="str">
        <f>IF(AN143=AT143,IF(AN143=AN148,IF(AO143=AU143,IF(AO143=AO148,"Right","Wrong"),"Wrong"),"Wrong"),"Wrong")</f>
        <v>Right</v>
      </c>
      <c r="AS143" s="2291" t="s">
        <v>658</v>
      </c>
      <c r="AT143" s="2292">
        <f>C285</f>
        <v>6.43</v>
      </c>
      <c r="AU143" s="2293">
        <f>+C286</f>
        <v>400</v>
      </c>
      <c r="AV143" s="2251" t="str">
        <f>IF(AN143=AT143,IF(AO143=AU143,IF(AN148=AT143,IF(AO148=AU143,"Right","Wrong"),"Wrong"),"Wrong"),"Wrong")</f>
        <v>Right</v>
      </c>
      <c r="AW143" s="2250"/>
      <c r="AX143" s="2250"/>
      <c r="AY143" s="2250"/>
      <c r="AZ143" s="2250"/>
      <c r="BA143" s="2250"/>
      <c r="BB143" s="2250"/>
      <c r="BC143" s="2250"/>
      <c r="BD143" s="2250"/>
      <c r="BE143" s="2250"/>
      <c r="BF143" s="2276"/>
      <c r="BG143" s="2276"/>
      <c r="BH143" s="2250"/>
      <c r="BI143" s="2275"/>
      <c r="BJ143" s="2250"/>
      <c r="BK143" s="2250"/>
      <c r="BL143" s="2250"/>
      <c r="BM143" s="2250"/>
      <c r="BN143" s="2250"/>
      <c r="BO143" s="2250"/>
      <c r="BP143" s="2250"/>
      <c r="BQ143" s="2250"/>
      <c r="BR143" s="2250"/>
      <c r="BS143" s="2250"/>
      <c r="BT143" s="2250"/>
      <c r="BU143" s="2250"/>
      <c r="BV143" s="2250"/>
      <c r="BW143" s="2250"/>
      <c r="BX143" s="2250"/>
      <c r="BY143" s="2250"/>
      <c r="BZ143" s="2250"/>
      <c r="CA143" s="2250"/>
      <c r="CB143" s="4733" t="s">
        <v>646</v>
      </c>
      <c r="CC143" s="4734"/>
      <c r="CD143" s="284" t="str">
        <f>IF(CD140&lt;24,CI143,CL143)</f>
        <v>H.P.</v>
      </c>
      <c r="CE143" s="284" t="str">
        <f>IF(CD140&lt;24,CJ143,CM143)</f>
        <v>Frame</v>
      </c>
      <c r="CF143" s="2250"/>
      <c r="CG143" s="2250"/>
      <c r="CH143" s="2250"/>
      <c r="CI143" s="2296" t="s">
        <v>706</v>
      </c>
      <c r="CJ143" s="2297" t="s">
        <v>2185</v>
      </c>
      <c r="CK143" s="2250"/>
      <c r="CL143" s="2296" t="s">
        <v>706</v>
      </c>
      <c r="CM143" s="2297" t="s">
        <v>2185</v>
      </c>
      <c r="CN143" s="2298" t="str">
        <f>HYPERLINK("Z:\Marketing Common\Dhrumil\Selection\Elite_Gear_Box.pdf","Elite Gear Box")</f>
        <v>Elite Gear Box</v>
      </c>
      <c r="CR143" s="2250"/>
      <c r="CS143" s="2250"/>
      <c r="CT143" s="2250"/>
      <c r="CU143" s="2291" t="s">
        <v>658</v>
      </c>
      <c r="CV143" s="2292">
        <f>CN202</f>
        <v>5.87</v>
      </c>
      <c r="CW143" s="2293">
        <f>CO202</f>
        <v>400</v>
      </c>
      <c r="CX143" s="2250" t="str">
        <f>IF(CL212="Right",IF(CL213="Right","Right","Wrong"),"Wrong")</f>
        <v>Right</v>
      </c>
      <c r="CY143" s="2250"/>
      <c r="CZ143" s="2251" t="str">
        <f>IF(CV143=DB143,IF(CV143=CV148,IF(CW143=DC143,IF(CW143=CW148,"Right","Wrong"),"Wrong"),"Wrong"),"Wrong")</f>
        <v>Right</v>
      </c>
      <c r="DA143" s="2291" t="s">
        <v>658</v>
      </c>
      <c r="DB143" s="2292">
        <f>BK285</f>
        <v>5.87</v>
      </c>
      <c r="DC143" s="2293">
        <f>+BK286</f>
        <v>400</v>
      </c>
      <c r="DD143" s="2251" t="str">
        <f>IF(CV143=DB143,IF(CW143=DC143,IF(CV148=DB143,IF(CW148=DC143,"Right","Wrong"),"Wrong"),"Wrong"),"Wrong")</f>
        <v>Right</v>
      </c>
      <c r="DE143" s="2250"/>
      <c r="DF143" s="2250"/>
      <c r="DG143" s="2250"/>
      <c r="DH143" s="2250"/>
      <c r="DI143" s="2250"/>
      <c r="DJ143" s="2250"/>
      <c r="DK143" s="2250"/>
      <c r="DL143" s="2250"/>
      <c r="DM143" s="2250"/>
      <c r="DN143" s="2250"/>
      <c r="DO143" s="2250"/>
      <c r="DP143" s="2250"/>
      <c r="DQ143" s="2277"/>
      <c r="DR143" s="2277"/>
      <c r="DS143" s="277"/>
      <c r="DW143" s="2275"/>
      <c r="DX143" s="2250"/>
      <c r="DY143" s="2250"/>
      <c r="DZ143" s="2294" t="s">
        <v>2266</v>
      </c>
      <c r="EA143" s="2295">
        <f>EA4</f>
        <v>1.3354563802212776</v>
      </c>
      <c r="EB143" s="2250"/>
      <c r="EC143" s="2250"/>
      <c r="ED143" s="2250"/>
      <c r="EE143" s="2250"/>
      <c r="EF143" s="2250"/>
      <c r="EG143" s="2250"/>
      <c r="EH143" s="2250"/>
      <c r="EI143" s="2250"/>
      <c r="EJ143" s="2250"/>
      <c r="EK143" s="2250"/>
      <c r="EL143" s="2250"/>
      <c r="EM143" s="2250"/>
      <c r="EN143" s="2250"/>
      <c r="EO143" s="2250"/>
      <c r="EP143" s="2250"/>
      <c r="EQ143" s="2250"/>
      <c r="ER143" s="4703" t="s">
        <v>646</v>
      </c>
      <c r="ES143" s="4704"/>
      <c r="ET143" s="2296" t="s">
        <v>706</v>
      </c>
      <c r="EU143" s="2297" t="s">
        <v>2185</v>
      </c>
      <c r="EV143" s="2250"/>
      <c r="EY143" s="2296" t="s">
        <v>706</v>
      </c>
      <c r="EZ143" s="2297" t="s">
        <v>2185</v>
      </c>
      <c r="FB143" s="2363" t="s">
        <v>706</v>
      </c>
      <c r="FC143" s="2297" t="s">
        <v>2185</v>
      </c>
      <c r="FD143" s="2250"/>
      <c r="FE143" s="2298" t="str">
        <f>HYPERLINK("Z:\Marketing Common\Dhrumil\Selection\Elite_Gear_Box.pdf","Elite Gear Box")</f>
        <v>Elite Gear Box</v>
      </c>
      <c r="FF143" s="2250"/>
      <c r="FG143" s="2250"/>
      <c r="FH143" s="2250"/>
      <c r="FI143" s="2291" t="s">
        <v>658</v>
      </c>
      <c r="FJ143" s="2292">
        <f>FB202</f>
        <v>9.26</v>
      </c>
      <c r="FK143" s="2293">
        <f>FC202</f>
        <v>400</v>
      </c>
      <c r="FL143" s="2250" t="str">
        <f>IF(EZ212="Right",IF(EZ213="Right","Right","Wrong"),"Wrong")</f>
        <v>Right</v>
      </c>
      <c r="FM143" s="2250"/>
      <c r="FN143" s="2251" t="str">
        <f>IF(FJ143=FP143,IF(FJ143=FJ148,IF(FK143=FQ143,IF(FK143=FK148,"Right","Wrong"),"Wrong"),"Wrong"),"Wrong")</f>
        <v>Right</v>
      </c>
      <c r="FO143" s="2291" t="s">
        <v>658</v>
      </c>
      <c r="FP143" s="2292">
        <f>DY285</f>
        <v>9.26</v>
      </c>
      <c r="FQ143" s="2293">
        <f>+DY286</f>
        <v>400</v>
      </c>
      <c r="FR143" s="2251" t="str">
        <f>IF(FJ143=FP143,IF(FK143=FQ143,IF(FJ148=FP143,IF(FK148=FQ143,"Right","Wrong"),"Wrong"),"Wrong"),"Wrong")</f>
        <v>Right</v>
      </c>
      <c r="FS143" s="2250"/>
      <c r="FT143" s="2250"/>
      <c r="FU143" s="2250"/>
      <c r="FV143" s="2250"/>
      <c r="FW143" s="2250"/>
      <c r="FX143" s="2250"/>
      <c r="FY143" s="2250"/>
      <c r="FZ143" s="2250"/>
      <c r="GA143" s="2250"/>
      <c r="GB143" s="2276"/>
      <c r="GC143" s="2276"/>
      <c r="GD143" s="2250"/>
      <c r="GE143" s="2275"/>
      <c r="GF143" s="2250"/>
      <c r="GG143" s="2250"/>
      <c r="GH143" s="2250"/>
      <c r="GI143" s="2250"/>
      <c r="GJ143" s="2250"/>
      <c r="GK143" s="2250"/>
      <c r="GL143" s="2250"/>
      <c r="GM143" s="2250"/>
      <c r="GN143" s="2250"/>
      <c r="GO143" s="2250"/>
      <c r="GP143" s="2250"/>
      <c r="GQ143" s="2250"/>
      <c r="GR143" s="2250"/>
      <c r="GS143" s="2250"/>
      <c r="GT143" s="2250"/>
      <c r="GU143" s="2250"/>
      <c r="GV143" s="2250"/>
      <c r="GW143" s="2250"/>
      <c r="GX143" s="4733" t="s">
        <v>646</v>
      </c>
      <c r="GY143" s="4734"/>
      <c r="GZ143" s="284" t="str">
        <f>IF(GZ140&lt;24,HE143,HH143)</f>
        <v>H.P.</v>
      </c>
      <c r="HA143" s="284" t="str">
        <f>IF(GZ140&lt;24,HF143,HI143)</f>
        <v>Frame</v>
      </c>
      <c r="HB143" s="2250"/>
      <c r="HC143" s="2250"/>
      <c r="HD143" s="2250"/>
      <c r="HE143" s="2296" t="s">
        <v>706</v>
      </c>
      <c r="HF143" s="2297" t="s">
        <v>2185</v>
      </c>
      <c r="HG143" s="2250"/>
      <c r="HH143" s="2296" t="s">
        <v>706</v>
      </c>
      <c r="HI143" s="2297" t="s">
        <v>2185</v>
      </c>
      <c r="HJ143" s="2298" t="str">
        <f>HYPERLINK("Z:\Marketing Common\Dhrumil\Selection\Elite_Gear_Box.pdf","Elite Gear Box")</f>
        <v>Elite Gear Box</v>
      </c>
      <c r="HN143" s="2250"/>
      <c r="HO143" s="2250"/>
      <c r="HP143" s="2250"/>
      <c r="HQ143" s="2291" t="s">
        <v>658</v>
      </c>
      <c r="HR143" s="2292">
        <f>HJ202</f>
        <v>8.58</v>
      </c>
      <c r="HS143" s="2293">
        <f>HK202</f>
        <v>400</v>
      </c>
      <c r="HT143" s="2250" t="str">
        <f>IF(HH212="Right",IF(HH213="Right","Right","Wrong"),"Wrong")</f>
        <v>Right</v>
      </c>
      <c r="HU143" s="2250"/>
      <c r="HV143" s="2251" t="str">
        <f>IF(HR143=HX143,IF(HR143=HR148,IF(HS143=HY143,IF(HS143=HS148,"Right","Wrong"),"Wrong"),"Wrong"),"Wrong")</f>
        <v>Right</v>
      </c>
      <c r="HW143" s="2291" t="s">
        <v>658</v>
      </c>
      <c r="HX143" s="2292">
        <f>GG285</f>
        <v>8.58</v>
      </c>
      <c r="HY143" s="2293">
        <f>+GG286</f>
        <v>400</v>
      </c>
      <c r="HZ143" s="2251" t="str">
        <f>IF(HR143=HX143,IF(HS143=HY143,IF(HR148=HX143,IF(HS148=HY143,"Right","Wrong"),"Wrong"),"Wrong"),"Wrong")</f>
        <v>Right</v>
      </c>
      <c r="IA143" s="2250"/>
      <c r="IB143" s="2250"/>
      <c r="IC143" s="2250"/>
      <c r="ID143" s="2250"/>
      <c r="IE143" s="2250"/>
      <c r="IF143" s="2250"/>
      <c r="IG143" s="2250"/>
      <c r="IH143" s="2250"/>
      <c r="II143" s="2250"/>
      <c r="IJ143" s="2250"/>
      <c r="IK143" s="2250"/>
      <c r="IL143" s="2250"/>
      <c r="IN143" s="277"/>
      <c r="IO143" s="277"/>
    </row>
    <row r="144" spans="1:249" ht="21.95" customHeight="1" thickBot="1">
      <c r="A144" s="2275"/>
      <c r="B144" s="2250"/>
      <c r="C144" s="2250"/>
      <c r="D144" s="2294" t="s">
        <v>2265</v>
      </c>
      <c r="E144" s="2295">
        <f>E5</f>
        <v>72.382464000000013</v>
      </c>
      <c r="F144" s="2250"/>
      <c r="G144" s="2250"/>
      <c r="H144" s="2250"/>
      <c r="I144" s="2250"/>
      <c r="J144" s="2250"/>
      <c r="K144" s="2250"/>
      <c r="L144" s="2250"/>
      <c r="M144" s="2250"/>
      <c r="N144" s="2250"/>
      <c r="O144" s="2250"/>
      <c r="P144" s="2250"/>
      <c r="Q144" s="2250"/>
      <c r="R144" s="2250"/>
      <c r="S144" s="2250"/>
      <c r="T144" s="2250"/>
      <c r="U144" s="2250"/>
      <c r="V144" s="4707" t="s">
        <v>732</v>
      </c>
      <c r="W144" s="4708"/>
      <c r="X144" s="284">
        <f>IF(X141&lt;24,AC144,AF144)</f>
        <v>10.1</v>
      </c>
      <c r="Y144" s="284" t="str">
        <f>IF(X141&lt;24,AD144,AG144)</f>
        <v>3AH400</v>
      </c>
      <c r="Z144" s="2250"/>
      <c r="AC144" s="2299">
        <f>IFERROR(F355,0)</f>
        <v>0</v>
      </c>
      <c r="AD144" s="2299">
        <f>IFERROR("2AH"&amp;G355,0)</f>
        <v>0</v>
      </c>
      <c r="AE144" s="2364" t="e">
        <f>H355</f>
        <v>#N/A</v>
      </c>
      <c r="AF144" s="2299">
        <f t="shared" ref="AF144:AF147" si="51">+AN141</f>
        <v>10.1</v>
      </c>
      <c r="AG144" s="2300" t="str">
        <f>+"3AH"&amp;AO141</f>
        <v>3AH400</v>
      </c>
      <c r="AH144" s="2250" t="str">
        <f>IF(AT146="Right",IF(AR141="Right","Right","Wrong"),"Wrong")</f>
        <v>Right</v>
      </c>
      <c r="AI144" s="2365" t="str">
        <f>IF(X141&lt;24,AE144,AH144)</f>
        <v>Right</v>
      </c>
      <c r="AJ144" s="2250"/>
      <c r="AK144" s="2250"/>
      <c r="AL144" s="2250"/>
      <c r="AM144" s="2301" t="s">
        <v>662</v>
      </c>
      <c r="AN144" s="2302">
        <f>AT202</f>
        <v>3.86</v>
      </c>
      <c r="AO144" s="2303">
        <f>AU202</f>
        <v>400</v>
      </c>
      <c r="AP144" s="2250" t="str">
        <f>IF(AR212="Right",IF(AR213="Right","Right","Wrong"),"Wrong")</f>
        <v>Right</v>
      </c>
      <c r="AQ144" s="2250"/>
      <c r="AR144" s="2251" t="str">
        <f>IF(AN144=AT144,IF(AN144=AN149,IF(AO144=AU144,IF(AO144=AO149,"Right","Wrong"),"Wrong"),"Wrong"),"Wrong")</f>
        <v>Right</v>
      </c>
      <c r="AS144" s="2304" t="s">
        <v>662</v>
      </c>
      <c r="AT144" s="2302">
        <f>C307</f>
        <v>3.86</v>
      </c>
      <c r="AU144" s="2305">
        <f>+C308</f>
        <v>400</v>
      </c>
      <c r="AV144" s="2251" t="str">
        <f>IF(AN144=AT144,IF(AO144=AU144,IF(AN149=AT144,IF(AO149=AU144,"Right","Wrong"),"Wrong"),"Wrong"),"Wrong")</f>
        <v>Right</v>
      </c>
      <c r="AW144" s="2250"/>
      <c r="AX144" s="2250"/>
      <c r="AY144" s="2250"/>
      <c r="AZ144" s="2250"/>
      <c r="BA144" s="2250"/>
      <c r="BB144" s="2250"/>
      <c r="BC144" s="2250"/>
      <c r="BD144" s="2250"/>
      <c r="BE144" s="2250"/>
      <c r="BF144" s="2276"/>
      <c r="BG144" s="2276"/>
      <c r="BH144" s="2250"/>
      <c r="BI144" s="2275"/>
      <c r="BJ144" s="2250"/>
      <c r="BK144" s="2250"/>
      <c r="BL144" s="2250"/>
      <c r="BM144" s="2250"/>
      <c r="BN144" s="2250"/>
      <c r="BO144" s="2250"/>
      <c r="BP144" s="2250"/>
      <c r="BQ144" s="2250"/>
      <c r="BR144" s="2250"/>
      <c r="BS144" s="2250"/>
      <c r="BT144" s="2250"/>
      <c r="BU144" s="2250"/>
      <c r="BV144" s="2250"/>
      <c r="BW144" s="2250"/>
      <c r="BX144" s="2250"/>
      <c r="BY144" s="2250"/>
      <c r="BZ144" s="2250"/>
      <c r="CA144" s="2250"/>
      <c r="CB144" s="4673" t="s">
        <v>732</v>
      </c>
      <c r="CC144" s="4735"/>
      <c r="CD144" s="284">
        <f>IF(CD141&lt;24,CI144,CL144)</f>
        <v>9.31</v>
      </c>
      <c r="CE144" s="284" t="str">
        <f>IF(CD141&lt;24,CJ144,CM144)</f>
        <v>3AH400</v>
      </c>
      <c r="CF144" s="2250"/>
      <c r="CG144" s="2250"/>
      <c r="CH144" s="2250"/>
      <c r="CI144" s="2299">
        <f>IFERROR(BO355,0)</f>
        <v>0</v>
      </c>
      <c r="CJ144" s="2299">
        <f>IFERROR("2AH"&amp;BP355,0)</f>
        <v>0</v>
      </c>
      <c r="CK144" s="2250" t="e">
        <f>BQ355</f>
        <v>#N/A</v>
      </c>
      <c r="CL144" s="2299">
        <f>+CV141</f>
        <v>9.31</v>
      </c>
      <c r="CM144" s="2300" t="str">
        <f>+"3AH"&amp;CW141</f>
        <v>3AH400</v>
      </c>
      <c r="CN144" s="277" t="str">
        <f>IF(DB146="Right",IF(CZ141="Right","Right","Wrong"),"Wrong")</f>
        <v>Right</v>
      </c>
      <c r="CO144" s="2365" t="str">
        <f>IF(CD141&lt;24,CK144,CN144)</f>
        <v>Right</v>
      </c>
      <c r="CR144" s="2250"/>
      <c r="CS144" s="2250"/>
      <c r="CT144" s="2250"/>
      <c r="CU144" s="2301" t="s">
        <v>662</v>
      </c>
      <c r="CV144" s="2302">
        <f>DB202</f>
        <v>3.76</v>
      </c>
      <c r="CW144" s="2303">
        <f>DC202</f>
        <v>400</v>
      </c>
      <c r="CX144" s="2250" t="str">
        <f>IF(CZ212="Right",IF(CZ213="Right","Right","Wrong"),"Wrong")</f>
        <v>Right</v>
      </c>
      <c r="CY144" s="2250"/>
      <c r="CZ144" s="2251" t="str">
        <f>IF(CV144=DB144,IF(CV144=CV149,IF(CW144=DC144,IF(CW144=CW149,"Right","Wrong"),"Wrong"),"Wrong"),"Wrong")</f>
        <v>Right</v>
      </c>
      <c r="DA144" s="2304" t="s">
        <v>662</v>
      </c>
      <c r="DB144" s="2302">
        <f>BK307</f>
        <v>3.76</v>
      </c>
      <c r="DC144" s="2305">
        <f>+BK308</f>
        <v>400</v>
      </c>
      <c r="DD144" s="2251" t="str">
        <f>IF(CV144=DB144,IF(CW144=DC144,IF(CV149=DB144,IF(CW149=DC144,"Right","Wrong"),"Wrong"),"Wrong"),"Wrong")</f>
        <v>Right</v>
      </c>
      <c r="DE144" s="2250"/>
      <c r="DF144" s="2250"/>
      <c r="DG144" s="2250"/>
      <c r="DH144" s="2250"/>
      <c r="DI144" s="2250"/>
      <c r="DJ144" s="2250"/>
      <c r="DK144" s="2250"/>
      <c r="DL144" s="2250"/>
      <c r="DM144" s="2250"/>
      <c r="DN144" s="2250"/>
      <c r="DO144" s="2250"/>
      <c r="DP144" s="2250"/>
      <c r="DQ144" s="2277"/>
      <c r="DR144" s="2277"/>
      <c r="DS144" s="277"/>
      <c r="DW144" s="2275"/>
      <c r="DX144" s="2250"/>
      <c r="DY144" s="2250"/>
      <c r="DZ144" s="2294" t="s">
        <v>2265</v>
      </c>
      <c r="EA144" s="2295">
        <f>EA5</f>
        <v>45.239040000000003</v>
      </c>
      <c r="EB144" s="2250"/>
      <c r="EC144" s="2250"/>
      <c r="ED144" s="2250"/>
      <c r="EE144" s="2250"/>
      <c r="EF144" s="2250"/>
      <c r="EG144" s="2250"/>
      <c r="EH144" s="2250"/>
      <c r="EI144" s="2250"/>
      <c r="EJ144" s="2250"/>
      <c r="EK144" s="2250"/>
      <c r="EL144" s="2250"/>
      <c r="EM144" s="2250"/>
      <c r="EN144" s="2250"/>
      <c r="EO144" s="2250"/>
      <c r="EP144" s="2250"/>
      <c r="EQ144" s="2250"/>
      <c r="ER144" s="4707" t="s">
        <v>732</v>
      </c>
      <c r="ES144" s="4708"/>
      <c r="ET144" s="284">
        <f>IF(ET141&lt;24,EY144,FB144)</f>
        <v>14.95</v>
      </c>
      <c r="EU144" s="284" t="str">
        <f>IF(ET141&lt;24,EZ144,FC144)</f>
        <v>3AH400</v>
      </c>
      <c r="EV144" s="2250"/>
      <c r="EY144" s="2299">
        <f>IFERROR(EB355,0)</f>
        <v>0</v>
      </c>
      <c r="EZ144" s="2299">
        <f>IFERROR("2AH"&amp;EC355,0)</f>
        <v>0</v>
      </c>
      <c r="FA144" s="2364" t="e">
        <f>ED355</f>
        <v>#N/A</v>
      </c>
      <c r="FB144" s="2299">
        <f>+FJ141</f>
        <v>14.95</v>
      </c>
      <c r="FC144" s="2300" t="str">
        <f>+"3AH"&amp;FK141</f>
        <v>3AH400</v>
      </c>
      <c r="FD144" s="2250" t="str">
        <f>IF(FP146="Right",IF(FN141="Right","Right","Wrong"),"Wrong")</f>
        <v>Right</v>
      </c>
      <c r="FE144" s="2365" t="str">
        <f>IF(ET141&lt;24,FA144,FD144)</f>
        <v>Right</v>
      </c>
      <c r="FF144" s="2250"/>
      <c r="FG144" s="2250"/>
      <c r="FH144" s="2250"/>
      <c r="FI144" s="2301" t="s">
        <v>662</v>
      </c>
      <c r="FJ144" s="2302">
        <f>FP202</f>
        <v>5.35</v>
      </c>
      <c r="FK144" s="2303">
        <f>FQ202</f>
        <v>400</v>
      </c>
      <c r="FL144" s="2250" t="str">
        <f>IF(FN212="Right",IF(FN213="Right","Right","Wrong"),"Wrong")</f>
        <v>Right</v>
      </c>
      <c r="FM144" s="2250"/>
      <c r="FN144" s="2251" t="str">
        <f>IF(FJ144=FP144,IF(FJ144=FJ149,IF(FK144=FQ144,IF(FK144=FK149,"Right","Wrong"),"Wrong"),"Wrong"),"Wrong")</f>
        <v>Right</v>
      </c>
      <c r="FO144" s="2304" t="s">
        <v>662</v>
      </c>
      <c r="FP144" s="2302">
        <f>DY307</f>
        <v>5.35</v>
      </c>
      <c r="FQ144" s="2305">
        <f>+DY308</f>
        <v>400</v>
      </c>
      <c r="FR144" s="2251" t="str">
        <f>IF(FJ144=FP144,IF(FK144=FQ144,IF(FJ149=FP144,IF(FK149=FQ144,"Right","Wrong"),"Wrong"),"Wrong"),"Wrong")</f>
        <v>Right</v>
      </c>
      <c r="FS144" s="2250"/>
      <c r="FT144" s="2250"/>
      <c r="FU144" s="2250"/>
      <c r="FV144" s="2250"/>
      <c r="FW144" s="2250"/>
      <c r="FX144" s="2250"/>
      <c r="FY144" s="2250"/>
      <c r="FZ144" s="2250"/>
      <c r="GA144" s="2250"/>
      <c r="GB144" s="2276"/>
      <c r="GC144" s="2276"/>
      <c r="GD144" s="2250"/>
      <c r="GE144" s="2275"/>
      <c r="GF144" s="2250"/>
      <c r="GG144" s="2250"/>
      <c r="GH144" s="2250"/>
      <c r="GI144" s="2250"/>
      <c r="GJ144" s="2250"/>
      <c r="GK144" s="2250"/>
      <c r="GL144" s="2250"/>
      <c r="GM144" s="2250"/>
      <c r="GN144" s="2250"/>
      <c r="GO144" s="2250"/>
      <c r="GP144" s="2250"/>
      <c r="GQ144" s="2250"/>
      <c r="GR144" s="2250"/>
      <c r="GS144" s="2250"/>
      <c r="GT144" s="2250"/>
      <c r="GU144" s="2250"/>
      <c r="GV144" s="2250"/>
      <c r="GW144" s="2250"/>
      <c r="GX144" s="4673" t="s">
        <v>732</v>
      </c>
      <c r="GY144" s="4735"/>
      <c r="GZ144" s="284">
        <f>IF(GZ141&lt;24,HE144,HH144)</f>
        <v>13.66</v>
      </c>
      <c r="HA144" s="284" t="str">
        <f>IF(GZ141&lt;24,HF144,HI144)</f>
        <v>3AH400</v>
      </c>
      <c r="HB144" s="2250"/>
      <c r="HC144" s="2250"/>
      <c r="HD144" s="2250"/>
      <c r="HE144" s="2299">
        <f>IFERROR(GK355,0)</f>
        <v>0</v>
      </c>
      <c r="HF144" s="2299">
        <f>IFERROR("2AH"&amp;GL355,0)</f>
        <v>0</v>
      </c>
      <c r="HG144" s="2250" t="e">
        <f>GM355</f>
        <v>#N/A</v>
      </c>
      <c r="HH144" s="2299">
        <f>+HR141</f>
        <v>13.66</v>
      </c>
      <c r="HI144" s="2300" t="str">
        <f>+"3AH"&amp;HS141</f>
        <v>3AH400</v>
      </c>
      <c r="HJ144" s="277" t="str">
        <f>IF(HX146="Right",IF(HV141="Right","Right","Wrong"),"Wrong")</f>
        <v>Right</v>
      </c>
      <c r="HK144" s="2365" t="str">
        <f>IF(GZ141&lt;24,HG144,HJ144)</f>
        <v>Right</v>
      </c>
      <c r="HN144" s="2250"/>
      <c r="HO144" s="2250"/>
      <c r="HP144" s="2250"/>
      <c r="HQ144" s="2301" t="s">
        <v>662</v>
      </c>
      <c r="HR144" s="2302">
        <f>HX202</f>
        <v>5.25</v>
      </c>
      <c r="HS144" s="2303">
        <f>HY202</f>
        <v>400</v>
      </c>
      <c r="HT144" s="2250" t="str">
        <f>IF(HV212="Right",IF(HV213="Right","Right","Wrong"),"Wrong")</f>
        <v>Right</v>
      </c>
      <c r="HU144" s="2250"/>
      <c r="HV144" s="2251" t="str">
        <f>IF(HR144=HX144,IF(HR144=HR149,IF(HS144=HY144,IF(HS144=HS149,"Right","Wrong"),"Wrong"),"Wrong"),"Wrong")</f>
        <v>Right</v>
      </c>
      <c r="HW144" s="2304" t="s">
        <v>662</v>
      </c>
      <c r="HX144" s="2302">
        <f>GG307</f>
        <v>5.25</v>
      </c>
      <c r="HY144" s="2305">
        <f>+GG308</f>
        <v>400</v>
      </c>
      <c r="HZ144" s="2251" t="str">
        <f>IF(HR144=HX144,IF(HS144=HY144,IF(HR149=HX144,IF(HS149=HY144,"Right","Wrong"),"Wrong"),"Wrong"),"Wrong")</f>
        <v>Right</v>
      </c>
      <c r="IA144" s="2250"/>
      <c r="IB144" s="2250"/>
      <c r="IC144" s="2250"/>
      <c r="ID144" s="2250"/>
      <c r="IE144" s="2250"/>
      <c r="IF144" s="2250"/>
      <c r="IG144" s="2250"/>
      <c r="IH144" s="2250"/>
      <c r="II144" s="2250"/>
      <c r="IJ144" s="2250"/>
      <c r="IK144" s="2250"/>
      <c r="IL144" s="2250"/>
      <c r="IN144" s="277"/>
      <c r="IO144" s="277"/>
    </row>
    <row r="145" spans="1:249" ht="21.95" customHeight="1" thickBot="1">
      <c r="A145" s="2275"/>
      <c r="B145" s="2250"/>
      <c r="C145" s="2250"/>
      <c r="D145" s="2250"/>
      <c r="E145" s="2250"/>
      <c r="F145" s="2250"/>
      <c r="G145" s="2250"/>
      <c r="H145" s="2250"/>
      <c r="I145" s="2250"/>
      <c r="J145" s="2250"/>
      <c r="K145" s="2250"/>
      <c r="L145" s="2250"/>
      <c r="M145" s="2250"/>
      <c r="N145" s="2250"/>
      <c r="O145" s="2250"/>
      <c r="P145" s="2250"/>
      <c r="Q145" s="2250"/>
      <c r="R145" s="2250"/>
      <c r="S145" s="2250"/>
      <c r="T145" s="2250"/>
      <c r="U145" s="2250"/>
      <c r="V145" s="4675" t="s">
        <v>733</v>
      </c>
      <c r="W145" s="4676"/>
      <c r="X145" s="284">
        <f>IF(X141&lt;24,AC145,AF145)</f>
        <v>7.33</v>
      </c>
      <c r="Y145" s="284" t="str">
        <f>IF(X141&lt;24,AD145,AG145)</f>
        <v>3AH400</v>
      </c>
      <c r="Z145" s="2250"/>
      <c r="AC145" s="2299">
        <f t="shared" ref="AC145:AC147" si="52">IFERROR(F356,0)</f>
        <v>0</v>
      </c>
      <c r="AD145" s="2299">
        <f>IFERROR("2AH"&amp;G356,0)</f>
        <v>0</v>
      </c>
      <c r="AE145" s="2364" t="e">
        <f t="shared" ref="AE145:AE147" si="53">H356</f>
        <v>#N/A</v>
      </c>
      <c r="AF145" s="2306">
        <f t="shared" si="51"/>
        <v>7.33</v>
      </c>
      <c r="AG145" s="2300" t="str">
        <f>+"3AH"&amp;AO142</f>
        <v>3AH400</v>
      </c>
      <c r="AH145" s="2250" t="str">
        <f>IF(AT147="Right",IF(AR142="Right","Right","Wrong"),"Wrong")</f>
        <v>Right</v>
      </c>
      <c r="AI145" s="2365" t="str">
        <f>IF(X141&lt;24,AE145,AH145)</f>
        <v>Right</v>
      </c>
      <c r="AJ145" s="2250"/>
      <c r="AK145" s="2250"/>
      <c r="AL145" s="2279" t="s">
        <v>2235</v>
      </c>
      <c r="AM145" s="2280" t="s">
        <v>648</v>
      </c>
      <c r="AN145" s="2281" t="s">
        <v>706</v>
      </c>
      <c r="AO145" s="2282" t="s">
        <v>707</v>
      </c>
      <c r="AP145" s="2308" t="str">
        <f>IF(AP147="Right",IF(AP148="Right",IF(AP149="Right",IF(AP146="Right","Right","Wrong"),"Wrong"),"Wrong"),"Wrong")</f>
        <v>Right</v>
      </c>
      <c r="AQ145" s="2250"/>
      <c r="AR145" s="2250"/>
      <c r="AS145" s="2250"/>
      <c r="AT145" s="2284" t="str">
        <f>IF(AT147="Right",IF(AT148="Right",IF(AT149="Right",IF(AT146="Right","Right","Wrong"),"Wrong"),"Wrong"),"Wrong")</f>
        <v>Right</v>
      </c>
      <c r="AU145" s="2250"/>
      <c r="AV145" s="2250"/>
      <c r="AW145" s="2250"/>
      <c r="AX145" s="2250"/>
      <c r="AY145" s="2250"/>
      <c r="AZ145" s="2250"/>
      <c r="BA145" s="2250"/>
      <c r="BB145" s="2250"/>
      <c r="BC145" s="2250"/>
      <c r="BD145" s="2250"/>
      <c r="BE145" s="2250"/>
      <c r="BF145" s="2276"/>
      <c r="BG145" s="2276"/>
      <c r="BH145" s="2250"/>
      <c r="BI145" s="2275"/>
      <c r="BJ145" s="2250"/>
      <c r="BK145" s="2250"/>
      <c r="BL145" s="2250"/>
      <c r="BM145" s="2250"/>
      <c r="BN145" s="2250"/>
      <c r="BO145" s="2250"/>
      <c r="BP145" s="2250"/>
      <c r="BQ145" s="2250"/>
      <c r="BR145" s="2250"/>
      <c r="BS145" s="2250"/>
      <c r="BT145" s="2250"/>
      <c r="BU145" s="2250"/>
      <c r="BV145" s="2250"/>
      <c r="BW145" s="2250"/>
      <c r="BX145" s="2250"/>
      <c r="BY145" s="2250"/>
      <c r="BZ145" s="2250"/>
      <c r="CA145" s="2250"/>
      <c r="CB145" s="4675" t="s">
        <v>733</v>
      </c>
      <c r="CC145" s="4729"/>
      <c r="CD145" s="284">
        <f>IF(CD141&lt;24,CI145,CL145)</f>
        <v>6.73</v>
      </c>
      <c r="CE145" s="284" t="str">
        <f>IF(CD141&lt;24,CJ145,CM145)</f>
        <v>3AH400</v>
      </c>
      <c r="CF145" s="2250"/>
      <c r="CG145" s="2250"/>
      <c r="CH145" s="2250"/>
      <c r="CI145" s="2299">
        <f t="shared" ref="CI145:CI147" si="54">IFERROR(BO356,0)</f>
        <v>0</v>
      </c>
      <c r="CJ145" s="2299">
        <f>IFERROR("2AH"&amp;BP356,0)</f>
        <v>0</v>
      </c>
      <c r="CK145" s="2250" t="e">
        <f t="shared" ref="CK145" si="55">BQ356</f>
        <v>#N/A</v>
      </c>
      <c r="CL145" s="2306">
        <f t="shared" ref="CL145:CL147" si="56">+CV142</f>
        <v>6.73</v>
      </c>
      <c r="CM145" s="2300" t="str">
        <f t="shared" ref="CM145:CM147" si="57">+"3AH"&amp;CW142</f>
        <v>3AH400</v>
      </c>
      <c r="CN145" s="277" t="str">
        <f>IF(DB147="Right",IF(CZ142="Right","Right","Wrong"),"Wrong")</f>
        <v>Right</v>
      </c>
      <c r="CO145" s="2365" t="str">
        <f>IF(CD141&lt;24,CK145,CN145)</f>
        <v>Right</v>
      </c>
      <c r="CR145" s="2250"/>
      <c r="CS145" s="2250"/>
      <c r="CT145" s="2279" t="s">
        <v>2235</v>
      </c>
      <c r="CU145" s="2280" t="s">
        <v>648</v>
      </c>
      <c r="CV145" s="2281" t="s">
        <v>706</v>
      </c>
      <c r="CW145" s="2282" t="s">
        <v>707</v>
      </c>
      <c r="CX145" s="2308" t="str">
        <f>IF(CX147="Right",IF(CX148="Right",IF(CX149="Right",IF(CX146="Right","Right","Wrong"),"Wrong"),"Wrong"),"Wrong")</f>
        <v>Right</v>
      </c>
      <c r="CY145" s="2250"/>
      <c r="CZ145" s="2250"/>
      <c r="DA145" s="2250"/>
      <c r="DB145" s="2284" t="str">
        <f>IF(DB147="Right",IF(DB148="Right",IF(DB149="Right",IF(DB146="Right","Right","Wrong"),"Wrong"),"Wrong"),"Wrong")</f>
        <v>Right</v>
      </c>
      <c r="DC145" s="2250"/>
      <c r="DD145" s="2250"/>
      <c r="DE145" s="2250"/>
      <c r="DF145" s="2250"/>
      <c r="DG145" s="2250"/>
      <c r="DH145" s="2250"/>
      <c r="DI145" s="2250"/>
      <c r="DJ145" s="2250"/>
      <c r="DK145" s="2250"/>
      <c r="DL145" s="2250"/>
      <c r="DM145" s="2250"/>
      <c r="DN145" s="2250"/>
      <c r="DO145" s="2250"/>
      <c r="DP145" s="2250"/>
      <c r="DQ145" s="2277"/>
      <c r="DR145" s="2277"/>
      <c r="DS145" s="277"/>
      <c r="DW145" s="2275"/>
      <c r="DX145" s="2250"/>
      <c r="DY145" s="2250"/>
      <c r="DZ145" s="2250"/>
      <c r="EA145" s="2250"/>
      <c r="EB145" s="2250"/>
      <c r="EC145" s="2250"/>
      <c r="ED145" s="2250"/>
      <c r="EE145" s="2250"/>
      <c r="EF145" s="2250"/>
      <c r="EG145" s="2250"/>
      <c r="EH145" s="2250"/>
      <c r="EI145" s="2250"/>
      <c r="EJ145" s="2250"/>
      <c r="EK145" s="2250"/>
      <c r="EL145" s="2250"/>
      <c r="EM145" s="2250"/>
      <c r="EN145" s="2250"/>
      <c r="EO145" s="2250"/>
      <c r="EP145" s="2250"/>
      <c r="EQ145" s="2250"/>
      <c r="ER145" s="4675" t="s">
        <v>733</v>
      </c>
      <c r="ES145" s="4676"/>
      <c r="ET145" s="284">
        <f>IF(ET141&lt;24,EY145,FB145)</f>
        <v>10.79</v>
      </c>
      <c r="EU145" s="284" t="str">
        <f>IF(ET141&lt;24,EZ145,FC145)</f>
        <v>3AH400</v>
      </c>
      <c r="EV145" s="2250"/>
      <c r="EY145" s="2299">
        <f>IFERROR(EB356,0)</f>
        <v>0</v>
      </c>
      <c r="EZ145" s="2299">
        <f>IFERROR("2AH"&amp;EC356,0)</f>
        <v>0</v>
      </c>
      <c r="FA145" s="2364" t="e">
        <f t="shared" ref="FA145:FA147" si="58">ED356</f>
        <v>#N/A</v>
      </c>
      <c r="FB145" s="2306">
        <f>+FJ142</f>
        <v>10.79</v>
      </c>
      <c r="FC145" s="2300" t="str">
        <f>+"3AH"&amp;FK142</f>
        <v>3AH400</v>
      </c>
      <c r="FD145" s="2250" t="str">
        <f>IF(FP147="Right",IF(FN142="Right","Right","Wrong"),"Wrong")</f>
        <v>Right</v>
      </c>
      <c r="FE145" s="2365" t="str">
        <f>IF(ET141&lt;24,FA145,FD145)</f>
        <v>Right</v>
      </c>
      <c r="FF145" s="2250"/>
      <c r="FG145" s="2250"/>
      <c r="FH145" s="2279" t="s">
        <v>2235</v>
      </c>
      <c r="FI145" s="2280" t="s">
        <v>648</v>
      </c>
      <c r="FJ145" s="2281" t="s">
        <v>706</v>
      </c>
      <c r="FK145" s="2282" t="s">
        <v>707</v>
      </c>
      <c r="FL145" s="2308" t="str">
        <f>IF(FL147="Right",IF(FL148="Right",IF(FL149="Right",IF(FL146="Right","Right","Wrong"),"Wrong"),"Wrong"),"Wrong")</f>
        <v>Right</v>
      </c>
      <c r="FM145" s="2250"/>
      <c r="FN145" s="2250"/>
      <c r="FO145" s="2250"/>
      <c r="FP145" s="2284" t="str">
        <f>IF(FP147="Right",IF(FP148="Right",IF(FP149="Right",IF(FP146="Right","Right","Wrong"),"Wrong"),"Wrong"),"Wrong")</f>
        <v>Right</v>
      </c>
      <c r="FQ145" s="2250"/>
      <c r="FR145" s="2250"/>
      <c r="FS145" s="2250"/>
      <c r="FT145" s="2250"/>
      <c r="FU145" s="2250"/>
      <c r="FV145" s="2250"/>
      <c r="FW145" s="2250"/>
      <c r="FX145" s="2250"/>
      <c r="FY145" s="2250"/>
      <c r="FZ145" s="2250"/>
      <c r="GA145" s="2250"/>
      <c r="GB145" s="2276"/>
      <c r="GC145" s="2276"/>
      <c r="GD145" s="2250"/>
      <c r="GE145" s="2275"/>
      <c r="GF145" s="2250"/>
      <c r="GG145" s="2250"/>
      <c r="GH145" s="2250"/>
      <c r="GI145" s="2250"/>
      <c r="GJ145" s="2250"/>
      <c r="GK145" s="2250"/>
      <c r="GL145" s="2250"/>
      <c r="GM145" s="2250"/>
      <c r="GN145" s="2250"/>
      <c r="GO145" s="2250"/>
      <c r="GP145" s="2250"/>
      <c r="GQ145" s="2250"/>
      <c r="GR145" s="2250"/>
      <c r="GS145" s="2250"/>
      <c r="GT145" s="2250"/>
      <c r="GU145" s="2250"/>
      <c r="GV145" s="2250"/>
      <c r="GW145" s="2250"/>
      <c r="GX145" s="4675" t="s">
        <v>733</v>
      </c>
      <c r="GY145" s="4729"/>
      <c r="GZ145" s="284">
        <f>IF(GZ141&lt;24,HE145,HH145)</f>
        <v>9.8000000000000007</v>
      </c>
      <c r="HA145" s="284" t="str">
        <f>IF(GZ141&lt;24,HF145,HI145)</f>
        <v>3AH400</v>
      </c>
      <c r="HB145" s="2250"/>
      <c r="HC145" s="2250"/>
      <c r="HD145" s="2250"/>
      <c r="HE145" s="2299">
        <f>IFERROR(GK356,0)</f>
        <v>0</v>
      </c>
      <c r="HF145" s="2299">
        <f>IFERROR("2AH"&amp;GL356,0)</f>
        <v>0</v>
      </c>
      <c r="HG145" s="2250" t="e">
        <f>GM356</f>
        <v>#N/A</v>
      </c>
      <c r="HH145" s="2306">
        <f>+HR142</f>
        <v>9.8000000000000007</v>
      </c>
      <c r="HI145" s="2300" t="str">
        <f>+"3AH"&amp;HS142</f>
        <v>3AH400</v>
      </c>
      <c r="HJ145" s="277" t="str">
        <f>IF(HX147="Right",IF(HV142="Right","Right","Wrong"),"Wrong")</f>
        <v>Right</v>
      </c>
      <c r="HK145" s="2365" t="str">
        <f>IF(GZ141&lt;24,HG145,HJ145)</f>
        <v>Right</v>
      </c>
      <c r="HN145" s="2250"/>
      <c r="HO145" s="2250"/>
      <c r="HP145" s="2279" t="s">
        <v>2235</v>
      </c>
      <c r="HQ145" s="2280" t="s">
        <v>648</v>
      </c>
      <c r="HR145" s="2281" t="s">
        <v>706</v>
      </c>
      <c r="HS145" s="2282" t="s">
        <v>707</v>
      </c>
      <c r="HT145" s="2308" t="str">
        <f>IF(HT147="Right",IF(HT148="Right",IF(HT149="Right",IF(HT146="Right","Right","Wrong"),"Wrong"),"Wrong"),"Wrong")</f>
        <v>Right</v>
      </c>
      <c r="HU145" s="2250"/>
      <c r="HV145" s="2250"/>
      <c r="HW145" s="2250"/>
      <c r="HX145" s="2284" t="str">
        <f>IF(HX147="Right",IF(HX148="Right",IF(HX149="Right",IF(HX146="Right","Right","Wrong"),"Wrong"),"Wrong"),"Wrong")</f>
        <v>Right</v>
      </c>
      <c r="HY145" s="2250"/>
      <c r="HZ145" s="2250"/>
      <c r="IA145" s="2250"/>
      <c r="IB145" s="2250"/>
      <c r="IC145" s="2250"/>
      <c r="ID145" s="2250"/>
      <c r="IE145" s="2250"/>
      <c r="IF145" s="2250"/>
      <c r="IG145" s="2250"/>
      <c r="IH145" s="2250"/>
      <c r="II145" s="2250"/>
      <c r="IJ145" s="2250"/>
      <c r="IK145" s="2250"/>
      <c r="IL145" s="2250"/>
      <c r="IN145" s="277"/>
      <c r="IO145" s="277"/>
    </row>
    <row r="146" spans="1:249" ht="21.95" customHeight="1" thickBot="1">
      <c r="A146" s="2275"/>
      <c r="B146" s="2250"/>
      <c r="C146" s="2250"/>
      <c r="D146" s="2309" t="s">
        <v>646</v>
      </c>
      <c r="E146" s="2310" t="s">
        <v>2171</v>
      </c>
      <c r="F146" s="2311" t="s">
        <v>2172</v>
      </c>
      <c r="G146" s="2312" t="s">
        <v>2175</v>
      </c>
      <c r="H146" s="2313" t="s">
        <v>2176</v>
      </c>
      <c r="I146" s="2250"/>
      <c r="J146" s="2250"/>
      <c r="K146" s="2250"/>
      <c r="L146" s="2250"/>
      <c r="M146" s="2250"/>
      <c r="N146" s="2250"/>
      <c r="O146" s="2250"/>
      <c r="P146" s="2250"/>
      <c r="Q146" s="2250"/>
      <c r="R146" s="2250"/>
      <c r="S146" s="2250"/>
      <c r="T146" s="2250"/>
      <c r="U146" s="2250"/>
      <c r="V146" s="4675" t="s">
        <v>734</v>
      </c>
      <c r="W146" s="4676"/>
      <c r="X146" s="284">
        <f>IF(X141&lt;24,AC146,AF146)</f>
        <v>6.43</v>
      </c>
      <c r="Y146" s="284" t="str">
        <f>IF(X141&lt;24,AD146,AG146)</f>
        <v>3AH400</v>
      </c>
      <c r="Z146" s="2250"/>
      <c r="AC146" s="2299">
        <f t="shared" si="52"/>
        <v>0</v>
      </c>
      <c r="AD146" s="2299">
        <f>IFERROR("2AH"&amp;G357,0)</f>
        <v>0</v>
      </c>
      <c r="AE146" s="2364" t="e">
        <f t="shared" si="53"/>
        <v>#N/A</v>
      </c>
      <c r="AF146" s="2306">
        <f t="shared" si="51"/>
        <v>6.43</v>
      </c>
      <c r="AG146" s="2300" t="str">
        <f t="shared" ref="AG146:AG147" si="59">+"3AH"&amp;AO143</f>
        <v>3AH400</v>
      </c>
      <c r="AH146" s="2250" t="str">
        <f>IF(AT148="Right",IF(AR143="Right","Right","Wrong"),"Wrong")</f>
        <v>Right</v>
      </c>
      <c r="AI146" s="2365" t="str">
        <f>IF(X141&lt;24,AE146,AH146)</f>
        <v>Right</v>
      </c>
      <c r="AJ146" s="2250"/>
      <c r="AK146" s="2250"/>
      <c r="AL146" s="2250"/>
      <c r="AM146" s="2288" t="s">
        <v>651</v>
      </c>
      <c r="AN146" s="2289">
        <f>AH239</f>
        <v>10.1</v>
      </c>
      <c r="AO146" s="2290">
        <f>AI239</f>
        <v>400</v>
      </c>
      <c r="AP146" s="2275" t="str">
        <f>E239</f>
        <v>Right</v>
      </c>
      <c r="AQ146" s="2250"/>
      <c r="AR146" s="2250"/>
      <c r="AS146" s="2250"/>
      <c r="AT146" s="2314" t="str">
        <f>IF(AP141="Right",IF(AV141="Right",IF(AP146="Right","Right","Wrong"),"Wrong"),"Wrong")</f>
        <v>Right</v>
      </c>
      <c r="AU146" s="2250"/>
      <c r="AV146" s="2250"/>
      <c r="AW146" s="2250"/>
      <c r="AX146" s="2250"/>
      <c r="AY146" s="2250"/>
      <c r="AZ146" s="2250"/>
      <c r="BA146" s="2250"/>
      <c r="BB146" s="2250"/>
      <c r="BC146" s="2250"/>
      <c r="BD146" s="2250"/>
      <c r="BE146" s="2250"/>
      <c r="BF146" s="2276"/>
      <c r="BG146" s="2276"/>
      <c r="BH146" s="2250"/>
      <c r="BI146" s="2275"/>
      <c r="BJ146" s="2250"/>
      <c r="BK146" s="2250"/>
      <c r="BL146" s="2250"/>
      <c r="BM146" s="2250"/>
      <c r="BN146" s="2250"/>
      <c r="BO146" s="2250"/>
      <c r="BP146" s="2250"/>
      <c r="BQ146" s="2250"/>
      <c r="BR146" s="2250"/>
      <c r="BS146" s="2250"/>
      <c r="BT146" s="2250"/>
      <c r="BU146" s="2250"/>
      <c r="BV146" s="2250"/>
      <c r="BW146" s="2250"/>
      <c r="BX146" s="2250"/>
      <c r="BY146" s="2250"/>
      <c r="BZ146" s="2250"/>
      <c r="CA146" s="2250"/>
      <c r="CB146" s="4675" t="s">
        <v>734</v>
      </c>
      <c r="CC146" s="4729"/>
      <c r="CD146" s="284">
        <f>IF(CD141&lt;24,CI146,CL146)</f>
        <v>5.87</v>
      </c>
      <c r="CE146" s="284" t="str">
        <f>IF(CD141&lt;24,CJ146,CM146)</f>
        <v>3AH400</v>
      </c>
      <c r="CF146" s="2250"/>
      <c r="CG146" s="2250"/>
      <c r="CH146" s="2250"/>
      <c r="CI146" s="2299">
        <f t="shared" si="54"/>
        <v>0</v>
      </c>
      <c r="CJ146" s="2299">
        <f>IFERROR("2AH"&amp;BP357,0)</f>
        <v>0</v>
      </c>
      <c r="CK146" s="2250" t="e">
        <f>BQ357</f>
        <v>#N/A</v>
      </c>
      <c r="CL146" s="2306">
        <f t="shared" si="56"/>
        <v>5.87</v>
      </c>
      <c r="CM146" s="2300" t="str">
        <f t="shared" si="57"/>
        <v>3AH400</v>
      </c>
      <c r="CN146" s="277" t="str">
        <f>IF(DB148="Right",IF(CZ143="Right","Right","Wrong"),"Wrong")</f>
        <v>Right</v>
      </c>
      <c r="CO146" s="2365" t="str">
        <f>IF(CD141&lt;24,CK146,CN146)</f>
        <v>Right</v>
      </c>
      <c r="CR146" s="2250"/>
      <c r="CS146" s="2250"/>
      <c r="CT146" s="2250"/>
      <c r="CU146" s="2288" t="s">
        <v>651</v>
      </c>
      <c r="CV146" s="2289">
        <f>CP239</f>
        <v>9.31</v>
      </c>
      <c r="CW146" s="2290">
        <f>CQ239</f>
        <v>400</v>
      </c>
      <c r="CX146" s="2275" t="str">
        <f>BM239</f>
        <v>Right</v>
      </c>
      <c r="CY146" s="2250"/>
      <c r="CZ146" s="2250"/>
      <c r="DA146" s="2250"/>
      <c r="DB146" s="2314" t="str">
        <f>IF(CX141="Right",IF(DD141="Right",IF(CX146="Right","Right","Wrong"),"Wrong"),"Wrong")</f>
        <v>Right</v>
      </c>
      <c r="DC146" s="2250"/>
      <c r="DD146" s="2250"/>
      <c r="DE146" s="2250"/>
      <c r="DF146" s="2250"/>
      <c r="DG146" s="2250"/>
      <c r="DH146" s="2250"/>
      <c r="DI146" s="2250"/>
      <c r="DJ146" s="2250"/>
      <c r="DK146" s="2250"/>
      <c r="DL146" s="2250"/>
      <c r="DM146" s="2250"/>
      <c r="DN146" s="2250"/>
      <c r="DO146" s="2250"/>
      <c r="DP146" s="2250"/>
      <c r="DQ146" s="2277"/>
      <c r="DR146" s="2277"/>
      <c r="DS146" s="277"/>
      <c r="DW146" s="2275"/>
      <c r="DX146" s="2250"/>
      <c r="DY146" s="2250"/>
      <c r="DZ146" s="2309" t="s">
        <v>646</v>
      </c>
      <c r="EA146" s="2310" t="s">
        <v>2171</v>
      </c>
      <c r="EB146" s="2311" t="s">
        <v>2172</v>
      </c>
      <c r="EC146" s="2312" t="s">
        <v>2175</v>
      </c>
      <c r="ED146" s="2313" t="s">
        <v>2176</v>
      </c>
      <c r="EE146" s="2250"/>
      <c r="EF146" s="2250"/>
      <c r="EG146" s="2250"/>
      <c r="EH146" s="2250"/>
      <c r="EI146" s="2250"/>
      <c r="EJ146" s="2250"/>
      <c r="EK146" s="2250"/>
      <c r="EL146" s="2250"/>
      <c r="EM146" s="2250"/>
      <c r="EN146" s="2250"/>
      <c r="EO146" s="2250"/>
      <c r="EP146" s="2250"/>
      <c r="EQ146" s="2250"/>
      <c r="ER146" s="4675" t="s">
        <v>734</v>
      </c>
      <c r="ES146" s="4676"/>
      <c r="ET146" s="284">
        <f>IF(ET141&lt;24,EY146,FB146)</f>
        <v>9.26</v>
      </c>
      <c r="EU146" s="284" t="str">
        <f>IF(ET141&lt;24,EZ146,FC146)</f>
        <v>3AH400</v>
      </c>
      <c r="EV146" s="2250"/>
      <c r="EY146" s="2299">
        <f>IFERROR(EB357,0)</f>
        <v>0</v>
      </c>
      <c r="EZ146" s="2299">
        <f>IFERROR("2AH"&amp;EC357,0)</f>
        <v>0</v>
      </c>
      <c r="FA146" s="2364" t="e">
        <f t="shared" si="58"/>
        <v>#N/A</v>
      </c>
      <c r="FB146" s="2306">
        <f>+FJ143</f>
        <v>9.26</v>
      </c>
      <c r="FC146" s="2300" t="str">
        <f>+"3AH"&amp;FK143</f>
        <v>3AH400</v>
      </c>
      <c r="FD146" s="2250" t="str">
        <f>IF(FP148="Right",IF(FN143="Right","Right","Wrong"),"Wrong")</f>
        <v>Right</v>
      </c>
      <c r="FE146" s="2365" t="str">
        <f>IF(ET141&lt;24,FA146,FD146)</f>
        <v>Right</v>
      </c>
      <c r="FF146" s="2250"/>
      <c r="FG146" s="2250"/>
      <c r="FH146" s="2250"/>
      <c r="FI146" s="2288" t="s">
        <v>651</v>
      </c>
      <c r="FJ146" s="2289">
        <f>FD239</f>
        <v>14.95</v>
      </c>
      <c r="FK146" s="2290">
        <f>FE239</f>
        <v>400</v>
      </c>
      <c r="FL146" s="2275" t="str">
        <f>EA239</f>
        <v>Right</v>
      </c>
      <c r="FM146" s="2250"/>
      <c r="FN146" s="2250"/>
      <c r="FO146" s="2250"/>
      <c r="FP146" s="2314" t="str">
        <f>IF(FL141="Right",IF(FR141="Right",IF(FL146="Right","Right","Wrong"),"Wrong"),"Wrong")</f>
        <v>Right</v>
      </c>
      <c r="FQ146" s="2250"/>
      <c r="FR146" s="2250"/>
      <c r="FS146" s="2250"/>
      <c r="FT146" s="2250"/>
      <c r="FU146" s="2250"/>
      <c r="FV146" s="2250"/>
      <c r="FW146" s="2250"/>
      <c r="FX146" s="2250"/>
      <c r="FY146" s="2250"/>
      <c r="FZ146" s="2250"/>
      <c r="GA146" s="2250"/>
      <c r="GB146" s="2276"/>
      <c r="GC146" s="2276"/>
      <c r="GD146" s="2250"/>
      <c r="GE146" s="2275"/>
      <c r="GF146" s="2250"/>
      <c r="GG146" s="2250"/>
      <c r="GH146" s="2250"/>
      <c r="GI146" s="2250"/>
      <c r="GJ146" s="2250"/>
      <c r="GK146" s="2250"/>
      <c r="GL146" s="2250"/>
      <c r="GM146" s="2250"/>
      <c r="GN146" s="2250"/>
      <c r="GO146" s="2250"/>
      <c r="GP146" s="2250"/>
      <c r="GQ146" s="2250"/>
      <c r="GR146" s="2250"/>
      <c r="GS146" s="2250"/>
      <c r="GT146" s="2250"/>
      <c r="GU146" s="2250"/>
      <c r="GV146" s="2250"/>
      <c r="GW146" s="2250"/>
      <c r="GX146" s="4675" t="s">
        <v>734</v>
      </c>
      <c r="GY146" s="4729"/>
      <c r="GZ146" s="284">
        <f>IF(GZ141&lt;24,HE146,HH146)</f>
        <v>8.58</v>
      </c>
      <c r="HA146" s="284" t="str">
        <f>IF(GZ141&lt;24,HF146,HI146)</f>
        <v>3AH400</v>
      </c>
      <c r="HB146" s="2250"/>
      <c r="HC146" s="2250"/>
      <c r="HD146" s="2250"/>
      <c r="HE146" s="2299">
        <f>IFERROR(GK357,0)</f>
        <v>0</v>
      </c>
      <c r="HF146" s="2299">
        <f>IFERROR("2AH"&amp;GL357,0)</f>
        <v>0</v>
      </c>
      <c r="HG146" s="2250" t="e">
        <f>GM357</f>
        <v>#N/A</v>
      </c>
      <c r="HH146" s="2306">
        <f>+HR143</f>
        <v>8.58</v>
      </c>
      <c r="HI146" s="2300" t="str">
        <f>+"3AH"&amp;HS143</f>
        <v>3AH400</v>
      </c>
      <c r="HJ146" s="277" t="str">
        <f>IF(HX148="Right",IF(HV143="Right","Right","Wrong"),"Wrong")</f>
        <v>Right</v>
      </c>
      <c r="HK146" s="2365" t="str">
        <f>IF(GZ141&lt;24,HG146,HJ146)</f>
        <v>Right</v>
      </c>
      <c r="HN146" s="2250"/>
      <c r="HO146" s="2250"/>
      <c r="HP146" s="2250"/>
      <c r="HQ146" s="2288" t="s">
        <v>651</v>
      </c>
      <c r="HR146" s="2289">
        <f>HL239</f>
        <v>13.66</v>
      </c>
      <c r="HS146" s="2290">
        <f>HM239</f>
        <v>400</v>
      </c>
      <c r="HT146" s="2275" t="str">
        <f>GI239</f>
        <v>Right</v>
      </c>
      <c r="HU146" s="2250"/>
      <c r="HV146" s="2250"/>
      <c r="HW146" s="2250"/>
      <c r="HX146" s="2314" t="str">
        <f>IF(HT141="Right",IF(HZ141="Right",IF(HT146="Right","Right","Wrong"),"Wrong"),"Wrong")</f>
        <v>Right</v>
      </c>
      <c r="HY146" s="2250"/>
      <c r="HZ146" s="2250"/>
      <c r="IA146" s="2250"/>
      <c r="IB146" s="2250"/>
      <c r="IC146" s="2250"/>
      <c r="ID146" s="2250"/>
      <c r="IE146" s="2250"/>
      <c r="IF146" s="2250"/>
      <c r="IG146" s="2250"/>
      <c r="IH146" s="2250"/>
      <c r="II146" s="2250"/>
      <c r="IJ146" s="2250"/>
      <c r="IK146" s="2250"/>
      <c r="IL146" s="2250"/>
      <c r="IN146" s="277"/>
      <c r="IO146" s="277"/>
    </row>
    <row r="147" spans="1:249" ht="21.95" customHeight="1" thickBot="1">
      <c r="A147" s="2275"/>
      <c r="B147" s="2250"/>
      <c r="C147" s="2250"/>
      <c r="D147" s="2315" t="s">
        <v>732</v>
      </c>
      <c r="E147" s="2366">
        <f t="shared" ref="E147:F150" si="60">X144</f>
        <v>10.1</v>
      </c>
      <c r="F147" s="2317" t="str">
        <f>Y144</f>
        <v>3AH400</v>
      </c>
      <c r="G147" s="2317">
        <f>CD144</f>
        <v>9.31</v>
      </c>
      <c r="H147" s="2317" t="str">
        <f>CE144</f>
        <v>3AH400</v>
      </c>
      <c r="I147" s="2250"/>
      <c r="J147" s="2250"/>
      <c r="K147" s="2250"/>
      <c r="L147" s="2250"/>
      <c r="M147" s="2250"/>
      <c r="N147" s="2250"/>
      <c r="O147" s="2250"/>
      <c r="P147" s="2250"/>
      <c r="Q147" s="2250"/>
      <c r="R147" s="2250"/>
      <c r="S147" s="2250"/>
      <c r="T147" s="2250"/>
      <c r="U147" s="2250"/>
      <c r="V147" s="4677" t="s">
        <v>735</v>
      </c>
      <c r="W147" s="4678"/>
      <c r="X147" s="2367">
        <f>IF(X141&lt;24,AC147,AF147)</f>
        <v>3.86</v>
      </c>
      <c r="Y147" s="284" t="str">
        <f>IF(X141&lt;24,AD147,AG147)</f>
        <v>3AH400</v>
      </c>
      <c r="Z147" s="2250"/>
      <c r="AC147" s="2299">
        <f t="shared" si="52"/>
        <v>0</v>
      </c>
      <c r="AD147" s="2299">
        <f>IFERROR("2AH"&amp;G358,0)</f>
        <v>0</v>
      </c>
      <c r="AE147" s="2364" t="e">
        <f t="shared" si="53"/>
        <v>#N/A</v>
      </c>
      <c r="AF147" s="2318">
        <f t="shared" si="51"/>
        <v>3.86</v>
      </c>
      <c r="AG147" s="2300" t="str">
        <f t="shared" si="59"/>
        <v>3AH400</v>
      </c>
      <c r="AH147" s="2250" t="str">
        <f>IF(AT149="Right",IF(AR144="Right","Right","Wrong"),"Wrong")</f>
        <v>Right</v>
      </c>
      <c r="AI147" s="2365" t="str">
        <f>IF(X141&lt;24,AE147,AH147)</f>
        <v>Right</v>
      </c>
      <c r="AJ147" s="2250"/>
      <c r="AK147" s="2250"/>
      <c r="AL147" s="2250"/>
      <c r="AM147" s="2291" t="s">
        <v>654</v>
      </c>
      <c r="AN147" s="2292">
        <f>AH261</f>
        <v>7.33</v>
      </c>
      <c r="AO147" s="2293">
        <f>AI261</f>
        <v>400</v>
      </c>
      <c r="AP147" s="2275" t="str">
        <f>E261</f>
        <v>Right</v>
      </c>
      <c r="AQ147" s="2250"/>
      <c r="AR147" s="2250"/>
      <c r="AS147" s="2250"/>
      <c r="AT147" s="2320" t="str">
        <f>IF(AP142="Right",IF(AV142="Right",IF(AP147="Right","Right","Wrong"),"Wrong"),"Wrong")</f>
        <v>Right</v>
      </c>
      <c r="AU147" s="2250"/>
      <c r="AV147" s="2250"/>
      <c r="AW147" s="2250"/>
      <c r="AX147" s="2250"/>
      <c r="AY147" s="2250"/>
      <c r="AZ147" s="2250"/>
      <c r="BA147" s="2250"/>
      <c r="BB147" s="2250"/>
      <c r="BC147" s="2250"/>
      <c r="BD147" s="2250"/>
      <c r="BE147" s="2250"/>
      <c r="BF147" s="2276"/>
      <c r="BG147" s="2276"/>
      <c r="BH147" s="2250"/>
      <c r="BI147" s="2275"/>
      <c r="BJ147" s="2250"/>
      <c r="BK147" s="2250"/>
      <c r="BL147" s="2250"/>
      <c r="BM147" s="2250"/>
      <c r="BN147" s="2250"/>
      <c r="BO147" s="2250"/>
      <c r="BP147" s="2250"/>
      <c r="BQ147" s="2250"/>
      <c r="BR147" s="2250"/>
      <c r="BS147" s="2250"/>
      <c r="BT147" s="2250"/>
      <c r="BU147" s="2250"/>
      <c r="BV147" s="2250"/>
      <c r="BW147" s="2250"/>
      <c r="BX147" s="2250"/>
      <c r="BY147" s="2250"/>
      <c r="BZ147" s="2250"/>
      <c r="CA147" s="2250"/>
      <c r="CB147" s="4677" t="s">
        <v>735</v>
      </c>
      <c r="CC147" s="4730"/>
      <c r="CD147" s="2367">
        <f>IF(CD141&lt;24,CI147,CL147)</f>
        <v>3.76</v>
      </c>
      <c r="CE147" s="284" t="str">
        <f>IF(CD141&lt;24,CJ147,CM147)</f>
        <v>3AH400</v>
      </c>
      <c r="CF147" s="2250"/>
      <c r="CG147" s="2250"/>
      <c r="CH147" s="2250"/>
      <c r="CI147" s="2299">
        <f t="shared" si="54"/>
        <v>0</v>
      </c>
      <c r="CJ147" s="2299">
        <f>IFERROR("2AH"&amp;BP358,0)</f>
        <v>0</v>
      </c>
      <c r="CK147" s="2250" t="e">
        <f>BQ358</f>
        <v>#N/A</v>
      </c>
      <c r="CL147" s="2318">
        <f t="shared" si="56"/>
        <v>3.76</v>
      </c>
      <c r="CM147" s="2300" t="str">
        <f t="shared" si="57"/>
        <v>3AH400</v>
      </c>
      <c r="CN147" s="277" t="str">
        <f>IF(DB149="Right",IF(CZ144="Right","Right","Wrong"),"Wrong")</f>
        <v>Right</v>
      </c>
      <c r="CO147" s="2365" t="str">
        <f>IF(CD141&lt;24,CK147,CN147)</f>
        <v>Right</v>
      </c>
      <c r="CR147" s="2250"/>
      <c r="CS147" s="2250"/>
      <c r="CT147" s="2250"/>
      <c r="CU147" s="2291" t="s">
        <v>654</v>
      </c>
      <c r="CV147" s="2292">
        <f>CP261</f>
        <v>6.73</v>
      </c>
      <c r="CW147" s="2293">
        <f>CQ261</f>
        <v>400</v>
      </c>
      <c r="CX147" s="2275" t="str">
        <f>BM261</f>
        <v>Right</v>
      </c>
      <c r="CY147" s="2250"/>
      <c r="CZ147" s="2250"/>
      <c r="DA147" s="2250"/>
      <c r="DB147" s="2320" t="str">
        <f>IF(CX142="Right",IF(DD142="Right",IF(CX147="Right","Right","Wrong"),"Wrong"),"Wrong")</f>
        <v>Right</v>
      </c>
      <c r="DC147" s="2250"/>
      <c r="DD147" s="2250"/>
      <c r="DE147" s="2250"/>
      <c r="DF147" s="2250"/>
      <c r="DG147" s="2250"/>
      <c r="DH147" s="2250"/>
      <c r="DI147" s="2250"/>
      <c r="DJ147" s="2250"/>
      <c r="DK147" s="2250"/>
      <c r="DL147" s="2250"/>
      <c r="DM147" s="2250"/>
      <c r="DN147" s="2250"/>
      <c r="DO147" s="2250"/>
      <c r="DP147" s="2250"/>
      <c r="DQ147" s="2277"/>
      <c r="DR147" s="2277"/>
      <c r="DS147" s="277"/>
      <c r="DW147" s="2275"/>
      <c r="DX147" s="2250"/>
      <c r="DY147" s="2250"/>
      <c r="DZ147" s="2315" t="s">
        <v>732</v>
      </c>
      <c r="EA147" s="2366">
        <f t="shared" ref="EA147:EB150" si="61">ET144</f>
        <v>14.95</v>
      </c>
      <c r="EB147" s="2317" t="str">
        <f t="shared" si="61"/>
        <v>3AH400</v>
      </c>
      <c r="EC147" s="2317">
        <f t="shared" ref="EC147:ED150" si="62">GZ144</f>
        <v>13.66</v>
      </c>
      <c r="ED147" s="2317" t="str">
        <f t="shared" si="62"/>
        <v>3AH400</v>
      </c>
      <c r="EE147" s="2250"/>
      <c r="EF147" s="2250"/>
      <c r="EG147" s="2250"/>
      <c r="EH147" s="2250"/>
      <c r="EI147" s="2250"/>
      <c r="EJ147" s="2250"/>
      <c r="EK147" s="2250"/>
      <c r="EL147" s="2250"/>
      <c r="EM147" s="2250"/>
      <c r="EN147" s="2250"/>
      <c r="EO147" s="2250"/>
      <c r="EP147" s="2250"/>
      <c r="EQ147" s="2250"/>
      <c r="ER147" s="4677" t="s">
        <v>735</v>
      </c>
      <c r="ES147" s="4678"/>
      <c r="ET147" s="2367">
        <f>IF(ET141&lt;24,EY147,FB147)</f>
        <v>5.35</v>
      </c>
      <c r="EU147" s="284" t="str">
        <f>IF(ET141&lt;24,EZ147,FC147)</f>
        <v>3AH400</v>
      </c>
      <c r="EV147" s="2250"/>
      <c r="EY147" s="2299">
        <f>IFERROR(EB358,0)</f>
        <v>0</v>
      </c>
      <c r="EZ147" s="2299">
        <f>IFERROR("2AH"&amp;EC358,0)</f>
        <v>0</v>
      </c>
      <c r="FA147" s="2364" t="e">
        <f t="shared" si="58"/>
        <v>#N/A</v>
      </c>
      <c r="FB147" s="2318">
        <f>+FJ144</f>
        <v>5.35</v>
      </c>
      <c r="FC147" s="2300" t="str">
        <f>+"3AH"&amp;FK144</f>
        <v>3AH400</v>
      </c>
      <c r="FD147" s="2250" t="str">
        <f>IF(FP149="Right",IF(FN144="Right","Right","Wrong"),"Wrong")</f>
        <v>Right</v>
      </c>
      <c r="FE147" s="2365" t="str">
        <f>IF(ET141&lt;24,FA147,FD147)</f>
        <v>Right</v>
      </c>
      <c r="FF147" s="2250"/>
      <c r="FG147" s="2250"/>
      <c r="FH147" s="2250"/>
      <c r="FI147" s="2291" t="s">
        <v>654</v>
      </c>
      <c r="FJ147" s="2292">
        <f>FD261</f>
        <v>10.79</v>
      </c>
      <c r="FK147" s="2293">
        <f>FE261</f>
        <v>400</v>
      </c>
      <c r="FL147" s="2275" t="str">
        <f>EA261</f>
        <v>Right</v>
      </c>
      <c r="FM147" s="2250"/>
      <c r="FN147" s="2250"/>
      <c r="FO147" s="2250"/>
      <c r="FP147" s="2320" t="str">
        <f>IF(FL142="Right",IF(FR142="Right",IF(FL147="Right","Right","Wrong"),"Wrong"),"Wrong")</f>
        <v>Right</v>
      </c>
      <c r="FQ147" s="2250"/>
      <c r="FR147" s="2250"/>
      <c r="FS147" s="2250"/>
      <c r="FT147" s="2250"/>
      <c r="FU147" s="2250"/>
      <c r="FV147" s="2250"/>
      <c r="FW147" s="2250"/>
      <c r="FX147" s="2250"/>
      <c r="FY147" s="2250"/>
      <c r="FZ147" s="2250"/>
      <c r="GA147" s="2250"/>
      <c r="GB147" s="2276"/>
      <c r="GC147" s="2276"/>
      <c r="GD147" s="2250"/>
      <c r="GE147" s="2275"/>
      <c r="GF147" s="2250"/>
      <c r="GG147" s="2250"/>
      <c r="GH147" s="2250"/>
      <c r="GI147" s="2250"/>
      <c r="GJ147" s="2250"/>
      <c r="GK147" s="2250"/>
      <c r="GL147" s="2250"/>
      <c r="GM147" s="2250"/>
      <c r="GN147" s="2250"/>
      <c r="GO147" s="2250"/>
      <c r="GP147" s="2250"/>
      <c r="GQ147" s="2250"/>
      <c r="GR147" s="2250"/>
      <c r="GS147" s="2250"/>
      <c r="GT147" s="2250"/>
      <c r="GU147" s="2250"/>
      <c r="GV147" s="2250"/>
      <c r="GW147" s="2250"/>
      <c r="GX147" s="4677" t="s">
        <v>735</v>
      </c>
      <c r="GY147" s="4730"/>
      <c r="GZ147" s="2367">
        <f>IF(GZ141&lt;24,HE147,HH147)</f>
        <v>5.25</v>
      </c>
      <c r="HA147" s="284" t="str">
        <f>IF(GZ141&lt;24,HF147,HI147)</f>
        <v>3AH400</v>
      </c>
      <c r="HB147" s="2250"/>
      <c r="HC147" s="2250"/>
      <c r="HD147" s="2250"/>
      <c r="HE147" s="2299">
        <f>IFERROR(GK358,0)</f>
        <v>0</v>
      </c>
      <c r="HF147" s="2299">
        <f>IFERROR("2AH"&amp;GL358,0)</f>
        <v>0</v>
      </c>
      <c r="HG147" s="2250" t="e">
        <f>GM358</f>
        <v>#N/A</v>
      </c>
      <c r="HH147" s="2318">
        <f>+HR144</f>
        <v>5.25</v>
      </c>
      <c r="HI147" s="2300" t="str">
        <f>+"3AH"&amp;HS144</f>
        <v>3AH400</v>
      </c>
      <c r="HJ147" s="277" t="str">
        <f>IF(HX149="Right",IF(HV144="Right","Right","Wrong"),"Wrong")</f>
        <v>Right</v>
      </c>
      <c r="HK147" s="2365" t="str">
        <f>IF(GZ141&lt;24,HG147,HJ147)</f>
        <v>Right</v>
      </c>
      <c r="HN147" s="2250"/>
      <c r="HO147" s="2250"/>
      <c r="HP147" s="2250"/>
      <c r="HQ147" s="2291" t="s">
        <v>654</v>
      </c>
      <c r="HR147" s="2292">
        <f>HL261</f>
        <v>9.8000000000000007</v>
      </c>
      <c r="HS147" s="2293">
        <f>HM261</f>
        <v>400</v>
      </c>
      <c r="HT147" s="2275" t="str">
        <f>GI261</f>
        <v>Right</v>
      </c>
      <c r="HU147" s="2250"/>
      <c r="HV147" s="2250"/>
      <c r="HW147" s="2250"/>
      <c r="HX147" s="2320" t="str">
        <f>IF(HT142="Right",IF(HZ142="Right",IF(HT147="Right","Right","Wrong"),"Wrong"),"Wrong")</f>
        <v>Right</v>
      </c>
      <c r="HY147" s="2250"/>
      <c r="HZ147" s="2250"/>
      <c r="IA147" s="2250"/>
      <c r="IB147" s="2250"/>
      <c r="IC147" s="2250"/>
      <c r="ID147" s="2250"/>
      <c r="IE147" s="2250"/>
      <c r="IF147" s="2250"/>
      <c r="IG147" s="2250"/>
      <c r="IH147" s="2250"/>
      <c r="II147" s="2250"/>
      <c r="IJ147" s="2250"/>
      <c r="IK147" s="2250"/>
      <c r="IL147" s="2250"/>
      <c r="IN147" s="277"/>
      <c r="IO147" s="277"/>
    </row>
    <row r="148" spans="1:249" ht="21.95" customHeight="1" thickBot="1">
      <c r="A148" s="2275"/>
      <c r="B148" s="2250"/>
      <c r="C148" s="2250"/>
      <c r="D148" s="2321" t="s">
        <v>733</v>
      </c>
      <c r="E148" s="2366">
        <f t="shared" si="60"/>
        <v>7.33</v>
      </c>
      <c r="F148" s="2322" t="str">
        <f t="shared" si="60"/>
        <v>3AH400</v>
      </c>
      <c r="G148" s="2317">
        <f t="shared" ref="G148:H148" si="63">CD145</f>
        <v>6.73</v>
      </c>
      <c r="H148" s="2317" t="str">
        <f t="shared" si="63"/>
        <v>3AH400</v>
      </c>
      <c r="I148" s="2250"/>
      <c r="J148" s="2250"/>
      <c r="K148" s="2250"/>
      <c r="L148" s="2250"/>
      <c r="M148" s="2250"/>
      <c r="N148" s="2250"/>
      <c r="O148" s="2250"/>
      <c r="P148" s="2250"/>
      <c r="Q148" s="2250"/>
      <c r="R148" s="2250"/>
      <c r="S148" s="2250"/>
      <c r="T148" s="2250"/>
      <c r="U148" s="2250"/>
      <c r="V148" s="2250"/>
      <c r="W148" s="2250"/>
      <c r="X148" s="2368"/>
      <c r="Y148" s="2369" t="str">
        <f>IF(X141&lt;24,AD148,AG148)</f>
        <v>Right</v>
      </c>
      <c r="Z148" s="2250"/>
      <c r="AC148" s="2250"/>
      <c r="AD148" s="2323">
        <f>IFERROR(G353,0)</f>
        <v>0</v>
      </c>
      <c r="AE148" s="2250"/>
      <c r="AF148" s="2250"/>
      <c r="AG148" s="2323" t="str">
        <f>AM151</f>
        <v>Right</v>
      </c>
      <c r="AI148" s="2250"/>
      <c r="AJ148" s="2250"/>
      <c r="AK148" s="2250"/>
      <c r="AL148" s="2250"/>
      <c r="AM148" s="2291" t="s">
        <v>658</v>
      </c>
      <c r="AN148" s="2292">
        <f>AH283</f>
        <v>6.43</v>
      </c>
      <c r="AO148" s="2293">
        <f>AI283</f>
        <v>400</v>
      </c>
      <c r="AP148" s="2275" t="str">
        <f>E283</f>
        <v>Right</v>
      </c>
      <c r="AQ148" s="2250"/>
      <c r="AR148" s="2250"/>
      <c r="AS148" s="2250"/>
      <c r="AT148" s="2320" t="str">
        <f>IF(AP143="Right",IF(AV143="Right",IF(AP148="Right","Right","Wrong"),"Wrong"),"Wrong")</f>
        <v>Right</v>
      </c>
      <c r="AU148" s="2250"/>
      <c r="AV148" s="2250"/>
      <c r="AW148" s="2250"/>
      <c r="AX148" s="2250"/>
      <c r="AY148" s="2250"/>
      <c r="AZ148" s="2250"/>
      <c r="BA148" s="2250"/>
      <c r="BB148" s="2250"/>
      <c r="BC148" s="2250"/>
      <c r="BD148" s="2250"/>
      <c r="BE148" s="2250"/>
      <c r="BF148" s="2276"/>
      <c r="BG148" s="2276"/>
      <c r="BH148" s="2250"/>
      <c r="BI148" s="2275"/>
      <c r="BJ148" s="2250"/>
      <c r="BK148" s="2250"/>
      <c r="BL148" s="2250"/>
      <c r="BM148" s="2250"/>
      <c r="BN148" s="2250"/>
      <c r="BO148" s="2250"/>
      <c r="BP148" s="2250"/>
      <c r="BQ148" s="2250"/>
      <c r="BR148" s="2250"/>
      <c r="BS148" s="2250"/>
      <c r="BT148" s="2250"/>
      <c r="BU148" s="2250"/>
      <c r="BV148" s="2250"/>
      <c r="BW148" s="2250"/>
      <c r="BX148" s="2250"/>
      <c r="BY148" s="2250"/>
      <c r="BZ148" s="2250"/>
      <c r="CA148" s="2250"/>
      <c r="CB148" s="2250"/>
      <c r="CC148" s="2250"/>
      <c r="CD148" s="2368"/>
      <c r="CE148" s="2369" t="str">
        <f>IF(CD141&lt;24,CJ148,CM148)</f>
        <v>Right</v>
      </c>
      <c r="CF148" s="2250"/>
      <c r="CG148" s="2250"/>
      <c r="CH148" s="2250"/>
      <c r="CI148" s="2250"/>
      <c r="CJ148" s="2370" t="e">
        <f>BP353</f>
        <v>#N/A</v>
      </c>
      <c r="CK148" s="2250"/>
      <c r="CL148" s="2250"/>
      <c r="CM148" s="2370" t="str">
        <f>CU151</f>
        <v>Right</v>
      </c>
      <c r="CQ148" s="2250"/>
      <c r="CR148" s="2250"/>
      <c r="CS148" s="2250"/>
      <c r="CT148" s="2250"/>
      <c r="CU148" s="2291" t="s">
        <v>658</v>
      </c>
      <c r="CV148" s="2292">
        <f>CP283</f>
        <v>5.87</v>
      </c>
      <c r="CW148" s="2293">
        <f>CQ283</f>
        <v>400</v>
      </c>
      <c r="CX148" s="2275" t="str">
        <f>BM283</f>
        <v>Right</v>
      </c>
      <c r="CY148" s="2250"/>
      <c r="CZ148" s="2250"/>
      <c r="DA148" s="2250"/>
      <c r="DB148" s="2320" t="str">
        <f>IF(CX143="Right",IF(DD143="Right",IF(CX148="Right","Right","Wrong"),"Wrong"),"Wrong")</f>
        <v>Right</v>
      </c>
      <c r="DC148" s="2250"/>
      <c r="DD148" s="2250"/>
      <c r="DE148" s="2250"/>
      <c r="DF148" s="2250"/>
      <c r="DG148" s="2250"/>
      <c r="DH148" s="2250"/>
      <c r="DI148" s="2250"/>
      <c r="DJ148" s="2250"/>
      <c r="DK148" s="2250"/>
      <c r="DL148" s="2250"/>
      <c r="DM148" s="2250"/>
      <c r="DN148" s="2250"/>
      <c r="DO148" s="2250"/>
      <c r="DP148" s="2250"/>
      <c r="DQ148" s="2277"/>
      <c r="DR148" s="2277"/>
      <c r="DS148" s="277"/>
      <c r="DW148" s="2275"/>
      <c r="DX148" s="2250"/>
      <c r="DY148" s="2250"/>
      <c r="DZ148" s="2321" t="s">
        <v>733</v>
      </c>
      <c r="EA148" s="2366">
        <f t="shared" si="61"/>
        <v>10.79</v>
      </c>
      <c r="EB148" s="2322" t="str">
        <f t="shared" si="61"/>
        <v>3AH400</v>
      </c>
      <c r="EC148" s="2317">
        <f t="shared" si="62"/>
        <v>9.8000000000000007</v>
      </c>
      <c r="ED148" s="2317" t="str">
        <f t="shared" si="62"/>
        <v>3AH400</v>
      </c>
      <c r="EE148" s="2250"/>
      <c r="EF148" s="2250"/>
      <c r="EG148" s="2250"/>
      <c r="EH148" s="2250"/>
      <c r="EI148" s="2250"/>
      <c r="EJ148" s="2250"/>
      <c r="EK148" s="2250"/>
      <c r="EL148" s="2250"/>
      <c r="EM148" s="2250"/>
      <c r="EN148" s="2250"/>
      <c r="EO148" s="2250"/>
      <c r="EP148" s="2250"/>
      <c r="EQ148" s="2250"/>
      <c r="ER148" s="2250"/>
      <c r="ES148" s="2250"/>
      <c r="ET148" s="2368"/>
      <c r="EU148" s="2369" t="str">
        <f>IF(ET141&lt;24,EZ148,FC148)</f>
        <v>Right</v>
      </c>
      <c r="EV148" s="2250"/>
      <c r="EY148" s="2250"/>
      <c r="EZ148" s="2323">
        <f>IFERROR(EC353,0)</f>
        <v>0</v>
      </c>
      <c r="FA148" s="2250"/>
      <c r="FB148" s="2250"/>
      <c r="FC148" s="2323" t="str">
        <f>FI151</f>
        <v>Right</v>
      </c>
      <c r="FD148" s="2250"/>
      <c r="FE148" s="2250"/>
      <c r="FF148" s="2250"/>
      <c r="FG148" s="2250"/>
      <c r="FH148" s="2250"/>
      <c r="FI148" s="2291" t="s">
        <v>658</v>
      </c>
      <c r="FJ148" s="2292">
        <f>FD283</f>
        <v>9.26</v>
      </c>
      <c r="FK148" s="2293">
        <f>FE283</f>
        <v>400</v>
      </c>
      <c r="FL148" s="2275" t="str">
        <f>EA283</f>
        <v>Right</v>
      </c>
      <c r="FM148" s="2250"/>
      <c r="FN148" s="2250"/>
      <c r="FO148" s="2250"/>
      <c r="FP148" s="2320" t="str">
        <f>IF(FL143="Right",IF(FR143="Right",IF(FL148="Right","Right","Wrong"),"Wrong"),"Wrong")</f>
        <v>Right</v>
      </c>
      <c r="FQ148" s="2250"/>
      <c r="FR148" s="2250"/>
      <c r="FS148" s="2250"/>
      <c r="FT148" s="2250"/>
      <c r="FU148" s="2250"/>
      <c r="FV148" s="2250"/>
      <c r="FW148" s="2250"/>
      <c r="FX148" s="2250"/>
      <c r="FY148" s="2250"/>
      <c r="FZ148" s="2250"/>
      <c r="GA148" s="2250"/>
      <c r="GB148" s="2276"/>
      <c r="GC148" s="2276"/>
      <c r="GD148" s="2250"/>
      <c r="GE148" s="2275"/>
      <c r="GF148" s="2250"/>
      <c r="GG148" s="2250"/>
      <c r="GH148" s="2250"/>
      <c r="GI148" s="2250"/>
      <c r="GJ148" s="2250"/>
      <c r="GK148" s="2250"/>
      <c r="GL148" s="2250"/>
      <c r="GM148" s="2250"/>
      <c r="GN148" s="2250"/>
      <c r="GO148" s="2250"/>
      <c r="GP148" s="2250"/>
      <c r="GQ148" s="2250"/>
      <c r="GR148" s="2250"/>
      <c r="GS148" s="2250"/>
      <c r="GT148" s="2250"/>
      <c r="GU148" s="2250"/>
      <c r="GV148" s="2250"/>
      <c r="GW148" s="2250"/>
      <c r="GX148" s="2250"/>
      <c r="GY148" s="2250"/>
      <c r="GZ148" s="2368"/>
      <c r="HA148" s="2369" t="str">
        <f>IF(GZ141&lt;24,HF148,HI148)</f>
        <v>Right</v>
      </c>
      <c r="HB148" s="2250"/>
      <c r="HC148" s="2250"/>
      <c r="HD148" s="2250"/>
      <c r="HE148" s="2250"/>
      <c r="HF148" s="2370" t="e">
        <f>GL353</f>
        <v>#N/A</v>
      </c>
      <c r="HG148" s="2250"/>
      <c r="HH148" s="2250"/>
      <c r="HI148" s="2370" t="str">
        <f>HQ151</f>
        <v>Right</v>
      </c>
      <c r="HJ148" s="2250"/>
      <c r="HM148" s="2250"/>
      <c r="HN148" s="2250"/>
      <c r="HO148" s="2250"/>
      <c r="HP148" s="2250"/>
      <c r="HQ148" s="2291" t="s">
        <v>658</v>
      </c>
      <c r="HR148" s="2292">
        <f>HL283</f>
        <v>8.58</v>
      </c>
      <c r="HS148" s="2293">
        <f>HM283</f>
        <v>400</v>
      </c>
      <c r="HT148" s="2275" t="str">
        <f>GI283</f>
        <v>Right</v>
      </c>
      <c r="HU148" s="2250"/>
      <c r="HV148" s="2250"/>
      <c r="HW148" s="2250"/>
      <c r="HX148" s="2320" t="str">
        <f>IF(HT143="Right",IF(HZ143="Right",IF(HT148="Right","Right","Wrong"),"Wrong"),"Wrong")</f>
        <v>Right</v>
      </c>
      <c r="HY148" s="2250"/>
      <c r="HZ148" s="2250"/>
      <c r="IA148" s="2250"/>
      <c r="IB148" s="2250"/>
      <c r="IC148" s="2250"/>
      <c r="ID148" s="2250"/>
      <c r="IE148" s="2250"/>
      <c r="IF148" s="2250"/>
      <c r="IG148" s="2250"/>
      <c r="IH148" s="2250"/>
      <c r="II148" s="2250"/>
      <c r="IJ148" s="2250"/>
      <c r="IK148" s="2250"/>
      <c r="IL148" s="2250"/>
      <c r="IN148" s="277"/>
      <c r="IO148" s="277"/>
    </row>
    <row r="149" spans="1:249" ht="21.95" customHeight="1" thickBot="1">
      <c r="A149" s="2275"/>
      <c r="B149" s="2250"/>
      <c r="C149" s="2250"/>
      <c r="D149" s="2321" t="s">
        <v>734</v>
      </c>
      <c r="E149" s="2366">
        <f t="shared" si="60"/>
        <v>6.43</v>
      </c>
      <c r="F149" s="2322" t="str">
        <f t="shared" si="60"/>
        <v>3AH400</v>
      </c>
      <c r="G149" s="2317">
        <f t="shared" ref="G149" si="64">CD146</f>
        <v>5.87</v>
      </c>
      <c r="H149" s="2317" t="str">
        <f>CE146</f>
        <v>3AH400</v>
      </c>
      <c r="I149" s="2250"/>
      <c r="J149" s="2250"/>
      <c r="K149" s="2250"/>
      <c r="L149" s="2250"/>
      <c r="M149" s="2250"/>
      <c r="N149" s="2250"/>
      <c r="O149" s="2250"/>
      <c r="P149" s="2250"/>
      <c r="Q149" s="2250"/>
      <c r="R149" s="2250"/>
      <c r="S149" s="2250"/>
      <c r="T149" s="2250"/>
      <c r="U149" s="2250"/>
      <c r="V149" s="2250"/>
      <c r="W149" s="2250"/>
      <c r="X149" s="2250"/>
      <c r="Y149" s="2250"/>
      <c r="Z149" s="2250"/>
      <c r="AC149" s="2250"/>
      <c r="AD149" s="2250"/>
      <c r="AE149" s="2250"/>
      <c r="AF149" s="2250"/>
      <c r="AG149" s="2250"/>
      <c r="AI149" s="2250"/>
      <c r="AJ149" s="2250"/>
      <c r="AK149" s="2250"/>
      <c r="AL149" s="2250"/>
      <c r="AM149" s="2304" t="s">
        <v>662</v>
      </c>
      <c r="AN149" s="2324">
        <f>AH305</f>
        <v>3.86</v>
      </c>
      <c r="AO149" s="2305">
        <f>AI305</f>
        <v>400</v>
      </c>
      <c r="AP149" s="2275" t="str">
        <f>E305</f>
        <v>Right</v>
      </c>
      <c r="AQ149" s="2250"/>
      <c r="AR149" s="2250"/>
      <c r="AS149" s="2250"/>
      <c r="AT149" s="2325" t="str">
        <f>IF(AP144="Right",IF(AV144="Right",IF(AP149="Right","Right","Wrong"),"Wrong"),"Wrong")</f>
        <v>Right</v>
      </c>
      <c r="AU149" s="2250"/>
      <c r="AV149" s="2250"/>
      <c r="AW149" s="2250"/>
      <c r="AX149" s="2250"/>
      <c r="AY149" s="2250"/>
      <c r="AZ149" s="2250"/>
      <c r="BA149" s="2250"/>
      <c r="BB149" s="2250"/>
      <c r="BC149" s="2250"/>
      <c r="BD149" s="2250"/>
      <c r="BE149" s="2250"/>
      <c r="BH149" s="2250"/>
      <c r="BI149" s="2275"/>
      <c r="BJ149" s="2250"/>
      <c r="BK149" s="2250"/>
      <c r="BL149" s="2250"/>
      <c r="BM149" s="2250"/>
      <c r="BN149" s="2250"/>
      <c r="BO149" s="2250"/>
      <c r="BP149" s="2250"/>
      <c r="BQ149" s="2250"/>
      <c r="BR149" s="2250"/>
      <c r="BS149" s="2250"/>
      <c r="BT149" s="2250"/>
      <c r="BU149" s="2250"/>
      <c r="BV149" s="2250"/>
      <c r="BW149" s="2250"/>
      <c r="BX149" s="2250"/>
      <c r="BY149" s="2250"/>
      <c r="BZ149" s="2250"/>
      <c r="CA149" s="2250"/>
      <c r="CB149" s="2250"/>
      <c r="CC149" s="2250"/>
      <c r="CD149" s="2250"/>
      <c r="CE149" s="2250"/>
      <c r="CF149" s="2250"/>
      <c r="CG149" s="2250"/>
      <c r="CH149" s="2250"/>
      <c r="CK149" s="2250"/>
      <c r="CL149" s="2250"/>
      <c r="CM149" s="2250"/>
      <c r="CO149" s="2250"/>
      <c r="CP149" s="2250"/>
      <c r="CQ149" s="2250"/>
      <c r="CR149" s="2250"/>
      <c r="CS149" s="2250"/>
      <c r="CT149" s="2250"/>
      <c r="CU149" s="2304" t="s">
        <v>662</v>
      </c>
      <c r="CV149" s="2324">
        <f>CP305</f>
        <v>3.76</v>
      </c>
      <c r="CW149" s="2305">
        <f>CQ305</f>
        <v>400</v>
      </c>
      <c r="CX149" s="2275" t="str">
        <f>BM305</f>
        <v>Right</v>
      </c>
      <c r="CY149" s="2250"/>
      <c r="CZ149" s="2250"/>
      <c r="DA149" s="2250"/>
      <c r="DB149" s="2325" t="str">
        <f>IF(CX144="Right",IF(DD144="Right",IF(CX149="Right","Right","Wrong"),"Wrong"),"Wrong")</f>
        <v>Right</v>
      </c>
      <c r="DC149" s="2250"/>
      <c r="DD149" s="2250"/>
      <c r="DE149" s="2250"/>
      <c r="DF149" s="2250"/>
      <c r="DG149" s="2250"/>
      <c r="DH149" s="2250"/>
      <c r="DI149" s="2250"/>
      <c r="DJ149" s="2250"/>
      <c r="DK149" s="2250"/>
      <c r="DL149" s="2250"/>
      <c r="DM149" s="2250"/>
      <c r="DN149" s="2250"/>
      <c r="DO149" s="2250"/>
      <c r="DP149" s="2250"/>
      <c r="DQ149" s="2277"/>
      <c r="DR149" s="2277"/>
      <c r="DS149" s="277"/>
      <c r="DW149" s="2275"/>
      <c r="DX149" s="2250"/>
      <c r="DY149" s="2250"/>
      <c r="DZ149" s="2321" t="s">
        <v>734</v>
      </c>
      <c r="EA149" s="2366">
        <f t="shared" si="61"/>
        <v>9.26</v>
      </c>
      <c r="EB149" s="2322" t="str">
        <f t="shared" si="61"/>
        <v>3AH400</v>
      </c>
      <c r="EC149" s="2317">
        <f t="shared" si="62"/>
        <v>8.58</v>
      </c>
      <c r="ED149" s="2317" t="str">
        <f t="shared" si="62"/>
        <v>3AH400</v>
      </c>
      <c r="EE149" s="2250"/>
      <c r="EF149" s="2250"/>
      <c r="EG149" s="2250"/>
      <c r="EH149" s="2250"/>
      <c r="EI149" s="2250"/>
      <c r="EJ149" s="2250"/>
      <c r="EK149" s="2250"/>
      <c r="EL149" s="2250"/>
      <c r="EM149" s="2250"/>
      <c r="EN149" s="2250"/>
      <c r="EO149" s="2250"/>
      <c r="EP149" s="2250"/>
      <c r="EQ149" s="2250"/>
      <c r="ER149" s="2250"/>
      <c r="ES149" s="2250"/>
      <c r="ET149" s="2250"/>
      <c r="EU149" s="2250"/>
      <c r="EV149" s="2250"/>
      <c r="EY149" s="2250"/>
      <c r="EZ149" s="2250"/>
      <c r="FA149" s="2250"/>
      <c r="FB149" s="2250"/>
      <c r="FC149" s="2250"/>
      <c r="FD149" s="2250"/>
      <c r="FE149" s="2250"/>
      <c r="FF149" s="2250"/>
      <c r="FG149" s="2250"/>
      <c r="FH149" s="2250"/>
      <c r="FI149" s="2304" t="s">
        <v>662</v>
      </c>
      <c r="FJ149" s="2324">
        <f>FD305</f>
        <v>5.35</v>
      </c>
      <c r="FK149" s="2305">
        <f>FE305</f>
        <v>400</v>
      </c>
      <c r="FL149" s="2275" t="str">
        <f>EA305</f>
        <v>Right</v>
      </c>
      <c r="FM149" s="2250"/>
      <c r="FN149" s="2250"/>
      <c r="FO149" s="2250"/>
      <c r="FP149" s="2325" t="str">
        <f>IF(FL144="Right",IF(FR144="Right",IF(FL149="Right","Right","Wrong"),"Wrong"),"Wrong")</f>
        <v>Right</v>
      </c>
      <c r="FQ149" s="2250"/>
      <c r="FR149" s="2250"/>
      <c r="FS149" s="2250"/>
      <c r="FT149" s="2250"/>
      <c r="FU149" s="2250"/>
      <c r="FV149" s="2250"/>
      <c r="FW149" s="2250"/>
      <c r="FX149" s="2250"/>
      <c r="FY149" s="2250"/>
      <c r="FZ149" s="2250"/>
      <c r="GA149" s="2250"/>
      <c r="GD149" s="2250"/>
      <c r="GE149" s="2275"/>
      <c r="GF149" s="2250"/>
      <c r="GG149" s="2250"/>
      <c r="GH149" s="2250"/>
      <c r="GI149" s="2250"/>
      <c r="GJ149" s="2250"/>
      <c r="GK149" s="2250"/>
      <c r="GL149" s="2250"/>
      <c r="GM149" s="2250"/>
      <c r="GN149" s="2250"/>
      <c r="GO149" s="2250"/>
      <c r="GP149" s="2250"/>
      <c r="GQ149" s="2250"/>
      <c r="GR149" s="2250"/>
      <c r="GS149" s="2250"/>
      <c r="GT149" s="2250"/>
      <c r="GU149" s="2250"/>
      <c r="GV149" s="2250"/>
      <c r="GW149" s="2250"/>
      <c r="GX149" s="2250"/>
      <c r="GY149" s="2250"/>
      <c r="GZ149" s="2250"/>
      <c r="HA149" s="2250"/>
      <c r="HB149" s="2250"/>
      <c r="HC149" s="2250"/>
      <c r="HD149" s="2250"/>
      <c r="HG149" s="2250"/>
      <c r="HH149" s="2250"/>
      <c r="HI149" s="2250"/>
      <c r="HJ149" s="2250"/>
      <c r="HK149" s="2250"/>
      <c r="HL149" s="2250"/>
      <c r="HM149" s="2250"/>
      <c r="HN149" s="2250"/>
      <c r="HO149" s="2250"/>
      <c r="HP149" s="2250"/>
      <c r="HQ149" s="2304" t="s">
        <v>662</v>
      </c>
      <c r="HR149" s="2324">
        <f>HL305</f>
        <v>5.25</v>
      </c>
      <c r="HS149" s="2305">
        <f>HM305</f>
        <v>400</v>
      </c>
      <c r="HT149" s="2275" t="str">
        <f>GI305</f>
        <v>Right</v>
      </c>
      <c r="HU149" s="2250"/>
      <c r="HV149" s="2250"/>
      <c r="HW149" s="2250"/>
      <c r="HX149" s="2325" t="str">
        <f>IF(HT144="Right",IF(HZ144="Right",IF(HT149="Right","Right","Wrong"),"Wrong"),"Wrong")</f>
        <v>Right</v>
      </c>
      <c r="HY149" s="2250"/>
      <c r="HZ149" s="2250"/>
      <c r="IA149" s="2250"/>
      <c r="IB149" s="2250"/>
      <c r="IC149" s="2250"/>
      <c r="ID149" s="2250"/>
      <c r="IE149" s="2250"/>
      <c r="IF149" s="2250"/>
      <c r="IG149" s="2250"/>
      <c r="IH149" s="2250"/>
      <c r="II149" s="2250"/>
      <c r="IJ149" s="2250"/>
      <c r="IK149" s="2250"/>
      <c r="IL149" s="2250"/>
      <c r="IN149" s="277"/>
      <c r="IO149" s="277"/>
    </row>
    <row r="150" spans="1:249" ht="21.95" customHeight="1" thickBot="1">
      <c r="A150" s="2275"/>
      <c r="B150" s="2250"/>
      <c r="C150" s="2250"/>
      <c r="D150" s="2326" t="s">
        <v>735</v>
      </c>
      <c r="E150" s="2327">
        <f t="shared" si="60"/>
        <v>3.86</v>
      </c>
      <c r="F150" s="2328" t="str">
        <f t="shared" si="60"/>
        <v>3AH400</v>
      </c>
      <c r="G150" s="2317">
        <f t="shared" ref="G150" si="65">CD147</f>
        <v>3.76</v>
      </c>
      <c r="H150" s="2317" t="str">
        <f>CE147</f>
        <v>3AH400</v>
      </c>
      <c r="I150" s="2250"/>
      <c r="J150" s="2250"/>
      <c r="K150" s="2250"/>
      <c r="L150" s="2250"/>
      <c r="M150" s="2250"/>
      <c r="N150" s="2250"/>
      <c r="O150" s="2250"/>
      <c r="P150" s="2250"/>
      <c r="Q150" s="2250"/>
      <c r="R150" s="2250"/>
      <c r="S150" s="2250"/>
      <c r="T150" s="2250"/>
      <c r="U150" s="2250"/>
      <c r="V150" s="2250"/>
      <c r="W150" s="2250"/>
      <c r="X150" s="2250"/>
      <c r="Y150" s="2250"/>
      <c r="Z150" s="2250"/>
      <c r="AA150" s="2250"/>
      <c r="AB150" s="2250"/>
      <c r="AC150" s="2250"/>
      <c r="AD150" s="2250"/>
      <c r="AE150" s="2250"/>
      <c r="AF150" s="2250"/>
      <c r="AG150" s="2329"/>
      <c r="AI150" s="2250"/>
      <c r="AJ150" s="2250"/>
      <c r="AK150" s="2250"/>
      <c r="AL150" s="2250"/>
      <c r="AM150" s="2250"/>
      <c r="AN150" s="2250"/>
      <c r="AO150" s="2250"/>
      <c r="AP150" s="2250"/>
      <c r="AQ150" s="2250"/>
      <c r="AR150" s="2250"/>
      <c r="AS150" s="2250"/>
      <c r="AT150" s="2250"/>
      <c r="AU150" s="2250"/>
      <c r="AV150" s="2250"/>
      <c r="AW150" s="2250"/>
      <c r="AX150" s="2250"/>
      <c r="AY150" s="2250"/>
      <c r="AZ150" s="2250"/>
      <c r="BA150" s="2250"/>
      <c r="BB150" s="2250"/>
      <c r="BC150" s="2250"/>
      <c r="BD150" s="2250"/>
      <c r="BE150" s="2250"/>
      <c r="BH150" s="2250"/>
      <c r="BI150" s="2275"/>
      <c r="BJ150" s="2250"/>
      <c r="BK150" s="2250"/>
      <c r="BL150" s="2250"/>
      <c r="BM150" s="2250"/>
      <c r="BN150" s="2250"/>
      <c r="BO150" s="2250"/>
      <c r="BP150" s="2250"/>
      <c r="BQ150" s="2250"/>
      <c r="BR150" s="2250"/>
      <c r="BS150" s="2250"/>
      <c r="BT150" s="2250"/>
      <c r="BU150" s="2250"/>
      <c r="BV150" s="2250"/>
      <c r="BW150" s="2250"/>
      <c r="BX150" s="2250"/>
      <c r="BY150" s="2250"/>
      <c r="BZ150" s="2250"/>
      <c r="CA150" s="2250"/>
      <c r="CB150" s="2250"/>
      <c r="CC150" s="2250"/>
      <c r="CD150" s="2250"/>
      <c r="CE150" s="2250"/>
      <c r="CF150" s="2250"/>
      <c r="CG150" s="2250"/>
      <c r="CH150" s="2250"/>
      <c r="CK150" s="2250"/>
      <c r="CL150" s="2250"/>
      <c r="CM150" s="2250"/>
      <c r="CO150" s="2329"/>
      <c r="CP150" s="2250"/>
      <c r="CQ150" s="2250"/>
      <c r="CR150" s="2250"/>
      <c r="CS150" s="2250"/>
      <c r="CT150" s="2250"/>
      <c r="CU150" s="2250"/>
      <c r="CV150" s="2250"/>
      <c r="CW150" s="2250"/>
      <c r="CX150" s="2250"/>
      <c r="CY150" s="2250"/>
      <c r="CZ150" s="2250"/>
      <c r="DA150" s="2250"/>
      <c r="DB150" s="2250"/>
      <c r="DC150" s="2250"/>
      <c r="DD150" s="2250"/>
      <c r="DE150" s="2250"/>
      <c r="DF150" s="2250"/>
      <c r="DG150" s="2250"/>
      <c r="DH150" s="2250"/>
      <c r="DI150" s="2250"/>
      <c r="DJ150" s="2250"/>
      <c r="DK150" s="2250"/>
      <c r="DL150" s="2250"/>
      <c r="DM150" s="2250"/>
      <c r="DN150" s="2250"/>
      <c r="DO150" s="2250"/>
      <c r="DP150" s="2250"/>
      <c r="DQ150" s="2277"/>
      <c r="DR150" s="2277"/>
      <c r="DS150" s="277"/>
      <c r="DW150" s="2275"/>
      <c r="DX150" s="2250"/>
      <c r="DY150" s="2250"/>
      <c r="DZ150" s="2326" t="s">
        <v>735</v>
      </c>
      <c r="EA150" s="2327">
        <f t="shared" si="61"/>
        <v>5.35</v>
      </c>
      <c r="EB150" s="2328" t="str">
        <f t="shared" si="61"/>
        <v>3AH400</v>
      </c>
      <c r="EC150" s="2317">
        <f t="shared" si="62"/>
        <v>5.25</v>
      </c>
      <c r="ED150" s="2317" t="str">
        <f t="shared" si="62"/>
        <v>3AH400</v>
      </c>
      <c r="EE150" s="2250"/>
      <c r="EF150" s="2250"/>
      <c r="EG150" s="2250"/>
      <c r="EH150" s="2250"/>
      <c r="EI150" s="2250"/>
      <c r="EJ150" s="2250"/>
      <c r="EK150" s="2250"/>
      <c r="EL150" s="2250"/>
      <c r="EM150" s="2250"/>
      <c r="EN150" s="2250"/>
      <c r="EO150" s="2250"/>
      <c r="EP150" s="2250"/>
      <c r="EQ150" s="2250"/>
      <c r="ER150" s="2250"/>
      <c r="ES150" s="2250"/>
      <c r="ET150" s="2250"/>
      <c r="EU150" s="2250"/>
      <c r="EV150" s="2250"/>
      <c r="EW150" s="2250"/>
      <c r="EX150" s="2250"/>
      <c r="EY150" s="2250"/>
      <c r="EZ150" s="2250"/>
      <c r="FA150" s="2250"/>
      <c r="FB150" s="2250"/>
      <c r="FC150" s="2329"/>
      <c r="FD150" s="2250"/>
      <c r="FE150" s="2250"/>
      <c r="FF150" s="2250"/>
      <c r="FG150" s="2250"/>
      <c r="FH150" s="2250"/>
      <c r="FI150" s="2250"/>
      <c r="FJ150" s="2250"/>
      <c r="FK150" s="2250"/>
      <c r="FL150" s="2250"/>
      <c r="FM150" s="2250"/>
      <c r="FN150" s="2250"/>
      <c r="FO150" s="2250"/>
      <c r="FP150" s="2250"/>
      <c r="FQ150" s="2250"/>
      <c r="FR150" s="2250"/>
      <c r="FS150" s="2250"/>
      <c r="FT150" s="2250"/>
      <c r="FU150" s="2250"/>
      <c r="FV150" s="2250"/>
      <c r="FW150" s="2250"/>
      <c r="FX150" s="2250"/>
      <c r="FY150" s="2250"/>
      <c r="FZ150" s="2250"/>
      <c r="GA150" s="2250"/>
      <c r="GD150" s="2250"/>
      <c r="GE150" s="2275"/>
      <c r="GF150" s="2250"/>
      <c r="GG150" s="2250"/>
      <c r="GH150" s="2250"/>
      <c r="GI150" s="2250"/>
      <c r="GJ150" s="2250"/>
      <c r="GK150" s="2250"/>
      <c r="GL150" s="2250"/>
      <c r="GM150" s="2250"/>
      <c r="GN150" s="2250"/>
      <c r="GO150" s="2250"/>
      <c r="GP150" s="2250"/>
      <c r="GQ150" s="2250"/>
      <c r="GR150" s="2250"/>
      <c r="GS150" s="2250"/>
      <c r="GT150" s="2250"/>
      <c r="GU150" s="2250"/>
      <c r="GV150" s="2250"/>
      <c r="GW150" s="2250"/>
      <c r="GX150" s="2250"/>
      <c r="GY150" s="2250"/>
      <c r="GZ150" s="2250"/>
      <c r="HA150" s="2250"/>
      <c r="HB150" s="2250"/>
      <c r="HC150" s="2250"/>
      <c r="HD150" s="2250"/>
      <c r="HG150" s="2250"/>
      <c r="HH150" s="2250"/>
      <c r="HI150" s="2250"/>
      <c r="HJ150" s="2250"/>
      <c r="HK150" s="2329"/>
      <c r="HL150" s="2250"/>
      <c r="HM150" s="2250"/>
      <c r="HN150" s="2250"/>
      <c r="HO150" s="2250"/>
      <c r="HP150" s="2250"/>
      <c r="HQ150" s="2250"/>
      <c r="HR150" s="2250"/>
      <c r="HS150" s="2250"/>
      <c r="HT150" s="2250"/>
      <c r="HU150" s="2250"/>
      <c r="HV150" s="2250"/>
      <c r="HW150" s="2250"/>
      <c r="HX150" s="2250"/>
      <c r="HY150" s="2250"/>
      <c r="HZ150" s="2250"/>
      <c r="IA150" s="2250"/>
      <c r="IB150" s="2250"/>
      <c r="IC150" s="2250"/>
      <c r="ID150" s="2250"/>
      <c r="IE150" s="2250"/>
      <c r="IF150" s="2250"/>
      <c r="IG150" s="2250"/>
      <c r="IH150" s="2250"/>
      <c r="II150" s="2250"/>
      <c r="IJ150" s="2250"/>
      <c r="IK150" s="2250"/>
      <c r="IL150" s="2250"/>
      <c r="IN150" s="277"/>
      <c r="IO150" s="277"/>
    </row>
    <row r="151" spans="1:249" ht="21.95" customHeight="1" thickBot="1">
      <c r="A151" s="2275"/>
      <c r="B151" s="2250"/>
      <c r="C151" s="2250"/>
      <c r="D151" s="2250"/>
      <c r="E151" s="2250"/>
      <c r="F151" s="2330" t="str">
        <f>Y148</f>
        <v>Right</v>
      </c>
      <c r="G151" s="2250"/>
      <c r="H151" s="2330" t="str">
        <f>CE148</f>
        <v>Right</v>
      </c>
      <c r="I151" s="2250"/>
      <c r="J151" s="2250"/>
      <c r="K151" s="2250"/>
      <c r="L151" s="2250"/>
      <c r="M151" s="2250"/>
      <c r="N151" s="2250"/>
      <c r="O151" s="2250"/>
      <c r="P151" s="2250"/>
      <c r="Q151" s="2250"/>
      <c r="R151" s="2250"/>
      <c r="S151" s="2250"/>
      <c r="T151" s="2250"/>
      <c r="U151" s="2250"/>
      <c r="V151" s="2250"/>
      <c r="W151" s="2250"/>
      <c r="X151" s="2250"/>
      <c r="Y151" s="2250"/>
      <c r="Z151" s="2250"/>
      <c r="AA151" s="2250"/>
      <c r="AB151" s="2250"/>
      <c r="AC151" s="2250"/>
      <c r="AD151" s="2250"/>
      <c r="AE151" s="2250"/>
      <c r="AF151" s="2250"/>
      <c r="AG151" s="2250"/>
      <c r="AI151" s="2250"/>
      <c r="AJ151" s="2250"/>
      <c r="AK151" s="2250"/>
      <c r="AL151" s="2250"/>
      <c r="AM151" s="2331" t="str">
        <f>IF(AN151="Right",IF(AO151="Right",IF(AP151="Right",IF(AQ151="Right","Right","Wrong"),"Wrong"),"Wrong"),"Wrong")</f>
        <v>Right</v>
      </c>
      <c r="AN151" s="2275" t="str">
        <f>IF(AN141=AT141,IF(AN142=AT142,IF(AN143=AT143,IF(AN144=AT144,IF(AN141=AN146,IF(AN142=AN147,IF(AN143=AN148,IF(AN144=AN149,"Right","Wrong"),"Wrong"),"Wrong"),"Wrong"),"Wrong"),"Wrong"),"Wrong"),"Wrong")</f>
        <v>Right</v>
      </c>
      <c r="AO151" s="2275" t="str">
        <f>IF(AO141=AU141,IF(AO142=AU142,IF(AO143=AU143,IF(AO144=AU144,IF(AO141=AO146,IF(AO142=AO147,IF(AO143=AO148,IF(AO144=AO149,"Right","Wrong"),"Wrong"),"Wrong"),"Wrong"),"Wrong"),"Wrong"),"Wrong"),"Wrong")</f>
        <v>Right</v>
      </c>
      <c r="AP151" s="2275" t="str">
        <f>IF(AP140="Right",IF(AP145="Right",IF(AV140="Right","Right","Wrong"),"Wrong"),"Wrong")</f>
        <v>Right</v>
      </c>
      <c r="AQ151" s="2250" t="str">
        <f>IF(AT145="Right",IF(AR140="Right","Right","Wrong"),"Wrong")</f>
        <v>Right</v>
      </c>
      <c r="AR151" s="2250"/>
      <c r="AS151" s="2250"/>
      <c r="AT151" s="2250"/>
      <c r="AU151" s="2250"/>
      <c r="AV151" s="2250"/>
      <c r="AW151" s="2250"/>
      <c r="AX151" s="2250"/>
      <c r="AY151" s="2250"/>
      <c r="AZ151" s="2250"/>
      <c r="BA151" s="2250"/>
      <c r="BB151" s="2250"/>
      <c r="BC151" s="2250"/>
      <c r="BD151" s="2250"/>
      <c r="BE151" s="2250"/>
      <c r="BF151" s="4679" t="s">
        <v>2662</v>
      </c>
      <c r="BG151" s="4679"/>
      <c r="BH151" s="2250"/>
      <c r="BI151" s="2275"/>
      <c r="BJ151" s="2250"/>
      <c r="BK151" s="2250"/>
      <c r="BL151" s="2250"/>
      <c r="BM151" s="2250"/>
      <c r="BN151" s="2250"/>
      <c r="BO151" s="2250"/>
      <c r="BP151" s="2250"/>
      <c r="BQ151" s="2250"/>
      <c r="BR151" s="2250"/>
      <c r="BS151" s="2250"/>
      <c r="BT151" s="2250"/>
      <c r="BU151" s="2250"/>
      <c r="BV151" s="2250"/>
      <c r="BW151" s="2250"/>
      <c r="BX151" s="2250"/>
      <c r="BY151" s="2250"/>
      <c r="BZ151" s="2250"/>
      <c r="CA151" s="2250"/>
      <c r="CB151" s="2250"/>
      <c r="CC151" s="2250"/>
      <c r="CD151" s="2250"/>
      <c r="CE151" s="2250"/>
      <c r="CF151" s="2250"/>
      <c r="CG151" s="2250"/>
      <c r="CH151" s="2250"/>
      <c r="CI151" s="2250"/>
      <c r="CJ151" s="2250"/>
      <c r="CK151" s="2250"/>
      <c r="CL151" s="2250"/>
      <c r="CM151" s="2250"/>
      <c r="CO151" s="2250"/>
      <c r="CP151" s="2250"/>
      <c r="CQ151" s="2250"/>
      <c r="CR151" s="2250"/>
      <c r="CS151" s="2250"/>
      <c r="CT151" s="2250"/>
      <c r="CU151" s="2331" t="str">
        <f>IF(CV151="Right",IF(CW151="Right",IF(CX151="Right",IF(CY151="Right","Right","Wrong"),"Wrong"),"Wrong"),"Wrong")</f>
        <v>Right</v>
      </c>
      <c r="CV151" s="2275" t="str">
        <f>IF(CV141=DB141,IF(CV142=DB142,IF(CV143=DB143,IF(CV144=DB144,IF(CV141=CV146,IF(CV142=CV147,IF(CV143=CV148,IF(CV144=CV149,"Right","Wrong"),"Wrong"),"Wrong"),"Wrong"),"Wrong"),"Wrong"),"Wrong"),"Wrong")</f>
        <v>Right</v>
      </c>
      <c r="CW151" s="2275" t="str">
        <f>IF(CW141=DC141,IF(CW142=DC142,IF(CW143=DC143,IF(CW144=DC144,IF(CW141=CW146,IF(CW142=CW147,IF(CW143=CW148,IF(CW144=CW149,"Right","Wrong"),"Wrong"),"Wrong"),"Wrong"),"Wrong"),"Wrong"),"Wrong"),"Wrong")</f>
        <v>Right</v>
      </c>
      <c r="CX151" s="2275" t="str">
        <f>IF(CX140="Right",IF(CX145="Right",IF(DD140="Right","Right","Wrong"),"Wrong"),"Wrong")</f>
        <v>Right</v>
      </c>
      <c r="CY151" s="2250" t="str">
        <f>IF(DB145="Right",IF(CZ140="Right","Right","Wrong"),"Wrong")</f>
        <v>Right</v>
      </c>
      <c r="CZ151" s="2250"/>
      <c r="DA151" s="2250"/>
      <c r="DB151" s="2250"/>
      <c r="DC151" s="2250"/>
      <c r="DD151" s="2250"/>
      <c r="DE151" s="2250"/>
      <c r="DF151" s="2250"/>
      <c r="DG151" s="2250"/>
      <c r="DH151" s="2250"/>
      <c r="DI151" s="2250"/>
      <c r="DJ151" s="2250"/>
      <c r="DK151" s="2250"/>
      <c r="DL151" s="2250"/>
      <c r="DM151" s="2250"/>
      <c r="DN151" s="2250"/>
      <c r="DO151" s="2250"/>
      <c r="DP151" s="2250"/>
      <c r="DQ151" s="2277"/>
      <c r="DR151" s="2277"/>
      <c r="DS151" s="277"/>
      <c r="DW151" s="2275"/>
      <c r="DX151" s="2250"/>
      <c r="DY151" s="2250"/>
      <c r="DZ151" s="2250"/>
      <c r="EA151" s="2250"/>
      <c r="EB151" s="2330" t="str">
        <f>EU148</f>
        <v>Right</v>
      </c>
      <c r="EC151" s="2250"/>
      <c r="ED151" s="2330" t="str">
        <f>HA148</f>
        <v>Right</v>
      </c>
      <c r="EE151" s="2250"/>
      <c r="EF151" s="2250"/>
      <c r="EG151" s="2250"/>
      <c r="EH151" s="2250"/>
      <c r="EI151" s="2250"/>
      <c r="EJ151" s="2250"/>
      <c r="EK151" s="2250"/>
      <c r="EL151" s="2250"/>
      <c r="EM151" s="2250"/>
      <c r="EN151" s="2250"/>
      <c r="EO151" s="2250"/>
      <c r="EP151" s="2250"/>
      <c r="EQ151" s="2250"/>
      <c r="ER151" s="2250"/>
      <c r="ES151" s="2250"/>
      <c r="ET151" s="2250"/>
      <c r="EU151" s="2250"/>
      <c r="EV151" s="2250"/>
      <c r="EW151" s="2250"/>
      <c r="EX151" s="2250"/>
      <c r="EY151" s="2250"/>
      <c r="EZ151" s="2250"/>
      <c r="FA151" s="2250"/>
      <c r="FB151" s="2250"/>
      <c r="FC151" s="2250"/>
      <c r="FD151" s="2250"/>
      <c r="FE151" s="2250"/>
      <c r="FF151" s="2250"/>
      <c r="FG151" s="2250"/>
      <c r="FH151" s="2250"/>
      <c r="FI151" s="2331" t="str">
        <f>IF(FJ151="Right",IF(FK151="Right",IF(FL151="Right",IF(FM151="Right","Right","Wrong"),"Wrong"),"Wrong"),"Wrong")</f>
        <v>Right</v>
      </c>
      <c r="FJ151" s="2275" t="str">
        <f>IF(FJ141=FP141,IF(FJ142=FP142,IF(FJ143=FP143,IF(FJ144=FP144,IF(FJ141=FJ146,IF(FJ142=FJ147,IF(FJ143=FJ148,IF(FJ144=FJ149,"Right","Wrong"),"Wrong"),"Wrong"),"Wrong"),"Wrong"),"Wrong"),"Wrong"),"Wrong")</f>
        <v>Right</v>
      </c>
      <c r="FK151" s="2275" t="str">
        <f>IF(FK141=FQ141,IF(FK142=FQ142,IF(FK143=FQ143,IF(FK144=FQ144,IF(FK141=FK146,IF(FK142=FK147,IF(FK143=FK148,IF(FK144=FK149,"Right","Wrong"),"Wrong"),"Wrong"),"Wrong"),"Wrong"),"Wrong"),"Wrong"),"Wrong")</f>
        <v>Right</v>
      </c>
      <c r="FL151" s="2275" t="str">
        <f>IF(FL140="Right",IF(FL145="Right",IF(FR140="Right","Right","Wrong"),"Wrong"),"Wrong")</f>
        <v>Right</v>
      </c>
      <c r="FM151" s="2250" t="str">
        <f>IF(FP145="Right",IF(FN140="Right","Right","Wrong"),"Wrong")</f>
        <v>Right</v>
      </c>
      <c r="FN151" s="2250"/>
      <c r="FO151" s="2250"/>
      <c r="FP151" s="2250"/>
      <c r="FQ151" s="2250"/>
      <c r="FR151" s="2250"/>
      <c r="FS151" s="2250"/>
      <c r="FT151" s="2250"/>
      <c r="FU151" s="2250"/>
      <c r="FV151" s="2250"/>
      <c r="FW151" s="2250"/>
      <c r="FX151" s="2250"/>
      <c r="FY151" s="2250"/>
      <c r="FZ151" s="2250"/>
      <c r="GA151" s="2250"/>
      <c r="GB151" s="4679" t="s">
        <v>2662</v>
      </c>
      <c r="GC151" s="4679"/>
      <c r="GD151" s="2250"/>
      <c r="GE151" s="2275"/>
      <c r="GF151" s="2250"/>
      <c r="GG151" s="2250"/>
      <c r="GH151" s="2250"/>
      <c r="GI151" s="2250"/>
      <c r="GJ151" s="2250"/>
      <c r="GK151" s="2250"/>
      <c r="GL151" s="2250"/>
      <c r="GM151" s="2250"/>
      <c r="GN151" s="2250"/>
      <c r="GO151" s="2250"/>
      <c r="GP151" s="2250"/>
      <c r="GQ151" s="2250"/>
      <c r="GR151" s="2250"/>
      <c r="GS151" s="2250"/>
      <c r="GT151" s="2250"/>
      <c r="GU151" s="2250"/>
      <c r="GV151" s="2250"/>
      <c r="GW151" s="2250"/>
      <c r="GX151" s="2250"/>
      <c r="GY151" s="2250"/>
      <c r="GZ151" s="2250"/>
      <c r="HA151" s="2250"/>
      <c r="HB151" s="2250"/>
      <c r="HC151" s="2250"/>
      <c r="HD151" s="2250"/>
      <c r="HE151" s="2250"/>
      <c r="HF151" s="2250"/>
      <c r="HG151" s="2250"/>
      <c r="HH151" s="2250"/>
      <c r="HI151" s="2250"/>
      <c r="HJ151" s="2250"/>
      <c r="HK151" s="2250"/>
      <c r="HL151" s="2250"/>
      <c r="HM151" s="2250"/>
      <c r="HN151" s="2250"/>
      <c r="HO151" s="2250"/>
      <c r="HP151" s="2250"/>
      <c r="HQ151" s="2331" t="str">
        <f>IF(HR151="Right",IF(HS151="Right",IF(HT151="Right",IF(HU151="Right","Right","Wrong"),"Wrong"),"Wrong"),"Wrong")</f>
        <v>Right</v>
      </c>
      <c r="HR151" s="2275" t="str">
        <f>IF(HR141=HX141,IF(HR142=HX142,IF(HR143=HX143,IF(HR144=HX144,IF(HR141=HR146,IF(HR142=HR147,IF(HR143=HR148,IF(HR144=HR149,"Right","Wrong"),"Wrong"),"Wrong"),"Wrong"),"Wrong"),"Wrong"),"Wrong"),"Wrong")</f>
        <v>Right</v>
      </c>
      <c r="HS151" s="2275" t="str">
        <f>IF(HS141=HY141,IF(HS142=HY142,IF(HS143=HY143,IF(HS144=HY144,IF(HS141=HS146,IF(HS142=HS147,IF(HS143=HS148,IF(HS144=HS149,"Right","Wrong"),"Wrong"),"Wrong"),"Wrong"),"Wrong"),"Wrong"),"Wrong"),"Wrong")</f>
        <v>Right</v>
      </c>
      <c r="HT151" s="2275" t="str">
        <f>IF(HT140="Right",IF(HT145="Right",IF(HZ140="Right","Right","Wrong"),"Wrong"),"Wrong")</f>
        <v>Right</v>
      </c>
      <c r="HU151" s="2250" t="str">
        <f>IF(HX145="Right",IF(HV140="Right","Right","Wrong"),"Wrong")</f>
        <v>Right</v>
      </c>
      <c r="HV151" s="2250"/>
      <c r="HW151" s="2250"/>
      <c r="HX151" s="2250"/>
      <c r="HY151" s="2250"/>
      <c r="HZ151" s="2250"/>
      <c r="IA151" s="2250"/>
      <c r="IB151" s="2250"/>
      <c r="IC151" s="2250"/>
      <c r="ID151" s="2250"/>
      <c r="IE151" s="2250"/>
      <c r="IF151" s="2250"/>
      <c r="IG151" s="2250"/>
      <c r="IH151" s="2250"/>
      <c r="II151" s="2250"/>
      <c r="IJ151" s="2250"/>
      <c r="IK151" s="2250"/>
      <c r="IL151" s="2250"/>
      <c r="IN151" s="277"/>
      <c r="IO151" s="277"/>
    </row>
    <row r="152" spans="1:249" ht="21.95" customHeight="1">
      <c r="A152" s="2275"/>
      <c r="B152" s="2250"/>
      <c r="C152" s="2250"/>
      <c r="D152" s="2250"/>
      <c r="E152" s="2250"/>
      <c r="F152" s="2250"/>
      <c r="G152" s="2250"/>
      <c r="H152" s="2250"/>
      <c r="I152" s="2250"/>
      <c r="J152" s="2250"/>
      <c r="K152" s="2250"/>
      <c r="L152" s="2332"/>
      <c r="M152" s="2250"/>
      <c r="N152" s="2250"/>
      <c r="O152" s="2250"/>
      <c r="P152" s="2250"/>
      <c r="Q152" s="2250"/>
      <c r="R152" s="2250"/>
      <c r="S152" s="2250"/>
      <c r="T152" s="2250"/>
      <c r="U152" s="2250"/>
      <c r="V152" s="2250"/>
      <c r="W152" s="2250"/>
      <c r="X152" s="2250"/>
      <c r="Y152" s="2250"/>
      <c r="Z152" s="2250"/>
      <c r="AA152" s="2250"/>
      <c r="AB152" s="2250"/>
      <c r="AC152" s="2250"/>
      <c r="AD152" s="2250"/>
      <c r="AE152" s="2250"/>
      <c r="AF152" s="2250"/>
      <c r="AG152" s="2250"/>
      <c r="AH152" s="2250"/>
      <c r="AI152" s="2250"/>
      <c r="AJ152" s="2250"/>
      <c r="AK152" s="2250"/>
      <c r="AL152" s="2250"/>
      <c r="AM152" s="2250"/>
      <c r="AN152" s="2275"/>
      <c r="AO152" s="2275"/>
      <c r="AP152" s="2250"/>
      <c r="AQ152" s="2250"/>
      <c r="AR152" s="2250"/>
      <c r="AS152" s="2250"/>
      <c r="AT152" s="2250"/>
      <c r="AU152" s="2250"/>
      <c r="AV152" s="2250"/>
      <c r="AW152" s="2250"/>
      <c r="AX152" s="2250"/>
      <c r="AY152" s="2250"/>
      <c r="AZ152" s="2250"/>
      <c r="BA152" s="2250"/>
      <c r="BB152" s="2250"/>
      <c r="BC152" s="2250"/>
      <c r="BD152" s="2250"/>
      <c r="BE152" s="2250"/>
      <c r="BF152" s="1201" t="s">
        <v>512</v>
      </c>
      <c r="BG152" s="1201" t="s">
        <v>682</v>
      </c>
      <c r="BH152" s="2250"/>
      <c r="BI152" s="2275"/>
      <c r="BJ152" s="2250"/>
      <c r="BK152" s="2250"/>
      <c r="BL152" s="2250"/>
      <c r="BM152" s="2250"/>
      <c r="BN152" s="2250"/>
      <c r="BO152" s="2250"/>
      <c r="BP152" s="2250"/>
      <c r="BQ152" s="2250"/>
      <c r="BR152" s="2250"/>
      <c r="BS152" s="2250"/>
      <c r="BT152" s="2250"/>
      <c r="BU152" s="2250"/>
      <c r="BV152" s="2250"/>
      <c r="BW152" s="2250"/>
      <c r="BX152" s="2250"/>
      <c r="BY152" s="2250"/>
      <c r="BZ152" s="2250"/>
      <c r="CA152" s="2250"/>
      <c r="CB152" s="2250"/>
      <c r="CC152" s="2250"/>
      <c r="CD152" s="2250"/>
      <c r="CE152" s="2250"/>
      <c r="CF152" s="2250"/>
      <c r="CG152" s="2250"/>
      <c r="CH152" s="2250"/>
      <c r="CI152" s="2250"/>
      <c r="CJ152" s="2250"/>
      <c r="CK152" s="2250"/>
      <c r="CL152" s="2250"/>
      <c r="CM152" s="2250"/>
      <c r="CN152" s="2250"/>
      <c r="CO152" s="2250"/>
      <c r="CP152" s="2250"/>
      <c r="CQ152" s="2250"/>
      <c r="CR152" s="2250"/>
      <c r="CS152" s="2250"/>
      <c r="CT152" s="2250"/>
      <c r="CU152" s="2250"/>
      <c r="CV152" s="2275"/>
      <c r="CW152" s="2275"/>
      <c r="CX152" s="2250"/>
      <c r="CY152" s="2250"/>
      <c r="CZ152" s="2250"/>
      <c r="DA152" s="2250"/>
      <c r="DB152" s="2250"/>
      <c r="DC152" s="2250"/>
      <c r="DD152" s="2250"/>
      <c r="DE152" s="2250"/>
      <c r="DF152" s="2250"/>
      <c r="DG152" s="2250"/>
      <c r="DH152" s="2250"/>
      <c r="DI152" s="2250"/>
      <c r="DJ152" s="2250"/>
      <c r="DK152" s="2250"/>
      <c r="DL152" s="2250"/>
      <c r="DM152" s="2250"/>
      <c r="DN152" s="2250"/>
      <c r="DO152" s="2250"/>
      <c r="DP152" s="2250"/>
      <c r="DQ152" s="2277"/>
      <c r="DR152" s="2277"/>
      <c r="DS152" s="277"/>
      <c r="DW152" s="2275"/>
      <c r="DX152" s="2250"/>
      <c r="DY152" s="2250"/>
      <c r="DZ152" s="2250"/>
      <c r="EA152" s="2250"/>
      <c r="EB152" s="2250"/>
      <c r="EC152" s="2250"/>
      <c r="ED152" s="2250"/>
      <c r="EE152" s="2250"/>
      <c r="EF152" s="2250"/>
      <c r="EG152" s="2250"/>
      <c r="EH152" s="2332"/>
      <c r="EI152" s="2250"/>
      <c r="EJ152" s="2250"/>
      <c r="EK152" s="2250"/>
      <c r="EL152" s="2250"/>
      <c r="EM152" s="2250"/>
      <c r="EN152" s="2250"/>
      <c r="EO152" s="2250"/>
      <c r="EP152" s="2250"/>
      <c r="EQ152" s="2250"/>
      <c r="ER152" s="2250"/>
      <c r="ES152" s="2250"/>
      <c r="ET152" s="2250"/>
      <c r="EU152" s="2250"/>
      <c r="EV152" s="2250"/>
      <c r="EW152" s="2250"/>
      <c r="EX152" s="2250"/>
      <c r="EY152" s="2250"/>
      <c r="EZ152" s="2250"/>
      <c r="FA152" s="2250"/>
      <c r="FB152" s="2250"/>
      <c r="FC152" s="2250"/>
      <c r="FD152" s="2250"/>
      <c r="FE152" s="2250"/>
      <c r="FF152" s="2250"/>
      <c r="FG152" s="2250"/>
      <c r="FH152" s="2250"/>
      <c r="FI152" s="2250"/>
      <c r="FJ152" s="2275"/>
      <c r="FK152" s="2275"/>
      <c r="FL152" s="2250"/>
      <c r="FM152" s="2250"/>
      <c r="FN152" s="2250"/>
      <c r="FO152" s="2250"/>
      <c r="FP152" s="2250"/>
      <c r="FQ152" s="2250"/>
      <c r="FR152" s="2250"/>
      <c r="FS152" s="2250"/>
      <c r="FT152" s="2250"/>
      <c r="FU152" s="2250"/>
      <c r="FV152" s="2250"/>
      <c r="FW152" s="2250"/>
      <c r="FX152" s="2250"/>
      <c r="FY152" s="2250"/>
      <c r="FZ152" s="2250"/>
      <c r="GA152" s="2250"/>
      <c r="GB152" s="1201" t="s">
        <v>512</v>
      </c>
      <c r="GC152" s="1201" t="s">
        <v>682</v>
      </c>
      <c r="GD152" s="2250"/>
      <c r="GE152" s="2275"/>
      <c r="GF152" s="2250"/>
      <c r="GG152" s="2250"/>
      <c r="GH152" s="2250"/>
      <c r="GI152" s="2250"/>
      <c r="GJ152" s="2250"/>
      <c r="GK152" s="2250"/>
      <c r="GL152" s="2250"/>
      <c r="GM152" s="2250"/>
      <c r="GN152" s="2250"/>
      <c r="GO152" s="2250"/>
      <c r="GP152" s="2250"/>
      <c r="GQ152" s="2250"/>
      <c r="GR152" s="2250"/>
      <c r="GS152" s="2250"/>
      <c r="GT152" s="2250"/>
      <c r="GU152" s="2250"/>
      <c r="GV152" s="2250"/>
      <c r="GW152" s="2250"/>
      <c r="GX152" s="2250"/>
      <c r="GY152" s="2250"/>
      <c r="GZ152" s="2250"/>
      <c r="HA152" s="2250"/>
      <c r="HB152" s="2250"/>
      <c r="HC152" s="2250"/>
      <c r="HD152" s="2250"/>
      <c r="HE152" s="2250"/>
      <c r="HF152" s="2250"/>
      <c r="HG152" s="2250"/>
      <c r="HH152" s="2250"/>
      <c r="HI152" s="2250"/>
      <c r="HJ152" s="2250"/>
      <c r="HK152" s="2250"/>
      <c r="HL152" s="2250"/>
      <c r="HM152" s="2250"/>
      <c r="HN152" s="2250"/>
      <c r="HO152" s="2250"/>
      <c r="HP152" s="2250"/>
      <c r="HQ152" s="2250"/>
      <c r="HR152" s="2275"/>
      <c r="HS152" s="2275"/>
      <c r="HT152" s="2250"/>
      <c r="HU152" s="2250"/>
      <c r="HV152" s="2250"/>
      <c r="HW152" s="2250"/>
      <c r="HX152" s="2250"/>
      <c r="HY152" s="2250"/>
      <c r="HZ152" s="2250"/>
      <c r="IA152" s="2250"/>
      <c r="IB152" s="2250"/>
      <c r="IC152" s="2250"/>
      <c r="ID152" s="2250"/>
      <c r="IE152" s="2250"/>
      <c r="IF152" s="2250"/>
      <c r="IG152" s="2250"/>
      <c r="IH152" s="2250"/>
      <c r="II152" s="2250"/>
      <c r="IJ152" s="2250"/>
      <c r="IK152" s="2250"/>
      <c r="IL152" s="2250"/>
      <c r="IN152" s="277"/>
      <c r="IO152" s="277"/>
    </row>
    <row r="153" spans="1:249" ht="21.95" customHeight="1">
      <c r="A153" s="2275"/>
      <c r="B153" s="2250"/>
      <c r="C153" s="2250"/>
      <c r="D153" s="2250"/>
      <c r="E153" s="2250"/>
      <c r="F153" s="2250"/>
      <c r="G153" s="2250"/>
      <c r="H153" s="2250"/>
      <c r="I153" s="2250"/>
      <c r="J153" s="2250"/>
      <c r="K153" s="2250"/>
      <c r="L153" s="2250"/>
      <c r="M153" s="2250"/>
      <c r="N153" s="2250"/>
      <c r="O153" s="2250"/>
      <c r="P153" s="2250"/>
      <c r="Q153" s="2250"/>
      <c r="R153" s="2250"/>
      <c r="S153" s="2250"/>
      <c r="T153" s="2250"/>
      <c r="U153" s="2250"/>
      <c r="V153" s="2250"/>
      <c r="W153" s="2250"/>
      <c r="X153" s="2250"/>
      <c r="Y153" s="2250"/>
      <c r="Z153" s="2250"/>
      <c r="AA153" s="2250"/>
      <c r="AB153" s="2250"/>
      <c r="AC153" s="2250"/>
      <c r="AD153" s="2250"/>
      <c r="AE153" s="2250"/>
      <c r="AF153" s="2250"/>
      <c r="AG153" s="2250"/>
      <c r="AH153" s="2250"/>
      <c r="AI153" s="2250"/>
      <c r="AJ153" s="2250"/>
      <c r="AK153" s="2250"/>
      <c r="AL153" s="2250"/>
      <c r="AM153" s="2250"/>
      <c r="AN153" s="2250"/>
      <c r="AO153" s="2250"/>
      <c r="AP153" s="2250"/>
      <c r="AQ153" s="2250"/>
      <c r="AR153" s="2250"/>
      <c r="AS153" s="2250"/>
      <c r="AT153" s="2250"/>
      <c r="AU153" s="2250"/>
      <c r="AV153" s="2250"/>
      <c r="AW153" s="2250"/>
      <c r="AX153" s="2250"/>
      <c r="AY153" s="2250"/>
      <c r="AZ153" s="2250"/>
      <c r="BA153" s="2250"/>
      <c r="BB153" s="2250"/>
      <c r="BC153" s="2250"/>
      <c r="BD153" s="2250"/>
      <c r="BE153" s="2250"/>
      <c r="BF153" s="1201">
        <v>0</v>
      </c>
      <c r="BG153" s="1302">
        <v>15</v>
      </c>
      <c r="BH153" s="2250"/>
      <c r="BI153" s="2275"/>
      <c r="BJ153" s="2250"/>
      <c r="BK153" s="2250"/>
      <c r="BL153" s="2250"/>
      <c r="BM153" s="2250"/>
      <c r="BN153" s="2250"/>
      <c r="BO153" s="2250"/>
      <c r="BP153" s="2250"/>
      <c r="BQ153" s="2250"/>
      <c r="BR153" s="2250"/>
      <c r="BS153" s="2250"/>
      <c r="BT153" s="2250"/>
      <c r="BU153" s="2250"/>
      <c r="BV153" s="2250"/>
      <c r="BW153" s="2250"/>
      <c r="BX153" s="2250"/>
      <c r="BY153" s="2250"/>
      <c r="BZ153" s="2250"/>
      <c r="CA153" s="2250"/>
      <c r="CB153" s="2250"/>
      <c r="CC153" s="2250"/>
      <c r="CD153" s="2250"/>
      <c r="CE153" s="2250"/>
      <c r="CF153" s="2250"/>
      <c r="CG153" s="2250"/>
      <c r="CH153" s="2250"/>
      <c r="CI153" s="2250"/>
      <c r="CJ153" s="2250"/>
      <c r="CK153" s="2250"/>
      <c r="CL153" s="2250"/>
      <c r="CM153" s="2250"/>
      <c r="CN153" s="2250"/>
      <c r="CO153" s="2250"/>
      <c r="CP153" s="2250"/>
      <c r="CQ153" s="2250"/>
      <c r="CR153" s="2250"/>
      <c r="CS153" s="2250"/>
      <c r="CT153" s="2250"/>
      <c r="CU153" s="2250"/>
      <c r="CV153" s="2250"/>
      <c r="CW153" s="2250"/>
      <c r="CX153" s="2250"/>
      <c r="CY153" s="2250"/>
      <c r="CZ153" s="2250"/>
      <c r="DA153" s="2250"/>
      <c r="DB153" s="2250"/>
      <c r="DC153" s="2250"/>
      <c r="DD153" s="2250"/>
      <c r="DE153" s="2250"/>
      <c r="DF153" s="2250"/>
      <c r="DG153" s="2250"/>
      <c r="DH153" s="2250"/>
      <c r="DI153" s="2250"/>
      <c r="DJ153" s="2250"/>
      <c r="DK153" s="2250"/>
      <c r="DL153" s="2250"/>
      <c r="DM153" s="2250"/>
      <c r="DN153" s="2250"/>
      <c r="DO153" s="2250"/>
      <c r="DP153" s="2250"/>
      <c r="DQ153" s="2277"/>
      <c r="DR153" s="2277"/>
      <c r="DS153" s="277"/>
      <c r="DW153" s="2275"/>
      <c r="DX153" s="2250"/>
      <c r="DY153" s="2250"/>
      <c r="DZ153" s="2250"/>
      <c r="EA153" s="2250"/>
      <c r="EB153" s="2250"/>
      <c r="EC153" s="2250"/>
      <c r="ED153" s="2250"/>
      <c r="EE153" s="2250"/>
      <c r="EF153" s="2250"/>
      <c r="EG153" s="2250"/>
      <c r="EH153" s="2250"/>
      <c r="EI153" s="2250"/>
      <c r="EJ153" s="2250"/>
      <c r="EK153" s="2250"/>
      <c r="EL153" s="2250"/>
      <c r="EM153" s="2250"/>
      <c r="EN153" s="2250"/>
      <c r="EO153" s="2250"/>
      <c r="EP153" s="2250"/>
      <c r="EQ153" s="2250"/>
      <c r="ER153" s="2250"/>
      <c r="ES153" s="2250"/>
      <c r="ET153" s="2250"/>
      <c r="EU153" s="2250"/>
      <c r="EV153" s="2250"/>
      <c r="EW153" s="2250"/>
      <c r="EX153" s="2250"/>
      <c r="EY153" s="2250"/>
      <c r="EZ153" s="2250"/>
      <c r="FA153" s="2250"/>
      <c r="FB153" s="2250"/>
      <c r="FC153" s="2250"/>
      <c r="FD153" s="2250"/>
      <c r="FE153" s="2250"/>
      <c r="FF153" s="2250"/>
      <c r="FG153" s="2250"/>
      <c r="FH153" s="2250"/>
      <c r="FI153" s="2250"/>
      <c r="FJ153" s="2250"/>
      <c r="FK153" s="2250"/>
      <c r="FL153" s="2250"/>
      <c r="FM153" s="2250"/>
      <c r="FN153" s="2250"/>
      <c r="FO153" s="2250"/>
      <c r="FP153" s="2250"/>
      <c r="FQ153" s="2250"/>
      <c r="FR153" s="2250"/>
      <c r="FS153" s="2250"/>
      <c r="FT153" s="2250"/>
      <c r="FU153" s="2250"/>
      <c r="FV153" s="2250"/>
      <c r="FW153" s="2250"/>
      <c r="FX153" s="2250"/>
      <c r="FY153" s="2250"/>
      <c r="FZ153" s="2250"/>
      <c r="GA153" s="2250"/>
      <c r="GB153" s="1201">
        <v>0</v>
      </c>
      <c r="GC153" s="1302">
        <v>15</v>
      </c>
      <c r="GD153" s="2250"/>
      <c r="GE153" s="2275"/>
      <c r="GF153" s="2250"/>
      <c r="GG153" s="2250"/>
      <c r="GH153" s="2250"/>
      <c r="GI153" s="2250"/>
      <c r="GJ153" s="2250"/>
      <c r="GK153" s="2250"/>
      <c r="GL153" s="2250"/>
      <c r="GM153" s="2250"/>
      <c r="GN153" s="2250"/>
      <c r="GO153" s="2250"/>
      <c r="GP153" s="2250"/>
      <c r="GQ153" s="2250"/>
      <c r="GR153" s="2250"/>
      <c r="GS153" s="2250"/>
      <c r="GT153" s="2250"/>
      <c r="GU153" s="2250"/>
      <c r="GV153" s="2250"/>
      <c r="GW153" s="2250"/>
      <c r="GX153" s="2250"/>
      <c r="GY153" s="2250"/>
      <c r="GZ153" s="2250"/>
      <c r="HA153" s="2250"/>
      <c r="HB153" s="2250"/>
      <c r="HC153" s="2250"/>
      <c r="HD153" s="2250"/>
      <c r="HE153" s="2250"/>
      <c r="HF153" s="2250"/>
      <c r="HG153" s="2250"/>
      <c r="HH153" s="2250"/>
      <c r="HI153" s="2250"/>
      <c r="HJ153" s="2250"/>
      <c r="HK153" s="2250"/>
      <c r="HL153" s="2250"/>
      <c r="HM153" s="2250"/>
      <c r="HN153" s="2250"/>
      <c r="HO153" s="2250"/>
      <c r="HP153" s="2250"/>
      <c r="HQ153" s="2250"/>
      <c r="HR153" s="2250"/>
      <c r="HS153" s="2250"/>
      <c r="HT153" s="2250"/>
      <c r="HU153" s="2250"/>
      <c r="HV153" s="2250"/>
      <c r="HW153" s="2250"/>
      <c r="HX153" s="2250"/>
      <c r="HY153" s="2250"/>
      <c r="HZ153" s="2250"/>
      <c r="IA153" s="2250"/>
      <c r="IB153" s="2250"/>
      <c r="IC153" s="2250"/>
      <c r="ID153" s="2250"/>
      <c r="IE153" s="2250"/>
      <c r="IF153" s="2250"/>
      <c r="IG153" s="2250"/>
      <c r="IH153" s="2250"/>
      <c r="II153" s="2250"/>
      <c r="IJ153" s="2250"/>
      <c r="IK153" s="2250"/>
      <c r="IL153" s="2250"/>
      <c r="IN153" s="277"/>
      <c r="IO153" s="277"/>
    </row>
    <row r="154" spans="1:249" ht="21.95" customHeight="1">
      <c r="A154" s="2275"/>
      <c r="B154" s="2333" t="s">
        <v>731</v>
      </c>
      <c r="C154" s="4670" t="s">
        <v>732</v>
      </c>
      <c r="D154" s="4670"/>
      <c r="E154" s="2334"/>
      <c r="F154" s="4680"/>
      <c r="G154" s="4672"/>
      <c r="H154" s="4672"/>
      <c r="I154" s="4672"/>
      <c r="J154" s="4672"/>
      <c r="K154" s="4672"/>
      <c r="L154" s="2334"/>
      <c r="M154" s="2334"/>
      <c r="N154" s="2250"/>
      <c r="O154" s="2250"/>
      <c r="P154" s="2333" t="s">
        <v>731</v>
      </c>
      <c r="Q154" s="4670" t="s">
        <v>733</v>
      </c>
      <c r="R154" s="4670"/>
      <c r="S154" s="2334"/>
      <c r="T154" s="4672"/>
      <c r="U154" s="4672"/>
      <c r="V154" s="4672"/>
      <c r="W154" s="4672"/>
      <c r="X154" s="4672"/>
      <c r="Y154" s="4672"/>
      <c r="Z154" s="2334"/>
      <c r="AA154" s="2334"/>
      <c r="AB154" s="2250"/>
      <c r="AC154" s="2250"/>
      <c r="AD154" s="2334"/>
      <c r="AE154" s="4670" t="s">
        <v>734</v>
      </c>
      <c r="AF154" s="4670"/>
      <c r="AG154" s="2334"/>
      <c r="AH154" s="2334"/>
      <c r="AI154" s="2334"/>
      <c r="AJ154" s="2334"/>
      <c r="AK154" s="2334"/>
      <c r="AL154" s="2334"/>
      <c r="AM154" s="2334"/>
      <c r="AN154" s="2334"/>
      <c r="AO154" s="2334"/>
      <c r="AP154" s="2250"/>
      <c r="AQ154" s="2250"/>
      <c r="AR154" s="2335"/>
      <c r="AS154" s="4670" t="s">
        <v>735</v>
      </c>
      <c r="AT154" s="4670"/>
      <c r="AU154" s="2335"/>
      <c r="AV154" s="2335"/>
      <c r="AW154" s="2335"/>
      <c r="AX154" s="2335"/>
      <c r="AY154" s="2335"/>
      <c r="AZ154" s="2335"/>
      <c r="BA154" s="2335"/>
      <c r="BB154" s="2335"/>
      <c r="BC154" s="2335"/>
      <c r="BD154" s="2250"/>
      <c r="BE154" s="2250"/>
      <c r="BF154" s="2176">
        <v>15</v>
      </c>
      <c r="BG154" s="2176">
        <v>18.8</v>
      </c>
      <c r="BH154" s="2250"/>
      <c r="BI154" s="2275"/>
      <c r="BJ154" s="2333" t="s">
        <v>731</v>
      </c>
      <c r="BK154" s="4670" t="s">
        <v>732</v>
      </c>
      <c r="BL154" s="4670"/>
      <c r="BM154" s="2334"/>
      <c r="BN154" s="4680"/>
      <c r="BO154" s="4672"/>
      <c r="BP154" s="4672"/>
      <c r="BQ154" s="4672"/>
      <c r="BR154" s="4672"/>
      <c r="BS154" s="4672"/>
      <c r="BT154" s="2334"/>
      <c r="BU154" s="2334"/>
      <c r="BV154" s="2250"/>
      <c r="BW154" s="2250"/>
      <c r="BX154" s="2333" t="s">
        <v>731</v>
      </c>
      <c r="BY154" s="4670" t="s">
        <v>733</v>
      </c>
      <c r="BZ154" s="4670"/>
      <c r="CA154" s="2334"/>
      <c r="CB154" s="4672"/>
      <c r="CC154" s="4672"/>
      <c r="CD154" s="4672"/>
      <c r="CE154" s="4672"/>
      <c r="CF154" s="4672"/>
      <c r="CG154" s="4672"/>
      <c r="CH154" s="2334"/>
      <c r="CI154" s="2334"/>
      <c r="CJ154" s="2250"/>
      <c r="CK154" s="2250"/>
      <c r="CL154" s="2334"/>
      <c r="CM154" s="4670" t="s">
        <v>734</v>
      </c>
      <c r="CN154" s="4670"/>
      <c r="CO154" s="2334"/>
      <c r="CP154" s="2334"/>
      <c r="CQ154" s="2334"/>
      <c r="CR154" s="2334"/>
      <c r="CS154" s="2334"/>
      <c r="CT154" s="2334"/>
      <c r="CU154" s="2334"/>
      <c r="CV154" s="2334"/>
      <c r="CW154" s="2334"/>
      <c r="CX154" s="2250"/>
      <c r="CY154" s="2250"/>
      <c r="CZ154" s="2335"/>
      <c r="DA154" s="4670" t="s">
        <v>735</v>
      </c>
      <c r="DB154" s="4670"/>
      <c r="DC154" s="2335"/>
      <c r="DD154" s="2335"/>
      <c r="DE154" s="2335"/>
      <c r="DF154" s="2335"/>
      <c r="DG154" s="2335"/>
      <c r="DH154" s="2335"/>
      <c r="DI154" s="2335"/>
      <c r="DJ154" s="2335"/>
      <c r="DK154" s="2335"/>
      <c r="DL154" s="2250"/>
      <c r="DM154" s="2250"/>
      <c r="DN154" s="2250"/>
      <c r="DO154" s="2250"/>
      <c r="DP154" s="2250"/>
      <c r="DQ154" s="2277"/>
      <c r="DR154" s="2277"/>
      <c r="DS154" s="277"/>
      <c r="DW154" s="2275"/>
      <c r="DX154" s="2333" t="s">
        <v>731</v>
      </c>
      <c r="DY154" s="4670" t="s">
        <v>732</v>
      </c>
      <c r="DZ154" s="4670"/>
      <c r="EA154" s="2334"/>
      <c r="EB154" s="4680"/>
      <c r="EC154" s="4672"/>
      <c r="ED154" s="4672"/>
      <c r="EE154" s="4672"/>
      <c r="EF154" s="4672"/>
      <c r="EG154" s="4672"/>
      <c r="EH154" s="2334"/>
      <c r="EI154" s="2334"/>
      <c r="EJ154" s="2250"/>
      <c r="EK154" s="2250"/>
      <c r="EL154" s="2333" t="s">
        <v>731</v>
      </c>
      <c r="EM154" s="4670" t="s">
        <v>733</v>
      </c>
      <c r="EN154" s="4670"/>
      <c r="EO154" s="2334"/>
      <c r="EP154" s="4672"/>
      <c r="EQ154" s="4672"/>
      <c r="ER154" s="4672"/>
      <c r="ES154" s="4672"/>
      <c r="ET154" s="4672"/>
      <c r="EU154" s="4672"/>
      <c r="EV154" s="2334"/>
      <c r="EW154" s="2334"/>
      <c r="EX154" s="2250"/>
      <c r="EY154" s="2250"/>
      <c r="EZ154" s="2334"/>
      <c r="FA154" s="4670" t="s">
        <v>734</v>
      </c>
      <c r="FB154" s="4670"/>
      <c r="FC154" s="2334"/>
      <c r="FD154" s="2334"/>
      <c r="FE154" s="2334"/>
      <c r="FF154" s="2334"/>
      <c r="FG154" s="2334"/>
      <c r="FH154" s="2334"/>
      <c r="FI154" s="2334"/>
      <c r="FJ154" s="2334"/>
      <c r="FK154" s="2334"/>
      <c r="FL154" s="2250"/>
      <c r="FM154" s="2250"/>
      <c r="FN154" s="2335"/>
      <c r="FO154" s="4670" t="s">
        <v>735</v>
      </c>
      <c r="FP154" s="4670"/>
      <c r="FQ154" s="2335"/>
      <c r="FR154" s="2335"/>
      <c r="FS154" s="2335"/>
      <c r="FT154" s="2335"/>
      <c r="FU154" s="2335"/>
      <c r="FV154" s="2335"/>
      <c r="FW154" s="2335"/>
      <c r="FX154" s="2335"/>
      <c r="FY154" s="2335"/>
      <c r="FZ154" s="2250"/>
      <c r="GA154" s="2250"/>
      <c r="GB154" s="2176">
        <v>15</v>
      </c>
      <c r="GC154" s="2176">
        <v>18.8</v>
      </c>
      <c r="GD154" s="2250"/>
      <c r="GE154" s="2275"/>
      <c r="GF154" s="2333" t="s">
        <v>731</v>
      </c>
      <c r="GG154" s="4670" t="s">
        <v>732</v>
      </c>
      <c r="GH154" s="4670"/>
      <c r="GI154" s="2334"/>
      <c r="GJ154" s="4680"/>
      <c r="GK154" s="4672"/>
      <c r="GL154" s="4672"/>
      <c r="GM154" s="4672"/>
      <c r="GN154" s="4672"/>
      <c r="GO154" s="4672"/>
      <c r="GP154" s="2334"/>
      <c r="GQ154" s="2334"/>
      <c r="GR154" s="2250"/>
      <c r="GS154" s="2250"/>
      <c r="GT154" s="2333" t="s">
        <v>731</v>
      </c>
      <c r="GU154" s="4670" t="s">
        <v>733</v>
      </c>
      <c r="GV154" s="4670"/>
      <c r="GW154" s="2334"/>
      <c r="GX154" s="4672"/>
      <c r="GY154" s="4672"/>
      <c r="GZ154" s="4672"/>
      <c r="HA154" s="4672"/>
      <c r="HB154" s="4672"/>
      <c r="HC154" s="4672"/>
      <c r="HD154" s="2334"/>
      <c r="HE154" s="2334"/>
      <c r="HF154" s="2250"/>
      <c r="HG154" s="2250"/>
      <c r="HH154" s="2334"/>
      <c r="HI154" s="4670" t="s">
        <v>734</v>
      </c>
      <c r="HJ154" s="4670"/>
      <c r="HK154" s="2334"/>
      <c r="HL154" s="2334"/>
      <c r="HM154" s="2334"/>
      <c r="HN154" s="2334"/>
      <c r="HO154" s="2334"/>
      <c r="HP154" s="2334"/>
      <c r="HQ154" s="2334"/>
      <c r="HR154" s="2334"/>
      <c r="HS154" s="2334"/>
      <c r="HT154" s="2250"/>
      <c r="HU154" s="2250"/>
      <c r="HV154" s="2335"/>
      <c r="HW154" s="4670" t="s">
        <v>735</v>
      </c>
      <c r="HX154" s="4670"/>
      <c r="HY154" s="2335"/>
      <c r="HZ154" s="2335"/>
      <c r="IA154" s="2335"/>
      <c r="IB154" s="2335"/>
      <c r="IC154" s="2335"/>
      <c r="ID154" s="2335"/>
      <c r="IE154" s="2335"/>
      <c r="IF154" s="2335"/>
      <c r="IG154" s="2335"/>
      <c r="IH154" s="2250"/>
      <c r="II154" s="2250"/>
      <c r="IJ154" s="2250"/>
      <c r="IK154" s="2250"/>
      <c r="IL154" s="2250"/>
      <c r="IN154" s="277"/>
      <c r="IO154" s="277"/>
    </row>
    <row r="155" spans="1:249" ht="21.95" customHeight="1">
      <c r="A155" s="2275"/>
      <c r="B155" s="2333" t="s">
        <v>736</v>
      </c>
      <c r="C155" s="2333">
        <v>400</v>
      </c>
      <c r="D155" s="2333">
        <v>475</v>
      </c>
      <c r="E155" s="2333">
        <v>550</v>
      </c>
      <c r="F155" s="2333">
        <v>650</v>
      </c>
      <c r="G155" s="2333">
        <v>775</v>
      </c>
      <c r="H155" s="2333">
        <v>825</v>
      </c>
      <c r="I155" s="2333">
        <v>950</v>
      </c>
      <c r="J155" s="2333">
        <v>1100</v>
      </c>
      <c r="K155" s="2333">
        <v>1250</v>
      </c>
      <c r="L155" s="2333">
        <v>1450</v>
      </c>
      <c r="M155" s="2333">
        <v>1650</v>
      </c>
      <c r="N155" s="2250"/>
      <c r="O155" s="2250"/>
      <c r="P155" s="2333" t="s">
        <v>736</v>
      </c>
      <c r="Q155" s="2333">
        <v>450</v>
      </c>
      <c r="R155" s="2333">
        <v>475</v>
      </c>
      <c r="S155" s="2333">
        <v>550</v>
      </c>
      <c r="T155" s="2333">
        <v>650</v>
      </c>
      <c r="U155" s="2333">
        <v>775</v>
      </c>
      <c r="V155" s="2333">
        <v>825</v>
      </c>
      <c r="W155" s="2333">
        <v>950</v>
      </c>
      <c r="X155" s="2333">
        <v>1100</v>
      </c>
      <c r="Y155" s="2333">
        <v>1250</v>
      </c>
      <c r="Z155" s="2333">
        <v>1450</v>
      </c>
      <c r="AA155" s="2333">
        <v>1650</v>
      </c>
      <c r="AB155" s="2250"/>
      <c r="AC155" s="2250"/>
      <c r="AD155" s="2333" t="s">
        <v>736</v>
      </c>
      <c r="AE155" s="2333">
        <v>400</v>
      </c>
      <c r="AF155" s="2333">
        <v>475</v>
      </c>
      <c r="AG155" s="2333">
        <v>550</v>
      </c>
      <c r="AH155" s="2333">
        <v>650</v>
      </c>
      <c r="AI155" s="2333">
        <v>775</v>
      </c>
      <c r="AJ155" s="2333">
        <v>825</v>
      </c>
      <c r="AK155" s="2333">
        <v>950</v>
      </c>
      <c r="AL155" s="2333">
        <v>1100</v>
      </c>
      <c r="AM155" s="2333">
        <v>1250</v>
      </c>
      <c r="AN155" s="2333">
        <v>1450</v>
      </c>
      <c r="AO155" s="2333">
        <v>1650</v>
      </c>
      <c r="AP155" s="2250"/>
      <c r="AQ155" s="2250"/>
      <c r="AR155" s="2333" t="s">
        <v>736</v>
      </c>
      <c r="AS155" s="2333">
        <v>400</v>
      </c>
      <c r="AT155" s="2333">
        <v>475</v>
      </c>
      <c r="AU155" s="2333">
        <v>550</v>
      </c>
      <c r="AV155" s="2333">
        <v>650</v>
      </c>
      <c r="AW155" s="2333">
        <v>775</v>
      </c>
      <c r="AX155" s="2333">
        <v>825</v>
      </c>
      <c r="AY155" s="2333">
        <v>950</v>
      </c>
      <c r="AZ155" s="2333">
        <v>1100</v>
      </c>
      <c r="BA155" s="2333">
        <v>1250</v>
      </c>
      <c r="BB155" s="2333">
        <v>1450</v>
      </c>
      <c r="BC155" s="2333">
        <v>1650</v>
      </c>
      <c r="BD155" s="2250"/>
      <c r="BE155" s="2250"/>
      <c r="BF155" s="2176">
        <v>18.8</v>
      </c>
      <c r="BG155" s="2176">
        <v>23.6</v>
      </c>
      <c r="BH155" s="2250"/>
      <c r="BI155" s="2275"/>
      <c r="BJ155" s="2333" t="s">
        <v>736</v>
      </c>
      <c r="BK155" s="2333">
        <v>400</v>
      </c>
      <c r="BL155" s="2333">
        <v>475</v>
      </c>
      <c r="BM155" s="2333">
        <v>550</v>
      </c>
      <c r="BN155" s="2333">
        <v>650</v>
      </c>
      <c r="BO155" s="2333">
        <v>775</v>
      </c>
      <c r="BP155" s="2333">
        <v>825</v>
      </c>
      <c r="BQ155" s="2333">
        <v>950</v>
      </c>
      <c r="BR155" s="2333">
        <v>1100</v>
      </c>
      <c r="BS155" s="2333">
        <v>1250</v>
      </c>
      <c r="BT155" s="2333">
        <v>1450</v>
      </c>
      <c r="BU155" s="2333">
        <v>1650</v>
      </c>
      <c r="BV155" s="2250"/>
      <c r="BW155" s="2250"/>
      <c r="BX155" s="2333" t="s">
        <v>736</v>
      </c>
      <c r="BY155" s="2333">
        <v>450</v>
      </c>
      <c r="BZ155" s="2333">
        <v>475</v>
      </c>
      <c r="CA155" s="2333">
        <v>550</v>
      </c>
      <c r="CB155" s="2333">
        <v>650</v>
      </c>
      <c r="CC155" s="2333">
        <v>775</v>
      </c>
      <c r="CD155" s="2333">
        <v>825</v>
      </c>
      <c r="CE155" s="2333">
        <v>950</v>
      </c>
      <c r="CF155" s="2333">
        <v>1100</v>
      </c>
      <c r="CG155" s="2333">
        <v>1250</v>
      </c>
      <c r="CH155" s="2333">
        <v>1450</v>
      </c>
      <c r="CI155" s="2333">
        <v>1650</v>
      </c>
      <c r="CJ155" s="2250"/>
      <c r="CK155" s="2250"/>
      <c r="CL155" s="2333" t="s">
        <v>736</v>
      </c>
      <c r="CM155" s="2333">
        <v>400</v>
      </c>
      <c r="CN155" s="2333">
        <v>475</v>
      </c>
      <c r="CO155" s="2333">
        <v>550</v>
      </c>
      <c r="CP155" s="2333">
        <v>650</v>
      </c>
      <c r="CQ155" s="2333">
        <v>775</v>
      </c>
      <c r="CR155" s="2333">
        <v>825</v>
      </c>
      <c r="CS155" s="2333">
        <v>950</v>
      </c>
      <c r="CT155" s="2333">
        <v>1100</v>
      </c>
      <c r="CU155" s="2333">
        <v>1250</v>
      </c>
      <c r="CV155" s="2333">
        <v>1450</v>
      </c>
      <c r="CW155" s="2333">
        <v>1650</v>
      </c>
      <c r="CX155" s="2250"/>
      <c r="CY155" s="2250"/>
      <c r="CZ155" s="2333" t="s">
        <v>736</v>
      </c>
      <c r="DA155" s="2333">
        <v>400</v>
      </c>
      <c r="DB155" s="2333">
        <v>475</v>
      </c>
      <c r="DC155" s="2333">
        <v>550</v>
      </c>
      <c r="DD155" s="2333">
        <v>650</v>
      </c>
      <c r="DE155" s="2333">
        <v>775</v>
      </c>
      <c r="DF155" s="2333">
        <v>825</v>
      </c>
      <c r="DG155" s="2333">
        <v>950</v>
      </c>
      <c r="DH155" s="2333">
        <v>1100</v>
      </c>
      <c r="DI155" s="2333">
        <v>1250</v>
      </c>
      <c r="DJ155" s="2333">
        <v>1450</v>
      </c>
      <c r="DK155" s="2333">
        <v>1650</v>
      </c>
      <c r="DL155" s="2250"/>
      <c r="DM155" s="2250"/>
      <c r="DN155" s="2250"/>
      <c r="DO155" s="2250"/>
      <c r="DP155" s="2250"/>
      <c r="DQ155" s="2277"/>
      <c r="DR155" s="2277"/>
      <c r="DS155" s="277"/>
      <c r="DW155" s="2275"/>
      <c r="DX155" s="2333" t="s">
        <v>736</v>
      </c>
      <c r="DY155" s="2333">
        <v>400</v>
      </c>
      <c r="DZ155" s="2333">
        <v>475</v>
      </c>
      <c r="EA155" s="2333">
        <v>550</v>
      </c>
      <c r="EB155" s="2333">
        <v>650</v>
      </c>
      <c r="EC155" s="2333">
        <v>775</v>
      </c>
      <c r="ED155" s="2333">
        <v>825</v>
      </c>
      <c r="EE155" s="2333">
        <v>950</v>
      </c>
      <c r="EF155" s="2333">
        <v>1100</v>
      </c>
      <c r="EG155" s="2333">
        <v>1250</v>
      </c>
      <c r="EH155" s="2333">
        <v>1450</v>
      </c>
      <c r="EI155" s="2333">
        <v>1650</v>
      </c>
      <c r="EJ155" s="2250"/>
      <c r="EK155" s="2250"/>
      <c r="EL155" s="2333" t="s">
        <v>736</v>
      </c>
      <c r="EM155" s="2333">
        <v>450</v>
      </c>
      <c r="EN155" s="2333">
        <v>475</v>
      </c>
      <c r="EO155" s="2333">
        <v>550</v>
      </c>
      <c r="EP155" s="2333">
        <v>650</v>
      </c>
      <c r="EQ155" s="2333">
        <v>775</v>
      </c>
      <c r="ER155" s="2333">
        <v>825</v>
      </c>
      <c r="ES155" s="2333">
        <v>950</v>
      </c>
      <c r="ET155" s="2333">
        <v>1100</v>
      </c>
      <c r="EU155" s="2333">
        <v>1250</v>
      </c>
      <c r="EV155" s="2333">
        <v>1450</v>
      </c>
      <c r="EW155" s="2333">
        <v>1650</v>
      </c>
      <c r="EX155" s="2250"/>
      <c r="EY155" s="2250"/>
      <c r="EZ155" s="2333" t="s">
        <v>736</v>
      </c>
      <c r="FA155" s="2333">
        <v>400</v>
      </c>
      <c r="FB155" s="2333">
        <v>475</v>
      </c>
      <c r="FC155" s="2333">
        <v>550</v>
      </c>
      <c r="FD155" s="2333">
        <v>650</v>
      </c>
      <c r="FE155" s="2333">
        <v>775</v>
      </c>
      <c r="FF155" s="2333">
        <v>825</v>
      </c>
      <c r="FG155" s="2333">
        <v>950</v>
      </c>
      <c r="FH155" s="2333">
        <v>1100</v>
      </c>
      <c r="FI155" s="2333">
        <v>1250</v>
      </c>
      <c r="FJ155" s="2333">
        <v>1450</v>
      </c>
      <c r="FK155" s="2333">
        <v>1650</v>
      </c>
      <c r="FL155" s="2250"/>
      <c r="FM155" s="2250"/>
      <c r="FN155" s="2333" t="s">
        <v>736</v>
      </c>
      <c r="FO155" s="2333">
        <v>400</v>
      </c>
      <c r="FP155" s="2333">
        <v>475</v>
      </c>
      <c r="FQ155" s="2333">
        <v>550</v>
      </c>
      <c r="FR155" s="2333">
        <v>650</v>
      </c>
      <c r="FS155" s="2333">
        <v>775</v>
      </c>
      <c r="FT155" s="2333">
        <v>825</v>
      </c>
      <c r="FU155" s="2333">
        <v>950</v>
      </c>
      <c r="FV155" s="2333">
        <v>1100</v>
      </c>
      <c r="FW155" s="2333">
        <v>1250</v>
      </c>
      <c r="FX155" s="2333">
        <v>1450</v>
      </c>
      <c r="FY155" s="2333">
        <v>1650</v>
      </c>
      <c r="FZ155" s="2250"/>
      <c r="GA155" s="2250"/>
      <c r="GB155" s="2176">
        <v>18.8</v>
      </c>
      <c r="GC155" s="2176">
        <v>23.6</v>
      </c>
      <c r="GD155" s="2250"/>
      <c r="GE155" s="2275"/>
      <c r="GF155" s="2333" t="s">
        <v>736</v>
      </c>
      <c r="GG155" s="2333">
        <v>400</v>
      </c>
      <c r="GH155" s="2333">
        <v>475</v>
      </c>
      <c r="GI155" s="2333">
        <v>550</v>
      </c>
      <c r="GJ155" s="2333">
        <v>650</v>
      </c>
      <c r="GK155" s="2333">
        <v>775</v>
      </c>
      <c r="GL155" s="2333">
        <v>825</v>
      </c>
      <c r="GM155" s="2333">
        <v>950</v>
      </c>
      <c r="GN155" s="2333">
        <v>1100</v>
      </c>
      <c r="GO155" s="2333">
        <v>1250</v>
      </c>
      <c r="GP155" s="2333">
        <v>1450</v>
      </c>
      <c r="GQ155" s="2333">
        <v>1650</v>
      </c>
      <c r="GR155" s="2250"/>
      <c r="GS155" s="2250"/>
      <c r="GT155" s="2333" t="s">
        <v>736</v>
      </c>
      <c r="GU155" s="2333">
        <v>450</v>
      </c>
      <c r="GV155" s="2333">
        <v>475</v>
      </c>
      <c r="GW155" s="2333">
        <v>550</v>
      </c>
      <c r="GX155" s="2333">
        <v>650</v>
      </c>
      <c r="GY155" s="2333">
        <v>775</v>
      </c>
      <c r="GZ155" s="2333">
        <v>825</v>
      </c>
      <c r="HA155" s="2333">
        <v>950</v>
      </c>
      <c r="HB155" s="2333">
        <v>1100</v>
      </c>
      <c r="HC155" s="2333">
        <v>1250</v>
      </c>
      <c r="HD155" s="2333">
        <v>1450</v>
      </c>
      <c r="HE155" s="2333">
        <v>1650</v>
      </c>
      <c r="HF155" s="2250"/>
      <c r="HG155" s="2250"/>
      <c r="HH155" s="2333" t="s">
        <v>736</v>
      </c>
      <c r="HI155" s="2333">
        <v>400</v>
      </c>
      <c r="HJ155" s="2333">
        <v>475</v>
      </c>
      <c r="HK155" s="2333">
        <v>550</v>
      </c>
      <c r="HL155" s="2333">
        <v>650</v>
      </c>
      <c r="HM155" s="2333">
        <v>775</v>
      </c>
      <c r="HN155" s="2333">
        <v>825</v>
      </c>
      <c r="HO155" s="2333">
        <v>950</v>
      </c>
      <c r="HP155" s="2333">
        <v>1100</v>
      </c>
      <c r="HQ155" s="2333">
        <v>1250</v>
      </c>
      <c r="HR155" s="2333">
        <v>1450</v>
      </c>
      <c r="HS155" s="2333">
        <v>1650</v>
      </c>
      <c r="HT155" s="2250"/>
      <c r="HU155" s="2250"/>
      <c r="HV155" s="2333" t="s">
        <v>736</v>
      </c>
      <c r="HW155" s="2333">
        <v>400</v>
      </c>
      <c r="HX155" s="2333">
        <v>475</v>
      </c>
      <c r="HY155" s="2333">
        <v>550</v>
      </c>
      <c r="HZ155" s="2333">
        <v>650</v>
      </c>
      <c r="IA155" s="2333">
        <v>775</v>
      </c>
      <c r="IB155" s="2333">
        <v>825</v>
      </c>
      <c r="IC155" s="2333">
        <v>950</v>
      </c>
      <c r="ID155" s="2333">
        <v>1100</v>
      </c>
      <c r="IE155" s="2333">
        <v>1250</v>
      </c>
      <c r="IF155" s="2333">
        <v>1450</v>
      </c>
      <c r="IG155" s="2333">
        <v>1650</v>
      </c>
      <c r="IH155" s="2250"/>
      <c r="II155" s="2250"/>
      <c r="IJ155" s="2250"/>
      <c r="IK155" s="2250"/>
      <c r="IL155" s="2250"/>
      <c r="IN155" s="277"/>
      <c r="IO155" s="277"/>
    </row>
    <row r="156" spans="1:249" ht="21.95" customHeight="1">
      <c r="A156" s="2275"/>
      <c r="B156" s="2333">
        <v>223.8</v>
      </c>
      <c r="C156" s="2336">
        <v>3.56</v>
      </c>
      <c r="D156" s="2336">
        <v>5.35</v>
      </c>
      <c r="E156" s="2336">
        <v>10.4</v>
      </c>
      <c r="F156" s="2336">
        <v>17.920000000000002</v>
      </c>
      <c r="G156" s="2336">
        <v>28.51</v>
      </c>
      <c r="H156" s="2336">
        <v>42.48</v>
      </c>
      <c r="I156" s="2336">
        <v>60.5</v>
      </c>
      <c r="J156" s="2336">
        <v>82.97</v>
      </c>
      <c r="K156" s="2336">
        <v>112.77</v>
      </c>
      <c r="L156" s="2336">
        <v>179.01</v>
      </c>
      <c r="M156" s="2336">
        <v>267.23</v>
      </c>
      <c r="N156" s="2250"/>
      <c r="O156" s="2250"/>
      <c r="P156" s="2333">
        <v>223.8</v>
      </c>
      <c r="Q156" s="2336">
        <v>2.57</v>
      </c>
      <c r="R156" s="2336">
        <v>3.76</v>
      </c>
      <c r="S156" s="2336">
        <v>7.43</v>
      </c>
      <c r="T156" s="2336">
        <v>12.48</v>
      </c>
      <c r="U156" s="2336">
        <v>19.21</v>
      </c>
      <c r="V156" s="2336">
        <v>28.02</v>
      </c>
      <c r="W156" s="2336">
        <v>38.909999999999997</v>
      </c>
      <c r="X156" s="2336">
        <v>52.28</v>
      </c>
      <c r="Y156" s="2336">
        <v>76.73</v>
      </c>
      <c r="Z156" s="2336">
        <v>118.22</v>
      </c>
      <c r="AA156" s="2336">
        <v>171.78</v>
      </c>
      <c r="AB156" s="2250"/>
      <c r="AC156" s="2250"/>
      <c r="AD156" s="2333">
        <v>223.8</v>
      </c>
      <c r="AE156" s="2336">
        <v>2.0299999999999998</v>
      </c>
      <c r="AF156" s="2336">
        <v>3.05</v>
      </c>
      <c r="AG156" s="2336">
        <v>5.64</v>
      </c>
      <c r="AH156" s="2336">
        <v>9.3699999999999992</v>
      </c>
      <c r="AI156" s="2336">
        <v>14.45</v>
      </c>
      <c r="AJ156" s="2336">
        <v>20.99</v>
      </c>
      <c r="AK156" s="2336">
        <v>29.12</v>
      </c>
      <c r="AL156" s="2336">
        <v>39.159999999999997</v>
      </c>
      <c r="AM156" s="2336">
        <v>57.45</v>
      </c>
      <c r="AN156" s="2336">
        <v>88.49</v>
      </c>
      <c r="AO156" s="2336">
        <v>158.01</v>
      </c>
      <c r="AP156" s="2250"/>
      <c r="AQ156" s="2250"/>
      <c r="AR156" s="2333">
        <v>223.8</v>
      </c>
      <c r="AS156" s="2336">
        <v>1.19</v>
      </c>
      <c r="AT156" s="2336">
        <v>1.78</v>
      </c>
      <c r="AU156" s="2336">
        <v>3.27</v>
      </c>
      <c r="AV156" s="2336">
        <v>5.45</v>
      </c>
      <c r="AW156" s="2336">
        <v>8.32</v>
      </c>
      <c r="AX156" s="2336">
        <v>12.18</v>
      </c>
      <c r="AY156" s="2336">
        <v>16.93</v>
      </c>
      <c r="AZ156" s="2336">
        <v>22.67</v>
      </c>
      <c r="BA156" s="2336">
        <v>33.369999999999997</v>
      </c>
      <c r="BB156" s="2336">
        <v>51.39</v>
      </c>
      <c r="BC156" s="2336">
        <v>74.650000000000006</v>
      </c>
      <c r="BD156" s="2250"/>
      <c r="BE156" s="2250"/>
      <c r="BF156" s="2176">
        <v>23.6</v>
      </c>
      <c r="BG156" s="2176">
        <v>24.5</v>
      </c>
      <c r="BH156" s="2250"/>
      <c r="BI156" s="2275"/>
      <c r="BJ156" s="2333">
        <v>223.8</v>
      </c>
      <c r="BK156" s="2336">
        <v>3.56</v>
      </c>
      <c r="BL156" s="2336">
        <v>5.35</v>
      </c>
      <c r="BM156" s="2336">
        <v>10.4</v>
      </c>
      <c r="BN156" s="2336">
        <v>17.920000000000002</v>
      </c>
      <c r="BO156" s="2336">
        <v>28.51</v>
      </c>
      <c r="BP156" s="2336">
        <v>42.48</v>
      </c>
      <c r="BQ156" s="2336">
        <v>60.5</v>
      </c>
      <c r="BR156" s="2336">
        <v>82.97</v>
      </c>
      <c r="BS156" s="2336">
        <v>112.77</v>
      </c>
      <c r="BT156" s="2336">
        <v>179.01</v>
      </c>
      <c r="BU156" s="2336">
        <v>267.23</v>
      </c>
      <c r="BV156" s="2250"/>
      <c r="BW156" s="2250"/>
      <c r="BX156" s="2333">
        <v>223.8</v>
      </c>
      <c r="BY156" s="2336">
        <v>2.57</v>
      </c>
      <c r="BZ156" s="2336">
        <v>3.76</v>
      </c>
      <c r="CA156" s="2336">
        <v>7.43</v>
      </c>
      <c r="CB156" s="2336">
        <v>12.48</v>
      </c>
      <c r="CC156" s="2336">
        <v>19.21</v>
      </c>
      <c r="CD156" s="2336">
        <v>28.02</v>
      </c>
      <c r="CE156" s="2336">
        <v>38.909999999999997</v>
      </c>
      <c r="CF156" s="2336">
        <v>52.28</v>
      </c>
      <c r="CG156" s="2336">
        <v>76.73</v>
      </c>
      <c r="CH156" s="2336">
        <v>118.22</v>
      </c>
      <c r="CI156" s="2336">
        <v>171.78</v>
      </c>
      <c r="CJ156" s="2250"/>
      <c r="CK156" s="2250"/>
      <c r="CL156" s="2333">
        <v>223.8</v>
      </c>
      <c r="CM156" s="2336">
        <v>2.0299999999999998</v>
      </c>
      <c r="CN156" s="2336">
        <v>3.05</v>
      </c>
      <c r="CO156" s="2336">
        <v>5.64</v>
      </c>
      <c r="CP156" s="2336">
        <v>9.3699999999999992</v>
      </c>
      <c r="CQ156" s="2336">
        <v>14.45</v>
      </c>
      <c r="CR156" s="2336">
        <v>20.99</v>
      </c>
      <c r="CS156" s="2336">
        <v>29.12</v>
      </c>
      <c r="CT156" s="2336">
        <v>39.159999999999997</v>
      </c>
      <c r="CU156" s="2336">
        <v>57.45</v>
      </c>
      <c r="CV156" s="2336">
        <v>88.49</v>
      </c>
      <c r="CW156" s="2336">
        <v>158.01</v>
      </c>
      <c r="CX156" s="2250"/>
      <c r="CY156" s="2250"/>
      <c r="CZ156" s="2333">
        <v>223.8</v>
      </c>
      <c r="DA156" s="2336">
        <v>1.19</v>
      </c>
      <c r="DB156" s="2336">
        <v>1.78</v>
      </c>
      <c r="DC156" s="2336">
        <v>3.27</v>
      </c>
      <c r="DD156" s="2336">
        <v>5.45</v>
      </c>
      <c r="DE156" s="2336">
        <v>8.32</v>
      </c>
      <c r="DF156" s="2336">
        <v>12.18</v>
      </c>
      <c r="DG156" s="2336">
        <v>16.93</v>
      </c>
      <c r="DH156" s="2336">
        <v>22.67</v>
      </c>
      <c r="DI156" s="2336">
        <v>33.369999999999997</v>
      </c>
      <c r="DJ156" s="2336">
        <v>51.39</v>
      </c>
      <c r="DK156" s="2336">
        <v>74.650000000000006</v>
      </c>
      <c r="DL156" s="2250"/>
      <c r="DM156" s="2250"/>
      <c r="DN156" s="2250"/>
      <c r="DO156" s="2250"/>
      <c r="DP156" s="2250"/>
      <c r="DQ156" s="2277"/>
      <c r="DR156" s="2277"/>
      <c r="DS156" s="277"/>
      <c r="DW156" s="2275"/>
      <c r="DX156" s="2333">
        <v>223.8</v>
      </c>
      <c r="DY156" s="2336">
        <v>3.56</v>
      </c>
      <c r="DZ156" s="2336">
        <v>5.35</v>
      </c>
      <c r="EA156" s="2336">
        <v>10.4</v>
      </c>
      <c r="EB156" s="2336">
        <v>17.920000000000002</v>
      </c>
      <c r="EC156" s="2336">
        <v>28.51</v>
      </c>
      <c r="ED156" s="2336">
        <v>42.48</v>
      </c>
      <c r="EE156" s="2336">
        <v>60.5</v>
      </c>
      <c r="EF156" s="2336">
        <v>82.97</v>
      </c>
      <c r="EG156" s="2336">
        <v>112.77</v>
      </c>
      <c r="EH156" s="2336">
        <v>179.01</v>
      </c>
      <c r="EI156" s="2336">
        <v>267.23</v>
      </c>
      <c r="EJ156" s="2250"/>
      <c r="EK156" s="2250"/>
      <c r="EL156" s="2333">
        <v>223.8</v>
      </c>
      <c r="EM156" s="2336">
        <v>2.57</v>
      </c>
      <c r="EN156" s="2336">
        <v>3.76</v>
      </c>
      <c r="EO156" s="2336">
        <v>7.43</v>
      </c>
      <c r="EP156" s="2336">
        <v>12.48</v>
      </c>
      <c r="EQ156" s="2336">
        <v>19.21</v>
      </c>
      <c r="ER156" s="2336">
        <v>28.02</v>
      </c>
      <c r="ES156" s="2336">
        <v>38.909999999999997</v>
      </c>
      <c r="ET156" s="2336">
        <v>52.28</v>
      </c>
      <c r="EU156" s="2336">
        <v>76.73</v>
      </c>
      <c r="EV156" s="2336">
        <v>118.22</v>
      </c>
      <c r="EW156" s="2336">
        <v>171.78</v>
      </c>
      <c r="EX156" s="2250"/>
      <c r="EY156" s="2250"/>
      <c r="EZ156" s="2333">
        <v>223.8</v>
      </c>
      <c r="FA156" s="2336">
        <v>2.0299999999999998</v>
      </c>
      <c r="FB156" s="2336">
        <v>3.05</v>
      </c>
      <c r="FC156" s="2336">
        <v>5.64</v>
      </c>
      <c r="FD156" s="2336">
        <v>9.3699999999999992</v>
      </c>
      <c r="FE156" s="2336">
        <v>14.45</v>
      </c>
      <c r="FF156" s="2336">
        <v>20.99</v>
      </c>
      <c r="FG156" s="2336">
        <v>29.12</v>
      </c>
      <c r="FH156" s="2336">
        <v>39.159999999999997</v>
      </c>
      <c r="FI156" s="2336">
        <v>57.45</v>
      </c>
      <c r="FJ156" s="2336">
        <v>88.49</v>
      </c>
      <c r="FK156" s="2336">
        <v>158.01</v>
      </c>
      <c r="FL156" s="2250"/>
      <c r="FM156" s="2250"/>
      <c r="FN156" s="2333">
        <v>223.8</v>
      </c>
      <c r="FO156" s="2336">
        <v>1.19</v>
      </c>
      <c r="FP156" s="2336">
        <v>1.78</v>
      </c>
      <c r="FQ156" s="2336">
        <v>3.27</v>
      </c>
      <c r="FR156" s="2336">
        <v>5.45</v>
      </c>
      <c r="FS156" s="2336">
        <v>8.32</v>
      </c>
      <c r="FT156" s="2336">
        <v>12.18</v>
      </c>
      <c r="FU156" s="2336">
        <v>16.93</v>
      </c>
      <c r="FV156" s="2336">
        <v>22.67</v>
      </c>
      <c r="FW156" s="2336">
        <v>33.369999999999997</v>
      </c>
      <c r="FX156" s="2336">
        <v>51.39</v>
      </c>
      <c r="FY156" s="2336">
        <v>74.650000000000006</v>
      </c>
      <c r="FZ156" s="2250"/>
      <c r="GA156" s="2250"/>
      <c r="GB156" s="2176">
        <v>23.6</v>
      </c>
      <c r="GC156" s="2176">
        <v>24.5</v>
      </c>
      <c r="GD156" s="2250"/>
      <c r="GE156" s="2275"/>
      <c r="GF156" s="2333">
        <v>223.8</v>
      </c>
      <c r="GG156" s="2336">
        <v>3.56</v>
      </c>
      <c r="GH156" s="2336">
        <v>5.35</v>
      </c>
      <c r="GI156" s="2336">
        <v>10.4</v>
      </c>
      <c r="GJ156" s="2336">
        <v>17.920000000000002</v>
      </c>
      <c r="GK156" s="2336">
        <v>28.51</v>
      </c>
      <c r="GL156" s="2336">
        <v>42.48</v>
      </c>
      <c r="GM156" s="2336">
        <v>60.5</v>
      </c>
      <c r="GN156" s="2336">
        <v>82.97</v>
      </c>
      <c r="GO156" s="2336">
        <v>112.77</v>
      </c>
      <c r="GP156" s="2336">
        <v>179.01</v>
      </c>
      <c r="GQ156" s="2336">
        <v>267.23</v>
      </c>
      <c r="GR156" s="2250"/>
      <c r="GS156" s="2250"/>
      <c r="GT156" s="2333">
        <v>223.8</v>
      </c>
      <c r="GU156" s="2336">
        <v>2.57</v>
      </c>
      <c r="GV156" s="2336">
        <v>3.76</v>
      </c>
      <c r="GW156" s="2336">
        <v>7.43</v>
      </c>
      <c r="GX156" s="2336">
        <v>12.48</v>
      </c>
      <c r="GY156" s="2336">
        <v>19.21</v>
      </c>
      <c r="GZ156" s="2336">
        <v>28.02</v>
      </c>
      <c r="HA156" s="2336">
        <v>38.909999999999997</v>
      </c>
      <c r="HB156" s="2336">
        <v>52.28</v>
      </c>
      <c r="HC156" s="2336">
        <v>76.73</v>
      </c>
      <c r="HD156" s="2336">
        <v>118.22</v>
      </c>
      <c r="HE156" s="2336">
        <v>171.78</v>
      </c>
      <c r="HF156" s="2250"/>
      <c r="HG156" s="2250"/>
      <c r="HH156" s="2333">
        <v>223.8</v>
      </c>
      <c r="HI156" s="2336">
        <v>2.0299999999999998</v>
      </c>
      <c r="HJ156" s="2336">
        <v>3.05</v>
      </c>
      <c r="HK156" s="2336">
        <v>5.64</v>
      </c>
      <c r="HL156" s="2336">
        <v>9.3699999999999992</v>
      </c>
      <c r="HM156" s="2336">
        <v>14.45</v>
      </c>
      <c r="HN156" s="2336">
        <v>20.99</v>
      </c>
      <c r="HO156" s="2336">
        <v>29.12</v>
      </c>
      <c r="HP156" s="2336">
        <v>39.159999999999997</v>
      </c>
      <c r="HQ156" s="2336">
        <v>57.45</v>
      </c>
      <c r="HR156" s="2336">
        <v>88.49</v>
      </c>
      <c r="HS156" s="2336">
        <v>158.01</v>
      </c>
      <c r="HT156" s="2250"/>
      <c r="HU156" s="2250"/>
      <c r="HV156" s="2333">
        <v>223.8</v>
      </c>
      <c r="HW156" s="2336">
        <v>1.19</v>
      </c>
      <c r="HX156" s="2336">
        <v>1.78</v>
      </c>
      <c r="HY156" s="2336">
        <v>3.27</v>
      </c>
      <c r="HZ156" s="2336">
        <v>5.45</v>
      </c>
      <c r="IA156" s="2336">
        <v>8.32</v>
      </c>
      <c r="IB156" s="2336">
        <v>12.18</v>
      </c>
      <c r="IC156" s="2336">
        <v>16.93</v>
      </c>
      <c r="ID156" s="2336">
        <v>22.67</v>
      </c>
      <c r="IE156" s="2336">
        <v>33.369999999999997</v>
      </c>
      <c r="IF156" s="2336">
        <v>51.39</v>
      </c>
      <c r="IG156" s="2336">
        <v>74.650000000000006</v>
      </c>
      <c r="IH156" s="2250"/>
      <c r="II156" s="2250"/>
      <c r="IJ156" s="2250"/>
      <c r="IK156" s="2250"/>
      <c r="IL156" s="2250"/>
      <c r="IN156" s="277"/>
      <c r="IO156" s="277"/>
    </row>
    <row r="157" spans="1:249" ht="21.95" customHeight="1">
      <c r="A157" s="2275"/>
      <c r="B157" s="2333">
        <v>206.43</v>
      </c>
      <c r="C157" s="2336">
        <v>3.86</v>
      </c>
      <c r="D157" s="2336">
        <v>5.74</v>
      </c>
      <c r="E157" s="2336">
        <v>11.19</v>
      </c>
      <c r="F157" s="2336">
        <v>19.41</v>
      </c>
      <c r="G157" s="2336">
        <v>30.79</v>
      </c>
      <c r="H157" s="2336">
        <v>45.94</v>
      </c>
      <c r="I157" s="2336">
        <v>65.349999999999994</v>
      </c>
      <c r="J157" s="2336">
        <v>89.6</v>
      </c>
      <c r="K157" s="2336">
        <v>121.78</v>
      </c>
      <c r="L157" s="2336">
        <v>193.37</v>
      </c>
      <c r="M157" s="2336">
        <v>288.61</v>
      </c>
      <c r="N157" s="2250"/>
      <c r="O157" s="2250"/>
      <c r="P157" s="2333">
        <v>206.43</v>
      </c>
      <c r="Q157" s="2336">
        <v>2.77</v>
      </c>
      <c r="R157" s="2336">
        <v>4.16</v>
      </c>
      <c r="S157" s="2336">
        <v>8.02</v>
      </c>
      <c r="T157" s="2336">
        <v>13.86</v>
      </c>
      <c r="U157" s="2336">
        <v>21.68</v>
      </c>
      <c r="V157" s="2336">
        <v>30.69</v>
      </c>
      <c r="W157" s="2336">
        <v>43.86</v>
      </c>
      <c r="X157" s="2336">
        <v>58.91</v>
      </c>
      <c r="Y157" s="2336">
        <v>86.53</v>
      </c>
      <c r="Z157" s="2336">
        <v>133.27000000000001</v>
      </c>
      <c r="AA157" s="2336">
        <v>193.66</v>
      </c>
      <c r="AB157" s="2250"/>
      <c r="AC157" s="2250"/>
      <c r="AD157" s="2333">
        <v>206.43</v>
      </c>
      <c r="AE157" s="2336">
        <v>2.37</v>
      </c>
      <c r="AF157" s="2336">
        <v>3.39</v>
      </c>
      <c r="AG157" s="2336">
        <v>6.32</v>
      </c>
      <c r="AH157" s="2336">
        <v>10.61</v>
      </c>
      <c r="AI157" s="2336">
        <v>16.25</v>
      </c>
      <c r="AJ157" s="2336">
        <v>23.25</v>
      </c>
      <c r="AK157" s="2336">
        <v>32.840000000000003</v>
      </c>
      <c r="AL157" s="2336">
        <v>44.13</v>
      </c>
      <c r="AM157" s="2336">
        <v>64.790000000000006</v>
      </c>
      <c r="AN157" s="2336">
        <v>99.77</v>
      </c>
      <c r="AO157" s="2336">
        <v>145.03</v>
      </c>
      <c r="AP157" s="2250"/>
      <c r="AQ157" s="2250"/>
      <c r="AR157" s="2333">
        <v>206.43</v>
      </c>
      <c r="AS157" s="2336">
        <v>1.39</v>
      </c>
      <c r="AT157" s="2336">
        <v>1.98</v>
      </c>
      <c r="AU157" s="2336">
        <v>3.66</v>
      </c>
      <c r="AV157" s="2336">
        <v>6.14</v>
      </c>
      <c r="AW157" s="2336">
        <v>9.41</v>
      </c>
      <c r="AX157" s="2336">
        <v>13.37</v>
      </c>
      <c r="AY157" s="2336">
        <v>19.010000000000002</v>
      </c>
      <c r="AZ157" s="2336">
        <v>25.54</v>
      </c>
      <c r="BA157" s="2336">
        <v>37.619999999999997</v>
      </c>
      <c r="BB157" s="2336">
        <v>57.92</v>
      </c>
      <c r="BC157" s="2336">
        <v>84.16</v>
      </c>
      <c r="BD157" s="2250"/>
      <c r="BE157" s="2250"/>
      <c r="BF157" s="1302">
        <v>24.5</v>
      </c>
      <c r="BG157" s="1302">
        <v>29.3</v>
      </c>
      <c r="BH157" s="2250"/>
      <c r="BI157" s="2275"/>
      <c r="BJ157" s="2333">
        <v>206.43</v>
      </c>
      <c r="BK157" s="2336">
        <v>3.86</v>
      </c>
      <c r="BL157" s="2336">
        <v>5.74</v>
      </c>
      <c r="BM157" s="2336">
        <v>11.19</v>
      </c>
      <c r="BN157" s="2336">
        <v>19.41</v>
      </c>
      <c r="BO157" s="2336">
        <v>30.79</v>
      </c>
      <c r="BP157" s="2336">
        <v>45.94</v>
      </c>
      <c r="BQ157" s="2336">
        <v>65.349999999999994</v>
      </c>
      <c r="BR157" s="2336">
        <v>89.6</v>
      </c>
      <c r="BS157" s="2336">
        <v>121.78</v>
      </c>
      <c r="BT157" s="2336">
        <v>193.37</v>
      </c>
      <c r="BU157" s="2336">
        <v>288.61</v>
      </c>
      <c r="BV157" s="2250"/>
      <c r="BW157" s="2250"/>
      <c r="BX157" s="2333">
        <v>206.43</v>
      </c>
      <c r="BY157" s="2336">
        <v>2.77</v>
      </c>
      <c r="BZ157" s="2336">
        <v>4.16</v>
      </c>
      <c r="CA157" s="2336">
        <v>8.02</v>
      </c>
      <c r="CB157" s="2336">
        <v>13.86</v>
      </c>
      <c r="CC157" s="2336">
        <v>21.68</v>
      </c>
      <c r="CD157" s="2336">
        <v>30.69</v>
      </c>
      <c r="CE157" s="2336">
        <v>43.86</v>
      </c>
      <c r="CF157" s="2336">
        <v>58.91</v>
      </c>
      <c r="CG157" s="2336">
        <v>86.53</v>
      </c>
      <c r="CH157" s="2336">
        <v>133.27000000000001</v>
      </c>
      <c r="CI157" s="2336">
        <v>193.66</v>
      </c>
      <c r="CJ157" s="2250"/>
      <c r="CK157" s="2250"/>
      <c r="CL157" s="2333">
        <v>206.43</v>
      </c>
      <c r="CM157" s="2336">
        <v>2.37</v>
      </c>
      <c r="CN157" s="2336">
        <v>3.39</v>
      </c>
      <c r="CO157" s="2336">
        <v>6.32</v>
      </c>
      <c r="CP157" s="2336">
        <v>10.61</v>
      </c>
      <c r="CQ157" s="2336">
        <v>16.25</v>
      </c>
      <c r="CR157" s="2336">
        <v>23.25</v>
      </c>
      <c r="CS157" s="2336">
        <v>32.840000000000003</v>
      </c>
      <c r="CT157" s="2336">
        <v>44.13</v>
      </c>
      <c r="CU157" s="2336">
        <v>64.790000000000006</v>
      </c>
      <c r="CV157" s="2336">
        <v>99.77</v>
      </c>
      <c r="CW157" s="2336">
        <v>145.03</v>
      </c>
      <c r="CX157" s="2250"/>
      <c r="CY157" s="2250"/>
      <c r="CZ157" s="2333">
        <v>206.43</v>
      </c>
      <c r="DA157" s="2336">
        <v>1.39</v>
      </c>
      <c r="DB157" s="2336">
        <v>1.98</v>
      </c>
      <c r="DC157" s="2336">
        <v>3.66</v>
      </c>
      <c r="DD157" s="2336">
        <v>6.14</v>
      </c>
      <c r="DE157" s="2336">
        <v>9.41</v>
      </c>
      <c r="DF157" s="2336">
        <v>13.37</v>
      </c>
      <c r="DG157" s="2336">
        <v>19.010000000000002</v>
      </c>
      <c r="DH157" s="2336">
        <v>25.54</v>
      </c>
      <c r="DI157" s="2336">
        <v>37.619999999999997</v>
      </c>
      <c r="DJ157" s="2336">
        <v>57.92</v>
      </c>
      <c r="DK157" s="2336">
        <v>84.16</v>
      </c>
      <c r="DL157" s="2250"/>
      <c r="DM157" s="2250"/>
      <c r="DN157" s="2250"/>
      <c r="DO157" s="2250"/>
      <c r="DP157" s="2250"/>
      <c r="DQ157" s="2277"/>
      <c r="DR157" s="2277"/>
      <c r="DS157" s="277"/>
      <c r="DW157" s="2275"/>
      <c r="DX157" s="2333">
        <v>206.43</v>
      </c>
      <c r="DY157" s="2336">
        <v>3.86</v>
      </c>
      <c r="DZ157" s="2336">
        <v>5.74</v>
      </c>
      <c r="EA157" s="2336">
        <v>11.19</v>
      </c>
      <c r="EB157" s="2336">
        <v>19.41</v>
      </c>
      <c r="EC157" s="2336">
        <v>30.79</v>
      </c>
      <c r="ED157" s="2336">
        <v>45.94</v>
      </c>
      <c r="EE157" s="2336">
        <v>65.349999999999994</v>
      </c>
      <c r="EF157" s="2336">
        <v>89.6</v>
      </c>
      <c r="EG157" s="2336">
        <v>121.78</v>
      </c>
      <c r="EH157" s="2336">
        <v>193.37</v>
      </c>
      <c r="EI157" s="2336">
        <v>288.61</v>
      </c>
      <c r="EJ157" s="2250"/>
      <c r="EK157" s="2250"/>
      <c r="EL157" s="2333">
        <v>206.43</v>
      </c>
      <c r="EM157" s="2336">
        <v>2.77</v>
      </c>
      <c r="EN157" s="2336">
        <v>4.16</v>
      </c>
      <c r="EO157" s="2336">
        <v>8.02</v>
      </c>
      <c r="EP157" s="2336">
        <v>13.86</v>
      </c>
      <c r="EQ157" s="2336">
        <v>21.68</v>
      </c>
      <c r="ER157" s="2336">
        <v>30.69</v>
      </c>
      <c r="ES157" s="2336">
        <v>43.86</v>
      </c>
      <c r="ET157" s="2336">
        <v>58.91</v>
      </c>
      <c r="EU157" s="2336">
        <v>86.53</v>
      </c>
      <c r="EV157" s="2336">
        <v>133.27000000000001</v>
      </c>
      <c r="EW157" s="2336">
        <v>193.66</v>
      </c>
      <c r="EX157" s="2250"/>
      <c r="EY157" s="2250"/>
      <c r="EZ157" s="2333">
        <v>206.43</v>
      </c>
      <c r="FA157" s="2336">
        <v>2.37</v>
      </c>
      <c r="FB157" s="2336">
        <v>3.39</v>
      </c>
      <c r="FC157" s="2336">
        <v>6.32</v>
      </c>
      <c r="FD157" s="2336">
        <v>10.61</v>
      </c>
      <c r="FE157" s="2336">
        <v>16.25</v>
      </c>
      <c r="FF157" s="2336">
        <v>23.25</v>
      </c>
      <c r="FG157" s="2336">
        <v>32.840000000000003</v>
      </c>
      <c r="FH157" s="2336">
        <v>44.13</v>
      </c>
      <c r="FI157" s="2336">
        <v>64.790000000000006</v>
      </c>
      <c r="FJ157" s="2336">
        <v>99.77</v>
      </c>
      <c r="FK157" s="2336">
        <v>145.03</v>
      </c>
      <c r="FL157" s="2250"/>
      <c r="FM157" s="2250"/>
      <c r="FN157" s="2333">
        <v>206.43</v>
      </c>
      <c r="FO157" s="2336">
        <v>1.39</v>
      </c>
      <c r="FP157" s="2336">
        <v>1.98</v>
      </c>
      <c r="FQ157" s="2336">
        <v>3.66</v>
      </c>
      <c r="FR157" s="2336">
        <v>6.14</v>
      </c>
      <c r="FS157" s="2336">
        <v>9.41</v>
      </c>
      <c r="FT157" s="2336">
        <v>13.37</v>
      </c>
      <c r="FU157" s="2336">
        <v>19.010000000000002</v>
      </c>
      <c r="FV157" s="2336">
        <v>25.54</v>
      </c>
      <c r="FW157" s="2336">
        <v>37.619999999999997</v>
      </c>
      <c r="FX157" s="2336">
        <v>57.92</v>
      </c>
      <c r="FY157" s="2336">
        <v>84.16</v>
      </c>
      <c r="FZ157" s="2250"/>
      <c r="GA157" s="2250"/>
      <c r="GB157" s="1302">
        <v>24.5</v>
      </c>
      <c r="GC157" s="1302">
        <v>29.3</v>
      </c>
      <c r="GD157" s="2250"/>
      <c r="GE157" s="2275"/>
      <c r="GF157" s="2333">
        <v>206.43</v>
      </c>
      <c r="GG157" s="2336">
        <v>3.86</v>
      </c>
      <c r="GH157" s="2336">
        <v>5.74</v>
      </c>
      <c r="GI157" s="2336">
        <v>11.19</v>
      </c>
      <c r="GJ157" s="2336">
        <v>19.41</v>
      </c>
      <c r="GK157" s="2336">
        <v>30.79</v>
      </c>
      <c r="GL157" s="2336">
        <v>45.94</v>
      </c>
      <c r="GM157" s="2336">
        <v>65.349999999999994</v>
      </c>
      <c r="GN157" s="2336">
        <v>89.6</v>
      </c>
      <c r="GO157" s="2336">
        <v>121.78</v>
      </c>
      <c r="GP157" s="2336">
        <v>193.37</v>
      </c>
      <c r="GQ157" s="2336">
        <v>288.61</v>
      </c>
      <c r="GR157" s="2250"/>
      <c r="GS157" s="2250"/>
      <c r="GT157" s="2333">
        <v>206.43</v>
      </c>
      <c r="GU157" s="2336">
        <v>2.77</v>
      </c>
      <c r="GV157" s="2336">
        <v>4.16</v>
      </c>
      <c r="GW157" s="2336">
        <v>8.02</v>
      </c>
      <c r="GX157" s="2336">
        <v>13.86</v>
      </c>
      <c r="GY157" s="2336">
        <v>21.68</v>
      </c>
      <c r="GZ157" s="2336">
        <v>30.69</v>
      </c>
      <c r="HA157" s="2336">
        <v>43.86</v>
      </c>
      <c r="HB157" s="2336">
        <v>58.91</v>
      </c>
      <c r="HC157" s="2336">
        <v>86.53</v>
      </c>
      <c r="HD157" s="2336">
        <v>133.27000000000001</v>
      </c>
      <c r="HE157" s="2336">
        <v>193.66</v>
      </c>
      <c r="HF157" s="2250"/>
      <c r="HG157" s="2250"/>
      <c r="HH157" s="2333">
        <v>206.43</v>
      </c>
      <c r="HI157" s="2336">
        <v>2.37</v>
      </c>
      <c r="HJ157" s="2336">
        <v>3.39</v>
      </c>
      <c r="HK157" s="2336">
        <v>6.32</v>
      </c>
      <c r="HL157" s="2336">
        <v>10.61</v>
      </c>
      <c r="HM157" s="2336">
        <v>16.25</v>
      </c>
      <c r="HN157" s="2336">
        <v>23.25</v>
      </c>
      <c r="HO157" s="2336">
        <v>32.840000000000003</v>
      </c>
      <c r="HP157" s="2336">
        <v>44.13</v>
      </c>
      <c r="HQ157" s="2336">
        <v>64.790000000000006</v>
      </c>
      <c r="HR157" s="2336">
        <v>99.77</v>
      </c>
      <c r="HS157" s="2336">
        <v>145.03</v>
      </c>
      <c r="HT157" s="2250"/>
      <c r="HU157" s="2250"/>
      <c r="HV157" s="2333">
        <v>206.43</v>
      </c>
      <c r="HW157" s="2336">
        <v>1.39</v>
      </c>
      <c r="HX157" s="2336">
        <v>1.98</v>
      </c>
      <c r="HY157" s="2336">
        <v>3.66</v>
      </c>
      <c r="HZ157" s="2336">
        <v>6.14</v>
      </c>
      <c r="IA157" s="2336">
        <v>9.41</v>
      </c>
      <c r="IB157" s="2336">
        <v>13.37</v>
      </c>
      <c r="IC157" s="2336">
        <v>19.010000000000002</v>
      </c>
      <c r="ID157" s="2336">
        <v>25.54</v>
      </c>
      <c r="IE157" s="2336">
        <v>37.619999999999997</v>
      </c>
      <c r="IF157" s="2336">
        <v>57.92</v>
      </c>
      <c r="IG157" s="2336">
        <v>84.16</v>
      </c>
      <c r="IH157" s="2250"/>
      <c r="II157" s="2250"/>
      <c r="IJ157" s="2250"/>
      <c r="IK157" s="2250"/>
      <c r="IL157" s="2250"/>
      <c r="IN157" s="277"/>
      <c r="IO157" s="277"/>
    </row>
    <row r="158" spans="1:249" ht="21.95" customHeight="1">
      <c r="A158" s="2275"/>
      <c r="B158" s="2333">
        <v>190.4</v>
      </c>
      <c r="C158" s="2336">
        <v>4.16</v>
      </c>
      <c r="D158" s="2336">
        <v>6.14</v>
      </c>
      <c r="E158" s="2336">
        <v>12.08</v>
      </c>
      <c r="F158" s="2336">
        <v>20.89</v>
      </c>
      <c r="G158" s="2336">
        <v>33.07</v>
      </c>
      <c r="H158" s="2336">
        <v>49.41</v>
      </c>
      <c r="I158" s="2336">
        <v>70.400000000000006</v>
      </c>
      <c r="J158" s="2336">
        <v>96.53</v>
      </c>
      <c r="K158" s="2336">
        <v>131.09</v>
      </c>
      <c r="L158" s="2336">
        <v>208.12</v>
      </c>
      <c r="M158" s="2336">
        <v>310.69</v>
      </c>
      <c r="N158" s="2250"/>
      <c r="O158" s="2250"/>
      <c r="P158" s="2333">
        <v>190.4</v>
      </c>
      <c r="Q158" s="2336">
        <v>2.97</v>
      </c>
      <c r="R158" s="2336">
        <v>4.46</v>
      </c>
      <c r="S158" s="2336">
        <v>8.61</v>
      </c>
      <c r="T158" s="2336">
        <v>14.95</v>
      </c>
      <c r="U158" s="2336">
        <v>23.76</v>
      </c>
      <c r="V158" s="2336">
        <v>33.659999999999997</v>
      </c>
      <c r="W158" s="2336">
        <v>48.61</v>
      </c>
      <c r="X158" s="2336">
        <v>65.25</v>
      </c>
      <c r="Y158" s="2336">
        <v>94.16</v>
      </c>
      <c r="Z158" s="2336">
        <v>147.62</v>
      </c>
      <c r="AA158" s="2336">
        <v>213.96</v>
      </c>
      <c r="AB158" s="2250"/>
      <c r="AC158" s="2250"/>
      <c r="AD158" s="2333">
        <v>190.4</v>
      </c>
      <c r="AE158" s="2336">
        <v>2.6</v>
      </c>
      <c r="AF158" s="2336">
        <v>3.72</v>
      </c>
      <c r="AG158" s="2336">
        <v>7</v>
      </c>
      <c r="AH158" s="2336">
        <v>11.74</v>
      </c>
      <c r="AI158" s="2336">
        <v>17.95</v>
      </c>
      <c r="AJ158" s="2336">
        <v>25.17</v>
      </c>
      <c r="AK158" s="2336">
        <v>36.340000000000003</v>
      </c>
      <c r="AL158" s="2336">
        <v>48.87</v>
      </c>
      <c r="AM158" s="2336">
        <v>71.78</v>
      </c>
      <c r="AN158" s="2336">
        <v>110.5</v>
      </c>
      <c r="AO158" s="2336">
        <v>160.61000000000001</v>
      </c>
      <c r="AP158" s="2250"/>
      <c r="AQ158" s="2250"/>
      <c r="AR158" s="2333">
        <v>190.4</v>
      </c>
      <c r="AS158" s="2336">
        <v>1.49</v>
      </c>
      <c r="AT158" s="2336">
        <v>2.1800000000000002</v>
      </c>
      <c r="AU158" s="2336">
        <v>4.0599999999999996</v>
      </c>
      <c r="AV158" s="2336">
        <v>6.73</v>
      </c>
      <c r="AW158" s="2336">
        <v>10.4</v>
      </c>
      <c r="AX158" s="2336">
        <v>14.55</v>
      </c>
      <c r="AY158" s="2336">
        <v>21.09</v>
      </c>
      <c r="AZ158" s="2336">
        <v>28.32</v>
      </c>
      <c r="BA158" s="2336">
        <v>41.58</v>
      </c>
      <c r="BB158" s="2336">
        <v>64.06</v>
      </c>
      <c r="BC158" s="2336">
        <v>92.87</v>
      </c>
      <c r="BD158" s="2250"/>
      <c r="BE158" s="2250"/>
      <c r="BF158" s="1302">
        <v>29.3</v>
      </c>
      <c r="BG158" s="1302">
        <v>34.200000000000003</v>
      </c>
      <c r="BH158" s="2250"/>
      <c r="BI158" s="2275"/>
      <c r="BJ158" s="2333">
        <v>190.4</v>
      </c>
      <c r="BK158" s="2336">
        <v>4.16</v>
      </c>
      <c r="BL158" s="2336">
        <v>6.14</v>
      </c>
      <c r="BM158" s="2336">
        <v>12.08</v>
      </c>
      <c r="BN158" s="2336">
        <v>20.89</v>
      </c>
      <c r="BO158" s="2336">
        <v>33.07</v>
      </c>
      <c r="BP158" s="2336">
        <v>49.41</v>
      </c>
      <c r="BQ158" s="2336">
        <v>70.400000000000006</v>
      </c>
      <c r="BR158" s="2336">
        <v>96.53</v>
      </c>
      <c r="BS158" s="2336">
        <v>131.09</v>
      </c>
      <c r="BT158" s="2336">
        <v>208.12</v>
      </c>
      <c r="BU158" s="2336">
        <v>310.69</v>
      </c>
      <c r="BV158" s="2250"/>
      <c r="BW158" s="2250"/>
      <c r="BX158" s="2333">
        <v>190.4</v>
      </c>
      <c r="BY158" s="2336">
        <v>2.97</v>
      </c>
      <c r="BZ158" s="2336">
        <v>4.46</v>
      </c>
      <c r="CA158" s="2336">
        <v>8.61</v>
      </c>
      <c r="CB158" s="2336">
        <v>14.95</v>
      </c>
      <c r="CC158" s="2336">
        <v>23.76</v>
      </c>
      <c r="CD158" s="2336">
        <v>33.659999999999997</v>
      </c>
      <c r="CE158" s="2336">
        <v>48.61</v>
      </c>
      <c r="CF158" s="2336">
        <v>65.25</v>
      </c>
      <c r="CG158" s="2336">
        <v>94.16</v>
      </c>
      <c r="CH158" s="2336">
        <v>147.62</v>
      </c>
      <c r="CI158" s="2336">
        <v>213.96</v>
      </c>
      <c r="CJ158" s="2250"/>
      <c r="CK158" s="2250"/>
      <c r="CL158" s="2333">
        <v>190.4</v>
      </c>
      <c r="CM158" s="2336">
        <v>2.6</v>
      </c>
      <c r="CN158" s="2336">
        <v>3.72</v>
      </c>
      <c r="CO158" s="2336">
        <v>7</v>
      </c>
      <c r="CP158" s="2336">
        <v>11.74</v>
      </c>
      <c r="CQ158" s="2336">
        <v>17.95</v>
      </c>
      <c r="CR158" s="2336">
        <v>25.17</v>
      </c>
      <c r="CS158" s="2336">
        <v>36.340000000000003</v>
      </c>
      <c r="CT158" s="2336">
        <v>48.87</v>
      </c>
      <c r="CU158" s="2336">
        <v>71.78</v>
      </c>
      <c r="CV158" s="2336">
        <v>110.5</v>
      </c>
      <c r="CW158" s="2336">
        <v>160.61000000000001</v>
      </c>
      <c r="CX158" s="2250"/>
      <c r="CY158" s="2250"/>
      <c r="CZ158" s="2333">
        <v>190.4</v>
      </c>
      <c r="DA158" s="2336">
        <v>1.49</v>
      </c>
      <c r="DB158" s="2336">
        <v>2.1800000000000002</v>
      </c>
      <c r="DC158" s="2336">
        <v>4.0599999999999996</v>
      </c>
      <c r="DD158" s="2336">
        <v>6.73</v>
      </c>
      <c r="DE158" s="2336">
        <v>10.4</v>
      </c>
      <c r="DF158" s="2336">
        <v>14.55</v>
      </c>
      <c r="DG158" s="2336">
        <v>21.09</v>
      </c>
      <c r="DH158" s="2336">
        <v>28.32</v>
      </c>
      <c r="DI158" s="2336">
        <v>41.58</v>
      </c>
      <c r="DJ158" s="2336">
        <v>64.06</v>
      </c>
      <c r="DK158" s="2336">
        <v>92.87</v>
      </c>
      <c r="DL158" s="2250"/>
      <c r="DM158" s="2250"/>
      <c r="DN158" s="2250"/>
      <c r="DO158" s="2250"/>
      <c r="DP158" s="2250"/>
      <c r="DQ158" s="2277"/>
      <c r="DR158" s="2277"/>
      <c r="DS158" s="277"/>
      <c r="DW158" s="2275"/>
      <c r="DX158" s="2333">
        <v>190.4</v>
      </c>
      <c r="DY158" s="2336">
        <v>4.16</v>
      </c>
      <c r="DZ158" s="2336">
        <v>6.14</v>
      </c>
      <c r="EA158" s="2336">
        <v>12.08</v>
      </c>
      <c r="EB158" s="2336">
        <v>20.89</v>
      </c>
      <c r="EC158" s="2336">
        <v>33.07</v>
      </c>
      <c r="ED158" s="2336">
        <v>49.41</v>
      </c>
      <c r="EE158" s="2336">
        <v>70.400000000000006</v>
      </c>
      <c r="EF158" s="2336">
        <v>96.53</v>
      </c>
      <c r="EG158" s="2336">
        <v>131.09</v>
      </c>
      <c r="EH158" s="2336">
        <v>208.12</v>
      </c>
      <c r="EI158" s="2336">
        <v>310.69</v>
      </c>
      <c r="EJ158" s="2250"/>
      <c r="EK158" s="2250"/>
      <c r="EL158" s="2333">
        <v>190.4</v>
      </c>
      <c r="EM158" s="2336">
        <v>2.97</v>
      </c>
      <c r="EN158" s="2336">
        <v>4.46</v>
      </c>
      <c r="EO158" s="2336">
        <v>8.61</v>
      </c>
      <c r="EP158" s="2336">
        <v>14.95</v>
      </c>
      <c r="EQ158" s="2336">
        <v>23.76</v>
      </c>
      <c r="ER158" s="2336">
        <v>33.659999999999997</v>
      </c>
      <c r="ES158" s="2336">
        <v>48.61</v>
      </c>
      <c r="ET158" s="2336">
        <v>65.25</v>
      </c>
      <c r="EU158" s="2336">
        <v>94.16</v>
      </c>
      <c r="EV158" s="2336">
        <v>147.62</v>
      </c>
      <c r="EW158" s="2336">
        <v>213.96</v>
      </c>
      <c r="EX158" s="2250"/>
      <c r="EY158" s="2250"/>
      <c r="EZ158" s="2333">
        <v>190.4</v>
      </c>
      <c r="FA158" s="2336">
        <v>2.6</v>
      </c>
      <c r="FB158" s="2336">
        <v>3.72</v>
      </c>
      <c r="FC158" s="2336">
        <v>7</v>
      </c>
      <c r="FD158" s="2336">
        <v>11.74</v>
      </c>
      <c r="FE158" s="2336">
        <v>17.95</v>
      </c>
      <c r="FF158" s="2336">
        <v>25.17</v>
      </c>
      <c r="FG158" s="2336">
        <v>36.340000000000003</v>
      </c>
      <c r="FH158" s="2336">
        <v>48.87</v>
      </c>
      <c r="FI158" s="2336">
        <v>71.78</v>
      </c>
      <c r="FJ158" s="2336">
        <v>110.5</v>
      </c>
      <c r="FK158" s="2336">
        <v>160.61000000000001</v>
      </c>
      <c r="FL158" s="2250"/>
      <c r="FM158" s="2250"/>
      <c r="FN158" s="2333">
        <v>190.4</v>
      </c>
      <c r="FO158" s="2336">
        <v>1.49</v>
      </c>
      <c r="FP158" s="2336">
        <v>2.1800000000000002</v>
      </c>
      <c r="FQ158" s="2336">
        <v>4.0599999999999996</v>
      </c>
      <c r="FR158" s="2336">
        <v>6.73</v>
      </c>
      <c r="FS158" s="2336">
        <v>10.4</v>
      </c>
      <c r="FT158" s="2336">
        <v>14.55</v>
      </c>
      <c r="FU158" s="2336">
        <v>21.09</v>
      </c>
      <c r="FV158" s="2336">
        <v>28.32</v>
      </c>
      <c r="FW158" s="2336">
        <v>41.58</v>
      </c>
      <c r="FX158" s="2336">
        <v>64.06</v>
      </c>
      <c r="FY158" s="2336">
        <v>92.87</v>
      </c>
      <c r="FZ158" s="2250"/>
      <c r="GA158" s="2250"/>
      <c r="GB158" s="1302">
        <v>29.3</v>
      </c>
      <c r="GC158" s="1302">
        <v>34.200000000000003</v>
      </c>
      <c r="GD158" s="2250"/>
      <c r="GE158" s="2275"/>
      <c r="GF158" s="2333">
        <v>190.4</v>
      </c>
      <c r="GG158" s="2336">
        <v>4.16</v>
      </c>
      <c r="GH158" s="2336">
        <v>6.14</v>
      </c>
      <c r="GI158" s="2336">
        <v>12.08</v>
      </c>
      <c r="GJ158" s="2336">
        <v>20.89</v>
      </c>
      <c r="GK158" s="2336">
        <v>33.07</v>
      </c>
      <c r="GL158" s="2336">
        <v>49.41</v>
      </c>
      <c r="GM158" s="2336">
        <v>70.400000000000006</v>
      </c>
      <c r="GN158" s="2336">
        <v>96.53</v>
      </c>
      <c r="GO158" s="2336">
        <v>131.09</v>
      </c>
      <c r="GP158" s="2336">
        <v>208.12</v>
      </c>
      <c r="GQ158" s="2336">
        <v>310.69</v>
      </c>
      <c r="GR158" s="2250"/>
      <c r="GS158" s="2250"/>
      <c r="GT158" s="2333">
        <v>190.4</v>
      </c>
      <c r="GU158" s="2336">
        <v>2.97</v>
      </c>
      <c r="GV158" s="2336">
        <v>4.46</v>
      </c>
      <c r="GW158" s="2336">
        <v>8.61</v>
      </c>
      <c r="GX158" s="2336">
        <v>14.95</v>
      </c>
      <c r="GY158" s="2336">
        <v>23.76</v>
      </c>
      <c r="GZ158" s="2336">
        <v>33.659999999999997</v>
      </c>
      <c r="HA158" s="2336">
        <v>48.61</v>
      </c>
      <c r="HB158" s="2336">
        <v>65.25</v>
      </c>
      <c r="HC158" s="2336">
        <v>94.16</v>
      </c>
      <c r="HD158" s="2336">
        <v>147.62</v>
      </c>
      <c r="HE158" s="2336">
        <v>213.96</v>
      </c>
      <c r="HF158" s="2250"/>
      <c r="HG158" s="2250"/>
      <c r="HH158" s="2333">
        <v>190.4</v>
      </c>
      <c r="HI158" s="2336">
        <v>2.6</v>
      </c>
      <c r="HJ158" s="2336">
        <v>3.72</v>
      </c>
      <c r="HK158" s="2336">
        <v>7</v>
      </c>
      <c r="HL158" s="2336">
        <v>11.74</v>
      </c>
      <c r="HM158" s="2336">
        <v>17.95</v>
      </c>
      <c r="HN158" s="2336">
        <v>25.17</v>
      </c>
      <c r="HO158" s="2336">
        <v>36.340000000000003</v>
      </c>
      <c r="HP158" s="2336">
        <v>48.87</v>
      </c>
      <c r="HQ158" s="2336">
        <v>71.78</v>
      </c>
      <c r="HR158" s="2336">
        <v>110.5</v>
      </c>
      <c r="HS158" s="2336">
        <v>160.61000000000001</v>
      </c>
      <c r="HT158" s="2250"/>
      <c r="HU158" s="2250"/>
      <c r="HV158" s="2333">
        <v>190.4</v>
      </c>
      <c r="HW158" s="2336">
        <v>1.49</v>
      </c>
      <c r="HX158" s="2336">
        <v>2.1800000000000002</v>
      </c>
      <c r="HY158" s="2336">
        <v>4.0599999999999996</v>
      </c>
      <c r="HZ158" s="2336">
        <v>6.73</v>
      </c>
      <c r="IA158" s="2336">
        <v>10.4</v>
      </c>
      <c r="IB158" s="2336">
        <v>14.55</v>
      </c>
      <c r="IC158" s="2336">
        <v>21.09</v>
      </c>
      <c r="ID158" s="2336">
        <v>28.32</v>
      </c>
      <c r="IE158" s="2336">
        <v>41.58</v>
      </c>
      <c r="IF158" s="2336">
        <v>64.06</v>
      </c>
      <c r="IG158" s="2336">
        <v>92.87</v>
      </c>
      <c r="IH158" s="2250"/>
      <c r="II158" s="2250"/>
      <c r="IJ158" s="2250"/>
      <c r="IK158" s="2250"/>
      <c r="IL158" s="2250"/>
      <c r="IN158" s="277"/>
      <c r="IO158" s="277"/>
    </row>
    <row r="159" spans="1:249" ht="21.95" customHeight="1">
      <c r="A159" s="2275"/>
      <c r="B159" s="2333">
        <v>177.81</v>
      </c>
      <c r="C159" s="2336">
        <v>4.46</v>
      </c>
      <c r="D159" s="2336">
        <v>6.63</v>
      </c>
      <c r="E159" s="2336">
        <v>12.97</v>
      </c>
      <c r="F159" s="2336">
        <v>22.38</v>
      </c>
      <c r="G159" s="2336">
        <v>35.450000000000003</v>
      </c>
      <c r="H159" s="2336">
        <v>52.38</v>
      </c>
      <c r="I159" s="2336">
        <v>75.349999999999994</v>
      </c>
      <c r="J159" s="2336">
        <v>103.37</v>
      </c>
      <c r="K159" s="2336">
        <v>140.5</v>
      </c>
      <c r="L159" s="2336">
        <v>223.07</v>
      </c>
      <c r="M159" s="2336">
        <v>332.97</v>
      </c>
      <c r="N159" s="2250"/>
      <c r="O159" s="2250"/>
      <c r="P159" s="2333">
        <v>177.81</v>
      </c>
      <c r="Q159" s="2336">
        <v>3.17</v>
      </c>
      <c r="R159" s="2336">
        <v>4.75</v>
      </c>
      <c r="S159" s="2336">
        <v>9.31</v>
      </c>
      <c r="T159" s="2336">
        <v>16.04</v>
      </c>
      <c r="U159" s="2336">
        <v>25.54</v>
      </c>
      <c r="V159" s="2336">
        <v>33.659999999999997</v>
      </c>
      <c r="W159" s="2336">
        <v>51.19</v>
      </c>
      <c r="X159" s="2336">
        <v>77.23</v>
      </c>
      <c r="Y159" s="2336">
        <v>100.99</v>
      </c>
      <c r="Z159" s="2336">
        <v>159.31</v>
      </c>
      <c r="AA159" s="2336">
        <v>213.96</v>
      </c>
      <c r="AB159" s="2250"/>
      <c r="AC159" s="2250"/>
      <c r="AD159" s="2333">
        <v>177.81</v>
      </c>
      <c r="AE159" s="2336">
        <v>2.71</v>
      </c>
      <c r="AF159" s="2336">
        <v>4.0599999999999996</v>
      </c>
      <c r="AG159" s="2336">
        <v>7.79</v>
      </c>
      <c r="AH159" s="2336">
        <v>12.42</v>
      </c>
      <c r="AI159" s="2336">
        <v>19.98</v>
      </c>
      <c r="AJ159" s="2336">
        <v>25.28</v>
      </c>
      <c r="AK159" s="2336">
        <v>38.83</v>
      </c>
      <c r="AL159" s="2336">
        <v>54.18</v>
      </c>
      <c r="AM159" s="2336">
        <v>79.459999999999994</v>
      </c>
      <c r="AN159" s="2336">
        <v>120.77</v>
      </c>
      <c r="AO159" s="2336">
        <v>162.19</v>
      </c>
      <c r="AP159" s="2250"/>
      <c r="AQ159" s="2250"/>
      <c r="AR159" s="2333">
        <v>177.81</v>
      </c>
      <c r="AS159" s="2336">
        <v>1.68</v>
      </c>
      <c r="AT159" s="2336">
        <v>2.38</v>
      </c>
      <c r="AU159" s="2336">
        <v>4.55</v>
      </c>
      <c r="AV159" s="2336">
        <v>7.13</v>
      </c>
      <c r="AW159" s="2336">
        <v>11.58</v>
      </c>
      <c r="AX159" s="2336">
        <v>14.65</v>
      </c>
      <c r="AY159" s="2336">
        <v>22.28</v>
      </c>
      <c r="AZ159" s="2336">
        <v>31.39</v>
      </c>
      <c r="BA159" s="2336">
        <v>46.14</v>
      </c>
      <c r="BB159" s="2336">
        <v>69.209999999999994</v>
      </c>
      <c r="BC159" s="2336">
        <v>92.87</v>
      </c>
      <c r="BD159" s="2250"/>
      <c r="BE159" s="2250"/>
      <c r="BF159" s="1302">
        <v>34.200000000000003</v>
      </c>
      <c r="BG159" s="1302">
        <v>38.799999999999997</v>
      </c>
      <c r="BH159" s="2250"/>
      <c r="BI159" s="2275"/>
      <c r="BJ159" s="2333">
        <v>177.81</v>
      </c>
      <c r="BK159" s="2336">
        <v>4.46</v>
      </c>
      <c r="BL159" s="2336">
        <v>6.63</v>
      </c>
      <c r="BM159" s="2336">
        <v>12.97</v>
      </c>
      <c r="BN159" s="2336">
        <v>22.38</v>
      </c>
      <c r="BO159" s="2336">
        <v>35.450000000000003</v>
      </c>
      <c r="BP159" s="2336">
        <v>52.38</v>
      </c>
      <c r="BQ159" s="2336">
        <v>75.349999999999994</v>
      </c>
      <c r="BR159" s="2336">
        <v>103.37</v>
      </c>
      <c r="BS159" s="2336">
        <v>140.5</v>
      </c>
      <c r="BT159" s="2336">
        <v>223.07</v>
      </c>
      <c r="BU159" s="2336">
        <v>332.97</v>
      </c>
      <c r="BV159" s="2250"/>
      <c r="BW159" s="2250"/>
      <c r="BX159" s="2333">
        <v>177.81</v>
      </c>
      <c r="BY159" s="2336">
        <v>3.17</v>
      </c>
      <c r="BZ159" s="2336">
        <v>4.75</v>
      </c>
      <c r="CA159" s="2336">
        <v>9.31</v>
      </c>
      <c r="CB159" s="2336">
        <v>16.04</v>
      </c>
      <c r="CC159" s="2336">
        <v>25.54</v>
      </c>
      <c r="CD159" s="2336">
        <v>33.659999999999997</v>
      </c>
      <c r="CE159" s="2336">
        <v>51.19</v>
      </c>
      <c r="CF159" s="2336">
        <v>77.23</v>
      </c>
      <c r="CG159" s="2336">
        <v>100.99</v>
      </c>
      <c r="CH159" s="2336">
        <v>159.31</v>
      </c>
      <c r="CI159" s="2336">
        <v>213.96</v>
      </c>
      <c r="CJ159" s="2250"/>
      <c r="CK159" s="2250"/>
      <c r="CL159" s="2333">
        <v>177.81</v>
      </c>
      <c r="CM159" s="2336">
        <v>2.71</v>
      </c>
      <c r="CN159" s="2336">
        <v>4.0599999999999996</v>
      </c>
      <c r="CO159" s="2336">
        <v>7.79</v>
      </c>
      <c r="CP159" s="2336">
        <v>12.42</v>
      </c>
      <c r="CQ159" s="2336">
        <v>19.98</v>
      </c>
      <c r="CR159" s="2336">
        <v>25.28</v>
      </c>
      <c r="CS159" s="2336">
        <v>38.83</v>
      </c>
      <c r="CT159" s="2336">
        <v>54.18</v>
      </c>
      <c r="CU159" s="2336">
        <v>79.459999999999994</v>
      </c>
      <c r="CV159" s="2336">
        <v>120.77</v>
      </c>
      <c r="CW159" s="2336">
        <v>162.19</v>
      </c>
      <c r="CX159" s="2250"/>
      <c r="CY159" s="2250"/>
      <c r="CZ159" s="2333">
        <v>177.81</v>
      </c>
      <c r="DA159" s="2336">
        <v>1.68</v>
      </c>
      <c r="DB159" s="2336">
        <v>2.38</v>
      </c>
      <c r="DC159" s="2336">
        <v>4.55</v>
      </c>
      <c r="DD159" s="2336">
        <v>7.13</v>
      </c>
      <c r="DE159" s="2336">
        <v>11.58</v>
      </c>
      <c r="DF159" s="2336">
        <v>14.65</v>
      </c>
      <c r="DG159" s="2336">
        <v>22.28</v>
      </c>
      <c r="DH159" s="2336">
        <v>31.39</v>
      </c>
      <c r="DI159" s="2336">
        <v>46.14</v>
      </c>
      <c r="DJ159" s="2336">
        <v>69.209999999999994</v>
      </c>
      <c r="DK159" s="2336">
        <v>92.87</v>
      </c>
      <c r="DL159" s="2250"/>
      <c r="DM159" s="2250"/>
      <c r="DN159" s="2250"/>
      <c r="DO159" s="2250"/>
      <c r="DP159" s="2250"/>
      <c r="DQ159" s="2277"/>
      <c r="DR159" s="2277"/>
      <c r="DS159" s="277"/>
      <c r="DW159" s="2275"/>
      <c r="DX159" s="2333">
        <v>177.81</v>
      </c>
      <c r="DY159" s="2336">
        <v>4.46</v>
      </c>
      <c r="DZ159" s="2336">
        <v>6.63</v>
      </c>
      <c r="EA159" s="2336">
        <v>12.97</v>
      </c>
      <c r="EB159" s="2336">
        <v>22.38</v>
      </c>
      <c r="EC159" s="2336">
        <v>35.450000000000003</v>
      </c>
      <c r="ED159" s="2336">
        <v>52.38</v>
      </c>
      <c r="EE159" s="2336">
        <v>75.349999999999994</v>
      </c>
      <c r="EF159" s="2336">
        <v>103.37</v>
      </c>
      <c r="EG159" s="2336">
        <v>140.5</v>
      </c>
      <c r="EH159" s="2336">
        <v>223.07</v>
      </c>
      <c r="EI159" s="2336">
        <v>332.97</v>
      </c>
      <c r="EJ159" s="2250"/>
      <c r="EK159" s="2250"/>
      <c r="EL159" s="2333">
        <v>177.81</v>
      </c>
      <c r="EM159" s="2336">
        <v>3.17</v>
      </c>
      <c r="EN159" s="2336">
        <v>4.75</v>
      </c>
      <c r="EO159" s="2336">
        <v>9.31</v>
      </c>
      <c r="EP159" s="2336">
        <v>16.04</v>
      </c>
      <c r="EQ159" s="2336">
        <v>25.54</v>
      </c>
      <c r="ER159" s="2336">
        <v>33.659999999999997</v>
      </c>
      <c r="ES159" s="2336">
        <v>51.19</v>
      </c>
      <c r="ET159" s="2336">
        <v>77.23</v>
      </c>
      <c r="EU159" s="2336">
        <v>100.99</v>
      </c>
      <c r="EV159" s="2336">
        <v>159.31</v>
      </c>
      <c r="EW159" s="2336">
        <v>213.96</v>
      </c>
      <c r="EX159" s="2250"/>
      <c r="EY159" s="2250"/>
      <c r="EZ159" s="2333">
        <v>177.81</v>
      </c>
      <c r="FA159" s="2336">
        <v>2.71</v>
      </c>
      <c r="FB159" s="2336">
        <v>4.0599999999999996</v>
      </c>
      <c r="FC159" s="2336">
        <v>7.79</v>
      </c>
      <c r="FD159" s="2336">
        <v>12.42</v>
      </c>
      <c r="FE159" s="2336">
        <v>19.98</v>
      </c>
      <c r="FF159" s="2336">
        <v>25.28</v>
      </c>
      <c r="FG159" s="2336">
        <v>38.83</v>
      </c>
      <c r="FH159" s="2336">
        <v>54.18</v>
      </c>
      <c r="FI159" s="2336">
        <v>79.459999999999994</v>
      </c>
      <c r="FJ159" s="2336">
        <v>120.77</v>
      </c>
      <c r="FK159" s="2336">
        <v>162.19</v>
      </c>
      <c r="FL159" s="2250"/>
      <c r="FM159" s="2250"/>
      <c r="FN159" s="2333">
        <v>177.81</v>
      </c>
      <c r="FO159" s="2336">
        <v>1.68</v>
      </c>
      <c r="FP159" s="2336">
        <v>2.38</v>
      </c>
      <c r="FQ159" s="2336">
        <v>4.55</v>
      </c>
      <c r="FR159" s="2336">
        <v>7.13</v>
      </c>
      <c r="FS159" s="2336">
        <v>11.58</v>
      </c>
      <c r="FT159" s="2336">
        <v>14.65</v>
      </c>
      <c r="FU159" s="2336">
        <v>22.28</v>
      </c>
      <c r="FV159" s="2336">
        <v>31.39</v>
      </c>
      <c r="FW159" s="2336">
        <v>46.14</v>
      </c>
      <c r="FX159" s="2336">
        <v>69.209999999999994</v>
      </c>
      <c r="FY159" s="2336">
        <v>92.87</v>
      </c>
      <c r="FZ159" s="2250"/>
      <c r="GA159" s="2250"/>
      <c r="GB159" s="1302">
        <v>34.200000000000003</v>
      </c>
      <c r="GC159" s="1302">
        <v>38.799999999999997</v>
      </c>
      <c r="GD159" s="2250"/>
      <c r="GE159" s="2275"/>
      <c r="GF159" s="2333">
        <v>177.81</v>
      </c>
      <c r="GG159" s="2336">
        <v>4.46</v>
      </c>
      <c r="GH159" s="2336">
        <v>6.63</v>
      </c>
      <c r="GI159" s="2336">
        <v>12.97</v>
      </c>
      <c r="GJ159" s="2336">
        <v>22.38</v>
      </c>
      <c r="GK159" s="2336">
        <v>35.450000000000003</v>
      </c>
      <c r="GL159" s="2336">
        <v>52.38</v>
      </c>
      <c r="GM159" s="2336">
        <v>75.349999999999994</v>
      </c>
      <c r="GN159" s="2336">
        <v>103.37</v>
      </c>
      <c r="GO159" s="2336">
        <v>140.5</v>
      </c>
      <c r="GP159" s="2336">
        <v>223.07</v>
      </c>
      <c r="GQ159" s="2336">
        <v>332.97</v>
      </c>
      <c r="GR159" s="2250"/>
      <c r="GS159" s="2250"/>
      <c r="GT159" s="2333">
        <v>177.81</v>
      </c>
      <c r="GU159" s="2336">
        <v>3.17</v>
      </c>
      <c r="GV159" s="2336">
        <v>4.75</v>
      </c>
      <c r="GW159" s="2336">
        <v>9.31</v>
      </c>
      <c r="GX159" s="2336">
        <v>16.04</v>
      </c>
      <c r="GY159" s="2336">
        <v>25.54</v>
      </c>
      <c r="GZ159" s="2336">
        <v>33.659999999999997</v>
      </c>
      <c r="HA159" s="2336">
        <v>51.19</v>
      </c>
      <c r="HB159" s="2336">
        <v>77.23</v>
      </c>
      <c r="HC159" s="2336">
        <v>100.99</v>
      </c>
      <c r="HD159" s="2336">
        <v>159.31</v>
      </c>
      <c r="HE159" s="2336">
        <v>213.96</v>
      </c>
      <c r="HF159" s="2250"/>
      <c r="HG159" s="2250"/>
      <c r="HH159" s="2333">
        <v>177.81</v>
      </c>
      <c r="HI159" s="2336">
        <v>2.71</v>
      </c>
      <c r="HJ159" s="2336">
        <v>4.0599999999999996</v>
      </c>
      <c r="HK159" s="2336">
        <v>7.79</v>
      </c>
      <c r="HL159" s="2336">
        <v>12.42</v>
      </c>
      <c r="HM159" s="2336">
        <v>19.98</v>
      </c>
      <c r="HN159" s="2336">
        <v>25.28</v>
      </c>
      <c r="HO159" s="2336">
        <v>38.83</v>
      </c>
      <c r="HP159" s="2336">
        <v>54.18</v>
      </c>
      <c r="HQ159" s="2336">
        <v>79.459999999999994</v>
      </c>
      <c r="HR159" s="2336">
        <v>120.77</v>
      </c>
      <c r="HS159" s="2336">
        <v>162.19</v>
      </c>
      <c r="HT159" s="2250"/>
      <c r="HU159" s="2250"/>
      <c r="HV159" s="2333">
        <v>177.81</v>
      </c>
      <c r="HW159" s="2336">
        <v>1.68</v>
      </c>
      <c r="HX159" s="2336">
        <v>2.38</v>
      </c>
      <c r="HY159" s="2336">
        <v>4.55</v>
      </c>
      <c r="HZ159" s="2336">
        <v>7.13</v>
      </c>
      <c r="IA159" s="2336">
        <v>11.58</v>
      </c>
      <c r="IB159" s="2336">
        <v>14.65</v>
      </c>
      <c r="IC159" s="2336">
        <v>22.28</v>
      </c>
      <c r="ID159" s="2336">
        <v>31.39</v>
      </c>
      <c r="IE159" s="2336">
        <v>46.14</v>
      </c>
      <c r="IF159" s="2336">
        <v>69.209999999999994</v>
      </c>
      <c r="IG159" s="2336">
        <v>92.87</v>
      </c>
      <c r="IH159" s="2250"/>
      <c r="II159" s="2250"/>
      <c r="IJ159" s="2250"/>
      <c r="IK159" s="2250"/>
      <c r="IL159" s="2250"/>
      <c r="IN159" s="277"/>
      <c r="IO159" s="277"/>
    </row>
    <row r="160" spans="1:249" ht="21.95" customHeight="1">
      <c r="A160" s="2275"/>
      <c r="B160" s="2333">
        <v>165.9</v>
      </c>
      <c r="C160" s="2336">
        <v>4.6500000000000004</v>
      </c>
      <c r="D160" s="2336">
        <v>7.03</v>
      </c>
      <c r="E160" s="2336">
        <v>13.76</v>
      </c>
      <c r="F160" s="2336">
        <v>23.76</v>
      </c>
      <c r="G160" s="2336">
        <v>37.619999999999997</v>
      </c>
      <c r="H160" s="2336">
        <v>55.64</v>
      </c>
      <c r="I160" s="2336">
        <v>80</v>
      </c>
      <c r="J160" s="2336">
        <v>109.31</v>
      </c>
      <c r="K160" s="2336">
        <v>149.11000000000001</v>
      </c>
      <c r="L160" s="2336">
        <v>236.83</v>
      </c>
      <c r="M160" s="2336">
        <v>351.98</v>
      </c>
      <c r="N160" s="2250"/>
      <c r="O160" s="2250"/>
      <c r="P160" s="2333">
        <v>165.9</v>
      </c>
      <c r="Q160" s="2336">
        <v>3.37</v>
      </c>
      <c r="R160" s="2336">
        <v>5.05</v>
      </c>
      <c r="S160" s="2336">
        <v>9.9</v>
      </c>
      <c r="T160" s="2336">
        <v>16.440000000000001</v>
      </c>
      <c r="U160" s="2336">
        <v>27.13</v>
      </c>
      <c r="V160" s="2336">
        <v>37.43</v>
      </c>
      <c r="W160" s="2336">
        <v>51.19</v>
      </c>
      <c r="X160" s="2336">
        <v>78.61</v>
      </c>
      <c r="Y160" s="2336">
        <v>107.33</v>
      </c>
      <c r="Z160" s="2336">
        <v>159.31</v>
      </c>
      <c r="AA160" s="2336">
        <v>225.54</v>
      </c>
      <c r="AB160" s="2250"/>
      <c r="AC160" s="2250"/>
      <c r="AD160" s="2333">
        <v>165.9</v>
      </c>
      <c r="AE160" s="2336">
        <v>2.93</v>
      </c>
      <c r="AF160" s="2336">
        <v>4.4000000000000004</v>
      </c>
      <c r="AG160" s="2336">
        <v>8.4700000000000006</v>
      </c>
      <c r="AH160" s="2336">
        <v>12.42</v>
      </c>
      <c r="AI160" s="2336">
        <v>21.9</v>
      </c>
      <c r="AJ160" s="2336">
        <v>28.1</v>
      </c>
      <c r="AK160" s="2336">
        <v>38.83</v>
      </c>
      <c r="AL160" s="2336">
        <v>59.14</v>
      </c>
      <c r="AM160" s="2336">
        <v>86.79</v>
      </c>
      <c r="AN160" s="2336">
        <v>120.77</v>
      </c>
      <c r="AO160" s="2336">
        <v>170.43</v>
      </c>
      <c r="AP160" s="2250"/>
      <c r="AQ160" s="2250"/>
      <c r="AR160" s="2333">
        <v>165.9</v>
      </c>
      <c r="AS160" s="2336">
        <v>1.78</v>
      </c>
      <c r="AT160" s="2336">
        <v>2.67</v>
      </c>
      <c r="AU160" s="2336">
        <v>4.95</v>
      </c>
      <c r="AV160" s="2336">
        <v>7.13</v>
      </c>
      <c r="AW160" s="2336">
        <v>12.67</v>
      </c>
      <c r="AX160" s="2336">
        <v>16.239999999999998</v>
      </c>
      <c r="AY160" s="2336">
        <v>22.28</v>
      </c>
      <c r="AZ160" s="2336">
        <v>34.26</v>
      </c>
      <c r="BA160" s="2336">
        <v>49.7</v>
      </c>
      <c r="BB160" s="2336">
        <v>69.209999999999994</v>
      </c>
      <c r="BC160" s="2336">
        <v>98.02</v>
      </c>
      <c r="BD160" s="2250"/>
      <c r="BE160" s="2250"/>
      <c r="BF160" s="1302">
        <v>38.799999999999997</v>
      </c>
      <c r="BG160" s="1302">
        <v>43.9</v>
      </c>
      <c r="BH160" s="2250"/>
      <c r="BI160" s="2275"/>
      <c r="BJ160" s="2333">
        <v>165.9</v>
      </c>
      <c r="BK160" s="2336">
        <v>4.6500000000000004</v>
      </c>
      <c r="BL160" s="2336">
        <v>7.03</v>
      </c>
      <c r="BM160" s="2336">
        <v>13.76</v>
      </c>
      <c r="BN160" s="2336">
        <v>23.76</v>
      </c>
      <c r="BO160" s="2336">
        <v>37.619999999999997</v>
      </c>
      <c r="BP160" s="2336">
        <v>55.64</v>
      </c>
      <c r="BQ160" s="2336">
        <v>80</v>
      </c>
      <c r="BR160" s="2336">
        <v>109.31</v>
      </c>
      <c r="BS160" s="2336">
        <v>149.11000000000001</v>
      </c>
      <c r="BT160" s="2336">
        <v>236.83</v>
      </c>
      <c r="BU160" s="2336">
        <v>351.98</v>
      </c>
      <c r="BV160" s="2250"/>
      <c r="BW160" s="2250"/>
      <c r="BX160" s="2333">
        <v>165.9</v>
      </c>
      <c r="BY160" s="2336">
        <v>3.37</v>
      </c>
      <c r="BZ160" s="2336">
        <v>5.05</v>
      </c>
      <c r="CA160" s="2336">
        <v>9.9</v>
      </c>
      <c r="CB160" s="2336">
        <v>16.440000000000001</v>
      </c>
      <c r="CC160" s="2336">
        <v>27.13</v>
      </c>
      <c r="CD160" s="2336">
        <v>37.43</v>
      </c>
      <c r="CE160" s="2336">
        <v>51.19</v>
      </c>
      <c r="CF160" s="2336">
        <v>78.61</v>
      </c>
      <c r="CG160" s="2336">
        <v>107.33</v>
      </c>
      <c r="CH160" s="2336">
        <v>159.31</v>
      </c>
      <c r="CI160" s="2336">
        <v>225.54</v>
      </c>
      <c r="CJ160" s="2250"/>
      <c r="CK160" s="2250"/>
      <c r="CL160" s="2333">
        <v>165.9</v>
      </c>
      <c r="CM160" s="2336">
        <v>2.93</v>
      </c>
      <c r="CN160" s="2336">
        <v>4.4000000000000004</v>
      </c>
      <c r="CO160" s="2336">
        <v>8.4700000000000006</v>
      </c>
      <c r="CP160" s="2336">
        <v>12.42</v>
      </c>
      <c r="CQ160" s="2336">
        <v>21.9</v>
      </c>
      <c r="CR160" s="2336">
        <v>28.1</v>
      </c>
      <c r="CS160" s="2336">
        <v>38.83</v>
      </c>
      <c r="CT160" s="2336">
        <v>59.14</v>
      </c>
      <c r="CU160" s="2336">
        <v>86.79</v>
      </c>
      <c r="CV160" s="2336">
        <v>120.77</v>
      </c>
      <c r="CW160" s="2336">
        <v>170.43</v>
      </c>
      <c r="CX160" s="2250"/>
      <c r="CY160" s="2250"/>
      <c r="CZ160" s="2333">
        <v>165.9</v>
      </c>
      <c r="DA160" s="2336">
        <v>1.78</v>
      </c>
      <c r="DB160" s="2336">
        <v>2.67</v>
      </c>
      <c r="DC160" s="2336">
        <v>4.95</v>
      </c>
      <c r="DD160" s="2336">
        <v>7.13</v>
      </c>
      <c r="DE160" s="2336">
        <v>12.67</v>
      </c>
      <c r="DF160" s="2336">
        <v>16.239999999999998</v>
      </c>
      <c r="DG160" s="2336">
        <v>22.28</v>
      </c>
      <c r="DH160" s="2336">
        <v>34.26</v>
      </c>
      <c r="DI160" s="2336">
        <v>49.7</v>
      </c>
      <c r="DJ160" s="2336">
        <v>69.209999999999994</v>
      </c>
      <c r="DK160" s="2336">
        <v>98.02</v>
      </c>
      <c r="DL160" s="2250"/>
      <c r="DM160" s="2250"/>
      <c r="DN160" s="2250"/>
      <c r="DO160" s="2250"/>
      <c r="DP160" s="2250"/>
      <c r="DQ160" s="2277"/>
      <c r="DR160" s="2277"/>
      <c r="DS160" s="277"/>
      <c r="DW160" s="2275"/>
      <c r="DX160" s="2333">
        <v>165.9</v>
      </c>
      <c r="DY160" s="2336">
        <v>4.6500000000000004</v>
      </c>
      <c r="DZ160" s="2336">
        <v>7.03</v>
      </c>
      <c r="EA160" s="2336">
        <v>13.76</v>
      </c>
      <c r="EB160" s="2336">
        <v>23.76</v>
      </c>
      <c r="EC160" s="2336">
        <v>37.619999999999997</v>
      </c>
      <c r="ED160" s="2336">
        <v>55.64</v>
      </c>
      <c r="EE160" s="2336">
        <v>80</v>
      </c>
      <c r="EF160" s="2336">
        <v>109.31</v>
      </c>
      <c r="EG160" s="2336">
        <v>149.11000000000001</v>
      </c>
      <c r="EH160" s="2336">
        <v>236.83</v>
      </c>
      <c r="EI160" s="2336">
        <v>351.98</v>
      </c>
      <c r="EJ160" s="2250"/>
      <c r="EK160" s="2250"/>
      <c r="EL160" s="2333">
        <v>165.9</v>
      </c>
      <c r="EM160" s="2336">
        <v>3.37</v>
      </c>
      <c r="EN160" s="2336">
        <v>5.05</v>
      </c>
      <c r="EO160" s="2336">
        <v>9.9</v>
      </c>
      <c r="EP160" s="2336">
        <v>16.440000000000001</v>
      </c>
      <c r="EQ160" s="2336">
        <v>27.13</v>
      </c>
      <c r="ER160" s="2336">
        <v>37.43</v>
      </c>
      <c r="ES160" s="2336">
        <v>51.19</v>
      </c>
      <c r="ET160" s="2336">
        <v>78.61</v>
      </c>
      <c r="EU160" s="2336">
        <v>107.33</v>
      </c>
      <c r="EV160" s="2336">
        <v>159.31</v>
      </c>
      <c r="EW160" s="2336">
        <v>225.54</v>
      </c>
      <c r="EX160" s="2250"/>
      <c r="EY160" s="2250"/>
      <c r="EZ160" s="2333">
        <v>165.9</v>
      </c>
      <c r="FA160" s="2336">
        <v>2.93</v>
      </c>
      <c r="FB160" s="2336">
        <v>4.4000000000000004</v>
      </c>
      <c r="FC160" s="2336">
        <v>8.4700000000000006</v>
      </c>
      <c r="FD160" s="2336">
        <v>12.42</v>
      </c>
      <c r="FE160" s="2336">
        <v>21.9</v>
      </c>
      <c r="FF160" s="2336">
        <v>28.1</v>
      </c>
      <c r="FG160" s="2336">
        <v>38.83</v>
      </c>
      <c r="FH160" s="2336">
        <v>59.14</v>
      </c>
      <c r="FI160" s="2336">
        <v>86.79</v>
      </c>
      <c r="FJ160" s="2336">
        <v>120.77</v>
      </c>
      <c r="FK160" s="2336">
        <v>170.43</v>
      </c>
      <c r="FL160" s="2250"/>
      <c r="FM160" s="2250"/>
      <c r="FN160" s="2333">
        <v>165.9</v>
      </c>
      <c r="FO160" s="2336">
        <v>1.78</v>
      </c>
      <c r="FP160" s="2336">
        <v>2.67</v>
      </c>
      <c r="FQ160" s="2336">
        <v>4.95</v>
      </c>
      <c r="FR160" s="2336">
        <v>7.13</v>
      </c>
      <c r="FS160" s="2336">
        <v>12.67</v>
      </c>
      <c r="FT160" s="2336">
        <v>16.239999999999998</v>
      </c>
      <c r="FU160" s="2336">
        <v>22.28</v>
      </c>
      <c r="FV160" s="2336">
        <v>34.26</v>
      </c>
      <c r="FW160" s="2336">
        <v>49.7</v>
      </c>
      <c r="FX160" s="2336">
        <v>69.209999999999994</v>
      </c>
      <c r="FY160" s="2336">
        <v>98.02</v>
      </c>
      <c r="FZ160" s="2250"/>
      <c r="GA160" s="2250"/>
      <c r="GB160" s="1302">
        <v>38.799999999999997</v>
      </c>
      <c r="GC160" s="1302">
        <v>43.9</v>
      </c>
      <c r="GD160" s="2250"/>
      <c r="GE160" s="2275"/>
      <c r="GF160" s="2333">
        <v>165.9</v>
      </c>
      <c r="GG160" s="2336">
        <v>4.6500000000000004</v>
      </c>
      <c r="GH160" s="2336">
        <v>7.03</v>
      </c>
      <c r="GI160" s="2336">
        <v>13.76</v>
      </c>
      <c r="GJ160" s="2336">
        <v>23.76</v>
      </c>
      <c r="GK160" s="2336">
        <v>37.619999999999997</v>
      </c>
      <c r="GL160" s="2336">
        <v>55.64</v>
      </c>
      <c r="GM160" s="2336">
        <v>80</v>
      </c>
      <c r="GN160" s="2336">
        <v>109.31</v>
      </c>
      <c r="GO160" s="2336">
        <v>149.11000000000001</v>
      </c>
      <c r="GP160" s="2336">
        <v>236.83</v>
      </c>
      <c r="GQ160" s="2336">
        <v>351.98</v>
      </c>
      <c r="GR160" s="2250"/>
      <c r="GS160" s="2250"/>
      <c r="GT160" s="2333">
        <v>165.9</v>
      </c>
      <c r="GU160" s="2336">
        <v>3.37</v>
      </c>
      <c r="GV160" s="2336">
        <v>5.05</v>
      </c>
      <c r="GW160" s="2336">
        <v>9.9</v>
      </c>
      <c r="GX160" s="2336">
        <v>16.440000000000001</v>
      </c>
      <c r="GY160" s="2336">
        <v>27.13</v>
      </c>
      <c r="GZ160" s="2336">
        <v>37.43</v>
      </c>
      <c r="HA160" s="2336">
        <v>51.19</v>
      </c>
      <c r="HB160" s="2336">
        <v>78.61</v>
      </c>
      <c r="HC160" s="2336">
        <v>107.33</v>
      </c>
      <c r="HD160" s="2336">
        <v>159.31</v>
      </c>
      <c r="HE160" s="2336">
        <v>225.54</v>
      </c>
      <c r="HF160" s="2250"/>
      <c r="HG160" s="2250"/>
      <c r="HH160" s="2333">
        <v>165.9</v>
      </c>
      <c r="HI160" s="2336">
        <v>2.93</v>
      </c>
      <c r="HJ160" s="2336">
        <v>4.4000000000000004</v>
      </c>
      <c r="HK160" s="2336">
        <v>8.4700000000000006</v>
      </c>
      <c r="HL160" s="2336">
        <v>12.42</v>
      </c>
      <c r="HM160" s="2336">
        <v>21.9</v>
      </c>
      <c r="HN160" s="2336">
        <v>28.1</v>
      </c>
      <c r="HO160" s="2336">
        <v>38.83</v>
      </c>
      <c r="HP160" s="2336">
        <v>59.14</v>
      </c>
      <c r="HQ160" s="2336">
        <v>86.79</v>
      </c>
      <c r="HR160" s="2336">
        <v>120.77</v>
      </c>
      <c r="HS160" s="2336">
        <v>170.43</v>
      </c>
      <c r="HT160" s="2250"/>
      <c r="HU160" s="2250"/>
      <c r="HV160" s="2333">
        <v>165.9</v>
      </c>
      <c r="HW160" s="2336">
        <v>1.78</v>
      </c>
      <c r="HX160" s="2336">
        <v>2.67</v>
      </c>
      <c r="HY160" s="2336">
        <v>4.95</v>
      </c>
      <c r="HZ160" s="2336">
        <v>7.13</v>
      </c>
      <c r="IA160" s="2336">
        <v>12.67</v>
      </c>
      <c r="IB160" s="2336">
        <v>16.239999999999998</v>
      </c>
      <c r="IC160" s="2336">
        <v>22.28</v>
      </c>
      <c r="ID160" s="2336">
        <v>34.26</v>
      </c>
      <c r="IE160" s="2336">
        <v>49.7</v>
      </c>
      <c r="IF160" s="2336">
        <v>69.209999999999994</v>
      </c>
      <c r="IG160" s="2336">
        <v>98.02</v>
      </c>
      <c r="IH160" s="2250"/>
      <c r="II160" s="2250"/>
      <c r="IJ160" s="2250"/>
      <c r="IK160" s="2250"/>
      <c r="IL160" s="2250"/>
      <c r="IN160" s="277"/>
      <c r="IO160" s="277"/>
    </row>
    <row r="161" spans="1:249" ht="21.95" customHeight="1">
      <c r="A161" s="2275"/>
      <c r="B161" s="2333">
        <v>162.68</v>
      </c>
      <c r="C161" s="2336">
        <v>4.75</v>
      </c>
      <c r="D161" s="2336">
        <v>7.13</v>
      </c>
      <c r="E161" s="2336">
        <v>13.96</v>
      </c>
      <c r="F161" s="2336">
        <v>24.06</v>
      </c>
      <c r="G161" s="2336">
        <v>38.22</v>
      </c>
      <c r="H161" s="2336">
        <v>56.83</v>
      </c>
      <c r="I161" s="2336">
        <v>81.290000000000006</v>
      </c>
      <c r="J161" s="2336">
        <v>111.49</v>
      </c>
      <c r="K161" s="2336">
        <v>151.38999999999999</v>
      </c>
      <c r="L161" s="2336">
        <v>240.5</v>
      </c>
      <c r="M161" s="2336">
        <v>358.91</v>
      </c>
      <c r="N161" s="2250"/>
      <c r="O161" s="2250"/>
      <c r="P161" s="2333">
        <v>162.68</v>
      </c>
      <c r="Q161" s="2336">
        <v>3.47</v>
      </c>
      <c r="R161" s="2336">
        <v>5.15</v>
      </c>
      <c r="S161" s="2336">
        <v>10</v>
      </c>
      <c r="T161" s="2336">
        <v>17.329999999999998</v>
      </c>
      <c r="U161" s="2336">
        <v>27.33</v>
      </c>
      <c r="V161" s="2336">
        <v>38.119999999999997</v>
      </c>
      <c r="W161" s="2336">
        <v>55.35</v>
      </c>
      <c r="X161" s="2336">
        <v>74.260000000000005</v>
      </c>
      <c r="Y161" s="2336">
        <v>109.01</v>
      </c>
      <c r="Z161" s="2336">
        <v>168.02</v>
      </c>
      <c r="AA161" s="2336">
        <v>244.16</v>
      </c>
      <c r="AB161" s="2250"/>
      <c r="AC161" s="2250"/>
      <c r="AD161" s="2333">
        <v>162.68</v>
      </c>
      <c r="AE161" s="2336">
        <v>2.93</v>
      </c>
      <c r="AF161" s="2336">
        <v>4.29</v>
      </c>
      <c r="AG161" s="2336">
        <v>8.01</v>
      </c>
      <c r="AH161" s="2336">
        <v>13.32</v>
      </c>
      <c r="AI161" s="2336">
        <v>20.54</v>
      </c>
      <c r="AJ161" s="2336">
        <v>28.67</v>
      </c>
      <c r="AK161" s="2336">
        <v>41.53</v>
      </c>
      <c r="AL161" s="2336">
        <v>55.76</v>
      </c>
      <c r="AM161" s="2336">
        <v>81.83</v>
      </c>
      <c r="AN161" s="2336">
        <v>125.96</v>
      </c>
      <c r="AO161" s="2336">
        <v>183.18</v>
      </c>
      <c r="AP161" s="2250"/>
      <c r="AQ161" s="2250"/>
      <c r="AR161" s="2333">
        <v>162.68</v>
      </c>
      <c r="AS161" s="2336">
        <v>1.68</v>
      </c>
      <c r="AT161" s="2336">
        <v>2.48</v>
      </c>
      <c r="AU161" s="2336">
        <v>4.6500000000000004</v>
      </c>
      <c r="AV161" s="2336">
        <v>7.72</v>
      </c>
      <c r="AW161" s="2336">
        <v>11.88</v>
      </c>
      <c r="AX161" s="2336">
        <v>16.63</v>
      </c>
      <c r="AY161" s="2336">
        <v>23.96</v>
      </c>
      <c r="AZ161" s="2336">
        <v>32.28</v>
      </c>
      <c r="BA161" s="2336">
        <v>47.33</v>
      </c>
      <c r="BB161" s="2336">
        <v>72.87</v>
      </c>
      <c r="BC161" s="2336">
        <v>105.94</v>
      </c>
      <c r="BD161" s="2250"/>
      <c r="BE161" s="2250"/>
      <c r="BF161" s="1302">
        <v>43.9</v>
      </c>
      <c r="BG161" s="1302">
        <v>48.8</v>
      </c>
      <c r="BH161" s="2250"/>
      <c r="BI161" s="2275"/>
      <c r="BJ161" s="2333">
        <v>162.68</v>
      </c>
      <c r="BK161" s="2336">
        <v>4.75</v>
      </c>
      <c r="BL161" s="2336">
        <v>7.13</v>
      </c>
      <c r="BM161" s="2336">
        <v>13.96</v>
      </c>
      <c r="BN161" s="2336">
        <v>24.06</v>
      </c>
      <c r="BO161" s="2336">
        <v>38.22</v>
      </c>
      <c r="BP161" s="2336">
        <v>56.83</v>
      </c>
      <c r="BQ161" s="2336">
        <v>81.290000000000006</v>
      </c>
      <c r="BR161" s="2336">
        <v>111.49</v>
      </c>
      <c r="BS161" s="2336">
        <v>151.38999999999999</v>
      </c>
      <c r="BT161" s="2336">
        <v>240.5</v>
      </c>
      <c r="BU161" s="2336">
        <v>358.91</v>
      </c>
      <c r="BV161" s="2250"/>
      <c r="BW161" s="2250"/>
      <c r="BX161" s="2333">
        <v>162.68</v>
      </c>
      <c r="BY161" s="2336">
        <v>3.47</v>
      </c>
      <c r="BZ161" s="2336">
        <v>5.15</v>
      </c>
      <c r="CA161" s="2336">
        <v>10</v>
      </c>
      <c r="CB161" s="2336">
        <v>17.329999999999998</v>
      </c>
      <c r="CC161" s="2336">
        <v>27.33</v>
      </c>
      <c r="CD161" s="2336">
        <v>38.119999999999997</v>
      </c>
      <c r="CE161" s="2336">
        <v>55.35</v>
      </c>
      <c r="CF161" s="2336">
        <v>74.260000000000005</v>
      </c>
      <c r="CG161" s="2336">
        <v>109.01</v>
      </c>
      <c r="CH161" s="2336">
        <v>168.02</v>
      </c>
      <c r="CI161" s="2336">
        <v>244.16</v>
      </c>
      <c r="CJ161" s="2250"/>
      <c r="CK161" s="2250"/>
      <c r="CL161" s="2333">
        <v>162.68</v>
      </c>
      <c r="CM161" s="2336">
        <v>2.93</v>
      </c>
      <c r="CN161" s="2336">
        <v>4.29</v>
      </c>
      <c r="CO161" s="2336">
        <v>8.01</v>
      </c>
      <c r="CP161" s="2336">
        <v>13.32</v>
      </c>
      <c r="CQ161" s="2336">
        <v>20.54</v>
      </c>
      <c r="CR161" s="2336">
        <v>28.67</v>
      </c>
      <c r="CS161" s="2336">
        <v>41.53</v>
      </c>
      <c r="CT161" s="2336">
        <v>55.76</v>
      </c>
      <c r="CU161" s="2336">
        <v>81.83</v>
      </c>
      <c r="CV161" s="2336">
        <v>125.96</v>
      </c>
      <c r="CW161" s="2336">
        <v>183.18</v>
      </c>
      <c r="CX161" s="2250"/>
      <c r="CY161" s="2250"/>
      <c r="CZ161" s="2333">
        <v>162.68</v>
      </c>
      <c r="DA161" s="2336">
        <v>1.68</v>
      </c>
      <c r="DB161" s="2336">
        <v>2.48</v>
      </c>
      <c r="DC161" s="2336">
        <v>4.6500000000000004</v>
      </c>
      <c r="DD161" s="2336">
        <v>7.72</v>
      </c>
      <c r="DE161" s="2336">
        <v>11.88</v>
      </c>
      <c r="DF161" s="2336">
        <v>16.63</v>
      </c>
      <c r="DG161" s="2336">
        <v>23.96</v>
      </c>
      <c r="DH161" s="2336">
        <v>32.28</v>
      </c>
      <c r="DI161" s="2336">
        <v>47.33</v>
      </c>
      <c r="DJ161" s="2336">
        <v>72.87</v>
      </c>
      <c r="DK161" s="2336">
        <v>105.94</v>
      </c>
      <c r="DL161" s="2250"/>
      <c r="DM161" s="2250"/>
      <c r="DN161" s="2250"/>
      <c r="DO161" s="2250"/>
      <c r="DP161" s="2250"/>
      <c r="DQ161" s="2277"/>
      <c r="DR161" s="2277"/>
      <c r="DS161" s="277"/>
      <c r="DW161" s="2275"/>
      <c r="DX161" s="2333">
        <v>162.68</v>
      </c>
      <c r="DY161" s="2336">
        <v>4.75</v>
      </c>
      <c r="DZ161" s="2336">
        <v>7.13</v>
      </c>
      <c r="EA161" s="2336">
        <v>13.96</v>
      </c>
      <c r="EB161" s="2336">
        <v>24.06</v>
      </c>
      <c r="EC161" s="2336">
        <v>38.22</v>
      </c>
      <c r="ED161" s="2336">
        <v>56.83</v>
      </c>
      <c r="EE161" s="2336">
        <v>81.290000000000006</v>
      </c>
      <c r="EF161" s="2336">
        <v>111.49</v>
      </c>
      <c r="EG161" s="2336">
        <v>151.38999999999999</v>
      </c>
      <c r="EH161" s="2336">
        <v>240.5</v>
      </c>
      <c r="EI161" s="2336">
        <v>358.91</v>
      </c>
      <c r="EJ161" s="2250"/>
      <c r="EK161" s="2250"/>
      <c r="EL161" s="2333">
        <v>162.68</v>
      </c>
      <c r="EM161" s="2336">
        <v>3.47</v>
      </c>
      <c r="EN161" s="2336">
        <v>5.15</v>
      </c>
      <c r="EO161" s="2336">
        <v>10</v>
      </c>
      <c r="EP161" s="2336">
        <v>17.329999999999998</v>
      </c>
      <c r="EQ161" s="2336">
        <v>27.33</v>
      </c>
      <c r="ER161" s="2336">
        <v>38.119999999999997</v>
      </c>
      <c r="ES161" s="2336">
        <v>55.35</v>
      </c>
      <c r="ET161" s="2336">
        <v>74.260000000000005</v>
      </c>
      <c r="EU161" s="2336">
        <v>109.01</v>
      </c>
      <c r="EV161" s="2336">
        <v>168.02</v>
      </c>
      <c r="EW161" s="2336">
        <v>244.16</v>
      </c>
      <c r="EX161" s="2250"/>
      <c r="EY161" s="2250"/>
      <c r="EZ161" s="2333">
        <v>162.68</v>
      </c>
      <c r="FA161" s="2336">
        <v>2.93</v>
      </c>
      <c r="FB161" s="2336">
        <v>4.29</v>
      </c>
      <c r="FC161" s="2336">
        <v>8.01</v>
      </c>
      <c r="FD161" s="2336">
        <v>13.32</v>
      </c>
      <c r="FE161" s="2336">
        <v>20.54</v>
      </c>
      <c r="FF161" s="2336">
        <v>28.67</v>
      </c>
      <c r="FG161" s="2336">
        <v>41.53</v>
      </c>
      <c r="FH161" s="2336">
        <v>55.76</v>
      </c>
      <c r="FI161" s="2336">
        <v>81.83</v>
      </c>
      <c r="FJ161" s="2336">
        <v>125.96</v>
      </c>
      <c r="FK161" s="2336">
        <v>183.18</v>
      </c>
      <c r="FL161" s="2250"/>
      <c r="FM161" s="2250"/>
      <c r="FN161" s="2333">
        <v>162.68</v>
      </c>
      <c r="FO161" s="2336">
        <v>1.68</v>
      </c>
      <c r="FP161" s="2336">
        <v>2.48</v>
      </c>
      <c r="FQ161" s="2336">
        <v>4.6500000000000004</v>
      </c>
      <c r="FR161" s="2336">
        <v>7.72</v>
      </c>
      <c r="FS161" s="2336">
        <v>11.88</v>
      </c>
      <c r="FT161" s="2336">
        <v>16.63</v>
      </c>
      <c r="FU161" s="2336">
        <v>23.96</v>
      </c>
      <c r="FV161" s="2336">
        <v>32.28</v>
      </c>
      <c r="FW161" s="2336">
        <v>47.33</v>
      </c>
      <c r="FX161" s="2336">
        <v>72.87</v>
      </c>
      <c r="FY161" s="2336">
        <v>105.94</v>
      </c>
      <c r="FZ161" s="2250"/>
      <c r="GA161" s="2250"/>
      <c r="GB161" s="1302">
        <v>43.9</v>
      </c>
      <c r="GC161" s="1302">
        <v>48.8</v>
      </c>
      <c r="GD161" s="2250"/>
      <c r="GE161" s="2275"/>
      <c r="GF161" s="2333">
        <v>162.68</v>
      </c>
      <c r="GG161" s="2336">
        <v>4.75</v>
      </c>
      <c r="GH161" s="2336">
        <v>7.13</v>
      </c>
      <c r="GI161" s="2336">
        <v>13.96</v>
      </c>
      <c r="GJ161" s="2336">
        <v>24.06</v>
      </c>
      <c r="GK161" s="2336">
        <v>38.22</v>
      </c>
      <c r="GL161" s="2336">
        <v>56.83</v>
      </c>
      <c r="GM161" s="2336">
        <v>81.290000000000006</v>
      </c>
      <c r="GN161" s="2336">
        <v>111.49</v>
      </c>
      <c r="GO161" s="2336">
        <v>151.38999999999999</v>
      </c>
      <c r="GP161" s="2336">
        <v>240.5</v>
      </c>
      <c r="GQ161" s="2336">
        <v>358.91</v>
      </c>
      <c r="GR161" s="2250"/>
      <c r="GS161" s="2250"/>
      <c r="GT161" s="2333">
        <v>162.68</v>
      </c>
      <c r="GU161" s="2336">
        <v>3.47</v>
      </c>
      <c r="GV161" s="2336">
        <v>5.15</v>
      </c>
      <c r="GW161" s="2336">
        <v>10</v>
      </c>
      <c r="GX161" s="2336">
        <v>17.329999999999998</v>
      </c>
      <c r="GY161" s="2336">
        <v>27.33</v>
      </c>
      <c r="GZ161" s="2336">
        <v>38.119999999999997</v>
      </c>
      <c r="HA161" s="2336">
        <v>55.35</v>
      </c>
      <c r="HB161" s="2336">
        <v>74.260000000000005</v>
      </c>
      <c r="HC161" s="2336">
        <v>109.01</v>
      </c>
      <c r="HD161" s="2336">
        <v>168.02</v>
      </c>
      <c r="HE161" s="2336">
        <v>244.16</v>
      </c>
      <c r="HF161" s="2250"/>
      <c r="HG161" s="2250"/>
      <c r="HH161" s="2333">
        <v>162.68</v>
      </c>
      <c r="HI161" s="2336">
        <v>2.93</v>
      </c>
      <c r="HJ161" s="2336">
        <v>4.29</v>
      </c>
      <c r="HK161" s="2336">
        <v>8.01</v>
      </c>
      <c r="HL161" s="2336">
        <v>13.32</v>
      </c>
      <c r="HM161" s="2336">
        <v>20.54</v>
      </c>
      <c r="HN161" s="2336">
        <v>28.67</v>
      </c>
      <c r="HO161" s="2336">
        <v>41.53</v>
      </c>
      <c r="HP161" s="2336">
        <v>55.76</v>
      </c>
      <c r="HQ161" s="2336">
        <v>81.83</v>
      </c>
      <c r="HR161" s="2336">
        <v>125.96</v>
      </c>
      <c r="HS161" s="2336">
        <v>183.18</v>
      </c>
      <c r="HT161" s="2250"/>
      <c r="HU161" s="2250"/>
      <c r="HV161" s="2333">
        <v>162.68</v>
      </c>
      <c r="HW161" s="2336">
        <v>1.68</v>
      </c>
      <c r="HX161" s="2336">
        <v>2.48</v>
      </c>
      <c r="HY161" s="2336">
        <v>4.6500000000000004</v>
      </c>
      <c r="HZ161" s="2336">
        <v>7.72</v>
      </c>
      <c r="IA161" s="2336">
        <v>11.88</v>
      </c>
      <c r="IB161" s="2336">
        <v>16.63</v>
      </c>
      <c r="IC161" s="2336">
        <v>23.96</v>
      </c>
      <c r="ID161" s="2336">
        <v>32.28</v>
      </c>
      <c r="IE161" s="2336">
        <v>47.33</v>
      </c>
      <c r="IF161" s="2336">
        <v>72.87</v>
      </c>
      <c r="IG161" s="2336">
        <v>105.94</v>
      </c>
      <c r="IH161" s="2250"/>
      <c r="II161" s="2250"/>
      <c r="IJ161" s="2250"/>
      <c r="IK161" s="2250"/>
      <c r="IL161" s="2250"/>
      <c r="IN161" s="277"/>
      <c r="IO161" s="277"/>
    </row>
    <row r="162" spans="1:249" ht="21.95" customHeight="1">
      <c r="A162" s="2275"/>
      <c r="B162" s="2333">
        <v>151.30000000000001</v>
      </c>
      <c r="C162" s="2336">
        <v>5.15</v>
      </c>
      <c r="D162" s="2336">
        <v>7.62</v>
      </c>
      <c r="E162" s="2336">
        <v>14.95</v>
      </c>
      <c r="F162" s="2336">
        <v>25.74</v>
      </c>
      <c r="G162" s="2336">
        <v>40.89</v>
      </c>
      <c r="H162" s="2336">
        <v>58.91</v>
      </c>
      <c r="I162" s="2336">
        <v>87.03</v>
      </c>
      <c r="J162" s="2336">
        <v>119.31</v>
      </c>
      <c r="K162" s="2336">
        <v>162.08000000000001</v>
      </c>
      <c r="L162" s="2336">
        <v>257.33</v>
      </c>
      <c r="M162" s="2336">
        <v>384.16</v>
      </c>
      <c r="N162" s="2250"/>
      <c r="O162" s="2250"/>
      <c r="P162" s="2333">
        <v>151.30000000000001</v>
      </c>
      <c r="Q162" s="2336">
        <v>3.66</v>
      </c>
      <c r="R162" s="2336">
        <v>5.54</v>
      </c>
      <c r="S162" s="2336">
        <v>10.79</v>
      </c>
      <c r="T162" s="2336">
        <v>18.61</v>
      </c>
      <c r="U162" s="2336">
        <v>29.5</v>
      </c>
      <c r="V162" s="2336">
        <v>41.98</v>
      </c>
      <c r="W162" s="2336">
        <v>61.29</v>
      </c>
      <c r="X162" s="2336">
        <v>82.28</v>
      </c>
      <c r="Y162" s="2336">
        <v>116.73</v>
      </c>
      <c r="Z162" s="2336">
        <v>185.45</v>
      </c>
      <c r="AA162" s="2336">
        <v>256.44</v>
      </c>
      <c r="AB162" s="2250"/>
      <c r="AC162" s="2250"/>
      <c r="AD162" s="2333">
        <v>151.30000000000001</v>
      </c>
      <c r="AE162" s="2336">
        <v>3.16</v>
      </c>
      <c r="AF162" s="2336">
        <v>4.74</v>
      </c>
      <c r="AG162" s="2336">
        <v>8.92</v>
      </c>
      <c r="AH162" s="2336">
        <v>14.79</v>
      </c>
      <c r="AI162" s="2336">
        <v>22.69</v>
      </c>
      <c r="AJ162" s="2336">
        <v>31.6</v>
      </c>
      <c r="AK162" s="2336">
        <v>45.94</v>
      </c>
      <c r="AL162" s="2336">
        <v>61.74</v>
      </c>
      <c r="AM162" s="2336">
        <v>90.63</v>
      </c>
      <c r="AN162" s="2336">
        <v>139.5</v>
      </c>
      <c r="AO162" s="2336">
        <v>194.92</v>
      </c>
      <c r="AP162" s="2250"/>
      <c r="AQ162" s="2250"/>
      <c r="AR162" s="2333">
        <v>151.30000000000001</v>
      </c>
      <c r="AS162" s="2336">
        <v>1.88</v>
      </c>
      <c r="AT162" s="2336">
        <v>2.77</v>
      </c>
      <c r="AU162" s="2336">
        <v>5.15</v>
      </c>
      <c r="AV162" s="2336">
        <v>8.51</v>
      </c>
      <c r="AW162" s="2336">
        <v>13.17</v>
      </c>
      <c r="AX162" s="2336">
        <v>18.22</v>
      </c>
      <c r="AY162" s="2336">
        <v>26.53</v>
      </c>
      <c r="AZ162" s="2336">
        <v>35.74</v>
      </c>
      <c r="BA162" s="2336">
        <v>52.48</v>
      </c>
      <c r="BB162" s="2336">
        <v>80.790000000000006</v>
      </c>
      <c r="BC162" s="2336">
        <v>111.68</v>
      </c>
      <c r="BD162" s="2250"/>
      <c r="BE162" s="2250"/>
      <c r="BF162" s="1302">
        <v>48.8</v>
      </c>
      <c r="BG162" s="1302">
        <v>53.7</v>
      </c>
      <c r="BH162" s="2250"/>
      <c r="BI162" s="2275"/>
      <c r="BJ162" s="2333">
        <v>151.30000000000001</v>
      </c>
      <c r="BK162" s="2336">
        <v>5.15</v>
      </c>
      <c r="BL162" s="2336">
        <v>7.62</v>
      </c>
      <c r="BM162" s="2336">
        <v>14.95</v>
      </c>
      <c r="BN162" s="2336">
        <v>25.74</v>
      </c>
      <c r="BO162" s="2336">
        <v>40.89</v>
      </c>
      <c r="BP162" s="2336">
        <v>58.91</v>
      </c>
      <c r="BQ162" s="2336">
        <v>87.03</v>
      </c>
      <c r="BR162" s="2336">
        <v>119.31</v>
      </c>
      <c r="BS162" s="2336">
        <v>162.08000000000001</v>
      </c>
      <c r="BT162" s="2336">
        <v>257.33</v>
      </c>
      <c r="BU162" s="2336">
        <v>384.16</v>
      </c>
      <c r="BV162" s="2250"/>
      <c r="BW162" s="2250"/>
      <c r="BX162" s="2333">
        <v>151.30000000000001</v>
      </c>
      <c r="BY162" s="2336">
        <v>3.66</v>
      </c>
      <c r="BZ162" s="2336">
        <v>5.54</v>
      </c>
      <c r="CA162" s="2336">
        <v>10.79</v>
      </c>
      <c r="CB162" s="2336">
        <v>18.61</v>
      </c>
      <c r="CC162" s="2336">
        <v>29.5</v>
      </c>
      <c r="CD162" s="2336">
        <v>41.98</v>
      </c>
      <c r="CE162" s="2336">
        <v>61.29</v>
      </c>
      <c r="CF162" s="2336">
        <v>82.28</v>
      </c>
      <c r="CG162" s="2336">
        <v>116.73</v>
      </c>
      <c r="CH162" s="2336">
        <v>185.45</v>
      </c>
      <c r="CI162" s="2336">
        <v>256.44</v>
      </c>
      <c r="CJ162" s="2250"/>
      <c r="CK162" s="2250"/>
      <c r="CL162" s="2333">
        <v>151.30000000000001</v>
      </c>
      <c r="CM162" s="2336">
        <v>3.16</v>
      </c>
      <c r="CN162" s="2336">
        <v>4.74</v>
      </c>
      <c r="CO162" s="2336">
        <v>8.92</v>
      </c>
      <c r="CP162" s="2336">
        <v>14.79</v>
      </c>
      <c r="CQ162" s="2336">
        <v>22.69</v>
      </c>
      <c r="CR162" s="2336">
        <v>31.6</v>
      </c>
      <c r="CS162" s="2336">
        <v>45.94</v>
      </c>
      <c r="CT162" s="2336">
        <v>61.74</v>
      </c>
      <c r="CU162" s="2336">
        <v>90.63</v>
      </c>
      <c r="CV162" s="2336">
        <v>139.5</v>
      </c>
      <c r="CW162" s="2336">
        <v>194.92</v>
      </c>
      <c r="CX162" s="2250"/>
      <c r="CY162" s="2250"/>
      <c r="CZ162" s="2333">
        <v>151.30000000000001</v>
      </c>
      <c r="DA162" s="2336">
        <v>1.88</v>
      </c>
      <c r="DB162" s="2336">
        <v>2.77</v>
      </c>
      <c r="DC162" s="2336">
        <v>5.15</v>
      </c>
      <c r="DD162" s="2336">
        <v>8.51</v>
      </c>
      <c r="DE162" s="2336">
        <v>13.17</v>
      </c>
      <c r="DF162" s="2336">
        <v>18.22</v>
      </c>
      <c r="DG162" s="2336">
        <v>26.53</v>
      </c>
      <c r="DH162" s="2336">
        <v>35.74</v>
      </c>
      <c r="DI162" s="2336">
        <v>52.48</v>
      </c>
      <c r="DJ162" s="2336">
        <v>80.790000000000006</v>
      </c>
      <c r="DK162" s="2336">
        <v>111.68</v>
      </c>
      <c r="DL162" s="2250"/>
      <c r="DM162" s="2250"/>
      <c r="DN162" s="2250"/>
      <c r="DO162" s="2250"/>
      <c r="DP162" s="2250"/>
      <c r="DQ162" s="2277"/>
      <c r="DR162" s="2277"/>
      <c r="DS162" s="277"/>
      <c r="DW162" s="2275"/>
      <c r="DX162" s="2333">
        <v>151.30000000000001</v>
      </c>
      <c r="DY162" s="2336">
        <v>5.15</v>
      </c>
      <c r="DZ162" s="2336">
        <v>7.62</v>
      </c>
      <c r="EA162" s="2336">
        <v>14.95</v>
      </c>
      <c r="EB162" s="2336">
        <v>25.74</v>
      </c>
      <c r="EC162" s="2336">
        <v>40.89</v>
      </c>
      <c r="ED162" s="2336">
        <v>58.91</v>
      </c>
      <c r="EE162" s="2336">
        <v>87.03</v>
      </c>
      <c r="EF162" s="2336">
        <v>119.31</v>
      </c>
      <c r="EG162" s="2336">
        <v>162.08000000000001</v>
      </c>
      <c r="EH162" s="2336">
        <v>257.33</v>
      </c>
      <c r="EI162" s="2336">
        <v>384.16</v>
      </c>
      <c r="EJ162" s="2250"/>
      <c r="EK162" s="2250"/>
      <c r="EL162" s="2333">
        <v>151.30000000000001</v>
      </c>
      <c r="EM162" s="2336">
        <v>3.66</v>
      </c>
      <c r="EN162" s="2336">
        <v>5.54</v>
      </c>
      <c r="EO162" s="2336">
        <v>10.79</v>
      </c>
      <c r="EP162" s="2336">
        <v>18.61</v>
      </c>
      <c r="EQ162" s="2336">
        <v>29.5</v>
      </c>
      <c r="ER162" s="2336">
        <v>41.98</v>
      </c>
      <c r="ES162" s="2336">
        <v>61.29</v>
      </c>
      <c r="ET162" s="2336">
        <v>82.28</v>
      </c>
      <c r="EU162" s="2336">
        <v>116.73</v>
      </c>
      <c r="EV162" s="2336">
        <v>185.45</v>
      </c>
      <c r="EW162" s="2336">
        <v>256.44</v>
      </c>
      <c r="EX162" s="2250"/>
      <c r="EY162" s="2250"/>
      <c r="EZ162" s="2333">
        <v>151.30000000000001</v>
      </c>
      <c r="FA162" s="2336">
        <v>3.16</v>
      </c>
      <c r="FB162" s="2336">
        <v>4.74</v>
      </c>
      <c r="FC162" s="2336">
        <v>8.92</v>
      </c>
      <c r="FD162" s="2336">
        <v>14.79</v>
      </c>
      <c r="FE162" s="2336">
        <v>22.69</v>
      </c>
      <c r="FF162" s="2336">
        <v>31.6</v>
      </c>
      <c r="FG162" s="2336">
        <v>45.94</v>
      </c>
      <c r="FH162" s="2336">
        <v>61.74</v>
      </c>
      <c r="FI162" s="2336">
        <v>90.63</v>
      </c>
      <c r="FJ162" s="2336">
        <v>139.5</v>
      </c>
      <c r="FK162" s="2336">
        <v>194.92</v>
      </c>
      <c r="FL162" s="2250"/>
      <c r="FM162" s="2250"/>
      <c r="FN162" s="2333">
        <v>151.30000000000001</v>
      </c>
      <c r="FO162" s="2336">
        <v>1.88</v>
      </c>
      <c r="FP162" s="2336">
        <v>2.77</v>
      </c>
      <c r="FQ162" s="2336">
        <v>5.15</v>
      </c>
      <c r="FR162" s="2336">
        <v>8.51</v>
      </c>
      <c r="FS162" s="2336">
        <v>13.17</v>
      </c>
      <c r="FT162" s="2336">
        <v>18.22</v>
      </c>
      <c r="FU162" s="2336">
        <v>26.53</v>
      </c>
      <c r="FV162" s="2336">
        <v>35.74</v>
      </c>
      <c r="FW162" s="2336">
        <v>52.48</v>
      </c>
      <c r="FX162" s="2336">
        <v>80.790000000000006</v>
      </c>
      <c r="FY162" s="2336">
        <v>111.68</v>
      </c>
      <c r="FZ162" s="2250"/>
      <c r="GA162" s="2250"/>
      <c r="GB162" s="1302">
        <v>48.8</v>
      </c>
      <c r="GC162" s="1302">
        <v>53.7</v>
      </c>
      <c r="GD162" s="2250"/>
      <c r="GE162" s="2275"/>
      <c r="GF162" s="2333">
        <v>151.30000000000001</v>
      </c>
      <c r="GG162" s="2336">
        <v>5.15</v>
      </c>
      <c r="GH162" s="2336">
        <v>7.62</v>
      </c>
      <c r="GI162" s="2336">
        <v>14.95</v>
      </c>
      <c r="GJ162" s="2336">
        <v>25.74</v>
      </c>
      <c r="GK162" s="2336">
        <v>40.89</v>
      </c>
      <c r="GL162" s="2336">
        <v>58.91</v>
      </c>
      <c r="GM162" s="2336">
        <v>87.03</v>
      </c>
      <c r="GN162" s="2336">
        <v>119.31</v>
      </c>
      <c r="GO162" s="2336">
        <v>162.08000000000001</v>
      </c>
      <c r="GP162" s="2336">
        <v>257.33</v>
      </c>
      <c r="GQ162" s="2336">
        <v>384.16</v>
      </c>
      <c r="GR162" s="2250"/>
      <c r="GS162" s="2250"/>
      <c r="GT162" s="2333">
        <v>151.30000000000001</v>
      </c>
      <c r="GU162" s="2336">
        <v>3.66</v>
      </c>
      <c r="GV162" s="2336">
        <v>5.54</v>
      </c>
      <c r="GW162" s="2336">
        <v>10.79</v>
      </c>
      <c r="GX162" s="2336">
        <v>18.61</v>
      </c>
      <c r="GY162" s="2336">
        <v>29.5</v>
      </c>
      <c r="GZ162" s="2336">
        <v>41.98</v>
      </c>
      <c r="HA162" s="2336">
        <v>61.29</v>
      </c>
      <c r="HB162" s="2336">
        <v>82.28</v>
      </c>
      <c r="HC162" s="2336">
        <v>116.73</v>
      </c>
      <c r="HD162" s="2336">
        <v>185.45</v>
      </c>
      <c r="HE162" s="2336">
        <v>256.44</v>
      </c>
      <c r="HF162" s="2250"/>
      <c r="HG162" s="2250"/>
      <c r="HH162" s="2333">
        <v>151.30000000000001</v>
      </c>
      <c r="HI162" s="2336">
        <v>3.16</v>
      </c>
      <c r="HJ162" s="2336">
        <v>4.74</v>
      </c>
      <c r="HK162" s="2336">
        <v>8.92</v>
      </c>
      <c r="HL162" s="2336">
        <v>14.79</v>
      </c>
      <c r="HM162" s="2336">
        <v>22.69</v>
      </c>
      <c r="HN162" s="2336">
        <v>31.6</v>
      </c>
      <c r="HO162" s="2336">
        <v>45.94</v>
      </c>
      <c r="HP162" s="2336">
        <v>61.74</v>
      </c>
      <c r="HQ162" s="2336">
        <v>90.63</v>
      </c>
      <c r="HR162" s="2336">
        <v>139.5</v>
      </c>
      <c r="HS162" s="2336">
        <v>194.92</v>
      </c>
      <c r="HT162" s="2250"/>
      <c r="HU162" s="2250"/>
      <c r="HV162" s="2333">
        <v>151.30000000000001</v>
      </c>
      <c r="HW162" s="2336">
        <v>1.88</v>
      </c>
      <c r="HX162" s="2336">
        <v>2.77</v>
      </c>
      <c r="HY162" s="2336">
        <v>5.15</v>
      </c>
      <c r="HZ162" s="2336">
        <v>8.51</v>
      </c>
      <c r="IA162" s="2336">
        <v>13.17</v>
      </c>
      <c r="IB162" s="2336">
        <v>18.22</v>
      </c>
      <c r="IC162" s="2336">
        <v>26.53</v>
      </c>
      <c r="ID162" s="2336">
        <v>35.74</v>
      </c>
      <c r="IE162" s="2336">
        <v>52.48</v>
      </c>
      <c r="IF162" s="2336">
        <v>80.790000000000006</v>
      </c>
      <c r="IG162" s="2336">
        <v>111.68</v>
      </c>
      <c r="IH162" s="2250"/>
      <c r="II162" s="2250"/>
      <c r="IJ162" s="2250"/>
      <c r="IK162" s="2250"/>
      <c r="IL162" s="2250"/>
      <c r="IN162" s="277"/>
      <c r="IO162" s="277"/>
    </row>
    <row r="163" spans="1:249" ht="21.95" customHeight="1">
      <c r="A163" s="2275"/>
      <c r="B163" s="2333">
        <v>140.1</v>
      </c>
      <c r="C163" s="2336">
        <v>5.45</v>
      </c>
      <c r="D163" s="2336">
        <v>8.2200000000000006</v>
      </c>
      <c r="E163" s="2336">
        <v>15.94</v>
      </c>
      <c r="F163" s="2336">
        <v>27.62</v>
      </c>
      <c r="G163" s="2336">
        <v>43.76</v>
      </c>
      <c r="H163" s="2336">
        <v>63.27</v>
      </c>
      <c r="I163" s="2336">
        <v>93.07</v>
      </c>
      <c r="J163" s="2336">
        <v>126.63</v>
      </c>
      <c r="K163" s="2336">
        <v>173.37</v>
      </c>
      <c r="L163" s="2336">
        <v>275.35000000000002</v>
      </c>
      <c r="M163" s="2336">
        <v>411.09</v>
      </c>
      <c r="N163" s="2250"/>
      <c r="O163" s="2250"/>
      <c r="P163" s="2333">
        <v>140.1</v>
      </c>
      <c r="Q163" s="2336">
        <v>3.96</v>
      </c>
      <c r="R163" s="2336">
        <v>5.84</v>
      </c>
      <c r="S163" s="2336">
        <v>11.49</v>
      </c>
      <c r="T163" s="2336">
        <v>19.899999999999999</v>
      </c>
      <c r="U163" s="2336">
        <v>31.58</v>
      </c>
      <c r="V163" s="2336">
        <v>44.75</v>
      </c>
      <c r="W163" s="2336">
        <v>65.05</v>
      </c>
      <c r="X163" s="2336">
        <v>90.2</v>
      </c>
      <c r="Y163" s="2336">
        <v>124.95</v>
      </c>
      <c r="Z163" s="2336">
        <v>197.72</v>
      </c>
      <c r="AA163" s="2336">
        <v>284.06</v>
      </c>
      <c r="AB163" s="2250"/>
      <c r="AC163" s="2250"/>
      <c r="AD163" s="2333">
        <v>140.1</v>
      </c>
      <c r="AE163" s="2336">
        <v>3.39</v>
      </c>
      <c r="AF163" s="2336">
        <v>5.08</v>
      </c>
      <c r="AG163" s="2336">
        <v>9.48</v>
      </c>
      <c r="AH163" s="2336">
        <v>15.69</v>
      </c>
      <c r="AI163" s="2336">
        <v>24.15</v>
      </c>
      <c r="AJ163" s="2336">
        <v>33.75</v>
      </c>
      <c r="AK163" s="2336">
        <v>48.87</v>
      </c>
      <c r="AL163" s="2336">
        <v>67.61</v>
      </c>
      <c r="AM163" s="2336">
        <v>96.5</v>
      </c>
      <c r="AN163" s="2336">
        <v>148.65</v>
      </c>
      <c r="AO163" s="2336">
        <v>216.03</v>
      </c>
      <c r="AP163" s="2250"/>
      <c r="AQ163" s="2250"/>
      <c r="AR163" s="2333">
        <v>140.1</v>
      </c>
      <c r="AS163" s="2336">
        <v>1.98</v>
      </c>
      <c r="AT163" s="2336">
        <v>2.97</v>
      </c>
      <c r="AU163" s="2336">
        <v>5.45</v>
      </c>
      <c r="AV163" s="2336">
        <v>9.11</v>
      </c>
      <c r="AW163" s="2336">
        <v>13.96</v>
      </c>
      <c r="AX163" s="2336">
        <v>19.5</v>
      </c>
      <c r="AY163" s="2336">
        <v>28.32</v>
      </c>
      <c r="AZ163" s="2336">
        <v>39.11</v>
      </c>
      <c r="BA163" s="2336">
        <v>55.84</v>
      </c>
      <c r="BB163" s="2336">
        <v>85.94</v>
      </c>
      <c r="BC163" s="2336">
        <v>123.76</v>
      </c>
      <c r="BD163" s="2250"/>
      <c r="BE163" s="2250"/>
      <c r="BF163" s="1302">
        <v>53.7</v>
      </c>
      <c r="BG163" s="1302">
        <v>58.1</v>
      </c>
      <c r="BH163" s="2250"/>
      <c r="BI163" s="2275"/>
      <c r="BJ163" s="2333">
        <v>140.1</v>
      </c>
      <c r="BK163" s="2336">
        <v>5.45</v>
      </c>
      <c r="BL163" s="2336">
        <v>8.2200000000000006</v>
      </c>
      <c r="BM163" s="2336">
        <v>15.94</v>
      </c>
      <c r="BN163" s="2336">
        <v>27.62</v>
      </c>
      <c r="BO163" s="2336">
        <v>43.76</v>
      </c>
      <c r="BP163" s="2336">
        <v>63.27</v>
      </c>
      <c r="BQ163" s="2336">
        <v>93.07</v>
      </c>
      <c r="BR163" s="2336">
        <v>126.63</v>
      </c>
      <c r="BS163" s="2336">
        <v>173.37</v>
      </c>
      <c r="BT163" s="2336">
        <v>275.35000000000002</v>
      </c>
      <c r="BU163" s="2336">
        <v>411.09</v>
      </c>
      <c r="BV163" s="2250"/>
      <c r="BW163" s="2250"/>
      <c r="BX163" s="2333">
        <v>140.1</v>
      </c>
      <c r="BY163" s="2336">
        <v>3.96</v>
      </c>
      <c r="BZ163" s="2336">
        <v>5.84</v>
      </c>
      <c r="CA163" s="2336">
        <v>11.49</v>
      </c>
      <c r="CB163" s="2336">
        <v>19.899999999999999</v>
      </c>
      <c r="CC163" s="2336">
        <v>31.58</v>
      </c>
      <c r="CD163" s="2336">
        <v>44.75</v>
      </c>
      <c r="CE163" s="2336">
        <v>65.05</v>
      </c>
      <c r="CF163" s="2336">
        <v>90.2</v>
      </c>
      <c r="CG163" s="2336">
        <v>124.95</v>
      </c>
      <c r="CH163" s="2336">
        <v>197.72</v>
      </c>
      <c r="CI163" s="2336">
        <v>284.06</v>
      </c>
      <c r="CJ163" s="2250"/>
      <c r="CK163" s="2250"/>
      <c r="CL163" s="2333">
        <v>140.1</v>
      </c>
      <c r="CM163" s="2336">
        <v>3.39</v>
      </c>
      <c r="CN163" s="2336">
        <v>5.08</v>
      </c>
      <c r="CO163" s="2336">
        <v>9.48</v>
      </c>
      <c r="CP163" s="2336">
        <v>15.69</v>
      </c>
      <c r="CQ163" s="2336">
        <v>24.15</v>
      </c>
      <c r="CR163" s="2336">
        <v>33.75</v>
      </c>
      <c r="CS163" s="2336">
        <v>48.87</v>
      </c>
      <c r="CT163" s="2336">
        <v>67.61</v>
      </c>
      <c r="CU163" s="2336">
        <v>96.5</v>
      </c>
      <c r="CV163" s="2336">
        <v>148.65</v>
      </c>
      <c r="CW163" s="2336">
        <v>216.03</v>
      </c>
      <c r="CX163" s="2250"/>
      <c r="CY163" s="2250"/>
      <c r="CZ163" s="2333">
        <v>140.1</v>
      </c>
      <c r="DA163" s="2336">
        <v>1.98</v>
      </c>
      <c r="DB163" s="2336">
        <v>2.97</v>
      </c>
      <c r="DC163" s="2336">
        <v>5.45</v>
      </c>
      <c r="DD163" s="2336">
        <v>9.11</v>
      </c>
      <c r="DE163" s="2336">
        <v>13.96</v>
      </c>
      <c r="DF163" s="2336">
        <v>19.5</v>
      </c>
      <c r="DG163" s="2336">
        <v>28.32</v>
      </c>
      <c r="DH163" s="2336">
        <v>39.11</v>
      </c>
      <c r="DI163" s="2336">
        <v>55.84</v>
      </c>
      <c r="DJ163" s="2336">
        <v>85.94</v>
      </c>
      <c r="DK163" s="2336">
        <v>123.76</v>
      </c>
      <c r="DL163" s="2250"/>
      <c r="DM163" s="2250"/>
      <c r="DN163" s="2250"/>
      <c r="DO163" s="2250"/>
      <c r="DP163" s="2250"/>
      <c r="DQ163" s="2277"/>
      <c r="DR163" s="2277"/>
      <c r="DS163" s="277"/>
      <c r="DW163" s="2275"/>
      <c r="DX163" s="2333">
        <v>140.1</v>
      </c>
      <c r="DY163" s="2336">
        <v>5.45</v>
      </c>
      <c r="DZ163" s="2336">
        <v>8.2200000000000006</v>
      </c>
      <c r="EA163" s="2336">
        <v>15.94</v>
      </c>
      <c r="EB163" s="2336">
        <v>27.62</v>
      </c>
      <c r="EC163" s="2336">
        <v>43.76</v>
      </c>
      <c r="ED163" s="2336">
        <v>63.27</v>
      </c>
      <c r="EE163" s="2336">
        <v>93.07</v>
      </c>
      <c r="EF163" s="2336">
        <v>126.63</v>
      </c>
      <c r="EG163" s="2336">
        <v>173.37</v>
      </c>
      <c r="EH163" s="2336">
        <v>275.35000000000002</v>
      </c>
      <c r="EI163" s="2336">
        <v>411.09</v>
      </c>
      <c r="EJ163" s="2250"/>
      <c r="EK163" s="2250"/>
      <c r="EL163" s="2333">
        <v>140.1</v>
      </c>
      <c r="EM163" s="2336">
        <v>3.96</v>
      </c>
      <c r="EN163" s="2336">
        <v>5.84</v>
      </c>
      <c r="EO163" s="2336">
        <v>11.49</v>
      </c>
      <c r="EP163" s="2336">
        <v>19.899999999999999</v>
      </c>
      <c r="EQ163" s="2336">
        <v>31.58</v>
      </c>
      <c r="ER163" s="2336">
        <v>44.75</v>
      </c>
      <c r="ES163" s="2336">
        <v>65.05</v>
      </c>
      <c r="ET163" s="2336">
        <v>90.2</v>
      </c>
      <c r="EU163" s="2336">
        <v>124.95</v>
      </c>
      <c r="EV163" s="2336">
        <v>197.72</v>
      </c>
      <c r="EW163" s="2336">
        <v>284.06</v>
      </c>
      <c r="EX163" s="2250"/>
      <c r="EY163" s="2250"/>
      <c r="EZ163" s="2333">
        <v>140.1</v>
      </c>
      <c r="FA163" s="2336">
        <v>3.39</v>
      </c>
      <c r="FB163" s="2336">
        <v>5.08</v>
      </c>
      <c r="FC163" s="2336">
        <v>9.48</v>
      </c>
      <c r="FD163" s="2336">
        <v>15.69</v>
      </c>
      <c r="FE163" s="2336">
        <v>24.15</v>
      </c>
      <c r="FF163" s="2336">
        <v>33.75</v>
      </c>
      <c r="FG163" s="2336">
        <v>48.87</v>
      </c>
      <c r="FH163" s="2336">
        <v>67.61</v>
      </c>
      <c r="FI163" s="2336">
        <v>96.5</v>
      </c>
      <c r="FJ163" s="2336">
        <v>148.65</v>
      </c>
      <c r="FK163" s="2336">
        <v>216.03</v>
      </c>
      <c r="FL163" s="2250"/>
      <c r="FM163" s="2250"/>
      <c r="FN163" s="2333">
        <v>140.1</v>
      </c>
      <c r="FO163" s="2336">
        <v>1.98</v>
      </c>
      <c r="FP163" s="2336">
        <v>2.97</v>
      </c>
      <c r="FQ163" s="2336">
        <v>5.45</v>
      </c>
      <c r="FR163" s="2336">
        <v>9.11</v>
      </c>
      <c r="FS163" s="2336">
        <v>13.96</v>
      </c>
      <c r="FT163" s="2336">
        <v>19.5</v>
      </c>
      <c r="FU163" s="2336">
        <v>28.32</v>
      </c>
      <c r="FV163" s="2336">
        <v>39.11</v>
      </c>
      <c r="FW163" s="2336">
        <v>55.84</v>
      </c>
      <c r="FX163" s="2336">
        <v>85.94</v>
      </c>
      <c r="FY163" s="2336">
        <v>123.76</v>
      </c>
      <c r="FZ163" s="2250"/>
      <c r="GA163" s="2250"/>
      <c r="GB163" s="1302">
        <v>53.7</v>
      </c>
      <c r="GC163" s="1302">
        <v>58.1</v>
      </c>
      <c r="GD163" s="2250"/>
      <c r="GE163" s="2275"/>
      <c r="GF163" s="2333">
        <v>140.1</v>
      </c>
      <c r="GG163" s="2336">
        <v>5.45</v>
      </c>
      <c r="GH163" s="2336">
        <v>8.2200000000000006</v>
      </c>
      <c r="GI163" s="2336">
        <v>15.94</v>
      </c>
      <c r="GJ163" s="2336">
        <v>27.62</v>
      </c>
      <c r="GK163" s="2336">
        <v>43.76</v>
      </c>
      <c r="GL163" s="2336">
        <v>63.27</v>
      </c>
      <c r="GM163" s="2336">
        <v>93.07</v>
      </c>
      <c r="GN163" s="2336">
        <v>126.63</v>
      </c>
      <c r="GO163" s="2336">
        <v>173.37</v>
      </c>
      <c r="GP163" s="2336">
        <v>275.35000000000002</v>
      </c>
      <c r="GQ163" s="2336">
        <v>411.09</v>
      </c>
      <c r="GR163" s="2250"/>
      <c r="GS163" s="2250"/>
      <c r="GT163" s="2333">
        <v>140.1</v>
      </c>
      <c r="GU163" s="2336">
        <v>3.96</v>
      </c>
      <c r="GV163" s="2336">
        <v>5.84</v>
      </c>
      <c r="GW163" s="2336">
        <v>11.49</v>
      </c>
      <c r="GX163" s="2336">
        <v>19.899999999999999</v>
      </c>
      <c r="GY163" s="2336">
        <v>31.58</v>
      </c>
      <c r="GZ163" s="2336">
        <v>44.75</v>
      </c>
      <c r="HA163" s="2336">
        <v>65.05</v>
      </c>
      <c r="HB163" s="2336">
        <v>90.2</v>
      </c>
      <c r="HC163" s="2336">
        <v>124.95</v>
      </c>
      <c r="HD163" s="2336">
        <v>197.72</v>
      </c>
      <c r="HE163" s="2336">
        <v>284.06</v>
      </c>
      <c r="HF163" s="2250"/>
      <c r="HG163" s="2250"/>
      <c r="HH163" s="2333">
        <v>140.1</v>
      </c>
      <c r="HI163" s="2336">
        <v>3.39</v>
      </c>
      <c r="HJ163" s="2336">
        <v>5.08</v>
      </c>
      <c r="HK163" s="2336">
        <v>9.48</v>
      </c>
      <c r="HL163" s="2336">
        <v>15.69</v>
      </c>
      <c r="HM163" s="2336">
        <v>24.15</v>
      </c>
      <c r="HN163" s="2336">
        <v>33.75</v>
      </c>
      <c r="HO163" s="2336">
        <v>48.87</v>
      </c>
      <c r="HP163" s="2336">
        <v>67.61</v>
      </c>
      <c r="HQ163" s="2336">
        <v>96.5</v>
      </c>
      <c r="HR163" s="2336">
        <v>148.65</v>
      </c>
      <c r="HS163" s="2336">
        <v>216.03</v>
      </c>
      <c r="HT163" s="2250"/>
      <c r="HU163" s="2250"/>
      <c r="HV163" s="2333">
        <v>140.1</v>
      </c>
      <c r="HW163" s="2336">
        <v>1.98</v>
      </c>
      <c r="HX163" s="2336">
        <v>2.97</v>
      </c>
      <c r="HY163" s="2336">
        <v>5.45</v>
      </c>
      <c r="HZ163" s="2336">
        <v>9.11</v>
      </c>
      <c r="IA163" s="2336">
        <v>13.96</v>
      </c>
      <c r="IB163" s="2336">
        <v>19.5</v>
      </c>
      <c r="IC163" s="2336">
        <v>28.32</v>
      </c>
      <c r="ID163" s="2336">
        <v>39.11</v>
      </c>
      <c r="IE163" s="2336">
        <v>55.84</v>
      </c>
      <c r="IF163" s="2336">
        <v>85.94</v>
      </c>
      <c r="IG163" s="2336">
        <v>123.76</v>
      </c>
      <c r="IH163" s="2250"/>
      <c r="II163" s="2250"/>
      <c r="IJ163" s="2250"/>
      <c r="IK163" s="2250"/>
      <c r="IL163" s="2250"/>
      <c r="IN163" s="277"/>
      <c r="IO163" s="277"/>
    </row>
    <row r="164" spans="1:249" ht="21.95" customHeight="1">
      <c r="A164" s="2275"/>
      <c r="B164" s="2333">
        <v>129.80000000000001</v>
      </c>
      <c r="C164" s="2336">
        <v>5.84</v>
      </c>
      <c r="D164" s="2336">
        <v>8.7100000000000009</v>
      </c>
      <c r="E164" s="2336">
        <v>16.93</v>
      </c>
      <c r="F164" s="2336">
        <v>29.21</v>
      </c>
      <c r="G164" s="2336">
        <v>46.44</v>
      </c>
      <c r="H164" s="2336">
        <v>67.72</v>
      </c>
      <c r="I164" s="2336">
        <v>99.5</v>
      </c>
      <c r="J164" s="2336">
        <v>135.44999999999999</v>
      </c>
      <c r="K164" s="2336">
        <v>183.96</v>
      </c>
      <c r="L164" s="2336">
        <v>292.08</v>
      </c>
      <c r="M164" s="2336">
        <v>439.5</v>
      </c>
      <c r="N164" s="2250"/>
      <c r="O164" s="2250"/>
      <c r="P164" s="2333">
        <v>129.80000000000001</v>
      </c>
      <c r="Q164" s="2336">
        <v>4.26</v>
      </c>
      <c r="R164" s="2336">
        <v>6.34</v>
      </c>
      <c r="S164" s="2336">
        <v>12.18</v>
      </c>
      <c r="T164" s="2336">
        <v>21.09</v>
      </c>
      <c r="U164" s="2336">
        <v>33.47</v>
      </c>
      <c r="V164" s="2336">
        <v>47.43</v>
      </c>
      <c r="W164" s="2336">
        <v>69.11</v>
      </c>
      <c r="X164" s="2336">
        <v>95.84</v>
      </c>
      <c r="Y164" s="2336">
        <v>132.57</v>
      </c>
      <c r="Z164" s="2336">
        <v>210.5</v>
      </c>
      <c r="AA164" s="2336">
        <v>300.79000000000002</v>
      </c>
      <c r="AB164" s="2250"/>
      <c r="AC164" s="2250"/>
      <c r="AD164" s="2333">
        <v>129.80000000000001</v>
      </c>
      <c r="AE164" s="2336">
        <v>3.61</v>
      </c>
      <c r="AF164" s="2336">
        <v>5.42</v>
      </c>
      <c r="AG164" s="2336">
        <v>10.38</v>
      </c>
      <c r="AH164" s="2336">
        <v>16.59</v>
      </c>
      <c r="AI164" s="2336">
        <v>26.52</v>
      </c>
      <c r="AJ164" s="2336">
        <v>35.89</v>
      </c>
      <c r="AK164" s="2336">
        <v>52.14</v>
      </c>
      <c r="AL164" s="2336">
        <v>72.010000000000005</v>
      </c>
      <c r="AM164" s="2336">
        <v>105.87</v>
      </c>
      <c r="AN164" s="2336">
        <v>160.84</v>
      </c>
      <c r="AO164" s="2336">
        <v>229.57</v>
      </c>
      <c r="AP164" s="2250"/>
      <c r="AQ164" s="2250"/>
      <c r="AR164" s="2333">
        <v>129.80000000000001</v>
      </c>
      <c r="AS164" s="2336">
        <v>2.1800000000000002</v>
      </c>
      <c r="AT164" s="2336">
        <v>3.07</v>
      </c>
      <c r="AU164" s="2336">
        <v>5.94</v>
      </c>
      <c r="AV164" s="2336">
        <v>9.5</v>
      </c>
      <c r="AW164" s="2336">
        <v>15.35</v>
      </c>
      <c r="AX164" s="2336">
        <v>20.69</v>
      </c>
      <c r="AY164" s="2336">
        <v>30.1</v>
      </c>
      <c r="AZ164" s="2336">
        <v>41.68</v>
      </c>
      <c r="BA164" s="2336">
        <v>61.19</v>
      </c>
      <c r="BB164" s="2336">
        <v>92.18</v>
      </c>
      <c r="BC164" s="2336">
        <v>131.49</v>
      </c>
      <c r="BD164" s="2250"/>
      <c r="BE164" s="2250"/>
      <c r="BF164" s="1302">
        <v>58.1</v>
      </c>
      <c r="BG164" s="1302">
        <v>63.4</v>
      </c>
      <c r="BH164" s="2250"/>
      <c r="BI164" s="2275"/>
      <c r="BJ164" s="2333">
        <v>129.80000000000001</v>
      </c>
      <c r="BK164" s="2336">
        <v>5.84</v>
      </c>
      <c r="BL164" s="2336">
        <v>8.7100000000000009</v>
      </c>
      <c r="BM164" s="2336">
        <v>16.93</v>
      </c>
      <c r="BN164" s="2336">
        <v>29.21</v>
      </c>
      <c r="BO164" s="2336">
        <v>46.44</v>
      </c>
      <c r="BP164" s="2336">
        <v>67.72</v>
      </c>
      <c r="BQ164" s="2336">
        <v>99.5</v>
      </c>
      <c r="BR164" s="2336">
        <v>135.44999999999999</v>
      </c>
      <c r="BS164" s="2336">
        <v>183.96</v>
      </c>
      <c r="BT164" s="2336">
        <v>292.08</v>
      </c>
      <c r="BU164" s="2336">
        <v>439.5</v>
      </c>
      <c r="BV164" s="2250"/>
      <c r="BW164" s="2250"/>
      <c r="BX164" s="2333">
        <v>129.80000000000001</v>
      </c>
      <c r="BY164" s="2336">
        <v>4.26</v>
      </c>
      <c r="BZ164" s="2336">
        <v>6.34</v>
      </c>
      <c r="CA164" s="2336">
        <v>12.18</v>
      </c>
      <c r="CB164" s="2336">
        <v>21.09</v>
      </c>
      <c r="CC164" s="2336">
        <v>33.47</v>
      </c>
      <c r="CD164" s="2336">
        <v>47.43</v>
      </c>
      <c r="CE164" s="2336">
        <v>69.11</v>
      </c>
      <c r="CF164" s="2336">
        <v>95.84</v>
      </c>
      <c r="CG164" s="2336">
        <v>132.57</v>
      </c>
      <c r="CH164" s="2336">
        <v>210.5</v>
      </c>
      <c r="CI164" s="2336">
        <v>300.79000000000002</v>
      </c>
      <c r="CJ164" s="2250"/>
      <c r="CK164" s="2250"/>
      <c r="CL164" s="2333">
        <v>129.80000000000001</v>
      </c>
      <c r="CM164" s="2336">
        <v>3.61</v>
      </c>
      <c r="CN164" s="2336">
        <v>5.42</v>
      </c>
      <c r="CO164" s="2336">
        <v>10.38</v>
      </c>
      <c r="CP164" s="2336">
        <v>16.59</v>
      </c>
      <c r="CQ164" s="2336">
        <v>26.52</v>
      </c>
      <c r="CR164" s="2336">
        <v>35.89</v>
      </c>
      <c r="CS164" s="2336">
        <v>52.14</v>
      </c>
      <c r="CT164" s="2336">
        <v>72.010000000000005</v>
      </c>
      <c r="CU164" s="2336">
        <v>105.87</v>
      </c>
      <c r="CV164" s="2336">
        <v>160.84</v>
      </c>
      <c r="CW164" s="2336">
        <v>229.57</v>
      </c>
      <c r="CX164" s="2250"/>
      <c r="CY164" s="2250"/>
      <c r="CZ164" s="2333">
        <v>129.80000000000001</v>
      </c>
      <c r="DA164" s="2336">
        <v>2.1800000000000002</v>
      </c>
      <c r="DB164" s="2336">
        <v>3.07</v>
      </c>
      <c r="DC164" s="2336">
        <v>5.94</v>
      </c>
      <c r="DD164" s="2336">
        <v>9.5</v>
      </c>
      <c r="DE164" s="2336">
        <v>15.35</v>
      </c>
      <c r="DF164" s="2336">
        <v>20.69</v>
      </c>
      <c r="DG164" s="2336">
        <v>30.1</v>
      </c>
      <c r="DH164" s="2336">
        <v>41.68</v>
      </c>
      <c r="DI164" s="2336">
        <v>61.19</v>
      </c>
      <c r="DJ164" s="2336">
        <v>92.18</v>
      </c>
      <c r="DK164" s="2336">
        <v>131.49</v>
      </c>
      <c r="DL164" s="2250"/>
      <c r="DM164" s="2250"/>
      <c r="DN164" s="2250"/>
      <c r="DO164" s="2250"/>
      <c r="DP164" s="2250"/>
      <c r="DQ164" s="2277"/>
      <c r="DR164" s="2277"/>
      <c r="DS164" s="277"/>
      <c r="DW164" s="2275"/>
      <c r="DX164" s="2333">
        <v>129.80000000000001</v>
      </c>
      <c r="DY164" s="2336">
        <v>5.84</v>
      </c>
      <c r="DZ164" s="2336">
        <v>8.7100000000000009</v>
      </c>
      <c r="EA164" s="2336">
        <v>16.93</v>
      </c>
      <c r="EB164" s="2336">
        <v>29.21</v>
      </c>
      <c r="EC164" s="2336">
        <v>46.44</v>
      </c>
      <c r="ED164" s="2336">
        <v>67.72</v>
      </c>
      <c r="EE164" s="2336">
        <v>99.5</v>
      </c>
      <c r="EF164" s="2336">
        <v>135.44999999999999</v>
      </c>
      <c r="EG164" s="2336">
        <v>183.96</v>
      </c>
      <c r="EH164" s="2336">
        <v>292.08</v>
      </c>
      <c r="EI164" s="2336">
        <v>439.5</v>
      </c>
      <c r="EJ164" s="2250"/>
      <c r="EK164" s="2250"/>
      <c r="EL164" s="2333">
        <v>129.80000000000001</v>
      </c>
      <c r="EM164" s="2336">
        <v>4.26</v>
      </c>
      <c r="EN164" s="2336">
        <v>6.34</v>
      </c>
      <c r="EO164" s="2336">
        <v>12.18</v>
      </c>
      <c r="EP164" s="2336">
        <v>21.09</v>
      </c>
      <c r="EQ164" s="2336">
        <v>33.47</v>
      </c>
      <c r="ER164" s="2336">
        <v>47.43</v>
      </c>
      <c r="ES164" s="2336">
        <v>69.11</v>
      </c>
      <c r="ET164" s="2336">
        <v>95.84</v>
      </c>
      <c r="EU164" s="2336">
        <v>132.57</v>
      </c>
      <c r="EV164" s="2336">
        <v>210.5</v>
      </c>
      <c r="EW164" s="2336">
        <v>300.79000000000002</v>
      </c>
      <c r="EX164" s="2250"/>
      <c r="EY164" s="2250"/>
      <c r="EZ164" s="2333">
        <v>129.80000000000001</v>
      </c>
      <c r="FA164" s="2336">
        <v>3.61</v>
      </c>
      <c r="FB164" s="2336">
        <v>5.42</v>
      </c>
      <c r="FC164" s="2336">
        <v>10.38</v>
      </c>
      <c r="FD164" s="2336">
        <v>16.59</v>
      </c>
      <c r="FE164" s="2336">
        <v>26.52</v>
      </c>
      <c r="FF164" s="2336">
        <v>35.89</v>
      </c>
      <c r="FG164" s="2336">
        <v>52.14</v>
      </c>
      <c r="FH164" s="2336">
        <v>72.010000000000005</v>
      </c>
      <c r="FI164" s="2336">
        <v>105.87</v>
      </c>
      <c r="FJ164" s="2336">
        <v>160.84</v>
      </c>
      <c r="FK164" s="2336">
        <v>229.57</v>
      </c>
      <c r="FL164" s="2250"/>
      <c r="FM164" s="2250"/>
      <c r="FN164" s="2333">
        <v>129.80000000000001</v>
      </c>
      <c r="FO164" s="2336">
        <v>2.1800000000000002</v>
      </c>
      <c r="FP164" s="2336">
        <v>3.07</v>
      </c>
      <c r="FQ164" s="2336">
        <v>5.94</v>
      </c>
      <c r="FR164" s="2336">
        <v>9.5</v>
      </c>
      <c r="FS164" s="2336">
        <v>15.35</v>
      </c>
      <c r="FT164" s="2336">
        <v>20.69</v>
      </c>
      <c r="FU164" s="2336">
        <v>30.1</v>
      </c>
      <c r="FV164" s="2336">
        <v>41.68</v>
      </c>
      <c r="FW164" s="2336">
        <v>61.19</v>
      </c>
      <c r="FX164" s="2336">
        <v>92.18</v>
      </c>
      <c r="FY164" s="2336">
        <v>131.49</v>
      </c>
      <c r="FZ164" s="2250"/>
      <c r="GA164" s="2250"/>
      <c r="GB164" s="1302">
        <v>58.1</v>
      </c>
      <c r="GC164" s="1302">
        <v>63.4</v>
      </c>
      <c r="GD164" s="2250"/>
      <c r="GE164" s="2275"/>
      <c r="GF164" s="2333">
        <v>129.80000000000001</v>
      </c>
      <c r="GG164" s="2336">
        <v>5.84</v>
      </c>
      <c r="GH164" s="2336">
        <v>8.7100000000000009</v>
      </c>
      <c r="GI164" s="2336">
        <v>16.93</v>
      </c>
      <c r="GJ164" s="2336">
        <v>29.21</v>
      </c>
      <c r="GK164" s="2336">
        <v>46.44</v>
      </c>
      <c r="GL164" s="2336">
        <v>67.72</v>
      </c>
      <c r="GM164" s="2336">
        <v>99.5</v>
      </c>
      <c r="GN164" s="2336">
        <v>135.44999999999999</v>
      </c>
      <c r="GO164" s="2336">
        <v>183.96</v>
      </c>
      <c r="GP164" s="2336">
        <v>292.08</v>
      </c>
      <c r="GQ164" s="2336">
        <v>439.5</v>
      </c>
      <c r="GR164" s="2250"/>
      <c r="GS164" s="2250"/>
      <c r="GT164" s="2333">
        <v>129.80000000000001</v>
      </c>
      <c r="GU164" s="2336">
        <v>4.26</v>
      </c>
      <c r="GV164" s="2336">
        <v>6.34</v>
      </c>
      <c r="GW164" s="2336">
        <v>12.18</v>
      </c>
      <c r="GX164" s="2336">
        <v>21.09</v>
      </c>
      <c r="GY164" s="2336">
        <v>33.47</v>
      </c>
      <c r="GZ164" s="2336">
        <v>47.43</v>
      </c>
      <c r="HA164" s="2336">
        <v>69.11</v>
      </c>
      <c r="HB164" s="2336">
        <v>95.84</v>
      </c>
      <c r="HC164" s="2336">
        <v>132.57</v>
      </c>
      <c r="HD164" s="2336">
        <v>210.5</v>
      </c>
      <c r="HE164" s="2336">
        <v>300.79000000000002</v>
      </c>
      <c r="HF164" s="2250"/>
      <c r="HG164" s="2250"/>
      <c r="HH164" s="2333">
        <v>129.80000000000001</v>
      </c>
      <c r="HI164" s="2336">
        <v>3.61</v>
      </c>
      <c r="HJ164" s="2336">
        <v>5.42</v>
      </c>
      <c r="HK164" s="2336">
        <v>10.38</v>
      </c>
      <c r="HL164" s="2336">
        <v>16.59</v>
      </c>
      <c r="HM164" s="2336">
        <v>26.52</v>
      </c>
      <c r="HN164" s="2336">
        <v>35.89</v>
      </c>
      <c r="HO164" s="2336">
        <v>52.14</v>
      </c>
      <c r="HP164" s="2336">
        <v>72.010000000000005</v>
      </c>
      <c r="HQ164" s="2336">
        <v>105.87</v>
      </c>
      <c r="HR164" s="2336">
        <v>160.84</v>
      </c>
      <c r="HS164" s="2336">
        <v>229.57</v>
      </c>
      <c r="HT164" s="2250"/>
      <c r="HU164" s="2250"/>
      <c r="HV164" s="2333">
        <v>129.80000000000001</v>
      </c>
      <c r="HW164" s="2336">
        <v>2.1800000000000002</v>
      </c>
      <c r="HX164" s="2336">
        <v>3.07</v>
      </c>
      <c r="HY164" s="2336">
        <v>5.94</v>
      </c>
      <c r="HZ164" s="2336">
        <v>9.5</v>
      </c>
      <c r="IA164" s="2336">
        <v>15.35</v>
      </c>
      <c r="IB164" s="2336">
        <v>20.69</v>
      </c>
      <c r="IC164" s="2336">
        <v>30.1</v>
      </c>
      <c r="ID164" s="2336">
        <v>41.68</v>
      </c>
      <c r="IE164" s="2336">
        <v>61.19</v>
      </c>
      <c r="IF164" s="2336">
        <v>92.18</v>
      </c>
      <c r="IG164" s="2336">
        <v>131.49</v>
      </c>
      <c r="IH164" s="2250"/>
      <c r="II164" s="2250"/>
      <c r="IJ164" s="2250"/>
      <c r="IK164" s="2250"/>
      <c r="IL164" s="2250"/>
      <c r="IN164" s="277"/>
      <c r="IO164" s="277"/>
    </row>
    <row r="165" spans="1:249" ht="21.95" customHeight="1">
      <c r="A165" s="2275"/>
      <c r="B165" s="2333">
        <v>120.7</v>
      </c>
      <c r="C165" s="2336">
        <v>6.14</v>
      </c>
      <c r="D165" s="2336">
        <v>9.2100000000000009</v>
      </c>
      <c r="E165" s="2336">
        <v>18.02</v>
      </c>
      <c r="F165" s="2336">
        <v>31.19</v>
      </c>
      <c r="G165" s="2336">
        <v>49.5</v>
      </c>
      <c r="H165" s="2336">
        <v>72.180000000000007</v>
      </c>
      <c r="I165" s="2336">
        <v>105.15</v>
      </c>
      <c r="J165" s="2336">
        <v>144.16</v>
      </c>
      <c r="K165" s="2336">
        <v>195.84</v>
      </c>
      <c r="L165" s="2336">
        <v>310.99</v>
      </c>
      <c r="M165" s="2336">
        <v>467.92</v>
      </c>
      <c r="N165" s="2250"/>
      <c r="O165" s="2250"/>
      <c r="P165" s="2333">
        <v>120.7</v>
      </c>
      <c r="Q165" s="2336">
        <v>4.46</v>
      </c>
      <c r="R165" s="2336">
        <v>6.63</v>
      </c>
      <c r="S165" s="2336">
        <v>12.97</v>
      </c>
      <c r="T165" s="2336">
        <v>22.48</v>
      </c>
      <c r="U165" s="2336">
        <v>35.64</v>
      </c>
      <c r="V165" s="2336">
        <v>50</v>
      </c>
      <c r="W165" s="2336">
        <v>75.25</v>
      </c>
      <c r="X165" s="2336">
        <v>101.49</v>
      </c>
      <c r="Y165" s="2336">
        <v>141.19</v>
      </c>
      <c r="Z165" s="2336">
        <v>224.16</v>
      </c>
      <c r="AA165" s="2336">
        <v>322.27999999999997</v>
      </c>
      <c r="AB165" s="2250"/>
      <c r="AC165" s="2250"/>
      <c r="AD165" s="2333">
        <v>120.7</v>
      </c>
      <c r="AE165" s="2336">
        <v>3.84</v>
      </c>
      <c r="AF165" s="2336">
        <v>5.76</v>
      </c>
      <c r="AG165" s="2336">
        <v>10.95</v>
      </c>
      <c r="AH165" s="2336">
        <v>18.28</v>
      </c>
      <c r="AI165" s="2336">
        <v>28.22</v>
      </c>
      <c r="AJ165" s="2336">
        <v>38.04</v>
      </c>
      <c r="AK165" s="2336">
        <v>57</v>
      </c>
      <c r="AL165" s="2336">
        <v>76.52</v>
      </c>
      <c r="AM165" s="2336">
        <v>107.9</v>
      </c>
      <c r="AN165" s="2336">
        <v>173.02</v>
      </c>
      <c r="AO165" s="2336">
        <v>243.91</v>
      </c>
      <c r="AP165" s="2250"/>
      <c r="AQ165" s="2250"/>
      <c r="AR165" s="2333">
        <v>120.7</v>
      </c>
      <c r="AS165" s="2337">
        <v>2.38</v>
      </c>
      <c r="AT165" s="2337">
        <v>3.37</v>
      </c>
      <c r="AU165" s="2337">
        <v>6.34</v>
      </c>
      <c r="AV165" s="2337">
        <v>10.5</v>
      </c>
      <c r="AW165" s="2337">
        <v>16.34</v>
      </c>
      <c r="AX165" s="2337">
        <v>21.98</v>
      </c>
      <c r="AY165" s="2337">
        <v>32.770000000000003</v>
      </c>
      <c r="AZ165" s="2337">
        <v>44.26</v>
      </c>
      <c r="BA165" s="2337">
        <v>61.78</v>
      </c>
      <c r="BB165" s="2337">
        <v>100</v>
      </c>
      <c r="BC165" s="2337">
        <v>140.99</v>
      </c>
      <c r="BD165" s="2250"/>
      <c r="BE165" s="2250"/>
      <c r="BF165" s="1302">
        <v>63.4</v>
      </c>
      <c r="BG165" s="1302">
        <v>68.3</v>
      </c>
      <c r="BH165" s="2250"/>
      <c r="BI165" s="2275"/>
      <c r="BJ165" s="2333">
        <v>120.7</v>
      </c>
      <c r="BK165" s="2336">
        <v>6.14</v>
      </c>
      <c r="BL165" s="2336">
        <v>9.2100000000000009</v>
      </c>
      <c r="BM165" s="2336">
        <v>18.02</v>
      </c>
      <c r="BN165" s="2336">
        <v>31.19</v>
      </c>
      <c r="BO165" s="2336">
        <v>49.5</v>
      </c>
      <c r="BP165" s="2336">
        <v>72.180000000000007</v>
      </c>
      <c r="BQ165" s="2336">
        <v>105.15</v>
      </c>
      <c r="BR165" s="2336">
        <v>144.16</v>
      </c>
      <c r="BS165" s="2336">
        <v>195.84</v>
      </c>
      <c r="BT165" s="2336">
        <v>310.99</v>
      </c>
      <c r="BU165" s="2336">
        <v>467.92</v>
      </c>
      <c r="BV165" s="2250"/>
      <c r="BW165" s="2250"/>
      <c r="BX165" s="2333">
        <v>120.7</v>
      </c>
      <c r="BY165" s="2336">
        <v>4.46</v>
      </c>
      <c r="BZ165" s="2336">
        <v>6.63</v>
      </c>
      <c r="CA165" s="2336">
        <v>12.97</v>
      </c>
      <c r="CB165" s="2336">
        <v>22.48</v>
      </c>
      <c r="CC165" s="2336">
        <v>35.64</v>
      </c>
      <c r="CD165" s="2336">
        <v>50</v>
      </c>
      <c r="CE165" s="2336">
        <v>75.25</v>
      </c>
      <c r="CF165" s="2336">
        <v>101.49</v>
      </c>
      <c r="CG165" s="2336">
        <v>141.19</v>
      </c>
      <c r="CH165" s="2336">
        <v>224.16</v>
      </c>
      <c r="CI165" s="2336">
        <v>322.27999999999997</v>
      </c>
      <c r="CJ165" s="2250"/>
      <c r="CK165" s="2250"/>
      <c r="CL165" s="2333">
        <v>120.7</v>
      </c>
      <c r="CM165" s="2336">
        <v>3.84</v>
      </c>
      <c r="CN165" s="2336">
        <v>5.76</v>
      </c>
      <c r="CO165" s="2336">
        <v>10.95</v>
      </c>
      <c r="CP165" s="2336">
        <v>18.28</v>
      </c>
      <c r="CQ165" s="2336">
        <v>28.22</v>
      </c>
      <c r="CR165" s="2336">
        <v>38.04</v>
      </c>
      <c r="CS165" s="2336">
        <v>57</v>
      </c>
      <c r="CT165" s="2336">
        <v>76.52</v>
      </c>
      <c r="CU165" s="2336">
        <v>107.9</v>
      </c>
      <c r="CV165" s="2336">
        <v>173.02</v>
      </c>
      <c r="CW165" s="2336">
        <v>243.91</v>
      </c>
      <c r="CX165" s="2250"/>
      <c r="CY165" s="2250"/>
      <c r="CZ165" s="2333">
        <v>120.7</v>
      </c>
      <c r="DA165" s="2337">
        <v>2.38</v>
      </c>
      <c r="DB165" s="2337">
        <v>3.37</v>
      </c>
      <c r="DC165" s="2337">
        <v>6.34</v>
      </c>
      <c r="DD165" s="2337">
        <v>10.5</v>
      </c>
      <c r="DE165" s="2337">
        <v>16.34</v>
      </c>
      <c r="DF165" s="2337">
        <v>21.98</v>
      </c>
      <c r="DG165" s="2337">
        <v>32.770000000000003</v>
      </c>
      <c r="DH165" s="2337">
        <v>44.26</v>
      </c>
      <c r="DI165" s="2337">
        <v>61.78</v>
      </c>
      <c r="DJ165" s="2337">
        <v>100</v>
      </c>
      <c r="DK165" s="2337">
        <v>140.99</v>
      </c>
      <c r="DL165" s="2250"/>
      <c r="DM165" s="2250"/>
      <c r="DN165" s="2250"/>
      <c r="DO165" s="2250"/>
      <c r="DP165" s="2250"/>
      <c r="DQ165" s="2277"/>
      <c r="DR165" s="2277"/>
      <c r="DS165" s="277"/>
      <c r="DW165" s="2275"/>
      <c r="DX165" s="2333">
        <v>120.7</v>
      </c>
      <c r="DY165" s="2336">
        <v>6.14</v>
      </c>
      <c r="DZ165" s="2336">
        <v>9.2100000000000009</v>
      </c>
      <c r="EA165" s="2336">
        <v>18.02</v>
      </c>
      <c r="EB165" s="2336">
        <v>31.19</v>
      </c>
      <c r="EC165" s="2336">
        <v>49.5</v>
      </c>
      <c r="ED165" s="2336">
        <v>72.180000000000007</v>
      </c>
      <c r="EE165" s="2336">
        <v>105.15</v>
      </c>
      <c r="EF165" s="2336">
        <v>144.16</v>
      </c>
      <c r="EG165" s="2336">
        <v>195.84</v>
      </c>
      <c r="EH165" s="2336">
        <v>310.99</v>
      </c>
      <c r="EI165" s="2336">
        <v>467.92</v>
      </c>
      <c r="EJ165" s="2250"/>
      <c r="EK165" s="2250"/>
      <c r="EL165" s="2333">
        <v>120.7</v>
      </c>
      <c r="EM165" s="2336">
        <v>4.46</v>
      </c>
      <c r="EN165" s="2336">
        <v>6.63</v>
      </c>
      <c r="EO165" s="2336">
        <v>12.97</v>
      </c>
      <c r="EP165" s="2336">
        <v>22.48</v>
      </c>
      <c r="EQ165" s="2336">
        <v>35.64</v>
      </c>
      <c r="ER165" s="2336">
        <v>50</v>
      </c>
      <c r="ES165" s="2336">
        <v>75.25</v>
      </c>
      <c r="ET165" s="2336">
        <v>101.49</v>
      </c>
      <c r="EU165" s="2336">
        <v>141.19</v>
      </c>
      <c r="EV165" s="2336">
        <v>224.16</v>
      </c>
      <c r="EW165" s="2336">
        <v>322.27999999999997</v>
      </c>
      <c r="EX165" s="2250"/>
      <c r="EY165" s="2250"/>
      <c r="EZ165" s="2333">
        <v>120.7</v>
      </c>
      <c r="FA165" s="2336">
        <v>3.84</v>
      </c>
      <c r="FB165" s="2336">
        <v>5.76</v>
      </c>
      <c r="FC165" s="2336">
        <v>10.95</v>
      </c>
      <c r="FD165" s="2336">
        <v>18.28</v>
      </c>
      <c r="FE165" s="2336">
        <v>28.22</v>
      </c>
      <c r="FF165" s="2336">
        <v>38.04</v>
      </c>
      <c r="FG165" s="2336">
        <v>57</v>
      </c>
      <c r="FH165" s="2336">
        <v>76.52</v>
      </c>
      <c r="FI165" s="2336">
        <v>107.9</v>
      </c>
      <c r="FJ165" s="2336">
        <v>173.02</v>
      </c>
      <c r="FK165" s="2336">
        <v>243.91</v>
      </c>
      <c r="FL165" s="2250"/>
      <c r="FM165" s="2250"/>
      <c r="FN165" s="2333">
        <v>120.7</v>
      </c>
      <c r="FO165" s="2337">
        <v>2.38</v>
      </c>
      <c r="FP165" s="2337">
        <v>3.37</v>
      </c>
      <c r="FQ165" s="2337">
        <v>6.34</v>
      </c>
      <c r="FR165" s="2337">
        <v>10.5</v>
      </c>
      <c r="FS165" s="2337">
        <v>16.34</v>
      </c>
      <c r="FT165" s="2337">
        <v>21.98</v>
      </c>
      <c r="FU165" s="2337">
        <v>32.770000000000003</v>
      </c>
      <c r="FV165" s="2337">
        <v>44.26</v>
      </c>
      <c r="FW165" s="2337">
        <v>61.78</v>
      </c>
      <c r="FX165" s="2337">
        <v>100</v>
      </c>
      <c r="FY165" s="2337">
        <v>140.99</v>
      </c>
      <c r="FZ165" s="2250"/>
      <c r="GA165" s="2250"/>
      <c r="GB165" s="1302">
        <v>63.4</v>
      </c>
      <c r="GC165" s="1302">
        <v>68.3</v>
      </c>
      <c r="GD165" s="2250"/>
      <c r="GE165" s="2275"/>
      <c r="GF165" s="2333">
        <v>120.7</v>
      </c>
      <c r="GG165" s="2336">
        <v>6.14</v>
      </c>
      <c r="GH165" s="2336">
        <v>9.2100000000000009</v>
      </c>
      <c r="GI165" s="2336">
        <v>18.02</v>
      </c>
      <c r="GJ165" s="2336">
        <v>31.19</v>
      </c>
      <c r="GK165" s="2336">
        <v>49.5</v>
      </c>
      <c r="GL165" s="2336">
        <v>72.180000000000007</v>
      </c>
      <c r="GM165" s="2336">
        <v>105.15</v>
      </c>
      <c r="GN165" s="2336">
        <v>144.16</v>
      </c>
      <c r="GO165" s="2336">
        <v>195.84</v>
      </c>
      <c r="GP165" s="2336">
        <v>310.99</v>
      </c>
      <c r="GQ165" s="2336">
        <v>467.92</v>
      </c>
      <c r="GR165" s="2250"/>
      <c r="GS165" s="2250"/>
      <c r="GT165" s="2333">
        <v>120.7</v>
      </c>
      <c r="GU165" s="2336">
        <v>4.46</v>
      </c>
      <c r="GV165" s="2336">
        <v>6.63</v>
      </c>
      <c r="GW165" s="2336">
        <v>12.97</v>
      </c>
      <c r="GX165" s="2336">
        <v>22.48</v>
      </c>
      <c r="GY165" s="2336">
        <v>35.64</v>
      </c>
      <c r="GZ165" s="2336">
        <v>50</v>
      </c>
      <c r="HA165" s="2336">
        <v>75.25</v>
      </c>
      <c r="HB165" s="2336">
        <v>101.49</v>
      </c>
      <c r="HC165" s="2336">
        <v>141.19</v>
      </c>
      <c r="HD165" s="2336">
        <v>224.16</v>
      </c>
      <c r="HE165" s="2336">
        <v>322.27999999999997</v>
      </c>
      <c r="HF165" s="2250"/>
      <c r="HG165" s="2250"/>
      <c r="HH165" s="2333">
        <v>120.7</v>
      </c>
      <c r="HI165" s="2336">
        <v>3.84</v>
      </c>
      <c r="HJ165" s="2336">
        <v>5.76</v>
      </c>
      <c r="HK165" s="2336">
        <v>10.95</v>
      </c>
      <c r="HL165" s="2336">
        <v>18.28</v>
      </c>
      <c r="HM165" s="2336">
        <v>28.22</v>
      </c>
      <c r="HN165" s="2336">
        <v>38.04</v>
      </c>
      <c r="HO165" s="2336">
        <v>57</v>
      </c>
      <c r="HP165" s="2336">
        <v>76.52</v>
      </c>
      <c r="HQ165" s="2336">
        <v>107.9</v>
      </c>
      <c r="HR165" s="2336">
        <v>173.02</v>
      </c>
      <c r="HS165" s="2336">
        <v>243.91</v>
      </c>
      <c r="HT165" s="2250"/>
      <c r="HU165" s="2250"/>
      <c r="HV165" s="2333">
        <v>120.7</v>
      </c>
      <c r="HW165" s="2337">
        <v>2.38</v>
      </c>
      <c r="HX165" s="2337">
        <v>3.37</v>
      </c>
      <c r="HY165" s="2337">
        <v>6.34</v>
      </c>
      <c r="HZ165" s="2337">
        <v>10.5</v>
      </c>
      <c r="IA165" s="2337">
        <v>16.34</v>
      </c>
      <c r="IB165" s="2337">
        <v>21.98</v>
      </c>
      <c r="IC165" s="2337">
        <v>32.770000000000003</v>
      </c>
      <c r="ID165" s="2337">
        <v>44.26</v>
      </c>
      <c r="IE165" s="2337">
        <v>61.78</v>
      </c>
      <c r="IF165" s="2337">
        <v>100</v>
      </c>
      <c r="IG165" s="2337">
        <v>140.99</v>
      </c>
      <c r="IH165" s="2250"/>
      <c r="II165" s="2250"/>
      <c r="IJ165" s="2250"/>
      <c r="IK165" s="2250"/>
      <c r="IL165" s="2250"/>
      <c r="IN165" s="277"/>
      <c r="IO165" s="277"/>
    </row>
    <row r="166" spans="1:249" ht="21.95" customHeight="1">
      <c r="A166" s="2275"/>
      <c r="B166" s="2333">
        <v>107.9</v>
      </c>
      <c r="C166" s="2336">
        <v>6.83</v>
      </c>
      <c r="D166" s="2336">
        <v>10.199999999999999</v>
      </c>
      <c r="E166" s="2336">
        <v>19.8</v>
      </c>
      <c r="F166" s="2336">
        <v>34.36</v>
      </c>
      <c r="G166" s="2336">
        <v>54.46</v>
      </c>
      <c r="H166" s="2336">
        <v>80.89</v>
      </c>
      <c r="I166" s="2336">
        <v>115.74</v>
      </c>
      <c r="J166" s="2336">
        <v>158.71</v>
      </c>
      <c r="K166" s="2336">
        <v>216.04</v>
      </c>
      <c r="L166" s="2336">
        <v>342.38</v>
      </c>
      <c r="M166" s="2336">
        <v>511.09</v>
      </c>
      <c r="N166" s="2250"/>
      <c r="O166" s="2250"/>
      <c r="P166" s="2333">
        <v>107.9</v>
      </c>
      <c r="Q166" s="2336">
        <v>4.95</v>
      </c>
      <c r="R166" s="2336">
        <v>7.33</v>
      </c>
      <c r="S166" s="2336">
        <v>14.36</v>
      </c>
      <c r="T166" s="2336">
        <v>24.85</v>
      </c>
      <c r="U166" s="2336">
        <v>39.409999999999997</v>
      </c>
      <c r="V166" s="2336">
        <v>53.07</v>
      </c>
      <c r="W166" s="2336">
        <v>76.53</v>
      </c>
      <c r="X166" s="2336">
        <v>114.75</v>
      </c>
      <c r="Y166" s="2336">
        <v>156.13999999999999</v>
      </c>
      <c r="Z166" s="2336">
        <v>232.57</v>
      </c>
      <c r="AA166" s="2336">
        <v>338.02</v>
      </c>
      <c r="AB166" s="2250"/>
      <c r="AC166" s="2250"/>
      <c r="AD166" s="2333">
        <v>107.9</v>
      </c>
      <c r="AE166" s="2336">
        <v>4.29</v>
      </c>
      <c r="AF166" s="2336">
        <v>6.32</v>
      </c>
      <c r="AG166" s="2336">
        <v>12.42</v>
      </c>
      <c r="AH166" s="2336">
        <v>20.09</v>
      </c>
      <c r="AI166" s="2336">
        <v>33.409999999999997</v>
      </c>
      <c r="AJ166" s="2336">
        <v>40.520000000000003</v>
      </c>
      <c r="AK166" s="2336">
        <v>58.35</v>
      </c>
      <c r="AL166" s="2336">
        <v>90.52</v>
      </c>
      <c r="AM166" s="2336">
        <v>119.53</v>
      </c>
      <c r="AN166" s="2336">
        <v>177.09</v>
      </c>
      <c r="AO166" s="2336">
        <v>257.45</v>
      </c>
      <c r="AP166" s="2250"/>
      <c r="AQ166" s="2250"/>
      <c r="AR166" s="2333">
        <v>107.9</v>
      </c>
      <c r="AS166" s="2337">
        <v>2.57</v>
      </c>
      <c r="AT166" s="2337">
        <v>4.0599999999999996</v>
      </c>
      <c r="AU166" s="2337">
        <v>7.43</v>
      </c>
      <c r="AV166" s="2337">
        <v>11.68</v>
      </c>
      <c r="AW166" s="2337">
        <v>19.309999999999999</v>
      </c>
      <c r="AX166" s="2337">
        <v>23.17</v>
      </c>
      <c r="AY166" s="2337">
        <v>33.47</v>
      </c>
      <c r="AZ166" s="2337">
        <v>51.88</v>
      </c>
      <c r="BA166" s="2337">
        <v>70.989999999999995</v>
      </c>
      <c r="BB166" s="2337">
        <v>101.68</v>
      </c>
      <c r="BC166" s="2337">
        <v>147.82</v>
      </c>
      <c r="BD166" s="2250"/>
      <c r="BE166" s="2250"/>
      <c r="BF166" s="1302">
        <v>68.3</v>
      </c>
      <c r="BG166" s="1302">
        <v>73.7</v>
      </c>
      <c r="BH166" s="2250"/>
      <c r="BI166" s="2275"/>
      <c r="BJ166" s="2333">
        <v>107.9</v>
      </c>
      <c r="BK166" s="2336">
        <v>6.83</v>
      </c>
      <c r="BL166" s="2336">
        <v>10.199999999999999</v>
      </c>
      <c r="BM166" s="2336">
        <v>19.8</v>
      </c>
      <c r="BN166" s="2336">
        <v>34.36</v>
      </c>
      <c r="BO166" s="2336">
        <v>54.46</v>
      </c>
      <c r="BP166" s="2336">
        <v>80.89</v>
      </c>
      <c r="BQ166" s="2336">
        <v>115.74</v>
      </c>
      <c r="BR166" s="2336">
        <v>158.71</v>
      </c>
      <c r="BS166" s="2336">
        <v>216.04</v>
      </c>
      <c r="BT166" s="2336">
        <v>342.38</v>
      </c>
      <c r="BU166" s="2336">
        <v>511.09</v>
      </c>
      <c r="BV166" s="2250"/>
      <c r="BW166" s="2250"/>
      <c r="BX166" s="2333">
        <v>107.9</v>
      </c>
      <c r="BY166" s="2336">
        <v>4.95</v>
      </c>
      <c r="BZ166" s="2336">
        <v>7.33</v>
      </c>
      <c r="CA166" s="2336">
        <v>14.36</v>
      </c>
      <c r="CB166" s="2336">
        <v>24.85</v>
      </c>
      <c r="CC166" s="2336">
        <v>39.409999999999997</v>
      </c>
      <c r="CD166" s="2336">
        <v>53.07</v>
      </c>
      <c r="CE166" s="2336">
        <v>76.53</v>
      </c>
      <c r="CF166" s="2336">
        <v>114.75</v>
      </c>
      <c r="CG166" s="2336">
        <v>156.13999999999999</v>
      </c>
      <c r="CH166" s="2336">
        <v>232.57</v>
      </c>
      <c r="CI166" s="2336">
        <v>338.02</v>
      </c>
      <c r="CJ166" s="2250"/>
      <c r="CK166" s="2250"/>
      <c r="CL166" s="2333">
        <v>107.9</v>
      </c>
      <c r="CM166" s="2336">
        <v>4.29</v>
      </c>
      <c r="CN166" s="2336">
        <v>6.32</v>
      </c>
      <c r="CO166" s="2336">
        <v>12.42</v>
      </c>
      <c r="CP166" s="2336">
        <v>20.09</v>
      </c>
      <c r="CQ166" s="2336">
        <v>33.409999999999997</v>
      </c>
      <c r="CR166" s="2336">
        <v>40.520000000000003</v>
      </c>
      <c r="CS166" s="2336">
        <v>58.35</v>
      </c>
      <c r="CT166" s="2336">
        <v>90.52</v>
      </c>
      <c r="CU166" s="2336">
        <v>119.53</v>
      </c>
      <c r="CV166" s="2336">
        <v>177.09</v>
      </c>
      <c r="CW166" s="2336">
        <v>257.45</v>
      </c>
      <c r="CX166" s="2250"/>
      <c r="CY166" s="2250"/>
      <c r="CZ166" s="2333">
        <v>107.9</v>
      </c>
      <c r="DA166" s="2337">
        <v>2.57</v>
      </c>
      <c r="DB166" s="2337">
        <v>4.0599999999999996</v>
      </c>
      <c r="DC166" s="2337">
        <v>7.43</v>
      </c>
      <c r="DD166" s="2337">
        <v>11.68</v>
      </c>
      <c r="DE166" s="2337">
        <v>19.309999999999999</v>
      </c>
      <c r="DF166" s="2337">
        <v>23.17</v>
      </c>
      <c r="DG166" s="2337">
        <v>33.47</v>
      </c>
      <c r="DH166" s="2337">
        <v>51.88</v>
      </c>
      <c r="DI166" s="2337">
        <v>70.989999999999995</v>
      </c>
      <c r="DJ166" s="2337">
        <v>101.68</v>
      </c>
      <c r="DK166" s="2337">
        <v>147.82</v>
      </c>
      <c r="DL166" s="2250"/>
      <c r="DM166" s="2250"/>
      <c r="DN166" s="2250"/>
      <c r="DO166" s="2250"/>
      <c r="DP166" s="2250"/>
      <c r="DQ166" s="2277"/>
      <c r="DR166" s="2277"/>
      <c r="DS166" s="277"/>
      <c r="DW166" s="2275"/>
      <c r="DX166" s="2333">
        <v>107.9</v>
      </c>
      <c r="DY166" s="2336">
        <v>6.83</v>
      </c>
      <c r="DZ166" s="2336">
        <v>10.199999999999999</v>
      </c>
      <c r="EA166" s="2336">
        <v>19.8</v>
      </c>
      <c r="EB166" s="2336">
        <v>34.36</v>
      </c>
      <c r="EC166" s="2336">
        <v>54.46</v>
      </c>
      <c r="ED166" s="2336">
        <v>80.89</v>
      </c>
      <c r="EE166" s="2336">
        <v>115.74</v>
      </c>
      <c r="EF166" s="2336">
        <v>158.71</v>
      </c>
      <c r="EG166" s="2336">
        <v>216.04</v>
      </c>
      <c r="EH166" s="2336">
        <v>342.38</v>
      </c>
      <c r="EI166" s="2336">
        <v>511.09</v>
      </c>
      <c r="EJ166" s="2250"/>
      <c r="EK166" s="2250"/>
      <c r="EL166" s="2333">
        <v>107.9</v>
      </c>
      <c r="EM166" s="2336">
        <v>4.95</v>
      </c>
      <c r="EN166" s="2336">
        <v>7.33</v>
      </c>
      <c r="EO166" s="2336">
        <v>14.36</v>
      </c>
      <c r="EP166" s="2336">
        <v>24.85</v>
      </c>
      <c r="EQ166" s="2336">
        <v>39.409999999999997</v>
      </c>
      <c r="ER166" s="2336">
        <v>53.07</v>
      </c>
      <c r="ES166" s="2336">
        <v>76.53</v>
      </c>
      <c r="ET166" s="2336">
        <v>114.75</v>
      </c>
      <c r="EU166" s="2336">
        <v>156.13999999999999</v>
      </c>
      <c r="EV166" s="2336">
        <v>232.57</v>
      </c>
      <c r="EW166" s="2336">
        <v>338.02</v>
      </c>
      <c r="EX166" s="2250"/>
      <c r="EY166" s="2250"/>
      <c r="EZ166" s="2333">
        <v>107.9</v>
      </c>
      <c r="FA166" s="2336">
        <v>4.29</v>
      </c>
      <c r="FB166" s="2336">
        <v>6.32</v>
      </c>
      <c r="FC166" s="2336">
        <v>12.42</v>
      </c>
      <c r="FD166" s="2336">
        <v>20.09</v>
      </c>
      <c r="FE166" s="2336">
        <v>33.409999999999997</v>
      </c>
      <c r="FF166" s="2336">
        <v>40.520000000000003</v>
      </c>
      <c r="FG166" s="2336">
        <v>58.35</v>
      </c>
      <c r="FH166" s="2336">
        <v>90.52</v>
      </c>
      <c r="FI166" s="2336">
        <v>119.53</v>
      </c>
      <c r="FJ166" s="2336">
        <v>177.09</v>
      </c>
      <c r="FK166" s="2336">
        <v>257.45</v>
      </c>
      <c r="FL166" s="2250"/>
      <c r="FM166" s="2250"/>
      <c r="FN166" s="2333">
        <v>107.9</v>
      </c>
      <c r="FO166" s="2337">
        <v>2.57</v>
      </c>
      <c r="FP166" s="2337">
        <v>4.0599999999999996</v>
      </c>
      <c r="FQ166" s="2337">
        <v>7.43</v>
      </c>
      <c r="FR166" s="2337">
        <v>11.68</v>
      </c>
      <c r="FS166" s="2337">
        <v>19.309999999999999</v>
      </c>
      <c r="FT166" s="2337">
        <v>23.17</v>
      </c>
      <c r="FU166" s="2337">
        <v>33.47</v>
      </c>
      <c r="FV166" s="2337">
        <v>51.88</v>
      </c>
      <c r="FW166" s="2337">
        <v>70.989999999999995</v>
      </c>
      <c r="FX166" s="2337">
        <v>101.68</v>
      </c>
      <c r="FY166" s="2337">
        <v>147.82</v>
      </c>
      <c r="FZ166" s="2250"/>
      <c r="GA166" s="2250"/>
      <c r="GB166" s="1302">
        <v>68.3</v>
      </c>
      <c r="GC166" s="1302">
        <v>73.7</v>
      </c>
      <c r="GD166" s="2250"/>
      <c r="GE166" s="2275"/>
      <c r="GF166" s="2333">
        <v>107.9</v>
      </c>
      <c r="GG166" s="2336">
        <v>6.83</v>
      </c>
      <c r="GH166" s="2336">
        <v>10.199999999999999</v>
      </c>
      <c r="GI166" s="2336">
        <v>19.8</v>
      </c>
      <c r="GJ166" s="2336">
        <v>34.36</v>
      </c>
      <c r="GK166" s="2336">
        <v>54.46</v>
      </c>
      <c r="GL166" s="2336">
        <v>80.89</v>
      </c>
      <c r="GM166" s="2336">
        <v>115.74</v>
      </c>
      <c r="GN166" s="2336">
        <v>158.71</v>
      </c>
      <c r="GO166" s="2336">
        <v>216.04</v>
      </c>
      <c r="GP166" s="2336">
        <v>342.38</v>
      </c>
      <c r="GQ166" s="2336">
        <v>511.09</v>
      </c>
      <c r="GR166" s="2250"/>
      <c r="GS166" s="2250"/>
      <c r="GT166" s="2333">
        <v>107.9</v>
      </c>
      <c r="GU166" s="2336">
        <v>4.95</v>
      </c>
      <c r="GV166" s="2336">
        <v>7.33</v>
      </c>
      <c r="GW166" s="2336">
        <v>14.36</v>
      </c>
      <c r="GX166" s="2336">
        <v>24.85</v>
      </c>
      <c r="GY166" s="2336">
        <v>39.409999999999997</v>
      </c>
      <c r="GZ166" s="2336">
        <v>53.07</v>
      </c>
      <c r="HA166" s="2336">
        <v>76.53</v>
      </c>
      <c r="HB166" s="2336">
        <v>114.75</v>
      </c>
      <c r="HC166" s="2336">
        <v>156.13999999999999</v>
      </c>
      <c r="HD166" s="2336">
        <v>232.57</v>
      </c>
      <c r="HE166" s="2336">
        <v>338.02</v>
      </c>
      <c r="HF166" s="2250"/>
      <c r="HG166" s="2250"/>
      <c r="HH166" s="2333">
        <v>107.9</v>
      </c>
      <c r="HI166" s="2336">
        <v>4.29</v>
      </c>
      <c r="HJ166" s="2336">
        <v>6.32</v>
      </c>
      <c r="HK166" s="2336">
        <v>12.42</v>
      </c>
      <c r="HL166" s="2336">
        <v>20.09</v>
      </c>
      <c r="HM166" s="2336">
        <v>33.409999999999997</v>
      </c>
      <c r="HN166" s="2336">
        <v>40.520000000000003</v>
      </c>
      <c r="HO166" s="2336">
        <v>58.35</v>
      </c>
      <c r="HP166" s="2336">
        <v>90.52</v>
      </c>
      <c r="HQ166" s="2336">
        <v>119.53</v>
      </c>
      <c r="HR166" s="2336">
        <v>177.09</v>
      </c>
      <c r="HS166" s="2336">
        <v>257.45</v>
      </c>
      <c r="HT166" s="2250"/>
      <c r="HU166" s="2250"/>
      <c r="HV166" s="2333">
        <v>107.9</v>
      </c>
      <c r="HW166" s="2337">
        <v>2.57</v>
      </c>
      <c r="HX166" s="2337">
        <v>4.0599999999999996</v>
      </c>
      <c r="HY166" s="2337">
        <v>7.43</v>
      </c>
      <c r="HZ166" s="2337">
        <v>11.68</v>
      </c>
      <c r="IA166" s="2337">
        <v>19.309999999999999</v>
      </c>
      <c r="IB166" s="2337">
        <v>23.17</v>
      </c>
      <c r="IC166" s="2337">
        <v>33.47</v>
      </c>
      <c r="ID166" s="2337">
        <v>51.88</v>
      </c>
      <c r="IE166" s="2337">
        <v>70.989999999999995</v>
      </c>
      <c r="IF166" s="2337">
        <v>101.68</v>
      </c>
      <c r="IG166" s="2337">
        <v>147.82</v>
      </c>
      <c r="IH166" s="2250"/>
      <c r="II166" s="2250"/>
      <c r="IJ166" s="2250"/>
      <c r="IK166" s="2250"/>
      <c r="IL166" s="2250"/>
      <c r="IN166" s="277"/>
      <c r="IO166" s="277"/>
    </row>
    <row r="167" spans="1:249" ht="21.95" customHeight="1">
      <c r="A167" s="2275"/>
      <c r="B167" s="2333">
        <v>97.1</v>
      </c>
      <c r="C167" s="2336">
        <v>7.43</v>
      </c>
      <c r="D167" s="2336">
        <v>10.99</v>
      </c>
      <c r="E167" s="2336">
        <v>21.09</v>
      </c>
      <c r="F167" s="2336">
        <v>37.130000000000003</v>
      </c>
      <c r="G167" s="2336">
        <v>58.32</v>
      </c>
      <c r="H167" s="2336">
        <v>86.83</v>
      </c>
      <c r="I167" s="2336">
        <v>125.25</v>
      </c>
      <c r="J167" s="2336">
        <v>169.11</v>
      </c>
      <c r="K167" s="2336">
        <v>232.18</v>
      </c>
      <c r="L167" s="2336">
        <v>371.29</v>
      </c>
      <c r="M167" s="2336">
        <v>550.69000000000005</v>
      </c>
      <c r="N167" s="2250"/>
      <c r="O167" s="2250"/>
      <c r="P167" s="2333">
        <v>97.1</v>
      </c>
      <c r="Q167" s="2336">
        <v>5.35</v>
      </c>
      <c r="R167" s="2336">
        <v>8.02</v>
      </c>
      <c r="S167" s="2336">
        <v>15.35</v>
      </c>
      <c r="T167" s="2336">
        <v>26.93</v>
      </c>
      <c r="U167" s="2336">
        <v>42.38</v>
      </c>
      <c r="V167" s="2336">
        <v>59.6</v>
      </c>
      <c r="W167" s="2336">
        <v>89.6</v>
      </c>
      <c r="X167" s="2336">
        <v>122.77</v>
      </c>
      <c r="Y167" s="2336">
        <v>168.61</v>
      </c>
      <c r="Z167" s="2336">
        <v>263.56</v>
      </c>
      <c r="AA167" s="2336">
        <v>393.37</v>
      </c>
      <c r="AB167" s="2250"/>
      <c r="AC167" s="2250"/>
      <c r="AD167" s="2333">
        <v>97.1</v>
      </c>
      <c r="AE167" s="2336">
        <v>4.63</v>
      </c>
      <c r="AF167" s="2336">
        <v>6.77</v>
      </c>
      <c r="AG167" s="2336">
        <v>13.32</v>
      </c>
      <c r="AH167" s="2336">
        <v>21.9</v>
      </c>
      <c r="AI167" s="2336">
        <v>35.89</v>
      </c>
      <c r="AJ167" s="2336">
        <v>45.49</v>
      </c>
      <c r="AK167" s="2336">
        <v>68.17</v>
      </c>
      <c r="AL167" s="2336">
        <v>96.61</v>
      </c>
      <c r="AM167" s="2336">
        <v>139.05000000000001</v>
      </c>
      <c r="AN167" s="2336">
        <v>200.9</v>
      </c>
      <c r="AO167" s="2336">
        <v>299.20999999999998</v>
      </c>
      <c r="AP167" s="2250"/>
      <c r="AQ167" s="2250"/>
      <c r="AR167" s="2333">
        <v>97.1</v>
      </c>
      <c r="AS167" s="2337">
        <v>2.67</v>
      </c>
      <c r="AT167" s="2337">
        <v>3.96</v>
      </c>
      <c r="AU167" s="2337">
        <v>7.92</v>
      </c>
      <c r="AV167" s="2337">
        <v>12.57</v>
      </c>
      <c r="AW167" s="2337">
        <v>20.79</v>
      </c>
      <c r="AX167" s="2337">
        <v>25.94</v>
      </c>
      <c r="AY167" s="2337">
        <v>39.21</v>
      </c>
      <c r="AZ167" s="2337">
        <v>55.35</v>
      </c>
      <c r="BA167" s="2337">
        <v>79.31</v>
      </c>
      <c r="BB167" s="2337">
        <v>115.15</v>
      </c>
      <c r="BC167" s="2337">
        <v>172.38</v>
      </c>
      <c r="BD167" s="2250"/>
      <c r="BE167" s="2250"/>
      <c r="BF167" s="1302">
        <v>73.7</v>
      </c>
      <c r="BG167" s="1302">
        <v>78.2</v>
      </c>
      <c r="BH167" s="2250"/>
      <c r="BI167" s="2275"/>
      <c r="BJ167" s="2333">
        <v>97.1</v>
      </c>
      <c r="BK167" s="2336">
        <v>7.43</v>
      </c>
      <c r="BL167" s="2336">
        <v>10.99</v>
      </c>
      <c r="BM167" s="2336">
        <v>21.09</v>
      </c>
      <c r="BN167" s="2336">
        <v>37.130000000000003</v>
      </c>
      <c r="BO167" s="2336">
        <v>58.32</v>
      </c>
      <c r="BP167" s="2336">
        <v>86.83</v>
      </c>
      <c r="BQ167" s="2336">
        <v>125.25</v>
      </c>
      <c r="BR167" s="2336">
        <v>169.11</v>
      </c>
      <c r="BS167" s="2336">
        <v>232.18</v>
      </c>
      <c r="BT167" s="2336">
        <v>371.29</v>
      </c>
      <c r="BU167" s="2336">
        <v>550.69000000000005</v>
      </c>
      <c r="BV167" s="2250"/>
      <c r="BW167" s="2250"/>
      <c r="BX167" s="2333">
        <v>97.1</v>
      </c>
      <c r="BY167" s="2336">
        <v>5.35</v>
      </c>
      <c r="BZ167" s="2336">
        <v>8.02</v>
      </c>
      <c r="CA167" s="2336">
        <v>15.35</v>
      </c>
      <c r="CB167" s="2336">
        <v>26.93</v>
      </c>
      <c r="CC167" s="2336">
        <v>42.38</v>
      </c>
      <c r="CD167" s="2336">
        <v>59.6</v>
      </c>
      <c r="CE167" s="2336">
        <v>89.6</v>
      </c>
      <c r="CF167" s="2336">
        <v>122.77</v>
      </c>
      <c r="CG167" s="2336">
        <v>168.61</v>
      </c>
      <c r="CH167" s="2336">
        <v>263.56</v>
      </c>
      <c r="CI167" s="2336">
        <v>393.37</v>
      </c>
      <c r="CJ167" s="2250"/>
      <c r="CK167" s="2250"/>
      <c r="CL167" s="2333">
        <v>97.1</v>
      </c>
      <c r="CM167" s="2336">
        <v>4.63</v>
      </c>
      <c r="CN167" s="2336">
        <v>6.77</v>
      </c>
      <c r="CO167" s="2336">
        <v>13.32</v>
      </c>
      <c r="CP167" s="2336">
        <v>21.9</v>
      </c>
      <c r="CQ167" s="2336">
        <v>35.89</v>
      </c>
      <c r="CR167" s="2336">
        <v>45.49</v>
      </c>
      <c r="CS167" s="2336">
        <v>68.17</v>
      </c>
      <c r="CT167" s="2336">
        <v>96.61</v>
      </c>
      <c r="CU167" s="2336">
        <v>139.05000000000001</v>
      </c>
      <c r="CV167" s="2336">
        <v>200.9</v>
      </c>
      <c r="CW167" s="2336">
        <v>299.20999999999998</v>
      </c>
      <c r="CX167" s="2250"/>
      <c r="CY167" s="2250"/>
      <c r="CZ167" s="2333">
        <v>97.1</v>
      </c>
      <c r="DA167" s="2337">
        <v>2.67</v>
      </c>
      <c r="DB167" s="2337">
        <v>3.96</v>
      </c>
      <c r="DC167" s="2337">
        <v>7.92</v>
      </c>
      <c r="DD167" s="2337">
        <v>12.57</v>
      </c>
      <c r="DE167" s="2337">
        <v>20.79</v>
      </c>
      <c r="DF167" s="2337">
        <v>25.94</v>
      </c>
      <c r="DG167" s="2337">
        <v>39.21</v>
      </c>
      <c r="DH167" s="2337">
        <v>55.35</v>
      </c>
      <c r="DI167" s="2337">
        <v>79.31</v>
      </c>
      <c r="DJ167" s="2337">
        <v>115.15</v>
      </c>
      <c r="DK167" s="2337">
        <v>172.38</v>
      </c>
      <c r="DL167" s="2250"/>
      <c r="DM167" s="2250"/>
      <c r="DN167" s="2250"/>
      <c r="DO167" s="2250"/>
      <c r="DP167" s="2250"/>
      <c r="DQ167" s="2277"/>
      <c r="DR167" s="2277"/>
      <c r="DS167" s="277"/>
      <c r="DW167" s="2275"/>
      <c r="DX167" s="2333">
        <v>97.1</v>
      </c>
      <c r="DY167" s="2336">
        <v>7.43</v>
      </c>
      <c r="DZ167" s="2336">
        <v>10.99</v>
      </c>
      <c r="EA167" s="2336">
        <v>21.09</v>
      </c>
      <c r="EB167" s="2336">
        <v>37.130000000000003</v>
      </c>
      <c r="EC167" s="2336">
        <v>58.32</v>
      </c>
      <c r="ED167" s="2336">
        <v>86.83</v>
      </c>
      <c r="EE167" s="2336">
        <v>125.25</v>
      </c>
      <c r="EF167" s="2336">
        <v>169.11</v>
      </c>
      <c r="EG167" s="2336">
        <v>232.18</v>
      </c>
      <c r="EH167" s="2336">
        <v>371.29</v>
      </c>
      <c r="EI167" s="2336">
        <v>550.69000000000005</v>
      </c>
      <c r="EJ167" s="2250"/>
      <c r="EK167" s="2250"/>
      <c r="EL167" s="2333">
        <v>97.1</v>
      </c>
      <c r="EM167" s="2336">
        <v>5.35</v>
      </c>
      <c r="EN167" s="2336">
        <v>8.02</v>
      </c>
      <c r="EO167" s="2336">
        <v>15.35</v>
      </c>
      <c r="EP167" s="2336">
        <v>26.93</v>
      </c>
      <c r="EQ167" s="2336">
        <v>42.38</v>
      </c>
      <c r="ER167" s="2336">
        <v>59.6</v>
      </c>
      <c r="ES167" s="2336">
        <v>89.6</v>
      </c>
      <c r="ET167" s="2336">
        <v>122.77</v>
      </c>
      <c r="EU167" s="2336">
        <v>168.61</v>
      </c>
      <c r="EV167" s="2336">
        <v>263.56</v>
      </c>
      <c r="EW167" s="2336">
        <v>393.37</v>
      </c>
      <c r="EX167" s="2250"/>
      <c r="EY167" s="2250"/>
      <c r="EZ167" s="2333">
        <v>97.1</v>
      </c>
      <c r="FA167" s="2336">
        <v>4.63</v>
      </c>
      <c r="FB167" s="2336">
        <v>6.77</v>
      </c>
      <c r="FC167" s="2336">
        <v>13.32</v>
      </c>
      <c r="FD167" s="2336">
        <v>21.9</v>
      </c>
      <c r="FE167" s="2336">
        <v>35.89</v>
      </c>
      <c r="FF167" s="2336">
        <v>45.49</v>
      </c>
      <c r="FG167" s="2336">
        <v>68.17</v>
      </c>
      <c r="FH167" s="2336">
        <v>96.61</v>
      </c>
      <c r="FI167" s="2336">
        <v>139.05000000000001</v>
      </c>
      <c r="FJ167" s="2336">
        <v>200.9</v>
      </c>
      <c r="FK167" s="2336">
        <v>299.20999999999998</v>
      </c>
      <c r="FL167" s="2250"/>
      <c r="FM167" s="2250"/>
      <c r="FN167" s="2333">
        <v>97.1</v>
      </c>
      <c r="FO167" s="2337">
        <v>2.67</v>
      </c>
      <c r="FP167" s="2337">
        <v>3.96</v>
      </c>
      <c r="FQ167" s="2337">
        <v>7.92</v>
      </c>
      <c r="FR167" s="2337">
        <v>12.57</v>
      </c>
      <c r="FS167" s="2337">
        <v>20.79</v>
      </c>
      <c r="FT167" s="2337">
        <v>25.94</v>
      </c>
      <c r="FU167" s="2337">
        <v>39.21</v>
      </c>
      <c r="FV167" s="2337">
        <v>55.35</v>
      </c>
      <c r="FW167" s="2337">
        <v>79.31</v>
      </c>
      <c r="FX167" s="2337">
        <v>115.15</v>
      </c>
      <c r="FY167" s="2337">
        <v>172.38</v>
      </c>
      <c r="FZ167" s="2250"/>
      <c r="GA167" s="2250"/>
      <c r="GB167" s="1302">
        <v>73.7</v>
      </c>
      <c r="GC167" s="1302">
        <v>78.2</v>
      </c>
      <c r="GD167" s="2250"/>
      <c r="GE167" s="2275"/>
      <c r="GF167" s="2333">
        <v>97.1</v>
      </c>
      <c r="GG167" s="2336">
        <v>7.43</v>
      </c>
      <c r="GH167" s="2336">
        <v>10.99</v>
      </c>
      <c r="GI167" s="2336">
        <v>21.09</v>
      </c>
      <c r="GJ167" s="2336">
        <v>37.130000000000003</v>
      </c>
      <c r="GK167" s="2336">
        <v>58.32</v>
      </c>
      <c r="GL167" s="2336">
        <v>86.83</v>
      </c>
      <c r="GM167" s="2336">
        <v>125.25</v>
      </c>
      <c r="GN167" s="2336">
        <v>169.11</v>
      </c>
      <c r="GO167" s="2336">
        <v>232.18</v>
      </c>
      <c r="GP167" s="2336">
        <v>371.29</v>
      </c>
      <c r="GQ167" s="2336">
        <v>550.69000000000005</v>
      </c>
      <c r="GR167" s="2250"/>
      <c r="GS167" s="2250"/>
      <c r="GT167" s="2333">
        <v>97.1</v>
      </c>
      <c r="GU167" s="2336">
        <v>5.35</v>
      </c>
      <c r="GV167" s="2336">
        <v>8.02</v>
      </c>
      <c r="GW167" s="2336">
        <v>15.35</v>
      </c>
      <c r="GX167" s="2336">
        <v>26.93</v>
      </c>
      <c r="GY167" s="2336">
        <v>42.38</v>
      </c>
      <c r="GZ167" s="2336">
        <v>59.6</v>
      </c>
      <c r="HA167" s="2336">
        <v>89.6</v>
      </c>
      <c r="HB167" s="2336">
        <v>122.77</v>
      </c>
      <c r="HC167" s="2336">
        <v>168.61</v>
      </c>
      <c r="HD167" s="2336">
        <v>263.56</v>
      </c>
      <c r="HE167" s="2336">
        <v>393.37</v>
      </c>
      <c r="HF167" s="2250"/>
      <c r="HG167" s="2250"/>
      <c r="HH167" s="2333">
        <v>97.1</v>
      </c>
      <c r="HI167" s="2336">
        <v>4.63</v>
      </c>
      <c r="HJ167" s="2336">
        <v>6.77</v>
      </c>
      <c r="HK167" s="2336">
        <v>13.32</v>
      </c>
      <c r="HL167" s="2336">
        <v>21.9</v>
      </c>
      <c r="HM167" s="2336">
        <v>35.89</v>
      </c>
      <c r="HN167" s="2336">
        <v>45.49</v>
      </c>
      <c r="HO167" s="2336">
        <v>68.17</v>
      </c>
      <c r="HP167" s="2336">
        <v>96.61</v>
      </c>
      <c r="HQ167" s="2336">
        <v>139.05000000000001</v>
      </c>
      <c r="HR167" s="2336">
        <v>200.9</v>
      </c>
      <c r="HS167" s="2336">
        <v>299.20999999999998</v>
      </c>
      <c r="HT167" s="2250"/>
      <c r="HU167" s="2250"/>
      <c r="HV167" s="2333">
        <v>97.1</v>
      </c>
      <c r="HW167" s="2337">
        <v>2.67</v>
      </c>
      <c r="HX167" s="2337">
        <v>3.96</v>
      </c>
      <c r="HY167" s="2337">
        <v>7.92</v>
      </c>
      <c r="HZ167" s="2337">
        <v>12.57</v>
      </c>
      <c r="IA167" s="2337">
        <v>20.79</v>
      </c>
      <c r="IB167" s="2337">
        <v>25.94</v>
      </c>
      <c r="IC167" s="2337">
        <v>39.21</v>
      </c>
      <c r="ID167" s="2337">
        <v>55.35</v>
      </c>
      <c r="IE167" s="2337">
        <v>79.31</v>
      </c>
      <c r="IF167" s="2337">
        <v>115.15</v>
      </c>
      <c r="IG167" s="2337">
        <v>172.38</v>
      </c>
      <c r="IH167" s="2250"/>
      <c r="II167" s="2250"/>
      <c r="IJ167" s="2250"/>
      <c r="IK167" s="2250"/>
      <c r="IL167" s="2250"/>
      <c r="IN167" s="277"/>
      <c r="IO167" s="277"/>
    </row>
    <row r="168" spans="1:249" ht="21.95" customHeight="1">
      <c r="A168" s="2275"/>
      <c r="B168" s="2333">
        <v>92.9</v>
      </c>
      <c r="C168" s="2336">
        <v>7.62</v>
      </c>
      <c r="D168" s="2336">
        <v>11.39</v>
      </c>
      <c r="E168" s="2336">
        <v>22.28</v>
      </c>
      <c r="F168" s="2336">
        <v>38.42</v>
      </c>
      <c r="G168" s="2336">
        <v>60.99</v>
      </c>
      <c r="H168" s="2336">
        <v>91.19</v>
      </c>
      <c r="I168" s="2336">
        <v>130.30000000000001</v>
      </c>
      <c r="J168" s="2336">
        <v>177.82</v>
      </c>
      <c r="K168" s="2336">
        <v>241.78</v>
      </c>
      <c r="L168" s="2336">
        <v>385.54</v>
      </c>
      <c r="M168" s="2336">
        <v>575.45000000000005</v>
      </c>
      <c r="N168" s="2250"/>
      <c r="O168" s="2250"/>
      <c r="P168" s="2333">
        <v>92.9</v>
      </c>
      <c r="Q168" s="2336">
        <v>5.54</v>
      </c>
      <c r="R168" s="2336">
        <v>8.32</v>
      </c>
      <c r="S168" s="2336">
        <v>16.239999999999998</v>
      </c>
      <c r="T168" s="2336">
        <v>27.82</v>
      </c>
      <c r="U168" s="2336">
        <v>44.46</v>
      </c>
      <c r="V168" s="2336">
        <v>62.57</v>
      </c>
      <c r="W168" s="2336">
        <v>90.59</v>
      </c>
      <c r="X168" s="2336">
        <v>129.6</v>
      </c>
      <c r="Y168" s="2336">
        <v>176.14</v>
      </c>
      <c r="Z168" s="2336">
        <v>275.05</v>
      </c>
      <c r="AA168" s="2336">
        <v>399.8</v>
      </c>
      <c r="AB168" s="2250"/>
      <c r="AC168" s="2250"/>
      <c r="AD168" s="2333">
        <v>92.9</v>
      </c>
      <c r="AE168" s="2336">
        <v>4.74</v>
      </c>
      <c r="AF168" s="2336">
        <v>7.11</v>
      </c>
      <c r="AG168" s="2336">
        <v>14</v>
      </c>
      <c r="AH168" s="2336">
        <v>23.7</v>
      </c>
      <c r="AI168" s="2336">
        <v>37.58</v>
      </c>
      <c r="AJ168" s="2336">
        <v>47.74</v>
      </c>
      <c r="AK168" s="2336">
        <v>69.069999999999993</v>
      </c>
      <c r="AL168" s="2336">
        <v>102.14</v>
      </c>
      <c r="AM168" s="2336">
        <v>140.41</v>
      </c>
      <c r="AN168" s="2336">
        <v>209.82</v>
      </c>
      <c r="AO168" s="2336">
        <v>305.08</v>
      </c>
      <c r="AP168" s="2250"/>
      <c r="AQ168" s="2250"/>
      <c r="AR168" s="2333">
        <v>92.9</v>
      </c>
      <c r="AS168" s="2337">
        <v>3.07</v>
      </c>
      <c r="AT168" s="2337">
        <v>4.3600000000000003</v>
      </c>
      <c r="AU168" s="2337">
        <v>8.51</v>
      </c>
      <c r="AV168" s="2337">
        <v>13.66</v>
      </c>
      <c r="AW168" s="2337">
        <v>21.78</v>
      </c>
      <c r="AX168" s="2337">
        <v>27.13</v>
      </c>
      <c r="AY168" s="2337">
        <v>39.409999999999997</v>
      </c>
      <c r="AZ168" s="2337">
        <v>59.01</v>
      </c>
      <c r="BA168" s="2337">
        <v>80.099999999999994</v>
      </c>
      <c r="BB168" s="2337">
        <v>119.8</v>
      </c>
      <c r="BC168" s="2337">
        <v>174.16</v>
      </c>
      <c r="BD168" s="2250"/>
      <c r="BE168" s="2250"/>
      <c r="BF168" s="1302">
        <v>78.2</v>
      </c>
      <c r="BG168" s="1302">
        <v>83.3</v>
      </c>
      <c r="BH168" s="2250"/>
      <c r="BI168" s="2275"/>
      <c r="BJ168" s="2333">
        <v>92.9</v>
      </c>
      <c r="BK168" s="2336">
        <v>7.62</v>
      </c>
      <c r="BL168" s="2336">
        <v>11.39</v>
      </c>
      <c r="BM168" s="2336">
        <v>22.28</v>
      </c>
      <c r="BN168" s="2336">
        <v>38.42</v>
      </c>
      <c r="BO168" s="2336">
        <v>60.99</v>
      </c>
      <c r="BP168" s="2336">
        <v>91.19</v>
      </c>
      <c r="BQ168" s="2336">
        <v>130.30000000000001</v>
      </c>
      <c r="BR168" s="2336">
        <v>177.82</v>
      </c>
      <c r="BS168" s="2336">
        <v>241.78</v>
      </c>
      <c r="BT168" s="2336">
        <v>385.54</v>
      </c>
      <c r="BU168" s="2336">
        <v>575.45000000000005</v>
      </c>
      <c r="BV168" s="2250"/>
      <c r="BW168" s="2250"/>
      <c r="BX168" s="2333">
        <v>92.9</v>
      </c>
      <c r="BY168" s="2336">
        <v>5.54</v>
      </c>
      <c r="BZ168" s="2336">
        <v>8.32</v>
      </c>
      <c r="CA168" s="2336">
        <v>16.239999999999998</v>
      </c>
      <c r="CB168" s="2336">
        <v>27.82</v>
      </c>
      <c r="CC168" s="2336">
        <v>44.46</v>
      </c>
      <c r="CD168" s="2336">
        <v>62.57</v>
      </c>
      <c r="CE168" s="2336">
        <v>90.59</v>
      </c>
      <c r="CF168" s="2336">
        <v>129.6</v>
      </c>
      <c r="CG168" s="2336">
        <v>176.14</v>
      </c>
      <c r="CH168" s="2336">
        <v>275.05</v>
      </c>
      <c r="CI168" s="2336">
        <v>399.8</v>
      </c>
      <c r="CJ168" s="2250"/>
      <c r="CK168" s="2250"/>
      <c r="CL168" s="2333">
        <v>92.9</v>
      </c>
      <c r="CM168" s="2336">
        <v>4.74</v>
      </c>
      <c r="CN168" s="2336">
        <v>7.11</v>
      </c>
      <c r="CO168" s="2336">
        <v>14</v>
      </c>
      <c r="CP168" s="2336">
        <v>23.7</v>
      </c>
      <c r="CQ168" s="2336">
        <v>37.58</v>
      </c>
      <c r="CR168" s="2336">
        <v>47.74</v>
      </c>
      <c r="CS168" s="2336">
        <v>69.069999999999993</v>
      </c>
      <c r="CT168" s="2336">
        <v>102.14</v>
      </c>
      <c r="CU168" s="2336">
        <v>140.41</v>
      </c>
      <c r="CV168" s="2336">
        <v>209.82</v>
      </c>
      <c r="CW168" s="2336">
        <v>305.08</v>
      </c>
      <c r="CX168" s="2250"/>
      <c r="CY168" s="2250"/>
      <c r="CZ168" s="2333">
        <v>92.9</v>
      </c>
      <c r="DA168" s="2337">
        <v>3.07</v>
      </c>
      <c r="DB168" s="2337">
        <v>4.3600000000000003</v>
      </c>
      <c r="DC168" s="2337">
        <v>8.51</v>
      </c>
      <c r="DD168" s="2337">
        <v>13.66</v>
      </c>
      <c r="DE168" s="2337">
        <v>21.78</v>
      </c>
      <c r="DF168" s="2337">
        <v>27.13</v>
      </c>
      <c r="DG168" s="2337">
        <v>39.409999999999997</v>
      </c>
      <c r="DH168" s="2337">
        <v>59.01</v>
      </c>
      <c r="DI168" s="2337">
        <v>80.099999999999994</v>
      </c>
      <c r="DJ168" s="2337">
        <v>119.8</v>
      </c>
      <c r="DK168" s="2337">
        <v>174.16</v>
      </c>
      <c r="DL168" s="2250"/>
      <c r="DM168" s="2250"/>
      <c r="DN168" s="2250"/>
      <c r="DO168" s="2250"/>
      <c r="DP168" s="2250"/>
      <c r="DQ168" s="2277"/>
      <c r="DR168" s="2277"/>
      <c r="DS168" s="277"/>
      <c r="DW168" s="2275"/>
      <c r="DX168" s="2333">
        <v>92.9</v>
      </c>
      <c r="DY168" s="2336">
        <v>7.62</v>
      </c>
      <c r="DZ168" s="2336">
        <v>11.39</v>
      </c>
      <c r="EA168" s="2336">
        <v>22.28</v>
      </c>
      <c r="EB168" s="2336">
        <v>38.42</v>
      </c>
      <c r="EC168" s="2336">
        <v>60.99</v>
      </c>
      <c r="ED168" s="2336">
        <v>91.19</v>
      </c>
      <c r="EE168" s="2336">
        <v>130.30000000000001</v>
      </c>
      <c r="EF168" s="2336">
        <v>177.82</v>
      </c>
      <c r="EG168" s="2336">
        <v>241.78</v>
      </c>
      <c r="EH168" s="2336">
        <v>385.54</v>
      </c>
      <c r="EI168" s="2336">
        <v>575.45000000000005</v>
      </c>
      <c r="EJ168" s="2250"/>
      <c r="EK168" s="2250"/>
      <c r="EL168" s="2333">
        <v>92.9</v>
      </c>
      <c r="EM168" s="2336">
        <v>5.54</v>
      </c>
      <c r="EN168" s="2336">
        <v>8.32</v>
      </c>
      <c r="EO168" s="2336">
        <v>16.239999999999998</v>
      </c>
      <c r="EP168" s="2336">
        <v>27.82</v>
      </c>
      <c r="EQ168" s="2336">
        <v>44.46</v>
      </c>
      <c r="ER168" s="2336">
        <v>62.57</v>
      </c>
      <c r="ES168" s="2336">
        <v>90.59</v>
      </c>
      <c r="ET168" s="2336">
        <v>129.6</v>
      </c>
      <c r="EU168" s="2336">
        <v>176.14</v>
      </c>
      <c r="EV168" s="2336">
        <v>275.05</v>
      </c>
      <c r="EW168" s="2336">
        <v>399.8</v>
      </c>
      <c r="EX168" s="2250"/>
      <c r="EY168" s="2250"/>
      <c r="EZ168" s="2333">
        <v>92.9</v>
      </c>
      <c r="FA168" s="2336">
        <v>4.74</v>
      </c>
      <c r="FB168" s="2336">
        <v>7.11</v>
      </c>
      <c r="FC168" s="2336">
        <v>14</v>
      </c>
      <c r="FD168" s="2336">
        <v>23.7</v>
      </c>
      <c r="FE168" s="2336">
        <v>37.58</v>
      </c>
      <c r="FF168" s="2336">
        <v>47.74</v>
      </c>
      <c r="FG168" s="2336">
        <v>69.069999999999993</v>
      </c>
      <c r="FH168" s="2336">
        <v>102.14</v>
      </c>
      <c r="FI168" s="2336">
        <v>140.41</v>
      </c>
      <c r="FJ168" s="2336">
        <v>209.82</v>
      </c>
      <c r="FK168" s="2336">
        <v>305.08</v>
      </c>
      <c r="FL168" s="2250"/>
      <c r="FM168" s="2250"/>
      <c r="FN168" s="2333">
        <v>92.9</v>
      </c>
      <c r="FO168" s="2337">
        <v>3.07</v>
      </c>
      <c r="FP168" s="2337">
        <v>4.3600000000000003</v>
      </c>
      <c r="FQ168" s="2337">
        <v>8.51</v>
      </c>
      <c r="FR168" s="2337">
        <v>13.66</v>
      </c>
      <c r="FS168" s="2337">
        <v>21.78</v>
      </c>
      <c r="FT168" s="2337">
        <v>27.13</v>
      </c>
      <c r="FU168" s="2337">
        <v>39.409999999999997</v>
      </c>
      <c r="FV168" s="2337">
        <v>59.01</v>
      </c>
      <c r="FW168" s="2337">
        <v>80.099999999999994</v>
      </c>
      <c r="FX168" s="2337">
        <v>119.8</v>
      </c>
      <c r="FY168" s="2337">
        <v>174.16</v>
      </c>
      <c r="FZ168" s="2250"/>
      <c r="GA168" s="2250"/>
      <c r="GB168" s="1302">
        <v>78.2</v>
      </c>
      <c r="GC168" s="1302">
        <v>83.3</v>
      </c>
      <c r="GD168" s="2250"/>
      <c r="GE168" s="2275"/>
      <c r="GF168" s="2333">
        <v>92.9</v>
      </c>
      <c r="GG168" s="2336">
        <v>7.62</v>
      </c>
      <c r="GH168" s="2336">
        <v>11.39</v>
      </c>
      <c r="GI168" s="2336">
        <v>22.28</v>
      </c>
      <c r="GJ168" s="2336">
        <v>38.42</v>
      </c>
      <c r="GK168" s="2336">
        <v>60.99</v>
      </c>
      <c r="GL168" s="2336">
        <v>91.19</v>
      </c>
      <c r="GM168" s="2336">
        <v>130.30000000000001</v>
      </c>
      <c r="GN168" s="2336">
        <v>177.82</v>
      </c>
      <c r="GO168" s="2336">
        <v>241.78</v>
      </c>
      <c r="GP168" s="2336">
        <v>385.54</v>
      </c>
      <c r="GQ168" s="2336">
        <v>575.45000000000005</v>
      </c>
      <c r="GR168" s="2250"/>
      <c r="GS168" s="2250"/>
      <c r="GT168" s="2333">
        <v>92.9</v>
      </c>
      <c r="GU168" s="2336">
        <v>5.54</v>
      </c>
      <c r="GV168" s="2336">
        <v>8.32</v>
      </c>
      <c r="GW168" s="2336">
        <v>16.239999999999998</v>
      </c>
      <c r="GX168" s="2336">
        <v>27.82</v>
      </c>
      <c r="GY168" s="2336">
        <v>44.46</v>
      </c>
      <c r="GZ168" s="2336">
        <v>62.57</v>
      </c>
      <c r="HA168" s="2336">
        <v>90.59</v>
      </c>
      <c r="HB168" s="2336">
        <v>129.6</v>
      </c>
      <c r="HC168" s="2336">
        <v>176.14</v>
      </c>
      <c r="HD168" s="2336">
        <v>275.05</v>
      </c>
      <c r="HE168" s="2336">
        <v>399.8</v>
      </c>
      <c r="HF168" s="2250"/>
      <c r="HG168" s="2250"/>
      <c r="HH168" s="2333">
        <v>92.9</v>
      </c>
      <c r="HI168" s="2336">
        <v>4.74</v>
      </c>
      <c r="HJ168" s="2336">
        <v>7.11</v>
      </c>
      <c r="HK168" s="2336">
        <v>14</v>
      </c>
      <c r="HL168" s="2336">
        <v>23.7</v>
      </c>
      <c r="HM168" s="2336">
        <v>37.58</v>
      </c>
      <c r="HN168" s="2336">
        <v>47.74</v>
      </c>
      <c r="HO168" s="2336">
        <v>69.069999999999993</v>
      </c>
      <c r="HP168" s="2336">
        <v>102.14</v>
      </c>
      <c r="HQ168" s="2336">
        <v>140.41</v>
      </c>
      <c r="HR168" s="2336">
        <v>209.82</v>
      </c>
      <c r="HS168" s="2336">
        <v>305.08</v>
      </c>
      <c r="HT168" s="2250"/>
      <c r="HU168" s="2250"/>
      <c r="HV168" s="2333">
        <v>92.9</v>
      </c>
      <c r="HW168" s="2337">
        <v>3.07</v>
      </c>
      <c r="HX168" s="2337">
        <v>4.3600000000000003</v>
      </c>
      <c r="HY168" s="2337">
        <v>8.51</v>
      </c>
      <c r="HZ168" s="2337">
        <v>13.66</v>
      </c>
      <c r="IA168" s="2337">
        <v>21.78</v>
      </c>
      <c r="IB168" s="2337">
        <v>27.13</v>
      </c>
      <c r="IC168" s="2337">
        <v>39.409999999999997</v>
      </c>
      <c r="ID168" s="2337">
        <v>59.01</v>
      </c>
      <c r="IE168" s="2337">
        <v>80.099999999999994</v>
      </c>
      <c r="IF168" s="2337">
        <v>119.8</v>
      </c>
      <c r="IG168" s="2337">
        <v>174.16</v>
      </c>
      <c r="IH168" s="2250"/>
      <c r="II168" s="2250"/>
      <c r="IJ168" s="2250"/>
      <c r="IK168" s="2250"/>
      <c r="IL168" s="2250"/>
      <c r="IN168" s="277"/>
      <c r="IO168" s="277"/>
    </row>
    <row r="169" spans="1:249" ht="21.95" customHeight="1">
      <c r="A169" s="2275"/>
      <c r="B169" s="2333">
        <v>88.2</v>
      </c>
      <c r="C169" s="2336">
        <v>8.02</v>
      </c>
      <c r="D169" s="2336">
        <v>11.98</v>
      </c>
      <c r="E169" s="2336">
        <v>23.37</v>
      </c>
      <c r="F169" s="2336">
        <v>40.4</v>
      </c>
      <c r="G169" s="2336">
        <v>64.16</v>
      </c>
      <c r="H169" s="2336">
        <v>92.38</v>
      </c>
      <c r="I169" s="2336">
        <v>136.34</v>
      </c>
      <c r="J169" s="2336">
        <v>186.93</v>
      </c>
      <c r="K169" s="2336">
        <v>253.96</v>
      </c>
      <c r="L169" s="2336">
        <v>399.6</v>
      </c>
      <c r="M169" s="2336">
        <v>582.38</v>
      </c>
      <c r="N169" s="2250"/>
      <c r="O169" s="2250"/>
      <c r="P169" s="2333">
        <v>88.2</v>
      </c>
      <c r="Q169" s="2336">
        <v>5.84</v>
      </c>
      <c r="R169" s="2336">
        <v>8.7100000000000009</v>
      </c>
      <c r="S169" s="2336">
        <v>17.03</v>
      </c>
      <c r="T169" s="2336">
        <v>29.41</v>
      </c>
      <c r="U169" s="2336">
        <v>46.73</v>
      </c>
      <c r="V169" s="2336">
        <v>63.37</v>
      </c>
      <c r="W169" s="2336">
        <v>90.79</v>
      </c>
      <c r="X169" s="2336">
        <v>131.38999999999999</v>
      </c>
      <c r="Y169" s="2336">
        <v>185.05</v>
      </c>
      <c r="Z169" s="2336">
        <v>284.64999999999998</v>
      </c>
      <c r="AA169" s="2336">
        <v>427.92</v>
      </c>
      <c r="AB169" s="2250"/>
      <c r="AC169" s="2250"/>
      <c r="AD169" s="2333">
        <v>88.2</v>
      </c>
      <c r="AE169" s="2336">
        <v>5.08</v>
      </c>
      <c r="AF169" s="2336">
        <v>7.56</v>
      </c>
      <c r="AG169" s="2336">
        <v>14.33</v>
      </c>
      <c r="AH169" s="2336">
        <v>23.93</v>
      </c>
      <c r="AI169" s="2336">
        <v>36.909999999999997</v>
      </c>
      <c r="AJ169" s="2336">
        <v>48.31</v>
      </c>
      <c r="AK169" s="2336">
        <v>69.41</v>
      </c>
      <c r="AL169" s="2336">
        <v>100.23</v>
      </c>
      <c r="AM169" s="2336">
        <v>147.18</v>
      </c>
      <c r="AN169" s="2336">
        <v>217.38</v>
      </c>
      <c r="AO169" s="2336">
        <v>319.3</v>
      </c>
      <c r="AP169" s="2250"/>
      <c r="AQ169" s="2250"/>
      <c r="AR169" s="2333">
        <v>88.2</v>
      </c>
      <c r="AS169" s="2337">
        <v>3.07</v>
      </c>
      <c r="AT169" s="2337">
        <v>4.3600000000000003</v>
      </c>
      <c r="AU169" s="2337">
        <v>8.2200000000000006</v>
      </c>
      <c r="AV169" s="2337">
        <v>13.66</v>
      </c>
      <c r="AW169" s="2337">
        <v>21.09</v>
      </c>
      <c r="AX169" s="2337">
        <v>27.72</v>
      </c>
      <c r="AY169" s="2337">
        <v>39.700000000000003</v>
      </c>
      <c r="AZ169" s="2337">
        <v>57.33</v>
      </c>
      <c r="BA169" s="2337">
        <v>84.16</v>
      </c>
      <c r="BB169" s="2337">
        <v>123.76</v>
      </c>
      <c r="BC169" s="2337">
        <v>182.97</v>
      </c>
      <c r="BD169" s="2250"/>
      <c r="BE169" s="2250"/>
      <c r="BF169" s="1302">
        <v>83.3</v>
      </c>
      <c r="BG169" s="1302">
        <v>88.2</v>
      </c>
      <c r="BH169" s="2250"/>
      <c r="BI169" s="2275"/>
      <c r="BJ169" s="2333">
        <v>88.2</v>
      </c>
      <c r="BK169" s="2336">
        <v>8.02</v>
      </c>
      <c r="BL169" s="2336">
        <v>11.98</v>
      </c>
      <c r="BM169" s="2336">
        <v>23.37</v>
      </c>
      <c r="BN169" s="2336">
        <v>40.4</v>
      </c>
      <c r="BO169" s="2336">
        <v>64.16</v>
      </c>
      <c r="BP169" s="2336">
        <v>92.38</v>
      </c>
      <c r="BQ169" s="2336">
        <v>136.34</v>
      </c>
      <c r="BR169" s="2336">
        <v>186.93</v>
      </c>
      <c r="BS169" s="2336">
        <v>253.96</v>
      </c>
      <c r="BT169" s="2336">
        <v>399.6</v>
      </c>
      <c r="BU169" s="2336">
        <v>582.38</v>
      </c>
      <c r="BV169" s="2250"/>
      <c r="BW169" s="2250"/>
      <c r="BX169" s="2333">
        <v>88.2</v>
      </c>
      <c r="BY169" s="2336">
        <v>5.84</v>
      </c>
      <c r="BZ169" s="2336">
        <v>8.7100000000000009</v>
      </c>
      <c r="CA169" s="2336">
        <v>17.03</v>
      </c>
      <c r="CB169" s="2336">
        <v>29.41</v>
      </c>
      <c r="CC169" s="2336">
        <v>46.73</v>
      </c>
      <c r="CD169" s="2336">
        <v>63.37</v>
      </c>
      <c r="CE169" s="2336">
        <v>90.79</v>
      </c>
      <c r="CF169" s="2336">
        <v>131.38999999999999</v>
      </c>
      <c r="CG169" s="2336">
        <v>185.05</v>
      </c>
      <c r="CH169" s="2336">
        <v>284.64999999999998</v>
      </c>
      <c r="CI169" s="2336">
        <v>427.92</v>
      </c>
      <c r="CJ169" s="2250"/>
      <c r="CK169" s="2250"/>
      <c r="CL169" s="2333">
        <v>88.2</v>
      </c>
      <c r="CM169" s="2336">
        <v>5.08</v>
      </c>
      <c r="CN169" s="2336">
        <v>7.56</v>
      </c>
      <c r="CO169" s="2336">
        <v>14.33</v>
      </c>
      <c r="CP169" s="2336">
        <v>23.93</v>
      </c>
      <c r="CQ169" s="2336">
        <v>36.909999999999997</v>
      </c>
      <c r="CR169" s="2336">
        <v>48.31</v>
      </c>
      <c r="CS169" s="2336">
        <v>69.41</v>
      </c>
      <c r="CT169" s="2336">
        <v>100.23</v>
      </c>
      <c r="CU169" s="2336">
        <v>147.18</v>
      </c>
      <c r="CV169" s="2336">
        <v>217.38</v>
      </c>
      <c r="CW169" s="2336">
        <v>319.3</v>
      </c>
      <c r="CX169" s="2250"/>
      <c r="CY169" s="2250"/>
      <c r="CZ169" s="2333">
        <v>88.2</v>
      </c>
      <c r="DA169" s="2337">
        <v>3.07</v>
      </c>
      <c r="DB169" s="2337">
        <v>4.3600000000000003</v>
      </c>
      <c r="DC169" s="2337">
        <v>8.2200000000000006</v>
      </c>
      <c r="DD169" s="2337">
        <v>13.66</v>
      </c>
      <c r="DE169" s="2337">
        <v>21.09</v>
      </c>
      <c r="DF169" s="2337">
        <v>27.72</v>
      </c>
      <c r="DG169" s="2337">
        <v>39.700000000000003</v>
      </c>
      <c r="DH169" s="2337">
        <v>57.33</v>
      </c>
      <c r="DI169" s="2337">
        <v>84.16</v>
      </c>
      <c r="DJ169" s="2337">
        <v>123.76</v>
      </c>
      <c r="DK169" s="2337">
        <v>182.97</v>
      </c>
      <c r="DL169" s="2250"/>
      <c r="DM169" s="2250"/>
      <c r="DN169" s="2250"/>
      <c r="DO169" s="2250"/>
      <c r="DP169" s="2250"/>
      <c r="DQ169" s="2277"/>
      <c r="DR169" s="2277"/>
      <c r="DS169" s="277"/>
      <c r="DW169" s="2275"/>
      <c r="DX169" s="2333">
        <v>88.2</v>
      </c>
      <c r="DY169" s="2336">
        <v>8.02</v>
      </c>
      <c r="DZ169" s="2336">
        <v>11.98</v>
      </c>
      <c r="EA169" s="2336">
        <v>23.37</v>
      </c>
      <c r="EB169" s="2336">
        <v>40.4</v>
      </c>
      <c r="EC169" s="2336">
        <v>64.16</v>
      </c>
      <c r="ED169" s="2336">
        <v>92.38</v>
      </c>
      <c r="EE169" s="2336">
        <v>136.34</v>
      </c>
      <c r="EF169" s="2336">
        <v>186.93</v>
      </c>
      <c r="EG169" s="2336">
        <v>253.96</v>
      </c>
      <c r="EH169" s="2336">
        <v>399.6</v>
      </c>
      <c r="EI169" s="2336">
        <v>582.38</v>
      </c>
      <c r="EJ169" s="2250"/>
      <c r="EK169" s="2250"/>
      <c r="EL169" s="2333">
        <v>88.2</v>
      </c>
      <c r="EM169" s="2336">
        <v>5.84</v>
      </c>
      <c r="EN169" s="2336">
        <v>8.7100000000000009</v>
      </c>
      <c r="EO169" s="2336">
        <v>17.03</v>
      </c>
      <c r="EP169" s="2336">
        <v>29.41</v>
      </c>
      <c r="EQ169" s="2336">
        <v>46.73</v>
      </c>
      <c r="ER169" s="2336">
        <v>63.37</v>
      </c>
      <c r="ES169" s="2336">
        <v>90.79</v>
      </c>
      <c r="ET169" s="2336">
        <v>131.38999999999999</v>
      </c>
      <c r="EU169" s="2336">
        <v>185.05</v>
      </c>
      <c r="EV169" s="2336">
        <v>284.64999999999998</v>
      </c>
      <c r="EW169" s="2336">
        <v>427.92</v>
      </c>
      <c r="EX169" s="2250"/>
      <c r="EY169" s="2250"/>
      <c r="EZ169" s="2333">
        <v>88.2</v>
      </c>
      <c r="FA169" s="2336">
        <v>5.08</v>
      </c>
      <c r="FB169" s="2336">
        <v>7.56</v>
      </c>
      <c r="FC169" s="2336">
        <v>14.33</v>
      </c>
      <c r="FD169" s="2336">
        <v>23.93</v>
      </c>
      <c r="FE169" s="2336">
        <v>36.909999999999997</v>
      </c>
      <c r="FF169" s="2336">
        <v>48.31</v>
      </c>
      <c r="FG169" s="2336">
        <v>69.41</v>
      </c>
      <c r="FH169" s="2336">
        <v>100.23</v>
      </c>
      <c r="FI169" s="2336">
        <v>147.18</v>
      </c>
      <c r="FJ169" s="2336">
        <v>217.38</v>
      </c>
      <c r="FK169" s="2336">
        <v>319.3</v>
      </c>
      <c r="FL169" s="2250"/>
      <c r="FM169" s="2250"/>
      <c r="FN169" s="2333">
        <v>88.2</v>
      </c>
      <c r="FO169" s="2337">
        <v>3.07</v>
      </c>
      <c r="FP169" s="2337">
        <v>4.3600000000000003</v>
      </c>
      <c r="FQ169" s="2337">
        <v>8.2200000000000006</v>
      </c>
      <c r="FR169" s="2337">
        <v>13.66</v>
      </c>
      <c r="FS169" s="2337">
        <v>21.09</v>
      </c>
      <c r="FT169" s="2337">
        <v>27.72</v>
      </c>
      <c r="FU169" s="2337">
        <v>39.700000000000003</v>
      </c>
      <c r="FV169" s="2337">
        <v>57.33</v>
      </c>
      <c r="FW169" s="2337">
        <v>84.16</v>
      </c>
      <c r="FX169" s="2337">
        <v>123.76</v>
      </c>
      <c r="FY169" s="2337">
        <v>182.97</v>
      </c>
      <c r="FZ169" s="2250"/>
      <c r="GA169" s="2250"/>
      <c r="GB169" s="1302">
        <v>83.3</v>
      </c>
      <c r="GC169" s="1302">
        <v>88.2</v>
      </c>
      <c r="GD169" s="2250"/>
      <c r="GE169" s="2275"/>
      <c r="GF169" s="2333">
        <v>88.2</v>
      </c>
      <c r="GG169" s="2336">
        <v>8.02</v>
      </c>
      <c r="GH169" s="2336">
        <v>11.98</v>
      </c>
      <c r="GI169" s="2336">
        <v>23.37</v>
      </c>
      <c r="GJ169" s="2336">
        <v>40.4</v>
      </c>
      <c r="GK169" s="2336">
        <v>64.16</v>
      </c>
      <c r="GL169" s="2336">
        <v>92.38</v>
      </c>
      <c r="GM169" s="2336">
        <v>136.34</v>
      </c>
      <c r="GN169" s="2336">
        <v>186.93</v>
      </c>
      <c r="GO169" s="2336">
        <v>253.96</v>
      </c>
      <c r="GP169" s="2336">
        <v>399.6</v>
      </c>
      <c r="GQ169" s="2336">
        <v>582.38</v>
      </c>
      <c r="GR169" s="2250"/>
      <c r="GS169" s="2250"/>
      <c r="GT169" s="2333">
        <v>88.2</v>
      </c>
      <c r="GU169" s="2336">
        <v>5.84</v>
      </c>
      <c r="GV169" s="2336">
        <v>8.7100000000000009</v>
      </c>
      <c r="GW169" s="2336">
        <v>17.03</v>
      </c>
      <c r="GX169" s="2336">
        <v>29.41</v>
      </c>
      <c r="GY169" s="2336">
        <v>46.73</v>
      </c>
      <c r="GZ169" s="2336">
        <v>63.37</v>
      </c>
      <c r="HA169" s="2336">
        <v>90.79</v>
      </c>
      <c r="HB169" s="2336">
        <v>131.38999999999999</v>
      </c>
      <c r="HC169" s="2336">
        <v>185.05</v>
      </c>
      <c r="HD169" s="2336">
        <v>284.64999999999998</v>
      </c>
      <c r="HE169" s="2336">
        <v>427.92</v>
      </c>
      <c r="HF169" s="2250"/>
      <c r="HG169" s="2250"/>
      <c r="HH169" s="2333">
        <v>88.2</v>
      </c>
      <c r="HI169" s="2336">
        <v>5.08</v>
      </c>
      <c r="HJ169" s="2336">
        <v>7.56</v>
      </c>
      <c r="HK169" s="2336">
        <v>14.33</v>
      </c>
      <c r="HL169" s="2336">
        <v>23.93</v>
      </c>
      <c r="HM169" s="2336">
        <v>36.909999999999997</v>
      </c>
      <c r="HN169" s="2336">
        <v>48.31</v>
      </c>
      <c r="HO169" s="2336">
        <v>69.41</v>
      </c>
      <c r="HP169" s="2336">
        <v>100.23</v>
      </c>
      <c r="HQ169" s="2336">
        <v>147.18</v>
      </c>
      <c r="HR169" s="2336">
        <v>217.38</v>
      </c>
      <c r="HS169" s="2336">
        <v>319.3</v>
      </c>
      <c r="HT169" s="2250"/>
      <c r="HU169" s="2250"/>
      <c r="HV169" s="2333">
        <v>88.2</v>
      </c>
      <c r="HW169" s="2337">
        <v>3.07</v>
      </c>
      <c r="HX169" s="2337">
        <v>4.3600000000000003</v>
      </c>
      <c r="HY169" s="2337">
        <v>8.2200000000000006</v>
      </c>
      <c r="HZ169" s="2337">
        <v>13.66</v>
      </c>
      <c r="IA169" s="2337">
        <v>21.09</v>
      </c>
      <c r="IB169" s="2337">
        <v>27.72</v>
      </c>
      <c r="IC169" s="2337">
        <v>39.700000000000003</v>
      </c>
      <c r="ID169" s="2337">
        <v>57.33</v>
      </c>
      <c r="IE169" s="2337">
        <v>84.16</v>
      </c>
      <c r="IF169" s="2337">
        <v>123.76</v>
      </c>
      <c r="IG169" s="2337">
        <v>182.97</v>
      </c>
      <c r="IH169" s="2250"/>
      <c r="II169" s="2250"/>
      <c r="IJ169" s="2250"/>
      <c r="IK169" s="2250"/>
      <c r="IL169" s="2250"/>
      <c r="IN169" s="277"/>
      <c r="IO169" s="277"/>
    </row>
    <row r="170" spans="1:249" ht="21.95" customHeight="1">
      <c r="A170" s="2275"/>
      <c r="B170" s="2333">
        <v>83.3</v>
      </c>
      <c r="C170" s="2336">
        <v>8.42</v>
      </c>
      <c r="D170" s="2336">
        <v>12.38</v>
      </c>
      <c r="E170" s="2336">
        <v>24.06</v>
      </c>
      <c r="F170" s="2336">
        <v>42.57</v>
      </c>
      <c r="G170" s="2336">
        <v>66.14</v>
      </c>
      <c r="H170" s="2336">
        <v>100.3</v>
      </c>
      <c r="I170" s="2336">
        <v>143.76</v>
      </c>
      <c r="J170" s="2336">
        <v>192.97</v>
      </c>
      <c r="K170" s="2336">
        <v>267.92</v>
      </c>
      <c r="L170" s="2336">
        <v>420.79</v>
      </c>
      <c r="M170" s="2336">
        <v>621.19000000000005</v>
      </c>
      <c r="N170" s="2250"/>
      <c r="O170" s="2250"/>
      <c r="P170" s="2333">
        <v>83.3</v>
      </c>
      <c r="Q170" s="2336">
        <v>6.14</v>
      </c>
      <c r="R170" s="2336">
        <v>9.01</v>
      </c>
      <c r="S170" s="2336">
        <v>17.52</v>
      </c>
      <c r="T170" s="2336">
        <v>30.99</v>
      </c>
      <c r="U170" s="2336">
        <v>48.12</v>
      </c>
      <c r="V170" s="2336">
        <v>65.84</v>
      </c>
      <c r="W170" s="2336">
        <v>95.35</v>
      </c>
      <c r="X170" s="2336">
        <v>140.30000000000001</v>
      </c>
      <c r="Y170" s="2336">
        <v>194.85</v>
      </c>
      <c r="Z170" s="2336">
        <v>298.42</v>
      </c>
      <c r="AA170" s="2336">
        <v>443.66</v>
      </c>
      <c r="AB170" s="2250"/>
      <c r="AC170" s="2250"/>
      <c r="AD170" s="2333">
        <v>83.3</v>
      </c>
      <c r="AE170" s="2336">
        <v>5.3</v>
      </c>
      <c r="AF170" s="2336">
        <v>7.79</v>
      </c>
      <c r="AG170" s="2336">
        <v>15.12</v>
      </c>
      <c r="AH170" s="2336">
        <v>25.17</v>
      </c>
      <c r="AI170" s="2336">
        <v>39.5</v>
      </c>
      <c r="AJ170" s="2336">
        <v>49.89</v>
      </c>
      <c r="AK170" s="2336">
        <v>72.69</v>
      </c>
      <c r="AL170" s="2336">
        <v>107.34</v>
      </c>
      <c r="AM170" s="2336">
        <v>154.85</v>
      </c>
      <c r="AN170" s="2336">
        <v>227.43</v>
      </c>
      <c r="AO170" s="2336">
        <v>339.39</v>
      </c>
      <c r="AP170" s="2250"/>
      <c r="AQ170" s="2250"/>
      <c r="AR170" s="2333">
        <v>83.3</v>
      </c>
      <c r="AS170" s="2337">
        <v>3.17</v>
      </c>
      <c r="AT170" s="2337">
        <v>4.75</v>
      </c>
      <c r="AU170" s="2337">
        <v>8.81</v>
      </c>
      <c r="AV170" s="2337">
        <v>14.36</v>
      </c>
      <c r="AW170" s="2337">
        <v>22.67</v>
      </c>
      <c r="AX170" s="2337">
        <v>28.51</v>
      </c>
      <c r="AY170" s="2337">
        <v>41.78</v>
      </c>
      <c r="AZ170" s="2337">
        <v>61.49</v>
      </c>
      <c r="BA170" s="2337">
        <v>88.12</v>
      </c>
      <c r="BB170" s="2337">
        <v>129.5</v>
      </c>
      <c r="BC170" s="2337">
        <v>144.46</v>
      </c>
      <c r="BD170" s="2250"/>
      <c r="BE170" s="2250"/>
      <c r="BF170" s="1302">
        <v>88.2</v>
      </c>
      <c r="BG170" s="1302">
        <v>92.9</v>
      </c>
      <c r="BH170" s="2250"/>
      <c r="BI170" s="2275"/>
      <c r="BJ170" s="2333">
        <v>83.3</v>
      </c>
      <c r="BK170" s="2336">
        <v>8.42</v>
      </c>
      <c r="BL170" s="2336">
        <v>12.38</v>
      </c>
      <c r="BM170" s="2336">
        <v>24.06</v>
      </c>
      <c r="BN170" s="2336">
        <v>42.57</v>
      </c>
      <c r="BO170" s="2336">
        <v>66.14</v>
      </c>
      <c r="BP170" s="2336">
        <v>100.3</v>
      </c>
      <c r="BQ170" s="2336">
        <v>143.76</v>
      </c>
      <c r="BR170" s="2336">
        <v>192.97</v>
      </c>
      <c r="BS170" s="2336">
        <v>267.92</v>
      </c>
      <c r="BT170" s="2336">
        <v>420.79</v>
      </c>
      <c r="BU170" s="2336">
        <v>621.19000000000005</v>
      </c>
      <c r="BV170" s="2250"/>
      <c r="BW170" s="2250"/>
      <c r="BX170" s="2333">
        <v>83.3</v>
      </c>
      <c r="BY170" s="2336">
        <v>6.14</v>
      </c>
      <c r="BZ170" s="2336">
        <v>9.01</v>
      </c>
      <c r="CA170" s="2336">
        <v>17.52</v>
      </c>
      <c r="CB170" s="2336">
        <v>30.99</v>
      </c>
      <c r="CC170" s="2336">
        <v>48.12</v>
      </c>
      <c r="CD170" s="2336">
        <v>65.84</v>
      </c>
      <c r="CE170" s="2336">
        <v>95.35</v>
      </c>
      <c r="CF170" s="2336">
        <v>140.30000000000001</v>
      </c>
      <c r="CG170" s="2336">
        <v>194.85</v>
      </c>
      <c r="CH170" s="2336">
        <v>298.42</v>
      </c>
      <c r="CI170" s="2336">
        <v>443.66</v>
      </c>
      <c r="CJ170" s="2250"/>
      <c r="CK170" s="2250"/>
      <c r="CL170" s="2333">
        <v>83.3</v>
      </c>
      <c r="CM170" s="2336">
        <v>5.3</v>
      </c>
      <c r="CN170" s="2336">
        <v>7.79</v>
      </c>
      <c r="CO170" s="2336">
        <v>15.12</v>
      </c>
      <c r="CP170" s="2336">
        <v>25.17</v>
      </c>
      <c r="CQ170" s="2336">
        <v>39.5</v>
      </c>
      <c r="CR170" s="2336">
        <v>49.89</v>
      </c>
      <c r="CS170" s="2336">
        <v>72.69</v>
      </c>
      <c r="CT170" s="2336">
        <v>107.34</v>
      </c>
      <c r="CU170" s="2336">
        <v>154.85</v>
      </c>
      <c r="CV170" s="2336">
        <v>227.43</v>
      </c>
      <c r="CW170" s="2336">
        <v>339.39</v>
      </c>
      <c r="CX170" s="2250"/>
      <c r="CY170" s="2250"/>
      <c r="CZ170" s="2333">
        <v>83.3</v>
      </c>
      <c r="DA170" s="2337">
        <v>3.17</v>
      </c>
      <c r="DB170" s="2337">
        <v>4.75</v>
      </c>
      <c r="DC170" s="2337">
        <v>8.81</v>
      </c>
      <c r="DD170" s="2337">
        <v>14.36</v>
      </c>
      <c r="DE170" s="2337">
        <v>22.67</v>
      </c>
      <c r="DF170" s="2337">
        <v>28.51</v>
      </c>
      <c r="DG170" s="2337">
        <v>41.78</v>
      </c>
      <c r="DH170" s="2337">
        <v>61.49</v>
      </c>
      <c r="DI170" s="2337">
        <v>88.12</v>
      </c>
      <c r="DJ170" s="2337">
        <v>129.5</v>
      </c>
      <c r="DK170" s="2337">
        <v>144.46</v>
      </c>
      <c r="DL170" s="2250"/>
      <c r="DM170" s="2250"/>
      <c r="DN170" s="2250"/>
      <c r="DO170" s="2250"/>
      <c r="DP170" s="2250"/>
      <c r="DQ170" s="2277"/>
      <c r="DR170" s="2277"/>
      <c r="DS170" s="277"/>
      <c r="DW170" s="2275"/>
      <c r="DX170" s="2333">
        <v>83.3</v>
      </c>
      <c r="DY170" s="2336">
        <v>8.42</v>
      </c>
      <c r="DZ170" s="2336">
        <v>12.38</v>
      </c>
      <c r="EA170" s="2336">
        <v>24.06</v>
      </c>
      <c r="EB170" s="2336">
        <v>42.57</v>
      </c>
      <c r="EC170" s="2336">
        <v>66.14</v>
      </c>
      <c r="ED170" s="2336">
        <v>100.3</v>
      </c>
      <c r="EE170" s="2336">
        <v>143.76</v>
      </c>
      <c r="EF170" s="2336">
        <v>192.97</v>
      </c>
      <c r="EG170" s="2336">
        <v>267.92</v>
      </c>
      <c r="EH170" s="2336">
        <v>420.79</v>
      </c>
      <c r="EI170" s="2336">
        <v>621.19000000000005</v>
      </c>
      <c r="EJ170" s="2250"/>
      <c r="EK170" s="2250"/>
      <c r="EL170" s="2333">
        <v>83.3</v>
      </c>
      <c r="EM170" s="2336">
        <v>6.14</v>
      </c>
      <c r="EN170" s="2336">
        <v>9.01</v>
      </c>
      <c r="EO170" s="2336">
        <v>17.52</v>
      </c>
      <c r="EP170" s="2336">
        <v>30.99</v>
      </c>
      <c r="EQ170" s="2336">
        <v>48.12</v>
      </c>
      <c r="ER170" s="2336">
        <v>65.84</v>
      </c>
      <c r="ES170" s="2336">
        <v>95.35</v>
      </c>
      <c r="ET170" s="2336">
        <v>140.30000000000001</v>
      </c>
      <c r="EU170" s="2336">
        <v>194.85</v>
      </c>
      <c r="EV170" s="2336">
        <v>298.42</v>
      </c>
      <c r="EW170" s="2336">
        <v>443.66</v>
      </c>
      <c r="EX170" s="2250"/>
      <c r="EY170" s="2250"/>
      <c r="EZ170" s="2333">
        <v>83.3</v>
      </c>
      <c r="FA170" s="2336">
        <v>5.3</v>
      </c>
      <c r="FB170" s="2336">
        <v>7.79</v>
      </c>
      <c r="FC170" s="2336">
        <v>15.12</v>
      </c>
      <c r="FD170" s="2336">
        <v>25.17</v>
      </c>
      <c r="FE170" s="2336">
        <v>39.5</v>
      </c>
      <c r="FF170" s="2336">
        <v>49.89</v>
      </c>
      <c r="FG170" s="2336">
        <v>72.69</v>
      </c>
      <c r="FH170" s="2336">
        <v>107.34</v>
      </c>
      <c r="FI170" s="2336">
        <v>154.85</v>
      </c>
      <c r="FJ170" s="2336">
        <v>227.43</v>
      </c>
      <c r="FK170" s="2336">
        <v>339.39</v>
      </c>
      <c r="FL170" s="2250"/>
      <c r="FM170" s="2250"/>
      <c r="FN170" s="2333">
        <v>83.3</v>
      </c>
      <c r="FO170" s="2337">
        <v>3.17</v>
      </c>
      <c r="FP170" s="2337">
        <v>4.75</v>
      </c>
      <c r="FQ170" s="2337">
        <v>8.81</v>
      </c>
      <c r="FR170" s="2337">
        <v>14.36</v>
      </c>
      <c r="FS170" s="2337">
        <v>22.67</v>
      </c>
      <c r="FT170" s="2337">
        <v>28.51</v>
      </c>
      <c r="FU170" s="2337">
        <v>41.78</v>
      </c>
      <c r="FV170" s="2337">
        <v>61.49</v>
      </c>
      <c r="FW170" s="2337">
        <v>88.12</v>
      </c>
      <c r="FX170" s="2337">
        <v>129.5</v>
      </c>
      <c r="FY170" s="2337">
        <v>144.46</v>
      </c>
      <c r="FZ170" s="2250"/>
      <c r="GA170" s="2250"/>
      <c r="GB170" s="1302">
        <v>88.2</v>
      </c>
      <c r="GC170" s="1302">
        <v>92.9</v>
      </c>
      <c r="GD170" s="2250"/>
      <c r="GE170" s="2275"/>
      <c r="GF170" s="2333">
        <v>83.3</v>
      </c>
      <c r="GG170" s="2336">
        <v>8.42</v>
      </c>
      <c r="GH170" s="2336">
        <v>12.38</v>
      </c>
      <c r="GI170" s="2336">
        <v>24.06</v>
      </c>
      <c r="GJ170" s="2336">
        <v>42.57</v>
      </c>
      <c r="GK170" s="2336">
        <v>66.14</v>
      </c>
      <c r="GL170" s="2336">
        <v>100.3</v>
      </c>
      <c r="GM170" s="2336">
        <v>143.76</v>
      </c>
      <c r="GN170" s="2336">
        <v>192.97</v>
      </c>
      <c r="GO170" s="2336">
        <v>267.92</v>
      </c>
      <c r="GP170" s="2336">
        <v>420.79</v>
      </c>
      <c r="GQ170" s="2336">
        <v>621.19000000000005</v>
      </c>
      <c r="GR170" s="2250"/>
      <c r="GS170" s="2250"/>
      <c r="GT170" s="2333">
        <v>83.3</v>
      </c>
      <c r="GU170" s="2336">
        <v>6.14</v>
      </c>
      <c r="GV170" s="2336">
        <v>9.01</v>
      </c>
      <c r="GW170" s="2336">
        <v>17.52</v>
      </c>
      <c r="GX170" s="2336">
        <v>30.99</v>
      </c>
      <c r="GY170" s="2336">
        <v>48.12</v>
      </c>
      <c r="GZ170" s="2336">
        <v>65.84</v>
      </c>
      <c r="HA170" s="2336">
        <v>95.35</v>
      </c>
      <c r="HB170" s="2336">
        <v>140.30000000000001</v>
      </c>
      <c r="HC170" s="2336">
        <v>194.85</v>
      </c>
      <c r="HD170" s="2336">
        <v>298.42</v>
      </c>
      <c r="HE170" s="2336">
        <v>443.66</v>
      </c>
      <c r="HF170" s="2250"/>
      <c r="HG170" s="2250"/>
      <c r="HH170" s="2333">
        <v>83.3</v>
      </c>
      <c r="HI170" s="2336">
        <v>5.3</v>
      </c>
      <c r="HJ170" s="2336">
        <v>7.79</v>
      </c>
      <c r="HK170" s="2336">
        <v>15.12</v>
      </c>
      <c r="HL170" s="2336">
        <v>25.17</v>
      </c>
      <c r="HM170" s="2336">
        <v>39.5</v>
      </c>
      <c r="HN170" s="2336">
        <v>49.89</v>
      </c>
      <c r="HO170" s="2336">
        <v>72.69</v>
      </c>
      <c r="HP170" s="2336">
        <v>107.34</v>
      </c>
      <c r="HQ170" s="2336">
        <v>154.85</v>
      </c>
      <c r="HR170" s="2336">
        <v>227.43</v>
      </c>
      <c r="HS170" s="2336">
        <v>339.39</v>
      </c>
      <c r="HT170" s="2250"/>
      <c r="HU170" s="2250"/>
      <c r="HV170" s="2333">
        <v>83.3</v>
      </c>
      <c r="HW170" s="2337">
        <v>3.17</v>
      </c>
      <c r="HX170" s="2337">
        <v>4.75</v>
      </c>
      <c r="HY170" s="2337">
        <v>8.81</v>
      </c>
      <c r="HZ170" s="2337">
        <v>14.36</v>
      </c>
      <c r="IA170" s="2337">
        <v>22.67</v>
      </c>
      <c r="IB170" s="2337">
        <v>28.51</v>
      </c>
      <c r="IC170" s="2337">
        <v>41.78</v>
      </c>
      <c r="ID170" s="2337">
        <v>61.49</v>
      </c>
      <c r="IE170" s="2337">
        <v>88.12</v>
      </c>
      <c r="IF170" s="2337">
        <v>129.5</v>
      </c>
      <c r="IG170" s="2337">
        <v>144.46</v>
      </c>
      <c r="IH170" s="2250"/>
      <c r="II170" s="2250"/>
      <c r="IJ170" s="2250"/>
      <c r="IK170" s="2250"/>
      <c r="IL170" s="2250"/>
      <c r="IN170" s="277"/>
      <c r="IO170" s="277"/>
    </row>
    <row r="171" spans="1:249" ht="21.95" customHeight="1">
      <c r="A171" s="2275"/>
      <c r="B171" s="2333">
        <v>78.2</v>
      </c>
      <c r="C171" s="2336">
        <v>8.7100000000000009</v>
      </c>
      <c r="D171" s="2336">
        <v>13.17</v>
      </c>
      <c r="E171" s="2336">
        <v>25.64</v>
      </c>
      <c r="F171" s="2336">
        <v>44.06</v>
      </c>
      <c r="G171" s="2336">
        <v>70.099999999999994</v>
      </c>
      <c r="H171" s="2336">
        <v>104.26</v>
      </c>
      <c r="I171" s="2336">
        <v>147.13</v>
      </c>
      <c r="J171" s="2336">
        <v>205.05</v>
      </c>
      <c r="K171" s="2336">
        <v>277.02999999999997</v>
      </c>
      <c r="L171" s="2336">
        <v>442.18</v>
      </c>
      <c r="M171" s="2336">
        <v>660.5</v>
      </c>
      <c r="N171" s="2250"/>
      <c r="O171" s="2250"/>
      <c r="P171" s="2333">
        <v>78.2</v>
      </c>
      <c r="Q171" s="2336">
        <v>6.34</v>
      </c>
      <c r="R171" s="2336">
        <v>9.5</v>
      </c>
      <c r="S171" s="2336">
        <v>18.61</v>
      </c>
      <c r="T171" s="2336">
        <v>31.98</v>
      </c>
      <c r="U171" s="2336">
        <v>50.89</v>
      </c>
      <c r="V171" s="2336">
        <v>72.08</v>
      </c>
      <c r="W171" s="2336">
        <v>104.06</v>
      </c>
      <c r="X171" s="2336">
        <v>148.91</v>
      </c>
      <c r="Y171" s="2336">
        <v>201.29</v>
      </c>
      <c r="Z171" s="2336">
        <v>321.29000000000002</v>
      </c>
      <c r="AA171" s="2336">
        <v>470.3</v>
      </c>
      <c r="AB171" s="2250"/>
      <c r="AC171" s="2250"/>
      <c r="AD171" s="2333">
        <v>78.2</v>
      </c>
      <c r="AE171" s="2336">
        <v>5.53</v>
      </c>
      <c r="AF171" s="2336">
        <v>8.24</v>
      </c>
      <c r="AG171" s="2336">
        <v>16.14</v>
      </c>
      <c r="AH171" s="2336">
        <v>27.09</v>
      </c>
      <c r="AI171" s="2336">
        <v>43</v>
      </c>
      <c r="AJ171" s="2336">
        <v>54.63</v>
      </c>
      <c r="AK171" s="2336">
        <v>79.91</v>
      </c>
      <c r="AL171" s="2336">
        <v>113.77</v>
      </c>
      <c r="AM171" s="2336">
        <v>166.37</v>
      </c>
      <c r="AN171" s="2336">
        <v>248.76</v>
      </c>
      <c r="AO171" s="2336">
        <v>358.8</v>
      </c>
      <c r="AP171" s="2250"/>
      <c r="AQ171" s="2250"/>
      <c r="AR171" s="2333">
        <v>78.2</v>
      </c>
      <c r="AS171" s="2337">
        <v>3.56</v>
      </c>
      <c r="AT171" s="2337">
        <v>4.95</v>
      </c>
      <c r="AU171" s="2337">
        <v>9.31</v>
      </c>
      <c r="AV171" s="2337">
        <v>15.45</v>
      </c>
      <c r="AW171" s="2337">
        <v>24.65</v>
      </c>
      <c r="AX171" s="2337">
        <v>31.29</v>
      </c>
      <c r="AY171" s="2337">
        <v>45.54</v>
      </c>
      <c r="AZ171" s="2337">
        <v>64.849999999999994</v>
      </c>
      <c r="BA171" s="2337">
        <v>94.85</v>
      </c>
      <c r="BB171" s="2337">
        <v>141.88</v>
      </c>
      <c r="BC171" s="2337">
        <v>204.26</v>
      </c>
      <c r="BD171" s="2250"/>
      <c r="BE171" s="2250"/>
      <c r="BF171" s="1302">
        <v>92.9</v>
      </c>
      <c r="BG171" s="1302">
        <v>97.1</v>
      </c>
      <c r="BH171" s="2250"/>
      <c r="BI171" s="2275"/>
      <c r="BJ171" s="2333">
        <v>78.2</v>
      </c>
      <c r="BK171" s="2336">
        <v>8.7100000000000009</v>
      </c>
      <c r="BL171" s="2336">
        <v>13.17</v>
      </c>
      <c r="BM171" s="2336">
        <v>25.64</v>
      </c>
      <c r="BN171" s="2336">
        <v>44.06</v>
      </c>
      <c r="BO171" s="2336">
        <v>70.099999999999994</v>
      </c>
      <c r="BP171" s="2336">
        <v>104.26</v>
      </c>
      <c r="BQ171" s="2336">
        <v>147.13</v>
      </c>
      <c r="BR171" s="2336">
        <v>205.05</v>
      </c>
      <c r="BS171" s="2336">
        <v>277.02999999999997</v>
      </c>
      <c r="BT171" s="2336">
        <v>442.18</v>
      </c>
      <c r="BU171" s="2336">
        <v>660.5</v>
      </c>
      <c r="BV171" s="2250"/>
      <c r="BW171" s="2250"/>
      <c r="BX171" s="2333">
        <v>78.2</v>
      </c>
      <c r="BY171" s="2336">
        <v>6.34</v>
      </c>
      <c r="BZ171" s="2336">
        <v>9.5</v>
      </c>
      <c r="CA171" s="2336">
        <v>18.61</v>
      </c>
      <c r="CB171" s="2336">
        <v>31.98</v>
      </c>
      <c r="CC171" s="2336">
        <v>50.89</v>
      </c>
      <c r="CD171" s="2336">
        <v>72.08</v>
      </c>
      <c r="CE171" s="2336">
        <v>104.06</v>
      </c>
      <c r="CF171" s="2336">
        <v>148.91</v>
      </c>
      <c r="CG171" s="2336">
        <v>201.29</v>
      </c>
      <c r="CH171" s="2336">
        <v>321.29000000000002</v>
      </c>
      <c r="CI171" s="2336">
        <v>470.3</v>
      </c>
      <c r="CJ171" s="2250"/>
      <c r="CK171" s="2250"/>
      <c r="CL171" s="2333">
        <v>78.2</v>
      </c>
      <c r="CM171" s="2336">
        <v>5.53</v>
      </c>
      <c r="CN171" s="2336">
        <v>8.24</v>
      </c>
      <c r="CO171" s="2336">
        <v>16.14</v>
      </c>
      <c r="CP171" s="2336">
        <v>27.09</v>
      </c>
      <c r="CQ171" s="2336">
        <v>43</v>
      </c>
      <c r="CR171" s="2336">
        <v>54.63</v>
      </c>
      <c r="CS171" s="2336">
        <v>79.91</v>
      </c>
      <c r="CT171" s="2336">
        <v>113.77</v>
      </c>
      <c r="CU171" s="2336">
        <v>166.37</v>
      </c>
      <c r="CV171" s="2336">
        <v>248.76</v>
      </c>
      <c r="CW171" s="2336">
        <v>358.8</v>
      </c>
      <c r="CX171" s="2250"/>
      <c r="CY171" s="2250"/>
      <c r="CZ171" s="2333">
        <v>78.2</v>
      </c>
      <c r="DA171" s="2337">
        <v>3.56</v>
      </c>
      <c r="DB171" s="2337">
        <v>4.95</v>
      </c>
      <c r="DC171" s="2337">
        <v>9.31</v>
      </c>
      <c r="DD171" s="2337">
        <v>15.45</v>
      </c>
      <c r="DE171" s="2337">
        <v>24.65</v>
      </c>
      <c r="DF171" s="2337">
        <v>31.29</v>
      </c>
      <c r="DG171" s="2337">
        <v>45.54</v>
      </c>
      <c r="DH171" s="2337">
        <v>64.849999999999994</v>
      </c>
      <c r="DI171" s="2337">
        <v>94.85</v>
      </c>
      <c r="DJ171" s="2337">
        <v>141.88</v>
      </c>
      <c r="DK171" s="2337">
        <v>204.26</v>
      </c>
      <c r="DL171" s="2250"/>
      <c r="DM171" s="2250"/>
      <c r="DN171" s="2250"/>
      <c r="DO171" s="2250"/>
      <c r="DP171" s="2250"/>
      <c r="DQ171" s="2277"/>
      <c r="DR171" s="2277"/>
      <c r="DS171" s="277"/>
      <c r="DW171" s="2275"/>
      <c r="DX171" s="2333">
        <v>78.2</v>
      </c>
      <c r="DY171" s="2336">
        <v>8.7100000000000009</v>
      </c>
      <c r="DZ171" s="2336">
        <v>13.17</v>
      </c>
      <c r="EA171" s="2336">
        <v>25.64</v>
      </c>
      <c r="EB171" s="2336">
        <v>44.06</v>
      </c>
      <c r="EC171" s="2336">
        <v>70.099999999999994</v>
      </c>
      <c r="ED171" s="2336">
        <v>104.26</v>
      </c>
      <c r="EE171" s="2336">
        <v>147.13</v>
      </c>
      <c r="EF171" s="2336">
        <v>205.05</v>
      </c>
      <c r="EG171" s="2336">
        <v>277.02999999999997</v>
      </c>
      <c r="EH171" s="2336">
        <v>442.18</v>
      </c>
      <c r="EI171" s="2336">
        <v>660.5</v>
      </c>
      <c r="EJ171" s="2250"/>
      <c r="EK171" s="2250"/>
      <c r="EL171" s="2333">
        <v>78.2</v>
      </c>
      <c r="EM171" s="2336">
        <v>6.34</v>
      </c>
      <c r="EN171" s="2336">
        <v>9.5</v>
      </c>
      <c r="EO171" s="2336">
        <v>18.61</v>
      </c>
      <c r="EP171" s="2336">
        <v>31.98</v>
      </c>
      <c r="EQ171" s="2336">
        <v>50.89</v>
      </c>
      <c r="ER171" s="2336">
        <v>72.08</v>
      </c>
      <c r="ES171" s="2336">
        <v>104.06</v>
      </c>
      <c r="ET171" s="2336">
        <v>148.91</v>
      </c>
      <c r="EU171" s="2336">
        <v>201.29</v>
      </c>
      <c r="EV171" s="2336">
        <v>321.29000000000002</v>
      </c>
      <c r="EW171" s="2336">
        <v>470.3</v>
      </c>
      <c r="EX171" s="2250"/>
      <c r="EY171" s="2250"/>
      <c r="EZ171" s="2333">
        <v>78.2</v>
      </c>
      <c r="FA171" s="2336">
        <v>5.53</v>
      </c>
      <c r="FB171" s="2336">
        <v>8.24</v>
      </c>
      <c r="FC171" s="2336">
        <v>16.14</v>
      </c>
      <c r="FD171" s="2336">
        <v>27.09</v>
      </c>
      <c r="FE171" s="2336">
        <v>43</v>
      </c>
      <c r="FF171" s="2336">
        <v>54.63</v>
      </c>
      <c r="FG171" s="2336">
        <v>79.91</v>
      </c>
      <c r="FH171" s="2336">
        <v>113.77</v>
      </c>
      <c r="FI171" s="2336">
        <v>166.37</v>
      </c>
      <c r="FJ171" s="2336">
        <v>248.76</v>
      </c>
      <c r="FK171" s="2336">
        <v>358.8</v>
      </c>
      <c r="FL171" s="2250"/>
      <c r="FM171" s="2250"/>
      <c r="FN171" s="2333">
        <v>78.2</v>
      </c>
      <c r="FO171" s="2337">
        <v>3.56</v>
      </c>
      <c r="FP171" s="2337">
        <v>4.95</v>
      </c>
      <c r="FQ171" s="2337">
        <v>9.31</v>
      </c>
      <c r="FR171" s="2337">
        <v>15.45</v>
      </c>
      <c r="FS171" s="2337">
        <v>24.65</v>
      </c>
      <c r="FT171" s="2337">
        <v>31.29</v>
      </c>
      <c r="FU171" s="2337">
        <v>45.54</v>
      </c>
      <c r="FV171" s="2337">
        <v>64.849999999999994</v>
      </c>
      <c r="FW171" s="2337">
        <v>94.85</v>
      </c>
      <c r="FX171" s="2337">
        <v>141.88</v>
      </c>
      <c r="FY171" s="2337">
        <v>204.26</v>
      </c>
      <c r="FZ171" s="2250"/>
      <c r="GA171" s="2250"/>
      <c r="GB171" s="1302">
        <v>92.9</v>
      </c>
      <c r="GC171" s="1302">
        <v>97.1</v>
      </c>
      <c r="GD171" s="2250"/>
      <c r="GE171" s="2275"/>
      <c r="GF171" s="2333">
        <v>78.2</v>
      </c>
      <c r="GG171" s="2336">
        <v>8.7100000000000009</v>
      </c>
      <c r="GH171" s="2336">
        <v>13.17</v>
      </c>
      <c r="GI171" s="2336">
        <v>25.64</v>
      </c>
      <c r="GJ171" s="2336">
        <v>44.06</v>
      </c>
      <c r="GK171" s="2336">
        <v>70.099999999999994</v>
      </c>
      <c r="GL171" s="2336">
        <v>104.26</v>
      </c>
      <c r="GM171" s="2336">
        <v>147.13</v>
      </c>
      <c r="GN171" s="2336">
        <v>205.05</v>
      </c>
      <c r="GO171" s="2336">
        <v>277.02999999999997</v>
      </c>
      <c r="GP171" s="2336">
        <v>442.18</v>
      </c>
      <c r="GQ171" s="2336">
        <v>660.5</v>
      </c>
      <c r="GR171" s="2250"/>
      <c r="GS171" s="2250"/>
      <c r="GT171" s="2333">
        <v>78.2</v>
      </c>
      <c r="GU171" s="2336">
        <v>6.34</v>
      </c>
      <c r="GV171" s="2336">
        <v>9.5</v>
      </c>
      <c r="GW171" s="2336">
        <v>18.61</v>
      </c>
      <c r="GX171" s="2336">
        <v>31.98</v>
      </c>
      <c r="GY171" s="2336">
        <v>50.89</v>
      </c>
      <c r="GZ171" s="2336">
        <v>72.08</v>
      </c>
      <c r="HA171" s="2336">
        <v>104.06</v>
      </c>
      <c r="HB171" s="2336">
        <v>148.91</v>
      </c>
      <c r="HC171" s="2336">
        <v>201.29</v>
      </c>
      <c r="HD171" s="2336">
        <v>321.29000000000002</v>
      </c>
      <c r="HE171" s="2336">
        <v>470.3</v>
      </c>
      <c r="HF171" s="2250"/>
      <c r="HG171" s="2250"/>
      <c r="HH171" s="2333">
        <v>78.2</v>
      </c>
      <c r="HI171" s="2336">
        <v>5.53</v>
      </c>
      <c r="HJ171" s="2336">
        <v>8.24</v>
      </c>
      <c r="HK171" s="2336">
        <v>16.14</v>
      </c>
      <c r="HL171" s="2336">
        <v>27.09</v>
      </c>
      <c r="HM171" s="2336">
        <v>43</v>
      </c>
      <c r="HN171" s="2336">
        <v>54.63</v>
      </c>
      <c r="HO171" s="2336">
        <v>79.91</v>
      </c>
      <c r="HP171" s="2336">
        <v>113.77</v>
      </c>
      <c r="HQ171" s="2336">
        <v>166.37</v>
      </c>
      <c r="HR171" s="2336">
        <v>248.76</v>
      </c>
      <c r="HS171" s="2336">
        <v>358.8</v>
      </c>
      <c r="HT171" s="2250"/>
      <c r="HU171" s="2250"/>
      <c r="HV171" s="2333">
        <v>78.2</v>
      </c>
      <c r="HW171" s="2337">
        <v>3.56</v>
      </c>
      <c r="HX171" s="2337">
        <v>4.95</v>
      </c>
      <c r="HY171" s="2337">
        <v>9.31</v>
      </c>
      <c r="HZ171" s="2337">
        <v>15.45</v>
      </c>
      <c r="IA171" s="2337">
        <v>24.65</v>
      </c>
      <c r="IB171" s="2337">
        <v>31.29</v>
      </c>
      <c r="IC171" s="2337">
        <v>45.54</v>
      </c>
      <c r="ID171" s="2337">
        <v>64.849999999999994</v>
      </c>
      <c r="IE171" s="2337">
        <v>94.85</v>
      </c>
      <c r="IF171" s="2337">
        <v>141.88</v>
      </c>
      <c r="IG171" s="2337">
        <v>204.26</v>
      </c>
      <c r="IH171" s="2250"/>
      <c r="II171" s="2250"/>
      <c r="IJ171" s="2250"/>
      <c r="IK171" s="2250"/>
      <c r="IL171" s="2250"/>
      <c r="IN171" s="277"/>
      <c r="IO171" s="277"/>
    </row>
    <row r="172" spans="1:249" ht="21.95" customHeight="1">
      <c r="A172" s="2275"/>
      <c r="B172" s="2333">
        <v>73.7</v>
      </c>
      <c r="C172" s="2336">
        <v>9.31</v>
      </c>
      <c r="D172" s="2336">
        <v>13.96</v>
      </c>
      <c r="E172" s="2336">
        <v>27.23</v>
      </c>
      <c r="F172" s="2336">
        <v>46.93</v>
      </c>
      <c r="G172" s="2336">
        <v>74.459999999999994</v>
      </c>
      <c r="H172" s="2336">
        <v>112.28</v>
      </c>
      <c r="I172" s="2336">
        <v>155.63999999999999</v>
      </c>
      <c r="J172" s="2336">
        <v>217.13</v>
      </c>
      <c r="K172" s="2336">
        <v>295.25</v>
      </c>
      <c r="L172" s="2336">
        <v>470</v>
      </c>
      <c r="M172" s="2336">
        <v>700.4</v>
      </c>
      <c r="N172" s="2250"/>
      <c r="O172" s="2250"/>
      <c r="P172" s="2333">
        <v>73.7</v>
      </c>
      <c r="Q172" s="2336">
        <v>6.73</v>
      </c>
      <c r="R172" s="2336">
        <v>10.1</v>
      </c>
      <c r="S172" s="2336">
        <v>20</v>
      </c>
      <c r="T172" s="2336">
        <v>34.06</v>
      </c>
      <c r="U172" s="2336">
        <v>54.06</v>
      </c>
      <c r="V172" s="2336">
        <v>72.48</v>
      </c>
      <c r="W172" s="2336">
        <v>111.98</v>
      </c>
      <c r="X172" s="2336">
        <v>157.52000000000001</v>
      </c>
      <c r="Y172" s="2336">
        <v>214.16</v>
      </c>
      <c r="Z172" s="2336">
        <v>340.89</v>
      </c>
      <c r="AA172" s="2336">
        <v>496.04</v>
      </c>
      <c r="AB172" s="2250"/>
      <c r="AC172" s="2250"/>
      <c r="AD172" s="2333">
        <v>73.7</v>
      </c>
      <c r="AE172" s="2336">
        <v>5.87</v>
      </c>
      <c r="AF172" s="2336">
        <v>8.8000000000000007</v>
      </c>
      <c r="AG172" s="2336">
        <v>17.16</v>
      </c>
      <c r="AH172" s="2336">
        <v>28.67</v>
      </c>
      <c r="AI172" s="2336">
        <v>45.6</v>
      </c>
      <c r="AJ172" s="2336">
        <v>54.85</v>
      </c>
      <c r="AK172" s="2336">
        <v>85.44</v>
      </c>
      <c r="AL172" s="2336">
        <v>123.7</v>
      </c>
      <c r="AM172" s="2336">
        <v>173.81</v>
      </c>
      <c r="AN172" s="2336">
        <v>266.48</v>
      </c>
      <c r="AO172" s="2336">
        <v>377.31</v>
      </c>
      <c r="AP172" s="2250"/>
      <c r="AQ172" s="2250"/>
      <c r="AR172" s="2333">
        <v>73.7</v>
      </c>
      <c r="AS172" s="2337">
        <v>3.76</v>
      </c>
      <c r="AT172" s="2337">
        <v>5.25</v>
      </c>
      <c r="AU172" s="2337">
        <v>9.8000000000000007</v>
      </c>
      <c r="AV172" s="2337">
        <v>16.34</v>
      </c>
      <c r="AW172" s="2337">
        <v>25.94</v>
      </c>
      <c r="AX172" s="2337">
        <v>31.58</v>
      </c>
      <c r="AY172" s="2337">
        <v>48.71</v>
      </c>
      <c r="AZ172" s="2337">
        <v>70.5</v>
      </c>
      <c r="BA172" s="2337">
        <v>99.5</v>
      </c>
      <c r="BB172" s="2337">
        <v>152.47999999999999</v>
      </c>
      <c r="BC172" s="2337">
        <v>215.15</v>
      </c>
      <c r="BD172" s="2250"/>
      <c r="BE172" s="2250"/>
      <c r="BF172" s="1302">
        <v>97.1</v>
      </c>
      <c r="BG172" s="1302">
        <v>107.9</v>
      </c>
      <c r="BH172" s="2250"/>
      <c r="BI172" s="2275"/>
      <c r="BJ172" s="2333">
        <v>73.7</v>
      </c>
      <c r="BK172" s="2336">
        <v>9.31</v>
      </c>
      <c r="BL172" s="2336">
        <v>13.96</v>
      </c>
      <c r="BM172" s="2336">
        <v>27.23</v>
      </c>
      <c r="BN172" s="2336">
        <v>46.93</v>
      </c>
      <c r="BO172" s="2336">
        <v>74.459999999999994</v>
      </c>
      <c r="BP172" s="2336">
        <v>112.28</v>
      </c>
      <c r="BQ172" s="2336">
        <v>155.63999999999999</v>
      </c>
      <c r="BR172" s="2336">
        <v>217.13</v>
      </c>
      <c r="BS172" s="2336">
        <v>295.25</v>
      </c>
      <c r="BT172" s="2336">
        <v>470</v>
      </c>
      <c r="BU172" s="2336">
        <v>700.4</v>
      </c>
      <c r="BV172" s="2250"/>
      <c r="BW172" s="2250"/>
      <c r="BX172" s="2333">
        <v>73.7</v>
      </c>
      <c r="BY172" s="2336">
        <v>6.73</v>
      </c>
      <c r="BZ172" s="2336">
        <v>10.1</v>
      </c>
      <c r="CA172" s="2336">
        <v>20</v>
      </c>
      <c r="CB172" s="2336">
        <v>34.06</v>
      </c>
      <c r="CC172" s="2336">
        <v>54.06</v>
      </c>
      <c r="CD172" s="2336">
        <v>72.48</v>
      </c>
      <c r="CE172" s="2336">
        <v>111.98</v>
      </c>
      <c r="CF172" s="2336">
        <v>157.52000000000001</v>
      </c>
      <c r="CG172" s="2336">
        <v>214.16</v>
      </c>
      <c r="CH172" s="2336">
        <v>340.89</v>
      </c>
      <c r="CI172" s="2336">
        <v>496.04</v>
      </c>
      <c r="CJ172" s="2250"/>
      <c r="CK172" s="2250"/>
      <c r="CL172" s="2333">
        <v>73.7</v>
      </c>
      <c r="CM172" s="2336">
        <v>5.87</v>
      </c>
      <c r="CN172" s="2336">
        <v>8.8000000000000007</v>
      </c>
      <c r="CO172" s="2336">
        <v>17.16</v>
      </c>
      <c r="CP172" s="2336">
        <v>28.67</v>
      </c>
      <c r="CQ172" s="2336">
        <v>45.6</v>
      </c>
      <c r="CR172" s="2336">
        <v>54.85</v>
      </c>
      <c r="CS172" s="2336">
        <v>85.44</v>
      </c>
      <c r="CT172" s="2336">
        <v>123.7</v>
      </c>
      <c r="CU172" s="2336">
        <v>173.81</v>
      </c>
      <c r="CV172" s="2336">
        <v>266.48</v>
      </c>
      <c r="CW172" s="2336">
        <v>377.31</v>
      </c>
      <c r="CX172" s="2250"/>
      <c r="CY172" s="2250"/>
      <c r="CZ172" s="2333">
        <v>73.7</v>
      </c>
      <c r="DA172" s="2337">
        <v>3.76</v>
      </c>
      <c r="DB172" s="2337">
        <v>5.25</v>
      </c>
      <c r="DC172" s="2337">
        <v>9.8000000000000007</v>
      </c>
      <c r="DD172" s="2337">
        <v>16.34</v>
      </c>
      <c r="DE172" s="2337">
        <v>25.94</v>
      </c>
      <c r="DF172" s="2337">
        <v>31.58</v>
      </c>
      <c r="DG172" s="2337">
        <v>48.71</v>
      </c>
      <c r="DH172" s="2337">
        <v>70.5</v>
      </c>
      <c r="DI172" s="2337">
        <v>99.5</v>
      </c>
      <c r="DJ172" s="2337">
        <v>152.47999999999999</v>
      </c>
      <c r="DK172" s="2337">
        <v>215.15</v>
      </c>
      <c r="DL172" s="2250"/>
      <c r="DM172" s="2250"/>
      <c r="DN172" s="2250"/>
      <c r="DO172" s="2250"/>
      <c r="DP172" s="2250"/>
      <c r="DQ172" s="2277"/>
      <c r="DR172" s="2277"/>
      <c r="DS172" s="277"/>
      <c r="DW172" s="2275"/>
      <c r="DX172" s="2333">
        <v>73.7</v>
      </c>
      <c r="DY172" s="2336">
        <v>9.31</v>
      </c>
      <c r="DZ172" s="2336">
        <v>13.96</v>
      </c>
      <c r="EA172" s="2336">
        <v>27.23</v>
      </c>
      <c r="EB172" s="2336">
        <v>46.93</v>
      </c>
      <c r="EC172" s="2336">
        <v>74.459999999999994</v>
      </c>
      <c r="ED172" s="2336">
        <v>112.28</v>
      </c>
      <c r="EE172" s="2336">
        <v>155.63999999999999</v>
      </c>
      <c r="EF172" s="2336">
        <v>217.13</v>
      </c>
      <c r="EG172" s="2336">
        <v>295.25</v>
      </c>
      <c r="EH172" s="2336">
        <v>470</v>
      </c>
      <c r="EI172" s="2336">
        <v>700.4</v>
      </c>
      <c r="EJ172" s="2250"/>
      <c r="EK172" s="2250"/>
      <c r="EL172" s="2333">
        <v>73.7</v>
      </c>
      <c r="EM172" s="2336">
        <v>6.73</v>
      </c>
      <c r="EN172" s="2336">
        <v>10.1</v>
      </c>
      <c r="EO172" s="2336">
        <v>20</v>
      </c>
      <c r="EP172" s="2336">
        <v>34.06</v>
      </c>
      <c r="EQ172" s="2336">
        <v>54.06</v>
      </c>
      <c r="ER172" s="2336">
        <v>72.48</v>
      </c>
      <c r="ES172" s="2336">
        <v>111.98</v>
      </c>
      <c r="ET172" s="2336">
        <v>157.52000000000001</v>
      </c>
      <c r="EU172" s="2336">
        <v>214.16</v>
      </c>
      <c r="EV172" s="2336">
        <v>340.89</v>
      </c>
      <c r="EW172" s="2336">
        <v>496.04</v>
      </c>
      <c r="EX172" s="2250"/>
      <c r="EY172" s="2250"/>
      <c r="EZ172" s="2333">
        <v>73.7</v>
      </c>
      <c r="FA172" s="2336">
        <v>5.87</v>
      </c>
      <c r="FB172" s="2336">
        <v>8.8000000000000007</v>
      </c>
      <c r="FC172" s="2336">
        <v>17.16</v>
      </c>
      <c r="FD172" s="2336">
        <v>28.67</v>
      </c>
      <c r="FE172" s="2336">
        <v>45.6</v>
      </c>
      <c r="FF172" s="2336">
        <v>54.85</v>
      </c>
      <c r="FG172" s="2336">
        <v>85.44</v>
      </c>
      <c r="FH172" s="2336">
        <v>123.7</v>
      </c>
      <c r="FI172" s="2336">
        <v>173.81</v>
      </c>
      <c r="FJ172" s="2336">
        <v>266.48</v>
      </c>
      <c r="FK172" s="2336">
        <v>377.31</v>
      </c>
      <c r="FL172" s="2250"/>
      <c r="FM172" s="2250"/>
      <c r="FN172" s="2333">
        <v>73.7</v>
      </c>
      <c r="FO172" s="2337">
        <v>3.76</v>
      </c>
      <c r="FP172" s="2337">
        <v>5.25</v>
      </c>
      <c r="FQ172" s="2337">
        <v>9.8000000000000007</v>
      </c>
      <c r="FR172" s="2337">
        <v>16.34</v>
      </c>
      <c r="FS172" s="2337">
        <v>25.94</v>
      </c>
      <c r="FT172" s="2337">
        <v>31.58</v>
      </c>
      <c r="FU172" s="2337">
        <v>48.71</v>
      </c>
      <c r="FV172" s="2337">
        <v>70.5</v>
      </c>
      <c r="FW172" s="2337">
        <v>99.5</v>
      </c>
      <c r="FX172" s="2337">
        <v>152.47999999999999</v>
      </c>
      <c r="FY172" s="2337">
        <v>215.15</v>
      </c>
      <c r="FZ172" s="2250"/>
      <c r="GA172" s="2250"/>
      <c r="GB172" s="1302">
        <v>97.1</v>
      </c>
      <c r="GC172" s="1302">
        <v>107.9</v>
      </c>
      <c r="GD172" s="2250"/>
      <c r="GE172" s="2275"/>
      <c r="GF172" s="2333">
        <v>73.7</v>
      </c>
      <c r="GG172" s="2336">
        <v>9.31</v>
      </c>
      <c r="GH172" s="2336">
        <v>13.96</v>
      </c>
      <c r="GI172" s="2336">
        <v>27.23</v>
      </c>
      <c r="GJ172" s="2336">
        <v>46.93</v>
      </c>
      <c r="GK172" s="2336">
        <v>74.459999999999994</v>
      </c>
      <c r="GL172" s="2336">
        <v>112.28</v>
      </c>
      <c r="GM172" s="2336">
        <v>155.63999999999999</v>
      </c>
      <c r="GN172" s="2336">
        <v>217.13</v>
      </c>
      <c r="GO172" s="2336">
        <v>295.25</v>
      </c>
      <c r="GP172" s="2336">
        <v>470</v>
      </c>
      <c r="GQ172" s="2336">
        <v>700.4</v>
      </c>
      <c r="GR172" s="2250"/>
      <c r="GS172" s="2250"/>
      <c r="GT172" s="2333">
        <v>73.7</v>
      </c>
      <c r="GU172" s="2336">
        <v>6.73</v>
      </c>
      <c r="GV172" s="2336">
        <v>10.1</v>
      </c>
      <c r="GW172" s="2336">
        <v>20</v>
      </c>
      <c r="GX172" s="2336">
        <v>34.06</v>
      </c>
      <c r="GY172" s="2336">
        <v>54.06</v>
      </c>
      <c r="GZ172" s="2336">
        <v>72.48</v>
      </c>
      <c r="HA172" s="2336">
        <v>111.98</v>
      </c>
      <c r="HB172" s="2336">
        <v>157.52000000000001</v>
      </c>
      <c r="HC172" s="2336">
        <v>214.16</v>
      </c>
      <c r="HD172" s="2336">
        <v>340.89</v>
      </c>
      <c r="HE172" s="2336">
        <v>496.04</v>
      </c>
      <c r="HF172" s="2250"/>
      <c r="HG172" s="2250"/>
      <c r="HH172" s="2333">
        <v>73.7</v>
      </c>
      <c r="HI172" s="2336">
        <v>5.87</v>
      </c>
      <c r="HJ172" s="2336">
        <v>8.8000000000000007</v>
      </c>
      <c r="HK172" s="2336">
        <v>17.16</v>
      </c>
      <c r="HL172" s="2336">
        <v>28.67</v>
      </c>
      <c r="HM172" s="2336">
        <v>45.6</v>
      </c>
      <c r="HN172" s="2336">
        <v>54.85</v>
      </c>
      <c r="HO172" s="2336">
        <v>85.44</v>
      </c>
      <c r="HP172" s="2336">
        <v>123.7</v>
      </c>
      <c r="HQ172" s="2336">
        <v>173.81</v>
      </c>
      <c r="HR172" s="2336">
        <v>266.48</v>
      </c>
      <c r="HS172" s="2336">
        <v>377.31</v>
      </c>
      <c r="HT172" s="2250"/>
      <c r="HU172" s="2250"/>
      <c r="HV172" s="2333">
        <v>73.7</v>
      </c>
      <c r="HW172" s="2337">
        <v>3.76</v>
      </c>
      <c r="HX172" s="2337">
        <v>5.25</v>
      </c>
      <c r="HY172" s="2337">
        <v>9.8000000000000007</v>
      </c>
      <c r="HZ172" s="2337">
        <v>16.34</v>
      </c>
      <c r="IA172" s="2337">
        <v>25.94</v>
      </c>
      <c r="IB172" s="2337">
        <v>31.58</v>
      </c>
      <c r="IC172" s="2337">
        <v>48.71</v>
      </c>
      <c r="ID172" s="2337">
        <v>70.5</v>
      </c>
      <c r="IE172" s="2337">
        <v>99.5</v>
      </c>
      <c r="IF172" s="2337">
        <v>152.47999999999999</v>
      </c>
      <c r="IG172" s="2337">
        <v>215.15</v>
      </c>
      <c r="IH172" s="2250"/>
      <c r="II172" s="2250"/>
      <c r="IJ172" s="2250"/>
      <c r="IK172" s="2250"/>
      <c r="IL172" s="2250"/>
      <c r="IN172" s="277"/>
      <c r="IO172" s="277"/>
    </row>
    <row r="173" spans="1:249" ht="21.95" customHeight="1">
      <c r="A173" s="2275"/>
      <c r="B173" s="2333">
        <v>68.3</v>
      </c>
      <c r="C173" s="2336">
        <v>10.1</v>
      </c>
      <c r="D173" s="2336">
        <v>15.15</v>
      </c>
      <c r="E173" s="2336">
        <v>29.5</v>
      </c>
      <c r="F173" s="2336">
        <v>49.9</v>
      </c>
      <c r="G173" s="2336">
        <v>81.09</v>
      </c>
      <c r="H173" s="2336">
        <v>118.71</v>
      </c>
      <c r="I173" s="2336">
        <v>163.47</v>
      </c>
      <c r="J173" s="2336">
        <v>236.44</v>
      </c>
      <c r="K173" s="2336">
        <v>338.91</v>
      </c>
      <c r="L173" s="2336">
        <v>498.22</v>
      </c>
      <c r="M173" s="2336">
        <v>743.66</v>
      </c>
      <c r="N173" s="2250"/>
      <c r="O173" s="2250"/>
      <c r="P173" s="2333">
        <v>68.3</v>
      </c>
      <c r="Q173" s="2336">
        <v>7.33</v>
      </c>
      <c r="R173" s="2336">
        <v>10.99</v>
      </c>
      <c r="S173" s="2336">
        <v>21.39</v>
      </c>
      <c r="T173" s="2336">
        <v>36.14</v>
      </c>
      <c r="U173" s="2336">
        <v>58.61</v>
      </c>
      <c r="V173" s="2336">
        <v>80.2</v>
      </c>
      <c r="W173" s="2336">
        <v>117.82</v>
      </c>
      <c r="X173" s="2336">
        <v>169.9</v>
      </c>
      <c r="Y173" s="2336">
        <v>232.28</v>
      </c>
      <c r="Z173" s="2336">
        <v>360.59</v>
      </c>
      <c r="AA173" s="2336">
        <v>521.09</v>
      </c>
      <c r="AB173" s="2250"/>
      <c r="AC173" s="2250"/>
      <c r="AD173" s="2333">
        <v>68.3</v>
      </c>
      <c r="AE173" s="2336">
        <v>6.43</v>
      </c>
      <c r="AF173" s="2336">
        <v>9.59</v>
      </c>
      <c r="AG173" s="2336">
        <v>18.510000000000002</v>
      </c>
      <c r="AH173" s="2336">
        <v>31.6</v>
      </c>
      <c r="AI173" s="2336">
        <v>47.52</v>
      </c>
      <c r="AJ173" s="2336">
        <v>60.72</v>
      </c>
      <c r="AK173" s="2336">
        <v>89.62</v>
      </c>
      <c r="AL173" s="2336">
        <v>129.12</v>
      </c>
      <c r="AM173" s="2336">
        <v>188.37</v>
      </c>
      <c r="AN173" s="2336">
        <v>286.12</v>
      </c>
      <c r="AO173" s="2336">
        <v>400.45</v>
      </c>
      <c r="AP173" s="2250"/>
      <c r="AQ173" s="2250"/>
      <c r="AR173" s="2333">
        <v>68.3</v>
      </c>
      <c r="AS173" s="2337">
        <v>3.86</v>
      </c>
      <c r="AT173" s="2337">
        <v>5.64</v>
      </c>
      <c r="AU173" s="2337">
        <v>10.59</v>
      </c>
      <c r="AV173" s="2337">
        <v>17.23</v>
      </c>
      <c r="AW173" s="2337">
        <v>27.13</v>
      </c>
      <c r="AX173" s="2337">
        <v>34.950000000000003</v>
      </c>
      <c r="AY173" s="2337">
        <v>51.19</v>
      </c>
      <c r="AZ173" s="2337">
        <v>73.66</v>
      </c>
      <c r="BA173" s="2337">
        <v>108.22</v>
      </c>
      <c r="BB173" s="2337">
        <v>163.16999999999999</v>
      </c>
      <c r="BC173" s="2337">
        <v>228.32</v>
      </c>
      <c r="BD173" s="2250"/>
      <c r="BE173" s="2250"/>
      <c r="BF173" s="1302">
        <v>107.9</v>
      </c>
      <c r="BG173" s="1302">
        <v>120.7</v>
      </c>
      <c r="BH173" s="2250"/>
      <c r="BI173" s="2275"/>
      <c r="BJ173" s="2333">
        <v>68.3</v>
      </c>
      <c r="BK173" s="2336">
        <v>10.1</v>
      </c>
      <c r="BL173" s="2336">
        <v>15.15</v>
      </c>
      <c r="BM173" s="2336">
        <v>29.5</v>
      </c>
      <c r="BN173" s="2336">
        <v>49.9</v>
      </c>
      <c r="BO173" s="2336">
        <v>81.09</v>
      </c>
      <c r="BP173" s="2336">
        <v>118.71</v>
      </c>
      <c r="BQ173" s="2336">
        <v>163.47</v>
      </c>
      <c r="BR173" s="2336">
        <v>236.44</v>
      </c>
      <c r="BS173" s="2336">
        <v>338.91</v>
      </c>
      <c r="BT173" s="2336">
        <v>498.22</v>
      </c>
      <c r="BU173" s="2336">
        <v>743.66</v>
      </c>
      <c r="BV173" s="2250"/>
      <c r="BW173" s="2250"/>
      <c r="BX173" s="2333">
        <v>68.3</v>
      </c>
      <c r="BY173" s="2336">
        <v>7.33</v>
      </c>
      <c r="BZ173" s="2336">
        <v>10.99</v>
      </c>
      <c r="CA173" s="2336">
        <v>21.39</v>
      </c>
      <c r="CB173" s="2336">
        <v>36.14</v>
      </c>
      <c r="CC173" s="2336">
        <v>58.61</v>
      </c>
      <c r="CD173" s="2336">
        <v>80.2</v>
      </c>
      <c r="CE173" s="2336">
        <v>117.82</v>
      </c>
      <c r="CF173" s="2336">
        <v>169.9</v>
      </c>
      <c r="CG173" s="2336">
        <v>232.28</v>
      </c>
      <c r="CH173" s="2336">
        <v>360.59</v>
      </c>
      <c r="CI173" s="2336">
        <v>521.09</v>
      </c>
      <c r="CJ173" s="2250"/>
      <c r="CK173" s="2250"/>
      <c r="CL173" s="2333">
        <v>68.3</v>
      </c>
      <c r="CM173" s="2336">
        <v>6.43</v>
      </c>
      <c r="CN173" s="2336">
        <v>9.59</v>
      </c>
      <c r="CO173" s="2336">
        <v>18.510000000000002</v>
      </c>
      <c r="CP173" s="2336">
        <v>31.6</v>
      </c>
      <c r="CQ173" s="2336">
        <v>47.52</v>
      </c>
      <c r="CR173" s="2336">
        <v>60.72</v>
      </c>
      <c r="CS173" s="2336">
        <v>89.62</v>
      </c>
      <c r="CT173" s="2336">
        <v>129.12</v>
      </c>
      <c r="CU173" s="2336">
        <v>188.37</v>
      </c>
      <c r="CV173" s="2336">
        <v>286.12</v>
      </c>
      <c r="CW173" s="2336">
        <v>400.45</v>
      </c>
      <c r="CX173" s="2250"/>
      <c r="CY173" s="2250"/>
      <c r="CZ173" s="2333">
        <v>68.3</v>
      </c>
      <c r="DA173" s="2337">
        <v>3.86</v>
      </c>
      <c r="DB173" s="2337">
        <v>5.64</v>
      </c>
      <c r="DC173" s="2337">
        <v>10.59</v>
      </c>
      <c r="DD173" s="2337">
        <v>17.23</v>
      </c>
      <c r="DE173" s="2337">
        <v>27.13</v>
      </c>
      <c r="DF173" s="2337">
        <v>34.950000000000003</v>
      </c>
      <c r="DG173" s="2337">
        <v>51.19</v>
      </c>
      <c r="DH173" s="2337">
        <v>73.66</v>
      </c>
      <c r="DI173" s="2337">
        <v>108.22</v>
      </c>
      <c r="DJ173" s="2337">
        <v>163.16999999999999</v>
      </c>
      <c r="DK173" s="2337">
        <v>228.32</v>
      </c>
      <c r="DL173" s="2250"/>
      <c r="DM173" s="2250"/>
      <c r="DN173" s="2250"/>
      <c r="DO173" s="2250"/>
      <c r="DP173" s="2250"/>
      <c r="DQ173" s="2277"/>
      <c r="DR173" s="2277"/>
      <c r="DS173" s="277"/>
      <c r="DW173" s="2275"/>
      <c r="DX173" s="2333">
        <v>68.3</v>
      </c>
      <c r="DY173" s="2336">
        <v>10.1</v>
      </c>
      <c r="DZ173" s="2336">
        <v>15.15</v>
      </c>
      <c r="EA173" s="2336">
        <v>29.5</v>
      </c>
      <c r="EB173" s="2336">
        <v>49.9</v>
      </c>
      <c r="EC173" s="2336">
        <v>81.09</v>
      </c>
      <c r="ED173" s="2336">
        <v>118.71</v>
      </c>
      <c r="EE173" s="2336">
        <v>163.47</v>
      </c>
      <c r="EF173" s="2336">
        <v>236.44</v>
      </c>
      <c r="EG173" s="2336">
        <v>338.91</v>
      </c>
      <c r="EH173" s="2336">
        <v>498.22</v>
      </c>
      <c r="EI173" s="2336">
        <v>743.66</v>
      </c>
      <c r="EJ173" s="2250"/>
      <c r="EK173" s="2250"/>
      <c r="EL173" s="2333">
        <v>68.3</v>
      </c>
      <c r="EM173" s="2336">
        <v>7.33</v>
      </c>
      <c r="EN173" s="2336">
        <v>10.99</v>
      </c>
      <c r="EO173" s="2336">
        <v>21.39</v>
      </c>
      <c r="EP173" s="2336">
        <v>36.14</v>
      </c>
      <c r="EQ173" s="2336">
        <v>58.61</v>
      </c>
      <c r="ER173" s="2336">
        <v>80.2</v>
      </c>
      <c r="ES173" s="2336">
        <v>117.82</v>
      </c>
      <c r="ET173" s="2336">
        <v>169.9</v>
      </c>
      <c r="EU173" s="2336">
        <v>232.28</v>
      </c>
      <c r="EV173" s="2336">
        <v>360.59</v>
      </c>
      <c r="EW173" s="2336">
        <v>521.09</v>
      </c>
      <c r="EX173" s="2250"/>
      <c r="EY173" s="2250"/>
      <c r="EZ173" s="2333">
        <v>68.3</v>
      </c>
      <c r="FA173" s="2336">
        <v>6.43</v>
      </c>
      <c r="FB173" s="2336">
        <v>9.59</v>
      </c>
      <c r="FC173" s="2336">
        <v>18.510000000000002</v>
      </c>
      <c r="FD173" s="2336">
        <v>31.6</v>
      </c>
      <c r="FE173" s="2336">
        <v>47.52</v>
      </c>
      <c r="FF173" s="2336">
        <v>60.72</v>
      </c>
      <c r="FG173" s="2336">
        <v>89.62</v>
      </c>
      <c r="FH173" s="2336">
        <v>129.12</v>
      </c>
      <c r="FI173" s="2336">
        <v>188.37</v>
      </c>
      <c r="FJ173" s="2336">
        <v>286.12</v>
      </c>
      <c r="FK173" s="2336">
        <v>400.45</v>
      </c>
      <c r="FL173" s="2250"/>
      <c r="FM173" s="2250"/>
      <c r="FN173" s="2333">
        <v>68.3</v>
      </c>
      <c r="FO173" s="2337">
        <v>3.86</v>
      </c>
      <c r="FP173" s="2337">
        <v>5.64</v>
      </c>
      <c r="FQ173" s="2337">
        <v>10.59</v>
      </c>
      <c r="FR173" s="2337">
        <v>17.23</v>
      </c>
      <c r="FS173" s="2337">
        <v>27.13</v>
      </c>
      <c r="FT173" s="2337">
        <v>34.950000000000003</v>
      </c>
      <c r="FU173" s="2337">
        <v>51.19</v>
      </c>
      <c r="FV173" s="2337">
        <v>73.66</v>
      </c>
      <c r="FW173" s="2337">
        <v>108.22</v>
      </c>
      <c r="FX173" s="2337">
        <v>163.16999999999999</v>
      </c>
      <c r="FY173" s="2337">
        <v>228.32</v>
      </c>
      <c r="FZ173" s="2250"/>
      <c r="GA173" s="2250"/>
      <c r="GB173" s="1302">
        <v>107.9</v>
      </c>
      <c r="GC173" s="1302">
        <v>120.7</v>
      </c>
      <c r="GD173" s="2250"/>
      <c r="GE173" s="2275"/>
      <c r="GF173" s="2333">
        <v>68.3</v>
      </c>
      <c r="GG173" s="2336">
        <v>10.1</v>
      </c>
      <c r="GH173" s="2336">
        <v>15.15</v>
      </c>
      <c r="GI173" s="2336">
        <v>29.5</v>
      </c>
      <c r="GJ173" s="2336">
        <v>49.9</v>
      </c>
      <c r="GK173" s="2336">
        <v>81.09</v>
      </c>
      <c r="GL173" s="2336">
        <v>118.71</v>
      </c>
      <c r="GM173" s="2336">
        <v>163.47</v>
      </c>
      <c r="GN173" s="2336">
        <v>236.44</v>
      </c>
      <c r="GO173" s="2336">
        <v>338.91</v>
      </c>
      <c r="GP173" s="2336">
        <v>498.22</v>
      </c>
      <c r="GQ173" s="2336">
        <v>743.66</v>
      </c>
      <c r="GR173" s="2250"/>
      <c r="GS173" s="2250"/>
      <c r="GT173" s="2333">
        <v>68.3</v>
      </c>
      <c r="GU173" s="2336">
        <v>7.33</v>
      </c>
      <c r="GV173" s="2336">
        <v>10.99</v>
      </c>
      <c r="GW173" s="2336">
        <v>21.39</v>
      </c>
      <c r="GX173" s="2336">
        <v>36.14</v>
      </c>
      <c r="GY173" s="2336">
        <v>58.61</v>
      </c>
      <c r="GZ173" s="2336">
        <v>80.2</v>
      </c>
      <c r="HA173" s="2336">
        <v>117.82</v>
      </c>
      <c r="HB173" s="2336">
        <v>169.9</v>
      </c>
      <c r="HC173" s="2336">
        <v>232.28</v>
      </c>
      <c r="HD173" s="2336">
        <v>360.59</v>
      </c>
      <c r="HE173" s="2336">
        <v>521.09</v>
      </c>
      <c r="HF173" s="2250"/>
      <c r="HG173" s="2250"/>
      <c r="HH173" s="2333">
        <v>68.3</v>
      </c>
      <c r="HI173" s="2336">
        <v>6.43</v>
      </c>
      <c r="HJ173" s="2336">
        <v>9.59</v>
      </c>
      <c r="HK173" s="2336">
        <v>18.510000000000002</v>
      </c>
      <c r="HL173" s="2336">
        <v>31.6</v>
      </c>
      <c r="HM173" s="2336">
        <v>47.52</v>
      </c>
      <c r="HN173" s="2336">
        <v>60.72</v>
      </c>
      <c r="HO173" s="2336">
        <v>89.62</v>
      </c>
      <c r="HP173" s="2336">
        <v>129.12</v>
      </c>
      <c r="HQ173" s="2336">
        <v>188.37</v>
      </c>
      <c r="HR173" s="2336">
        <v>286.12</v>
      </c>
      <c r="HS173" s="2336">
        <v>400.45</v>
      </c>
      <c r="HT173" s="2250"/>
      <c r="HU173" s="2250"/>
      <c r="HV173" s="2333">
        <v>68.3</v>
      </c>
      <c r="HW173" s="2337">
        <v>3.86</v>
      </c>
      <c r="HX173" s="2337">
        <v>5.64</v>
      </c>
      <c r="HY173" s="2337">
        <v>10.59</v>
      </c>
      <c r="HZ173" s="2337">
        <v>17.23</v>
      </c>
      <c r="IA173" s="2337">
        <v>27.13</v>
      </c>
      <c r="IB173" s="2337">
        <v>34.950000000000003</v>
      </c>
      <c r="IC173" s="2337">
        <v>51.19</v>
      </c>
      <c r="ID173" s="2337">
        <v>73.66</v>
      </c>
      <c r="IE173" s="2337">
        <v>108.22</v>
      </c>
      <c r="IF173" s="2337">
        <v>163.16999999999999</v>
      </c>
      <c r="IG173" s="2337">
        <v>228.32</v>
      </c>
      <c r="IH173" s="2250"/>
      <c r="II173" s="2250"/>
      <c r="IJ173" s="2250"/>
      <c r="IK173" s="2250"/>
      <c r="IL173" s="2250"/>
      <c r="IN173" s="277"/>
      <c r="IO173" s="277"/>
    </row>
    <row r="174" spans="1:249" ht="21.95" customHeight="1">
      <c r="A174" s="2275"/>
      <c r="B174" s="2333">
        <v>63.4</v>
      </c>
      <c r="C174" s="2336">
        <v>10.79</v>
      </c>
      <c r="D174" s="2336">
        <v>16.14</v>
      </c>
      <c r="E174" s="2336">
        <v>31.58</v>
      </c>
      <c r="F174" s="2336">
        <v>53.76</v>
      </c>
      <c r="G174" s="2336">
        <v>86.63</v>
      </c>
      <c r="H174" s="2336">
        <v>124.36</v>
      </c>
      <c r="I174" s="2336">
        <v>180.2</v>
      </c>
      <c r="J174" s="2336">
        <v>252.48</v>
      </c>
      <c r="K174" s="2336">
        <v>342.87</v>
      </c>
      <c r="L174" s="2336">
        <v>544.46</v>
      </c>
      <c r="M174" s="2336">
        <v>815.05</v>
      </c>
      <c r="N174" s="2250"/>
      <c r="O174" s="2250"/>
      <c r="P174" s="2333">
        <v>63.4</v>
      </c>
      <c r="Q174" s="2336">
        <v>7.82</v>
      </c>
      <c r="R174" s="2336">
        <v>11.68</v>
      </c>
      <c r="S174" s="2336">
        <v>22.77</v>
      </c>
      <c r="T174" s="2336">
        <v>38.909999999999997</v>
      </c>
      <c r="U174" s="2336">
        <v>62.48</v>
      </c>
      <c r="V174" s="2336">
        <v>84.85</v>
      </c>
      <c r="W174" s="2336">
        <v>122.57</v>
      </c>
      <c r="X174" s="2336">
        <v>180.2</v>
      </c>
      <c r="Y174" s="2336">
        <v>247.43</v>
      </c>
      <c r="Z174" s="2336">
        <v>381.39</v>
      </c>
      <c r="AA174" s="2336">
        <v>545.64</v>
      </c>
      <c r="AB174" s="2250"/>
      <c r="AC174" s="2250"/>
      <c r="AD174" s="2333">
        <v>63.4</v>
      </c>
      <c r="AE174" s="2336">
        <v>6.77</v>
      </c>
      <c r="AF174" s="2336">
        <v>10.16</v>
      </c>
      <c r="AG174" s="2336">
        <v>19.64</v>
      </c>
      <c r="AH174" s="2336">
        <v>29.91</v>
      </c>
      <c r="AI174" s="2336">
        <v>50.34</v>
      </c>
      <c r="AJ174" s="2336">
        <v>64.11</v>
      </c>
      <c r="AK174" s="2336">
        <v>93.23</v>
      </c>
      <c r="AL174" s="2336">
        <v>136.57</v>
      </c>
      <c r="AM174" s="2336">
        <v>200.56</v>
      </c>
      <c r="AN174" s="2336">
        <v>290.07</v>
      </c>
      <c r="AO174" s="2336">
        <v>412.98</v>
      </c>
      <c r="AP174" s="2250"/>
      <c r="AQ174" s="2250"/>
      <c r="AR174" s="2333">
        <v>63.4</v>
      </c>
      <c r="AS174" s="2337">
        <v>4.16</v>
      </c>
      <c r="AT174" s="2337">
        <v>6.04</v>
      </c>
      <c r="AU174" s="2337">
        <v>11.19</v>
      </c>
      <c r="AV174" s="2337">
        <v>18.12</v>
      </c>
      <c r="AW174" s="2337">
        <v>28.81</v>
      </c>
      <c r="AX174" s="2337">
        <v>37.03</v>
      </c>
      <c r="AY174" s="2337">
        <v>53.76</v>
      </c>
      <c r="AZ174" s="2337">
        <v>78.12</v>
      </c>
      <c r="BA174" s="2337">
        <v>114.75</v>
      </c>
      <c r="BB174" s="2337">
        <v>167.23</v>
      </c>
      <c r="BC174" s="2337">
        <v>237.72</v>
      </c>
      <c r="BD174" s="2250"/>
      <c r="BE174" s="2250"/>
      <c r="BF174" s="1302">
        <v>120.7</v>
      </c>
      <c r="BG174" s="1302">
        <v>129.80000000000001</v>
      </c>
      <c r="BH174" s="2250"/>
      <c r="BI174" s="2275"/>
      <c r="BJ174" s="2333">
        <v>63.4</v>
      </c>
      <c r="BK174" s="2336">
        <v>10.79</v>
      </c>
      <c r="BL174" s="2336">
        <v>16.14</v>
      </c>
      <c r="BM174" s="2336">
        <v>31.58</v>
      </c>
      <c r="BN174" s="2336">
        <v>53.76</v>
      </c>
      <c r="BO174" s="2336">
        <v>86.63</v>
      </c>
      <c r="BP174" s="2336">
        <v>124.36</v>
      </c>
      <c r="BQ174" s="2336">
        <v>180.2</v>
      </c>
      <c r="BR174" s="2336">
        <v>252.48</v>
      </c>
      <c r="BS174" s="2336">
        <v>342.87</v>
      </c>
      <c r="BT174" s="2336">
        <v>544.46</v>
      </c>
      <c r="BU174" s="2336">
        <v>815.05</v>
      </c>
      <c r="BV174" s="2250"/>
      <c r="BW174" s="2250"/>
      <c r="BX174" s="2333">
        <v>63.4</v>
      </c>
      <c r="BY174" s="2336">
        <v>7.82</v>
      </c>
      <c r="BZ174" s="2336">
        <v>11.68</v>
      </c>
      <c r="CA174" s="2336">
        <v>22.77</v>
      </c>
      <c r="CB174" s="2336">
        <v>38.909999999999997</v>
      </c>
      <c r="CC174" s="2336">
        <v>62.48</v>
      </c>
      <c r="CD174" s="2336">
        <v>84.85</v>
      </c>
      <c r="CE174" s="2336">
        <v>122.57</v>
      </c>
      <c r="CF174" s="2336">
        <v>180.2</v>
      </c>
      <c r="CG174" s="2336">
        <v>247.43</v>
      </c>
      <c r="CH174" s="2336">
        <v>381.39</v>
      </c>
      <c r="CI174" s="2336">
        <v>545.64</v>
      </c>
      <c r="CJ174" s="2250"/>
      <c r="CK174" s="2250"/>
      <c r="CL174" s="2333">
        <v>63.4</v>
      </c>
      <c r="CM174" s="2336">
        <v>6.77</v>
      </c>
      <c r="CN174" s="2336">
        <v>10.16</v>
      </c>
      <c r="CO174" s="2336">
        <v>19.64</v>
      </c>
      <c r="CP174" s="2336">
        <v>29.91</v>
      </c>
      <c r="CQ174" s="2336">
        <v>50.34</v>
      </c>
      <c r="CR174" s="2336">
        <v>64.11</v>
      </c>
      <c r="CS174" s="2336">
        <v>93.23</v>
      </c>
      <c r="CT174" s="2336">
        <v>136.57</v>
      </c>
      <c r="CU174" s="2336">
        <v>200.56</v>
      </c>
      <c r="CV174" s="2336">
        <v>290.07</v>
      </c>
      <c r="CW174" s="2336">
        <v>412.98</v>
      </c>
      <c r="CX174" s="2250"/>
      <c r="CY174" s="2250"/>
      <c r="CZ174" s="2333">
        <v>63.4</v>
      </c>
      <c r="DA174" s="2337">
        <v>4.16</v>
      </c>
      <c r="DB174" s="2337">
        <v>6.04</v>
      </c>
      <c r="DC174" s="2337">
        <v>11.19</v>
      </c>
      <c r="DD174" s="2337">
        <v>18.12</v>
      </c>
      <c r="DE174" s="2337">
        <v>28.81</v>
      </c>
      <c r="DF174" s="2337">
        <v>37.03</v>
      </c>
      <c r="DG174" s="2337">
        <v>53.76</v>
      </c>
      <c r="DH174" s="2337">
        <v>78.12</v>
      </c>
      <c r="DI174" s="2337">
        <v>114.75</v>
      </c>
      <c r="DJ174" s="2337">
        <v>167.23</v>
      </c>
      <c r="DK174" s="2337">
        <v>237.72</v>
      </c>
      <c r="DL174" s="2250"/>
      <c r="DM174" s="2250"/>
      <c r="DN174" s="2250"/>
      <c r="DO174" s="2250"/>
      <c r="DP174" s="2250"/>
      <c r="DQ174" s="2277"/>
      <c r="DR174" s="2277"/>
      <c r="DS174" s="277"/>
      <c r="DW174" s="2275"/>
      <c r="DX174" s="2333">
        <v>63.4</v>
      </c>
      <c r="DY174" s="2336">
        <v>10.79</v>
      </c>
      <c r="DZ174" s="2336">
        <v>16.14</v>
      </c>
      <c r="EA174" s="2336">
        <v>31.58</v>
      </c>
      <c r="EB174" s="2336">
        <v>53.76</v>
      </c>
      <c r="EC174" s="2336">
        <v>86.63</v>
      </c>
      <c r="ED174" s="2336">
        <v>124.36</v>
      </c>
      <c r="EE174" s="2336">
        <v>180.2</v>
      </c>
      <c r="EF174" s="2336">
        <v>252.48</v>
      </c>
      <c r="EG174" s="2336">
        <v>342.87</v>
      </c>
      <c r="EH174" s="2336">
        <v>544.46</v>
      </c>
      <c r="EI174" s="2336">
        <v>815.05</v>
      </c>
      <c r="EJ174" s="2250"/>
      <c r="EK174" s="2250"/>
      <c r="EL174" s="2333">
        <v>63.4</v>
      </c>
      <c r="EM174" s="2336">
        <v>7.82</v>
      </c>
      <c r="EN174" s="2336">
        <v>11.68</v>
      </c>
      <c r="EO174" s="2336">
        <v>22.77</v>
      </c>
      <c r="EP174" s="2336">
        <v>38.909999999999997</v>
      </c>
      <c r="EQ174" s="2336">
        <v>62.48</v>
      </c>
      <c r="ER174" s="2336">
        <v>84.85</v>
      </c>
      <c r="ES174" s="2336">
        <v>122.57</v>
      </c>
      <c r="ET174" s="2336">
        <v>180.2</v>
      </c>
      <c r="EU174" s="2336">
        <v>247.43</v>
      </c>
      <c r="EV174" s="2336">
        <v>381.39</v>
      </c>
      <c r="EW174" s="2336">
        <v>545.64</v>
      </c>
      <c r="EX174" s="2250"/>
      <c r="EY174" s="2250"/>
      <c r="EZ174" s="2333">
        <v>63.4</v>
      </c>
      <c r="FA174" s="2336">
        <v>6.77</v>
      </c>
      <c r="FB174" s="2336">
        <v>10.16</v>
      </c>
      <c r="FC174" s="2336">
        <v>19.64</v>
      </c>
      <c r="FD174" s="2336">
        <v>29.91</v>
      </c>
      <c r="FE174" s="2336">
        <v>50.34</v>
      </c>
      <c r="FF174" s="2336">
        <v>64.11</v>
      </c>
      <c r="FG174" s="2336">
        <v>93.23</v>
      </c>
      <c r="FH174" s="2336">
        <v>136.57</v>
      </c>
      <c r="FI174" s="2336">
        <v>200.56</v>
      </c>
      <c r="FJ174" s="2336">
        <v>290.07</v>
      </c>
      <c r="FK174" s="2336">
        <v>412.98</v>
      </c>
      <c r="FL174" s="2250"/>
      <c r="FM174" s="2250"/>
      <c r="FN174" s="2333">
        <v>63.4</v>
      </c>
      <c r="FO174" s="2337">
        <v>4.16</v>
      </c>
      <c r="FP174" s="2337">
        <v>6.04</v>
      </c>
      <c r="FQ174" s="2337">
        <v>11.19</v>
      </c>
      <c r="FR174" s="2337">
        <v>18.12</v>
      </c>
      <c r="FS174" s="2337">
        <v>28.81</v>
      </c>
      <c r="FT174" s="2337">
        <v>37.03</v>
      </c>
      <c r="FU174" s="2337">
        <v>53.76</v>
      </c>
      <c r="FV174" s="2337">
        <v>78.12</v>
      </c>
      <c r="FW174" s="2337">
        <v>114.75</v>
      </c>
      <c r="FX174" s="2337">
        <v>167.23</v>
      </c>
      <c r="FY174" s="2337">
        <v>237.72</v>
      </c>
      <c r="FZ174" s="2250"/>
      <c r="GA174" s="2250"/>
      <c r="GB174" s="1302">
        <v>120.7</v>
      </c>
      <c r="GC174" s="1302">
        <v>129.80000000000001</v>
      </c>
      <c r="GD174" s="2250"/>
      <c r="GE174" s="2275"/>
      <c r="GF174" s="2333">
        <v>63.4</v>
      </c>
      <c r="GG174" s="2336">
        <v>10.79</v>
      </c>
      <c r="GH174" s="2336">
        <v>16.14</v>
      </c>
      <c r="GI174" s="2336">
        <v>31.58</v>
      </c>
      <c r="GJ174" s="2336">
        <v>53.76</v>
      </c>
      <c r="GK174" s="2336">
        <v>86.63</v>
      </c>
      <c r="GL174" s="2336">
        <v>124.36</v>
      </c>
      <c r="GM174" s="2336">
        <v>180.2</v>
      </c>
      <c r="GN174" s="2336">
        <v>252.48</v>
      </c>
      <c r="GO174" s="2336">
        <v>342.87</v>
      </c>
      <c r="GP174" s="2336">
        <v>544.46</v>
      </c>
      <c r="GQ174" s="2336">
        <v>815.05</v>
      </c>
      <c r="GR174" s="2250"/>
      <c r="GS174" s="2250"/>
      <c r="GT174" s="2333">
        <v>63.4</v>
      </c>
      <c r="GU174" s="2336">
        <v>7.82</v>
      </c>
      <c r="GV174" s="2336">
        <v>11.68</v>
      </c>
      <c r="GW174" s="2336">
        <v>22.77</v>
      </c>
      <c r="GX174" s="2336">
        <v>38.909999999999997</v>
      </c>
      <c r="GY174" s="2336">
        <v>62.48</v>
      </c>
      <c r="GZ174" s="2336">
        <v>84.85</v>
      </c>
      <c r="HA174" s="2336">
        <v>122.57</v>
      </c>
      <c r="HB174" s="2336">
        <v>180.2</v>
      </c>
      <c r="HC174" s="2336">
        <v>247.43</v>
      </c>
      <c r="HD174" s="2336">
        <v>381.39</v>
      </c>
      <c r="HE174" s="2336">
        <v>545.64</v>
      </c>
      <c r="HF174" s="2250"/>
      <c r="HG174" s="2250"/>
      <c r="HH174" s="2333">
        <v>63.4</v>
      </c>
      <c r="HI174" s="2336">
        <v>6.77</v>
      </c>
      <c r="HJ174" s="2336">
        <v>10.16</v>
      </c>
      <c r="HK174" s="2336">
        <v>19.64</v>
      </c>
      <c r="HL174" s="2336">
        <v>29.91</v>
      </c>
      <c r="HM174" s="2336">
        <v>50.34</v>
      </c>
      <c r="HN174" s="2336">
        <v>64.11</v>
      </c>
      <c r="HO174" s="2336">
        <v>93.23</v>
      </c>
      <c r="HP174" s="2336">
        <v>136.57</v>
      </c>
      <c r="HQ174" s="2336">
        <v>200.56</v>
      </c>
      <c r="HR174" s="2336">
        <v>290.07</v>
      </c>
      <c r="HS174" s="2336">
        <v>412.98</v>
      </c>
      <c r="HT174" s="2250"/>
      <c r="HU174" s="2250"/>
      <c r="HV174" s="2333">
        <v>63.4</v>
      </c>
      <c r="HW174" s="2337">
        <v>4.16</v>
      </c>
      <c r="HX174" s="2337">
        <v>6.04</v>
      </c>
      <c r="HY174" s="2337">
        <v>11.19</v>
      </c>
      <c r="HZ174" s="2337">
        <v>18.12</v>
      </c>
      <c r="IA174" s="2337">
        <v>28.81</v>
      </c>
      <c r="IB174" s="2337">
        <v>37.03</v>
      </c>
      <c r="IC174" s="2337">
        <v>53.76</v>
      </c>
      <c r="ID174" s="2337">
        <v>78.12</v>
      </c>
      <c r="IE174" s="2337">
        <v>114.75</v>
      </c>
      <c r="IF174" s="2337">
        <v>167.23</v>
      </c>
      <c r="IG174" s="2337">
        <v>237.72</v>
      </c>
      <c r="IH174" s="2250"/>
      <c r="II174" s="2250"/>
      <c r="IJ174" s="2250"/>
      <c r="IK174" s="2250"/>
      <c r="IL174" s="2250"/>
      <c r="IN174" s="277"/>
      <c r="IO174" s="277"/>
    </row>
    <row r="175" spans="1:249" ht="21.95" customHeight="1">
      <c r="A175" s="2275"/>
      <c r="B175" s="2333">
        <v>58.1</v>
      </c>
      <c r="C175" s="2336">
        <v>11.58</v>
      </c>
      <c r="D175" s="2336">
        <v>17.13</v>
      </c>
      <c r="E175" s="2336">
        <v>34.06</v>
      </c>
      <c r="F175" s="2336">
        <v>57.72</v>
      </c>
      <c r="G175" s="2336">
        <v>92.67</v>
      </c>
      <c r="H175" s="2336">
        <v>132.87</v>
      </c>
      <c r="I175" s="2336">
        <v>185.45</v>
      </c>
      <c r="J175" s="2336">
        <v>272.38</v>
      </c>
      <c r="K175" s="2336">
        <v>348.81</v>
      </c>
      <c r="L175" s="2336">
        <v>584.85</v>
      </c>
      <c r="M175" s="2336">
        <v>871.68</v>
      </c>
      <c r="N175" s="2250"/>
      <c r="O175" s="2250"/>
      <c r="P175" s="2333">
        <v>58.1</v>
      </c>
      <c r="Q175" s="2336">
        <v>8.42</v>
      </c>
      <c r="R175" s="2336">
        <v>12.38</v>
      </c>
      <c r="S175" s="2336">
        <v>24.55</v>
      </c>
      <c r="T175" s="2336">
        <v>42.18</v>
      </c>
      <c r="U175" s="2336">
        <v>66.83</v>
      </c>
      <c r="V175" s="2336">
        <v>89.31</v>
      </c>
      <c r="W175" s="2336">
        <v>134.85</v>
      </c>
      <c r="X175" s="2336">
        <v>196.34</v>
      </c>
      <c r="Y175" s="2336">
        <v>252.77</v>
      </c>
      <c r="Z175" s="2336">
        <v>421.49</v>
      </c>
      <c r="AA175" s="2336">
        <v>601.88</v>
      </c>
      <c r="AB175" s="2250"/>
      <c r="AC175" s="2250"/>
      <c r="AD175" s="2333">
        <v>58.1</v>
      </c>
      <c r="AE175" s="2336">
        <v>7.34</v>
      </c>
      <c r="AF175" s="2336">
        <v>10.84</v>
      </c>
      <c r="AG175" s="2336">
        <v>21.44</v>
      </c>
      <c r="AH175" s="2336">
        <v>34.76</v>
      </c>
      <c r="AI175" s="2336">
        <v>55.3</v>
      </c>
      <c r="AJ175" s="2336">
        <v>67.489999999999995</v>
      </c>
      <c r="AK175" s="2336">
        <v>102.48</v>
      </c>
      <c r="AL175" s="2336">
        <v>151.13</v>
      </c>
      <c r="AM175" s="2336">
        <v>216.25</v>
      </c>
      <c r="AN175" s="2336">
        <v>328.44</v>
      </c>
      <c r="AO175" s="2336">
        <v>455.53</v>
      </c>
      <c r="AP175" s="2250"/>
      <c r="AQ175" s="2250"/>
      <c r="AR175" s="2333">
        <v>58.1</v>
      </c>
      <c r="AS175" s="2337">
        <v>4.46</v>
      </c>
      <c r="AT175" s="2337">
        <v>6.83</v>
      </c>
      <c r="AU175" s="2337">
        <v>12.67</v>
      </c>
      <c r="AV175" s="2337">
        <v>20</v>
      </c>
      <c r="AW175" s="2337">
        <v>31.68</v>
      </c>
      <c r="AX175" s="2337">
        <v>39.21</v>
      </c>
      <c r="AY175" s="2337">
        <v>59.01</v>
      </c>
      <c r="AZ175" s="2337">
        <v>86.53</v>
      </c>
      <c r="BA175" s="2337">
        <v>123.76</v>
      </c>
      <c r="BB175" s="2337">
        <v>188.81</v>
      </c>
      <c r="BC175" s="2337">
        <v>262.27999999999997</v>
      </c>
      <c r="BD175" s="2250"/>
      <c r="BE175" s="2250"/>
      <c r="BF175" s="1302">
        <v>129.80000000000001</v>
      </c>
      <c r="BG175" s="1302">
        <v>140.1</v>
      </c>
      <c r="BH175" s="2250"/>
      <c r="BI175" s="2275"/>
      <c r="BJ175" s="2333">
        <v>58.1</v>
      </c>
      <c r="BK175" s="2336">
        <v>11.58</v>
      </c>
      <c r="BL175" s="2336">
        <v>17.13</v>
      </c>
      <c r="BM175" s="2336">
        <v>34.06</v>
      </c>
      <c r="BN175" s="2336">
        <v>57.72</v>
      </c>
      <c r="BO175" s="2336">
        <v>92.67</v>
      </c>
      <c r="BP175" s="2336">
        <v>132.87</v>
      </c>
      <c r="BQ175" s="2336">
        <v>185.45</v>
      </c>
      <c r="BR175" s="2336">
        <v>272.38</v>
      </c>
      <c r="BS175" s="2336">
        <v>348.81</v>
      </c>
      <c r="BT175" s="2336">
        <v>584.85</v>
      </c>
      <c r="BU175" s="2336">
        <v>871.68</v>
      </c>
      <c r="BV175" s="2250"/>
      <c r="BW175" s="2250"/>
      <c r="BX175" s="2333">
        <v>58.1</v>
      </c>
      <c r="BY175" s="2336">
        <v>8.42</v>
      </c>
      <c r="BZ175" s="2336">
        <v>12.38</v>
      </c>
      <c r="CA175" s="2336">
        <v>24.55</v>
      </c>
      <c r="CB175" s="2336">
        <v>42.18</v>
      </c>
      <c r="CC175" s="2336">
        <v>66.83</v>
      </c>
      <c r="CD175" s="2336">
        <v>89.31</v>
      </c>
      <c r="CE175" s="2336">
        <v>134.85</v>
      </c>
      <c r="CF175" s="2336">
        <v>196.34</v>
      </c>
      <c r="CG175" s="2336">
        <v>252.77</v>
      </c>
      <c r="CH175" s="2336">
        <v>421.49</v>
      </c>
      <c r="CI175" s="2336">
        <v>601.88</v>
      </c>
      <c r="CJ175" s="2250"/>
      <c r="CK175" s="2250"/>
      <c r="CL175" s="2333">
        <v>58.1</v>
      </c>
      <c r="CM175" s="2336">
        <v>7.34</v>
      </c>
      <c r="CN175" s="2336">
        <v>10.84</v>
      </c>
      <c r="CO175" s="2336">
        <v>21.44</v>
      </c>
      <c r="CP175" s="2336">
        <v>34.76</v>
      </c>
      <c r="CQ175" s="2336">
        <v>55.3</v>
      </c>
      <c r="CR175" s="2336">
        <v>67.489999999999995</v>
      </c>
      <c r="CS175" s="2336">
        <v>102.48</v>
      </c>
      <c r="CT175" s="2336">
        <v>151.13</v>
      </c>
      <c r="CU175" s="2336">
        <v>216.25</v>
      </c>
      <c r="CV175" s="2336">
        <v>328.44</v>
      </c>
      <c r="CW175" s="2336">
        <v>455.53</v>
      </c>
      <c r="CX175" s="2250"/>
      <c r="CY175" s="2250"/>
      <c r="CZ175" s="2333">
        <v>58.1</v>
      </c>
      <c r="DA175" s="2337">
        <v>4.46</v>
      </c>
      <c r="DB175" s="2337">
        <v>6.83</v>
      </c>
      <c r="DC175" s="2337">
        <v>12.67</v>
      </c>
      <c r="DD175" s="2337">
        <v>20</v>
      </c>
      <c r="DE175" s="2337">
        <v>31.68</v>
      </c>
      <c r="DF175" s="2337">
        <v>39.21</v>
      </c>
      <c r="DG175" s="2337">
        <v>59.01</v>
      </c>
      <c r="DH175" s="2337">
        <v>86.53</v>
      </c>
      <c r="DI175" s="2337">
        <v>123.76</v>
      </c>
      <c r="DJ175" s="2337">
        <v>188.81</v>
      </c>
      <c r="DK175" s="2337">
        <v>262.27999999999997</v>
      </c>
      <c r="DL175" s="2250"/>
      <c r="DM175" s="2250"/>
      <c r="DN175" s="2250"/>
      <c r="DO175" s="2250"/>
      <c r="DP175" s="2250"/>
      <c r="DQ175" s="2277"/>
      <c r="DR175" s="2277"/>
      <c r="DS175" s="277"/>
      <c r="DW175" s="2275"/>
      <c r="DX175" s="2333">
        <v>58.1</v>
      </c>
      <c r="DY175" s="2336">
        <v>11.58</v>
      </c>
      <c r="DZ175" s="2336">
        <v>17.13</v>
      </c>
      <c r="EA175" s="2336">
        <v>34.06</v>
      </c>
      <c r="EB175" s="2336">
        <v>57.72</v>
      </c>
      <c r="EC175" s="2336">
        <v>92.67</v>
      </c>
      <c r="ED175" s="2336">
        <v>132.87</v>
      </c>
      <c r="EE175" s="2336">
        <v>185.45</v>
      </c>
      <c r="EF175" s="2336">
        <v>272.38</v>
      </c>
      <c r="EG175" s="2336">
        <v>348.81</v>
      </c>
      <c r="EH175" s="2336">
        <v>584.85</v>
      </c>
      <c r="EI175" s="2336">
        <v>871.68</v>
      </c>
      <c r="EJ175" s="2250"/>
      <c r="EK175" s="2250"/>
      <c r="EL175" s="2333">
        <v>58.1</v>
      </c>
      <c r="EM175" s="2336">
        <v>8.42</v>
      </c>
      <c r="EN175" s="2336">
        <v>12.38</v>
      </c>
      <c r="EO175" s="2336">
        <v>24.55</v>
      </c>
      <c r="EP175" s="2336">
        <v>42.18</v>
      </c>
      <c r="EQ175" s="2336">
        <v>66.83</v>
      </c>
      <c r="ER175" s="2336">
        <v>89.31</v>
      </c>
      <c r="ES175" s="2336">
        <v>134.85</v>
      </c>
      <c r="ET175" s="2336">
        <v>196.34</v>
      </c>
      <c r="EU175" s="2336">
        <v>252.77</v>
      </c>
      <c r="EV175" s="2336">
        <v>421.49</v>
      </c>
      <c r="EW175" s="2336">
        <v>601.88</v>
      </c>
      <c r="EX175" s="2250"/>
      <c r="EY175" s="2250"/>
      <c r="EZ175" s="2333">
        <v>58.1</v>
      </c>
      <c r="FA175" s="2336">
        <v>7.34</v>
      </c>
      <c r="FB175" s="2336">
        <v>10.84</v>
      </c>
      <c r="FC175" s="2336">
        <v>21.44</v>
      </c>
      <c r="FD175" s="2336">
        <v>34.76</v>
      </c>
      <c r="FE175" s="2336">
        <v>55.3</v>
      </c>
      <c r="FF175" s="2336">
        <v>67.489999999999995</v>
      </c>
      <c r="FG175" s="2336">
        <v>102.48</v>
      </c>
      <c r="FH175" s="2336">
        <v>151.13</v>
      </c>
      <c r="FI175" s="2336">
        <v>216.25</v>
      </c>
      <c r="FJ175" s="2336">
        <v>328.44</v>
      </c>
      <c r="FK175" s="2336">
        <v>455.53</v>
      </c>
      <c r="FL175" s="2250"/>
      <c r="FM175" s="2250"/>
      <c r="FN175" s="2333">
        <v>58.1</v>
      </c>
      <c r="FO175" s="2337">
        <v>4.46</v>
      </c>
      <c r="FP175" s="2337">
        <v>6.83</v>
      </c>
      <c r="FQ175" s="2337">
        <v>12.67</v>
      </c>
      <c r="FR175" s="2337">
        <v>20</v>
      </c>
      <c r="FS175" s="2337">
        <v>31.68</v>
      </c>
      <c r="FT175" s="2337">
        <v>39.21</v>
      </c>
      <c r="FU175" s="2337">
        <v>59.01</v>
      </c>
      <c r="FV175" s="2337">
        <v>86.53</v>
      </c>
      <c r="FW175" s="2337">
        <v>123.76</v>
      </c>
      <c r="FX175" s="2337">
        <v>188.81</v>
      </c>
      <c r="FY175" s="2337">
        <v>262.27999999999997</v>
      </c>
      <c r="FZ175" s="2250"/>
      <c r="GA175" s="2250"/>
      <c r="GB175" s="1302">
        <v>129.80000000000001</v>
      </c>
      <c r="GC175" s="1302">
        <v>140.1</v>
      </c>
      <c r="GD175" s="2250"/>
      <c r="GE175" s="2275"/>
      <c r="GF175" s="2333">
        <v>58.1</v>
      </c>
      <c r="GG175" s="2336">
        <v>11.58</v>
      </c>
      <c r="GH175" s="2336">
        <v>17.13</v>
      </c>
      <c r="GI175" s="2336">
        <v>34.06</v>
      </c>
      <c r="GJ175" s="2336">
        <v>57.72</v>
      </c>
      <c r="GK175" s="2336">
        <v>92.67</v>
      </c>
      <c r="GL175" s="2336">
        <v>132.87</v>
      </c>
      <c r="GM175" s="2336">
        <v>185.45</v>
      </c>
      <c r="GN175" s="2336">
        <v>272.38</v>
      </c>
      <c r="GO175" s="2336">
        <v>348.81</v>
      </c>
      <c r="GP175" s="2336">
        <v>584.85</v>
      </c>
      <c r="GQ175" s="2336">
        <v>871.68</v>
      </c>
      <c r="GR175" s="2250"/>
      <c r="GS175" s="2250"/>
      <c r="GT175" s="2333">
        <v>58.1</v>
      </c>
      <c r="GU175" s="2336">
        <v>8.42</v>
      </c>
      <c r="GV175" s="2336">
        <v>12.38</v>
      </c>
      <c r="GW175" s="2336">
        <v>24.55</v>
      </c>
      <c r="GX175" s="2336">
        <v>42.18</v>
      </c>
      <c r="GY175" s="2336">
        <v>66.83</v>
      </c>
      <c r="GZ175" s="2336">
        <v>89.31</v>
      </c>
      <c r="HA175" s="2336">
        <v>134.85</v>
      </c>
      <c r="HB175" s="2336">
        <v>196.34</v>
      </c>
      <c r="HC175" s="2336">
        <v>252.77</v>
      </c>
      <c r="HD175" s="2336">
        <v>421.49</v>
      </c>
      <c r="HE175" s="2336">
        <v>601.88</v>
      </c>
      <c r="HF175" s="2250"/>
      <c r="HG175" s="2250"/>
      <c r="HH175" s="2333">
        <v>58.1</v>
      </c>
      <c r="HI175" s="2336">
        <v>7.34</v>
      </c>
      <c r="HJ175" s="2336">
        <v>10.84</v>
      </c>
      <c r="HK175" s="2336">
        <v>21.44</v>
      </c>
      <c r="HL175" s="2336">
        <v>34.76</v>
      </c>
      <c r="HM175" s="2336">
        <v>55.3</v>
      </c>
      <c r="HN175" s="2336">
        <v>67.489999999999995</v>
      </c>
      <c r="HO175" s="2336">
        <v>102.48</v>
      </c>
      <c r="HP175" s="2336">
        <v>151.13</v>
      </c>
      <c r="HQ175" s="2336">
        <v>216.25</v>
      </c>
      <c r="HR175" s="2336">
        <v>328.44</v>
      </c>
      <c r="HS175" s="2336">
        <v>455.53</v>
      </c>
      <c r="HT175" s="2250"/>
      <c r="HU175" s="2250"/>
      <c r="HV175" s="2333">
        <v>58.1</v>
      </c>
      <c r="HW175" s="2337">
        <v>4.46</v>
      </c>
      <c r="HX175" s="2337">
        <v>6.83</v>
      </c>
      <c r="HY175" s="2337">
        <v>12.67</v>
      </c>
      <c r="HZ175" s="2337">
        <v>20</v>
      </c>
      <c r="IA175" s="2337">
        <v>31.68</v>
      </c>
      <c r="IB175" s="2337">
        <v>39.21</v>
      </c>
      <c r="IC175" s="2337">
        <v>59.01</v>
      </c>
      <c r="ID175" s="2337">
        <v>86.53</v>
      </c>
      <c r="IE175" s="2337">
        <v>123.76</v>
      </c>
      <c r="IF175" s="2337">
        <v>188.81</v>
      </c>
      <c r="IG175" s="2337">
        <v>262.27999999999997</v>
      </c>
      <c r="IH175" s="2250"/>
      <c r="II175" s="2250"/>
      <c r="IJ175" s="2250"/>
      <c r="IK175" s="2250"/>
      <c r="IL175" s="2250"/>
      <c r="IN175" s="277"/>
      <c r="IO175" s="277"/>
    </row>
    <row r="176" spans="1:249" ht="21.95" customHeight="1">
      <c r="A176" s="2275"/>
      <c r="B176" s="2333">
        <v>53.7</v>
      </c>
      <c r="C176" s="2336">
        <v>12.38</v>
      </c>
      <c r="D176" s="2336">
        <v>18.420000000000002</v>
      </c>
      <c r="E176" s="2336">
        <v>36.340000000000003</v>
      </c>
      <c r="F176" s="2336">
        <v>62.97</v>
      </c>
      <c r="G176" s="2336">
        <v>98.91</v>
      </c>
      <c r="H176" s="2336">
        <v>143.76</v>
      </c>
      <c r="I176" s="2336">
        <v>210.1</v>
      </c>
      <c r="J176" s="2336">
        <v>288.22000000000003</v>
      </c>
      <c r="K176" s="2336">
        <v>362.28</v>
      </c>
      <c r="L176" s="2336">
        <v>614.46</v>
      </c>
      <c r="M176" s="2336">
        <v>919.6</v>
      </c>
      <c r="N176" s="2250"/>
      <c r="O176" s="2250"/>
      <c r="P176" s="2333">
        <v>53.7</v>
      </c>
      <c r="Q176" s="2336">
        <v>8.91</v>
      </c>
      <c r="R176" s="2336">
        <v>13.27</v>
      </c>
      <c r="S176" s="2336">
        <v>26.24</v>
      </c>
      <c r="T176" s="2336">
        <v>45.45</v>
      </c>
      <c r="U176" s="2336">
        <v>71.290000000000006</v>
      </c>
      <c r="V176" s="2336">
        <v>96.63</v>
      </c>
      <c r="W176" s="2336">
        <v>145.25</v>
      </c>
      <c r="X176" s="2336">
        <v>207.82</v>
      </c>
      <c r="Y176" s="2336">
        <v>263.37</v>
      </c>
      <c r="Z176" s="2336">
        <v>442.97</v>
      </c>
      <c r="AA176" s="2336">
        <v>656.83</v>
      </c>
      <c r="AB176" s="2250"/>
      <c r="AC176" s="2250"/>
      <c r="AD176" s="2333">
        <v>53.7</v>
      </c>
      <c r="AE176" s="2336">
        <v>7.79</v>
      </c>
      <c r="AF176" s="2336">
        <v>11.63</v>
      </c>
      <c r="AG176" s="2336">
        <v>22.12</v>
      </c>
      <c r="AH176" s="2336">
        <v>35.33</v>
      </c>
      <c r="AI176" s="2336">
        <v>58.58</v>
      </c>
      <c r="AJ176" s="2336">
        <v>73.59</v>
      </c>
      <c r="AK176" s="2336">
        <v>109.82</v>
      </c>
      <c r="AL176" s="2336">
        <v>158.91999999999999</v>
      </c>
      <c r="AM176" s="2336">
        <v>228.67</v>
      </c>
      <c r="AN176" s="2336">
        <v>343.34</v>
      </c>
      <c r="AO176" s="2336">
        <v>501.81</v>
      </c>
      <c r="AP176" s="2250"/>
      <c r="AQ176" s="2250"/>
      <c r="AR176" s="2333">
        <v>53.7</v>
      </c>
      <c r="AS176" s="2337">
        <v>4.95</v>
      </c>
      <c r="AT176" s="2337">
        <v>7.03</v>
      </c>
      <c r="AU176" s="2337">
        <v>12.77</v>
      </c>
      <c r="AV176" s="2337">
        <v>20.399999999999999</v>
      </c>
      <c r="AW176" s="2337">
        <v>33.56</v>
      </c>
      <c r="AX176" s="2337">
        <v>42.48</v>
      </c>
      <c r="AY176" s="2337">
        <v>63.47</v>
      </c>
      <c r="AZ176" s="2337">
        <v>91.19</v>
      </c>
      <c r="BA176" s="2337">
        <v>131.88</v>
      </c>
      <c r="BB176" s="2337">
        <v>197.62</v>
      </c>
      <c r="BC176" s="2337">
        <v>287.13</v>
      </c>
      <c r="BD176" s="2250"/>
      <c r="BE176" s="2250"/>
      <c r="BF176" s="1302">
        <v>140.1</v>
      </c>
      <c r="BG176" s="1302">
        <v>151.30000000000001</v>
      </c>
      <c r="BH176" s="2250"/>
      <c r="BI176" s="2275"/>
      <c r="BJ176" s="2333">
        <v>53.7</v>
      </c>
      <c r="BK176" s="2336">
        <v>12.38</v>
      </c>
      <c r="BL176" s="2336">
        <v>18.420000000000002</v>
      </c>
      <c r="BM176" s="2336">
        <v>36.340000000000003</v>
      </c>
      <c r="BN176" s="2336">
        <v>62.97</v>
      </c>
      <c r="BO176" s="2336">
        <v>98.91</v>
      </c>
      <c r="BP176" s="2336">
        <v>143.76</v>
      </c>
      <c r="BQ176" s="2336">
        <v>210.1</v>
      </c>
      <c r="BR176" s="2336">
        <v>288.22000000000003</v>
      </c>
      <c r="BS176" s="2336">
        <v>362.28</v>
      </c>
      <c r="BT176" s="2336">
        <v>614.46</v>
      </c>
      <c r="BU176" s="2336">
        <v>919.6</v>
      </c>
      <c r="BV176" s="2250"/>
      <c r="BW176" s="2250"/>
      <c r="BX176" s="2333">
        <v>53.7</v>
      </c>
      <c r="BY176" s="2336">
        <v>8.91</v>
      </c>
      <c r="BZ176" s="2336">
        <v>13.27</v>
      </c>
      <c r="CA176" s="2336">
        <v>26.24</v>
      </c>
      <c r="CB176" s="2336">
        <v>45.45</v>
      </c>
      <c r="CC176" s="2336">
        <v>71.290000000000006</v>
      </c>
      <c r="CD176" s="2336">
        <v>96.63</v>
      </c>
      <c r="CE176" s="2336">
        <v>145.25</v>
      </c>
      <c r="CF176" s="2336">
        <v>207.82</v>
      </c>
      <c r="CG176" s="2336">
        <v>263.37</v>
      </c>
      <c r="CH176" s="2336">
        <v>442.97</v>
      </c>
      <c r="CI176" s="2336">
        <v>656.83</v>
      </c>
      <c r="CJ176" s="2250"/>
      <c r="CK176" s="2250"/>
      <c r="CL176" s="2333">
        <v>53.7</v>
      </c>
      <c r="CM176" s="2336">
        <v>7.79</v>
      </c>
      <c r="CN176" s="2336">
        <v>11.63</v>
      </c>
      <c r="CO176" s="2336">
        <v>22.12</v>
      </c>
      <c r="CP176" s="2336">
        <v>35.33</v>
      </c>
      <c r="CQ176" s="2336">
        <v>58.58</v>
      </c>
      <c r="CR176" s="2336">
        <v>73.59</v>
      </c>
      <c r="CS176" s="2336">
        <v>109.82</v>
      </c>
      <c r="CT176" s="2336">
        <v>158.91999999999999</v>
      </c>
      <c r="CU176" s="2336">
        <v>228.67</v>
      </c>
      <c r="CV176" s="2336">
        <v>343.34</v>
      </c>
      <c r="CW176" s="2336">
        <v>501.81</v>
      </c>
      <c r="CX176" s="2250"/>
      <c r="CY176" s="2250"/>
      <c r="CZ176" s="2333">
        <v>53.7</v>
      </c>
      <c r="DA176" s="2337">
        <v>4.95</v>
      </c>
      <c r="DB176" s="2337">
        <v>7.03</v>
      </c>
      <c r="DC176" s="2337">
        <v>12.77</v>
      </c>
      <c r="DD176" s="2337">
        <v>20.399999999999999</v>
      </c>
      <c r="DE176" s="2337">
        <v>33.56</v>
      </c>
      <c r="DF176" s="2337">
        <v>42.48</v>
      </c>
      <c r="DG176" s="2337">
        <v>63.47</v>
      </c>
      <c r="DH176" s="2337">
        <v>91.19</v>
      </c>
      <c r="DI176" s="2337">
        <v>131.88</v>
      </c>
      <c r="DJ176" s="2337">
        <v>197.62</v>
      </c>
      <c r="DK176" s="2337">
        <v>287.13</v>
      </c>
      <c r="DL176" s="2250"/>
      <c r="DM176" s="2250"/>
      <c r="DN176" s="2250"/>
      <c r="DO176" s="2250"/>
      <c r="DP176" s="2250"/>
      <c r="DQ176" s="2277"/>
      <c r="DR176" s="2277"/>
      <c r="DS176" s="277"/>
      <c r="DW176" s="2275"/>
      <c r="DX176" s="2333">
        <v>53.7</v>
      </c>
      <c r="DY176" s="2336">
        <v>12.38</v>
      </c>
      <c r="DZ176" s="2336">
        <v>18.420000000000002</v>
      </c>
      <c r="EA176" s="2336">
        <v>36.340000000000003</v>
      </c>
      <c r="EB176" s="2336">
        <v>62.97</v>
      </c>
      <c r="EC176" s="2336">
        <v>98.91</v>
      </c>
      <c r="ED176" s="2336">
        <v>143.76</v>
      </c>
      <c r="EE176" s="2336">
        <v>210.1</v>
      </c>
      <c r="EF176" s="2336">
        <v>288.22000000000003</v>
      </c>
      <c r="EG176" s="2336">
        <v>362.28</v>
      </c>
      <c r="EH176" s="2336">
        <v>614.46</v>
      </c>
      <c r="EI176" s="2336">
        <v>919.6</v>
      </c>
      <c r="EJ176" s="2250"/>
      <c r="EK176" s="2250"/>
      <c r="EL176" s="2333">
        <v>53.7</v>
      </c>
      <c r="EM176" s="2336">
        <v>8.91</v>
      </c>
      <c r="EN176" s="2336">
        <v>13.27</v>
      </c>
      <c r="EO176" s="2336">
        <v>26.24</v>
      </c>
      <c r="EP176" s="2336">
        <v>45.45</v>
      </c>
      <c r="EQ176" s="2336">
        <v>71.290000000000006</v>
      </c>
      <c r="ER176" s="2336">
        <v>96.63</v>
      </c>
      <c r="ES176" s="2336">
        <v>145.25</v>
      </c>
      <c r="ET176" s="2336">
        <v>207.82</v>
      </c>
      <c r="EU176" s="2336">
        <v>263.37</v>
      </c>
      <c r="EV176" s="2336">
        <v>442.97</v>
      </c>
      <c r="EW176" s="2336">
        <v>656.83</v>
      </c>
      <c r="EX176" s="2250"/>
      <c r="EY176" s="2250"/>
      <c r="EZ176" s="2333">
        <v>53.7</v>
      </c>
      <c r="FA176" s="2336">
        <v>7.79</v>
      </c>
      <c r="FB176" s="2336">
        <v>11.63</v>
      </c>
      <c r="FC176" s="2336">
        <v>22.12</v>
      </c>
      <c r="FD176" s="2336">
        <v>35.33</v>
      </c>
      <c r="FE176" s="2336">
        <v>58.58</v>
      </c>
      <c r="FF176" s="2336">
        <v>73.59</v>
      </c>
      <c r="FG176" s="2336">
        <v>109.82</v>
      </c>
      <c r="FH176" s="2336">
        <v>158.91999999999999</v>
      </c>
      <c r="FI176" s="2336">
        <v>228.67</v>
      </c>
      <c r="FJ176" s="2336">
        <v>343.34</v>
      </c>
      <c r="FK176" s="2336">
        <v>501.81</v>
      </c>
      <c r="FL176" s="2250"/>
      <c r="FM176" s="2250"/>
      <c r="FN176" s="2333">
        <v>53.7</v>
      </c>
      <c r="FO176" s="2337">
        <v>4.95</v>
      </c>
      <c r="FP176" s="2337">
        <v>7.03</v>
      </c>
      <c r="FQ176" s="2337">
        <v>12.77</v>
      </c>
      <c r="FR176" s="2337">
        <v>20.399999999999999</v>
      </c>
      <c r="FS176" s="2337">
        <v>33.56</v>
      </c>
      <c r="FT176" s="2337">
        <v>42.48</v>
      </c>
      <c r="FU176" s="2337">
        <v>63.47</v>
      </c>
      <c r="FV176" s="2337">
        <v>91.19</v>
      </c>
      <c r="FW176" s="2337">
        <v>131.88</v>
      </c>
      <c r="FX176" s="2337">
        <v>197.62</v>
      </c>
      <c r="FY176" s="2337">
        <v>287.13</v>
      </c>
      <c r="FZ176" s="2250"/>
      <c r="GA176" s="2250"/>
      <c r="GB176" s="1302">
        <v>140.1</v>
      </c>
      <c r="GC176" s="1302">
        <v>151.30000000000001</v>
      </c>
      <c r="GD176" s="2250"/>
      <c r="GE176" s="2275"/>
      <c r="GF176" s="2333">
        <v>53.7</v>
      </c>
      <c r="GG176" s="2336">
        <v>12.38</v>
      </c>
      <c r="GH176" s="2336">
        <v>18.420000000000002</v>
      </c>
      <c r="GI176" s="2336">
        <v>36.340000000000003</v>
      </c>
      <c r="GJ176" s="2336">
        <v>62.97</v>
      </c>
      <c r="GK176" s="2336">
        <v>98.91</v>
      </c>
      <c r="GL176" s="2336">
        <v>143.76</v>
      </c>
      <c r="GM176" s="2336">
        <v>210.1</v>
      </c>
      <c r="GN176" s="2336">
        <v>288.22000000000003</v>
      </c>
      <c r="GO176" s="2336">
        <v>362.28</v>
      </c>
      <c r="GP176" s="2336">
        <v>614.46</v>
      </c>
      <c r="GQ176" s="2336">
        <v>919.6</v>
      </c>
      <c r="GR176" s="2250"/>
      <c r="GS176" s="2250"/>
      <c r="GT176" s="2333">
        <v>53.7</v>
      </c>
      <c r="GU176" s="2336">
        <v>8.91</v>
      </c>
      <c r="GV176" s="2336">
        <v>13.27</v>
      </c>
      <c r="GW176" s="2336">
        <v>26.24</v>
      </c>
      <c r="GX176" s="2336">
        <v>45.45</v>
      </c>
      <c r="GY176" s="2336">
        <v>71.290000000000006</v>
      </c>
      <c r="GZ176" s="2336">
        <v>96.63</v>
      </c>
      <c r="HA176" s="2336">
        <v>145.25</v>
      </c>
      <c r="HB176" s="2336">
        <v>207.82</v>
      </c>
      <c r="HC176" s="2336">
        <v>263.37</v>
      </c>
      <c r="HD176" s="2336">
        <v>442.97</v>
      </c>
      <c r="HE176" s="2336">
        <v>656.83</v>
      </c>
      <c r="HF176" s="2250"/>
      <c r="HG176" s="2250"/>
      <c r="HH176" s="2333">
        <v>53.7</v>
      </c>
      <c r="HI176" s="2336">
        <v>7.79</v>
      </c>
      <c r="HJ176" s="2336">
        <v>11.63</v>
      </c>
      <c r="HK176" s="2336">
        <v>22.12</v>
      </c>
      <c r="HL176" s="2336">
        <v>35.33</v>
      </c>
      <c r="HM176" s="2336">
        <v>58.58</v>
      </c>
      <c r="HN176" s="2336">
        <v>73.59</v>
      </c>
      <c r="HO176" s="2336">
        <v>109.82</v>
      </c>
      <c r="HP176" s="2336">
        <v>158.91999999999999</v>
      </c>
      <c r="HQ176" s="2336">
        <v>228.67</v>
      </c>
      <c r="HR176" s="2336">
        <v>343.34</v>
      </c>
      <c r="HS176" s="2336">
        <v>501.81</v>
      </c>
      <c r="HT176" s="2250"/>
      <c r="HU176" s="2250"/>
      <c r="HV176" s="2333">
        <v>53.7</v>
      </c>
      <c r="HW176" s="2337">
        <v>4.95</v>
      </c>
      <c r="HX176" s="2337">
        <v>7.03</v>
      </c>
      <c r="HY176" s="2337">
        <v>12.77</v>
      </c>
      <c r="HZ176" s="2337">
        <v>20.399999999999999</v>
      </c>
      <c r="IA176" s="2337">
        <v>33.56</v>
      </c>
      <c r="IB176" s="2337">
        <v>42.48</v>
      </c>
      <c r="IC176" s="2337">
        <v>63.47</v>
      </c>
      <c r="ID176" s="2337">
        <v>91.19</v>
      </c>
      <c r="IE176" s="2337">
        <v>131.88</v>
      </c>
      <c r="IF176" s="2337">
        <v>197.62</v>
      </c>
      <c r="IG176" s="2337">
        <v>287.13</v>
      </c>
      <c r="IH176" s="2250"/>
      <c r="II176" s="2250"/>
      <c r="IJ176" s="2250"/>
      <c r="IK176" s="2250"/>
      <c r="IL176" s="2250"/>
      <c r="IN176" s="277"/>
      <c r="IO176" s="277"/>
    </row>
    <row r="177" spans="1:249" ht="21.95" customHeight="1">
      <c r="A177" s="2275"/>
      <c r="B177" s="2333">
        <v>48.8</v>
      </c>
      <c r="C177" s="2336">
        <v>13.66</v>
      </c>
      <c r="D177" s="2336">
        <v>20.399999999999999</v>
      </c>
      <c r="E177" s="2336">
        <v>39.799999999999997</v>
      </c>
      <c r="F177" s="2336">
        <v>66.83</v>
      </c>
      <c r="G177" s="2336">
        <v>109.11</v>
      </c>
      <c r="H177" s="2336">
        <v>154.85</v>
      </c>
      <c r="I177" s="2336">
        <v>225.15</v>
      </c>
      <c r="J177" s="2336">
        <v>318.12</v>
      </c>
      <c r="K177" s="2336">
        <v>410.3</v>
      </c>
      <c r="L177" s="2336">
        <v>674.75</v>
      </c>
      <c r="M177" s="2336">
        <v>993.96</v>
      </c>
      <c r="N177" s="2250"/>
      <c r="O177" s="2250"/>
      <c r="P177" s="2333">
        <v>48.8</v>
      </c>
      <c r="Q177" s="2336">
        <v>9.8000000000000007</v>
      </c>
      <c r="R177" s="2336">
        <v>14.65</v>
      </c>
      <c r="S177" s="2336">
        <v>28.71</v>
      </c>
      <c r="T177" s="2336">
        <v>48.71</v>
      </c>
      <c r="U177" s="2336">
        <v>78.709999999999994</v>
      </c>
      <c r="V177" s="2336">
        <v>104.46</v>
      </c>
      <c r="W177" s="2336">
        <v>157.03</v>
      </c>
      <c r="X177" s="2336">
        <v>228.91</v>
      </c>
      <c r="Y177" s="2336">
        <v>295.54000000000002</v>
      </c>
      <c r="Z177" s="2336">
        <v>486.63</v>
      </c>
      <c r="AA177" s="2336">
        <v>722.67</v>
      </c>
      <c r="AB177" s="2250"/>
      <c r="AC177" s="2250"/>
      <c r="AD177" s="2333">
        <v>48.8</v>
      </c>
      <c r="AE177" s="2336">
        <v>8.58</v>
      </c>
      <c r="AF177" s="2336">
        <v>12.75</v>
      </c>
      <c r="AG177" s="2336">
        <v>24.83</v>
      </c>
      <c r="AH177" s="2336">
        <v>39.840000000000003</v>
      </c>
      <c r="AI177" s="2336">
        <v>63.77</v>
      </c>
      <c r="AJ177" s="2336">
        <v>79.8</v>
      </c>
      <c r="AK177" s="2336">
        <v>119.07</v>
      </c>
      <c r="AL177" s="2336">
        <v>173.14</v>
      </c>
      <c r="AM177" s="2336">
        <v>238.83</v>
      </c>
      <c r="AN177" s="2336">
        <v>371.67</v>
      </c>
      <c r="AO177" s="2336">
        <v>547.4</v>
      </c>
      <c r="AP177" s="2250"/>
      <c r="AQ177" s="2250"/>
      <c r="AR177" s="2333">
        <v>48.8</v>
      </c>
      <c r="AS177" s="2337">
        <v>5.25</v>
      </c>
      <c r="AT177" s="2337">
        <v>7.72</v>
      </c>
      <c r="AU177" s="2337">
        <v>14.36</v>
      </c>
      <c r="AV177" s="2337">
        <v>23.07</v>
      </c>
      <c r="AW177" s="2337">
        <v>36.83</v>
      </c>
      <c r="AX177" s="2337">
        <v>45.94</v>
      </c>
      <c r="AY177" s="2337">
        <v>68.91</v>
      </c>
      <c r="AZ177" s="2337">
        <v>100</v>
      </c>
      <c r="BA177" s="2337">
        <v>138.12</v>
      </c>
      <c r="BB177" s="2337">
        <v>215.25</v>
      </c>
      <c r="BC177" s="2337">
        <v>316.93</v>
      </c>
      <c r="BD177" s="2250"/>
      <c r="BE177" s="2250"/>
      <c r="BF177" s="1302">
        <v>151.30000000000001</v>
      </c>
      <c r="BG177" s="1302">
        <v>162.68</v>
      </c>
      <c r="BH177" s="2250"/>
      <c r="BI177" s="2275"/>
      <c r="BJ177" s="2333">
        <v>48.8</v>
      </c>
      <c r="BK177" s="2336">
        <v>13.66</v>
      </c>
      <c r="BL177" s="2336">
        <v>20.399999999999999</v>
      </c>
      <c r="BM177" s="2336">
        <v>39.799999999999997</v>
      </c>
      <c r="BN177" s="2336">
        <v>66.83</v>
      </c>
      <c r="BO177" s="2336">
        <v>109.11</v>
      </c>
      <c r="BP177" s="2336">
        <v>154.85</v>
      </c>
      <c r="BQ177" s="2336">
        <v>225.15</v>
      </c>
      <c r="BR177" s="2336">
        <v>318.12</v>
      </c>
      <c r="BS177" s="2336">
        <v>410.3</v>
      </c>
      <c r="BT177" s="2336">
        <v>674.75</v>
      </c>
      <c r="BU177" s="2336">
        <v>993.96</v>
      </c>
      <c r="BV177" s="2250"/>
      <c r="BW177" s="2250"/>
      <c r="BX177" s="2333">
        <v>48.8</v>
      </c>
      <c r="BY177" s="2336">
        <v>9.8000000000000007</v>
      </c>
      <c r="BZ177" s="2336">
        <v>14.65</v>
      </c>
      <c r="CA177" s="2336">
        <v>28.71</v>
      </c>
      <c r="CB177" s="2336">
        <v>48.71</v>
      </c>
      <c r="CC177" s="2336">
        <v>78.709999999999994</v>
      </c>
      <c r="CD177" s="2336">
        <v>104.46</v>
      </c>
      <c r="CE177" s="2336">
        <v>157.03</v>
      </c>
      <c r="CF177" s="2336">
        <v>228.91</v>
      </c>
      <c r="CG177" s="2336">
        <v>295.54000000000002</v>
      </c>
      <c r="CH177" s="2336">
        <v>486.63</v>
      </c>
      <c r="CI177" s="2336">
        <v>722.67</v>
      </c>
      <c r="CJ177" s="2250"/>
      <c r="CK177" s="2250"/>
      <c r="CL177" s="2333">
        <v>48.8</v>
      </c>
      <c r="CM177" s="2336">
        <v>8.58</v>
      </c>
      <c r="CN177" s="2336">
        <v>12.75</v>
      </c>
      <c r="CO177" s="2336">
        <v>24.83</v>
      </c>
      <c r="CP177" s="2336">
        <v>39.840000000000003</v>
      </c>
      <c r="CQ177" s="2336">
        <v>63.77</v>
      </c>
      <c r="CR177" s="2336">
        <v>79.8</v>
      </c>
      <c r="CS177" s="2336">
        <v>119.07</v>
      </c>
      <c r="CT177" s="2336">
        <v>173.14</v>
      </c>
      <c r="CU177" s="2336">
        <v>238.83</v>
      </c>
      <c r="CV177" s="2336">
        <v>371.67</v>
      </c>
      <c r="CW177" s="2336">
        <v>547.4</v>
      </c>
      <c r="CX177" s="2250"/>
      <c r="CY177" s="2250"/>
      <c r="CZ177" s="2333">
        <v>48.8</v>
      </c>
      <c r="DA177" s="2337">
        <v>5.25</v>
      </c>
      <c r="DB177" s="2337">
        <v>7.72</v>
      </c>
      <c r="DC177" s="2337">
        <v>14.36</v>
      </c>
      <c r="DD177" s="2337">
        <v>23.07</v>
      </c>
      <c r="DE177" s="2337">
        <v>36.83</v>
      </c>
      <c r="DF177" s="2337">
        <v>45.94</v>
      </c>
      <c r="DG177" s="2337">
        <v>68.91</v>
      </c>
      <c r="DH177" s="2337">
        <v>100</v>
      </c>
      <c r="DI177" s="2337">
        <v>138.12</v>
      </c>
      <c r="DJ177" s="2337">
        <v>215.25</v>
      </c>
      <c r="DK177" s="2337">
        <v>316.93</v>
      </c>
      <c r="DL177" s="2250"/>
      <c r="DM177" s="2250"/>
      <c r="DN177" s="2250"/>
      <c r="DO177" s="2250"/>
      <c r="DP177" s="2250"/>
      <c r="DQ177" s="2277"/>
      <c r="DR177" s="2277"/>
      <c r="DS177" s="277"/>
      <c r="DW177" s="2275"/>
      <c r="DX177" s="2333">
        <v>48.8</v>
      </c>
      <c r="DY177" s="2336">
        <v>13.66</v>
      </c>
      <c r="DZ177" s="2336">
        <v>20.399999999999999</v>
      </c>
      <c r="EA177" s="2336">
        <v>39.799999999999997</v>
      </c>
      <c r="EB177" s="2336">
        <v>66.83</v>
      </c>
      <c r="EC177" s="2336">
        <v>109.11</v>
      </c>
      <c r="ED177" s="2336">
        <v>154.85</v>
      </c>
      <c r="EE177" s="2336">
        <v>225.15</v>
      </c>
      <c r="EF177" s="2336">
        <v>318.12</v>
      </c>
      <c r="EG177" s="2336">
        <v>410.3</v>
      </c>
      <c r="EH177" s="2336">
        <v>674.75</v>
      </c>
      <c r="EI177" s="2336">
        <v>993.96</v>
      </c>
      <c r="EJ177" s="2250"/>
      <c r="EK177" s="2250"/>
      <c r="EL177" s="2333">
        <v>48.8</v>
      </c>
      <c r="EM177" s="2336">
        <v>9.8000000000000007</v>
      </c>
      <c r="EN177" s="2336">
        <v>14.65</v>
      </c>
      <c r="EO177" s="2336">
        <v>28.71</v>
      </c>
      <c r="EP177" s="2336">
        <v>48.71</v>
      </c>
      <c r="EQ177" s="2336">
        <v>78.709999999999994</v>
      </c>
      <c r="ER177" s="2336">
        <v>104.46</v>
      </c>
      <c r="ES177" s="2336">
        <v>157.03</v>
      </c>
      <c r="ET177" s="2336">
        <v>228.91</v>
      </c>
      <c r="EU177" s="2336">
        <v>295.54000000000002</v>
      </c>
      <c r="EV177" s="2336">
        <v>486.63</v>
      </c>
      <c r="EW177" s="2336">
        <v>722.67</v>
      </c>
      <c r="EX177" s="2250"/>
      <c r="EY177" s="2250"/>
      <c r="EZ177" s="2333">
        <v>48.8</v>
      </c>
      <c r="FA177" s="2336">
        <v>8.58</v>
      </c>
      <c r="FB177" s="2336">
        <v>12.75</v>
      </c>
      <c r="FC177" s="2336">
        <v>24.83</v>
      </c>
      <c r="FD177" s="2336">
        <v>39.840000000000003</v>
      </c>
      <c r="FE177" s="2336">
        <v>63.77</v>
      </c>
      <c r="FF177" s="2336">
        <v>79.8</v>
      </c>
      <c r="FG177" s="2336">
        <v>119.07</v>
      </c>
      <c r="FH177" s="2336">
        <v>173.14</v>
      </c>
      <c r="FI177" s="2336">
        <v>238.83</v>
      </c>
      <c r="FJ177" s="2336">
        <v>371.67</v>
      </c>
      <c r="FK177" s="2336">
        <v>547.4</v>
      </c>
      <c r="FL177" s="2250"/>
      <c r="FM177" s="2250"/>
      <c r="FN177" s="2333">
        <v>48.8</v>
      </c>
      <c r="FO177" s="2337">
        <v>5.25</v>
      </c>
      <c r="FP177" s="2337">
        <v>7.72</v>
      </c>
      <c r="FQ177" s="2337">
        <v>14.36</v>
      </c>
      <c r="FR177" s="2337">
        <v>23.07</v>
      </c>
      <c r="FS177" s="2337">
        <v>36.83</v>
      </c>
      <c r="FT177" s="2337">
        <v>45.94</v>
      </c>
      <c r="FU177" s="2337">
        <v>68.91</v>
      </c>
      <c r="FV177" s="2337">
        <v>100</v>
      </c>
      <c r="FW177" s="2337">
        <v>138.12</v>
      </c>
      <c r="FX177" s="2337">
        <v>215.25</v>
      </c>
      <c r="FY177" s="2337">
        <v>316.93</v>
      </c>
      <c r="FZ177" s="2250"/>
      <c r="GA177" s="2250"/>
      <c r="GB177" s="1302">
        <v>151.30000000000001</v>
      </c>
      <c r="GC177" s="1302">
        <v>162.68</v>
      </c>
      <c r="GD177" s="2250"/>
      <c r="GE177" s="2275"/>
      <c r="GF177" s="2333">
        <v>48.8</v>
      </c>
      <c r="GG177" s="2336">
        <v>13.66</v>
      </c>
      <c r="GH177" s="2336">
        <v>20.399999999999999</v>
      </c>
      <c r="GI177" s="2336">
        <v>39.799999999999997</v>
      </c>
      <c r="GJ177" s="2336">
        <v>66.83</v>
      </c>
      <c r="GK177" s="2336">
        <v>109.11</v>
      </c>
      <c r="GL177" s="2336">
        <v>154.85</v>
      </c>
      <c r="GM177" s="2336">
        <v>225.15</v>
      </c>
      <c r="GN177" s="2336">
        <v>318.12</v>
      </c>
      <c r="GO177" s="2336">
        <v>410.3</v>
      </c>
      <c r="GP177" s="2336">
        <v>674.75</v>
      </c>
      <c r="GQ177" s="2336">
        <v>993.96</v>
      </c>
      <c r="GR177" s="2250"/>
      <c r="GS177" s="2250"/>
      <c r="GT177" s="2333">
        <v>48.8</v>
      </c>
      <c r="GU177" s="2336">
        <v>9.8000000000000007</v>
      </c>
      <c r="GV177" s="2336">
        <v>14.65</v>
      </c>
      <c r="GW177" s="2336">
        <v>28.71</v>
      </c>
      <c r="GX177" s="2336">
        <v>48.71</v>
      </c>
      <c r="GY177" s="2336">
        <v>78.709999999999994</v>
      </c>
      <c r="GZ177" s="2336">
        <v>104.46</v>
      </c>
      <c r="HA177" s="2336">
        <v>157.03</v>
      </c>
      <c r="HB177" s="2336">
        <v>228.91</v>
      </c>
      <c r="HC177" s="2336">
        <v>295.54000000000002</v>
      </c>
      <c r="HD177" s="2336">
        <v>486.63</v>
      </c>
      <c r="HE177" s="2336">
        <v>722.67</v>
      </c>
      <c r="HF177" s="2250"/>
      <c r="HG177" s="2250"/>
      <c r="HH177" s="2333">
        <v>48.8</v>
      </c>
      <c r="HI177" s="2336">
        <v>8.58</v>
      </c>
      <c r="HJ177" s="2336">
        <v>12.75</v>
      </c>
      <c r="HK177" s="2336">
        <v>24.83</v>
      </c>
      <c r="HL177" s="2336">
        <v>39.840000000000003</v>
      </c>
      <c r="HM177" s="2336">
        <v>63.77</v>
      </c>
      <c r="HN177" s="2336">
        <v>79.8</v>
      </c>
      <c r="HO177" s="2336">
        <v>119.07</v>
      </c>
      <c r="HP177" s="2336">
        <v>173.14</v>
      </c>
      <c r="HQ177" s="2336">
        <v>238.83</v>
      </c>
      <c r="HR177" s="2336">
        <v>371.67</v>
      </c>
      <c r="HS177" s="2336">
        <v>547.4</v>
      </c>
      <c r="HT177" s="2250"/>
      <c r="HU177" s="2250"/>
      <c r="HV177" s="2333">
        <v>48.8</v>
      </c>
      <c r="HW177" s="2337">
        <v>5.25</v>
      </c>
      <c r="HX177" s="2337">
        <v>7.72</v>
      </c>
      <c r="HY177" s="2337">
        <v>14.36</v>
      </c>
      <c r="HZ177" s="2337">
        <v>23.07</v>
      </c>
      <c r="IA177" s="2337">
        <v>36.83</v>
      </c>
      <c r="IB177" s="2337">
        <v>45.94</v>
      </c>
      <c r="IC177" s="2337">
        <v>68.91</v>
      </c>
      <c r="ID177" s="2337">
        <v>100</v>
      </c>
      <c r="IE177" s="2337">
        <v>138.12</v>
      </c>
      <c r="IF177" s="2337">
        <v>215.25</v>
      </c>
      <c r="IG177" s="2337">
        <v>316.93</v>
      </c>
      <c r="IH177" s="2250"/>
      <c r="II177" s="2250"/>
      <c r="IJ177" s="2250"/>
      <c r="IK177" s="2250"/>
      <c r="IL177" s="2250"/>
      <c r="IN177" s="277"/>
      <c r="IO177" s="277"/>
    </row>
    <row r="178" spans="1:249" ht="21.95" customHeight="1">
      <c r="A178" s="2275"/>
      <c r="B178" s="2333">
        <v>43.9</v>
      </c>
      <c r="C178" s="2336">
        <v>14.95</v>
      </c>
      <c r="D178" s="2336">
        <v>22.18</v>
      </c>
      <c r="E178" s="2336">
        <v>43.27</v>
      </c>
      <c r="F178" s="2336">
        <v>72.87</v>
      </c>
      <c r="G178" s="2336">
        <v>119.5</v>
      </c>
      <c r="H178" s="2336">
        <v>157.13</v>
      </c>
      <c r="I178" s="2336">
        <v>241.49</v>
      </c>
      <c r="J178" s="2336">
        <v>347.62</v>
      </c>
      <c r="K178" s="2336">
        <v>467.82</v>
      </c>
      <c r="L178" s="2336">
        <v>733.56</v>
      </c>
      <c r="M178" s="2336">
        <v>1082.8699999999999</v>
      </c>
      <c r="N178" s="2250"/>
      <c r="O178" s="2250"/>
      <c r="P178" s="2333">
        <v>43.9</v>
      </c>
      <c r="Q178" s="2336">
        <v>10.79</v>
      </c>
      <c r="R178" s="2336">
        <v>15.94</v>
      </c>
      <c r="S178" s="2336">
        <v>31.19</v>
      </c>
      <c r="T178" s="2336">
        <v>52.97</v>
      </c>
      <c r="U178" s="2336">
        <v>86.04</v>
      </c>
      <c r="V178" s="2336">
        <v>114.75</v>
      </c>
      <c r="W178" s="2336">
        <v>169.7</v>
      </c>
      <c r="X178" s="2336">
        <v>249.01</v>
      </c>
      <c r="Y178" s="2336">
        <v>337.72</v>
      </c>
      <c r="Z178" s="2336">
        <v>528.61</v>
      </c>
      <c r="AA178" s="2336">
        <v>783.27</v>
      </c>
      <c r="AB178" s="2250"/>
      <c r="AC178" s="2250"/>
      <c r="AD178" s="2333">
        <v>43.9</v>
      </c>
      <c r="AE178" s="2336">
        <v>9.26</v>
      </c>
      <c r="AF178" s="2336">
        <v>13.88</v>
      </c>
      <c r="AG178" s="2336">
        <v>25.96</v>
      </c>
      <c r="AH178" s="2336">
        <v>43.68</v>
      </c>
      <c r="AI178" s="2336">
        <v>70.650000000000006</v>
      </c>
      <c r="AJ178" s="2336">
        <v>89.84</v>
      </c>
      <c r="AK178" s="2336">
        <v>129.46</v>
      </c>
      <c r="AL178" s="2336">
        <v>189.39</v>
      </c>
      <c r="AM178" s="2336">
        <v>265.01</v>
      </c>
      <c r="AN178" s="2336">
        <v>404.74</v>
      </c>
      <c r="AO178" s="2336">
        <v>600.34</v>
      </c>
      <c r="AP178" s="2250"/>
      <c r="AQ178" s="2250"/>
      <c r="AR178" s="2333">
        <v>43.9</v>
      </c>
      <c r="AS178" s="2337">
        <v>5.35</v>
      </c>
      <c r="AT178" s="2337">
        <v>8.7100000000000009</v>
      </c>
      <c r="AU178" s="2337">
        <v>15.05</v>
      </c>
      <c r="AV178" s="2337">
        <v>25.25</v>
      </c>
      <c r="AW178" s="2337">
        <v>40.89</v>
      </c>
      <c r="AX178" s="2337">
        <v>51.68</v>
      </c>
      <c r="AY178" s="2337">
        <v>74.650000000000006</v>
      </c>
      <c r="AZ178" s="2337">
        <v>109.6</v>
      </c>
      <c r="BA178" s="2337">
        <v>153.27000000000001</v>
      </c>
      <c r="BB178" s="2337">
        <v>234.16</v>
      </c>
      <c r="BC178" s="2337">
        <v>347.13</v>
      </c>
      <c r="BD178" s="2250"/>
      <c r="BE178" s="2250"/>
      <c r="BF178" s="1302">
        <v>162.68</v>
      </c>
      <c r="BG178" s="1302">
        <v>165.9</v>
      </c>
      <c r="BH178" s="2250"/>
      <c r="BI178" s="2275"/>
      <c r="BJ178" s="2333">
        <v>43.9</v>
      </c>
      <c r="BK178" s="2336">
        <v>14.95</v>
      </c>
      <c r="BL178" s="2336">
        <v>22.18</v>
      </c>
      <c r="BM178" s="2336">
        <v>43.27</v>
      </c>
      <c r="BN178" s="2336">
        <v>72.87</v>
      </c>
      <c r="BO178" s="2336">
        <v>119.5</v>
      </c>
      <c r="BP178" s="2336">
        <v>157.13</v>
      </c>
      <c r="BQ178" s="2336">
        <v>241.49</v>
      </c>
      <c r="BR178" s="2336">
        <v>347.62</v>
      </c>
      <c r="BS178" s="2336">
        <v>467.82</v>
      </c>
      <c r="BT178" s="2336">
        <v>733.56</v>
      </c>
      <c r="BU178" s="2336">
        <v>1082.8699999999999</v>
      </c>
      <c r="BV178" s="2250"/>
      <c r="BW178" s="2250"/>
      <c r="BX178" s="2333">
        <v>43.9</v>
      </c>
      <c r="BY178" s="2336">
        <v>10.79</v>
      </c>
      <c r="BZ178" s="2336">
        <v>15.94</v>
      </c>
      <c r="CA178" s="2336">
        <v>31.19</v>
      </c>
      <c r="CB178" s="2336">
        <v>52.97</v>
      </c>
      <c r="CC178" s="2336">
        <v>86.04</v>
      </c>
      <c r="CD178" s="2336">
        <v>114.75</v>
      </c>
      <c r="CE178" s="2336">
        <v>169.7</v>
      </c>
      <c r="CF178" s="2336">
        <v>249.01</v>
      </c>
      <c r="CG178" s="2336">
        <v>337.72</v>
      </c>
      <c r="CH178" s="2336">
        <v>528.61</v>
      </c>
      <c r="CI178" s="2336">
        <v>783.27</v>
      </c>
      <c r="CJ178" s="2250"/>
      <c r="CK178" s="2250"/>
      <c r="CL178" s="2333">
        <v>43.9</v>
      </c>
      <c r="CM178" s="2336">
        <v>9.26</v>
      </c>
      <c r="CN178" s="2336">
        <v>13.88</v>
      </c>
      <c r="CO178" s="2336">
        <v>25.96</v>
      </c>
      <c r="CP178" s="2336">
        <v>43.68</v>
      </c>
      <c r="CQ178" s="2336">
        <v>70.650000000000006</v>
      </c>
      <c r="CR178" s="2336">
        <v>89.84</v>
      </c>
      <c r="CS178" s="2336">
        <v>129.46</v>
      </c>
      <c r="CT178" s="2336">
        <v>189.39</v>
      </c>
      <c r="CU178" s="2336">
        <v>265.01</v>
      </c>
      <c r="CV178" s="2336">
        <v>404.74</v>
      </c>
      <c r="CW178" s="2336">
        <v>600.34</v>
      </c>
      <c r="CX178" s="2250"/>
      <c r="CY178" s="2250"/>
      <c r="CZ178" s="2333">
        <v>43.9</v>
      </c>
      <c r="DA178" s="2337">
        <v>5.35</v>
      </c>
      <c r="DB178" s="2337">
        <v>8.7100000000000009</v>
      </c>
      <c r="DC178" s="2337">
        <v>15.05</v>
      </c>
      <c r="DD178" s="2337">
        <v>25.25</v>
      </c>
      <c r="DE178" s="2337">
        <v>40.89</v>
      </c>
      <c r="DF178" s="2337">
        <v>51.68</v>
      </c>
      <c r="DG178" s="2337">
        <v>74.650000000000006</v>
      </c>
      <c r="DH178" s="2337">
        <v>109.6</v>
      </c>
      <c r="DI178" s="2337">
        <v>153.27000000000001</v>
      </c>
      <c r="DJ178" s="2337">
        <v>234.16</v>
      </c>
      <c r="DK178" s="2337">
        <v>347.13</v>
      </c>
      <c r="DL178" s="2250"/>
      <c r="DM178" s="2250"/>
      <c r="DN178" s="2250"/>
      <c r="DO178" s="2250"/>
      <c r="DP178" s="2250"/>
      <c r="DQ178" s="2277"/>
      <c r="DR178" s="2277"/>
      <c r="DS178" s="277"/>
      <c r="DW178" s="2275"/>
      <c r="DX178" s="2333">
        <v>43.9</v>
      </c>
      <c r="DY178" s="2336">
        <v>14.95</v>
      </c>
      <c r="DZ178" s="2336">
        <v>22.18</v>
      </c>
      <c r="EA178" s="2336">
        <v>43.27</v>
      </c>
      <c r="EB178" s="2336">
        <v>72.87</v>
      </c>
      <c r="EC178" s="2336">
        <v>119.5</v>
      </c>
      <c r="ED178" s="2336">
        <v>157.13</v>
      </c>
      <c r="EE178" s="2336">
        <v>241.49</v>
      </c>
      <c r="EF178" s="2336">
        <v>347.62</v>
      </c>
      <c r="EG178" s="2336">
        <v>467.82</v>
      </c>
      <c r="EH178" s="2336">
        <v>733.56</v>
      </c>
      <c r="EI178" s="2336">
        <v>1082.8699999999999</v>
      </c>
      <c r="EJ178" s="2250"/>
      <c r="EK178" s="2250"/>
      <c r="EL178" s="2333">
        <v>43.9</v>
      </c>
      <c r="EM178" s="2336">
        <v>10.79</v>
      </c>
      <c r="EN178" s="2336">
        <v>15.94</v>
      </c>
      <c r="EO178" s="2336">
        <v>31.19</v>
      </c>
      <c r="EP178" s="2336">
        <v>52.97</v>
      </c>
      <c r="EQ178" s="2336">
        <v>86.04</v>
      </c>
      <c r="ER178" s="2336">
        <v>114.75</v>
      </c>
      <c r="ES178" s="2336">
        <v>169.7</v>
      </c>
      <c r="ET178" s="2336">
        <v>249.01</v>
      </c>
      <c r="EU178" s="2336">
        <v>337.72</v>
      </c>
      <c r="EV178" s="2336">
        <v>528.61</v>
      </c>
      <c r="EW178" s="2336">
        <v>783.27</v>
      </c>
      <c r="EX178" s="2250"/>
      <c r="EY178" s="2250"/>
      <c r="EZ178" s="2333">
        <v>43.9</v>
      </c>
      <c r="FA178" s="2336">
        <v>9.26</v>
      </c>
      <c r="FB178" s="2336">
        <v>13.88</v>
      </c>
      <c r="FC178" s="2336">
        <v>25.96</v>
      </c>
      <c r="FD178" s="2336">
        <v>43.68</v>
      </c>
      <c r="FE178" s="2336">
        <v>70.650000000000006</v>
      </c>
      <c r="FF178" s="2336">
        <v>89.84</v>
      </c>
      <c r="FG178" s="2336">
        <v>129.46</v>
      </c>
      <c r="FH178" s="2336">
        <v>189.39</v>
      </c>
      <c r="FI178" s="2336">
        <v>265.01</v>
      </c>
      <c r="FJ178" s="2336">
        <v>404.74</v>
      </c>
      <c r="FK178" s="2336">
        <v>600.34</v>
      </c>
      <c r="FL178" s="2250"/>
      <c r="FM178" s="2250"/>
      <c r="FN178" s="2333">
        <v>43.9</v>
      </c>
      <c r="FO178" s="2337">
        <v>5.35</v>
      </c>
      <c r="FP178" s="2337">
        <v>8.7100000000000009</v>
      </c>
      <c r="FQ178" s="2337">
        <v>15.05</v>
      </c>
      <c r="FR178" s="2337">
        <v>25.25</v>
      </c>
      <c r="FS178" s="2337">
        <v>40.89</v>
      </c>
      <c r="FT178" s="2337">
        <v>51.68</v>
      </c>
      <c r="FU178" s="2337">
        <v>74.650000000000006</v>
      </c>
      <c r="FV178" s="2337">
        <v>109.6</v>
      </c>
      <c r="FW178" s="2337">
        <v>153.27000000000001</v>
      </c>
      <c r="FX178" s="2337">
        <v>234.16</v>
      </c>
      <c r="FY178" s="2337">
        <v>347.13</v>
      </c>
      <c r="FZ178" s="2250"/>
      <c r="GA178" s="2250"/>
      <c r="GB178" s="1302">
        <v>162.68</v>
      </c>
      <c r="GC178" s="1302">
        <v>165.9</v>
      </c>
      <c r="GD178" s="2250"/>
      <c r="GE178" s="2275"/>
      <c r="GF178" s="2333">
        <v>43.9</v>
      </c>
      <c r="GG178" s="2336">
        <v>14.95</v>
      </c>
      <c r="GH178" s="2336">
        <v>22.18</v>
      </c>
      <c r="GI178" s="2336">
        <v>43.27</v>
      </c>
      <c r="GJ178" s="2336">
        <v>72.87</v>
      </c>
      <c r="GK178" s="2336">
        <v>119.5</v>
      </c>
      <c r="GL178" s="2336">
        <v>157.13</v>
      </c>
      <c r="GM178" s="2336">
        <v>241.49</v>
      </c>
      <c r="GN178" s="2336">
        <v>347.62</v>
      </c>
      <c r="GO178" s="2336">
        <v>467.82</v>
      </c>
      <c r="GP178" s="2336">
        <v>733.56</v>
      </c>
      <c r="GQ178" s="2336">
        <v>1082.8699999999999</v>
      </c>
      <c r="GR178" s="2250"/>
      <c r="GS178" s="2250"/>
      <c r="GT178" s="2333">
        <v>43.9</v>
      </c>
      <c r="GU178" s="2336">
        <v>10.79</v>
      </c>
      <c r="GV178" s="2336">
        <v>15.94</v>
      </c>
      <c r="GW178" s="2336">
        <v>31.19</v>
      </c>
      <c r="GX178" s="2336">
        <v>52.97</v>
      </c>
      <c r="GY178" s="2336">
        <v>86.04</v>
      </c>
      <c r="GZ178" s="2336">
        <v>114.75</v>
      </c>
      <c r="HA178" s="2336">
        <v>169.7</v>
      </c>
      <c r="HB178" s="2336">
        <v>249.01</v>
      </c>
      <c r="HC178" s="2336">
        <v>337.72</v>
      </c>
      <c r="HD178" s="2336">
        <v>528.61</v>
      </c>
      <c r="HE178" s="2336">
        <v>783.27</v>
      </c>
      <c r="HF178" s="2250"/>
      <c r="HG178" s="2250"/>
      <c r="HH178" s="2333">
        <v>43.9</v>
      </c>
      <c r="HI178" s="2336">
        <v>9.26</v>
      </c>
      <c r="HJ178" s="2336">
        <v>13.88</v>
      </c>
      <c r="HK178" s="2336">
        <v>25.96</v>
      </c>
      <c r="HL178" s="2336">
        <v>43.68</v>
      </c>
      <c r="HM178" s="2336">
        <v>70.650000000000006</v>
      </c>
      <c r="HN178" s="2336">
        <v>89.84</v>
      </c>
      <c r="HO178" s="2336">
        <v>129.46</v>
      </c>
      <c r="HP178" s="2336">
        <v>189.39</v>
      </c>
      <c r="HQ178" s="2336">
        <v>265.01</v>
      </c>
      <c r="HR178" s="2336">
        <v>404.74</v>
      </c>
      <c r="HS178" s="2336">
        <v>600.34</v>
      </c>
      <c r="HT178" s="2250"/>
      <c r="HU178" s="2250"/>
      <c r="HV178" s="2333">
        <v>43.9</v>
      </c>
      <c r="HW178" s="2337">
        <v>5.35</v>
      </c>
      <c r="HX178" s="2337">
        <v>8.7100000000000009</v>
      </c>
      <c r="HY178" s="2337">
        <v>15.05</v>
      </c>
      <c r="HZ178" s="2337">
        <v>25.25</v>
      </c>
      <c r="IA178" s="2337">
        <v>40.89</v>
      </c>
      <c r="IB178" s="2337">
        <v>51.68</v>
      </c>
      <c r="IC178" s="2337">
        <v>74.650000000000006</v>
      </c>
      <c r="ID178" s="2337">
        <v>109.6</v>
      </c>
      <c r="IE178" s="2337">
        <v>153.27000000000001</v>
      </c>
      <c r="IF178" s="2337">
        <v>234.16</v>
      </c>
      <c r="IG178" s="2337">
        <v>347.13</v>
      </c>
      <c r="IH178" s="2250"/>
      <c r="II178" s="2250"/>
      <c r="IJ178" s="2250"/>
      <c r="IK178" s="2250"/>
      <c r="IL178" s="2250"/>
      <c r="IN178" s="277"/>
      <c r="IO178" s="277"/>
    </row>
    <row r="179" spans="1:249" ht="21.95" customHeight="1">
      <c r="A179" s="2275"/>
      <c r="B179" s="2333">
        <v>38.799999999999997</v>
      </c>
      <c r="C179" s="2336">
        <v>16.53</v>
      </c>
      <c r="D179" s="2336">
        <v>24.85</v>
      </c>
      <c r="E179" s="2336">
        <v>48.12</v>
      </c>
      <c r="F179" s="2336">
        <v>79.599999999999994</v>
      </c>
      <c r="G179" s="2336">
        <v>131.97999999999999</v>
      </c>
      <c r="H179" s="2336">
        <v>161.78</v>
      </c>
      <c r="I179" s="2336">
        <v>269.7</v>
      </c>
      <c r="J179" s="2336">
        <v>384.65</v>
      </c>
      <c r="K179" s="2336">
        <v>515.04999999999995</v>
      </c>
      <c r="L179" s="2336">
        <v>824.36</v>
      </c>
      <c r="M179" s="2336">
        <v>1164.8499999999999</v>
      </c>
      <c r="N179" s="2250"/>
      <c r="O179" s="2250"/>
      <c r="P179" s="2333">
        <v>38.799999999999997</v>
      </c>
      <c r="Q179" s="2336">
        <v>11.88</v>
      </c>
      <c r="R179" s="2336">
        <v>17.920000000000002</v>
      </c>
      <c r="S179" s="2336">
        <v>34.75</v>
      </c>
      <c r="T179" s="2336">
        <v>58.12</v>
      </c>
      <c r="U179" s="2336">
        <v>95.35</v>
      </c>
      <c r="V179" s="2336">
        <v>117.33</v>
      </c>
      <c r="W179" s="2336">
        <v>186.73</v>
      </c>
      <c r="X179" s="2336">
        <v>278.12</v>
      </c>
      <c r="Y179" s="2336">
        <v>372.28</v>
      </c>
      <c r="Z179" s="2336">
        <v>549.41</v>
      </c>
      <c r="AA179" s="2336">
        <v>839.5</v>
      </c>
      <c r="AB179" s="2250"/>
      <c r="AC179" s="2250"/>
      <c r="AD179" s="2333">
        <v>38.799999999999997</v>
      </c>
      <c r="AE179" s="2336">
        <v>10.38</v>
      </c>
      <c r="AF179" s="2336">
        <v>15.58</v>
      </c>
      <c r="AG179" s="2336">
        <v>30.25</v>
      </c>
      <c r="AH179" s="2336">
        <v>48.31</v>
      </c>
      <c r="AI179" s="2336">
        <v>77.88</v>
      </c>
      <c r="AJ179" s="2336">
        <v>99.55</v>
      </c>
      <c r="AK179" s="2336">
        <v>142.33000000000001</v>
      </c>
      <c r="AL179" s="2336">
        <v>211.51</v>
      </c>
      <c r="AM179" s="2336">
        <v>291.31</v>
      </c>
      <c r="AN179" s="2336">
        <v>417.04</v>
      </c>
      <c r="AO179" s="2336">
        <v>652.03</v>
      </c>
      <c r="AP179" s="2250"/>
      <c r="AQ179" s="2250"/>
      <c r="AR179" s="2333">
        <v>38.799999999999997</v>
      </c>
      <c r="AS179" s="2337">
        <v>6.44</v>
      </c>
      <c r="AT179" s="2337">
        <v>9.6999999999999993</v>
      </c>
      <c r="AU179" s="2337">
        <v>17.52</v>
      </c>
      <c r="AV179" s="2337">
        <v>27.82</v>
      </c>
      <c r="AW179" s="2337">
        <v>45.05</v>
      </c>
      <c r="AX179" s="2337">
        <v>57.43</v>
      </c>
      <c r="AY179" s="2337">
        <v>81.98</v>
      </c>
      <c r="AZ179" s="2337">
        <v>131.19</v>
      </c>
      <c r="BA179" s="2337">
        <v>166.24</v>
      </c>
      <c r="BB179" s="2337">
        <v>240.5</v>
      </c>
      <c r="BC179" s="2337">
        <v>377.52</v>
      </c>
      <c r="BD179" s="2250"/>
      <c r="BE179" s="2250"/>
      <c r="BF179" s="1302">
        <v>165.9</v>
      </c>
      <c r="BG179" s="1302">
        <v>177.81</v>
      </c>
      <c r="BH179" s="2250"/>
      <c r="BI179" s="2275"/>
      <c r="BJ179" s="2333">
        <v>38.799999999999997</v>
      </c>
      <c r="BK179" s="2336">
        <v>16.53</v>
      </c>
      <c r="BL179" s="2336">
        <v>24.85</v>
      </c>
      <c r="BM179" s="2336">
        <v>48.12</v>
      </c>
      <c r="BN179" s="2336">
        <v>79.599999999999994</v>
      </c>
      <c r="BO179" s="2336">
        <v>131.97999999999999</v>
      </c>
      <c r="BP179" s="2336">
        <v>161.78</v>
      </c>
      <c r="BQ179" s="2336">
        <v>269.7</v>
      </c>
      <c r="BR179" s="2336">
        <v>384.65</v>
      </c>
      <c r="BS179" s="2336">
        <v>515.04999999999995</v>
      </c>
      <c r="BT179" s="2336">
        <v>824.36</v>
      </c>
      <c r="BU179" s="2336">
        <v>1164.8499999999999</v>
      </c>
      <c r="BV179" s="2250"/>
      <c r="BW179" s="2250"/>
      <c r="BX179" s="2333">
        <v>38.799999999999997</v>
      </c>
      <c r="BY179" s="2336">
        <v>11.88</v>
      </c>
      <c r="BZ179" s="2336">
        <v>17.920000000000002</v>
      </c>
      <c r="CA179" s="2336">
        <v>34.75</v>
      </c>
      <c r="CB179" s="2336">
        <v>58.12</v>
      </c>
      <c r="CC179" s="2336">
        <v>95.35</v>
      </c>
      <c r="CD179" s="2336">
        <v>117.33</v>
      </c>
      <c r="CE179" s="2336">
        <v>186.73</v>
      </c>
      <c r="CF179" s="2336">
        <v>278.12</v>
      </c>
      <c r="CG179" s="2336">
        <v>372.28</v>
      </c>
      <c r="CH179" s="2336">
        <v>549.41</v>
      </c>
      <c r="CI179" s="2336">
        <v>839.5</v>
      </c>
      <c r="CJ179" s="2250"/>
      <c r="CK179" s="2250"/>
      <c r="CL179" s="2333">
        <v>38.799999999999997</v>
      </c>
      <c r="CM179" s="2336">
        <v>10.38</v>
      </c>
      <c r="CN179" s="2336">
        <v>15.58</v>
      </c>
      <c r="CO179" s="2336">
        <v>30.25</v>
      </c>
      <c r="CP179" s="2336">
        <v>48.31</v>
      </c>
      <c r="CQ179" s="2336">
        <v>77.88</v>
      </c>
      <c r="CR179" s="2336">
        <v>99.55</v>
      </c>
      <c r="CS179" s="2336">
        <v>142.33000000000001</v>
      </c>
      <c r="CT179" s="2336">
        <v>211.51</v>
      </c>
      <c r="CU179" s="2336">
        <v>291.31</v>
      </c>
      <c r="CV179" s="2336">
        <v>417.04</v>
      </c>
      <c r="CW179" s="2336">
        <v>652.03</v>
      </c>
      <c r="CX179" s="2250"/>
      <c r="CY179" s="2250"/>
      <c r="CZ179" s="2333">
        <v>38.799999999999997</v>
      </c>
      <c r="DA179" s="2337">
        <v>6.44</v>
      </c>
      <c r="DB179" s="2337">
        <v>9.6999999999999993</v>
      </c>
      <c r="DC179" s="2337">
        <v>17.52</v>
      </c>
      <c r="DD179" s="2337">
        <v>27.82</v>
      </c>
      <c r="DE179" s="2337">
        <v>45.05</v>
      </c>
      <c r="DF179" s="2337">
        <v>57.43</v>
      </c>
      <c r="DG179" s="2337">
        <v>81.98</v>
      </c>
      <c r="DH179" s="2337">
        <v>131.19</v>
      </c>
      <c r="DI179" s="2337">
        <v>166.24</v>
      </c>
      <c r="DJ179" s="2337">
        <v>240.5</v>
      </c>
      <c r="DK179" s="2337">
        <v>377.52</v>
      </c>
      <c r="DL179" s="2250"/>
      <c r="DM179" s="2250"/>
      <c r="DN179" s="2250"/>
      <c r="DO179" s="2250"/>
      <c r="DP179" s="2250"/>
      <c r="DQ179" s="2277"/>
      <c r="DR179" s="2277"/>
      <c r="DS179" s="277"/>
      <c r="DW179" s="2275"/>
      <c r="DX179" s="2333">
        <v>38.799999999999997</v>
      </c>
      <c r="DY179" s="2336">
        <v>16.53</v>
      </c>
      <c r="DZ179" s="2336">
        <v>24.85</v>
      </c>
      <c r="EA179" s="2336">
        <v>48.12</v>
      </c>
      <c r="EB179" s="2336">
        <v>79.599999999999994</v>
      </c>
      <c r="EC179" s="2336">
        <v>131.97999999999999</v>
      </c>
      <c r="ED1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 <v>824.36</v>
      </c>
      <c r="EI179" s="2336">
        <v>1164.8499999999999</v>
      </c>
      <c r="EJ179" s="2250"/>
      <c r="EK179" s="2250"/>
      <c r="EL179" s="2333">
        <v>38.799999999999997</v>
      </c>
      <c r="EM179" s="2336">
        <v>11.88</v>
      </c>
      <c r="EN179" s="2336">
        <v>17.920000000000002</v>
      </c>
      <c r="EO179" s="2336">
        <v>34.75</v>
      </c>
      <c r="EP179" s="2336">
        <v>58.12</v>
      </c>
      <c r="EQ179" s="2336">
        <v>95.35</v>
      </c>
      <c r="ER179" s="2336">
        <v>117.33</v>
      </c>
      <c r="ES179" s="2336">
        <v>186.73</v>
      </c>
      <c r="ET179" s="2336">
        <v>278.12</v>
      </c>
      <c r="EU179" s="2336">
        <v>372.28</v>
      </c>
      <c r="EV179" s="2336">
        <v>549.41</v>
      </c>
      <c r="EW179" s="2336">
        <v>839.5</v>
      </c>
      <c r="EX179" s="2250"/>
      <c r="EY179" s="2250"/>
      <c r="EZ179" s="2333">
        <v>38.799999999999997</v>
      </c>
      <c r="FA179" s="2336">
        <v>10.38</v>
      </c>
      <c r="FB179" s="2336">
        <v>15.58</v>
      </c>
      <c r="FC179" s="2336">
        <v>30.25</v>
      </c>
      <c r="FD179" s="2336">
        <v>48.31</v>
      </c>
      <c r="FE179" s="2336">
        <v>77.88</v>
      </c>
      <c r="FF179" s="2336">
        <v>99.55</v>
      </c>
      <c r="FG179" s="2336">
        <v>142.33000000000001</v>
      </c>
      <c r="FH179" s="2336">
        <v>211.51</v>
      </c>
      <c r="FI179" s="2336">
        <v>291.31</v>
      </c>
      <c r="FJ179" s="2336">
        <v>417.04</v>
      </c>
      <c r="FK179" s="2336">
        <v>652.03</v>
      </c>
      <c r="FL179" s="2250"/>
      <c r="FM179" s="2250"/>
      <c r="FN179" s="2333">
        <v>38.799999999999997</v>
      </c>
      <c r="FO179" s="2337">
        <v>6.44</v>
      </c>
      <c r="FP179" s="2337">
        <v>9.6999999999999993</v>
      </c>
      <c r="FQ179" s="2337">
        <v>17.52</v>
      </c>
      <c r="FR179" s="2337">
        <v>27.82</v>
      </c>
      <c r="FS179" s="2337">
        <v>45.05</v>
      </c>
      <c r="FT179" s="2337">
        <v>57.43</v>
      </c>
      <c r="FU179" s="2337">
        <v>81.98</v>
      </c>
      <c r="FV179" s="2337">
        <v>131.19</v>
      </c>
      <c r="FW179" s="2337">
        <v>166.24</v>
      </c>
      <c r="FX179" s="2337">
        <v>240.5</v>
      </c>
      <c r="FY179" s="2337">
        <v>377.52</v>
      </c>
      <c r="FZ179" s="2250"/>
      <c r="GA179" s="2250"/>
      <c r="GB179" s="1302">
        <v>165.9</v>
      </c>
      <c r="GC179" s="1302">
        <v>177.81</v>
      </c>
      <c r="GD179" s="2250"/>
      <c r="GE179" s="2275"/>
      <c r="GF179" s="2333">
        <v>38.799999999999997</v>
      </c>
      <c r="GG179" s="2336">
        <v>16.53</v>
      </c>
      <c r="GH179" s="2336">
        <v>24.85</v>
      </c>
      <c r="GI179" s="2336">
        <v>48.12</v>
      </c>
      <c r="GJ179" s="2336">
        <v>79.599999999999994</v>
      </c>
      <c r="GK179" s="2336">
        <v>131.97999999999999</v>
      </c>
      <c r="GL179" s="2336">
        <v>161.78</v>
      </c>
      <c r="GM179" s="2336">
        <v>269.7</v>
      </c>
      <c r="GN179" s="2336">
        <v>384.65</v>
      </c>
      <c r="GO179" s="2336">
        <v>515.04999999999995</v>
      </c>
      <c r="GP179" s="2336">
        <v>824.36</v>
      </c>
      <c r="GQ179" s="2336">
        <v>1164.8499999999999</v>
      </c>
      <c r="GR179" s="2250"/>
      <c r="GS179" s="2250"/>
      <c r="GT179" s="2333">
        <v>38.799999999999997</v>
      </c>
      <c r="GU179" s="2336">
        <v>11.88</v>
      </c>
      <c r="GV179" s="2336">
        <v>17.920000000000002</v>
      </c>
      <c r="GW179" s="2336">
        <v>34.75</v>
      </c>
      <c r="GX179" s="2336">
        <v>58.12</v>
      </c>
      <c r="GY179" s="2336">
        <v>95.35</v>
      </c>
      <c r="GZ179" s="2336">
        <v>117.33</v>
      </c>
      <c r="HA179" s="2336">
        <v>186.73</v>
      </c>
      <c r="HB179" s="2336">
        <v>278.12</v>
      </c>
      <c r="HC179" s="2336">
        <v>372.28</v>
      </c>
      <c r="HD179" s="2336">
        <v>549.41</v>
      </c>
      <c r="HE179" s="2336">
        <v>839.5</v>
      </c>
      <c r="HF179" s="2250"/>
      <c r="HG179" s="2250"/>
      <c r="HH179" s="2333">
        <v>38.799999999999997</v>
      </c>
      <c r="HI179" s="2336">
        <v>10.38</v>
      </c>
      <c r="HJ179" s="2336">
        <v>15.58</v>
      </c>
      <c r="HK179" s="2336">
        <v>30.25</v>
      </c>
      <c r="HL179" s="2336">
        <v>48.31</v>
      </c>
      <c r="HM179" s="2336">
        <v>77.88</v>
      </c>
      <c r="HN179" s="2336">
        <v>99.55</v>
      </c>
      <c r="HO179" s="2336">
        <v>142.33000000000001</v>
      </c>
      <c r="HP179" s="2336">
        <v>211.51</v>
      </c>
      <c r="HQ179" s="2336">
        <v>291.31</v>
      </c>
      <c r="HR179" s="2336">
        <v>417.04</v>
      </c>
      <c r="HS179" s="2336">
        <v>652.03</v>
      </c>
      <c r="HT179" s="2250"/>
      <c r="HU179" s="2250"/>
      <c r="HV179" s="2333">
        <v>38.799999999999997</v>
      </c>
      <c r="HW179" s="2337">
        <v>6.44</v>
      </c>
      <c r="HX179" s="2337">
        <v>9.6999999999999993</v>
      </c>
      <c r="HY179" s="2337">
        <v>17.52</v>
      </c>
      <c r="HZ179" s="2337">
        <v>27.82</v>
      </c>
      <c r="IA179" s="2337">
        <v>45.05</v>
      </c>
      <c r="IB179" s="2337">
        <v>57.43</v>
      </c>
      <c r="IC179" s="2337">
        <v>81.98</v>
      </c>
      <c r="ID179" s="2337">
        <v>131.19</v>
      </c>
      <c r="IE179" s="2337">
        <v>166.24</v>
      </c>
      <c r="IF179" s="2337">
        <v>240.5</v>
      </c>
      <c r="IG179" s="2337">
        <v>377.52</v>
      </c>
      <c r="IH179" s="2250"/>
      <c r="II179" s="2250"/>
      <c r="IJ179" s="2250"/>
      <c r="IK179" s="2250"/>
      <c r="IL179" s="2250"/>
      <c r="IN179" s="277"/>
      <c r="IO179" s="277"/>
    </row>
    <row r="180" spans="1:249" ht="21.95" customHeight="1">
      <c r="A180" s="2275"/>
      <c r="B180" s="2333">
        <v>34.200000000000003</v>
      </c>
      <c r="C180" s="2336">
        <v>18.61</v>
      </c>
      <c r="D180" s="2336">
        <v>27.72</v>
      </c>
      <c r="E180" s="2336">
        <v>53.56</v>
      </c>
      <c r="F180" s="2336">
        <v>89.6</v>
      </c>
      <c r="G180" s="2336">
        <v>147.72</v>
      </c>
      <c r="H180" s="2336">
        <v>176.44</v>
      </c>
      <c r="I180" s="2336">
        <v>269.7</v>
      </c>
      <c r="J180" s="2336">
        <v>432.57</v>
      </c>
      <c r="K180" s="2336">
        <v>526.83000000000004</v>
      </c>
      <c r="L180" s="2336">
        <v>910.3</v>
      </c>
      <c r="M180" s="2336">
        <v>1294.46</v>
      </c>
      <c r="N180" s="2250"/>
      <c r="O180" s="2250"/>
      <c r="P180" s="2333">
        <v>34.200000000000003</v>
      </c>
      <c r="Q180" s="2336">
        <v>13.47</v>
      </c>
      <c r="R180" s="2336">
        <v>20.100000000000001</v>
      </c>
      <c r="S180" s="2336">
        <v>38.81</v>
      </c>
      <c r="T180" s="2336">
        <v>65.150000000000006</v>
      </c>
      <c r="U180" s="2336">
        <v>107.03</v>
      </c>
      <c r="V180" s="2336">
        <v>128.32</v>
      </c>
      <c r="W180" s="2336">
        <v>196.24</v>
      </c>
      <c r="X180" s="2336">
        <v>305.14999999999998</v>
      </c>
      <c r="Y180" s="2336">
        <v>383.27</v>
      </c>
      <c r="Z180" s="2336">
        <v>645.74</v>
      </c>
      <c r="AA180" s="2336">
        <v>938.42</v>
      </c>
      <c r="AB180" s="2250"/>
      <c r="AC180" s="2250"/>
      <c r="AD180" s="2333">
        <v>34.200000000000003</v>
      </c>
      <c r="AE180" s="2336">
        <v>11.4</v>
      </c>
      <c r="AF180" s="2336">
        <v>17.489999999999998</v>
      </c>
      <c r="AG180" s="2336">
        <v>32.049999999999997</v>
      </c>
      <c r="AH180" s="2336">
        <v>53.72</v>
      </c>
      <c r="AI180" s="2336">
        <v>87.25</v>
      </c>
      <c r="AJ180" s="2336">
        <v>110.5</v>
      </c>
      <c r="AK180" s="2336">
        <v>158.24</v>
      </c>
      <c r="AL180" s="2336">
        <v>232.51</v>
      </c>
      <c r="AM180" s="2336">
        <v>327.31</v>
      </c>
      <c r="AN180" s="2336">
        <v>491.31</v>
      </c>
      <c r="AO180" s="2336">
        <v>726.75</v>
      </c>
      <c r="AP180" s="2250"/>
      <c r="AQ180" s="2250"/>
      <c r="AR180" s="2333">
        <v>34.200000000000003</v>
      </c>
      <c r="AS180" s="2337">
        <v>6.53</v>
      </c>
      <c r="AT180" s="2337">
        <v>10.3</v>
      </c>
      <c r="AU180" s="2337">
        <v>18.420000000000002</v>
      </c>
      <c r="AV180" s="2337">
        <v>30.99</v>
      </c>
      <c r="AW180" s="2337">
        <v>50.2</v>
      </c>
      <c r="AX180" s="2337">
        <v>64.16</v>
      </c>
      <c r="AY180" s="2337">
        <v>90.2</v>
      </c>
      <c r="AZ180" s="2337">
        <v>133.86000000000001</v>
      </c>
      <c r="BA180" s="2337">
        <v>188.71</v>
      </c>
      <c r="BB180" s="2337">
        <v>280.79000000000002</v>
      </c>
      <c r="BC180" s="2337">
        <v>424.65</v>
      </c>
      <c r="BD180" s="2250"/>
      <c r="BE180" s="2250"/>
      <c r="BF180" s="1302">
        <v>177.81</v>
      </c>
      <c r="BG180" s="1302">
        <v>190.4</v>
      </c>
      <c r="BH180" s="2250"/>
      <c r="BI180" s="2275"/>
      <c r="BJ180" s="2333">
        <v>34.200000000000003</v>
      </c>
      <c r="BK180" s="2336">
        <v>18.61</v>
      </c>
      <c r="BL180" s="2336">
        <v>27.72</v>
      </c>
      <c r="BM180" s="2336">
        <v>53.56</v>
      </c>
      <c r="BN180" s="2336">
        <v>89.6</v>
      </c>
      <c r="BO180" s="2336">
        <v>147.72</v>
      </c>
      <c r="BP180" s="2336">
        <v>176.44</v>
      </c>
      <c r="BQ180" s="2336">
        <v>269.7</v>
      </c>
      <c r="BR180" s="2336">
        <v>432.57</v>
      </c>
      <c r="BS180" s="2336">
        <v>526.83000000000004</v>
      </c>
      <c r="BT180" s="2336">
        <v>910.3</v>
      </c>
      <c r="BU180" s="2336">
        <v>1294.46</v>
      </c>
      <c r="BV180" s="2250"/>
      <c r="BW180" s="2250"/>
      <c r="BX180" s="2333">
        <v>34.200000000000003</v>
      </c>
      <c r="BY180" s="2336">
        <v>13.47</v>
      </c>
      <c r="BZ180" s="2336">
        <v>20.100000000000001</v>
      </c>
      <c r="CA180" s="2336">
        <v>38.81</v>
      </c>
      <c r="CB180" s="2336">
        <v>65.150000000000006</v>
      </c>
      <c r="CC180" s="2336">
        <v>107.03</v>
      </c>
      <c r="CD180" s="2336">
        <v>128.32</v>
      </c>
      <c r="CE180" s="2336">
        <v>196.24</v>
      </c>
      <c r="CF180" s="2336">
        <v>305.14999999999998</v>
      </c>
      <c r="CG180" s="2336">
        <v>383.27</v>
      </c>
      <c r="CH180" s="2336">
        <v>645.74</v>
      </c>
      <c r="CI180" s="2336">
        <v>938.42</v>
      </c>
      <c r="CJ180" s="2250"/>
      <c r="CK180" s="2250"/>
      <c r="CL180" s="2333">
        <v>34.200000000000003</v>
      </c>
      <c r="CM180" s="2336">
        <v>11.4</v>
      </c>
      <c r="CN180" s="2336">
        <v>17.489999999999998</v>
      </c>
      <c r="CO180" s="2336">
        <v>32.049999999999997</v>
      </c>
      <c r="CP180" s="2336">
        <v>53.72</v>
      </c>
      <c r="CQ180" s="2336">
        <v>87.25</v>
      </c>
      <c r="CR180" s="2336">
        <v>110.5</v>
      </c>
      <c r="CS180" s="2336">
        <v>158.24</v>
      </c>
      <c r="CT180" s="2336">
        <v>232.51</v>
      </c>
      <c r="CU180" s="2336">
        <v>327.31</v>
      </c>
      <c r="CV180" s="2336">
        <v>491.31</v>
      </c>
      <c r="CW180" s="2336">
        <v>726.75</v>
      </c>
      <c r="CX180" s="2250"/>
      <c r="CY180" s="2250"/>
      <c r="CZ180" s="2333">
        <v>34.200000000000003</v>
      </c>
      <c r="DA180" s="2337">
        <v>6.53</v>
      </c>
      <c r="DB180" s="2337">
        <v>10.3</v>
      </c>
      <c r="DC180" s="2337">
        <v>18.420000000000002</v>
      </c>
      <c r="DD180" s="2337">
        <v>30.99</v>
      </c>
      <c r="DE180" s="2337">
        <v>50.2</v>
      </c>
      <c r="DF180" s="2337">
        <v>64.16</v>
      </c>
      <c r="DG180" s="2337">
        <v>90.2</v>
      </c>
      <c r="DH180" s="2337">
        <v>133.86000000000001</v>
      </c>
      <c r="DI180" s="2337">
        <v>188.71</v>
      </c>
      <c r="DJ180" s="2337">
        <v>280.79000000000002</v>
      </c>
      <c r="DK180" s="2337">
        <v>424.65</v>
      </c>
      <c r="DL180" s="2250"/>
      <c r="DM180" s="2250"/>
      <c r="DN180" s="2250"/>
      <c r="DO180" s="2250"/>
      <c r="DP180" s="2250"/>
      <c r="DQ180" s="2277"/>
      <c r="DR180" s="2277"/>
      <c r="DS180" s="277"/>
      <c r="DW180" s="2275"/>
      <c r="DX180" s="2333">
        <v>34.200000000000003</v>
      </c>
      <c r="DY180" s="2336">
        <v>18.61</v>
      </c>
      <c r="DZ180" s="2336">
        <v>27.72</v>
      </c>
      <c r="EA180" s="2336">
        <v>53.56</v>
      </c>
      <c r="EB180" s="2336">
        <v>89.6</v>
      </c>
      <c r="EC180" s="2336">
        <v>147.72</v>
      </c>
      <c r="ED180" s="2336">
        <v>176.44</v>
      </c>
      <c r="EE180" s="2336">
        <v>269.7</v>
      </c>
      <c r="EF180" s="2336">
        <v>432.57</v>
      </c>
      <c r="EG180" s="2336">
        <v>526.83000000000004</v>
      </c>
      <c r="EH180" s="2336">
        <v>910.3</v>
      </c>
      <c r="EI180" s="2336">
        <v>1294.46</v>
      </c>
      <c r="EJ180" s="2250"/>
      <c r="EK180" s="2250"/>
      <c r="EL180" s="2333">
        <v>34.200000000000003</v>
      </c>
      <c r="EM180" s="2336">
        <v>13.47</v>
      </c>
      <c r="EN180" s="2336">
        <v>20.100000000000001</v>
      </c>
      <c r="EO180" s="2336">
        <v>38.81</v>
      </c>
      <c r="EP180" s="2336">
        <v>65.150000000000006</v>
      </c>
      <c r="EQ180" s="2336">
        <v>107.03</v>
      </c>
      <c r="ER180" s="2336">
        <v>128.32</v>
      </c>
      <c r="ES180" s="2336">
        <v>196.24</v>
      </c>
      <c r="ET180" s="2336">
        <v>305.14999999999998</v>
      </c>
      <c r="EU180" s="2336">
        <v>383.27</v>
      </c>
      <c r="EV180" s="2336">
        <v>645.74</v>
      </c>
      <c r="EW180" s="2336">
        <v>938.42</v>
      </c>
      <c r="EX180" s="2250"/>
      <c r="EY180" s="2250"/>
      <c r="EZ180" s="2333">
        <v>34.200000000000003</v>
      </c>
      <c r="FA180" s="2336">
        <v>11.4</v>
      </c>
      <c r="FB180" s="2336">
        <v>17.489999999999998</v>
      </c>
      <c r="FC180" s="2336">
        <v>32.049999999999997</v>
      </c>
      <c r="FD180" s="2336">
        <v>53.72</v>
      </c>
      <c r="FE180" s="2336">
        <v>87.25</v>
      </c>
      <c r="FF180" s="2336">
        <v>110.5</v>
      </c>
      <c r="FG180" s="2336">
        <v>158.24</v>
      </c>
      <c r="FH180" s="2336">
        <v>232.51</v>
      </c>
      <c r="FI180" s="2336">
        <v>327.31</v>
      </c>
      <c r="FJ180" s="2336">
        <v>491.31</v>
      </c>
      <c r="FK180" s="2336">
        <v>726.75</v>
      </c>
      <c r="FL180" s="2250"/>
      <c r="FM180" s="2250"/>
      <c r="FN180" s="2333">
        <v>34.200000000000003</v>
      </c>
      <c r="FO180" s="2337">
        <v>6.53</v>
      </c>
      <c r="FP180" s="2337">
        <v>10.3</v>
      </c>
      <c r="FQ180" s="2337">
        <v>18.420000000000002</v>
      </c>
      <c r="FR180" s="2337">
        <v>30.99</v>
      </c>
      <c r="FS180" s="2337">
        <v>50.2</v>
      </c>
      <c r="FT180" s="2337">
        <v>64.16</v>
      </c>
      <c r="FU180" s="2337">
        <v>90.2</v>
      </c>
      <c r="FV180" s="2337">
        <v>133.86000000000001</v>
      </c>
      <c r="FW180" s="2337">
        <v>188.71</v>
      </c>
      <c r="FX180" s="2337">
        <v>280.79000000000002</v>
      </c>
      <c r="FY180" s="2337">
        <v>424.65</v>
      </c>
      <c r="FZ180" s="2250"/>
      <c r="GA180" s="2250"/>
      <c r="GB180" s="1302">
        <v>177.81</v>
      </c>
      <c r="GC180" s="1302">
        <v>190.4</v>
      </c>
      <c r="GD180" s="2250"/>
      <c r="GE180" s="2275"/>
      <c r="GF180" s="2333">
        <v>34.200000000000003</v>
      </c>
      <c r="GG180" s="2336">
        <v>18.61</v>
      </c>
      <c r="GH180" s="2336">
        <v>27.72</v>
      </c>
      <c r="GI180" s="2336">
        <v>53.56</v>
      </c>
      <c r="GJ180" s="2336">
        <v>89.6</v>
      </c>
      <c r="GK180" s="2336">
        <v>147.72</v>
      </c>
      <c r="GL180" s="2336">
        <v>176.44</v>
      </c>
      <c r="GM180" s="2336">
        <v>269.7</v>
      </c>
      <c r="GN180" s="2336">
        <v>432.57</v>
      </c>
      <c r="GO180" s="2336">
        <v>526.83000000000004</v>
      </c>
      <c r="GP180" s="2336">
        <v>910.3</v>
      </c>
      <c r="GQ180" s="2336">
        <v>1294.46</v>
      </c>
      <c r="GR180" s="2250"/>
      <c r="GS180" s="2250"/>
      <c r="GT180" s="2333">
        <v>34.200000000000003</v>
      </c>
      <c r="GU180" s="2336">
        <v>13.47</v>
      </c>
      <c r="GV180" s="2336">
        <v>20.100000000000001</v>
      </c>
      <c r="GW180" s="2336">
        <v>38.81</v>
      </c>
      <c r="GX180" s="2336">
        <v>65.150000000000006</v>
      </c>
      <c r="GY180" s="2336">
        <v>107.03</v>
      </c>
      <c r="GZ180" s="2336">
        <v>128.32</v>
      </c>
      <c r="HA180" s="2336">
        <v>196.24</v>
      </c>
      <c r="HB180" s="2336">
        <v>305.14999999999998</v>
      </c>
      <c r="HC180" s="2336">
        <v>383.27</v>
      </c>
      <c r="HD180" s="2336">
        <v>645.74</v>
      </c>
      <c r="HE180" s="2336">
        <v>938.42</v>
      </c>
      <c r="HF180" s="2250"/>
      <c r="HG180" s="2250"/>
      <c r="HH180" s="2333">
        <v>34.200000000000003</v>
      </c>
      <c r="HI180" s="2336">
        <v>11.4</v>
      </c>
      <c r="HJ180" s="2336">
        <v>17.489999999999998</v>
      </c>
      <c r="HK180" s="2336">
        <v>32.049999999999997</v>
      </c>
      <c r="HL180" s="2336">
        <v>53.72</v>
      </c>
      <c r="HM180" s="2336">
        <v>87.25</v>
      </c>
      <c r="HN180" s="2336">
        <v>110.5</v>
      </c>
      <c r="HO180" s="2336">
        <v>158.24</v>
      </c>
      <c r="HP180" s="2336">
        <v>232.51</v>
      </c>
      <c r="HQ180" s="2336">
        <v>327.31</v>
      </c>
      <c r="HR180" s="2336">
        <v>491.31</v>
      </c>
      <c r="HS180" s="2336">
        <v>726.75</v>
      </c>
      <c r="HT180" s="2250"/>
      <c r="HU180" s="2250"/>
      <c r="HV180" s="2333">
        <v>34.200000000000003</v>
      </c>
      <c r="HW180" s="2337">
        <v>6.53</v>
      </c>
      <c r="HX180" s="2337">
        <v>10.3</v>
      </c>
      <c r="HY180" s="2337">
        <v>18.420000000000002</v>
      </c>
      <c r="HZ180" s="2337">
        <v>30.99</v>
      </c>
      <c r="IA180" s="2337">
        <v>50.2</v>
      </c>
      <c r="IB180" s="2337">
        <v>64.16</v>
      </c>
      <c r="IC180" s="2337">
        <v>90.2</v>
      </c>
      <c r="ID180" s="2337">
        <v>133.86000000000001</v>
      </c>
      <c r="IE180" s="2337">
        <v>188.71</v>
      </c>
      <c r="IF180" s="2337">
        <v>280.79000000000002</v>
      </c>
      <c r="IG180" s="2337">
        <v>424.65</v>
      </c>
      <c r="IH180" s="2250"/>
      <c r="II180" s="2250"/>
      <c r="IJ180" s="2250"/>
      <c r="IK180" s="2250"/>
      <c r="IL180" s="2250"/>
      <c r="IN180" s="277"/>
      <c r="IO180" s="277"/>
    </row>
    <row r="181" spans="1:249" ht="21.95" customHeight="1">
      <c r="A181" s="2275"/>
      <c r="B181" s="2333">
        <v>29.3</v>
      </c>
      <c r="C181" s="2336">
        <v>19.7</v>
      </c>
      <c r="D181" s="2336">
        <v>31.49</v>
      </c>
      <c r="E181" s="2336">
        <v>59.7</v>
      </c>
      <c r="F181" s="2336">
        <v>105.45</v>
      </c>
      <c r="G181" s="2336">
        <v>168.81</v>
      </c>
      <c r="H181" s="2336">
        <v>180.69</v>
      </c>
      <c r="I181" s="2336">
        <v>269.7</v>
      </c>
      <c r="J181" s="2336">
        <v>492.08</v>
      </c>
      <c r="K181" s="2336">
        <v>526.83000000000004</v>
      </c>
      <c r="L181" s="2336">
        <v>910.3</v>
      </c>
      <c r="M181" s="2336">
        <v>1445.54</v>
      </c>
      <c r="N181" s="2250"/>
      <c r="O181" s="2250"/>
      <c r="P181" s="2333">
        <v>29.3</v>
      </c>
      <c r="Q181" s="2336">
        <v>14.46</v>
      </c>
      <c r="R181" s="2336">
        <v>22.87</v>
      </c>
      <c r="S181" s="2336">
        <v>43.37</v>
      </c>
      <c r="T181" s="2336">
        <v>76.44</v>
      </c>
      <c r="U181" s="2336">
        <v>122.48</v>
      </c>
      <c r="V181" s="2336">
        <v>131.49</v>
      </c>
      <c r="W181" s="2336">
        <v>196.24</v>
      </c>
      <c r="X181" s="2336">
        <v>355.05</v>
      </c>
      <c r="Y181" s="2336">
        <v>383.27</v>
      </c>
      <c r="Z181" s="2336">
        <v>662.28</v>
      </c>
      <c r="AA181" s="2336">
        <v>1039.31</v>
      </c>
      <c r="AB181" s="2250"/>
      <c r="AC181" s="2250"/>
      <c r="AD181" s="2333">
        <v>29.3</v>
      </c>
      <c r="AE181" s="2336">
        <v>12.42</v>
      </c>
      <c r="AF181" s="2336">
        <v>19.98</v>
      </c>
      <c r="AG181" s="2336">
        <v>36.68</v>
      </c>
      <c r="AH181" s="2336">
        <v>57.79</v>
      </c>
      <c r="AI181" s="2336">
        <v>98.98</v>
      </c>
      <c r="AJ181" s="2336">
        <v>112.87</v>
      </c>
      <c r="AK181" s="2336">
        <v>168.4</v>
      </c>
      <c r="AL181" s="2336">
        <v>268.74</v>
      </c>
      <c r="AM181" s="2336">
        <v>329.01</v>
      </c>
      <c r="AN181" s="2336">
        <v>542.78</v>
      </c>
      <c r="AO181" s="2336">
        <v>792.66</v>
      </c>
      <c r="AP181" s="2250"/>
      <c r="AQ181" s="2250"/>
      <c r="AR181" s="2333">
        <v>29.3</v>
      </c>
      <c r="AS181" s="2337">
        <v>8.61</v>
      </c>
      <c r="AT181" s="2337">
        <v>11.88</v>
      </c>
      <c r="AU181" s="2337">
        <v>21.19</v>
      </c>
      <c r="AV181" s="2337">
        <v>33.270000000000003</v>
      </c>
      <c r="AW181" s="2337">
        <v>57.13</v>
      </c>
      <c r="AX181" s="2337">
        <v>69.7</v>
      </c>
      <c r="AY181" s="2337">
        <v>99.41</v>
      </c>
      <c r="AZ181" s="2337">
        <v>155.15</v>
      </c>
      <c r="BA181" s="2337">
        <v>216.63</v>
      </c>
      <c r="BB181" s="2337">
        <v>309.5</v>
      </c>
      <c r="BC181" s="2337">
        <v>451.88</v>
      </c>
      <c r="BD181" s="2250"/>
      <c r="BE181" s="2250"/>
      <c r="BF181" s="1302">
        <v>190.4</v>
      </c>
      <c r="BG181" s="1302">
        <v>206.43</v>
      </c>
      <c r="BH181" s="2250"/>
      <c r="BI181" s="2275"/>
      <c r="BJ181" s="2333">
        <v>29.3</v>
      </c>
      <c r="BK181" s="2336">
        <v>19.7</v>
      </c>
      <c r="BL181" s="2336">
        <v>31.49</v>
      </c>
      <c r="BM181" s="2336">
        <v>59.7</v>
      </c>
      <c r="BN181" s="2336">
        <v>105.45</v>
      </c>
      <c r="BO181" s="2336">
        <v>168.81</v>
      </c>
      <c r="BP181" s="2336">
        <v>180.69</v>
      </c>
      <c r="BQ181" s="2336">
        <v>269.7</v>
      </c>
      <c r="BR181" s="2336">
        <v>492.08</v>
      </c>
      <c r="BS181" s="2336">
        <v>526.83000000000004</v>
      </c>
      <c r="BT181" s="2336">
        <v>910.3</v>
      </c>
      <c r="BU181" s="2336">
        <v>1445.54</v>
      </c>
      <c r="BV181" s="2250"/>
      <c r="BW181" s="2250"/>
      <c r="BX181" s="2333">
        <v>29.3</v>
      </c>
      <c r="BY181" s="2336">
        <v>14.46</v>
      </c>
      <c r="BZ181" s="2336">
        <v>22.87</v>
      </c>
      <c r="CA181" s="2336">
        <v>43.37</v>
      </c>
      <c r="CB181" s="2336">
        <v>76.44</v>
      </c>
      <c r="CC181" s="2336">
        <v>122.48</v>
      </c>
      <c r="CD181" s="2336">
        <v>131.49</v>
      </c>
      <c r="CE181" s="2336">
        <v>196.24</v>
      </c>
      <c r="CF181" s="2336">
        <v>355.05</v>
      </c>
      <c r="CG181" s="2336">
        <v>383.27</v>
      </c>
      <c r="CH181" s="2336">
        <v>662.28</v>
      </c>
      <c r="CI181" s="2336">
        <v>1039.31</v>
      </c>
      <c r="CJ181" s="2250"/>
      <c r="CK181" s="2250"/>
      <c r="CL181" s="2333">
        <v>29.3</v>
      </c>
      <c r="CM181" s="2336">
        <v>12.42</v>
      </c>
      <c r="CN181" s="2336">
        <v>19.98</v>
      </c>
      <c r="CO181" s="2336">
        <v>36.68</v>
      </c>
      <c r="CP181" s="2336">
        <v>57.79</v>
      </c>
      <c r="CQ181" s="2336">
        <v>98.98</v>
      </c>
      <c r="CR181" s="2336">
        <v>112.87</v>
      </c>
      <c r="CS181" s="2336">
        <v>168.4</v>
      </c>
      <c r="CT181" s="2336">
        <v>268.74</v>
      </c>
      <c r="CU181" s="2336">
        <v>329.01</v>
      </c>
      <c r="CV181" s="2336">
        <v>542.78</v>
      </c>
      <c r="CW181" s="2336">
        <v>792.66</v>
      </c>
      <c r="CX181" s="2250"/>
      <c r="CY181" s="2250"/>
      <c r="CZ181" s="2333">
        <v>29.3</v>
      </c>
      <c r="DA181" s="2337">
        <v>8.61</v>
      </c>
      <c r="DB181" s="2337">
        <v>11.88</v>
      </c>
      <c r="DC181" s="2337">
        <v>21.19</v>
      </c>
      <c r="DD181" s="2337">
        <v>33.270000000000003</v>
      </c>
      <c r="DE181" s="2337">
        <v>57.13</v>
      </c>
      <c r="DF181" s="2337">
        <v>69.7</v>
      </c>
      <c r="DG181" s="2337">
        <v>99.41</v>
      </c>
      <c r="DH181" s="2337">
        <v>155.15</v>
      </c>
      <c r="DI181" s="2337">
        <v>216.63</v>
      </c>
      <c r="DJ181" s="2337">
        <v>309.5</v>
      </c>
      <c r="DK181" s="2337">
        <v>451.88</v>
      </c>
      <c r="DL181" s="2250"/>
      <c r="DM181" s="2250"/>
      <c r="DN181" s="2250"/>
      <c r="DO181" s="2250"/>
      <c r="DP181" s="2250"/>
      <c r="DQ181" s="2277"/>
      <c r="DR181" s="2277"/>
      <c r="DS181" s="277"/>
      <c r="DW181" s="2275"/>
      <c r="DX181" s="2333">
        <v>29.3</v>
      </c>
      <c r="DY181" s="2336">
        <v>19.7</v>
      </c>
      <c r="DZ181" s="2336">
        <v>31.49</v>
      </c>
      <c r="EA181" s="2336">
        <v>59.7</v>
      </c>
      <c r="EB181" s="2336">
        <v>105.45</v>
      </c>
      <c r="EC181" s="2336">
        <v>168.81</v>
      </c>
      <c r="ED181" s="2336">
        <v>180.69</v>
      </c>
      <c r="EE181" s="2336">
        <v>269.7</v>
      </c>
      <c r="EF181" s="2336">
        <v>492.08</v>
      </c>
      <c r="EG181" s="2336">
        <v>526.83000000000004</v>
      </c>
      <c r="EH181" s="2336">
        <v>910.3</v>
      </c>
      <c r="EI181" s="2336">
        <v>1445.54</v>
      </c>
      <c r="EJ181" s="2250"/>
      <c r="EK181" s="2250"/>
      <c r="EL181" s="2333">
        <v>29.3</v>
      </c>
      <c r="EM181" s="2336">
        <v>14.46</v>
      </c>
      <c r="EN181" s="2336">
        <v>22.87</v>
      </c>
      <c r="EO181" s="2336">
        <v>43.37</v>
      </c>
      <c r="EP181" s="2336">
        <v>76.44</v>
      </c>
      <c r="EQ181" s="2336">
        <v>122.48</v>
      </c>
      <c r="ER181" s="2336">
        <v>131.49</v>
      </c>
      <c r="ES181" s="2336">
        <v>196.24</v>
      </c>
      <c r="ET181" s="2336">
        <v>355.05</v>
      </c>
      <c r="EU181" s="2336">
        <v>383.27</v>
      </c>
      <c r="EV181" s="2336">
        <v>662.28</v>
      </c>
      <c r="EW181" s="2336">
        <v>1039.31</v>
      </c>
      <c r="EX181" s="2250"/>
      <c r="EY181" s="2250"/>
      <c r="EZ181" s="2333">
        <v>29.3</v>
      </c>
      <c r="FA181" s="2336">
        <v>12.42</v>
      </c>
      <c r="FB181" s="2336">
        <v>19.98</v>
      </c>
      <c r="FC181" s="2336">
        <v>36.68</v>
      </c>
      <c r="FD181" s="2336">
        <v>57.79</v>
      </c>
      <c r="FE181" s="2336">
        <v>98.98</v>
      </c>
      <c r="FF181" s="2336">
        <v>112.87</v>
      </c>
      <c r="FG181" s="2336">
        <v>168.4</v>
      </c>
      <c r="FH181" s="2336">
        <v>268.74</v>
      </c>
      <c r="FI181" s="2336">
        <v>329.01</v>
      </c>
      <c r="FJ181" s="2336">
        <v>542.78</v>
      </c>
      <c r="FK181" s="2336">
        <v>792.66</v>
      </c>
      <c r="FL181" s="2250"/>
      <c r="FM181" s="2250"/>
      <c r="FN181" s="2333">
        <v>29.3</v>
      </c>
      <c r="FO181" s="2337">
        <v>8.61</v>
      </c>
      <c r="FP181" s="2337">
        <v>11.88</v>
      </c>
      <c r="FQ181" s="2337">
        <v>21.19</v>
      </c>
      <c r="FR181" s="2337">
        <v>33.270000000000003</v>
      </c>
      <c r="FS181" s="2337">
        <v>57.13</v>
      </c>
      <c r="FT181" s="2337">
        <v>69.7</v>
      </c>
      <c r="FU181" s="2337">
        <v>99.41</v>
      </c>
      <c r="FV181" s="2337">
        <v>155.15</v>
      </c>
      <c r="FW181" s="2337">
        <v>216.63</v>
      </c>
      <c r="FX181" s="2337">
        <v>309.5</v>
      </c>
      <c r="FY181" s="2337">
        <v>451.88</v>
      </c>
      <c r="FZ181" s="2250"/>
      <c r="GA181" s="2250"/>
      <c r="GB181" s="1302">
        <v>190.4</v>
      </c>
      <c r="GC181" s="1302">
        <v>206.43</v>
      </c>
      <c r="GD181" s="2250"/>
      <c r="GE181" s="2275"/>
      <c r="GF181" s="2333">
        <v>29.3</v>
      </c>
      <c r="GG181" s="2336">
        <v>19.7</v>
      </c>
      <c r="GH181" s="2336">
        <v>31.49</v>
      </c>
      <c r="GI181" s="2336">
        <v>59.7</v>
      </c>
      <c r="GJ181" s="2336">
        <v>105.45</v>
      </c>
      <c r="GK181" s="2336">
        <v>168.81</v>
      </c>
      <c r="GL181" s="2336">
        <v>180.69</v>
      </c>
      <c r="GM181" s="2336">
        <v>269.7</v>
      </c>
      <c r="GN181" s="2336">
        <v>492.08</v>
      </c>
      <c r="GO181" s="2336">
        <v>526.83000000000004</v>
      </c>
      <c r="GP181" s="2336">
        <v>910.3</v>
      </c>
      <c r="GQ181" s="2336">
        <v>1445.54</v>
      </c>
      <c r="GR181" s="2250"/>
      <c r="GS181" s="2250"/>
      <c r="GT181" s="2333">
        <v>29.3</v>
      </c>
      <c r="GU181" s="2336">
        <v>14.46</v>
      </c>
      <c r="GV181" s="2336">
        <v>22.87</v>
      </c>
      <c r="GW181" s="2336">
        <v>43.37</v>
      </c>
      <c r="GX181" s="2336">
        <v>76.44</v>
      </c>
      <c r="GY181" s="2336">
        <v>122.48</v>
      </c>
      <c r="GZ181" s="2336">
        <v>131.49</v>
      </c>
      <c r="HA181" s="2336">
        <v>196.24</v>
      </c>
      <c r="HB181" s="2336">
        <v>355.05</v>
      </c>
      <c r="HC181" s="2336">
        <v>383.27</v>
      </c>
      <c r="HD181" s="2336">
        <v>662.28</v>
      </c>
      <c r="HE181" s="2336">
        <v>1039.31</v>
      </c>
      <c r="HF181" s="2250"/>
      <c r="HG181" s="2250"/>
      <c r="HH181" s="2333">
        <v>29.3</v>
      </c>
      <c r="HI181" s="2336">
        <v>12.42</v>
      </c>
      <c r="HJ181" s="2336">
        <v>19.98</v>
      </c>
      <c r="HK181" s="2336">
        <v>36.68</v>
      </c>
      <c r="HL181" s="2336">
        <v>57.79</v>
      </c>
      <c r="HM181" s="2336">
        <v>98.98</v>
      </c>
      <c r="HN181" s="2336">
        <v>112.87</v>
      </c>
      <c r="HO181" s="2336">
        <v>168.4</v>
      </c>
      <c r="HP181" s="2336">
        <v>268.74</v>
      </c>
      <c r="HQ181" s="2336">
        <v>329.01</v>
      </c>
      <c r="HR181" s="2336">
        <v>542.78</v>
      </c>
      <c r="HS181" s="2336">
        <v>792.66</v>
      </c>
      <c r="HT181" s="2250"/>
      <c r="HU181" s="2250"/>
      <c r="HV181" s="2333">
        <v>29.3</v>
      </c>
      <c r="HW181" s="2337">
        <v>8.61</v>
      </c>
      <c r="HX181" s="2337">
        <v>11.88</v>
      </c>
      <c r="HY181" s="2337">
        <v>21.19</v>
      </c>
      <c r="HZ181" s="2337">
        <v>33.270000000000003</v>
      </c>
      <c r="IA181" s="2337">
        <v>57.13</v>
      </c>
      <c r="IB181" s="2337">
        <v>69.7</v>
      </c>
      <c r="IC181" s="2337">
        <v>99.41</v>
      </c>
      <c r="ID181" s="2337">
        <v>155.15</v>
      </c>
      <c r="IE181" s="2337">
        <v>216.63</v>
      </c>
      <c r="IF181" s="2337">
        <v>309.5</v>
      </c>
      <c r="IG181" s="2337">
        <v>451.88</v>
      </c>
      <c r="IH181" s="2250"/>
      <c r="II181" s="2250"/>
      <c r="IJ181" s="2250"/>
      <c r="IK181" s="2250"/>
      <c r="IL181" s="2250"/>
      <c r="IN181" s="277"/>
      <c r="IO181" s="277"/>
    </row>
    <row r="182" spans="1:249" ht="21.95" customHeight="1">
      <c r="A182" s="2275"/>
      <c r="B182" s="2333">
        <v>24.5</v>
      </c>
      <c r="C182" s="2336">
        <v>23.17</v>
      </c>
      <c r="D182" s="2336">
        <v>37.03</v>
      </c>
      <c r="E182" s="2336">
        <v>65.84</v>
      </c>
      <c r="F182" s="2336">
        <v>113.76</v>
      </c>
      <c r="G182" s="2336">
        <v>180.69</v>
      </c>
      <c r="H182" s="2336">
        <v>180.69</v>
      </c>
      <c r="I182" s="2336">
        <v>269.7</v>
      </c>
      <c r="J182" s="2336">
        <v>526.83000000000004</v>
      </c>
      <c r="K182" s="2336">
        <v>526.83000000000004</v>
      </c>
      <c r="L182" s="2336">
        <v>910.3</v>
      </c>
      <c r="M182" s="2336">
        <v>1392.08</v>
      </c>
      <c r="N182" s="2250"/>
      <c r="O182" s="2250"/>
      <c r="P182" s="2333">
        <v>24.5</v>
      </c>
      <c r="Q182" s="2336">
        <v>16.73</v>
      </c>
      <c r="R182" s="2336">
        <v>26.73</v>
      </c>
      <c r="S182" s="2336">
        <v>47.92</v>
      </c>
      <c r="T182" s="2336">
        <v>33.270000000000003</v>
      </c>
      <c r="U182" s="2336">
        <v>131.49</v>
      </c>
      <c r="V182" s="2336">
        <v>131.49</v>
      </c>
      <c r="W182" s="2336">
        <v>196.24</v>
      </c>
      <c r="X182" s="2336">
        <v>383.27</v>
      </c>
      <c r="Y182" s="2336">
        <v>383.27</v>
      </c>
      <c r="Z182" s="2336">
        <v>662.28</v>
      </c>
      <c r="AA182" s="2336">
        <v>1051.58</v>
      </c>
      <c r="AB182" s="2250"/>
      <c r="AC182" s="2250"/>
      <c r="AD182" s="2333">
        <v>24.5</v>
      </c>
      <c r="AE182" s="2336">
        <v>14.45</v>
      </c>
      <c r="AF182" s="2336">
        <v>23.36</v>
      </c>
      <c r="AG182" s="2336">
        <v>41.08</v>
      </c>
      <c r="AH182" s="2336">
        <v>68.510000000000005</v>
      </c>
      <c r="AI182" s="2336">
        <v>111.96</v>
      </c>
      <c r="AJ182" s="2336">
        <v>112.87</v>
      </c>
      <c r="AK182" s="2336">
        <v>168.4</v>
      </c>
      <c r="AL182" s="2336">
        <v>303.83999999999997</v>
      </c>
      <c r="AM182" s="2336">
        <v>329.01</v>
      </c>
      <c r="AN182" s="2336">
        <v>568.51</v>
      </c>
      <c r="AO182" s="2336">
        <v>902.82</v>
      </c>
      <c r="AP182" s="2250"/>
      <c r="AQ182" s="2250"/>
      <c r="AR182" s="2333">
        <v>24.5</v>
      </c>
      <c r="AS182" s="2337">
        <v>9.9</v>
      </c>
      <c r="AT182" s="2337">
        <v>14.16</v>
      </c>
      <c r="AU182" s="2337">
        <v>25.15</v>
      </c>
      <c r="AV182" s="2337">
        <v>39.21</v>
      </c>
      <c r="AW182" s="2337">
        <v>64.459999999999994</v>
      </c>
      <c r="AX182" s="2337">
        <v>78.61</v>
      </c>
      <c r="AY182" s="2337">
        <v>117.33</v>
      </c>
      <c r="AZ182" s="2337">
        <v>175.05</v>
      </c>
      <c r="BA182" s="2337">
        <v>228.42</v>
      </c>
      <c r="BB182" s="2337">
        <v>380.59</v>
      </c>
      <c r="BC182" s="2337">
        <v>539.21</v>
      </c>
      <c r="BD182" s="2250"/>
      <c r="BE182" s="2250"/>
      <c r="BF182" s="1302">
        <v>206.43</v>
      </c>
      <c r="BG182" s="1302">
        <v>223.8</v>
      </c>
      <c r="BH182" s="2250"/>
      <c r="BI182" s="2275"/>
      <c r="BJ182" s="2333">
        <v>24.5</v>
      </c>
      <c r="BK182" s="2336">
        <v>23.17</v>
      </c>
      <c r="BL182" s="2336">
        <v>37.03</v>
      </c>
      <c r="BM182" s="2336">
        <v>65.84</v>
      </c>
      <c r="BN182" s="2336">
        <v>113.76</v>
      </c>
      <c r="BO182" s="2336">
        <v>180.69</v>
      </c>
      <c r="BP182" s="2336">
        <v>180.69</v>
      </c>
      <c r="BQ182" s="2336">
        <v>269.7</v>
      </c>
      <c r="BR182" s="2336">
        <v>526.83000000000004</v>
      </c>
      <c r="BS182" s="2336">
        <v>526.83000000000004</v>
      </c>
      <c r="BT182" s="2336">
        <v>910.3</v>
      </c>
      <c r="BU182" s="2336">
        <v>1392.08</v>
      </c>
      <c r="BV182" s="2250"/>
      <c r="BW182" s="2250"/>
      <c r="BX182" s="2333">
        <v>24.5</v>
      </c>
      <c r="BY182" s="2336">
        <v>16.73</v>
      </c>
      <c r="BZ182" s="2336">
        <v>26.73</v>
      </c>
      <c r="CA182" s="2336">
        <v>47.92</v>
      </c>
      <c r="CB182" s="2336">
        <v>33.270000000000003</v>
      </c>
      <c r="CC182" s="2336">
        <v>131.49</v>
      </c>
      <c r="CD182" s="2336">
        <v>131.49</v>
      </c>
      <c r="CE182" s="2336">
        <v>196.24</v>
      </c>
      <c r="CF182" s="2336">
        <v>383.27</v>
      </c>
      <c r="CG182" s="2336">
        <v>383.27</v>
      </c>
      <c r="CH182" s="2336">
        <v>662.28</v>
      </c>
      <c r="CI182" s="2336">
        <v>1051.58</v>
      </c>
      <c r="CJ182" s="2250"/>
      <c r="CK182" s="2250"/>
      <c r="CL182" s="2333">
        <v>24.5</v>
      </c>
      <c r="CM182" s="2336">
        <v>14.45</v>
      </c>
      <c r="CN182" s="2336">
        <v>23.36</v>
      </c>
      <c r="CO182" s="2336">
        <v>41.08</v>
      </c>
      <c r="CP182" s="2336">
        <v>68.510000000000005</v>
      </c>
      <c r="CQ182" s="2336">
        <v>111.96</v>
      </c>
      <c r="CR182" s="2336">
        <v>112.87</v>
      </c>
      <c r="CS182" s="2336">
        <v>168.4</v>
      </c>
      <c r="CT182" s="2336">
        <v>303.83999999999997</v>
      </c>
      <c r="CU182" s="2336">
        <v>329.01</v>
      </c>
      <c r="CV182" s="2336">
        <v>568.51</v>
      </c>
      <c r="CW182" s="2336">
        <v>902.82</v>
      </c>
      <c r="CX182" s="2250"/>
      <c r="CY182" s="2250"/>
      <c r="CZ182" s="2333">
        <v>24.5</v>
      </c>
      <c r="DA182" s="2337">
        <v>9.9</v>
      </c>
      <c r="DB182" s="2337">
        <v>14.16</v>
      </c>
      <c r="DC182" s="2337">
        <v>25.15</v>
      </c>
      <c r="DD182" s="2337">
        <v>39.21</v>
      </c>
      <c r="DE182" s="2337">
        <v>64.459999999999994</v>
      </c>
      <c r="DF182" s="2337">
        <v>78.61</v>
      </c>
      <c r="DG182" s="2337">
        <v>117.33</v>
      </c>
      <c r="DH182" s="2337">
        <v>175.05</v>
      </c>
      <c r="DI182" s="2337">
        <v>228.42</v>
      </c>
      <c r="DJ182" s="2337">
        <v>380.59</v>
      </c>
      <c r="DK182" s="2337">
        <v>539.21</v>
      </c>
      <c r="DL182" s="2250"/>
      <c r="DM182" s="2250"/>
      <c r="DN182" s="2250"/>
      <c r="DO182" s="2250"/>
      <c r="DP182" s="2250"/>
      <c r="DQ182" s="2277"/>
      <c r="DR182" s="2277"/>
      <c r="DS182" s="277"/>
      <c r="DW182" s="2275"/>
      <c r="DX182" s="2333">
        <v>24.5</v>
      </c>
      <c r="DY182" s="2336">
        <v>23.17</v>
      </c>
      <c r="DZ182" s="2336">
        <v>37.03</v>
      </c>
      <c r="EA182" s="2336">
        <v>65.84</v>
      </c>
      <c r="EB182" s="2336">
        <v>113.76</v>
      </c>
      <c r="EC182" s="2336">
        <v>180.69</v>
      </c>
      <c r="ED182" s="2336">
        <v>180.69</v>
      </c>
      <c r="EE182" s="2336">
        <v>269.7</v>
      </c>
      <c r="EF182" s="2336">
        <v>526.83000000000004</v>
      </c>
      <c r="EG182" s="2336">
        <v>526.83000000000004</v>
      </c>
      <c r="EH182" s="2336">
        <v>910.3</v>
      </c>
      <c r="EI182" s="2336">
        <v>1392.08</v>
      </c>
      <c r="EJ182" s="2250"/>
      <c r="EK182" s="2250"/>
      <c r="EL182" s="2333">
        <v>24.5</v>
      </c>
      <c r="EM182" s="2336">
        <v>16.73</v>
      </c>
      <c r="EN182" s="2336">
        <v>26.73</v>
      </c>
      <c r="EO182" s="2336">
        <v>47.92</v>
      </c>
      <c r="EP182" s="2336">
        <v>33.270000000000003</v>
      </c>
      <c r="EQ182" s="2336">
        <v>131.49</v>
      </c>
      <c r="ER182" s="2336">
        <v>131.49</v>
      </c>
      <c r="ES182" s="2336">
        <v>196.24</v>
      </c>
      <c r="ET182" s="2336">
        <v>383.27</v>
      </c>
      <c r="EU182" s="2336">
        <v>383.27</v>
      </c>
      <c r="EV182" s="2336">
        <v>662.28</v>
      </c>
      <c r="EW182" s="2336">
        <v>1051.58</v>
      </c>
      <c r="EX182" s="2250"/>
      <c r="EY182" s="2250"/>
      <c r="EZ182" s="2333">
        <v>24.5</v>
      </c>
      <c r="FA182" s="2336">
        <v>14.45</v>
      </c>
      <c r="FB182" s="2336">
        <v>23.36</v>
      </c>
      <c r="FC182" s="2336">
        <v>41.08</v>
      </c>
      <c r="FD182" s="2336">
        <v>68.510000000000005</v>
      </c>
      <c r="FE182" s="2336">
        <v>111.96</v>
      </c>
      <c r="FF182" s="2336">
        <v>112.87</v>
      </c>
      <c r="FG182" s="2336">
        <v>168.4</v>
      </c>
      <c r="FH182" s="2336">
        <v>303.83999999999997</v>
      </c>
      <c r="FI182" s="2336">
        <v>329.01</v>
      </c>
      <c r="FJ182" s="2336">
        <v>568.51</v>
      </c>
      <c r="FK182" s="2336">
        <v>902.82</v>
      </c>
      <c r="FL182" s="2250"/>
      <c r="FM182" s="2250"/>
      <c r="FN182" s="2333">
        <v>24.5</v>
      </c>
      <c r="FO182" s="2337">
        <v>9.9</v>
      </c>
      <c r="FP182" s="2337">
        <v>14.16</v>
      </c>
      <c r="FQ182" s="2337">
        <v>25.15</v>
      </c>
      <c r="FR182" s="2337">
        <v>39.21</v>
      </c>
      <c r="FS182" s="2337">
        <v>64.459999999999994</v>
      </c>
      <c r="FT182" s="2337">
        <v>78.61</v>
      </c>
      <c r="FU182" s="2337">
        <v>117.33</v>
      </c>
      <c r="FV182" s="2337">
        <v>175.05</v>
      </c>
      <c r="FW182" s="2337">
        <v>228.42</v>
      </c>
      <c r="FX182" s="2337">
        <v>380.59</v>
      </c>
      <c r="FY182" s="2337">
        <v>539.21</v>
      </c>
      <c r="FZ182" s="2250"/>
      <c r="GA182" s="2250"/>
      <c r="GB182" s="1302">
        <v>206.43</v>
      </c>
      <c r="GC182" s="1302">
        <v>223.8</v>
      </c>
      <c r="GD182" s="2250"/>
      <c r="GE182" s="2275"/>
      <c r="GF182" s="2333">
        <v>24.5</v>
      </c>
      <c r="GG182" s="2336">
        <v>23.17</v>
      </c>
      <c r="GH182" s="2336">
        <v>37.03</v>
      </c>
      <c r="GI182" s="2336">
        <v>65.84</v>
      </c>
      <c r="GJ182" s="2336">
        <v>113.76</v>
      </c>
      <c r="GK182" s="2336">
        <v>180.69</v>
      </c>
      <c r="GL182" s="2336">
        <v>180.69</v>
      </c>
      <c r="GM182" s="2336">
        <v>269.7</v>
      </c>
      <c r="GN182" s="2336">
        <v>526.83000000000004</v>
      </c>
      <c r="GO182" s="2336">
        <v>526.83000000000004</v>
      </c>
      <c r="GP182" s="2336">
        <v>910.3</v>
      </c>
      <c r="GQ182" s="2336">
        <v>1392.08</v>
      </c>
      <c r="GR182" s="2250"/>
      <c r="GS182" s="2250"/>
      <c r="GT182" s="2333">
        <v>24.5</v>
      </c>
      <c r="GU182" s="2336">
        <v>16.73</v>
      </c>
      <c r="GV182" s="2336">
        <v>26.73</v>
      </c>
      <c r="GW182" s="2336">
        <v>47.92</v>
      </c>
      <c r="GX182" s="2336">
        <v>33.270000000000003</v>
      </c>
      <c r="GY182" s="2336">
        <v>131.49</v>
      </c>
      <c r="GZ182" s="2336">
        <v>131.49</v>
      </c>
      <c r="HA182" s="2336">
        <v>196.24</v>
      </c>
      <c r="HB182" s="2336">
        <v>383.27</v>
      </c>
      <c r="HC182" s="2336">
        <v>383.27</v>
      </c>
      <c r="HD182" s="2336">
        <v>662.28</v>
      </c>
      <c r="HE182" s="2336">
        <v>1051.58</v>
      </c>
      <c r="HF182" s="2250"/>
      <c r="HG182" s="2250"/>
      <c r="HH182" s="2333">
        <v>24.5</v>
      </c>
      <c r="HI182" s="2336">
        <v>14.45</v>
      </c>
      <c r="HJ182" s="2336">
        <v>23.36</v>
      </c>
      <c r="HK182" s="2336">
        <v>41.08</v>
      </c>
      <c r="HL182" s="2336">
        <v>68.510000000000005</v>
      </c>
      <c r="HM182" s="2336">
        <v>111.96</v>
      </c>
      <c r="HN182" s="2336">
        <v>112.87</v>
      </c>
      <c r="HO182" s="2336">
        <v>168.4</v>
      </c>
      <c r="HP182" s="2336">
        <v>303.83999999999997</v>
      </c>
      <c r="HQ182" s="2336">
        <v>329.01</v>
      </c>
      <c r="HR182" s="2336">
        <v>568.51</v>
      </c>
      <c r="HS182" s="2336">
        <v>902.82</v>
      </c>
      <c r="HT182" s="2250"/>
      <c r="HU182" s="2250"/>
      <c r="HV182" s="2333">
        <v>24.5</v>
      </c>
      <c r="HW182" s="2337">
        <v>9.9</v>
      </c>
      <c r="HX182" s="2337">
        <v>14.16</v>
      </c>
      <c r="HY182" s="2337">
        <v>25.15</v>
      </c>
      <c r="HZ182" s="2337">
        <v>39.21</v>
      </c>
      <c r="IA182" s="2337">
        <v>64.459999999999994</v>
      </c>
      <c r="IB182" s="2337">
        <v>78.61</v>
      </c>
      <c r="IC182" s="2337">
        <v>117.33</v>
      </c>
      <c r="ID182" s="2337">
        <v>175.05</v>
      </c>
      <c r="IE182" s="2337">
        <v>228.42</v>
      </c>
      <c r="IF182" s="2337">
        <v>380.59</v>
      </c>
      <c r="IG182" s="2337">
        <v>539.21</v>
      </c>
      <c r="IH182" s="2250"/>
      <c r="II182" s="2250"/>
      <c r="IJ182" s="2250"/>
      <c r="IK182" s="2250"/>
      <c r="IL182" s="2250"/>
      <c r="IN182" s="277"/>
      <c r="IO182" s="277"/>
    </row>
    <row r="183" spans="1:249" ht="21.95" customHeight="1" thickBot="1">
      <c r="A183" s="2275"/>
      <c r="B183" s="2250"/>
      <c r="C183" s="2250"/>
      <c r="D183" s="2250"/>
      <c r="E183" s="2250"/>
      <c r="F183" s="2250"/>
      <c r="G183" s="2250"/>
      <c r="H183" s="2250"/>
      <c r="I183" s="2250"/>
      <c r="J183" s="2250"/>
      <c r="K183" s="2250"/>
      <c r="L183" s="2250"/>
      <c r="M183" s="2250"/>
      <c r="N183" s="2250"/>
      <c r="O183" s="2250"/>
      <c r="P183" s="2250"/>
      <c r="Q183" s="2250"/>
      <c r="R183" s="2250"/>
      <c r="S183" s="2250"/>
      <c r="T183" s="2250"/>
      <c r="U183" s="2250"/>
      <c r="V183" s="2250"/>
      <c r="W183" s="2250"/>
      <c r="X183" s="2250"/>
      <c r="Y183" s="2250"/>
      <c r="Z183" s="2250"/>
      <c r="AA183" s="2250"/>
      <c r="AB183" s="2250"/>
      <c r="AC183" s="2250"/>
      <c r="AD183" s="2250"/>
      <c r="AE183" s="2250"/>
      <c r="AF183" s="2250"/>
      <c r="AG183" s="2250"/>
      <c r="AH183" s="2250"/>
      <c r="AI183" s="2250"/>
      <c r="AJ183" s="2250"/>
      <c r="AK183" s="2250"/>
      <c r="AL183" s="2250"/>
      <c r="AM183" s="2250"/>
      <c r="AN183" s="2250"/>
      <c r="AO183" s="2250"/>
      <c r="AP183" s="2250"/>
      <c r="AQ183" s="2250"/>
      <c r="AR183" s="2250"/>
      <c r="AS183" s="2250"/>
      <c r="AT183" s="2250"/>
      <c r="AU183" s="2250"/>
      <c r="AV183" s="2250"/>
      <c r="AW183" s="2250"/>
      <c r="AX183" s="2250"/>
      <c r="AY183" s="2250"/>
      <c r="AZ183" s="2250"/>
      <c r="BA183" s="2250"/>
      <c r="BB183" s="2250"/>
      <c r="BC183" s="2250"/>
      <c r="BD183" s="2250"/>
      <c r="BE183" s="2250"/>
      <c r="BF183" s="1311">
        <f>+BG182</f>
        <v>223.8</v>
      </c>
      <c r="BG183" s="1311">
        <f>+BG182</f>
        <v>223.8</v>
      </c>
      <c r="BH183" s="2250"/>
      <c r="BI183" s="2275"/>
      <c r="BJ183" s="2250"/>
      <c r="BK183" s="2250"/>
      <c r="BL183" s="2250"/>
      <c r="BM183" s="2250"/>
      <c r="BN183" s="2250"/>
      <c r="BO183" s="2250"/>
      <c r="BP183" s="2250"/>
      <c r="BQ183" s="2250"/>
      <c r="BR183" s="2250"/>
      <c r="BS183" s="2250"/>
      <c r="BT183" s="2250"/>
      <c r="BU183" s="2250"/>
      <c r="BV183" s="2250"/>
      <c r="BW183" s="2250"/>
      <c r="BX183" s="2250"/>
      <c r="BY183" s="2250"/>
      <c r="BZ183" s="2250"/>
      <c r="CA183" s="2250"/>
      <c r="CB183" s="2250"/>
      <c r="CC183" s="2250"/>
      <c r="CD183" s="2250"/>
      <c r="CE183" s="2250"/>
      <c r="CF183" s="2250"/>
      <c r="CG183" s="2250"/>
      <c r="CH183" s="2250"/>
      <c r="CI183" s="2250"/>
      <c r="CJ183" s="2250"/>
      <c r="CK183" s="2250"/>
      <c r="CL183" s="2250"/>
      <c r="CM183" s="2250"/>
      <c r="CN183" s="2250"/>
      <c r="CO183" s="2250"/>
      <c r="CP183" s="2250"/>
      <c r="CQ183" s="2250"/>
      <c r="CR183" s="2250"/>
      <c r="CS183" s="2250"/>
      <c r="CT183" s="2250"/>
      <c r="CU183" s="2250"/>
      <c r="CV183" s="2250"/>
      <c r="CW183" s="2250"/>
      <c r="CX183" s="2250"/>
      <c r="CY183" s="2250"/>
      <c r="CZ183" s="2250"/>
      <c r="DA183" s="2250"/>
      <c r="DB183" s="2250"/>
      <c r="DC183" s="2250"/>
      <c r="DD183" s="2250"/>
      <c r="DE183" s="2250"/>
      <c r="DF183" s="2250"/>
      <c r="DG183" s="2250"/>
      <c r="DH183" s="2250"/>
      <c r="DI183" s="2250"/>
      <c r="DJ183" s="2250"/>
      <c r="DK183" s="2250"/>
      <c r="DL183" s="2250"/>
      <c r="DM183" s="2250"/>
      <c r="DN183" s="2250"/>
      <c r="DO183" s="2250"/>
      <c r="DP183" s="2250"/>
      <c r="DQ183" s="2277"/>
      <c r="DR183" s="2277"/>
      <c r="DS183" s="277"/>
      <c r="DW183" s="2275"/>
      <c r="DX183" s="2250"/>
      <c r="DY183" s="2250"/>
      <c r="DZ183" s="2250"/>
      <c r="EA183" s="2250"/>
      <c r="EB183" s="2250"/>
      <c r="EC183" s="2250"/>
      <c r="ED183" s="2250"/>
      <c r="EE183" s="2250"/>
      <c r="EF183" s="2250"/>
      <c r="EG183" s="2250"/>
      <c r="EH183" s="2250"/>
      <c r="EI183" s="2250"/>
      <c r="EJ183" s="2250"/>
      <c r="EK183" s="2250"/>
      <c r="EL183" s="2250"/>
      <c r="EM183" s="2250"/>
      <c r="EN183" s="2250"/>
      <c r="EO183" s="2250"/>
      <c r="EP183" s="2250"/>
      <c r="EQ183" s="2250"/>
      <c r="ER183" s="2250"/>
      <c r="ES183" s="2250"/>
      <c r="ET183" s="2250"/>
      <c r="EU183" s="2250"/>
      <c r="EV183" s="2250"/>
      <c r="EW183" s="2250"/>
      <c r="EX183" s="2250"/>
      <c r="EY183" s="2250"/>
      <c r="EZ183" s="2250"/>
      <c r="FA183" s="2250"/>
      <c r="FB183" s="2250"/>
      <c r="FC183" s="2250"/>
      <c r="FD183" s="2250"/>
      <c r="FE183" s="2250"/>
      <c r="FF183" s="2250"/>
      <c r="FG183" s="2250"/>
      <c r="FH183" s="2250"/>
      <c r="FI183" s="2250"/>
      <c r="FJ183" s="2250"/>
      <c r="FK183" s="2250"/>
      <c r="FL183" s="2250"/>
      <c r="FM183" s="2250"/>
      <c r="FN183" s="2250"/>
      <c r="FO183" s="2250"/>
      <c r="FP183" s="2250"/>
      <c r="FQ183" s="2250"/>
      <c r="FR183" s="2250"/>
      <c r="FS183" s="2250"/>
      <c r="FT183" s="2250"/>
      <c r="FU183" s="2250"/>
      <c r="FV183" s="2250"/>
      <c r="FW183" s="2250"/>
      <c r="FX183" s="2250"/>
      <c r="FY183" s="2250"/>
      <c r="FZ183" s="2250"/>
      <c r="GA183" s="2250"/>
      <c r="GB183" s="1311">
        <f>+GC182</f>
        <v>223.8</v>
      </c>
      <c r="GC183" s="1311">
        <f>+GC182</f>
        <v>223.8</v>
      </c>
      <c r="GD183" s="2250"/>
      <c r="GE183" s="2275"/>
      <c r="GF183" s="2250"/>
      <c r="GG183" s="2250"/>
      <c r="GH183" s="2250"/>
      <c r="GI183" s="2250"/>
      <c r="GJ183" s="2250"/>
      <c r="GK183" s="2250"/>
      <c r="GL183" s="2250"/>
      <c r="GM183" s="2250"/>
      <c r="GN183" s="2250"/>
      <c r="GO183" s="2250"/>
      <c r="GP183" s="2250"/>
      <c r="GQ183" s="2250"/>
      <c r="GR183" s="2250"/>
      <c r="GS183" s="2250"/>
      <c r="GT183" s="2250"/>
      <c r="GU183" s="2250"/>
      <c r="GV183" s="2250"/>
      <c r="GW183" s="2250"/>
      <c r="GX183" s="2250"/>
      <c r="GY183" s="2250"/>
      <c r="GZ183" s="2250"/>
      <c r="HA183" s="2250"/>
      <c r="HB183" s="2250"/>
      <c r="HC183" s="2250"/>
      <c r="HD183" s="2250"/>
      <c r="HE183" s="2250"/>
      <c r="HF183" s="2250"/>
      <c r="HG183" s="2250"/>
      <c r="HH183" s="2250"/>
      <c r="HI183" s="2250"/>
      <c r="HJ183" s="2250"/>
      <c r="HK183" s="2250"/>
      <c r="HL183" s="2250"/>
      <c r="HM183" s="2250"/>
      <c r="HN183" s="2250"/>
      <c r="HO183" s="2250"/>
      <c r="HP183" s="2250"/>
      <c r="HQ183" s="2250"/>
      <c r="HR183" s="2250"/>
      <c r="HS183" s="2250"/>
      <c r="HT183" s="2250"/>
      <c r="HU183" s="2250"/>
      <c r="HV183" s="2250"/>
      <c r="HW183" s="2250"/>
      <c r="HX183" s="2250"/>
      <c r="HY183" s="2250"/>
      <c r="HZ183" s="2250"/>
      <c r="IA183" s="2250"/>
      <c r="IB183" s="2250"/>
      <c r="IC183" s="2250"/>
      <c r="ID183" s="2250"/>
      <c r="IE183" s="2250"/>
      <c r="IF183" s="2250"/>
      <c r="IG183" s="2250"/>
      <c r="IH183" s="2250"/>
      <c r="II183" s="2250"/>
      <c r="IJ183" s="2250"/>
      <c r="IK183" s="2250"/>
      <c r="IL183" s="2250"/>
      <c r="IN183" s="277"/>
      <c r="IO183" s="277"/>
    </row>
    <row r="184" spans="1:249" ht="21.95" customHeight="1" thickBot="1">
      <c r="A184" s="2275"/>
      <c r="B184" s="284" t="s">
        <v>682</v>
      </c>
      <c r="C184" s="284">
        <f>X141</f>
        <v>68.3</v>
      </c>
      <c r="D184" s="2250"/>
      <c r="E184" s="2250"/>
      <c r="F184" s="2250"/>
      <c r="G184" s="2250"/>
      <c r="H184" s="2250"/>
      <c r="I184" s="2250"/>
      <c r="J184" s="2250"/>
      <c r="K184" s="2250"/>
      <c r="L184" s="2250"/>
      <c r="M184" s="2250"/>
      <c r="N184" s="2250"/>
      <c r="O184" s="2250"/>
      <c r="P184" s="284" t="s">
        <v>682</v>
      </c>
      <c r="Q184" s="284">
        <f>C184</f>
        <v>68.3</v>
      </c>
      <c r="R184" s="2250"/>
      <c r="S184" s="2250"/>
      <c r="T184" s="2250"/>
      <c r="U184" s="2250"/>
      <c r="V184" s="2250"/>
      <c r="W184" s="2250"/>
      <c r="X184" s="2250"/>
      <c r="Y184" s="2250"/>
      <c r="Z184" s="2250"/>
      <c r="AA184" s="2250"/>
      <c r="AB184" s="2250"/>
      <c r="AC184" s="2250"/>
      <c r="AD184" s="284" t="s">
        <v>682</v>
      </c>
      <c r="AE184" s="284">
        <f>C184</f>
        <v>68.3</v>
      </c>
      <c r="AF184" s="2250"/>
      <c r="AG184" s="2250"/>
      <c r="AH184" s="2250"/>
      <c r="AI184" s="2250"/>
      <c r="AJ184" s="2250"/>
      <c r="AK184" s="2250"/>
      <c r="AL184" s="2250"/>
      <c r="AM184" s="2250"/>
      <c r="AN184" s="2250"/>
      <c r="AO184" s="2250"/>
      <c r="AP184" s="2250"/>
      <c r="AQ184" s="2250"/>
      <c r="AR184" s="284" t="s">
        <v>682</v>
      </c>
      <c r="AS184" s="284">
        <f>C184</f>
        <v>68.3</v>
      </c>
      <c r="AT184" s="2250"/>
      <c r="AU184" s="2250"/>
      <c r="AV184" s="2250"/>
      <c r="AW184" s="2250"/>
      <c r="AX184" s="2250"/>
      <c r="AY184" s="2250"/>
      <c r="AZ184" s="2250"/>
      <c r="BA184" s="2250"/>
      <c r="BB184" s="2250"/>
      <c r="BC184" s="2250"/>
      <c r="BD184" s="2250"/>
      <c r="BE184" s="2250"/>
      <c r="BF184" s="2339">
        <f>VLOOKUP(E144,BF153:BF183,1)</f>
        <v>68.3</v>
      </c>
      <c r="BG184" s="2340">
        <f>VLOOKUP(BF184,BF153:BG183,2,0)</f>
        <v>73.7</v>
      </c>
      <c r="BH184" s="2250"/>
      <c r="BI184" s="2275"/>
      <c r="BJ184" s="284" t="s">
        <v>682</v>
      </c>
      <c r="BK184" s="284">
        <f>CD141</f>
        <v>73.7</v>
      </c>
      <c r="BL184" s="2250"/>
      <c r="BM184" s="2250"/>
      <c r="BN184" s="2250"/>
      <c r="BO184" s="2250"/>
      <c r="BP184" s="2250"/>
      <c r="BQ184" s="2250"/>
      <c r="BR184" s="2250"/>
      <c r="BS184" s="2250"/>
      <c r="BT184" s="2250"/>
      <c r="BU184" s="2250"/>
      <c r="BV184" s="2250"/>
      <c r="BW184" s="2250"/>
      <c r="BX184" s="284" t="s">
        <v>682</v>
      </c>
      <c r="BY184" s="284">
        <f>BK184</f>
        <v>73.7</v>
      </c>
      <c r="BZ184" s="2250"/>
      <c r="CA184" s="2250"/>
      <c r="CB184" s="2250"/>
      <c r="CC184" s="2250"/>
      <c r="CD184" s="2250"/>
      <c r="CE184" s="2250"/>
      <c r="CF184" s="2250"/>
      <c r="CG184" s="2250"/>
      <c r="CH184" s="2250"/>
      <c r="CI184" s="2250"/>
      <c r="CJ184" s="2250"/>
      <c r="CK184" s="2250"/>
      <c r="CL184" s="284" t="s">
        <v>682</v>
      </c>
      <c r="CM184" s="284">
        <f>BK184</f>
        <v>73.7</v>
      </c>
      <c r="CN184" s="2250"/>
      <c r="CO184" s="2250"/>
      <c r="CP184" s="2250"/>
      <c r="CQ184" s="2250"/>
      <c r="CR184" s="2250"/>
      <c r="CS184" s="2250"/>
      <c r="CT184" s="2250"/>
      <c r="CU184" s="2250"/>
      <c r="CV184" s="2250"/>
      <c r="CW184" s="2250"/>
      <c r="CX184" s="2250"/>
      <c r="CY184" s="2250"/>
      <c r="CZ184" s="284" t="s">
        <v>682</v>
      </c>
      <c r="DA184" s="284">
        <f>BK184</f>
        <v>73.7</v>
      </c>
      <c r="DB184" s="2250"/>
      <c r="DC184" s="2250"/>
      <c r="DD184" s="2250"/>
      <c r="DE184" s="2250"/>
      <c r="DF184" s="2250"/>
      <c r="DG184" s="2250"/>
      <c r="DH184" s="2250"/>
      <c r="DI184" s="2250"/>
      <c r="DJ184" s="2250"/>
      <c r="DK184" s="2250"/>
      <c r="DL184" s="2250"/>
      <c r="DM184" s="2250"/>
      <c r="DN184" s="2250"/>
      <c r="DO184" s="2250"/>
      <c r="DP184" s="2250"/>
      <c r="DQ184" s="2277"/>
      <c r="DR184" s="2277"/>
      <c r="DS184" s="277"/>
      <c r="DW184" s="2275"/>
      <c r="DX184" s="284" t="s">
        <v>682</v>
      </c>
      <c r="DY184" s="284">
        <f>ET141</f>
        <v>43.9</v>
      </c>
      <c r="DZ184" s="2250"/>
      <c r="EA184" s="2250"/>
      <c r="EB184" s="2250"/>
      <c r="EC184" s="2250"/>
      <c r="ED184" s="2250"/>
      <c r="EE184" s="2250"/>
      <c r="EF184" s="2250"/>
      <c r="EG184" s="2250"/>
      <c r="EH184" s="2250"/>
      <c r="EI184" s="2250"/>
      <c r="EJ184" s="2250"/>
      <c r="EK184" s="2250"/>
      <c r="EL184" s="284" t="s">
        <v>682</v>
      </c>
      <c r="EM184" s="284">
        <f>DY184</f>
        <v>43.9</v>
      </c>
      <c r="EN184" s="2250"/>
      <c r="EO184" s="2250"/>
      <c r="EP184" s="2250"/>
      <c r="EQ184" s="2250"/>
      <c r="ER184" s="2250"/>
      <c r="ES184" s="2250"/>
      <c r="ET184" s="2250"/>
      <c r="EU184" s="2250"/>
      <c r="EV184" s="2250"/>
      <c r="EW184" s="2250"/>
      <c r="EX184" s="2250"/>
      <c r="EY184" s="2250"/>
      <c r="EZ184" s="284" t="s">
        <v>682</v>
      </c>
      <c r="FA184" s="284">
        <f>DY184</f>
        <v>43.9</v>
      </c>
      <c r="FB184" s="2250"/>
      <c r="FC184" s="2250"/>
      <c r="FD184" s="2250"/>
      <c r="FE184" s="2250"/>
      <c r="FF184" s="2250"/>
      <c r="FG184" s="2250"/>
      <c r="FH184" s="2250"/>
      <c r="FI184" s="2250"/>
      <c r="FJ184" s="2250"/>
      <c r="FK184" s="2250"/>
      <c r="FL184" s="2250"/>
      <c r="FM184" s="2250"/>
      <c r="FN184" s="284" t="s">
        <v>682</v>
      </c>
      <c r="FO184" s="284">
        <f>DY184</f>
        <v>43.9</v>
      </c>
      <c r="FP184" s="2250"/>
      <c r="FQ184" s="2250"/>
      <c r="FR184" s="2250"/>
      <c r="FS184" s="2250"/>
      <c r="FT184" s="2250"/>
      <c r="FU184" s="2250"/>
      <c r="FV184" s="2250"/>
      <c r="FW184" s="2250"/>
      <c r="FX184" s="2250"/>
      <c r="FY184" s="2250"/>
      <c r="FZ184" s="2250"/>
      <c r="GA184" s="2250"/>
      <c r="GB184" s="2339">
        <f>VLOOKUP(EA144,GB153:GB183,1)</f>
        <v>43.9</v>
      </c>
      <c r="GC184" s="2340">
        <f>VLOOKUP(GB184,GB153:GC183,2,0)</f>
        <v>48.8</v>
      </c>
      <c r="GD184" s="2250"/>
      <c r="GE184" s="2275"/>
      <c r="GF184" s="284" t="s">
        <v>682</v>
      </c>
      <c r="GG184" s="284">
        <f>GZ141</f>
        <v>48.8</v>
      </c>
      <c r="GH184" s="2250"/>
      <c r="GI184" s="2250"/>
      <c r="GJ184" s="2250"/>
      <c r="GK184" s="2250"/>
      <c r="GL184" s="2250"/>
      <c r="GM184" s="2250"/>
      <c r="GN184" s="2250"/>
      <c r="GO184" s="2250"/>
      <c r="GP184" s="2250"/>
      <c r="GQ184" s="2250"/>
      <c r="GR184" s="2250"/>
      <c r="GS184" s="2250"/>
      <c r="GT184" s="284" t="s">
        <v>682</v>
      </c>
      <c r="GU184" s="284">
        <f>GG184</f>
        <v>48.8</v>
      </c>
      <c r="GV184" s="2250"/>
      <c r="GW184" s="2250"/>
      <c r="GX184" s="2250"/>
      <c r="GY184" s="2250"/>
      <c r="GZ184" s="2250"/>
      <c r="HA184" s="2250"/>
      <c r="HB184" s="2250"/>
      <c r="HC184" s="2250"/>
      <c r="HD184" s="2250"/>
      <c r="HE184" s="2250"/>
      <c r="HF184" s="2250"/>
      <c r="HG184" s="2250"/>
      <c r="HH184" s="284" t="s">
        <v>682</v>
      </c>
      <c r="HI184" s="284">
        <f>GG184</f>
        <v>48.8</v>
      </c>
      <c r="HJ184" s="2250"/>
      <c r="HK184" s="2250"/>
      <c r="HL184" s="2250"/>
      <c r="HM184" s="2250"/>
      <c r="HN184" s="2250"/>
      <c r="HO184" s="2250"/>
      <c r="HP184" s="2250"/>
      <c r="HQ184" s="2250"/>
      <c r="HR184" s="2250"/>
      <c r="HS184" s="2250"/>
      <c r="HT184" s="2250"/>
      <c r="HU184" s="2250"/>
      <c r="HV184" s="284" t="s">
        <v>682</v>
      </c>
      <c r="HW184" s="284">
        <f>GG184</f>
        <v>48.8</v>
      </c>
      <c r="HX184" s="2250"/>
      <c r="HY184" s="2250"/>
      <c r="HZ184" s="2250"/>
      <c r="IA184" s="2250"/>
      <c r="IB184" s="2250"/>
      <c r="IC184" s="2250"/>
      <c r="ID184" s="2250"/>
      <c r="IE184" s="2250"/>
      <c r="IF184" s="2250"/>
      <c r="IG184" s="2250"/>
      <c r="IH184" s="2250"/>
      <c r="II184" s="2250"/>
      <c r="IJ184" s="2250"/>
      <c r="IK184" s="2250"/>
      <c r="IL184" s="2250"/>
      <c r="IN184" s="277"/>
      <c r="IO184" s="277"/>
    </row>
    <row r="185" spans="1:249" ht="21.95" customHeight="1">
      <c r="A185" s="2275"/>
      <c r="B185" s="284" t="s">
        <v>737</v>
      </c>
      <c r="C185" s="284">
        <f>X140</f>
        <v>0.75631178540277322</v>
      </c>
      <c r="D185" s="2250"/>
      <c r="E185" s="2250"/>
      <c r="F185" s="2250"/>
      <c r="G185" s="2250"/>
      <c r="H185" s="2250"/>
      <c r="I185" s="2250"/>
      <c r="J185" s="2250"/>
      <c r="K185" s="2250"/>
      <c r="L185" s="2250"/>
      <c r="M185" s="2250"/>
      <c r="N185" s="2250"/>
      <c r="O185" s="2250"/>
      <c r="P185" s="284" t="s">
        <v>737</v>
      </c>
      <c r="Q185" s="284">
        <f>C185</f>
        <v>0.75631178540277322</v>
      </c>
      <c r="R185" s="2250"/>
      <c r="S185" s="2250"/>
      <c r="T185" s="2250"/>
      <c r="U185" s="2250"/>
      <c r="V185" s="2250"/>
      <c r="W185" s="2250"/>
      <c r="X185" s="2250"/>
      <c r="Y185" s="2250"/>
      <c r="Z185" s="2250"/>
      <c r="AA185" s="2250"/>
      <c r="AB185" s="2250"/>
      <c r="AC185" s="2250"/>
      <c r="AD185" s="284" t="s">
        <v>737</v>
      </c>
      <c r="AE185" s="284">
        <f>C185</f>
        <v>0.75631178540277322</v>
      </c>
      <c r="AF185" s="2250"/>
      <c r="AG185" s="2250"/>
      <c r="AH185" s="2250"/>
      <c r="AI185" s="2250"/>
      <c r="AJ185" s="2250"/>
      <c r="AK185" s="2250"/>
      <c r="AL185" s="2250"/>
      <c r="AM185" s="2250"/>
      <c r="AN185" s="2250"/>
      <c r="AO185" s="2250"/>
      <c r="AP185" s="2250"/>
      <c r="AQ185" s="2250"/>
      <c r="AR185" s="284" t="s">
        <v>737</v>
      </c>
      <c r="AS185" s="284">
        <f>C185</f>
        <v>0.75631178540277322</v>
      </c>
      <c r="AT185" s="2250"/>
      <c r="AU185" s="2250"/>
      <c r="AV185" s="2250"/>
      <c r="AW185" s="2250"/>
      <c r="AX185" s="2250"/>
      <c r="AY185" s="2250"/>
      <c r="AZ185" s="2250"/>
      <c r="BA185" s="2250"/>
      <c r="BB185" s="2250"/>
      <c r="BC185" s="2250"/>
      <c r="BD185" s="2250"/>
      <c r="BE185" s="2250"/>
      <c r="BF185" s="2276"/>
      <c r="BG185" s="2276"/>
      <c r="BH185" s="2250"/>
      <c r="BI185" s="2275"/>
      <c r="BJ185" s="284" t="s">
        <v>737</v>
      </c>
      <c r="BK185" s="284">
        <f>CD140</f>
        <v>0.75631178540277322</v>
      </c>
      <c r="BL185" s="2250"/>
      <c r="BM185" s="2250"/>
      <c r="BN185" s="2250"/>
      <c r="BO185" s="2250"/>
      <c r="BP185" s="2250"/>
      <c r="BQ185" s="2250"/>
      <c r="BR185" s="2250"/>
      <c r="BS185" s="2250"/>
      <c r="BT185" s="2250"/>
      <c r="BU185" s="2250"/>
      <c r="BV185" s="2250"/>
      <c r="BW185" s="2250"/>
      <c r="BX185" s="284" t="s">
        <v>737</v>
      </c>
      <c r="BY185" s="284">
        <f>BK185</f>
        <v>0.75631178540277322</v>
      </c>
      <c r="BZ185" s="2250"/>
      <c r="CA185" s="2250"/>
      <c r="CB185" s="2250"/>
      <c r="CC185" s="2250"/>
      <c r="CD185" s="2250"/>
      <c r="CE185" s="2250"/>
      <c r="CF185" s="2250"/>
      <c r="CG185" s="2250"/>
      <c r="CH185" s="2250"/>
      <c r="CI185" s="2250"/>
      <c r="CJ185" s="2250"/>
      <c r="CK185" s="2250"/>
      <c r="CL185" s="284" t="s">
        <v>737</v>
      </c>
      <c r="CM185" s="284">
        <f>BK185</f>
        <v>0.75631178540277322</v>
      </c>
      <c r="CN185" s="2250"/>
      <c r="CO185" s="2250"/>
      <c r="CP185" s="2250"/>
      <c r="CQ185" s="2250"/>
      <c r="CR185" s="2250"/>
      <c r="CS185" s="2250"/>
      <c r="CT185" s="2250"/>
      <c r="CU185" s="2250"/>
      <c r="CV185" s="2250"/>
      <c r="CW185" s="2250"/>
      <c r="CX185" s="2250"/>
      <c r="CY185" s="2250"/>
      <c r="CZ185" s="284" t="s">
        <v>737</v>
      </c>
      <c r="DA185" s="284">
        <f>BK185</f>
        <v>0.75631178540277322</v>
      </c>
      <c r="DB185" s="2250"/>
      <c r="DC185" s="2250"/>
      <c r="DD185" s="2250"/>
      <c r="DE185" s="2250"/>
      <c r="DF185" s="2250"/>
      <c r="DG185" s="2250"/>
      <c r="DH185" s="2250"/>
      <c r="DI185" s="2250"/>
      <c r="DJ185" s="2250"/>
      <c r="DK185" s="2250"/>
      <c r="DL185" s="2250"/>
      <c r="DM185" s="2250"/>
      <c r="DN185" s="2250"/>
      <c r="DO185" s="2250"/>
      <c r="DP185" s="2250"/>
      <c r="DQ185" s="2277"/>
      <c r="DR185" s="2277"/>
      <c r="DS185" s="277"/>
      <c r="DW185" s="2275"/>
      <c r="DX185" s="284" t="s">
        <v>737</v>
      </c>
      <c r="DY185" s="284">
        <f>ET140</f>
        <v>1.3354563802212776</v>
      </c>
      <c r="DZ185" s="2250"/>
      <c r="EA185" s="2250"/>
      <c r="EB185" s="2250"/>
      <c r="EC185" s="2250"/>
      <c r="ED185" s="2250"/>
      <c r="EE185" s="2250"/>
      <c r="EF185" s="2250"/>
      <c r="EG185" s="2250"/>
      <c r="EH185" s="2250"/>
      <c r="EI185" s="2250"/>
      <c r="EJ185" s="2250"/>
      <c r="EK185" s="2250"/>
      <c r="EL185" s="284" t="s">
        <v>737</v>
      </c>
      <c r="EM185" s="284">
        <f>DY185</f>
        <v>1.3354563802212776</v>
      </c>
      <c r="EN185" s="2250"/>
      <c r="EO185" s="2250"/>
      <c r="EP185" s="2250"/>
      <c r="EQ185" s="2250"/>
      <c r="ER185" s="2250"/>
      <c r="ES185" s="2250"/>
      <c r="ET185" s="2250"/>
      <c r="EU185" s="2250"/>
      <c r="EV185" s="2250"/>
      <c r="EW185" s="2250"/>
      <c r="EX185" s="2250"/>
      <c r="EY185" s="2250"/>
      <c r="EZ185" s="284" t="s">
        <v>737</v>
      </c>
      <c r="FA185" s="284">
        <f>DY185</f>
        <v>1.3354563802212776</v>
      </c>
      <c r="FB185" s="2250"/>
      <c r="FC185" s="2250"/>
      <c r="FD185" s="2250"/>
      <c r="FE185" s="2250"/>
      <c r="FF185" s="2250"/>
      <c r="FG185" s="2250"/>
      <c r="FH185" s="2250"/>
      <c r="FI185" s="2250"/>
      <c r="FJ185" s="2250"/>
      <c r="FK185" s="2250"/>
      <c r="FL185" s="2250"/>
      <c r="FM185" s="2250"/>
      <c r="FN185" s="284" t="s">
        <v>737</v>
      </c>
      <c r="FO185" s="284">
        <f>DY185</f>
        <v>1.3354563802212776</v>
      </c>
      <c r="FP185" s="2250"/>
      <c r="FQ185" s="2250"/>
      <c r="FR185" s="2250"/>
      <c r="FS185" s="2250"/>
      <c r="FT185" s="2250"/>
      <c r="FU185" s="2250"/>
      <c r="FV185" s="2250"/>
      <c r="FW185" s="2250"/>
      <c r="FX185" s="2250"/>
      <c r="FY185" s="2250"/>
      <c r="FZ185" s="2250"/>
      <c r="GA185" s="2250"/>
      <c r="GB185" s="2276"/>
      <c r="GC185" s="2276"/>
      <c r="GD185" s="2250"/>
      <c r="GE185" s="2275"/>
      <c r="GF185" s="284" t="s">
        <v>737</v>
      </c>
      <c r="GG185" s="284">
        <f>GZ140</f>
        <v>1.3354563802212776</v>
      </c>
      <c r="GH185" s="2250"/>
      <c r="GI185" s="2250"/>
      <c r="GJ185" s="2250"/>
      <c r="GK185" s="2250"/>
      <c r="GL185" s="2250"/>
      <c r="GM185" s="2250"/>
      <c r="GN185" s="2250"/>
      <c r="GO185" s="2250"/>
      <c r="GP185" s="2250"/>
      <c r="GQ185" s="2250"/>
      <c r="GR185" s="2250"/>
      <c r="GS185" s="2250"/>
      <c r="GT185" s="284" t="s">
        <v>737</v>
      </c>
      <c r="GU185" s="284">
        <f>GG185</f>
        <v>1.3354563802212776</v>
      </c>
      <c r="GV185" s="2250"/>
      <c r="GW185" s="2250"/>
      <c r="GX185" s="2250"/>
      <c r="GY185" s="2250"/>
      <c r="GZ185" s="2250"/>
      <c r="HA185" s="2250"/>
      <c r="HB185" s="2250"/>
      <c r="HC185" s="2250"/>
      <c r="HD185" s="2250"/>
      <c r="HE185" s="2250"/>
      <c r="HF185" s="2250"/>
      <c r="HG185" s="2250"/>
      <c r="HH185" s="284" t="s">
        <v>737</v>
      </c>
      <c r="HI185" s="284">
        <f>GG185</f>
        <v>1.3354563802212776</v>
      </c>
      <c r="HJ185" s="2250"/>
      <c r="HK185" s="2250"/>
      <c r="HL185" s="2250"/>
      <c r="HM185" s="2250"/>
      <c r="HN185" s="2250"/>
      <c r="HO185" s="2250"/>
      <c r="HP185" s="2250"/>
      <c r="HQ185" s="2250"/>
      <c r="HR185" s="2250"/>
      <c r="HS185" s="2250"/>
      <c r="HT185" s="2250"/>
      <c r="HU185" s="2250"/>
      <c r="HV185" s="284" t="s">
        <v>737</v>
      </c>
      <c r="HW185" s="284">
        <f>GG185</f>
        <v>1.3354563802212776</v>
      </c>
      <c r="HX185" s="2250"/>
      <c r="HY185" s="2250"/>
      <c r="HZ185" s="2250"/>
      <c r="IA185" s="2250"/>
      <c r="IB185" s="2250"/>
      <c r="IC185" s="2250"/>
      <c r="ID185" s="2250"/>
      <c r="IE185" s="2250"/>
      <c r="IF185" s="2250"/>
      <c r="IG185" s="2250"/>
      <c r="IH185" s="2250"/>
      <c r="II185" s="2250"/>
      <c r="IJ185" s="2250"/>
      <c r="IK185" s="2250"/>
      <c r="IL185" s="2250"/>
      <c r="IN185" s="277"/>
      <c r="IO185" s="277"/>
    </row>
    <row r="186" spans="1:249" ht="21.95" customHeight="1">
      <c r="A186" s="2275"/>
      <c r="B186" s="2250"/>
      <c r="C186" s="2250"/>
      <c r="D186" s="2250"/>
      <c r="E186" s="284" t="s">
        <v>707</v>
      </c>
      <c r="F186" s="2250"/>
      <c r="G186" s="2250"/>
      <c r="H186" s="2250"/>
      <c r="I186" s="2250"/>
      <c r="J186" s="2250"/>
      <c r="K186" s="2250"/>
      <c r="L186" s="2250"/>
      <c r="M186" s="2250"/>
      <c r="N186" s="2250"/>
      <c r="O186" s="2250"/>
      <c r="P186" s="2250"/>
      <c r="Q186" s="2250"/>
      <c r="R186" s="2250"/>
      <c r="S186" s="284" t="s">
        <v>707</v>
      </c>
      <c r="T186" s="2250"/>
      <c r="U186" s="2250"/>
      <c r="V186" s="2250"/>
      <c r="W186" s="2250"/>
      <c r="X186" s="2250"/>
      <c r="Y186" s="2250"/>
      <c r="Z186" s="2250"/>
      <c r="AA186" s="2250"/>
      <c r="AB186" s="2250"/>
      <c r="AC186" s="2250"/>
      <c r="AD186" s="2250"/>
      <c r="AE186" s="2250"/>
      <c r="AF186" s="2250"/>
      <c r="AG186" s="284" t="s">
        <v>707</v>
      </c>
      <c r="AH186" s="2250"/>
      <c r="AI186" s="2250"/>
      <c r="AJ186" s="2250"/>
      <c r="AK186" s="2250"/>
      <c r="AL186" s="2250"/>
      <c r="AM186" s="2250"/>
      <c r="AN186" s="2250"/>
      <c r="AO186" s="2250"/>
      <c r="AP186" s="2250"/>
      <c r="AQ186" s="2250"/>
      <c r="AR186" s="2250"/>
      <c r="AS186" s="2250"/>
      <c r="AT186" s="2250"/>
      <c r="AU186" s="284" t="s">
        <v>707</v>
      </c>
      <c r="AV186" s="2250"/>
      <c r="AW186" s="2250"/>
      <c r="AX186" s="2250"/>
      <c r="AY186" s="2250"/>
      <c r="AZ186" s="2250"/>
      <c r="BA186" s="2250"/>
      <c r="BB186" s="2250"/>
      <c r="BC186" s="2250"/>
      <c r="BD186" s="2250"/>
      <c r="BE186" s="2250"/>
      <c r="BF186" s="2276"/>
      <c r="BG186" s="2276"/>
      <c r="BH186" s="2250"/>
      <c r="BI186" s="2275"/>
      <c r="BJ186" s="2250"/>
      <c r="BK186" s="2250"/>
      <c r="BL186" s="2250"/>
      <c r="BM186" s="284" t="s">
        <v>707</v>
      </c>
      <c r="BN186" s="2250"/>
      <c r="BO186" s="2250"/>
      <c r="BP186" s="2250"/>
      <c r="BQ186" s="2250"/>
      <c r="BR186" s="2250"/>
      <c r="BS186" s="2250"/>
      <c r="BT186" s="2250"/>
      <c r="BU186" s="2250"/>
      <c r="BV186" s="2250"/>
      <c r="BW186" s="2250"/>
      <c r="BX186" s="2250"/>
      <c r="BY186" s="2250"/>
      <c r="BZ186" s="2250"/>
      <c r="CA186" s="284" t="s">
        <v>707</v>
      </c>
      <c r="CB186" s="2250"/>
      <c r="CC186" s="2250"/>
      <c r="CD186" s="2250"/>
      <c r="CE186" s="2250"/>
      <c r="CF186" s="2250"/>
      <c r="CG186" s="2250"/>
      <c r="CH186" s="2250"/>
      <c r="CI186" s="2250"/>
      <c r="CJ186" s="2250"/>
      <c r="CK186" s="2250"/>
      <c r="CL186" s="2250"/>
      <c r="CM186" s="2250"/>
      <c r="CN186" s="2250"/>
      <c r="CO186" s="284" t="s">
        <v>707</v>
      </c>
      <c r="CP186" s="2250"/>
      <c r="CQ186" s="2250"/>
      <c r="CR186" s="2250"/>
      <c r="CS186" s="2250"/>
      <c r="CT186" s="2250"/>
      <c r="CU186" s="2250"/>
      <c r="CV186" s="2250"/>
      <c r="CW186" s="2250"/>
      <c r="CX186" s="2250"/>
      <c r="CY186" s="2250"/>
      <c r="CZ186" s="2250"/>
      <c r="DA186" s="2250"/>
      <c r="DB186" s="2250"/>
      <c r="DC186" s="284" t="s">
        <v>707</v>
      </c>
      <c r="DD186" s="2250"/>
      <c r="DE186" s="2250"/>
      <c r="DF186" s="2250"/>
      <c r="DG186" s="2250"/>
      <c r="DH186" s="2250"/>
      <c r="DI186" s="2250"/>
      <c r="DJ186" s="2250"/>
      <c r="DK186" s="2250"/>
      <c r="DL186" s="2250"/>
      <c r="DM186" s="2250"/>
      <c r="DN186" s="2250"/>
      <c r="DO186" s="2250"/>
      <c r="DP186" s="2250"/>
      <c r="DQ186" s="2277"/>
      <c r="DR186" s="2277"/>
      <c r="DS186" s="277"/>
      <c r="DW186" s="2275"/>
      <c r="DX186" s="2250"/>
      <c r="DY186" s="2250"/>
      <c r="DZ186" s="2250"/>
      <c r="EA186" s="284" t="s">
        <v>707</v>
      </c>
      <c r="EB186" s="2250"/>
      <c r="EC186" s="2250"/>
      <c r="ED186" s="2250"/>
      <c r="EE186" s="2250"/>
      <c r="EF186" s="2250"/>
      <c r="EG186" s="2250"/>
      <c r="EH186" s="2250"/>
      <c r="EI186" s="2250"/>
      <c r="EJ186" s="2250"/>
      <c r="EK186" s="2250"/>
      <c r="EL186" s="2250"/>
      <c r="EM186" s="2250"/>
      <c r="EN186" s="2250"/>
      <c r="EO186" s="284" t="s">
        <v>707</v>
      </c>
      <c r="EP186" s="2250"/>
      <c r="EQ186" s="2250"/>
      <c r="ER186" s="2250"/>
      <c r="ES186" s="2250"/>
      <c r="ET186" s="2250"/>
      <c r="EU186" s="2250"/>
      <c r="EV186" s="2250"/>
      <c r="EW186" s="2250"/>
      <c r="EX186" s="2250"/>
      <c r="EY186" s="2250"/>
      <c r="EZ186" s="2250"/>
      <c r="FA186" s="2250"/>
      <c r="FB186" s="2250"/>
      <c r="FC186" s="284" t="s">
        <v>707</v>
      </c>
      <c r="FD186" s="2250"/>
      <c r="FE186" s="2250"/>
      <c r="FF186" s="2250"/>
      <c r="FG186" s="2250"/>
      <c r="FH186" s="2250"/>
      <c r="FI186" s="2250"/>
      <c r="FJ186" s="2250"/>
      <c r="FK186" s="2250"/>
      <c r="FL186" s="2250"/>
      <c r="FM186" s="2250"/>
      <c r="FN186" s="2250"/>
      <c r="FO186" s="2250"/>
      <c r="FP186" s="2250"/>
      <c r="FQ186" s="284" t="s">
        <v>707</v>
      </c>
      <c r="FR186" s="2250"/>
      <c r="FS186" s="2250"/>
      <c r="FT186" s="2250"/>
      <c r="FU186" s="2250"/>
      <c r="FV186" s="2250"/>
      <c r="FW186" s="2250"/>
      <c r="FX186" s="2250"/>
      <c r="FY186" s="2250"/>
      <c r="FZ186" s="2250"/>
      <c r="GA186" s="2250"/>
      <c r="GB186" s="2276"/>
      <c r="GC186" s="2276"/>
      <c r="GD186" s="2250"/>
      <c r="GE186" s="2275"/>
      <c r="GF186" s="2250"/>
      <c r="GG186" s="2250"/>
      <c r="GH186" s="2250"/>
      <c r="GI186" s="284" t="s">
        <v>707</v>
      </c>
      <c r="GJ186" s="2250"/>
      <c r="GK186" s="2250"/>
      <c r="GL186" s="2250"/>
      <c r="GM186" s="2250"/>
      <c r="GN186" s="2250"/>
      <c r="GO186" s="2250"/>
      <c r="GP186" s="2250"/>
      <c r="GQ186" s="2250"/>
      <c r="GR186" s="2250"/>
      <c r="GS186" s="2250"/>
      <c r="GT186" s="2250"/>
      <c r="GU186" s="2250"/>
      <c r="GV186" s="2250"/>
      <c r="GW186" s="284" t="s">
        <v>707</v>
      </c>
      <c r="GX186" s="2250"/>
      <c r="GY186" s="2250"/>
      <c r="GZ186" s="2250"/>
      <c r="HA186" s="2250"/>
      <c r="HB186" s="2250"/>
      <c r="HC186" s="2250"/>
      <c r="HD186" s="2250"/>
      <c r="HE186" s="2250"/>
      <c r="HF186" s="2250"/>
      <c r="HG186" s="2250"/>
      <c r="HH186" s="2250"/>
      <c r="HI186" s="2250"/>
      <c r="HJ186" s="2250"/>
      <c r="HK186" s="284" t="s">
        <v>707</v>
      </c>
      <c r="HL186" s="2250"/>
      <c r="HM186" s="2250"/>
      <c r="HN186" s="2250"/>
      <c r="HO186" s="2250"/>
      <c r="HP186" s="2250"/>
      <c r="HQ186" s="2250"/>
      <c r="HR186" s="2250"/>
      <c r="HS186" s="2250"/>
      <c r="HT186" s="2250"/>
      <c r="HU186" s="2250"/>
      <c r="HV186" s="2250"/>
      <c r="HW186" s="2250"/>
      <c r="HX186" s="2250"/>
      <c r="HY186" s="284" t="s">
        <v>707</v>
      </c>
      <c r="HZ186" s="2250"/>
      <c r="IA186" s="2250"/>
      <c r="IB186" s="2250"/>
      <c r="IC186" s="2250"/>
      <c r="ID186" s="2250"/>
      <c r="IE186" s="2250"/>
      <c r="IF186" s="2250"/>
      <c r="IG186" s="2250"/>
      <c r="IH186" s="2250"/>
      <c r="II186" s="2250"/>
      <c r="IJ186" s="2250"/>
      <c r="IK186" s="2250"/>
      <c r="IL186" s="2250"/>
      <c r="IN186" s="277"/>
      <c r="IO186" s="277"/>
    </row>
    <row r="187" spans="1:249" ht="21.95" customHeight="1">
      <c r="A187" s="2275"/>
      <c r="B187" s="284" t="s">
        <v>707</v>
      </c>
      <c r="C187" s="284">
        <v>0</v>
      </c>
      <c r="D187" s="284">
        <f t="shared" ref="D187:D198" si="66">+C188</f>
        <v>10.1</v>
      </c>
      <c r="E187" s="284">
        <v>400</v>
      </c>
      <c r="F187" s="2250"/>
      <c r="G187" s="2250"/>
      <c r="H187" s="2250"/>
      <c r="I187" s="2250"/>
      <c r="J187" s="2250"/>
      <c r="K187" s="2250"/>
      <c r="L187" s="2250"/>
      <c r="M187" s="2250"/>
      <c r="N187" s="2250"/>
      <c r="O187" s="2250"/>
      <c r="P187" s="284" t="s">
        <v>707</v>
      </c>
      <c r="Q187" s="284">
        <v>0</v>
      </c>
      <c r="R187" s="284">
        <f t="shared" ref="R187:R198" si="67">+Q188</f>
        <v>7.33</v>
      </c>
      <c r="S187" s="284">
        <v>400</v>
      </c>
      <c r="T187" s="2250"/>
      <c r="U187" s="2250"/>
      <c r="V187" s="2250"/>
      <c r="W187" s="2250"/>
      <c r="X187" s="2250"/>
      <c r="Y187" s="2250"/>
      <c r="Z187" s="2250"/>
      <c r="AA187" s="2250"/>
      <c r="AB187" s="2250"/>
      <c r="AC187" s="2250"/>
      <c r="AD187" s="284" t="s">
        <v>707</v>
      </c>
      <c r="AE187" s="284">
        <v>0</v>
      </c>
      <c r="AF187" s="284">
        <f t="shared" ref="AF187:AF198" si="68">+AE188</f>
        <v>6.43</v>
      </c>
      <c r="AG187" s="284">
        <v>400</v>
      </c>
      <c r="AH187" s="2250"/>
      <c r="AI187" s="2250"/>
      <c r="AJ187" s="2250"/>
      <c r="AK187" s="2250"/>
      <c r="AL187" s="2250"/>
      <c r="AM187" s="2250"/>
      <c r="AN187" s="2250"/>
      <c r="AO187" s="2250"/>
      <c r="AP187" s="2250"/>
      <c r="AQ187" s="2250"/>
      <c r="AR187" s="284" t="s">
        <v>707</v>
      </c>
      <c r="AS187" s="284">
        <v>0</v>
      </c>
      <c r="AT187" s="284">
        <f t="shared" ref="AT187:AT198" si="69">+AS188</f>
        <v>3.86</v>
      </c>
      <c r="AU187" s="284">
        <v>400</v>
      </c>
      <c r="AV187" s="2250"/>
      <c r="AW187" s="2250"/>
      <c r="AX187" s="2250"/>
      <c r="AY187" s="2250"/>
      <c r="AZ187" s="2250"/>
      <c r="BA187" s="2250"/>
      <c r="BB187" s="2250"/>
      <c r="BC187" s="2250"/>
      <c r="BD187" s="2250"/>
      <c r="BE187" s="2250"/>
      <c r="BF187" s="2276"/>
      <c r="BG187" s="2276"/>
      <c r="BH187" s="2250"/>
      <c r="BI187" s="2275"/>
      <c r="BJ187" s="284" t="s">
        <v>707</v>
      </c>
      <c r="BK187" s="284">
        <v>0</v>
      </c>
      <c r="BL187" s="284">
        <f t="shared" ref="BL187:BL198" si="70">+BK188</f>
        <v>9.31</v>
      </c>
      <c r="BM187" s="284">
        <v>400</v>
      </c>
      <c r="BN187" s="2250"/>
      <c r="BO187" s="2250"/>
      <c r="BP187" s="2250"/>
      <c r="BQ187" s="2250"/>
      <c r="BR187" s="2250"/>
      <c r="BS187" s="2250"/>
      <c r="BT187" s="2250"/>
      <c r="BU187" s="2250"/>
      <c r="BV187" s="2250"/>
      <c r="BW187" s="2250"/>
      <c r="BX187" s="284" t="s">
        <v>707</v>
      </c>
      <c r="BY187" s="284">
        <v>0</v>
      </c>
      <c r="BZ187" s="284">
        <f t="shared" ref="BZ187:BZ198" si="71">+BY188</f>
        <v>6.73</v>
      </c>
      <c r="CA187" s="284">
        <v>400</v>
      </c>
      <c r="CB187" s="2250"/>
      <c r="CC187" s="2250"/>
      <c r="CD187" s="2250"/>
      <c r="CE187" s="2250"/>
      <c r="CF187" s="2250"/>
      <c r="CG187" s="2250"/>
      <c r="CH187" s="2250"/>
      <c r="CI187" s="2250"/>
      <c r="CJ187" s="2250"/>
      <c r="CK187" s="2250"/>
      <c r="CL187" s="284" t="s">
        <v>707</v>
      </c>
      <c r="CM187" s="284">
        <v>0</v>
      </c>
      <c r="CN187" s="284">
        <f t="shared" ref="CN187:CN198" si="72">+CM188</f>
        <v>5.87</v>
      </c>
      <c r="CO187" s="284">
        <v>400</v>
      </c>
      <c r="CP187" s="2250"/>
      <c r="CQ187" s="2250"/>
      <c r="CR187" s="2250"/>
      <c r="CS187" s="2250"/>
      <c r="CT187" s="2250"/>
      <c r="CU187" s="2250"/>
      <c r="CV187" s="2250"/>
      <c r="CW187" s="2250"/>
      <c r="CX187" s="2250"/>
      <c r="CY187" s="2250"/>
      <c r="CZ187" s="284" t="s">
        <v>707</v>
      </c>
      <c r="DA187" s="284">
        <v>0</v>
      </c>
      <c r="DB187" s="284">
        <f t="shared" ref="DB187:DB198" si="73">+DA188</f>
        <v>3.76</v>
      </c>
      <c r="DC187" s="284">
        <v>400</v>
      </c>
      <c r="DD187" s="2250"/>
      <c r="DE187" s="2250"/>
      <c r="DF187" s="2250"/>
      <c r="DG187" s="2250"/>
      <c r="DH187" s="2250"/>
      <c r="DI187" s="2250"/>
      <c r="DJ187" s="2250"/>
      <c r="DK187" s="2250"/>
      <c r="DL187" s="2250"/>
      <c r="DM187" s="2250"/>
      <c r="DN187" s="2250"/>
      <c r="DO187" s="2250"/>
      <c r="DP187" s="2250"/>
      <c r="DQ187" s="2277"/>
      <c r="DR187" s="2277"/>
      <c r="DS187" s="277"/>
      <c r="DW187" s="2275"/>
      <c r="DX187" s="284" t="s">
        <v>707</v>
      </c>
      <c r="DY187" s="284">
        <v>0</v>
      </c>
      <c r="DZ187" s="284">
        <f t="shared" ref="DZ187:DZ198" si="74">+DY188</f>
        <v>14.95</v>
      </c>
      <c r="EA187" s="284">
        <v>400</v>
      </c>
      <c r="EB187" s="2250"/>
      <c r="EC187" s="2250"/>
      <c r="ED187" s="2250"/>
      <c r="EE187" s="2250"/>
      <c r="EF187" s="2250"/>
      <c r="EG187" s="2250"/>
      <c r="EH187" s="2250"/>
      <c r="EI187" s="2250"/>
      <c r="EJ187" s="2250"/>
      <c r="EK187" s="2250"/>
      <c r="EL187" s="284" t="s">
        <v>707</v>
      </c>
      <c r="EM187" s="284">
        <v>0</v>
      </c>
      <c r="EN187" s="284">
        <f t="shared" ref="EN187:EN198" si="75">+EM188</f>
        <v>10.79</v>
      </c>
      <c r="EO187" s="284">
        <v>400</v>
      </c>
      <c r="EP187" s="2250"/>
      <c r="EQ187" s="2250"/>
      <c r="ER187" s="2250"/>
      <c r="ES187" s="2250"/>
      <c r="ET187" s="2250"/>
      <c r="EU187" s="2250"/>
      <c r="EV187" s="2250"/>
      <c r="EW187" s="2250"/>
      <c r="EX187" s="2250"/>
      <c r="EY187" s="2250"/>
      <c r="EZ187" s="284" t="s">
        <v>707</v>
      </c>
      <c r="FA187" s="284">
        <v>0</v>
      </c>
      <c r="FB187" s="284">
        <f t="shared" ref="FB187:FB198" si="76">+FA188</f>
        <v>9.26</v>
      </c>
      <c r="FC187" s="284">
        <v>400</v>
      </c>
      <c r="FD187" s="2250"/>
      <c r="FE187" s="2250"/>
      <c r="FF187" s="2250"/>
      <c r="FG187" s="2250"/>
      <c r="FH187" s="2250"/>
      <c r="FI187" s="2250"/>
      <c r="FJ187" s="2250"/>
      <c r="FK187" s="2250"/>
      <c r="FL187" s="2250"/>
      <c r="FM187" s="2250"/>
      <c r="FN187" s="284" t="s">
        <v>707</v>
      </c>
      <c r="FO187" s="284">
        <v>0</v>
      </c>
      <c r="FP187" s="284">
        <f t="shared" ref="FP187:FP198" si="77">+FO188</f>
        <v>5.35</v>
      </c>
      <c r="FQ187" s="284">
        <v>400</v>
      </c>
      <c r="FR187" s="2250"/>
      <c r="FS187" s="2250"/>
      <c r="FT187" s="2250"/>
      <c r="FU187" s="2250"/>
      <c r="FV187" s="2250"/>
      <c r="FW187" s="2250"/>
      <c r="FX187" s="2250"/>
      <c r="FY187" s="2250"/>
      <c r="FZ187" s="2250"/>
      <c r="GA187" s="2250"/>
      <c r="GB187" s="2276"/>
      <c r="GC187" s="2276"/>
      <c r="GD187" s="2250"/>
      <c r="GE187" s="2275"/>
      <c r="GF187" s="284" t="s">
        <v>707</v>
      </c>
      <c r="GG187" s="284">
        <v>0</v>
      </c>
      <c r="GH187" s="284">
        <f t="shared" ref="GH187:GH198" si="78">+GG188</f>
        <v>13.66</v>
      </c>
      <c r="GI187" s="284">
        <v>400</v>
      </c>
      <c r="GJ187" s="2250"/>
      <c r="GK187" s="2250"/>
      <c r="GL187" s="2250"/>
      <c r="GM187" s="2250"/>
      <c r="GN187" s="2250"/>
      <c r="GO187" s="2250"/>
      <c r="GP187" s="2250"/>
      <c r="GQ187" s="2250"/>
      <c r="GR187" s="2250"/>
      <c r="GS187" s="2250"/>
      <c r="GT187" s="284" t="s">
        <v>707</v>
      </c>
      <c r="GU187" s="284">
        <v>0</v>
      </c>
      <c r="GV187" s="284">
        <f t="shared" ref="GV187:GV198" si="79">+GU188</f>
        <v>9.8000000000000007</v>
      </c>
      <c r="GW187" s="284">
        <v>400</v>
      </c>
      <c r="GX187" s="2250"/>
      <c r="GY187" s="2250"/>
      <c r="GZ187" s="2250"/>
      <c r="HA187" s="2250"/>
      <c r="HB187" s="2250"/>
      <c r="HC187" s="2250"/>
      <c r="HD187" s="2250"/>
      <c r="HE187" s="2250"/>
      <c r="HF187" s="2250"/>
      <c r="HG187" s="2250"/>
      <c r="HH187" s="284" t="s">
        <v>707</v>
      </c>
      <c r="HI187" s="284">
        <v>0</v>
      </c>
      <c r="HJ187" s="284">
        <f t="shared" ref="HJ187:HJ198" si="80">+HI188</f>
        <v>8.58</v>
      </c>
      <c r="HK187" s="284">
        <v>400</v>
      </c>
      <c r="HL187" s="2250"/>
      <c r="HM187" s="2250"/>
      <c r="HN187" s="2250"/>
      <c r="HO187" s="2250"/>
      <c r="HP187" s="2250"/>
      <c r="HQ187" s="2250"/>
      <c r="HR187" s="2250"/>
      <c r="HS187" s="2250"/>
      <c r="HT187" s="2250"/>
      <c r="HU187" s="2250"/>
      <c r="HV187" s="284" t="s">
        <v>707</v>
      </c>
      <c r="HW187" s="284">
        <v>0</v>
      </c>
      <c r="HX187" s="284">
        <f t="shared" ref="HX187:HX198" si="81">+HW188</f>
        <v>5.25</v>
      </c>
      <c r="HY187" s="284">
        <v>400</v>
      </c>
      <c r="HZ187" s="2250"/>
      <c r="IA187" s="2250"/>
      <c r="IB187" s="2250"/>
      <c r="IC187" s="2250"/>
      <c r="ID187" s="2250"/>
      <c r="IE187" s="2250"/>
      <c r="IF187" s="2250"/>
      <c r="IG187" s="2250"/>
      <c r="IH187" s="2250"/>
      <c r="II187" s="2250"/>
      <c r="IJ187" s="2250"/>
      <c r="IK187" s="2250"/>
      <c r="IL187" s="2250"/>
      <c r="IN187" s="277"/>
      <c r="IO187" s="277"/>
    </row>
    <row r="188" spans="1:249" ht="21.95" customHeight="1">
      <c r="A188" s="2275"/>
      <c r="B188" s="284">
        <v>400</v>
      </c>
      <c r="C188" s="284">
        <f>VLOOKUP(C184,B156:M182,2,0)</f>
        <v>10.1</v>
      </c>
      <c r="D188" s="284">
        <f t="shared" si="66"/>
        <v>15.15</v>
      </c>
      <c r="E188" s="284">
        <v>475</v>
      </c>
      <c r="F188" s="2250"/>
      <c r="G188" s="2250"/>
      <c r="H188" s="2250"/>
      <c r="I188" s="2250"/>
      <c r="J188" s="2250"/>
      <c r="K188" s="2250"/>
      <c r="L188" s="2250"/>
      <c r="M188" s="2250"/>
      <c r="N188" s="2250"/>
      <c r="O188" s="2250"/>
      <c r="P188" s="284">
        <v>400</v>
      </c>
      <c r="Q188" s="284">
        <f>VLOOKUP(Q184,P156:AA182,2,0)</f>
        <v>7.33</v>
      </c>
      <c r="R188" s="284">
        <f t="shared" si="67"/>
        <v>10.99</v>
      </c>
      <c r="S188" s="284">
        <v>475</v>
      </c>
      <c r="T188" s="2250"/>
      <c r="U188" s="2250"/>
      <c r="V188" s="2250"/>
      <c r="W188" s="2250"/>
      <c r="X188" s="2250"/>
      <c r="Y188" s="2250"/>
      <c r="Z188" s="2250"/>
      <c r="AA188" s="2250"/>
      <c r="AB188" s="2250"/>
      <c r="AC188" s="2250"/>
      <c r="AD188" s="284">
        <v>400</v>
      </c>
      <c r="AE188" s="284">
        <f>VLOOKUP(AE184,AD156:AO182,2,0)</f>
        <v>6.43</v>
      </c>
      <c r="AF188" s="284">
        <f t="shared" si="68"/>
        <v>9.59</v>
      </c>
      <c r="AG188" s="284">
        <v>475</v>
      </c>
      <c r="AH188" s="2250"/>
      <c r="AI188" s="2250"/>
      <c r="AJ188" s="2250"/>
      <c r="AK188" s="2250"/>
      <c r="AL188" s="2250"/>
      <c r="AM188" s="2250"/>
      <c r="AN188" s="2250"/>
      <c r="AO188" s="2250"/>
      <c r="AP188" s="2250"/>
      <c r="AQ188" s="2250"/>
      <c r="AR188" s="284">
        <v>400</v>
      </c>
      <c r="AS188" s="284">
        <f>VLOOKUP(AS184,AR156:BC182,2,0)</f>
        <v>3.86</v>
      </c>
      <c r="AT188" s="284">
        <f t="shared" si="69"/>
        <v>5.64</v>
      </c>
      <c r="AU188" s="284">
        <v>475</v>
      </c>
      <c r="AV188" s="2250"/>
      <c r="AW188" s="2250"/>
      <c r="AX188" s="2250"/>
      <c r="AY188" s="2250"/>
      <c r="AZ188" s="2250"/>
      <c r="BA188" s="2250"/>
      <c r="BB188" s="2250"/>
      <c r="BC188" s="2250"/>
      <c r="BD188" s="2250"/>
      <c r="BE188" s="2250"/>
      <c r="BF188" s="2276"/>
      <c r="BG188" s="2276"/>
      <c r="BH188" s="2250"/>
      <c r="BI188" s="2275"/>
      <c r="BJ188" s="284">
        <v>400</v>
      </c>
      <c r="BK188" s="284">
        <f>VLOOKUP(BK184,BJ156:BU182,2,0)</f>
        <v>9.31</v>
      </c>
      <c r="BL188" s="284">
        <f t="shared" si="70"/>
        <v>13.96</v>
      </c>
      <c r="BM188" s="284">
        <v>475</v>
      </c>
      <c r="BN188" s="2250"/>
      <c r="BO188" s="2250"/>
      <c r="BP188" s="2250"/>
      <c r="BQ188" s="2250"/>
      <c r="BR188" s="2250"/>
      <c r="BS188" s="2250"/>
      <c r="BT188" s="2250"/>
      <c r="BU188" s="2250"/>
      <c r="BV188" s="2250"/>
      <c r="BW188" s="2250"/>
      <c r="BX188" s="284">
        <v>400</v>
      </c>
      <c r="BY188" s="284">
        <f>VLOOKUP(BY184,BX156:CI182,2,0)</f>
        <v>6.73</v>
      </c>
      <c r="BZ188" s="284">
        <f t="shared" si="71"/>
        <v>10.1</v>
      </c>
      <c r="CA188" s="284">
        <v>475</v>
      </c>
      <c r="CB188" s="2250"/>
      <c r="CC188" s="2250"/>
      <c r="CD188" s="2250"/>
      <c r="CE188" s="2250"/>
      <c r="CF188" s="2250"/>
      <c r="CG188" s="2250"/>
      <c r="CH188" s="2250"/>
      <c r="CI188" s="2250"/>
      <c r="CJ188" s="2250"/>
      <c r="CK188" s="2250"/>
      <c r="CL188" s="284">
        <v>400</v>
      </c>
      <c r="CM188" s="284">
        <f>VLOOKUP(CM184,CL156:CW182,2,0)</f>
        <v>5.87</v>
      </c>
      <c r="CN188" s="284">
        <f t="shared" si="72"/>
        <v>8.8000000000000007</v>
      </c>
      <c r="CO188" s="284">
        <v>475</v>
      </c>
      <c r="CP188" s="2250"/>
      <c r="CQ188" s="2250"/>
      <c r="CR188" s="2250"/>
      <c r="CS188" s="2250"/>
      <c r="CT188" s="2250"/>
      <c r="CU188" s="2250"/>
      <c r="CV188" s="2250"/>
      <c r="CW188" s="2250"/>
      <c r="CX188" s="2250"/>
      <c r="CY188" s="2250"/>
      <c r="CZ188" s="284">
        <v>400</v>
      </c>
      <c r="DA188" s="284">
        <f>VLOOKUP(DA184,CZ156:DK182,2,0)</f>
        <v>3.76</v>
      </c>
      <c r="DB188" s="284">
        <f t="shared" si="73"/>
        <v>5.25</v>
      </c>
      <c r="DC188" s="284">
        <v>475</v>
      </c>
      <c r="DD188" s="2250"/>
      <c r="DE188" s="2250"/>
      <c r="DF188" s="2250"/>
      <c r="DG188" s="2250"/>
      <c r="DH188" s="2250"/>
      <c r="DI188" s="2250"/>
      <c r="DJ188" s="2250"/>
      <c r="DK188" s="2250"/>
      <c r="DL188" s="2250"/>
      <c r="DM188" s="2250"/>
      <c r="DN188" s="2250"/>
      <c r="DO188" s="2250"/>
      <c r="DP188" s="2250"/>
      <c r="DQ188" s="2277"/>
      <c r="DR188" s="2277"/>
      <c r="DS188" s="277"/>
      <c r="DW188" s="2275"/>
      <c r="DX188" s="284">
        <v>400</v>
      </c>
      <c r="DY188" s="284">
        <f>VLOOKUP(DY184,DX156:EI182,2,0)</f>
        <v>14.95</v>
      </c>
      <c r="DZ188" s="284">
        <f t="shared" si="74"/>
        <v>22.18</v>
      </c>
      <c r="EA188" s="284">
        <v>475</v>
      </c>
      <c r="EB188" s="2250"/>
      <c r="EC188" s="2250"/>
      <c r="ED188" s="2250"/>
      <c r="EE188" s="2250"/>
      <c r="EF188" s="2250"/>
      <c r="EG188" s="2250"/>
      <c r="EH188" s="2250"/>
      <c r="EI188" s="2250"/>
      <c r="EJ188" s="2250"/>
      <c r="EK188" s="2250"/>
      <c r="EL188" s="284">
        <v>400</v>
      </c>
      <c r="EM188" s="284">
        <f>VLOOKUP(EM184,EL156:EW182,2,0)</f>
        <v>10.79</v>
      </c>
      <c r="EN188" s="284">
        <f t="shared" si="75"/>
        <v>15.94</v>
      </c>
      <c r="EO188" s="284">
        <v>475</v>
      </c>
      <c r="EP188" s="2250"/>
      <c r="EQ188" s="2250"/>
      <c r="ER188" s="2250"/>
      <c r="ES188" s="2250"/>
      <c r="ET188" s="2250"/>
      <c r="EU188" s="2250"/>
      <c r="EV188" s="2250"/>
      <c r="EW188" s="2250"/>
      <c r="EX188" s="2250"/>
      <c r="EY188" s="2250"/>
      <c r="EZ188" s="284">
        <v>400</v>
      </c>
      <c r="FA188" s="284">
        <f>VLOOKUP(FA184,EZ156:FK182,2,0)</f>
        <v>9.26</v>
      </c>
      <c r="FB188" s="284">
        <f t="shared" si="76"/>
        <v>13.88</v>
      </c>
      <c r="FC188" s="284">
        <v>475</v>
      </c>
      <c r="FD188" s="2250"/>
      <c r="FE188" s="2250"/>
      <c r="FF188" s="2250"/>
      <c r="FG188" s="2250"/>
      <c r="FH188" s="2250"/>
      <c r="FI188" s="2250"/>
      <c r="FJ188" s="2250"/>
      <c r="FK188" s="2250"/>
      <c r="FL188" s="2250"/>
      <c r="FM188" s="2250"/>
      <c r="FN188" s="284">
        <v>400</v>
      </c>
      <c r="FO188" s="284">
        <f>VLOOKUP(FO184,FN156:FY182,2,0)</f>
        <v>5.35</v>
      </c>
      <c r="FP188" s="284">
        <f t="shared" si="77"/>
        <v>8.7100000000000009</v>
      </c>
      <c r="FQ188" s="284">
        <v>475</v>
      </c>
      <c r="FR188" s="2250"/>
      <c r="FS188" s="2250"/>
      <c r="FT188" s="2250"/>
      <c r="FU188" s="2250"/>
      <c r="FV188" s="2250"/>
      <c r="FW188" s="2250"/>
      <c r="FX188" s="2250"/>
      <c r="FY188" s="2250"/>
      <c r="FZ188" s="2250"/>
      <c r="GA188" s="2250"/>
      <c r="GB188" s="2276"/>
      <c r="GC188" s="2276"/>
      <c r="GD188" s="2250"/>
      <c r="GE188" s="2275"/>
      <c r="GF188" s="284">
        <v>400</v>
      </c>
      <c r="GG188" s="284">
        <f>VLOOKUP(GG184,GF156:GQ182,2,0)</f>
        <v>13.66</v>
      </c>
      <c r="GH188" s="284">
        <f t="shared" si="78"/>
        <v>20.399999999999999</v>
      </c>
      <c r="GI188" s="284">
        <v>475</v>
      </c>
      <c r="GJ188" s="2250"/>
      <c r="GK188" s="2250"/>
      <c r="GL188" s="2250"/>
      <c r="GM188" s="2250"/>
      <c r="GN188" s="2250"/>
      <c r="GO188" s="2250"/>
      <c r="GP188" s="2250"/>
      <c r="GQ188" s="2250"/>
      <c r="GR188" s="2250"/>
      <c r="GS188" s="2250"/>
      <c r="GT188" s="284">
        <v>400</v>
      </c>
      <c r="GU188" s="284">
        <f>VLOOKUP(GU184,GT156:HE182,2,0)</f>
        <v>9.8000000000000007</v>
      </c>
      <c r="GV188" s="284">
        <f t="shared" si="79"/>
        <v>14.65</v>
      </c>
      <c r="GW188" s="284">
        <v>475</v>
      </c>
      <c r="GX188" s="2250"/>
      <c r="GY188" s="2250"/>
      <c r="GZ188" s="2250"/>
      <c r="HA188" s="2250"/>
      <c r="HB188" s="2250"/>
      <c r="HC188" s="2250"/>
      <c r="HD188" s="2250"/>
      <c r="HE188" s="2250"/>
      <c r="HF188" s="2250"/>
      <c r="HG188" s="2250"/>
      <c r="HH188" s="284">
        <v>400</v>
      </c>
      <c r="HI188" s="284">
        <f>VLOOKUP(HI184,HH156:HS182,2,0)</f>
        <v>8.58</v>
      </c>
      <c r="HJ188" s="284">
        <f t="shared" si="80"/>
        <v>12.75</v>
      </c>
      <c r="HK188" s="284">
        <v>475</v>
      </c>
      <c r="HL188" s="2250"/>
      <c r="HM188" s="2250"/>
      <c r="HN188" s="2250"/>
      <c r="HO188" s="2250"/>
      <c r="HP188" s="2250"/>
      <c r="HQ188" s="2250"/>
      <c r="HR188" s="2250"/>
      <c r="HS188" s="2250"/>
      <c r="HT188" s="2250"/>
      <c r="HU188" s="2250"/>
      <c r="HV188" s="284">
        <v>400</v>
      </c>
      <c r="HW188" s="284">
        <f>VLOOKUP(HW184,HV156:IG182,2,0)</f>
        <v>5.25</v>
      </c>
      <c r="HX188" s="284">
        <f t="shared" si="81"/>
        <v>7.72</v>
      </c>
      <c r="HY188" s="284">
        <v>475</v>
      </c>
      <c r="HZ188" s="2250"/>
      <c r="IA188" s="2250"/>
      <c r="IB188" s="2250"/>
      <c r="IC188" s="2250"/>
      <c r="ID188" s="2250"/>
      <c r="IE188" s="2250"/>
      <c r="IF188" s="2250"/>
      <c r="IG188" s="2250"/>
      <c r="IH188" s="2250"/>
      <c r="II188" s="2250"/>
      <c r="IJ188" s="2250"/>
      <c r="IK188" s="2250"/>
      <c r="IL188" s="2250"/>
      <c r="IN188" s="277"/>
      <c r="IO188" s="277"/>
    </row>
    <row r="189" spans="1:249" ht="21.95" customHeight="1">
      <c r="A189" s="2275"/>
      <c r="B189" s="284">
        <v>475</v>
      </c>
      <c r="C189" s="284">
        <f>VLOOKUP(C184,B156:M182,3,0)</f>
        <v>15.15</v>
      </c>
      <c r="D189" s="284">
        <f t="shared" si="66"/>
        <v>29.5</v>
      </c>
      <c r="E189" s="284">
        <v>550</v>
      </c>
      <c r="F189" s="2250"/>
      <c r="G189" s="2250"/>
      <c r="H189" s="2250"/>
      <c r="I189" s="2250"/>
      <c r="J189" s="2250"/>
      <c r="K189" s="2250"/>
      <c r="L189" s="2250"/>
      <c r="M189" s="2250"/>
      <c r="N189" s="2250"/>
      <c r="O189" s="2250"/>
      <c r="P189" s="284">
        <v>475</v>
      </c>
      <c r="Q189" s="284">
        <f>VLOOKUP(Q184,P156:AA182,3,0)</f>
        <v>10.99</v>
      </c>
      <c r="R189" s="284">
        <f t="shared" si="67"/>
        <v>21.39</v>
      </c>
      <c r="S189" s="284">
        <v>550</v>
      </c>
      <c r="T189" s="2250"/>
      <c r="U189" s="2250"/>
      <c r="V189" s="2250"/>
      <c r="W189" s="2250"/>
      <c r="X189" s="2250"/>
      <c r="Y189" s="2250"/>
      <c r="Z189" s="2250"/>
      <c r="AA189" s="2250"/>
      <c r="AB189" s="2250"/>
      <c r="AC189" s="2250"/>
      <c r="AD189" s="284">
        <v>475</v>
      </c>
      <c r="AE189" s="284">
        <f>VLOOKUP(AE184,AD156:AO182,3,0)</f>
        <v>9.59</v>
      </c>
      <c r="AF189" s="284">
        <f t="shared" si="68"/>
        <v>18.510000000000002</v>
      </c>
      <c r="AG189" s="284">
        <v>550</v>
      </c>
      <c r="AH189" s="2250"/>
      <c r="AI189" s="2250"/>
      <c r="AJ189" s="2250"/>
      <c r="AK189" s="2250"/>
      <c r="AL189" s="2250"/>
      <c r="AM189" s="2250"/>
      <c r="AN189" s="2250"/>
      <c r="AO189" s="2250"/>
      <c r="AP189" s="2250"/>
      <c r="AQ189" s="2250"/>
      <c r="AR189" s="284">
        <v>475</v>
      </c>
      <c r="AS189" s="284">
        <f>VLOOKUP(AS184,AR156:BC182,3,0)</f>
        <v>5.64</v>
      </c>
      <c r="AT189" s="284">
        <f t="shared" si="69"/>
        <v>10.59</v>
      </c>
      <c r="AU189" s="284">
        <v>550</v>
      </c>
      <c r="AV189" s="2250"/>
      <c r="AW189" s="2250"/>
      <c r="AX189" s="2250"/>
      <c r="AY189" s="2250"/>
      <c r="AZ189" s="2250"/>
      <c r="BA189" s="2250"/>
      <c r="BB189" s="2250"/>
      <c r="BC189" s="2250"/>
      <c r="BD189" s="2250"/>
      <c r="BE189" s="2250"/>
      <c r="BF189" s="2276"/>
      <c r="BG189" s="2276"/>
      <c r="BH189" s="2250"/>
      <c r="BI189" s="2275"/>
      <c r="BJ189" s="284">
        <v>475</v>
      </c>
      <c r="BK189" s="284">
        <f>VLOOKUP(BK184,BJ156:BU182,3,0)</f>
        <v>13.96</v>
      </c>
      <c r="BL189" s="284">
        <f t="shared" si="70"/>
        <v>27.23</v>
      </c>
      <c r="BM189" s="284">
        <v>550</v>
      </c>
      <c r="BN189" s="2250"/>
      <c r="BO189" s="2250"/>
      <c r="BP189" s="2250"/>
      <c r="BQ189" s="2250"/>
      <c r="BR189" s="2250"/>
      <c r="BS189" s="2250"/>
      <c r="BT189" s="2250"/>
      <c r="BU189" s="2250"/>
      <c r="BV189" s="2250"/>
      <c r="BW189" s="2250"/>
      <c r="BX189" s="284">
        <v>475</v>
      </c>
      <c r="BY189" s="284">
        <f>VLOOKUP(BY184,BX156:CI182,3,0)</f>
        <v>10.1</v>
      </c>
      <c r="BZ189" s="284">
        <f t="shared" si="71"/>
        <v>20</v>
      </c>
      <c r="CA189" s="284">
        <v>550</v>
      </c>
      <c r="CB189" s="2250"/>
      <c r="CC189" s="2250"/>
      <c r="CD189" s="2250"/>
      <c r="CE189" s="2250"/>
      <c r="CF189" s="2250"/>
      <c r="CG189" s="2250"/>
      <c r="CH189" s="2250"/>
      <c r="CI189" s="2250"/>
      <c r="CJ189" s="2250"/>
      <c r="CK189" s="2250"/>
      <c r="CL189" s="284">
        <v>475</v>
      </c>
      <c r="CM189" s="284">
        <f>VLOOKUP(CM184,CL156:CW182,3,0)</f>
        <v>8.8000000000000007</v>
      </c>
      <c r="CN189" s="284">
        <f t="shared" si="72"/>
        <v>17.16</v>
      </c>
      <c r="CO189" s="284">
        <v>550</v>
      </c>
      <c r="CP189" s="2250"/>
      <c r="CQ189" s="2250"/>
      <c r="CR189" s="2250"/>
      <c r="CS189" s="2250"/>
      <c r="CT189" s="2250"/>
      <c r="CU189" s="2250"/>
      <c r="CV189" s="2250"/>
      <c r="CW189" s="2250"/>
      <c r="CX189" s="2250"/>
      <c r="CY189" s="2250"/>
      <c r="CZ189" s="284">
        <v>475</v>
      </c>
      <c r="DA189" s="284">
        <f>VLOOKUP(DA184,CZ156:DK182,3,0)</f>
        <v>5.25</v>
      </c>
      <c r="DB189" s="284">
        <f t="shared" si="73"/>
        <v>9.8000000000000007</v>
      </c>
      <c r="DC189" s="284">
        <v>550</v>
      </c>
      <c r="DD189" s="2250"/>
      <c r="DE189" s="2250"/>
      <c r="DF189" s="2250"/>
      <c r="DG189" s="2250"/>
      <c r="DH189" s="2250"/>
      <c r="DI189" s="2250"/>
      <c r="DJ189" s="2250"/>
      <c r="DK189" s="2250"/>
      <c r="DL189" s="2250"/>
      <c r="DM189" s="2250"/>
      <c r="DN189" s="2250"/>
      <c r="DO189" s="2250"/>
      <c r="DP189" s="2250"/>
      <c r="DQ189" s="2277"/>
      <c r="DR189" s="2277"/>
      <c r="DS189" s="277"/>
      <c r="DW189" s="2275"/>
      <c r="DX189" s="284">
        <v>475</v>
      </c>
      <c r="DY189" s="284">
        <f>VLOOKUP(DY184,DX156:EI182,3,0)</f>
        <v>22.18</v>
      </c>
      <c r="DZ189" s="284">
        <f t="shared" si="74"/>
        <v>43.27</v>
      </c>
      <c r="EA189" s="284">
        <v>550</v>
      </c>
      <c r="EB189" s="2250"/>
      <c r="EC189" s="2250"/>
      <c r="ED189" s="2250"/>
      <c r="EE189" s="2250"/>
      <c r="EF189" s="2250"/>
      <c r="EG189" s="2250"/>
      <c r="EH189" s="2250"/>
      <c r="EI189" s="2250"/>
      <c r="EJ189" s="2250"/>
      <c r="EK189" s="2250"/>
      <c r="EL189" s="284">
        <v>475</v>
      </c>
      <c r="EM189" s="284">
        <f>VLOOKUP(EM184,EL156:EW182,3,0)</f>
        <v>15.94</v>
      </c>
      <c r="EN189" s="284">
        <f t="shared" si="75"/>
        <v>31.19</v>
      </c>
      <c r="EO189" s="284">
        <v>550</v>
      </c>
      <c r="EP189" s="2250"/>
      <c r="EQ189" s="2250"/>
      <c r="ER189" s="2250"/>
      <c r="ES189" s="2250"/>
      <c r="ET189" s="2250"/>
      <c r="EU189" s="2250"/>
      <c r="EV189" s="2250"/>
      <c r="EW189" s="2250"/>
      <c r="EX189" s="2250"/>
      <c r="EY189" s="2250"/>
      <c r="EZ189" s="284">
        <v>475</v>
      </c>
      <c r="FA189" s="284">
        <f>VLOOKUP(FA184,EZ156:FK182,3,0)</f>
        <v>13.88</v>
      </c>
      <c r="FB189" s="284">
        <f t="shared" si="76"/>
        <v>25.96</v>
      </c>
      <c r="FC189" s="284">
        <v>550</v>
      </c>
      <c r="FD189" s="2250"/>
      <c r="FE189" s="2250"/>
      <c r="FF189" s="2250"/>
      <c r="FG189" s="2250"/>
      <c r="FH189" s="2250"/>
      <c r="FI189" s="2250"/>
      <c r="FJ189" s="2250"/>
      <c r="FK189" s="2250"/>
      <c r="FL189" s="2250"/>
      <c r="FM189" s="2250"/>
      <c r="FN189" s="284">
        <v>475</v>
      </c>
      <c r="FO189" s="284">
        <f>VLOOKUP(FO184,FN156:FY182,3,0)</f>
        <v>8.7100000000000009</v>
      </c>
      <c r="FP189" s="284">
        <f t="shared" si="77"/>
        <v>15.05</v>
      </c>
      <c r="FQ189" s="284">
        <v>550</v>
      </c>
      <c r="FR189" s="2250"/>
      <c r="FS189" s="2250"/>
      <c r="FT189" s="2250"/>
      <c r="FU189" s="2250"/>
      <c r="FV189" s="2250"/>
      <c r="FW189" s="2250"/>
      <c r="FX189" s="2250"/>
      <c r="FY189" s="2250"/>
      <c r="FZ189" s="2250"/>
      <c r="GA189" s="2250"/>
      <c r="GB189" s="2276"/>
      <c r="GC189" s="2276"/>
      <c r="GD189" s="2250"/>
      <c r="GE189" s="2275"/>
      <c r="GF189" s="284">
        <v>475</v>
      </c>
      <c r="GG189" s="284">
        <f>VLOOKUP(GG184,GF156:GQ182,3,0)</f>
        <v>20.399999999999999</v>
      </c>
      <c r="GH189" s="284">
        <f t="shared" si="78"/>
        <v>39.799999999999997</v>
      </c>
      <c r="GI189" s="284">
        <v>550</v>
      </c>
      <c r="GJ189" s="2250"/>
      <c r="GK189" s="2250"/>
      <c r="GL189" s="2250"/>
      <c r="GM189" s="2250"/>
      <c r="GN189" s="2250"/>
      <c r="GO189" s="2250"/>
      <c r="GP189" s="2250"/>
      <c r="GQ189" s="2250"/>
      <c r="GR189" s="2250"/>
      <c r="GS189" s="2250"/>
      <c r="GT189" s="284">
        <v>475</v>
      </c>
      <c r="GU189" s="284">
        <f>VLOOKUP(GU184,GT156:HE182,3,0)</f>
        <v>14.65</v>
      </c>
      <c r="GV189" s="284">
        <f t="shared" si="79"/>
        <v>28.71</v>
      </c>
      <c r="GW189" s="284">
        <v>550</v>
      </c>
      <c r="GX189" s="2250"/>
      <c r="GY189" s="2250"/>
      <c r="GZ189" s="2250"/>
      <c r="HA189" s="2250"/>
      <c r="HB189" s="2250"/>
      <c r="HC189" s="2250"/>
      <c r="HD189" s="2250"/>
      <c r="HE189" s="2250"/>
      <c r="HF189" s="2250"/>
      <c r="HG189" s="2250"/>
      <c r="HH189" s="284">
        <v>475</v>
      </c>
      <c r="HI189" s="284">
        <f>VLOOKUP(HI184,HH156:HS182,3,0)</f>
        <v>12.75</v>
      </c>
      <c r="HJ189" s="284">
        <f t="shared" si="80"/>
        <v>24.83</v>
      </c>
      <c r="HK189" s="284">
        <v>550</v>
      </c>
      <c r="HL189" s="2250"/>
      <c r="HM189" s="2250"/>
      <c r="HN189" s="2250"/>
      <c r="HO189" s="2250"/>
      <c r="HP189" s="2250"/>
      <c r="HQ189" s="2250"/>
      <c r="HR189" s="2250"/>
      <c r="HS189" s="2250"/>
      <c r="HT189" s="2250"/>
      <c r="HU189" s="2250"/>
      <c r="HV189" s="284">
        <v>475</v>
      </c>
      <c r="HW189" s="284">
        <f>VLOOKUP(HW184,HV156:IG182,3,0)</f>
        <v>7.72</v>
      </c>
      <c r="HX189" s="284">
        <f t="shared" si="81"/>
        <v>14.36</v>
      </c>
      <c r="HY189" s="284">
        <v>550</v>
      </c>
      <c r="HZ189" s="2250"/>
      <c r="IA189" s="2250"/>
      <c r="IB189" s="2250"/>
      <c r="IC189" s="2250"/>
      <c r="ID189" s="2250"/>
      <c r="IE189" s="2250"/>
      <c r="IF189" s="2250"/>
      <c r="IG189" s="2250"/>
      <c r="IH189" s="2250"/>
      <c r="II189" s="2250"/>
      <c r="IJ189" s="2250"/>
      <c r="IK189" s="2250"/>
      <c r="IL189" s="2250"/>
      <c r="IN189" s="277"/>
      <c r="IO189" s="277"/>
    </row>
    <row r="190" spans="1:249" ht="21.95" customHeight="1">
      <c r="A190" s="2275"/>
      <c r="B190" s="284">
        <v>550</v>
      </c>
      <c r="C190" s="284">
        <f>VLOOKUP(C184,B156:M182,4,0)</f>
        <v>29.5</v>
      </c>
      <c r="D190" s="284">
        <f t="shared" si="66"/>
        <v>49.9</v>
      </c>
      <c r="E190" s="284">
        <v>650</v>
      </c>
      <c r="F190" s="2250"/>
      <c r="G190" s="2250"/>
      <c r="H190" s="2250"/>
      <c r="I190" s="2250"/>
      <c r="J190" s="2250"/>
      <c r="K190" s="2250"/>
      <c r="L190" s="2250"/>
      <c r="M190" s="2250"/>
      <c r="N190" s="2250"/>
      <c r="O190" s="2250"/>
      <c r="P190" s="284">
        <v>550</v>
      </c>
      <c r="Q190" s="284">
        <f>VLOOKUP(Q184,P156:AA182,4,0)</f>
        <v>21.39</v>
      </c>
      <c r="R190" s="284">
        <f t="shared" si="67"/>
        <v>36.14</v>
      </c>
      <c r="S190" s="284">
        <v>650</v>
      </c>
      <c r="T190" s="2250"/>
      <c r="U190" s="2250"/>
      <c r="V190" s="2250"/>
      <c r="W190" s="2250"/>
      <c r="X190" s="2250"/>
      <c r="Y190" s="2250"/>
      <c r="Z190" s="2250"/>
      <c r="AA190" s="2250"/>
      <c r="AB190" s="2250"/>
      <c r="AC190" s="2250"/>
      <c r="AD190" s="284">
        <v>550</v>
      </c>
      <c r="AE190" s="284">
        <f>VLOOKUP(AE184,AD156:AO182,4,0)</f>
        <v>18.510000000000002</v>
      </c>
      <c r="AF190" s="284">
        <f t="shared" si="68"/>
        <v>31.6</v>
      </c>
      <c r="AG190" s="284">
        <v>650</v>
      </c>
      <c r="AH190" s="2250"/>
      <c r="AI190" s="2250"/>
      <c r="AJ190" s="2250"/>
      <c r="AK190" s="2250"/>
      <c r="AL190" s="2250"/>
      <c r="AM190" s="2250"/>
      <c r="AN190" s="2250"/>
      <c r="AO190" s="2250"/>
      <c r="AP190" s="2250"/>
      <c r="AQ190" s="2250"/>
      <c r="AR190" s="284">
        <v>550</v>
      </c>
      <c r="AS190" s="284">
        <f>VLOOKUP(AS184,AR156:BC182,4,0)</f>
        <v>10.59</v>
      </c>
      <c r="AT190" s="284">
        <f t="shared" si="69"/>
        <v>17.23</v>
      </c>
      <c r="AU190" s="284">
        <v>650</v>
      </c>
      <c r="AV190" s="2250"/>
      <c r="AW190" s="2250"/>
      <c r="AX190" s="2250"/>
      <c r="AY190" s="2250"/>
      <c r="AZ190" s="2250"/>
      <c r="BA190" s="2250"/>
      <c r="BB190" s="2250"/>
      <c r="BC190" s="2250"/>
      <c r="BD190" s="2250"/>
      <c r="BE190" s="2250"/>
      <c r="BF190" s="2276"/>
      <c r="BG190" s="2276"/>
      <c r="BH190" s="2250"/>
      <c r="BI190" s="2275"/>
      <c r="BJ190" s="284">
        <v>550</v>
      </c>
      <c r="BK190" s="284">
        <f>VLOOKUP(BK184,BJ156:BU182,4,0)</f>
        <v>27.23</v>
      </c>
      <c r="BL190" s="284">
        <f t="shared" si="70"/>
        <v>46.93</v>
      </c>
      <c r="BM190" s="284">
        <v>650</v>
      </c>
      <c r="BN190" s="2250"/>
      <c r="BO190" s="2250"/>
      <c r="BP190" s="2250"/>
      <c r="BQ190" s="2250"/>
      <c r="BR190" s="2250"/>
      <c r="BS190" s="2250"/>
      <c r="BT190" s="2250"/>
      <c r="BU190" s="2250"/>
      <c r="BV190" s="2250"/>
      <c r="BW190" s="2250"/>
      <c r="BX190" s="284">
        <v>550</v>
      </c>
      <c r="BY190" s="284">
        <f>VLOOKUP(BY184,BX156:CI182,4,0)</f>
        <v>20</v>
      </c>
      <c r="BZ190" s="284">
        <f t="shared" si="71"/>
        <v>34.06</v>
      </c>
      <c r="CA190" s="284">
        <v>650</v>
      </c>
      <c r="CB190" s="2250"/>
      <c r="CC190" s="2250"/>
      <c r="CD190" s="2250"/>
      <c r="CE190" s="2250"/>
      <c r="CF190" s="2250"/>
      <c r="CG190" s="2250"/>
      <c r="CH190" s="2250"/>
      <c r="CI190" s="2250"/>
      <c r="CJ190" s="2250"/>
      <c r="CK190" s="2250"/>
      <c r="CL190" s="284">
        <v>550</v>
      </c>
      <c r="CM190" s="284">
        <f>VLOOKUP(CM184,CL156:CW182,4,0)</f>
        <v>17.16</v>
      </c>
      <c r="CN190" s="284">
        <f t="shared" si="72"/>
        <v>28.67</v>
      </c>
      <c r="CO190" s="284">
        <v>650</v>
      </c>
      <c r="CP190" s="2250"/>
      <c r="CQ190" s="2250"/>
      <c r="CR190" s="2250"/>
      <c r="CS190" s="2250"/>
      <c r="CT190" s="2250"/>
      <c r="CU190" s="2250"/>
      <c r="CV190" s="2250"/>
      <c r="CW190" s="2250"/>
      <c r="CX190" s="2250"/>
      <c r="CY190" s="2250"/>
      <c r="CZ190" s="284">
        <v>550</v>
      </c>
      <c r="DA190" s="284">
        <f>VLOOKUP(DA184,CZ156:DK182,4,0)</f>
        <v>9.8000000000000007</v>
      </c>
      <c r="DB190" s="284">
        <f t="shared" si="73"/>
        <v>16.34</v>
      </c>
      <c r="DC190" s="284">
        <v>650</v>
      </c>
      <c r="DD190" s="2250"/>
      <c r="DE190" s="2250"/>
      <c r="DF190" s="2250"/>
      <c r="DG190" s="2250"/>
      <c r="DH190" s="2250"/>
      <c r="DI190" s="2250"/>
      <c r="DJ190" s="2250"/>
      <c r="DK190" s="2250"/>
      <c r="DL190" s="2250"/>
      <c r="DM190" s="2250"/>
      <c r="DN190" s="2250"/>
      <c r="DO190" s="2250"/>
      <c r="DP190" s="2250"/>
      <c r="DQ190" s="2277"/>
      <c r="DR190" s="2277"/>
      <c r="DS190" s="277"/>
      <c r="DW190" s="2275"/>
      <c r="DX190" s="284">
        <v>550</v>
      </c>
      <c r="DY190" s="284">
        <f>VLOOKUP(DY184,DX156:EI182,4,0)</f>
        <v>43.27</v>
      </c>
      <c r="DZ190" s="284">
        <f t="shared" si="74"/>
        <v>72.87</v>
      </c>
      <c r="EA190" s="284">
        <v>650</v>
      </c>
      <c r="EB190" s="2250"/>
      <c r="EC190" s="2250"/>
      <c r="ED190" s="2250"/>
      <c r="EE190" s="2250"/>
      <c r="EF190" s="2250"/>
      <c r="EG190" s="2250"/>
      <c r="EH190" s="2250"/>
      <c r="EI190" s="2250"/>
      <c r="EJ190" s="2250"/>
      <c r="EK190" s="2250"/>
      <c r="EL190" s="284">
        <v>550</v>
      </c>
      <c r="EM190" s="284">
        <f>VLOOKUP(EM184,EL156:EW182,4,0)</f>
        <v>31.19</v>
      </c>
      <c r="EN190" s="284">
        <f t="shared" si="75"/>
        <v>52.97</v>
      </c>
      <c r="EO190" s="284">
        <v>650</v>
      </c>
      <c r="EP190" s="2250"/>
      <c r="EQ190" s="2250"/>
      <c r="ER190" s="2250"/>
      <c r="ES190" s="2250"/>
      <c r="ET190" s="2250"/>
      <c r="EU190" s="2250"/>
      <c r="EV190" s="2250"/>
      <c r="EW190" s="2250"/>
      <c r="EX190" s="2250"/>
      <c r="EY190" s="2250"/>
      <c r="EZ190" s="284">
        <v>550</v>
      </c>
      <c r="FA190" s="284">
        <f>VLOOKUP(FA184,EZ156:FK182,4,0)</f>
        <v>25.96</v>
      </c>
      <c r="FB190" s="284">
        <f t="shared" si="76"/>
        <v>43.68</v>
      </c>
      <c r="FC190" s="284">
        <v>650</v>
      </c>
      <c r="FD190" s="2250"/>
      <c r="FE190" s="2250"/>
      <c r="FF190" s="2250"/>
      <c r="FG190" s="2250"/>
      <c r="FH190" s="2250"/>
      <c r="FI190" s="2250"/>
      <c r="FJ190" s="2250"/>
      <c r="FK190" s="2250"/>
      <c r="FL190" s="2250"/>
      <c r="FM190" s="2250"/>
      <c r="FN190" s="284">
        <v>550</v>
      </c>
      <c r="FO190" s="284">
        <f>VLOOKUP(FO184,FN156:FY182,4,0)</f>
        <v>15.05</v>
      </c>
      <c r="FP190" s="284">
        <f t="shared" si="77"/>
        <v>25.25</v>
      </c>
      <c r="FQ190" s="284">
        <v>650</v>
      </c>
      <c r="FR190" s="2250"/>
      <c r="FS190" s="2250"/>
      <c r="FT190" s="2250"/>
      <c r="FU190" s="2250"/>
      <c r="FV190" s="2250"/>
      <c r="FW190" s="2250"/>
      <c r="FX190" s="2250"/>
      <c r="FY190" s="2250"/>
      <c r="FZ190" s="2250"/>
      <c r="GA190" s="2250"/>
      <c r="GB190" s="2276"/>
      <c r="GC190" s="2276"/>
      <c r="GD190" s="2250"/>
      <c r="GE190" s="2275"/>
      <c r="GF190" s="284">
        <v>550</v>
      </c>
      <c r="GG190" s="284">
        <f>VLOOKUP(GG184,GF156:GQ182,4,0)</f>
        <v>39.799999999999997</v>
      </c>
      <c r="GH190" s="284">
        <f t="shared" si="78"/>
        <v>66.83</v>
      </c>
      <c r="GI190" s="284">
        <v>650</v>
      </c>
      <c r="GJ190" s="2250"/>
      <c r="GK190" s="2250"/>
      <c r="GL190" s="2250"/>
      <c r="GM190" s="2250"/>
      <c r="GN190" s="2250"/>
      <c r="GO190" s="2250"/>
      <c r="GP190" s="2250"/>
      <c r="GQ190" s="2250"/>
      <c r="GR190" s="2250"/>
      <c r="GS190" s="2250"/>
      <c r="GT190" s="284">
        <v>550</v>
      </c>
      <c r="GU190" s="284">
        <f>VLOOKUP(GU184,GT156:HE182,4,0)</f>
        <v>28.71</v>
      </c>
      <c r="GV190" s="284">
        <f t="shared" si="79"/>
        <v>48.71</v>
      </c>
      <c r="GW190" s="284">
        <v>650</v>
      </c>
      <c r="GX190" s="2250"/>
      <c r="GY190" s="2250"/>
      <c r="GZ190" s="2250"/>
      <c r="HA190" s="2250"/>
      <c r="HB190" s="2250"/>
      <c r="HC190" s="2250"/>
      <c r="HD190" s="2250"/>
      <c r="HE190" s="2250"/>
      <c r="HF190" s="2250"/>
      <c r="HG190" s="2250"/>
      <c r="HH190" s="284">
        <v>550</v>
      </c>
      <c r="HI190" s="284">
        <f>VLOOKUP(HI184,HH156:HS182,4,0)</f>
        <v>24.83</v>
      </c>
      <c r="HJ190" s="284">
        <f t="shared" si="80"/>
        <v>39.840000000000003</v>
      </c>
      <c r="HK190" s="284">
        <v>650</v>
      </c>
      <c r="HL190" s="2250"/>
      <c r="HM190" s="2250"/>
      <c r="HN190" s="2250"/>
      <c r="HO190" s="2250"/>
      <c r="HP190" s="2250"/>
      <c r="HQ190" s="2250"/>
      <c r="HR190" s="2250"/>
      <c r="HS190" s="2250"/>
      <c r="HT190" s="2250"/>
      <c r="HU190" s="2250"/>
      <c r="HV190" s="284">
        <v>550</v>
      </c>
      <c r="HW190" s="284">
        <f>VLOOKUP(HW184,HV156:IG182,4,0)</f>
        <v>14.36</v>
      </c>
      <c r="HX190" s="284">
        <f t="shared" si="81"/>
        <v>23.07</v>
      </c>
      <c r="HY190" s="284">
        <v>650</v>
      </c>
      <c r="HZ190" s="2250"/>
      <c r="IA190" s="2250"/>
      <c r="IB190" s="2250"/>
      <c r="IC190" s="2250"/>
      <c r="ID190" s="2250"/>
      <c r="IE190" s="2250"/>
      <c r="IF190" s="2250"/>
      <c r="IG190" s="2250"/>
      <c r="IH190" s="2250"/>
      <c r="II190" s="2250"/>
      <c r="IJ190" s="2250"/>
      <c r="IK190" s="2250"/>
      <c r="IL190" s="2250"/>
      <c r="IN190" s="277"/>
      <c r="IO190" s="277"/>
    </row>
    <row r="191" spans="1:249" ht="21.95" customHeight="1">
      <c r="A191" s="2275"/>
      <c r="B191" s="284">
        <v>650</v>
      </c>
      <c r="C191" s="284">
        <f>VLOOKUP(C184,B156:M182,5,0)</f>
        <v>49.9</v>
      </c>
      <c r="D191" s="284">
        <f t="shared" si="66"/>
        <v>81.09</v>
      </c>
      <c r="E191" s="284">
        <v>775</v>
      </c>
      <c r="F191" s="2250"/>
      <c r="G191" s="2250"/>
      <c r="H191" s="2250"/>
      <c r="I191" s="2250"/>
      <c r="J191" s="2250"/>
      <c r="K191" s="2250"/>
      <c r="L191" s="2250"/>
      <c r="M191" s="2250"/>
      <c r="N191" s="2250"/>
      <c r="O191" s="2250"/>
      <c r="P191" s="284">
        <v>650</v>
      </c>
      <c r="Q191" s="284">
        <f>VLOOKUP(Q184,P156:AA182,5,0)</f>
        <v>36.14</v>
      </c>
      <c r="R191" s="284">
        <f t="shared" si="67"/>
        <v>58.61</v>
      </c>
      <c r="S191" s="284">
        <v>775</v>
      </c>
      <c r="T191" s="2250"/>
      <c r="U191" s="2250"/>
      <c r="V191" s="2250"/>
      <c r="W191" s="2250"/>
      <c r="X191" s="2250"/>
      <c r="Y191" s="2250"/>
      <c r="Z191" s="2250"/>
      <c r="AA191" s="2250"/>
      <c r="AB191" s="2250"/>
      <c r="AC191" s="2250"/>
      <c r="AD191" s="284">
        <v>650</v>
      </c>
      <c r="AE191" s="284">
        <f>VLOOKUP(AE184,AD156:AO182,5,0)</f>
        <v>31.6</v>
      </c>
      <c r="AF191" s="284">
        <f t="shared" si="68"/>
        <v>47.52</v>
      </c>
      <c r="AG191" s="284">
        <v>775</v>
      </c>
      <c r="AH191" s="2250"/>
      <c r="AI191" s="2250"/>
      <c r="AJ191" s="2250"/>
      <c r="AK191" s="2250"/>
      <c r="AL191" s="2250"/>
      <c r="AM191" s="2250"/>
      <c r="AN191" s="2250"/>
      <c r="AO191" s="2250"/>
      <c r="AP191" s="2250"/>
      <c r="AQ191" s="2250"/>
      <c r="AR191" s="284">
        <v>650</v>
      </c>
      <c r="AS191" s="284">
        <f>VLOOKUP(AS184,AR156:BC182,5,0)</f>
        <v>17.23</v>
      </c>
      <c r="AT191" s="284">
        <f t="shared" si="69"/>
        <v>27.13</v>
      </c>
      <c r="AU191" s="284">
        <v>775</v>
      </c>
      <c r="AV191" s="2250"/>
      <c r="AW191" s="2250"/>
      <c r="AX191" s="2250"/>
      <c r="AY191" s="2250"/>
      <c r="AZ191" s="2250"/>
      <c r="BA191" s="2250"/>
      <c r="BB191" s="2250"/>
      <c r="BC191" s="2250"/>
      <c r="BD191" s="2250"/>
      <c r="BE191" s="2250"/>
      <c r="BF191" s="2276"/>
      <c r="BG191" s="2276"/>
      <c r="BH191" s="2250"/>
      <c r="BI191" s="2275"/>
      <c r="BJ191" s="284">
        <v>650</v>
      </c>
      <c r="BK191" s="284">
        <f>VLOOKUP(BK184,BJ156:BU182,5,0)</f>
        <v>46.93</v>
      </c>
      <c r="BL191" s="284">
        <f t="shared" si="70"/>
        <v>74.459999999999994</v>
      </c>
      <c r="BM191" s="284">
        <v>775</v>
      </c>
      <c r="BN191" s="2250"/>
      <c r="BO191" s="2250"/>
      <c r="BP191" s="2250"/>
      <c r="BQ191" s="2250"/>
      <c r="BR191" s="2250"/>
      <c r="BS191" s="2250"/>
      <c r="BT191" s="2250"/>
      <c r="BU191" s="2250"/>
      <c r="BV191" s="2250"/>
      <c r="BW191" s="2250"/>
      <c r="BX191" s="284">
        <v>650</v>
      </c>
      <c r="BY191" s="284">
        <f>VLOOKUP(BY184,BX156:CI182,5,0)</f>
        <v>34.06</v>
      </c>
      <c r="BZ191" s="284">
        <f t="shared" si="71"/>
        <v>54.06</v>
      </c>
      <c r="CA191" s="284">
        <v>775</v>
      </c>
      <c r="CB191" s="2250"/>
      <c r="CC191" s="2250"/>
      <c r="CD191" s="2250"/>
      <c r="CE191" s="2250"/>
      <c r="CF191" s="2250"/>
      <c r="CG191" s="2250"/>
      <c r="CH191" s="2250"/>
      <c r="CI191" s="2250"/>
      <c r="CJ191" s="2250"/>
      <c r="CK191" s="2250"/>
      <c r="CL191" s="284">
        <v>650</v>
      </c>
      <c r="CM191" s="284">
        <f>VLOOKUP(CM184,CL156:CW182,5,0)</f>
        <v>28.67</v>
      </c>
      <c r="CN191" s="284">
        <f t="shared" si="72"/>
        <v>45.6</v>
      </c>
      <c r="CO191" s="284">
        <v>775</v>
      </c>
      <c r="CP191" s="2250"/>
      <c r="CQ191" s="2250"/>
      <c r="CR191" s="2250"/>
      <c r="CS191" s="2250"/>
      <c r="CT191" s="2250"/>
      <c r="CU191" s="2250"/>
      <c r="CV191" s="2250"/>
      <c r="CW191" s="2250"/>
      <c r="CX191" s="2250"/>
      <c r="CY191" s="2250"/>
      <c r="CZ191" s="284">
        <v>650</v>
      </c>
      <c r="DA191" s="284">
        <f>VLOOKUP(DA184,CZ156:DK182,5,0)</f>
        <v>16.34</v>
      </c>
      <c r="DB191" s="284">
        <f t="shared" si="73"/>
        <v>25.94</v>
      </c>
      <c r="DC191" s="284">
        <v>775</v>
      </c>
      <c r="DD191" s="2250"/>
      <c r="DE191" s="2250"/>
      <c r="DF191" s="2250"/>
      <c r="DG191" s="2250"/>
      <c r="DH191" s="2250"/>
      <c r="DI191" s="2250"/>
      <c r="DJ191" s="2250"/>
      <c r="DK191" s="2250"/>
      <c r="DL191" s="2250"/>
      <c r="DM191" s="2250"/>
      <c r="DN191" s="2250"/>
      <c r="DO191" s="2250"/>
      <c r="DP191" s="2250"/>
      <c r="DQ191" s="2277"/>
      <c r="DR191" s="2277"/>
      <c r="DS191" s="277"/>
      <c r="DW191" s="2275"/>
      <c r="DX191" s="284">
        <v>650</v>
      </c>
      <c r="DY191" s="284">
        <f>VLOOKUP(DY184,DX156:EI182,5,0)</f>
        <v>72.87</v>
      </c>
      <c r="DZ191" s="284">
        <f t="shared" si="74"/>
        <v>119.5</v>
      </c>
      <c r="EA191" s="284">
        <v>775</v>
      </c>
      <c r="EB191" s="2250"/>
      <c r="EC191" s="2250"/>
      <c r="ED191" s="2250"/>
      <c r="EE191" s="2250"/>
      <c r="EF191" s="2250"/>
      <c r="EG191" s="2250"/>
      <c r="EH191" s="2250"/>
      <c r="EI191" s="2250"/>
      <c r="EJ191" s="2250"/>
      <c r="EK191" s="2250"/>
      <c r="EL191" s="284">
        <v>650</v>
      </c>
      <c r="EM191" s="284">
        <f>VLOOKUP(EM184,EL156:EW182,5,0)</f>
        <v>52.97</v>
      </c>
      <c r="EN191" s="284">
        <f t="shared" si="75"/>
        <v>86.04</v>
      </c>
      <c r="EO191" s="284">
        <v>775</v>
      </c>
      <c r="EP191" s="2250"/>
      <c r="EQ191" s="2250"/>
      <c r="ER191" s="2250"/>
      <c r="ES191" s="2250"/>
      <c r="ET191" s="2250"/>
      <c r="EU191" s="2250"/>
      <c r="EV191" s="2250"/>
      <c r="EW191" s="2250"/>
      <c r="EX191" s="2250"/>
      <c r="EY191" s="2250"/>
      <c r="EZ191" s="284">
        <v>650</v>
      </c>
      <c r="FA191" s="284">
        <f>VLOOKUP(FA184,EZ156:FK182,5,0)</f>
        <v>43.68</v>
      </c>
      <c r="FB191" s="284">
        <f t="shared" si="76"/>
        <v>70.650000000000006</v>
      </c>
      <c r="FC191" s="284">
        <v>775</v>
      </c>
      <c r="FD191" s="2250"/>
      <c r="FE191" s="2250"/>
      <c r="FF191" s="2250"/>
      <c r="FG191" s="2250"/>
      <c r="FH191" s="2250"/>
      <c r="FI191" s="2250"/>
      <c r="FJ191" s="2250"/>
      <c r="FK191" s="2250"/>
      <c r="FL191" s="2250"/>
      <c r="FM191" s="2250"/>
      <c r="FN191" s="284">
        <v>650</v>
      </c>
      <c r="FO191" s="284">
        <f>VLOOKUP(FO184,FN156:FY182,5,0)</f>
        <v>25.25</v>
      </c>
      <c r="FP191" s="284">
        <f t="shared" si="77"/>
        <v>40.89</v>
      </c>
      <c r="FQ191" s="284">
        <v>775</v>
      </c>
      <c r="FR191" s="2250"/>
      <c r="FS191" s="2250"/>
      <c r="FT191" s="2250"/>
      <c r="FU191" s="2250"/>
      <c r="FV191" s="2250"/>
      <c r="FW191" s="2250"/>
      <c r="FX191" s="2250"/>
      <c r="FY191" s="2250"/>
      <c r="FZ191" s="2250"/>
      <c r="GA191" s="2250"/>
      <c r="GB191" s="2276"/>
      <c r="GC191" s="2276"/>
      <c r="GD191" s="2250"/>
      <c r="GE191" s="2275"/>
      <c r="GF191" s="284">
        <v>650</v>
      </c>
      <c r="GG191" s="284">
        <f>VLOOKUP(GG184,GF156:GQ182,5,0)</f>
        <v>66.83</v>
      </c>
      <c r="GH191" s="284">
        <f t="shared" si="78"/>
        <v>109.11</v>
      </c>
      <c r="GI191" s="284">
        <v>775</v>
      </c>
      <c r="GJ191" s="2250"/>
      <c r="GK191" s="2250"/>
      <c r="GL191" s="2250"/>
      <c r="GM191" s="2250"/>
      <c r="GN191" s="2250"/>
      <c r="GO191" s="2250"/>
      <c r="GP191" s="2250"/>
      <c r="GQ191" s="2250"/>
      <c r="GR191" s="2250"/>
      <c r="GS191" s="2250"/>
      <c r="GT191" s="284">
        <v>650</v>
      </c>
      <c r="GU191" s="284">
        <f>VLOOKUP(GU184,GT156:HE182,5,0)</f>
        <v>48.71</v>
      </c>
      <c r="GV191" s="284">
        <f t="shared" si="79"/>
        <v>78.709999999999994</v>
      </c>
      <c r="GW191" s="284">
        <v>775</v>
      </c>
      <c r="GX191" s="2250"/>
      <c r="GY191" s="2250"/>
      <c r="GZ191" s="2250"/>
      <c r="HA191" s="2250"/>
      <c r="HB191" s="2250"/>
      <c r="HC191" s="2250"/>
      <c r="HD191" s="2250"/>
      <c r="HE191" s="2250"/>
      <c r="HF191" s="2250"/>
      <c r="HG191" s="2250"/>
      <c r="HH191" s="284">
        <v>650</v>
      </c>
      <c r="HI191" s="284">
        <f>VLOOKUP(HI184,HH156:HS182,5,0)</f>
        <v>39.840000000000003</v>
      </c>
      <c r="HJ191" s="284">
        <f t="shared" si="80"/>
        <v>63.77</v>
      </c>
      <c r="HK191" s="284">
        <v>775</v>
      </c>
      <c r="HL191" s="2250"/>
      <c r="HM191" s="2250"/>
      <c r="HN191" s="2250"/>
      <c r="HO191" s="2250"/>
      <c r="HP191" s="2250"/>
      <c r="HQ191" s="2250"/>
      <c r="HR191" s="2250"/>
      <c r="HS191" s="2250"/>
      <c r="HT191" s="2250"/>
      <c r="HU191" s="2250"/>
      <c r="HV191" s="284">
        <v>650</v>
      </c>
      <c r="HW191" s="284">
        <f>VLOOKUP(HW184,HV156:IG182,5,0)</f>
        <v>23.07</v>
      </c>
      <c r="HX191" s="284">
        <f t="shared" si="81"/>
        <v>36.83</v>
      </c>
      <c r="HY191" s="284">
        <v>775</v>
      </c>
      <c r="HZ191" s="2250"/>
      <c r="IA191" s="2250"/>
      <c r="IB191" s="2250"/>
      <c r="IC191" s="2250"/>
      <c r="ID191" s="2250"/>
      <c r="IE191" s="2250"/>
      <c r="IF191" s="2250"/>
      <c r="IG191" s="2250"/>
      <c r="IH191" s="2250"/>
      <c r="II191" s="2250"/>
      <c r="IJ191" s="2250"/>
      <c r="IK191" s="2250"/>
      <c r="IL191" s="2250"/>
      <c r="IN191" s="277"/>
      <c r="IO191" s="277"/>
    </row>
    <row r="192" spans="1:249" ht="21.95" customHeight="1">
      <c r="A192" s="2275"/>
      <c r="B192" s="284">
        <v>775</v>
      </c>
      <c r="C192" s="284">
        <f>VLOOKUP(C184,B156:M182,6,0)</f>
        <v>81.09</v>
      </c>
      <c r="D192" s="284">
        <f t="shared" si="66"/>
        <v>118.71</v>
      </c>
      <c r="E192" s="284">
        <v>825</v>
      </c>
      <c r="F192" s="2250"/>
      <c r="G192" s="2250"/>
      <c r="H192" s="2250"/>
      <c r="I192" s="2250"/>
      <c r="J192" s="2250"/>
      <c r="K192" s="2250"/>
      <c r="L192" s="2250"/>
      <c r="M192" s="2250"/>
      <c r="N192" s="2250"/>
      <c r="O192" s="2250"/>
      <c r="P192" s="284">
        <v>775</v>
      </c>
      <c r="Q192" s="284">
        <f>VLOOKUP(Q184,P156:AA182,6,0)</f>
        <v>58.61</v>
      </c>
      <c r="R192" s="284">
        <f t="shared" si="67"/>
        <v>80.2</v>
      </c>
      <c r="S192" s="284">
        <v>825</v>
      </c>
      <c r="T192" s="2250"/>
      <c r="U192" s="2250"/>
      <c r="V192" s="2250"/>
      <c r="W192" s="2250"/>
      <c r="X192" s="2250"/>
      <c r="Y192" s="2250"/>
      <c r="Z192" s="2250"/>
      <c r="AA192" s="2250"/>
      <c r="AB192" s="2250"/>
      <c r="AC192" s="2250"/>
      <c r="AD192" s="284">
        <v>775</v>
      </c>
      <c r="AE192" s="284">
        <f>VLOOKUP(AE184,AD156:AO182,6,0)</f>
        <v>47.52</v>
      </c>
      <c r="AF192" s="284">
        <f t="shared" si="68"/>
        <v>60.72</v>
      </c>
      <c r="AG192" s="284">
        <v>825</v>
      </c>
      <c r="AH192" s="2250"/>
      <c r="AI192" s="2250"/>
      <c r="AJ192" s="2250"/>
      <c r="AK192" s="2250"/>
      <c r="AL192" s="2250"/>
      <c r="AM192" s="2250"/>
      <c r="AN192" s="2250"/>
      <c r="AO192" s="2250"/>
      <c r="AP192" s="2250"/>
      <c r="AQ192" s="2250"/>
      <c r="AR192" s="284">
        <v>775</v>
      </c>
      <c r="AS192" s="284">
        <f>VLOOKUP(AS184,AR156:BC182,6,0)</f>
        <v>27.13</v>
      </c>
      <c r="AT192" s="284">
        <f t="shared" si="69"/>
        <v>34.950000000000003</v>
      </c>
      <c r="AU192" s="284">
        <v>825</v>
      </c>
      <c r="AV192" s="2250"/>
      <c r="AW192" s="2250"/>
      <c r="AX192" s="2250"/>
      <c r="AY192" s="2250"/>
      <c r="AZ192" s="2250"/>
      <c r="BA192" s="2250"/>
      <c r="BB192" s="2250"/>
      <c r="BC192" s="2250"/>
      <c r="BD192" s="2250"/>
      <c r="BE192" s="2250"/>
      <c r="BF192" s="2276"/>
      <c r="BG192" s="2276"/>
      <c r="BH192" s="2250"/>
      <c r="BI192" s="2275"/>
      <c r="BJ192" s="284">
        <v>775</v>
      </c>
      <c r="BK192" s="284">
        <f>VLOOKUP(BK184,BJ156:BU182,6,0)</f>
        <v>74.459999999999994</v>
      </c>
      <c r="BL192" s="284">
        <f t="shared" si="70"/>
        <v>112.28</v>
      </c>
      <c r="BM192" s="284">
        <v>825</v>
      </c>
      <c r="BN192" s="2250"/>
      <c r="BO192" s="2250"/>
      <c r="BP192" s="2250"/>
      <c r="BQ192" s="2250"/>
      <c r="BR192" s="2250"/>
      <c r="BS192" s="2250"/>
      <c r="BT192" s="2250"/>
      <c r="BU192" s="2250"/>
      <c r="BV192" s="2250"/>
      <c r="BW192" s="2250"/>
      <c r="BX192" s="284">
        <v>775</v>
      </c>
      <c r="BY192" s="284">
        <f>VLOOKUP(BY184,BX156:CI182,6,0)</f>
        <v>54.06</v>
      </c>
      <c r="BZ192" s="284">
        <f t="shared" si="71"/>
        <v>72.48</v>
      </c>
      <c r="CA192" s="284">
        <v>825</v>
      </c>
      <c r="CB192" s="2250"/>
      <c r="CC192" s="2250"/>
      <c r="CD192" s="2250"/>
      <c r="CE192" s="2250"/>
      <c r="CF192" s="2250"/>
      <c r="CG192" s="2250"/>
      <c r="CH192" s="2250"/>
      <c r="CI192" s="2250"/>
      <c r="CJ192" s="2250"/>
      <c r="CK192" s="2250"/>
      <c r="CL192" s="284">
        <v>775</v>
      </c>
      <c r="CM192" s="284">
        <f>VLOOKUP(CM184,CL156:CW182,6,0)</f>
        <v>45.6</v>
      </c>
      <c r="CN192" s="284">
        <f t="shared" si="72"/>
        <v>54.85</v>
      </c>
      <c r="CO192" s="284">
        <v>825</v>
      </c>
      <c r="CP192" s="2250"/>
      <c r="CQ192" s="2250"/>
      <c r="CR192" s="2250"/>
      <c r="CS192" s="2250"/>
      <c r="CT192" s="2250"/>
      <c r="CU192" s="2250"/>
      <c r="CV192" s="2250"/>
      <c r="CW192" s="2250"/>
      <c r="CX192" s="2250"/>
      <c r="CY192" s="2250"/>
      <c r="CZ192" s="284">
        <v>775</v>
      </c>
      <c r="DA192" s="284">
        <f>VLOOKUP(DA184,CZ156:DK182,6,0)</f>
        <v>25.94</v>
      </c>
      <c r="DB192" s="284">
        <f t="shared" si="73"/>
        <v>31.58</v>
      </c>
      <c r="DC192" s="284">
        <v>825</v>
      </c>
      <c r="DD192" s="2250"/>
      <c r="DE192" s="2250"/>
      <c r="DF192" s="2250"/>
      <c r="DG192" s="2250"/>
      <c r="DH192" s="2250"/>
      <c r="DI192" s="2250"/>
      <c r="DJ192" s="2250"/>
      <c r="DK192" s="2250"/>
      <c r="DL192" s="2250"/>
      <c r="DM192" s="2250"/>
      <c r="DN192" s="2250"/>
      <c r="DO192" s="2250"/>
      <c r="DP192" s="2250"/>
      <c r="DQ192" s="2277"/>
      <c r="DR192" s="2277"/>
      <c r="DS192" s="277"/>
      <c r="DW192" s="2275"/>
      <c r="DX192" s="284">
        <v>775</v>
      </c>
      <c r="DY192" s="284">
        <f>VLOOKUP(DY184,DX156:EI182,6,0)</f>
        <v>119.5</v>
      </c>
      <c r="DZ192" s="284">
        <f t="shared" si="74"/>
        <v>157.13</v>
      </c>
      <c r="EA192" s="284">
        <v>825</v>
      </c>
      <c r="EB192" s="2250"/>
      <c r="EC192" s="2250"/>
      <c r="ED192" s="2250"/>
      <c r="EE192" s="2250"/>
      <c r="EF192" s="2250"/>
      <c r="EG192" s="2250"/>
      <c r="EH192" s="2250"/>
      <c r="EI192" s="2250"/>
      <c r="EJ192" s="2250"/>
      <c r="EK192" s="2250"/>
      <c r="EL192" s="284">
        <v>775</v>
      </c>
      <c r="EM192" s="284">
        <f>VLOOKUP(EM184,EL156:EW182,6,0)</f>
        <v>86.04</v>
      </c>
      <c r="EN192" s="284">
        <f t="shared" si="75"/>
        <v>114.75</v>
      </c>
      <c r="EO192" s="284">
        <v>825</v>
      </c>
      <c r="EP192" s="2250"/>
      <c r="EQ192" s="2250"/>
      <c r="ER192" s="2250"/>
      <c r="ES192" s="2250"/>
      <c r="ET192" s="2250"/>
      <c r="EU192" s="2250"/>
      <c r="EV192" s="2250"/>
      <c r="EW192" s="2250"/>
      <c r="EX192" s="2250"/>
      <c r="EY192" s="2250"/>
      <c r="EZ192" s="284">
        <v>775</v>
      </c>
      <c r="FA192" s="284">
        <f>VLOOKUP(FA184,EZ156:FK182,6,0)</f>
        <v>70.650000000000006</v>
      </c>
      <c r="FB192" s="284">
        <f t="shared" si="76"/>
        <v>89.84</v>
      </c>
      <c r="FC192" s="284">
        <v>825</v>
      </c>
      <c r="FD192" s="2250"/>
      <c r="FE192" s="2250"/>
      <c r="FF192" s="2250"/>
      <c r="FG192" s="2250"/>
      <c r="FH192" s="2250"/>
      <c r="FI192" s="2250"/>
      <c r="FJ192" s="2250"/>
      <c r="FK192" s="2250"/>
      <c r="FL192" s="2250"/>
      <c r="FM192" s="2250"/>
      <c r="FN192" s="284">
        <v>775</v>
      </c>
      <c r="FO192" s="284">
        <f>VLOOKUP(FO184,FN156:FY182,6,0)</f>
        <v>40.89</v>
      </c>
      <c r="FP192" s="284">
        <f t="shared" si="77"/>
        <v>51.68</v>
      </c>
      <c r="FQ192" s="284">
        <v>825</v>
      </c>
      <c r="FR192" s="2250"/>
      <c r="FS192" s="2250"/>
      <c r="FT192" s="2250"/>
      <c r="FU192" s="2250"/>
      <c r="FV192" s="2250"/>
      <c r="FW192" s="2250"/>
      <c r="FX192" s="2250"/>
      <c r="FY192" s="2250"/>
      <c r="FZ192" s="2250"/>
      <c r="GA192" s="2250"/>
      <c r="GB192" s="2276"/>
      <c r="GC192" s="2276"/>
      <c r="GD192" s="2250"/>
      <c r="GE192" s="2275"/>
      <c r="GF192" s="284">
        <v>775</v>
      </c>
      <c r="GG192" s="284">
        <f>VLOOKUP(GG184,GF156:GQ182,6,0)</f>
        <v>109.11</v>
      </c>
      <c r="GH192" s="284">
        <f t="shared" si="78"/>
        <v>154.85</v>
      </c>
      <c r="GI192" s="284">
        <v>825</v>
      </c>
      <c r="GJ192" s="2250"/>
      <c r="GK192" s="2250"/>
      <c r="GL192" s="2250"/>
      <c r="GM192" s="2250"/>
      <c r="GN192" s="2250"/>
      <c r="GO192" s="2250"/>
      <c r="GP192" s="2250"/>
      <c r="GQ192" s="2250"/>
      <c r="GR192" s="2250"/>
      <c r="GS192" s="2250"/>
      <c r="GT192" s="284">
        <v>775</v>
      </c>
      <c r="GU192" s="284">
        <f>VLOOKUP(GU184,GT156:HE182,6,0)</f>
        <v>78.709999999999994</v>
      </c>
      <c r="GV192" s="284">
        <f t="shared" si="79"/>
        <v>104.46</v>
      </c>
      <c r="GW192" s="284">
        <v>825</v>
      </c>
      <c r="GX192" s="2250"/>
      <c r="GY192" s="2250"/>
      <c r="GZ192" s="2250"/>
      <c r="HA192" s="2250"/>
      <c r="HB192" s="2250"/>
      <c r="HC192" s="2250"/>
      <c r="HD192" s="2250"/>
      <c r="HE192" s="2250"/>
      <c r="HF192" s="2250"/>
      <c r="HG192" s="2250"/>
      <c r="HH192" s="284">
        <v>775</v>
      </c>
      <c r="HI192" s="284">
        <f>VLOOKUP(HI184,HH156:HS182,6,0)</f>
        <v>63.77</v>
      </c>
      <c r="HJ192" s="284">
        <f t="shared" si="80"/>
        <v>79.8</v>
      </c>
      <c r="HK192" s="284">
        <v>825</v>
      </c>
      <c r="HL192" s="2250"/>
      <c r="HM192" s="2250"/>
      <c r="HN192" s="2250"/>
      <c r="HO192" s="2250"/>
      <c r="HP192" s="2250"/>
      <c r="HQ192" s="2250"/>
      <c r="HR192" s="2250"/>
      <c r="HS192" s="2250"/>
      <c r="HT192" s="2250"/>
      <c r="HU192" s="2250"/>
      <c r="HV192" s="284">
        <v>775</v>
      </c>
      <c r="HW192" s="284">
        <f>VLOOKUP(HW184,HV156:IG182,6,0)</f>
        <v>36.83</v>
      </c>
      <c r="HX192" s="284">
        <f t="shared" si="81"/>
        <v>45.94</v>
      </c>
      <c r="HY192" s="284">
        <v>825</v>
      </c>
      <c r="HZ192" s="2250"/>
      <c r="IA192" s="2250"/>
      <c r="IB192" s="2250"/>
      <c r="IC192" s="2250"/>
      <c r="ID192" s="2250"/>
      <c r="IE192" s="2250"/>
      <c r="IF192" s="2250"/>
      <c r="IG192" s="2250"/>
      <c r="IH192" s="2250"/>
      <c r="II192" s="2250"/>
      <c r="IJ192" s="2250"/>
      <c r="IK192" s="2250"/>
      <c r="IL192" s="2250"/>
      <c r="IN192" s="277"/>
      <c r="IO192" s="277"/>
    </row>
    <row r="193" spans="1:249" ht="21.95" customHeight="1">
      <c r="A193" s="2275"/>
      <c r="B193" s="284">
        <v>825</v>
      </c>
      <c r="C193" s="284">
        <f>VLOOKUP(C184,B156:M182,7,0)</f>
        <v>118.71</v>
      </c>
      <c r="D193" s="284">
        <f t="shared" si="66"/>
        <v>163.47</v>
      </c>
      <c r="E193" s="284">
        <v>950</v>
      </c>
      <c r="F193" s="2250"/>
      <c r="G193" s="2250"/>
      <c r="H193" s="2250"/>
      <c r="I193" s="2250"/>
      <c r="J193" s="2250"/>
      <c r="K193" s="2250"/>
      <c r="L193" s="2250"/>
      <c r="M193" s="2250"/>
      <c r="N193" s="2250"/>
      <c r="O193" s="2250"/>
      <c r="P193" s="284">
        <v>825</v>
      </c>
      <c r="Q193" s="284">
        <f>VLOOKUP(Q184,P156:AA182,7,0)</f>
        <v>80.2</v>
      </c>
      <c r="R193" s="284">
        <f t="shared" si="67"/>
        <v>117.82</v>
      </c>
      <c r="S193" s="284">
        <v>950</v>
      </c>
      <c r="T193" s="2250"/>
      <c r="U193" s="2250"/>
      <c r="V193" s="2250"/>
      <c r="W193" s="2250"/>
      <c r="X193" s="2250"/>
      <c r="Y193" s="2250"/>
      <c r="Z193" s="2250"/>
      <c r="AA193" s="2250"/>
      <c r="AB193" s="2250"/>
      <c r="AC193" s="2250"/>
      <c r="AD193" s="284">
        <v>825</v>
      </c>
      <c r="AE193" s="284">
        <f>VLOOKUP(AE184,AD156:AO182,7,0)</f>
        <v>60.72</v>
      </c>
      <c r="AF193" s="284">
        <f t="shared" si="68"/>
        <v>89.62</v>
      </c>
      <c r="AG193" s="284">
        <v>950</v>
      </c>
      <c r="AH193" s="2250"/>
      <c r="AI193" s="2250"/>
      <c r="AJ193" s="2250"/>
      <c r="AK193" s="2250"/>
      <c r="AL193" s="2250"/>
      <c r="AM193" s="2250"/>
      <c r="AN193" s="2250"/>
      <c r="AO193" s="2250"/>
      <c r="AP193" s="2250"/>
      <c r="AQ193" s="2250"/>
      <c r="AR193" s="284">
        <v>825</v>
      </c>
      <c r="AS193" s="284">
        <f>VLOOKUP(AS184,AR156:BC182,7,0)</f>
        <v>34.950000000000003</v>
      </c>
      <c r="AT193" s="284">
        <f t="shared" si="69"/>
        <v>51.19</v>
      </c>
      <c r="AU193" s="284">
        <v>950</v>
      </c>
      <c r="AV193" s="2250"/>
      <c r="AW193" s="2250"/>
      <c r="AX193" s="2250"/>
      <c r="AY193" s="2250"/>
      <c r="AZ193" s="2250"/>
      <c r="BA193" s="2250"/>
      <c r="BB193" s="2250"/>
      <c r="BC193" s="2250"/>
      <c r="BD193" s="2250"/>
      <c r="BE193" s="2250"/>
      <c r="BF193" s="2276"/>
      <c r="BG193" s="2276"/>
      <c r="BH193" s="2250"/>
      <c r="BI193" s="2275"/>
      <c r="BJ193" s="284">
        <v>825</v>
      </c>
      <c r="BK193" s="284">
        <f>VLOOKUP(BK184,BJ156:BU182,7,0)</f>
        <v>112.28</v>
      </c>
      <c r="BL193" s="284">
        <f t="shared" si="70"/>
        <v>155.63999999999999</v>
      </c>
      <c r="BM193" s="284">
        <v>950</v>
      </c>
      <c r="BN193" s="2250"/>
      <c r="BO193" s="2250"/>
      <c r="BP193" s="2250"/>
      <c r="BQ193" s="2250"/>
      <c r="BR193" s="2250"/>
      <c r="BS193" s="2250"/>
      <c r="BT193" s="2250"/>
      <c r="BU193" s="2250"/>
      <c r="BV193" s="2250"/>
      <c r="BW193" s="2250"/>
      <c r="BX193" s="284">
        <v>825</v>
      </c>
      <c r="BY193" s="284">
        <f>VLOOKUP(BY184,BX156:CI182,7,0)</f>
        <v>72.48</v>
      </c>
      <c r="BZ193" s="284">
        <f t="shared" si="71"/>
        <v>111.98</v>
      </c>
      <c r="CA193" s="284">
        <v>950</v>
      </c>
      <c r="CB193" s="2250"/>
      <c r="CC193" s="2250"/>
      <c r="CD193" s="2250"/>
      <c r="CE193" s="2250"/>
      <c r="CF193" s="2250"/>
      <c r="CG193" s="2250"/>
      <c r="CH193" s="2250"/>
      <c r="CI193" s="2250"/>
      <c r="CJ193" s="2250"/>
      <c r="CK193" s="2250"/>
      <c r="CL193" s="284">
        <v>825</v>
      </c>
      <c r="CM193" s="284">
        <f>VLOOKUP(CM184,CL156:CW182,7,0)</f>
        <v>54.85</v>
      </c>
      <c r="CN193" s="284">
        <f t="shared" si="72"/>
        <v>85.44</v>
      </c>
      <c r="CO193" s="284">
        <v>950</v>
      </c>
      <c r="CP193" s="2250"/>
      <c r="CQ193" s="2250"/>
      <c r="CR193" s="2250"/>
      <c r="CS193" s="2250"/>
      <c r="CT193" s="2250"/>
      <c r="CU193" s="2250"/>
      <c r="CV193" s="2250"/>
      <c r="CW193" s="2250"/>
      <c r="CX193" s="2250"/>
      <c r="CY193" s="2250"/>
      <c r="CZ193" s="284">
        <v>825</v>
      </c>
      <c r="DA193" s="284">
        <f>VLOOKUP(DA184,CZ156:DK182,7,0)</f>
        <v>31.58</v>
      </c>
      <c r="DB193" s="284">
        <f t="shared" si="73"/>
        <v>48.71</v>
      </c>
      <c r="DC193" s="284">
        <v>950</v>
      </c>
      <c r="DD193" s="2250"/>
      <c r="DE193" s="2250"/>
      <c r="DF193" s="2250"/>
      <c r="DG193" s="2250"/>
      <c r="DH193" s="2250"/>
      <c r="DI193" s="2250"/>
      <c r="DJ193" s="2250"/>
      <c r="DK193" s="2250"/>
      <c r="DL193" s="2250"/>
      <c r="DM193" s="2250"/>
      <c r="DN193" s="2250"/>
      <c r="DO193" s="2250"/>
      <c r="DP193" s="2250"/>
      <c r="DQ193" s="2277"/>
      <c r="DR193" s="2277"/>
      <c r="DS193" s="277"/>
      <c r="DW193" s="2275"/>
      <c r="DX193" s="284">
        <v>825</v>
      </c>
      <c r="DY193" s="284">
        <f>VLOOKUP(DY184,DX156:EI182,7,0)</f>
        <v>157.13</v>
      </c>
      <c r="DZ193" s="284">
        <f t="shared" si="74"/>
        <v>241.49</v>
      </c>
      <c r="EA193" s="284">
        <v>950</v>
      </c>
      <c r="EB193" s="2250"/>
      <c r="EC193" s="2250"/>
      <c r="ED193" s="2250"/>
      <c r="EE193" s="2250"/>
      <c r="EF193" s="2250"/>
      <c r="EG193" s="2250"/>
      <c r="EH193" s="2250"/>
      <c r="EI193" s="2250"/>
      <c r="EJ193" s="2250"/>
      <c r="EK193" s="2250"/>
      <c r="EL193" s="284">
        <v>825</v>
      </c>
      <c r="EM193" s="284">
        <f>VLOOKUP(EM184,EL156:EW182,7,0)</f>
        <v>114.75</v>
      </c>
      <c r="EN193" s="284">
        <f t="shared" si="75"/>
        <v>169.7</v>
      </c>
      <c r="EO193" s="284">
        <v>950</v>
      </c>
      <c r="EP193" s="2250"/>
      <c r="EQ193" s="2250"/>
      <c r="ER193" s="2250"/>
      <c r="ES193" s="2250"/>
      <c r="ET193" s="2250"/>
      <c r="EU193" s="2250"/>
      <c r="EV193" s="2250"/>
      <c r="EW193" s="2250"/>
      <c r="EX193" s="2250"/>
      <c r="EY193" s="2250"/>
      <c r="EZ193" s="284">
        <v>825</v>
      </c>
      <c r="FA193" s="284">
        <f>VLOOKUP(FA184,EZ156:FK182,7,0)</f>
        <v>89.84</v>
      </c>
      <c r="FB193" s="284">
        <f t="shared" si="76"/>
        <v>129.46</v>
      </c>
      <c r="FC193" s="284">
        <v>950</v>
      </c>
      <c r="FD193" s="2250"/>
      <c r="FE193" s="2250"/>
      <c r="FF193" s="2250"/>
      <c r="FG193" s="2250"/>
      <c r="FH193" s="2250"/>
      <c r="FI193" s="2250"/>
      <c r="FJ193" s="2250"/>
      <c r="FK193" s="2250"/>
      <c r="FL193" s="2250"/>
      <c r="FM193" s="2250"/>
      <c r="FN193" s="284">
        <v>825</v>
      </c>
      <c r="FO193" s="284">
        <f>VLOOKUP(FO184,FN156:FY182,7,0)</f>
        <v>51.68</v>
      </c>
      <c r="FP193" s="284">
        <f t="shared" si="77"/>
        <v>74.650000000000006</v>
      </c>
      <c r="FQ193" s="284">
        <v>950</v>
      </c>
      <c r="FR193" s="2250"/>
      <c r="FS193" s="2250"/>
      <c r="FT193" s="2250"/>
      <c r="FU193" s="2250"/>
      <c r="FV193" s="2250"/>
      <c r="FW193" s="2250"/>
      <c r="FX193" s="2250"/>
      <c r="FY193" s="2250"/>
      <c r="FZ193" s="2250"/>
      <c r="GA193" s="2250"/>
      <c r="GB193" s="2276"/>
      <c r="GC193" s="2276"/>
      <c r="GD193" s="2250"/>
      <c r="GE193" s="2275"/>
      <c r="GF193" s="284">
        <v>825</v>
      </c>
      <c r="GG193" s="284">
        <f>VLOOKUP(GG184,GF156:GQ182,7,0)</f>
        <v>154.85</v>
      </c>
      <c r="GH193" s="284">
        <f t="shared" si="78"/>
        <v>225.15</v>
      </c>
      <c r="GI193" s="284">
        <v>950</v>
      </c>
      <c r="GJ193" s="2250"/>
      <c r="GK193" s="2250"/>
      <c r="GL193" s="2250"/>
      <c r="GM193" s="2250"/>
      <c r="GN193" s="2250"/>
      <c r="GO193" s="2250"/>
      <c r="GP193" s="2250"/>
      <c r="GQ193" s="2250"/>
      <c r="GR193" s="2250"/>
      <c r="GS193" s="2250"/>
      <c r="GT193" s="284">
        <v>825</v>
      </c>
      <c r="GU193" s="284">
        <f>VLOOKUP(GU184,GT156:HE182,7,0)</f>
        <v>104.46</v>
      </c>
      <c r="GV193" s="284">
        <f t="shared" si="79"/>
        <v>157.03</v>
      </c>
      <c r="GW193" s="284">
        <v>950</v>
      </c>
      <c r="GX193" s="2250"/>
      <c r="GY193" s="2250"/>
      <c r="GZ193" s="2250"/>
      <c r="HA193" s="2250"/>
      <c r="HB193" s="2250"/>
      <c r="HC193" s="2250"/>
      <c r="HD193" s="2250"/>
      <c r="HE193" s="2250"/>
      <c r="HF193" s="2250"/>
      <c r="HG193" s="2250"/>
      <c r="HH193" s="284">
        <v>825</v>
      </c>
      <c r="HI193" s="284">
        <f>VLOOKUP(HI184,HH156:HS182,7,0)</f>
        <v>79.8</v>
      </c>
      <c r="HJ193" s="284">
        <f t="shared" si="80"/>
        <v>119.07</v>
      </c>
      <c r="HK193" s="284">
        <v>950</v>
      </c>
      <c r="HL193" s="2250"/>
      <c r="HM193" s="2250"/>
      <c r="HN193" s="2250"/>
      <c r="HO193" s="2250"/>
      <c r="HP193" s="2250"/>
      <c r="HQ193" s="2250"/>
      <c r="HR193" s="2250"/>
      <c r="HS193" s="2250"/>
      <c r="HT193" s="2250"/>
      <c r="HU193" s="2250"/>
      <c r="HV193" s="284">
        <v>825</v>
      </c>
      <c r="HW193" s="284">
        <f>VLOOKUP(HW184,HV156:IG182,7,0)</f>
        <v>45.94</v>
      </c>
      <c r="HX193" s="284">
        <f t="shared" si="81"/>
        <v>68.91</v>
      </c>
      <c r="HY193" s="284">
        <v>950</v>
      </c>
      <c r="HZ193" s="2250"/>
      <c r="IA193" s="2250"/>
      <c r="IB193" s="2250"/>
      <c r="IC193" s="2250"/>
      <c r="ID193" s="2250"/>
      <c r="IE193" s="2250"/>
      <c r="IF193" s="2250"/>
      <c r="IG193" s="2250"/>
      <c r="IH193" s="2250"/>
      <c r="II193" s="2250"/>
      <c r="IJ193" s="2250"/>
      <c r="IK193" s="2250"/>
      <c r="IL193" s="2250"/>
      <c r="IN193" s="277"/>
      <c r="IO193" s="277"/>
    </row>
    <row r="194" spans="1:249" ht="21.95" customHeight="1">
      <c r="A194" s="2275"/>
      <c r="B194" s="284">
        <v>950</v>
      </c>
      <c r="C194" s="284">
        <f>VLOOKUP(C184,B156:M182,8,0)</f>
        <v>163.47</v>
      </c>
      <c r="D194" s="284">
        <f t="shared" si="66"/>
        <v>236.44</v>
      </c>
      <c r="E194" s="284">
        <v>1100</v>
      </c>
      <c r="F194" s="2250"/>
      <c r="G194" s="2250"/>
      <c r="H194" s="2250"/>
      <c r="I194" s="2250"/>
      <c r="J194" s="2250"/>
      <c r="K194" s="2250"/>
      <c r="L194" s="2250"/>
      <c r="M194" s="2250"/>
      <c r="N194" s="2250"/>
      <c r="O194" s="2250"/>
      <c r="P194" s="284">
        <v>950</v>
      </c>
      <c r="Q194" s="284">
        <f>VLOOKUP(Q184,P156:AA182,8,0)</f>
        <v>117.82</v>
      </c>
      <c r="R194" s="284">
        <f t="shared" si="67"/>
        <v>169.9</v>
      </c>
      <c r="S194" s="284">
        <v>1100</v>
      </c>
      <c r="T194" s="2250"/>
      <c r="U194" s="2250"/>
      <c r="V194" s="2250"/>
      <c r="W194" s="2250"/>
      <c r="X194" s="2250"/>
      <c r="Y194" s="2250"/>
      <c r="Z194" s="2250"/>
      <c r="AA194" s="2250"/>
      <c r="AB194" s="2250"/>
      <c r="AC194" s="2250"/>
      <c r="AD194" s="284">
        <v>950</v>
      </c>
      <c r="AE194" s="284">
        <f>VLOOKUP(AE184,AD156:AO182,8,0)</f>
        <v>89.62</v>
      </c>
      <c r="AF194" s="284">
        <f t="shared" si="68"/>
        <v>129.12</v>
      </c>
      <c r="AG194" s="284">
        <v>1100</v>
      </c>
      <c r="AH194" s="2250"/>
      <c r="AI194" s="2250"/>
      <c r="AJ194" s="2250"/>
      <c r="AK194" s="2250"/>
      <c r="AL194" s="2250"/>
      <c r="AM194" s="2250"/>
      <c r="AN194" s="2250"/>
      <c r="AO194" s="2250"/>
      <c r="AP194" s="2250"/>
      <c r="AQ194" s="2250"/>
      <c r="AR194" s="284">
        <v>950</v>
      </c>
      <c r="AS194" s="284">
        <f>VLOOKUP(AS184,AR156:BC182,8,0)</f>
        <v>51.19</v>
      </c>
      <c r="AT194" s="284">
        <f t="shared" si="69"/>
        <v>73.66</v>
      </c>
      <c r="AU194" s="284">
        <v>1100</v>
      </c>
      <c r="AV194" s="2250"/>
      <c r="AW194" s="2250"/>
      <c r="AX194" s="2250"/>
      <c r="AY194" s="2250"/>
      <c r="AZ194" s="2250"/>
      <c r="BA194" s="2250"/>
      <c r="BB194" s="2250"/>
      <c r="BC194" s="2250"/>
      <c r="BD194" s="2250"/>
      <c r="BE194" s="2250"/>
      <c r="BF194" s="2276"/>
      <c r="BG194" s="2276"/>
      <c r="BH194" s="2250"/>
      <c r="BI194" s="2275"/>
      <c r="BJ194" s="284">
        <v>950</v>
      </c>
      <c r="BK194" s="284">
        <f>VLOOKUP(BK184,BJ156:BU182,8,0)</f>
        <v>155.63999999999999</v>
      </c>
      <c r="BL194" s="284">
        <f t="shared" si="70"/>
        <v>217.13</v>
      </c>
      <c r="BM194" s="284">
        <v>1100</v>
      </c>
      <c r="BN194" s="2250"/>
      <c r="BO194" s="2250"/>
      <c r="BP194" s="2250"/>
      <c r="BQ194" s="2250"/>
      <c r="BR194" s="2250"/>
      <c r="BS194" s="2250"/>
      <c r="BT194" s="2250"/>
      <c r="BU194" s="2250"/>
      <c r="BV194" s="2250"/>
      <c r="BW194" s="2250"/>
      <c r="BX194" s="284">
        <v>950</v>
      </c>
      <c r="BY194" s="284">
        <f>VLOOKUP(BY184,BX156:CI182,8,0)</f>
        <v>111.98</v>
      </c>
      <c r="BZ194" s="284">
        <f t="shared" si="71"/>
        <v>157.52000000000001</v>
      </c>
      <c r="CA194" s="284">
        <v>1100</v>
      </c>
      <c r="CB194" s="2250"/>
      <c r="CC194" s="2250"/>
      <c r="CD194" s="2250"/>
      <c r="CE194" s="2250"/>
      <c r="CF194" s="2250"/>
      <c r="CG194" s="2250"/>
      <c r="CH194" s="2250"/>
      <c r="CI194" s="2250"/>
      <c r="CJ194" s="2250"/>
      <c r="CK194" s="2250"/>
      <c r="CL194" s="284">
        <v>950</v>
      </c>
      <c r="CM194" s="284">
        <f>VLOOKUP(CM184,CL156:CW182,8,0)</f>
        <v>85.44</v>
      </c>
      <c r="CN194" s="284">
        <f t="shared" si="72"/>
        <v>123.7</v>
      </c>
      <c r="CO194" s="284">
        <v>1100</v>
      </c>
      <c r="CP194" s="2250"/>
      <c r="CQ194" s="2250"/>
      <c r="CR194" s="2250"/>
      <c r="CS194" s="2250"/>
      <c r="CT194" s="2250"/>
      <c r="CU194" s="2250"/>
      <c r="CV194" s="2250"/>
      <c r="CW194" s="2250"/>
      <c r="CX194" s="2250"/>
      <c r="CY194" s="2250"/>
      <c r="CZ194" s="284">
        <v>950</v>
      </c>
      <c r="DA194" s="284">
        <f>VLOOKUP(DA184,CZ156:DK182,8,0)</f>
        <v>48.71</v>
      </c>
      <c r="DB194" s="284">
        <f t="shared" si="73"/>
        <v>70.5</v>
      </c>
      <c r="DC194" s="284">
        <v>1100</v>
      </c>
      <c r="DD194" s="2250"/>
      <c r="DE194" s="2250"/>
      <c r="DF194" s="2250"/>
      <c r="DG194" s="2250"/>
      <c r="DH194" s="2250"/>
      <c r="DI194" s="2250"/>
      <c r="DJ194" s="2250"/>
      <c r="DK194" s="2250"/>
      <c r="DL194" s="2250"/>
      <c r="DM194" s="2250"/>
      <c r="DN194" s="2250"/>
      <c r="DO194" s="2250"/>
      <c r="DP194" s="2250"/>
      <c r="DQ194" s="2277"/>
      <c r="DR194" s="2277"/>
      <c r="DS194" s="277"/>
      <c r="DW194" s="2275"/>
      <c r="DX194" s="284">
        <v>950</v>
      </c>
      <c r="DY194" s="284">
        <f>VLOOKUP(DY184,DX156:EI182,8,0)</f>
        <v>241.49</v>
      </c>
      <c r="DZ194" s="284">
        <f t="shared" si="74"/>
        <v>347.62</v>
      </c>
      <c r="EA194" s="284">
        <v>1100</v>
      </c>
      <c r="EB194" s="2250"/>
      <c r="EC194" s="2250"/>
      <c r="ED194" s="2250"/>
      <c r="EE194" s="2250"/>
      <c r="EF194" s="2250"/>
      <c r="EG194" s="2250"/>
      <c r="EH194" s="2250"/>
      <c r="EI194" s="2250"/>
      <c r="EJ194" s="2250"/>
      <c r="EK194" s="2250"/>
      <c r="EL194" s="284">
        <v>950</v>
      </c>
      <c r="EM194" s="284">
        <f>VLOOKUP(EM184,EL156:EW182,8,0)</f>
        <v>169.7</v>
      </c>
      <c r="EN194" s="284">
        <f t="shared" si="75"/>
        <v>249.01</v>
      </c>
      <c r="EO194" s="284">
        <v>1100</v>
      </c>
      <c r="EP194" s="2250"/>
      <c r="EQ194" s="2250"/>
      <c r="ER194" s="2250"/>
      <c r="ES194" s="2250"/>
      <c r="ET194" s="2250"/>
      <c r="EU194" s="2250"/>
      <c r="EV194" s="2250"/>
      <c r="EW194" s="2250"/>
      <c r="EX194" s="2250"/>
      <c r="EY194" s="2250"/>
      <c r="EZ194" s="284">
        <v>950</v>
      </c>
      <c r="FA194" s="284">
        <f>VLOOKUP(FA184,EZ156:FK182,8,0)</f>
        <v>129.46</v>
      </c>
      <c r="FB194" s="284">
        <f t="shared" si="76"/>
        <v>189.39</v>
      </c>
      <c r="FC194" s="284">
        <v>1100</v>
      </c>
      <c r="FD194" s="2250"/>
      <c r="FE194" s="2250"/>
      <c r="FF194" s="2250"/>
      <c r="FG194" s="2250"/>
      <c r="FH194" s="2250"/>
      <c r="FI194" s="2250"/>
      <c r="FJ194" s="2250"/>
      <c r="FK194" s="2250"/>
      <c r="FL194" s="2250"/>
      <c r="FM194" s="2250"/>
      <c r="FN194" s="284">
        <v>950</v>
      </c>
      <c r="FO194" s="284">
        <f>VLOOKUP(FO184,FN156:FY182,8,0)</f>
        <v>74.650000000000006</v>
      </c>
      <c r="FP194" s="284">
        <f t="shared" si="77"/>
        <v>109.6</v>
      </c>
      <c r="FQ194" s="284">
        <v>1100</v>
      </c>
      <c r="FR194" s="2250"/>
      <c r="FS194" s="2250"/>
      <c r="FT194" s="2250"/>
      <c r="FU194" s="2250"/>
      <c r="FV194" s="2250"/>
      <c r="FW194" s="2250"/>
      <c r="FX194" s="2250"/>
      <c r="FY194" s="2250"/>
      <c r="FZ194" s="2250"/>
      <c r="GA194" s="2250"/>
      <c r="GB194" s="2276"/>
      <c r="GC194" s="2276"/>
      <c r="GD194" s="2250"/>
      <c r="GE194" s="2275"/>
      <c r="GF194" s="284">
        <v>950</v>
      </c>
      <c r="GG194" s="284">
        <f>VLOOKUP(GG184,GF156:GQ182,8,0)</f>
        <v>225.15</v>
      </c>
      <c r="GH194" s="284">
        <f t="shared" si="78"/>
        <v>318.12</v>
      </c>
      <c r="GI194" s="284">
        <v>1100</v>
      </c>
      <c r="GJ194" s="2250"/>
      <c r="GK194" s="2250"/>
      <c r="GL194" s="2250"/>
      <c r="GM194" s="2250"/>
      <c r="GN194" s="2250"/>
      <c r="GO194" s="2250"/>
      <c r="GP194" s="2250"/>
      <c r="GQ194" s="2250"/>
      <c r="GR194" s="2250"/>
      <c r="GS194" s="2250"/>
      <c r="GT194" s="284">
        <v>950</v>
      </c>
      <c r="GU194" s="284">
        <f>VLOOKUP(GU184,GT156:HE182,8,0)</f>
        <v>157.03</v>
      </c>
      <c r="GV194" s="284">
        <f t="shared" si="79"/>
        <v>228.91</v>
      </c>
      <c r="GW194" s="284">
        <v>1100</v>
      </c>
      <c r="GX194" s="2250"/>
      <c r="GY194" s="2250"/>
      <c r="GZ194" s="2250"/>
      <c r="HA194" s="2250"/>
      <c r="HB194" s="2250"/>
      <c r="HC194" s="2250"/>
      <c r="HD194" s="2250"/>
      <c r="HE194" s="2250"/>
      <c r="HF194" s="2250"/>
      <c r="HG194" s="2250"/>
      <c r="HH194" s="284">
        <v>950</v>
      </c>
      <c r="HI194" s="284">
        <f>VLOOKUP(HI184,HH156:HS182,8,0)</f>
        <v>119.07</v>
      </c>
      <c r="HJ194" s="284">
        <f t="shared" si="80"/>
        <v>173.14</v>
      </c>
      <c r="HK194" s="284">
        <v>1100</v>
      </c>
      <c r="HL194" s="2250"/>
      <c r="HM194" s="2250"/>
      <c r="HN194" s="2250"/>
      <c r="HO194" s="2250"/>
      <c r="HP194" s="2250"/>
      <c r="HQ194" s="2250"/>
      <c r="HR194" s="2250"/>
      <c r="HS194" s="2250"/>
      <c r="HT194" s="2250"/>
      <c r="HU194" s="2250"/>
      <c r="HV194" s="284">
        <v>950</v>
      </c>
      <c r="HW194" s="284">
        <f>VLOOKUP(HW184,HV156:IG182,8,0)</f>
        <v>68.91</v>
      </c>
      <c r="HX194" s="284">
        <f t="shared" si="81"/>
        <v>100</v>
      </c>
      <c r="HY194" s="284">
        <v>1100</v>
      </c>
      <c r="HZ194" s="2250"/>
      <c r="IA194" s="2250"/>
      <c r="IB194" s="2250"/>
      <c r="IC194" s="2250"/>
      <c r="ID194" s="2250"/>
      <c r="IE194" s="2250"/>
      <c r="IF194" s="2250"/>
      <c r="IG194" s="2250"/>
      <c r="IH194" s="2250"/>
      <c r="II194" s="2250"/>
      <c r="IJ194" s="2250"/>
      <c r="IK194" s="2250"/>
      <c r="IL194" s="2250"/>
      <c r="IN194" s="277"/>
      <c r="IO194" s="277"/>
    </row>
    <row r="195" spans="1:249" ht="21.95" customHeight="1">
      <c r="A195" s="2275"/>
      <c r="B195" s="284">
        <v>1100</v>
      </c>
      <c r="C195" s="284">
        <f>VLOOKUP(C184,B156:M182,9,0)</f>
        <v>236.44</v>
      </c>
      <c r="D195" s="284">
        <f t="shared" si="66"/>
        <v>338.91</v>
      </c>
      <c r="E195" s="284">
        <v>1250</v>
      </c>
      <c r="F195" s="2250"/>
      <c r="G195" s="2250"/>
      <c r="H195" s="2250"/>
      <c r="I195" s="2250"/>
      <c r="J195" s="2250"/>
      <c r="K195" s="2250"/>
      <c r="L195" s="2250"/>
      <c r="M195" s="2250"/>
      <c r="N195" s="2250"/>
      <c r="O195" s="2250"/>
      <c r="P195" s="284">
        <v>1100</v>
      </c>
      <c r="Q195" s="284">
        <f>VLOOKUP(Q184,P156:AA182,9,0)</f>
        <v>169.9</v>
      </c>
      <c r="R195" s="284">
        <f t="shared" si="67"/>
        <v>232.28</v>
      </c>
      <c r="S195" s="284">
        <v>1250</v>
      </c>
      <c r="T195" s="2250"/>
      <c r="U195" s="2250"/>
      <c r="V195" s="2250"/>
      <c r="W195" s="2250"/>
      <c r="X195" s="2250"/>
      <c r="Y195" s="2250"/>
      <c r="Z195" s="2250"/>
      <c r="AA195" s="2250"/>
      <c r="AB195" s="2250"/>
      <c r="AC195" s="2250"/>
      <c r="AD195" s="284">
        <v>1100</v>
      </c>
      <c r="AE195" s="284">
        <f>VLOOKUP(AE184,AD156:AO182,9,0)</f>
        <v>129.12</v>
      </c>
      <c r="AF195" s="284">
        <f t="shared" si="68"/>
        <v>188.37</v>
      </c>
      <c r="AG195" s="284">
        <v>1250</v>
      </c>
      <c r="AH195" s="2250"/>
      <c r="AI195" s="2250"/>
      <c r="AJ195" s="2250"/>
      <c r="AK195" s="2250"/>
      <c r="AL195" s="2250"/>
      <c r="AM195" s="2250"/>
      <c r="AN195" s="2250"/>
      <c r="AO195" s="2250"/>
      <c r="AP195" s="2250"/>
      <c r="AQ195" s="2250"/>
      <c r="AR195" s="284">
        <v>1100</v>
      </c>
      <c r="AS195" s="284">
        <f>VLOOKUP(AS184,AR156:BC182,9,0)</f>
        <v>73.66</v>
      </c>
      <c r="AT195" s="284">
        <f t="shared" si="69"/>
        <v>108.22</v>
      </c>
      <c r="AU195" s="284">
        <v>1250</v>
      </c>
      <c r="AV195" s="2250"/>
      <c r="AW195" s="2250"/>
      <c r="AX195" s="2250"/>
      <c r="AY195" s="2250"/>
      <c r="AZ195" s="2250"/>
      <c r="BA195" s="2250"/>
      <c r="BB195" s="2250"/>
      <c r="BC195" s="2250"/>
      <c r="BD195" s="2250"/>
      <c r="BE195" s="2250"/>
      <c r="BF195" s="2276"/>
      <c r="BG195" s="2276"/>
      <c r="BH195" s="2250"/>
      <c r="BI195" s="2275"/>
      <c r="BJ195" s="284">
        <v>1100</v>
      </c>
      <c r="BK195" s="284">
        <f>VLOOKUP(BK184,BJ156:BU182,9,0)</f>
        <v>217.13</v>
      </c>
      <c r="BL195" s="284">
        <f t="shared" si="70"/>
        <v>295.25</v>
      </c>
      <c r="BM195" s="284">
        <v>1250</v>
      </c>
      <c r="BN195" s="2250"/>
      <c r="BO195" s="2250"/>
      <c r="BP195" s="2250"/>
      <c r="BQ195" s="2250"/>
      <c r="BR195" s="2250"/>
      <c r="BS195" s="2250"/>
      <c r="BT195" s="2250"/>
      <c r="BU195" s="2250"/>
      <c r="BV195" s="2250"/>
      <c r="BW195" s="2250"/>
      <c r="BX195" s="284">
        <v>1100</v>
      </c>
      <c r="BY195" s="284">
        <f>VLOOKUP(BY184,BX156:CI182,9,0)</f>
        <v>157.52000000000001</v>
      </c>
      <c r="BZ195" s="284">
        <f t="shared" si="71"/>
        <v>214.16</v>
      </c>
      <c r="CA195" s="284">
        <v>1250</v>
      </c>
      <c r="CB195" s="2250"/>
      <c r="CC195" s="2250"/>
      <c r="CD195" s="2250"/>
      <c r="CE195" s="2250"/>
      <c r="CF195" s="2250"/>
      <c r="CG195" s="2250"/>
      <c r="CH195" s="2250"/>
      <c r="CI195" s="2250"/>
      <c r="CJ195" s="2250"/>
      <c r="CK195" s="2250"/>
      <c r="CL195" s="284">
        <v>1100</v>
      </c>
      <c r="CM195" s="284">
        <f>VLOOKUP(CM184,CL156:CW182,9,0)</f>
        <v>123.7</v>
      </c>
      <c r="CN195" s="284">
        <f t="shared" si="72"/>
        <v>173.81</v>
      </c>
      <c r="CO195" s="284">
        <v>1250</v>
      </c>
      <c r="CP195" s="2250"/>
      <c r="CQ195" s="2250"/>
      <c r="CR195" s="2250"/>
      <c r="CS195" s="2250"/>
      <c r="CT195" s="2250"/>
      <c r="CU195" s="2250"/>
      <c r="CV195" s="2250"/>
      <c r="CW195" s="2250"/>
      <c r="CX195" s="2250"/>
      <c r="CY195" s="2250"/>
      <c r="CZ195" s="284">
        <v>1100</v>
      </c>
      <c r="DA195" s="284">
        <f>VLOOKUP(DA184,CZ156:DK182,9,0)</f>
        <v>70.5</v>
      </c>
      <c r="DB195" s="284">
        <f t="shared" si="73"/>
        <v>99.5</v>
      </c>
      <c r="DC195" s="284">
        <v>1250</v>
      </c>
      <c r="DD195" s="2250"/>
      <c r="DE195" s="2250"/>
      <c r="DF195" s="2250"/>
      <c r="DG195" s="2250"/>
      <c r="DH195" s="2250"/>
      <c r="DI195" s="2250"/>
      <c r="DJ195" s="2250"/>
      <c r="DK195" s="2250"/>
      <c r="DL195" s="2250"/>
      <c r="DM195" s="2250"/>
      <c r="DN195" s="2250"/>
      <c r="DO195" s="2250"/>
      <c r="DP195" s="2250"/>
      <c r="DQ195" s="2277"/>
      <c r="DR195" s="2277"/>
      <c r="DS195" s="277"/>
      <c r="DW195" s="2275"/>
      <c r="DX195" s="284">
        <v>1100</v>
      </c>
      <c r="DY195" s="284">
        <f>VLOOKUP(DY184,DX156:EI182,9,0)</f>
        <v>347.62</v>
      </c>
      <c r="DZ195" s="284">
        <f t="shared" si="74"/>
        <v>467.82</v>
      </c>
      <c r="EA195" s="284">
        <v>1250</v>
      </c>
      <c r="EB195" s="2250"/>
      <c r="EC195" s="2250"/>
      <c r="ED195" s="2250"/>
      <c r="EE195" s="2250"/>
      <c r="EF195" s="2250"/>
      <c r="EG195" s="2250"/>
      <c r="EH195" s="2250"/>
      <c r="EI195" s="2250"/>
      <c r="EJ195" s="2250"/>
      <c r="EK195" s="2250"/>
      <c r="EL195" s="284">
        <v>1100</v>
      </c>
      <c r="EM195" s="284">
        <f>VLOOKUP(EM184,EL156:EW182,9,0)</f>
        <v>249.01</v>
      </c>
      <c r="EN195" s="284">
        <f t="shared" si="75"/>
        <v>337.72</v>
      </c>
      <c r="EO195" s="284">
        <v>1250</v>
      </c>
      <c r="EP195" s="2250"/>
      <c r="EQ195" s="2250"/>
      <c r="ER195" s="2250"/>
      <c r="ES195" s="2250"/>
      <c r="ET195" s="2250"/>
      <c r="EU195" s="2250"/>
      <c r="EV195" s="2250"/>
      <c r="EW195" s="2250"/>
      <c r="EX195" s="2250"/>
      <c r="EY195" s="2250"/>
      <c r="EZ195" s="284">
        <v>1100</v>
      </c>
      <c r="FA195" s="284">
        <f>VLOOKUP(FA184,EZ156:FK182,9,0)</f>
        <v>189.39</v>
      </c>
      <c r="FB195" s="284">
        <f t="shared" si="76"/>
        <v>265.01</v>
      </c>
      <c r="FC195" s="284">
        <v>1250</v>
      </c>
      <c r="FD195" s="2250"/>
      <c r="FE195" s="2250"/>
      <c r="FF195" s="2250"/>
      <c r="FG195" s="2250"/>
      <c r="FH195" s="2250"/>
      <c r="FI195" s="2250"/>
      <c r="FJ195" s="2250"/>
      <c r="FK195" s="2250"/>
      <c r="FL195" s="2250"/>
      <c r="FM195" s="2250"/>
      <c r="FN195" s="284">
        <v>1100</v>
      </c>
      <c r="FO195" s="284">
        <f>VLOOKUP(FO184,FN156:FY182,9,0)</f>
        <v>109.6</v>
      </c>
      <c r="FP195" s="284">
        <f t="shared" si="77"/>
        <v>153.27000000000001</v>
      </c>
      <c r="FQ195" s="284">
        <v>1250</v>
      </c>
      <c r="FR195" s="2250"/>
      <c r="FS195" s="2250"/>
      <c r="FT195" s="2250"/>
      <c r="FU195" s="2250"/>
      <c r="FV195" s="2250"/>
      <c r="FW195" s="2250"/>
      <c r="FX195" s="2250"/>
      <c r="FY195" s="2250"/>
      <c r="FZ195" s="2250"/>
      <c r="GA195" s="2250"/>
      <c r="GB195" s="2276"/>
      <c r="GC195" s="2276"/>
      <c r="GD195" s="2250"/>
      <c r="GE195" s="2275"/>
      <c r="GF195" s="284">
        <v>1100</v>
      </c>
      <c r="GG195" s="284">
        <f>VLOOKUP(GG184,GF156:GQ182,9,0)</f>
        <v>318.12</v>
      </c>
      <c r="GH195" s="284">
        <f t="shared" si="78"/>
        <v>410.3</v>
      </c>
      <c r="GI195" s="284">
        <v>1250</v>
      </c>
      <c r="GJ195" s="2250"/>
      <c r="GK195" s="2250"/>
      <c r="GL195" s="2250"/>
      <c r="GM195" s="2250"/>
      <c r="GN195" s="2250"/>
      <c r="GO195" s="2250"/>
      <c r="GP195" s="2250"/>
      <c r="GQ195" s="2250"/>
      <c r="GR195" s="2250"/>
      <c r="GS195" s="2250"/>
      <c r="GT195" s="284">
        <v>1100</v>
      </c>
      <c r="GU195" s="284">
        <f>VLOOKUP(GU184,GT156:HE182,9,0)</f>
        <v>228.91</v>
      </c>
      <c r="GV195" s="284">
        <f t="shared" si="79"/>
        <v>295.54000000000002</v>
      </c>
      <c r="GW195" s="284">
        <v>1250</v>
      </c>
      <c r="GX195" s="2250"/>
      <c r="GY195" s="2250"/>
      <c r="GZ195" s="2250"/>
      <c r="HA195" s="2250"/>
      <c r="HB195" s="2250"/>
      <c r="HC195" s="2250"/>
      <c r="HD195" s="2250"/>
      <c r="HE195" s="2250"/>
      <c r="HF195" s="2250"/>
      <c r="HG195" s="2250"/>
      <c r="HH195" s="284">
        <v>1100</v>
      </c>
      <c r="HI195" s="284">
        <f>VLOOKUP(HI184,HH156:HS182,9,0)</f>
        <v>173.14</v>
      </c>
      <c r="HJ195" s="284">
        <f t="shared" si="80"/>
        <v>238.83</v>
      </c>
      <c r="HK195" s="284">
        <v>1250</v>
      </c>
      <c r="HL195" s="2250"/>
      <c r="HM195" s="2250"/>
      <c r="HN195" s="2250"/>
      <c r="HO195" s="2250"/>
      <c r="HP195" s="2250"/>
      <c r="HQ195" s="2250"/>
      <c r="HR195" s="2250"/>
      <c r="HS195" s="2250"/>
      <c r="HT195" s="2250"/>
      <c r="HU195" s="2250"/>
      <c r="HV195" s="284">
        <v>1100</v>
      </c>
      <c r="HW195" s="284">
        <f>VLOOKUP(HW184,HV156:IG182,9,0)</f>
        <v>100</v>
      </c>
      <c r="HX195" s="284">
        <f t="shared" si="81"/>
        <v>138.12</v>
      </c>
      <c r="HY195" s="284">
        <v>1250</v>
      </c>
      <c r="HZ195" s="2250"/>
      <c r="IA195" s="2250"/>
      <c r="IB195" s="2250"/>
      <c r="IC195" s="2250"/>
      <c r="ID195" s="2250"/>
      <c r="IE195" s="2250"/>
      <c r="IF195" s="2250"/>
      <c r="IG195" s="2250"/>
      <c r="IH195" s="2250"/>
      <c r="II195" s="2250"/>
      <c r="IJ195" s="2250"/>
      <c r="IK195" s="2250"/>
      <c r="IL195" s="2250"/>
      <c r="IN195" s="277"/>
      <c r="IO195" s="277"/>
    </row>
    <row r="196" spans="1:249" ht="21.95" customHeight="1">
      <c r="A196" s="2275"/>
      <c r="B196" s="284">
        <v>1250</v>
      </c>
      <c r="C196" s="284">
        <f>VLOOKUP(C184,B156:M182,10,0)</f>
        <v>338.91</v>
      </c>
      <c r="D196" s="284">
        <f t="shared" si="66"/>
        <v>498.22</v>
      </c>
      <c r="E196" s="284">
        <v>1450</v>
      </c>
      <c r="F196" s="2250"/>
      <c r="G196" s="2250"/>
      <c r="H196" s="2250"/>
      <c r="I196" s="2250"/>
      <c r="J196" s="2250"/>
      <c r="K196" s="2250"/>
      <c r="L196" s="2250"/>
      <c r="M196" s="2250"/>
      <c r="N196" s="2250"/>
      <c r="O196" s="2250"/>
      <c r="P196" s="284">
        <v>1250</v>
      </c>
      <c r="Q196" s="284">
        <f>VLOOKUP(Q184,P156:AA182,10,0)</f>
        <v>232.28</v>
      </c>
      <c r="R196" s="284">
        <f t="shared" si="67"/>
        <v>360.59</v>
      </c>
      <c r="S196" s="284">
        <v>1450</v>
      </c>
      <c r="T196" s="2250"/>
      <c r="U196" s="2250"/>
      <c r="V196" s="2250"/>
      <c r="W196" s="2250"/>
      <c r="X196" s="2250"/>
      <c r="Y196" s="2250"/>
      <c r="Z196" s="2250"/>
      <c r="AA196" s="2250"/>
      <c r="AB196" s="2250"/>
      <c r="AC196" s="2250"/>
      <c r="AD196" s="284">
        <v>1250</v>
      </c>
      <c r="AE196" s="284">
        <f>VLOOKUP(AE184,AD156:AO182,10,0)</f>
        <v>188.37</v>
      </c>
      <c r="AF196" s="284">
        <f t="shared" si="68"/>
        <v>286.12</v>
      </c>
      <c r="AG196" s="284">
        <v>1450</v>
      </c>
      <c r="AH196" s="2250"/>
      <c r="AI196" s="2250"/>
      <c r="AJ196" s="2250"/>
      <c r="AK196" s="2250"/>
      <c r="AL196" s="2250"/>
      <c r="AM196" s="2250"/>
      <c r="AN196" s="2250"/>
      <c r="AO196" s="2250"/>
      <c r="AP196" s="2250"/>
      <c r="AQ196" s="2250"/>
      <c r="AR196" s="284">
        <v>1250</v>
      </c>
      <c r="AS196" s="284">
        <f>VLOOKUP(AS184,AR156:BC182,10,0)</f>
        <v>108.22</v>
      </c>
      <c r="AT196" s="284">
        <f t="shared" si="69"/>
        <v>163.16999999999999</v>
      </c>
      <c r="AU196" s="284">
        <v>1450</v>
      </c>
      <c r="AV196" s="2250"/>
      <c r="AW196" s="2250"/>
      <c r="AX196" s="2250"/>
      <c r="AY196" s="2250"/>
      <c r="AZ196" s="2250"/>
      <c r="BA196" s="2250"/>
      <c r="BB196" s="2250"/>
      <c r="BC196" s="2250"/>
      <c r="BD196" s="2250"/>
      <c r="BE196" s="2250"/>
      <c r="BF196" s="2276"/>
      <c r="BG196" s="2276"/>
      <c r="BH196" s="2250"/>
      <c r="BI196" s="2275"/>
      <c r="BJ196" s="284">
        <v>1250</v>
      </c>
      <c r="BK196" s="284">
        <f>VLOOKUP(BK184,BJ156:BU182,10,0)</f>
        <v>295.25</v>
      </c>
      <c r="BL196" s="284">
        <f t="shared" si="70"/>
        <v>470</v>
      </c>
      <c r="BM196" s="284">
        <v>1450</v>
      </c>
      <c r="BN196" s="2250"/>
      <c r="BO196" s="2250"/>
      <c r="BP196" s="2250"/>
      <c r="BQ196" s="2250"/>
      <c r="BR196" s="2250"/>
      <c r="BS196" s="2250"/>
      <c r="BT196" s="2250"/>
      <c r="BU196" s="2250"/>
      <c r="BV196" s="2250"/>
      <c r="BW196" s="2250"/>
      <c r="BX196" s="284">
        <v>1250</v>
      </c>
      <c r="BY196" s="284">
        <f>VLOOKUP(BY184,BX156:CI182,10,0)</f>
        <v>214.16</v>
      </c>
      <c r="BZ196" s="284">
        <f t="shared" si="71"/>
        <v>340.89</v>
      </c>
      <c r="CA196" s="284">
        <v>1450</v>
      </c>
      <c r="CB196" s="2250"/>
      <c r="CC196" s="2250"/>
      <c r="CD196" s="2250"/>
      <c r="CE196" s="2250"/>
      <c r="CF196" s="2250"/>
      <c r="CG196" s="2250"/>
      <c r="CH196" s="2250"/>
      <c r="CI196" s="2250"/>
      <c r="CJ196" s="2250"/>
      <c r="CK196" s="2250"/>
      <c r="CL196" s="284">
        <v>1250</v>
      </c>
      <c r="CM196" s="284">
        <f>VLOOKUP(CM184,CL156:CW182,10,0)</f>
        <v>173.81</v>
      </c>
      <c r="CN196" s="284">
        <f t="shared" si="72"/>
        <v>266.48</v>
      </c>
      <c r="CO196" s="284">
        <v>1450</v>
      </c>
      <c r="CP196" s="2250"/>
      <c r="CQ196" s="2250"/>
      <c r="CR196" s="2250"/>
      <c r="CS196" s="2250"/>
      <c r="CT196" s="2250"/>
      <c r="CU196" s="2250"/>
      <c r="CV196" s="2250"/>
      <c r="CW196" s="2250"/>
      <c r="CX196" s="2250"/>
      <c r="CY196" s="2250"/>
      <c r="CZ196" s="284">
        <v>1250</v>
      </c>
      <c r="DA196" s="284">
        <f>VLOOKUP(DA184,CZ156:DK182,10,0)</f>
        <v>99.5</v>
      </c>
      <c r="DB196" s="284">
        <f t="shared" si="73"/>
        <v>152.47999999999999</v>
      </c>
      <c r="DC196" s="284">
        <v>1450</v>
      </c>
      <c r="DD196" s="2250"/>
      <c r="DE196" s="2250"/>
      <c r="DF196" s="2250"/>
      <c r="DG196" s="2250"/>
      <c r="DH196" s="2250"/>
      <c r="DI196" s="2250"/>
      <c r="DJ196" s="2250"/>
      <c r="DK196" s="2250"/>
      <c r="DL196" s="2250"/>
      <c r="DM196" s="2250"/>
      <c r="DN196" s="2250"/>
      <c r="DO196" s="2250"/>
      <c r="DP196" s="2250"/>
      <c r="DQ196" s="2277"/>
      <c r="DR196" s="2277"/>
      <c r="DS196" s="277"/>
      <c r="DW196" s="2275"/>
      <c r="DX196" s="284">
        <v>1250</v>
      </c>
      <c r="DY196" s="284">
        <f>VLOOKUP(DY184,DX156:EI182,10,0)</f>
        <v>467.82</v>
      </c>
      <c r="DZ196" s="284">
        <f t="shared" si="74"/>
        <v>733.56</v>
      </c>
      <c r="EA196" s="284">
        <v>1450</v>
      </c>
      <c r="EB196" s="2250"/>
      <c r="EC196" s="2250"/>
      <c r="ED196" s="2250"/>
      <c r="EE196" s="2250"/>
      <c r="EF196" s="2250"/>
      <c r="EG196" s="2250"/>
      <c r="EH196" s="2250"/>
      <c r="EI196" s="2250"/>
      <c r="EJ196" s="2250"/>
      <c r="EK196" s="2250"/>
      <c r="EL196" s="284">
        <v>1250</v>
      </c>
      <c r="EM196" s="284">
        <f>VLOOKUP(EM184,EL156:EW182,10,0)</f>
        <v>337.72</v>
      </c>
      <c r="EN196" s="284">
        <f t="shared" si="75"/>
        <v>528.61</v>
      </c>
      <c r="EO196" s="284">
        <v>1450</v>
      </c>
      <c r="EP196" s="2250"/>
      <c r="EQ196" s="2250"/>
      <c r="ER196" s="2250"/>
      <c r="ES196" s="2250"/>
      <c r="ET196" s="2250"/>
      <c r="EU196" s="2250"/>
      <c r="EV196" s="2250"/>
      <c r="EW196" s="2250"/>
      <c r="EX196" s="2250"/>
      <c r="EY196" s="2250"/>
      <c r="EZ196" s="284">
        <v>1250</v>
      </c>
      <c r="FA196" s="284">
        <f>VLOOKUP(FA184,EZ156:FK182,10,0)</f>
        <v>265.01</v>
      </c>
      <c r="FB196" s="284">
        <f t="shared" si="76"/>
        <v>404.74</v>
      </c>
      <c r="FC196" s="284">
        <v>1450</v>
      </c>
      <c r="FD196" s="2250"/>
      <c r="FE196" s="2250"/>
      <c r="FF196" s="2250"/>
      <c r="FG196" s="2250"/>
      <c r="FH196" s="2250"/>
      <c r="FI196" s="2250"/>
      <c r="FJ196" s="2250"/>
      <c r="FK196" s="2250"/>
      <c r="FL196" s="2250"/>
      <c r="FM196" s="2250"/>
      <c r="FN196" s="284">
        <v>1250</v>
      </c>
      <c r="FO196" s="284">
        <f>VLOOKUP(FO184,FN156:FY182,10,0)</f>
        <v>153.27000000000001</v>
      </c>
      <c r="FP196" s="284">
        <f t="shared" si="77"/>
        <v>234.16</v>
      </c>
      <c r="FQ196" s="284">
        <v>1450</v>
      </c>
      <c r="FR196" s="2250"/>
      <c r="FS196" s="2250"/>
      <c r="FT196" s="2250"/>
      <c r="FU196" s="2250"/>
      <c r="FV196" s="2250"/>
      <c r="FW196" s="2250"/>
      <c r="FX196" s="2250"/>
      <c r="FY196" s="2250"/>
      <c r="FZ196" s="2250"/>
      <c r="GA196" s="2250"/>
      <c r="GB196" s="2276"/>
      <c r="GC196" s="2276"/>
      <c r="GD196" s="2250"/>
      <c r="GE196" s="2275"/>
      <c r="GF196" s="284">
        <v>1250</v>
      </c>
      <c r="GG196" s="284">
        <f>VLOOKUP(GG184,GF156:GQ182,10,0)</f>
        <v>410.3</v>
      </c>
      <c r="GH196" s="284">
        <f t="shared" si="78"/>
        <v>674.75</v>
      </c>
      <c r="GI196" s="284">
        <v>1450</v>
      </c>
      <c r="GJ196" s="2250"/>
      <c r="GK196" s="2250"/>
      <c r="GL196" s="2250"/>
      <c r="GM196" s="2250"/>
      <c r="GN196" s="2250"/>
      <c r="GO196" s="2250"/>
      <c r="GP196" s="2250"/>
      <c r="GQ196" s="2250"/>
      <c r="GR196" s="2250"/>
      <c r="GS196" s="2250"/>
      <c r="GT196" s="284">
        <v>1250</v>
      </c>
      <c r="GU196" s="284">
        <f>VLOOKUP(GU184,GT156:HE182,10,0)</f>
        <v>295.54000000000002</v>
      </c>
      <c r="GV196" s="284">
        <f t="shared" si="79"/>
        <v>486.63</v>
      </c>
      <c r="GW196" s="284">
        <v>1450</v>
      </c>
      <c r="GX196" s="2250"/>
      <c r="GY196" s="2250"/>
      <c r="GZ196" s="2250"/>
      <c r="HA196" s="2250"/>
      <c r="HB196" s="2250"/>
      <c r="HC196" s="2250"/>
      <c r="HD196" s="2250"/>
      <c r="HE196" s="2250"/>
      <c r="HF196" s="2250"/>
      <c r="HG196" s="2250"/>
      <c r="HH196" s="284">
        <v>1250</v>
      </c>
      <c r="HI196" s="284">
        <f>VLOOKUP(HI184,HH156:HS182,10,0)</f>
        <v>238.83</v>
      </c>
      <c r="HJ196" s="284">
        <f t="shared" si="80"/>
        <v>371.67</v>
      </c>
      <c r="HK196" s="284">
        <v>1450</v>
      </c>
      <c r="HL196" s="2250"/>
      <c r="HM196" s="2250"/>
      <c r="HN196" s="2250"/>
      <c r="HO196" s="2250"/>
      <c r="HP196" s="2250"/>
      <c r="HQ196" s="2250"/>
      <c r="HR196" s="2250"/>
      <c r="HS196" s="2250"/>
      <c r="HT196" s="2250"/>
      <c r="HU196" s="2250"/>
      <c r="HV196" s="284">
        <v>1250</v>
      </c>
      <c r="HW196" s="284">
        <f>VLOOKUP(HW184,HV156:IG182,10,0)</f>
        <v>138.12</v>
      </c>
      <c r="HX196" s="284">
        <f t="shared" si="81"/>
        <v>215.25</v>
      </c>
      <c r="HY196" s="284">
        <v>1450</v>
      </c>
      <c r="HZ196" s="2250"/>
      <c r="IA196" s="2250"/>
      <c r="IB196" s="2250"/>
      <c r="IC196" s="2250"/>
      <c r="ID196" s="2250"/>
      <c r="IE196" s="2250"/>
      <c r="IF196" s="2250"/>
      <c r="IG196" s="2250"/>
      <c r="IH196" s="2250"/>
      <c r="II196" s="2250"/>
      <c r="IJ196" s="2250"/>
      <c r="IK196" s="2250"/>
      <c r="IL196" s="2250"/>
      <c r="IN196" s="277"/>
      <c r="IO196" s="277"/>
    </row>
    <row r="197" spans="1:249" ht="21.95" customHeight="1">
      <c r="A197" s="2275"/>
      <c r="B197" s="284">
        <v>1450</v>
      </c>
      <c r="C197" s="284">
        <f>VLOOKUP(C184,B156:M182,11,0)</f>
        <v>498.22</v>
      </c>
      <c r="D197" s="284">
        <f t="shared" si="66"/>
        <v>743.66</v>
      </c>
      <c r="E197" s="284">
        <v>1650</v>
      </c>
      <c r="F197" s="2250"/>
      <c r="G197" s="2250"/>
      <c r="H197" s="2250"/>
      <c r="I197" s="2250"/>
      <c r="J197" s="2250"/>
      <c r="K197" s="2250"/>
      <c r="L197" s="2250"/>
      <c r="M197" s="2250"/>
      <c r="N197" s="2250"/>
      <c r="O197" s="2250"/>
      <c r="P197" s="284">
        <v>1450</v>
      </c>
      <c r="Q197" s="284">
        <f>VLOOKUP(Q184,P156:AA182,11,0)</f>
        <v>360.59</v>
      </c>
      <c r="R197" s="284">
        <f t="shared" si="67"/>
        <v>521.09</v>
      </c>
      <c r="S197" s="284">
        <v>1650</v>
      </c>
      <c r="T197" s="2250"/>
      <c r="U197" s="2250"/>
      <c r="V197" s="2250"/>
      <c r="W197" s="2250"/>
      <c r="X197" s="2250"/>
      <c r="Y197" s="2250"/>
      <c r="Z197" s="2250"/>
      <c r="AA197" s="2250"/>
      <c r="AB197" s="2250"/>
      <c r="AC197" s="2250"/>
      <c r="AD197" s="284">
        <v>1450</v>
      </c>
      <c r="AE197" s="284">
        <f>VLOOKUP(AE184,AD156:AO182,11,0)</f>
        <v>286.12</v>
      </c>
      <c r="AF197" s="284">
        <f t="shared" si="68"/>
        <v>400.45</v>
      </c>
      <c r="AG197" s="284">
        <v>1650</v>
      </c>
      <c r="AH197" s="2250"/>
      <c r="AI197" s="2250"/>
      <c r="AJ197" s="2250"/>
      <c r="AK197" s="2250"/>
      <c r="AL197" s="2250"/>
      <c r="AM197" s="2250"/>
      <c r="AN197" s="2250"/>
      <c r="AO197" s="2250"/>
      <c r="AP197" s="2250"/>
      <c r="AQ197" s="2250"/>
      <c r="AR197" s="284">
        <v>1450</v>
      </c>
      <c r="AS197" s="284">
        <f>VLOOKUP(AS184,AR156:BC182,11,0)</f>
        <v>163.16999999999999</v>
      </c>
      <c r="AT197" s="284">
        <f t="shared" si="69"/>
        <v>228.32</v>
      </c>
      <c r="AU197" s="284">
        <v>1650</v>
      </c>
      <c r="AV197" s="2250"/>
      <c r="AW197" s="2250"/>
      <c r="AX197" s="2250"/>
      <c r="AY197" s="2250"/>
      <c r="AZ197" s="2250"/>
      <c r="BA197" s="2250"/>
      <c r="BB197" s="2250"/>
      <c r="BC197" s="2250"/>
      <c r="BD197" s="2250"/>
      <c r="BE197" s="2250"/>
      <c r="BF197" s="2276"/>
      <c r="BG197" s="2276"/>
      <c r="BH197" s="2250"/>
      <c r="BI197" s="2275"/>
      <c r="BJ197" s="284">
        <v>1450</v>
      </c>
      <c r="BK197" s="284">
        <f>VLOOKUP(BK184,BJ156:BU182,11,0)</f>
        <v>470</v>
      </c>
      <c r="BL197" s="284">
        <f t="shared" si="70"/>
        <v>700.4</v>
      </c>
      <c r="BM197" s="284">
        <v>1650</v>
      </c>
      <c r="BN197" s="2250"/>
      <c r="BO197" s="2250"/>
      <c r="BP197" s="2250"/>
      <c r="BQ197" s="2250"/>
      <c r="BR197" s="2250"/>
      <c r="BS197" s="2250"/>
      <c r="BT197" s="2250"/>
      <c r="BU197" s="2250"/>
      <c r="BV197" s="2250"/>
      <c r="BW197" s="2250"/>
      <c r="BX197" s="284">
        <v>1450</v>
      </c>
      <c r="BY197" s="284">
        <f>VLOOKUP(BY184,BX156:CI182,11,0)</f>
        <v>340.89</v>
      </c>
      <c r="BZ197" s="284">
        <f t="shared" si="71"/>
        <v>496.04</v>
      </c>
      <c r="CA197" s="284">
        <v>1650</v>
      </c>
      <c r="CB197" s="2250"/>
      <c r="CC197" s="2250"/>
      <c r="CD197" s="2250"/>
      <c r="CE197" s="2250"/>
      <c r="CF197" s="2250"/>
      <c r="CG197" s="2250"/>
      <c r="CH197" s="2250"/>
      <c r="CI197" s="2250"/>
      <c r="CJ197" s="2250"/>
      <c r="CK197" s="2250"/>
      <c r="CL197" s="284">
        <v>1450</v>
      </c>
      <c r="CM197" s="284">
        <f>VLOOKUP(CM184,CL156:CW182,11,0)</f>
        <v>266.48</v>
      </c>
      <c r="CN197" s="284">
        <f t="shared" si="72"/>
        <v>377.31</v>
      </c>
      <c r="CO197" s="284">
        <v>1650</v>
      </c>
      <c r="CP197" s="2250"/>
      <c r="CQ197" s="2250"/>
      <c r="CR197" s="2250"/>
      <c r="CS197" s="2250"/>
      <c r="CT197" s="2250"/>
      <c r="CU197" s="2250"/>
      <c r="CV197" s="2250"/>
      <c r="CW197" s="2250"/>
      <c r="CX197" s="2250"/>
      <c r="CY197" s="2250"/>
      <c r="CZ197" s="284">
        <v>1450</v>
      </c>
      <c r="DA197" s="284">
        <f>VLOOKUP(DA184,CZ156:DK182,11,0)</f>
        <v>152.47999999999999</v>
      </c>
      <c r="DB197" s="284">
        <f t="shared" si="73"/>
        <v>215.15</v>
      </c>
      <c r="DC197" s="284">
        <v>1650</v>
      </c>
      <c r="DD197" s="2250"/>
      <c r="DE197" s="2250"/>
      <c r="DF197" s="2250"/>
      <c r="DG197" s="2250"/>
      <c r="DH197" s="2250"/>
      <c r="DI197" s="2250"/>
      <c r="DJ197" s="2250"/>
      <c r="DK197" s="2250"/>
      <c r="DL197" s="2250"/>
      <c r="DM197" s="2250"/>
      <c r="DN197" s="2250"/>
      <c r="DO197" s="2250"/>
      <c r="DP197" s="2250"/>
      <c r="DQ197" s="2277"/>
      <c r="DR197" s="2277"/>
      <c r="DS197" s="277"/>
      <c r="DW197" s="2275"/>
      <c r="DX197" s="284">
        <v>1450</v>
      </c>
      <c r="DY197" s="284">
        <f>VLOOKUP(DY184,DX156:EI182,11,0)</f>
        <v>733.56</v>
      </c>
      <c r="DZ197" s="284">
        <f t="shared" si="74"/>
        <v>1082.8699999999999</v>
      </c>
      <c r="EA197" s="284">
        <v>1650</v>
      </c>
      <c r="EB197" s="2250"/>
      <c r="EC197" s="2250"/>
      <c r="ED197" s="2250"/>
      <c r="EE197" s="2250"/>
      <c r="EF197" s="2250"/>
      <c r="EG197" s="2250"/>
      <c r="EH197" s="2250"/>
      <c r="EI197" s="2250"/>
      <c r="EJ197" s="2250"/>
      <c r="EK197" s="2250"/>
      <c r="EL197" s="284">
        <v>1450</v>
      </c>
      <c r="EM197" s="284">
        <f>VLOOKUP(EM184,EL156:EW182,11,0)</f>
        <v>528.61</v>
      </c>
      <c r="EN197" s="284">
        <f t="shared" si="75"/>
        <v>783.27</v>
      </c>
      <c r="EO197" s="284">
        <v>1650</v>
      </c>
      <c r="EP197" s="2250"/>
      <c r="EQ197" s="2250"/>
      <c r="ER197" s="2250"/>
      <c r="ES197" s="2250"/>
      <c r="ET197" s="2250"/>
      <c r="EU197" s="2250"/>
      <c r="EV197" s="2250"/>
      <c r="EW197" s="2250"/>
      <c r="EX197" s="2250"/>
      <c r="EY197" s="2250"/>
      <c r="EZ197" s="284">
        <v>1450</v>
      </c>
      <c r="FA197" s="284">
        <f>VLOOKUP(FA184,EZ156:FK182,11,0)</f>
        <v>404.74</v>
      </c>
      <c r="FB197" s="284">
        <f t="shared" si="76"/>
        <v>600.34</v>
      </c>
      <c r="FC197" s="284">
        <v>1650</v>
      </c>
      <c r="FD197" s="2250"/>
      <c r="FE197" s="2250"/>
      <c r="FF197" s="2250"/>
      <c r="FG197" s="2250"/>
      <c r="FH197" s="2250"/>
      <c r="FI197" s="2250"/>
      <c r="FJ197" s="2250"/>
      <c r="FK197" s="2250"/>
      <c r="FL197" s="2250"/>
      <c r="FM197" s="2250"/>
      <c r="FN197" s="284">
        <v>1450</v>
      </c>
      <c r="FO197" s="284">
        <f>VLOOKUP(FO184,FN156:FY182,11,0)</f>
        <v>234.16</v>
      </c>
      <c r="FP197" s="284">
        <f t="shared" si="77"/>
        <v>347.13</v>
      </c>
      <c r="FQ197" s="284">
        <v>1650</v>
      </c>
      <c r="FR197" s="2250"/>
      <c r="FS197" s="2250"/>
      <c r="FT197" s="2250"/>
      <c r="FU197" s="2250"/>
      <c r="FV197" s="2250"/>
      <c r="FW197" s="2250"/>
      <c r="FX197" s="2250"/>
      <c r="FY197" s="2250"/>
      <c r="FZ197" s="2250"/>
      <c r="GA197" s="2250"/>
      <c r="GB197" s="2276"/>
      <c r="GC197" s="2276"/>
      <c r="GD197" s="2250"/>
      <c r="GE197" s="2275"/>
      <c r="GF197" s="284">
        <v>1450</v>
      </c>
      <c r="GG197" s="284">
        <f>VLOOKUP(GG184,GF156:GQ182,11,0)</f>
        <v>674.75</v>
      </c>
      <c r="GH197" s="284">
        <f t="shared" si="78"/>
        <v>993.96</v>
      </c>
      <c r="GI197" s="284">
        <v>1650</v>
      </c>
      <c r="GJ197" s="2250"/>
      <c r="GK197" s="2250"/>
      <c r="GL197" s="2250"/>
      <c r="GM197" s="2250"/>
      <c r="GN197" s="2250"/>
      <c r="GO197" s="2250"/>
      <c r="GP197" s="2250"/>
      <c r="GQ197" s="2250"/>
      <c r="GR197" s="2250"/>
      <c r="GS197" s="2250"/>
      <c r="GT197" s="284">
        <v>1450</v>
      </c>
      <c r="GU197" s="284">
        <f>VLOOKUP(GU184,GT156:HE182,11,0)</f>
        <v>486.63</v>
      </c>
      <c r="GV197" s="284">
        <f t="shared" si="79"/>
        <v>722.67</v>
      </c>
      <c r="GW197" s="284">
        <v>1650</v>
      </c>
      <c r="GX197" s="2250"/>
      <c r="GY197" s="2250"/>
      <c r="GZ197" s="2250"/>
      <c r="HA197" s="2250"/>
      <c r="HB197" s="2250"/>
      <c r="HC197" s="2250"/>
      <c r="HD197" s="2250"/>
      <c r="HE197" s="2250"/>
      <c r="HF197" s="2250"/>
      <c r="HG197" s="2250"/>
      <c r="HH197" s="284">
        <v>1450</v>
      </c>
      <c r="HI197" s="284">
        <f>VLOOKUP(HI184,HH156:HS182,11,0)</f>
        <v>371.67</v>
      </c>
      <c r="HJ197" s="284">
        <f t="shared" si="80"/>
        <v>547.4</v>
      </c>
      <c r="HK197" s="284">
        <v>1650</v>
      </c>
      <c r="HL197" s="2250"/>
      <c r="HM197" s="2250"/>
      <c r="HN197" s="2250"/>
      <c r="HO197" s="2250"/>
      <c r="HP197" s="2250"/>
      <c r="HQ197" s="2250"/>
      <c r="HR197" s="2250"/>
      <c r="HS197" s="2250"/>
      <c r="HT197" s="2250"/>
      <c r="HU197" s="2250"/>
      <c r="HV197" s="284">
        <v>1450</v>
      </c>
      <c r="HW197" s="284">
        <f>VLOOKUP(HW184,HV156:IG182,11,0)</f>
        <v>215.25</v>
      </c>
      <c r="HX197" s="284">
        <f t="shared" si="81"/>
        <v>316.93</v>
      </c>
      <c r="HY197" s="284">
        <v>1650</v>
      </c>
      <c r="HZ197" s="2250"/>
      <c r="IA197" s="2250"/>
      <c r="IB197" s="2250"/>
      <c r="IC197" s="2250"/>
      <c r="ID197" s="2250"/>
      <c r="IE197" s="2250"/>
      <c r="IF197" s="2250"/>
      <c r="IG197" s="2250"/>
      <c r="IH197" s="2250"/>
      <c r="II197" s="2250"/>
      <c r="IJ197" s="2250"/>
      <c r="IK197" s="2250"/>
      <c r="IL197" s="2250"/>
      <c r="IN197" s="277"/>
      <c r="IO197" s="277"/>
    </row>
    <row r="198" spans="1:249" ht="21.95" customHeight="1">
      <c r="A198" s="2275"/>
      <c r="B198" s="284">
        <v>1650</v>
      </c>
      <c r="C198" s="284">
        <f>VLOOKUP(C184,B156:M182,12,0)</f>
        <v>743.66</v>
      </c>
      <c r="D198" s="284">
        <f t="shared" si="66"/>
        <v>0</v>
      </c>
      <c r="E198" s="2250"/>
      <c r="F198" s="2250"/>
      <c r="G198" s="2250"/>
      <c r="H198" s="2250"/>
      <c r="I198" s="2250"/>
      <c r="J198" s="2250"/>
      <c r="K198" s="2250"/>
      <c r="L198" s="2250"/>
      <c r="M198" s="2250"/>
      <c r="N198" s="2250"/>
      <c r="O198" s="2250"/>
      <c r="P198" s="284">
        <v>1650</v>
      </c>
      <c r="Q198" s="284">
        <f>VLOOKUP(Q184,P156:AA182,12,0)</f>
        <v>521.09</v>
      </c>
      <c r="R198" s="284">
        <f t="shared" si="67"/>
        <v>0</v>
      </c>
      <c r="S198" s="2250"/>
      <c r="T198" s="2250"/>
      <c r="U198" s="2250"/>
      <c r="V198" s="2250"/>
      <c r="W198" s="2250"/>
      <c r="X198" s="2250"/>
      <c r="Y198" s="2250"/>
      <c r="Z198" s="2250"/>
      <c r="AA198" s="2250"/>
      <c r="AB198" s="2250"/>
      <c r="AC198" s="2250"/>
      <c r="AD198" s="284">
        <v>1650</v>
      </c>
      <c r="AE198" s="284">
        <f>VLOOKUP(AE184,AD156:AO182,12,0)</f>
        <v>400.45</v>
      </c>
      <c r="AF198" s="284">
        <f t="shared" si="68"/>
        <v>0</v>
      </c>
      <c r="AG198" s="2250"/>
      <c r="AH198" s="2250"/>
      <c r="AI198" s="2250"/>
      <c r="AJ198" s="2250"/>
      <c r="AK198" s="2250"/>
      <c r="AL198" s="2250"/>
      <c r="AM198" s="2250"/>
      <c r="AN198" s="2250"/>
      <c r="AO198" s="2250"/>
      <c r="AP198" s="2250"/>
      <c r="AQ198" s="2250"/>
      <c r="AR198" s="284">
        <v>1650</v>
      </c>
      <c r="AS198" s="284">
        <f>VLOOKUP(AS184,AR156:BC182,12,0)</f>
        <v>228.32</v>
      </c>
      <c r="AT198" s="284">
        <f t="shared" si="69"/>
        <v>0</v>
      </c>
      <c r="AU198" s="2250"/>
      <c r="AV198" s="2250"/>
      <c r="AW198" s="2250"/>
      <c r="AX198" s="2250"/>
      <c r="AY198" s="2250"/>
      <c r="AZ198" s="2250"/>
      <c r="BA198" s="2250"/>
      <c r="BB198" s="2250"/>
      <c r="BC198" s="2250"/>
      <c r="BD198" s="2250"/>
      <c r="BE198" s="2250"/>
      <c r="BF198" s="2276"/>
      <c r="BG198" s="2276"/>
      <c r="BH198" s="2250"/>
      <c r="BI198" s="2275"/>
      <c r="BJ198" s="284">
        <v>1650</v>
      </c>
      <c r="BK198" s="284">
        <f>VLOOKUP(BK184,BJ156:BU182,12,0)</f>
        <v>700.4</v>
      </c>
      <c r="BL198" s="284">
        <f t="shared" si="70"/>
        <v>0</v>
      </c>
      <c r="BM198" s="2250"/>
      <c r="BN198" s="2250"/>
      <c r="BO198" s="2250"/>
      <c r="BP198" s="2250"/>
      <c r="BQ198" s="2250"/>
      <c r="BR198" s="2250"/>
      <c r="BS198" s="2250"/>
      <c r="BT198" s="2250"/>
      <c r="BU198" s="2250"/>
      <c r="BV198" s="2250"/>
      <c r="BW198" s="2250"/>
      <c r="BX198" s="284">
        <v>1650</v>
      </c>
      <c r="BY198" s="284">
        <f>VLOOKUP(BY184,BX156:CI182,12,0)</f>
        <v>496.04</v>
      </c>
      <c r="BZ198" s="284">
        <f t="shared" si="71"/>
        <v>0</v>
      </c>
      <c r="CA198" s="2250"/>
      <c r="CB198" s="2250"/>
      <c r="CC198" s="2250"/>
      <c r="CD198" s="2250"/>
      <c r="CE198" s="2250"/>
      <c r="CF198" s="2250"/>
      <c r="CG198" s="2250"/>
      <c r="CH198" s="2250"/>
      <c r="CI198" s="2250"/>
      <c r="CJ198" s="2250"/>
      <c r="CK198" s="2250"/>
      <c r="CL198" s="284">
        <v>1650</v>
      </c>
      <c r="CM198" s="284">
        <f>VLOOKUP(CM184,CL156:CW182,12,0)</f>
        <v>377.31</v>
      </c>
      <c r="CN198" s="284">
        <f t="shared" si="72"/>
        <v>0</v>
      </c>
      <c r="CO198" s="2250"/>
      <c r="CP198" s="2250"/>
      <c r="CQ198" s="2250"/>
      <c r="CR198" s="2250"/>
      <c r="CS198" s="2250"/>
      <c r="CT198" s="2250"/>
      <c r="CU198" s="2250"/>
      <c r="CV198" s="2250"/>
      <c r="CW198" s="2250"/>
      <c r="CX198" s="2250"/>
      <c r="CY198" s="2250"/>
      <c r="CZ198" s="284">
        <v>1650</v>
      </c>
      <c r="DA198" s="284">
        <f>VLOOKUP(DA184,CZ156:DK182,12,0)</f>
        <v>215.15</v>
      </c>
      <c r="DB198" s="284">
        <f t="shared" si="73"/>
        <v>0</v>
      </c>
      <c r="DC198" s="2250"/>
      <c r="DD198" s="2250"/>
      <c r="DE198" s="2250"/>
      <c r="DF198" s="2250"/>
      <c r="DG198" s="2250"/>
      <c r="DH198" s="2250"/>
      <c r="DI198" s="2250"/>
      <c r="DJ198" s="2250"/>
      <c r="DK198" s="2250"/>
      <c r="DL198" s="2250"/>
      <c r="DM198" s="2250"/>
      <c r="DN198" s="2250"/>
      <c r="DO198" s="2250"/>
      <c r="DP198" s="2250"/>
      <c r="DQ198" s="2277"/>
      <c r="DR198" s="2277"/>
      <c r="DS198" s="277"/>
      <c r="DW198" s="2275"/>
      <c r="DX198" s="284">
        <v>1650</v>
      </c>
      <c r="DY198" s="284">
        <f>VLOOKUP(DY184,DX156:EI182,12,0)</f>
        <v>1082.8699999999999</v>
      </c>
      <c r="DZ198" s="284">
        <f t="shared" si="74"/>
        <v>0</v>
      </c>
      <c r="EA198" s="2250"/>
      <c r="EB198" s="2250"/>
      <c r="EC198" s="2250"/>
      <c r="ED198" s="2250"/>
      <c r="EE198" s="2250"/>
      <c r="EF198" s="2250"/>
      <c r="EG198" s="2250"/>
      <c r="EH198" s="2250"/>
      <c r="EI198" s="2250"/>
      <c r="EJ198" s="2250"/>
      <c r="EK198" s="2250"/>
      <c r="EL198" s="284">
        <v>1650</v>
      </c>
      <c r="EM198" s="284">
        <f>VLOOKUP(EM184,EL156:EW182,12,0)</f>
        <v>783.27</v>
      </c>
      <c r="EN198" s="284">
        <f t="shared" si="75"/>
        <v>0</v>
      </c>
      <c r="EO198" s="2250"/>
      <c r="EP198" s="2250"/>
      <c r="EQ198" s="2250"/>
      <c r="ER198" s="2250"/>
      <c r="ES198" s="2250"/>
      <c r="ET198" s="2250"/>
      <c r="EU198" s="2250"/>
      <c r="EV198" s="2250"/>
      <c r="EW198" s="2250"/>
      <c r="EX198" s="2250"/>
      <c r="EY198" s="2250"/>
      <c r="EZ198" s="284">
        <v>1650</v>
      </c>
      <c r="FA198" s="284">
        <f>VLOOKUP(FA184,EZ156:FK182,12,0)</f>
        <v>600.34</v>
      </c>
      <c r="FB198" s="284">
        <f t="shared" si="76"/>
        <v>0</v>
      </c>
      <c r="FC198" s="2250"/>
      <c r="FD198" s="2250"/>
      <c r="FE198" s="2250"/>
      <c r="FF198" s="2250"/>
      <c r="FG198" s="2250"/>
      <c r="FH198" s="2250"/>
      <c r="FI198" s="2250"/>
      <c r="FJ198" s="2250"/>
      <c r="FK198" s="2250"/>
      <c r="FL198" s="2250"/>
      <c r="FM198" s="2250"/>
      <c r="FN198" s="284">
        <v>1650</v>
      </c>
      <c r="FO198" s="284">
        <f>VLOOKUP(FO184,FN156:FY182,12,0)</f>
        <v>347.13</v>
      </c>
      <c r="FP198" s="284">
        <f t="shared" si="77"/>
        <v>0</v>
      </c>
      <c r="FQ198" s="2250"/>
      <c r="FR198" s="2250"/>
      <c r="FS198" s="2250"/>
      <c r="FT198" s="2250"/>
      <c r="FU198" s="2250"/>
      <c r="FV198" s="2250"/>
      <c r="FW198" s="2250"/>
      <c r="FX198" s="2250"/>
      <c r="FY198" s="2250"/>
      <c r="FZ198" s="2250"/>
      <c r="GA198" s="2250"/>
      <c r="GB198" s="2276"/>
      <c r="GC198" s="2276"/>
      <c r="GD198" s="2250"/>
      <c r="GE198" s="2275"/>
      <c r="GF198" s="284">
        <v>1650</v>
      </c>
      <c r="GG198" s="284">
        <f>VLOOKUP(GG184,GF156:GQ182,12,0)</f>
        <v>993.96</v>
      </c>
      <c r="GH198" s="284">
        <f t="shared" si="78"/>
        <v>0</v>
      </c>
      <c r="GI198" s="2250"/>
      <c r="GJ198" s="2250"/>
      <c r="GK198" s="2250"/>
      <c r="GL198" s="2250"/>
      <c r="GM198" s="2250"/>
      <c r="GN198" s="2250"/>
      <c r="GO198" s="2250"/>
      <c r="GP198" s="2250"/>
      <c r="GQ198" s="2250"/>
      <c r="GR198" s="2250"/>
      <c r="GS198" s="2250"/>
      <c r="GT198" s="284">
        <v>1650</v>
      </c>
      <c r="GU198" s="284">
        <f>VLOOKUP(GU184,GT156:HE182,12,0)</f>
        <v>722.67</v>
      </c>
      <c r="GV198" s="284">
        <f t="shared" si="79"/>
        <v>0</v>
      </c>
      <c r="GW198" s="2250"/>
      <c r="GX198" s="2250"/>
      <c r="GY198" s="2250"/>
      <c r="GZ198" s="2250"/>
      <c r="HA198" s="2250"/>
      <c r="HB198" s="2250"/>
      <c r="HC198" s="2250"/>
      <c r="HD198" s="2250"/>
      <c r="HE198" s="2250"/>
      <c r="HF198" s="2250"/>
      <c r="HG198" s="2250"/>
      <c r="HH198" s="284">
        <v>1650</v>
      </c>
      <c r="HI198" s="284">
        <f>VLOOKUP(HI184,HH156:HS182,12,0)</f>
        <v>547.4</v>
      </c>
      <c r="HJ198" s="284">
        <f t="shared" si="80"/>
        <v>0</v>
      </c>
      <c r="HK198" s="2250"/>
      <c r="HL198" s="2250"/>
      <c r="HM198" s="2250"/>
      <c r="HN198" s="2250"/>
      <c r="HO198" s="2250"/>
      <c r="HP198" s="2250"/>
      <c r="HQ198" s="2250"/>
      <c r="HR198" s="2250"/>
      <c r="HS198" s="2250"/>
      <c r="HT198" s="2250"/>
      <c r="HU198" s="2250"/>
      <c r="HV198" s="284">
        <v>1650</v>
      </c>
      <c r="HW198" s="284">
        <f>VLOOKUP(HW184,HV156:IG182,12,0)</f>
        <v>316.93</v>
      </c>
      <c r="HX198" s="284">
        <f t="shared" si="81"/>
        <v>0</v>
      </c>
      <c r="HY198" s="2250"/>
      <c r="HZ198" s="2250"/>
      <c r="IA198" s="2250"/>
      <c r="IB198" s="2250"/>
      <c r="IC198" s="2250"/>
      <c r="ID198" s="2250"/>
      <c r="IE198" s="2250"/>
      <c r="IF198" s="2250"/>
      <c r="IG198" s="2250"/>
      <c r="IH198" s="2250"/>
      <c r="II198" s="2250"/>
      <c r="IJ198" s="2250"/>
      <c r="IK198" s="2250"/>
      <c r="IL198" s="2250"/>
      <c r="IN198" s="277"/>
      <c r="IO198" s="277"/>
    </row>
    <row r="199" spans="1:249" ht="21.95" customHeight="1">
      <c r="A199" s="2275"/>
      <c r="B199" s="284"/>
      <c r="C199" s="284"/>
      <c r="D199" s="284"/>
      <c r="E199" s="284"/>
      <c r="F199" s="2250"/>
      <c r="G199" s="2250"/>
      <c r="H199" s="2250"/>
      <c r="I199" s="2250"/>
      <c r="J199" s="2250"/>
      <c r="K199" s="2250"/>
      <c r="L199" s="2250"/>
      <c r="M199" s="2250"/>
      <c r="N199" s="2250"/>
      <c r="O199" s="2250"/>
      <c r="P199" s="284"/>
      <c r="Q199" s="284"/>
      <c r="R199" s="284"/>
      <c r="S199" s="284"/>
      <c r="T199" s="2250"/>
      <c r="U199" s="2250"/>
      <c r="V199" s="2250"/>
      <c r="W199" s="2250"/>
      <c r="X199" s="2250"/>
      <c r="Y199" s="2250"/>
      <c r="Z199" s="2250"/>
      <c r="AA199" s="2250"/>
      <c r="AB199" s="2250"/>
      <c r="AC199" s="2250"/>
      <c r="AD199" s="284"/>
      <c r="AE199" s="284"/>
      <c r="AF199" s="284"/>
      <c r="AG199" s="284"/>
      <c r="AH199" s="2250"/>
      <c r="AI199" s="2250"/>
      <c r="AJ199" s="2250"/>
      <c r="AK199" s="2250"/>
      <c r="AL199" s="2250"/>
      <c r="AM199" s="2250"/>
      <c r="AN199" s="2250"/>
      <c r="AO199" s="2250"/>
      <c r="AP199" s="2250"/>
      <c r="AQ199" s="2250"/>
      <c r="AR199" s="284"/>
      <c r="AS199" s="284"/>
      <c r="AT199" s="284"/>
      <c r="AU199" s="284"/>
      <c r="AV199" s="2250"/>
      <c r="AW199" s="2250"/>
      <c r="AX199" s="2250"/>
      <c r="AY199" s="2250"/>
      <c r="AZ199" s="2250"/>
      <c r="BA199" s="2250"/>
      <c r="BB199" s="2250"/>
      <c r="BC199" s="2250"/>
      <c r="BD199" s="2250"/>
      <c r="BE199" s="2250"/>
      <c r="BF199" s="2276"/>
      <c r="BG199" s="2276"/>
      <c r="BH199" s="2250"/>
      <c r="BI199" s="2275"/>
      <c r="BJ199" s="284"/>
      <c r="BK199" s="284"/>
      <c r="BL199" s="284"/>
      <c r="BM199" s="284"/>
      <c r="BN199" s="2250"/>
      <c r="BO199" s="2250"/>
      <c r="BP199" s="2250"/>
      <c r="BQ199" s="2250"/>
      <c r="BR199" s="2250"/>
      <c r="BS199" s="2250"/>
      <c r="BT199" s="2250"/>
      <c r="BU199" s="2250"/>
      <c r="BV199" s="2250"/>
      <c r="BW199" s="2250"/>
      <c r="BX199" s="284"/>
      <c r="BY199" s="284"/>
      <c r="BZ199" s="284"/>
      <c r="CA199" s="284"/>
      <c r="CB199" s="2250"/>
      <c r="CC199" s="2250"/>
      <c r="CD199" s="2250"/>
      <c r="CE199" s="2250"/>
      <c r="CF199" s="2250"/>
      <c r="CG199" s="2250"/>
      <c r="CH199" s="2250"/>
      <c r="CI199" s="2250"/>
      <c r="CJ199" s="2250"/>
      <c r="CK199" s="2250"/>
      <c r="CL199" s="284"/>
      <c r="CM199" s="284"/>
      <c r="CN199" s="284"/>
      <c r="CO199" s="284"/>
      <c r="CP199" s="2250"/>
      <c r="CQ199" s="2250"/>
      <c r="CR199" s="2250"/>
      <c r="CS199" s="2250"/>
      <c r="CT199" s="2250"/>
      <c r="CU199" s="2250"/>
      <c r="CV199" s="2250"/>
      <c r="CW199" s="2250"/>
      <c r="CX199" s="2250"/>
      <c r="CY199" s="2250"/>
      <c r="CZ199" s="284"/>
      <c r="DA199" s="284"/>
      <c r="DB199" s="284"/>
      <c r="DC199" s="284"/>
      <c r="DD199" s="2250"/>
      <c r="DE199" s="2250"/>
      <c r="DF199" s="2250"/>
      <c r="DG199" s="2250"/>
      <c r="DH199" s="2250"/>
      <c r="DI199" s="2250"/>
      <c r="DJ199" s="2250"/>
      <c r="DK199" s="2250"/>
      <c r="DL199" s="2250"/>
      <c r="DM199" s="2250"/>
      <c r="DN199" s="2250"/>
      <c r="DO199" s="2250"/>
      <c r="DP199" s="2250"/>
      <c r="DQ199" s="2277"/>
      <c r="DR199" s="2277"/>
      <c r="DS199" s="277"/>
      <c r="DW199" s="2275"/>
      <c r="DX199" s="284"/>
      <c r="DY199" s="284"/>
      <c r="DZ199" s="284"/>
      <c r="EA199" s="284"/>
      <c r="EB199" s="2250"/>
      <c r="EC199" s="2250"/>
      <c r="ED199" s="2250"/>
      <c r="EE199" s="2250"/>
      <c r="EF199" s="2250"/>
      <c r="EG199" s="2250"/>
      <c r="EH199" s="2250"/>
      <c r="EI199" s="2250"/>
      <c r="EJ199" s="2250"/>
      <c r="EK199" s="2250"/>
      <c r="EL199" s="284"/>
      <c r="EM199" s="284"/>
      <c r="EN199" s="284"/>
      <c r="EO199" s="284"/>
      <c r="EP199" s="2250"/>
      <c r="EQ199" s="2250"/>
      <c r="ER199" s="2250"/>
      <c r="ES199" s="2250"/>
      <c r="ET199" s="2250"/>
      <c r="EU199" s="2250"/>
      <c r="EV199" s="2250"/>
      <c r="EW199" s="2250"/>
      <c r="EX199" s="2250"/>
      <c r="EY199" s="2250"/>
      <c r="EZ199" s="284"/>
      <c r="FA199" s="284"/>
      <c r="FB199" s="284"/>
      <c r="FC199" s="284"/>
      <c r="FD199" s="2250"/>
      <c r="FE199" s="2250"/>
      <c r="FF199" s="2250"/>
      <c r="FG199" s="2250"/>
      <c r="FH199" s="2250"/>
      <c r="FI199" s="2250"/>
      <c r="FJ199" s="2250"/>
      <c r="FK199" s="2250"/>
      <c r="FL199" s="2250"/>
      <c r="FM199" s="2250"/>
      <c r="FN199" s="284"/>
      <c r="FO199" s="284"/>
      <c r="FP199" s="284"/>
      <c r="FQ199" s="284"/>
      <c r="FR199" s="2250"/>
      <c r="FS199" s="2250"/>
      <c r="FT199" s="2250"/>
      <c r="FU199" s="2250"/>
      <c r="FV199" s="2250"/>
      <c r="FW199" s="2250"/>
      <c r="FX199" s="2250"/>
      <c r="FY199" s="2250"/>
      <c r="FZ199" s="2250"/>
      <c r="GA199" s="2250"/>
      <c r="GB199" s="2276"/>
      <c r="GC199" s="2276"/>
      <c r="GD199" s="2250"/>
      <c r="GE199" s="2275"/>
      <c r="GF199" s="284"/>
      <c r="GG199" s="284"/>
      <c r="GH199" s="284"/>
      <c r="GI199" s="284"/>
      <c r="GJ199" s="2250"/>
      <c r="GK199" s="2250"/>
      <c r="GL199" s="2250"/>
      <c r="GM199" s="2250"/>
      <c r="GN199" s="2250"/>
      <c r="GO199" s="2250"/>
      <c r="GP199" s="2250"/>
      <c r="GQ199" s="2250"/>
      <c r="GR199" s="2250"/>
      <c r="GS199" s="2250"/>
      <c r="GT199" s="284"/>
      <c r="GU199" s="284"/>
      <c r="GV199" s="284"/>
      <c r="GW199" s="284"/>
      <c r="GX199" s="2250"/>
      <c r="GY199" s="2250"/>
      <c r="GZ199" s="2250"/>
      <c r="HA199" s="2250"/>
      <c r="HB199" s="2250"/>
      <c r="HC199" s="2250"/>
      <c r="HD199" s="2250"/>
      <c r="HE199" s="2250"/>
      <c r="HF199" s="2250"/>
      <c r="HG199" s="2250"/>
      <c r="HH199" s="284"/>
      <c r="HI199" s="284"/>
      <c r="HJ199" s="284"/>
      <c r="HK199" s="284"/>
      <c r="HL199" s="2250"/>
      <c r="HM199" s="2250"/>
      <c r="HN199" s="2250"/>
      <c r="HO199" s="2250"/>
      <c r="HP199" s="2250"/>
      <c r="HQ199" s="2250"/>
      <c r="HR199" s="2250"/>
      <c r="HS199" s="2250"/>
      <c r="HT199" s="2250"/>
      <c r="HU199" s="2250"/>
      <c r="HV199" s="284"/>
      <c r="HW199" s="284"/>
      <c r="HX199" s="284"/>
      <c r="HY199" s="284"/>
      <c r="HZ199" s="2250"/>
      <c r="IA199" s="2250"/>
      <c r="IB199" s="2250"/>
      <c r="IC199" s="2250"/>
      <c r="ID199" s="2250"/>
      <c r="IE199" s="2250"/>
      <c r="IF199" s="2250"/>
      <c r="IG199" s="2250"/>
      <c r="IH199" s="2250"/>
      <c r="II199" s="2250"/>
      <c r="IJ199" s="2250"/>
      <c r="IK199" s="2250"/>
      <c r="IL199" s="2250"/>
      <c r="IN199" s="277"/>
      <c r="IO199" s="277"/>
    </row>
    <row r="200" spans="1:249" ht="21.95" customHeight="1">
      <c r="A200" s="2275"/>
      <c r="B200" s="284"/>
      <c r="C200" s="284">
        <f>VLOOKUP(C185,C187:C198,1)</f>
        <v>0</v>
      </c>
      <c r="D200" s="284">
        <f>VLOOKUP(C200,C187:D198,2,0)</f>
        <v>10.1</v>
      </c>
      <c r="E200" s="284"/>
      <c r="F200" s="2250"/>
      <c r="G200" s="2250"/>
      <c r="H200" s="2250"/>
      <c r="I200" s="2250"/>
      <c r="J200" s="2250"/>
      <c r="K200" s="2250"/>
      <c r="L200" s="2250"/>
      <c r="M200" s="2250"/>
      <c r="N200" s="2250"/>
      <c r="O200" s="2250"/>
      <c r="P200" s="284"/>
      <c r="Q200" s="284">
        <f>VLOOKUP(Q185,Q187:Q198,1)</f>
        <v>0</v>
      </c>
      <c r="R200" s="284">
        <f>VLOOKUP(Q200,Q187:R198,2,0)</f>
        <v>7.33</v>
      </c>
      <c r="S200" s="284"/>
      <c r="T200" s="2250"/>
      <c r="U200" s="2250"/>
      <c r="V200" s="2250"/>
      <c r="W200" s="2250"/>
      <c r="X200" s="2250"/>
      <c r="Y200" s="2250"/>
      <c r="Z200" s="2250"/>
      <c r="AA200" s="2250"/>
      <c r="AB200" s="2250"/>
      <c r="AC200" s="2250"/>
      <c r="AD200" s="284"/>
      <c r="AE200" s="284">
        <f>VLOOKUP(AE185,AE187:AE198,1)</f>
        <v>0</v>
      </c>
      <c r="AF200" s="284">
        <f>VLOOKUP(AE200,AE187:AF198,2,0)</f>
        <v>6.43</v>
      </c>
      <c r="AG200" s="284"/>
      <c r="AH200" s="2250"/>
      <c r="AI200" s="2250"/>
      <c r="AJ200" s="2250"/>
      <c r="AK200" s="2250"/>
      <c r="AL200" s="2250"/>
      <c r="AM200" s="2250"/>
      <c r="AN200" s="2250"/>
      <c r="AO200" s="2250"/>
      <c r="AP200" s="2250"/>
      <c r="AQ200" s="2250"/>
      <c r="AR200" s="284"/>
      <c r="AS200" s="284">
        <f>VLOOKUP(AS185,AS187:AS198,1)</f>
        <v>0</v>
      </c>
      <c r="AT200" s="284">
        <f>VLOOKUP(AS200,AS187:AT198,2,0)</f>
        <v>3.86</v>
      </c>
      <c r="AU200" s="284"/>
      <c r="AV200" s="2250"/>
      <c r="AW200" s="2250"/>
      <c r="AX200" s="2250"/>
      <c r="AY200" s="2250"/>
      <c r="AZ200" s="2250"/>
      <c r="BA200" s="2250"/>
      <c r="BB200" s="2250"/>
      <c r="BC200" s="2250"/>
      <c r="BD200" s="2250"/>
      <c r="BE200" s="2250"/>
      <c r="BF200" s="2276"/>
      <c r="BG200" s="2276"/>
      <c r="BH200" s="2250"/>
      <c r="BI200" s="2275"/>
      <c r="BJ200" s="284"/>
      <c r="BK200" s="284">
        <f>VLOOKUP(BK185,BK187:BK198,1)</f>
        <v>0</v>
      </c>
      <c r="BL200" s="284">
        <f>VLOOKUP(BK200,BK187:BL198,2,0)</f>
        <v>9.31</v>
      </c>
      <c r="BM200" s="284"/>
      <c r="BN200" s="2250"/>
      <c r="BO200" s="2250"/>
      <c r="BP200" s="2250"/>
      <c r="BQ200" s="2250"/>
      <c r="BR200" s="2250"/>
      <c r="BS200" s="2250"/>
      <c r="BT200" s="2250"/>
      <c r="BU200" s="2250"/>
      <c r="BV200" s="2250"/>
      <c r="BW200" s="2250"/>
      <c r="BX200" s="284"/>
      <c r="BY200" s="284">
        <f>VLOOKUP(BY185,BY187:BY198,1)</f>
        <v>0</v>
      </c>
      <c r="BZ200" s="284">
        <f>VLOOKUP(BY200,BY187:BZ198,2,0)</f>
        <v>6.73</v>
      </c>
      <c r="CA200" s="284"/>
      <c r="CB200" s="2250"/>
      <c r="CC200" s="2250"/>
      <c r="CD200" s="2250"/>
      <c r="CE200" s="2250"/>
      <c r="CF200" s="2250"/>
      <c r="CG200" s="2250"/>
      <c r="CH200" s="2250"/>
      <c r="CI200" s="2250"/>
      <c r="CJ200" s="2250"/>
      <c r="CK200" s="2250"/>
      <c r="CL200" s="284"/>
      <c r="CM200" s="284">
        <f>VLOOKUP(CM185,CM187:CM198,1)</f>
        <v>0</v>
      </c>
      <c r="CN200" s="284">
        <f>VLOOKUP(CM200,CM187:CN198,2,0)</f>
        <v>5.87</v>
      </c>
      <c r="CO200" s="284"/>
      <c r="CP200" s="2250"/>
      <c r="CQ200" s="2250"/>
      <c r="CR200" s="2250"/>
      <c r="CS200" s="2250"/>
      <c r="CT200" s="2250"/>
      <c r="CU200" s="2250"/>
      <c r="CV200" s="2250"/>
      <c r="CW200" s="2250"/>
      <c r="CX200" s="2250"/>
      <c r="CY200" s="2250"/>
      <c r="CZ200" s="284"/>
      <c r="DA200" s="284">
        <f>VLOOKUP(DA185,DA187:DA198,1)</f>
        <v>0</v>
      </c>
      <c r="DB200" s="284">
        <f>VLOOKUP(DA200,DA187:DB198,2,0)</f>
        <v>3.76</v>
      </c>
      <c r="DC200" s="284"/>
      <c r="DD200" s="2250"/>
      <c r="DE200" s="2250"/>
      <c r="DF200" s="2250"/>
      <c r="DG200" s="2250"/>
      <c r="DH200" s="2250"/>
      <c r="DI200" s="2250"/>
      <c r="DJ200" s="2250"/>
      <c r="DK200" s="2250"/>
      <c r="DL200" s="2250"/>
      <c r="DM200" s="2250"/>
      <c r="DN200" s="2250"/>
      <c r="DO200" s="2250"/>
      <c r="DP200" s="2250"/>
      <c r="DQ200" s="2277"/>
      <c r="DR200" s="2277"/>
      <c r="DS200" s="277"/>
      <c r="DW200" s="2275"/>
      <c r="DX200" s="284"/>
      <c r="DY200" s="284">
        <f>VLOOKUP(DY185,DY187:DY198,1)</f>
        <v>0</v>
      </c>
      <c r="DZ200" s="284">
        <f>VLOOKUP(DY200,DY187:DZ198,2,0)</f>
        <v>14.95</v>
      </c>
      <c r="EA200" s="284"/>
      <c r="EB200" s="2250"/>
      <c r="EC200" s="2250"/>
      <c r="ED200" s="2250"/>
      <c r="EE200" s="2250"/>
      <c r="EF200" s="2250"/>
      <c r="EG200" s="2250"/>
      <c r="EH200" s="2250"/>
      <c r="EI200" s="2250"/>
      <c r="EJ200" s="2250"/>
      <c r="EK200" s="2250"/>
      <c r="EL200" s="284"/>
      <c r="EM200" s="284">
        <f>VLOOKUP(EM185,EM187:EM198,1)</f>
        <v>0</v>
      </c>
      <c r="EN200" s="284">
        <f>VLOOKUP(EM200,EM187:EN198,2,0)</f>
        <v>10.79</v>
      </c>
      <c r="EO200" s="284"/>
      <c r="EP200" s="2250"/>
      <c r="EQ200" s="2250"/>
      <c r="ER200" s="2250"/>
      <c r="ES200" s="2250"/>
      <c r="ET200" s="2250"/>
      <c r="EU200" s="2250"/>
      <c r="EV200" s="2250"/>
      <c r="EW200" s="2250"/>
      <c r="EX200" s="2250"/>
      <c r="EY200" s="2250"/>
      <c r="EZ200" s="284"/>
      <c r="FA200" s="284">
        <f>VLOOKUP(FA185,FA187:FA198,1)</f>
        <v>0</v>
      </c>
      <c r="FB200" s="284">
        <f>VLOOKUP(FA200,FA187:FB198,2,0)</f>
        <v>9.26</v>
      </c>
      <c r="FC200" s="284"/>
      <c r="FD200" s="2250"/>
      <c r="FE200" s="2250"/>
      <c r="FF200" s="2250"/>
      <c r="FG200" s="2250"/>
      <c r="FH200" s="2250"/>
      <c r="FI200" s="2250"/>
      <c r="FJ200" s="2250"/>
      <c r="FK200" s="2250"/>
      <c r="FL200" s="2250"/>
      <c r="FM200" s="2250"/>
      <c r="FN200" s="284"/>
      <c r="FO200" s="284">
        <f>VLOOKUP(FO185,FO187:FO198,1)</f>
        <v>0</v>
      </c>
      <c r="FP200" s="284">
        <f>VLOOKUP(FO200,FO187:FP198,2,0)</f>
        <v>5.35</v>
      </c>
      <c r="FQ200" s="284"/>
      <c r="FR200" s="2250"/>
      <c r="FS200" s="2250"/>
      <c r="FT200" s="2250"/>
      <c r="FU200" s="2250"/>
      <c r="FV200" s="2250"/>
      <c r="FW200" s="2250"/>
      <c r="FX200" s="2250"/>
      <c r="FY200" s="2250"/>
      <c r="FZ200" s="2250"/>
      <c r="GA200" s="2250"/>
      <c r="GB200" s="2276"/>
      <c r="GC200" s="2276"/>
      <c r="GD200" s="2250"/>
      <c r="GE200" s="2275"/>
      <c r="GF200" s="284"/>
      <c r="GG200" s="284">
        <f>VLOOKUP(GG185,GG187:GG198,1)</f>
        <v>0</v>
      </c>
      <c r="GH200" s="284">
        <f>VLOOKUP(GG200,GG187:GH198,2,0)</f>
        <v>13.66</v>
      </c>
      <c r="GI200" s="284"/>
      <c r="GJ200" s="2250"/>
      <c r="GK200" s="2250"/>
      <c r="GL200" s="2250"/>
      <c r="GM200" s="2250"/>
      <c r="GN200" s="2250"/>
      <c r="GO200" s="2250"/>
      <c r="GP200" s="2250"/>
      <c r="GQ200" s="2250"/>
      <c r="GR200" s="2250"/>
      <c r="GS200" s="2250"/>
      <c r="GT200" s="284"/>
      <c r="GU200" s="284">
        <f>VLOOKUP(GU185,GU187:GU198,1)</f>
        <v>0</v>
      </c>
      <c r="GV200" s="284">
        <f>VLOOKUP(GU200,GU187:GV198,2,0)</f>
        <v>9.8000000000000007</v>
      </c>
      <c r="GW200" s="284"/>
      <c r="GX200" s="2250"/>
      <c r="GY200" s="2250"/>
      <c r="GZ200" s="2250"/>
      <c r="HA200" s="2250"/>
      <c r="HB200" s="2250"/>
      <c r="HC200" s="2250"/>
      <c r="HD200" s="2250"/>
      <c r="HE200" s="2250"/>
      <c r="HF200" s="2250"/>
      <c r="HG200" s="2250"/>
      <c r="HH200" s="284"/>
      <c r="HI200" s="284">
        <f>VLOOKUP(HI185,HI187:HI198,1)</f>
        <v>0</v>
      </c>
      <c r="HJ200" s="284">
        <f>VLOOKUP(HI200,HI187:HJ198,2,0)</f>
        <v>8.58</v>
      </c>
      <c r="HK200" s="284"/>
      <c r="HL200" s="2250"/>
      <c r="HM200" s="2250"/>
      <c r="HN200" s="2250"/>
      <c r="HO200" s="2250"/>
      <c r="HP200" s="2250"/>
      <c r="HQ200" s="2250"/>
      <c r="HR200" s="2250"/>
      <c r="HS200" s="2250"/>
      <c r="HT200" s="2250"/>
      <c r="HU200" s="2250"/>
      <c r="HV200" s="284"/>
      <c r="HW200" s="284">
        <f>VLOOKUP(HW185,HW187:HW198,1)</f>
        <v>0</v>
      </c>
      <c r="HX200" s="284">
        <f>VLOOKUP(HW200,HW187:HX198,2,0)</f>
        <v>5.25</v>
      </c>
      <c r="HY200" s="284"/>
      <c r="HZ200" s="2250"/>
      <c r="IA200" s="2250"/>
      <c r="IB200" s="2250"/>
      <c r="IC200" s="2250"/>
      <c r="ID200" s="2250"/>
      <c r="IE200" s="2250"/>
      <c r="IF200" s="2250"/>
      <c r="IG200" s="2250"/>
      <c r="IH200" s="2250"/>
      <c r="II200" s="2250"/>
      <c r="IJ200" s="2250"/>
      <c r="IK200" s="2250"/>
      <c r="IL200" s="2250"/>
      <c r="IN200" s="277"/>
      <c r="IO200" s="277"/>
    </row>
    <row r="201" spans="1:249" ht="21.95" customHeight="1" thickBot="1">
      <c r="A201" s="2275"/>
      <c r="B201" s="284"/>
      <c r="C201" s="284">
        <f>IFERROR(VLOOKUP(C185,C187:C198,1,0),0)</f>
        <v>0</v>
      </c>
      <c r="D201" s="2322">
        <f>IF(C201&gt;0,C201,D200)</f>
        <v>10.1</v>
      </c>
      <c r="E201" s="2322">
        <f>VLOOKUP(D201,D187:E198,2,0)</f>
        <v>400</v>
      </c>
      <c r="F201" s="2250"/>
      <c r="G201" s="2250"/>
      <c r="H201" s="2250"/>
      <c r="I201" s="2250"/>
      <c r="J201" s="2250"/>
      <c r="K201" s="2250"/>
      <c r="L201" s="2250"/>
      <c r="M201" s="2250"/>
      <c r="N201" s="2250"/>
      <c r="O201" s="2250"/>
      <c r="P201" s="284"/>
      <c r="Q201" s="284">
        <f>IFERROR(VLOOKUP(Q185,Q187:Q198,1,0),0)</f>
        <v>0</v>
      </c>
      <c r="R201" s="2322">
        <f>IF(Q201&gt;0,Q201,R200)</f>
        <v>7.33</v>
      </c>
      <c r="S201" s="2322">
        <f>VLOOKUP(R201,R187:S198,2,0)</f>
        <v>400</v>
      </c>
      <c r="T201" s="2250"/>
      <c r="U201" s="2250"/>
      <c r="V201" s="2250"/>
      <c r="W201" s="2250"/>
      <c r="X201" s="2250"/>
      <c r="Y201" s="2250"/>
      <c r="Z201" s="2250"/>
      <c r="AA201" s="2250"/>
      <c r="AB201" s="2250"/>
      <c r="AC201" s="2250"/>
      <c r="AD201" s="284"/>
      <c r="AE201" s="284">
        <f>IFERROR(VLOOKUP(AE185,AE187:AE198,1,0),0)</f>
        <v>0</v>
      </c>
      <c r="AF201" s="2322">
        <f>IF(AE201&gt;0,AE201,AF200)</f>
        <v>6.43</v>
      </c>
      <c r="AG201" s="2322">
        <f>VLOOKUP(AF201,AF187:AG198,2,0)</f>
        <v>400</v>
      </c>
      <c r="AH201" s="2250"/>
      <c r="AI201" s="2250"/>
      <c r="AJ201" s="2250"/>
      <c r="AK201" s="2250"/>
      <c r="AL201" s="2250"/>
      <c r="AM201" s="2250"/>
      <c r="AN201" s="2250"/>
      <c r="AO201" s="2250"/>
      <c r="AP201" s="2250"/>
      <c r="AQ201" s="2250"/>
      <c r="AR201" s="284"/>
      <c r="AS201" s="284">
        <f>IFERROR(VLOOKUP(AS185,AS187:AS198,1,0),0)</f>
        <v>0</v>
      </c>
      <c r="AT201" s="2322">
        <f>IF(AS201&gt;0,AS201,AT200)</f>
        <v>3.86</v>
      </c>
      <c r="AU201" s="2322">
        <f>VLOOKUP(AT201,AT187:AU198,2,0)</f>
        <v>400</v>
      </c>
      <c r="AV201" s="2250"/>
      <c r="AW201" s="2250"/>
      <c r="AX201" s="2250"/>
      <c r="AY201" s="2250"/>
      <c r="AZ201" s="2250"/>
      <c r="BA201" s="2250"/>
      <c r="BB201" s="2250"/>
      <c r="BC201" s="2250"/>
      <c r="BD201" s="2250"/>
      <c r="BE201" s="2250"/>
      <c r="BF201" s="2276"/>
      <c r="BG201" s="2276"/>
      <c r="BH201" s="2250"/>
      <c r="BI201" s="2275"/>
      <c r="BJ201" s="284"/>
      <c r="BK201" s="284">
        <f>IFERROR(VLOOKUP(BK185,BK187:BK198,1,0),0)</f>
        <v>0</v>
      </c>
      <c r="BL201" s="2322">
        <f>IF(BK201&gt;0,BK201,BL200)</f>
        <v>9.31</v>
      </c>
      <c r="BM201" s="2322">
        <f>VLOOKUP(BL201,BL187:BM198,2,0)</f>
        <v>400</v>
      </c>
      <c r="BN201" s="2250"/>
      <c r="BO201" s="2250"/>
      <c r="BP201" s="2250"/>
      <c r="BQ201" s="2250"/>
      <c r="BR201" s="2250"/>
      <c r="BS201" s="2250"/>
      <c r="BT201" s="2250"/>
      <c r="BU201" s="2250"/>
      <c r="BV201" s="2250"/>
      <c r="BW201" s="2250"/>
      <c r="BX201" s="284"/>
      <c r="BY201" s="284">
        <f>IFERROR(VLOOKUP(BY185,BY187:BY198,1,0),0)</f>
        <v>0</v>
      </c>
      <c r="BZ201" s="2322">
        <f>IF(BY201&gt;0,BY201,BZ200)</f>
        <v>6.73</v>
      </c>
      <c r="CA201" s="2322">
        <f>VLOOKUP(BZ201,BZ187:CA198,2,0)</f>
        <v>400</v>
      </c>
      <c r="CB201" s="2250"/>
      <c r="CC201" s="2250"/>
      <c r="CD201" s="2250"/>
      <c r="CE201" s="2250"/>
      <c r="CF201" s="2250"/>
      <c r="CG201" s="2250"/>
      <c r="CH201" s="2250"/>
      <c r="CI201" s="2250"/>
      <c r="CJ201" s="2250"/>
      <c r="CK201" s="2250"/>
      <c r="CL201" s="284"/>
      <c r="CM201" s="284">
        <f>IFERROR(VLOOKUP(CM185,CM187:CM198,1,0),0)</f>
        <v>0</v>
      </c>
      <c r="CN201" s="2322">
        <f>IF(CM201&gt;0,CM201,CN200)</f>
        <v>5.87</v>
      </c>
      <c r="CO201" s="2322">
        <f>VLOOKUP(CN201,CN187:CO198,2,0)</f>
        <v>400</v>
      </c>
      <c r="CP201" s="2250"/>
      <c r="CQ201" s="2250"/>
      <c r="CR201" s="2250"/>
      <c r="CS201" s="2250"/>
      <c r="CT201" s="2250"/>
      <c r="CU201" s="2250"/>
      <c r="CV201" s="2250"/>
      <c r="CW201" s="2250"/>
      <c r="CX201" s="2250"/>
      <c r="CY201" s="2250"/>
      <c r="CZ201" s="284"/>
      <c r="DA201" s="284">
        <f>IFERROR(VLOOKUP(DA185,DA187:DA198,1,0),0)</f>
        <v>0</v>
      </c>
      <c r="DB201" s="2322">
        <f>IF(DA201&gt;0,DA201,DB200)</f>
        <v>3.76</v>
      </c>
      <c r="DC201" s="2322">
        <f>VLOOKUP(DB201,DB187:DC198,2,0)</f>
        <v>400</v>
      </c>
      <c r="DD201" s="2250"/>
      <c r="DE201" s="2250"/>
      <c r="DF201" s="2250"/>
      <c r="DG201" s="2250"/>
      <c r="DH201" s="2250"/>
      <c r="DI201" s="2250"/>
      <c r="DJ201" s="2250"/>
      <c r="DK201" s="2250"/>
      <c r="DL201" s="2250"/>
      <c r="DM201" s="2250"/>
      <c r="DN201" s="2250"/>
      <c r="DO201" s="2250"/>
      <c r="DP201" s="2250"/>
      <c r="DQ201" s="2277"/>
      <c r="DR201" s="2277"/>
      <c r="DS201" s="277"/>
      <c r="DW201" s="2275"/>
      <c r="DX201" s="284"/>
      <c r="DY201" s="284">
        <f>IFERROR(VLOOKUP(DY185,DY187:DY198,1,0),0)</f>
        <v>0</v>
      </c>
      <c r="DZ201" s="2322">
        <f>IF(DY201&gt;0,DY201,DZ200)</f>
        <v>14.95</v>
      </c>
      <c r="EA201" s="2322">
        <f>VLOOKUP(DZ201,DZ187:EA198,2,0)</f>
        <v>400</v>
      </c>
      <c r="EB201" s="2250"/>
      <c r="EC201" s="2250"/>
      <c r="ED201" s="2250"/>
      <c r="EE201" s="2250"/>
      <c r="EF201" s="2250"/>
      <c r="EG201" s="2250"/>
      <c r="EH201" s="2250"/>
      <c r="EI201" s="2250"/>
      <c r="EJ201" s="2250"/>
      <c r="EK201" s="2250"/>
      <c r="EL201" s="284"/>
      <c r="EM201" s="284">
        <f>IFERROR(VLOOKUP(EM185,EM187:EM198,1,0),0)</f>
        <v>0</v>
      </c>
      <c r="EN201" s="2322">
        <f>IF(EM201&gt;0,EM201,EN200)</f>
        <v>10.79</v>
      </c>
      <c r="EO201" s="2322">
        <f>VLOOKUP(EN201,EN187:EO198,2,0)</f>
        <v>400</v>
      </c>
      <c r="EP201" s="2250"/>
      <c r="EQ201" s="2250"/>
      <c r="ER201" s="2250"/>
      <c r="ES201" s="2250"/>
      <c r="ET201" s="2250"/>
      <c r="EU201" s="2250"/>
      <c r="EV201" s="2250"/>
      <c r="EW201" s="2250"/>
      <c r="EX201" s="2250"/>
      <c r="EY201" s="2250"/>
      <c r="EZ201" s="284"/>
      <c r="FA201" s="284">
        <f>IFERROR(VLOOKUP(FA185,FA187:FA198,1,0),0)</f>
        <v>0</v>
      </c>
      <c r="FB201" s="2322">
        <f>IF(FA201&gt;0,FA201,FB200)</f>
        <v>9.26</v>
      </c>
      <c r="FC201" s="2322">
        <f>VLOOKUP(FB201,FB187:FC198,2,0)</f>
        <v>400</v>
      </c>
      <c r="FD201" s="2250"/>
      <c r="FE201" s="2250"/>
      <c r="FF201" s="2250"/>
      <c r="FG201" s="2250"/>
      <c r="FH201" s="2250"/>
      <c r="FI201" s="2250"/>
      <c r="FJ201" s="2250"/>
      <c r="FK201" s="2250"/>
      <c r="FL201" s="2250"/>
      <c r="FM201" s="2250"/>
      <c r="FN201" s="284"/>
      <c r="FO201" s="284">
        <f>IFERROR(VLOOKUP(FO185,FO187:FO198,1,0),0)</f>
        <v>0</v>
      </c>
      <c r="FP201" s="2322">
        <f>IF(FO201&gt;0,FO201,FP200)</f>
        <v>5.35</v>
      </c>
      <c r="FQ201" s="2322">
        <f>VLOOKUP(FP201,FP187:FQ198,2,0)</f>
        <v>400</v>
      </c>
      <c r="FR201" s="2250"/>
      <c r="FS201" s="2250"/>
      <c r="FT201" s="2250"/>
      <c r="FU201" s="2250"/>
      <c r="FV201" s="2250"/>
      <c r="FW201" s="2250"/>
      <c r="FX201" s="2250"/>
      <c r="FY201" s="2250"/>
      <c r="FZ201" s="2250"/>
      <c r="GA201" s="2250"/>
      <c r="GB201" s="2276"/>
      <c r="GC201" s="2276"/>
      <c r="GD201" s="2250"/>
      <c r="GE201" s="2275"/>
      <c r="GF201" s="284"/>
      <c r="GG201" s="284">
        <f>IFERROR(VLOOKUP(GG185,GG187:GG198,1,0),0)</f>
        <v>0</v>
      </c>
      <c r="GH201" s="2322">
        <f>IF(GG201&gt;0,GG201,GH200)</f>
        <v>13.66</v>
      </c>
      <c r="GI201" s="2322">
        <f>VLOOKUP(GH201,GH187:GI198,2,0)</f>
        <v>400</v>
      </c>
      <c r="GJ201" s="2250"/>
      <c r="GK201" s="2250"/>
      <c r="GL201" s="2250"/>
      <c r="GM201" s="2250"/>
      <c r="GN201" s="2250"/>
      <c r="GO201" s="2250"/>
      <c r="GP201" s="2250"/>
      <c r="GQ201" s="2250"/>
      <c r="GR201" s="2250"/>
      <c r="GS201" s="2250"/>
      <c r="GT201" s="284"/>
      <c r="GU201" s="284">
        <f>IFERROR(VLOOKUP(GU185,GU187:GU198,1,0),0)</f>
        <v>0</v>
      </c>
      <c r="GV201" s="2322">
        <f>IF(GU201&gt;0,GU201,GV200)</f>
        <v>9.8000000000000007</v>
      </c>
      <c r="GW201" s="2322">
        <f>VLOOKUP(GV201,GV187:GW198,2,0)</f>
        <v>400</v>
      </c>
      <c r="GX201" s="2250"/>
      <c r="GY201" s="2250"/>
      <c r="GZ201" s="2250"/>
      <c r="HA201" s="2250"/>
      <c r="HB201" s="2250"/>
      <c r="HC201" s="2250"/>
      <c r="HD201" s="2250"/>
      <c r="HE201" s="2250"/>
      <c r="HF201" s="2250"/>
      <c r="HG201" s="2250"/>
      <c r="HH201" s="284"/>
      <c r="HI201" s="284">
        <f>IFERROR(VLOOKUP(HI185,HI187:HI198,1,0),0)</f>
        <v>0</v>
      </c>
      <c r="HJ201" s="2322">
        <f>IF(HI201&gt;0,HI201,HJ200)</f>
        <v>8.58</v>
      </c>
      <c r="HK201" s="2322">
        <f>VLOOKUP(HJ201,HJ187:HK198,2,0)</f>
        <v>400</v>
      </c>
      <c r="HL201" s="2250"/>
      <c r="HM201" s="2250"/>
      <c r="HN201" s="2250"/>
      <c r="HO201" s="2250"/>
      <c r="HP201" s="2250"/>
      <c r="HQ201" s="2250"/>
      <c r="HR201" s="2250"/>
      <c r="HS201" s="2250"/>
      <c r="HT201" s="2250"/>
      <c r="HU201" s="2250"/>
      <c r="HV201" s="284"/>
      <c r="HW201" s="284">
        <f>IFERROR(VLOOKUP(HW185,HW187:HW198,1,0),0)</f>
        <v>0</v>
      </c>
      <c r="HX201" s="2322">
        <f>IF(HW201&gt;0,HW201,HX200)</f>
        <v>5.25</v>
      </c>
      <c r="HY201" s="2322">
        <f>VLOOKUP(HX201,HX187:HY198,2,0)</f>
        <v>400</v>
      </c>
      <c r="HZ201" s="2250"/>
      <c r="IA201" s="2250"/>
      <c r="IB201" s="2250"/>
      <c r="IC201" s="2250"/>
      <c r="ID201" s="2250"/>
      <c r="IE201" s="2250"/>
      <c r="IF201" s="2250"/>
      <c r="IG201" s="2250"/>
      <c r="IH201" s="2250"/>
      <c r="II201" s="2250"/>
      <c r="IJ201" s="2250"/>
      <c r="IK201" s="2250"/>
      <c r="IL201" s="2250"/>
      <c r="IN201" s="277"/>
      <c r="IO201" s="277"/>
    </row>
    <row r="202" spans="1:249" ht="21.95" customHeight="1" thickBot="1">
      <c r="A202" s="2275"/>
      <c r="B202" s="2279" t="s">
        <v>714</v>
      </c>
      <c r="C202" s="2341"/>
      <c r="D202" s="2341">
        <f>D201</f>
        <v>10.1</v>
      </c>
      <c r="E202" s="2283">
        <f>E201</f>
        <v>400</v>
      </c>
      <c r="F202" s="2250"/>
      <c r="G202" s="2250"/>
      <c r="H202" s="2250"/>
      <c r="I202" s="2250"/>
      <c r="J202" s="2250"/>
      <c r="K202" s="2250"/>
      <c r="L202" s="2250"/>
      <c r="M202" s="2250"/>
      <c r="N202" s="2250"/>
      <c r="O202" s="2250"/>
      <c r="P202" s="2279" t="s">
        <v>714</v>
      </c>
      <c r="Q202" s="2341"/>
      <c r="R202" s="2341">
        <f>R201</f>
        <v>7.33</v>
      </c>
      <c r="S202" s="2283">
        <f>S201</f>
        <v>400</v>
      </c>
      <c r="T202" s="2250"/>
      <c r="U202" s="2250"/>
      <c r="V202" s="2250"/>
      <c r="W202" s="2250"/>
      <c r="X202" s="2250"/>
      <c r="Y202" s="2250"/>
      <c r="Z202" s="2250"/>
      <c r="AA202" s="2250"/>
      <c r="AB202" s="2250"/>
      <c r="AC202" s="2250"/>
      <c r="AD202" s="2279" t="s">
        <v>714</v>
      </c>
      <c r="AE202" s="2341"/>
      <c r="AF202" s="2341">
        <f>AF201</f>
        <v>6.43</v>
      </c>
      <c r="AG202" s="2283">
        <f>AG201</f>
        <v>400</v>
      </c>
      <c r="AH202" s="2250"/>
      <c r="AI202" s="2250"/>
      <c r="AJ202" s="2250"/>
      <c r="AK202" s="2250"/>
      <c r="AL202" s="2250"/>
      <c r="AM202" s="2250"/>
      <c r="AN202" s="2250"/>
      <c r="AO202" s="2250"/>
      <c r="AP202" s="2250"/>
      <c r="AQ202" s="2250"/>
      <c r="AR202" s="2279" t="s">
        <v>714</v>
      </c>
      <c r="AS202" s="2341"/>
      <c r="AT202" s="2341">
        <f>AT201</f>
        <v>3.86</v>
      </c>
      <c r="AU202" s="2283">
        <f>AU201</f>
        <v>400</v>
      </c>
      <c r="AV202" s="2250"/>
      <c r="AW202" s="2250"/>
      <c r="AX202" s="2250"/>
      <c r="AY202" s="2250"/>
      <c r="AZ202" s="2250"/>
      <c r="BA202" s="2250"/>
      <c r="BB202" s="2250"/>
      <c r="BC202" s="2250"/>
      <c r="BD202" s="2275"/>
      <c r="BE202" s="2275"/>
      <c r="BF202" s="2276"/>
      <c r="BG202" s="2276"/>
      <c r="BH202" s="2250"/>
      <c r="BI202" s="2275"/>
      <c r="BJ202" s="2279" t="s">
        <v>714</v>
      </c>
      <c r="BK202" s="2341"/>
      <c r="BL202" s="2341">
        <f>BL201</f>
        <v>9.31</v>
      </c>
      <c r="BM202" s="2283">
        <f>BM201</f>
        <v>400</v>
      </c>
      <c r="BN202" s="2250"/>
      <c r="BO202" s="2250"/>
      <c r="BP202" s="2250"/>
      <c r="BQ202" s="2250"/>
      <c r="BR202" s="2250"/>
      <c r="BS202" s="2250"/>
      <c r="BT202" s="2250"/>
      <c r="BU202" s="2250"/>
      <c r="BV202" s="2250"/>
      <c r="BW202" s="2250"/>
      <c r="BX202" s="2279" t="s">
        <v>714</v>
      </c>
      <c r="BY202" s="2341"/>
      <c r="BZ202" s="2341">
        <f>BZ201</f>
        <v>6.73</v>
      </c>
      <c r="CA202" s="2283">
        <f>CA201</f>
        <v>400</v>
      </c>
      <c r="CB202" s="2250"/>
      <c r="CC202" s="2250"/>
      <c r="CD202" s="2250"/>
      <c r="CE202" s="2250"/>
      <c r="CF202" s="2250"/>
      <c r="CG202" s="2250"/>
      <c r="CH202" s="2250"/>
      <c r="CI202" s="2250"/>
      <c r="CJ202" s="2250"/>
      <c r="CK202" s="2250"/>
      <c r="CL202" s="2279" t="s">
        <v>714</v>
      </c>
      <c r="CM202" s="2341"/>
      <c r="CN202" s="2341">
        <f>CN201</f>
        <v>5.87</v>
      </c>
      <c r="CO202" s="2283">
        <f>CO201</f>
        <v>400</v>
      </c>
      <c r="CP202" s="2250"/>
      <c r="CQ202" s="2250"/>
      <c r="CR202" s="2250"/>
      <c r="CS202" s="2250"/>
      <c r="CT202" s="2250"/>
      <c r="CU202" s="2250"/>
      <c r="CV202" s="2250"/>
      <c r="CW202" s="2250"/>
      <c r="CX202" s="2250"/>
      <c r="CY202" s="2250"/>
      <c r="CZ202" s="2279" t="s">
        <v>714</v>
      </c>
      <c r="DA202" s="2341"/>
      <c r="DB202" s="2341">
        <f>DB201</f>
        <v>3.76</v>
      </c>
      <c r="DC202" s="2283">
        <f>DC201</f>
        <v>400</v>
      </c>
      <c r="DD202" s="2250"/>
      <c r="DE202" s="2250"/>
      <c r="DF202" s="2250"/>
      <c r="DG202" s="2250"/>
      <c r="DH202" s="2250"/>
      <c r="DI202" s="2250"/>
      <c r="DJ202" s="2250"/>
      <c r="DK202" s="2250"/>
      <c r="DL202" s="2275"/>
      <c r="DM202" s="2275"/>
      <c r="DN202" s="2275"/>
      <c r="DO202" s="2275"/>
      <c r="DP202" s="2275"/>
      <c r="DQ202" s="2277"/>
      <c r="DR202" s="2277"/>
      <c r="DS202" s="277"/>
      <c r="DW202" s="2275"/>
      <c r="DX202" s="2279" t="s">
        <v>714</v>
      </c>
      <c r="DY202" s="2341"/>
      <c r="DZ202" s="2341">
        <f>DZ201</f>
        <v>14.95</v>
      </c>
      <c r="EA202" s="2283">
        <f>EA201</f>
        <v>400</v>
      </c>
      <c r="EB202" s="2250"/>
      <c r="EC202" s="2250"/>
      <c r="ED202" s="2250"/>
      <c r="EE202" s="2250"/>
      <c r="EF202" s="2250"/>
      <c r="EG202" s="2250"/>
      <c r="EH202" s="2250"/>
      <c r="EI202" s="2250"/>
      <c r="EJ202" s="2250"/>
      <c r="EK202" s="2250"/>
      <c r="EL202" s="2279" t="s">
        <v>714</v>
      </c>
      <c r="EM202" s="2341"/>
      <c r="EN202" s="2341">
        <f>EN201</f>
        <v>10.79</v>
      </c>
      <c r="EO202" s="2283">
        <f>EO201</f>
        <v>400</v>
      </c>
      <c r="EP202" s="2250"/>
      <c r="EQ202" s="2250"/>
      <c r="ER202" s="2250"/>
      <c r="ES202" s="2250"/>
      <c r="ET202" s="2250"/>
      <c r="EU202" s="2250"/>
      <c r="EV202" s="2250"/>
      <c r="EW202" s="2250"/>
      <c r="EX202" s="2250"/>
      <c r="EY202" s="2250"/>
      <c r="EZ202" s="2279" t="s">
        <v>714</v>
      </c>
      <c r="FA202" s="2341"/>
      <c r="FB202" s="2341">
        <f>FB201</f>
        <v>9.26</v>
      </c>
      <c r="FC202" s="2283">
        <f>FC201</f>
        <v>400</v>
      </c>
      <c r="FD202" s="2250"/>
      <c r="FE202" s="2250"/>
      <c r="FF202" s="2250"/>
      <c r="FG202" s="2250"/>
      <c r="FH202" s="2250"/>
      <c r="FI202" s="2250"/>
      <c r="FJ202" s="2250"/>
      <c r="FK202" s="2250"/>
      <c r="FL202" s="2250"/>
      <c r="FM202" s="2250"/>
      <c r="FN202" s="2279" t="s">
        <v>714</v>
      </c>
      <c r="FO202" s="2341"/>
      <c r="FP202" s="2341">
        <f>FP201</f>
        <v>5.35</v>
      </c>
      <c r="FQ202" s="2283">
        <f>FQ201</f>
        <v>400</v>
      </c>
      <c r="FR202" s="2250"/>
      <c r="FS202" s="2250"/>
      <c r="FT202" s="2250"/>
      <c r="FU202" s="2250"/>
      <c r="FV202" s="2250"/>
      <c r="FW202" s="2250"/>
      <c r="FX202" s="2250"/>
      <c r="FY202" s="2250"/>
      <c r="FZ202" s="2275"/>
      <c r="GA202" s="2275"/>
      <c r="GB202" s="2276"/>
      <c r="GC202" s="2276"/>
      <c r="GD202" s="2250"/>
      <c r="GE202" s="2275"/>
      <c r="GF202" s="2279" t="s">
        <v>714</v>
      </c>
      <c r="GG202" s="2341"/>
      <c r="GH202" s="2341">
        <f>GH201</f>
        <v>13.66</v>
      </c>
      <c r="GI202" s="2283">
        <f>GI201</f>
        <v>400</v>
      </c>
      <c r="GJ202" s="2250"/>
      <c r="GK202" s="2250"/>
      <c r="GL202" s="2250"/>
      <c r="GM202" s="2250"/>
      <c r="GN202" s="2250"/>
      <c r="GO202" s="2250"/>
      <c r="GP202" s="2250"/>
      <c r="GQ202" s="2250"/>
      <c r="GR202" s="2250"/>
      <c r="GS202" s="2250"/>
      <c r="GT202" s="2279" t="s">
        <v>714</v>
      </c>
      <c r="GU202" s="2341"/>
      <c r="GV202" s="2341">
        <f>GV201</f>
        <v>9.8000000000000007</v>
      </c>
      <c r="GW202" s="2283">
        <f>GW201</f>
        <v>400</v>
      </c>
      <c r="GX202" s="2250"/>
      <c r="GY202" s="2250"/>
      <c r="GZ202" s="2250"/>
      <c r="HA202" s="2250"/>
      <c r="HB202" s="2250"/>
      <c r="HC202" s="2250"/>
      <c r="HD202" s="2250"/>
      <c r="HE202" s="2250"/>
      <c r="HF202" s="2250"/>
      <c r="HG202" s="2250"/>
      <c r="HH202" s="2279" t="s">
        <v>714</v>
      </c>
      <c r="HI202" s="2341"/>
      <c r="HJ202" s="2341">
        <f>HJ201</f>
        <v>8.58</v>
      </c>
      <c r="HK202" s="2283">
        <f>HK201</f>
        <v>400</v>
      </c>
      <c r="HL202" s="2250"/>
      <c r="HM202" s="2250"/>
      <c r="HN202" s="2250"/>
      <c r="HO202" s="2250"/>
      <c r="HP202" s="2250"/>
      <c r="HQ202" s="2250"/>
      <c r="HR202" s="2250"/>
      <c r="HS202" s="2250"/>
      <c r="HT202" s="2250"/>
      <c r="HU202" s="2250"/>
      <c r="HV202" s="2279" t="s">
        <v>714</v>
      </c>
      <c r="HW202" s="2341"/>
      <c r="HX202" s="2341">
        <f>HX201</f>
        <v>5.25</v>
      </c>
      <c r="HY202" s="2283">
        <f>HY201</f>
        <v>400</v>
      </c>
      <c r="HZ202" s="2250"/>
      <c r="IA202" s="2250"/>
      <c r="IB202" s="2250"/>
      <c r="IC202" s="2250"/>
      <c r="ID202" s="2250"/>
      <c r="IE202" s="2250"/>
      <c r="IF202" s="2250"/>
      <c r="IG202" s="2250"/>
      <c r="IH202" s="2275"/>
      <c r="II202" s="2275"/>
      <c r="IJ202" s="2275"/>
      <c r="IK202" s="2275"/>
      <c r="IL202" s="2275"/>
      <c r="IN202" s="277"/>
      <c r="IO202" s="277"/>
    </row>
    <row r="203" spans="1:249" ht="21.95" customHeight="1">
      <c r="A203" s="2275"/>
      <c r="B203" s="2250"/>
      <c r="C203" s="2250"/>
      <c r="D203" s="2250"/>
      <c r="E203" s="2250"/>
      <c r="F203" s="2250"/>
      <c r="G203" s="2250"/>
      <c r="H203" s="2250"/>
      <c r="I203" s="2250"/>
      <c r="J203" s="2250"/>
      <c r="K203" s="2250"/>
      <c r="L203" s="2250"/>
      <c r="M203" s="2250"/>
      <c r="N203" s="2250"/>
      <c r="O203" s="2250"/>
      <c r="P203" s="2250"/>
      <c r="Q203" s="2250"/>
      <c r="R203" s="2250"/>
      <c r="S203" s="2250"/>
      <c r="T203" s="2250"/>
      <c r="U203" s="2250"/>
      <c r="V203" s="2250"/>
      <c r="W203" s="2250"/>
      <c r="X203" s="2250"/>
      <c r="Y203" s="2250"/>
      <c r="Z203" s="2250"/>
      <c r="AA203" s="2250"/>
      <c r="AB203" s="2250"/>
      <c r="AC203" s="2250"/>
      <c r="AD203" s="2250"/>
      <c r="AE203" s="2250"/>
      <c r="AF203" s="2250"/>
      <c r="AG203" s="2250"/>
      <c r="AH203" s="2250"/>
      <c r="AI203" s="2250"/>
      <c r="AJ203" s="2250"/>
      <c r="AK203" s="2250"/>
      <c r="AL203" s="2250"/>
      <c r="AM203" s="2250"/>
      <c r="AN203" s="2250"/>
      <c r="AO203" s="2250"/>
      <c r="AP203" s="2250"/>
      <c r="AQ203" s="2250"/>
      <c r="AR203" s="2250"/>
      <c r="AS203" s="2250"/>
      <c r="AT203" s="2250"/>
      <c r="AU203" s="2250"/>
      <c r="AV203" s="2250"/>
      <c r="AW203" s="2250"/>
      <c r="AX203" s="2250"/>
      <c r="AY203" s="2250"/>
      <c r="AZ203" s="2250"/>
      <c r="BA203" s="2250"/>
      <c r="BB203" s="2250"/>
      <c r="BC203" s="2250"/>
      <c r="BD203" s="2275"/>
      <c r="BE203" s="2275"/>
      <c r="BF203" s="2276"/>
      <c r="BG203" s="2276"/>
      <c r="BH203" s="2250"/>
      <c r="BI203" s="2275"/>
      <c r="BJ203" s="2250"/>
      <c r="BK203" s="2250"/>
      <c r="BL203" s="2250"/>
      <c r="BM203" s="2250"/>
      <c r="BN203" s="2250"/>
      <c r="BO203" s="2250"/>
      <c r="BP203" s="2250"/>
      <c r="BQ203" s="2250"/>
      <c r="BR203" s="2250"/>
      <c r="BS203" s="2250"/>
      <c r="BT203" s="2250"/>
      <c r="BU203" s="2250"/>
      <c r="BV203" s="2250"/>
      <c r="BW203" s="2250"/>
      <c r="BX203" s="2250"/>
      <c r="BY203" s="2250"/>
      <c r="BZ203" s="2250"/>
      <c r="CA203" s="2250"/>
      <c r="CB203" s="2250"/>
      <c r="CC203" s="2250"/>
      <c r="CD203" s="2250"/>
      <c r="CE203" s="2250"/>
      <c r="CF203" s="2250"/>
      <c r="CG203" s="2250"/>
      <c r="CH203" s="2250"/>
      <c r="CI203" s="2250"/>
      <c r="CJ203" s="2250"/>
      <c r="CK203" s="2250"/>
      <c r="CL203" s="2250"/>
      <c r="CM203" s="2250"/>
      <c r="CN203" s="2250"/>
      <c r="CO203" s="2250"/>
      <c r="CP203" s="2250"/>
      <c r="CQ203" s="2250"/>
      <c r="CR203" s="2250"/>
      <c r="CS203" s="2250"/>
      <c r="CT203" s="2250"/>
      <c r="CU203" s="2250"/>
      <c r="CV203" s="2250"/>
      <c r="CW203" s="2250"/>
      <c r="CX203" s="2250"/>
      <c r="CY203" s="2250"/>
      <c r="CZ203" s="2250"/>
      <c r="DA203" s="2250"/>
      <c r="DB203" s="2250"/>
      <c r="DC203" s="2250"/>
      <c r="DD203" s="2250"/>
      <c r="DE203" s="2250"/>
      <c r="DF203" s="2250"/>
      <c r="DG203" s="2250"/>
      <c r="DH203" s="2250"/>
      <c r="DI203" s="2250"/>
      <c r="DJ203" s="2250"/>
      <c r="DK203" s="2250"/>
      <c r="DL203" s="2275"/>
      <c r="DM203" s="2275"/>
      <c r="DN203" s="2275"/>
      <c r="DO203" s="2275"/>
      <c r="DP203" s="2275"/>
      <c r="DQ203" s="2277"/>
      <c r="DR203" s="2277"/>
      <c r="DS203" s="277"/>
      <c r="DW203" s="2275"/>
      <c r="DX203" s="2250"/>
      <c r="DY203" s="2250"/>
      <c r="DZ203" s="2250"/>
      <c r="EA203" s="2250"/>
      <c r="EB203" s="2250"/>
      <c r="EC203" s="2250"/>
      <c r="ED203" s="2250"/>
      <c r="EE203" s="2250"/>
      <c r="EF203" s="2250"/>
      <c r="EG203" s="2250"/>
      <c r="EH203" s="2250"/>
      <c r="EI203" s="2250"/>
      <c r="EJ203" s="2250"/>
      <c r="EK203" s="2250"/>
      <c r="EL203" s="2250"/>
      <c r="EM203" s="2250"/>
      <c r="EN203" s="2250"/>
      <c r="EO203" s="2250"/>
      <c r="EP203" s="2250"/>
      <c r="EQ203" s="2250"/>
      <c r="ER203" s="2250"/>
      <c r="ES203" s="2250"/>
      <c r="ET203" s="2250"/>
      <c r="EU203" s="2250"/>
      <c r="EV203" s="2250"/>
      <c r="EW203" s="2250"/>
      <c r="EX203" s="2250"/>
      <c r="EY203" s="2250"/>
      <c r="EZ203" s="2250"/>
      <c r="FA203" s="2250"/>
      <c r="FB203" s="2250"/>
      <c r="FC203" s="2250"/>
      <c r="FD203" s="2250"/>
      <c r="FE203" s="2250"/>
      <c r="FF203" s="2250"/>
      <c r="FG203" s="2250"/>
      <c r="FH203" s="2250"/>
      <c r="FI203" s="2250"/>
      <c r="FJ203" s="2250"/>
      <c r="FK203" s="2250"/>
      <c r="FL203" s="2250"/>
      <c r="FM203" s="2250"/>
      <c r="FN203" s="2250"/>
      <c r="FO203" s="2250"/>
      <c r="FP203" s="2250"/>
      <c r="FQ203" s="2250"/>
      <c r="FR203" s="2250"/>
      <c r="FS203" s="2250"/>
      <c r="FT203" s="2250"/>
      <c r="FU203" s="2250"/>
      <c r="FV203" s="2250"/>
      <c r="FW203" s="2250"/>
      <c r="FX203" s="2250"/>
      <c r="FY203" s="2250"/>
      <c r="FZ203" s="2275"/>
      <c r="GA203" s="2275"/>
      <c r="GB203" s="2276"/>
      <c r="GC203" s="2276"/>
      <c r="GD203" s="2250"/>
      <c r="GE203" s="2275"/>
      <c r="GF203" s="2250"/>
      <c r="GG203" s="2250"/>
      <c r="GH203" s="2250"/>
      <c r="GI203" s="2250"/>
      <c r="GJ203" s="2250"/>
      <c r="GK203" s="2250"/>
      <c r="GL203" s="2250"/>
      <c r="GM203" s="2250"/>
      <c r="GN203" s="2250"/>
      <c r="GO203" s="2250"/>
      <c r="GP203" s="2250"/>
      <c r="GQ203" s="2250"/>
      <c r="GR203" s="2250"/>
      <c r="GS203" s="2250"/>
      <c r="GT203" s="2250"/>
      <c r="GU203" s="2250"/>
      <c r="GV203" s="2250"/>
      <c r="GW203" s="2250"/>
      <c r="GX203" s="2250"/>
      <c r="GY203" s="2250"/>
      <c r="GZ203" s="2250"/>
      <c r="HA203" s="2250"/>
      <c r="HB203" s="2250"/>
      <c r="HC203" s="2250"/>
      <c r="HD203" s="2250"/>
      <c r="HE203" s="2250"/>
      <c r="HF203" s="2250"/>
      <c r="HG203" s="2250"/>
      <c r="HH203" s="2250"/>
      <c r="HI203" s="2250"/>
      <c r="HJ203" s="2250"/>
      <c r="HK203" s="2250"/>
      <c r="HL203" s="2250"/>
      <c r="HM203" s="2250"/>
      <c r="HN203" s="2250"/>
      <c r="HO203" s="2250"/>
      <c r="HP203" s="2250"/>
      <c r="HQ203" s="2250"/>
      <c r="HR203" s="2250"/>
      <c r="HS203" s="2250"/>
      <c r="HT203" s="2250"/>
      <c r="HU203" s="2250"/>
      <c r="HV203" s="2250"/>
      <c r="HW203" s="2250"/>
      <c r="HX203" s="2250"/>
      <c r="HY203" s="2250"/>
      <c r="HZ203" s="2250"/>
      <c r="IA203" s="2250"/>
      <c r="IB203" s="2250"/>
      <c r="IC203" s="2250"/>
      <c r="ID203" s="2250"/>
      <c r="IE203" s="2250"/>
      <c r="IF203" s="2250"/>
      <c r="IG203" s="2250"/>
      <c r="IH203" s="2275"/>
      <c r="II203" s="2275"/>
      <c r="IJ203" s="2275"/>
      <c r="IK203" s="2275"/>
      <c r="IL203" s="2275"/>
      <c r="IN203" s="277"/>
      <c r="IO203" s="277"/>
    </row>
    <row r="204" spans="1:249" ht="21.95" customHeight="1">
      <c r="A204" s="2275"/>
      <c r="B204" s="2292" t="s">
        <v>736</v>
      </c>
      <c r="C204" s="2292">
        <v>400</v>
      </c>
      <c r="D204" s="2292">
        <v>475</v>
      </c>
      <c r="E204" s="2292">
        <v>550</v>
      </c>
      <c r="F204" s="2292">
        <v>650</v>
      </c>
      <c r="G204" s="2292">
        <v>775</v>
      </c>
      <c r="H204" s="2292">
        <v>825</v>
      </c>
      <c r="I204" s="2292">
        <v>950</v>
      </c>
      <c r="J204" s="2292">
        <v>1100</v>
      </c>
      <c r="K204" s="2292">
        <v>1250</v>
      </c>
      <c r="L204" s="2292">
        <v>1450</v>
      </c>
      <c r="M204" s="2292">
        <v>1650</v>
      </c>
      <c r="N204" s="2275"/>
      <c r="O204" s="2275"/>
      <c r="P204" s="2292" t="s">
        <v>736</v>
      </c>
      <c r="Q204" s="2292">
        <v>400</v>
      </c>
      <c r="R204" s="2292">
        <v>475</v>
      </c>
      <c r="S204" s="2292">
        <v>550</v>
      </c>
      <c r="T204" s="2292">
        <v>650</v>
      </c>
      <c r="U204" s="2292">
        <v>775</v>
      </c>
      <c r="V204" s="2292">
        <v>825</v>
      </c>
      <c r="W204" s="2292">
        <v>950</v>
      </c>
      <c r="X204" s="2292">
        <v>1100</v>
      </c>
      <c r="Y204" s="2292">
        <v>1250</v>
      </c>
      <c r="Z204" s="2292">
        <v>1450</v>
      </c>
      <c r="AA204" s="2292">
        <v>1650</v>
      </c>
      <c r="AB204" s="2275"/>
      <c r="AC204" s="2275"/>
      <c r="AD204" s="2292" t="s">
        <v>736</v>
      </c>
      <c r="AE204" s="2292">
        <v>400</v>
      </c>
      <c r="AF204" s="2292">
        <v>475</v>
      </c>
      <c r="AG204" s="2292">
        <v>550</v>
      </c>
      <c r="AH204" s="2292">
        <v>650</v>
      </c>
      <c r="AI204" s="2292">
        <v>775</v>
      </c>
      <c r="AJ204" s="2292">
        <v>825</v>
      </c>
      <c r="AK204" s="2292">
        <v>950</v>
      </c>
      <c r="AL204" s="2292">
        <v>1100</v>
      </c>
      <c r="AM204" s="2292">
        <v>1250</v>
      </c>
      <c r="AN204" s="2292">
        <v>1450</v>
      </c>
      <c r="AO204" s="2292">
        <v>1650</v>
      </c>
      <c r="AP204" s="2275"/>
      <c r="AQ204" s="2275"/>
      <c r="AR204" s="2292" t="s">
        <v>736</v>
      </c>
      <c r="AS204" s="2292">
        <v>400</v>
      </c>
      <c r="AT204" s="2292">
        <v>475</v>
      </c>
      <c r="AU204" s="2292">
        <v>550</v>
      </c>
      <c r="AV204" s="2292">
        <v>650</v>
      </c>
      <c r="AW204" s="2292">
        <v>775</v>
      </c>
      <c r="AX204" s="2292">
        <v>825</v>
      </c>
      <c r="AY204" s="2292">
        <v>950</v>
      </c>
      <c r="AZ204" s="2292">
        <v>1100</v>
      </c>
      <c r="BA204" s="2292">
        <v>1250</v>
      </c>
      <c r="BB204" s="2292">
        <v>1450</v>
      </c>
      <c r="BC204" s="2292">
        <v>1650</v>
      </c>
      <c r="BD204" s="2275"/>
      <c r="BE204" s="2275"/>
      <c r="BF204" s="2276"/>
      <c r="BG204" s="2276"/>
      <c r="BH204" s="2250"/>
      <c r="BI204" s="2275"/>
      <c r="BJ204" s="2292" t="s">
        <v>736</v>
      </c>
      <c r="BK204" s="2292">
        <v>400</v>
      </c>
      <c r="BL204" s="2292">
        <v>475</v>
      </c>
      <c r="BM204" s="2292">
        <v>550</v>
      </c>
      <c r="BN204" s="2292">
        <v>650</v>
      </c>
      <c r="BO204" s="2292">
        <v>775</v>
      </c>
      <c r="BP204" s="2292">
        <v>825</v>
      </c>
      <c r="BQ204" s="2292">
        <v>950</v>
      </c>
      <c r="BR204" s="2292">
        <v>1100</v>
      </c>
      <c r="BS204" s="2292">
        <v>1250</v>
      </c>
      <c r="BT204" s="2292">
        <v>1450</v>
      </c>
      <c r="BU204" s="2292">
        <v>1650</v>
      </c>
      <c r="BV204" s="2275"/>
      <c r="BW204" s="2275"/>
      <c r="BX204" s="2292" t="s">
        <v>736</v>
      </c>
      <c r="BY204" s="2292">
        <v>400</v>
      </c>
      <c r="BZ204" s="2292">
        <v>475</v>
      </c>
      <c r="CA204" s="2292">
        <v>550</v>
      </c>
      <c r="CB204" s="2292">
        <v>650</v>
      </c>
      <c r="CC204" s="2292">
        <v>775</v>
      </c>
      <c r="CD204" s="2292">
        <v>825</v>
      </c>
      <c r="CE204" s="2292">
        <v>950</v>
      </c>
      <c r="CF204" s="2292">
        <v>1100</v>
      </c>
      <c r="CG204" s="2292">
        <v>1250</v>
      </c>
      <c r="CH204" s="2292">
        <v>1450</v>
      </c>
      <c r="CI204" s="2292">
        <v>1650</v>
      </c>
      <c r="CJ204" s="2275"/>
      <c r="CK204" s="2275"/>
      <c r="CL204" s="2292" t="s">
        <v>736</v>
      </c>
      <c r="CM204" s="2292">
        <v>400</v>
      </c>
      <c r="CN204" s="2292">
        <v>475</v>
      </c>
      <c r="CO204" s="2292">
        <v>550</v>
      </c>
      <c r="CP204" s="2292">
        <v>650</v>
      </c>
      <c r="CQ204" s="2292">
        <v>775</v>
      </c>
      <c r="CR204" s="2292">
        <v>825</v>
      </c>
      <c r="CS204" s="2292">
        <v>950</v>
      </c>
      <c r="CT204" s="2292">
        <v>1100</v>
      </c>
      <c r="CU204" s="2292">
        <v>1250</v>
      </c>
      <c r="CV204" s="2292">
        <v>1450</v>
      </c>
      <c r="CW204" s="2292">
        <v>1650</v>
      </c>
      <c r="CX204" s="2275"/>
      <c r="CY204" s="2275"/>
      <c r="CZ204" s="2292" t="s">
        <v>736</v>
      </c>
      <c r="DA204" s="2292">
        <v>400</v>
      </c>
      <c r="DB204" s="2292">
        <v>475</v>
      </c>
      <c r="DC204" s="2292">
        <v>550</v>
      </c>
      <c r="DD204" s="2292">
        <v>650</v>
      </c>
      <c r="DE204" s="2292">
        <v>775</v>
      </c>
      <c r="DF204" s="2292">
        <v>825</v>
      </c>
      <c r="DG204" s="2292">
        <v>950</v>
      </c>
      <c r="DH204" s="2292">
        <v>1100</v>
      </c>
      <c r="DI204" s="2292">
        <v>1250</v>
      </c>
      <c r="DJ204" s="2292">
        <v>1450</v>
      </c>
      <c r="DK204" s="2292">
        <v>1650</v>
      </c>
      <c r="DL204" s="2275"/>
      <c r="DM204" s="2275"/>
      <c r="DN204" s="2275"/>
      <c r="DO204" s="2275"/>
      <c r="DP204" s="2275"/>
      <c r="DQ204" s="2277"/>
      <c r="DR204" s="2277"/>
      <c r="DS204" s="277"/>
      <c r="DW204" s="2275"/>
      <c r="DX204" s="2292" t="s">
        <v>736</v>
      </c>
      <c r="DY204" s="2292">
        <v>400</v>
      </c>
      <c r="DZ204" s="2292">
        <v>475</v>
      </c>
      <c r="EA204" s="2292">
        <v>550</v>
      </c>
      <c r="EB204" s="2292">
        <v>650</v>
      </c>
      <c r="EC204" s="2292">
        <v>775</v>
      </c>
      <c r="ED204" s="2292">
        <v>825</v>
      </c>
      <c r="EE204" s="2292">
        <v>950</v>
      </c>
      <c r="EF204" s="2292">
        <v>1100</v>
      </c>
      <c r="EG204" s="2292">
        <v>1250</v>
      </c>
      <c r="EH204" s="2292">
        <v>1450</v>
      </c>
      <c r="EI204" s="2292">
        <v>1650</v>
      </c>
      <c r="EJ204" s="2275"/>
      <c r="EK204" s="2275"/>
      <c r="EL204" s="2292" t="s">
        <v>736</v>
      </c>
      <c r="EM204" s="2292">
        <v>400</v>
      </c>
      <c r="EN204" s="2292">
        <v>475</v>
      </c>
      <c r="EO204" s="2292">
        <v>550</v>
      </c>
      <c r="EP204" s="2292">
        <v>650</v>
      </c>
      <c r="EQ204" s="2292">
        <v>775</v>
      </c>
      <c r="ER204" s="2292">
        <v>825</v>
      </c>
      <c r="ES204" s="2292">
        <v>950</v>
      </c>
      <c r="ET204" s="2292">
        <v>1100</v>
      </c>
      <c r="EU204" s="2292">
        <v>1250</v>
      </c>
      <c r="EV204" s="2292">
        <v>1450</v>
      </c>
      <c r="EW204" s="2292">
        <v>1650</v>
      </c>
      <c r="EX204" s="2275"/>
      <c r="EY204" s="2275"/>
      <c r="EZ204" s="2292" t="s">
        <v>736</v>
      </c>
      <c r="FA204" s="2292">
        <v>400</v>
      </c>
      <c r="FB204" s="2292">
        <v>475</v>
      </c>
      <c r="FC204" s="2292">
        <v>550</v>
      </c>
      <c r="FD204" s="2292">
        <v>650</v>
      </c>
      <c r="FE204" s="2292">
        <v>775</v>
      </c>
      <c r="FF204" s="2292">
        <v>825</v>
      </c>
      <c r="FG204" s="2292">
        <v>950</v>
      </c>
      <c r="FH204" s="2292">
        <v>1100</v>
      </c>
      <c r="FI204" s="2292">
        <v>1250</v>
      </c>
      <c r="FJ204" s="2292">
        <v>1450</v>
      </c>
      <c r="FK204" s="2292">
        <v>1650</v>
      </c>
      <c r="FL204" s="2275"/>
      <c r="FM204" s="2275"/>
      <c r="FN204" s="2292" t="s">
        <v>736</v>
      </c>
      <c r="FO204" s="2292">
        <v>400</v>
      </c>
      <c r="FP204" s="2292">
        <v>475</v>
      </c>
      <c r="FQ204" s="2292">
        <v>550</v>
      </c>
      <c r="FR204" s="2292">
        <v>650</v>
      </c>
      <c r="FS204" s="2292">
        <v>775</v>
      </c>
      <c r="FT204" s="2292">
        <v>825</v>
      </c>
      <c r="FU204" s="2292">
        <v>950</v>
      </c>
      <c r="FV204" s="2292">
        <v>1100</v>
      </c>
      <c r="FW204" s="2292">
        <v>1250</v>
      </c>
      <c r="FX204" s="2292">
        <v>1450</v>
      </c>
      <c r="FY204" s="2292">
        <v>1650</v>
      </c>
      <c r="FZ204" s="2275"/>
      <c r="GA204" s="2275"/>
      <c r="GB204" s="2276"/>
      <c r="GC204" s="2276"/>
      <c r="GD204" s="2250"/>
      <c r="GE204" s="2275"/>
      <c r="GF204" s="2292" t="s">
        <v>736</v>
      </c>
      <c r="GG204" s="2292">
        <v>400</v>
      </c>
      <c r="GH204" s="2292">
        <v>475</v>
      </c>
      <c r="GI204" s="2292">
        <v>550</v>
      </c>
      <c r="GJ204" s="2292">
        <v>650</v>
      </c>
      <c r="GK204" s="2292">
        <v>775</v>
      </c>
      <c r="GL204" s="2292">
        <v>825</v>
      </c>
      <c r="GM204" s="2292">
        <v>950</v>
      </c>
      <c r="GN204" s="2292">
        <v>1100</v>
      </c>
      <c r="GO204" s="2292">
        <v>1250</v>
      </c>
      <c r="GP204" s="2292">
        <v>1450</v>
      </c>
      <c r="GQ204" s="2292">
        <v>1650</v>
      </c>
      <c r="GR204" s="2275"/>
      <c r="GS204" s="2275"/>
      <c r="GT204" s="2292" t="s">
        <v>736</v>
      </c>
      <c r="GU204" s="2292">
        <v>400</v>
      </c>
      <c r="GV204" s="2292">
        <v>475</v>
      </c>
      <c r="GW204" s="2292">
        <v>550</v>
      </c>
      <c r="GX204" s="2292">
        <v>650</v>
      </c>
      <c r="GY204" s="2292">
        <v>775</v>
      </c>
      <c r="GZ204" s="2292">
        <v>825</v>
      </c>
      <c r="HA204" s="2292">
        <v>950</v>
      </c>
      <c r="HB204" s="2292">
        <v>1100</v>
      </c>
      <c r="HC204" s="2292">
        <v>1250</v>
      </c>
      <c r="HD204" s="2292">
        <v>1450</v>
      </c>
      <c r="HE204" s="2292">
        <v>1650</v>
      </c>
      <c r="HF204" s="2275"/>
      <c r="HG204" s="2275"/>
      <c r="HH204" s="2292" t="s">
        <v>736</v>
      </c>
      <c r="HI204" s="2292">
        <v>400</v>
      </c>
      <c r="HJ204" s="2292">
        <v>475</v>
      </c>
      <c r="HK204" s="2292">
        <v>550</v>
      </c>
      <c r="HL204" s="2292">
        <v>650</v>
      </c>
      <c r="HM204" s="2292">
        <v>775</v>
      </c>
      <c r="HN204" s="2292">
        <v>825</v>
      </c>
      <c r="HO204" s="2292">
        <v>950</v>
      </c>
      <c r="HP204" s="2292">
        <v>1100</v>
      </c>
      <c r="HQ204" s="2292">
        <v>1250</v>
      </c>
      <c r="HR204" s="2292">
        <v>1450</v>
      </c>
      <c r="HS204" s="2292">
        <v>1650</v>
      </c>
      <c r="HT204" s="2275"/>
      <c r="HU204" s="2275"/>
      <c r="HV204" s="2292" t="s">
        <v>736</v>
      </c>
      <c r="HW204" s="2292">
        <v>400</v>
      </c>
      <c r="HX204" s="2292">
        <v>475</v>
      </c>
      <c r="HY204" s="2292">
        <v>550</v>
      </c>
      <c r="HZ204" s="2292">
        <v>650</v>
      </c>
      <c r="IA204" s="2292">
        <v>775</v>
      </c>
      <c r="IB204" s="2292">
        <v>825</v>
      </c>
      <c r="IC204" s="2292">
        <v>950</v>
      </c>
      <c r="ID204" s="2292">
        <v>1100</v>
      </c>
      <c r="IE204" s="2292">
        <v>1250</v>
      </c>
      <c r="IF204" s="2292">
        <v>1450</v>
      </c>
      <c r="IG204" s="2292">
        <v>1650</v>
      </c>
      <c r="IH204" s="2275"/>
      <c r="II204" s="2275"/>
      <c r="IJ204" s="2275"/>
      <c r="IK204" s="2275"/>
      <c r="IL204" s="2275"/>
      <c r="IN204" s="277"/>
      <c r="IO204" s="277"/>
    </row>
    <row r="205" spans="1:249" ht="21.95" customHeight="1">
      <c r="A205" s="2275"/>
      <c r="B205" s="2292">
        <f>C184</f>
        <v>68.3</v>
      </c>
      <c r="C205" s="2292">
        <f>VLOOKUP(B205,B156:M182,2,0)</f>
        <v>10.1</v>
      </c>
      <c r="D205" s="2292">
        <f>VLOOKUP(B205,B156:M182,3,0)</f>
        <v>15.15</v>
      </c>
      <c r="E205" s="2292">
        <f>VLOOKUP(B205,B156:M182,4,0)</f>
        <v>29.5</v>
      </c>
      <c r="F205" s="2292">
        <f>VLOOKUP(B205,B156:M182,5,0)</f>
        <v>49.9</v>
      </c>
      <c r="G205" s="2292">
        <f>VLOOKUP(B205,B156:M182,6,0)</f>
        <v>81.09</v>
      </c>
      <c r="H205" s="2292">
        <f>VLOOKUP(B205,B156:M182,7,0)</f>
        <v>118.71</v>
      </c>
      <c r="I205" s="2292">
        <f>VLOOKUP(B205,B156:M182,8,0)</f>
        <v>163.47</v>
      </c>
      <c r="J205" s="2292">
        <f>VLOOKUP(B205,B156:M182,9,0)</f>
        <v>236.44</v>
      </c>
      <c r="K205" s="2292">
        <f>VLOOKUP(B205,B156:M182,10,0)</f>
        <v>338.91</v>
      </c>
      <c r="L205" s="2292">
        <f>VLOOKUP(B205,B156:M182,11,0)</f>
        <v>498.22</v>
      </c>
      <c r="M205" s="2292">
        <f>VLOOKUP(B205,B156:M182,12,0)</f>
        <v>743.66</v>
      </c>
      <c r="N205" s="2275"/>
      <c r="O205" s="2275"/>
      <c r="P205" s="2292">
        <f>Q184</f>
        <v>68.3</v>
      </c>
      <c r="Q205" s="2292">
        <f>VLOOKUP(P205,P156:AA182,2,0)</f>
        <v>7.33</v>
      </c>
      <c r="R205" s="2292">
        <f>VLOOKUP(P205,P156:AA182,3,0)</f>
        <v>10.99</v>
      </c>
      <c r="S205" s="2292">
        <f>VLOOKUP(P205,P156:AA182,4,0)</f>
        <v>21.39</v>
      </c>
      <c r="T205" s="2292">
        <f>VLOOKUP(P205,P156:AA182,5,0)</f>
        <v>36.14</v>
      </c>
      <c r="U205" s="2292">
        <f>VLOOKUP(P205,P156:AA182,6,0)</f>
        <v>58.61</v>
      </c>
      <c r="V205" s="2292">
        <f>VLOOKUP(P205,P156:AA182,7,0)</f>
        <v>80.2</v>
      </c>
      <c r="W205" s="2292">
        <f>VLOOKUP(P205,P156:AA182,8,0)</f>
        <v>117.82</v>
      </c>
      <c r="X205" s="2292">
        <f>VLOOKUP(P205,P156:AA182,9,0)</f>
        <v>169.9</v>
      </c>
      <c r="Y205" s="2292">
        <f>VLOOKUP(P205,P156:AA182,10,0)</f>
        <v>232.28</v>
      </c>
      <c r="Z205" s="2292">
        <f>VLOOKUP(P205,P156:AA182,11,0)</f>
        <v>360.59</v>
      </c>
      <c r="AA205" s="2292">
        <f>VLOOKUP(P205,P156:AA182,12,0)</f>
        <v>521.09</v>
      </c>
      <c r="AB205" s="2275"/>
      <c r="AC205" s="2275"/>
      <c r="AD205" s="2292">
        <f>AE184</f>
        <v>68.3</v>
      </c>
      <c r="AE205" s="2292">
        <f>VLOOKUP(AD205,AD156:AO182,2,0)</f>
        <v>6.43</v>
      </c>
      <c r="AF205" s="2292">
        <f>VLOOKUP(AD205,AD156:AO182,3,0)</f>
        <v>9.59</v>
      </c>
      <c r="AG205" s="2292">
        <f>VLOOKUP(AD205,AD156:AO182,4,0)</f>
        <v>18.510000000000002</v>
      </c>
      <c r="AH205" s="2292">
        <f>VLOOKUP(AD205,AD156:AO182,5,0)</f>
        <v>31.6</v>
      </c>
      <c r="AI205" s="2292">
        <f>VLOOKUP(AD205,AD156:AO182,6,0)</f>
        <v>47.52</v>
      </c>
      <c r="AJ205" s="2292">
        <f>VLOOKUP(AD205,AD156:AO182,7,0)</f>
        <v>60.72</v>
      </c>
      <c r="AK205" s="2292">
        <f>VLOOKUP(AD205,AD156:AO182,8,0)</f>
        <v>89.62</v>
      </c>
      <c r="AL205" s="2292">
        <f>VLOOKUP(AD205,AD156:AO182,9,0)</f>
        <v>129.12</v>
      </c>
      <c r="AM205" s="2292">
        <f>VLOOKUP(AD205,AD156:AO182,10,0)</f>
        <v>188.37</v>
      </c>
      <c r="AN205" s="2292">
        <f>VLOOKUP(AD205,AD156:AO182,11,0)</f>
        <v>286.12</v>
      </c>
      <c r="AO205" s="2292">
        <f>VLOOKUP(AD205,AD156:AO182,12,0)</f>
        <v>400.45</v>
      </c>
      <c r="AP205" s="2275"/>
      <c r="AQ205" s="2275"/>
      <c r="AR205" s="2292">
        <f>AS184</f>
        <v>68.3</v>
      </c>
      <c r="AS205" s="2292">
        <f>VLOOKUP(AR205,AR156:BC182,2,0)</f>
        <v>3.86</v>
      </c>
      <c r="AT205" s="2292">
        <f>VLOOKUP(AR205,AR156:BC182,3,0)</f>
        <v>5.64</v>
      </c>
      <c r="AU205" s="2292">
        <f>VLOOKUP(AR205,AR156:BC182,4,0)</f>
        <v>10.59</v>
      </c>
      <c r="AV205" s="2292">
        <f>VLOOKUP(AR205,AR156:BC182,5,0)</f>
        <v>17.23</v>
      </c>
      <c r="AW205" s="2292">
        <f>VLOOKUP(AR205,AR156:BC182,6,0)</f>
        <v>27.13</v>
      </c>
      <c r="AX205" s="2292">
        <f>VLOOKUP(AR205,AR156:BC182,7,0)</f>
        <v>34.950000000000003</v>
      </c>
      <c r="AY205" s="2292">
        <f>VLOOKUP(AR205,AR156:BC182,8,0)</f>
        <v>51.19</v>
      </c>
      <c r="AZ205" s="2292">
        <f>VLOOKUP(AR205,AR156:BC182,9,0)</f>
        <v>73.66</v>
      </c>
      <c r="BA205" s="2292">
        <f>VLOOKUP(AR205,AR156:BC182,10,0)</f>
        <v>108.22</v>
      </c>
      <c r="BB205" s="2292">
        <f>VLOOKUP(AR205,AR156:BC182,11,0)</f>
        <v>163.16999999999999</v>
      </c>
      <c r="BC205" s="2292">
        <f>VLOOKUP(AR205,AR156:BC182,12,0)</f>
        <v>228.32</v>
      </c>
      <c r="BD205" s="2275"/>
      <c r="BE205" s="2275"/>
      <c r="BF205" s="2276"/>
      <c r="BG205" s="2276"/>
      <c r="BH205" s="2250"/>
      <c r="BI205" s="2275"/>
      <c r="BJ205" s="2292">
        <f>BK184</f>
        <v>73.7</v>
      </c>
      <c r="BK205" s="2292">
        <f>VLOOKUP(BJ205,BJ156:BU182,2,0)</f>
        <v>9.31</v>
      </c>
      <c r="BL205" s="2292">
        <f>VLOOKUP(BJ205,BJ156:BU182,3,0)</f>
        <v>13.96</v>
      </c>
      <c r="BM205" s="2292">
        <f>VLOOKUP(BJ205,BJ156:BU182,4,0)</f>
        <v>27.23</v>
      </c>
      <c r="BN205" s="2292">
        <f>VLOOKUP(BJ205,BJ156:BU182,5,0)</f>
        <v>46.93</v>
      </c>
      <c r="BO205" s="2292">
        <f>VLOOKUP(BJ205,BJ156:BU182,6,0)</f>
        <v>74.459999999999994</v>
      </c>
      <c r="BP205" s="2292">
        <f>VLOOKUP(BJ205,BJ156:BU182,7,0)</f>
        <v>112.28</v>
      </c>
      <c r="BQ205" s="2292">
        <f>VLOOKUP(BJ205,BJ156:BU182,8,0)</f>
        <v>155.63999999999999</v>
      </c>
      <c r="BR205" s="2292">
        <f>VLOOKUP(BJ205,BJ156:BU182,9,0)</f>
        <v>217.13</v>
      </c>
      <c r="BS205" s="2292">
        <f>VLOOKUP(BJ205,BJ156:BU182,10,0)</f>
        <v>295.25</v>
      </c>
      <c r="BT205" s="2292">
        <f>VLOOKUP(BJ205,BJ156:BU182,11,0)</f>
        <v>470</v>
      </c>
      <c r="BU205" s="2292">
        <f>VLOOKUP(BJ205,BJ156:BU182,12,0)</f>
        <v>700.4</v>
      </c>
      <c r="BV205" s="2275"/>
      <c r="BW205" s="2275"/>
      <c r="BX205" s="2292">
        <f>BY184</f>
        <v>73.7</v>
      </c>
      <c r="BY205" s="2292">
        <f>VLOOKUP(BX205,BX156:CI182,2,0)</f>
        <v>6.73</v>
      </c>
      <c r="BZ205" s="2292">
        <f>VLOOKUP(BX205,BX156:CI182,3,0)</f>
        <v>10.1</v>
      </c>
      <c r="CA205" s="2292">
        <f>VLOOKUP(BX205,BX156:CI182,4,0)</f>
        <v>20</v>
      </c>
      <c r="CB205" s="2292">
        <f>VLOOKUP(BX205,BX156:CI182,5,0)</f>
        <v>34.06</v>
      </c>
      <c r="CC205" s="2292">
        <f>VLOOKUP(BX205,BX156:CI182,6,0)</f>
        <v>54.06</v>
      </c>
      <c r="CD205" s="2292">
        <f>VLOOKUP(BX205,BX156:CI182,7,0)</f>
        <v>72.48</v>
      </c>
      <c r="CE205" s="2292">
        <f>VLOOKUP(BX205,BX156:CI182,8,0)</f>
        <v>111.98</v>
      </c>
      <c r="CF205" s="2292">
        <f>VLOOKUP(BX205,BX156:CI182,9,0)</f>
        <v>157.52000000000001</v>
      </c>
      <c r="CG205" s="2292">
        <f>VLOOKUP(BX205,BX156:CI182,10,0)</f>
        <v>214.16</v>
      </c>
      <c r="CH205" s="2292">
        <f>VLOOKUP(BX205,BX156:CI182,11,0)</f>
        <v>340.89</v>
      </c>
      <c r="CI205" s="2292">
        <f>VLOOKUP(BX205,BX156:CI182,12,0)</f>
        <v>496.04</v>
      </c>
      <c r="CJ205" s="2275"/>
      <c r="CK205" s="2275"/>
      <c r="CL205" s="2292">
        <f>CM184</f>
        <v>73.7</v>
      </c>
      <c r="CM205" s="2292">
        <f>VLOOKUP(CL205,CL156:CW182,2,0)</f>
        <v>5.87</v>
      </c>
      <c r="CN205" s="2292">
        <f>VLOOKUP(CL205,CL156:CW182,3,0)</f>
        <v>8.8000000000000007</v>
      </c>
      <c r="CO205" s="2292">
        <f>VLOOKUP(CL205,CL156:CW182,4,0)</f>
        <v>17.16</v>
      </c>
      <c r="CP205" s="2292">
        <f>VLOOKUP(CL205,CL156:CW182,5,0)</f>
        <v>28.67</v>
      </c>
      <c r="CQ205" s="2292">
        <f>VLOOKUP(CL205,CL156:CW182,6,0)</f>
        <v>45.6</v>
      </c>
      <c r="CR205" s="2292">
        <f>VLOOKUP(CL205,CL156:CW182,7,0)</f>
        <v>54.85</v>
      </c>
      <c r="CS205" s="2292">
        <f>VLOOKUP(CL205,CL156:CW182,8,0)</f>
        <v>85.44</v>
      </c>
      <c r="CT205" s="2292">
        <f>VLOOKUP(CL205,CL156:CW182,9,0)</f>
        <v>123.7</v>
      </c>
      <c r="CU205" s="2292">
        <f>VLOOKUP(CL205,CL156:CW182,10,0)</f>
        <v>173.81</v>
      </c>
      <c r="CV205" s="2292">
        <f>VLOOKUP(CL205,CL156:CW182,11,0)</f>
        <v>266.48</v>
      </c>
      <c r="CW205" s="2292">
        <f>VLOOKUP(CL205,CL156:CW182,12,0)</f>
        <v>377.31</v>
      </c>
      <c r="CX205" s="2275"/>
      <c r="CY205" s="2275"/>
      <c r="CZ205" s="2292">
        <f>DA184</f>
        <v>73.7</v>
      </c>
      <c r="DA205" s="2292">
        <f>VLOOKUP(CZ205,CZ156:DK182,2,0)</f>
        <v>3.76</v>
      </c>
      <c r="DB205" s="2292">
        <f>VLOOKUP(CZ205,CZ156:DK182,3,0)</f>
        <v>5.25</v>
      </c>
      <c r="DC205" s="2292">
        <f>VLOOKUP(CZ205,CZ156:DK182,4,0)</f>
        <v>9.8000000000000007</v>
      </c>
      <c r="DD205" s="2292">
        <f>VLOOKUP(CZ205,CZ156:DK182,5,0)</f>
        <v>16.34</v>
      </c>
      <c r="DE205" s="2292">
        <f>VLOOKUP(CZ205,CZ156:DK182,6,0)</f>
        <v>25.94</v>
      </c>
      <c r="DF205" s="2292">
        <f>VLOOKUP(CZ205,CZ156:DK182,7,0)</f>
        <v>31.58</v>
      </c>
      <c r="DG205" s="2292">
        <f>VLOOKUP(CZ205,CZ156:DK182,8,0)</f>
        <v>48.71</v>
      </c>
      <c r="DH205" s="2292">
        <f>VLOOKUP(CZ205,CZ156:DK182,9,0)</f>
        <v>70.5</v>
      </c>
      <c r="DI205" s="2292">
        <f>VLOOKUP(CZ205,CZ156:DK182,10,0)</f>
        <v>99.5</v>
      </c>
      <c r="DJ205" s="2292">
        <f>VLOOKUP(CZ205,CZ156:DK182,11,0)</f>
        <v>152.47999999999999</v>
      </c>
      <c r="DK205" s="2292">
        <f>VLOOKUP(CZ205,CZ156:DK182,12,0)</f>
        <v>215.15</v>
      </c>
      <c r="DL205" s="2275"/>
      <c r="DM205" s="2275"/>
      <c r="DN205" s="2275"/>
      <c r="DO205" s="2275"/>
      <c r="DP205" s="2275"/>
      <c r="DQ205" s="2277"/>
      <c r="DR205" s="2277"/>
      <c r="DS205" s="277"/>
      <c r="DW205" s="2275"/>
      <c r="DX205" s="2292">
        <f>DY184</f>
        <v>43.9</v>
      </c>
      <c r="DY205" s="2292">
        <f>VLOOKUP(DX205,DX156:EI182,2,0)</f>
        <v>14.95</v>
      </c>
      <c r="DZ205" s="2292">
        <f>VLOOKUP(DX205,DX156:EI182,3,0)</f>
        <v>22.18</v>
      </c>
      <c r="EA205" s="2292">
        <f>VLOOKUP(DX205,DX156:EI182,4,0)</f>
        <v>43.27</v>
      </c>
      <c r="EB205" s="2292">
        <f>VLOOKUP(DX205,DX156:EI182,5,0)</f>
        <v>72.87</v>
      </c>
      <c r="EC205" s="2292">
        <f>VLOOKUP(DX205,DX156:EI182,6,0)</f>
        <v>119.5</v>
      </c>
      <c r="ED205" s="2292">
        <f>VLOOKUP(DX205,DX156:EI182,7,0)</f>
        <v>157.13</v>
      </c>
      <c r="EE205" s="2292">
        <f>VLOOKUP(DX205,DX156:EI182,8,0)</f>
        <v>241.49</v>
      </c>
      <c r="EF205" s="2292">
        <f>VLOOKUP(DX205,DX156:EI182,9,0)</f>
        <v>347.62</v>
      </c>
      <c r="EG205" s="2292">
        <f>VLOOKUP(DX205,DX156:EI182,10,0)</f>
        <v>467.82</v>
      </c>
      <c r="EH205" s="2292">
        <f>VLOOKUP(DX205,DX156:EI182,11,0)</f>
        <v>733.56</v>
      </c>
      <c r="EI205" s="2292">
        <f>VLOOKUP(DX205,DX156:EI182,12,0)</f>
        <v>1082.8699999999999</v>
      </c>
      <c r="EJ205" s="2275"/>
      <c r="EK205" s="2275"/>
      <c r="EL205" s="2292">
        <f>EM184</f>
        <v>43.9</v>
      </c>
      <c r="EM205" s="2292">
        <f>VLOOKUP(EL205,EL156:EW182,2,0)</f>
        <v>10.79</v>
      </c>
      <c r="EN205" s="2292">
        <f>VLOOKUP(EL205,EL156:EW182,3,0)</f>
        <v>15.94</v>
      </c>
      <c r="EO205" s="2292">
        <f>VLOOKUP(EL205,EL156:EW182,4,0)</f>
        <v>31.19</v>
      </c>
      <c r="EP205" s="2292">
        <f>VLOOKUP(EL205,EL156:EW182,5,0)</f>
        <v>52.97</v>
      </c>
      <c r="EQ205" s="2292">
        <f>VLOOKUP(EL205,EL156:EW182,6,0)</f>
        <v>86.04</v>
      </c>
      <c r="ER205" s="2292">
        <f>VLOOKUP(EL205,EL156:EW182,7,0)</f>
        <v>114.75</v>
      </c>
      <c r="ES205" s="2292">
        <f>VLOOKUP(EL205,EL156:EW182,8,0)</f>
        <v>169.7</v>
      </c>
      <c r="ET205" s="2292">
        <f>VLOOKUP(EL205,EL156:EW182,9,0)</f>
        <v>249.01</v>
      </c>
      <c r="EU205" s="2292">
        <f>VLOOKUP(EL205,EL156:EW182,10,0)</f>
        <v>337.72</v>
      </c>
      <c r="EV205" s="2292">
        <f>VLOOKUP(EL205,EL156:EW182,11,0)</f>
        <v>528.61</v>
      </c>
      <c r="EW205" s="2292">
        <f>VLOOKUP(EL205,EL156:EW182,12,0)</f>
        <v>783.27</v>
      </c>
      <c r="EX205" s="2275"/>
      <c r="EY205" s="2275"/>
      <c r="EZ205" s="2292">
        <f>FA184</f>
        <v>43.9</v>
      </c>
      <c r="FA205" s="2292">
        <f>VLOOKUP(EZ205,EZ156:FK182,2,0)</f>
        <v>9.26</v>
      </c>
      <c r="FB205" s="2292">
        <f>VLOOKUP(EZ205,EZ156:FK182,3,0)</f>
        <v>13.88</v>
      </c>
      <c r="FC205" s="2292">
        <f>VLOOKUP(EZ205,EZ156:FK182,4,0)</f>
        <v>25.96</v>
      </c>
      <c r="FD205" s="2292">
        <f>VLOOKUP(EZ205,EZ156:FK182,5,0)</f>
        <v>43.68</v>
      </c>
      <c r="FE205" s="2292">
        <f>VLOOKUP(EZ205,EZ156:FK182,6,0)</f>
        <v>70.650000000000006</v>
      </c>
      <c r="FF205" s="2292">
        <f>VLOOKUP(EZ205,EZ156:FK182,7,0)</f>
        <v>89.84</v>
      </c>
      <c r="FG205" s="2292">
        <f>VLOOKUP(EZ205,EZ156:FK182,8,0)</f>
        <v>129.46</v>
      </c>
      <c r="FH205" s="2292">
        <f>VLOOKUP(EZ205,EZ156:FK182,9,0)</f>
        <v>189.39</v>
      </c>
      <c r="FI205" s="2292">
        <f>VLOOKUP(EZ205,EZ156:FK182,10,0)</f>
        <v>265.01</v>
      </c>
      <c r="FJ205" s="2292">
        <f>VLOOKUP(EZ205,EZ156:FK182,11,0)</f>
        <v>404.74</v>
      </c>
      <c r="FK205" s="2292">
        <f>VLOOKUP(EZ205,EZ156:FK182,12,0)</f>
        <v>600.34</v>
      </c>
      <c r="FL205" s="2275"/>
      <c r="FM205" s="2275"/>
      <c r="FN205" s="2292">
        <f>FO184</f>
        <v>43.9</v>
      </c>
      <c r="FO205" s="2292">
        <f>VLOOKUP(FN205,FN156:FY182,2,0)</f>
        <v>5.35</v>
      </c>
      <c r="FP205" s="2292">
        <f>VLOOKUP(FN205,FN156:FY182,3,0)</f>
        <v>8.7100000000000009</v>
      </c>
      <c r="FQ205" s="2292">
        <f>VLOOKUP(FN205,FN156:FY182,4,0)</f>
        <v>15.05</v>
      </c>
      <c r="FR205" s="2292">
        <f>VLOOKUP(FN205,FN156:FY182,5,0)</f>
        <v>25.25</v>
      </c>
      <c r="FS205" s="2292">
        <f>VLOOKUP(FN205,FN156:FY182,6,0)</f>
        <v>40.89</v>
      </c>
      <c r="FT205" s="2292">
        <f>VLOOKUP(FN205,FN156:FY182,7,0)</f>
        <v>51.68</v>
      </c>
      <c r="FU205" s="2292">
        <f>VLOOKUP(FN205,FN156:FY182,8,0)</f>
        <v>74.650000000000006</v>
      </c>
      <c r="FV205" s="2292">
        <f>VLOOKUP(FN205,FN156:FY182,9,0)</f>
        <v>109.6</v>
      </c>
      <c r="FW205" s="2292">
        <f>VLOOKUP(FN205,FN156:FY182,10,0)</f>
        <v>153.27000000000001</v>
      </c>
      <c r="FX205" s="2292">
        <f>VLOOKUP(FN205,FN156:FY182,11,0)</f>
        <v>234.16</v>
      </c>
      <c r="FY205" s="2292">
        <f>VLOOKUP(FN205,FN156:FY182,12,0)</f>
        <v>347.13</v>
      </c>
      <c r="FZ205" s="2275"/>
      <c r="GA205" s="2275"/>
      <c r="GB205" s="2276"/>
      <c r="GC205" s="2276"/>
      <c r="GD205" s="2250"/>
      <c r="GE205" s="2275"/>
      <c r="GF205" s="2292">
        <f>GG184</f>
        <v>48.8</v>
      </c>
      <c r="GG205" s="2292">
        <f>VLOOKUP(GF205,GF156:GQ182,2,0)</f>
        <v>13.66</v>
      </c>
      <c r="GH205" s="2292">
        <f>VLOOKUP(GF205,GF156:GQ182,3,0)</f>
        <v>20.399999999999999</v>
      </c>
      <c r="GI205" s="2292">
        <f>VLOOKUP(GF205,GF156:GQ182,4,0)</f>
        <v>39.799999999999997</v>
      </c>
      <c r="GJ205" s="2292">
        <f>VLOOKUP(GF205,GF156:GQ182,5,0)</f>
        <v>66.83</v>
      </c>
      <c r="GK205" s="2292">
        <f>VLOOKUP(GF205,GF156:GQ182,6,0)</f>
        <v>109.11</v>
      </c>
      <c r="GL205" s="2292">
        <f>VLOOKUP(GF205,GF156:GQ182,7,0)</f>
        <v>154.85</v>
      </c>
      <c r="GM205" s="2292">
        <f>VLOOKUP(GF205,GF156:GQ182,8,0)</f>
        <v>225.15</v>
      </c>
      <c r="GN205" s="2292">
        <f>VLOOKUP(GF205,GF156:GQ182,9,0)</f>
        <v>318.12</v>
      </c>
      <c r="GO205" s="2292">
        <f>VLOOKUP(GF205,GF156:GQ182,10,0)</f>
        <v>410.3</v>
      </c>
      <c r="GP205" s="2292">
        <f>VLOOKUP(GF205,GF156:GQ182,11,0)</f>
        <v>674.75</v>
      </c>
      <c r="GQ205" s="2292">
        <f>VLOOKUP(GF205,GF156:GQ182,12,0)</f>
        <v>993.96</v>
      </c>
      <c r="GR205" s="2275"/>
      <c r="GS205" s="2275"/>
      <c r="GT205" s="2292">
        <f>GU184</f>
        <v>48.8</v>
      </c>
      <c r="GU205" s="2292">
        <f>VLOOKUP(GT205,GT156:HE182,2,0)</f>
        <v>9.8000000000000007</v>
      </c>
      <c r="GV205" s="2292">
        <f>VLOOKUP(GT205,GT156:HE182,3,0)</f>
        <v>14.65</v>
      </c>
      <c r="GW205" s="2292">
        <f>VLOOKUP(GT205,GT156:HE182,4,0)</f>
        <v>28.71</v>
      </c>
      <c r="GX205" s="2292">
        <f>VLOOKUP(GT205,GT156:HE182,5,0)</f>
        <v>48.71</v>
      </c>
      <c r="GY205" s="2292">
        <f>VLOOKUP(GT205,GT156:HE182,6,0)</f>
        <v>78.709999999999994</v>
      </c>
      <c r="GZ205" s="2292">
        <f>VLOOKUP(GT205,GT156:HE182,7,0)</f>
        <v>104.46</v>
      </c>
      <c r="HA205" s="2292">
        <f>VLOOKUP(GT205,GT156:HE182,8,0)</f>
        <v>157.03</v>
      </c>
      <c r="HB205" s="2292">
        <f>VLOOKUP(GT205,GT156:HE182,9,0)</f>
        <v>228.91</v>
      </c>
      <c r="HC205" s="2292">
        <f>VLOOKUP(GT205,GT156:HE182,10,0)</f>
        <v>295.54000000000002</v>
      </c>
      <c r="HD205" s="2292">
        <f>VLOOKUP(GT205,GT156:HE182,11,0)</f>
        <v>486.63</v>
      </c>
      <c r="HE205" s="2292">
        <f>VLOOKUP(GT205,GT156:HE182,12,0)</f>
        <v>722.67</v>
      </c>
      <c r="HF205" s="2275"/>
      <c r="HG205" s="2275"/>
      <c r="HH205" s="2292">
        <f>HI184</f>
        <v>48.8</v>
      </c>
      <c r="HI205" s="2292">
        <f>VLOOKUP(HH205,HH156:HS182,2,0)</f>
        <v>8.58</v>
      </c>
      <c r="HJ205" s="2292">
        <f>VLOOKUP(HH205,HH156:HS182,3,0)</f>
        <v>12.75</v>
      </c>
      <c r="HK205" s="2292">
        <f>VLOOKUP(HH205,HH156:HS182,4,0)</f>
        <v>24.83</v>
      </c>
      <c r="HL205" s="2292">
        <f>VLOOKUP(HH205,HH156:HS182,5,0)</f>
        <v>39.840000000000003</v>
      </c>
      <c r="HM205" s="2292">
        <f>VLOOKUP(HH205,HH156:HS182,6,0)</f>
        <v>63.77</v>
      </c>
      <c r="HN205" s="2292">
        <f>VLOOKUP(HH205,HH156:HS182,7,0)</f>
        <v>79.8</v>
      </c>
      <c r="HO205" s="2292">
        <f>VLOOKUP(HH205,HH156:HS182,8,0)</f>
        <v>119.07</v>
      </c>
      <c r="HP205" s="2292">
        <f>VLOOKUP(HH205,HH156:HS182,9,0)</f>
        <v>173.14</v>
      </c>
      <c r="HQ205" s="2292">
        <f>VLOOKUP(HH205,HH156:HS182,10,0)</f>
        <v>238.83</v>
      </c>
      <c r="HR205" s="2292">
        <f>VLOOKUP(HH205,HH156:HS182,11,0)</f>
        <v>371.67</v>
      </c>
      <c r="HS205" s="2292">
        <f>VLOOKUP(HH205,HH156:HS182,12,0)</f>
        <v>547.4</v>
      </c>
      <c r="HT205" s="2275"/>
      <c r="HU205" s="2275"/>
      <c r="HV205" s="2292">
        <f>HW184</f>
        <v>48.8</v>
      </c>
      <c r="HW205" s="2292">
        <f>VLOOKUP(HV205,HV156:IG182,2,0)</f>
        <v>5.25</v>
      </c>
      <c r="HX205" s="2292">
        <f>VLOOKUP(HV205,HV156:IG182,3,0)</f>
        <v>7.72</v>
      </c>
      <c r="HY205" s="2292">
        <f>VLOOKUP(HV205,HV156:IG182,4,0)</f>
        <v>14.36</v>
      </c>
      <c r="HZ205" s="2292">
        <f>VLOOKUP(HV205,HV156:IG182,5,0)</f>
        <v>23.07</v>
      </c>
      <c r="IA205" s="2292">
        <f>VLOOKUP(HV205,HV156:IG182,6,0)</f>
        <v>36.83</v>
      </c>
      <c r="IB205" s="2292">
        <f>VLOOKUP(HV205,HV156:IG182,7,0)</f>
        <v>45.94</v>
      </c>
      <c r="IC205" s="2292">
        <f>VLOOKUP(HV205,HV156:IG182,8,0)</f>
        <v>68.91</v>
      </c>
      <c r="ID205" s="2292">
        <f>VLOOKUP(HV205,HV156:IG182,9,0)</f>
        <v>100</v>
      </c>
      <c r="IE205" s="2292">
        <f>VLOOKUP(HV205,HV156:IG182,10,0)</f>
        <v>138.12</v>
      </c>
      <c r="IF205" s="2292">
        <f>VLOOKUP(HV205,HV156:IG182,11,0)</f>
        <v>215.25</v>
      </c>
      <c r="IG205" s="2292">
        <f>VLOOKUP(HV205,HV156:IG182,12,0)</f>
        <v>316.93</v>
      </c>
      <c r="IH205" s="2275"/>
      <c r="II205" s="2275"/>
      <c r="IJ205" s="2275"/>
      <c r="IK205" s="2275"/>
      <c r="IL205" s="2275"/>
      <c r="IN205" s="277"/>
      <c r="IO205" s="277"/>
    </row>
    <row r="206" spans="1:249" ht="21.95" customHeight="1">
      <c r="A206" s="2275"/>
      <c r="B206" s="2275"/>
      <c r="C206" s="2275"/>
      <c r="D206" s="2275"/>
      <c r="E206" s="2275"/>
      <c r="F206" s="2275"/>
      <c r="G206" s="2275"/>
      <c r="H206" s="2275"/>
      <c r="I206" s="2275"/>
      <c r="J206" s="2275"/>
      <c r="K206" s="2275"/>
      <c r="L206" s="2275"/>
      <c r="M206" s="2275"/>
      <c r="N206" s="2275"/>
      <c r="O206" s="2275"/>
      <c r="P206" s="2275"/>
      <c r="Q206" s="2275"/>
      <c r="R206" s="2275"/>
      <c r="S206" s="2275"/>
      <c r="T206" s="2275"/>
      <c r="U206" s="2275"/>
      <c r="V206" s="2275"/>
      <c r="W206" s="2275"/>
      <c r="X206" s="2275"/>
      <c r="Y206" s="2275"/>
      <c r="Z206" s="2275"/>
      <c r="AA206" s="2275"/>
      <c r="AB206" s="2275"/>
      <c r="AC206" s="2275"/>
      <c r="AD206" s="2275"/>
      <c r="AE206" s="2275"/>
      <c r="AF206" s="2275"/>
      <c r="AG206" s="2275"/>
      <c r="AH206" s="2275"/>
      <c r="AI206" s="2275"/>
      <c r="AJ206" s="2275"/>
      <c r="AK206" s="2275"/>
      <c r="AL206" s="2275"/>
      <c r="AM206" s="2275"/>
      <c r="AN206" s="2275"/>
      <c r="AO206" s="2275"/>
      <c r="AP206" s="2275"/>
      <c r="AQ206" s="2275"/>
      <c r="AR206" s="2275"/>
      <c r="AS206" s="2275"/>
      <c r="AT206" s="2275"/>
      <c r="AU206" s="2275"/>
      <c r="AV206" s="2275"/>
      <c r="AW206" s="2275"/>
      <c r="AX206" s="2275"/>
      <c r="AY206" s="2275"/>
      <c r="AZ206" s="2275"/>
      <c r="BA206" s="2275"/>
      <c r="BB206" s="2275"/>
      <c r="BC206" s="2275"/>
      <c r="BD206" s="2275"/>
      <c r="BE206" s="2275"/>
      <c r="BF206" s="2276"/>
      <c r="BG206" s="2276"/>
      <c r="BH206" s="2250"/>
      <c r="BI206" s="2275"/>
      <c r="BJ206" s="2275"/>
      <c r="BK206" s="2275"/>
      <c r="BL206" s="2275"/>
      <c r="BM206" s="2275"/>
      <c r="BN206" s="2275"/>
      <c r="BO206" s="2275"/>
      <c r="BP206" s="2275"/>
      <c r="BQ206" s="2275"/>
      <c r="BR206" s="2275"/>
      <c r="BS206" s="2275"/>
      <c r="BT206" s="2275"/>
      <c r="BU206" s="2275"/>
      <c r="BV206" s="2275"/>
      <c r="BW206" s="2275"/>
      <c r="BX206" s="2275"/>
      <c r="BY206" s="2275"/>
      <c r="BZ206" s="2275"/>
      <c r="CA206" s="2275"/>
      <c r="CB206" s="2275"/>
      <c r="CC206" s="2275"/>
      <c r="CD206" s="2275"/>
      <c r="CE206" s="2275"/>
      <c r="CF206" s="2275"/>
      <c r="CG206" s="2275"/>
      <c r="CH206" s="2275"/>
      <c r="CI206" s="2275"/>
      <c r="CJ206" s="2275"/>
      <c r="CK206" s="2275"/>
      <c r="CL206" s="2275"/>
      <c r="CM206" s="2275"/>
      <c r="CN206" s="2275"/>
      <c r="CO206" s="2275"/>
      <c r="CP206" s="2275"/>
      <c r="CQ206" s="2275"/>
      <c r="CR206" s="2275"/>
      <c r="CS206" s="2275"/>
      <c r="CT206" s="2275"/>
      <c r="CU206" s="2275"/>
      <c r="CV206" s="2275"/>
      <c r="CW206" s="2275"/>
      <c r="CX206" s="2275"/>
      <c r="CY206" s="2275"/>
      <c r="CZ206" s="2275"/>
      <c r="DA206" s="2275"/>
      <c r="DB206" s="2275"/>
      <c r="DC206" s="2275"/>
      <c r="DD206" s="2275"/>
      <c r="DE206" s="2275"/>
      <c r="DF206" s="2275"/>
      <c r="DG206" s="2275"/>
      <c r="DH206" s="2275"/>
      <c r="DI206" s="2275"/>
      <c r="DJ206" s="2275"/>
      <c r="DK206" s="2275"/>
      <c r="DL206" s="2275"/>
      <c r="DM206" s="2275"/>
      <c r="DN206" s="2275"/>
      <c r="DO206" s="2275"/>
      <c r="DP206" s="2275"/>
      <c r="DQ206" s="2277"/>
      <c r="DR206" s="2277"/>
      <c r="DS206" s="277"/>
      <c r="DW206" s="2275"/>
      <c r="DX206" s="2275"/>
      <c r="DY206" s="2275"/>
      <c r="DZ206" s="2275"/>
      <c r="EA206" s="2275"/>
      <c r="EB206" s="2275"/>
      <c r="EC206" s="2275"/>
      <c r="ED206" s="2275"/>
      <c r="EE206" s="2275"/>
      <c r="EF206" s="2275"/>
      <c r="EG206" s="2275"/>
      <c r="EH206" s="2275"/>
      <c r="EI206" s="2275"/>
      <c r="EJ206" s="2275"/>
      <c r="EK206" s="2275"/>
      <c r="EL206" s="2275"/>
      <c r="EM206" s="2275"/>
      <c r="EN206" s="2275"/>
      <c r="EO206" s="2275"/>
      <c r="EP206" s="2275"/>
      <c r="EQ206" s="2275"/>
      <c r="ER206" s="2275"/>
      <c r="ES206" s="2275"/>
      <c r="ET206" s="2275"/>
      <c r="EU206" s="2275"/>
      <c r="EV206" s="2275"/>
      <c r="EW206" s="2275"/>
      <c r="EX206" s="2275"/>
      <c r="EY206" s="2275"/>
      <c r="EZ206" s="2275"/>
      <c r="FA206" s="2275"/>
      <c r="FB206" s="2275"/>
      <c r="FC206" s="2275"/>
      <c r="FD206" s="2275"/>
      <c r="FE206" s="2275"/>
      <c r="FF206" s="2275"/>
      <c r="FG206" s="2275"/>
      <c r="FH206" s="2275"/>
      <c r="FI206" s="2275"/>
      <c r="FJ206" s="2275"/>
      <c r="FK206" s="2275"/>
      <c r="FL206" s="2275"/>
      <c r="FM206" s="2275"/>
      <c r="FN206" s="2275"/>
      <c r="FO206" s="2275"/>
      <c r="FP206" s="2275"/>
      <c r="FQ206" s="2275"/>
      <c r="FR206" s="2275"/>
      <c r="FS206" s="2275"/>
      <c r="FT206" s="2275"/>
      <c r="FU206" s="2275"/>
      <c r="FV206" s="2275"/>
      <c r="FW206" s="2275"/>
      <c r="FX206" s="2275"/>
      <c r="FY206" s="2275"/>
      <c r="FZ206" s="2275"/>
      <c r="GA206" s="2275"/>
      <c r="GB206" s="2276"/>
      <c r="GC206" s="2276"/>
      <c r="GD206" s="2250"/>
      <c r="GE206" s="2275"/>
      <c r="GF206" s="2275"/>
      <c r="GG206" s="2275"/>
      <c r="GH206" s="2275"/>
      <c r="GI206" s="2275"/>
      <c r="GJ206" s="2275"/>
      <c r="GK206" s="2275"/>
      <c r="GL206" s="2275"/>
      <c r="GM206" s="2275"/>
      <c r="GN206" s="2275"/>
      <c r="GO206" s="2275"/>
      <c r="GP206" s="2275"/>
      <c r="GQ206" s="2275"/>
      <c r="GR206" s="2275"/>
      <c r="GS206" s="2275"/>
      <c r="GT206" s="2275"/>
      <c r="GU206" s="2275"/>
      <c r="GV206" s="2275"/>
      <c r="GW206" s="2275"/>
      <c r="GX206" s="2275"/>
      <c r="GY206" s="2275"/>
      <c r="GZ206" s="2275"/>
      <c r="HA206" s="2275"/>
      <c r="HB206" s="2275"/>
      <c r="HC206" s="2275"/>
      <c r="HD206" s="2275"/>
      <c r="HE206" s="2275"/>
      <c r="HF206" s="2275"/>
      <c r="HG206" s="2275"/>
      <c r="HH206" s="2275"/>
      <c r="HI206" s="2275"/>
      <c r="HJ206" s="2275"/>
      <c r="HK206" s="2275"/>
      <c r="HL206" s="2275"/>
      <c r="HM206" s="2275"/>
      <c r="HN206" s="2275"/>
      <c r="HO206" s="2275"/>
      <c r="HP206" s="2275"/>
      <c r="HQ206" s="2275"/>
      <c r="HR206" s="2275"/>
      <c r="HS206" s="2275"/>
      <c r="HT206" s="2275"/>
      <c r="HU206" s="2275"/>
      <c r="HV206" s="2275"/>
      <c r="HW206" s="2275"/>
      <c r="HX206" s="2275"/>
      <c r="HY206" s="2275"/>
      <c r="HZ206" s="2275"/>
      <c r="IA206" s="2275"/>
      <c r="IB206" s="2275"/>
      <c r="IC206" s="2275"/>
      <c r="ID206" s="2275"/>
      <c r="IE206" s="2275"/>
      <c r="IF206" s="2275"/>
      <c r="IG206" s="2275"/>
      <c r="IH206" s="2275"/>
      <c r="II206" s="2275"/>
      <c r="IJ206" s="2275"/>
      <c r="IK206" s="2275"/>
      <c r="IL206" s="2275"/>
      <c r="IN206" s="277"/>
      <c r="IO206" s="277"/>
    </row>
    <row r="207" spans="1:249" ht="21.95" customHeight="1">
      <c r="A207" s="2275"/>
      <c r="B207" s="2292">
        <v>0</v>
      </c>
      <c r="C207" s="2292">
        <f t="shared" ref="C207:M207" si="82">C205</f>
        <v>10.1</v>
      </c>
      <c r="D207" s="2292">
        <f t="shared" si="82"/>
        <v>15.15</v>
      </c>
      <c r="E207" s="2292">
        <f t="shared" si="82"/>
        <v>29.5</v>
      </c>
      <c r="F207" s="2292">
        <f t="shared" si="82"/>
        <v>49.9</v>
      </c>
      <c r="G207" s="2292">
        <f t="shared" si="82"/>
        <v>81.09</v>
      </c>
      <c r="H207" s="2292">
        <f t="shared" si="82"/>
        <v>118.71</v>
      </c>
      <c r="I207" s="2292">
        <f t="shared" si="82"/>
        <v>163.47</v>
      </c>
      <c r="J207" s="2292">
        <f t="shared" si="82"/>
        <v>236.44</v>
      </c>
      <c r="K207" s="2292">
        <f t="shared" si="82"/>
        <v>338.91</v>
      </c>
      <c r="L207" s="2292">
        <f t="shared" si="82"/>
        <v>498.22</v>
      </c>
      <c r="M207" s="2292">
        <f t="shared" si="82"/>
        <v>743.66</v>
      </c>
      <c r="N207" s="2275"/>
      <c r="O207" s="2275"/>
      <c r="P207" s="2292">
        <v>0</v>
      </c>
      <c r="Q207" s="2292">
        <f t="shared" ref="Q207:AA207" si="83">Q205</f>
        <v>7.33</v>
      </c>
      <c r="R207" s="2292">
        <f t="shared" si="83"/>
        <v>10.99</v>
      </c>
      <c r="S207" s="2292">
        <f t="shared" si="83"/>
        <v>21.39</v>
      </c>
      <c r="T207" s="2292">
        <f t="shared" si="83"/>
        <v>36.14</v>
      </c>
      <c r="U207" s="2292">
        <f t="shared" si="83"/>
        <v>58.61</v>
      </c>
      <c r="V207" s="2292">
        <f t="shared" si="83"/>
        <v>80.2</v>
      </c>
      <c r="W207" s="2292">
        <f t="shared" si="83"/>
        <v>117.82</v>
      </c>
      <c r="X207" s="2292">
        <f t="shared" si="83"/>
        <v>169.9</v>
      </c>
      <c r="Y207" s="2292">
        <f t="shared" si="83"/>
        <v>232.28</v>
      </c>
      <c r="Z207" s="2292">
        <f t="shared" si="83"/>
        <v>360.59</v>
      </c>
      <c r="AA207" s="2292">
        <f t="shared" si="83"/>
        <v>521.09</v>
      </c>
      <c r="AB207" s="2275"/>
      <c r="AC207" s="2275"/>
      <c r="AD207" s="2292">
        <v>0</v>
      </c>
      <c r="AE207" s="2292">
        <f t="shared" ref="AE207:AO207" si="84">AE205</f>
        <v>6.43</v>
      </c>
      <c r="AF207" s="2292">
        <f t="shared" si="84"/>
        <v>9.59</v>
      </c>
      <c r="AG207" s="2292">
        <f t="shared" si="84"/>
        <v>18.510000000000002</v>
      </c>
      <c r="AH207" s="2292">
        <f t="shared" si="84"/>
        <v>31.6</v>
      </c>
      <c r="AI207" s="2292">
        <f t="shared" si="84"/>
        <v>47.52</v>
      </c>
      <c r="AJ207" s="2292">
        <f t="shared" si="84"/>
        <v>60.72</v>
      </c>
      <c r="AK207" s="2292">
        <f t="shared" si="84"/>
        <v>89.62</v>
      </c>
      <c r="AL207" s="2292">
        <f t="shared" si="84"/>
        <v>129.12</v>
      </c>
      <c r="AM207" s="2292">
        <f t="shared" si="84"/>
        <v>188.37</v>
      </c>
      <c r="AN207" s="2292">
        <f t="shared" si="84"/>
        <v>286.12</v>
      </c>
      <c r="AO207" s="2292">
        <f t="shared" si="84"/>
        <v>400.45</v>
      </c>
      <c r="AP207" s="2275"/>
      <c r="AQ207" s="2275"/>
      <c r="AR207" s="2292">
        <v>0</v>
      </c>
      <c r="AS207" s="2292">
        <f t="shared" ref="AS207:BC207" si="85">AS205</f>
        <v>3.86</v>
      </c>
      <c r="AT207" s="2292">
        <f t="shared" si="85"/>
        <v>5.64</v>
      </c>
      <c r="AU207" s="2292">
        <f t="shared" si="85"/>
        <v>10.59</v>
      </c>
      <c r="AV207" s="2292">
        <f t="shared" si="85"/>
        <v>17.23</v>
      </c>
      <c r="AW207" s="2292">
        <f t="shared" si="85"/>
        <v>27.13</v>
      </c>
      <c r="AX207" s="2292">
        <f t="shared" si="85"/>
        <v>34.950000000000003</v>
      </c>
      <c r="AY207" s="2292">
        <f t="shared" si="85"/>
        <v>51.19</v>
      </c>
      <c r="AZ207" s="2292">
        <f t="shared" si="85"/>
        <v>73.66</v>
      </c>
      <c r="BA207" s="2292">
        <f t="shared" si="85"/>
        <v>108.22</v>
      </c>
      <c r="BB207" s="2292">
        <f t="shared" si="85"/>
        <v>163.16999999999999</v>
      </c>
      <c r="BC207" s="2292">
        <f t="shared" si="85"/>
        <v>228.32</v>
      </c>
      <c r="BD207" s="2275"/>
      <c r="BE207" s="2275"/>
      <c r="BF207" s="2276"/>
      <c r="BG207" s="2276"/>
      <c r="BH207" s="2250"/>
      <c r="BI207" s="2275"/>
      <c r="BJ207" s="2292">
        <v>0</v>
      </c>
      <c r="BK207" s="2292">
        <f t="shared" ref="BK207:BU207" si="86">BK205</f>
        <v>9.31</v>
      </c>
      <c r="BL207" s="2292">
        <f t="shared" si="86"/>
        <v>13.96</v>
      </c>
      <c r="BM207" s="2292">
        <f t="shared" si="86"/>
        <v>27.23</v>
      </c>
      <c r="BN207" s="2292">
        <f t="shared" si="86"/>
        <v>46.93</v>
      </c>
      <c r="BO207" s="2292">
        <f t="shared" si="86"/>
        <v>74.459999999999994</v>
      </c>
      <c r="BP207" s="2292">
        <f t="shared" si="86"/>
        <v>112.28</v>
      </c>
      <c r="BQ207" s="2292">
        <f t="shared" si="86"/>
        <v>155.63999999999999</v>
      </c>
      <c r="BR207" s="2292">
        <f t="shared" si="86"/>
        <v>217.13</v>
      </c>
      <c r="BS207" s="2292">
        <f t="shared" si="86"/>
        <v>295.25</v>
      </c>
      <c r="BT207" s="2292">
        <f t="shared" si="86"/>
        <v>470</v>
      </c>
      <c r="BU207" s="2292">
        <f t="shared" si="86"/>
        <v>700.4</v>
      </c>
      <c r="BV207" s="2275"/>
      <c r="BW207" s="2275"/>
      <c r="BX207" s="2292">
        <v>0</v>
      </c>
      <c r="BY207" s="2292">
        <f t="shared" ref="BY207:CI207" si="87">BY205</f>
        <v>6.73</v>
      </c>
      <c r="BZ207" s="2292">
        <f t="shared" si="87"/>
        <v>10.1</v>
      </c>
      <c r="CA207" s="2292">
        <f t="shared" si="87"/>
        <v>20</v>
      </c>
      <c r="CB207" s="2292">
        <f t="shared" si="87"/>
        <v>34.06</v>
      </c>
      <c r="CC207" s="2292">
        <f t="shared" si="87"/>
        <v>54.06</v>
      </c>
      <c r="CD207" s="2292">
        <f t="shared" si="87"/>
        <v>72.48</v>
      </c>
      <c r="CE207" s="2292">
        <f t="shared" si="87"/>
        <v>111.98</v>
      </c>
      <c r="CF207" s="2292">
        <f t="shared" si="87"/>
        <v>157.52000000000001</v>
      </c>
      <c r="CG207" s="2292">
        <f t="shared" si="87"/>
        <v>214.16</v>
      </c>
      <c r="CH207" s="2292">
        <f t="shared" si="87"/>
        <v>340.89</v>
      </c>
      <c r="CI207" s="2292">
        <f t="shared" si="87"/>
        <v>496.04</v>
      </c>
      <c r="CJ207" s="2275"/>
      <c r="CK207" s="2275"/>
      <c r="CL207" s="2292">
        <v>0</v>
      </c>
      <c r="CM207" s="2292">
        <f t="shared" ref="CM207:CW207" si="88">CM205</f>
        <v>5.87</v>
      </c>
      <c r="CN207" s="2292">
        <f t="shared" si="88"/>
        <v>8.8000000000000007</v>
      </c>
      <c r="CO207" s="2292">
        <f t="shared" si="88"/>
        <v>17.16</v>
      </c>
      <c r="CP207" s="2292">
        <f t="shared" si="88"/>
        <v>28.67</v>
      </c>
      <c r="CQ207" s="2292">
        <f t="shared" si="88"/>
        <v>45.6</v>
      </c>
      <c r="CR207" s="2292">
        <f t="shared" si="88"/>
        <v>54.85</v>
      </c>
      <c r="CS207" s="2292">
        <f t="shared" si="88"/>
        <v>85.44</v>
      </c>
      <c r="CT207" s="2292">
        <f t="shared" si="88"/>
        <v>123.7</v>
      </c>
      <c r="CU207" s="2292">
        <f t="shared" si="88"/>
        <v>173.81</v>
      </c>
      <c r="CV207" s="2292">
        <f t="shared" si="88"/>
        <v>266.48</v>
      </c>
      <c r="CW207" s="2292">
        <f t="shared" si="88"/>
        <v>377.31</v>
      </c>
      <c r="CX207" s="2275"/>
      <c r="CY207" s="2275"/>
      <c r="CZ207" s="2292">
        <v>0</v>
      </c>
      <c r="DA207" s="2292">
        <f t="shared" ref="DA207:DK207" si="89">DA205</f>
        <v>3.76</v>
      </c>
      <c r="DB207" s="2292">
        <f t="shared" si="89"/>
        <v>5.25</v>
      </c>
      <c r="DC207" s="2292">
        <f t="shared" si="89"/>
        <v>9.8000000000000007</v>
      </c>
      <c r="DD207" s="2292">
        <f t="shared" si="89"/>
        <v>16.34</v>
      </c>
      <c r="DE207" s="2292">
        <f t="shared" si="89"/>
        <v>25.94</v>
      </c>
      <c r="DF207" s="2292">
        <f t="shared" si="89"/>
        <v>31.58</v>
      </c>
      <c r="DG207" s="2292">
        <f t="shared" si="89"/>
        <v>48.71</v>
      </c>
      <c r="DH207" s="2292">
        <f t="shared" si="89"/>
        <v>70.5</v>
      </c>
      <c r="DI207" s="2292">
        <f t="shared" si="89"/>
        <v>99.5</v>
      </c>
      <c r="DJ207" s="2292">
        <f t="shared" si="89"/>
        <v>152.47999999999999</v>
      </c>
      <c r="DK207" s="2292">
        <f t="shared" si="89"/>
        <v>215.15</v>
      </c>
      <c r="DL207" s="2275"/>
      <c r="DM207" s="2275"/>
      <c r="DN207" s="2275"/>
      <c r="DO207" s="2275"/>
      <c r="DP207" s="2275"/>
      <c r="DQ207" s="2277"/>
      <c r="DR207" s="2277"/>
      <c r="DS207" s="277"/>
      <c r="DW207" s="2275"/>
      <c r="DX207" s="2292">
        <v>0</v>
      </c>
      <c r="DY207" s="2292">
        <f t="shared" ref="DY207:EI207" si="90">DY205</f>
        <v>14.95</v>
      </c>
      <c r="DZ207" s="2292">
        <f t="shared" si="90"/>
        <v>22.18</v>
      </c>
      <c r="EA207" s="2292">
        <f t="shared" si="90"/>
        <v>43.27</v>
      </c>
      <c r="EB207" s="2292">
        <f t="shared" si="90"/>
        <v>72.87</v>
      </c>
      <c r="EC207" s="2292">
        <f t="shared" si="90"/>
        <v>119.5</v>
      </c>
      <c r="ED207" s="2292">
        <f t="shared" si="90"/>
        <v>157.13</v>
      </c>
      <c r="EE207" s="2292">
        <f t="shared" si="90"/>
        <v>241.49</v>
      </c>
      <c r="EF207" s="2292">
        <f t="shared" si="90"/>
        <v>347.62</v>
      </c>
      <c r="EG207" s="2292">
        <f t="shared" si="90"/>
        <v>467.82</v>
      </c>
      <c r="EH207" s="2292">
        <f t="shared" si="90"/>
        <v>733.56</v>
      </c>
      <c r="EI207" s="2292">
        <f t="shared" si="90"/>
        <v>1082.8699999999999</v>
      </c>
      <c r="EJ207" s="2275"/>
      <c r="EK207" s="2275"/>
      <c r="EL207" s="2292">
        <v>0</v>
      </c>
      <c r="EM207" s="2292">
        <f t="shared" ref="EM207:EW207" si="91">EM205</f>
        <v>10.79</v>
      </c>
      <c r="EN207" s="2292">
        <f t="shared" si="91"/>
        <v>15.94</v>
      </c>
      <c r="EO207" s="2292">
        <f t="shared" si="91"/>
        <v>31.19</v>
      </c>
      <c r="EP207" s="2292">
        <f t="shared" si="91"/>
        <v>52.97</v>
      </c>
      <c r="EQ207" s="2292">
        <f t="shared" si="91"/>
        <v>86.04</v>
      </c>
      <c r="ER207" s="2292">
        <f t="shared" si="91"/>
        <v>114.75</v>
      </c>
      <c r="ES207" s="2292">
        <f t="shared" si="91"/>
        <v>169.7</v>
      </c>
      <c r="ET207" s="2292">
        <f t="shared" si="91"/>
        <v>249.01</v>
      </c>
      <c r="EU207" s="2292">
        <f t="shared" si="91"/>
        <v>337.72</v>
      </c>
      <c r="EV207" s="2292">
        <f t="shared" si="91"/>
        <v>528.61</v>
      </c>
      <c r="EW207" s="2292">
        <f t="shared" si="91"/>
        <v>783.27</v>
      </c>
      <c r="EX207" s="2275"/>
      <c r="EY207" s="2275"/>
      <c r="EZ207" s="2292">
        <v>0</v>
      </c>
      <c r="FA207" s="2292">
        <f t="shared" ref="FA207:FK207" si="92">FA205</f>
        <v>9.26</v>
      </c>
      <c r="FB207" s="2292">
        <f t="shared" si="92"/>
        <v>13.88</v>
      </c>
      <c r="FC207" s="2292">
        <f t="shared" si="92"/>
        <v>25.96</v>
      </c>
      <c r="FD207" s="2292">
        <f t="shared" si="92"/>
        <v>43.68</v>
      </c>
      <c r="FE207" s="2292">
        <f t="shared" si="92"/>
        <v>70.650000000000006</v>
      </c>
      <c r="FF207" s="2292">
        <f t="shared" si="92"/>
        <v>89.84</v>
      </c>
      <c r="FG207" s="2292">
        <f t="shared" si="92"/>
        <v>129.46</v>
      </c>
      <c r="FH207" s="2292">
        <f t="shared" si="92"/>
        <v>189.39</v>
      </c>
      <c r="FI207" s="2292">
        <f t="shared" si="92"/>
        <v>265.01</v>
      </c>
      <c r="FJ207" s="2292">
        <f t="shared" si="92"/>
        <v>404.74</v>
      </c>
      <c r="FK207" s="2292">
        <f t="shared" si="92"/>
        <v>600.34</v>
      </c>
      <c r="FL207" s="2275"/>
      <c r="FM207" s="2275"/>
      <c r="FN207" s="2292">
        <v>0</v>
      </c>
      <c r="FO207" s="2292">
        <f t="shared" ref="FO207:FY207" si="93">FO205</f>
        <v>5.35</v>
      </c>
      <c r="FP207" s="2292">
        <f t="shared" si="93"/>
        <v>8.7100000000000009</v>
      </c>
      <c r="FQ207" s="2292">
        <f t="shared" si="93"/>
        <v>15.05</v>
      </c>
      <c r="FR207" s="2292">
        <f t="shared" si="93"/>
        <v>25.25</v>
      </c>
      <c r="FS207" s="2292">
        <f t="shared" si="93"/>
        <v>40.89</v>
      </c>
      <c r="FT207" s="2292">
        <f t="shared" si="93"/>
        <v>51.68</v>
      </c>
      <c r="FU207" s="2292">
        <f t="shared" si="93"/>
        <v>74.650000000000006</v>
      </c>
      <c r="FV207" s="2292">
        <f t="shared" si="93"/>
        <v>109.6</v>
      </c>
      <c r="FW207" s="2292">
        <f t="shared" si="93"/>
        <v>153.27000000000001</v>
      </c>
      <c r="FX207" s="2292">
        <f t="shared" si="93"/>
        <v>234.16</v>
      </c>
      <c r="FY207" s="2292">
        <f t="shared" si="93"/>
        <v>347.13</v>
      </c>
      <c r="FZ207" s="2275"/>
      <c r="GA207" s="2275"/>
      <c r="GB207" s="2276"/>
      <c r="GC207" s="2276"/>
      <c r="GD207" s="2250"/>
      <c r="GE207" s="2275"/>
      <c r="GF207" s="2292">
        <v>0</v>
      </c>
      <c r="GG207" s="2292">
        <f t="shared" ref="GG207:GQ207" si="94">GG205</f>
        <v>13.66</v>
      </c>
      <c r="GH207" s="2292">
        <f t="shared" si="94"/>
        <v>20.399999999999999</v>
      </c>
      <c r="GI207" s="2292">
        <f t="shared" si="94"/>
        <v>39.799999999999997</v>
      </c>
      <c r="GJ207" s="2292">
        <f t="shared" si="94"/>
        <v>66.83</v>
      </c>
      <c r="GK207" s="2292">
        <f t="shared" si="94"/>
        <v>109.11</v>
      </c>
      <c r="GL207" s="2292">
        <f t="shared" si="94"/>
        <v>154.85</v>
      </c>
      <c r="GM207" s="2292">
        <f t="shared" si="94"/>
        <v>225.15</v>
      </c>
      <c r="GN207" s="2292">
        <f t="shared" si="94"/>
        <v>318.12</v>
      </c>
      <c r="GO207" s="2292">
        <f t="shared" si="94"/>
        <v>410.3</v>
      </c>
      <c r="GP207" s="2292">
        <f t="shared" si="94"/>
        <v>674.75</v>
      </c>
      <c r="GQ207" s="2292">
        <f t="shared" si="94"/>
        <v>993.96</v>
      </c>
      <c r="GR207" s="2275"/>
      <c r="GS207" s="2275"/>
      <c r="GT207" s="2292">
        <v>0</v>
      </c>
      <c r="GU207" s="2292">
        <f t="shared" ref="GU207:HE207" si="95">GU205</f>
        <v>9.8000000000000007</v>
      </c>
      <c r="GV207" s="2292">
        <f t="shared" si="95"/>
        <v>14.65</v>
      </c>
      <c r="GW207" s="2292">
        <f t="shared" si="95"/>
        <v>28.71</v>
      </c>
      <c r="GX207" s="2292">
        <f t="shared" si="95"/>
        <v>48.71</v>
      </c>
      <c r="GY207" s="2292">
        <f t="shared" si="95"/>
        <v>78.709999999999994</v>
      </c>
      <c r="GZ207" s="2292">
        <f t="shared" si="95"/>
        <v>104.46</v>
      </c>
      <c r="HA207" s="2292">
        <f t="shared" si="95"/>
        <v>157.03</v>
      </c>
      <c r="HB207" s="2292">
        <f t="shared" si="95"/>
        <v>228.91</v>
      </c>
      <c r="HC207" s="2292">
        <f t="shared" si="95"/>
        <v>295.54000000000002</v>
      </c>
      <c r="HD207" s="2292">
        <f t="shared" si="95"/>
        <v>486.63</v>
      </c>
      <c r="HE207" s="2292">
        <f t="shared" si="95"/>
        <v>722.67</v>
      </c>
      <c r="HF207" s="2275"/>
      <c r="HG207" s="2275"/>
      <c r="HH207" s="2292">
        <v>0</v>
      </c>
      <c r="HI207" s="2292">
        <f t="shared" ref="HI207:HS207" si="96">HI205</f>
        <v>8.58</v>
      </c>
      <c r="HJ207" s="2292">
        <f t="shared" si="96"/>
        <v>12.75</v>
      </c>
      <c r="HK207" s="2292">
        <f t="shared" si="96"/>
        <v>24.83</v>
      </c>
      <c r="HL207" s="2292">
        <f t="shared" si="96"/>
        <v>39.840000000000003</v>
      </c>
      <c r="HM207" s="2292">
        <f t="shared" si="96"/>
        <v>63.77</v>
      </c>
      <c r="HN207" s="2292">
        <f t="shared" si="96"/>
        <v>79.8</v>
      </c>
      <c r="HO207" s="2292">
        <f t="shared" si="96"/>
        <v>119.07</v>
      </c>
      <c r="HP207" s="2292">
        <f t="shared" si="96"/>
        <v>173.14</v>
      </c>
      <c r="HQ207" s="2292">
        <f t="shared" si="96"/>
        <v>238.83</v>
      </c>
      <c r="HR207" s="2292">
        <f t="shared" si="96"/>
        <v>371.67</v>
      </c>
      <c r="HS207" s="2292">
        <f t="shared" si="96"/>
        <v>547.4</v>
      </c>
      <c r="HT207" s="2275"/>
      <c r="HU207" s="2275"/>
      <c r="HV207" s="2292">
        <v>0</v>
      </c>
      <c r="HW207" s="2292">
        <f t="shared" ref="HW207:IG207" si="97">HW205</f>
        <v>5.25</v>
      </c>
      <c r="HX207" s="2292">
        <f t="shared" si="97"/>
        <v>7.72</v>
      </c>
      <c r="HY207" s="2292">
        <f t="shared" si="97"/>
        <v>14.36</v>
      </c>
      <c r="HZ207" s="2292">
        <f t="shared" si="97"/>
        <v>23.07</v>
      </c>
      <c r="IA207" s="2292">
        <f t="shared" si="97"/>
        <v>36.83</v>
      </c>
      <c r="IB207" s="2292">
        <f t="shared" si="97"/>
        <v>45.94</v>
      </c>
      <c r="IC207" s="2292">
        <f t="shared" si="97"/>
        <v>68.91</v>
      </c>
      <c r="ID207" s="2292">
        <f t="shared" si="97"/>
        <v>100</v>
      </c>
      <c r="IE207" s="2292">
        <f t="shared" si="97"/>
        <v>138.12</v>
      </c>
      <c r="IF207" s="2292">
        <f t="shared" si="97"/>
        <v>215.25</v>
      </c>
      <c r="IG207" s="2292">
        <f t="shared" si="97"/>
        <v>316.93</v>
      </c>
      <c r="IH207" s="2275"/>
      <c r="II207" s="2275"/>
      <c r="IJ207" s="2275"/>
      <c r="IK207" s="2275"/>
      <c r="IL207" s="2275"/>
      <c r="IN207" s="277"/>
      <c r="IO207" s="277"/>
    </row>
    <row r="208" spans="1:249" ht="21.95" customHeight="1">
      <c r="A208" s="2275"/>
      <c r="B208" s="2292">
        <f t="shared" ref="B208:L208" si="98">C207</f>
        <v>10.1</v>
      </c>
      <c r="C208" s="2292">
        <f t="shared" si="98"/>
        <v>15.15</v>
      </c>
      <c r="D208" s="2292">
        <f t="shared" si="98"/>
        <v>29.5</v>
      </c>
      <c r="E208" s="2292">
        <f t="shared" si="98"/>
        <v>49.9</v>
      </c>
      <c r="F208" s="2292">
        <f t="shared" si="98"/>
        <v>81.09</v>
      </c>
      <c r="G208" s="2292">
        <f t="shared" si="98"/>
        <v>118.71</v>
      </c>
      <c r="H208" s="2292">
        <f t="shared" si="98"/>
        <v>163.47</v>
      </c>
      <c r="I208" s="2292">
        <f t="shared" si="98"/>
        <v>236.44</v>
      </c>
      <c r="J208" s="2292">
        <f t="shared" si="98"/>
        <v>338.91</v>
      </c>
      <c r="K208" s="2292">
        <f t="shared" si="98"/>
        <v>498.22</v>
      </c>
      <c r="L208" s="2292">
        <f t="shared" si="98"/>
        <v>743.66</v>
      </c>
      <c r="M208" s="2292">
        <f>+L208</f>
        <v>743.66</v>
      </c>
      <c r="N208" s="2275"/>
      <c r="O208" s="2275"/>
      <c r="P208" s="2292">
        <f t="shared" ref="P208:Z208" si="99">Q207</f>
        <v>7.33</v>
      </c>
      <c r="Q208" s="2292">
        <f t="shared" si="99"/>
        <v>10.99</v>
      </c>
      <c r="R208" s="2292">
        <f t="shared" si="99"/>
        <v>21.39</v>
      </c>
      <c r="S208" s="2292">
        <f t="shared" si="99"/>
        <v>36.14</v>
      </c>
      <c r="T208" s="2292">
        <f t="shared" si="99"/>
        <v>58.61</v>
      </c>
      <c r="U208" s="2292">
        <f t="shared" si="99"/>
        <v>80.2</v>
      </c>
      <c r="V208" s="2292">
        <f t="shared" si="99"/>
        <v>117.82</v>
      </c>
      <c r="W208" s="2292">
        <f t="shared" si="99"/>
        <v>169.9</v>
      </c>
      <c r="X208" s="2292">
        <f t="shared" si="99"/>
        <v>232.28</v>
      </c>
      <c r="Y208" s="2292">
        <f t="shared" si="99"/>
        <v>360.59</v>
      </c>
      <c r="Z208" s="2292">
        <f t="shared" si="99"/>
        <v>521.09</v>
      </c>
      <c r="AA208" s="2292">
        <f>+Z208</f>
        <v>521.09</v>
      </c>
      <c r="AB208" s="2275"/>
      <c r="AC208" s="2275"/>
      <c r="AD208" s="2292">
        <f t="shared" ref="AD208:AN208" si="100">AE207</f>
        <v>6.43</v>
      </c>
      <c r="AE208" s="2292">
        <f t="shared" si="100"/>
        <v>9.59</v>
      </c>
      <c r="AF208" s="2292">
        <f t="shared" si="100"/>
        <v>18.510000000000002</v>
      </c>
      <c r="AG208" s="2292">
        <f t="shared" si="100"/>
        <v>31.6</v>
      </c>
      <c r="AH208" s="2292">
        <f t="shared" si="100"/>
        <v>47.52</v>
      </c>
      <c r="AI208" s="2292">
        <f t="shared" si="100"/>
        <v>60.72</v>
      </c>
      <c r="AJ208" s="2292">
        <f t="shared" si="100"/>
        <v>89.62</v>
      </c>
      <c r="AK208" s="2292">
        <f t="shared" si="100"/>
        <v>129.12</v>
      </c>
      <c r="AL208" s="2292">
        <f t="shared" si="100"/>
        <v>188.37</v>
      </c>
      <c r="AM208" s="2292">
        <f t="shared" si="100"/>
        <v>286.12</v>
      </c>
      <c r="AN208" s="2292">
        <f t="shared" si="100"/>
        <v>400.45</v>
      </c>
      <c r="AO208" s="2292">
        <f>+AN208</f>
        <v>400.45</v>
      </c>
      <c r="AP208" s="2275"/>
      <c r="AQ208" s="2275"/>
      <c r="AR208" s="2292">
        <f t="shared" ref="AR208:BB208" si="101">AS207</f>
        <v>3.86</v>
      </c>
      <c r="AS208" s="2292">
        <f t="shared" si="101"/>
        <v>5.64</v>
      </c>
      <c r="AT208" s="2292">
        <f t="shared" si="101"/>
        <v>10.59</v>
      </c>
      <c r="AU208" s="2292">
        <f t="shared" si="101"/>
        <v>17.23</v>
      </c>
      <c r="AV208" s="2292">
        <f t="shared" si="101"/>
        <v>27.13</v>
      </c>
      <c r="AW208" s="2292">
        <f t="shared" si="101"/>
        <v>34.950000000000003</v>
      </c>
      <c r="AX208" s="2292">
        <f t="shared" si="101"/>
        <v>51.19</v>
      </c>
      <c r="AY208" s="2292">
        <f t="shared" si="101"/>
        <v>73.66</v>
      </c>
      <c r="AZ208" s="2292">
        <f t="shared" si="101"/>
        <v>108.22</v>
      </c>
      <c r="BA208" s="2292">
        <f t="shared" si="101"/>
        <v>163.16999999999999</v>
      </c>
      <c r="BB208" s="2292">
        <f t="shared" si="101"/>
        <v>228.32</v>
      </c>
      <c r="BC208" s="2292">
        <f>+BB208</f>
        <v>228.32</v>
      </c>
      <c r="BD208" s="2275"/>
      <c r="BE208" s="2275"/>
      <c r="BF208" s="2276"/>
      <c r="BG208" s="2276"/>
      <c r="BH208" s="2250"/>
      <c r="BI208" s="2275"/>
      <c r="BJ208" s="2292">
        <f t="shared" ref="BJ208:BT208" si="102">BK207</f>
        <v>9.31</v>
      </c>
      <c r="BK208" s="2292">
        <f t="shared" si="102"/>
        <v>13.96</v>
      </c>
      <c r="BL208" s="2292">
        <f t="shared" si="102"/>
        <v>27.23</v>
      </c>
      <c r="BM208" s="2292">
        <f t="shared" si="102"/>
        <v>46.93</v>
      </c>
      <c r="BN208" s="2292">
        <f t="shared" si="102"/>
        <v>74.459999999999994</v>
      </c>
      <c r="BO208" s="2292">
        <f t="shared" si="102"/>
        <v>112.28</v>
      </c>
      <c r="BP208" s="2292">
        <f t="shared" si="102"/>
        <v>155.63999999999999</v>
      </c>
      <c r="BQ208" s="2292">
        <f t="shared" si="102"/>
        <v>217.13</v>
      </c>
      <c r="BR208" s="2292">
        <f t="shared" si="102"/>
        <v>295.25</v>
      </c>
      <c r="BS208" s="2292">
        <f t="shared" si="102"/>
        <v>470</v>
      </c>
      <c r="BT208" s="2292">
        <f t="shared" si="102"/>
        <v>700.4</v>
      </c>
      <c r="BU208" s="2292">
        <f>+BT208</f>
        <v>700.4</v>
      </c>
      <c r="BV208" s="2275"/>
      <c r="BW208" s="2275"/>
      <c r="BX208" s="2292">
        <f t="shared" ref="BX208:CH208" si="103">BY207</f>
        <v>6.73</v>
      </c>
      <c r="BY208" s="2292">
        <f t="shared" si="103"/>
        <v>10.1</v>
      </c>
      <c r="BZ208" s="2292">
        <f t="shared" si="103"/>
        <v>20</v>
      </c>
      <c r="CA208" s="2292">
        <f t="shared" si="103"/>
        <v>34.06</v>
      </c>
      <c r="CB208" s="2292">
        <f t="shared" si="103"/>
        <v>54.06</v>
      </c>
      <c r="CC208" s="2292">
        <f t="shared" si="103"/>
        <v>72.48</v>
      </c>
      <c r="CD208" s="2292">
        <f t="shared" si="103"/>
        <v>111.98</v>
      </c>
      <c r="CE208" s="2292">
        <f t="shared" si="103"/>
        <v>157.52000000000001</v>
      </c>
      <c r="CF208" s="2292">
        <f t="shared" si="103"/>
        <v>214.16</v>
      </c>
      <c r="CG208" s="2292">
        <f t="shared" si="103"/>
        <v>340.89</v>
      </c>
      <c r="CH208" s="2292">
        <f t="shared" si="103"/>
        <v>496.04</v>
      </c>
      <c r="CI208" s="2292">
        <f>+CH208</f>
        <v>496.04</v>
      </c>
      <c r="CJ208" s="2275"/>
      <c r="CK208" s="2275"/>
      <c r="CL208" s="2292">
        <f t="shared" ref="CL208:CV208" si="104">CM207</f>
        <v>5.87</v>
      </c>
      <c r="CM208" s="2292">
        <f t="shared" si="104"/>
        <v>8.8000000000000007</v>
      </c>
      <c r="CN208" s="2292">
        <f t="shared" si="104"/>
        <v>17.16</v>
      </c>
      <c r="CO208" s="2292">
        <f t="shared" si="104"/>
        <v>28.67</v>
      </c>
      <c r="CP208" s="2292">
        <f t="shared" si="104"/>
        <v>45.6</v>
      </c>
      <c r="CQ208" s="2292">
        <f t="shared" si="104"/>
        <v>54.85</v>
      </c>
      <c r="CR208" s="2292">
        <f t="shared" si="104"/>
        <v>85.44</v>
      </c>
      <c r="CS208" s="2292">
        <f t="shared" si="104"/>
        <v>123.7</v>
      </c>
      <c r="CT208" s="2292">
        <f t="shared" si="104"/>
        <v>173.81</v>
      </c>
      <c r="CU208" s="2292">
        <f t="shared" si="104"/>
        <v>266.48</v>
      </c>
      <c r="CV208" s="2292">
        <f t="shared" si="104"/>
        <v>377.31</v>
      </c>
      <c r="CW208" s="2292">
        <f>+CV208</f>
        <v>377.31</v>
      </c>
      <c r="CX208" s="2275"/>
      <c r="CY208" s="2275"/>
      <c r="CZ208" s="2292">
        <f t="shared" ref="CZ208:DJ208" si="105">DA207</f>
        <v>3.76</v>
      </c>
      <c r="DA208" s="2292">
        <f t="shared" si="105"/>
        <v>5.25</v>
      </c>
      <c r="DB208" s="2292">
        <f t="shared" si="105"/>
        <v>9.8000000000000007</v>
      </c>
      <c r="DC208" s="2292">
        <f t="shared" si="105"/>
        <v>16.34</v>
      </c>
      <c r="DD208" s="2292">
        <f t="shared" si="105"/>
        <v>25.94</v>
      </c>
      <c r="DE208" s="2292">
        <f t="shared" si="105"/>
        <v>31.58</v>
      </c>
      <c r="DF208" s="2292">
        <f t="shared" si="105"/>
        <v>48.71</v>
      </c>
      <c r="DG208" s="2292">
        <f t="shared" si="105"/>
        <v>70.5</v>
      </c>
      <c r="DH208" s="2292">
        <f t="shared" si="105"/>
        <v>99.5</v>
      </c>
      <c r="DI208" s="2292">
        <f t="shared" si="105"/>
        <v>152.47999999999999</v>
      </c>
      <c r="DJ208" s="2292">
        <f t="shared" si="105"/>
        <v>215.15</v>
      </c>
      <c r="DK208" s="2292">
        <f>+DJ208</f>
        <v>215.15</v>
      </c>
      <c r="DL208" s="2275"/>
      <c r="DM208" s="2275"/>
      <c r="DN208" s="2275"/>
      <c r="DO208" s="2275"/>
      <c r="DP208" s="2275"/>
      <c r="DQ208" s="2277"/>
      <c r="DR208" s="2277"/>
      <c r="DS208" s="277"/>
      <c r="DW208" s="2275"/>
      <c r="DX208" s="2292">
        <f t="shared" ref="DX208:EH208" si="106">DY207</f>
        <v>14.95</v>
      </c>
      <c r="DY208" s="2292">
        <f t="shared" si="106"/>
        <v>22.18</v>
      </c>
      <c r="DZ208" s="2292">
        <f t="shared" si="106"/>
        <v>43.27</v>
      </c>
      <c r="EA208" s="2292">
        <f t="shared" si="106"/>
        <v>72.87</v>
      </c>
      <c r="EB208" s="2292">
        <f t="shared" si="106"/>
        <v>119.5</v>
      </c>
      <c r="EC208" s="2292">
        <f t="shared" si="106"/>
        <v>157.13</v>
      </c>
      <c r="ED208" s="2292">
        <f t="shared" si="106"/>
        <v>241.49</v>
      </c>
      <c r="EE208" s="2292">
        <f t="shared" si="106"/>
        <v>347.62</v>
      </c>
      <c r="EF208" s="2292">
        <f t="shared" si="106"/>
        <v>467.82</v>
      </c>
      <c r="EG208" s="2292">
        <f t="shared" si="106"/>
        <v>733.56</v>
      </c>
      <c r="EH208" s="2292">
        <f t="shared" si="106"/>
        <v>1082.8699999999999</v>
      </c>
      <c r="EI208" s="2292">
        <f>+EH208</f>
        <v>1082.8699999999999</v>
      </c>
      <c r="EJ208" s="2275"/>
      <c r="EK208" s="2275"/>
      <c r="EL208" s="2292">
        <f t="shared" ref="EL208:EV208" si="107">EM207</f>
        <v>10.79</v>
      </c>
      <c r="EM208" s="2292">
        <f t="shared" si="107"/>
        <v>15.94</v>
      </c>
      <c r="EN208" s="2292">
        <f t="shared" si="107"/>
        <v>31.19</v>
      </c>
      <c r="EO208" s="2292">
        <f t="shared" si="107"/>
        <v>52.97</v>
      </c>
      <c r="EP208" s="2292">
        <f t="shared" si="107"/>
        <v>86.04</v>
      </c>
      <c r="EQ208" s="2292">
        <f t="shared" si="107"/>
        <v>114.75</v>
      </c>
      <c r="ER208" s="2292">
        <f t="shared" si="107"/>
        <v>169.7</v>
      </c>
      <c r="ES208" s="2292">
        <f t="shared" si="107"/>
        <v>249.01</v>
      </c>
      <c r="ET208" s="2292">
        <f t="shared" si="107"/>
        <v>337.72</v>
      </c>
      <c r="EU208" s="2292">
        <f t="shared" si="107"/>
        <v>528.61</v>
      </c>
      <c r="EV208" s="2292">
        <f t="shared" si="107"/>
        <v>783.27</v>
      </c>
      <c r="EW208" s="2292">
        <f>+EV208</f>
        <v>783.27</v>
      </c>
      <c r="EX208" s="2275"/>
      <c r="EY208" s="2275"/>
      <c r="EZ208" s="2292">
        <f t="shared" ref="EZ208:FJ208" si="108">FA207</f>
        <v>9.26</v>
      </c>
      <c r="FA208" s="2292">
        <f t="shared" si="108"/>
        <v>13.88</v>
      </c>
      <c r="FB208" s="2292">
        <f t="shared" si="108"/>
        <v>25.96</v>
      </c>
      <c r="FC208" s="2292">
        <f t="shared" si="108"/>
        <v>43.68</v>
      </c>
      <c r="FD208" s="2292">
        <f t="shared" si="108"/>
        <v>70.650000000000006</v>
      </c>
      <c r="FE208" s="2292">
        <f t="shared" si="108"/>
        <v>89.84</v>
      </c>
      <c r="FF208" s="2292">
        <f t="shared" si="108"/>
        <v>129.46</v>
      </c>
      <c r="FG208" s="2292">
        <f t="shared" si="108"/>
        <v>189.39</v>
      </c>
      <c r="FH208" s="2292">
        <f t="shared" si="108"/>
        <v>265.01</v>
      </c>
      <c r="FI208" s="2292">
        <f t="shared" si="108"/>
        <v>404.74</v>
      </c>
      <c r="FJ208" s="2292">
        <f t="shared" si="108"/>
        <v>600.34</v>
      </c>
      <c r="FK208" s="2292">
        <f>+FJ208</f>
        <v>600.34</v>
      </c>
      <c r="FL208" s="2275"/>
      <c r="FM208" s="2275"/>
      <c r="FN208" s="2292">
        <f t="shared" ref="FN208:FX208" si="109">FO207</f>
        <v>5.35</v>
      </c>
      <c r="FO208" s="2292">
        <f t="shared" si="109"/>
        <v>8.7100000000000009</v>
      </c>
      <c r="FP208" s="2292">
        <f t="shared" si="109"/>
        <v>15.05</v>
      </c>
      <c r="FQ208" s="2292">
        <f t="shared" si="109"/>
        <v>25.25</v>
      </c>
      <c r="FR208" s="2292">
        <f t="shared" si="109"/>
        <v>40.89</v>
      </c>
      <c r="FS208" s="2292">
        <f t="shared" si="109"/>
        <v>51.68</v>
      </c>
      <c r="FT208" s="2292">
        <f t="shared" si="109"/>
        <v>74.650000000000006</v>
      </c>
      <c r="FU208" s="2292">
        <f t="shared" si="109"/>
        <v>109.6</v>
      </c>
      <c r="FV208" s="2292">
        <f t="shared" si="109"/>
        <v>153.27000000000001</v>
      </c>
      <c r="FW208" s="2292">
        <f t="shared" si="109"/>
        <v>234.16</v>
      </c>
      <c r="FX208" s="2292">
        <f t="shared" si="109"/>
        <v>347.13</v>
      </c>
      <c r="FY208" s="2292">
        <f>+FX208</f>
        <v>347.13</v>
      </c>
      <c r="FZ208" s="2275"/>
      <c r="GA208" s="2275"/>
      <c r="GB208" s="2276"/>
      <c r="GC208" s="2276"/>
      <c r="GD208" s="2250"/>
      <c r="GE208" s="2275"/>
      <c r="GF208" s="2292">
        <f t="shared" ref="GF208:GP208" si="110">GG207</f>
        <v>13.66</v>
      </c>
      <c r="GG208" s="2292">
        <f t="shared" si="110"/>
        <v>20.399999999999999</v>
      </c>
      <c r="GH208" s="2292">
        <f t="shared" si="110"/>
        <v>39.799999999999997</v>
      </c>
      <c r="GI208" s="2292">
        <f t="shared" si="110"/>
        <v>66.83</v>
      </c>
      <c r="GJ208" s="2292">
        <f t="shared" si="110"/>
        <v>109.11</v>
      </c>
      <c r="GK208" s="2292">
        <f t="shared" si="110"/>
        <v>154.85</v>
      </c>
      <c r="GL208" s="2292">
        <f t="shared" si="110"/>
        <v>225.15</v>
      </c>
      <c r="GM208" s="2292">
        <f t="shared" si="110"/>
        <v>318.12</v>
      </c>
      <c r="GN208" s="2292">
        <f t="shared" si="110"/>
        <v>410.3</v>
      </c>
      <c r="GO208" s="2292">
        <f t="shared" si="110"/>
        <v>674.75</v>
      </c>
      <c r="GP208" s="2292">
        <f t="shared" si="110"/>
        <v>993.96</v>
      </c>
      <c r="GQ208" s="2292">
        <f>+GP208</f>
        <v>993.96</v>
      </c>
      <c r="GR208" s="2275"/>
      <c r="GS208" s="2275"/>
      <c r="GT208" s="2292">
        <f t="shared" ref="GT208:HD208" si="111">GU207</f>
        <v>9.8000000000000007</v>
      </c>
      <c r="GU208" s="2292">
        <f t="shared" si="111"/>
        <v>14.65</v>
      </c>
      <c r="GV208" s="2292">
        <f t="shared" si="111"/>
        <v>28.71</v>
      </c>
      <c r="GW208" s="2292">
        <f t="shared" si="111"/>
        <v>48.71</v>
      </c>
      <c r="GX208" s="2292">
        <f t="shared" si="111"/>
        <v>78.709999999999994</v>
      </c>
      <c r="GY208" s="2292">
        <f t="shared" si="111"/>
        <v>104.46</v>
      </c>
      <c r="GZ208" s="2292">
        <f t="shared" si="111"/>
        <v>157.03</v>
      </c>
      <c r="HA208" s="2292">
        <f t="shared" si="111"/>
        <v>228.91</v>
      </c>
      <c r="HB208" s="2292">
        <f t="shared" si="111"/>
        <v>295.54000000000002</v>
      </c>
      <c r="HC208" s="2292">
        <f t="shared" si="111"/>
        <v>486.63</v>
      </c>
      <c r="HD208" s="2292">
        <f t="shared" si="111"/>
        <v>722.67</v>
      </c>
      <c r="HE208" s="2292">
        <f>+HD208</f>
        <v>722.67</v>
      </c>
      <c r="HF208" s="2275"/>
      <c r="HG208" s="2275"/>
      <c r="HH208" s="2292">
        <f t="shared" ref="HH208:HR208" si="112">HI207</f>
        <v>8.58</v>
      </c>
      <c r="HI208" s="2292">
        <f t="shared" si="112"/>
        <v>12.75</v>
      </c>
      <c r="HJ208" s="2292">
        <f t="shared" si="112"/>
        <v>24.83</v>
      </c>
      <c r="HK208" s="2292">
        <f t="shared" si="112"/>
        <v>39.840000000000003</v>
      </c>
      <c r="HL208" s="2292">
        <f t="shared" si="112"/>
        <v>63.77</v>
      </c>
      <c r="HM208" s="2292">
        <f t="shared" si="112"/>
        <v>79.8</v>
      </c>
      <c r="HN208" s="2292">
        <f t="shared" si="112"/>
        <v>119.07</v>
      </c>
      <c r="HO208" s="2292">
        <f t="shared" si="112"/>
        <v>173.14</v>
      </c>
      <c r="HP208" s="2292">
        <f t="shared" si="112"/>
        <v>238.83</v>
      </c>
      <c r="HQ208" s="2292">
        <f t="shared" si="112"/>
        <v>371.67</v>
      </c>
      <c r="HR208" s="2292">
        <f t="shared" si="112"/>
        <v>547.4</v>
      </c>
      <c r="HS208" s="2292">
        <f>+HR208</f>
        <v>547.4</v>
      </c>
      <c r="HT208" s="2275"/>
      <c r="HU208" s="2275"/>
      <c r="HV208" s="2292">
        <f t="shared" ref="HV208:IF208" si="113">HW207</f>
        <v>5.25</v>
      </c>
      <c r="HW208" s="2292">
        <f t="shared" si="113"/>
        <v>7.72</v>
      </c>
      <c r="HX208" s="2292">
        <f t="shared" si="113"/>
        <v>14.36</v>
      </c>
      <c r="HY208" s="2292">
        <f t="shared" si="113"/>
        <v>23.07</v>
      </c>
      <c r="HZ208" s="2292">
        <f t="shared" si="113"/>
        <v>36.83</v>
      </c>
      <c r="IA208" s="2292">
        <f t="shared" si="113"/>
        <v>45.94</v>
      </c>
      <c r="IB208" s="2292">
        <f t="shared" si="113"/>
        <v>68.91</v>
      </c>
      <c r="IC208" s="2292">
        <f t="shared" si="113"/>
        <v>100</v>
      </c>
      <c r="ID208" s="2292">
        <f t="shared" si="113"/>
        <v>138.12</v>
      </c>
      <c r="IE208" s="2292">
        <f t="shared" si="113"/>
        <v>215.25</v>
      </c>
      <c r="IF208" s="2292">
        <f t="shared" si="113"/>
        <v>316.93</v>
      </c>
      <c r="IG208" s="2292">
        <f>+IF208</f>
        <v>316.93</v>
      </c>
      <c r="IH208" s="2275"/>
      <c r="II208" s="2275"/>
      <c r="IJ208" s="2275"/>
      <c r="IK208" s="2275"/>
      <c r="IL208" s="2275"/>
      <c r="IN208" s="277"/>
      <c r="IO208" s="277"/>
    </row>
    <row r="209" spans="1:249" ht="21.95" customHeight="1">
      <c r="A209" s="2275"/>
      <c r="B209" s="2292">
        <v>400</v>
      </c>
      <c r="C209" s="2292">
        <v>475</v>
      </c>
      <c r="D209" s="2292">
        <v>550</v>
      </c>
      <c r="E209" s="2292">
        <v>650</v>
      </c>
      <c r="F209" s="2292">
        <v>775</v>
      </c>
      <c r="G209" s="2292">
        <v>825</v>
      </c>
      <c r="H209" s="2292">
        <v>950</v>
      </c>
      <c r="I209" s="2292">
        <v>1100</v>
      </c>
      <c r="J209" s="2292">
        <v>1250</v>
      </c>
      <c r="K209" s="2292">
        <v>1450</v>
      </c>
      <c r="L209" s="2292">
        <v>1650</v>
      </c>
      <c r="M209" s="2275"/>
      <c r="N209" s="2275"/>
      <c r="O209" s="2275"/>
      <c r="P209" s="2292">
        <v>400</v>
      </c>
      <c r="Q209" s="2292">
        <v>475</v>
      </c>
      <c r="R209" s="2292">
        <v>550</v>
      </c>
      <c r="S209" s="2292">
        <v>650</v>
      </c>
      <c r="T209" s="2292">
        <v>775</v>
      </c>
      <c r="U209" s="2292">
        <v>825</v>
      </c>
      <c r="V209" s="2292">
        <v>950</v>
      </c>
      <c r="W209" s="2292">
        <v>1100</v>
      </c>
      <c r="X209" s="2292">
        <v>1250</v>
      </c>
      <c r="Y209" s="2292">
        <v>1450</v>
      </c>
      <c r="Z209" s="2292">
        <v>1650</v>
      </c>
      <c r="AA209" s="2275"/>
      <c r="AB209" s="2275"/>
      <c r="AC209" s="2275"/>
      <c r="AD209" s="2292">
        <v>400</v>
      </c>
      <c r="AE209" s="2292">
        <v>475</v>
      </c>
      <c r="AF209" s="2292">
        <v>550</v>
      </c>
      <c r="AG209" s="2292">
        <v>650</v>
      </c>
      <c r="AH209" s="2292">
        <v>775</v>
      </c>
      <c r="AI209" s="2292">
        <v>825</v>
      </c>
      <c r="AJ209" s="2292">
        <v>950</v>
      </c>
      <c r="AK209" s="2292">
        <v>1100</v>
      </c>
      <c r="AL209" s="2292">
        <v>1250</v>
      </c>
      <c r="AM209" s="2292">
        <v>1450</v>
      </c>
      <c r="AN209" s="2292">
        <v>1650</v>
      </c>
      <c r="AO209" s="2275"/>
      <c r="AP209" s="2275"/>
      <c r="AQ209" s="2275"/>
      <c r="AR209" s="2292">
        <v>400</v>
      </c>
      <c r="AS209" s="2292">
        <v>475</v>
      </c>
      <c r="AT209" s="2292">
        <v>550</v>
      </c>
      <c r="AU209" s="2292">
        <v>650</v>
      </c>
      <c r="AV209" s="2292">
        <v>775</v>
      </c>
      <c r="AW209" s="2292">
        <v>825</v>
      </c>
      <c r="AX209" s="2292">
        <v>950</v>
      </c>
      <c r="AY209" s="2292">
        <v>1100</v>
      </c>
      <c r="AZ209" s="2292">
        <v>1250</v>
      </c>
      <c r="BA209" s="2292">
        <v>1450</v>
      </c>
      <c r="BB209" s="2292">
        <v>1650</v>
      </c>
      <c r="BC209" s="2275"/>
      <c r="BD209" s="2275"/>
      <c r="BE209" s="2275"/>
      <c r="BF209" s="2276"/>
      <c r="BG209" s="2276"/>
      <c r="BH209" s="2250"/>
      <c r="BI209" s="2275"/>
      <c r="BJ209" s="2292">
        <v>400</v>
      </c>
      <c r="BK209" s="2292">
        <v>475</v>
      </c>
      <c r="BL209" s="2292">
        <v>550</v>
      </c>
      <c r="BM209" s="2292">
        <v>650</v>
      </c>
      <c r="BN209" s="2292">
        <v>775</v>
      </c>
      <c r="BO209" s="2292">
        <v>825</v>
      </c>
      <c r="BP209" s="2292">
        <v>950</v>
      </c>
      <c r="BQ209" s="2292">
        <v>1100</v>
      </c>
      <c r="BR209" s="2292">
        <v>1250</v>
      </c>
      <c r="BS209" s="2292">
        <v>1450</v>
      </c>
      <c r="BT209" s="2292">
        <v>1650</v>
      </c>
      <c r="BU209" s="2275"/>
      <c r="BV209" s="2275"/>
      <c r="BW209" s="2275"/>
      <c r="BX209" s="2292">
        <v>400</v>
      </c>
      <c r="BY209" s="2292">
        <v>475</v>
      </c>
      <c r="BZ209" s="2292">
        <v>550</v>
      </c>
      <c r="CA209" s="2292">
        <v>650</v>
      </c>
      <c r="CB209" s="2292">
        <v>775</v>
      </c>
      <c r="CC209" s="2292">
        <v>825</v>
      </c>
      <c r="CD209" s="2292">
        <v>950</v>
      </c>
      <c r="CE209" s="2292">
        <v>1100</v>
      </c>
      <c r="CF209" s="2292">
        <v>1250</v>
      </c>
      <c r="CG209" s="2292">
        <v>1450</v>
      </c>
      <c r="CH209" s="2292">
        <v>1650</v>
      </c>
      <c r="CI209" s="2275"/>
      <c r="CJ209" s="2275"/>
      <c r="CK209" s="2275"/>
      <c r="CL209" s="2292">
        <v>400</v>
      </c>
      <c r="CM209" s="2292">
        <v>475</v>
      </c>
      <c r="CN209" s="2292">
        <v>550</v>
      </c>
      <c r="CO209" s="2292">
        <v>650</v>
      </c>
      <c r="CP209" s="2292">
        <v>775</v>
      </c>
      <c r="CQ209" s="2292">
        <v>825</v>
      </c>
      <c r="CR209" s="2292">
        <v>950</v>
      </c>
      <c r="CS209" s="2292">
        <v>1100</v>
      </c>
      <c r="CT209" s="2292">
        <v>1250</v>
      </c>
      <c r="CU209" s="2292">
        <v>1450</v>
      </c>
      <c r="CV209" s="2292">
        <v>1650</v>
      </c>
      <c r="CW209" s="2275"/>
      <c r="CX209" s="2275"/>
      <c r="CY209" s="2275"/>
      <c r="CZ209" s="2292">
        <v>400</v>
      </c>
      <c r="DA209" s="2292">
        <v>475</v>
      </c>
      <c r="DB209" s="2292">
        <v>550</v>
      </c>
      <c r="DC209" s="2292">
        <v>650</v>
      </c>
      <c r="DD209" s="2292">
        <v>775</v>
      </c>
      <c r="DE209" s="2292">
        <v>825</v>
      </c>
      <c r="DF209" s="2292">
        <v>950</v>
      </c>
      <c r="DG209" s="2292">
        <v>1100</v>
      </c>
      <c r="DH209" s="2292">
        <v>1250</v>
      </c>
      <c r="DI209" s="2292">
        <v>1450</v>
      </c>
      <c r="DJ209" s="2292">
        <v>1650</v>
      </c>
      <c r="DK209" s="2275"/>
      <c r="DL209" s="2275"/>
      <c r="DM209" s="2275"/>
      <c r="DN209" s="2275"/>
      <c r="DO209" s="2275"/>
      <c r="DP209" s="2275"/>
      <c r="DQ209" s="2277"/>
      <c r="DR209" s="2277"/>
      <c r="DS209" s="277"/>
      <c r="DW209" s="2275"/>
      <c r="DX209" s="2292">
        <v>400</v>
      </c>
      <c r="DY209" s="2292">
        <v>475</v>
      </c>
      <c r="DZ209" s="2292">
        <v>550</v>
      </c>
      <c r="EA209" s="2292">
        <v>650</v>
      </c>
      <c r="EB209" s="2292">
        <v>775</v>
      </c>
      <c r="EC209" s="2292">
        <v>825</v>
      </c>
      <c r="ED209" s="2292">
        <v>950</v>
      </c>
      <c r="EE209" s="2292">
        <v>1100</v>
      </c>
      <c r="EF209" s="2292">
        <v>1250</v>
      </c>
      <c r="EG209" s="2292">
        <v>1450</v>
      </c>
      <c r="EH209" s="2292">
        <v>1650</v>
      </c>
      <c r="EI209" s="2275"/>
      <c r="EJ209" s="2275"/>
      <c r="EK209" s="2275"/>
      <c r="EL209" s="2292">
        <v>400</v>
      </c>
      <c r="EM209" s="2292">
        <v>475</v>
      </c>
      <c r="EN209" s="2292">
        <v>550</v>
      </c>
      <c r="EO209" s="2292">
        <v>650</v>
      </c>
      <c r="EP209" s="2292">
        <v>775</v>
      </c>
      <c r="EQ209" s="2292">
        <v>825</v>
      </c>
      <c r="ER209" s="2292">
        <v>950</v>
      </c>
      <c r="ES209" s="2292">
        <v>1100</v>
      </c>
      <c r="ET209" s="2292">
        <v>1250</v>
      </c>
      <c r="EU209" s="2292">
        <v>1450</v>
      </c>
      <c r="EV209" s="2292">
        <v>1650</v>
      </c>
      <c r="EW209" s="2275"/>
      <c r="EX209" s="2275"/>
      <c r="EY209" s="2275"/>
      <c r="EZ209" s="2292">
        <v>400</v>
      </c>
      <c r="FA209" s="2292">
        <v>475</v>
      </c>
      <c r="FB209" s="2292">
        <v>550</v>
      </c>
      <c r="FC209" s="2292">
        <v>650</v>
      </c>
      <c r="FD209" s="2292">
        <v>775</v>
      </c>
      <c r="FE209" s="2292">
        <v>825</v>
      </c>
      <c r="FF209" s="2292">
        <v>950</v>
      </c>
      <c r="FG209" s="2292">
        <v>1100</v>
      </c>
      <c r="FH209" s="2292">
        <v>1250</v>
      </c>
      <c r="FI209" s="2292">
        <v>1450</v>
      </c>
      <c r="FJ209" s="2292">
        <v>1650</v>
      </c>
      <c r="FK209" s="2275"/>
      <c r="FL209" s="2275"/>
      <c r="FM209" s="2275"/>
      <c r="FN209" s="2292">
        <v>400</v>
      </c>
      <c r="FO209" s="2292">
        <v>475</v>
      </c>
      <c r="FP209" s="2292">
        <v>550</v>
      </c>
      <c r="FQ209" s="2292">
        <v>650</v>
      </c>
      <c r="FR209" s="2292">
        <v>775</v>
      </c>
      <c r="FS209" s="2292">
        <v>825</v>
      </c>
      <c r="FT209" s="2292">
        <v>950</v>
      </c>
      <c r="FU209" s="2292">
        <v>1100</v>
      </c>
      <c r="FV209" s="2292">
        <v>1250</v>
      </c>
      <c r="FW209" s="2292">
        <v>1450</v>
      </c>
      <c r="FX209" s="2292">
        <v>1650</v>
      </c>
      <c r="FY209" s="2275"/>
      <c r="FZ209" s="2275"/>
      <c r="GA209" s="2275"/>
      <c r="GB209" s="2276"/>
      <c r="GC209" s="2276"/>
      <c r="GD209" s="2250"/>
      <c r="GE209" s="2275"/>
      <c r="GF209" s="2292">
        <v>400</v>
      </c>
      <c r="GG209" s="2292">
        <v>475</v>
      </c>
      <c r="GH209" s="2292">
        <v>550</v>
      </c>
      <c r="GI209" s="2292">
        <v>650</v>
      </c>
      <c r="GJ209" s="2292">
        <v>775</v>
      </c>
      <c r="GK209" s="2292">
        <v>825</v>
      </c>
      <c r="GL209" s="2292">
        <v>950</v>
      </c>
      <c r="GM209" s="2292">
        <v>1100</v>
      </c>
      <c r="GN209" s="2292">
        <v>1250</v>
      </c>
      <c r="GO209" s="2292">
        <v>1450</v>
      </c>
      <c r="GP209" s="2292">
        <v>1650</v>
      </c>
      <c r="GQ209" s="2275"/>
      <c r="GR209" s="2275"/>
      <c r="GS209" s="2275"/>
      <c r="GT209" s="2292">
        <v>400</v>
      </c>
      <c r="GU209" s="2292">
        <v>475</v>
      </c>
      <c r="GV209" s="2292">
        <v>550</v>
      </c>
      <c r="GW209" s="2292">
        <v>650</v>
      </c>
      <c r="GX209" s="2292">
        <v>775</v>
      </c>
      <c r="GY209" s="2292">
        <v>825</v>
      </c>
      <c r="GZ209" s="2292">
        <v>950</v>
      </c>
      <c r="HA209" s="2292">
        <v>1100</v>
      </c>
      <c r="HB209" s="2292">
        <v>1250</v>
      </c>
      <c r="HC209" s="2292">
        <v>1450</v>
      </c>
      <c r="HD209" s="2292">
        <v>1650</v>
      </c>
      <c r="HE209" s="2275"/>
      <c r="HF209" s="2275"/>
      <c r="HG209" s="2275"/>
      <c r="HH209" s="2292">
        <v>400</v>
      </c>
      <c r="HI209" s="2292">
        <v>475</v>
      </c>
      <c r="HJ209" s="2292">
        <v>550</v>
      </c>
      <c r="HK209" s="2292">
        <v>650</v>
      </c>
      <c r="HL209" s="2292">
        <v>775</v>
      </c>
      <c r="HM209" s="2292">
        <v>825</v>
      </c>
      <c r="HN209" s="2292">
        <v>950</v>
      </c>
      <c r="HO209" s="2292">
        <v>1100</v>
      </c>
      <c r="HP209" s="2292">
        <v>1250</v>
      </c>
      <c r="HQ209" s="2292">
        <v>1450</v>
      </c>
      <c r="HR209" s="2292">
        <v>1650</v>
      </c>
      <c r="HS209" s="2275"/>
      <c r="HT209" s="2275"/>
      <c r="HU209" s="2275"/>
      <c r="HV209" s="2292">
        <v>400</v>
      </c>
      <c r="HW209" s="2292">
        <v>475</v>
      </c>
      <c r="HX209" s="2292">
        <v>550</v>
      </c>
      <c r="HY209" s="2292">
        <v>650</v>
      </c>
      <c r="HZ209" s="2292">
        <v>775</v>
      </c>
      <c r="IA209" s="2292">
        <v>825</v>
      </c>
      <c r="IB209" s="2292">
        <v>950</v>
      </c>
      <c r="IC209" s="2292">
        <v>1100</v>
      </c>
      <c r="ID209" s="2292">
        <v>1250</v>
      </c>
      <c r="IE209" s="2292">
        <v>1450</v>
      </c>
      <c r="IF209" s="2292">
        <v>1650</v>
      </c>
      <c r="IG209" s="2275"/>
      <c r="IH209" s="2275"/>
      <c r="II209" s="2275"/>
      <c r="IJ209" s="2275"/>
      <c r="IK209" s="2275"/>
      <c r="IL209" s="2275"/>
      <c r="IN209" s="277"/>
      <c r="IO209" s="277"/>
    </row>
    <row r="210" spans="1:249" ht="21.95" customHeight="1">
      <c r="A210" s="2275"/>
      <c r="B210" s="2342">
        <f>HLOOKUP(C185,B207:M207,1)</f>
        <v>0</v>
      </c>
      <c r="C210" s="2342">
        <f>HLOOKUP(B210,B207:M208,2,0)</f>
        <v>10.1</v>
      </c>
      <c r="D210" s="2275"/>
      <c r="E210" s="2275"/>
      <c r="F210" s="2275"/>
      <c r="G210" s="2275"/>
      <c r="H210" s="2275"/>
      <c r="I210" s="2275"/>
      <c r="J210" s="2275"/>
      <c r="K210" s="2275"/>
      <c r="L210" s="2275"/>
      <c r="M210" s="2275"/>
      <c r="N210" s="2275"/>
      <c r="O210" s="2275"/>
      <c r="P210" s="2342">
        <f>HLOOKUP(Q185,P207:AA207,1)</f>
        <v>0</v>
      </c>
      <c r="Q210" s="2342">
        <f>HLOOKUP(P210,P207:AA208,2,0)</f>
        <v>7.33</v>
      </c>
      <c r="R210" s="2275"/>
      <c r="S210" s="2275"/>
      <c r="T210" s="2275"/>
      <c r="U210" s="2275"/>
      <c r="V210" s="2275"/>
      <c r="W210" s="2275"/>
      <c r="X210" s="2275"/>
      <c r="Y210" s="2275"/>
      <c r="Z210" s="2275"/>
      <c r="AA210" s="2275"/>
      <c r="AB210" s="2275"/>
      <c r="AC210" s="2275"/>
      <c r="AD210" s="2342">
        <f>HLOOKUP(AE185,AD207:AO207,1)</f>
        <v>0</v>
      </c>
      <c r="AE210" s="2342">
        <f>HLOOKUP(AD210,AD207:AO208,2,0)</f>
        <v>6.43</v>
      </c>
      <c r="AF210" s="2275"/>
      <c r="AG210" s="2275"/>
      <c r="AH210" s="2275"/>
      <c r="AI210" s="2275"/>
      <c r="AJ210" s="2275"/>
      <c r="AK210" s="2275"/>
      <c r="AL210" s="2275"/>
      <c r="AM210" s="2275"/>
      <c r="AN210" s="2275"/>
      <c r="AO210" s="2275"/>
      <c r="AP210" s="2275"/>
      <c r="AQ210" s="2275"/>
      <c r="AR210" s="2342">
        <f>HLOOKUP(AS185,AR207:BC207,1)</f>
        <v>0</v>
      </c>
      <c r="AS210" s="2342">
        <f>HLOOKUP(AR210,AR207:BC208,2,0)</f>
        <v>3.86</v>
      </c>
      <c r="AT210" s="2275"/>
      <c r="AU210" s="2275"/>
      <c r="AV210" s="2275"/>
      <c r="AW210" s="2275"/>
      <c r="AX210" s="2275"/>
      <c r="AY210" s="2275"/>
      <c r="AZ210" s="2275"/>
      <c r="BA210" s="2275"/>
      <c r="BB210" s="2275"/>
      <c r="BC210" s="2275"/>
      <c r="BD210" s="2275"/>
      <c r="BE210" s="2275"/>
      <c r="BF210" s="2276"/>
      <c r="BG210" s="2276"/>
      <c r="BH210" s="2250"/>
      <c r="BI210" s="2275"/>
      <c r="BJ210" s="2342">
        <f>HLOOKUP(BK185,BJ207:BU207,1)</f>
        <v>0</v>
      </c>
      <c r="BK210" s="2342">
        <f>HLOOKUP(BJ210,BJ207:BU208,2,0)</f>
        <v>9.31</v>
      </c>
      <c r="BL210" s="2275"/>
      <c r="BM210" s="2275"/>
      <c r="BN210" s="2275"/>
      <c r="BO210" s="2275"/>
      <c r="BP210" s="2275"/>
      <c r="BQ210" s="2275"/>
      <c r="BR210" s="2275"/>
      <c r="BS210" s="2275"/>
      <c r="BT210" s="2275"/>
      <c r="BU210" s="2275"/>
      <c r="BV210" s="2275"/>
      <c r="BW210" s="2275"/>
      <c r="BX210" s="2342">
        <f>HLOOKUP(BY185,BX207:CI207,1)</f>
        <v>0</v>
      </c>
      <c r="BY210" s="2342">
        <f>HLOOKUP(BX210,BX207:CI208,2,0)</f>
        <v>6.73</v>
      </c>
      <c r="BZ210" s="2275"/>
      <c r="CA210" s="2275"/>
      <c r="CB210" s="2275"/>
      <c r="CC210" s="2275"/>
      <c r="CD210" s="2275"/>
      <c r="CE210" s="2275"/>
      <c r="CF210" s="2275"/>
      <c r="CG210" s="2275"/>
      <c r="CH210" s="2275"/>
      <c r="CI210" s="2275"/>
      <c r="CJ210" s="2275"/>
      <c r="CK210" s="2275"/>
      <c r="CL210" s="2342">
        <f>HLOOKUP(CM185,CL207:CW207,1)</f>
        <v>0</v>
      </c>
      <c r="CM210" s="2342">
        <f>HLOOKUP(CL210,CL207:CW208,2,0)</f>
        <v>5.87</v>
      </c>
      <c r="CN210" s="2275"/>
      <c r="CO210" s="2275"/>
      <c r="CP210" s="2275"/>
      <c r="CQ210" s="2275"/>
      <c r="CR210" s="2275"/>
      <c r="CS210" s="2275"/>
      <c r="CT210" s="2275"/>
      <c r="CU210" s="2275"/>
      <c r="CV210" s="2275"/>
      <c r="CW210" s="2275"/>
      <c r="CX210" s="2275"/>
      <c r="CY210" s="2275"/>
      <c r="CZ210" s="2342">
        <f>HLOOKUP(DA185,CZ207:DK207,1)</f>
        <v>0</v>
      </c>
      <c r="DA210" s="2342">
        <f>HLOOKUP(CZ210,CZ207:DK208,2,0)</f>
        <v>3.76</v>
      </c>
      <c r="DB210" s="2275"/>
      <c r="DC210" s="2275"/>
      <c r="DD210" s="2275"/>
      <c r="DE210" s="2275"/>
      <c r="DF210" s="2275"/>
      <c r="DG210" s="2275"/>
      <c r="DH210" s="2275"/>
      <c r="DI210" s="2275"/>
      <c r="DJ210" s="2275"/>
      <c r="DK210" s="2275"/>
      <c r="DL210" s="2275"/>
      <c r="DM210" s="2275"/>
      <c r="DN210" s="2275"/>
      <c r="DO210" s="2275"/>
      <c r="DP210" s="2275"/>
      <c r="DQ210" s="2277"/>
      <c r="DR210" s="2277"/>
      <c r="DS210" s="277"/>
      <c r="DW210" s="2275"/>
      <c r="DX210" s="2342">
        <f>HLOOKUP(DY185,DX207:EI207,1)</f>
        <v>0</v>
      </c>
      <c r="DY210" s="2342">
        <f>HLOOKUP(DX210,DX207:EI208,2,0)</f>
        <v>14.95</v>
      </c>
      <c r="DZ210" s="2275"/>
      <c r="EA210" s="2275"/>
      <c r="EB210" s="2275"/>
      <c r="EC210" s="2275"/>
      <c r="ED210" s="2275"/>
      <c r="EE210" s="2275"/>
      <c r="EF210" s="2275"/>
      <c r="EG210" s="2275"/>
      <c r="EH210" s="2275"/>
      <c r="EI210" s="2275"/>
      <c r="EJ210" s="2275"/>
      <c r="EK210" s="2275"/>
      <c r="EL210" s="2342">
        <f>HLOOKUP(EM185,EL207:EW207,1)</f>
        <v>0</v>
      </c>
      <c r="EM210" s="2342">
        <f>HLOOKUP(EL210,EL207:EW208,2,0)</f>
        <v>10.79</v>
      </c>
      <c r="EN210" s="2275"/>
      <c r="EO210" s="2275"/>
      <c r="EP210" s="2275"/>
      <c r="EQ210" s="2275"/>
      <c r="ER210" s="2275"/>
      <c r="ES210" s="2275"/>
      <c r="ET210" s="2275"/>
      <c r="EU210" s="2275"/>
      <c r="EV210" s="2275"/>
      <c r="EW210" s="2275"/>
      <c r="EX210" s="2275"/>
      <c r="EY210" s="2275"/>
      <c r="EZ210" s="2342">
        <f>HLOOKUP(FA185,EZ207:FK207,1)</f>
        <v>0</v>
      </c>
      <c r="FA210" s="2342">
        <f>HLOOKUP(EZ210,EZ207:FK208,2,0)</f>
        <v>9.26</v>
      </c>
      <c r="FB210" s="2275"/>
      <c r="FC210" s="2275"/>
      <c r="FD210" s="2275"/>
      <c r="FE210" s="2275"/>
      <c r="FF210" s="2275"/>
      <c r="FG210" s="2275"/>
      <c r="FH210" s="2275"/>
      <c r="FI210" s="2275"/>
      <c r="FJ210" s="2275"/>
      <c r="FK210" s="2275"/>
      <c r="FL210" s="2275"/>
      <c r="FM210" s="2275"/>
      <c r="FN210" s="2342">
        <f>HLOOKUP(FO185,FN207:FY207,1)</f>
        <v>0</v>
      </c>
      <c r="FO210" s="2342">
        <f>HLOOKUP(FN210,FN207:FY208,2,0)</f>
        <v>5.35</v>
      </c>
      <c r="FP210" s="2275"/>
      <c r="FQ210" s="2275"/>
      <c r="FR210" s="2275"/>
      <c r="FS210" s="2275"/>
      <c r="FT210" s="2275"/>
      <c r="FU210" s="2275"/>
      <c r="FV210" s="2275"/>
      <c r="FW210" s="2275"/>
      <c r="FX210" s="2275"/>
      <c r="FY210" s="2275"/>
      <c r="FZ210" s="2275"/>
      <c r="GA210" s="2275"/>
      <c r="GB210" s="2276"/>
      <c r="GC210" s="2276"/>
      <c r="GD210" s="2250"/>
      <c r="GE210" s="2275"/>
      <c r="GF210" s="2342">
        <f>HLOOKUP(GG185,GF207:GQ207,1)</f>
        <v>0</v>
      </c>
      <c r="GG210" s="2342">
        <f>HLOOKUP(GF210,GF207:GQ208,2,0)</f>
        <v>13.66</v>
      </c>
      <c r="GH210" s="2275"/>
      <c r="GI210" s="2275"/>
      <c r="GJ210" s="2275"/>
      <c r="GK210" s="2275"/>
      <c r="GL210" s="2275"/>
      <c r="GM210" s="2275"/>
      <c r="GN210" s="2275"/>
      <c r="GO210" s="2275"/>
      <c r="GP210" s="2275"/>
      <c r="GQ210" s="2275"/>
      <c r="GR210" s="2275"/>
      <c r="GS210" s="2275"/>
      <c r="GT210" s="2342">
        <f>HLOOKUP(GU185,GT207:HE207,1)</f>
        <v>0</v>
      </c>
      <c r="GU210" s="2342">
        <f>HLOOKUP(GT210,GT207:HE208,2,0)</f>
        <v>9.8000000000000007</v>
      </c>
      <c r="GV210" s="2275"/>
      <c r="GW210" s="2275"/>
      <c r="GX210" s="2275"/>
      <c r="GY210" s="2275"/>
      <c r="GZ210" s="2275"/>
      <c r="HA210" s="2275"/>
      <c r="HB210" s="2275"/>
      <c r="HC210" s="2275"/>
      <c r="HD210" s="2275"/>
      <c r="HE210" s="2275"/>
      <c r="HF210" s="2275"/>
      <c r="HG210" s="2275"/>
      <c r="HH210" s="2342">
        <f>HLOOKUP(HI185,HH207:HS207,1)</f>
        <v>0</v>
      </c>
      <c r="HI210" s="2342">
        <f>HLOOKUP(HH210,HH207:HS208,2,0)</f>
        <v>8.58</v>
      </c>
      <c r="HJ210" s="2275"/>
      <c r="HK210" s="2275"/>
      <c r="HL210" s="2275"/>
      <c r="HM210" s="2275"/>
      <c r="HN210" s="2275"/>
      <c r="HO210" s="2275"/>
      <c r="HP210" s="2275"/>
      <c r="HQ210" s="2275"/>
      <c r="HR210" s="2275"/>
      <c r="HS210" s="2275"/>
      <c r="HT210" s="2275"/>
      <c r="HU210" s="2275"/>
      <c r="HV210" s="2342">
        <f>HLOOKUP(HW185,HV207:IG207,1)</f>
        <v>0</v>
      </c>
      <c r="HW210" s="2342">
        <f>HLOOKUP(HV210,HV207:IG208,2,0)</f>
        <v>5.25</v>
      </c>
      <c r="HX210" s="2275"/>
      <c r="HY210" s="2275"/>
      <c r="HZ210" s="2275"/>
      <c r="IA210" s="2275"/>
      <c r="IB210" s="2275"/>
      <c r="IC210" s="2275"/>
      <c r="ID210" s="2275"/>
      <c r="IE210" s="2275"/>
      <c r="IF210" s="2275"/>
      <c r="IG210" s="2275"/>
      <c r="IH210" s="2275"/>
      <c r="II210" s="2275"/>
      <c r="IJ210" s="2275"/>
      <c r="IK210" s="2275"/>
      <c r="IL210" s="2275"/>
      <c r="IN210" s="277"/>
      <c r="IO210" s="277"/>
    </row>
    <row r="211" spans="1:249" ht="21.95" customHeight="1">
      <c r="A211" s="2275"/>
      <c r="B211" s="2342">
        <f>IFERROR(HLOOKUP(C185,B207:M207,1,0),0)</f>
        <v>0</v>
      </c>
      <c r="C211" s="2342">
        <f>IF(B211&gt;0,B211,C210)</f>
        <v>10.1</v>
      </c>
      <c r="D211" s="2275"/>
      <c r="E211" s="2275"/>
      <c r="F211" s="2275"/>
      <c r="G211" s="2275"/>
      <c r="H211" s="2275"/>
      <c r="I211" s="2275"/>
      <c r="J211" s="2275"/>
      <c r="K211" s="2275"/>
      <c r="L211" s="2275"/>
      <c r="M211" s="2275"/>
      <c r="N211" s="2275"/>
      <c r="O211" s="2275"/>
      <c r="P211" s="2342">
        <f>IFERROR(HLOOKUP(Q185,P207:AA207,1,0),0)</f>
        <v>0</v>
      </c>
      <c r="Q211" s="2342">
        <f>IF(P211&gt;0,P211,Q210)</f>
        <v>7.33</v>
      </c>
      <c r="R211" s="2275"/>
      <c r="S211" s="2275"/>
      <c r="T211" s="2275"/>
      <c r="U211" s="2275"/>
      <c r="V211" s="2275"/>
      <c r="W211" s="2275"/>
      <c r="X211" s="2275"/>
      <c r="Y211" s="2275"/>
      <c r="Z211" s="2275"/>
      <c r="AA211" s="2275"/>
      <c r="AB211" s="2275"/>
      <c r="AC211" s="2275"/>
      <c r="AD211" s="2342">
        <f>IFERROR(HLOOKUP(AE185,AD207:AO207,1,0),0)</f>
        <v>0</v>
      </c>
      <c r="AE211" s="2342">
        <f>IF(AD211&gt;0,AD211,AE210)</f>
        <v>6.43</v>
      </c>
      <c r="AF211" s="2275"/>
      <c r="AG211" s="2275"/>
      <c r="AH211" s="2275"/>
      <c r="AI211" s="2275"/>
      <c r="AJ211" s="2275"/>
      <c r="AK211" s="2275"/>
      <c r="AL211" s="2275"/>
      <c r="AM211" s="2275"/>
      <c r="AN211" s="2275"/>
      <c r="AO211" s="2275"/>
      <c r="AP211" s="2275"/>
      <c r="AQ211" s="2275"/>
      <c r="AR211" s="2342">
        <f>IFERROR(HLOOKUP(AS185,AR207:BC207,1,0),0)</f>
        <v>0</v>
      </c>
      <c r="AS211" s="2342">
        <f>IF(AR211&gt;0,AR211,AS210)</f>
        <v>3.86</v>
      </c>
      <c r="AT211" s="2275"/>
      <c r="AU211" s="2275"/>
      <c r="AV211" s="2275"/>
      <c r="AW211" s="2275"/>
      <c r="AX211" s="2275"/>
      <c r="AY211" s="2275"/>
      <c r="AZ211" s="2275"/>
      <c r="BA211" s="2275"/>
      <c r="BB211" s="2275"/>
      <c r="BC211" s="2275"/>
      <c r="BD211" s="2275"/>
      <c r="BE211" s="2275"/>
      <c r="BF211" s="2276"/>
      <c r="BG211" s="2276"/>
      <c r="BH211" s="2250"/>
      <c r="BI211" s="2275"/>
      <c r="BJ211" s="2342">
        <f>IFERROR(HLOOKUP(BK185,BJ207:BU207,1,0),0)</f>
        <v>0</v>
      </c>
      <c r="BK211" s="2342">
        <f>IF(BJ211&gt;0,BJ211,BK210)</f>
        <v>9.31</v>
      </c>
      <c r="BL211" s="2275"/>
      <c r="BM211" s="2275"/>
      <c r="BN211" s="2275"/>
      <c r="BO211" s="2275"/>
      <c r="BP211" s="2275"/>
      <c r="BQ211" s="2275"/>
      <c r="BR211" s="2275"/>
      <c r="BS211" s="2275"/>
      <c r="BT211" s="2275"/>
      <c r="BU211" s="2275"/>
      <c r="BV211" s="2275"/>
      <c r="BW211" s="2275"/>
      <c r="BX211" s="2342">
        <f>IFERROR(HLOOKUP(BY185,BX207:CI207,1,0),0)</f>
        <v>0</v>
      </c>
      <c r="BY211" s="2342">
        <f>IF(BX211&gt;0,BX211,BY210)</f>
        <v>6.73</v>
      </c>
      <c r="BZ211" s="2275"/>
      <c r="CA211" s="2275"/>
      <c r="CB211" s="2275"/>
      <c r="CC211" s="2275"/>
      <c r="CD211" s="2275"/>
      <c r="CE211" s="2275"/>
      <c r="CF211" s="2275"/>
      <c r="CG211" s="2275"/>
      <c r="CH211" s="2275"/>
      <c r="CI211" s="2275"/>
      <c r="CJ211" s="2275"/>
      <c r="CK211" s="2275"/>
      <c r="CL211" s="2342">
        <f>IFERROR(HLOOKUP(CM185,CL207:CW207,1,0),0)</f>
        <v>0</v>
      </c>
      <c r="CM211" s="2342">
        <f>IF(CL211&gt;0,CL211,CM210)</f>
        <v>5.87</v>
      </c>
      <c r="CN211" s="2275"/>
      <c r="CO211" s="2275"/>
      <c r="CP211" s="2275"/>
      <c r="CQ211" s="2275"/>
      <c r="CR211" s="2275"/>
      <c r="CS211" s="2275"/>
      <c r="CT211" s="2275"/>
      <c r="CU211" s="2275"/>
      <c r="CV211" s="2275"/>
      <c r="CW211" s="2275"/>
      <c r="CX211" s="2275"/>
      <c r="CY211" s="2275"/>
      <c r="CZ211" s="2342">
        <f>IFERROR(HLOOKUP(DA185,CZ207:DK207,1,0),0)</f>
        <v>0</v>
      </c>
      <c r="DA211" s="2342">
        <f>IF(CZ211&gt;0,CZ211,DA210)</f>
        <v>3.76</v>
      </c>
      <c r="DB211" s="2275"/>
      <c r="DC211" s="2275"/>
      <c r="DD211" s="2275"/>
      <c r="DE211" s="2275"/>
      <c r="DF211" s="2275"/>
      <c r="DG211" s="2275"/>
      <c r="DH211" s="2275"/>
      <c r="DI211" s="2275"/>
      <c r="DJ211" s="2275"/>
      <c r="DK211" s="2275"/>
      <c r="DL211" s="2275"/>
      <c r="DM211" s="2275"/>
      <c r="DN211" s="2275"/>
      <c r="DO211" s="2275"/>
      <c r="DP211" s="2275"/>
      <c r="DQ211" s="2277"/>
      <c r="DR211" s="2277"/>
      <c r="DS211" s="277"/>
      <c r="DW211" s="2275"/>
      <c r="DX211" s="2342">
        <f>IFERROR(HLOOKUP(DY185,DX207:EI207,1,0),0)</f>
        <v>0</v>
      </c>
      <c r="DY211" s="2342">
        <f>IF(DX211&gt;0,DX211,DY210)</f>
        <v>14.95</v>
      </c>
      <c r="DZ211" s="2275"/>
      <c r="EA211" s="2275"/>
      <c r="EB211" s="2275"/>
      <c r="EC211" s="2275"/>
      <c r="ED211" s="2275"/>
      <c r="EE211" s="2275"/>
      <c r="EF211" s="2275"/>
      <c r="EG211" s="2275"/>
      <c r="EH211" s="2275"/>
      <c r="EI211" s="2275"/>
      <c r="EJ211" s="2275"/>
      <c r="EK211" s="2275"/>
      <c r="EL211" s="2342">
        <f>IFERROR(HLOOKUP(EM185,EL207:EW207,1,0),0)</f>
        <v>0</v>
      </c>
      <c r="EM211" s="2342">
        <f>IF(EL211&gt;0,EL211,EM210)</f>
        <v>10.79</v>
      </c>
      <c r="EN211" s="2275"/>
      <c r="EO211" s="2275"/>
      <c r="EP211" s="2275"/>
      <c r="EQ211" s="2275"/>
      <c r="ER211" s="2275"/>
      <c r="ES211" s="2275"/>
      <c r="ET211" s="2275"/>
      <c r="EU211" s="2275"/>
      <c r="EV211" s="2275"/>
      <c r="EW211" s="2275"/>
      <c r="EX211" s="2275"/>
      <c r="EY211" s="2275"/>
      <c r="EZ211" s="2342">
        <f>IFERROR(HLOOKUP(FA185,EZ207:FK207,1,0),0)</f>
        <v>0</v>
      </c>
      <c r="FA211" s="2342">
        <f>IF(EZ211&gt;0,EZ211,FA210)</f>
        <v>9.26</v>
      </c>
      <c r="FB211" s="2275"/>
      <c r="FC211" s="2275"/>
      <c r="FD211" s="2275"/>
      <c r="FE211" s="2275"/>
      <c r="FF211" s="2275"/>
      <c r="FG211" s="2275"/>
      <c r="FH211" s="2275"/>
      <c r="FI211" s="2275"/>
      <c r="FJ211" s="2275"/>
      <c r="FK211" s="2275"/>
      <c r="FL211" s="2275"/>
      <c r="FM211" s="2275"/>
      <c r="FN211" s="2342">
        <f>IFERROR(HLOOKUP(FO185,FN207:FY207,1,0),0)</f>
        <v>0</v>
      </c>
      <c r="FO211" s="2342">
        <f>IF(FN211&gt;0,FN211,FO210)</f>
        <v>5.35</v>
      </c>
      <c r="FP211" s="2275"/>
      <c r="FQ211" s="2275"/>
      <c r="FR211" s="2275"/>
      <c r="FS211" s="2275"/>
      <c r="FT211" s="2275"/>
      <c r="FU211" s="2275"/>
      <c r="FV211" s="2275"/>
      <c r="FW211" s="2275"/>
      <c r="FX211" s="2275"/>
      <c r="FY211" s="2275"/>
      <c r="FZ211" s="2275"/>
      <c r="GA211" s="2275"/>
      <c r="GB211" s="2276"/>
      <c r="GC211" s="2276"/>
      <c r="GD211" s="2250"/>
      <c r="GE211" s="2275"/>
      <c r="GF211" s="2342">
        <f>IFERROR(HLOOKUP(GG185,GF207:GQ207,1,0),0)</f>
        <v>0</v>
      </c>
      <c r="GG211" s="2342">
        <f>IF(GF211&gt;0,GF211,GG210)</f>
        <v>13.66</v>
      </c>
      <c r="GH211" s="2275"/>
      <c r="GI211" s="2275"/>
      <c r="GJ211" s="2275"/>
      <c r="GK211" s="2275"/>
      <c r="GL211" s="2275"/>
      <c r="GM211" s="2275"/>
      <c r="GN211" s="2275"/>
      <c r="GO211" s="2275"/>
      <c r="GP211" s="2275"/>
      <c r="GQ211" s="2275"/>
      <c r="GR211" s="2275"/>
      <c r="GS211" s="2275"/>
      <c r="GT211" s="2342">
        <f>IFERROR(HLOOKUP(GU185,GT207:HE207,1,0),0)</f>
        <v>0</v>
      </c>
      <c r="GU211" s="2342">
        <f>IF(GT211&gt;0,GT211,GU210)</f>
        <v>9.8000000000000007</v>
      </c>
      <c r="GV211" s="2275"/>
      <c r="GW211" s="2275"/>
      <c r="GX211" s="2275"/>
      <c r="GY211" s="2275"/>
      <c r="GZ211" s="2275"/>
      <c r="HA211" s="2275"/>
      <c r="HB211" s="2275"/>
      <c r="HC211" s="2275"/>
      <c r="HD211" s="2275"/>
      <c r="HE211" s="2275"/>
      <c r="HF211" s="2275"/>
      <c r="HG211" s="2275"/>
      <c r="HH211" s="2342">
        <f>IFERROR(HLOOKUP(HI185,HH207:HS207,1,0),0)</f>
        <v>0</v>
      </c>
      <c r="HI211" s="2342">
        <f>IF(HH211&gt;0,HH211,HI210)</f>
        <v>8.58</v>
      </c>
      <c r="HJ211" s="2275"/>
      <c r="HK211" s="2275"/>
      <c r="HL211" s="2275"/>
      <c r="HM211" s="2275"/>
      <c r="HN211" s="2275"/>
      <c r="HO211" s="2275"/>
      <c r="HP211" s="2275"/>
      <c r="HQ211" s="2275"/>
      <c r="HR211" s="2275"/>
      <c r="HS211" s="2275"/>
      <c r="HT211" s="2275"/>
      <c r="HU211" s="2275"/>
      <c r="HV211" s="2342">
        <f>IFERROR(HLOOKUP(HW185,HV207:IG207,1,0),0)</f>
        <v>0</v>
      </c>
      <c r="HW211" s="2342">
        <f>IF(HV211&gt;0,HV211,HW210)</f>
        <v>5.25</v>
      </c>
      <c r="HX211" s="2275"/>
      <c r="HY211" s="2275"/>
      <c r="HZ211" s="2275"/>
      <c r="IA211" s="2275"/>
      <c r="IB211" s="2275"/>
      <c r="IC211" s="2275"/>
      <c r="ID211" s="2275"/>
      <c r="IE211" s="2275"/>
      <c r="IF211" s="2275"/>
      <c r="IG211" s="2275"/>
      <c r="IH211" s="2275"/>
      <c r="II211" s="2275"/>
      <c r="IJ211" s="2275"/>
      <c r="IK211" s="2275"/>
      <c r="IL211" s="2275"/>
      <c r="IN211" s="277"/>
      <c r="IO211" s="277"/>
    </row>
    <row r="212" spans="1:249" ht="21.95" customHeight="1">
      <c r="A212" s="2275"/>
      <c r="B212" s="2342" t="str">
        <f>IF(C212=E202,"Right","Wrong")</f>
        <v>Right</v>
      </c>
      <c r="C212" s="2342">
        <f>HLOOKUP(C211,B208:L209,2,0)</f>
        <v>400</v>
      </c>
      <c r="D212" s="2275"/>
      <c r="E212" s="2275"/>
      <c r="F212" s="2275"/>
      <c r="G212" s="2275"/>
      <c r="H212" s="2275"/>
      <c r="I212" s="2275"/>
      <c r="J212" s="2275"/>
      <c r="K212" s="2275"/>
      <c r="L212" s="2275"/>
      <c r="M212" s="2275"/>
      <c r="N212" s="2275"/>
      <c r="O212" s="2275"/>
      <c r="P212" s="2342" t="str">
        <f>IF(Q212=S202,"Right","Wrong")</f>
        <v>Right</v>
      </c>
      <c r="Q212" s="2342">
        <f>HLOOKUP(Q211,P208:Z209,2,0)</f>
        <v>400</v>
      </c>
      <c r="R212" s="2275"/>
      <c r="S212" s="2275"/>
      <c r="T212" s="2275"/>
      <c r="U212" s="2275"/>
      <c r="V212" s="2275"/>
      <c r="W212" s="2275"/>
      <c r="X212" s="2275"/>
      <c r="Y212" s="2275"/>
      <c r="Z212" s="2275"/>
      <c r="AA212" s="2275"/>
      <c r="AB212" s="2275"/>
      <c r="AC212" s="2275"/>
      <c r="AD212" s="2342" t="str">
        <f>IF(AE212=AG202,"Right","Wrong")</f>
        <v>Right</v>
      </c>
      <c r="AE212" s="2342">
        <f>HLOOKUP(AE211,AD208:AN209,2,0)</f>
        <v>400</v>
      </c>
      <c r="AF212" s="2275"/>
      <c r="AG212" s="2275"/>
      <c r="AH212" s="2275"/>
      <c r="AI212" s="2275"/>
      <c r="AJ212" s="2275"/>
      <c r="AK212" s="2275"/>
      <c r="AL212" s="2275"/>
      <c r="AM212" s="2275"/>
      <c r="AN212" s="2275"/>
      <c r="AO212" s="2275"/>
      <c r="AP212" s="2275"/>
      <c r="AQ212" s="2275"/>
      <c r="AR212" s="2342" t="str">
        <f>IF(AS212=AU202,"Right","Wrong")</f>
        <v>Right</v>
      </c>
      <c r="AS212" s="2342">
        <f>HLOOKUP(AS211,AR208:BB209,2,0)</f>
        <v>400</v>
      </c>
      <c r="AT212" s="2275"/>
      <c r="AU212" s="2275"/>
      <c r="AV212" s="2275"/>
      <c r="AW212" s="2275"/>
      <c r="AX212" s="2275"/>
      <c r="AY212" s="2275"/>
      <c r="AZ212" s="2275"/>
      <c r="BA212" s="2275"/>
      <c r="BB212" s="2275"/>
      <c r="BC212" s="2275"/>
      <c r="BD212" s="2275"/>
      <c r="BE212" s="2275"/>
      <c r="BF212" s="2276"/>
      <c r="BG212" s="2276"/>
      <c r="BH212" s="2250"/>
      <c r="BI212" s="2275"/>
      <c r="BJ212" s="2342" t="str">
        <f>IF(BK212=BM202,"Right","Wrong")</f>
        <v>Right</v>
      </c>
      <c r="BK212" s="2342">
        <f>HLOOKUP(BK211,BJ208:BT209,2,0)</f>
        <v>400</v>
      </c>
      <c r="BL212" s="2275"/>
      <c r="BM212" s="2275"/>
      <c r="BN212" s="2275"/>
      <c r="BO212" s="2275"/>
      <c r="BP212" s="2275"/>
      <c r="BQ212" s="2275"/>
      <c r="BR212" s="2275"/>
      <c r="BS212" s="2275"/>
      <c r="BT212" s="2275"/>
      <c r="BU212" s="2275"/>
      <c r="BV212" s="2275"/>
      <c r="BW212" s="2275"/>
      <c r="BX212" s="2342" t="str">
        <f>IF(BY212=CA202,"Right","Wrong")</f>
        <v>Right</v>
      </c>
      <c r="BY212" s="2342">
        <f>HLOOKUP(BY211,BX208:CH209,2,0)</f>
        <v>400</v>
      </c>
      <c r="BZ212" s="2275"/>
      <c r="CA212" s="2275"/>
      <c r="CB212" s="2275"/>
      <c r="CC212" s="2275"/>
      <c r="CD212" s="2275"/>
      <c r="CE212" s="2275"/>
      <c r="CF212" s="2275"/>
      <c r="CG212" s="2275"/>
      <c r="CH212" s="2275"/>
      <c r="CI212" s="2275"/>
      <c r="CJ212" s="2275"/>
      <c r="CK212" s="2275"/>
      <c r="CL212" s="2342" t="str">
        <f>IF(CM212=CO202,"Right","Wrong")</f>
        <v>Right</v>
      </c>
      <c r="CM212" s="2342">
        <f>HLOOKUP(CM211,CL208:CV209,2,0)</f>
        <v>400</v>
      </c>
      <c r="CN212" s="2275"/>
      <c r="CO212" s="2275"/>
      <c r="CP212" s="2275"/>
      <c r="CQ212" s="2275"/>
      <c r="CR212" s="2275"/>
      <c r="CS212" s="2275"/>
      <c r="CT212" s="2275"/>
      <c r="CU212" s="2275"/>
      <c r="CV212" s="2275"/>
      <c r="CW212" s="2275"/>
      <c r="CX212" s="2275"/>
      <c r="CY212" s="2275"/>
      <c r="CZ212" s="2342" t="str">
        <f>IF(DA212=DC202,"Right","Wrong")</f>
        <v>Right</v>
      </c>
      <c r="DA212" s="2342">
        <f>HLOOKUP(DA211,CZ208:DJ209,2,0)</f>
        <v>400</v>
      </c>
      <c r="DB212" s="2275"/>
      <c r="DC212" s="2275"/>
      <c r="DD212" s="2275"/>
      <c r="DE212" s="2275"/>
      <c r="DF212" s="2275"/>
      <c r="DG212" s="2275"/>
      <c r="DH212" s="2275"/>
      <c r="DI212" s="2275"/>
      <c r="DJ212" s="2275"/>
      <c r="DK212" s="2275"/>
      <c r="DL212" s="2275"/>
      <c r="DM212" s="2275"/>
      <c r="DN212" s="2275"/>
      <c r="DO212" s="2275"/>
      <c r="DP212" s="2275"/>
      <c r="DQ212" s="2277"/>
      <c r="DR212" s="2277"/>
      <c r="DS212" s="277"/>
      <c r="DW212" s="2275"/>
      <c r="DX212" s="2342" t="str">
        <f>IF(DY212=EA202,"Right","Wrong")</f>
        <v>Right</v>
      </c>
      <c r="DY212" s="2342">
        <f>HLOOKUP(DY211,DX208:EH209,2,0)</f>
        <v>400</v>
      </c>
      <c r="DZ212" s="2275"/>
      <c r="EA212" s="2275"/>
      <c r="EB212" s="2275"/>
      <c r="EC212" s="2275"/>
      <c r="ED212" s="2275"/>
      <c r="EE212" s="2275"/>
      <c r="EF212" s="2275"/>
      <c r="EG212" s="2275"/>
      <c r="EH212" s="2275"/>
      <c r="EI212" s="2275"/>
      <c r="EJ212" s="2275"/>
      <c r="EK212" s="2275"/>
      <c r="EL212" s="2342" t="str">
        <f>IF(EM212=EO202,"Right","Wrong")</f>
        <v>Right</v>
      </c>
      <c r="EM212" s="2342">
        <f>HLOOKUP(EM211,EL208:EV209,2,0)</f>
        <v>400</v>
      </c>
      <c r="EN212" s="2275"/>
      <c r="EO212" s="2275"/>
      <c r="EP212" s="2275"/>
      <c r="EQ212" s="2275"/>
      <c r="ER212" s="2275"/>
      <c r="ES212" s="2275"/>
      <c r="ET212" s="2275"/>
      <c r="EU212" s="2275"/>
      <c r="EV212" s="2275"/>
      <c r="EW212" s="2275"/>
      <c r="EX212" s="2275"/>
      <c r="EY212" s="2275"/>
      <c r="EZ212" s="2342" t="str">
        <f>IF(FA212=FC202,"Right","Wrong")</f>
        <v>Right</v>
      </c>
      <c r="FA212" s="2342">
        <f>HLOOKUP(FA211,EZ208:FJ209,2,0)</f>
        <v>400</v>
      </c>
      <c r="FB212" s="2275"/>
      <c r="FC212" s="2275"/>
      <c r="FD212" s="2275"/>
      <c r="FE212" s="2275"/>
      <c r="FF212" s="2275"/>
      <c r="FG212" s="2275"/>
      <c r="FH212" s="2275"/>
      <c r="FI212" s="2275"/>
      <c r="FJ212" s="2275"/>
      <c r="FK212" s="2275"/>
      <c r="FL212" s="2275"/>
      <c r="FM212" s="2275"/>
      <c r="FN212" s="2342" t="str">
        <f>IF(FO212=FQ202,"Right","Wrong")</f>
        <v>Right</v>
      </c>
      <c r="FO212" s="2342">
        <f>HLOOKUP(FO211,FN208:FX209,2,0)</f>
        <v>400</v>
      </c>
      <c r="FP212" s="2275"/>
      <c r="FQ212" s="2275"/>
      <c r="FR212" s="2275"/>
      <c r="FS212" s="2275"/>
      <c r="FT212" s="2275"/>
      <c r="FU212" s="2275"/>
      <c r="FV212" s="2275"/>
      <c r="FW212" s="2275"/>
      <c r="FX212" s="2275"/>
      <c r="FY212" s="2275"/>
      <c r="FZ212" s="2275"/>
      <c r="GA212" s="2275"/>
      <c r="GB212" s="2276"/>
      <c r="GC212" s="2276"/>
      <c r="GD212" s="2250"/>
      <c r="GE212" s="2275"/>
      <c r="GF212" s="2342" t="str">
        <f>IF(GG212=GI202,"Right","Wrong")</f>
        <v>Right</v>
      </c>
      <c r="GG212" s="2342">
        <f>HLOOKUP(GG211,GF208:GP209,2,0)</f>
        <v>400</v>
      </c>
      <c r="GH212" s="2275"/>
      <c r="GI212" s="2275"/>
      <c r="GJ212" s="2275"/>
      <c r="GK212" s="2275"/>
      <c r="GL212" s="2275"/>
      <c r="GM212" s="2275"/>
      <c r="GN212" s="2275"/>
      <c r="GO212" s="2275"/>
      <c r="GP212" s="2275"/>
      <c r="GQ212" s="2275"/>
      <c r="GR212" s="2275"/>
      <c r="GS212" s="2275"/>
      <c r="GT212" s="2342" t="str">
        <f>IF(GU212=GW202,"Right","Wrong")</f>
        <v>Right</v>
      </c>
      <c r="GU212" s="2342">
        <f>HLOOKUP(GU211,GT208:HD209,2,0)</f>
        <v>400</v>
      </c>
      <c r="GV212" s="2275"/>
      <c r="GW212" s="2275"/>
      <c r="GX212" s="2275"/>
      <c r="GY212" s="2275"/>
      <c r="GZ212" s="2275"/>
      <c r="HA212" s="2275"/>
      <c r="HB212" s="2275"/>
      <c r="HC212" s="2275"/>
      <c r="HD212" s="2275"/>
      <c r="HE212" s="2275"/>
      <c r="HF212" s="2275"/>
      <c r="HG212" s="2275"/>
      <c r="HH212" s="2342" t="str">
        <f>IF(HI212=HK202,"Right","Wrong")</f>
        <v>Right</v>
      </c>
      <c r="HI212" s="2342">
        <f>HLOOKUP(HI211,HH208:HR209,2,0)</f>
        <v>400</v>
      </c>
      <c r="HJ212" s="2275"/>
      <c r="HK212" s="2275"/>
      <c r="HL212" s="2275"/>
      <c r="HM212" s="2275"/>
      <c r="HN212" s="2275"/>
      <c r="HO212" s="2275"/>
      <c r="HP212" s="2275"/>
      <c r="HQ212" s="2275"/>
      <c r="HR212" s="2275"/>
      <c r="HS212" s="2275"/>
      <c r="HT212" s="2275"/>
      <c r="HU212" s="2275"/>
      <c r="HV212" s="2342" t="str">
        <f>IF(HW212=HY202,"Right","Wrong")</f>
        <v>Right</v>
      </c>
      <c r="HW212" s="2342">
        <f>HLOOKUP(HW211,HV208:IF209,2,0)</f>
        <v>400</v>
      </c>
      <c r="HX212" s="2275"/>
      <c r="HY212" s="2275"/>
      <c r="HZ212" s="2275"/>
      <c r="IA212" s="2275"/>
      <c r="IB212" s="2275"/>
      <c r="IC212" s="2275"/>
      <c r="ID212" s="2275"/>
      <c r="IE212" s="2275"/>
      <c r="IF212" s="2275"/>
      <c r="IG212" s="2275"/>
      <c r="IH212" s="2275"/>
      <c r="II212" s="2275"/>
      <c r="IJ212" s="2275"/>
      <c r="IK212" s="2275"/>
      <c r="IL212" s="2275"/>
      <c r="IN212" s="277"/>
      <c r="IO212" s="277"/>
    </row>
    <row r="213" spans="1:249" ht="21.95" customHeight="1">
      <c r="A213" s="2275"/>
      <c r="B213" s="2331" t="str">
        <f>IF(C211=D202,"Right","Wrong")</f>
        <v>Right</v>
      </c>
      <c r="C213" s="2275"/>
      <c r="D213" s="2275"/>
      <c r="E213" s="2275"/>
      <c r="F213" s="2275"/>
      <c r="G213" s="2275"/>
      <c r="H213" s="2275"/>
      <c r="I213" s="2275"/>
      <c r="J213" s="2275"/>
      <c r="K213" s="2275"/>
      <c r="L213" s="2275"/>
      <c r="M213" s="2275"/>
      <c r="N213" s="2275"/>
      <c r="O213" s="2275"/>
      <c r="P213" s="2331" t="str">
        <f>IF(Q211=R202,"Right","Wrong")</f>
        <v>Right</v>
      </c>
      <c r="Q213" s="2275"/>
      <c r="R213" s="2275"/>
      <c r="S213" s="2275"/>
      <c r="T213" s="2275"/>
      <c r="U213" s="2275"/>
      <c r="V213" s="2275"/>
      <c r="W213" s="2275"/>
      <c r="X213" s="2275"/>
      <c r="Y213" s="2275"/>
      <c r="Z213" s="2275"/>
      <c r="AA213" s="2275"/>
      <c r="AB213" s="2275"/>
      <c r="AC213" s="2275"/>
      <c r="AD213" s="2331" t="str">
        <f>IF(AE211=AF202,"Right","Wrong")</f>
        <v>Right</v>
      </c>
      <c r="AE213" s="2275"/>
      <c r="AF213" s="2275"/>
      <c r="AG213" s="2275"/>
      <c r="AH213" s="2275"/>
      <c r="AI213" s="2275"/>
      <c r="AJ213" s="2275"/>
      <c r="AK213" s="2275"/>
      <c r="AL213" s="2275"/>
      <c r="AM213" s="2275"/>
      <c r="AN213" s="2275"/>
      <c r="AO213" s="2275"/>
      <c r="AP213" s="2275"/>
      <c r="AQ213" s="2275"/>
      <c r="AR213" s="2331" t="str">
        <f>IF(AS211=AT202,"Right","Wrong")</f>
        <v>Right</v>
      </c>
      <c r="AS213" s="2275"/>
      <c r="AT213" s="2275"/>
      <c r="AU213" s="2275"/>
      <c r="AV213" s="2275"/>
      <c r="AW213" s="2275"/>
      <c r="AX213" s="2275"/>
      <c r="AY213" s="2275"/>
      <c r="AZ213" s="2275"/>
      <c r="BA213" s="2275"/>
      <c r="BB213" s="2275"/>
      <c r="BC213" s="2275"/>
      <c r="BD213" s="2275"/>
      <c r="BE213" s="2275"/>
      <c r="BF213" s="2276"/>
      <c r="BG213" s="2276"/>
      <c r="BH213" s="2250"/>
      <c r="BI213" s="2275"/>
      <c r="BJ213" s="2331" t="str">
        <f>IF(BK211=BL202,"Right","Wrong")</f>
        <v>Right</v>
      </c>
      <c r="BK213" s="2275"/>
      <c r="BL213" s="2275"/>
      <c r="BM213" s="2275"/>
      <c r="BN213" s="2275"/>
      <c r="BO213" s="2275"/>
      <c r="BP213" s="2275"/>
      <c r="BQ213" s="2275"/>
      <c r="BR213" s="2275"/>
      <c r="BS213" s="2275"/>
      <c r="BT213" s="2275"/>
      <c r="BU213" s="2275"/>
      <c r="BV213" s="2275"/>
      <c r="BW213" s="2275"/>
      <c r="BX213" s="2331" t="str">
        <f>IF(BY211=BZ202,"Right","Wrong")</f>
        <v>Right</v>
      </c>
      <c r="BY213" s="2275"/>
      <c r="BZ213" s="2275"/>
      <c r="CA213" s="2275"/>
      <c r="CB213" s="2275"/>
      <c r="CC213" s="2275"/>
      <c r="CD213" s="2275"/>
      <c r="CE213" s="2275"/>
      <c r="CF213" s="2275"/>
      <c r="CG213" s="2275"/>
      <c r="CH213" s="2275"/>
      <c r="CI213" s="2275"/>
      <c r="CJ213" s="2275"/>
      <c r="CK213" s="2275"/>
      <c r="CL213" s="2331" t="str">
        <f>IF(CM211=CN202,"Right","Wrong")</f>
        <v>Right</v>
      </c>
      <c r="CM213" s="2275"/>
      <c r="CN213" s="2275"/>
      <c r="CO213" s="2275"/>
      <c r="CP213" s="2275"/>
      <c r="CQ213" s="2275"/>
      <c r="CR213" s="2275"/>
      <c r="CS213" s="2275"/>
      <c r="CT213" s="2275"/>
      <c r="CU213" s="2275"/>
      <c r="CV213" s="2275"/>
      <c r="CW213" s="2275"/>
      <c r="CX213" s="2275"/>
      <c r="CY213" s="2275"/>
      <c r="CZ213" s="2331" t="str">
        <f>IF(DA211=DB202,"Right","Wrong")</f>
        <v>Right</v>
      </c>
      <c r="DA213" s="2275"/>
      <c r="DB213" s="2275"/>
      <c r="DC213" s="2275"/>
      <c r="DD213" s="2275"/>
      <c r="DE213" s="2275"/>
      <c r="DF213" s="2275"/>
      <c r="DG213" s="2275"/>
      <c r="DH213" s="2275"/>
      <c r="DI213" s="2275"/>
      <c r="DJ213" s="2275"/>
      <c r="DK213" s="2275"/>
      <c r="DL213" s="2275"/>
      <c r="DM213" s="2275"/>
      <c r="DN213" s="2275"/>
      <c r="DO213" s="2275"/>
      <c r="DP213" s="2275"/>
      <c r="DQ213" s="2277"/>
      <c r="DR213" s="2277"/>
      <c r="DS213" s="277"/>
      <c r="DW213" s="2275"/>
      <c r="DX213" s="2331" t="str">
        <f>IF(DY211=DZ202,"Right","Wrong")</f>
        <v>Right</v>
      </c>
      <c r="DY213" s="2275"/>
      <c r="DZ213" s="2275"/>
      <c r="EA213" s="2275"/>
      <c r="EB213" s="2275"/>
      <c r="EC213" s="2275"/>
      <c r="ED213" s="2275"/>
      <c r="EE213" s="2275"/>
      <c r="EF213" s="2275"/>
      <c r="EG213" s="2275"/>
      <c r="EH213" s="2275"/>
      <c r="EI213" s="2275"/>
      <c r="EJ213" s="2275"/>
      <c r="EK213" s="2275"/>
      <c r="EL213" s="2331" t="str">
        <f>IF(EM211=EN202,"Right","Wrong")</f>
        <v>Right</v>
      </c>
      <c r="EM213" s="2275"/>
      <c r="EN213" s="2275"/>
      <c r="EO213" s="2275"/>
      <c r="EP213" s="2275"/>
      <c r="EQ213" s="2275"/>
      <c r="ER213" s="2275"/>
      <c r="ES213" s="2275"/>
      <c r="ET213" s="2275"/>
      <c r="EU213" s="2275"/>
      <c r="EV213" s="2275"/>
      <c r="EW213" s="2275"/>
      <c r="EX213" s="2275"/>
      <c r="EY213" s="2275"/>
      <c r="EZ213" s="2331" t="str">
        <f>IF(FA211=FB202,"Right","Wrong")</f>
        <v>Right</v>
      </c>
      <c r="FA213" s="2275"/>
      <c r="FB213" s="2275"/>
      <c r="FC213" s="2275"/>
      <c r="FD213" s="2275"/>
      <c r="FE213" s="2275"/>
      <c r="FF213" s="2275"/>
      <c r="FG213" s="2275"/>
      <c r="FH213" s="2275"/>
      <c r="FI213" s="2275"/>
      <c r="FJ213" s="2275"/>
      <c r="FK213" s="2275"/>
      <c r="FL213" s="2275"/>
      <c r="FM213" s="2275"/>
      <c r="FN213" s="2331" t="str">
        <f>IF(FO211=FP202,"Right","Wrong")</f>
        <v>Right</v>
      </c>
      <c r="FO213" s="2275"/>
      <c r="FP213" s="2275"/>
      <c r="FQ213" s="2275"/>
      <c r="FR213" s="2275"/>
      <c r="FS213" s="2275"/>
      <c r="FT213" s="2275"/>
      <c r="FU213" s="2275"/>
      <c r="FV213" s="2275"/>
      <c r="FW213" s="2275"/>
      <c r="FX213" s="2275"/>
      <c r="FY213" s="2275"/>
      <c r="FZ213" s="2275"/>
      <c r="GA213" s="2275"/>
      <c r="GB213" s="2276"/>
      <c r="GC213" s="2276"/>
      <c r="GD213" s="2250"/>
      <c r="GE213" s="2275"/>
      <c r="GF213" s="2331" t="str">
        <f>IF(GG211=GH202,"Right","Wrong")</f>
        <v>Right</v>
      </c>
      <c r="GG213" s="2275"/>
      <c r="GH213" s="2275"/>
      <c r="GI213" s="2275"/>
      <c r="GJ213" s="2275"/>
      <c r="GK213" s="2275"/>
      <c r="GL213" s="2275"/>
      <c r="GM213" s="2275"/>
      <c r="GN213" s="2275"/>
      <c r="GO213" s="2275"/>
      <c r="GP213" s="2275"/>
      <c r="GQ213" s="2275"/>
      <c r="GR213" s="2275"/>
      <c r="GS213" s="2275"/>
      <c r="GT213" s="2331" t="str">
        <f>IF(GU211=GV202,"Right","Wrong")</f>
        <v>Right</v>
      </c>
      <c r="GU213" s="2275"/>
      <c r="GV213" s="2275"/>
      <c r="GW213" s="2275"/>
      <c r="GX213" s="2275"/>
      <c r="GY213" s="2275"/>
      <c r="GZ213" s="2275"/>
      <c r="HA213" s="2275"/>
      <c r="HB213" s="2275"/>
      <c r="HC213" s="2275"/>
      <c r="HD213" s="2275"/>
      <c r="HE213" s="2275"/>
      <c r="HF213" s="2275"/>
      <c r="HG213" s="2275"/>
      <c r="HH213" s="2331" t="str">
        <f>IF(HI211=HJ202,"Right","Wrong")</f>
        <v>Right</v>
      </c>
      <c r="HI213" s="2275"/>
      <c r="HJ213" s="2275"/>
      <c r="HK213" s="2275"/>
      <c r="HL213" s="2275"/>
      <c r="HM213" s="2275"/>
      <c r="HN213" s="2275"/>
      <c r="HO213" s="2275"/>
      <c r="HP213" s="2275"/>
      <c r="HQ213" s="2275"/>
      <c r="HR213" s="2275"/>
      <c r="HS213" s="2275"/>
      <c r="HT213" s="2275"/>
      <c r="HU213" s="2275"/>
      <c r="HV213" s="2331" t="str">
        <f>IF(HW211=HX202,"Right","Wrong")</f>
        <v>Right</v>
      </c>
      <c r="HW213" s="2275"/>
      <c r="HX213" s="2275"/>
      <c r="HY213" s="2275"/>
      <c r="HZ213" s="2275"/>
      <c r="IA213" s="2275"/>
      <c r="IB213" s="2275"/>
      <c r="IC213" s="2275"/>
      <c r="ID213" s="2275"/>
      <c r="IE213" s="2275"/>
      <c r="IF213" s="2275"/>
      <c r="IG213" s="2275"/>
      <c r="IH213" s="2275"/>
      <c r="II213" s="2275"/>
      <c r="IJ213" s="2275"/>
      <c r="IK213" s="2275"/>
      <c r="IL213" s="2275"/>
      <c r="IN213" s="277"/>
      <c r="IO213" s="277"/>
    </row>
    <row r="214" spans="1:249" ht="21.95" customHeight="1">
      <c r="A214" s="2275"/>
      <c r="B214" s="2275"/>
      <c r="C214" s="2275"/>
      <c r="D214" s="2275"/>
      <c r="E214" s="2275"/>
      <c r="F214" s="2275"/>
      <c r="G214" s="2275"/>
      <c r="H214" s="2250"/>
      <c r="I214" s="2250"/>
      <c r="J214" s="2250"/>
      <c r="K214" s="2250"/>
      <c r="L214" s="2275"/>
      <c r="M214" s="2275"/>
      <c r="N214" s="2275"/>
      <c r="O214" s="2275"/>
      <c r="P214" s="2275"/>
      <c r="Q214" s="2275"/>
      <c r="R214" s="2275"/>
      <c r="S214" s="2275"/>
      <c r="T214" s="2275"/>
      <c r="U214" s="2275"/>
      <c r="V214" s="2275"/>
      <c r="W214" s="2275"/>
      <c r="X214" s="2275"/>
      <c r="Y214" s="2275"/>
      <c r="Z214" s="2275"/>
      <c r="AA214" s="2275"/>
      <c r="AB214" s="2275"/>
      <c r="AC214" s="2275"/>
      <c r="AD214" s="2275"/>
      <c r="AE214" s="2275"/>
      <c r="AF214" s="2275"/>
      <c r="AG214" s="2275"/>
      <c r="AH214" s="2275"/>
      <c r="AI214" s="2275"/>
      <c r="AJ214" s="2275"/>
      <c r="AK214" s="2275"/>
      <c r="AL214" s="2275"/>
      <c r="AM214" s="2275"/>
      <c r="AN214" s="2275"/>
      <c r="AO214" s="2275"/>
      <c r="AP214" s="2275"/>
      <c r="AQ214" s="2275"/>
      <c r="AR214" s="2275"/>
      <c r="AS214" s="2275"/>
      <c r="AT214" s="2275"/>
      <c r="AU214" s="2275"/>
      <c r="AV214" s="2275"/>
      <c r="AW214" s="2275"/>
      <c r="AX214" s="2275"/>
      <c r="AY214" s="2275"/>
      <c r="AZ214" s="2275"/>
      <c r="BA214" s="2275"/>
      <c r="BB214" s="2275"/>
      <c r="BC214" s="2275"/>
      <c r="BD214" s="2275"/>
      <c r="BE214" s="2275"/>
      <c r="BF214" s="2276"/>
      <c r="BG214" s="2276"/>
      <c r="BH214" s="2250"/>
      <c r="BI214" s="2275"/>
      <c r="BJ214" s="2275"/>
      <c r="BK214" s="2275"/>
      <c r="BL214" s="2275"/>
      <c r="BM214" s="2275"/>
      <c r="BN214" s="2275"/>
      <c r="BO214" s="2275"/>
      <c r="BP214" s="2250"/>
      <c r="BQ214" s="2250"/>
      <c r="BR214" s="2250"/>
      <c r="BS214" s="2250"/>
      <c r="BT214" s="2275"/>
      <c r="BU214" s="2275"/>
      <c r="BV214" s="2275"/>
      <c r="BW214" s="2275"/>
      <c r="BX214" s="2275"/>
      <c r="BY214" s="2275"/>
      <c r="BZ214" s="2275"/>
      <c r="CA214" s="2275"/>
      <c r="CB214" s="2275"/>
      <c r="CC214" s="2275"/>
      <c r="CD214" s="2275"/>
      <c r="CE214" s="2275"/>
      <c r="CF214" s="2275"/>
      <c r="CG214" s="2275"/>
      <c r="CH214" s="2275"/>
      <c r="CI214" s="2275"/>
      <c r="CJ214" s="2275"/>
      <c r="CK214" s="2275"/>
      <c r="CL214" s="2275"/>
      <c r="CM214" s="2275"/>
      <c r="CN214" s="2275"/>
      <c r="CO214" s="2275"/>
      <c r="CP214" s="2275"/>
      <c r="CQ214" s="2275"/>
      <c r="CR214" s="2275"/>
      <c r="CS214" s="2275"/>
      <c r="CT214" s="2275"/>
      <c r="CU214" s="2275"/>
      <c r="CV214" s="2275"/>
      <c r="CW214" s="2275"/>
      <c r="CX214" s="2275"/>
      <c r="CY214" s="2275"/>
      <c r="CZ214" s="2275"/>
      <c r="DA214" s="2275"/>
      <c r="DB214" s="2275"/>
      <c r="DC214" s="2275"/>
      <c r="DD214" s="2275"/>
      <c r="DE214" s="2275"/>
      <c r="DF214" s="2275"/>
      <c r="DG214" s="2275"/>
      <c r="DH214" s="2275"/>
      <c r="DI214" s="2275"/>
      <c r="DJ214" s="2275"/>
      <c r="DK214" s="2275"/>
      <c r="DL214" s="2275"/>
      <c r="DM214" s="2275"/>
      <c r="DN214" s="2275"/>
      <c r="DO214" s="2275"/>
      <c r="DP214" s="2275"/>
      <c r="DQ214" s="2277"/>
      <c r="DR214" s="2277"/>
      <c r="DS214" s="277"/>
      <c r="DW214" s="2275"/>
      <c r="DX214" s="2275"/>
      <c r="DY214" s="2275"/>
      <c r="DZ214" s="2275"/>
      <c r="EA214" s="2275"/>
      <c r="EB214" s="2275"/>
      <c r="EC214" s="2275"/>
      <c r="ED214" s="2250"/>
      <c r="EE214" s="2250"/>
      <c r="EF214" s="2250"/>
      <c r="EG214" s="2250"/>
      <c r="EH214" s="2275"/>
      <c r="EI214" s="2275"/>
      <c r="EJ214" s="2275"/>
      <c r="EK214" s="2275"/>
      <c r="EL214" s="2275"/>
      <c r="EM214" s="2275"/>
      <c r="EN214" s="2275"/>
      <c r="EO214" s="2275"/>
      <c r="EP214" s="2275"/>
      <c r="EQ214" s="2275"/>
      <c r="ER214" s="2275"/>
      <c r="ES214" s="2275"/>
      <c r="ET214" s="2275"/>
      <c r="EU214" s="2275"/>
      <c r="EV214" s="2275"/>
      <c r="EW214" s="2275"/>
      <c r="EX214" s="2275"/>
      <c r="EY214" s="2275"/>
      <c r="EZ214" s="2275"/>
      <c r="FA214" s="2275"/>
      <c r="FB214" s="2275"/>
      <c r="FC214" s="2275"/>
      <c r="FD214" s="2275"/>
      <c r="FE214" s="2275"/>
      <c r="FF214" s="2275"/>
      <c r="FG214" s="2275"/>
      <c r="FH214" s="2275"/>
      <c r="FI214" s="2275"/>
      <c r="FJ214" s="2275"/>
      <c r="FK214" s="2275"/>
      <c r="FL214" s="2275"/>
      <c r="FM214" s="2275"/>
      <c r="FN214" s="2275"/>
      <c r="FO214" s="2275"/>
      <c r="FP214" s="2275"/>
      <c r="FQ214" s="2275"/>
      <c r="FR214" s="2275"/>
      <c r="FS214" s="2275"/>
      <c r="FT214" s="2275"/>
      <c r="FU214" s="2275"/>
      <c r="FV214" s="2275"/>
      <c r="FW214" s="2275"/>
      <c r="FX214" s="2275"/>
      <c r="FY214" s="2275"/>
      <c r="FZ214" s="2275"/>
      <c r="GA214" s="2275"/>
      <c r="GB214" s="2276"/>
      <c r="GC214" s="2276"/>
      <c r="GD214" s="2250"/>
      <c r="GE214" s="2275"/>
      <c r="GF214" s="2275"/>
      <c r="GG214" s="2275"/>
      <c r="GH214" s="2275"/>
      <c r="GI214" s="2275"/>
      <c r="GJ214" s="2275"/>
      <c r="GK214" s="2275"/>
      <c r="GL214" s="2250"/>
      <c r="GM214" s="2250"/>
      <c r="GN214" s="2250"/>
      <c r="GO214" s="2250"/>
      <c r="GP214" s="2275"/>
      <c r="GQ214" s="2275"/>
      <c r="GR214" s="2275"/>
      <c r="GS214" s="2275"/>
      <c r="GT214" s="2275"/>
      <c r="GU214" s="2275"/>
      <c r="GV214" s="2275"/>
      <c r="GW214" s="2275"/>
      <c r="GX214" s="2275"/>
      <c r="GY214" s="2275"/>
      <c r="GZ214" s="2275"/>
      <c r="HA214" s="2275"/>
      <c r="HB214" s="2275"/>
      <c r="HC214" s="2275"/>
      <c r="HD214" s="2275"/>
      <c r="HE214" s="2275"/>
      <c r="HF214" s="2275"/>
      <c r="HG214" s="2275"/>
      <c r="HH214" s="2275"/>
      <c r="HI214" s="2275"/>
      <c r="HJ214" s="2275"/>
      <c r="HK214" s="2275"/>
      <c r="HL214" s="2275"/>
      <c r="HM214" s="2275"/>
      <c r="HN214" s="2275"/>
      <c r="HO214" s="2275"/>
      <c r="HP214" s="2275"/>
      <c r="HQ214" s="2275"/>
      <c r="HR214" s="2275"/>
      <c r="HS214" s="2275"/>
      <c r="HT214" s="2275"/>
      <c r="HU214" s="2275"/>
      <c r="HV214" s="2275"/>
      <c r="HW214" s="2275"/>
      <c r="HX214" s="2275"/>
      <c r="HY214" s="2275"/>
      <c r="HZ214" s="2275"/>
      <c r="IA214" s="2275"/>
      <c r="IB214" s="2275"/>
      <c r="IC214" s="2275"/>
      <c r="ID214" s="2275"/>
      <c r="IE214" s="2275"/>
      <c r="IF214" s="2275"/>
      <c r="IG214" s="2275"/>
      <c r="IH214" s="2275"/>
      <c r="II214" s="2275"/>
      <c r="IJ214" s="2275"/>
      <c r="IK214" s="2275"/>
      <c r="IL214" s="2275"/>
      <c r="IN214" s="277"/>
      <c r="IO214" s="277"/>
    </row>
    <row r="215" spans="1:249" ht="21.95" customHeight="1">
      <c r="A215" s="2275"/>
      <c r="B215" s="2275"/>
      <c r="C215" s="2275"/>
      <c r="D215" s="2275"/>
      <c r="E215" s="2275"/>
      <c r="F215" s="2275"/>
      <c r="G215" s="2275"/>
      <c r="H215" s="2275"/>
      <c r="I215" s="2275"/>
      <c r="J215" s="2275"/>
      <c r="K215" s="2275"/>
      <c r="L215" s="2275"/>
      <c r="M215" s="2275"/>
      <c r="N215" s="2275"/>
      <c r="O215" s="2275"/>
      <c r="P215" s="2275"/>
      <c r="Q215" s="2275"/>
      <c r="R215" s="2275"/>
      <c r="S215" s="2275"/>
      <c r="T215" s="2275"/>
      <c r="U215" s="2275"/>
      <c r="V215" s="2275"/>
      <c r="W215" s="2275"/>
      <c r="X215" s="2275"/>
      <c r="Y215" s="2275"/>
      <c r="Z215" s="2275"/>
      <c r="AA215" s="2275"/>
      <c r="AB215" s="2275"/>
      <c r="AC215" s="2275"/>
      <c r="AD215" s="2275"/>
      <c r="AE215" s="2275"/>
      <c r="AF215" s="2275"/>
      <c r="AG215" s="2275"/>
      <c r="AH215" s="2275"/>
      <c r="AI215" s="2275"/>
      <c r="AJ215" s="2275"/>
      <c r="AK215" s="2275"/>
      <c r="AL215" s="2275"/>
      <c r="AM215" s="2275"/>
      <c r="AN215" s="2275"/>
      <c r="AO215" s="2275"/>
      <c r="AP215" s="2275"/>
      <c r="AQ215" s="2275"/>
      <c r="AR215" s="2275"/>
      <c r="AS215" s="2275"/>
      <c r="AT215" s="2275"/>
      <c r="AU215" s="2275"/>
      <c r="AV215" s="2275"/>
      <c r="AW215" s="2275"/>
      <c r="AX215" s="2275"/>
      <c r="AY215" s="2275"/>
      <c r="AZ215" s="2275"/>
      <c r="BA215" s="2275"/>
      <c r="BB215" s="2275"/>
      <c r="BC215" s="2275"/>
      <c r="BD215" s="2275"/>
      <c r="BE215" s="2275"/>
      <c r="BF215" s="2276"/>
      <c r="BG215" s="2276"/>
      <c r="BH215" s="2250"/>
      <c r="BI215" s="2275"/>
      <c r="BJ215" s="2275"/>
      <c r="BK215" s="2275"/>
      <c r="BL215" s="2275"/>
      <c r="BM215" s="2275"/>
      <c r="BN215" s="2275"/>
      <c r="BO215" s="2275"/>
      <c r="BP215" s="2275"/>
      <c r="BQ215" s="2275"/>
      <c r="BR215" s="2275"/>
      <c r="BS215" s="2275"/>
      <c r="BT215" s="2275"/>
      <c r="BU215" s="2275"/>
      <c r="BV215" s="2275"/>
      <c r="BW215" s="2275"/>
      <c r="BX215" s="2275"/>
      <c r="BY215" s="2275"/>
      <c r="BZ215" s="2275"/>
      <c r="CA215" s="2275"/>
      <c r="CB215" s="2275"/>
      <c r="CC215" s="2275"/>
      <c r="CD215" s="2275"/>
      <c r="CE215" s="2275"/>
      <c r="CF215" s="2275"/>
      <c r="CG215" s="2275"/>
      <c r="CH215" s="2275"/>
      <c r="CI215" s="2275"/>
      <c r="CJ215" s="2275"/>
      <c r="CK215" s="2275"/>
      <c r="CL215" s="2275"/>
      <c r="CM215" s="2275"/>
      <c r="CN215" s="2275"/>
      <c r="CO215" s="2275"/>
      <c r="CP215" s="2275"/>
      <c r="CQ215" s="2275"/>
      <c r="CR215" s="2275"/>
      <c r="CS215" s="2275"/>
      <c r="CT215" s="2275"/>
      <c r="CU215" s="2275"/>
      <c r="CV215" s="2275"/>
      <c r="CW215" s="2275"/>
      <c r="CX215" s="2275"/>
      <c r="CY215" s="2275"/>
      <c r="CZ215" s="2275"/>
      <c r="DA215" s="2275"/>
      <c r="DB215" s="2275"/>
      <c r="DC215" s="2275"/>
      <c r="DD215" s="2275"/>
      <c r="DE215" s="2275"/>
      <c r="DF215" s="2275"/>
      <c r="DG215" s="2275"/>
      <c r="DH215" s="2275"/>
      <c r="DI215" s="2275"/>
      <c r="DJ215" s="2275"/>
      <c r="DK215" s="2275"/>
      <c r="DL215" s="2275"/>
      <c r="DM215" s="2275"/>
      <c r="DN215" s="2275"/>
      <c r="DO215" s="2275"/>
      <c r="DP215" s="2275"/>
      <c r="DQ215" s="2277"/>
      <c r="DR215" s="2277"/>
      <c r="DS215" s="277"/>
      <c r="DW215" s="2275"/>
      <c r="DX215" s="2275"/>
      <c r="DY215" s="2275"/>
      <c r="DZ215" s="2275"/>
      <c r="EA215" s="2275"/>
      <c r="EB215" s="2275"/>
      <c r="EC215" s="2275"/>
      <c r="ED215" s="2275"/>
      <c r="EE215" s="2275"/>
      <c r="EF215" s="2275"/>
      <c r="EG215" s="2275"/>
      <c r="EH215" s="2275"/>
      <c r="EI215" s="2275"/>
      <c r="EJ215" s="2275"/>
      <c r="EK215" s="2275"/>
      <c r="EL215" s="2275"/>
      <c r="EM215" s="2275"/>
      <c r="EN215" s="2275"/>
      <c r="EO215" s="2275"/>
      <c r="EP215" s="2275"/>
      <c r="EQ215" s="2275"/>
      <c r="ER215" s="2275"/>
      <c r="ES215" s="2275"/>
      <c r="ET215" s="2275"/>
      <c r="EU215" s="2275"/>
      <c r="EV215" s="2275"/>
      <c r="EW215" s="2275"/>
      <c r="EX215" s="2275"/>
      <c r="EY215" s="2275"/>
      <c r="EZ215" s="2275"/>
      <c r="FA215" s="2275"/>
      <c r="FB215" s="2275"/>
      <c r="FC215" s="2275"/>
      <c r="FD215" s="2275"/>
      <c r="FE215" s="2275"/>
      <c r="FF215" s="2275"/>
      <c r="FG215" s="2275"/>
      <c r="FH215" s="2275"/>
      <c r="FI215" s="2275"/>
      <c r="FJ215" s="2275"/>
      <c r="FK215" s="2275"/>
      <c r="FL215" s="2275"/>
      <c r="FM215" s="2275"/>
      <c r="FN215" s="2275"/>
      <c r="FO215" s="2275"/>
      <c r="FP215" s="2275"/>
      <c r="FQ215" s="2275"/>
      <c r="FR215" s="2275"/>
      <c r="FS215" s="2275"/>
      <c r="FT215" s="2275"/>
      <c r="FU215" s="2275"/>
      <c r="FV215" s="2275"/>
      <c r="FW215" s="2275"/>
      <c r="FX215" s="2275"/>
      <c r="FY215" s="2275"/>
      <c r="FZ215" s="2275"/>
      <c r="GA215" s="2275"/>
      <c r="GB215" s="2276"/>
      <c r="GC215" s="2276"/>
      <c r="GD215" s="2250"/>
      <c r="GE215" s="2275"/>
      <c r="GF215" s="2275"/>
      <c r="GG215" s="2275"/>
      <c r="GH215" s="2275"/>
      <c r="GI215" s="2275"/>
      <c r="GJ215" s="2275"/>
      <c r="GK215" s="2275"/>
      <c r="GL215" s="2275"/>
      <c r="GM215" s="2275"/>
      <c r="GN215" s="2275"/>
      <c r="GO215" s="2275"/>
      <c r="GP215" s="2275"/>
      <c r="GQ215" s="2275"/>
      <c r="GR215" s="2275"/>
      <c r="GS215" s="2275"/>
      <c r="GT215" s="2275"/>
      <c r="GU215" s="2275"/>
      <c r="GV215" s="2275"/>
      <c r="GW215" s="2275"/>
      <c r="GX215" s="2275"/>
      <c r="GY215" s="2275"/>
      <c r="GZ215" s="2275"/>
      <c r="HA215" s="2275"/>
      <c r="HB215" s="2275"/>
      <c r="HC215" s="2275"/>
      <c r="HD215" s="2275"/>
      <c r="HE215" s="2275"/>
      <c r="HF215" s="2275"/>
      <c r="HG215" s="2275"/>
      <c r="HH215" s="2275"/>
      <c r="HI215" s="2275"/>
      <c r="HJ215" s="2275"/>
      <c r="HK215" s="2275"/>
      <c r="HL215" s="2275"/>
      <c r="HM215" s="2275"/>
      <c r="HN215" s="2275"/>
      <c r="HO215" s="2275"/>
      <c r="HP215" s="2275"/>
      <c r="HQ215" s="2275"/>
      <c r="HR215" s="2275"/>
      <c r="HS215" s="2275"/>
      <c r="HT215" s="2275"/>
      <c r="HU215" s="2275"/>
      <c r="HV215" s="2275"/>
      <c r="HW215" s="2275"/>
      <c r="HX215" s="2275"/>
      <c r="HY215" s="2275"/>
      <c r="HZ215" s="2275"/>
      <c r="IA215" s="2275"/>
      <c r="IB215" s="2275"/>
      <c r="IC215" s="2275"/>
      <c r="ID215" s="2275"/>
      <c r="IE215" s="2275"/>
      <c r="IF215" s="2275"/>
      <c r="IG215" s="2275"/>
      <c r="IH215" s="2275"/>
      <c r="II215" s="2275"/>
      <c r="IJ215" s="2275"/>
      <c r="IK215" s="2275"/>
      <c r="IL215" s="2275"/>
      <c r="IN215" s="277"/>
      <c r="IO215" s="277"/>
    </row>
    <row r="216" spans="1:249" ht="18.75" customHeight="1">
      <c r="A216" s="2275"/>
      <c r="B216" s="2275"/>
      <c r="C216" s="2275"/>
      <c r="D216" s="2275"/>
      <c r="E216" s="2275"/>
      <c r="F216" s="2275"/>
      <c r="G216" s="2275"/>
      <c r="H216" s="2250"/>
      <c r="I216" s="2250"/>
      <c r="J216" s="2250"/>
      <c r="K216" s="2250"/>
      <c r="L216" s="2275"/>
      <c r="M216" s="2275"/>
      <c r="N216" s="2275"/>
      <c r="O216" s="2275"/>
      <c r="P216" s="2275"/>
      <c r="Q216" s="2275"/>
      <c r="R216" s="2275"/>
      <c r="S216" s="2275"/>
      <c r="T216" s="2275"/>
      <c r="U216" s="2275"/>
      <c r="V216" s="2275"/>
      <c r="W216" s="2275"/>
      <c r="X216" s="2275"/>
      <c r="Y216" s="2275"/>
      <c r="Z216" s="2275"/>
      <c r="AA216" s="2275"/>
      <c r="AB216" s="2275"/>
      <c r="AC216" s="2275"/>
      <c r="AD216" s="2275"/>
      <c r="AE216" s="2275"/>
      <c r="AF216" s="2275"/>
      <c r="AG216" s="2275"/>
      <c r="AH216" s="2275"/>
      <c r="AI216" s="2275"/>
      <c r="AJ216" s="2275"/>
      <c r="AK216" s="2275"/>
      <c r="AL216" s="2275"/>
      <c r="AM216" s="2275"/>
      <c r="AN216" s="2275"/>
      <c r="AO216" s="2275"/>
      <c r="AP216" s="2275"/>
      <c r="AQ216" s="2275"/>
      <c r="AR216" s="2275"/>
      <c r="AS216" s="2275"/>
      <c r="AT216" s="2275"/>
      <c r="AU216" s="2275"/>
      <c r="AV216" s="2275"/>
      <c r="AW216" s="2275"/>
      <c r="AX216" s="2275"/>
      <c r="AY216" s="2275"/>
      <c r="AZ216" s="2275"/>
      <c r="BA216" s="2275"/>
      <c r="BB216" s="2275"/>
      <c r="BC216" s="2275"/>
      <c r="BD216" s="2275"/>
      <c r="BE216" s="2275"/>
      <c r="BF216" s="2276"/>
      <c r="BG216" s="2276"/>
      <c r="BH216" s="2250"/>
      <c r="BI216" s="2275"/>
      <c r="BJ216" s="2275"/>
      <c r="BK216" s="2275"/>
      <c r="BL216" s="2275"/>
      <c r="BM216" s="2275"/>
      <c r="BN216" s="2275"/>
      <c r="BO216" s="2275"/>
      <c r="BP216" s="2250"/>
      <c r="BQ216" s="2250"/>
      <c r="BR216" s="2250"/>
      <c r="BS216" s="2250"/>
      <c r="BT216" s="2275"/>
      <c r="BU216" s="2275"/>
      <c r="BV216" s="2275"/>
      <c r="BW216" s="2275"/>
      <c r="BX216" s="2275"/>
      <c r="BY216" s="2275"/>
      <c r="BZ216" s="2275"/>
      <c r="CA216" s="2275"/>
      <c r="CB216" s="2275"/>
      <c r="CC216" s="2275"/>
      <c r="CD216" s="2275"/>
      <c r="CE216" s="2275"/>
      <c r="CF216" s="2275"/>
      <c r="CG216" s="2275"/>
      <c r="CH216" s="2275"/>
      <c r="CI216" s="2275"/>
      <c r="CJ216" s="2275"/>
      <c r="CK216" s="2275"/>
      <c r="CL216" s="2275"/>
      <c r="CM216" s="2275"/>
      <c r="CN216" s="2275"/>
      <c r="CO216" s="2275"/>
      <c r="CP216" s="2275"/>
      <c r="CQ216" s="2275"/>
      <c r="CR216" s="2275"/>
      <c r="CS216" s="2275"/>
      <c r="CT216" s="2275"/>
      <c r="CU216" s="2275"/>
      <c r="CV216" s="2275"/>
      <c r="CW216" s="2275"/>
      <c r="CX216" s="2275"/>
      <c r="CY216" s="2275"/>
      <c r="CZ216" s="2275"/>
      <c r="DA216" s="2275"/>
      <c r="DB216" s="2275"/>
      <c r="DC216" s="2275"/>
      <c r="DD216" s="2275"/>
      <c r="DE216" s="2275"/>
      <c r="DF216" s="2275"/>
      <c r="DG216" s="2275"/>
      <c r="DH216" s="2275"/>
      <c r="DI216" s="2275"/>
      <c r="DJ216" s="2275"/>
      <c r="DK216" s="2275"/>
      <c r="DL216" s="2275"/>
      <c r="DM216" s="2275"/>
      <c r="DN216" s="2275"/>
      <c r="DO216" s="2275"/>
      <c r="DP216" s="2275"/>
      <c r="DQ216" s="2277"/>
      <c r="DR216" s="2277"/>
      <c r="DS216" s="277"/>
      <c r="DW216" s="2275"/>
      <c r="DX216" s="2275"/>
      <c r="DY216" s="2275"/>
      <c r="DZ216" s="2275"/>
      <c r="EA216" s="2275"/>
      <c r="EB216" s="2275"/>
      <c r="EC216" s="2275"/>
      <c r="ED216" s="2250"/>
      <c r="EE216" s="2250"/>
      <c r="EF216" s="2250"/>
      <c r="EG216" s="2250"/>
      <c r="EH216" s="2275"/>
      <c r="EI216" s="2275"/>
      <c r="EJ216" s="2275"/>
      <c r="EK216" s="2275"/>
      <c r="EL216" s="2275"/>
      <c r="EM216" s="2275"/>
      <c r="EN216" s="2275"/>
      <c r="EO216" s="2275"/>
      <c r="EP216" s="2275"/>
      <c r="EQ216" s="2275"/>
      <c r="ER216" s="2275"/>
      <c r="ES216" s="2275"/>
      <c r="ET216" s="2275"/>
      <c r="EU216" s="2275"/>
      <c r="EV216" s="2275"/>
      <c r="EW216" s="2275"/>
      <c r="EX216" s="2275"/>
      <c r="EY216" s="2275"/>
      <c r="EZ216" s="2275"/>
      <c r="FA216" s="2275"/>
      <c r="FB216" s="2275"/>
      <c r="FC216" s="2275"/>
      <c r="FD216" s="2275"/>
      <c r="FE216" s="2275"/>
      <c r="FF216" s="2275"/>
      <c r="FG216" s="2275"/>
      <c r="FH216" s="2275"/>
      <c r="FI216" s="2275"/>
      <c r="FJ216" s="2275"/>
      <c r="FK216" s="2275"/>
      <c r="FL216" s="2275"/>
      <c r="FM216" s="2275"/>
      <c r="FN216" s="2275"/>
      <c r="FO216" s="2275"/>
      <c r="FP216" s="2275"/>
      <c r="FQ216" s="2275"/>
      <c r="FR216" s="2275"/>
      <c r="FS216" s="2275"/>
      <c r="FT216" s="2275"/>
      <c r="FU216" s="2275"/>
      <c r="FV216" s="2275"/>
      <c r="FW216" s="2275"/>
      <c r="FX216" s="2275"/>
      <c r="FY216" s="2275"/>
      <c r="FZ216" s="2275"/>
      <c r="GA216" s="2275"/>
      <c r="GB216" s="2276"/>
      <c r="GC216" s="2276"/>
      <c r="GD216" s="2250"/>
      <c r="GE216" s="2275"/>
      <c r="GF216" s="2275"/>
      <c r="GG216" s="2275"/>
      <c r="GH216" s="2275"/>
      <c r="GI216" s="2275"/>
      <c r="GJ216" s="2275"/>
      <c r="GK216" s="2275"/>
      <c r="GL216" s="2250"/>
      <c r="GM216" s="2250"/>
      <c r="GN216" s="2250"/>
      <c r="GO216" s="2250"/>
      <c r="GP216" s="2275"/>
      <c r="GQ216" s="2275"/>
      <c r="GR216" s="2275"/>
      <c r="GS216" s="2275"/>
      <c r="GT216" s="2275"/>
      <c r="GU216" s="2275"/>
      <c r="GV216" s="2275"/>
      <c r="GW216" s="2275"/>
      <c r="GX216" s="2275"/>
      <c r="GY216" s="2275"/>
      <c r="GZ216" s="2275"/>
      <c r="HA216" s="2275"/>
      <c r="HB216" s="2275"/>
      <c r="HC216" s="2275"/>
      <c r="HD216" s="2275"/>
      <c r="HE216" s="2275"/>
      <c r="HF216" s="2275"/>
      <c r="HG216" s="2275"/>
      <c r="HH216" s="2275"/>
      <c r="HI216" s="2275"/>
      <c r="HJ216" s="2275"/>
      <c r="HK216" s="2275"/>
      <c r="HL216" s="2275"/>
      <c r="HM216" s="2275"/>
      <c r="HN216" s="2275"/>
      <c r="HO216" s="2275"/>
      <c r="HP216" s="2275"/>
      <c r="HQ216" s="2275"/>
      <c r="HR216" s="2275"/>
      <c r="HS216" s="2275"/>
      <c r="HT216" s="2275"/>
      <c r="HU216" s="2275"/>
      <c r="HV216" s="2275"/>
      <c r="HW216" s="2275"/>
      <c r="HX216" s="2275"/>
      <c r="HY216" s="2275"/>
      <c r="HZ216" s="2275"/>
      <c r="IA216" s="2275"/>
      <c r="IB216" s="2275"/>
      <c r="IC216" s="2275"/>
      <c r="ID216" s="2275"/>
      <c r="IE216" s="2275"/>
      <c r="IF216" s="2275"/>
      <c r="IG216" s="2275"/>
      <c r="IH216" s="2275"/>
      <c r="II216" s="2275"/>
      <c r="IJ216" s="2275"/>
      <c r="IK216" s="2275"/>
      <c r="IL216" s="2275"/>
      <c r="IN216" s="277"/>
      <c r="IO216" s="277"/>
    </row>
    <row r="217" spans="1:249" s="2176" customFormat="1" ht="15.75" customHeight="1">
      <c r="A217" s="2343"/>
      <c r="B217" s="2343"/>
      <c r="C217" s="2343"/>
      <c r="D217" s="2343"/>
      <c r="E217" s="2343"/>
      <c r="F217" s="2343"/>
      <c r="G217" s="2343"/>
      <c r="H217" s="2343"/>
      <c r="I217" s="2343"/>
      <c r="J217" s="2343"/>
      <c r="K217" s="2343"/>
      <c r="L217" s="2343"/>
      <c r="M217" s="2343"/>
      <c r="N217" s="2343"/>
      <c r="O217" s="2343"/>
      <c r="P217" s="2343"/>
      <c r="Q217" s="2343"/>
      <c r="R217" s="2343"/>
      <c r="S217" s="2343"/>
      <c r="T217" s="2343"/>
      <c r="U217" s="2343"/>
      <c r="V217" s="2343"/>
      <c r="W217" s="2343"/>
      <c r="X217" s="2343"/>
      <c r="Y217" s="2343"/>
      <c r="Z217" s="2343"/>
      <c r="AA217" s="2343"/>
      <c r="AB217" s="2343"/>
      <c r="AC217" s="2343"/>
      <c r="AD217" s="2343"/>
      <c r="AE217" s="2343"/>
      <c r="AF217" s="2343"/>
      <c r="AG217" s="2343"/>
      <c r="AH217" s="2343"/>
      <c r="AI217" s="2343"/>
      <c r="AJ217" s="2343"/>
      <c r="AK217" s="2343"/>
      <c r="AL217" s="2343"/>
      <c r="AM217" s="2343"/>
      <c r="AN217" s="2343"/>
      <c r="AO217" s="2343"/>
      <c r="AP217" s="2343"/>
      <c r="AQ217" s="2343"/>
      <c r="AR217" s="2343"/>
      <c r="AS217" s="2343"/>
      <c r="AT217" s="2343"/>
      <c r="AU217" s="2343"/>
      <c r="AV217" s="2343"/>
      <c r="AW217" s="2343"/>
      <c r="AX217" s="2343"/>
      <c r="AY217" s="2343"/>
      <c r="AZ217" s="2343"/>
      <c r="BA217" s="2343"/>
      <c r="BB217" s="2343"/>
      <c r="BC217" s="2343"/>
      <c r="BD217" s="2343"/>
      <c r="BE217" s="2343"/>
      <c r="BF217" s="2343"/>
      <c r="BG217" s="2343"/>
      <c r="BH217" s="2343"/>
      <c r="BI217" s="2343"/>
      <c r="BJ217" s="2343"/>
      <c r="BK217" s="2343"/>
      <c r="BL217" s="2343"/>
      <c r="BM217" s="2343"/>
      <c r="BN217" s="2343"/>
      <c r="BO217" s="2343"/>
      <c r="BP217" s="2343"/>
      <c r="BQ217" s="2343"/>
      <c r="BR217" s="2343"/>
      <c r="BS217" s="2343"/>
      <c r="BT217" s="2343"/>
      <c r="BU217" s="2343"/>
      <c r="BV217" s="2343"/>
      <c r="BW217" s="2343"/>
      <c r="BX217" s="2343"/>
      <c r="BY217" s="2343"/>
      <c r="BZ217" s="2343"/>
      <c r="CA217" s="2343"/>
      <c r="CB217" s="2343"/>
      <c r="CC217" s="2343"/>
      <c r="CD217" s="2343"/>
      <c r="CE217" s="2343"/>
      <c r="CF217" s="2343"/>
      <c r="CG217" s="2343"/>
      <c r="CH217" s="2343"/>
      <c r="CI217" s="2343"/>
      <c r="CJ217" s="2343"/>
      <c r="CK217" s="2343"/>
      <c r="CL217" s="2343"/>
      <c r="CM217" s="2343"/>
      <c r="CN217" s="2343"/>
      <c r="CO217" s="2343"/>
      <c r="CP217" s="2343"/>
      <c r="CQ217" s="2343"/>
      <c r="CR217" s="2343"/>
      <c r="CS217" s="2343"/>
      <c r="CT217" s="2343"/>
      <c r="CU217" s="2343"/>
      <c r="CV217" s="2343"/>
      <c r="CW217" s="2343"/>
      <c r="CX217" s="2343"/>
      <c r="CY217" s="2343"/>
      <c r="CZ217" s="2343"/>
      <c r="DA217" s="2343"/>
      <c r="DB217" s="2343"/>
      <c r="DC217" s="2343"/>
      <c r="DD217" s="2343"/>
      <c r="DE217" s="2343"/>
      <c r="DF217" s="2343"/>
      <c r="DG217" s="2343"/>
      <c r="DH217" s="2343"/>
      <c r="DI217" s="2343"/>
      <c r="DJ217" s="2343"/>
      <c r="DK217" s="2343"/>
      <c r="DL217" s="2343"/>
      <c r="DM217" s="2343"/>
      <c r="DN217" s="2343"/>
      <c r="DO217" s="2343"/>
      <c r="DP217" s="2343"/>
      <c r="DQ217" s="2277"/>
      <c r="DR217" s="2277"/>
      <c r="DW217" s="2343"/>
      <c r="DX217" s="2343"/>
      <c r="DY217" s="2343"/>
      <c r="DZ217" s="2343"/>
      <c r="EA217" s="2343"/>
      <c r="EB217" s="2343"/>
      <c r="EC217" s="2343"/>
      <c r="ED217" s="2343"/>
      <c r="EE217" s="2343"/>
      <c r="EF217" s="2343"/>
      <c r="EG217" s="2343"/>
      <c r="EH217" s="2343"/>
      <c r="EI217" s="2343"/>
      <c r="EJ217" s="2343"/>
      <c r="EK217" s="2343"/>
      <c r="EL217" s="2343"/>
      <c r="EM217" s="2343"/>
      <c r="EN217" s="2343"/>
      <c r="EO217" s="2343"/>
      <c r="EP217" s="2343"/>
      <c r="EQ217" s="2343"/>
      <c r="ER217" s="2343"/>
      <c r="ES217" s="2343"/>
      <c r="ET217" s="2343"/>
      <c r="EU217" s="2343"/>
      <c r="EV217" s="2343"/>
      <c r="EW217" s="2343"/>
      <c r="EX217" s="2343"/>
      <c r="EY217" s="2343"/>
      <c r="EZ217" s="2343"/>
      <c r="FA217" s="2343"/>
      <c r="FB217" s="2343"/>
      <c r="FC217" s="2343"/>
      <c r="FD217" s="2343"/>
      <c r="FE217" s="2343"/>
      <c r="FF217" s="2343"/>
      <c r="FG217" s="2343"/>
      <c r="FH217" s="2343"/>
      <c r="FI217" s="2343"/>
      <c r="FJ217" s="2343"/>
      <c r="FK217" s="2343"/>
      <c r="FL217" s="2343"/>
      <c r="FM217" s="2343"/>
      <c r="FN217" s="2343"/>
      <c r="FO217" s="2343"/>
      <c r="FP217" s="2343"/>
      <c r="FQ217" s="2343"/>
      <c r="FR217" s="2343"/>
      <c r="FS217" s="2343"/>
      <c r="FT217" s="2343"/>
      <c r="FU217" s="2343"/>
      <c r="FV217" s="2343"/>
      <c r="FW217" s="2343"/>
      <c r="FX217" s="2343"/>
      <c r="FY217" s="2343"/>
      <c r="FZ217" s="2343"/>
      <c r="GA217" s="2343"/>
      <c r="GB217" s="2343"/>
      <c r="GC217" s="2343"/>
      <c r="GD217" s="2343"/>
      <c r="GE217" s="2343"/>
      <c r="GF217" s="2343"/>
      <c r="GG217" s="2343"/>
      <c r="GH217" s="2343"/>
      <c r="GI217" s="2343"/>
      <c r="GJ217" s="2343"/>
      <c r="GK217" s="2343"/>
      <c r="GL217" s="2343"/>
      <c r="GM217" s="2343"/>
      <c r="GN217" s="2343"/>
      <c r="GO217" s="2343"/>
      <c r="GP217" s="2343"/>
      <c r="GQ217" s="2343"/>
      <c r="GR217" s="2343"/>
      <c r="GS217" s="2343"/>
      <c r="GT217" s="2343"/>
      <c r="GU217" s="2343"/>
      <c r="GV217" s="2343"/>
      <c r="GW217" s="2343"/>
      <c r="GX217" s="2343"/>
      <c r="GY217" s="2343"/>
      <c r="GZ217" s="2343"/>
      <c r="HA217" s="2343"/>
      <c r="HB217" s="2343"/>
      <c r="HC217" s="2343"/>
      <c r="HD217" s="2343"/>
      <c r="HE217" s="2343"/>
      <c r="HF217" s="2343"/>
      <c r="HG217" s="2343"/>
      <c r="HH217" s="2343"/>
      <c r="HI217" s="2343"/>
      <c r="HJ217" s="2343"/>
      <c r="HK217" s="2343"/>
      <c r="HL217" s="2343"/>
      <c r="HM217" s="2343"/>
      <c r="HN217" s="2343"/>
      <c r="HO217" s="2343"/>
      <c r="HP217" s="2343"/>
      <c r="HQ217" s="2343"/>
      <c r="HR217" s="2343"/>
      <c r="HS217" s="2343"/>
      <c r="HT217" s="2343"/>
      <c r="HU217" s="2343"/>
      <c r="HV217" s="2343"/>
      <c r="HW217" s="2343"/>
      <c r="HX217" s="2343"/>
      <c r="HY217" s="2343"/>
      <c r="HZ217" s="2343"/>
      <c r="IA217" s="2343"/>
      <c r="IB217" s="2343"/>
      <c r="IC217" s="2343"/>
      <c r="ID217" s="2343"/>
      <c r="IE217" s="2343"/>
      <c r="IF217" s="2343"/>
      <c r="IG217" s="2343"/>
      <c r="IH217" s="2343"/>
      <c r="II217" s="2343"/>
      <c r="IJ217" s="2343"/>
      <c r="IK217" s="2343"/>
      <c r="IL217" s="2343"/>
    </row>
    <row r="218" spans="1:249" ht="21.95" customHeight="1">
      <c r="A218" s="2275"/>
      <c r="B218" s="2275"/>
      <c r="C218" s="2275"/>
      <c r="D218" s="2275"/>
      <c r="E218" s="2275"/>
      <c r="F218" s="2275"/>
      <c r="G218" s="2275"/>
      <c r="H218" s="2250"/>
      <c r="I218" s="2250"/>
      <c r="J218" s="2250"/>
      <c r="K218" s="2250"/>
      <c r="L218" s="2275"/>
      <c r="M218" s="2275"/>
      <c r="N218" s="2275"/>
      <c r="O218" s="2275"/>
      <c r="P218" s="2275"/>
      <c r="Q218" s="2275"/>
      <c r="R218" s="2275"/>
      <c r="S218" s="2275"/>
      <c r="T218" s="2275"/>
      <c r="U218" s="2275"/>
      <c r="V218" s="2275"/>
      <c r="W218" s="2275"/>
      <c r="X218" s="2275"/>
      <c r="Y218" s="2275"/>
      <c r="Z218" s="2275"/>
      <c r="AA218" s="2275"/>
      <c r="AB218" s="2275"/>
      <c r="AC218" s="2275"/>
      <c r="AD218" s="2275"/>
      <c r="AE218" s="2275"/>
      <c r="AF218" s="2275"/>
      <c r="AG218" s="2275"/>
      <c r="AH218" s="2275"/>
      <c r="AI218" s="2275"/>
      <c r="AJ218" s="2275"/>
      <c r="AK218" s="2275"/>
      <c r="AL218" s="2275"/>
      <c r="AM218" s="2275"/>
      <c r="AN218" s="2275"/>
      <c r="AO218" s="2275"/>
      <c r="AP218" s="2250"/>
      <c r="AQ218" s="2250"/>
      <c r="AR218" s="2250"/>
      <c r="AS218" s="2250"/>
      <c r="AT218" s="2250"/>
      <c r="AU218" s="2250"/>
      <c r="AV218" s="2250"/>
      <c r="AW218" s="2250"/>
      <c r="AX218" s="2250"/>
      <c r="AY218" s="2250"/>
      <c r="AZ218" s="2250"/>
      <c r="BA218" s="2250"/>
      <c r="BB218" s="2250"/>
      <c r="BC218" s="2250"/>
      <c r="BD218" s="2250"/>
      <c r="BE218" s="2250"/>
      <c r="BF218" s="2276"/>
      <c r="BG218" s="2276"/>
      <c r="BH218" s="2250"/>
      <c r="BI218" s="2275"/>
      <c r="BJ218" s="2275"/>
      <c r="BK218" s="2275"/>
      <c r="BL218" s="2275"/>
      <c r="BM218" s="2275"/>
      <c r="BN218" s="2275"/>
      <c r="BO218" s="2275"/>
      <c r="BP218" s="2250"/>
      <c r="BQ218" s="2250"/>
      <c r="BR218" s="2250"/>
      <c r="BS218" s="2250"/>
      <c r="BT218" s="2275"/>
      <c r="BU218" s="2275"/>
      <c r="BV218" s="2275"/>
      <c r="BW218" s="2275"/>
      <c r="BX218" s="2275"/>
      <c r="BY218" s="2275"/>
      <c r="BZ218" s="2275"/>
      <c r="CA218" s="2275"/>
      <c r="CB218" s="2275"/>
      <c r="CC218" s="2275"/>
      <c r="CD218" s="2275"/>
      <c r="CE218" s="2275"/>
      <c r="CF218" s="2275"/>
      <c r="CG218" s="2275"/>
      <c r="CH218" s="2275"/>
      <c r="CI218" s="2275"/>
      <c r="CJ218" s="2275"/>
      <c r="CK218" s="2275"/>
      <c r="CL218" s="2275"/>
      <c r="CM218" s="2275"/>
      <c r="CN218" s="2275"/>
      <c r="CO218" s="2275"/>
      <c r="CP218" s="2275"/>
      <c r="CQ218" s="2275"/>
      <c r="CR218" s="2275"/>
      <c r="CS218" s="2275"/>
      <c r="CT218" s="2275"/>
      <c r="CU218" s="2275"/>
      <c r="CV218" s="2275"/>
      <c r="CW218" s="2275"/>
      <c r="CX218" s="2250"/>
      <c r="CY218" s="2250"/>
      <c r="CZ218" s="2250"/>
      <c r="DA218" s="2250"/>
      <c r="DB218" s="2250"/>
      <c r="DC218" s="2250"/>
      <c r="DD218" s="2250"/>
      <c r="DE218" s="2250"/>
      <c r="DF218" s="2250"/>
      <c r="DG218" s="2250"/>
      <c r="DH218" s="2250"/>
      <c r="DI218" s="2250"/>
      <c r="DJ218" s="2250"/>
      <c r="DK218" s="2250"/>
      <c r="DL218" s="2250"/>
      <c r="DM218" s="2250"/>
      <c r="DN218" s="2250"/>
      <c r="DO218" s="2250"/>
      <c r="DP218" s="2250"/>
      <c r="DQ218" s="2277"/>
      <c r="DR218" s="2277"/>
      <c r="DS218" s="277"/>
      <c r="DW218" s="2275"/>
      <c r="DX218" s="2275"/>
      <c r="DY218" s="2275"/>
      <c r="DZ218" s="2275"/>
      <c r="EA218" s="2275"/>
      <c r="EB218" s="2275"/>
      <c r="EC218" s="2275"/>
      <c r="ED218" s="2250"/>
      <c r="EE218" s="2250"/>
      <c r="EF218" s="2250"/>
      <c r="EG218" s="2250"/>
      <c r="EH218" s="2275"/>
      <c r="EI218" s="2275"/>
      <c r="EJ218" s="2275"/>
      <c r="EK218" s="2275"/>
      <c r="EL218" s="2275"/>
      <c r="EM218" s="2275"/>
      <c r="EN218" s="2275"/>
      <c r="EO218" s="2275"/>
      <c r="EP218" s="2275"/>
      <c r="EQ218" s="2275"/>
      <c r="ER218" s="2275"/>
      <c r="ES218" s="2275"/>
      <c r="ET218" s="2275"/>
      <c r="EU218" s="2275"/>
      <c r="EV218" s="2275"/>
      <c r="EW218" s="2275"/>
      <c r="EX218" s="2275"/>
      <c r="EY218" s="2275"/>
      <c r="EZ218" s="2275"/>
      <c r="FA218" s="2275"/>
      <c r="FB218" s="2275"/>
      <c r="FC218" s="2275"/>
      <c r="FD218" s="2275"/>
      <c r="FE218" s="2275"/>
      <c r="FF218" s="2275"/>
      <c r="FG218" s="2275"/>
      <c r="FH218" s="2275"/>
      <c r="FI218" s="2275"/>
      <c r="FJ218" s="2275"/>
      <c r="FK218" s="2275"/>
      <c r="FL218" s="2250"/>
      <c r="FM218" s="2250"/>
      <c r="FN218" s="2250"/>
      <c r="FO218" s="2250"/>
      <c r="FP218" s="2250"/>
      <c r="FQ218" s="2250"/>
      <c r="FR218" s="2250"/>
      <c r="FS218" s="2250"/>
      <c r="FT218" s="2250"/>
      <c r="FU218" s="2250"/>
      <c r="FV218" s="2250"/>
      <c r="FW218" s="2250"/>
      <c r="FX218" s="2250"/>
      <c r="FY218" s="2250"/>
      <c r="FZ218" s="2250"/>
      <c r="GA218" s="2250"/>
      <c r="GB218" s="2276"/>
      <c r="GC218" s="2276"/>
      <c r="GD218" s="2250"/>
      <c r="GE218" s="2275"/>
      <c r="GF218" s="2275"/>
      <c r="GG218" s="2275"/>
      <c r="GH218" s="2275"/>
      <c r="GI218" s="2275"/>
      <c r="GJ218" s="2275"/>
      <c r="GK218" s="2275"/>
      <c r="GL218" s="2250"/>
      <c r="GM218" s="2250"/>
      <c r="GN218" s="2250"/>
      <c r="GO218" s="2250"/>
      <c r="GP218" s="2275"/>
      <c r="GQ218" s="2275"/>
      <c r="GR218" s="2275"/>
      <c r="GS218" s="2275"/>
      <c r="GT218" s="2275"/>
      <c r="GU218" s="2275"/>
      <c r="GV218" s="2275"/>
      <c r="GW218" s="2275"/>
      <c r="GX218" s="2275"/>
      <c r="GY218" s="2275"/>
      <c r="GZ218" s="2275"/>
      <c r="HA218" s="2275"/>
      <c r="HB218" s="2275"/>
      <c r="HC218" s="2275"/>
      <c r="HD218" s="2275"/>
      <c r="HE218" s="2275"/>
      <c r="HF218" s="2275"/>
      <c r="HG218" s="2275"/>
      <c r="HH218" s="2275"/>
      <c r="HI218" s="2275"/>
      <c r="HJ218" s="2275"/>
      <c r="HK218" s="2275"/>
      <c r="HL218" s="2275"/>
      <c r="HM218" s="2275"/>
      <c r="HN218" s="2275"/>
      <c r="HO218" s="2275"/>
      <c r="HP218" s="2275"/>
      <c r="HQ218" s="2275"/>
      <c r="HR218" s="2275"/>
      <c r="HS218" s="2275"/>
      <c r="HT218" s="2250"/>
      <c r="HU218" s="2250"/>
      <c r="HV218" s="2250"/>
      <c r="HW218" s="2250"/>
      <c r="HX218" s="2250"/>
      <c r="HY218" s="2250"/>
      <c r="HZ218" s="2250"/>
      <c r="IA218" s="2250"/>
      <c r="IB218" s="2250"/>
      <c r="IC218" s="2250"/>
      <c r="ID218" s="2250"/>
      <c r="IE218" s="2250"/>
      <c r="IF218" s="2250"/>
      <c r="IG218" s="2250"/>
      <c r="IH218" s="2250"/>
      <c r="II218" s="2250"/>
      <c r="IJ218" s="2250"/>
      <c r="IK218" s="2250"/>
      <c r="IL218" s="2250"/>
      <c r="IN218" s="277"/>
      <c r="IO218" s="277"/>
    </row>
    <row r="219" spans="1:249" ht="21.95" customHeight="1">
      <c r="A219" s="2275"/>
      <c r="B219" s="2275"/>
      <c r="C219" s="2275"/>
      <c r="D219" s="2275"/>
      <c r="E219" s="2275"/>
      <c r="F219" s="2275"/>
      <c r="G219" s="2275"/>
      <c r="H219" s="2250"/>
      <c r="I219" s="2250"/>
      <c r="J219" s="2250"/>
      <c r="K219" s="2250"/>
      <c r="L219" s="2275"/>
      <c r="M219" s="2275"/>
      <c r="N219" s="2275"/>
      <c r="O219" s="2275"/>
      <c r="P219" s="2275"/>
      <c r="Q219" s="2275"/>
      <c r="R219" s="2275"/>
      <c r="S219" s="2275"/>
      <c r="T219" s="2275"/>
      <c r="U219" s="2275"/>
      <c r="V219" s="2275"/>
      <c r="W219" s="2275"/>
      <c r="X219" s="2275"/>
      <c r="Y219" s="2275"/>
      <c r="Z219" s="2275"/>
      <c r="AA219" s="2275"/>
      <c r="AB219" s="2275"/>
      <c r="AC219" s="2275"/>
      <c r="AD219" s="2275"/>
      <c r="AE219" s="2275"/>
      <c r="AF219" s="2275"/>
      <c r="AG219" s="2275"/>
      <c r="AH219" s="2275"/>
      <c r="AI219" s="2275"/>
      <c r="AJ219" s="2275"/>
      <c r="AK219" s="2275"/>
      <c r="AL219" s="2275"/>
      <c r="AM219" s="2275"/>
      <c r="AN219" s="2275"/>
      <c r="AO219" s="2275"/>
      <c r="AP219" s="2250"/>
      <c r="AQ219" s="2250"/>
      <c r="AR219" s="2250"/>
      <c r="AS219" s="2250"/>
      <c r="AT219" s="2250"/>
      <c r="AU219" s="2250"/>
      <c r="AV219" s="2250"/>
      <c r="AW219" s="2250"/>
      <c r="AX219" s="2250"/>
      <c r="AY219" s="2250"/>
      <c r="AZ219" s="2250"/>
      <c r="BA219" s="2250"/>
      <c r="BB219" s="2250"/>
      <c r="BC219" s="2250"/>
      <c r="BD219" s="2250"/>
      <c r="BE219" s="2250"/>
      <c r="BF219" s="2276"/>
      <c r="BG219" s="2276"/>
      <c r="BH219" s="2250"/>
      <c r="BI219" s="2275"/>
      <c r="BJ219" s="2275"/>
      <c r="BK219" s="2275"/>
      <c r="BL219" s="2275"/>
      <c r="BM219" s="2275"/>
      <c r="BN219" s="2275"/>
      <c r="BO219" s="2275"/>
      <c r="BP219" s="2250"/>
      <c r="BQ219" s="2250"/>
      <c r="BR219" s="2250"/>
      <c r="BS219" s="2250"/>
      <c r="BT219" s="2275"/>
      <c r="BU219" s="2275"/>
      <c r="BV219" s="2275"/>
      <c r="BW219" s="2275"/>
      <c r="BX219" s="2275"/>
      <c r="BY219" s="2275"/>
      <c r="BZ219" s="2275"/>
      <c r="CA219" s="2275"/>
      <c r="CB219" s="2275"/>
      <c r="CC219" s="2275"/>
      <c r="CD219" s="2275"/>
      <c r="CE219" s="2275"/>
      <c r="CF219" s="2275"/>
      <c r="CG219" s="2275"/>
      <c r="CH219" s="2275"/>
      <c r="CI219" s="2275"/>
      <c r="CJ219" s="2275"/>
      <c r="CK219" s="2275"/>
      <c r="CL219" s="2275"/>
      <c r="CM219" s="2275"/>
      <c r="CN219" s="2275"/>
      <c r="CO219" s="2275"/>
      <c r="CP219" s="2275"/>
      <c r="CQ219" s="2275"/>
      <c r="CR219" s="2275"/>
      <c r="CS219" s="2275"/>
      <c r="CT219" s="2275"/>
      <c r="CU219" s="2275"/>
      <c r="CV219" s="2275"/>
      <c r="CW219" s="2275"/>
      <c r="CX219" s="2250"/>
      <c r="CY219" s="2250"/>
      <c r="CZ219" s="2250"/>
      <c r="DA219" s="2250"/>
      <c r="DB219" s="2250"/>
      <c r="DC219" s="2250"/>
      <c r="DD219" s="2250"/>
      <c r="DE219" s="2250"/>
      <c r="DF219" s="2250"/>
      <c r="DG219" s="2250"/>
      <c r="DH219" s="2250"/>
      <c r="DI219" s="2250"/>
      <c r="DJ219" s="2250"/>
      <c r="DK219" s="2250"/>
      <c r="DL219" s="2250"/>
      <c r="DM219" s="2250"/>
      <c r="DN219" s="2250"/>
      <c r="DO219" s="2250"/>
      <c r="DP219" s="2250"/>
      <c r="DQ219" s="2277"/>
      <c r="DR219" s="2277"/>
      <c r="DS219" s="277"/>
      <c r="DW219" s="2275"/>
      <c r="DX219" s="2275"/>
      <c r="DY219" s="2275"/>
      <c r="DZ219" s="2275"/>
      <c r="EA219" s="2275"/>
      <c r="EB219" s="2275"/>
      <c r="EC219" s="2275"/>
      <c r="ED219" s="2250"/>
      <c r="EE219" s="2250"/>
      <c r="EF219" s="2250"/>
      <c r="EG219" s="2250"/>
      <c r="EH219" s="2275"/>
      <c r="EI219" s="2275"/>
      <c r="EJ219" s="2275"/>
      <c r="EK219" s="2275"/>
      <c r="EL219" s="2275"/>
      <c r="EM219" s="2275"/>
      <c r="EN219" s="2275"/>
      <c r="EO219" s="2275"/>
      <c r="EP219" s="2275"/>
      <c r="EQ219" s="2275"/>
      <c r="ER219" s="2275"/>
      <c r="ES219" s="2275"/>
      <c r="ET219" s="2275"/>
      <c r="EU219" s="2275"/>
      <c r="EV219" s="2275"/>
      <c r="EW219" s="2275"/>
      <c r="EX219" s="2275"/>
      <c r="EY219" s="2275"/>
      <c r="EZ219" s="2275"/>
      <c r="FA219" s="2275"/>
      <c r="FB219" s="2275"/>
      <c r="FC219" s="2275"/>
      <c r="FD219" s="2275"/>
      <c r="FE219" s="2275"/>
      <c r="FF219" s="2275"/>
      <c r="FG219" s="2275"/>
      <c r="FH219" s="2275"/>
      <c r="FI219" s="2275"/>
      <c r="FJ219" s="2275"/>
      <c r="FK219" s="2275"/>
      <c r="FL219" s="2250"/>
      <c r="FM219" s="2250"/>
      <c r="FN219" s="2250"/>
      <c r="FO219" s="2250"/>
      <c r="FP219" s="2250"/>
      <c r="FQ219" s="2250"/>
      <c r="FR219" s="2250"/>
      <c r="FS219" s="2250"/>
      <c r="FT219" s="2250"/>
      <c r="FU219" s="2250"/>
      <c r="FV219" s="2250"/>
      <c r="FW219" s="2250"/>
      <c r="FX219" s="2250"/>
      <c r="FY219" s="2250"/>
      <c r="FZ219" s="2250"/>
      <c r="GA219" s="2250"/>
      <c r="GB219" s="2276"/>
      <c r="GC219" s="2276"/>
      <c r="GD219" s="2250"/>
      <c r="GE219" s="2275"/>
      <c r="GF219" s="2275"/>
      <c r="GG219" s="2275"/>
      <c r="GH219" s="2275"/>
      <c r="GI219" s="2275"/>
      <c r="GJ219" s="2275"/>
      <c r="GK219" s="2275"/>
      <c r="GL219" s="2250"/>
      <c r="GM219" s="2250"/>
      <c r="GN219" s="2250"/>
      <c r="GO219" s="2250"/>
      <c r="GP219" s="2275"/>
      <c r="GQ219" s="2275"/>
      <c r="GR219" s="2275"/>
      <c r="GS219" s="2275"/>
      <c r="GT219" s="2275"/>
      <c r="GU219" s="2275"/>
      <c r="GV219" s="2275"/>
      <c r="GW219" s="2275"/>
      <c r="GX219" s="2275"/>
      <c r="GY219" s="2275"/>
      <c r="GZ219" s="2275"/>
      <c r="HA219" s="2275"/>
      <c r="HB219" s="2275"/>
      <c r="HC219" s="2275"/>
      <c r="HD219" s="2275"/>
      <c r="HE219" s="2275"/>
      <c r="HF219" s="2275"/>
      <c r="HG219" s="2275"/>
      <c r="HH219" s="2275"/>
      <c r="HI219" s="2275"/>
      <c r="HJ219" s="2275"/>
      <c r="HK219" s="2275"/>
      <c r="HL219" s="2275"/>
      <c r="HM219" s="2275"/>
      <c r="HN219" s="2275"/>
      <c r="HO219" s="2275"/>
      <c r="HP219" s="2275"/>
      <c r="HQ219" s="2275"/>
      <c r="HR219" s="2275"/>
      <c r="HS219" s="2275"/>
      <c r="HT219" s="2250"/>
      <c r="HU219" s="2250"/>
      <c r="HV219" s="2250"/>
      <c r="HW219" s="2250"/>
      <c r="HX219" s="2250"/>
      <c r="HY219" s="2250"/>
      <c r="HZ219" s="2250"/>
      <c r="IA219" s="2250"/>
      <c r="IB219" s="2250"/>
      <c r="IC219" s="2250"/>
      <c r="ID219" s="2250"/>
      <c r="IE219" s="2250"/>
      <c r="IF219" s="2250"/>
      <c r="IG219" s="2250"/>
      <c r="IH219" s="2250"/>
      <c r="II219" s="2250"/>
      <c r="IJ219" s="2250"/>
      <c r="IK219" s="2250"/>
      <c r="IL219" s="2250"/>
      <c r="IN219" s="277"/>
      <c r="IO219" s="277"/>
    </row>
    <row r="220" spans="1:249" ht="21.95" customHeight="1">
      <c r="A220" s="2275"/>
      <c r="B220" s="2275"/>
      <c r="C220" s="2275"/>
      <c r="D220" s="2275"/>
      <c r="E220" s="2275"/>
      <c r="F220" s="2275"/>
      <c r="G220" s="2275"/>
      <c r="H220" s="2250"/>
      <c r="I220" s="2250"/>
      <c r="J220" s="2250"/>
      <c r="K220" s="2250"/>
      <c r="L220" s="2275"/>
      <c r="M220" s="2275"/>
      <c r="N220" s="2275"/>
      <c r="O220" s="2275"/>
      <c r="P220" s="2275"/>
      <c r="Q220" s="2275"/>
      <c r="R220" s="2275"/>
      <c r="S220" s="2275"/>
      <c r="T220" s="2275"/>
      <c r="U220" s="2275"/>
      <c r="V220" s="2275"/>
      <c r="W220" s="2275"/>
      <c r="X220" s="2275"/>
      <c r="Y220" s="2275"/>
      <c r="Z220" s="2275"/>
      <c r="AA220" s="2275"/>
      <c r="AB220" s="2275"/>
      <c r="AC220" s="2275"/>
      <c r="AD220" s="2275"/>
      <c r="AE220" s="2275"/>
      <c r="AF220" s="2275"/>
      <c r="AG220" s="2275"/>
      <c r="AH220" s="2275"/>
      <c r="AI220" s="2275"/>
      <c r="AJ220" s="2275"/>
      <c r="AK220" s="2275"/>
      <c r="AL220" s="2275"/>
      <c r="AM220" s="2275"/>
      <c r="AN220" s="2275"/>
      <c r="AO220" s="2275"/>
      <c r="AP220" s="2250"/>
      <c r="AQ220" s="2250"/>
      <c r="AR220" s="2250"/>
      <c r="AS220" s="2250"/>
      <c r="AT220" s="2250"/>
      <c r="AU220" s="2250"/>
      <c r="AV220" s="2250"/>
      <c r="AW220" s="2250"/>
      <c r="AX220" s="2250"/>
      <c r="AY220" s="2250"/>
      <c r="AZ220" s="2250"/>
      <c r="BA220" s="2250"/>
      <c r="BB220" s="2250"/>
      <c r="BC220" s="2250"/>
      <c r="BD220" s="2250"/>
      <c r="BE220" s="2250"/>
      <c r="BF220" s="2276"/>
      <c r="BG220" s="2276"/>
      <c r="BH220" s="2250"/>
      <c r="BI220" s="2275"/>
      <c r="BJ220" s="2275"/>
      <c r="BK220" s="2275"/>
      <c r="BL220" s="2275"/>
      <c r="BM220" s="2275"/>
      <c r="BN220" s="2275"/>
      <c r="BO220" s="2275"/>
      <c r="BP220" s="2250"/>
      <c r="BQ220" s="2250"/>
      <c r="BR220" s="2250"/>
      <c r="BS220" s="2250"/>
      <c r="BT220" s="2275"/>
      <c r="BU220" s="2275"/>
      <c r="BV220" s="2275"/>
      <c r="BW220" s="2275"/>
      <c r="BX220" s="2275"/>
      <c r="BY220" s="2275"/>
      <c r="BZ220" s="2275"/>
      <c r="CA220" s="2275"/>
      <c r="CB220" s="2275"/>
      <c r="CC220" s="2275"/>
      <c r="CD220" s="2275"/>
      <c r="CE220" s="2275"/>
      <c r="CF220" s="2275"/>
      <c r="CG220" s="2275"/>
      <c r="CH220" s="2275"/>
      <c r="CI220" s="2275"/>
      <c r="CJ220" s="2275"/>
      <c r="CK220" s="2275"/>
      <c r="CL220" s="2275"/>
      <c r="CM220" s="2275"/>
      <c r="CN220" s="2275"/>
      <c r="CO220" s="2275"/>
      <c r="CP220" s="2275"/>
      <c r="CQ220" s="2275"/>
      <c r="CR220" s="2275"/>
      <c r="CS220" s="2275"/>
      <c r="CT220" s="2275"/>
      <c r="CU220" s="2275"/>
      <c r="CV220" s="2275"/>
      <c r="CW220" s="2275"/>
      <c r="CX220" s="2250"/>
      <c r="CY220" s="2250"/>
      <c r="CZ220" s="2250"/>
      <c r="DA220" s="2250"/>
      <c r="DB220" s="2250"/>
      <c r="DC220" s="2250"/>
      <c r="DD220" s="2250"/>
      <c r="DE220" s="2250"/>
      <c r="DF220" s="2250"/>
      <c r="DG220" s="2250"/>
      <c r="DH220" s="2250"/>
      <c r="DI220" s="2250"/>
      <c r="DJ220" s="2250"/>
      <c r="DK220" s="2250"/>
      <c r="DL220" s="2250"/>
      <c r="DM220" s="2250"/>
      <c r="DN220" s="2250"/>
      <c r="DO220" s="2250"/>
      <c r="DP220" s="2250"/>
      <c r="DQ220" s="2277"/>
      <c r="DR220" s="2277"/>
      <c r="DS220" s="277"/>
      <c r="DW220" s="2275"/>
      <c r="DX220" s="2275"/>
      <c r="DY220" s="2275"/>
      <c r="DZ220" s="2275"/>
      <c r="EA220" s="2275"/>
      <c r="EB220" s="2275"/>
      <c r="EC220" s="2275"/>
      <c r="ED220" s="2250"/>
      <c r="EE220" s="2250"/>
      <c r="EF220" s="2250"/>
      <c r="EG220" s="2250"/>
      <c r="EH220" s="2275"/>
      <c r="EI220" s="2275"/>
      <c r="EJ220" s="2275"/>
      <c r="EK220" s="2275"/>
      <c r="EL220" s="2275"/>
      <c r="EM220" s="2275"/>
      <c r="EN220" s="2275"/>
      <c r="EO220" s="2275"/>
      <c r="EP220" s="2275"/>
      <c r="EQ220" s="2275"/>
      <c r="ER220" s="2275"/>
      <c r="ES220" s="2275"/>
      <c r="ET220" s="2275"/>
      <c r="EU220" s="2275"/>
      <c r="EV220" s="2275"/>
      <c r="EW220" s="2275"/>
      <c r="EX220" s="2275"/>
      <c r="EY220" s="2275"/>
      <c r="EZ220" s="2275"/>
      <c r="FA220" s="2275"/>
      <c r="FB220" s="2275"/>
      <c r="FC220" s="2275"/>
      <c r="FD220" s="2275"/>
      <c r="FE220" s="2275"/>
      <c r="FF220" s="2275"/>
      <c r="FG220" s="2275"/>
      <c r="FH220" s="2275"/>
      <c r="FI220" s="2275"/>
      <c r="FJ220" s="2275"/>
      <c r="FK220" s="2275"/>
      <c r="FL220" s="2250"/>
      <c r="FM220" s="2250"/>
      <c r="FN220" s="2250"/>
      <c r="FO220" s="2250"/>
      <c r="FP220" s="2250"/>
      <c r="FQ220" s="2250"/>
      <c r="FR220" s="2250"/>
      <c r="FS220" s="2250"/>
      <c r="FT220" s="2250"/>
      <c r="FU220" s="2250"/>
      <c r="FV220" s="2250"/>
      <c r="FW220" s="2250"/>
      <c r="FX220" s="2250"/>
      <c r="FY220" s="2250"/>
      <c r="FZ220" s="2250"/>
      <c r="GA220" s="2250"/>
      <c r="GB220" s="2276"/>
      <c r="GC220" s="2276"/>
      <c r="GD220" s="2250"/>
      <c r="GE220" s="2275"/>
      <c r="GF220" s="2275"/>
      <c r="GG220" s="2275"/>
      <c r="GH220" s="2275"/>
      <c r="GI220" s="2275"/>
      <c r="GJ220" s="2275"/>
      <c r="GK220" s="2275"/>
      <c r="GL220" s="2250"/>
      <c r="GM220" s="2250"/>
      <c r="GN220" s="2250"/>
      <c r="GO220" s="2250"/>
      <c r="GP220" s="2275"/>
      <c r="GQ220" s="2275"/>
      <c r="GR220" s="2275"/>
      <c r="GS220" s="2275"/>
      <c r="GT220" s="2275"/>
      <c r="GU220" s="2275"/>
      <c r="GV220" s="2275"/>
      <c r="GW220" s="2275"/>
      <c r="GX220" s="2275"/>
      <c r="GY220" s="2275"/>
      <c r="GZ220" s="2275"/>
      <c r="HA220" s="2275"/>
      <c r="HB220" s="2275"/>
      <c r="HC220" s="2275"/>
      <c r="HD220" s="2275"/>
      <c r="HE220" s="2275"/>
      <c r="HF220" s="2275"/>
      <c r="HG220" s="2275"/>
      <c r="HH220" s="2275"/>
      <c r="HI220" s="2275"/>
      <c r="HJ220" s="2275"/>
      <c r="HK220" s="2275"/>
      <c r="HL220" s="2275"/>
      <c r="HM220" s="2275"/>
      <c r="HN220" s="2275"/>
      <c r="HO220" s="2275"/>
      <c r="HP220" s="2275"/>
      <c r="HQ220" s="2275"/>
      <c r="HR220" s="2275"/>
      <c r="HS220" s="2275"/>
      <c r="HT220" s="2250"/>
      <c r="HU220" s="2250"/>
      <c r="HV220" s="2250"/>
      <c r="HW220" s="2250"/>
      <c r="HX220" s="2250"/>
      <c r="HY220" s="2250"/>
      <c r="HZ220" s="2250"/>
      <c r="IA220" s="2250"/>
      <c r="IB220" s="2250"/>
      <c r="IC220" s="2250"/>
      <c r="ID220" s="2250"/>
      <c r="IE220" s="2250"/>
      <c r="IF220" s="2250"/>
      <c r="IG220" s="2250"/>
      <c r="IH220" s="2250"/>
      <c r="II220" s="2250"/>
      <c r="IJ220" s="2250"/>
      <c r="IK220" s="2250"/>
      <c r="IL220" s="2250"/>
      <c r="IN220" s="277"/>
      <c r="IO220" s="277"/>
    </row>
    <row r="221" spans="1:249" ht="21.95" customHeight="1">
      <c r="A221" s="2275"/>
      <c r="B221" s="2275"/>
      <c r="C221" s="2275"/>
      <c r="D221" s="2275"/>
      <c r="E221" s="2275"/>
      <c r="F221" s="2275"/>
      <c r="G221" s="2275"/>
      <c r="H221" s="2275"/>
      <c r="I221" s="2275"/>
      <c r="J221" s="2275"/>
      <c r="K221" s="2275"/>
      <c r="L221" s="2275"/>
      <c r="M221" s="2275"/>
      <c r="N221" s="2275"/>
      <c r="O221" s="2275"/>
      <c r="P221" s="2275"/>
      <c r="Q221" s="2275"/>
      <c r="R221" s="2275"/>
      <c r="S221" s="2275"/>
      <c r="T221" s="2275"/>
      <c r="U221" s="2275"/>
      <c r="V221" s="2275"/>
      <c r="W221" s="2275"/>
      <c r="X221" s="2275"/>
      <c r="Y221" s="2275"/>
      <c r="Z221" s="2275"/>
      <c r="AA221" s="2275"/>
      <c r="AB221" s="2275"/>
      <c r="AC221" s="2275"/>
      <c r="AD221" s="2275"/>
      <c r="AE221" s="2275"/>
      <c r="AF221" s="2275"/>
      <c r="AG221" s="2275"/>
      <c r="AH221" s="2275"/>
      <c r="AI221" s="2275"/>
      <c r="AJ221" s="2275"/>
      <c r="AK221" s="2275"/>
      <c r="AL221" s="2275"/>
      <c r="AM221" s="2275"/>
      <c r="AN221" s="2275"/>
      <c r="AO221" s="2275"/>
      <c r="AP221" s="2250"/>
      <c r="AQ221" s="2250"/>
      <c r="AR221" s="2250"/>
      <c r="AS221" s="2250"/>
      <c r="AT221" s="2250"/>
      <c r="AU221" s="2250"/>
      <c r="AV221" s="2250"/>
      <c r="AW221" s="2250"/>
      <c r="AX221" s="2250"/>
      <c r="AY221" s="2250"/>
      <c r="AZ221" s="2250"/>
      <c r="BA221" s="2250"/>
      <c r="BB221" s="2250"/>
      <c r="BC221" s="2250"/>
      <c r="BD221" s="2250"/>
      <c r="BE221" s="2250"/>
      <c r="BF221" s="2276"/>
      <c r="BG221" s="2276"/>
      <c r="BH221" s="2250"/>
      <c r="BI221" s="2275"/>
      <c r="BJ221" s="2275"/>
      <c r="BK221" s="2275"/>
      <c r="BL221" s="2275"/>
      <c r="BM221" s="2275"/>
      <c r="BN221" s="2275"/>
      <c r="BO221" s="2275"/>
      <c r="BP221" s="2275"/>
      <c r="BQ221" s="2275"/>
      <c r="BR221" s="2275"/>
      <c r="BS221" s="2275"/>
      <c r="BT221" s="2275"/>
      <c r="BU221" s="2275"/>
      <c r="BV221" s="2275"/>
      <c r="BW221" s="2275"/>
      <c r="BX221" s="2275"/>
      <c r="BY221" s="2275"/>
      <c r="BZ221" s="2275"/>
      <c r="CA221" s="2275"/>
      <c r="CB221" s="2275"/>
      <c r="CC221" s="2275"/>
      <c r="CD221" s="2275"/>
      <c r="CE221" s="2275"/>
      <c r="CF221" s="2275"/>
      <c r="CG221" s="2275"/>
      <c r="CH221" s="2275"/>
      <c r="CI221" s="2275"/>
      <c r="CJ221" s="2275"/>
      <c r="CK221" s="2275"/>
      <c r="CL221" s="2275"/>
      <c r="CM221" s="2275"/>
      <c r="CN221" s="2275"/>
      <c r="CO221" s="2275"/>
      <c r="CP221" s="2275"/>
      <c r="CQ221" s="2275"/>
      <c r="CR221" s="2275"/>
      <c r="CS221" s="2275"/>
      <c r="CT221" s="2275"/>
      <c r="CU221" s="2275"/>
      <c r="CV221" s="2275"/>
      <c r="CW221" s="2275"/>
      <c r="CX221" s="2250"/>
      <c r="CY221" s="2250"/>
      <c r="CZ221" s="2250"/>
      <c r="DA221" s="2250"/>
      <c r="DB221" s="2250"/>
      <c r="DC221" s="2250"/>
      <c r="DD221" s="2250"/>
      <c r="DE221" s="2250"/>
      <c r="DF221" s="2250"/>
      <c r="DG221" s="2250"/>
      <c r="DH221" s="2250"/>
      <c r="DI221" s="2250"/>
      <c r="DJ221" s="2250"/>
      <c r="DK221" s="2250"/>
      <c r="DL221" s="2250"/>
      <c r="DM221" s="2250"/>
      <c r="DN221" s="2250"/>
      <c r="DO221" s="2250"/>
      <c r="DP221" s="2250"/>
      <c r="DQ221" s="2277"/>
      <c r="DR221" s="2277"/>
      <c r="DS221" s="277"/>
      <c r="DW221" s="2275"/>
      <c r="DX221" s="2275"/>
      <c r="DY221" s="2275"/>
      <c r="DZ221" s="2275"/>
      <c r="EA221" s="2275"/>
      <c r="EB221" s="2275"/>
      <c r="EC221" s="2275"/>
      <c r="ED221" s="2275"/>
      <c r="EE221" s="2275"/>
      <c r="EF221" s="2275"/>
      <c r="EG221" s="2275"/>
      <c r="EH221" s="2275"/>
      <c r="EI221" s="2275"/>
      <c r="EJ221" s="2275"/>
      <c r="EK221" s="2275"/>
      <c r="EL221" s="2275"/>
      <c r="EM221" s="2275"/>
      <c r="EN221" s="2275"/>
      <c r="EO221" s="2275"/>
      <c r="EP221" s="2275"/>
      <c r="EQ221" s="2275"/>
      <c r="ER221" s="2275"/>
      <c r="ES221" s="2275"/>
      <c r="ET221" s="2275"/>
      <c r="EU221" s="2275"/>
      <c r="EV221" s="2275"/>
      <c r="EW221" s="2275"/>
      <c r="EX221" s="2275"/>
      <c r="EY221" s="2275"/>
      <c r="EZ221" s="2275"/>
      <c r="FA221" s="2275"/>
      <c r="FB221" s="2275"/>
      <c r="FC221" s="2275"/>
      <c r="FD221" s="2275"/>
      <c r="FE221" s="2275"/>
      <c r="FF221" s="2275"/>
      <c r="FG221" s="2275"/>
      <c r="FH221" s="2275"/>
      <c r="FI221" s="2275"/>
      <c r="FJ221" s="2275"/>
      <c r="FK221" s="2275"/>
      <c r="FL221" s="2250"/>
      <c r="FM221" s="2250"/>
      <c r="FN221" s="2250"/>
      <c r="FO221" s="2250"/>
      <c r="FP221" s="2250"/>
      <c r="FQ221" s="2250"/>
      <c r="FR221" s="2250"/>
      <c r="FS221" s="2250"/>
      <c r="FT221" s="2250"/>
      <c r="FU221" s="2250"/>
      <c r="FV221" s="2250"/>
      <c r="FW221" s="2250"/>
      <c r="FX221" s="2250"/>
      <c r="FY221" s="2250"/>
      <c r="FZ221" s="2250"/>
      <c r="GA221" s="2250"/>
      <c r="GB221" s="2276"/>
      <c r="GC221" s="2276"/>
      <c r="GD221" s="2250"/>
      <c r="GE221" s="2275"/>
      <c r="GF221" s="2275"/>
      <c r="GG221" s="2275"/>
      <c r="GH221" s="2275"/>
      <c r="GI221" s="2275"/>
      <c r="GJ221" s="2275"/>
      <c r="GK221" s="2275"/>
      <c r="GL221" s="2275"/>
      <c r="GM221" s="2275"/>
      <c r="GN221" s="2275"/>
      <c r="GO221" s="2275"/>
      <c r="GP221" s="2275"/>
      <c r="GQ221" s="2275"/>
      <c r="GR221" s="2275"/>
      <c r="GS221" s="2275"/>
      <c r="GT221" s="2275"/>
      <c r="GU221" s="2275"/>
      <c r="GV221" s="2275"/>
      <c r="GW221" s="2275"/>
      <c r="GX221" s="2275"/>
      <c r="GY221" s="2275"/>
      <c r="GZ221" s="2275"/>
      <c r="HA221" s="2275"/>
      <c r="HB221" s="2275"/>
      <c r="HC221" s="2275"/>
      <c r="HD221" s="2275"/>
      <c r="HE221" s="2275"/>
      <c r="HF221" s="2275"/>
      <c r="HG221" s="2275"/>
      <c r="HH221" s="2275"/>
      <c r="HI221" s="2275"/>
      <c r="HJ221" s="2275"/>
      <c r="HK221" s="2275"/>
      <c r="HL221" s="2275"/>
      <c r="HM221" s="2275"/>
      <c r="HN221" s="2275"/>
      <c r="HO221" s="2275"/>
      <c r="HP221" s="2275"/>
      <c r="HQ221" s="2275"/>
      <c r="HR221" s="2275"/>
      <c r="HS221" s="2275"/>
      <c r="HT221" s="2250"/>
      <c r="HU221" s="2250"/>
      <c r="HV221" s="2250"/>
      <c r="HW221" s="2250"/>
      <c r="HX221" s="2250"/>
      <c r="HY221" s="2250"/>
      <c r="HZ221" s="2250"/>
      <c r="IA221" s="2250"/>
      <c r="IB221" s="2250"/>
      <c r="IC221" s="2250"/>
      <c r="ID221" s="2250"/>
      <c r="IE221" s="2250"/>
      <c r="IF221" s="2250"/>
      <c r="IG221" s="2250"/>
      <c r="IH221" s="2250"/>
      <c r="II221" s="2250"/>
      <c r="IJ221" s="2250"/>
      <c r="IK221" s="2250"/>
      <c r="IL221" s="2250"/>
      <c r="IN221" s="277"/>
      <c r="IO221" s="277"/>
    </row>
    <row r="222" spans="1:249" ht="21.95" customHeight="1">
      <c r="A222" s="2275"/>
      <c r="B222" s="2275"/>
      <c r="C222" s="2275"/>
      <c r="D222" s="2275"/>
      <c r="E222" s="2275"/>
      <c r="F222" s="2275"/>
      <c r="G222" s="2275"/>
      <c r="H222" s="2275"/>
      <c r="I222" s="2275"/>
      <c r="J222" s="2275"/>
      <c r="K222" s="2275"/>
      <c r="L222" s="2275"/>
      <c r="M222" s="2275"/>
      <c r="N222" s="2275"/>
      <c r="O222" s="2275"/>
      <c r="P222" s="2275"/>
      <c r="Q222" s="2275"/>
      <c r="R222" s="2275"/>
      <c r="S222" s="2275"/>
      <c r="T222" s="2275"/>
      <c r="U222" s="2275"/>
      <c r="V222" s="2275"/>
      <c r="W222" s="2275"/>
      <c r="X222" s="2275"/>
      <c r="Y222" s="2275"/>
      <c r="Z222" s="2275"/>
      <c r="AA222" s="2275"/>
      <c r="AB222" s="2275"/>
      <c r="AC222" s="2275"/>
      <c r="AD222" s="2275" t="s">
        <v>2236</v>
      </c>
      <c r="AE222" s="2275"/>
      <c r="AF222" s="2275" t="s">
        <v>655</v>
      </c>
      <c r="AG222" s="2275">
        <f>X141</f>
        <v>68.3</v>
      </c>
      <c r="AH222" s="2275"/>
      <c r="AI222" s="2275"/>
      <c r="AJ222" s="2275"/>
      <c r="AK222" s="2275"/>
      <c r="AL222" s="2275"/>
      <c r="AM222" s="2275"/>
      <c r="AN222" s="2275"/>
      <c r="AO222" s="2275"/>
      <c r="AP222" s="2250"/>
      <c r="AQ222" s="2250"/>
      <c r="AR222" s="2250"/>
      <c r="AS222" s="2250"/>
      <c r="AT222" s="2250"/>
      <c r="AU222" s="2250"/>
      <c r="AV222" s="2250"/>
      <c r="AW222" s="2250"/>
      <c r="AX222" s="2250"/>
      <c r="AY222" s="2250"/>
      <c r="AZ222" s="2250"/>
      <c r="BA222" s="2250"/>
      <c r="BB222" s="2250"/>
      <c r="BC222" s="2250"/>
      <c r="BD222" s="2250"/>
      <c r="BE222" s="2250"/>
      <c r="BF222" s="2276"/>
      <c r="BG222" s="2276"/>
      <c r="BH222" s="2250"/>
      <c r="BI222" s="2275"/>
      <c r="BJ222" s="2275"/>
      <c r="BK222" s="2275"/>
      <c r="BL222" s="2275"/>
      <c r="BM222" s="2275"/>
      <c r="BN222" s="2275"/>
      <c r="BO222" s="2275"/>
      <c r="BP222" s="2275"/>
      <c r="BQ222" s="2275"/>
      <c r="BR222" s="2275"/>
      <c r="BS222" s="2275"/>
      <c r="BT222" s="2275"/>
      <c r="BU222" s="2275"/>
      <c r="BV222" s="2275"/>
      <c r="BW222" s="2275"/>
      <c r="BX222" s="2275"/>
      <c r="BY222" s="2275"/>
      <c r="BZ222" s="2275"/>
      <c r="CA222" s="2275"/>
      <c r="CB222" s="2275"/>
      <c r="CC222" s="2275"/>
      <c r="CD222" s="2275"/>
      <c r="CE222" s="2275"/>
      <c r="CF222" s="2275"/>
      <c r="CG222" s="2275"/>
      <c r="CH222" s="2275"/>
      <c r="CI222" s="2275"/>
      <c r="CJ222" s="2275"/>
      <c r="CK222" s="2275"/>
      <c r="CL222" s="2275" t="s">
        <v>2236</v>
      </c>
      <c r="CM222" s="2275"/>
      <c r="CN222" s="2275" t="s">
        <v>655</v>
      </c>
      <c r="CO222" s="2275">
        <f>CD141</f>
        <v>73.7</v>
      </c>
      <c r="CP222" s="2275"/>
      <c r="CQ222" s="2275"/>
      <c r="CR222" s="2275"/>
      <c r="CS222" s="2275"/>
      <c r="CT222" s="2275"/>
      <c r="CU222" s="2275"/>
      <c r="CV222" s="2275"/>
      <c r="CW222" s="2275"/>
      <c r="CX222" s="2250"/>
      <c r="CY222" s="2250"/>
      <c r="CZ222" s="2250"/>
      <c r="DA222" s="2250"/>
      <c r="DB222" s="2250"/>
      <c r="DC222" s="2250"/>
      <c r="DD222" s="2250"/>
      <c r="DE222" s="2250"/>
      <c r="DF222" s="2250"/>
      <c r="DG222" s="2250"/>
      <c r="DH222" s="2250"/>
      <c r="DI222" s="2250"/>
      <c r="DJ222" s="2250"/>
      <c r="DK222" s="2250"/>
      <c r="DL222" s="2250"/>
      <c r="DM222" s="2250"/>
      <c r="DN222" s="2250"/>
      <c r="DO222" s="2250"/>
      <c r="DP222" s="2250"/>
      <c r="DQ222" s="2277"/>
      <c r="DR222" s="2277"/>
      <c r="DS222" s="277"/>
      <c r="DW222" s="2275"/>
      <c r="DX222" s="2275"/>
      <c r="DY222" s="2275"/>
      <c r="DZ222" s="2275"/>
      <c r="EA222" s="2275"/>
      <c r="EB222" s="2275"/>
      <c r="EC222" s="2275"/>
      <c r="ED222" s="2275"/>
      <c r="EE222" s="2275"/>
      <c r="EF222" s="2275"/>
      <c r="EG222" s="2275"/>
      <c r="EH222" s="2275"/>
      <c r="EI222" s="2275"/>
      <c r="EJ222" s="2275"/>
      <c r="EK222" s="2275"/>
      <c r="EL222" s="2275"/>
      <c r="EM222" s="2275"/>
      <c r="EN222" s="2275"/>
      <c r="EO222" s="2275"/>
      <c r="EP222" s="2275"/>
      <c r="EQ222" s="2275"/>
      <c r="ER222" s="2275"/>
      <c r="ES222" s="2275"/>
      <c r="ET222" s="2275"/>
      <c r="EU222" s="2275"/>
      <c r="EV222" s="2275"/>
      <c r="EW222" s="2275"/>
      <c r="EX222" s="2275"/>
      <c r="EY222" s="2275"/>
      <c r="EZ222" s="2275" t="s">
        <v>2236</v>
      </c>
      <c r="FA222" s="2275"/>
      <c r="FB222" s="2275" t="s">
        <v>655</v>
      </c>
      <c r="FC222" s="2275">
        <f>ET141</f>
        <v>43.9</v>
      </c>
      <c r="FD222" s="2275"/>
      <c r="FE222" s="2275"/>
      <c r="FF222" s="2275"/>
      <c r="FG222" s="2275"/>
      <c r="FH222" s="2275"/>
      <c r="FI222" s="2275"/>
      <c r="FJ222" s="2275"/>
      <c r="FK222" s="2275"/>
      <c r="FL222" s="2250"/>
      <c r="FM222" s="2250"/>
      <c r="FN222" s="2250"/>
      <c r="FO222" s="2250"/>
      <c r="FP222" s="2250"/>
      <c r="FQ222" s="2250"/>
      <c r="FR222" s="2250"/>
      <c r="FS222" s="2250"/>
      <c r="FT222" s="2250"/>
      <c r="FU222" s="2250"/>
      <c r="FV222" s="2250"/>
      <c r="FW222" s="2250"/>
      <c r="FX222" s="2250"/>
      <c r="FY222" s="2250"/>
      <c r="FZ222" s="2250"/>
      <c r="GA222" s="2250"/>
      <c r="GB222" s="2276"/>
      <c r="GC222" s="2276"/>
      <c r="GD222" s="2250"/>
      <c r="GE222" s="2275"/>
      <c r="GF222" s="2275"/>
      <c r="GG222" s="2275"/>
      <c r="GH222" s="2275"/>
      <c r="GI222" s="2275"/>
      <c r="GJ222" s="2275"/>
      <c r="GK222" s="2275"/>
      <c r="GL222" s="2275"/>
      <c r="GM222" s="2275"/>
      <c r="GN222" s="2275"/>
      <c r="GO222" s="2275"/>
      <c r="GP222" s="2275"/>
      <c r="GQ222" s="2275"/>
      <c r="GR222" s="2275"/>
      <c r="GS222" s="2275"/>
      <c r="GT222" s="2275"/>
      <c r="GU222" s="2275"/>
      <c r="GV222" s="2275"/>
      <c r="GW222" s="2275"/>
      <c r="GX222" s="2275"/>
      <c r="GY222" s="2275"/>
      <c r="GZ222" s="2275"/>
      <c r="HA222" s="2275"/>
      <c r="HB222" s="2275"/>
      <c r="HC222" s="2275"/>
      <c r="HD222" s="2275"/>
      <c r="HE222" s="2275"/>
      <c r="HF222" s="2275"/>
      <c r="HG222" s="2275"/>
      <c r="HH222" s="2275" t="s">
        <v>2236</v>
      </c>
      <c r="HI222" s="2275"/>
      <c r="HJ222" s="2275" t="s">
        <v>655</v>
      </c>
      <c r="HK222" s="2275">
        <f>GZ141</f>
        <v>48.8</v>
      </c>
      <c r="HL222" s="2275"/>
      <c r="HM222" s="2275"/>
      <c r="HN222" s="2275"/>
      <c r="HO222" s="2275"/>
      <c r="HP222" s="2275"/>
      <c r="HQ222" s="2275"/>
      <c r="HR222" s="2275"/>
      <c r="HS222" s="2275"/>
      <c r="HT222" s="2250"/>
      <c r="HU222" s="2250"/>
      <c r="HV222" s="2250"/>
      <c r="HW222" s="2250"/>
      <c r="HX222" s="2250"/>
      <c r="HY222" s="2250"/>
      <c r="HZ222" s="2250"/>
      <c r="IA222" s="2250"/>
      <c r="IB222" s="2250"/>
      <c r="IC222" s="2250"/>
      <c r="ID222" s="2250"/>
      <c r="IE222" s="2250"/>
      <c r="IF222" s="2250"/>
      <c r="IG222" s="2250"/>
      <c r="IH222" s="2250"/>
      <c r="II222" s="2250"/>
      <c r="IJ222" s="2250"/>
      <c r="IK222" s="2250"/>
      <c r="IL222" s="2250"/>
      <c r="IN222" s="277"/>
      <c r="IO222" s="277"/>
    </row>
    <row r="223" spans="1:249" ht="21.95" customHeight="1">
      <c r="A223" s="2275"/>
      <c r="B223" s="2333" t="s">
        <v>731</v>
      </c>
      <c r="C223" s="2333" t="s">
        <v>736</v>
      </c>
      <c r="D223" s="2333">
        <v>223.8</v>
      </c>
      <c r="E223" s="2333">
        <v>206.43</v>
      </c>
      <c r="F223" s="2333">
        <v>190.4</v>
      </c>
      <c r="G223" s="2333">
        <v>177.81</v>
      </c>
      <c r="H223" s="2333">
        <v>165.9</v>
      </c>
      <c r="I223" s="2333">
        <v>162.68</v>
      </c>
      <c r="J223" s="2333">
        <v>151.30000000000001</v>
      </c>
      <c r="K223" s="2333">
        <v>140.1</v>
      </c>
      <c r="L223" s="2333">
        <v>129.80000000000001</v>
      </c>
      <c r="M223" s="2333">
        <v>120.7</v>
      </c>
      <c r="N223" s="2333">
        <v>107.9</v>
      </c>
      <c r="O223" s="2333">
        <v>97.1</v>
      </c>
      <c r="P223" s="2333">
        <v>92.9</v>
      </c>
      <c r="Q223" s="2333">
        <v>88.2</v>
      </c>
      <c r="R223" s="2333">
        <v>83.3</v>
      </c>
      <c r="S223" s="2333">
        <v>78.2</v>
      </c>
      <c r="T223" s="2333">
        <v>73.7</v>
      </c>
      <c r="U223" s="2333">
        <v>68.3</v>
      </c>
      <c r="V223" s="2333">
        <v>63.4</v>
      </c>
      <c r="W223" s="2333">
        <v>58.1</v>
      </c>
      <c r="X223" s="2333">
        <v>53.7</v>
      </c>
      <c r="Y223" s="2333">
        <v>48.8</v>
      </c>
      <c r="Z223" s="2333">
        <v>43.9</v>
      </c>
      <c r="AA223" s="2333">
        <v>38.799999999999997</v>
      </c>
      <c r="AB223" s="2333">
        <v>34.200000000000003</v>
      </c>
      <c r="AC223" s="2333">
        <v>29.3</v>
      </c>
      <c r="AD223" s="2333">
        <v>24.5</v>
      </c>
      <c r="AE223" s="2333" t="s">
        <v>736</v>
      </c>
      <c r="AF223" s="2275" t="s">
        <v>738</v>
      </c>
      <c r="AG223" s="2275">
        <f>+X140</f>
        <v>0.75631178540277322</v>
      </c>
      <c r="AH223" s="2275"/>
      <c r="AI223" s="2275"/>
      <c r="AJ223" s="2275"/>
      <c r="AK223" s="2275"/>
      <c r="AL223" s="2275"/>
      <c r="AM223" s="2275"/>
      <c r="AN223" s="2275"/>
      <c r="AO223" s="2275"/>
      <c r="AP223" s="2250"/>
      <c r="AQ223" s="2250"/>
      <c r="AR223" s="2250"/>
      <c r="AS223" s="2250"/>
      <c r="AT223" s="2250"/>
      <c r="AU223" s="2250"/>
      <c r="AV223" s="2250"/>
      <c r="AW223" s="2250"/>
      <c r="AX223" s="2250"/>
      <c r="AY223" s="2250"/>
      <c r="AZ223" s="2250"/>
      <c r="BA223" s="2250"/>
      <c r="BB223" s="2250"/>
      <c r="BC223" s="2250"/>
      <c r="BD223" s="2250"/>
      <c r="BE223" s="2250"/>
      <c r="BF223" s="2276"/>
      <c r="BG223" s="2276"/>
      <c r="BH223" s="2250"/>
      <c r="BI223" s="2275"/>
      <c r="BJ223" s="2333" t="s">
        <v>731</v>
      </c>
      <c r="BK223" s="2333" t="s">
        <v>736</v>
      </c>
      <c r="BL223" s="2333">
        <v>223.8</v>
      </c>
      <c r="BM223" s="2333">
        <v>206.43</v>
      </c>
      <c r="BN223" s="2333">
        <v>190.4</v>
      </c>
      <c r="BO223" s="2333">
        <v>177.81</v>
      </c>
      <c r="BP223" s="2333">
        <v>165.9</v>
      </c>
      <c r="BQ223" s="2333">
        <v>162.68</v>
      </c>
      <c r="BR223" s="2333">
        <v>151.30000000000001</v>
      </c>
      <c r="BS223" s="2333">
        <v>140.1</v>
      </c>
      <c r="BT223" s="2333">
        <v>129.80000000000001</v>
      </c>
      <c r="BU223" s="2333">
        <v>120.7</v>
      </c>
      <c r="BV223" s="2333">
        <v>107.9</v>
      </c>
      <c r="BW223" s="2333">
        <v>97.1</v>
      </c>
      <c r="BX223" s="2333">
        <v>92.9</v>
      </c>
      <c r="BY223" s="2333">
        <v>88.2</v>
      </c>
      <c r="BZ223" s="2333">
        <v>83.3</v>
      </c>
      <c r="CA223" s="2333">
        <v>78.2</v>
      </c>
      <c r="CB223" s="2333">
        <v>73.7</v>
      </c>
      <c r="CC223" s="2333">
        <v>68.3</v>
      </c>
      <c r="CD223" s="2333">
        <v>63.4</v>
      </c>
      <c r="CE223" s="2333">
        <v>58.1</v>
      </c>
      <c r="CF223" s="2333">
        <v>53.7</v>
      </c>
      <c r="CG223" s="2333">
        <v>48.8</v>
      </c>
      <c r="CH223" s="2333">
        <v>43.9</v>
      </c>
      <c r="CI223" s="2333">
        <v>38.799999999999997</v>
      </c>
      <c r="CJ223" s="2333">
        <v>34.200000000000003</v>
      </c>
      <c r="CK223" s="2333">
        <v>29.3</v>
      </c>
      <c r="CL223" s="2333">
        <v>24.5</v>
      </c>
      <c r="CM223" s="2333" t="s">
        <v>736</v>
      </c>
      <c r="CN223" s="2275" t="s">
        <v>738</v>
      </c>
      <c r="CO223" s="2275">
        <f>+CD140</f>
        <v>0.75631178540277322</v>
      </c>
      <c r="CP223" s="2275"/>
      <c r="CQ223" s="2275"/>
      <c r="CR223" s="2275"/>
      <c r="CS223" s="2275"/>
      <c r="CT223" s="2275"/>
      <c r="CU223" s="2275"/>
      <c r="CV223" s="2275"/>
      <c r="CW223" s="2275"/>
      <c r="CX223" s="2250"/>
      <c r="CY223" s="2250"/>
      <c r="CZ223" s="2250"/>
      <c r="DA223" s="2250"/>
      <c r="DB223" s="2250"/>
      <c r="DC223" s="2250"/>
      <c r="DD223" s="2250"/>
      <c r="DE223" s="2250"/>
      <c r="DF223" s="2250"/>
      <c r="DG223" s="2250"/>
      <c r="DH223" s="2250"/>
      <c r="DI223" s="2250"/>
      <c r="DJ223" s="2250"/>
      <c r="DK223" s="2250"/>
      <c r="DL223" s="2250"/>
      <c r="DM223" s="2250"/>
      <c r="DN223" s="2250"/>
      <c r="DO223" s="2250"/>
      <c r="DP223" s="2250"/>
      <c r="DQ223" s="2277"/>
      <c r="DR223" s="2277"/>
      <c r="DS223" s="277"/>
      <c r="DW223" s="2275"/>
      <c r="DX223" s="2333" t="s">
        <v>731</v>
      </c>
      <c r="DY223" s="2333" t="s">
        <v>736</v>
      </c>
      <c r="DZ223" s="2333">
        <v>223.8</v>
      </c>
      <c r="EA223" s="2333">
        <v>206.43</v>
      </c>
      <c r="EB223" s="2333">
        <v>190.4</v>
      </c>
      <c r="EC223" s="2333">
        <v>177.81</v>
      </c>
      <c r="ED223" s="2333">
        <v>165.9</v>
      </c>
      <c r="EE223" s="2333">
        <v>162.68</v>
      </c>
      <c r="EF223" s="2333">
        <v>151.30000000000001</v>
      </c>
      <c r="EG223" s="2333">
        <v>140.1</v>
      </c>
      <c r="EH223" s="2333">
        <v>129.80000000000001</v>
      </c>
      <c r="EI223" s="2333">
        <v>120.7</v>
      </c>
      <c r="EJ223" s="2333">
        <v>107.9</v>
      </c>
      <c r="EK223" s="2333">
        <v>97.1</v>
      </c>
      <c r="EL223" s="2333">
        <v>92.9</v>
      </c>
      <c r="EM223" s="2333">
        <v>88.2</v>
      </c>
      <c r="EN223" s="2333">
        <v>83.3</v>
      </c>
      <c r="EO223" s="2333">
        <v>78.2</v>
      </c>
      <c r="EP223" s="2333">
        <v>73.7</v>
      </c>
      <c r="EQ223" s="2333">
        <v>68.3</v>
      </c>
      <c r="ER223" s="2333">
        <v>63.4</v>
      </c>
      <c r="ES223" s="2333">
        <v>58.1</v>
      </c>
      <c r="ET223" s="2333">
        <v>53.7</v>
      </c>
      <c r="EU223" s="2333">
        <v>48.8</v>
      </c>
      <c r="EV223" s="2333">
        <v>43.9</v>
      </c>
      <c r="EW223" s="2333">
        <v>38.799999999999997</v>
      </c>
      <c r="EX223" s="2333">
        <v>34.200000000000003</v>
      </c>
      <c r="EY223" s="2333">
        <v>29.3</v>
      </c>
      <c r="EZ223" s="2333">
        <v>24.5</v>
      </c>
      <c r="FA223" s="2333" t="s">
        <v>736</v>
      </c>
      <c r="FB223" s="2275" t="s">
        <v>738</v>
      </c>
      <c r="FC223" s="2275">
        <f>+ET140</f>
        <v>1.3354563802212776</v>
      </c>
      <c r="FD223" s="2275"/>
      <c r="FE223" s="2275"/>
      <c r="FF223" s="2275"/>
      <c r="FG223" s="2275"/>
      <c r="FH223" s="2275"/>
      <c r="FI223" s="2275"/>
      <c r="FJ223" s="2275"/>
      <c r="FK223" s="2275"/>
      <c r="FL223" s="2250"/>
      <c r="FM223" s="2250"/>
      <c r="FN223" s="2250"/>
      <c r="FO223" s="2250"/>
      <c r="FP223" s="2250"/>
      <c r="FQ223" s="2250"/>
      <c r="FR223" s="2250"/>
      <c r="FS223" s="2250"/>
      <c r="FT223" s="2250"/>
      <c r="FU223" s="2250"/>
      <c r="FV223" s="2250"/>
      <c r="FW223" s="2250"/>
      <c r="FX223" s="2250"/>
      <c r="FY223" s="2250"/>
      <c r="FZ223" s="2250"/>
      <c r="GA223" s="2250"/>
      <c r="GB223" s="2276"/>
      <c r="GC223" s="2276"/>
      <c r="GD223" s="2250"/>
      <c r="GE223" s="2275"/>
      <c r="GF223" s="2333" t="s">
        <v>731</v>
      </c>
      <c r="GG223" s="2333" t="s">
        <v>736</v>
      </c>
      <c r="GH223" s="2333">
        <v>223.8</v>
      </c>
      <c r="GI223" s="2333">
        <v>206.43</v>
      </c>
      <c r="GJ223" s="2333">
        <v>190.4</v>
      </c>
      <c r="GK223" s="2333">
        <v>177.81</v>
      </c>
      <c r="GL223" s="2333">
        <v>165.9</v>
      </c>
      <c r="GM223" s="2333">
        <v>162.68</v>
      </c>
      <c r="GN223" s="2333">
        <v>151.30000000000001</v>
      </c>
      <c r="GO223" s="2333">
        <v>140.1</v>
      </c>
      <c r="GP223" s="2333">
        <v>129.80000000000001</v>
      </c>
      <c r="GQ223" s="2333">
        <v>120.7</v>
      </c>
      <c r="GR223" s="2333">
        <v>107.9</v>
      </c>
      <c r="GS223" s="2333">
        <v>97.1</v>
      </c>
      <c r="GT223" s="2333">
        <v>92.9</v>
      </c>
      <c r="GU223" s="2333">
        <v>88.2</v>
      </c>
      <c r="GV223" s="2333">
        <v>83.3</v>
      </c>
      <c r="GW223" s="2333">
        <v>78.2</v>
      </c>
      <c r="GX223" s="2333">
        <v>73.7</v>
      </c>
      <c r="GY223" s="2333">
        <v>68.3</v>
      </c>
      <c r="GZ223" s="2333">
        <v>63.4</v>
      </c>
      <c r="HA223" s="2333">
        <v>58.1</v>
      </c>
      <c r="HB223" s="2333">
        <v>53.7</v>
      </c>
      <c r="HC223" s="2333">
        <v>48.8</v>
      </c>
      <c r="HD223" s="2333">
        <v>43.9</v>
      </c>
      <c r="HE223" s="2333">
        <v>38.799999999999997</v>
      </c>
      <c r="HF223" s="2333">
        <v>34.200000000000003</v>
      </c>
      <c r="HG223" s="2333">
        <v>29.3</v>
      </c>
      <c r="HH223" s="2333">
        <v>24.5</v>
      </c>
      <c r="HI223" s="2333" t="s">
        <v>736</v>
      </c>
      <c r="HJ223" s="2275" t="s">
        <v>738</v>
      </c>
      <c r="HK223" s="2275">
        <f>+GZ140</f>
        <v>1.3354563802212776</v>
      </c>
      <c r="HL223" s="2275"/>
      <c r="HM223" s="2275"/>
      <c r="HN223" s="2275"/>
      <c r="HO223" s="2275"/>
      <c r="HP223" s="2275"/>
      <c r="HQ223" s="2275"/>
      <c r="HR223" s="2275"/>
      <c r="HS223" s="2275"/>
      <c r="HT223" s="2250"/>
      <c r="HU223" s="2250"/>
      <c r="HV223" s="2250"/>
      <c r="HW223" s="2250"/>
      <c r="HX223" s="2250"/>
      <c r="HY223" s="2250"/>
      <c r="HZ223" s="2250"/>
      <c r="IA223" s="2250"/>
      <c r="IB223" s="2250"/>
      <c r="IC223" s="2250"/>
      <c r="ID223" s="2250"/>
      <c r="IE223" s="2250"/>
      <c r="IF223" s="2250"/>
      <c r="IG223" s="2250"/>
      <c r="IH223" s="2250"/>
      <c r="II223" s="2250"/>
      <c r="IJ223" s="2250"/>
      <c r="IK223" s="2250"/>
      <c r="IL223" s="2250"/>
      <c r="IN223" s="277"/>
      <c r="IO223" s="277"/>
    </row>
    <row r="224" spans="1:249" ht="21.95" customHeight="1">
      <c r="A224" s="2275"/>
      <c r="B224" s="2333"/>
      <c r="C224" s="2333"/>
      <c r="D224" s="2344">
        <v>0</v>
      </c>
      <c r="E224" s="2344">
        <v>0</v>
      </c>
      <c r="F224" s="2344">
        <v>0</v>
      </c>
      <c r="G224" s="2344">
        <v>0</v>
      </c>
      <c r="H224" s="2344">
        <v>0</v>
      </c>
      <c r="I224" s="2344">
        <v>0</v>
      </c>
      <c r="J224" s="2344">
        <v>0</v>
      </c>
      <c r="K224" s="2344">
        <v>0</v>
      </c>
      <c r="L224" s="2344">
        <v>0</v>
      </c>
      <c r="M224" s="2344">
        <v>0</v>
      </c>
      <c r="N224" s="2344">
        <v>0</v>
      </c>
      <c r="O224" s="2344">
        <v>0</v>
      </c>
      <c r="P224" s="2344">
        <v>0</v>
      </c>
      <c r="Q224" s="2344">
        <v>0</v>
      </c>
      <c r="R224" s="2344">
        <v>0</v>
      </c>
      <c r="S224" s="2344">
        <v>0</v>
      </c>
      <c r="T224" s="2344">
        <v>0</v>
      </c>
      <c r="U224" s="2344">
        <v>0</v>
      </c>
      <c r="V224" s="2344">
        <v>0</v>
      </c>
      <c r="W224" s="2344">
        <v>0</v>
      </c>
      <c r="X224" s="2344">
        <v>0</v>
      </c>
      <c r="Y224" s="2344">
        <v>0</v>
      </c>
      <c r="Z224" s="2344">
        <v>0</v>
      </c>
      <c r="AA224" s="2344">
        <v>0</v>
      </c>
      <c r="AB224" s="2344">
        <v>0</v>
      </c>
      <c r="AC224" s="2344">
        <v>0</v>
      </c>
      <c r="AD224" s="2344">
        <v>0</v>
      </c>
      <c r="AE224" s="2333"/>
      <c r="AF224" s="2275" t="s">
        <v>682</v>
      </c>
      <c r="AG224" s="2275">
        <f>HLOOKUP(AG222,D223:AD235,1,0)</f>
        <v>68.3</v>
      </c>
      <c r="AH224" s="2275" t="s">
        <v>706</v>
      </c>
      <c r="AI224" s="2275" t="s">
        <v>682</v>
      </c>
      <c r="AJ224" s="2275"/>
      <c r="AK224" s="2275"/>
      <c r="AL224" s="2275"/>
      <c r="AM224" s="2275"/>
      <c r="AN224" s="2275"/>
      <c r="AO224" s="2275"/>
      <c r="AP224" s="2250"/>
      <c r="AQ224" s="2250"/>
      <c r="AR224" s="2250"/>
      <c r="AS224" s="2250"/>
      <c r="AT224" s="2250"/>
      <c r="AU224" s="2250"/>
      <c r="AV224" s="2250"/>
      <c r="AW224" s="2250"/>
      <c r="AX224" s="2250"/>
      <c r="AY224" s="2250"/>
      <c r="AZ224" s="2250"/>
      <c r="BA224" s="2250"/>
      <c r="BB224" s="2250"/>
      <c r="BC224" s="2250"/>
      <c r="BD224" s="2250"/>
      <c r="BE224" s="2250"/>
      <c r="BF224" s="2276"/>
      <c r="BG224" s="2276"/>
      <c r="BH224" s="2250"/>
      <c r="BI224" s="2275"/>
      <c r="BJ224" s="2333"/>
      <c r="BK224" s="2333"/>
      <c r="BL224" s="2344">
        <v>0</v>
      </c>
      <c r="BM224" s="2344">
        <v>0</v>
      </c>
      <c r="BN224" s="2344">
        <v>0</v>
      </c>
      <c r="BO224" s="2344">
        <v>0</v>
      </c>
      <c r="BP224" s="2344">
        <v>0</v>
      </c>
      <c r="BQ224" s="2344">
        <v>0</v>
      </c>
      <c r="BR224" s="2344">
        <v>0</v>
      </c>
      <c r="BS224" s="2344">
        <v>0</v>
      </c>
      <c r="BT224" s="2344">
        <v>0</v>
      </c>
      <c r="BU224" s="2344">
        <v>0</v>
      </c>
      <c r="BV224" s="2344">
        <v>0</v>
      </c>
      <c r="BW224" s="2344">
        <v>0</v>
      </c>
      <c r="BX224" s="2344">
        <v>0</v>
      </c>
      <c r="BY224" s="2344">
        <v>0</v>
      </c>
      <c r="BZ224" s="2344">
        <v>0</v>
      </c>
      <c r="CA224" s="2344">
        <v>0</v>
      </c>
      <c r="CB224" s="2344">
        <v>0</v>
      </c>
      <c r="CC224" s="2344">
        <v>0</v>
      </c>
      <c r="CD224" s="2344">
        <v>0</v>
      </c>
      <c r="CE224" s="2344">
        <v>0</v>
      </c>
      <c r="CF224" s="2344">
        <v>0</v>
      </c>
      <c r="CG224" s="2344">
        <v>0</v>
      </c>
      <c r="CH224" s="2344">
        <v>0</v>
      </c>
      <c r="CI224" s="2344">
        <v>0</v>
      </c>
      <c r="CJ224" s="2344">
        <v>0</v>
      </c>
      <c r="CK224" s="2344">
        <v>0</v>
      </c>
      <c r="CL224" s="2344">
        <v>0</v>
      </c>
      <c r="CM224" s="2333"/>
      <c r="CN224" s="2275" t="s">
        <v>682</v>
      </c>
      <c r="CO224" s="2275">
        <f>HLOOKUP(CO222,BL223:CL235,1,0)</f>
        <v>73.7</v>
      </c>
      <c r="CP224" s="2275" t="s">
        <v>706</v>
      </c>
      <c r="CQ224" s="2275" t="s">
        <v>682</v>
      </c>
      <c r="CR224" s="2275"/>
      <c r="CS224" s="2275"/>
      <c r="CT224" s="2275"/>
      <c r="CU224" s="2275"/>
      <c r="CV224" s="2275"/>
      <c r="CW224" s="2275"/>
      <c r="CX224" s="2250"/>
      <c r="CY224" s="2250"/>
      <c r="CZ224" s="2250"/>
      <c r="DA224" s="2250"/>
      <c r="DB224" s="2250"/>
      <c r="DC224" s="2250"/>
      <c r="DD224" s="2250"/>
      <c r="DE224" s="2250"/>
      <c r="DF224" s="2250"/>
      <c r="DG224" s="2250"/>
      <c r="DH224" s="2250"/>
      <c r="DI224" s="2250"/>
      <c r="DJ224" s="2250"/>
      <c r="DK224" s="2250"/>
      <c r="DL224" s="2250"/>
      <c r="DM224" s="2250"/>
      <c r="DN224" s="2250"/>
      <c r="DO224" s="2250"/>
      <c r="DP224" s="2250"/>
      <c r="DQ224" s="2277"/>
      <c r="DR224" s="2277"/>
      <c r="DS224" s="277"/>
      <c r="DW224" s="2275"/>
      <c r="DX224" s="2333"/>
      <c r="DY224" s="2333"/>
      <c r="DZ224" s="2344">
        <v>0</v>
      </c>
      <c r="EA224" s="2344">
        <v>0</v>
      </c>
      <c r="EB224" s="2344">
        <v>0</v>
      </c>
      <c r="EC224" s="2344">
        <v>0</v>
      </c>
      <c r="ED224" s="2344">
        <v>0</v>
      </c>
      <c r="EE224" s="2344">
        <v>0</v>
      </c>
      <c r="EF224" s="2344">
        <v>0</v>
      </c>
      <c r="EG224" s="2344">
        <v>0</v>
      </c>
      <c r="EH224" s="2344">
        <v>0</v>
      </c>
      <c r="EI224" s="2344">
        <v>0</v>
      </c>
      <c r="EJ224" s="2344">
        <v>0</v>
      </c>
      <c r="EK224" s="2344">
        <v>0</v>
      </c>
      <c r="EL224" s="2344">
        <v>0</v>
      </c>
      <c r="EM224" s="2344">
        <v>0</v>
      </c>
      <c r="EN224" s="2344">
        <v>0</v>
      </c>
      <c r="EO224" s="2344">
        <v>0</v>
      </c>
      <c r="EP224" s="2344">
        <v>0</v>
      </c>
      <c r="EQ224" s="2344">
        <v>0</v>
      </c>
      <c r="ER224" s="2344">
        <v>0</v>
      </c>
      <c r="ES224" s="2344">
        <v>0</v>
      </c>
      <c r="ET224" s="2344">
        <v>0</v>
      </c>
      <c r="EU224" s="2344">
        <v>0</v>
      </c>
      <c r="EV224" s="2344">
        <v>0</v>
      </c>
      <c r="EW224" s="2344">
        <v>0</v>
      </c>
      <c r="EX224" s="2344">
        <v>0</v>
      </c>
      <c r="EY224" s="2344">
        <v>0</v>
      </c>
      <c r="EZ224" s="2344">
        <v>0</v>
      </c>
      <c r="FA224" s="2333"/>
      <c r="FB224" s="2275" t="s">
        <v>682</v>
      </c>
      <c r="FC224" s="2275">
        <f>HLOOKUP(FC222,DZ223:EZ235,1,0)</f>
        <v>43.9</v>
      </c>
      <c r="FD224" s="2275" t="s">
        <v>706</v>
      </c>
      <c r="FE224" s="2275" t="s">
        <v>682</v>
      </c>
      <c r="FF224" s="2275"/>
      <c r="FG224" s="2275"/>
      <c r="FH224" s="2275"/>
      <c r="FI224" s="2275"/>
      <c r="FJ224" s="2275"/>
      <c r="FK224" s="2275"/>
      <c r="FL224" s="2250"/>
      <c r="FM224" s="2250"/>
      <c r="FN224" s="2250"/>
      <c r="FO224" s="2250"/>
      <c r="FP224" s="2250"/>
      <c r="FQ224" s="2250"/>
      <c r="FR224" s="2250"/>
      <c r="FS224" s="2250"/>
      <c r="FT224" s="2250"/>
      <c r="FU224" s="2250"/>
      <c r="FV224" s="2250"/>
      <c r="FW224" s="2250"/>
      <c r="FX224" s="2250"/>
      <c r="FY224" s="2250"/>
      <c r="FZ224" s="2250"/>
      <c r="GA224" s="2250"/>
      <c r="GB224" s="2276"/>
      <c r="GC224" s="2276"/>
      <c r="GD224" s="2250"/>
      <c r="GE224" s="2275"/>
      <c r="GF224" s="2333"/>
      <c r="GG224" s="2333"/>
      <c r="GH224" s="2344">
        <v>0</v>
      </c>
      <c r="GI224" s="2344">
        <v>0</v>
      </c>
      <c r="GJ224" s="2344">
        <v>0</v>
      </c>
      <c r="GK224" s="2344">
        <v>0</v>
      </c>
      <c r="GL224" s="2344">
        <v>0</v>
      </c>
      <c r="GM224" s="2344">
        <v>0</v>
      </c>
      <c r="GN224" s="2344">
        <v>0</v>
      </c>
      <c r="GO224" s="2344">
        <v>0</v>
      </c>
      <c r="GP224" s="2344">
        <v>0</v>
      </c>
      <c r="GQ224" s="2344">
        <v>0</v>
      </c>
      <c r="GR224" s="2344">
        <v>0</v>
      </c>
      <c r="GS224" s="2344">
        <v>0</v>
      </c>
      <c r="GT224" s="2344">
        <v>0</v>
      </c>
      <c r="GU224" s="2344">
        <v>0</v>
      </c>
      <c r="GV224" s="2344">
        <v>0</v>
      </c>
      <c r="GW224" s="2344">
        <v>0</v>
      </c>
      <c r="GX224" s="2344">
        <v>0</v>
      </c>
      <c r="GY224" s="2344">
        <v>0</v>
      </c>
      <c r="GZ224" s="2344">
        <v>0</v>
      </c>
      <c r="HA224" s="2344">
        <v>0</v>
      </c>
      <c r="HB224" s="2344">
        <v>0</v>
      </c>
      <c r="HC224" s="2344">
        <v>0</v>
      </c>
      <c r="HD224" s="2344">
        <v>0</v>
      </c>
      <c r="HE224" s="2344">
        <v>0</v>
      </c>
      <c r="HF224" s="2344">
        <v>0</v>
      </c>
      <c r="HG224" s="2344">
        <v>0</v>
      </c>
      <c r="HH224" s="2344">
        <v>0</v>
      </c>
      <c r="HI224" s="2333"/>
      <c r="HJ224" s="2275" t="s">
        <v>682</v>
      </c>
      <c r="HK224" s="2275">
        <f>HLOOKUP(HK222,GH223:HH235,1,0)</f>
        <v>48.8</v>
      </c>
      <c r="HL224" s="2275" t="s">
        <v>706</v>
      </c>
      <c r="HM224" s="2275" t="s">
        <v>682</v>
      </c>
      <c r="HN224" s="2275"/>
      <c r="HO224" s="2275"/>
      <c r="HP224" s="2275"/>
      <c r="HQ224" s="2275"/>
      <c r="HR224" s="2275"/>
      <c r="HS224" s="2275"/>
      <c r="HT224" s="2250"/>
      <c r="HU224" s="2250"/>
      <c r="HV224" s="2250"/>
      <c r="HW224" s="2250"/>
      <c r="HX224" s="2250"/>
      <c r="HY224" s="2250"/>
      <c r="HZ224" s="2250"/>
      <c r="IA224" s="2250"/>
      <c r="IB224" s="2250"/>
      <c r="IC224" s="2250"/>
      <c r="ID224" s="2250"/>
      <c r="IE224" s="2250"/>
      <c r="IF224" s="2250"/>
      <c r="IG224" s="2250"/>
      <c r="IH224" s="2250"/>
      <c r="II224" s="2250"/>
      <c r="IJ224" s="2250"/>
      <c r="IK224" s="2250"/>
      <c r="IL224" s="2250"/>
      <c r="IN224" s="277"/>
      <c r="IO224" s="277"/>
    </row>
    <row r="225" spans="1:249" ht="21.95" customHeight="1">
      <c r="A225" s="2275"/>
      <c r="B225" s="4670" t="s">
        <v>732</v>
      </c>
      <c r="C225" s="2345">
        <v>400</v>
      </c>
      <c r="D225" s="2346">
        <v>3.56</v>
      </c>
      <c r="E225" s="2346">
        <v>3.86</v>
      </c>
      <c r="F225" s="2346">
        <v>4.16</v>
      </c>
      <c r="G225" s="2346">
        <v>4.46</v>
      </c>
      <c r="H225" s="2346">
        <v>4.6500000000000004</v>
      </c>
      <c r="I225" s="2346">
        <v>4.75</v>
      </c>
      <c r="J225" s="2346">
        <v>5.15</v>
      </c>
      <c r="K225" s="2346">
        <v>5.45</v>
      </c>
      <c r="L225" s="2346">
        <v>5.84</v>
      </c>
      <c r="M225" s="2346">
        <v>6.14</v>
      </c>
      <c r="N225" s="2346">
        <v>6.83</v>
      </c>
      <c r="O225" s="2346">
        <v>7.43</v>
      </c>
      <c r="P225" s="2346">
        <v>7.62</v>
      </c>
      <c r="Q225" s="2346">
        <v>8.02</v>
      </c>
      <c r="R225" s="2346">
        <v>8.42</v>
      </c>
      <c r="S225" s="2346">
        <v>8.7100000000000009</v>
      </c>
      <c r="T225" s="2346">
        <v>9.31</v>
      </c>
      <c r="U225" s="2346">
        <v>10.1</v>
      </c>
      <c r="V225" s="2346">
        <v>10.79</v>
      </c>
      <c r="W225" s="2346">
        <v>11.58</v>
      </c>
      <c r="X225" s="2346">
        <v>12.38</v>
      </c>
      <c r="Y225" s="2346">
        <v>13.66</v>
      </c>
      <c r="Z225" s="2346">
        <v>14.95</v>
      </c>
      <c r="AA225" s="2346">
        <v>16.53</v>
      </c>
      <c r="AB225" s="2346">
        <v>18.61</v>
      </c>
      <c r="AC225" s="2346">
        <v>19.7</v>
      </c>
      <c r="AD225" s="2346">
        <v>23.17</v>
      </c>
      <c r="AE225" s="2347">
        <v>400</v>
      </c>
      <c r="AF225" s="2275"/>
      <c r="AG225" s="4671"/>
      <c r="AH225" s="4671"/>
      <c r="AI225" s="4671"/>
      <c r="AJ225" s="2275"/>
      <c r="AK225" s="2275"/>
      <c r="AL225" s="2275"/>
      <c r="AM225" s="2275"/>
      <c r="AN225" s="2275"/>
      <c r="AO225" s="2275"/>
      <c r="AP225" s="2250"/>
      <c r="AQ225" s="2250"/>
      <c r="AR225" s="2250"/>
      <c r="AS225" s="2250"/>
      <c r="AT225" s="2250"/>
      <c r="AU225" s="2250"/>
      <c r="AV225" s="2250"/>
      <c r="AW225" s="2250"/>
      <c r="AX225" s="2250"/>
      <c r="AY225" s="2250"/>
      <c r="AZ225" s="2250"/>
      <c r="BA225" s="2250"/>
      <c r="BB225" s="2250"/>
      <c r="BC225" s="2250"/>
      <c r="BD225" s="2250"/>
      <c r="BE225" s="2250"/>
      <c r="BF225" s="2276"/>
      <c r="BG225" s="2276"/>
      <c r="BH225" s="2250"/>
      <c r="BI225" s="2275"/>
      <c r="BJ225" s="4670" t="s">
        <v>732</v>
      </c>
      <c r="BK225" s="2345">
        <v>400</v>
      </c>
      <c r="BL225" s="2346">
        <v>3.56</v>
      </c>
      <c r="BM225" s="2346">
        <v>3.86</v>
      </c>
      <c r="BN225" s="2346">
        <v>4.16</v>
      </c>
      <c r="BO225" s="2346">
        <v>4.46</v>
      </c>
      <c r="BP225" s="2346">
        <v>4.6500000000000004</v>
      </c>
      <c r="BQ225" s="2346">
        <v>4.75</v>
      </c>
      <c r="BR225" s="2346">
        <v>5.15</v>
      </c>
      <c r="BS225" s="2346">
        <v>5.45</v>
      </c>
      <c r="BT225" s="2346">
        <v>5.84</v>
      </c>
      <c r="BU225" s="2346">
        <v>6.14</v>
      </c>
      <c r="BV225" s="2346">
        <v>6.83</v>
      </c>
      <c r="BW225" s="2346">
        <v>7.43</v>
      </c>
      <c r="BX225" s="2346">
        <v>7.62</v>
      </c>
      <c r="BY225" s="2346">
        <v>8.02</v>
      </c>
      <c r="BZ225" s="2346">
        <v>8.42</v>
      </c>
      <c r="CA225" s="2346">
        <v>8.7100000000000009</v>
      </c>
      <c r="CB225" s="2346">
        <v>9.31</v>
      </c>
      <c r="CC225" s="2346">
        <v>10.1</v>
      </c>
      <c r="CD225" s="2346">
        <v>10.79</v>
      </c>
      <c r="CE225" s="2346">
        <v>11.58</v>
      </c>
      <c r="CF225" s="2346">
        <v>12.38</v>
      </c>
      <c r="CG225" s="2346">
        <v>13.66</v>
      </c>
      <c r="CH225" s="2346">
        <v>14.95</v>
      </c>
      <c r="CI225" s="2346">
        <v>16.53</v>
      </c>
      <c r="CJ225" s="2346">
        <v>18.61</v>
      </c>
      <c r="CK225" s="2346">
        <v>19.7</v>
      </c>
      <c r="CL225" s="2346">
        <v>23.17</v>
      </c>
      <c r="CM225" s="2347">
        <v>400</v>
      </c>
      <c r="CN225" s="2275"/>
      <c r="CO225" s="4671"/>
      <c r="CP225" s="4671"/>
      <c r="CQ225" s="4671"/>
      <c r="CR225" s="2275"/>
      <c r="CS225" s="2275"/>
      <c r="CT225" s="2275"/>
      <c r="CU225" s="2275"/>
      <c r="CV225" s="2275"/>
      <c r="CW225" s="2275"/>
      <c r="CX225" s="2250"/>
      <c r="CY225" s="2250"/>
      <c r="CZ225" s="2250"/>
      <c r="DA225" s="2250"/>
      <c r="DB225" s="2250"/>
      <c r="DC225" s="2250"/>
      <c r="DD225" s="2250"/>
      <c r="DE225" s="2250"/>
      <c r="DF225" s="2250"/>
      <c r="DG225" s="2250"/>
      <c r="DH225" s="2250"/>
      <c r="DI225" s="2250"/>
      <c r="DJ225" s="2250"/>
      <c r="DK225" s="2250"/>
      <c r="DL225" s="2250"/>
      <c r="DM225" s="2250"/>
      <c r="DN225" s="2250"/>
      <c r="DO225" s="2250"/>
      <c r="DP225" s="2250"/>
      <c r="DQ225" s="2277"/>
      <c r="DR225" s="2277"/>
      <c r="DS225" s="277"/>
      <c r="DW225" s="2275"/>
      <c r="DX225" s="4670" t="s">
        <v>732</v>
      </c>
      <c r="DY225" s="2345">
        <v>400</v>
      </c>
      <c r="DZ225" s="2346">
        <v>3.56</v>
      </c>
      <c r="EA225" s="2346">
        <v>3.86</v>
      </c>
      <c r="EB225" s="2346">
        <v>4.16</v>
      </c>
      <c r="EC225" s="2346">
        <v>4.46</v>
      </c>
      <c r="ED225" s="2346">
        <v>4.6500000000000004</v>
      </c>
      <c r="EE225" s="2346">
        <v>4.75</v>
      </c>
      <c r="EF225" s="2346">
        <v>5.15</v>
      </c>
      <c r="EG225" s="2346">
        <v>5.45</v>
      </c>
      <c r="EH225" s="2346">
        <v>5.84</v>
      </c>
      <c r="EI225" s="2346">
        <v>6.14</v>
      </c>
      <c r="EJ225" s="2346">
        <v>6.83</v>
      </c>
      <c r="EK225" s="2346">
        <v>7.43</v>
      </c>
      <c r="EL225" s="2346">
        <v>7.62</v>
      </c>
      <c r="EM225" s="2346">
        <v>8.02</v>
      </c>
      <c r="EN225" s="2346">
        <v>8.42</v>
      </c>
      <c r="EO225" s="2346">
        <v>8.7100000000000009</v>
      </c>
      <c r="EP225" s="2346">
        <v>9.31</v>
      </c>
      <c r="EQ225" s="2346">
        <v>10.1</v>
      </c>
      <c r="ER225" s="2346">
        <v>10.79</v>
      </c>
      <c r="ES225" s="2346">
        <v>11.58</v>
      </c>
      <c r="ET225" s="2346">
        <v>12.38</v>
      </c>
      <c r="EU225" s="2346">
        <v>13.66</v>
      </c>
      <c r="EV225" s="2346">
        <v>14.95</v>
      </c>
      <c r="EW225" s="2346">
        <v>16.53</v>
      </c>
      <c r="EX225" s="2346">
        <v>18.61</v>
      </c>
      <c r="EY225" s="2346">
        <v>19.7</v>
      </c>
      <c r="EZ225" s="2346">
        <v>23.17</v>
      </c>
      <c r="FA225" s="2347">
        <v>400</v>
      </c>
      <c r="FB225" s="2275"/>
      <c r="FC225" s="4671"/>
      <c r="FD225" s="4671"/>
      <c r="FE225" s="4671"/>
      <c r="FF225" s="2275"/>
      <c r="FG225" s="2275"/>
      <c r="FH225" s="2275"/>
      <c r="FI225" s="2275"/>
      <c r="FJ225" s="2275"/>
      <c r="FK225" s="2275"/>
      <c r="FL225" s="2250"/>
      <c r="FM225" s="2250"/>
      <c r="FN225" s="2250"/>
      <c r="FO225" s="2250"/>
      <c r="FP225" s="2250"/>
      <c r="FQ225" s="2250"/>
      <c r="FR225" s="2250"/>
      <c r="FS225" s="2250"/>
      <c r="FT225" s="2250"/>
      <c r="FU225" s="2250"/>
      <c r="FV225" s="2250"/>
      <c r="FW225" s="2250"/>
      <c r="FX225" s="2250"/>
      <c r="FY225" s="2250"/>
      <c r="FZ225" s="2250"/>
      <c r="GA225" s="2250"/>
      <c r="GB225" s="2276"/>
      <c r="GC225" s="2276"/>
      <c r="GD225" s="2250"/>
      <c r="GE225" s="2275"/>
      <c r="GF225" s="4670" t="s">
        <v>732</v>
      </c>
      <c r="GG225" s="2345">
        <v>400</v>
      </c>
      <c r="GH225" s="2346">
        <v>3.56</v>
      </c>
      <c r="GI225" s="2346">
        <v>3.86</v>
      </c>
      <c r="GJ225" s="2346">
        <v>4.16</v>
      </c>
      <c r="GK225" s="2346">
        <v>4.46</v>
      </c>
      <c r="GL225" s="2346">
        <v>4.6500000000000004</v>
      </c>
      <c r="GM225" s="2346">
        <v>4.75</v>
      </c>
      <c r="GN225" s="2346">
        <v>5.15</v>
      </c>
      <c r="GO225" s="2346">
        <v>5.45</v>
      </c>
      <c r="GP225" s="2346">
        <v>5.84</v>
      </c>
      <c r="GQ225" s="2346">
        <v>6.14</v>
      </c>
      <c r="GR225" s="2346">
        <v>6.83</v>
      </c>
      <c r="GS225" s="2346">
        <v>7.43</v>
      </c>
      <c r="GT225" s="2346">
        <v>7.62</v>
      </c>
      <c r="GU225" s="2346">
        <v>8.02</v>
      </c>
      <c r="GV225" s="2346">
        <v>8.42</v>
      </c>
      <c r="GW225" s="2346">
        <v>8.7100000000000009</v>
      </c>
      <c r="GX225" s="2346">
        <v>9.31</v>
      </c>
      <c r="GY225" s="2346">
        <v>10.1</v>
      </c>
      <c r="GZ225" s="2346">
        <v>10.79</v>
      </c>
      <c r="HA225" s="2346">
        <v>11.58</v>
      </c>
      <c r="HB225" s="2346">
        <v>12.38</v>
      </c>
      <c r="HC225" s="2346">
        <v>13.66</v>
      </c>
      <c r="HD225" s="2346">
        <v>14.95</v>
      </c>
      <c r="HE225" s="2346">
        <v>16.53</v>
      </c>
      <c r="HF225" s="2346">
        <v>18.61</v>
      </c>
      <c r="HG225" s="2346">
        <v>19.7</v>
      </c>
      <c r="HH225" s="2346">
        <v>23.17</v>
      </c>
      <c r="HI225" s="2347">
        <v>400</v>
      </c>
      <c r="HJ225" s="2275"/>
      <c r="HK225" s="4671"/>
      <c r="HL225" s="4671"/>
      <c r="HM225" s="4671"/>
      <c r="HN225" s="2275"/>
      <c r="HO225" s="2275"/>
      <c r="HP225" s="2275"/>
      <c r="HQ225" s="2275"/>
      <c r="HR225" s="2275"/>
      <c r="HS225" s="2275"/>
      <c r="HT225" s="2250"/>
      <c r="HU225" s="2250"/>
      <c r="HV225" s="2250"/>
      <c r="HW225" s="2250"/>
      <c r="HX225" s="2250"/>
      <c r="HY225" s="2250"/>
      <c r="HZ225" s="2250"/>
      <c r="IA225" s="2250"/>
      <c r="IB225" s="2250"/>
      <c r="IC225" s="2250"/>
      <c r="ID225" s="2250"/>
      <c r="IE225" s="2250"/>
      <c r="IF225" s="2250"/>
      <c r="IG225" s="2250"/>
      <c r="IH225" s="2250"/>
      <c r="II225" s="2250"/>
      <c r="IJ225" s="2250"/>
      <c r="IK225" s="2250"/>
      <c r="IL225" s="2250"/>
      <c r="IN225" s="277"/>
      <c r="IO225" s="277"/>
    </row>
    <row r="226" spans="1:249" ht="21.95" customHeight="1">
      <c r="A226" s="2275"/>
      <c r="B226" s="4670"/>
      <c r="C226" s="2345">
        <v>475</v>
      </c>
      <c r="D226" s="2346">
        <v>5.35</v>
      </c>
      <c r="E226" s="2346">
        <v>5.74</v>
      </c>
      <c r="F226" s="2346">
        <v>6.14</v>
      </c>
      <c r="G226" s="2346">
        <v>6.63</v>
      </c>
      <c r="H226" s="2346">
        <v>7.03</v>
      </c>
      <c r="I226" s="2346">
        <v>7.13</v>
      </c>
      <c r="J226" s="2346">
        <v>7.62</v>
      </c>
      <c r="K226" s="2346">
        <v>8.2200000000000006</v>
      </c>
      <c r="L226" s="2346">
        <v>8.7100000000000009</v>
      </c>
      <c r="M226" s="2346">
        <v>9.2100000000000009</v>
      </c>
      <c r="N226" s="2346">
        <v>10.199999999999999</v>
      </c>
      <c r="O226" s="2346">
        <v>10.99</v>
      </c>
      <c r="P226" s="2346">
        <v>11.39</v>
      </c>
      <c r="Q226" s="2346">
        <v>11.98</v>
      </c>
      <c r="R226" s="2346">
        <v>12.38</v>
      </c>
      <c r="S226" s="2346">
        <v>13.17</v>
      </c>
      <c r="T226" s="2346">
        <v>13.96</v>
      </c>
      <c r="U226" s="2346">
        <v>15.15</v>
      </c>
      <c r="V226" s="2346">
        <v>16.14</v>
      </c>
      <c r="W226" s="2346">
        <v>17.13</v>
      </c>
      <c r="X226" s="2346">
        <v>18.420000000000002</v>
      </c>
      <c r="Y226" s="2346">
        <v>20.399999999999999</v>
      </c>
      <c r="Z226" s="2346">
        <v>22.18</v>
      </c>
      <c r="AA226" s="2346">
        <v>24.85</v>
      </c>
      <c r="AB226" s="2346">
        <v>27.72</v>
      </c>
      <c r="AC226" s="2346">
        <v>31.49</v>
      </c>
      <c r="AD226" s="2346">
        <v>37.03</v>
      </c>
      <c r="AE226" s="2347">
        <v>475</v>
      </c>
      <c r="AF226" s="2275"/>
      <c r="AG226" s="2275">
        <f>HLOOKUP(AG222,D223:AD235,2,0)</f>
        <v>0</v>
      </c>
      <c r="AH226" s="2275">
        <f t="shared" ref="AH226:AH236" si="114">+AG227</f>
        <v>10.1</v>
      </c>
      <c r="AI226" s="2275">
        <v>400</v>
      </c>
      <c r="AJ226" s="2275"/>
      <c r="AK226" s="2275"/>
      <c r="AL226" s="2275"/>
      <c r="AM226" s="2275"/>
      <c r="AN226" s="2275"/>
      <c r="AO226" s="2275"/>
      <c r="AP226" s="2250"/>
      <c r="AQ226" s="2250"/>
      <c r="AR226" s="2250"/>
      <c r="AS226" s="2250"/>
      <c r="AT226" s="2250"/>
      <c r="AU226" s="2250"/>
      <c r="AV226" s="2250"/>
      <c r="AW226" s="2250"/>
      <c r="AX226" s="2250"/>
      <c r="AY226" s="2250"/>
      <c r="AZ226" s="2250"/>
      <c r="BA226" s="2250"/>
      <c r="BB226" s="2250"/>
      <c r="BC226" s="2250"/>
      <c r="BD226" s="2250"/>
      <c r="BE226" s="2250"/>
      <c r="BF226" s="2276"/>
      <c r="BG226" s="2276"/>
      <c r="BH226" s="2250"/>
      <c r="BI226" s="2275"/>
      <c r="BJ226" s="4670"/>
      <c r="BK226" s="2345">
        <v>475</v>
      </c>
      <c r="BL226" s="2346">
        <v>5.35</v>
      </c>
      <c r="BM226" s="2346">
        <v>5.74</v>
      </c>
      <c r="BN226" s="2346">
        <v>6.14</v>
      </c>
      <c r="BO226" s="2346">
        <v>6.63</v>
      </c>
      <c r="BP226" s="2346">
        <v>7.03</v>
      </c>
      <c r="BQ226" s="2346">
        <v>7.13</v>
      </c>
      <c r="BR226" s="2346">
        <v>7.62</v>
      </c>
      <c r="BS226" s="2346">
        <v>8.2200000000000006</v>
      </c>
      <c r="BT226" s="2346">
        <v>8.7100000000000009</v>
      </c>
      <c r="BU226" s="2346">
        <v>9.2100000000000009</v>
      </c>
      <c r="BV226" s="2346">
        <v>10.199999999999999</v>
      </c>
      <c r="BW226" s="2346">
        <v>10.99</v>
      </c>
      <c r="BX226" s="2346">
        <v>11.39</v>
      </c>
      <c r="BY226" s="2346">
        <v>11.98</v>
      </c>
      <c r="BZ226" s="2346">
        <v>12.38</v>
      </c>
      <c r="CA226" s="2346">
        <v>13.17</v>
      </c>
      <c r="CB226" s="2346">
        <v>13.96</v>
      </c>
      <c r="CC226" s="2346">
        <v>15.15</v>
      </c>
      <c r="CD226" s="2346">
        <v>16.14</v>
      </c>
      <c r="CE226" s="2346">
        <v>17.13</v>
      </c>
      <c r="CF226" s="2346">
        <v>18.420000000000002</v>
      </c>
      <c r="CG226" s="2346">
        <v>20.399999999999999</v>
      </c>
      <c r="CH226" s="2346">
        <v>22.18</v>
      </c>
      <c r="CI226" s="2346">
        <v>24.85</v>
      </c>
      <c r="CJ226" s="2346">
        <v>27.72</v>
      </c>
      <c r="CK226" s="2346">
        <v>31.49</v>
      </c>
      <c r="CL226" s="2346">
        <v>37.03</v>
      </c>
      <c r="CM226" s="2347">
        <v>475</v>
      </c>
      <c r="CN226" s="2275"/>
      <c r="CO226" s="2275">
        <f>HLOOKUP(CO222,BL223:CL235,2,0)</f>
        <v>0</v>
      </c>
      <c r="CP226" s="2275">
        <f t="shared" ref="CP226:CP236" si="115">+CO227</f>
        <v>9.31</v>
      </c>
      <c r="CQ226" s="2275">
        <v>400</v>
      </c>
      <c r="CR226" s="2275"/>
      <c r="CS226" s="2275"/>
      <c r="CT226" s="2275"/>
      <c r="CU226" s="2275"/>
      <c r="CV226" s="2275"/>
      <c r="CW226" s="2275"/>
      <c r="CX226" s="2250"/>
      <c r="CY226" s="2250"/>
      <c r="CZ226" s="2250"/>
      <c r="DA226" s="2250"/>
      <c r="DB226" s="2250"/>
      <c r="DC226" s="2250"/>
      <c r="DD226" s="2250"/>
      <c r="DE226" s="2250"/>
      <c r="DF226" s="2250"/>
      <c r="DG226" s="2250"/>
      <c r="DH226" s="2250"/>
      <c r="DI226" s="2250"/>
      <c r="DJ226" s="2250"/>
      <c r="DK226" s="2250"/>
      <c r="DL226" s="2250"/>
      <c r="DM226" s="2250"/>
      <c r="DN226" s="2250"/>
      <c r="DO226" s="2250"/>
      <c r="DP226" s="2250"/>
      <c r="DQ226" s="2277"/>
      <c r="DR226" s="2277"/>
      <c r="DS226" s="277"/>
      <c r="DW226" s="2275"/>
      <c r="DX226" s="4670"/>
      <c r="DY226" s="2345">
        <v>475</v>
      </c>
      <c r="DZ226" s="2346">
        <v>5.35</v>
      </c>
      <c r="EA226" s="2346">
        <v>5.74</v>
      </c>
      <c r="EB226" s="2346">
        <v>6.14</v>
      </c>
      <c r="EC226" s="2346">
        <v>6.63</v>
      </c>
      <c r="ED226" s="2346">
        <v>7.03</v>
      </c>
      <c r="EE226" s="2346">
        <v>7.13</v>
      </c>
      <c r="EF226" s="2346">
        <v>7.62</v>
      </c>
      <c r="EG226" s="2346">
        <v>8.2200000000000006</v>
      </c>
      <c r="EH226" s="2346">
        <v>8.7100000000000009</v>
      </c>
      <c r="EI226" s="2346">
        <v>9.2100000000000009</v>
      </c>
      <c r="EJ226" s="2346">
        <v>10.199999999999999</v>
      </c>
      <c r="EK226" s="2346">
        <v>10.99</v>
      </c>
      <c r="EL226" s="2346">
        <v>11.39</v>
      </c>
      <c r="EM226" s="2346">
        <v>11.98</v>
      </c>
      <c r="EN226" s="2346">
        <v>12.38</v>
      </c>
      <c r="EO226" s="2346">
        <v>13.17</v>
      </c>
      <c r="EP226" s="2346">
        <v>13.96</v>
      </c>
      <c r="EQ226" s="2346">
        <v>15.15</v>
      </c>
      <c r="ER226" s="2346">
        <v>16.14</v>
      </c>
      <c r="ES226" s="2346">
        <v>17.13</v>
      </c>
      <c r="ET226" s="2346">
        <v>18.420000000000002</v>
      </c>
      <c r="EU226" s="2346">
        <v>20.399999999999999</v>
      </c>
      <c r="EV226" s="2346">
        <v>22.18</v>
      </c>
      <c r="EW226" s="2346">
        <v>24.85</v>
      </c>
      <c r="EX226" s="2346">
        <v>27.72</v>
      </c>
      <c r="EY226" s="2346">
        <v>31.49</v>
      </c>
      <c r="EZ226" s="2346">
        <v>37.03</v>
      </c>
      <c r="FA226" s="2347">
        <v>475</v>
      </c>
      <c r="FB226" s="2275"/>
      <c r="FC226" s="2275">
        <f>HLOOKUP(FC222,DZ223:EZ235,2,0)</f>
        <v>0</v>
      </c>
      <c r="FD226" s="2275">
        <f t="shared" ref="FD226:FD236" si="116">+FC227</f>
        <v>14.95</v>
      </c>
      <c r="FE226" s="2275">
        <v>400</v>
      </c>
      <c r="FF226" s="2275"/>
      <c r="FG226" s="2275"/>
      <c r="FH226" s="2275"/>
      <c r="FI226" s="2275"/>
      <c r="FJ226" s="2275"/>
      <c r="FK226" s="2275"/>
      <c r="FL226" s="2250"/>
      <c r="FM226" s="2250"/>
      <c r="FN226" s="2250"/>
      <c r="FO226" s="2250"/>
      <c r="FP226" s="2250"/>
      <c r="FQ226" s="2250"/>
      <c r="FR226" s="2250"/>
      <c r="FS226" s="2250"/>
      <c r="FT226" s="2250"/>
      <c r="FU226" s="2250"/>
      <c r="FV226" s="2250"/>
      <c r="FW226" s="2250"/>
      <c r="FX226" s="2250"/>
      <c r="FY226" s="2250"/>
      <c r="FZ226" s="2250"/>
      <c r="GA226" s="2250"/>
      <c r="GB226" s="2276"/>
      <c r="GC226" s="2276"/>
      <c r="GD226" s="2250"/>
      <c r="GE226" s="2275"/>
      <c r="GF226" s="4670"/>
      <c r="GG226" s="2345">
        <v>475</v>
      </c>
      <c r="GH226" s="2346">
        <v>5.35</v>
      </c>
      <c r="GI226" s="2346">
        <v>5.74</v>
      </c>
      <c r="GJ226" s="2346">
        <v>6.14</v>
      </c>
      <c r="GK226" s="2346">
        <v>6.63</v>
      </c>
      <c r="GL226" s="2346">
        <v>7.03</v>
      </c>
      <c r="GM226" s="2346">
        <v>7.13</v>
      </c>
      <c r="GN226" s="2346">
        <v>7.62</v>
      </c>
      <c r="GO226" s="2346">
        <v>8.2200000000000006</v>
      </c>
      <c r="GP226" s="2346">
        <v>8.7100000000000009</v>
      </c>
      <c r="GQ226" s="2346">
        <v>9.2100000000000009</v>
      </c>
      <c r="GR226" s="2346">
        <v>10.199999999999999</v>
      </c>
      <c r="GS226" s="2346">
        <v>10.99</v>
      </c>
      <c r="GT226" s="2346">
        <v>11.39</v>
      </c>
      <c r="GU226" s="2346">
        <v>11.98</v>
      </c>
      <c r="GV226" s="2346">
        <v>12.38</v>
      </c>
      <c r="GW226" s="2346">
        <v>13.17</v>
      </c>
      <c r="GX226" s="2346">
        <v>13.96</v>
      </c>
      <c r="GY226" s="2346">
        <v>15.15</v>
      </c>
      <c r="GZ226" s="2346">
        <v>16.14</v>
      </c>
      <c r="HA226" s="2346">
        <v>17.13</v>
      </c>
      <c r="HB226" s="2346">
        <v>18.420000000000002</v>
      </c>
      <c r="HC226" s="2346">
        <v>20.399999999999999</v>
      </c>
      <c r="HD226" s="2346">
        <v>22.18</v>
      </c>
      <c r="HE226" s="2346">
        <v>24.85</v>
      </c>
      <c r="HF226" s="2346">
        <v>27.72</v>
      </c>
      <c r="HG226" s="2346">
        <v>31.49</v>
      </c>
      <c r="HH226" s="2346">
        <v>37.03</v>
      </c>
      <c r="HI226" s="2347">
        <v>475</v>
      </c>
      <c r="HJ226" s="2275"/>
      <c r="HK226" s="2275">
        <f>HLOOKUP(HK222,GH223:HH235,2,0)</f>
        <v>0</v>
      </c>
      <c r="HL226" s="2275">
        <f t="shared" ref="HL226:HL236" si="117">+HK227</f>
        <v>13.66</v>
      </c>
      <c r="HM226" s="2275">
        <v>400</v>
      </c>
      <c r="HN226" s="2275"/>
      <c r="HO226" s="2275"/>
      <c r="HP226" s="2275"/>
      <c r="HQ226" s="2275"/>
      <c r="HR226" s="2275"/>
      <c r="HS226" s="2275"/>
      <c r="HT226" s="2250"/>
      <c r="HU226" s="2250"/>
      <c r="HV226" s="2250"/>
      <c r="HW226" s="2250"/>
      <c r="HX226" s="2250"/>
      <c r="HY226" s="2250"/>
      <c r="HZ226" s="2250"/>
      <c r="IA226" s="2250"/>
      <c r="IB226" s="2250"/>
      <c r="IC226" s="2250"/>
      <c r="ID226" s="2250"/>
      <c r="IE226" s="2250"/>
      <c r="IF226" s="2250"/>
      <c r="IG226" s="2250"/>
      <c r="IH226" s="2250"/>
      <c r="II226" s="2250"/>
      <c r="IJ226" s="2250"/>
      <c r="IK226" s="2250"/>
      <c r="IL226" s="2250"/>
      <c r="IN226" s="277"/>
      <c r="IO226" s="277"/>
    </row>
    <row r="227" spans="1:249" ht="21.95" customHeight="1">
      <c r="A227" s="2275"/>
      <c r="B227" s="4670"/>
      <c r="C227" s="2345">
        <v>550</v>
      </c>
      <c r="D227" s="2346">
        <v>10.4</v>
      </c>
      <c r="E227" s="2346">
        <v>11.19</v>
      </c>
      <c r="F227" s="2346">
        <v>12.08</v>
      </c>
      <c r="G227" s="2346">
        <v>12.97</v>
      </c>
      <c r="H227" s="2346">
        <v>13.76</v>
      </c>
      <c r="I227" s="2346">
        <v>13.96</v>
      </c>
      <c r="J227" s="2346">
        <v>14.95</v>
      </c>
      <c r="K227" s="2346">
        <v>15.94</v>
      </c>
      <c r="L227" s="2346">
        <v>16.93</v>
      </c>
      <c r="M227" s="2346">
        <v>18.02</v>
      </c>
      <c r="N227" s="2346">
        <v>19.8</v>
      </c>
      <c r="O227" s="2346">
        <v>21.09</v>
      </c>
      <c r="P227" s="2346">
        <v>22.28</v>
      </c>
      <c r="Q227" s="2346">
        <v>23.37</v>
      </c>
      <c r="R227" s="2346">
        <v>24.06</v>
      </c>
      <c r="S227" s="2346">
        <v>25.64</v>
      </c>
      <c r="T227" s="2346">
        <v>27.23</v>
      </c>
      <c r="U227" s="2346">
        <v>29.5</v>
      </c>
      <c r="V227" s="2346">
        <v>31.58</v>
      </c>
      <c r="W227" s="2346">
        <v>34.06</v>
      </c>
      <c r="X227" s="2346">
        <v>36.340000000000003</v>
      </c>
      <c r="Y227" s="2346">
        <v>39.799999999999997</v>
      </c>
      <c r="Z227" s="2346">
        <v>43.27</v>
      </c>
      <c r="AA227" s="2346">
        <v>48.12</v>
      </c>
      <c r="AB227" s="2346">
        <v>53.56</v>
      </c>
      <c r="AC227" s="2346">
        <v>59.7</v>
      </c>
      <c r="AD227" s="2346">
        <v>65.84</v>
      </c>
      <c r="AE227" s="2347">
        <v>550</v>
      </c>
      <c r="AF227" s="2275"/>
      <c r="AG227" s="2275">
        <f>HLOOKUP(AG222,D223:AD235,3,0)</f>
        <v>10.1</v>
      </c>
      <c r="AH227" s="2275">
        <f t="shared" si="114"/>
        <v>15.15</v>
      </c>
      <c r="AI227" s="2275">
        <v>475</v>
      </c>
      <c r="AJ227" s="2275"/>
      <c r="AK227" s="2275"/>
      <c r="AL227" s="2275"/>
      <c r="AM227" s="2275"/>
      <c r="AN227" s="2275"/>
      <c r="AO227" s="2275"/>
      <c r="AP227" s="2250"/>
      <c r="AQ227" s="2250"/>
      <c r="AR227" s="2250"/>
      <c r="AS227" s="2250"/>
      <c r="AT227" s="2250"/>
      <c r="AU227" s="2250"/>
      <c r="AV227" s="2250"/>
      <c r="AW227" s="2250"/>
      <c r="AX227" s="2250"/>
      <c r="AY227" s="2250"/>
      <c r="AZ227" s="2250"/>
      <c r="BA227" s="2250"/>
      <c r="BB227" s="2250"/>
      <c r="BC227" s="2250"/>
      <c r="BD227" s="2250"/>
      <c r="BE227" s="2250"/>
      <c r="BF227" s="2276"/>
      <c r="BG227" s="2276"/>
      <c r="BH227" s="2250"/>
      <c r="BI227" s="2275"/>
      <c r="BJ227" s="4670"/>
      <c r="BK227" s="2345">
        <v>550</v>
      </c>
      <c r="BL227" s="2346">
        <v>10.4</v>
      </c>
      <c r="BM227" s="2346">
        <v>11.19</v>
      </c>
      <c r="BN227" s="2346">
        <v>12.08</v>
      </c>
      <c r="BO227" s="2346">
        <v>12.97</v>
      </c>
      <c r="BP227" s="2346">
        <v>13.76</v>
      </c>
      <c r="BQ227" s="2346">
        <v>13.96</v>
      </c>
      <c r="BR227" s="2346">
        <v>14.95</v>
      </c>
      <c r="BS227" s="2346">
        <v>15.94</v>
      </c>
      <c r="BT227" s="2346">
        <v>16.93</v>
      </c>
      <c r="BU227" s="2346">
        <v>18.02</v>
      </c>
      <c r="BV227" s="2346">
        <v>19.8</v>
      </c>
      <c r="BW227" s="2346">
        <v>21.09</v>
      </c>
      <c r="BX227" s="2346">
        <v>22.28</v>
      </c>
      <c r="BY227" s="2346">
        <v>23.37</v>
      </c>
      <c r="BZ227" s="2346">
        <v>24.06</v>
      </c>
      <c r="CA227" s="2346">
        <v>25.64</v>
      </c>
      <c r="CB227" s="2346">
        <v>27.23</v>
      </c>
      <c r="CC227" s="2346">
        <v>29.5</v>
      </c>
      <c r="CD227" s="2346">
        <v>31.58</v>
      </c>
      <c r="CE227" s="2346">
        <v>34.06</v>
      </c>
      <c r="CF227" s="2346">
        <v>36.340000000000003</v>
      </c>
      <c r="CG227" s="2346">
        <v>39.799999999999997</v>
      </c>
      <c r="CH227" s="2346">
        <v>43.27</v>
      </c>
      <c r="CI227" s="2346">
        <v>48.12</v>
      </c>
      <c r="CJ227" s="2346">
        <v>53.56</v>
      </c>
      <c r="CK227" s="2346">
        <v>59.7</v>
      </c>
      <c r="CL227" s="2346">
        <v>65.84</v>
      </c>
      <c r="CM227" s="2347">
        <v>550</v>
      </c>
      <c r="CN227" s="2275"/>
      <c r="CO227" s="2275">
        <f>HLOOKUP(CO222,BL223:CL235,3,0)</f>
        <v>9.31</v>
      </c>
      <c r="CP227" s="2275">
        <f t="shared" si="115"/>
        <v>13.96</v>
      </c>
      <c r="CQ227" s="2275">
        <v>475</v>
      </c>
      <c r="CR227" s="2275"/>
      <c r="CS227" s="2275"/>
      <c r="CT227" s="2275"/>
      <c r="CU227" s="2275"/>
      <c r="CV227" s="2275"/>
      <c r="CW227" s="2275"/>
      <c r="CX227" s="2250"/>
      <c r="CY227" s="2250"/>
      <c r="CZ227" s="2250"/>
      <c r="DA227" s="2250"/>
      <c r="DB227" s="2250"/>
      <c r="DC227" s="2250"/>
      <c r="DD227" s="2250"/>
      <c r="DE227" s="2250"/>
      <c r="DF227" s="2250"/>
      <c r="DG227" s="2250"/>
      <c r="DH227" s="2250"/>
      <c r="DI227" s="2250"/>
      <c r="DJ227" s="2250"/>
      <c r="DK227" s="2250"/>
      <c r="DL227" s="2250"/>
      <c r="DM227" s="2250"/>
      <c r="DN227" s="2250"/>
      <c r="DO227" s="2250"/>
      <c r="DP227" s="2250"/>
      <c r="DQ227" s="2277"/>
      <c r="DR227" s="2277"/>
      <c r="DS227" s="277"/>
      <c r="DW227" s="2275"/>
      <c r="DX227" s="4670"/>
      <c r="DY227" s="2345">
        <v>550</v>
      </c>
      <c r="DZ227" s="2346">
        <v>10.4</v>
      </c>
      <c r="EA227" s="2346">
        <v>11.19</v>
      </c>
      <c r="EB227" s="2346">
        <v>12.08</v>
      </c>
      <c r="EC227" s="2346">
        <v>12.97</v>
      </c>
      <c r="ED227" s="2346">
        <v>13.76</v>
      </c>
      <c r="EE227" s="2346">
        <v>13.96</v>
      </c>
      <c r="EF227" s="2346">
        <v>14.95</v>
      </c>
      <c r="EG227" s="2346">
        <v>15.94</v>
      </c>
      <c r="EH227" s="2346">
        <v>16.93</v>
      </c>
      <c r="EI227" s="2346">
        <v>18.02</v>
      </c>
      <c r="EJ227" s="2346">
        <v>19.8</v>
      </c>
      <c r="EK227" s="2346">
        <v>21.09</v>
      </c>
      <c r="EL227" s="2346">
        <v>22.28</v>
      </c>
      <c r="EM227" s="2346">
        <v>23.37</v>
      </c>
      <c r="EN227" s="2346">
        <v>24.06</v>
      </c>
      <c r="EO227" s="2346">
        <v>25.64</v>
      </c>
      <c r="EP227" s="2346">
        <v>27.23</v>
      </c>
      <c r="EQ227" s="2346">
        <v>29.5</v>
      </c>
      <c r="ER227" s="2346">
        <v>31.58</v>
      </c>
      <c r="ES227" s="2346">
        <v>34.06</v>
      </c>
      <c r="ET227" s="2346">
        <v>36.340000000000003</v>
      </c>
      <c r="EU227" s="2346">
        <v>39.799999999999997</v>
      </c>
      <c r="EV227" s="2346">
        <v>43.27</v>
      </c>
      <c r="EW227" s="2346">
        <v>48.12</v>
      </c>
      <c r="EX227" s="2346">
        <v>53.56</v>
      </c>
      <c r="EY227" s="2346">
        <v>59.7</v>
      </c>
      <c r="EZ227" s="2346">
        <v>65.84</v>
      </c>
      <c r="FA227" s="2347">
        <v>550</v>
      </c>
      <c r="FB227" s="2275"/>
      <c r="FC227" s="2275">
        <f>HLOOKUP(FC222,DZ223:EZ235,3,0)</f>
        <v>14.95</v>
      </c>
      <c r="FD227" s="2275">
        <f t="shared" si="116"/>
        <v>22.18</v>
      </c>
      <c r="FE227" s="2275">
        <v>475</v>
      </c>
      <c r="FF227" s="2275"/>
      <c r="FG227" s="2275"/>
      <c r="FH227" s="2275"/>
      <c r="FI227" s="2275"/>
      <c r="FJ227" s="2275"/>
      <c r="FK227" s="2275"/>
      <c r="FL227" s="2250"/>
      <c r="FM227" s="2250"/>
      <c r="FN227" s="2250"/>
      <c r="FO227" s="2250"/>
      <c r="FP227" s="2250"/>
      <c r="FQ227" s="2250"/>
      <c r="FR227" s="2250"/>
      <c r="FS227" s="2250"/>
      <c r="FT227" s="2250"/>
      <c r="FU227" s="2250"/>
      <c r="FV227" s="2250"/>
      <c r="FW227" s="2250"/>
      <c r="FX227" s="2250"/>
      <c r="FY227" s="2250"/>
      <c r="FZ227" s="2250"/>
      <c r="GA227" s="2250"/>
      <c r="GB227" s="2276"/>
      <c r="GC227" s="2276"/>
      <c r="GD227" s="2250"/>
      <c r="GE227" s="2275"/>
      <c r="GF227" s="4670"/>
      <c r="GG227" s="2345">
        <v>550</v>
      </c>
      <c r="GH227" s="2346">
        <v>10.4</v>
      </c>
      <c r="GI227" s="2346">
        <v>11.19</v>
      </c>
      <c r="GJ227" s="2346">
        <v>12.08</v>
      </c>
      <c r="GK227" s="2346">
        <v>12.97</v>
      </c>
      <c r="GL227" s="2346">
        <v>13.76</v>
      </c>
      <c r="GM227" s="2346">
        <v>13.96</v>
      </c>
      <c r="GN227" s="2346">
        <v>14.95</v>
      </c>
      <c r="GO227" s="2346">
        <v>15.94</v>
      </c>
      <c r="GP227" s="2346">
        <v>16.93</v>
      </c>
      <c r="GQ227" s="2346">
        <v>18.02</v>
      </c>
      <c r="GR227" s="2346">
        <v>19.8</v>
      </c>
      <c r="GS227" s="2346">
        <v>21.09</v>
      </c>
      <c r="GT227" s="2346">
        <v>22.28</v>
      </c>
      <c r="GU227" s="2346">
        <v>23.37</v>
      </c>
      <c r="GV227" s="2346">
        <v>24.06</v>
      </c>
      <c r="GW227" s="2346">
        <v>25.64</v>
      </c>
      <c r="GX227" s="2346">
        <v>27.23</v>
      </c>
      <c r="GY227" s="2346">
        <v>29.5</v>
      </c>
      <c r="GZ227" s="2346">
        <v>31.58</v>
      </c>
      <c r="HA227" s="2346">
        <v>34.06</v>
      </c>
      <c r="HB227" s="2346">
        <v>36.340000000000003</v>
      </c>
      <c r="HC227" s="2346">
        <v>39.799999999999997</v>
      </c>
      <c r="HD227" s="2346">
        <v>43.27</v>
      </c>
      <c r="HE227" s="2346">
        <v>48.12</v>
      </c>
      <c r="HF227" s="2346">
        <v>53.56</v>
      </c>
      <c r="HG227" s="2346">
        <v>59.7</v>
      </c>
      <c r="HH227" s="2346">
        <v>65.84</v>
      </c>
      <c r="HI227" s="2347">
        <v>550</v>
      </c>
      <c r="HJ227" s="2275"/>
      <c r="HK227" s="2275">
        <f>HLOOKUP(HK222,GH223:HH235,3,0)</f>
        <v>13.66</v>
      </c>
      <c r="HL227" s="2275">
        <f t="shared" si="117"/>
        <v>20.399999999999999</v>
      </c>
      <c r="HM227" s="2275">
        <v>475</v>
      </c>
      <c r="HN227" s="2275"/>
      <c r="HO227" s="2275"/>
      <c r="HP227" s="2275"/>
      <c r="HQ227" s="2275"/>
      <c r="HR227" s="2275"/>
      <c r="HS227" s="2275"/>
      <c r="HT227" s="2250"/>
      <c r="HU227" s="2250"/>
      <c r="HV227" s="2250"/>
      <c r="HW227" s="2250"/>
      <c r="HX227" s="2250"/>
      <c r="HY227" s="2250"/>
      <c r="HZ227" s="2250"/>
      <c r="IA227" s="2250"/>
      <c r="IB227" s="2250"/>
      <c r="IC227" s="2250"/>
      <c r="ID227" s="2250"/>
      <c r="IE227" s="2250"/>
      <c r="IF227" s="2250"/>
      <c r="IG227" s="2250"/>
      <c r="IH227" s="2250"/>
      <c r="II227" s="2250"/>
      <c r="IJ227" s="2250"/>
      <c r="IK227" s="2250"/>
      <c r="IL227" s="2250"/>
      <c r="IN227" s="277"/>
      <c r="IO227" s="277"/>
    </row>
    <row r="228" spans="1:249" ht="21.95" customHeight="1">
      <c r="A228" s="2275"/>
      <c r="B228" s="4671"/>
      <c r="C228" s="2345">
        <v>650</v>
      </c>
      <c r="D228" s="2346">
        <v>17.920000000000002</v>
      </c>
      <c r="E228" s="2346">
        <v>19.41</v>
      </c>
      <c r="F228" s="2346">
        <v>20.89</v>
      </c>
      <c r="G228" s="2346">
        <v>22.38</v>
      </c>
      <c r="H228" s="2346">
        <v>23.76</v>
      </c>
      <c r="I228" s="2346">
        <v>24.06</v>
      </c>
      <c r="J228" s="2346">
        <v>25.74</v>
      </c>
      <c r="K228" s="2346">
        <v>27.62</v>
      </c>
      <c r="L228" s="2346">
        <v>29.21</v>
      </c>
      <c r="M228" s="2346">
        <v>31.19</v>
      </c>
      <c r="N228" s="2346">
        <v>34.36</v>
      </c>
      <c r="O228" s="2346">
        <v>37.130000000000003</v>
      </c>
      <c r="P228" s="2346">
        <v>38.42</v>
      </c>
      <c r="Q228" s="2346">
        <v>40.4</v>
      </c>
      <c r="R228" s="2346">
        <v>42.57</v>
      </c>
      <c r="S228" s="2346">
        <v>44.06</v>
      </c>
      <c r="T228" s="2346">
        <v>46.93</v>
      </c>
      <c r="U228" s="2346">
        <v>49.9</v>
      </c>
      <c r="V228" s="2346">
        <v>53.76</v>
      </c>
      <c r="W228" s="2346">
        <v>57.72</v>
      </c>
      <c r="X228" s="2346">
        <v>62.97</v>
      </c>
      <c r="Y228" s="2346">
        <v>66.83</v>
      </c>
      <c r="Z228" s="2346">
        <v>72.87</v>
      </c>
      <c r="AA228" s="2346">
        <v>79.599999999999994</v>
      </c>
      <c r="AB228" s="2346">
        <v>89.6</v>
      </c>
      <c r="AC228" s="2346">
        <v>105.45</v>
      </c>
      <c r="AD228" s="2346">
        <v>113.76</v>
      </c>
      <c r="AE228" s="2347">
        <v>650</v>
      </c>
      <c r="AF228" s="2275"/>
      <c r="AG228" s="2275">
        <f>HLOOKUP(AG222,D223:AD235,4,0)</f>
        <v>15.15</v>
      </c>
      <c r="AH228" s="2275">
        <f t="shared" si="114"/>
        <v>29.5</v>
      </c>
      <c r="AI228" s="2275">
        <v>550</v>
      </c>
      <c r="AJ228" s="2275"/>
      <c r="AK228" s="2275"/>
      <c r="AL228" s="2275"/>
      <c r="AM228" s="2275"/>
      <c r="AN228" s="2275"/>
      <c r="AO228" s="2275"/>
      <c r="AP228" s="2250"/>
      <c r="AQ228" s="2250"/>
      <c r="AR228" s="2250"/>
      <c r="AS228" s="2250"/>
      <c r="AT228" s="2250"/>
      <c r="AU228" s="2250"/>
      <c r="AV228" s="2250"/>
      <c r="AW228" s="2250"/>
      <c r="AX228" s="2250"/>
      <c r="AY228" s="2250"/>
      <c r="AZ228" s="2250"/>
      <c r="BA228" s="2250"/>
      <c r="BB228" s="2250"/>
      <c r="BC228" s="2250"/>
      <c r="BD228" s="2250"/>
      <c r="BE228" s="2250"/>
      <c r="BF228" s="2276"/>
      <c r="BG228" s="2276"/>
      <c r="BH228" s="2250"/>
      <c r="BI228" s="2275"/>
      <c r="BJ228" s="4671"/>
      <c r="BK228" s="2345">
        <v>650</v>
      </c>
      <c r="BL228" s="2346">
        <v>17.920000000000002</v>
      </c>
      <c r="BM228" s="2346">
        <v>19.41</v>
      </c>
      <c r="BN228" s="2346">
        <v>20.89</v>
      </c>
      <c r="BO228" s="2346">
        <v>22.38</v>
      </c>
      <c r="BP228" s="2346">
        <v>23.76</v>
      </c>
      <c r="BQ228" s="2346">
        <v>24.06</v>
      </c>
      <c r="BR228" s="2346">
        <v>25.74</v>
      </c>
      <c r="BS228" s="2346">
        <v>27.62</v>
      </c>
      <c r="BT228" s="2346">
        <v>29.21</v>
      </c>
      <c r="BU228" s="2346">
        <v>31.19</v>
      </c>
      <c r="BV228" s="2346">
        <v>34.36</v>
      </c>
      <c r="BW228" s="2346">
        <v>37.130000000000003</v>
      </c>
      <c r="BX228" s="2346">
        <v>38.42</v>
      </c>
      <c r="BY228" s="2346">
        <v>40.4</v>
      </c>
      <c r="BZ228" s="2346">
        <v>42.57</v>
      </c>
      <c r="CA228" s="2346">
        <v>44.06</v>
      </c>
      <c r="CB228" s="2346">
        <v>46.93</v>
      </c>
      <c r="CC228" s="2346">
        <v>49.9</v>
      </c>
      <c r="CD228" s="2346">
        <v>53.76</v>
      </c>
      <c r="CE228" s="2346">
        <v>57.72</v>
      </c>
      <c r="CF228" s="2346">
        <v>62.97</v>
      </c>
      <c r="CG228" s="2346">
        <v>66.83</v>
      </c>
      <c r="CH228" s="2346">
        <v>72.87</v>
      </c>
      <c r="CI228" s="2346">
        <v>79.599999999999994</v>
      </c>
      <c r="CJ228" s="2346">
        <v>89.6</v>
      </c>
      <c r="CK228" s="2346">
        <v>105.45</v>
      </c>
      <c r="CL228" s="2346">
        <v>113.76</v>
      </c>
      <c r="CM228" s="2347">
        <v>650</v>
      </c>
      <c r="CN228" s="2275"/>
      <c r="CO228" s="2275">
        <f>HLOOKUP(CO222,BL223:CL235,4,0)</f>
        <v>13.96</v>
      </c>
      <c r="CP228" s="2275">
        <f t="shared" si="115"/>
        <v>27.23</v>
      </c>
      <c r="CQ228" s="2275">
        <v>550</v>
      </c>
      <c r="CR228" s="2275"/>
      <c r="CS228" s="2275"/>
      <c r="CT228" s="2275"/>
      <c r="CU228" s="2275"/>
      <c r="CV228" s="2275"/>
      <c r="CW228" s="2275"/>
      <c r="CX228" s="2250"/>
      <c r="CY228" s="2250"/>
      <c r="CZ228" s="2250"/>
      <c r="DA228" s="2250"/>
      <c r="DB228" s="2250"/>
      <c r="DC228" s="2250"/>
      <c r="DD228" s="2250"/>
      <c r="DE228" s="2250"/>
      <c r="DF228" s="2250"/>
      <c r="DG228" s="2250"/>
      <c r="DH228" s="2250"/>
      <c r="DI228" s="2250"/>
      <c r="DJ228" s="2250"/>
      <c r="DK228" s="2250"/>
      <c r="DL228" s="2250"/>
      <c r="DM228" s="2250"/>
      <c r="DN228" s="2250"/>
      <c r="DO228" s="2250"/>
      <c r="DP228" s="2250"/>
      <c r="DQ228" s="2277"/>
      <c r="DR228" s="2277"/>
      <c r="DS228" s="277"/>
      <c r="DW228" s="2275"/>
      <c r="DX228" s="4671"/>
      <c r="DY228" s="2345">
        <v>650</v>
      </c>
      <c r="DZ228" s="2346">
        <v>17.920000000000002</v>
      </c>
      <c r="EA228" s="2346">
        <v>19.41</v>
      </c>
      <c r="EB228" s="2346">
        <v>20.89</v>
      </c>
      <c r="EC228" s="2346">
        <v>22.38</v>
      </c>
      <c r="ED228" s="2346">
        <v>23.76</v>
      </c>
      <c r="EE228" s="2346">
        <v>24.06</v>
      </c>
      <c r="EF228" s="2346">
        <v>25.74</v>
      </c>
      <c r="EG228" s="2346">
        <v>27.62</v>
      </c>
      <c r="EH228" s="2346">
        <v>29.21</v>
      </c>
      <c r="EI228" s="2346">
        <v>31.19</v>
      </c>
      <c r="EJ228" s="2346">
        <v>34.36</v>
      </c>
      <c r="EK228" s="2346">
        <v>37.130000000000003</v>
      </c>
      <c r="EL228" s="2346">
        <v>38.42</v>
      </c>
      <c r="EM228" s="2346">
        <v>40.4</v>
      </c>
      <c r="EN228" s="2346">
        <v>42.57</v>
      </c>
      <c r="EO228" s="2346">
        <v>44.06</v>
      </c>
      <c r="EP228" s="2346">
        <v>46.93</v>
      </c>
      <c r="EQ228" s="2346">
        <v>49.9</v>
      </c>
      <c r="ER228" s="2346">
        <v>53.76</v>
      </c>
      <c r="ES228" s="2346">
        <v>57.72</v>
      </c>
      <c r="ET228" s="2346">
        <v>62.97</v>
      </c>
      <c r="EU228" s="2346">
        <v>66.83</v>
      </c>
      <c r="EV228" s="2346">
        <v>72.87</v>
      </c>
      <c r="EW228" s="2346">
        <v>79.599999999999994</v>
      </c>
      <c r="EX228" s="2346">
        <v>89.6</v>
      </c>
      <c r="EY228" s="2346">
        <v>105.45</v>
      </c>
      <c r="EZ228" s="2346">
        <v>113.76</v>
      </c>
      <c r="FA228" s="2347">
        <v>650</v>
      </c>
      <c r="FB228" s="2275"/>
      <c r="FC228" s="2275">
        <f>HLOOKUP(FC222,DZ223:EZ235,4,0)</f>
        <v>22.18</v>
      </c>
      <c r="FD228" s="2275">
        <f t="shared" si="116"/>
        <v>43.27</v>
      </c>
      <c r="FE228" s="2275">
        <v>550</v>
      </c>
      <c r="FF228" s="2275"/>
      <c r="FG228" s="2275"/>
      <c r="FH228" s="2275"/>
      <c r="FI228" s="2275"/>
      <c r="FJ228" s="2275"/>
      <c r="FK228" s="2275"/>
      <c r="FL228" s="2250"/>
      <c r="FM228" s="2250"/>
      <c r="FN228" s="2250"/>
      <c r="FO228" s="2250"/>
      <c r="FP228" s="2250"/>
      <c r="FQ228" s="2250"/>
      <c r="FR228" s="2250"/>
      <c r="FS228" s="2250"/>
      <c r="FT228" s="2250"/>
      <c r="FU228" s="2250"/>
      <c r="FV228" s="2250"/>
      <c r="FW228" s="2250"/>
      <c r="FX228" s="2250"/>
      <c r="FY228" s="2250"/>
      <c r="FZ228" s="2250"/>
      <c r="GA228" s="2250"/>
      <c r="GB228" s="2276"/>
      <c r="GC228" s="2276"/>
      <c r="GD228" s="2250"/>
      <c r="GE228" s="2275"/>
      <c r="GF228" s="4671"/>
      <c r="GG228" s="2345">
        <v>650</v>
      </c>
      <c r="GH228" s="2346">
        <v>17.920000000000002</v>
      </c>
      <c r="GI228" s="2346">
        <v>19.41</v>
      </c>
      <c r="GJ228" s="2346">
        <v>20.89</v>
      </c>
      <c r="GK228" s="2346">
        <v>22.38</v>
      </c>
      <c r="GL228" s="2346">
        <v>23.76</v>
      </c>
      <c r="GM228" s="2346">
        <v>24.06</v>
      </c>
      <c r="GN228" s="2346">
        <v>25.74</v>
      </c>
      <c r="GO228" s="2346">
        <v>27.62</v>
      </c>
      <c r="GP228" s="2346">
        <v>29.21</v>
      </c>
      <c r="GQ228" s="2346">
        <v>31.19</v>
      </c>
      <c r="GR228" s="2346">
        <v>34.36</v>
      </c>
      <c r="GS228" s="2346">
        <v>37.130000000000003</v>
      </c>
      <c r="GT228" s="2346">
        <v>38.42</v>
      </c>
      <c r="GU228" s="2346">
        <v>40.4</v>
      </c>
      <c r="GV228" s="2346">
        <v>42.57</v>
      </c>
      <c r="GW228" s="2346">
        <v>44.06</v>
      </c>
      <c r="GX228" s="2346">
        <v>46.93</v>
      </c>
      <c r="GY228" s="2346">
        <v>49.9</v>
      </c>
      <c r="GZ228" s="2346">
        <v>53.76</v>
      </c>
      <c r="HA228" s="2346">
        <v>57.72</v>
      </c>
      <c r="HB228" s="2346">
        <v>62.97</v>
      </c>
      <c r="HC228" s="2346">
        <v>66.83</v>
      </c>
      <c r="HD228" s="2346">
        <v>72.87</v>
      </c>
      <c r="HE228" s="2346">
        <v>79.599999999999994</v>
      </c>
      <c r="HF228" s="2346">
        <v>89.6</v>
      </c>
      <c r="HG228" s="2346">
        <v>105.45</v>
      </c>
      <c r="HH228" s="2346">
        <v>113.76</v>
      </c>
      <c r="HI228" s="2347">
        <v>650</v>
      </c>
      <c r="HJ228" s="2275"/>
      <c r="HK228" s="2275">
        <f>HLOOKUP(HK222,GH223:HH235,4,0)</f>
        <v>20.399999999999999</v>
      </c>
      <c r="HL228" s="2275">
        <f t="shared" si="117"/>
        <v>39.799999999999997</v>
      </c>
      <c r="HM228" s="2275">
        <v>550</v>
      </c>
      <c r="HN228" s="2275"/>
      <c r="HO228" s="2275"/>
      <c r="HP228" s="2275"/>
      <c r="HQ228" s="2275"/>
      <c r="HR228" s="2275"/>
      <c r="HS228" s="2275"/>
      <c r="HT228" s="2250"/>
      <c r="HU228" s="2250"/>
      <c r="HV228" s="2250"/>
      <c r="HW228" s="2250"/>
      <c r="HX228" s="2250"/>
      <c r="HY228" s="2250"/>
      <c r="HZ228" s="2250"/>
      <c r="IA228" s="2250"/>
      <c r="IB228" s="2250"/>
      <c r="IC228" s="2250"/>
      <c r="ID228" s="2250"/>
      <c r="IE228" s="2250"/>
      <c r="IF228" s="2250"/>
      <c r="IG228" s="2250"/>
      <c r="IH228" s="2250"/>
      <c r="II228" s="2250"/>
      <c r="IJ228" s="2250"/>
      <c r="IK228" s="2250"/>
      <c r="IL228" s="2250"/>
      <c r="IN228" s="277"/>
      <c r="IO228" s="277"/>
    </row>
    <row r="229" spans="1:249" ht="21.95" customHeight="1">
      <c r="A229" s="2275"/>
      <c r="B229" s="4671"/>
      <c r="C229" s="2345">
        <v>775</v>
      </c>
      <c r="D229" s="2346">
        <v>28.51</v>
      </c>
      <c r="E229" s="2346">
        <v>30.79</v>
      </c>
      <c r="F229" s="2346">
        <v>33.07</v>
      </c>
      <c r="G229" s="2346">
        <v>35.450000000000003</v>
      </c>
      <c r="H229" s="2346">
        <v>37.619999999999997</v>
      </c>
      <c r="I229" s="2346">
        <v>38.22</v>
      </c>
      <c r="J229" s="2346">
        <v>40.89</v>
      </c>
      <c r="K229" s="2346">
        <v>43.76</v>
      </c>
      <c r="L229" s="2346">
        <v>46.44</v>
      </c>
      <c r="M229" s="2346">
        <v>49.5</v>
      </c>
      <c r="N229" s="2346">
        <v>54.46</v>
      </c>
      <c r="O229" s="2346">
        <v>58.32</v>
      </c>
      <c r="P229" s="2346">
        <v>60.99</v>
      </c>
      <c r="Q229" s="2346">
        <v>64.16</v>
      </c>
      <c r="R229" s="2346">
        <v>66.14</v>
      </c>
      <c r="S229" s="2346">
        <v>70.099999999999994</v>
      </c>
      <c r="T229" s="2346">
        <v>74.459999999999994</v>
      </c>
      <c r="U229" s="2346">
        <v>81.09</v>
      </c>
      <c r="V229" s="2346">
        <v>86.63</v>
      </c>
      <c r="W229" s="2346">
        <v>92.67</v>
      </c>
      <c r="X229" s="2346">
        <v>98.91</v>
      </c>
      <c r="Y229" s="2346">
        <v>109.11</v>
      </c>
      <c r="Z229" s="2346">
        <v>119.5</v>
      </c>
      <c r="AA229" s="2346">
        <v>131.97999999999999</v>
      </c>
      <c r="AB229" s="2346">
        <v>147.72</v>
      </c>
      <c r="AC229" s="2346">
        <v>168.81</v>
      </c>
      <c r="AD229" s="2346">
        <v>180.69</v>
      </c>
      <c r="AE229" s="2347">
        <v>775</v>
      </c>
      <c r="AF229" s="2275"/>
      <c r="AG229" s="2275">
        <f>HLOOKUP(AG222,D223:AD235,5,0)</f>
        <v>29.5</v>
      </c>
      <c r="AH229" s="2275">
        <f t="shared" si="114"/>
        <v>49.9</v>
      </c>
      <c r="AI229" s="2275">
        <v>650</v>
      </c>
      <c r="AJ229" s="2275"/>
      <c r="AK229" s="2275"/>
      <c r="AL229" s="2275"/>
      <c r="AM229" s="2275"/>
      <c r="AN229" s="2275"/>
      <c r="AO229" s="2275"/>
      <c r="AP229" s="2250"/>
      <c r="AQ229" s="2250"/>
      <c r="AR229" s="2250"/>
      <c r="AS229" s="2250"/>
      <c r="AT229" s="2250"/>
      <c r="AU229" s="2250"/>
      <c r="AV229" s="2250"/>
      <c r="AW229" s="2250"/>
      <c r="AX229" s="2250"/>
      <c r="AY229" s="2250"/>
      <c r="AZ229" s="2250"/>
      <c r="BA229" s="2250"/>
      <c r="BB229" s="2250"/>
      <c r="BC229" s="2250"/>
      <c r="BD229" s="2250"/>
      <c r="BE229" s="2250"/>
      <c r="BF229" s="2276"/>
      <c r="BG229" s="2276"/>
      <c r="BH229" s="2250"/>
      <c r="BI229" s="2275"/>
      <c r="BJ229" s="4671"/>
      <c r="BK229" s="2345">
        <v>775</v>
      </c>
      <c r="BL229" s="2346">
        <v>28.51</v>
      </c>
      <c r="BM229" s="2346">
        <v>30.79</v>
      </c>
      <c r="BN229" s="2346">
        <v>33.07</v>
      </c>
      <c r="BO229" s="2346">
        <v>35.450000000000003</v>
      </c>
      <c r="BP229" s="2346">
        <v>37.619999999999997</v>
      </c>
      <c r="BQ229" s="2346">
        <v>38.22</v>
      </c>
      <c r="BR229" s="2346">
        <v>40.89</v>
      </c>
      <c r="BS229" s="2346">
        <v>43.76</v>
      </c>
      <c r="BT229" s="2346">
        <v>46.44</v>
      </c>
      <c r="BU229" s="2346">
        <v>49.5</v>
      </c>
      <c r="BV229" s="2346">
        <v>54.46</v>
      </c>
      <c r="BW229" s="2346">
        <v>58.32</v>
      </c>
      <c r="BX229" s="2346">
        <v>60.99</v>
      </c>
      <c r="BY229" s="2346">
        <v>64.16</v>
      </c>
      <c r="BZ229" s="2346">
        <v>66.14</v>
      </c>
      <c r="CA229" s="2346">
        <v>70.099999999999994</v>
      </c>
      <c r="CB229" s="2346">
        <v>74.459999999999994</v>
      </c>
      <c r="CC229" s="2346">
        <v>81.09</v>
      </c>
      <c r="CD229" s="2346">
        <v>86.63</v>
      </c>
      <c r="CE229" s="2346">
        <v>92.67</v>
      </c>
      <c r="CF229" s="2346">
        <v>98.91</v>
      </c>
      <c r="CG229" s="2346">
        <v>109.11</v>
      </c>
      <c r="CH229" s="2346">
        <v>119.5</v>
      </c>
      <c r="CI229" s="2346">
        <v>131.97999999999999</v>
      </c>
      <c r="CJ229" s="2346">
        <v>147.72</v>
      </c>
      <c r="CK229" s="2346">
        <v>168.81</v>
      </c>
      <c r="CL229" s="2346">
        <v>180.69</v>
      </c>
      <c r="CM229" s="2347">
        <v>775</v>
      </c>
      <c r="CN229" s="2275"/>
      <c r="CO229" s="2275">
        <f>HLOOKUP(CO222,BL223:CL235,5,0)</f>
        <v>27.23</v>
      </c>
      <c r="CP229" s="2275">
        <f t="shared" si="115"/>
        <v>46.93</v>
      </c>
      <c r="CQ229" s="2275">
        <v>650</v>
      </c>
      <c r="CR229" s="2275"/>
      <c r="CS229" s="2275"/>
      <c r="CT229" s="2275"/>
      <c r="CU229" s="2275"/>
      <c r="CV229" s="2275"/>
      <c r="CW229" s="2275"/>
      <c r="CX229" s="2250"/>
      <c r="CY229" s="2250"/>
      <c r="CZ229" s="2250"/>
      <c r="DA229" s="2250"/>
      <c r="DB229" s="2250"/>
      <c r="DC229" s="2250"/>
      <c r="DD229" s="2250"/>
      <c r="DE229" s="2250"/>
      <c r="DF229" s="2250"/>
      <c r="DG229" s="2250"/>
      <c r="DH229" s="2250"/>
      <c r="DI229" s="2250"/>
      <c r="DJ229" s="2250"/>
      <c r="DK229" s="2250"/>
      <c r="DL229" s="2250"/>
      <c r="DM229" s="2250"/>
      <c r="DN229" s="2250"/>
      <c r="DO229" s="2250"/>
      <c r="DP229" s="2250"/>
      <c r="DQ229" s="2277"/>
      <c r="DR229" s="2277"/>
      <c r="DS229" s="277"/>
      <c r="DW229" s="2275"/>
      <c r="DX229" s="4671"/>
      <c r="DY229" s="2345">
        <v>775</v>
      </c>
      <c r="DZ229" s="2346">
        <v>28.51</v>
      </c>
      <c r="EA229" s="2346">
        <v>30.79</v>
      </c>
      <c r="EB229" s="2346">
        <v>33.07</v>
      </c>
      <c r="EC229" s="2346">
        <v>35.450000000000003</v>
      </c>
      <c r="ED229" s="2346">
        <v>37.619999999999997</v>
      </c>
      <c r="EE229" s="2346">
        <v>38.22</v>
      </c>
      <c r="EF229" s="2346">
        <v>40.89</v>
      </c>
      <c r="EG229" s="2346">
        <v>43.76</v>
      </c>
      <c r="EH229" s="2346">
        <v>46.44</v>
      </c>
      <c r="EI229" s="2346">
        <v>49.5</v>
      </c>
      <c r="EJ229" s="2346">
        <v>54.46</v>
      </c>
      <c r="EK229" s="2346">
        <v>58.32</v>
      </c>
      <c r="EL229" s="2346">
        <v>60.99</v>
      </c>
      <c r="EM229" s="2346">
        <v>64.16</v>
      </c>
      <c r="EN229" s="2346">
        <v>66.14</v>
      </c>
      <c r="EO229" s="2346">
        <v>70.099999999999994</v>
      </c>
      <c r="EP229" s="2346">
        <v>74.459999999999994</v>
      </c>
      <c r="EQ229" s="2346">
        <v>81.09</v>
      </c>
      <c r="ER229" s="2346">
        <v>86.63</v>
      </c>
      <c r="ES229" s="2346">
        <v>92.67</v>
      </c>
      <c r="ET229" s="2346">
        <v>98.91</v>
      </c>
      <c r="EU229" s="2346">
        <v>109.11</v>
      </c>
      <c r="EV229" s="2346">
        <v>119.5</v>
      </c>
      <c r="EW229" s="2346">
        <v>131.97999999999999</v>
      </c>
      <c r="EX229" s="2346">
        <v>147.72</v>
      </c>
      <c r="EY229" s="2346">
        <v>168.81</v>
      </c>
      <c r="EZ229" s="2346">
        <v>180.69</v>
      </c>
      <c r="FA229" s="2347">
        <v>775</v>
      </c>
      <c r="FB229" s="2275"/>
      <c r="FC229" s="2275">
        <f>HLOOKUP(FC222,DZ223:EZ235,5,0)</f>
        <v>43.27</v>
      </c>
      <c r="FD229" s="2275">
        <f t="shared" si="116"/>
        <v>72.87</v>
      </c>
      <c r="FE229" s="2275">
        <v>650</v>
      </c>
      <c r="FF229" s="2275"/>
      <c r="FG229" s="2275"/>
      <c r="FH229" s="2275"/>
      <c r="FI229" s="2275"/>
      <c r="FJ229" s="2275"/>
      <c r="FK229" s="2275"/>
      <c r="FL229" s="2250"/>
      <c r="FM229" s="2250"/>
      <c r="FN229" s="2250"/>
      <c r="FO229" s="2250"/>
      <c r="FP229" s="2250"/>
      <c r="FQ229" s="2250"/>
      <c r="FR229" s="2250"/>
      <c r="FS229" s="2250"/>
      <c r="FT229" s="2250"/>
      <c r="FU229" s="2250"/>
      <c r="FV229" s="2250"/>
      <c r="FW229" s="2250"/>
      <c r="FX229" s="2250"/>
      <c r="FY229" s="2250"/>
      <c r="FZ229" s="2250"/>
      <c r="GA229" s="2250"/>
      <c r="GB229" s="2276"/>
      <c r="GC229" s="2276"/>
      <c r="GD229" s="2250"/>
      <c r="GE229" s="2275"/>
      <c r="GF229" s="4671"/>
      <c r="GG229" s="2345">
        <v>775</v>
      </c>
      <c r="GH229" s="2346">
        <v>28.51</v>
      </c>
      <c r="GI229" s="2346">
        <v>30.79</v>
      </c>
      <c r="GJ229" s="2346">
        <v>33.07</v>
      </c>
      <c r="GK229" s="2346">
        <v>35.450000000000003</v>
      </c>
      <c r="GL229" s="2346">
        <v>37.619999999999997</v>
      </c>
      <c r="GM229" s="2346">
        <v>38.22</v>
      </c>
      <c r="GN229" s="2346">
        <v>40.89</v>
      </c>
      <c r="GO229" s="2346">
        <v>43.76</v>
      </c>
      <c r="GP229" s="2346">
        <v>46.44</v>
      </c>
      <c r="GQ229" s="2346">
        <v>49.5</v>
      </c>
      <c r="GR229" s="2346">
        <v>54.46</v>
      </c>
      <c r="GS229" s="2346">
        <v>58.32</v>
      </c>
      <c r="GT229" s="2346">
        <v>60.99</v>
      </c>
      <c r="GU229" s="2346">
        <v>64.16</v>
      </c>
      <c r="GV229" s="2346">
        <v>66.14</v>
      </c>
      <c r="GW229" s="2346">
        <v>70.099999999999994</v>
      </c>
      <c r="GX229" s="2346">
        <v>74.459999999999994</v>
      </c>
      <c r="GY229" s="2346">
        <v>81.09</v>
      </c>
      <c r="GZ229" s="2346">
        <v>86.63</v>
      </c>
      <c r="HA229" s="2346">
        <v>92.67</v>
      </c>
      <c r="HB229" s="2346">
        <v>98.91</v>
      </c>
      <c r="HC229" s="2346">
        <v>109.11</v>
      </c>
      <c r="HD229" s="2346">
        <v>119.5</v>
      </c>
      <c r="HE229" s="2346">
        <v>131.97999999999999</v>
      </c>
      <c r="HF229" s="2346">
        <v>147.72</v>
      </c>
      <c r="HG229" s="2346">
        <v>168.81</v>
      </c>
      <c r="HH229" s="2346">
        <v>180.69</v>
      </c>
      <c r="HI229" s="2347">
        <v>775</v>
      </c>
      <c r="HJ229" s="2275"/>
      <c r="HK229" s="2275">
        <f>HLOOKUP(HK222,GH223:HH235,5,0)</f>
        <v>39.799999999999997</v>
      </c>
      <c r="HL229" s="2275">
        <f t="shared" si="117"/>
        <v>66.83</v>
      </c>
      <c r="HM229" s="2275">
        <v>650</v>
      </c>
      <c r="HN229" s="2275"/>
      <c r="HO229" s="2275"/>
      <c r="HP229" s="2275"/>
      <c r="HQ229" s="2275"/>
      <c r="HR229" s="2275"/>
      <c r="HS229" s="2275"/>
      <c r="HT229" s="2250"/>
      <c r="HU229" s="2250"/>
      <c r="HV229" s="2250"/>
      <c r="HW229" s="2250"/>
      <c r="HX229" s="2250"/>
      <c r="HY229" s="2250"/>
      <c r="HZ229" s="2250"/>
      <c r="IA229" s="2250"/>
      <c r="IB229" s="2250"/>
      <c r="IC229" s="2250"/>
      <c r="ID229" s="2250"/>
      <c r="IE229" s="2250"/>
      <c r="IF229" s="2250"/>
      <c r="IG229" s="2250"/>
      <c r="IH229" s="2250"/>
      <c r="II229" s="2250"/>
      <c r="IJ229" s="2250"/>
      <c r="IK229" s="2250"/>
      <c r="IL229" s="2250"/>
      <c r="IN229" s="277"/>
      <c r="IO229" s="277"/>
    </row>
    <row r="230" spans="1:249" ht="21.95" customHeight="1">
      <c r="A230" s="2275"/>
      <c r="B230" s="4671"/>
      <c r="C230" s="2345">
        <v>825</v>
      </c>
      <c r="D230" s="2346">
        <v>42.48</v>
      </c>
      <c r="E230" s="2346">
        <v>45.94</v>
      </c>
      <c r="F230" s="2346">
        <v>49.41</v>
      </c>
      <c r="G230" s="2346">
        <v>52.38</v>
      </c>
      <c r="H230" s="2346">
        <v>55.64</v>
      </c>
      <c r="I230" s="2346">
        <v>56.83</v>
      </c>
      <c r="J230" s="2346">
        <v>58.91</v>
      </c>
      <c r="K230" s="2346">
        <v>63.27</v>
      </c>
      <c r="L230" s="2346">
        <v>67.72</v>
      </c>
      <c r="M230" s="2346">
        <v>72.180000000000007</v>
      </c>
      <c r="N230" s="2346">
        <v>80.89</v>
      </c>
      <c r="O230" s="2346">
        <v>86.83</v>
      </c>
      <c r="P230" s="2346">
        <v>91.19</v>
      </c>
      <c r="Q230" s="2346">
        <v>92.38</v>
      </c>
      <c r="R230" s="2346">
        <v>100.3</v>
      </c>
      <c r="S230" s="2346">
        <v>104.26</v>
      </c>
      <c r="T230" s="2346">
        <v>112.28</v>
      </c>
      <c r="U230" s="2346">
        <v>118.71</v>
      </c>
      <c r="V230" s="2346">
        <v>124.36</v>
      </c>
      <c r="W230" s="2346">
        <v>132.87</v>
      </c>
      <c r="X230" s="2346">
        <v>143.76</v>
      </c>
      <c r="Y230" s="2346">
        <v>154.85</v>
      </c>
      <c r="Z230" s="2346">
        <v>157.13</v>
      </c>
      <c r="AA230" s="2346">
        <v>161.78</v>
      </c>
      <c r="AB230" s="2346">
        <v>176.44</v>
      </c>
      <c r="AC230" s="2346">
        <v>180.69</v>
      </c>
      <c r="AD230" s="2346">
        <v>180.69</v>
      </c>
      <c r="AE230" s="2347">
        <v>825</v>
      </c>
      <c r="AF230" s="2275"/>
      <c r="AG230" s="2275">
        <f>HLOOKUP(AG222,D223:AD235,6,0)</f>
        <v>49.9</v>
      </c>
      <c r="AH230" s="2275">
        <f t="shared" si="114"/>
        <v>81.09</v>
      </c>
      <c r="AI230" s="2275">
        <v>775</v>
      </c>
      <c r="AJ230" s="2275"/>
      <c r="AK230" s="2275"/>
      <c r="AL230" s="2275"/>
      <c r="AM230" s="2275"/>
      <c r="AN230" s="2275"/>
      <c r="AO230" s="2275"/>
      <c r="AP230" s="2250"/>
      <c r="AQ230" s="2250"/>
      <c r="AR230" s="2250"/>
      <c r="AS230" s="2250"/>
      <c r="AT230" s="2250"/>
      <c r="AU230" s="2250"/>
      <c r="AV230" s="2250"/>
      <c r="AW230" s="2250"/>
      <c r="AX230" s="2250"/>
      <c r="AY230" s="2250"/>
      <c r="AZ230" s="2250"/>
      <c r="BA230" s="2250"/>
      <c r="BB230" s="2250"/>
      <c r="BC230" s="2250"/>
      <c r="BD230" s="2250"/>
      <c r="BE230" s="2250"/>
      <c r="BF230" s="2276"/>
      <c r="BG230" s="2276"/>
      <c r="BH230" s="2250"/>
      <c r="BI230" s="2275"/>
      <c r="BJ230" s="4671"/>
      <c r="BK230" s="2345">
        <v>825</v>
      </c>
      <c r="BL230" s="2346">
        <v>42.48</v>
      </c>
      <c r="BM230" s="2346">
        <v>45.94</v>
      </c>
      <c r="BN230" s="2346">
        <v>49.41</v>
      </c>
      <c r="BO230" s="2346">
        <v>52.38</v>
      </c>
      <c r="BP230" s="2346">
        <v>55.64</v>
      </c>
      <c r="BQ230" s="2346">
        <v>56.83</v>
      </c>
      <c r="BR230" s="2346">
        <v>58.91</v>
      </c>
      <c r="BS230" s="2346">
        <v>63.27</v>
      </c>
      <c r="BT230" s="2346">
        <v>67.72</v>
      </c>
      <c r="BU230" s="2346">
        <v>72.180000000000007</v>
      </c>
      <c r="BV230" s="2346">
        <v>80.89</v>
      </c>
      <c r="BW230" s="2346">
        <v>86.83</v>
      </c>
      <c r="BX230" s="2346">
        <v>91.19</v>
      </c>
      <c r="BY230" s="2346">
        <v>92.38</v>
      </c>
      <c r="BZ230" s="2346">
        <v>100.3</v>
      </c>
      <c r="CA230" s="2346">
        <v>104.26</v>
      </c>
      <c r="CB230" s="2346">
        <v>112.28</v>
      </c>
      <c r="CC230" s="2346">
        <v>118.71</v>
      </c>
      <c r="CD230" s="2346">
        <v>124.36</v>
      </c>
      <c r="CE230" s="2346">
        <v>132.87</v>
      </c>
      <c r="CF230" s="2346">
        <v>143.76</v>
      </c>
      <c r="CG230" s="2346">
        <v>154.85</v>
      </c>
      <c r="CH230" s="2346">
        <v>157.13</v>
      </c>
      <c r="CI230" s="2346">
        <v>161.78</v>
      </c>
      <c r="CJ230" s="2346">
        <v>176.44</v>
      </c>
      <c r="CK230" s="2346">
        <v>180.69</v>
      </c>
      <c r="CL230" s="2346">
        <v>180.69</v>
      </c>
      <c r="CM230" s="2347">
        <v>825</v>
      </c>
      <c r="CN230" s="2275"/>
      <c r="CO230" s="2275">
        <f>HLOOKUP(CO222,BL223:CL235,6,0)</f>
        <v>46.93</v>
      </c>
      <c r="CP230" s="2275">
        <f t="shared" si="115"/>
        <v>74.459999999999994</v>
      </c>
      <c r="CQ230" s="2275">
        <v>775</v>
      </c>
      <c r="CR230" s="2275"/>
      <c r="CS230" s="2275"/>
      <c r="CT230" s="2275"/>
      <c r="CU230" s="2275"/>
      <c r="CV230" s="2275"/>
      <c r="CW230" s="2275"/>
      <c r="CX230" s="2250"/>
      <c r="CY230" s="2250"/>
      <c r="CZ230" s="2250"/>
      <c r="DA230" s="2250"/>
      <c r="DB230" s="2250"/>
      <c r="DC230" s="2250"/>
      <c r="DD230" s="2250"/>
      <c r="DE230" s="2250"/>
      <c r="DF230" s="2250"/>
      <c r="DG230" s="2250"/>
      <c r="DH230" s="2250"/>
      <c r="DI230" s="2250"/>
      <c r="DJ230" s="2250"/>
      <c r="DK230" s="2250"/>
      <c r="DL230" s="2250"/>
      <c r="DM230" s="2250"/>
      <c r="DN230" s="2250"/>
      <c r="DO230" s="2250"/>
      <c r="DP230" s="2250"/>
      <c r="DQ230" s="2277"/>
      <c r="DR230" s="2277"/>
      <c r="DS230" s="277"/>
      <c r="DW230" s="2275"/>
      <c r="DX230" s="4671"/>
      <c r="DY230" s="2345">
        <v>825</v>
      </c>
      <c r="DZ230" s="2346">
        <v>42.48</v>
      </c>
      <c r="EA230" s="2346">
        <v>45.94</v>
      </c>
      <c r="EB230" s="2346">
        <v>49.41</v>
      </c>
      <c r="EC230" s="2346">
        <v>52.38</v>
      </c>
      <c r="ED230" s="2346">
        <v>55.64</v>
      </c>
      <c r="EE230" s="2346">
        <v>56.83</v>
      </c>
      <c r="EF230" s="2346">
        <v>58.91</v>
      </c>
      <c r="EG230" s="2346">
        <v>63.27</v>
      </c>
      <c r="EH230" s="2346">
        <v>67.72</v>
      </c>
      <c r="EI230" s="2346">
        <v>72.180000000000007</v>
      </c>
      <c r="EJ230" s="2346">
        <v>80.89</v>
      </c>
      <c r="EK230" s="2346">
        <v>86.83</v>
      </c>
      <c r="EL230" s="2346">
        <v>91.19</v>
      </c>
      <c r="EM230" s="2346">
        <v>92.38</v>
      </c>
      <c r="EN230" s="2346">
        <v>100.3</v>
      </c>
      <c r="EO230" s="2346">
        <v>104.26</v>
      </c>
      <c r="EP230" s="2346">
        <v>112.28</v>
      </c>
      <c r="EQ230" s="2346">
        <v>118.71</v>
      </c>
      <c r="ER230" s="2346">
        <v>124.36</v>
      </c>
      <c r="ES230" s="2346">
        <v>132.87</v>
      </c>
      <c r="ET230" s="2346">
        <v>143.76</v>
      </c>
      <c r="EU230" s="2346">
        <v>154.85</v>
      </c>
      <c r="EV230" s="2346">
        <v>157.13</v>
      </c>
      <c r="EW230" s="2346">
        <v>161.78</v>
      </c>
      <c r="EX230" s="2346">
        <v>176.44</v>
      </c>
      <c r="EY230" s="2346">
        <v>180.69</v>
      </c>
      <c r="EZ230" s="2346">
        <v>180.69</v>
      </c>
      <c r="FA230" s="2347">
        <v>825</v>
      </c>
      <c r="FB230" s="2275"/>
      <c r="FC230" s="2275">
        <f>HLOOKUP(FC222,DZ223:EZ235,6,0)</f>
        <v>72.87</v>
      </c>
      <c r="FD230" s="2275">
        <f t="shared" si="116"/>
        <v>119.5</v>
      </c>
      <c r="FE230" s="2275">
        <v>775</v>
      </c>
      <c r="FF230" s="2275"/>
      <c r="FG230" s="2275"/>
      <c r="FH230" s="2275"/>
      <c r="FI230" s="2275"/>
      <c r="FJ230" s="2275"/>
      <c r="FK230" s="2275"/>
      <c r="FL230" s="2250"/>
      <c r="FM230" s="2250"/>
      <c r="FN230" s="2250"/>
      <c r="FO230" s="2250"/>
      <c r="FP230" s="2250"/>
      <c r="FQ230" s="2250"/>
      <c r="FR230" s="2250"/>
      <c r="FS230" s="2250"/>
      <c r="FT230" s="2250"/>
      <c r="FU230" s="2250"/>
      <c r="FV230" s="2250"/>
      <c r="FW230" s="2250"/>
      <c r="FX230" s="2250"/>
      <c r="FY230" s="2250"/>
      <c r="FZ230" s="2250"/>
      <c r="GA230" s="2250"/>
      <c r="GB230" s="2276"/>
      <c r="GC230" s="2276"/>
      <c r="GD230" s="2250"/>
      <c r="GE230" s="2275"/>
      <c r="GF230" s="4671"/>
      <c r="GG230" s="2345">
        <v>825</v>
      </c>
      <c r="GH230" s="2346">
        <v>42.48</v>
      </c>
      <c r="GI230" s="2346">
        <v>45.94</v>
      </c>
      <c r="GJ230" s="2346">
        <v>49.41</v>
      </c>
      <c r="GK230" s="2346">
        <v>52.38</v>
      </c>
      <c r="GL230" s="2346">
        <v>55.64</v>
      </c>
      <c r="GM230" s="2346">
        <v>56.83</v>
      </c>
      <c r="GN230" s="2346">
        <v>58.91</v>
      </c>
      <c r="GO230" s="2346">
        <v>63.27</v>
      </c>
      <c r="GP230" s="2346">
        <v>67.72</v>
      </c>
      <c r="GQ230" s="2346">
        <v>72.180000000000007</v>
      </c>
      <c r="GR230" s="2346">
        <v>80.89</v>
      </c>
      <c r="GS230" s="2346">
        <v>86.83</v>
      </c>
      <c r="GT230" s="2346">
        <v>91.19</v>
      </c>
      <c r="GU230" s="2346">
        <v>92.38</v>
      </c>
      <c r="GV230" s="2346">
        <v>100.3</v>
      </c>
      <c r="GW230" s="2346">
        <v>104.26</v>
      </c>
      <c r="GX230" s="2346">
        <v>112.28</v>
      </c>
      <c r="GY230" s="2346">
        <v>118.71</v>
      </c>
      <c r="GZ230" s="2346">
        <v>124.36</v>
      </c>
      <c r="HA230" s="2346">
        <v>132.87</v>
      </c>
      <c r="HB230" s="2346">
        <v>143.76</v>
      </c>
      <c r="HC230" s="2346">
        <v>154.85</v>
      </c>
      <c r="HD230" s="2346">
        <v>157.13</v>
      </c>
      <c r="HE230" s="2346">
        <v>161.78</v>
      </c>
      <c r="HF230" s="2346">
        <v>176.44</v>
      </c>
      <c r="HG230" s="2346">
        <v>180.69</v>
      </c>
      <c r="HH230" s="2346">
        <v>180.69</v>
      </c>
      <c r="HI230" s="2347">
        <v>825</v>
      </c>
      <c r="HJ230" s="2275"/>
      <c r="HK230" s="2275">
        <f>HLOOKUP(HK222,GH223:HH235,6,0)</f>
        <v>66.83</v>
      </c>
      <c r="HL230" s="2275">
        <f t="shared" si="117"/>
        <v>109.11</v>
      </c>
      <c r="HM230" s="2275">
        <v>775</v>
      </c>
      <c r="HN230" s="2275"/>
      <c r="HO230" s="2275"/>
      <c r="HP230" s="2275"/>
      <c r="HQ230" s="2275"/>
      <c r="HR230" s="2275"/>
      <c r="HS230" s="2275"/>
      <c r="HT230" s="2250"/>
      <c r="HU230" s="2250"/>
      <c r="HV230" s="2250"/>
      <c r="HW230" s="2250"/>
      <c r="HX230" s="2250"/>
      <c r="HY230" s="2250"/>
      <c r="HZ230" s="2250"/>
      <c r="IA230" s="2250"/>
      <c r="IB230" s="2250"/>
      <c r="IC230" s="2250"/>
      <c r="ID230" s="2250"/>
      <c r="IE230" s="2250"/>
      <c r="IF230" s="2250"/>
      <c r="IG230" s="2250"/>
      <c r="IH230" s="2250"/>
      <c r="II230" s="2250"/>
      <c r="IJ230" s="2250"/>
      <c r="IK230" s="2250"/>
      <c r="IL230" s="2250"/>
      <c r="IN230" s="277"/>
      <c r="IO230" s="277"/>
    </row>
    <row r="231" spans="1:249" ht="21.95" customHeight="1">
      <c r="A231" s="2275"/>
      <c r="B231" s="4671"/>
      <c r="C231" s="2345">
        <v>950</v>
      </c>
      <c r="D231" s="2346">
        <v>60.5</v>
      </c>
      <c r="E231" s="2346">
        <v>65.349999999999994</v>
      </c>
      <c r="F231" s="2346">
        <v>70.400000000000006</v>
      </c>
      <c r="G231" s="2346">
        <v>75.349999999999994</v>
      </c>
      <c r="H231" s="2346">
        <v>80</v>
      </c>
      <c r="I231" s="2346">
        <v>81.290000000000006</v>
      </c>
      <c r="J231" s="2346">
        <v>87.03</v>
      </c>
      <c r="K231" s="2346">
        <v>93.07</v>
      </c>
      <c r="L231" s="2346">
        <v>99.5</v>
      </c>
      <c r="M231" s="2346">
        <v>105.15</v>
      </c>
      <c r="N231" s="2346">
        <v>115.74</v>
      </c>
      <c r="O231" s="2346">
        <v>125.25</v>
      </c>
      <c r="P231" s="2346">
        <v>130.30000000000001</v>
      </c>
      <c r="Q231" s="2346">
        <v>136.34</v>
      </c>
      <c r="R231" s="2346">
        <v>143.76</v>
      </c>
      <c r="S231" s="2346">
        <v>147.13</v>
      </c>
      <c r="T231" s="2346">
        <v>155.63999999999999</v>
      </c>
      <c r="U231" s="2346">
        <v>163.47</v>
      </c>
      <c r="V231" s="2346">
        <v>180.2</v>
      </c>
      <c r="W231" s="2346">
        <v>185.45</v>
      </c>
      <c r="X231" s="2346">
        <v>210.1</v>
      </c>
      <c r="Y231" s="2346">
        <v>225.15</v>
      </c>
      <c r="Z231" s="2346">
        <v>241.49</v>
      </c>
      <c r="AA231" s="2346">
        <v>269.7</v>
      </c>
      <c r="AB231" s="2346">
        <v>269.7</v>
      </c>
      <c r="AC231" s="2346">
        <v>269.7</v>
      </c>
      <c r="AD231" s="2346">
        <v>269.7</v>
      </c>
      <c r="AE231" s="2347">
        <v>950</v>
      </c>
      <c r="AF231" s="2275"/>
      <c r="AG231" s="2275">
        <f>HLOOKUP(AG222,D223:AD235,7,0)</f>
        <v>81.09</v>
      </c>
      <c r="AH231" s="2275">
        <f t="shared" si="114"/>
        <v>118.71</v>
      </c>
      <c r="AI231" s="2275">
        <v>825</v>
      </c>
      <c r="AJ231" s="2275"/>
      <c r="AK231" s="2275"/>
      <c r="AL231" s="2275"/>
      <c r="AM231" s="2275"/>
      <c r="AN231" s="2275"/>
      <c r="AO231" s="2275"/>
      <c r="AP231" s="2250"/>
      <c r="AQ231" s="2250"/>
      <c r="AR231" s="2250"/>
      <c r="AS231" s="2250"/>
      <c r="AT231" s="2250"/>
      <c r="AU231" s="2250"/>
      <c r="AV231" s="2250"/>
      <c r="AW231" s="2250"/>
      <c r="AX231" s="2250"/>
      <c r="AY231" s="2250"/>
      <c r="AZ231" s="2250"/>
      <c r="BA231" s="2250"/>
      <c r="BB231" s="2250"/>
      <c r="BC231" s="2250"/>
      <c r="BD231" s="2250"/>
      <c r="BE231" s="2250"/>
      <c r="BF231" s="2276"/>
      <c r="BG231" s="2276"/>
      <c r="BH231" s="2250"/>
      <c r="BI231" s="2275"/>
      <c r="BJ231" s="4671"/>
      <c r="BK231" s="2345">
        <v>950</v>
      </c>
      <c r="BL231" s="2346">
        <v>60.5</v>
      </c>
      <c r="BM231" s="2346">
        <v>65.349999999999994</v>
      </c>
      <c r="BN231" s="2346">
        <v>70.400000000000006</v>
      </c>
      <c r="BO231" s="2346">
        <v>75.349999999999994</v>
      </c>
      <c r="BP231" s="2346">
        <v>80</v>
      </c>
      <c r="BQ231" s="2346">
        <v>81.290000000000006</v>
      </c>
      <c r="BR231" s="2346">
        <v>87.03</v>
      </c>
      <c r="BS231" s="2346">
        <v>93.07</v>
      </c>
      <c r="BT231" s="2346">
        <v>99.5</v>
      </c>
      <c r="BU231" s="2346">
        <v>105.15</v>
      </c>
      <c r="BV231" s="2346">
        <v>115.74</v>
      </c>
      <c r="BW231" s="2346">
        <v>125.25</v>
      </c>
      <c r="BX231" s="2346">
        <v>130.30000000000001</v>
      </c>
      <c r="BY231" s="2346">
        <v>136.34</v>
      </c>
      <c r="BZ231" s="2346">
        <v>143.76</v>
      </c>
      <c r="CA231" s="2346">
        <v>147.13</v>
      </c>
      <c r="CB231" s="2346">
        <v>155.63999999999999</v>
      </c>
      <c r="CC231" s="2346">
        <v>163.47</v>
      </c>
      <c r="CD231" s="2346">
        <v>180.2</v>
      </c>
      <c r="CE231" s="2346">
        <v>185.45</v>
      </c>
      <c r="CF231" s="2346">
        <v>210.1</v>
      </c>
      <c r="CG231" s="2346">
        <v>225.15</v>
      </c>
      <c r="CH231" s="2346">
        <v>241.49</v>
      </c>
      <c r="CI231" s="2346">
        <v>269.7</v>
      </c>
      <c r="CJ231" s="2346">
        <v>269.7</v>
      </c>
      <c r="CK231" s="2346">
        <v>269.7</v>
      </c>
      <c r="CL231" s="2346">
        <v>269.7</v>
      </c>
      <c r="CM231" s="2347">
        <v>950</v>
      </c>
      <c r="CN231" s="2275"/>
      <c r="CO231" s="2275">
        <f>HLOOKUP(CO222,BL223:CL235,7,0)</f>
        <v>74.459999999999994</v>
      </c>
      <c r="CP231" s="2275">
        <f t="shared" si="115"/>
        <v>112.28</v>
      </c>
      <c r="CQ231" s="2275">
        <v>825</v>
      </c>
      <c r="CR231" s="2275"/>
      <c r="CS231" s="2275"/>
      <c r="CT231" s="2275"/>
      <c r="CU231" s="2275"/>
      <c r="CV231" s="2275"/>
      <c r="CW231" s="2275"/>
      <c r="CX231" s="2250"/>
      <c r="CY231" s="2250"/>
      <c r="CZ231" s="2250"/>
      <c r="DA231" s="2250"/>
      <c r="DB231" s="2250"/>
      <c r="DC231" s="2250"/>
      <c r="DD231" s="2250"/>
      <c r="DE231" s="2250"/>
      <c r="DF231" s="2250"/>
      <c r="DG231" s="2250"/>
      <c r="DH231" s="2250"/>
      <c r="DI231" s="2250"/>
      <c r="DJ231" s="2250"/>
      <c r="DK231" s="2250"/>
      <c r="DL231" s="2250"/>
      <c r="DM231" s="2250"/>
      <c r="DN231" s="2250"/>
      <c r="DO231" s="2250"/>
      <c r="DP231" s="2250"/>
      <c r="DQ231" s="2277"/>
      <c r="DR231" s="2277"/>
      <c r="DS231" s="277"/>
      <c r="DW231" s="2275"/>
      <c r="DX231" s="4671"/>
      <c r="DY231" s="2345">
        <v>950</v>
      </c>
      <c r="DZ231" s="2346">
        <v>60.5</v>
      </c>
      <c r="EA231" s="2346">
        <v>65.349999999999994</v>
      </c>
      <c r="EB231" s="2346">
        <v>70.400000000000006</v>
      </c>
      <c r="EC231" s="2346">
        <v>75.349999999999994</v>
      </c>
      <c r="ED231" s="2346">
        <v>80</v>
      </c>
      <c r="EE231" s="2346">
        <v>81.290000000000006</v>
      </c>
      <c r="EF231" s="2346">
        <v>87.03</v>
      </c>
      <c r="EG231" s="2346">
        <v>93.07</v>
      </c>
      <c r="EH231" s="2346">
        <v>99.5</v>
      </c>
      <c r="EI231" s="2346">
        <v>105.15</v>
      </c>
      <c r="EJ231" s="2346">
        <v>115.74</v>
      </c>
      <c r="EK231" s="2346">
        <v>125.25</v>
      </c>
      <c r="EL231" s="2346">
        <v>130.30000000000001</v>
      </c>
      <c r="EM231" s="2346">
        <v>136.34</v>
      </c>
      <c r="EN231" s="2346">
        <v>143.76</v>
      </c>
      <c r="EO231" s="2346">
        <v>147.13</v>
      </c>
      <c r="EP231" s="2346">
        <v>155.63999999999999</v>
      </c>
      <c r="EQ231" s="2346">
        <v>163.47</v>
      </c>
      <c r="ER231" s="2346">
        <v>180.2</v>
      </c>
      <c r="ES231" s="2346">
        <v>185.45</v>
      </c>
      <c r="ET231" s="2346">
        <v>210.1</v>
      </c>
      <c r="EU231" s="2346">
        <v>225.15</v>
      </c>
      <c r="EV231" s="2346">
        <v>241.49</v>
      </c>
      <c r="EW231" s="2346">
        <v>269.7</v>
      </c>
      <c r="EX231" s="2346">
        <v>269.7</v>
      </c>
      <c r="EY231" s="2346">
        <v>269.7</v>
      </c>
      <c r="EZ231" s="2346">
        <v>269.7</v>
      </c>
      <c r="FA231" s="2347">
        <v>950</v>
      </c>
      <c r="FB231" s="2275"/>
      <c r="FC231" s="2275">
        <f>HLOOKUP(FC222,DZ223:EZ235,7,0)</f>
        <v>119.5</v>
      </c>
      <c r="FD231" s="2275">
        <f t="shared" si="116"/>
        <v>157.13</v>
      </c>
      <c r="FE231" s="2275">
        <v>825</v>
      </c>
      <c r="FF231" s="2275"/>
      <c r="FG231" s="2275"/>
      <c r="FH231" s="2275"/>
      <c r="FI231" s="2275"/>
      <c r="FJ231" s="2275"/>
      <c r="FK231" s="2275"/>
      <c r="FL231" s="2250"/>
      <c r="FM231" s="2250"/>
      <c r="FN231" s="2250"/>
      <c r="FO231" s="2250"/>
      <c r="FP231" s="2250"/>
      <c r="FQ231" s="2250"/>
      <c r="FR231" s="2250"/>
      <c r="FS231" s="2250"/>
      <c r="FT231" s="2250"/>
      <c r="FU231" s="2250"/>
      <c r="FV231" s="2250"/>
      <c r="FW231" s="2250"/>
      <c r="FX231" s="2250"/>
      <c r="FY231" s="2250"/>
      <c r="FZ231" s="2250"/>
      <c r="GA231" s="2250"/>
      <c r="GB231" s="2276"/>
      <c r="GC231" s="2276"/>
      <c r="GD231" s="2250"/>
      <c r="GE231" s="2275"/>
      <c r="GF231" s="4671"/>
      <c r="GG231" s="2345">
        <v>950</v>
      </c>
      <c r="GH231" s="2346">
        <v>60.5</v>
      </c>
      <c r="GI231" s="2346">
        <v>65.349999999999994</v>
      </c>
      <c r="GJ231" s="2346">
        <v>70.400000000000006</v>
      </c>
      <c r="GK231" s="2346">
        <v>75.349999999999994</v>
      </c>
      <c r="GL231" s="2346">
        <v>80</v>
      </c>
      <c r="GM231" s="2346">
        <v>81.290000000000006</v>
      </c>
      <c r="GN231" s="2346">
        <v>87.03</v>
      </c>
      <c r="GO231" s="2346">
        <v>93.07</v>
      </c>
      <c r="GP231" s="2346">
        <v>99.5</v>
      </c>
      <c r="GQ231" s="2346">
        <v>105.15</v>
      </c>
      <c r="GR231" s="2346">
        <v>115.74</v>
      </c>
      <c r="GS231" s="2346">
        <v>125.25</v>
      </c>
      <c r="GT231" s="2346">
        <v>130.30000000000001</v>
      </c>
      <c r="GU231" s="2346">
        <v>136.34</v>
      </c>
      <c r="GV231" s="2346">
        <v>143.76</v>
      </c>
      <c r="GW231" s="2346">
        <v>147.13</v>
      </c>
      <c r="GX231" s="2346">
        <v>155.63999999999999</v>
      </c>
      <c r="GY231" s="2346">
        <v>163.47</v>
      </c>
      <c r="GZ231" s="2346">
        <v>180.2</v>
      </c>
      <c r="HA231" s="2346">
        <v>185.45</v>
      </c>
      <c r="HB231" s="2346">
        <v>210.1</v>
      </c>
      <c r="HC231" s="2346">
        <v>225.15</v>
      </c>
      <c r="HD231" s="2346">
        <v>241.49</v>
      </c>
      <c r="HE231" s="2346">
        <v>269.7</v>
      </c>
      <c r="HF231" s="2346">
        <v>269.7</v>
      </c>
      <c r="HG231" s="2346">
        <v>269.7</v>
      </c>
      <c r="HH231" s="2346">
        <v>269.7</v>
      </c>
      <c r="HI231" s="2347">
        <v>950</v>
      </c>
      <c r="HJ231" s="2275"/>
      <c r="HK231" s="2275">
        <f>HLOOKUP(HK222,GH223:HH235,7,0)</f>
        <v>109.11</v>
      </c>
      <c r="HL231" s="2275">
        <f t="shared" si="117"/>
        <v>154.85</v>
      </c>
      <c r="HM231" s="2275">
        <v>825</v>
      </c>
      <c r="HN231" s="2275"/>
      <c r="HO231" s="2275"/>
      <c r="HP231" s="2275"/>
      <c r="HQ231" s="2275"/>
      <c r="HR231" s="2275"/>
      <c r="HS231" s="2275"/>
      <c r="HT231" s="2250"/>
      <c r="HU231" s="2250"/>
      <c r="HV231" s="2250"/>
      <c r="HW231" s="2250"/>
      <c r="HX231" s="2250"/>
      <c r="HY231" s="2250"/>
      <c r="HZ231" s="2250"/>
      <c r="IA231" s="2250"/>
      <c r="IB231" s="2250"/>
      <c r="IC231" s="2250"/>
      <c r="ID231" s="2250"/>
      <c r="IE231" s="2250"/>
      <c r="IF231" s="2250"/>
      <c r="IG231" s="2250"/>
      <c r="IH231" s="2250"/>
      <c r="II231" s="2250"/>
      <c r="IJ231" s="2250"/>
      <c r="IK231" s="2250"/>
      <c r="IL231" s="2250"/>
      <c r="IN231" s="277"/>
      <c r="IO231" s="277"/>
    </row>
    <row r="232" spans="1:249" ht="21.95" customHeight="1">
      <c r="A232" s="2275"/>
      <c r="B232" s="4671"/>
      <c r="C232" s="2345">
        <v>1100</v>
      </c>
      <c r="D232" s="2346">
        <v>82.97</v>
      </c>
      <c r="E232" s="2346">
        <v>89.6</v>
      </c>
      <c r="F232" s="2346">
        <v>96.53</v>
      </c>
      <c r="G232" s="2346">
        <v>103.37</v>
      </c>
      <c r="H232" s="2346">
        <v>109.31</v>
      </c>
      <c r="I232" s="2346">
        <v>111.49</v>
      </c>
      <c r="J232" s="2346">
        <v>119.31</v>
      </c>
      <c r="K232" s="2346">
        <v>126.63</v>
      </c>
      <c r="L232" s="2346">
        <v>135.44999999999999</v>
      </c>
      <c r="M232" s="2346">
        <v>144.16</v>
      </c>
      <c r="N232" s="2346">
        <v>158.71</v>
      </c>
      <c r="O232" s="2346">
        <v>169.11</v>
      </c>
      <c r="P232" s="2346">
        <v>177.82</v>
      </c>
      <c r="Q232" s="2346">
        <v>186.93</v>
      </c>
      <c r="R232" s="2346">
        <v>192.97</v>
      </c>
      <c r="S232" s="2346">
        <v>205.05</v>
      </c>
      <c r="T232" s="2346">
        <v>217.13</v>
      </c>
      <c r="U232" s="2346">
        <v>236.44</v>
      </c>
      <c r="V232" s="2346">
        <v>252.48</v>
      </c>
      <c r="W232" s="2346">
        <v>272.38</v>
      </c>
      <c r="X232" s="2346">
        <v>288.22000000000003</v>
      </c>
      <c r="Y232" s="2346">
        <v>318.12</v>
      </c>
      <c r="Z232" s="2346">
        <v>347.62</v>
      </c>
      <c r="AA232" s="2346">
        <v>384.65</v>
      </c>
      <c r="AB232" s="2346">
        <v>432.57</v>
      </c>
      <c r="AC232" s="2346">
        <v>492.08</v>
      </c>
      <c r="AD232" s="2346">
        <v>526.83000000000004</v>
      </c>
      <c r="AE232" s="2347">
        <v>1100</v>
      </c>
      <c r="AF232" s="2275"/>
      <c r="AG232" s="2275">
        <f>HLOOKUP(AG222,D223:AD235,8,0)</f>
        <v>118.71</v>
      </c>
      <c r="AH232" s="2275">
        <f t="shared" si="114"/>
        <v>163.47</v>
      </c>
      <c r="AI232" s="2275">
        <v>950</v>
      </c>
      <c r="AJ232" s="2275"/>
      <c r="AK232" s="2275"/>
      <c r="AL232" s="2275"/>
      <c r="AM232" s="2275"/>
      <c r="AN232" s="2275"/>
      <c r="AO232" s="2275"/>
      <c r="AP232" s="2250"/>
      <c r="AQ232" s="2250"/>
      <c r="AR232" s="2250"/>
      <c r="AS232" s="2250"/>
      <c r="AT232" s="2250"/>
      <c r="AU232" s="2250"/>
      <c r="AV232" s="2250"/>
      <c r="AW232" s="2250"/>
      <c r="AX232" s="2250"/>
      <c r="AY232" s="2250"/>
      <c r="AZ232" s="2250"/>
      <c r="BA232" s="2250"/>
      <c r="BB232" s="2250"/>
      <c r="BC232" s="2250"/>
      <c r="BD232" s="2250"/>
      <c r="BE232" s="2250"/>
      <c r="BF232" s="2276"/>
      <c r="BG232" s="2276"/>
      <c r="BH232" s="2250"/>
      <c r="BI232" s="2275"/>
      <c r="BJ232" s="4671"/>
      <c r="BK232" s="2345">
        <v>1100</v>
      </c>
      <c r="BL232" s="2346">
        <v>82.97</v>
      </c>
      <c r="BM232" s="2346">
        <v>89.6</v>
      </c>
      <c r="BN232" s="2346">
        <v>96.53</v>
      </c>
      <c r="BO232" s="2346">
        <v>103.37</v>
      </c>
      <c r="BP232" s="2346">
        <v>109.31</v>
      </c>
      <c r="BQ232" s="2346">
        <v>111.49</v>
      </c>
      <c r="BR232" s="2346">
        <v>119.31</v>
      </c>
      <c r="BS232" s="2346">
        <v>126.63</v>
      </c>
      <c r="BT232" s="2346">
        <v>135.44999999999999</v>
      </c>
      <c r="BU232" s="2346">
        <v>144.16</v>
      </c>
      <c r="BV232" s="2346">
        <v>158.71</v>
      </c>
      <c r="BW232" s="2346">
        <v>169.11</v>
      </c>
      <c r="BX232" s="2346">
        <v>177.82</v>
      </c>
      <c r="BY232" s="2346">
        <v>186.93</v>
      </c>
      <c r="BZ232" s="2346">
        <v>192.97</v>
      </c>
      <c r="CA232" s="2346">
        <v>205.05</v>
      </c>
      <c r="CB232" s="2346">
        <v>217.13</v>
      </c>
      <c r="CC232" s="2346">
        <v>236.44</v>
      </c>
      <c r="CD232" s="2346">
        <v>252.48</v>
      </c>
      <c r="CE232" s="2346">
        <v>272.38</v>
      </c>
      <c r="CF232" s="2346">
        <v>288.22000000000003</v>
      </c>
      <c r="CG232" s="2346">
        <v>318.12</v>
      </c>
      <c r="CH232" s="2346">
        <v>347.62</v>
      </c>
      <c r="CI232" s="2346">
        <v>384.65</v>
      </c>
      <c r="CJ232" s="2346">
        <v>432.57</v>
      </c>
      <c r="CK232" s="2346">
        <v>492.08</v>
      </c>
      <c r="CL232" s="2346">
        <v>526.83000000000004</v>
      </c>
      <c r="CM232" s="2347">
        <v>1100</v>
      </c>
      <c r="CN232" s="2275"/>
      <c r="CO232" s="2275">
        <f>HLOOKUP(CO222,BL223:CL235,8,0)</f>
        <v>112.28</v>
      </c>
      <c r="CP232" s="2275">
        <f t="shared" si="115"/>
        <v>155.63999999999999</v>
      </c>
      <c r="CQ232" s="2275">
        <v>950</v>
      </c>
      <c r="CR232" s="2275"/>
      <c r="CS232" s="2275"/>
      <c r="CT232" s="2275"/>
      <c r="CU232" s="2275"/>
      <c r="CV232" s="2275"/>
      <c r="CW232" s="2275"/>
      <c r="CX232" s="2250"/>
      <c r="CY232" s="2250"/>
      <c r="CZ232" s="2250"/>
      <c r="DA232" s="2250"/>
      <c r="DB232" s="2250"/>
      <c r="DC232" s="2250"/>
      <c r="DD232" s="2250"/>
      <c r="DE232" s="2250"/>
      <c r="DF232" s="2250"/>
      <c r="DG232" s="2250"/>
      <c r="DH232" s="2250"/>
      <c r="DI232" s="2250"/>
      <c r="DJ232" s="2250"/>
      <c r="DK232" s="2250"/>
      <c r="DL232" s="2250"/>
      <c r="DM232" s="2250"/>
      <c r="DN232" s="2250"/>
      <c r="DO232" s="2250"/>
      <c r="DP232" s="2250"/>
      <c r="DQ232" s="2277"/>
      <c r="DR232" s="2277"/>
      <c r="DS232" s="277"/>
      <c r="DW232" s="2275"/>
      <c r="DX232" s="4671"/>
      <c r="DY232" s="2345">
        <v>1100</v>
      </c>
      <c r="DZ232" s="2346">
        <v>82.97</v>
      </c>
      <c r="EA232" s="2346">
        <v>89.6</v>
      </c>
      <c r="EB232" s="2346">
        <v>96.53</v>
      </c>
      <c r="EC232" s="2346">
        <v>103.37</v>
      </c>
      <c r="ED232" s="2346">
        <v>109.31</v>
      </c>
      <c r="EE232" s="2346">
        <v>111.49</v>
      </c>
      <c r="EF232" s="2346">
        <v>119.31</v>
      </c>
      <c r="EG232" s="2346">
        <v>126.63</v>
      </c>
      <c r="EH232" s="2346">
        <v>135.44999999999999</v>
      </c>
      <c r="EI232" s="2346">
        <v>144.16</v>
      </c>
      <c r="EJ232" s="2346">
        <v>158.71</v>
      </c>
      <c r="EK232" s="2346">
        <v>169.11</v>
      </c>
      <c r="EL232" s="2346">
        <v>177.82</v>
      </c>
      <c r="EM232" s="2346">
        <v>186.93</v>
      </c>
      <c r="EN232" s="2346">
        <v>192.97</v>
      </c>
      <c r="EO232" s="2346">
        <v>205.05</v>
      </c>
      <c r="EP232" s="2346">
        <v>217.13</v>
      </c>
      <c r="EQ232" s="2346">
        <v>236.44</v>
      </c>
      <c r="ER232" s="2346">
        <v>252.48</v>
      </c>
      <c r="ES232" s="2346">
        <v>272.38</v>
      </c>
      <c r="ET232" s="2346">
        <v>288.22000000000003</v>
      </c>
      <c r="EU232" s="2346">
        <v>318.12</v>
      </c>
      <c r="EV232" s="2346">
        <v>347.62</v>
      </c>
      <c r="EW232" s="2346">
        <v>384.65</v>
      </c>
      <c r="EX232" s="2346">
        <v>432.57</v>
      </c>
      <c r="EY232" s="2346">
        <v>492.08</v>
      </c>
      <c r="EZ232" s="2346">
        <v>526.83000000000004</v>
      </c>
      <c r="FA232" s="2347">
        <v>1100</v>
      </c>
      <c r="FB232" s="2275"/>
      <c r="FC232" s="2275">
        <f>HLOOKUP(FC222,DZ223:EZ235,8,0)</f>
        <v>157.13</v>
      </c>
      <c r="FD232" s="2275">
        <f t="shared" si="116"/>
        <v>241.49</v>
      </c>
      <c r="FE232" s="2275">
        <v>950</v>
      </c>
      <c r="FF232" s="2275"/>
      <c r="FG232" s="2275"/>
      <c r="FH232" s="2275"/>
      <c r="FI232" s="2275"/>
      <c r="FJ232" s="2275"/>
      <c r="FK232" s="2275"/>
      <c r="FL232" s="2250"/>
      <c r="FM232" s="2250"/>
      <c r="FN232" s="2250"/>
      <c r="FO232" s="2250"/>
      <c r="FP232" s="2250"/>
      <c r="FQ232" s="2250"/>
      <c r="FR232" s="2250"/>
      <c r="FS232" s="2250"/>
      <c r="FT232" s="2250"/>
      <c r="FU232" s="2250"/>
      <c r="FV232" s="2250"/>
      <c r="FW232" s="2250"/>
      <c r="FX232" s="2250"/>
      <c r="FY232" s="2250"/>
      <c r="FZ232" s="2250"/>
      <c r="GA232" s="2250"/>
      <c r="GB232" s="2276"/>
      <c r="GC232" s="2276"/>
      <c r="GD232" s="2250"/>
      <c r="GE232" s="2275"/>
      <c r="GF232" s="4671"/>
      <c r="GG232" s="2345">
        <v>1100</v>
      </c>
      <c r="GH232" s="2346">
        <v>82.97</v>
      </c>
      <c r="GI232" s="2346">
        <v>89.6</v>
      </c>
      <c r="GJ232" s="2346">
        <v>96.53</v>
      </c>
      <c r="GK232" s="2346">
        <v>103.37</v>
      </c>
      <c r="GL232" s="2346">
        <v>109.31</v>
      </c>
      <c r="GM232" s="2346">
        <v>111.49</v>
      </c>
      <c r="GN232" s="2346">
        <v>119.31</v>
      </c>
      <c r="GO232" s="2346">
        <v>126.63</v>
      </c>
      <c r="GP232" s="2346">
        <v>135.44999999999999</v>
      </c>
      <c r="GQ232" s="2346">
        <v>144.16</v>
      </c>
      <c r="GR232" s="2346">
        <v>158.71</v>
      </c>
      <c r="GS232" s="2346">
        <v>169.11</v>
      </c>
      <c r="GT232" s="2346">
        <v>177.82</v>
      </c>
      <c r="GU232" s="2346">
        <v>186.93</v>
      </c>
      <c r="GV232" s="2346">
        <v>192.97</v>
      </c>
      <c r="GW232" s="2346">
        <v>205.05</v>
      </c>
      <c r="GX232" s="2346">
        <v>217.13</v>
      </c>
      <c r="GY232" s="2346">
        <v>236.44</v>
      </c>
      <c r="GZ232" s="2346">
        <v>252.48</v>
      </c>
      <c r="HA232" s="2346">
        <v>272.38</v>
      </c>
      <c r="HB232" s="2346">
        <v>288.22000000000003</v>
      </c>
      <c r="HC232" s="2346">
        <v>318.12</v>
      </c>
      <c r="HD232" s="2346">
        <v>347.62</v>
      </c>
      <c r="HE232" s="2346">
        <v>384.65</v>
      </c>
      <c r="HF232" s="2346">
        <v>432.57</v>
      </c>
      <c r="HG232" s="2346">
        <v>492.08</v>
      </c>
      <c r="HH232" s="2346">
        <v>526.83000000000004</v>
      </c>
      <c r="HI232" s="2347">
        <v>1100</v>
      </c>
      <c r="HJ232" s="2275"/>
      <c r="HK232" s="2275">
        <f>HLOOKUP(HK222,GH223:HH235,8,0)</f>
        <v>154.85</v>
      </c>
      <c r="HL232" s="2275">
        <f t="shared" si="117"/>
        <v>225.15</v>
      </c>
      <c r="HM232" s="2275">
        <v>950</v>
      </c>
      <c r="HN232" s="2275"/>
      <c r="HO232" s="2275"/>
      <c r="HP232" s="2275"/>
      <c r="HQ232" s="2275"/>
      <c r="HR232" s="2275"/>
      <c r="HS232" s="2275"/>
      <c r="HT232" s="2250"/>
      <c r="HU232" s="2250"/>
      <c r="HV232" s="2250"/>
      <c r="HW232" s="2250"/>
      <c r="HX232" s="2250"/>
      <c r="HY232" s="2250"/>
      <c r="HZ232" s="2250"/>
      <c r="IA232" s="2250"/>
      <c r="IB232" s="2250"/>
      <c r="IC232" s="2250"/>
      <c r="ID232" s="2250"/>
      <c r="IE232" s="2250"/>
      <c r="IF232" s="2250"/>
      <c r="IG232" s="2250"/>
      <c r="IH232" s="2250"/>
      <c r="II232" s="2250"/>
      <c r="IJ232" s="2250"/>
      <c r="IK232" s="2250"/>
      <c r="IL232" s="2250"/>
      <c r="IN232" s="277"/>
      <c r="IO232" s="277"/>
    </row>
    <row r="233" spans="1:249" ht="21.95" customHeight="1">
      <c r="A233" s="2275"/>
      <c r="B233" s="4671"/>
      <c r="C233" s="2345">
        <v>1250</v>
      </c>
      <c r="D233" s="2346">
        <v>112.77</v>
      </c>
      <c r="E233" s="2346">
        <v>121.78</v>
      </c>
      <c r="F233" s="2346">
        <v>131.09</v>
      </c>
      <c r="G233" s="2346">
        <v>140.5</v>
      </c>
      <c r="H233" s="2346">
        <v>149.11000000000001</v>
      </c>
      <c r="I233" s="2346">
        <v>151.38999999999999</v>
      </c>
      <c r="J233" s="2346">
        <v>162.08000000000001</v>
      </c>
      <c r="K233" s="2346">
        <v>173.37</v>
      </c>
      <c r="L233" s="2346">
        <v>183.96</v>
      </c>
      <c r="M233" s="2346">
        <v>195.84</v>
      </c>
      <c r="N233" s="2346">
        <v>216.04</v>
      </c>
      <c r="O233" s="2346">
        <v>232.18</v>
      </c>
      <c r="P233" s="2346">
        <v>241.78</v>
      </c>
      <c r="Q233" s="2346">
        <v>253.96</v>
      </c>
      <c r="R233" s="2346">
        <v>267.92</v>
      </c>
      <c r="S233" s="2346">
        <v>277.02999999999997</v>
      </c>
      <c r="T233" s="2346">
        <v>295.25</v>
      </c>
      <c r="U233" s="2346">
        <v>338.91</v>
      </c>
      <c r="V233" s="2346">
        <v>342.87</v>
      </c>
      <c r="W233" s="2346">
        <v>348.81</v>
      </c>
      <c r="X233" s="2346">
        <v>362.28</v>
      </c>
      <c r="Y233" s="2346">
        <v>410.3</v>
      </c>
      <c r="Z233" s="2346">
        <v>467.82</v>
      </c>
      <c r="AA233" s="2346">
        <v>515.04999999999995</v>
      </c>
      <c r="AB233" s="2346">
        <v>526.83000000000004</v>
      </c>
      <c r="AC233" s="2346">
        <v>526.83000000000004</v>
      </c>
      <c r="AD233" s="2346">
        <v>526.83000000000004</v>
      </c>
      <c r="AE233" s="2347">
        <v>1250</v>
      </c>
      <c r="AF233" s="2275"/>
      <c r="AG233" s="2275">
        <f>HLOOKUP(AG222,D223:AD235,9,0)</f>
        <v>163.47</v>
      </c>
      <c r="AH233" s="2275">
        <f t="shared" si="114"/>
        <v>236.44</v>
      </c>
      <c r="AI233" s="2275">
        <v>1100</v>
      </c>
      <c r="AJ233" s="2275"/>
      <c r="AK233" s="2275"/>
      <c r="AL233" s="2275"/>
      <c r="AM233" s="2275"/>
      <c r="AN233" s="2275"/>
      <c r="AO233" s="2275"/>
      <c r="AP233" s="2250"/>
      <c r="AQ233" s="2250"/>
      <c r="AR233" s="2250"/>
      <c r="AS233" s="2250"/>
      <c r="AT233" s="2250"/>
      <c r="AU233" s="2250"/>
      <c r="AV233" s="2250"/>
      <c r="AW233" s="2250"/>
      <c r="AX233" s="2250"/>
      <c r="AY233" s="2250"/>
      <c r="AZ233" s="2250"/>
      <c r="BA233" s="2250"/>
      <c r="BB233" s="2250"/>
      <c r="BC233" s="2250"/>
      <c r="BD233" s="2250"/>
      <c r="BE233" s="2250"/>
      <c r="BF233" s="2276"/>
      <c r="BG233" s="2276"/>
      <c r="BH233" s="2250"/>
      <c r="BI233" s="2275"/>
      <c r="BJ233" s="4671"/>
      <c r="BK233" s="2345">
        <v>1250</v>
      </c>
      <c r="BL233" s="2346">
        <v>112.77</v>
      </c>
      <c r="BM233" s="2346">
        <v>121.78</v>
      </c>
      <c r="BN233" s="2346">
        <v>131.09</v>
      </c>
      <c r="BO233" s="2346">
        <v>140.5</v>
      </c>
      <c r="BP233" s="2346">
        <v>149.11000000000001</v>
      </c>
      <c r="BQ233" s="2346">
        <v>151.38999999999999</v>
      </c>
      <c r="BR233" s="2346">
        <v>162.08000000000001</v>
      </c>
      <c r="BS233" s="2346">
        <v>173.37</v>
      </c>
      <c r="BT233" s="2346">
        <v>183.96</v>
      </c>
      <c r="BU233" s="2346">
        <v>195.84</v>
      </c>
      <c r="BV233" s="2346">
        <v>216.04</v>
      </c>
      <c r="BW233" s="2346">
        <v>232.18</v>
      </c>
      <c r="BX233" s="2346">
        <v>241.78</v>
      </c>
      <c r="BY233" s="2346">
        <v>253.96</v>
      </c>
      <c r="BZ233" s="2346">
        <v>267.92</v>
      </c>
      <c r="CA233" s="2346">
        <v>277.02999999999997</v>
      </c>
      <c r="CB233" s="2346">
        <v>295.25</v>
      </c>
      <c r="CC233" s="2346">
        <v>338.91</v>
      </c>
      <c r="CD233" s="2346">
        <v>342.87</v>
      </c>
      <c r="CE233" s="2346">
        <v>348.81</v>
      </c>
      <c r="CF233" s="2346">
        <v>362.28</v>
      </c>
      <c r="CG233" s="2346">
        <v>410.3</v>
      </c>
      <c r="CH233" s="2346">
        <v>467.82</v>
      </c>
      <c r="CI233" s="2346">
        <v>515.04999999999995</v>
      </c>
      <c r="CJ233" s="2346">
        <v>526.83000000000004</v>
      </c>
      <c r="CK233" s="2346">
        <v>526.83000000000004</v>
      </c>
      <c r="CL233" s="2346">
        <v>526.83000000000004</v>
      </c>
      <c r="CM233" s="2347">
        <v>1250</v>
      </c>
      <c r="CN233" s="2275"/>
      <c r="CO233" s="2275">
        <f>HLOOKUP(CO222,BL223:CL235,9,0)</f>
        <v>155.63999999999999</v>
      </c>
      <c r="CP233" s="2275">
        <f t="shared" si="115"/>
        <v>217.13</v>
      </c>
      <c r="CQ233" s="2275">
        <v>1100</v>
      </c>
      <c r="CR233" s="2275"/>
      <c r="CS233" s="2275"/>
      <c r="CT233" s="2275"/>
      <c r="CU233" s="2275"/>
      <c r="CV233" s="2275"/>
      <c r="CW233" s="2275"/>
      <c r="CX233" s="2250"/>
      <c r="CY233" s="2250"/>
      <c r="CZ233" s="2250"/>
      <c r="DA233" s="2250"/>
      <c r="DB233" s="2250"/>
      <c r="DC233" s="2250"/>
      <c r="DD233" s="2250"/>
      <c r="DE233" s="2250"/>
      <c r="DF233" s="2250"/>
      <c r="DG233" s="2250"/>
      <c r="DH233" s="2250"/>
      <c r="DI233" s="2250"/>
      <c r="DJ233" s="2250"/>
      <c r="DK233" s="2250"/>
      <c r="DL233" s="2250"/>
      <c r="DM233" s="2250"/>
      <c r="DN233" s="2250"/>
      <c r="DO233" s="2250"/>
      <c r="DP233" s="2250"/>
      <c r="DQ233" s="2277"/>
      <c r="DR233" s="2277"/>
      <c r="DS233" s="277"/>
      <c r="DW233" s="2275"/>
      <c r="DX233" s="4671"/>
      <c r="DY233" s="2345">
        <v>1250</v>
      </c>
      <c r="DZ233" s="2346">
        <v>112.77</v>
      </c>
      <c r="EA233" s="2346">
        <v>121.78</v>
      </c>
      <c r="EB233" s="2346">
        <v>131.09</v>
      </c>
      <c r="EC233" s="2346">
        <v>140.5</v>
      </c>
      <c r="ED233" s="2346">
        <v>149.11000000000001</v>
      </c>
      <c r="EE233" s="2346">
        <v>151.38999999999999</v>
      </c>
      <c r="EF233" s="2346">
        <v>162.08000000000001</v>
      </c>
      <c r="EG233" s="2346">
        <v>173.37</v>
      </c>
      <c r="EH233" s="2346">
        <v>183.96</v>
      </c>
      <c r="EI233" s="2346">
        <v>195.84</v>
      </c>
      <c r="EJ233" s="2346">
        <v>216.04</v>
      </c>
      <c r="EK233" s="2346">
        <v>232.18</v>
      </c>
      <c r="EL233" s="2346">
        <v>241.78</v>
      </c>
      <c r="EM233" s="2346">
        <v>253.96</v>
      </c>
      <c r="EN233" s="2346">
        <v>267.92</v>
      </c>
      <c r="EO233" s="2346">
        <v>277.02999999999997</v>
      </c>
      <c r="EP233" s="2346">
        <v>295.25</v>
      </c>
      <c r="EQ233" s="2346">
        <v>338.91</v>
      </c>
      <c r="ER233" s="2346">
        <v>342.87</v>
      </c>
      <c r="ES233" s="2346">
        <v>348.81</v>
      </c>
      <c r="ET233" s="2346">
        <v>362.28</v>
      </c>
      <c r="EU233" s="2346">
        <v>410.3</v>
      </c>
      <c r="EV233" s="2346">
        <v>467.82</v>
      </c>
      <c r="EW233" s="2346">
        <v>515.04999999999995</v>
      </c>
      <c r="EX233" s="2346">
        <v>526.83000000000004</v>
      </c>
      <c r="EY233" s="2346">
        <v>526.83000000000004</v>
      </c>
      <c r="EZ233" s="2346">
        <v>526.83000000000004</v>
      </c>
      <c r="FA233" s="2347">
        <v>1250</v>
      </c>
      <c r="FB233" s="2275"/>
      <c r="FC233" s="2275">
        <f>HLOOKUP(FC222,DZ223:EZ235,9,0)</f>
        <v>241.49</v>
      </c>
      <c r="FD233" s="2275">
        <f t="shared" si="116"/>
        <v>347.62</v>
      </c>
      <c r="FE233" s="2275">
        <v>1100</v>
      </c>
      <c r="FF233" s="2275"/>
      <c r="FG233" s="2275"/>
      <c r="FH233" s="2275"/>
      <c r="FI233" s="2275"/>
      <c r="FJ233" s="2275"/>
      <c r="FK233" s="2275"/>
      <c r="FL233" s="2250"/>
      <c r="FM233" s="2250"/>
      <c r="FN233" s="2250"/>
      <c r="FO233" s="2250"/>
      <c r="FP233" s="2250"/>
      <c r="FQ233" s="2250"/>
      <c r="FR233" s="2250"/>
      <c r="FS233" s="2250"/>
      <c r="FT233" s="2250"/>
      <c r="FU233" s="2250"/>
      <c r="FV233" s="2250"/>
      <c r="FW233" s="2250"/>
      <c r="FX233" s="2250"/>
      <c r="FY233" s="2250"/>
      <c r="FZ233" s="2250"/>
      <c r="GA233" s="2250"/>
      <c r="GB233" s="2276"/>
      <c r="GC233" s="2276"/>
      <c r="GD233" s="2250"/>
      <c r="GE233" s="2275"/>
      <c r="GF233" s="4671"/>
      <c r="GG233" s="2345">
        <v>1250</v>
      </c>
      <c r="GH233" s="2346">
        <v>112.77</v>
      </c>
      <c r="GI233" s="2346">
        <v>121.78</v>
      </c>
      <c r="GJ233" s="2346">
        <v>131.09</v>
      </c>
      <c r="GK233" s="2346">
        <v>140.5</v>
      </c>
      <c r="GL233" s="2346">
        <v>149.11000000000001</v>
      </c>
      <c r="GM233" s="2346">
        <v>151.38999999999999</v>
      </c>
      <c r="GN233" s="2346">
        <v>162.08000000000001</v>
      </c>
      <c r="GO233" s="2346">
        <v>173.37</v>
      </c>
      <c r="GP233" s="2346">
        <v>183.96</v>
      </c>
      <c r="GQ233" s="2346">
        <v>195.84</v>
      </c>
      <c r="GR233" s="2346">
        <v>216.04</v>
      </c>
      <c r="GS233" s="2346">
        <v>232.18</v>
      </c>
      <c r="GT233" s="2346">
        <v>241.78</v>
      </c>
      <c r="GU233" s="2346">
        <v>253.96</v>
      </c>
      <c r="GV233" s="2346">
        <v>267.92</v>
      </c>
      <c r="GW233" s="2346">
        <v>277.02999999999997</v>
      </c>
      <c r="GX233" s="2346">
        <v>295.25</v>
      </c>
      <c r="GY233" s="2346">
        <v>338.91</v>
      </c>
      <c r="GZ233" s="2346">
        <v>342.87</v>
      </c>
      <c r="HA233" s="2346">
        <v>348.81</v>
      </c>
      <c r="HB233" s="2346">
        <v>362.28</v>
      </c>
      <c r="HC233" s="2346">
        <v>410.3</v>
      </c>
      <c r="HD233" s="2346">
        <v>467.82</v>
      </c>
      <c r="HE233" s="2346">
        <v>515.04999999999995</v>
      </c>
      <c r="HF233" s="2346">
        <v>526.83000000000004</v>
      </c>
      <c r="HG233" s="2346">
        <v>526.83000000000004</v>
      </c>
      <c r="HH233" s="2346">
        <v>526.83000000000004</v>
      </c>
      <c r="HI233" s="2347">
        <v>1250</v>
      </c>
      <c r="HJ233" s="2275"/>
      <c r="HK233" s="2275">
        <f>HLOOKUP(HK222,GH223:HH235,9,0)</f>
        <v>225.15</v>
      </c>
      <c r="HL233" s="2275">
        <f t="shared" si="117"/>
        <v>318.12</v>
      </c>
      <c r="HM233" s="2275">
        <v>1100</v>
      </c>
      <c r="HN233" s="2275"/>
      <c r="HO233" s="2275"/>
      <c r="HP233" s="2275"/>
      <c r="HQ233" s="2275"/>
      <c r="HR233" s="2275"/>
      <c r="HS233" s="2275"/>
      <c r="HT233" s="2250"/>
      <c r="HU233" s="2250"/>
      <c r="HV233" s="2250"/>
      <c r="HW233" s="2250"/>
      <c r="HX233" s="2250"/>
      <c r="HY233" s="2250"/>
      <c r="HZ233" s="2250"/>
      <c r="IA233" s="2250"/>
      <c r="IB233" s="2250"/>
      <c r="IC233" s="2250"/>
      <c r="ID233" s="2250"/>
      <c r="IE233" s="2250"/>
      <c r="IF233" s="2250"/>
      <c r="IG233" s="2250"/>
      <c r="IH233" s="2250"/>
      <c r="II233" s="2250"/>
      <c r="IJ233" s="2250"/>
      <c r="IK233" s="2250"/>
      <c r="IL233" s="2250"/>
      <c r="IN233" s="277"/>
      <c r="IO233" s="277"/>
    </row>
    <row r="234" spans="1:249" ht="21.95" customHeight="1">
      <c r="A234" s="2275"/>
      <c r="B234" s="2275"/>
      <c r="C234" s="2345">
        <v>1450</v>
      </c>
      <c r="D234" s="2346">
        <v>179.01</v>
      </c>
      <c r="E234" s="2346">
        <v>193.37</v>
      </c>
      <c r="F234" s="2346">
        <v>208.12</v>
      </c>
      <c r="G234" s="2346">
        <v>223.07</v>
      </c>
      <c r="H234" s="2346">
        <v>236.83</v>
      </c>
      <c r="I234" s="2346">
        <v>240.5</v>
      </c>
      <c r="J234" s="2346">
        <v>257.33</v>
      </c>
      <c r="K234" s="2346">
        <v>275.35000000000002</v>
      </c>
      <c r="L234" s="2346">
        <v>292.08</v>
      </c>
      <c r="M234" s="2346">
        <v>310.99</v>
      </c>
      <c r="N234" s="2346">
        <v>342.38</v>
      </c>
      <c r="O234" s="2346">
        <v>371.29</v>
      </c>
      <c r="P234" s="2346">
        <v>385.54</v>
      </c>
      <c r="Q234" s="2346">
        <v>399.6</v>
      </c>
      <c r="R234" s="2346">
        <v>420.79</v>
      </c>
      <c r="S234" s="2346">
        <v>442.18</v>
      </c>
      <c r="T234" s="2346">
        <v>470</v>
      </c>
      <c r="U234" s="2346">
        <v>498.22</v>
      </c>
      <c r="V234" s="2346">
        <v>544.46</v>
      </c>
      <c r="W234" s="2346">
        <v>584.85</v>
      </c>
      <c r="X234" s="2346">
        <v>614.46</v>
      </c>
      <c r="Y234" s="2346">
        <v>674.75</v>
      </c>
      <c r="Z234" s="2346">
        <v>733.56</v>
      </c>
      <c r="AA234" s="2346">
        <v>824.36</v>
      </c>
      <c r="AB234" s="2346">
        <v>910.3</v>
      </c>
      <c r="AC234" s="2346">
        <v>910.3</v>
      </c>
      <c r="AD234" s="2346">
        <v>910.3</v>
      </c>
      <c r="AE234" s="2347">
        <v>1450</v>
      </c>
      <c r="AF234" s="2275"/>
      <c r="AG234" s="2275">
        <f>HLOOKUP(AG222,D223:AD235,10,0)</f>
        <v>236.44</v>
      </c>
      <c r="AH234" s="2275">
        <f t="shared" si="114"/>
        <v>338.91</v>
      </c>
      <c r="AI234" s="2275">
        <v>1250</v>
      </c>
      <c r="AJ234" s="2275"/>
      <c r="AK234" s="2275"/>
      <c r="AL234" s="2275"/>
      <c r="AM234" s="2275"/>
      <c r="AN234" s="2275"/>
      <c r="AO234" s="2275"/>
      <c r="AP234" s="2250"/>
      <c r="AQ234" s="2250"/>
      <c r="AR234" s="2250"/>
      <c r="AS234" s="2250"/>
      <c r="AT234" s="2250"/>
      <c r="AU234" s="2250"/>
      <c r="AV234" s="2250"/>
      <c r="AW234" s="2250"/>
      <c r="AX234" s="2250"/>
      <c r="AY234" s="2250"/>
      <c r="AZ234" s="2250"/>
      <c r="BA234" s="2250"/>
      <c r="BB234" s="2250"/>
      <c r="BC234" s="2250"/>
      <c r="BD234" s="2250"/>
      <c r="BE234" s="2250"/>
      <c r="BF234" s="2276"/>
      <c r="BG234" s="2276"/>
      <c r="BH234" s="2250"/>
      <c r="BI234" s="2275"/>
      <c r="BJ234" s="2275"/>
      <c r="BK234" s="2345">
        <v>1450</v>
      </c>
      <c r="BL234" s="2346">
        <v>179.01</v>
      </c>
      <c r="BM234" s="2346">
        <v>193.37</v>
      </c>
      <c r="BN234" s="2346">
        <v>208.12</v>
      </c>
      <c r="BO234" s="2346">
        <v>223.07</v>
      </c>
      <c r="BP234" s="2346">
        <v>236.83</v>
      </c>
      <c r="BQ234" s="2346">
        <v>240.5</v>
      </c>
      <c r="BR234" s="2346">
        <v>257.33</v>
      </c>
      <c r="BS234" s="2346">
        <v>275.35000000000002</v>
      </c>
      <c r="BT234" s="2346">
        <v>292.08</v>
      </c>
      <c r="BU234" s="2346">
        <v>310.99</v>
      </c>
      <c r="BV234" s="2346">
        <v>342.38</v>
      </c>
      <c r="BW234" s="2346">
        <v>371.29</v>
      </c>
      <c r="BX234" s="2346">
        <v>385.54</v>
      </c>
      <c r="BY234" s="2346">
        <v>399.6</v>
      </c>
      <c r="BZ234" s="2346">
        <v>420.79</v>
      </c>
      <c r="CA234" s="2346">
        <v>442.18</v>
      </c>
      <c r="CB234" s="2346">
        <v>470</v>
      </c>
      <c r="CC234" s="2346">
        <v>498.22</v>
      </c>
      <c r="CD234" s="2346">
        <v>544.46</v>
      </c>
      <c r="CE234" s="2346">
        <v>584.85</v>
      </c>
      <c r="CF234" s="2346">
        <v>614.46</v>
      </c>
      <c r="CG234" s="2346">
        <v>674.75</v>
      </c>
      <c r="CH234" s="2346">
        <v>733.56</v>
      </c>
      <c r="CI234" s="2346">
        <v>824.36</v>
      </c>
      <c r="CJ234" s="2346">
        <v>910.3</v>
      </c>
      <c r="CK234" s="2346">
        <v>910.3</v>
      </c>
      <c r="CL234" s="2346">
        <v>910.3</v>
      </c>
      <c r="CM234" s="2347">
        <v>1450</v>
      </c>
      <c r="CN234" s="2275"/>
      <c r="CO234" s="2275">
        <f>HLOOKUP(CO222,BL223:CL235,10,0)</f>
        <v>217.13</v>
      </c>
      <c r="CP234" s="2275">
        <f t="shared" si="115"/>
        <v>295.25</v>
      </c>
      <c r="CQ234" s="2275">
        <v>1250</v>
      </c>
      <c r="CR234" s="2275"/>
      <c r="CS234" s="2275"/>
      <c r="CT234" s="2275"/>
      <c r="CU234" s="2275"/>
      <c r="CV234" s="2275"/>
      <c r="CW234" s="2275"/>
      <c r="CX234" s="2250"/>
      <c r="CY234" s="2250"/>
      <c r="CZ234" s="2250"/>
      <c r="DA234" s="2250"/>
      <c r="DB234" s="2250"/>
      <c r="DC234" s="2250"/>
      <c r="DD234" s="2250"/>
      <c r="DE234" s="2250"/>
      <c r="DF234" s="2250"/>
      <c r="DG234" s="2250"/>
      <c r="DH234" s="2250"/>
      <c r="DI234" s="2250"/>
      <c r="DJ234" s="2250"/>
      <c r="DK234" s="2250"/>
      <c r="DL234" s="2250"/>
      <c r="DM234" s="2250"/>
      <c r="DN234" s="2250"/>
      <c r="DO234" s="2250"/>
      <c r="DP234" s="2250"/>
      <c r="DQ234" s="2277"/>
      <c r="DR234" s="2277"/>
      <c r="DS234" s="277"/>
      <c r="DW234" s="2275"/>
      <c r="DX234" s="2275"/>
      <c r="DY234" s="2345">
        <v>1450</v>
      </c>
      <c r="DZ234" s="2346">
        <v>179.01</v>
      </c>
      <c r="EA234" s="2346">
        <v>193.37</v>
      </c>
      <c r="EB234" s="2346">
        <v>208.12</v>
      </c>
      <c r="EC234" s="2346">
        <v>223.07</v>
      </c>
      <c r="ED234" s="2346">
        <v>236.83</v>
      </c>
      <c r="EE234" s="2346">
        <v>240.5</v>
      </c>
      <c r="EF234" s="2346">
        <v>257.33</v>
      </c>
      <c r="EG234" s="2346">
        <v>275.35000000000002</v>
      </c>
      <c r="EH234" s="2346">
        <v>292.08</v>
      </c>
      <c r="EI234" s="2346">
        <v>310.99</v>
      </c>
      <c r="EJ234" s="2346">
        <v>342.38</v>
      </c>
      <c r="EK234" s="2346">
        <v>371.29</v>
      </c>
      <c r="EL234" s="2346">
        <v>385.54</v>
      </c>
      <c r="EM234" s="2346">
        <v>399.6</v>
      </c>
      <c r="EN234" s="2346">
        <v>420.79</v>
      </c>
      <c r="EO234" s="2346">
        <v>442.18</v>
      </c>
      <c r="EP234" s="2346">
        <v>470</v>
      </c>
      <c r="EQ234" s="2346">
        <v>498.22</v>
      </c>
      <c r="ER234" s="2346">
        <v>544.46</v>
      </c>
      <c r="ES234" s="2346">
        <v>584.85</v>
      </c>
      <c r="ET234" s="2346">
        <v>614.46</v>
      </c>
      <c r="EU234" s="2346">
        <v>674.75</v>
      </c>
      <c r="EV234" s="2346">
        <v>733.56</v>
      </c>
      <c r="EW234" s="2346">
        <v>824.36</v>
      </c>
      <c r="EX234" s="2346">
        <v>910.3</v>
      </c>
      <c r="EY234" s="2346">
        <v>910.3</v>
      </c>
      <c r="EZ234" s="2346">
        <v>910.3</v>
      </c>
      <c r="FA234" s="2347">
        <v>1450</v>
      </c>
      <c r="FB234" s="2275"/>
      <c r="FC234" s="2275">
        <f>HLOOKUP(FC222,DZ223:EZ235,10,0)</f>
        <v>347.62</v>
      </c>
      <c r="FD234" s="2275">
        <f t="shared" si="116"/>
        <v>467.82</v>
      </c>
      <c r="FE234" s="2275">
        <v>1250</v>
      </c>
      <c r="FF234" s="2275"/>
      <c r="FG234" s="2275"/>
      <c r="FH234" s="2275"/>
      <c r="FI234" s="2275"/>
      <c r="FJ234" s="2275"/>
      <c r="FK234" s="2275"/>
      <c r="FL234" s="2250"/>
      <c r="FM234" s="2250"/>
      <c r="FN234" s="2250"/>
      <c r="FO234" s="2250"/>
      <c r="FP234" s="2250"/>
      <c r="FQ234" s="2250"/>
      <c r="FR234" s="2250"/>
      <c r="FS234" s="2250"/>
      <c r="FT234" s="2250"/>
      <c r="FU234" s="2250"/>
      <c r="FV234" s="2250"/>
      <c r="FW234" s="2250"/>
      <c r="FX234" s="2250"/>
      <c r="FY234" s="2250"/>
      <c r="FZ234" s="2250"/>
      <c r="GA234" s="2250"/>
      <c r="GB234" s="2276"/>
      <c r="GC234" s="2276"/>
      <c r="GD234" s="2250"/>
      <c r="GE234" s="2275"/>
      <c r="GF234" s="2275"/>
      <c r="GG234" s="2345">
        <v>1450</v>
      </c>
      <c r="GH234" s="2346">
        <v>179.01</v>
      </c>
      <c r="GI234" s="2346">
        <v>193.37</v>
      </c>
      <c r="GJ234" s="2346">
        <v>208.12</v>
      </c>
      <c r="GK234" s="2346">
        <v>223.07</v>
      </c>
      <c r="GL234" s="2346">
        <v>236.83</v>
      </c>
      <c r="GM234" s="2346">
        <v>240.5</v>
      </c>
      <c r="GN234" s="2346">
        <v>257.33</v>
      </c>
      <c r="GO234" s="2346">
        <v>275.35000000000002</v>
      </c>
      <c r="GP234" s="2346">
        <v>292.08</v>
      </c>
      <c r="GQ234" s="2346">
        <v>310.99</v>
      </c>
      <c r="GR234" s="2346">
        <v>342.38</v>
      </c>
      <c r="GS234" s="2346">
        <v>371.29</v>
      </c>
      <c r="GT234" s="2346">
        <v>385.54</v>
      </c>
      <c r="GU234" s="2346">
        <v>399.6</v>
      </c>
      <c r="GV234" s="2346">
        <v>420.79</v>
      </c>
      <c r="GW234" s="2346">
        <v>442.18</v>
      </c>
      <c r="GX234" s="2346">
        <v>470</v>
      </c>
      <c r="GY234" s="2346">
        <v>498.22</v>
      </c>
      <c r="GZ234" s="2346">
        <v>544.46</v>
      </c>
      <c r="HA234" s="2346">
        <v>584.85</v>
      </c>
      <c r="HB234" s="2346">
        <v>614.46</v>
      </c>
      <c r="HC234" s="2346">
        <v>674.75</v>
      </c>
      <c r="HD234" s="2346">
        <v>733.56</v>
      </c>
      <c r="HE234" s="2346">
        <v>824.36</v>
      </c>
      <c r="HF234" s="2346">
        <v>910.3</v>
      </c>
      <c r="HG234" s="2346">
        <v>910.3</v>
      </c>
      <c r="HH234" s="2346">
        <v>910.3</v>
      </c>
      <c r="HI234" s="2347">
        <v>1450</v>
      </c>
      <c r="HJ234" s="2275"/>
      <c r="HK234" s="2275">
        <f>HLOOKUP(HK222,GH223:HH235,10,0)</f>
        <v>318.12</v>
      </c>
      <c r="HL234" s="2275">
        <f t="shared" si="117"/>
        <v>410.3</v>
      </c>
      <c r="HM234" s="2275">
        <v>1250</v>
      </c>
      <c r="HN234" s="2275"/>
      <c r="HO234" s="2275"/>
      <c r="HP234" s="2275"/>
      <c r="HQ234" s="2275"/>
      <c r="HR234" s="2275"/>
      <c r="HS234" s="2275"/>
      <c r="HT234" s="2250"/>
      <c r="HU234" s="2250"/>
      <c r="HV234" s="2250"/>
      <c r="HW234" s="2250"/>
      <c r="HX234" s="2250"/>
      <c r="HY234" s="2250"/>
      <c r="HZ234" s="2250"/>
      <c r="IA234" s="2250"/>
      <c r="IB234" s="2250"/>
      <c r="IC234" s="2250"/>
      <c r="ID234" s="2250"/>
      <c r="IE234" s="2250"/>
      <c r="IF234" s="2250"/>
      <c r="IG234" s="2250"/>
      <c r="IH234" s="2250"/>
      <c r="II234" s="2250"/>
      <c r="IJ234" s="2250"/>
      <c r="IK234" s="2250"/>
      <c r="IL234" s="2250"/>
      <c r="IN234" s="277"/>
      <c r="IO234" s="277"/>
    </row>
    <row r="235" spans="1:249" ht="21.95" customHeight="1">
      <c r="A235" s="2275"/>
      <c r="B235" s="2275"/>
      <c r="C235" s="2345">
        <v>1650</v>
      </c>
      <c r="D235" s="2346">
        <v>267.23</v>
      </c>
      <c r="E235" s="2346">
        <v>288.61</v>
      </c>
      <c r="F235" s="2346">
        <v>310.69</v>
      </c>
      <c r="G235" s="2346">
        <v>332.97</v>
      </c>
      <c r="H235" s="2346">
        <v>351.98</v>
      </c>
      <c r="I235" s="2346">
        <v>358.91</v>
      </c>
      <c r="J235" s="2346">
        <v>384.16</v>
      </c>
      <c r="K235" s="2346">
        <v>411.09</v>
      </c>
      <c r="L235" s="2346">
        <v>439.5</v>
      </c>
      <c r="M235" s="2346">
        <v>467.92</v>
      </c>
      <c r="N235" s="2346">
        <v>511.09</v>
      </c>
      <c r="O235" s="2346">
        <v>550.69000000000005</v>
      </c>
      <c r="P235" s="2346">
        <v>575.45000000000005</v>
      </c>
      <c r="Q235" s="2346">
        <v>582.38</v>
      </c>
      <c r="R235" s="2346">
        <v>621.19000000000005</v>
      </c>
      <c r="S235" s="2346">
        <v>660.5</v>
      </c>
      <c r="T235" s="2346">
        <v>700.4</v>
      </c>
      <c r="U235" s="2346">
        <v>743.66</v>
      </c>
      <c r="V235" s="2346">
        <v>815.05</v>
      </c>
      <c r="W235" s="2346">
        <v>871.68</v>
      </c>
      <c r="X235" s="2346">
        <v>919.6</v>
      </c>
      <c r="Y235" s="2346">
        <v>993.96</v>
      </c>
      <c r="Z235" s="2346">
        <v>1082.8699999999999</v>
      </c>
      <c r="AA235" s="2346">
        <v>1164.8499999999999</v>
      </c>
      <c r="AB235" s="2346">
        <v>1294.46</v>
      </c>
      <c r="AC235" s="2346">
        <v>1445.54</v>
      </c>
      <c r="AD235" s="2346">
        <v>1392.08</v>
      </c>
      <c r="AE235" s="2347">
        <v>1650</v>
      </c>
      <c r="AF235" s="2275"/>
      <c r="AG235" s="2275">
        <f>HLOOKUP(AG222,D223:AD235,11,0)</f>
        <v>338.91</v>
      </c>
      <c r="AH235" s="2275">
        <f t="shared" si="114"/>
        <v>498.22</v>
      </c>
      <c r="AI235" s="2275">
        <v>1450</v>
      </c>
      <c r="AJ235" s="2275"/>
      <c r="AK235" s="2275"/>
      <c r="AL235" s="2275"/>
      <c r="AM235" s="2275"/>
      <c r="AN235" s="2275"/>
      <c r="AO235" s="2275"/>
      <c r="AP235" s="2250"/>
      <c r="AQ235" s="2250"/>
      <c r="AR235" s="2250"/>
      <c r="AS235" s="2250"/>
      <c r="AT235" s="2250"/>
      <c r="AU235" s="2250"/>
      <c r="AV235" s="2250"/>
      <c r="AW235" s="2250"/>
      <c r="AX235" s="2250"/>
      <c r="AY235" s="2250"/>
      <c r="AZ235" s="2250"/>
      <c r="BA235" s="2250"/>
      <c r="BB235" s="2250"/>
      <c r="BC235" s="2250"/>
      <c r="BD235" s="2250"/>
      <c r="BE235" s="2250"/>
      <c r="BF235" s="2276"/>
      <c r="BG235" s="2276"/>
      <c r="BH235" s="2250"/>
      <c r="BI235" s="2275"/>
      <c r="BJ235" s="2275"/>
      <c r="BK235" s="2345">
        <v>1650</v>
      </c>
      <c r="BL235" s="2346">
        <v>267.23</v>
      </c>
      <c r="BM235" s="2346">
        <v>288.61</v>
      </c>
      <c r="BN235" s="2346">
        <v>310.69</v>
      </c>
      <c r="BO235" s="2346">
        <v>332.97</v>
      </c>
      <c r="BP235" s="2346">
        <v>351.98</v>
      </c>
      <c r="BQ235" s="2346">
        <v>358.91</v>
      </c>
      <c r="BR235" s="2346">
        <v>384.16</v>
      </c>
      <c r="BS235" s="2346">
        <v>411.09</v>
      </c>
      <c r="BT235" s="2346">
        <v>439.5</v>
      </c>
      <c r="BU235" s="2346">
        <v>467.92</v>
      </c>
      <c r="BV235" s="2346">
        <v>511.09</v>
      </c>
      <c r="BW235" s="2346">
        <v>550.69000000000005</v>
      </c>
      <c r="BX235" s="2346">
        <v>575.45000000000005</v>
      </c>
      <c r="BY235" s="2346">
        <v>582.38</v>
      </c>
      <c r="BZ235" s="2346">
        <v>621.19000000000005</v>
      </c>
      <c r="CA235" s="2346">
        <v>660.5</v>
      </c>
      <c r="CB235" s="2346">
        <v>700.4</v>
      </c>
      <c r="CC235" s="2346">
        <v>743.66</v>
      </c>
      <c r="CD235" s="2346">
        <v>815.05</v>
      </c>
      <c r="CE235" s="2346">
        <v>871.68</v>
      </c>
      <c r="CF235" s="2346">
        <v>919.6</v>
      </c>
      <c r="CG235" s="2346">
        <v>993.96</v>
      </c>
      <c r="CH235" s="2346">
        <v>1082.8699999999999</v>
      </c>
      <c r="CI235" s="2346">
        <v>1164.8499999999999</v>
      </c>
      <c r="CJ235" s="2346">
        <v>1294.46</v>
      </c>
      <c r="CK235" s="2346">
        <v>1445.54</v>
      </c>
      <c r="CL235" s="2346">
        <v>1392.08</v>
      </c>
      <c r="CM235" s="2347">
        <v>1650</v>
      </c>
      <c r="CN235" s="2275"/>
      <c r="CO235" s="2275">
        <f>HLOOKUP(CO222,BL223:CL235,11,0)</f>
        <v>295.25</v>
      </c>
      <c r="CP235" s="2275">
        <f t="shared" si="115"/>
        <v>470</v>
      </c>
      <c r="CQ235" s="2275">
        <v>1450</v>
      </c>
      <c r="CR235" s="2275"/>
      <c r="CS235" s="2275"/>
      <c r="CT235" s="2275"/>
      <c r="CU235" s="2275"/>
      <c r="CV235" s="2275"/>
      <c r="CW235" s="2275"/>
      <c r="CX235" s="2250"/>
      <c r="CY235" s="2250"/>
      <c r="CZ235" s="2250"/>
      <c r="DA235" s="2250"/>
      <c r="DB235" s="2250"/>
      <c r="DC235" s="2250"/>
      <c r="DD235" s="2250"/>
      <c r="DE235" s="2250"/>
      <c r="DF235" s="2250"/>
      <c r="DG235" s="2250"/>
      <c r="DH235" s="2250"/>
      <c r="DI235" s="2250"/>
      <c r="DJ235" s="2250"/>
      <c r="DK235" s="2250"/>
      <c r="DL235" s="2250"/>
      <c r="DM235" s="2250"/>
      <c r="DN235" s="2250"/>
      <c r="DO235" s="2250"/>
      <c r="DP235" s="2250"/>
      <c r="DQ235" s="2277"/>
      <c r="DR235" s="2277"/>
      <c r="DS235" s="277"/>
      <c r="DW235" s="2275"/>
      <c r="DX235" s="2275"/>
      <c r="DY235" s="2345">
        <v>1650</v>
      </c>
      <c r="DZ235" s="2346">
        <v>267.23</v>
      </c>
      <c r="EA235" s="2346">
        <v>288.61</v>
      </c>
      <c r="EB235" s="2346">
        <v>310.69</v>
      </c>
      <c r="EC235" s="2346">
        <v>332.97</v>
      </c>
      <c r="ED235" s="2346">
        <v>351.98</v>
      </c>
      <c r="EE235" s="2346">
        <v>358.91</v>
      </c>
      <c r="EF235" s="2346">
        <v>384.16</v>
      </c>
      <c r="EG235" s="2346">
        <v>411.09</v>
      </c>
      <c r="EH235" s="2346">
        <v>439.5</v>
      </c>
      <c r="EI235" s="2346">
        <v>467.92</v>
      </c>
      <c r="EJ235" s="2346">
        <v>511.09</v>
      </c>
      <c r="EK235" s="2346">
        <v>550.69000000000005</v>
      </c>
      <c r="EL235" s="2346">
        <v>575.45000000000005</v>
      </c>
      <c r="EM235" s="2346">
        <v>582.38</v>
      </c>
      <c r="EN235" s="2346">
        <v>621.19000000000005</v>
      </c>
      <c r="EO235" s="2346">
        <v>660.5</v>
      </c>
      <c r="EP235" s="2346">
        <v>700.4</v>
      </c>
      <c r="EQ235" s="2346">
        <v>743.66</v>
      </c>
      <c r="ER235" s="2346">
        <v>815.05</v>
      </c>
      <c r="ES235" s="2346">
        <v>871.68</v>
      </c>
      <c r="ET235" s="2346">
        <v>919.6</v>
      </c>
      <c r="EU235" s="2346">
        <v>993.96</v>
      </c>
      <c r="EV235" s="2346">
        <v>1082.8699999999999</v>
      </c>
      <c r="EW235" s="2346">
        <v>1164.8499999999999</v>
      </c>
      <c r="EX235" s="2346">
        <v>1294.46</v>
      </c>
      <c r="EY235" s="2346">
        <v>1445.54</v>
      </c>
      <c r="EZ235" s="2346">
        <v>1392.08</v>
      </c>
      <c r="FA235" s="2347">
        <v>1650</v>
      </c>
      <c r="FB235" s="2275"/>
      <c r="FC235" s="2275">
        <f>HLOOKUP(FC222,DZ223:EZ235,11,0)</f>
        <v>467.82</v>
      </c>
      <c r="FD235" s="2275">
        <f t="shared" si="116"/>
        <v>733.56</v>
      </c>
      <c r="FE235" s="2275">
        <v>1450</v>
      </c>
      <c r="FF235" s="2275"/>
      <c r="FG235" s="2275"/>
      <c r="FH235" s="2275"/>
      <c r="FI235" s="2275"/>
      <c r="FJ235" s="2275"/>
      <c r="FK235" s="2275"/>
      <c r="FL235" s="2250"/>
      <c r="FM235" s="2250"/>
      <c r="FN235" s="2250"/>
      <c r="FO235" s="2250"/>
      <c r="FP235" s="2250"/>
      <c r="FQ235" s="2250"/>
      <c r="FR235" s="2250"/>
      <c r="FS235" s="2250"/>
      <c r="FT235" s="2250"/>
      <c r="FU235" s="2250"/>
      <c r="FV235" s="2250"/>
      <c r="FW235" s="2250"/>
      <c r="FX235" s="2250"/>
      <c r="FY235" s="2250"/>
      <c r="FZ235" s="2250"/>
      <c r="GA235" s="2250"/>
      <c r="GB235" s="2276"/>
      <c r="GC235" s="2276"/>
      <c r="GD235" s="2250"/>
      <c r="GE235" s="2275"/>
      <c r="GF235" s="2275"/>
      <c r="GG235" s="2345">
        <v>1650</v>
      </c>
      <c r="GH235" s="2346">
        <v>267.23</v>
      </c>
      <c r="GI235" s="2346">
        <v>288.61</v>
      </c>
      <c r="GJ235" s="2346">
        <v>310.69</v>
      </c>
      <c r="GK235" s="2346">
        <v>332.97</v>
      </c>
      <c r="GL235" s="2346">
        <v>351.98</v>
      </c>
      <c r="GM235" s="2346">
        <v>358.91</v>
      </c>
      <c r="GN235" s="2346">
        <v>384.16</v>
      </c>
      <c r="GO235" s="2346">
        <v>411.09</v>
      </c>
      <c r="GP235" s="2346">
        <v>439.5</v>
      </c>
      <c r="GQ235" s="2346">
        <v>467.92</v>
      </c>
      <c r="GR235" s="2346">
        <v>511.09</v>
      </c>
      <c r="GS235" s="2346">
        <v>550.69000000000005</v>
      </c>
      <c r="GT235" s="2346">
        <v>575.45000000000005</v>
      </c>
      <c r="GU235" s="2346">
        <v>582.38</v>
      </c>
      <c r="GV235" s="2346">
        <v>621.19000000000005</v>
      </c>
      <c r="GW235" s="2346">
        <v>660.5</v>
      </c>
      <c r="GX235" s="2346">
        <v>700.4</v>
      </c>
      <c r="GY235" s="2346">
        <v>743.66</v>
      </c>
      <c r="GZ235" s="2346">
        <v>815.05</v>
      </c>
      <c r="HA235" s="2346">
        <v>871.68</v>
      </c>
      <c r="HB235" s="2346">
        <v>919.6</v>
      </c>
      <c r="HC235" s="2346">
        <v>993.96</v>
      </c>
      <c r="HD235" s="2346">
        <v>1082.8699999999999</v>
      </c>
      <c r="HE235" s="2346">
        <v>1164.8499999999999</v>
      </c>
      <c r="HF235" s="2346">
        <v>1294.46</v>
      </c>
      <c r="HG235" s="2346">
        <v>1445.54</v>
      </c>
      <c r="HH235" s="2346">
        <v>1392.08</v>
      </c>
      <c r="HI235" s="2347">
        <v>1650</v>
      </c>
      <c r="HJ235" s="2275"/>
      <c r="HK235" s="2275">
        <f>HLOOKUP(HK222,GH223:HH235,11,0)</f>
        <v>410.3</v>
      </c>
      <c r="HL235" s="2275">
        <f t="shared" si="117"/>
        <v>674.75</v>
      </c>
      <c r="HM235" s="2275">
        <v>1450</v>
      </c>
      <c r="HN235" s="2275"/>
      <c r="HO235" s="2275"/>
      <c r="HP235" s="2275"/>
      <c r="HQ235" s="2275"/>
      <c r="HR235" s="2275"/>
      <c r="HS235" s="2275"/>
      <c r="HT235" s="2250"/>
      <c r="HU235" s="2250"/>
      <c r="HV235" s="2250"/>
      <c r="HW235" s="2250"/>
      <c r="HX235" s="2250"/>
      <c r="HY235" s="2250"/>
      <c r="HZ235" s="2250"/>
      <c r="IA235" s="2250"/>
      <c r="IB235" s="2250"/>
      <c r="IC235" s="2250"/>
      <c r="ID235" s="2250"/>
      <c r="IE235" s="2250"/>
      <c r="IF235" s="2250"/>
      <c r="IG235" s="2250"/>
      <c r="IH235" s="2250"/>
      <c r="II235" s="2250"/>
      <c r="IJ235" s="2250"/>
      <c r="IK235" s="2250"/>
      <c r="IL235" s="2250"/>
      <c r="IN235" s="277"/>
      <c r="IO235" s="277"/>
    </row>
    <row r="236" spans="1:249" ht="21.95" customHeight="1">
      <c r="A236" s="2275"/>
      <c r="B236" s="2275"/>
      <c r="C236" s="2275"/>
      <c r="D236" s="2275"/>
      <c r="E236" s="2275"/>
      <c r="F236" s="2275"/>
      <c r="G236" s="2275"/>
      <c r="H236" s="2275"/>
      <c r="I236" s="2275"/>
      <c r="J236" s="2275"/>
      <c r="K236" s="2275"/>
      <c r="L236" s="2275"/>
      <c r="M236" s="2275"/>
      <c r="N236" s="2275"/>
      <c r="O236" s="2275"/>
      <c r="P236" s="2275"/>
      <c r="Q236" s="2275"/>
      <c r="R236" s="2275"/>
      <c r="S236" s="2275"/>
      <c r="T236" s="2275"/>
      <c r="U236" s="2275"/>
      <c r="V236" s="2275"/>
      <c r="W236" s="2275"/>
      <c r="X236" s="2275"/>
      <c r="Y236" s="2275"/>
      <c r="Z236" s="2275"/>
      <c r="AA236" s="2275"/>
      <c r="AB236" s="2275"/>
      <c r="AC236" s="2275"/>
      <c r="AD236" s="2275"/>
      <c r="AE236" s="2346"/>
      <c r="AF236" s="2275"/>
      <c r="AG236" s="2275">
        <f>HLOOKUP(AG222,D223:AD235,12,0)</f>
        <v>498.22</v>
      </c>
      <c r="AH236" s="2275">
        <f t="shared" si="114"/>
        <v>743.66</v>
      </c>
      <c r="AI236" s="2275">
        <v>1650</v>
      </c>
      <c r="AJ236" s="2275"/>
      <c r="AK236" s="2275"/>
      <c r="AL236" s="2275"/>
      <c r="AM236" s="2275"/>
      <c r="AN236" s="2275"/>
      <c r="AO236" s="2275"/>
      <c r="AP236" s="2250"/>
      <c r="AQ236" s="2250"/>
      <c r="AR236" s="2250"/>
      <c r="AS236" s="2250"/>
      <c r="AT236" s="2250"/>
      <c r="AU236" s="2250"/>
      <c r="AV236" s="2250"/>
      <c r="AW236" s="2250"/>
      <c r="AX236" s="2250"/>
      <c r="AY236" s="2250"/>
      <c r="AZ236" s="2250"/>
      <c r="BA236" s="2250"/>
      <c r="BB236" s="2250"/>
      <c r="BC236" s="2250"/>
      <c r="BD236" s="2250"/>
      <c r="BE236" s="2250"/>
      <c r="BF236" s="2276"/>
      <c r="BG236" s="2276"/>
      <c r="BH236" s="2250"/>
      <c r="BI236" s="2275"/>
      <c r="BJ236" s="2275"/>
      <c r="BK236" s="2275"/>
      <c r="BL236" s="2275"/>
      <c r="BM236" s="2275"/>
      <c r="BN236" s="2275"/>
      <c r="BO236" s="2275"/>
      <c r="BP236" s="2275"/>
      <c r="BQ236" s="2275"/>
      <c r="BR236" s="2275"/>
      <c r="BS236" s="2275"/>
      <c r="BT236" s="2275"/>
      <c r="BU236" s="2275"/>
      <c r="BV236" s="2275"/>
      <c r="BW236" s="2275"/>
      <c r="BX236" s="2275"/>
      <c r="BY236" s="2275"/>
      <c r="BZ236" s="2275"/>
      <c r="CA236" s="2275"/>
      <c r="CB236" s="2275"/>
      <c r="CC236" s="2275"/>
      <c r="CD236" s="2275"/>
      <c r="CE236" s="2275"/>
      <c r="CF236" s="2275"/>
      <c r="CG236" s="2275"/>
      <c r="CH236" s="2275"/>
      <c r="CI236" s="2275"/>
      <c r="CJ236" s="2275"/>
      <c r="CK236" s="2275"/>
      <c r="CL236" s="2275"/>
      <c r="CM236" s="2346"/>
      <c r="CN236" s="2275"/>
      <c r="CO236" s="2275">
        <f>HLOOKUP(CO222,BL223:CL235,12,0)</f>
        <v>470</v>
      </c>
      <c r="CP236" s="2275">
        <f t="shared" si="115"/>
        <v>700.4</v>
      </c>
      <c r="CQ236" s="2275">
        <v>1650</v>
      </c>
      <c r="CR236" s="2275"/>
      <c r="CS236" s="2275"/>
      <c r="CT236" s="2275"/>
      <c r="CU236" s="2275"/>
      <c r="CV236" s="2275"/>
      <c r="CW236" s="2275"/>
      <c r="CX236" s="2250"/>
      <c r="CY236" s="2250"/>
      <c r="CZ236" s="2250"/>
      <c r="DA236" s="2250"/>
      <c r="DB236" s="2250"/>
      <c r="DC236" s="2250"/>
      <c r="DD236" s="2250"/>
      <c r="DE236" s="2250"/>
      <c r="DF236" s="2250"/>
      <c r="DG236" s="2250"/>
      <c r="DH236" s="2250"/>
      <c r="DI236" s="2250"/>
      <c r="DJ236" s="2250"/>
      <c r="DK236" s="2250"/>
      <c r="DL236" s="2250"/>
      <c r="DM236" s="2250"/>
      <c r="DN236" s="2250"/>
      <c r="DO236" s="2250"/>
      <c r="DP236" s="2250"/>
      <c r="DQ236" s="2277"/>
      <c r="DR236" s="2277"/>
      <c r="DS236" s="277"/>
      <c r="DW236" s="2275"/>
      <c r="DX236" s="2275"/>
      <c r="DY236" s="2275"/>
      <c r="DZ236" s="2275"/>
      <c r="EA236" s="2275"/>
      <c r="EB236" s="2275"/>
      <c r="EC236" s="2275"/>
      <c r="ED236" s="2275"/>
      <c r="EE236" s="2275"/>
      <c r="EF236" s="2275"/>
      <c r="EG236" s="2275"/>
      <c r="EH236" s="2275"/>
      <c r="EI236" s="2275"/>
      <c r="EJ236" s="2275"/>
      <c r="EK236" s="2275"/>
      <c r="EL236" s="2275"/>
      <c r="EM236" s="2275"/>
      <c r="EN236" s="2275"/>
      <c r="EO236" s="2275"/>
      <c r="EP236" s="2275"/>
      <c r="EQ236" s="2275"/>
      <c r="ER236" s="2275"/>
      <c r="ES236" s="2275"/>
      <c r="ET236" s="2275"/>
      <c r="EU236" s="2275"/>
      <c r="EV236" s="2275"/>
      <c r="EW236" s="2275"/>
      <c r="EX236" s="2275"/>
      <c r="EY236" s="2275"/>
      <c r="EZ236" s="2275"/>
      <c r="FA236" s="2346"/>
      <c r="FB236" s="2275"/>
      <c r="FC236" s="2275">
        <f>HLOOKUP(FC222,DZ223:EZ235,12,0)</f>
        <v>733.56</v>
      </c>
      <c r="FD236" s="2275">
        <f t="shared" si="116"/>
        <v>1082.8699999999999</v>
      </c>
      <c r="FE236" s="2275">
        <v>1650</v>
      </c>
      <c r="FF236" s="2275"/>
      <c r="FG236" s="2275"/>
      <c r="FH236" s="2275"/>
      <c r="FI236" s="2275"/>
      <c r="FJ236" s="2275"/>
      <c r="FK236" s="2275"/>
      <c r="FL236" s="2250"/>
      <c r="FM236" s="2250"/>
      <c r="FN236" s="2250"/>
      <c r="FO236" s="2250"/>
      <c r="FP236" s="2250"/>
      <c r="FQ236" s="2250"/>
      <c r="FR236" s="2250"/>
      <c r="FS236" s="2250"/>
      <c r="FT236" s="2250"/>
      <c r="FU236" s="2250"/>
      <c r="FV236" s="2250"/>
      <c r="FW236" s="2250"/>
      <c r="FX236" s="2250"/>
      <c r="FY236" s="2250"/>
      <c r="FZ236" s="2250"/>
      <c r="GA236" s="2250"/>
      <c r="GB236" s="2276"/>
      <c r="GC236" s="2276"/>
      <c r="GD236" s="2250"/>
      <c r="GE236" s="2275"/>
      <c r="GF236" s="2275"/>
      <c r="GG236" s="2275"/>
      <c r="GH236" s="2275"/>
      <c r="GI236" s="2275"/>
      <c r="GJ236" s="2275"/>
      <c r="GK236" s="2275"/>
      <c r="GL236" s="2275"/>
      <c r="GM236" s="2275"/>
      <c r="GN236" s="2275"/>
      <c r="GO236" s="2275"/>
      <c r="GP236" s="2275"/>
      <c r="GQ236" s="2275"/>
      <c r="GR236" s="2275"/>
      <c r="GS236" s="2275"/>
      <c r="GT236" s="2275"/>
      <c r="GU236" s="2275"/>
      <c r="GV236" s="2275"/>
      <c r="GW236" s="2275"/>
      <c r="GX236" s="2275"/>
      <c r="GY236" s="2275"/>
      <c r="GZ236" s="2275"/>
      <c r="HA236" s="2275"/>
      <c r="HB236" s="2275"/>
      <c r="HC236" s="2275"/>
      <c r="HD236" s="2275"/>
      <c r="HE236" s="2275"/>
      <c r="HF236" s="2275"/>
      <c r="HG236" s="2275"/>
      <c r="HH236" s="2275"/>
      <c r="HI236" s="2346"/>
      <c r="HJ236" s="2275"/>
      <c r="HK236" s="2275">
        <f>HLOOKUP(HK222,GH223:HH235,12,0)</f>
        <v>674.75</v>
      </c>
      <c r="HL236" s="2275">
        <f t="shared" si="117"/>
        <v>993.96</v>
      </c>
      <c r="HM236" s="2275">
        <v>1650</v>
      </c>
      <c r="HN236" s="2275"/>
      <c r="HO236" s="2275"/>
      <c r="HP236" s="2275"/>
      <c r="HQ236" s="2275"/>
      <c r="HR236" s="2275"/>
      <c r="HS236" s="2275"/>
      <c r="HT236" s="2250"/>
      <c r="HU236" s="2250"/>
      <c r="HV236" s="2250"/>
      <c r="HW236" s="2250"/>
      <c r="HX236" s="2250"/>
      <c r="HY236" s="2250"/>
      <c r="HZ236" s="2250"/>
      <c r="IA236" s="2250"/>
      <c r="IB236" s="2250"/>
      <c r="IC236" s="2250"/>
      <c r="ID236" s="2250"/>
      <c r="IE236" s="2250"/>
      <c r="IF236" s="2250"/>
      <c r="IG236" s="2250"/>
      <c r="IH236" s="2250"/>
      <c r="II236" s="2250"/>
      <c r="IJ236" s="2250"/>
      <c r="IK236" s="2250"/>
      <c r="IL236" s="2250"/>
      <c r="IN236" s="277"/>
      <c r="IO236" s="277"/>
    </row>
    <row r="237" spans="1:249" ht="21.95" customHeight="1">
      <c r="A237" s="2275"/>
      <c r="B237" s="2275">
        <f>AG222</f>
        <v>68.3</v>
      </c>
      <c r="C237" s="2275">
        <v>0</v>
      </c>
      <c r="D237" s="2275">
        <f>VLOOKUP(B239,C225:AD235,2,0)</f>
        <v>3.56</v>
      </c>
      <c r="E237" s="2275">
        <f>VLOOKUP(B239,C225:E235,3,0)</f>
        <v>3.86</v>
      </c>
      <c r="F237" s="2275">
        <f>VLOOKUP(B239,C225:F235,4,0)</f>
        <v>4.16</v>
      </c>
      <c r="G237" s="2275">
        <f>VLOOKUP(B239,C225:G235,5,0)</f>
        <v>4.46</v>
      </c>
      <c r="H237" s="2275">
        <f>VLOOKUP(B239,C225:H235,6,0)</f>
        <v>4.6500000000000004</v>
      </c>
      <c r="I237" s="2275">
        <f>VLOOKUP(B239,C225:I235,7,0)</f>
        <v>4.75</v>
      </c>
      <c r="J237" s="2275">
        <f>VLOOKUP(B239,C225:J235,8,0)</f>
        <v>5.15</v>
      </c>
      <c r="K237" s="2275">
        <f>VLOOKUP(B239,C225:K235,9,0)</f>
        <v>5.45</v>
      </c>
      <c r="L237" s="2275">
        <f>VLOOKUP(B239,C225:L235,10,0)</f>
        <v>5.84</v>
      </c>
      <c r="M237" s="2275">
        <f>VLOOKUP(B239,C225:M235,11,0)</f>
        <v>6.14</v>
      </c>
      <c r="N237" s="2275">
        <f>VLOOKUP(B239,C225:N235,12,0)</f>
        <v>6.83</v>
      </c>
      <c r="O237" s="2275">
        <f>VLOOKUP(B239,C225:O235,13,0)</f>
        <v>7.43</v>
      </c>
      <c r="P237" s="2275">
        <f>VLOOKUP(B239,C225:P235,14,0)</f>
        <v>7.62</v>
      </c>
      <c r="Q237" s="2275">
        <f>VLOOKUP(B239,C225:Q235,15,0)</f>
        <v>8.02</v>
      </c>
      <c r="R237" s="2275">
        <f>VLOOKUP(B239,C225:R235,16,0)</f>
        <v>8.42</v>
      </c>
      <c r="S237" s="2275">
        <f>VLOOKUP(B239,C225:S235,17,0)</f>
        <v>8.7100000000000009</v>
      </c>
      <c r="T237" s="2275">
        <f>VLOOKUP(B239,C225:T235,18,0)</f>
        <v>9.31</v>
      </c>
      <c r="U237" s="2275">
        <f>VLOOKUP(B239,C225:U235,19,0)</f>
        <v>10.1</v>
      </c>
      <c r="V237" s="2275">
        <f>VLOOKUP(B239,C225:V235,20,0)</f>
        <v>10.79</v>
      </c>
      <c r="W237" s="2275">
        <f>VLOOKUP(B239,C225:W235,21,0)</f>
        <v>11.58</v>
      </c>
      <c r="X237" s="2275">
        <f>VLOOKUP(B239,C225:X235,22,0)</f>
        <v>12.38</v>
      </c>
      <c r="Y237" s="2275">
        <f>VLOOKUP(B239,C225:Y235,23,0)</f>
        <v>13.66</v>
      </c>
      <c r="Z237" s="2275">
        <f>VLOOKUP(B239,C225:Z235,24,0)</f>
        <v>14.95</v>
      </c>
      <c r="AA237" s="2275">
        <f>VLOOKUP(B239,C225:AA235,25,0)</f>
        <v>16.53</v>
      </c>
      <c r="AB237" s="2275">
        <f>VLOOKUP(B239,C225:AB235,26,0)</f>
        <v>18.61</v>
      </c>
      <c r="AC237" s="2275">
        <f>VLOOKUP(B239,C225:AC235,27,0)</f>
        <v>19.7</v>
      </c>
      <c r="AD237" s="2275">
        <f>VLOOKUP(B239,C225:AD235,28,0)</f>
        <v>23.17</v>
      </c>
      <c r="AE237" s="2346"/>
      <c r="AF237" s="2275"/>
      <c r="AG237" s="2275">
        <f>HLOOKUP(AG222,D223:AD235,13,0)</f>
        <v>743.66</v>
      </c>
      <c r="AH237" s="2275"/>
      <c r="AI237" s="2275"/>
      <c r="AJ237" s="2275"/>
      <c r="AK237" s="2275"/>
      <c r="AL237" s="2275"/>
      <c r="AM237" s="2275"/>
      <c r="AN237" s="2275"/>
      <c r="AO237" s="2275"/>
      <c r="AP237" s="2250"/>
      <c r="AQ237" s="2250"/>
      <c r="AR237" s="2250"/>
      <c r="AS237" s="2250"/>
      <c r="AT237" s="2250"/>
      <c r="AU237" s="2250"/>
      <c r="AV237" s="2250"/>
      <c r="AW237" s="2250"/>
      <c r="AX237" s="2250"/>
      <c r="AY237" s="2250"/>
      <c r="AZ237" s="2250"/>
      <c r="BA237" s="2250"/>
      <c r="BB237" s="2250"/>
      <c r="BC237" s="2250"/>
      <c r="BD237" s="2250"/>
      <c r="BE237" s="2250"/>
      <c r="BF237" s="2276"/>
      <c r="BG237" s="2276"/>
      <c r="BH237" s="2250"/>
      <c r="BI237" s="2275"/>
      <c r="BJ237" s="2275">
        <f>CO222</f>
        <v>73.7</v>
      </c>
      <c r="BK237" s="2275">
        <v>0</v>
      </c>
      <c r="BL237" s="2275">
        <f>VLOOKUP(BJ239,BK225:CL235,2,0)</f>
        <v>3.56</v>
      </c>
      <c r="BM237" s="2275">
        <f>VLOOKUP(BJ239,BK225:BM235,3,0)</f>
        <v>3.86</v>
      </c>
      <c r="BN237" s="2275">
        <f>VLOOKUP(BJ239,BK225:BN235,4,0)</f>
        <v>4.16</v>
      </c>
      <c r="BO237" s="2275">
        <f>VLOOKUP(BJ239,BK225:BO235,5,0)</f>
        <v>4.46</v>
      </c>
      <c r="BP237" s="2275">
        <f>VLOOKUP(BJ239,BK225:BP235,6,0)</f>
        <v>4.6500000000000004</v>
      </c>
      <c r="BQ237" s="2275">
        <f>VLOOKUP(BJ239,BK225:BQ235,7,0)</f>
        <v>4.75</v>
      </c>
      <c r="BR237" s="2275">
        <f>VLOOKUP(BJ239,BK225:BR235,8,0)</f>
        <v>5.15</v>
      </c>
      <c r="BS237" s="2275">
        <f>VLOOKUP(BJ239,BK225:BS235,9,0)</f>
        <v>5.45</v>
      </c>
      <c r="BT237" s="2275">
        <f>VLOOKUP(BJ239,BK225:BT235,10,0)</f>
        <v>5.84</v>
      </c>
      <c r="BU237" s="2275">
        <f>VLOOKUP(BJ239,BK225:BU235,11,0)</f>
        <v>6.14</v>
      </c>
      <c r="BV237" s="2275">
        <f>VLOOKUP(BJ239,BK225:BV235,12,0)</f>
        <v>6.83</v>
      </c>
      <c r="BW237" s="2275">
        <f>VLOOKUP(BJ239,BK225:BW235,13,0)</f>
        <v>7.43</v>
      </c>
      <c r="BX237" s="2275">
        <f>VLOOKUP(BJ239,BK225:BX235,14,0)</f>
        <v>7.62</v>
      </c>
      <c r="BY237" s="2275">
        <f>VLOOKUP(BJ239,BK225:BY235,15,0)</f>
        <v>8.02</v>
      </c>
      <c r="BZ237" s="2275">
        <f>VLOOKUP(BJ239,BK225:BZ235,16,0)</f>
        <v>8.42</v>
      </c>
      <c r="CA237" s="2275">
        <f>VLOOKUP(BJ239,BK225:CA235,17,0)</f>
        <v>8.7100000000000009</v>
      </c>
      <c r="CB237" s="2275">
        <f>VLOOKUP(BJ239,BK225:CB235,18,0)</f>
        <v>9.31</v>
      </c>
      <c r="CC237" s="2275">
        <f>VLOOKUP(BJ239,BK225:CC235,19,0)</f>
        <v>10.1</v>
      </c>
      <c r="CD237" s="2275">
        <f>VLOOKUP(BJ239,BK225:CD235,20,0)</f>
        <v>10.79</v>
      </c>
      <c r="CE237" s="2275">
        <f>VLOOKUP(BJ239,BK225:CE235,21,0)</f>
        <v>11.58</v>
      </c>
      <c r="CF237" s="2275">
        <f>VLOOKUP(BJ239,BK225:CF235,22,0)</f>
        <v>12.38</v>
      </c>
      <c r="CG237" s="2275">
        <f>VLOOKUP(BJ239,BK225:CG235,23,0)</f>
        <v>13.66</v>
      </c>
      <c r="CH237" s="2275">
        <f>VLOOKUP(BJ239,BK225:CH235,24,0)</f>
        <v>14.95</v>
      </c>
      <c r="CI237" s="2275">
        <f>VLOOKUP(BJ239,BK225:CI235,25,0)</f>
        <v>16.53</v>
      </c>
      <c r="CJ237" s="2275">
        <f>VLOOKUP(BJ239,BK225:CJ235,26,0)</f>
        <v>18.61</v>
      </c>
      <c r="CK237" s="2275">
        <f>VLOOKUP(BJ239,BK225:CK235,27,0)</f>
        <v>19.7</v>
      </c>
      <c r="CL237" s="2275">
        <f>VLOOKUP(BJ239,BK225:CL235,28,0)</f>
        <v>23.17</v>
      </c>
      <c r="CM237" s="2346"/>
      <c r="CN237" s="2275"/>
      <c r="CO237" s="2275">
        <f>HLOOKUP(CO222,BL223:CL235,13,0)</f>
        <v>700.4</v>
      </c>
      <c r="CP237" s="2275"/>
      <c r="CQ237" s="2275"/>
      <c r="CR237" s="2275"/>
      <c r="CS237" s="2275"/>
      <c r="CT237" s="2275"/>
      <c r="CU237" s="2275"/>
      <c r="CV237" s="2275"/>
      <c r="CW237" s="2275"/>
      <c r="CX237" s="2250"/>
      <c r="CY237" s="2250"/>
      <c r="CZ237" s="2250"/>
      <c r="DA237" s="2250"/>
      <c r="DB237" s="2250"/>
      <c r="DC237" s="2250"/>
      <c r="DD237" s="2250"/>
      <c r="DE237" s="2250"/>
      <c r="DF237" s="2250"/>
      <c r="DG237" s="2250"/>
      <c r="DH237" s="2250"/>
      <c r="DI237" s="2250"/>
      <c r="DJ237" s="2250"/>
      <c r="DK237" s="2250"/>
      <c r="DL237" s="2250"/>
      <c r="DM237" s="2250"/>
      <c r="DN237" s="2250"/>
      <c r="DO237" s="2250"/>
      <c r="DP237" s="2250"/>
      <c r="DQ237" s="2277"/>
      <c r="DR237" s="2277"/>
      <c r="DS237" s="277"/>
      <c r="DW237" s="2275"/>
      <c r="DX237" s="2275">
        <f>FC222</f>
        <v>43.9</v>
      </c>
      <c r="DY237" s="2275">
        <v>0</v>
      </c>
      <c r="DZ237" s="2275">
        <f>VLOOKUP(DX239,DY225:EZ235,2,0)</f>
        <v>3.56</v>
      </c>
      <c r="EA237" s="2275">
        <f>VLOOKUP(DX239,DY225:EA235,3,0)</f>
        <v>3.86</v>
      </c>
      <c r="EB237" s="2275">
        <f>VLOOKUP(DX239,DY225:EB235,4,0)</f>
        <v>4.16</v>
      </c>
      <c r="EC237" s="2275">
        <f>VLOOKUP(DX239,DY225:EC235,5,0)</f>
        <v>4.46</v>
      </c>
      <c r="ED237" s="2275">
        <f>VLOOKUP(DX239,DY225:ED235,6,0)</f>
        <v>4.6500000000000004</v>
      </c>
      <c r="EE237" s="2275">
        <f>VLOOKUP(DX239,DY225:EE235,7,0)</f>
        <v>4.75</v>
      </c>
      <c r="EF237" s="2275">
        <f>VLOOKUP(DX239,DY225:EF235,8,0)</f>
        <v>5.15</v>
      </c>
      <c r="EG237" s="2275">
        <f>VLOOKUP(DX239,DY225:EG235,9,0)</f>
        <v>5.45</v>
      </c>
      <c r="EH237" s="2275">
        <f>VLOOKUP(DX239,DY225:EH235,10,0)</f>
        <v>5.84</v>
      </c>
      <c r="EI237" s="2275">
        <f>VLOOKUP(DX239,DY225:EI235,11,0)</f>
        <v>6.14</v>
      </c>
      <c r="EJ237" s="2275">
        <f>VLOOKUP(DX239,DY225:EJ235,12,0)</f>
        <v>6.83</v>
      </c>
      <c r="EK237" s="2275">
        <f>VLOOKUP(DX239,DY225:EK235,13,0)</f>
        <v>7.43</v>
      </c>
      <c r="EL237" s="2275">
        <f>VLOOKUP(DX239,DY225:EL235,14,0)</f>
        <v>7.62</v>
      </c>
      <c r="EM237" s="2275">
        <f>VLOOKUP(DX239,DY225:EM235,15,0)</f>
        <v>8.02</v>
      </c>
      <c r="EN237" s="2275">
        <f>VLOOKUP(DX239,DY225:EN235,16,0)</f>
        <v>8.42</v>
      </c>
      <c r="EO237" s="2275">
        <f>VLOOKUP(DX239,DY225:EO235,17,0)</f>
        <v>8.7100000000000009</v>
      </c>
      <c r="EP237" s="2275">
        <f>VLOOKUP(DX239,DY225:EP235,18,0)</f>
        <v>9.31</v>
      </c>
      <c r="EQ237" s="2275">
        <f>VLOOKUP(DX239,DY225:EQ235,19,0)</f>
        <v>10.1</v>
      </c>
      <c r="ER237" s="2275">
        <f>VLOOKUP(DX239,DY225:ER235,20,0)</f>
        <v>10.79</v>
      </c>
      <c r="ES237" s="2275">
        <f>VLOOKUP(DX239,DY225:ES235,21,0)</f>
        <v>11.58</v>
      </c>
      <c r="ET237" s="2275">
        <f>VLOOKUP(DX239,DY225:ET235,22,0)</f>
        <v>12.38</v>
      </c>
      <c r="EU237" s="2275">
        <f>VLOOKUP(DX239,DY225:EU235,23,0)</f>
        <v>13.66</v>
      </c>
      <c r="EV237" s="2275">
        <f>VLOOKUP(DX239,DY225:EV235,24,0)</f>
        <v>14.95</v>
      </c>
      <c r="EW237" s="2275">
        <f>VLOOKUP(DX239,DY225:EW235,25,0)</f>
        <v>16.53</v>
      </c>
      <c r="EX237" s="2275">
        <f>VLOOKUP(DX239,DY225:EX235,26,0)</f>
        <v>18.61</v>
      </c>
      <c r="EY237" s="2275">
        <f>VLOOKUP(DX239,DY225:EY235,27,0)</f>
        <v>19.7</v>
      </c>
      <c r="EZ237" s="2275">
        <f>VLOOKUP(DX239,DY225:EZ235,28,0)</f>
        <v>23.17</v>
      </c>
      <c r="FA237" s="2346"/>
      <c r="FB237" s="2275"/>
      <c r="FC237" s="2275">
        <f>HLOOKUP(FC222,DZ223:EZ235,13,0)</f>
        <v>1082.8699999999999</v>
      </c>
      <c r="FD237" s="2275"/>
      <c r="FE237" s="2275"/>
      <c r="FF237" s="2275"/>
      <c r="FG237" s="2275"/>
      <c r="FH237" s="2275"/>
      <c r="FI237" s="2275"/>
      <c r="FJ237" s="2275"/>
      <c r="FK237" s="2275"/>
      <c r="FL237" s="2250"/>
      <c r="FM237" s="2250"/>
      <c r="FN237" s="2250"/>
      <c r="FO237" s="2250"/>
      <c r="FP237" s="2250"/>
      <c r="FQ237" s="2250"/>
      <c r="FR237" s="2250"/>
      <c r="FS237" s="2250"/>
      <c r="FT237" s="2250"/>
      <c r="FU237" s="2250"/>
      <c r="FV237" s="2250"/>
      <c r="FW237" s="2250"/>
      <c r="FX237" s="2250"/>
      <c r="FY237" s="2250"/>
      <c r="FZ237" s="2250"/>
      <c r="GA237" s="2250"/>
      <c r="GB237" s="2276"/>
      <c r="GC237" s="2276"/>
      <c r="GD237" s="2250"/>
      <c r="GE237" s="2275"/>
      <c r="GF237" s="2275">
        <f>HK222</f>
        <v>48.8</v>
      </c>
      <c r="GG237" s="2275">
        <v>0</v>
      </c>
      <c r="GH237" s="2275">
        <f>VLOOKUP(GF239,GG225:HH235,2,0)</f>
        <v>3.56</v>
      </c>
      <c r="GI237" s="2275">
        <f>VLOOKUP(GF239,GG225:GI235,3,0)</f>
        <v>3.86</v>
      </c>
      <c r="GJ237" s="2275">
        <f>VLOOKUP(GF239,GG225:GJ235,4,0)</f>
        <v>4.16</v>
      </c>
      <c r="GK237" s="2275">
        <f>VLOOKUP(GF239,GG225:GK235,5,0)</f>
        <v>4.46</v>
      </c>
      <c r="GL237" s="2275">
        <f>VLOOKUP(GF239,GG225:GL235,6,0)</f>
        <v>4.6500000000000004</v>
      </c>
      <c r="GM237" s="2275">
        <f>VLOOKUP(GF239,GG225:GM235,7,0)</f>
        <v>4.75</v>
      </c>
      <c r="GN237" s="2275">
        <f>VLOOKUP(GF239,GG225:GN235,8,0)</f>
        <v>5.15</v>
      </c>
      <c r="GO237" s="2275">
        <f>VLOOKUP(GF239,GG225:GO235,9,0)</f>
        <v>5.45</v>
      </c>
      <c r="GP237" s="2275">
        <f>VLOOKUP(GF239,GG225:GP235,10,0)</f>
        <v>5.84</v>
      </c>
      <c r="GQ237" s="2275">
        <f>VLOOKUP(GF239,GG225:GQ235,11,0)</f>
        <v>6.14</v>
      </c>
      <c r="GR237" s="2275">
        <f>VLOOKUP(GF239,GG225:GR235,12,0)</f>
        <v>6.83</v>
      </c>
      <c r="GS237" s="2275">
        <f>VLOOKUP(GF239,GG225:GS235,13,0)</f>
        <v>7.43</v>
      </c>
      <c r="GT237" s="2275">
        <f>VLOOKUP(GF239,GG225:GT235,14,0)</f>
        <v>7.62</v>
      </c>
      <c r="GU237" s="2275">
        <f>VLOOKUP(GF239,GG225:GU235,15,0)</f>
        <v>8.02</v>
      </c>
      <c r="GV237" s="2275">
        <f>VLOOKUP(GF239,GG225:GV235,16,0)</f>
        <v>8.42</v>
      </c>
      <c r="GW237" s="2275">
        <f>VLOOKUP(GF239,GG225:GW235,17,0)</f>
        <v>8.7100000000000009</v>
      </c>
      <c r="GX237" s="2275">
        <f>VLOOKUP(GF239,GG225:GX235,18,0)</f>
        <v>9.31</v>
      </c>
      <c r="GY237" s="2275">
        <f>VLOOKUP(GF239,GG225:GY235,19,0)</f>
        <v>10.1</v>
      </c>
      <c r="GZ237" s="2275">
        <f>VLOOKUP(GF239,GG225:GZ235,20,0)</f>
        <v>10.79</v>
      </c>
      <c r="HA237" s="2275">
        <f>VLOOKUP(GF239,GG225:HA235,21,0)</f>
        <v>11.58</v>
      </c>
      <c r="HB237" s="2275">
        <f>VLOOKUP(GF239,GG225:HB235,22,0)</f>
        <v>12.38</v>
      </c>
      <c r="HC237" s="2275">
        <f>VLOOKUP(GF239,GG225:HC235,23,0)</f>
        <v>13.66</v>
      </c>
      <c r="HD237" s="2275">
        <f>VLOOKUP(GF239,GG225:HD235,24,0)</f>
        <v>14.95</v>
      </c>
      <c r="HE237" s="2275">
        <f>VLOOKUP(GF239,GG225:HE235,25,0)</f>
        <v>16.53</v>
      </c>
      <c r="HF237" s="2275">
        <f>VLOOKUP(GF239,GG225:HF235,26,0)</f>
        <v>18.61</v>
      </c>
      <c r="HG237" s="2275">
        <f>VLOOKUP(GF239,GG225:HG235,27,0)</f>
        <v>19.7</v>
      </c>
      <c r="HH237" s="2275">
        <f>VLOOKUP(GF239,GG225:HH235,28,0)</f>
        <v>23.17</v>
      </c>
      <c r="HI237" s="2346"/>
      <c r="HJ237" s="2275"/>
      <c r="HK237" s="2275">
        <f>HLOOKUP(HK222,GH223:HH235,13,0)</f>
        <v>993.96</v>
      </c>
      <c r="HL237" s="2275"/>
      <c r="HM237" s="2275"/>
      <c r="HN237" s="2275"/>
      <c r="HO237" s="2275"/>
      <c r="HP237" s="2275"/>
      <c r="HQ237" s="2275"/>
      <c r="HR237" s="2275"/>
      <c r="HS237" s="2275"/>
      <c r="HT237" s="2250"/>
      <c r="HU237" s="2250"/>
      <c r="HV237" s="2250"/>
      <c r="HW237" s="2250"/>
      <c r="HX237" s="2250"/>
      <c r="HY237" s="2250"/>
      <c r="HZ237" s="2250"/>
      <c r="IA237" s="2250"/>
      <c r="IB237" s="2250"/>
      <c r="IC237" s="2250"/>
      <c r="ID237" s="2250"/>
      <c r="IE237" s="2250"/>
      <c r="IF237" s="2250"/>
      <c r="IG237" s="2250"/>
      <c r="IH237" s="2250"/>
      <c r="II237" s="2250"/>
      <c r="IJ237" s="2250"/>
      <c r="IK237" s="2250"/>
      <c r="IL237" s="2250"/>
      <c r="IN237" s="277"/>
      <c r="IO237" s="277"/>
    </row>
    <row r="238" spans="1:249" ht="21.95" customHeight="1">
      <c r="A238" s="2275"/>
      <c r="B238" s="2275">
        <f>AH239</f>
        <v>10.1</v>
      </c>
      <c r="C238" s="2275"/>
      <c r="D238" s="2275"/>
      <c r="E238" s="2275"/>
      <c r="F238" s="2275"/>
      <c r="G238" s="2275"/>
      <c r="H238" s="2275"/>
      <c r="I238" s="2275"/>
      <c r="J238" s="2275"/>
      <c r="K238" s="2275"/>
      <c r="L238" s="2275"/>
      <c r="M238" s="2275"/>
      <c r="N238" s="2275"/>
      <c r="O238" s="2275"/>
      <c r="P238" s="2275"/>
      <c r="Q238" s="2275"/>
      <c r="R238" s="2275"/>
      <c r="S238" s="2275"/>
      <c r="T238" s="2275"/>
      <c r="U238" s="2275"/>
      <c r="V238" s="2275"/>
      <c r="W238" s="2275"/>
      <c r="X238" s="2275"/>
      <c r="Y238" s="2275"/>
      <c r="Z238" s="2275"/>
      <c r="AA238" s="2275"/>
      <c r="AB238" s="2275"/>
      <c r="AC238" s="2275"/>
      <c r="AD238" s="2275"/>
      <c r="AE238" s="2275"/>
      <c r="AF238" s="2275"/>
      <c r="AG238" s="2275">
        <f>VLOOKUP(AG223,AG225:AG237,1)</f>
        <v>0</v>
      </c>
      <c r="AH238" s="2275">
        <f>IFERROR(VLOOKUP(AG223,AH225:AH235,2,0),0)</f>
        <v>0</v>
      </c>
      <c r="AI238" s="2275"/>
      <c r="AJ238" s="2275"/>
      <c r="AK238" s="2275"/>
      <c r="AL238" s="2275"/>
      <c r="AM238" s="2275"/>
      <c r="AN238" s="2275"/>
      <c r="AO238" s="2275"/>
      <c r="AP238" s="2250"/>
      <c r="AQ238" s="2250"/>
      <c r="AR238" s="2250"/>
      <c r="AS238" s="2250"/>
      <c r="AT238" s="2250"/>
      <c r="AU238" s="2250"/>
      <c r="AV238" s="2250"/>
      <c r="AW238" s="2250"/>
      <c r="AX238" s="2250"/>
      <c r="AY238" s="2250"/>
      <c r="AZ238" s="2250"/>
      <c r="BA238" s="2250"/>
      <c r="BB238" s="2250"/>
      <c r="BC238" s="2250"/>
      <c r="BD238" s="2250"/>
      <c r="BE238" s="2250"/>
      <c r="BF238" s="2276"/>
      <c r="BG238" s="2276"/>
      <c r="BH238" s="2250"/>
      <c r="BI238" s="2275"/>
      <c r="BJ238" s="2275">
        <f>CP239</f>
        <v>9.31</v>
      </c>
      <c r="BK238" s="2275"/>
      <c r="BL238" s="2275"/>
      <c r="BM238" s="2275"/>
      <c r="BN238" s="2275"/>
      <c r="BO238" s="2275"/>
      <c r="BP238" s="2275"/>
      <c r="BQ238" s="2275"/>
      <c r="BR238" s="2275"/>
      <c r="BS238" s="2275"/>
      <c r="BT238" s="2275"/>
      <c r="BU238" s="2275"/>
      <c r="BV238" s="2275"/>
      <c r="BW238" s="2275"/>
      <c r="BX238" s="2275"/>
      <c r="BY238" s="2275"/>
      <c r="BZ238" s="2275"/>
      <c r="CA238" s="2275"/>
      <c r="CB238" s="2275"/>
      <c r="CC238" s="2275"/>
      <c r="CD238" s="2275"/>
      <c r="CE238" s="2275"/>
      <c r="CF238" s="2275"/>
      <c r="CG238" s="2275"/>
      <c r="CH238" s="2275"/>
      <c r="CI238" s="2275"/>
      <c r="CJ238" s="2275"/>
      <c r="CK238" s="2275"/>
      <c r="CL238" s="2275"/>
      <c r="CM238" s="2275"/>
      <c r="CN238" s="2275"/>
      <c r="CO238" s="2275">
        <f>VLOOKUP(CO223,CO225:CO237,1)</f>
        <v>0</v>
      </c>
      <c r="CP238" s="2275">
        <f>IFERROR(VLOOKUP(CO223,CP225:CP235,2,0),0)</f>
        <v>0</v>
      </c>
      <c r="CQ238" s="2275"/>
      <c r="CR238" s="2275"/>
      <c r="CS238" s="2275"/>
      <c r="CT238" s="2275"/>
      <c r="CU238" s="2275"/>
      <c r="CV238" s="2275"/>
      <c r="CW238" s="2275"/>
      <c r="CX238" s="2250"/>
      <c r="CY238" s="2250"/>
      <c r="CZ238" s="2250"/>
      <c r="DA238" s="2250"/>
      <c r="DB238" s="2250"/>
      <c r="DC238" s="2250"/>
      <c r="DD238" s="2250"/>
      <c r="DE238" s="2250"/>
      <c r="DF238" s="2250"/>
      <c r="DG238" s="2250"/>
      <c r="DH238" s="2250"/>
      <c r="DI238" s="2250"/>
      <c r="DJ238" s="2250"/>
      <c r="DK238" s="2250"/>
      <c r="DL238" s="2250"/>
      <c r="DM238" s="2250"/>
      <c r="DN238" s="2250"/>
      <c r="DO238" s="2250"/>
      <c r="DP238" s="2250"/>
      <c r="DQ238" s="2277"/>
      <c r="DR238" s="2277"/>
      <c r="DS238" s="277"/>
      <c r="DW238" s="2275"/>
      <c r="DX238" s="2275">
        <f>FD239</f>
        <v>14.95</v>
      </c>
      <c r="DY238" s="2275"/>
      <c r="DZ238" s="2275"/>
      <c r="EA238" s="2275"/>
      <c r="EB238" s="2275"/>
      <c r="EC238" s="2275"/>
      <c r="ED238" s="2275"/>
      <c r="EE238" s="2275"/>
      <c r="EF238" s="2275"/>
      <c r="EG238" s="2275"/>
      <c r="EH238" s="2275"/>
      <c r="EI238" s="2275"/>
      <c r="EJ238" s="2275"/>
      <c r="EK238" s="2275"/>
      <c r="EL238" s="2275"/>
      <c r="EM238" s="2275"/>
      <c r="EN238" s="2275"/>
      <c r="EO238" s="2275"/>
      <c r="EP238" s="2275"/>
      <c r="EQ238" s="2275"/>
      <c r="ER238" s="2275"/>
      <c r="ES238" s="2275"/>
      <c r="ET238" s="2275"/>
      <c r="EU238" s="2275"/>
      <c r="EV238" s="2275"/>
      <c r="EW238" s="2275"/>
      <c r="EX238" s="2275"/>
      <c r="EY238" s="2275"/>
      <c r="EZ238" s="2275"/>
      <c r="FA238" s="2275"/>
      <c r="FB238" s="2275"/>
      <c r="FC238" s="2275">
        <f>VLOOKUP(FC223,FC225:FC237,1)</f>
        <v>0</v>
      </c>
      <c r="FD238" s="2275">
        <f>IFERROR(VLOOKUP(FC223,FD225:FD235,2,0),0)</f>
        <v>0</v>
      </c>
      <c r="FE238" s="2275"/>
      <c r="FF238" s="2275"/>
      <c r="FG238" s="2275"/>
      <c r="FH238" s="2275"/>
      <c r="FI238" s="2275"/>
      <c r="FJ238" s="2275"/>
      <c r="FK238" s="2275"/>
      <c r="FL238" s="2250"/>
      <c r="FM238" s="2250"/>
      <c r="FN238" s="2250"/>
      <c r="FO238" s="2250"/>
      <c r="FP238" s="2250"/>
      <c r="FQ238" s="2250"/>
      <c r="FR238" s="2250"/>
      <c r="FS238" s="2250"/>
      <c r="FT238" s="2250"/>
      <c r="FU238" s="2250"/>
      <c r="FV238" s="2250"/>
      <c r="FW238" s="2250"/>
      <c r="FX238" s="2250"/>
      <c r="FY238" s="2250"/>
      <c r="FZ238" s="2250"/>
      <c r="GA238" s="2250"/>
      <c r="GB238" s="2276"/>
      <c r="GC238" s="2276"/>
      <c r="GD238" s="2250"/>
      <c r="GE238" s="2275"/>
      <c r="GF238" s="2275">
        <f>HL239</f>
        <v>13.66</v>
      </c>
      <c r="GG238" s="2275"/>
      <c r="GH238" s="2275"/>
      <c r="GI238" s="2275"/>
      <c r="GJ238" s="2275"/>
      <c r="GK238" s="2275"/>
      <c r="GL238" s="2275"/>
      <c r="GM238" s="2275"/>
      <c r="GN238" s="2275"/>
      <c r="GO238" s="2275"/>
      <c r="GP238" s="2275"/>
      <c r="GQ238" s="2275"/>
      <c r="GR238" s="2275"/>
      <c r="GS238" s="2275"/>
      <c r="GT238" s="2275"/>
      <c r="GU238" s="2275"/>
      <c r="GV238" s="2275"/>
      <c r="GW238" s="2275"/>
      <c r="GX238" s="2275"/>
      <c r="GY238" s="2275"/>
      <c r="GZ238" s="2275"/>
      <c r="HA238" s="2275"/>
      <c r="HB238" s="2275"/>
      <c r="HC238" s="2275"/>
      <c r="HD238" s="2275"/>
      <c r="HE238" s="2275"/>
      <c r="HF238" s="2275"/>
      <c r="HG238" s="2275"/>
      <c r="HH238" s="2275"/>
      <c r="HI238" s="2275"/>
      <c r="HJ238" s="2275"/>
      <c r="HK238" s="2275">
        <f>VLOOKUP(HK223,HK225:HK237,1)</f>
        <v>0</v>
      </c>
      <c r="HL238" s="2275">
        <f>IFERROR(VLOOKUP(HK223,HL225:HL235,2,0),0)</f>
        <v>0</v>
      </c>
      <c r="HM238" s="2275"/>
      <c r="HN238" s="2275"/>
      <c r="HO238" s="2275"/>
      <c r="HP238" s="2275"/>
      <c r="HQ238" s="2275"/>
      <c r="HR238" s="2275"/>
      <c r="HS238" s="2275"/>
      <c r="HT238" s="2250"/>
      <c r="HU238" s="2250"/>
      <c r="HV238" s="2250"/>
      <c r="HW238" s="2250"/>
      <c r="HX238" s="2250"/>
      <c r="HY238" s="2250"/>
      <c r="HZ238" s="2250"/>
      <c r="IA238" s="2250"/>
      <c r="IB238" s="2250"/>
      <c r="IC238" s="2250"/>
      <c r="ID238" s="2250"/>
      <c r="IE238" s="2250"/>
      <c r="IF238" s="2250"/>
      <c r="IG238" s="2250"/>
      <c r="IH238" s="2250"/>
      <c r="II238" s="2250"/>
      <c r="IJ238" s="2250"/>
      <c r="IK238" s="2250"/>
      <c r="IL238" s="2250"/>
      <c r="IN238" s="277"/>
      <c r="IO238" s="277"/>
    </row>
    <row r="239" spans="1:249" ht="21.95" customHeight="1">
      <c r="A239" s="2275"/>
      <c r="B239" s="2346">
        <f>AI239</f>
        <v>400</v>
      </c>
      <c r="C239" s="2346" t="s">
        <v>739</v>
      </c>
      <c r="D239" s="2346">
        <f>HLOOKUP(B237,D223:AD237,15,0)</f>
        <v>10.1</v>
      </c>
      <c r="E239" s="2346" t="str">
        <f>IF(B238=D239,"Right","Wrong")</f>
        <v>Right</v>
      </c>
      <c r="F239" s="2275"/>
      <c r="G239" s="2275"/>
      <c r="H239" s="2275"/>
      <c r="I239" s="2275"/>
      <c r="J239" s="2275"/>
      <c r="K239" s="2275"/>
      <c r="L239" s="2275"/>
      <c r="M239" s="2275"/>
      <c r="N239" s="2275"/>
      <c r="O239" s="2275"/>
      <c r="P239" s="2275"/>
      <c r="Q239" s="2275"/>
      <c r="R239" s="2275"/>
      <c r="S239" s="2275"/>
      <c r="T239" s="2275"/>
      <c r="U239" s="2275"/>
      <c r="V239" s="2275"/>
      <c r="W239" s="2275"/>
      <c r="X239" s="2275"/>
      <c r="Y239" s="2275"/>
      <c r="Z239" s="2275"/>
      <c r="AA239" s="2275"/>
      <c r="AB239" s="2275"/>
      <c r="AC239" s="2275"/>
      <c r="AD239" s="2275"/>
      <c r="AE239" s="2275"/>
      <c r="AF239" s="2275"/>
      <c r="AG239" s="2275">
        <f>VLOOKUP(AG238,AG225:AH236,2,0)</f>
        <v>10.1</v>
      </c>
      <c r="AH239" s="2275">
        <f>IF(AH238&gt;0,AH238,AG239)</f>
        <v>10.1</v>
      </c>
      <c r="AI239" s="2275">
        <f>VLOOKUP(AH239,AH226:AI236,2,0)</f>
        <v>400</v>
      </c>
      <c r="AJ239" s="2275"/>
      <c r="AK239" s="2275"/>
      <c r="AL239" s="2275"/>
      <c r="AM239" s="2275"/>
      <c r="AN239" s="2275"/>
      <c r="AO239" s="2275"/>
      <c r="AP239" s="2250"/>
      <c r="AQ239" s="2250"/>
      <c r="AR239" s="2250"/>
      <c r="AS239" s="2250"/>
      <c r="AT239" s="2250"/>
      <c r="AU239" s="2250"/>
      <c r="AV239" s="2250"/>
      <c r="AW239" s="2250"/>
      <c r="AX239" s="2250"/>
      <c r="AY239" s="2250"/>
      <c r="AZ239" s="2250"/>
      <c r="BA239" s="2250"/>
      <c r="BB239" s="2250"/>
      <c r="BC239" s="2250"/>
      <c r="BD239" s="2250"/>
      <c r="BE239" s="2250"/>
      <c r="BF239" s="2276"/>
      <c r="BG239" s="2276"/>
      <c r="BH239" s="2250"/>
      <c r="BI239" s="2275"/>
      <c r="BJ239" s="2346">
        <f>CQ239</f>
        <v>400</v>
      </c>
      <c r="BK239" s="2346" t="s">
        <v>739</v>
      </c>
      <c r="BL239" s="2346">
        <f>HLOOKUP(BJ237,BL223:CL237,15,0)</f>
        <v>9.31</v>
      </c>
      <c r="BM239" s="2346" t="str">
        <f>IF(BJ238=BL239,"Right","Wrong")</f>
        <v>Right</v>
      </c>
      <c r="BN239" s="2275"/>
      <c r="BO239" s="2275"/>
      <c r="BP239" s="2275"/>
      <c r="BQ239" s="2275"/>
      <c r="BR239" s="2275"/>
      <c r="BS239" s="2275"/>
      <c r="BT239" s="2275"/>
      <c r="BU239" s="2275"/>
      <c r="BV239" s="2275"/>
      <c r="BW239" s="2275"/>
      <c r="BX239" s="2275"/>
      <c r="BY239" s="2275"/>
      <c r="BZ239" s="2275"/>
      <c r="CA239" s="2275"/>
      <c r="CB239" s="2275"/>
      <c r="CC239" s="2275"/>
      <c r="CD239" s="2275"/>
      <c r="CE239" s="2275"/>
      <c r="CF239" s="2275"/>
      <c r="CG239" s="2275"/>
      <c r="CH239" s="2275"/>
      <c r="CI239" s="2275"/>
      <c r="CJ239" s="2275"/>
      <c r="CK239" s="2275"/>
      <c r="CL239" s="2275"/>
      <c r="CM239" s="2275"/>
      <c r="CN239" s="2275"/>
      <c r="CO239" s="2275">
        <f>VLOOKUP(CO238,CO225:CP236,2,0)</f>
        <v>9.31</v>
      </c>
      <c r="CP239" s="2275">
        <f>IF(CP238&gt;0,CP238,CO239)</f>
        <v>9.31</v>
      </c>
      <c r="CQ239" s="2275">
        <f>VLOOKUP(CP239,CP226:CQ236,2,0)</f>
        <v>400</v>
      </c>
      <c r="CR239" s="2275"/>
      <c r="CS239" s="2275"/>
      <c r="CT239" s="2275"/>
      <c r="CU239" s="2275"/>
      <c r="CV239" s="2275"/>
      <c r="CW239" s="2275"/>
      <c r="CX239" s="2250"/>
      <c r="CY239" s="2250"/>
      <c r="CZ239" s="2250"/>
      <c r="DA239" s="2250"/>
      <c r="DB239" s="2250"/>
      <c r="DC239" s="2250"/>
      <c r="DD239" s="2250"/>
      <c r="DE239" s="2250"/>
      <c r="DF239" s="2250"/>
      <c r="DG239" s="2250"/>
      <c r="DH239" s="2250"/>
      <c r="DI239" s="2250"/>
      <c r="DJ239" s="2250"/>
      <c r="DK239" s="2250"/>
      <c r="DL239" s="2250"/>
      <c r="DM239" s="2250"/>
      <c r="DN239" s="2250"/>
      <c r="DO239" s="2250"/>
      <c r="DP239" s="2250"/>
      <c r="DQ239" s="2277"/>
      <c r="DR239" s="2277"/>
      <c r="DS239" s="277"/>
      <c r="DW239" s="2275"/>
      <c r="DX239" s="2346">
        <f>FE239</f>
        <v>400</v>
      </c>
      <c r="DY239" s="2346" t="s">
        <v>739</v>
      </c>
      <c r="DZ239" s="2346">
        <f>HLOOKUP(DX237,DZ223:EZ237,15,0)</f>
        <v>14.95</v>
      </c>
      <c r="EA239" s="2346" t="str">
        <f>IF(DX238=DZ239,"Right","Wrong")</f>
        <v>Right</v>
      </c>
      <c r="EB239" s="2275"/>
      <c r="EC239" s="2275"/>
      <c r="ED239" s="2275"/>
      <c r="EE239" s="2275"/>
      <c r="EF239" s="2275"/>
      <c r="EG239" s="2275"/>
      <c r="EH239" s="2275"/>
      <c r="EI239" s="2275"/>
      <c r="EJ239" s="2275"/>
      <c r="EK239" s="2275"/>
      <c r="EL239" s="2275"/>
      <c r="EM239" s="2275"/>
      <c r="EN239" s="2275"/>
      <c r="EO239" s="2275"/>
      <c r="EP239" s="2275"/>
      <c r="EQ239" s="2275"/>
      <c r="ER239" s="2275"/>
      <c r="ES239" s="2275"/>
      <c r="ET239" s="2275"/>
      <c r="EU239" s="2275"/>
      <c r="EV239" s="2275"/>
      <c r="EW239" s="2275"/>
      <c r="EX239" s="2275"/>
      <c r="EY239" s="2275"/>
      <c r="EZ239" s="2275"/>
      <c r="FA239" s="2275"/>
      <c r="FB239" s="2275"/>
      <c r="FC239" s="2275">
        <f>VLOOKUP(FC238,FC225:FD236,2,0)</f>
        <v>14.95</v>
      </c>
      <c r="FD239" s="2275">
        <f>IF(FD238&gt;0,FD238,FC239)</f>
        <v>14.95</v>
      </c>
      <c r="FE239" s="2275">
        <f>VLOOKUP(FD239,FD226:FE236,2,0)</f>
        <v>400</v>
      </c>
      <c r="FF239" s="2275"/>
      <c r="FG239" s="2275"/>
      <c r="FH239" s="2275"/>
      <c r="FI239" s="2275"/>
      <c r="FJ239" s="2275"/>
      <c r="FK239" s="2275"/>
      <c r="FL239" s="2250"/>
      <c r="FM239" s="2250"/>
      <c r="FN239" s="2250"/>
      <c r="FO239" s="2250"/>
      <c r="FP239" s="2250"/>
      <c r="FQ239" s="2250"/>
      <c r="FR239" s="2250"/>
      <c r="FS239" s="2250"/>
      <c r="FT239" s="2250"/>
      <c r="FU239" s="2250"/>
      <c r="FV239" s="2250"/>
      <c r="FW239" s="2250"/>
      <c r="FX239" s="2250"/>
      <c r="FY239" s="2250"/>
      <c r="FZ239" s="2250"/>
      <c r="GA239" s="2250"/>
      <c r="GB239" s="2276"/>
      <c r="GC239" s="2276"/>
      <c r="GD239" s="2250"/>
      <c r="GE239" s="2275"/>
      <c r="GF239" s="2346">
        <f>HM239</f>
        <v>400</v>
      </c>
      <c r="GG239" s="2346" t="s">
        <v>739</v>
      </c>
      <c r="GH239" s="2346">
        <f>HLOOKUP(GF237,GH223:HH237,15,0)</f>
        <v>13.66</v>
      </c>
      <c r="GI239" s="2346" t="str">
        <f>IF(GF238=GH239,"Right","Wrong")</f>
        <v>Right</v>
      </c>
      <c r="GJ239" s="2275"/>
      <c r="GK239" s="2275"/>
      <c r="GL239" s="2275"/>
      <c r="GM239" s="2275"/>
      <c r="GN239" s="2275"/>
      <c r="GO239" s="2275"/>
      <c r="GP239" s="2275"/>
      <c r="GQ239" s="2275"/>
      <c r="GR239" s="2275"/>
      <c r="GS239" s="2275"/>
      <c r="GT239" s="2275"/>
      <c r="GU239" s="2275"/>
      <c r="GV239" s="2275"/>
      <c r="GW239" s="2275"/>
      <c r="GX239" s="2275"/>
      <c r="GY239" s="2275"/>
      <c r="GZ239" s="2275"/>
      <c r="HA239" s="2275"/>
      <c r="HB239" s="2275"/>
      <c r="HC239" s="2275"/>
      <c r="HD239" s="2275"/>
      <c r="HE239" s="2275"/>
      <c r="HF239" s="2275"/>
      <c r="HG239" s="2275"/>
      <c r="HH239" s="2275"/>
      <c r="HI239" s="2275"/>
      <c r="HJ239" s="2275"/>
      <c r="HK239" s="2275">
        <f>VLOOKUP(HK238,HK225:HL236,2,0)</f>
        <v>13.66</v>
      </c>
      <c r="HL239" s="2275">
        <f>IF(HL238&gt;0,HL238,HK239)</f>
        <v>13.66</v>
      </c>
      <c r="HM239" s="2275">
        <f>VLOOKUP(HL239,HL226:HM236,2,0)</f>
        <v>400</v>
      </c>
      <c r="HN239" s="2275"/>
      <c r="HO239" s="2275"/>
      <c r="HP239" s="2275"/>
      <c r="HQ239" s="2275"/>
      <c r="HR239" s="2275"/>
      <c r="HS239" s="2275"/>
      <c r="HT239" s="2250"/>
      <c r="HU239" s="2250"/>
      <c r="HV239" s="2250"/>
      <c r="HW239" s="2250"/>
      <c r="HX239" s="2250"/>
      <c r="HY239" s="2250"/>
      <c r="HZ239" s="2250"/>
      <c r="IA239" s="2250"/>
      <c r="IB239" s="2250"/>
      <c r="IC239" s="2250"/>
      <c r="ID239" s="2250"/>
      <c r="IE239" s="2250"/>
      <c r="IF239" s="2250"/>
      <c r="IG239" s="2250"/>
      <c r="IH239" s="2250"/>
      <c r="II239" s="2250"/>
      <c r="IJ239" s="2250"/>
      <c r="IK239" s="2250"/>
      <c r="IL239" s="2250"/>
      <c r="IN239" s="277"/>
      <c r="IO239" s="277"/>
    </row>
    <row r="240" spans="1:249" ht="21.95" customHeight="1">
      <c r="A240" s="2275"/>
      <c r="B240" s="2250"/>
      <c r="C240" s="2275"/>
      <c r="D240" s="2275">
        <f>+IF(B285&lt;=D225,D225,IF(B285&lt;=D226,D226,IF(B285&lt;=D227,D227,IF(B285&lt;=D228,D228,IF(B285&lt;=D229,D229,IF(B285&lt;=D230,D230,IF(B285&lt;=D231,D231,IF(B285&lt;=D232,D232,0))))))))</f>
        <v>3.56</v>
      </c>
      <c r="E240" s="2275">
        <f>+IF(B285&lt;=E225,E225,IF(B285&lt;=E226,E226,IF(B285&lt;=E227,E227,IF(B285&lt;=E228,E228,IF(B285&lt;=E229,E229,IF(B285&lt;=E230,E230,IF(B285&lt;=E231,E231,IF(B285&lt;=E232,E232,0))))))))</f>
        <v>3.86</v>
      </c>
      <c r="F240" s="2275">
        <f>+IF(B285&lt;=F225,F225,IF(B285&lt;=F226,F226,IF(B285&lt;=F227,F227,IF(B285&lt;=F228,F228,IF(B285&lt;=F229,F229,IF(B285&lt;=F230,F230,IF(B285&lt;=F231,F231,IF(B285&lt;=F232,F232,0))))))))</f>
        <v>4.16</v>
      </c>
      <c r="G240" s="2275">
        <f>+IF(B285&lt;=G225,G225,IF(B285&lt;=G226,G226,IF(B285&lt;=G227,G227,IF(B285&lt;=G228,G228,IF(B285&lt;=G229,G229,IF(B285&lt;=G230,G230,IF(B285&lt;=G231,G231,IF(B285&lt;=G232,G232,0))))))))</f>
        <v>4.46</v>
      </c>
      <c r="H240" s="2275">
        <f>+IF(B285&lt;=H225,H225,IF(B285&lt;=H226,H226,IF(B285&lt;=H227,H227,IF(B285&lt;=H228,H228,IF(B285&lt;=H229,H229,IF(B285&lt;=H230,H230,IF(B285&lt;=H231,H231,IF(B285&lt;=H232,H232,0))))))))</f>
        <v>4.6500000000000004</v>
      </c>
      <c r="I240" s="2275">
        <f>+IF(B285&lt;=I225,I225,IF(B285&lt;=I226,I226,IF(B285&lt;=I227,I227,IF(B285&lt;=I228,I228,IF(B285&lt;=I229,I229,IF(B285&lt;=I230,I230,IF(B285&lt;=I231,I231,IF(B285&lt;=I232,I232,0))))))))</f>
        <v>4.75</v>
      </c>
      <c r="J240" s="2275">
        <f>+IF(B285&lt;=J225,J225,IF(B285&lt;=J226,J226,IF(B285&lt;=J227,J227,IF(B285&lt;=J228,J228,IF(B285&lt;=J229,J229,IF(B285&lt;=J230,J230,IF(B285&lt;=J231,J231,IF(B285&lt;=J232,J232,0))))))))</f>
        <v>5.15</v>
      </c>
      <c r="K240" s="2275">
        <f>+IF(B285&lt;=K225,K225,IF(B285&lt;=K226,K226,IF(B285&lt;=K227,K227,IF(B285&lt;=K228,K228,IF(B285&lt;=K229,K229,IF(B285&lt;=K230,K230,IF(B285&lt;=K231,K231,IF(B285&lt;=K232,K232,0))))))))</f>
        <v>5.45</v>
      </c>
      <c r="L240" s="2275">
        <f>+IF(B285&lt;=L225,L225,IF(B285&lt;=L226,L226,IF(B285&lt;=L227,L227,IF(B285&lt;=L228,L228,IF(B285&lt;=L229,L229,IF(B285&lt;=L230,L230,IF(B285&lt;=L231,L231,IF(B285&lt;=L232,L232,0))))))))</f>
        <v>5.84</v>
      </c>
      <c r="M240" s="2275">
        <f>+IF(B285&lt;=M225,M225,IF(B285&lt;=M226,M226,IF(B285&lt;=M227,M227,IF(B285&lt;=M228,M228,IF(B285&lt;=M229,M229,IF(B285&lt;=M230,M230,IF(B285&lt;=M231,M231,IF(B285&lt;=M232,M232,0))))))))</f>
        <v>6.14</v>
      </c>
      <c r="N240" s="2275">
        <f>+IF(B285&lt;=N225,N225,IF(B285&lt;=N226,N226,IF(B285&lt;=N227,N227,IF(B285&lt;=N228,N228,IF(B285&lt;=N229,N229,IF(B285&lt;=N230,N230,IF(B285&lt;=N231,N231,IF(B285&lt;=N232,N232,0))))))))</f>
        <v>6.83</v>
      </c>
      <c r="O240" s="2275">
        <f>+IF(B285&lt;=O225,O225,IF(B285&lt;=O226,O226,IF(B285&lt;=O227,O227,IF(B285&lt;=O228,O228,IF(B285&lt;=O229,O229,IF(B285&lt;=O230,O230,IF(B285&lt;=O231,O231,IF(B285&lt;=O232,O232,0))))))))</f>
        <v>7.43</v>
      </c>
      <c r="P240" s="2275">
        <f>+IF(B285&lt;=P225,P225,IF(B285&lt;=P226,P226,IF(B285&lt;=P227,P227,IF(B285&lt;=P228,P228,IF(B285&lt;=P229,P229,IF(B285&lt;=P230,P230,IF(B285&lt;=P231,P231,IF(B285&lt;=P232,P232,0))))))))</f>
        <v>7.62</v>
      </c>
      <c r="Q240" s="2275">
        <f>+IF(B285&lt;=Q225,Q225,IF(B285&lt;=Q226,Q226,IF(B285&lt;=Q227,Q227,IF(B285&lt;=Q228,Q228,IF(B285&lt;=Q229,Q229,IF(B285&lt;=Q230,Q230,IF(B285&lt;=Q231,Q231,IF(B285&lt;=Q232,Q232,0))))))))</f>
        <v>8.02</v>
      </c>
      <c r="R240" s="2275">
        <f>+IF(B285&lt;=R225,R225,IF(B285&lt;=R226,R226,IF(B285&lt;=R227,R227,IF(B285&lt;=R228,R228,IF(B285&lt;=R229,R229,IF(B285&lt;=R230,R230,IF(B285&lt;=R231,R231,IF(B285&lt;=R232,R232,0))))))))</f>
        <v>8.42</v>
      </c>
      <c r="S240" s="2275">
        <f>+IF(B285&lt;=S225,S225,IF(B285&lt;=S226,S226,IF(B285&lt;=S227,S227,IF(B285&lt;=S228,S228,IF(B285&lt;=S229,S229,IF(B285&lt;=S230,S230,IF(B285&lt;=S231,S231,IF(B285&lt;=S232,S232,0))))))))</f>
        <v>8.7100000000000009</v>
      </c>
      <c r="T240" s="2275">
        <f>+IF(B285&lt;=T225,T225,IF(B285&lt;=T226,T226,IF(B285&lt;=T227,T227,IF(B285&lt;=T228,T228,IF(B285&lt;=T229,T229,IF(B285&lt;=T230,T230,IF(B285&lt;=T231,T231,IF(B285&lt;=T232,T232,0))))))))</f>
        <v>9.31</v>
      </c>
      <c r="U240" s="2275">
        <f>+IF(B285&lt;=U225,U225,IF(B285&lt;=U226,U226,IF(B285&lt;=U227,U227,IF(B285&lt;=U228,U228,IF(B285&lt;=U229,U229,IF(B285&lt;=U230,U230,IF(B285&lt;=U231,U231,IF(B285&lt;=U232,U232,0))))))))</f>
        <v>10.1</v>
      </c>
      <c r="V240" s="2275">
        <f>+IF(B285&lt;=V225,V225,IF(B285&lt;=V226,V226,IF(B285&lt;=V227,V227,IF(B285&lt;=V228,V228,IF(B285&lt;=V229,V229,IF(B285&lt;=V230,V230,IF(B285&lt;=V231,V231,IF(B285&lt;=V232,V232,0))))))))</f>
        <v>10.79</v>
      </c>
      <c r="W240" s="2275">
        <f>+IF(B285&lt;=W225,W225,IF(B285&lt;=W226,W226,IF(B285&lt;=W227,W227,IF(B285&lt;=W228,W228,IF(B285&lt;=W229,W229,IF(B285&lt;=W230,W230,IF(B285&lt;=W231,W231,IF(B285&lt;=W232,W232,0))))))))</f>
        <v>11.58</v>
      </c>
      <c r="X240" s="2275">
        <f>+IF(B285&lt;=X225,X225,IF(B285&lt;=X226,X226,IF(B285&lt;=X227,X227,IF(B285&lt;=X228,X228,IF(B285&lt;=X229,X229,IF(B285&lt;=X230,X230,IF(B285&lt;=X231,X231,IF(B285&lt;=X232,X232,0))))))))</f>
        <v>12.38</v>
      </c>
      <c r="Y240" s="2275">
        <f>+IF(B285&lt;=Y225,Y225,IF(B285&lt;=Y226,Y226,IF(B285&lt;=Y227,Y227,IF(B285&lt;=Y228,Y228,IF(B285&lt;=Y229,Y229,IF(B285&lt;=Y230,Y230,IF(B285&lt;=Y231,Y231,IF(B285&lt;=Y232,Y232,0))))))))</f>
        <v>13.66</v>
      </c>
      <c r="Z240" s="2275">
        <f>+IF(B285&lt;=Z225,Z225,IF(B285&lt;=Z226,Z226,IF(B285&lt;=Z227,Z227,IF(B285&lt;=Z228,Z228,IF(B285&lt;=Z229,Z229,IF(B285&lt;=Z230,Z230,IF(B285&lt;=Z231,Z231,IF(B285&lt;=Z232,Z232,0))))))))</f>
        <v>14.95</v>
      </c>
      <c r="AA240" s="2275">
        <f>+IF(B285&lt;=AA225,AA225,IF(B285&lt;=AA226,AA226,IF(B285&lt;=AA227,AA227,IF(B285&lt;=AA228,AA228,IF(B285&lt;=AA229,AA229,IF(B285&lt;=AA230,AA230,IF(B285&lt;=AA231,AA231,IF(B285&lt;=AA232,AA232,0))))))))</f>
        <v>16.53</v>
      </c>
      <c r="AB240" s="2275">
        <f>+IF(B285&lt;=AB225,AB225,IF(B285&lt;=AB226,AB226,IF(B285&lt;=AB227,AB227,IF(B285&lt;=AB228,AB228,IF(B285&lt;=AB229,AB229,IF(B285&lt;=AB230,AB230,IF(B285&lt;=AB231,AB231,IF(B285&lt;=AB232,AB232,0))))))))</f>
        <v>18.61</v>
      </c>
      <c r="AC240" s="2275">
        <f>+IF(B285&lt;=AC225,AC225,IF(B285&lt;=AC226,AC226,IF(B285&lt;=AC227,AC227,IF(B285&lt;=AC228,AC228,IF(B285&lt;=AC229,AC229,IF(B285&lt;=AC230,AC230,IF(B285&lt;=AC231,AC231,IF(B285&lt;=AC232,AC232,0))))))))</f>
        <v>19.7</v>
      </c>
      <c r="AD240" s="2275">
        <f>+IF(B285&lt;=AD225,AD225,IF(B285&lt;=AD226,AD226,IF(B285&lt;=AD227,AD227,IF(B285&lt;=AD228,AD228,IF(B285&lt;=AD229,AD229,IF(B285&lt;=AD230,AD230,IF(B285&lt;=AD231,AD231,IF(B285&lt;=AD232,AD232,0))))))))</f>
        <v>23.17</v>
      </c>
      <c r="AE240" s="2275"/>
      <c r="AF240" s="2275"/>
      <c r="AG240" s="2275"/>
      <c r="AH240" s="2275"/>
      <c r="AI240" s="2275"/>
      <c r="AJ240" s="2275"/>
      <c r="AK240" s="2275"/>
      <c r="AL240" s="2275"/>
      <c r="AM240" s="2275"/>
      <c r="AN240" s="2275"/>
      <c r="AO240" s="2275"/>
      <c r="AP240" s="2250"/>
      <c r="AQ240" s="2250"/>
      <c r="AR240" s="2250"/>
      <c r="AS240" s="2250"/>
      <c r="AT240" s="2250"/>
      <c r="AU240" s="2250"/>
      <c r="AV240" s="2250"/>
      <c r="AW240" s="2250"/>
      <c r="AX240" s="2250"/>
      <c r="AY240" s="2250"/>
      <c r="AZ240" s="2250"/>
      <c r="BA240" s="2250"/>
      <c r="BB240" s="2250"/>
      <c r="BC240" s="2250"/>
      <c r="BD240" s="2250"/>
      <c r="BE240" s="2250"/>
      <c r="BF240" s="2276"/>
      <c r="BG240" s="2276"/>
      <c r="BH240" s="2250"/>
      <c r="BI240" s="2275"/>
      <c r="BJ240" s="2250"/>
      <c r="BK240" s="2275"/>
      <c r="BL240" s="2275">
        <f>+IF(BJ285&lt;=BL225,BL225,IF(BJ285&lt;=BL226,BL226,IF(BJ285&lt;=BL227,BL227,IF(BJ285&lt;=BL228,BL228,IF(BJ285&lt;=BL229,BL229,IF(BJ285&lt;=BL230,BL230,IF(BJ285&lt;=BL231,BL231,IF(BJ285&lt;=BL232,BL232,0))))))))</f>
        <v>3.56</v>
      </c>
      <c r="BM240" s="2275">
        <f>+IF(BJ285&lt;=BM225,BM225,IF(BJ285&lt;=BM226,BM226,IF(BJ285&lt;=BM227,BM227,IF(BJ285&lt;=BM228,BM228,IF(BJ285&lt;=BM229,BM229,IF(BJ285&lt;=BM230,BM230,IF(BJ285&lt;=BM231,BM231,IF(BJ285&lt;=BM232,BM232,0))))))))</f>
        <v>3.86</v>
      </c>
      <c r="BN240" s="2275">
        <f>+IF(BJ285&lt;=BN225,BN225,IF(BJ285&lt;=BN226,BN226,IF(BJ285&lt;=BN227,BN227,IF(BJ285&lt;=BN228,BN228,IF(BJ285&lt;=BN229,BN229,IF(BJ285&lt;=BN230,BN230,IF(BJ285&lt;=BN231,BN231,IF(BJ285&lt;=BN232,BN232,0))))))))</f>
        <v>4.16</v>
      </c>
      <c r="BO240" s="2275">
        <f>+IF(BJ285&lt;=BO225,BO225,IF(BJ285&lt;=BO226,BO226,IF(BJ285&lt;=BO227,BO227,IF(BJ285&lt;=BO228,BO228,IF(BJ285&lt;=BO229,BO229,IF(BJ285&lt;=BO230,BO230,IF(BJ285&lt;=BO231,BO231,IF(BJ285&lt;=BO232,BO232,0))))))))</f>
        <v>4.46</v>
      </c>
      <c r="BP240" s="2275">
        <f>+IF(BJ285&lt;=BP225,BP225,IF(BJ285&lt;=BP226,BP226,IF(BJ285&lt;=BP227,BP227,IF(BJ285&lt;=BP228,BP228,IF(BJ285&lt;=BP229,BP229,IF(BJ285&lt;=BP230,BP230,IF(BJ285&lt;=BP231,BP231,IF(BJ285&lt;=BP232,BP232,0))))))))</f>
        <v>4.6500000000000004</v>
      </c>
      <c r="BQ240" s="2275">
        <f>+IF(BJ285&lt;=BQ225,BQ225,IF(BJ285&lt;=BQ226,BQ226,IF(BJ285&lt;=BQ227,BQ227,IF(BJ285&lt;=BQ228,BQ228,IF(BJ285&lt;=BQ229,BQ229,IF(BJ285&lt;=BQ230,BQ230,IF(BJ285&lt;=BQ231,BQ231,IF(BJ285&lt;=BQ232,BQ232,0))))))))</f>
        <v>4.75</v>
      </c>
      <c r="BR240" s="2275">
        <f>+IF(BJ285&lt;=BR225,BR225,IF(BJ285&lt;=BR226,BR226,IF(BJ285&lt;=BR227,BR227,IF(BJ285&lt;=BR228,BR228,IF(BJ285&lt;=BR229,BR229,IF(BJ285&lt;=BR230,BR230,IF(BJ285&lt;=BR231,BR231,IF(BJ285&lt;=BR232,BR232,0))))))))</f>
        <v>5.15</v>
      </c>
      <c r="BS240" s="2275">
        <f>+IF(BJ285&lt;=BS225,BS225,IF(BJ285&lt;=BS226,BS226,IF(BJ285&lt;=BS227,BS227,IF(BJ285&lt;=BS228,BS228,IF(BJ285&lt;=BS229,BS229,IF(BJ285&lt;=BS230,BS230,IF(BJ285&lt;=BS231,BS231,IF(BJ285&lt;=BS232,BS232,0))))))))</f>
        <v>5.45</v>
      </c>
      <c r="BT240" s="2275">
        <f>+IF(BJ285&lt;=BT225,BT225,IF(BJ285&lt;=BT226,BT226,IF(BJ285&lt;=BT227,BT227,IF(BJ285&lt;=BT228,BT228,IF(BJ285&lt;=BT229,BT229,IF(BJ285&lt;=BT230,BT230,IF(BJ285&lt;=BT231,BT231,IF(BJ285&lt;=BT232,BT232,0))))))))</f>
        <v>5.84</v>
      </c>
      <c r="BU240" s="2275">
        <f>+IF(BJ285&lt;=BU225,BU225,IF(BJ285&lt;=BU226,BU226,IF(BJ285&lt;=BU227,BU227,IF(BJ285&lt;=BU228,BU228,IF(BJ285&lt;=BU229,BU229,IF(BJ285&lt;=BU230,BU230,IF(BJ285&lt;=BU231,BU231,IF(BJ285&lt;=BU232,BU232,0))))))))</f>
        <v>6.14</v>
      </c>
      <c r="BV240" s="2275">
        <f>+IF(BJ285&lt;=BV225,BV225,IF(BJ285&lt;=BV226,BV226,IF(BJ285&lt;=BV227,BV227,IF(BJ285&lt;=BV228,BV228,IF(BJ285&lt;=BV229,BV229,IF(BJ285&lt;=BV230,BV230,IF(BJ285&lt;=BV231,BV231,IF(BJ285&lt;=BV232,BV232,0))))))))</f>
        <v>6.83</v>
      </c>
      <c r="BW240" s="2275">
        <f>+IF(BJ285&lt;=BW225,BW225,IF(BJ285&lt;=BW226,BW226,IF(BJ285&lt;=BW227,BW227,IF(BJ285&lt;=BW228,BW228,IF(BJ285&lt;=BW229,BW229,IF(BJ285&lt;=BW230,BW230,IF(BJ285&lt;=BW231,BW231,IF(BJ285&lt;=BW232,BW232,0))))))))</f>
        <v>7.43</v>
      </c>
      <c r="BX240" s="2275">
        <f>+IF(BJ285&lt;=BX225,BX225,IF(BJ285&lt;=BX226,BX226,IF(BJ285&lt;=BX227,BX227,IF(BJ285&lt;=BX228,BX228,IF(BJ285&lt;=BX229,BX229,IF(BJ285&lt;=BX230,BX230,IF(BJ285&lt;=BX231,BX231,IF(BJ285&lt;=BX232,BX232,0))))))))</f>
        <v>7.62</v>
      </c>
      <c r="BY240" s="2275">
        <f>+IF(BJ285&lt;=BY225,BY225,IF(BJ285&lt;=BY226,BY226,IF(BJ285&lt;=BY227,BY227,IF(BJ285&lt;=BY228,BY228,IF(BJ285&lt;=BY229,BY229,IF(BJ285&lt;=BY230,BY230,IF(BJ285&lt;=BY231,BY231,IF(BJ285&lt;=BY232,BY232,0))))))))</f>
        <v>8.02</v>
      </c>
      <c r="BZ240" s="2275">
        <f>+IF(BJ285&lt;=BZ225,BZ225,IF(BJ285&lt;=BZ226,BZ226,IF(BJ285&lt;=BZ227,BZ227,IF(BJ285&lt;=BZ228,BZ228,IF(BJ285&lt;=BZ229,BZ229,IF(BJ285&lt;=BZ230,BZ230,IF(BJ285&lt;=BZ231,BZ231,IF(BJ285&lt;=BZ232,BZ232,0))))))))</f>
        <v>8.42</v>
      </c>
      <c r="CA240" s="2275">
        <f>+IF(BJ285&lt;=CA225,CA225,IF(BJ285&lt;=CA226,CA226,IF(BJ285&lt;=CA227,CA227,IF(BJ285&lt;=CA228,CA228,IF(BJ285&lt;=CA229,CA229,IF(BJ285&lt;=CA230,CA230,IF(BJ285&lt;=CA231,CA231,IF(BJ285&lt;=CA232,CA232,0))))))))</f>
        <v>8.7100000000000009</v>
      </c>
      <c r="CB240" s="2275">
        <f>+IF(BJ285&lt;=CB225,CB225,IF(BJ285&lt;=CB226,CB226,IF(BJ285&lt;=CB227,CB227,IF(BJ285&lt;=CB228,CB228,IF(BJ285&lt;=CB229,CB229,IF(BJ285&lt;=CB230,CB230,IF(BJ285&lt;=CB231,CB231,IF(BJ285&lt;=CB232,CB232,0))))))))</f>
        <v>9.31</v>
      </c>
      <c r="CC240" s="2275">
        <f>+IF(BJ285&lt;=CC225,CC225,IF(BJ285&lt;=CC226,CC226,IF(BJ285&lt;=CC227,CC227,IF(BJ285&lt;=CC228,CC228,IF(BJ285&lt;=CC229,CC229,IF(BJ285&lt;=CC230,CC230,IF(BJ285&lt;=CC231,CC231,IF(BJ285&lt;=CC232,CC232,0))))))))</f>
        <v>10.1</v>
      </c>
      <c r="CD240" s="2275">
        <f>+IF(BJ285&lt;=CD225,CD225,IF(BJ285&lt;=CD226,CD226,IF(BJ285&lt;=CD227,CD227,IF(BJ285&lt;=CD228,CD228,IF(BJ285&lt;=CD229,CD229,IF(BJ285&lt;=CD230,CD230,IF(BJ285&lt;=CD231,CD231,IF(BJ285&lt;=CD232,CD232,0))))))))</f>
        <v>10.79</v>
      </c>
      <c r="CE240" s="2275">
        <f>+IF(BJ285&lt;=CE225,CE225,IF(BJ285&lt;=CE226,CE226,IF(BJ285&lt;=CE227,CE227,IF(BJ285&lt;=CE228,CE228,IF(BJ285&lt;=CE229,CE229,IF(BJ285&lt;=CE230,CE230,IF(BJ285&lt;=CE231,CE231,IF(BJ285&lt;=CE232,CE232,0))))))))</f>
        <v>11.58</v>
      </c>
      <c r="CF240" s="2275">
        <f>+IF(BJ285&lt;=CF225,CF225,IF(BJ285&lt;=CF226,CF226,IF(BJ285&lt;=CF227,CF227,IF(BJ285&lt;=CF228,CF228,IF(BJ285&lt;=CF229,CF229,IF(BJ285&lt;=CF230,CF230,IF(BJ285&lt;=CF231,CF231,IF(BJ285&lt;=CF232,CF232,0))))))))</f>
        <v>12.38</v>
      </c>
      <c r="CG240" s="2275">
        <f>+IF(BJ285&lt;=CG225,CG225,IF(BJ285&lt;=CG226,CG226,IF(BJ285&lt;=CG227,CG227,IF(BJ285&lt;=CG228,CG228,IF(BJ285&lt;=CG229,CG229,IF(BJ285&lt;=CG230,CG230,IF(BJ285&lt;=CG231,CG231,IF(BJ285&lt;=CG232,CG232,0))))))))</f>
        <v>13.66</v>
      </c>
      <c r="CH240" s="2275">
        <f>+IF(BJ285&lt;=CH225,CH225,IF(BJ285&lt;=CH226,CH226,IF(BJ285&lt;=CH227,CH227,IF(BJ285&lt;=CH228,CH228,IF(BJ285&lt;=CH229,CH229,IF(BJ285&lt;=CH230,CH230,IF(BJ285&lt;=CH231,CH231,IF(BJ285&lt;=CH232,CH232,0))))))))</f>
        <v>14.95</v>
      </c>
      <c r="CI240" s="2275">
        <f>+IF(BJ285&lt;=CI225,CI225,IF(BJ285&lt;=CI226,CI226,IF(BJ285&lt;=CI227,CI227,IF(BJ285&lt;=CI228,CI228,IF(BJ285&lt;=CI229,CI229,IF(BJ285&lt;=CI230,CI230,IF(BJ285&lt;=CI231,CI231,IF(BJ285&lt;=CI232,CI232,0))))))))</f>
        <v>16.53</v>
      </c>
      <c r="CJ240" s="2275">
        <f>+IF(BJ285&lt;=CJ225,CJ225,IF(BJ285&lt;=CJ226,CJ226,IF(BJ285&lt;=CJ227,CJ227,IF(BJ285&lt;=CJ228,CJ228,IF(BJ285&lt;=CJ229,CJ229,IF(BJ285&lt;=CJ230,CJ230,IF(BJ285&lt;=CJ231,CJ231,IF(BJ285&lt;=CJ232,CJ232,0))))))))</f>
        <v>18.61</v>
      </c>
      <c r="CK240" s="2275">
        <f>+IF(BJ285&lt;=CK225,CK225,IF(BJ285&lt;=CK226,CK226,IF(BJ285&lt;=CK227,CK227,IF(BJ285&lt;=CK228,CK228,IF(BJ285&lt;=CK229,CK229,IF(BJ285&lt;=CK230,CK230,IF(BJ285&lt;=CK231,CK231,IF(BJ285&lt;=CK232,CK232,0))))))))</f>
        <v>19.7</v>
      </c>
      <c r="CL240" s="2275">
        <f>+IF(BJ285&lt;=CL225,CL225,IF(BJ285&lt;=CL226,CL226,IF(BJ285&lt;=CL227,CL227,IF(BJ285&lt;=CL228,CL228,IF(BJ285&lt;=CL229,CL229,IF(BJ285&lt;=CL230,CL230,IF(BJ285&lt;=CL231,CL231,IF(BJ285&lt;=CL232,CL232,0))))))))</f>
        <v>23.17</v>
      </c>
      <c r="CM240" s="2275"/>
      <c r="CN240" s="2275"/>
      <c r="CO240" s="2275"/>
      <c r="CP240" s="2275"/>
      <c r="CQ240" s="2275"/>
      <c r="CR240" s="2275"/>
      <c r="CS240" s="2275"/>
      <c r="CT240" s="2275"/>
      <c r="CU240" s="2275"/>
      <c r="CV240" s="2275"/>
      <c r="CW240" s="2275"/>
      <c r="CX240" s="2250"/>
      <c r="CY240" s="2250"/>
      <c r="CZ240" s="2250"/>
      <c r="DA240" s="2250"/>
      <c r="DB240" s="2250"/>
      <c r="DC240" s="2250"/>
      <c r="DD240" s="2250"/>
      <c r="DE240" s="2250"/>
      <c r="DF240" s="2250"/>
      <c r="DG240" s="2250"/>
      <c r="DH240" s="2250"/>
      <c r="DI240" s="2250"/>
      <c r="DJ240" s="2250"/>
      <c r="DK240" s="2250"/>
      <c r="DL240" s="2250"/>
      <c r="DM240" s="2250"/>
      <c r="DN240" s="2250"/>
      <c r="DO240" s="2250"/>
      <c r="DP240" s="2250"/>
      <c r="DQ240" s="2277"/>
      <c r="DR240" s="2277"/>
      <c r="DS240" s="277"/>
      <c r="DW240" s="2275"/>
      <c r="DX240" s="2250"/>
      <c r="DY240" s="2275"/>
      <c r="DZ240" s="2275">
        <f>+IF(DX285&lt;=DZ225,DZ225,IF(DX285&lt;=DZ226,DZ226,IF(DX285&lt;=DZ227,DZ227,IF(DX285&lt;=DZ228,DZ228,IF(DX285&lt;=DZ229,DZ229,IF(DX285&lt;=DZ230,DZ230,IF(DX285&lt;=DZ231,DZ231,IF(DX285&lt;=DZ232,DZ232,0))))))))</f>
        <v>3.56</v>
      </c>
      <c r="EA240" s="2275">
        <f>+IF(DX285&lt;=EA225,EA225,IF(DX285&lt;=EA226,EA226,IF(DX285&lt;=EA227,EA227,IF(DX285&lt;=EA228,EA228,IF(DX285&lt;=EA229,EA229,IF(DX285&lt;=EA230,EA230,IF(DX285&lt;=EA231,EA231,IF(DX285&lt;=EA232,EA232,0))))))))</f>
        <v>3.86</v>
      </c>
      <c r="EB240" s="2275">
        <f>+IF(DX285&lt;=EB225,EB225,IF(DX285&lt;=EB226,EB226,IF(DX285&lt;=EB227,EB227,IF(DX285&lt;=EB228,EB228,IF(DX285&lt;=EB229,EB229,IF(DX285&lt;=EB230,EB230,IF(DX285&lt;=EB231,EB231,IF(DX285&lt;=EB232,EB232,0))))))))</f>
        <v>4.16</v>
      </c>
      <c r="EC240" s="2275">
        <f>+IF(DX285&lt;=EC225,EC225,IF(DX285&lt;=EC226,EC226,IF(DX285&lt;=EC227,EC227,IF(DX285&lt;=EC228,EC228,IF(DX285&lt;=EC229,EC229,IF(DX285&lt;=EC230,EC230,IF(DX285&lt;=EC231,EC231,IF(DX285&lt;=EC232,EC232,0))))))))</f>
        <v>4.46</v>
      </c>
      <c r="ED240" s="2275">
        <f>+IF(DX285&lt;=ED225,ED225,IF(DX285&lt;=ED226,ED226,IF(DX285&lt;=ED227,ED227,IF(DX285&lt;=ED228,ED228,IF(DX285&lt;=ED229,ED229,IF(DX285&lt;=ED230,ED230,IF(DX285&lt;=ED231,ED231,IF(DX285&lt;=ED232,ED232,0))))))))</f>
        <v>4.6500000000000004</v>
      </c>
      <c r="EE240" s="2275">
        <f>+IF(DX285&lt;=EE225,EE225,IF(DX285&lt;=EE226,EE226,IF(DX285&lt;=EE227,EE227,IF(DX285&lt;=EE228,EE228,IF(DX285&lt;=EE229,EE229,IF(DX285&lt;=EE230,EE230,IF(DX285&lt;=EE231,EE231,IF(DX285&lt;=EE232,EE232,0))))))))</f>
        <v>4.75</v>
      </c>
      <c r="EF240" s="2275">
        <f>+IF(DX285&lt;=EF225,EF225,IF(DX285&lt;=EF226,EF226,IF(DX285&lt;=EF227,EF227,IF(DX285&lt;=EF228,EF228,IF(DX285&lt;=EF229,EF229,IF(DX285&lt;=EF230,EF230,IF(DX285&lt;=EF231,EF231,IF(DX285&lt;=EF232,EF232,0))))))))</f>
        <v>5.15</v>
      </c>
      <c r="EG240" s="2275">
        <f>+IF(DX285&lt;=EG225,EG225,IF(DX285&lt;=EG226,EG226,IF(DX285&lt;=EG227,EG227,IF(DX285&lt;=EG228,EG228,IF(DX285&lt;=EG229,EG229,IF(DX285&lt;=EG230,EG230,IF(DX285&lt;=EG231,EG231,IF(DX285&lt;=EG232,EG232,0))))))))</f>
        <v>5.45</v>
      </c>
      <c r="EH240" s="2275">
        <f>+IF(DX285&lt;=EH225,EH225,IF(DX285&lt;=EH226,EH226,IF(DX285&lt;=EH227,EH227,IF(DX285&lt;=EH228,EH228,IF(DX285&lt;=EH229,EH229,IF(DX285&lt;=EH230,EH230,IF(DX285&lt;=EH231,EH231,IF(DX285&lt;=EH232,EH232,0))))))))</f>
        <v>5.84</v>
      </c>
      <c r="EI240" s="2275">
        <f>+IF(DX285&lt;=EI225,EI225,IF(DX285&lt;=EI226,EI226,IF(DX285&lt;=EI227,EI227,IF(DX285&lt;=EI228,EI228,IF(DX285&lt;=EI229,EI229,IF(DX285&lt;=EI230,EI230,IF(DX285&lt;=EI231,EI231,IF(DX285&lt;=EI232,EI232,0))))))))</f>
        <v>6.14</v>
      </c>
      <c r="EJ240" s="2275">
        <f>+IF(DX285&lt;=EJ225,EJ225,IF(DX285&lt;=EJ226,EJ226,IF(DX285&lt;=EJ227,EJ227,IF(DX285&lt;=EJ228,EJ228,IF(DX285&lt;=EJ229,EJ229,IF(DX285&lt;=EJ230,EJ230,IF(DX285&lt;=EJ231,EJ231,IF(DX285&lt;=EJ232,EJ232,0))))))))</f>
        <v>6.83</v>
      </c>
      <c r="EK240" s="2275">
        <f>+IF(DX285&lt;=EK225,EK225,IF(DX285&lt;=EK226,EK226,IF(DX285&lt;=EK227,EK227,IF(DX285&lt;=EK228,EK228,IF(DX285&lt;=EK229,EK229,IF(DX285&lt;=EK230,EK230,IF(DX285&lt;=EK231,EK231,IF(DX285&lt;=EK232,EK232,0))))))))</f>
        <v>7.43</v>
      </c>
      <c r="EL240" s="2275">
        <f>+IF(DX285&lt;=EL225,EL225,IF(DX285&lt;=EL226,EL226,IF(DX285&lt;=EL227,EL227,IF(DX285&lt;=EL228,EL228,IF(DX285&lt;=EL229,EL229,IF(DX285&lt;=EL230,EL230,IF(DX285&lt;=EL231,EL231,IF(DX285&lt;=EL232,EL232,0))))))))</f>
        <v>7.62</v>
      </c>
      <c r="EM240" s="2275">
        <f>+IF(DX285&lt;=EM225,EM225,IF(DX285&lt;=EM226,EM226,IF(DX285&lt;=EM227,EM227,IF(DX285&lt;=EM228,EM228,IF(DX285&lt;=EM229,EM229,IF(DX285&lt;=EM230,EM230,IF(DX285&lt;=EM231,EM231,IF(DX285&lt;=EM232,EM232,0))))))))</f>
        <v>8.02</v>
      </c>
      <c r="EN240" s="2275">
        <f>+IF(DX285&lt;=EN225,EN225,IF(DX285&lt;=EN226,EN226,IF(DX285&lt;=EN227,EN227,IF(DX285&lt;=EN228,EN228,IF(DX285&lt;=EN229,EN229,IF(DX285&lt;=EN230,EN230,IF(DX285&lt;=EN231,EN231,IF(DX285&lt;=EN232,EN232,0))))))))</f>
        <v>8.42</v>
      </c>
      <c r="EO240" s="2275">
        <f>+IF(DX285&lt;=EO225,EO225,IF(DX285&lt;=EO226,EO226,IF(DX285&lt;=EO227,EO227,IF(DX285&lt;=EO228,EO228,IF(DX285&lt;=EO229,EO229,IF(DX285&lt;=EO230,EO230,IF(DX285&lt;=EO231,EO231,IF(DX285&lt;=EO232,EO232,0))))))))</f>
        <v>8.7100000000000009</v>
      </c>
      <c r="EP240" s="2275">
        <f>+IF(DX285&lt;=EP225,EP225,IF(DX285&lt;=EP226,EP226,IF(DX285&lt;=EP227,EP227,IF(DX285&lt;=EP228,EP228,IF(DX285&lt;=EP229,EP229,IF(DX285&lt;=EP230,EP230,IF(DX285&lt;=EP231,EP231,IF(DX285&lt;=EP232,EP232,0))))))))</f>
        <v>9.31</v>
      </c>
      <c r="EQ240" s="2275">
        <f>+IF(DX285&lt;=EQ225,EQ225,IF(DX285&lt;=EQ226,EQ226,IF(DX285&lt;=EQ227,EQ227,IF(DX285&lt;=EQ228,EQ228,IF(DX285&lt;=EQ229,EQ229,IF(DX285&lt;=EQ230,EQ230,IF(DX285&lt;=EQ231,EQ231,IF(DX285&lt;=EQ232,EQ232,0))))))))</f>
        <v>10.1</v>
      </c>
      <c r="ER240" s="2275">
        <f>+IF(DX285&lt;=ER225,ER225,IF(DX285&lt;=ER226,ER226,IF(DX285&lt;=ER227,ER227,IF(DX285&lt;=ER228,ER228,IF(DX285&lt;=ER229,ER229,IF(DX285&lt;=ER230,ER230,IF(DX285&lt;=ER231,ER231,IF(DX285&lt;=ER232,ER232,0))))))))</f>
        <v>10.79</v>
      </c>
      <c r="ES240" s="2275">
        <f>+IF(DX285&lt;=ES225,ES225,IF(DX285&lt;=ES226,ES226,IF(DX285&lt;=ES227,ES227,IF(DX285&lt;=ES228,ES228,IF(DX285&lt;=ES229,ES229,IF(DX285&lt;=ES230,ES230,IF(DX285&lt;=ES231,ES231,IF(DX285&lt;=ES232,ES232,0))))))))</f>
        <v>11.58</v>
      </c>
      <c r="ET240" s="2275">
        <f>+IF(DX285&lt;=ET225,ET225,IF(DX285&lt;=ET226,ET226,IF(DX285&lt;=ET227,ET227,IF(DX285&lt;=ET228,ET228,IF(DX285&lt;=ET229,ET229,IF(DX285&lt;=ET230,ET230,IF(DX285&lt;=ET231,ET231,IF(DX285&lt;=ET232,ET232,0))))))))</f>
        <v>12.38</v>
      </c>
      <c r="EU240" s="2275">
        <f>+IF(DX285&lt;=EU225,EU225,IF(DX285&lt;=EU226,EU226,IF(DX285&lt;=EU227,EU227,IF(DX285&lt;=EU228,EU228,IF(DX285&lt;=EU229,EU229,IF(DX285&lt;=EU230,EU230,IF(DX285&lt;=EU231,EU231,IF(DX285&lt;=EU232,EU232,0))))))))</f>
        <v>13.66</v>
      </c>
      <c r="EV240" s="2275">
        <f>+IF(DX285&lt;=EV225,EV225,IF(DX285&lt;=EV226,EV226,IF(DX285&lt;=EV227,EV227,IF(DX285&lt;=EV228,EV228,IF(DX285&lt;=EV229,EV229,IF(DX285&lt;=EV230,EV230,IF(DX285&lt;=EV231,EV231,IF(DX285&lt;=EV232,EV232,0))))))))</f>
        <v>14.95</v>
      </c>
      <c r="EW240" s="2275">
        <f>+IF(DX285&lt;=EW225,EW225,IF(DX285&lt;=EW226,EW226,IF(DX285&lt;=EW227,EW227,IF(DX285&lt;=EW228,EW228,IF(DX285&lt;=EW229,EW229,IF(DX285&lt;=EW230,EW230,IF(DX285&lt;=EW231,EW231,IF(DX285&lt;=EW232,EW232,0))))))))</f>
        <v>16.53</v>
      </c>
      <c r="EX240" s="2275">
        <f>+IF(DX285&lt;=EX225,EX225,IF(DX285&lt;=EX226,EX226,IF(DX285&lt;=EX227,EX227,IF(DX285&lt;=EX228,EX228,IF(DX285&lt;=EX229,EX229,IF(DX285&lt;=EX230,EX230,IF(DX285&lt;=EX231,EX231,IF(DX285&lt;=EX232,EX232,0))))))))</f>
        <v>18.61</v>
      </c>
      <c r="EY240" s="2275">
        <f>+IF(DX285&lt;=EY225,EY225,IF(DX285&lt;=EY226,EY226,IF(DX285&lt;=EY227,EY227,IF(DX285&lt;=EY228,EY228,IF(DX285&lt;=EY229,EY229,IF(DX285&lt;=EY230,EY230,IF(DX285&lt;=EY231,EY231,IF(DX285&lt;=EY232,EY232,0))))))))</f>
        <v>19.7</v>
      </c>
      <c r="EZ240" s="2275">
        <f>+IF(DX285&lt;=EZ225,EZ225,IF(DX285&lt;=EZ226,EZ226,IF(DX285&lt;=EZ227,EZ227,IF(DX285&lt;=EZ228,EZ228,IF(DX285&lt;=EZ229,EZ229,IF(DX285&lt;=EZ230,EZ230,IF(DX285&lt;=EZ231,EZ231,IF(DX285&lt;=EZ232,EZ232,0))))))))</f>
        <v>23.17</v>
      </c>
      <c r="FA240" s="2275"/>
      <c r="FB240" s="2275"/>
      <c r="FC240" s="2275"/>
      <c r="FD240" s="2275"/>
      <c r="FE240" s="2275"/>
      <c r="FF240" s="2275"/>
      <c r="FG240" s="2275"/>
      <c r="FH240" s="2275"/>
      <c r="FI240" s="2275"/>
      <c r="FJ240" s="2275"/>
      <c r="FK240" s="2275"/>
      <c r="FL240" s="2250"/>
      <c r="FM240" s="2250"/>
      <c r="FN240" s="2250"/>
      <c r="FO240" s="2250"/>
      <c r="FP240" s="2250"/>
      <c r="FQ240" s="2250"/>
      <c r="FR240" s="2250"/>
      <c r="FS240" s="2250"/>
      <c r="FT240" s="2250"/>
      <c r="FU240" s="2250"/>
      <c r="FV240" s="2250"/>
      <c r="FW240" s="2250"/>
      <c r="FX240" s="2250"/>
      <c r="FY240" s="2250"/>
      <c r="FZ240" s="2250"/>
      <c r="GA240" s="2250"/>
      <c r="GB240" s="2276"/>
      <c r="GC240" s="2276"/>
      <c r="GD240" s="2250"/>
      <c r="GE240" s="2275"/>
      <c r="GF240" s="2250"/>
      <c r="GG240" s="2275"/>
      <c r="GH240" s="2275">
        <f>+IF(GF285&lt;=GH225,GH225,IF(GF285&lt;=GH226,GH226,IF(GF285&lt;=GH227,GH227,IF(GF285&lt;=GH228,GH228,IF(GF285&lt;=GH229,GH229,IF(GF285&lt;=GH230,GH230,IF(GF285&lt;=GH231,GH231,IF(GF285&lt;=GH232,GH232,0))))))))</f>
        <v>3.56</v>
      </c>
      <c r="GI240" s="2275">
        <f>+IF(GF285&lt;=GI225,GI225,IF(GF285&lt;=GI226,GI226,IF(GF285&lt;=GI227,GI227,IF(GF285&lt;=GI228,GI228,IF(GF285&lt;=GI229,GI229,IF(GF285&lt;=GI230,GI230,IF(GF285&lt;=GI231,GI231,IF(GF285&lt;=GI232,GI232,0))))))))</f>
        <v>3.86</v>
      </c>
      <c r="GJ240" s="2275">
        <f>+IF(GF285&lt;=GJ225,GJ225,IF(GF285&lt;=GJ226,GJ226,IF(GF285&lt;=GJ227,GJ227,IF(GF285&lt;=GJ228,GJ228,IF(GF285&lt;=GJ229,GJ229,IF(GF285&lt;=GJ230,GJ230,IF(GF285&lt;=GJ231,GJ231,IF(GF285&lt;=GJ232,GJ232,0))))))))</f>
        <v>4.16</v>
      </c>
      <c r="GK240" s="2275">
        <f>+IF(GF285&lt;=GK225,GK225,IF(GF285&lt;=GK226,GK226,IF(GF285&lt;=GK227,GK227,IF(GF285&lt;=GK228,GK228,IF(GF285&lt;=GK229,GK229,IF(GF285&lt;=GK230,GK230,IF(GF285&lt;=GK231,GK231,IF(GF285&lt;=GK232,GK232,0))))))))</f>
        <v>4.46</v>
      </c>
      <c r="GL240" s="2275">
        <f>+IF(GF285&lt;=GL225,GL225,IF(GF285&lt;=GL226,GL226,IF(GF285&lt;=GL227,GL227,IF(GF285&lt;=GL228,GL228,IF(GF285&lt;=GL229,GL229,IF(GF285&lt;=GL230,GL230,IF(GF285&lt;=GL231,GL231,IF(GF285&lt;=GL232,GL232,0))))))))</f>
        <v>4.6500000000000004</v>
      </c>
      <c r="GM240" s="2275">
        <f>+IF(GF285&lt;=GM225,GM225,IF(GF285&lt;=GM226,GM226,IF(GF285&lt;=GM227,GM227,IF(GF285&lt;=GM228,GM228,IF(GF285&lt;=GM229,GM229,IF(GF285&lt;=GM230,GM230,IF(GF285&lt;=GM231,GM231,IF(GF285&lt;=GM232,GM232,0))))))))</f>
        <v>4.75</v>
      </c>
      <c r="GN240" s="2275">
        <f>+IF(GF285&lt;=GN225,GN225,IF(GF285&lt;=GN226,GN226,IF(GF285&lt;=GN227,GN227,IF(GF285&lt;=GN228,GN228,IF(GF285&lt;=GN229,GN229,IF(GF285&lt;=GN230,GN230,IF(GF285&lt;=GN231,GN231,IF(GF285&lt;=GN232,GN232,0))))))))</f>
        <v>5.15</v>
      </c>
      <c r="GO240" s="2275">
        <f>+IF(GF285&lt;=GO225,GO225,IF(GF285&lt;=GO226,GO226,IF(GF285&lt;=GO227,GO227,IF(GF285&lt;=GO228,GO228,IF(GF285&lt;=GO229,GO229,IF(GF285&lt;=GO230,GO230,IF(GF285&lt;=GO231,GO231,IF(GF285&lt;=GO232,GO232,0))))))))</f>
        <v>5.45</v>
      </c>
      <c r="GP240" s="2275">
        <f>+IF(GF285&lt;=GP225,GP225,IF(GF285&lt;=GP226,GP226,IF(GF285&lt;=GP227,GP227,IF(GF285&lt;=GP228,GP228,IF(GF285&lt;=GP229,GP229,IF(GF285&lt;=GP230,GP230,IF(GF285&lt;=GP231,GP231,IF(GF285&lt;=GP232,GP232,0))))))))</f>
        <v>5.84</v>
      </c>
      <c r="GQ240" s="2275">
        <f>+IF(GF285&lt;=GQ225,GQ225,IF(GF285&lt;=GQ226,GQ226,IF(GF285&lt;=GQ227,GQ227,IF(GF285&lt;=GQ228,GQ228,IF(GF285&lt;=GQ229,GQ229,IF(GF285&lt;=GQ230,GQ230,IF(GF285&lt;=GQ231,GQ231,IF(GF285&lt;=GQ232,GQ232,0))))))))</f>
        <v>6.14</v>
      </c>
      <c r="GR240" s="2275">
        <f>+IF(GF285&lt;=GR225,GR225,IF(GF285&lt;=GR226,GR226,IF(GF285&lt;=GR227,GR227,IF(GF285&lt;=GR228,GR228,IF(GF285&lt;=GR229,GR229,IF(GF285&lt;=GR230,GR230,IF(GF285&lt;=GR231,GR231,IF(GF285&lt;=GR232,GR232,0))))))))</f>
        <v>6.83</v>
      </c>
      <c r="GS240" s="2275">
        <f>+IF(GF285&lt;=GS225,GS225,IF(GF285&lt;=GS226,GS226,IF(GF285&lt;=GS227,GS227,IF(GF285&lt;=GS228,GS228,IF(GF285&lt;=GS229,GS229,IF(GF285&lt;=GS230,GS230,IF(GF285&lt;=GS231,GS231,IF(GF285&lt;=GS232,GS232,0))))))))</f>
        <v>7.43</v>
      </c>
      <c r="GT240" s="2275">
        <f>+IF(GF285&lt;=GT225,GT225,IF(GF285&lt;=GT226,GT226,IF(GF285&lt;=GT227,GT227,IF(GF285&lt;=GT228,GT228,IF(GF285&lt;=GT229,GT229,IF(GF285&lt;=GT230,GT230,IF(GF285&lt;=GT231,GT231,IF(GF285&lt;=GT232,GT232,0))))))))</f>
        <v>7.62</v>
      </c>
      <c r="GU240" s="2275">
        <f>+IF(GF285&lt;=GU225,GU225,IF(GF285&lt;=GU226,GU226,IF(GF285&lt;=GU227,GU227,IF(GF285&lt;=GU228,GU228,IF(GF285&lt;=GU229,GU229,IF(GF285&lt;=GU230,GU230,IF(GF285&lt;=GU231,GU231,IF(GF285&lt;=GU232,GU232,0))))))))</f>
        <v>8.02</v>
      </c>
      <c r="GV240" s="2275">
        <f>+IF(GF285&lt;=GV225,GV225,IF(GF285&lt;=GV226,GV226,IF(GF285&lt;=GV227,GV227,IF(GF285&lt;=GV228,GV228,IF(GF285&lt;=GV229,GV229,IF(GF285&lt;=GV230,GV230,IF(GF285&lt;=GV231,GV231,IF(GF285&lt;=GV232,GV232,0))))))))</f>
        <v>8.42</v>
      </c>
      <c r="GW240" s="2275">
        <f>+IF(GF285&lt;=GW225,GW225,IF(GF285&lt;=GW226,GW226,IF(GF285&lt;=GW227,GW227,IF(GF285&lt;=GW228,GW228,IF(GF285&lt;=GW229,GW229,IF(GF285&lt;=GW230,GW230,IF(GF285&lt;=GW231,GW231,IF(GF285&lt;=GW232,GW232,0))))))))</f>
        <v>8.7100000000000009</v>
      </c>
      <c r="GX240" s="2275">
        <f>+IF(GF285&lt;=GX225,GX225,IF(GF285&lt;=GX226,GX226,IF(GF285&lt;=GX227,GX227,IF(GF285&lt;=GX228,GX228,IF(GF285&lt;=GX229,GX229,IF(GF285&lt;=GX230,GX230,IF(GF285&lt;=GX231,GX231,IF(GF285&lt;=GX232,GX232,0))))))))</f>
        <v>9.31</v>
      </c>
      <c r="GY240" s="2275">
        <f>+IF(GF285&lt;=GY225,GY225,IF(GF285&lt;=GY226,GY226,IF(GF285&lt;=GY227,GY227,IF(GF285&lt;=GY228,GY228,IF(GF285&lt;=GY229,GY229,IF(GF285&lt;=GY230,GY230,IF(GF285&lt;=GY231,GY231,IF(GF285&lt;=GY232,GY232,0))))))))</f>
        <v>10.1</v>
      </c>
      <c r="GZ240" s="2275">
        <f>+IF(GF285&lt;=GZ225,GZ225,IF(GF285&lt;=GZ226,GZ226,IF(GF285&lt;=GZ227,GZ227,IF(GF285&lt;=GZ228,GZ228,IF(GF285&lt;=GZ229,GZ229,IF(GF285&lt;=GZ230,GZ230,IF(GF285&lt;=GZ231,GZ231,IF(GF285&lt;=GZ232,GZ232,0))))))))</f>
        <v>10.79</v>
      </c>
      <c r="HA240" s="2275">
        <f>+IF(GF285&lt;=HA225,HA225,IF(GF285&lt;=HA226,HA226,IF(GF285&lt;=HA227,HA227,IF(GF285&lt;=HA228,HA228,IF(GF285&lt;=HA229,HA229,IF(GF285&lt;=HA230,HA230,IF(GF285&lt;=HA231,HA231,IF(GF285&lt;=HA232,HA232,0))))))))</f>
        <v>11.58</v>
      </c>
      <c r="HB240" s="2275">
        <f>+IF(GF285&lt;=HB225,HB225,IF(GF285&lt;=HB226,HB226,IF(GF285&lt;=HB227,HB227,IF(GF285&lt;=HB228,HB228,IF(GF285&lt;=HB229,HB229,IF(GF285&lt;=HB230,HB230,IF(GF285&lt;=HB231,HB231,IF(GF285&lt;=HB232,HB232,0))))))))</f>
        <v>12.38</v>
      </c>
      <c r="HC240" s="2275">
        <f>+IF(GF285&lt;=HC225,HC225,IF(GF285&lt;=HC226,HC226,IF(GF285&lt;=HC227,HC227,IF(GF285&lt;=HC228,HC228,IF(GF285&lt;=HC229,HC229,IF(GF285&lt;=HC230,HC230,IF(GF285&lt;=HC231,HC231,IF(GF285&lt;=HC232,HC232,0))))))))</f>
        <v>13.66</v>
      </c>
      <c r="HD240" s="2275">
        <f>+IF(GF285&lt;=HD225,HD225,IF(GF285&lt;=HD226,HD226,IF(GF285&lt;=HD227,HD227,IF(GF285&lt;=HD228,HD228,IF(GF285&lt;=HD229,HD229,IF(GF285&lt;=HD230,HD230,IF(GF285&lt;=HD231,HD231,IF(GF285&lt;=HD232,HD232,0))))))))</f>
        <v>14.95</v>
      </c>
      <c r="HE240" s="2275">
        <f>+IF(GF285&lt;=HE225,HE225,IF(GF285&lt;=HE226,HE226,IF(GF285&lt;=HE227,HE227,IF(GF285&lt;=HE228,HE228,IF(GF285&lt;=HE229,HE229,IF(GF285&lt;=HE230,HE230,IF(GF285&lt;=HE231,HE231,IF(GF285&lt;=HE232,HE232,0))))))))</f>
        <v>16.53</v>
      </c>
      <c r="HF240" s="2275">
        <f>+IF(GF285&lt;=HF225,HF225,IF(GF285&lt;=HF226,HF226,IF(GF285&lt;=HF227,HF227,IF(GF285&lt;=HF228,HF228,IF(GF285&lt;=HF229,HF229,IF(GF285&lt;=HF230,HF230,IF(GF285&lt;=HF231,HF231,IF(GF285&lt;=HF232,HF232,0))))))))</f>
        <v>18.61</v>
      </c>
      <c r="HG240" s="2275">
        <f>+IF(GF285&lt;=HG225,HG225,IF(GF285&lt;=HG226,HG226,IF(GF285&lt;=HG227,HG227,IF(GF285&lt;=HG228,HG228,IF(GF285&lt;=HG229,HG229,IF(GF285&lt;=HG230,HG230,IF(GF285&lt;=HG231,HG231,IF(GF285&lt;=HG232,HG232,0))))))))</f>
        <v>19.7</v>
      </c>
      <c r="HH240" s="2275">
        <f>+IF(GF285&lt;=HH225,HH225,IF(GF285&lt;=HH226,HH226,IF(GF285&lt;=HH227,HH227,IF(GF285&lt;=HH228,HH228,IF(GF285&lt;=HH229,HH229,IF(GF285&lt;=HH230,HH230,IF(GF285&lt;=HH231,HH231,IF(GF285&lt;=HH232,HH232,0))))))))</f>
        <v>23.17</v>
      </c>
      <c r="HI240" s="2275"/>
      <c r="HJ240" s="2275"/>
      <c r="HK240" s="2275"/>
      <c r="HL240" s="2275"/>
      <c r="HM240" s="2275"/>
      <c r="HN240" s="2275"/>
      <c r="HO240" s="2275"/>
      <c r="HP240" s="2275"/>
      <c r="HQ240" s="2275"/>
      <c r="HR240" s="2275"/>
      <c r="HS240" s="2275"/>
      <c r="HT240" s="2250"/>
      <c r="HU240" s="2250"/>
      <c r="HV240" s="2250"/>
      <c r="HW240" s="2250"/>
      <c r="HX240" s="2250"/>
      <c r="HY240" s="2250"/>
      <c r="HZ240" s="2250"/>
      <c r="IA240" s="2250"/>
      <c r="IB240" s="2250"/>
      <c r="IC240" s="2250"/>
      <c r="ID240" s="2250"/>
      <c r="IE240" s="2250"/>
      <c r="IF240" s="2250"/>
      <c r="IG240" s="2250"/>
      <c r="IH240" s="2250"/>
      <c r="II240" s="2250"/>
      <c r="IJ240" s="2250"/>
      <c r="IK240" s="2250"/>
      <c r="IL240" s="2250"/>
      <c r="IN240" s="277"/>
      <c r="IO240" s="277"/>
    </row>
    <row r="241" spans="1:249" ht="21.95" customHeight="1">
      <c r="A241" s="2275"/>
      <c r="B241" s="2250">
        <f>X140</f>
        <v>0.75631178540277322</v>
      </c>
      <c r="C241" s="2275">
        <f>HLOOKUP(B242,D223:AD243,20,0)</f>
        <v>10.1</v>
      </c>
      <c r="D241" s="2275">
        <f>+IF(B285&lt;=D233,D233,IF(B285&lt;=D234,D234,IF(B285&lt;=D235,D235,)))</f>
        <v>112.77</v>
      </c>
      <c r="E241" s="2275">
        <f>+IF(B285&lt;=E233,E233,IF(B285&lt;=E234,E234,IF(B285&lt;=E235,E235,)))</f>
        <v>121.78</v>
      </c>
      <c r="F241" s="2275">
        <f>+IF(B285&lt;=F233,F233,IF(B285&lt;=F234,F234,IF(B285&lt;=F235,F235,)))</f>
        <v>131.09</v>
      </c>
      <c r="G241" s="2275">
        <f>+IF(B285&lt;=G233,G233,IF(B285&lt;=G234,G234,IF(B285&lt;=G235,G235,)))</f>
        <v>140.5</v>
      </c>
      <c r="H241" s="2275">
        <f>+IF(B285&lt;=H233,H233,IF(B285&lt;=H234,H234,IF(B285&lt;=H235,H235,)))</f>
        <v>149.11000000000001</v>
      </c>
      <c r="I241" s="2275">
        <f>+IF(B285&lt;=I233,I233,IF(B285&lt;=I234,I234,IF(B285&lt;=I235,I235,)))</f>
        <v>151.38999999999999</v>
      </c>
      <c r="J241" s="2275">
        <f>+IF(B285&lt;=J233,J233,IF(B285&lt;=J234,J234,IF(B285&lt;=J235,J235,)))</f>
        <v>162.08000000000001</v>
      </c>
      <c r="K241" s="2275">
        <f>+IF(B285&lt;=K233,K233,IF(B285&lt;=K234,K234,IF(B285&lt;=K235,K235,)))</f>
        <v>173.37</v>
      </c>
      <c r="L241" s="2275">
        <f>+IF(B285&lt;=L233,L233,IF(B285&lt;=L234,L234,IF(B285&lt;=L235,L235,)))</f>
        <v>183.96</v>
      </c>
      <c r="M241" s="2275">
        <f>+IF(B285&lt;=M233,M233,IF(B285&lt;=M234,M234,IF(B285&lt;=M235,M235,)))</f>
        <v>195.84</v>
      </c>
      <c r="N241" s="2275">
        <f>+IF(B285&lt;=N233,N233,IF(B285&lt;=N234,N234,IF(B285&lt;=N235,N235,)))</f>
        <v>216.04</v>
      </c>
      <c r="O241" s="2275">
        <f>+IF(B285&lt;=O233,O233,IF(B285&lt;=O234,O234,IF(B285&lt;=O235,O235,)))</f>
        <v>232.18</v>
      </c>
      <c r="P241" s="2275">
        <f>+IF(B285&lt;=P233,P233,IF(B285&lt;=P234,P234,IF(B285&lt;=P235,P235,)))</f>
        <v>241.78</v>
      </c>
      <c r="Q241" s="2275">
        <f>+IF(B285&lt;=Q233,Q233,IF(B285&lt;=Q234,Q234,IF(B285&lt;=Q235,Q235,)))</f>
        <v>253.96</v>
      </c>
      <c r="R241" s="2275">
        <f>+IF(B285&lt;=R233,R233,IF(B285&lt;=R234,R234,IF(B285&lt;=R235,R235,)))</f>
        <v>267.92</v>
      </c>
      <c r="S241" s="2275">
        <f>+IF(B285&lt;=S233,S233,IF(B285&lt;=S234,S234,IF(B285&lt;=S235,S235,)))</f>
        <v>277.02999999999997</v>
      </c>
      <c r="T241" s="2275">
        <f>+IF(B285&lt;=T233,T233,IF(B285&lt;=T234,T234,IF(B285&lt;=T235,T235,)))</f>
        <v>295.25</v>
      </c>
      <c r="U241" s="2275">
        <f>+IF(B285&lt;=U233,U233,IF(B285&lt;=U234,U234,IF(B285&lt;=U235,U235,)))</f>
        <v>338.91</v>
      </c>
      <c r="V241" s="2275">
        <f>+IF(B285&lt;=V233,V233,IF(B285&lt;=V234,V234,IF(B285&lt;=V235,V235,)))</f>
        <v>342.87</v>
      </c>
      <c r="W241" s="2275">
        <f>+IF(B285&lt;=W233,W233,IF(B285&lt;=W234,W234,IF(B285&lt;=W235,W235,)))</f>
        <v>348.81</v>
      </c>
      <c r="X241" s="2275">
        <f>+IF(B285&lt;=X233,X233,IF(B285&lt;=X234,X234,IF(B285&lt;=X235,X235,)))</f>
        <v>362.28</v>
      </c>
      <c r="Y241" s="2275">
        <f>+IF(B285&lt;=Y233,Y233,IF(B285&lt;=Y234,Y234,IF(B285&lt;=Y235,Y235,)))</f>
        <v>410.3</v>
      </c>
      <c r="Z241" s="2275">
        <f>+IF(B285&lt;=Z233,Z233,IF(B285&lt;=Z234,Z234,IF(B285&lt;=Z235,Z235,)))</f>
        <v>467.82</v>
      </c>
      <c r="AA241" s="2275">
        <f>+IF(B285&lt;=AA233,AA233,IF(B285&lt;=AA234,AA234,IF(B285&lt;=AA235,AA235,)))</f>
        <v>515.04999999999995</v>
      </c>
      <c r="AB241" s="2275">
        <f>+IF(B285&lt;=AB233,AB233,IF(B285&lt;=AB234,AB234,IF(B285&lt;=AB235,AB235,)))</f>
        <v>526.83000000000004</v>
      </c>
      <c r="AC241" s="2275">
        <f>+IF(B285&lt;=AC233,AC233,IF(B285&lt;=AC234,AC234,IF(B285&lt;=AC235,AC235,)))</f>
        <v>526.83000000000004</v>
      </c>
      <c r="AD241" s="2275">
        <f>+IF(B285&lt;=AD233,AD233,IF(B285&lt;=AD234,AD234,IF(B285&lt;=AD235,AD235,)))</f>
        <v>526.83000000000004</v>
      </c>
      <c r="AE241" s="2275"/>
      <c r="AF241" s="2275"/>
      <c r="AG241" s="2275"/>
      <c r="AH241" s="2275"/>
      <c r="AI241" s="2275"/>
      <c r="AJ241" s="2275"/>
      <c r="AK241" s="2275"/>
      <c r="AL241" s="2275"/>
      <c r="AM241" s="2275"/>
      <c r="AN241" s="2275"/>
      <c r="AO241" s="2275"/>
      <c r="AP241" s="2250"/>
      <c r="AQ241" s="2250"/>
      <c r="AR241" s="2250"/>
      <c r="AS241" s="2250"/>
      <c r="AT241" s="2250"/>
      <c r="AU241" s="2250"/>
      <c r="AV241" s="2250"/>
      <c r="AW241" s="2250"/>
      <c r="AX241" s="2250"/>
      <c r="AY241" s="2250"/>
      <c r="AZ241" s="2250"/>
      <c r="BA241" s="2250"/>
      <c r="BB241" s="2250"/>
      <c r="BC241" s="2250"/>
      <c r="BD241" s="2250"/>
      <c r="BE241" s="2250"/>
      <c r="BF241" s="2276"/>
      <c r="BG241" s="2276"/>
      <c r="BH241" s="2250"/>
      <c r="BI241" s="2275"/>
      <c r="BJ241" s="2250">
        <f>CD140</f>
        <v>0.75631178540277322</v>
      </c>
      <c r="BK241" s="2275">
        <f>HLOOKUP(BJ242,BL223:CL243,20,0)</f>
        <v>9.31</v>
      </c>
      <c r="BL241" s="2275">
        <f>+IF(BJ285&lt;=BL233,BL233,IF(BJ285&lt;=BL234,BL234,IF(BJ285&lt;=BL235,BL235,)))</f>
        <v>112.77</v>
      </c>
      <c r="BM241" s="2275">
        <f>+IF(BJ285&lt;=BM233,BM233,IF(BJ285&lt;=BM234,BM234,IF(BJ285&lt;=BM235,BM235,)))</f>
        <v>121.78</v>
      </c>
      <c r="BN241" s="2275">
        <f>+IF(BJ285&lt;=BN233,BN233,IF(BJ285&lt;=BN234,BN234,IF(BJ285&lt;=BN235,BN235,)))</f>
        <v>131.09</v>
      </c>
      <c r="BO241" s="2275">
        <f>+IF(BJ285&lt;=BO233,BO233,IF(BJ285&lt;=BO234,BO234,IF(BJ285&lt;=BO235,BO235,)))</f>
        <v>140.5</v>
      </c>
      <c r="BP241" s="2275">
        <f>+IF(BJ285&lt;=BP233,BP233,IF(BJ285&lt;=BP234,BP234,IF(BJ285&lt;=BP235,BP235,)))</f>
        <v>149.11000000000001</v>
      </c>
      <c r="BQ241" s="2275">
        <f>+IF(BJ285&lt;=BQ233,BQ233,IF(BJ285&lt;=BQ234,BQ234,IF(BJ285&lt;=BQ235,BQ235,)))</f>
        <v>151.38999999999999</v>
      </c>
      <c r="BR241" s="2275">
        <f>+IF(BJ285&lt;=BR233,BR233,IF(BJ285&lt;=BR234,BR234,IF(BJ285&lt;=BR235,BR235,)))</f>
        <v>162.08000000000001</v>
      </c>
      <c r="BS241" s="2275">
        <f>+IF(BJ285&lt;=BS233,BS233,IF(BJ285&lt;=BS234,BS234,IF(BJ285&lt;=BS235,BS235,)))</f>
        <v>173.37</v>
      </c>
      <c r="BT241" s="2275">
        <f>+IF(BJ285&lt;=BT233,BT233,IF(BJ285&lt;=BT234,BT234,IF(BJ285&lt;=BT235,BT235,)))</f>
        <v>183.96</v>
      </c>
      <c r="BU241" s="2275">
        <f>+IF(BJ285&lt;=BU233,BU233,IF(BJ285&lt;=BU234,BU234,IF(BJ285&lt;=BU235,BU235,)))</f>
        <v>195.84</v>
      </c>
      <c r="BV241" s="2275">
        <f>+IF(BJ285&lt;=BV233,BV233,IF(BJ285&lt;=BV234,BV234,IF(BJ285&lt;=BV235,BV235,)))</f>
        <v>216.04</v>
      </c>
      <c r="BW241" s="2275">
        <f>+IF(BJ285&lt;=BW233,BW233,IF(BJ285&lt;=BW234,BW234,IF(BJ285&lt;=BW235,BW235,)))</f>
        <v>232.18</v>
      </c>
      <c r="BX241" s="2275">
        <f>+IF(BJ285&lt;=BX233,BX233,IF(BJ285&lt;=BX234,BX234,IF(BJ285&lt;=BX235,BX235,)))</f>
        <v>241.78</v>
      </c>
      <c r="BY241" s="2275">
        <f>+IF(BJ285&lt;=BY233,BY233,IF(BJ285&lt;=BY234,BY234,IF(BJ285&lt;=BY235,BY235,)))</f>
        <v>253.96</v>
      </c>
      <c r="BZ241" s="2275">
        <f>+IF(BJ285&lt;=BZ233,BZ233,IF(BJ285&lt;=BZ234,BZ234,IF(BJ285&lt;=BZ235,BZ235,)))</f>
        <v>267.92</v>
      </c>
      <c r="CA241" s="2275">
        <f>+IF(BJ285&lt;=CA233,CA233,IF(BJ285&lt;=CA234,CA234,IF(BJ285&lt;=CA235,CA235,)))</f>
        <v>277.02999999999997</v>
      </c>
      <c r="CB241" s="2275">
        <f>+IF(BJ285&lt;=CB233,CB233,IF(BJ285&lt;=CB234,CB234,IF(BJ285&lt;=CB235,CB235,)))</f>
        <v>295.25</v>
      </c>
      <c r="CC241" s="2275">
        <f>+IF(BJ285&lt;=CC233,CC233,IF(BJ285&lt;=CC234,CC234,IF(BJ285&lt;=CC235,CC235,)))</f>
        <v>338.91</v>
      </c>
      <c r="CD241" s="2275">
        <f>+IF(BJ285&lt;=CD233,CD233,IF(BJ285&lt;=CD234,CD234,IF(BJ285&lt;=CD235,CD235,)))</f>
        <v>342.87</v>
      </c>
      <c r="CE241" s="2275">
        <f>+IF(BJ285&lt;=CE233,CE233,IF(BJ285&lt;=CE234,CE234,IF(BJ285&lt;=CE235,CE235,)))</f>
        <v>348.81</v>
      </c>
      <c r="CF241" s="2275">
        <f>+IF(BJ285&lt;=CF233,CF233,IF(BJ285&lt;=CF234,CF234,IF(BJ285&lt;=CF235,CF235,)))</f>
        <v>362.28</v>
      </c>
      <c r="CG241" s="2275">
        <f>+IF(BJ285&lt;=CG233,CG233,IF(BJ285&lt;=CG234,CG234,IF(BJ285&lt;=CG235,CG235,)))</f>
        <v>410.3</v>
      </c>
      <c r="CH241" s="2275">
        <f>+IF(BJ285&lt;=CH233,CH233,IF(BJ285&lt;=CH234,CH234,IF(BJ285&lt;=CH235,CH235,)))</f>
        <v>467.82</v>
      </c>
      <c r="CI241" s="2275">
        <f>+IF(BJ285&lt;=CI233,CI233,IF(BJ285&lt;=CI234,CI234,IF(BJ285&lt;=CI235,CI235,)))</f>
        <v>515.04999999999995</v>
      </c>
      <c r="CJ241" s="2275">
        <f>+IF(BJ285&lt;=CJ233,CJ233,IF(BJ285&lt;=CJ234,CJ234,IF(BJ285&lt;=CJ235,CJ235,)))</f>
        <v>526.83000000000004</v>
      </c>
      <c r="CK241" s="2275">
        <f>+IF(BJ285&lt;=CK233,CK233,IF(BJ285&lt;=CK234,CK234,IF(BJ285&lt;=CK235,CK235,)))</f>
        <v>526.83000000000004</v>
      </c>
      <c r="CL241" s="2275">
        <f>+IF(BJ285&lt;=CL233,CL233,IF(BJ285&lt;=CL234,CL234,IF(BJ285&lt;=CL235,CL235,)))</f>
        <v>526.83000000000004</v>
      </c>
      <c r="CM241" s="2275"/>
      <c r="CN241" s="2275"/>
      <c r="CO241" s="2275"/>
      <c r="CP241" s="2275"/>
      <c r="CQ241" s="2275"/>
      <c r="CR241" s="2275"/>
      <c r="CS241" s="2275"/>
      <c r="CT241" s="2275"/>
      <c r="CU241" s="2275"/>
      <c r="CV241" s="2275"/>
      <c r="CW241" s="2275"/>
      <c r="CX241" s="2250"/>
      <c r="CY241" s="2250"/>
      <c r="CZ241" s="2250"/>
      <c r="DA241" s="2250"/>
      <c r="DB241" s="2250"/>
      <c r="DC241" s="2250"/>
      <c r="DD241" s="2250"/>
      <c r="DE241" s="2250"/>
      <c r="DF241" s="2250"/>
      <c r="DG241" s="2250"/>
      <c r="DH241" s="2250"/>
      <c r="DI241" s="2250"/>
      <c r="DJ241" s="2250"/>
      <c r="DK241" s="2250"/>
      <c r="DL241" s="2250"/>
      <c r="DM241" s="2250"/>
      <c r="DN241" s="2250"/>
      <c r="DO241" s="2250"/>
      <c r="DP241" s="2250"/>
      <c r="DQ241" s="2277"/>
      <c r="DR241" s="2277"/>
      <c r="DS241" s="277"/>
      <c r="DW241" s="2275"/>
      <c r="DX241" s="2250">
        <f>ET140</f>
        <v>1.3354563802212776</v>
      </c>
      <c r="DY241" s="2275">
        <f>HLOOKUP(DX242,DZ223:EZ243,20,0)</f>
        <v>14.95</v>
      </c>
      <c r="DZ241" s="2275">
        <f>+IF(DX285&lt;=DZ233,DZ233,IF(DX285&lt;=DZ234,DZ234,IF(DX285&lt;=DZ235,DZ235,)))</f>
        <v>112.77</v>
      </c>
      <c r="EA241" s="2275">
        <f>+IF(DX285&lt;=EA233,EA233,IF(DX285&lt;=EA234,EA234,IF(DX285&lt;=EA235,EA235,)))</f>
        <v>121.78</v>
      </c>
      <c r="EB241" s="2275">
        <f>+IF(DX285&lt;=EB233,EB233,IF(DX285&lt;=EB234,EB234,IF(DX285&lt;=EB235,EB235,)))</f>
        <v>131.09</v>
      </c>
      <c r="EC241" s="2275">
        <f>+IF(DX285&lt;=EC233,EC233,IF(DX285&lt;=EC234,EC234,IF(DX285&lt;=EC235,EC235,)))</f>
        <v>140.5</v>
      </c>
      <c r="ED241" s="2275">
        <f>+IF(DX285&lt;=ED233,ED233,IF(DX285&lt;=ED234,ED234,IF(DX285&lt;=ED235,ED235,)))</f>
        <v>149.11000000000001</v>
      </c>
      <c r="EE241" s="2275">
        <f>+IF(DX285&lt;=EE233,EE233,IF(DX285&lt;=EE234,EE234,IF(DX285&lt;=EE235,EE235,)))</f>
        <v>151.38999999999999</v>
      </c>
      <c r="EF241" s="2275">
        <f>+IF(DX285&lt;=EF233,EF233,IF(DX285&lt;=EF234,EF234,IF(DX285&lt;=EF235,EF235,)))</f>
        <v>162.08000000000001</v>
      </c>
      <c r="EG241" s="2275">
        <f>+IF(DX285&lt;=EG233,EG233,IF(DX285&lt;=EG234,EG234,IF(DX285&lt;=EG235,EG235,)))</f>
        <v>173.37</v>
      </c>
      <c r="EH241" s="2275">
        <f>+IF(DX285&lt;=EH233,EH233,IF(DX285&lt;=EH234,EH234,IF(DX285&lt;=EH235,EH235,)))</f>
        <v>183.96</v>
      </c>
      <c r="EI241" s="2275">
        <f>+IF(DX285&lt;=EI233,EI233,IF(DX285&lt;=EI234,EI234,IF(DX285&lt;=EI235,EI235,)))</f>
        <v>195.84</v>
      </c>
      <c r="EJ241" s="2275">
        <f>+IF(DX285&lt;=EJ233,EJ233,IF(DX285&lt;=EJ234,EJ234,IF(DX285&lt;=EJ235,EJ235,)))</f>
        <v>216.04</v>
      </c>
      <c r="EK241" s="2275">
        <f>+IF(DX285&lt;=EK233,EK233,IF(DX285&lt;=EK234,EK234,IF(DX285&lt;=EK235,EK235,)))</f>
        <v>232.18</v>
      </c>
      <c r="EL241" s="2275">
        <f>+IF(DX285&lt;=EL233,EL233,IF(DX285&lt;=EL234,EL234,IF(DX285&lt;=EL235,EL235,)))</f>
        <v>241.78</v>
      </c>
      <c r="EM241" s="2275">
        <f>+IF(DX285&lt;=EM233,EM233,IF(DX285&lt;=EM234,EM234,IF(DX285&lt;=EM235,EM235,)))</f>
        <v>253.96</v>
      </c>
      <c r="EN241" s="2275">
        <f>+IF(DX285&lt;=EN233,EN233,IF(DX285&lt;=EN234,EN234,IF(DX285&lt;=EN235,EN235,)))</f>
        <v>267.92</v>
      </c>
      <c r="EO241" s="2275">
        <f>+IF(DX285&lt;=EO233,EO233,IF(DX285&lt;=EO234,EO234,IF(DX285&lt;=EO235,EO235,)))</f>
        <v>277.02999999999997</v>
      </c>
      <c r="EP241" s="2275">
        <f>+IF(DX285&lt;=EP233,EP233,IF(DX285&lt;=EP234,EP234,IF(DX285&lt;=EP235,EP235,)))</f>
        <v>295.25</v>
      </c>
      <c r="EQ241" s="2275">
        <f>+IF(DX285&lt;=EQ233,EQ233,IF(DX285&lt;=EQ234,EQ234,IF(DX285&lt;=EQ235,EQ235,)))</f>
        <v>338.91</v>
      </c>
      <c r="ER241" s="2275">
        <f>+IF(DX285&lt;=ER233,ER233,IF(DX285&lt;=ER234,ER234,IF(DX285&lt;=ER235,ER235,)))</f>
        <v>342.87</v>
      </c>
      <c r="ES241" s="2275">
        <f>+IF(DX285&lt;=ES233,ES233,IF(DX285&lt;=ES234,ES234,IF(DX285&lt;=ES235,ES235,)))</f>
        <v>348.81</v>
      </c>
      <c r="ET241" s="2275">
        <f>+IF(DX285&lt;=ET233,ET233,IF(DX285&lt;=ET234,ET234,IF(DX285&lt;=ET235,ET235,)))</f>
        <v>362.28</v>
      </c>
      <c r="EU241" s="2275">
        <f>+IF(DX285&lt;=EU233,EU233,IF(DX285&lt;=EU234,EU234,IF(DX285&lt;=EU235,EU235,)))</f>
        <v>410.3</v>
      </c>
      <c r="EV241" s="2275">
        <f>+IF(DX285&lt;=EV233,EV233,IF(DX285&lt;=EV234,EV234,IF(DX285&lt;=EV235,EV235,)))</f>
        <v>467.82</v>
      </c>
      <c r="EW241" s="2275">
        <f>+IF(DX285&lt;=EW233,EW233,IF(DX285&lt;=EW234,EW234,IF(DX285&lt;=EW235,EW235,)))</f>
        <v>515.04999999999995</v>
      </c>
      <c r="EX241" s="2275">
        <f>+IF(DX285&lt;=EX233,EX233,IF(DX285&lt;=EX234,EX234,IF(DX285&lt;=EX235,EX235,)))</f>
        <v>526.83000000000004</v>
      </c>
      <c r="EY241" s="2275">
        <f>+IF(DX285&lt;=EY233,EY233,IF(DX285&lt;=EY234,EY234,IF(DX285&lt;=EY235,EY235,)))</f>
        <v>526.83000000000004</v>
      </c>
      <c r="EZ241" s="2275">
        <f>+IF(DX285&lt;=EZ233,EZ233,IF(DX285&lt;=EZ234,EZ234,IF(DX285&lt;=EZ235,EZ235,)))</f>
        <v>526.83000000000004</v>
      </c>
      <c r="FA241" s="2275"/>
      <c r="FB241" s="2275"/>
      <c r="FC241" s="2275"/>
      <c r="FD241" s="2275"/>
      <c r="FE241" s="2275"/>
      <c r="FF241" s="2275"/>
      <c r="FG241" s="2275"/>
      <c r="FH241" s="2275"/>
      <c r="FI241" s="2275"/>
      <c r="FJ241" s="2275"/>
      <c r="FK241" s="2275"/>
      <c r="FL241" s="2250"/>
      <c r="FM241" s="2250"/>
      <c r="FN241" s="2250"/>
      <c r="FO241" s="2250"/>
      <c r="FP241" s="2250"/>
      <c r="FQ241" s="2250"/>
      <c r="FR241" s="2250"/>
      <c r="FS241" s="2250"/>
      <c r="FT241" s="2250"/>
      <c r="FU241" s="2250"/>
      <c r="FV241" s="2250"/>
      <c r="FW241" s="2250"/>
      <c r="FX241" s="2250"/>
      <c r="FY241" s="2250"/>
      <c r="FZ241" s="2250"/>
      <c r="GA241" s="2250"/>
      <c r="GB241" s="2276"/>
      <c r="GC241" s="2276"/>
      <c r="GD241" s="2250"/>
      <c r="GE241" s="2275"/>
      <c r="GF241" s="2250">
        <f>GZ140</f>
        <v>1.3354563802212776</v>
      </c>
      <c r="GG241" s="2275">
        <f>HLOOKUP(GF242,GH223:HH243,20,0)</f>
        <v>13.66</v>
      </c>
      <c r="GH241" s="2275">
        <f>+IF(GF285&lt;=GH233,GH233,IF(GF285&lt;=GH234,GH234,IF(GF285&lt;=GH235,GH235,)))</f>
        <v>112.77</v>
      </c>
      <c r="GI241" s="2275">
        <f>+IF(GF285&lt;=GI233,GI233,IF(GF285&lt;=GI234,GI234,IF(GF285&lt;=GI235,GI235,)))</f>
        <v>121.78</v>
      </c>
      <c r="GJ241" s="2275">
        <f>+IF(GF285&lt;=GJ233,GJ233,IF(GF285&lt;=GJ234,GJ234,IF(GF285&lt;=GJ235,GJ235,)))</f>
        <v>131.09</v>
      </c>
      <c r="GK241" s="2275">
        <f>+IF(GF285&lt;=GK233,GK233,IF(GF285&lt;=GK234,GK234,IF(GF285&lt;=GK235,GK235,)))</f>
        <v>140.5</v>
      </c>
      <c r="GL241" s="2275">
        <f>+IF(GF285&lt;=GL233,GL233,IF(GF285&lt;=GL234,GL234,IF(GF285&lt;=GL235,GL235,)))</f>
        <v>149.11000000000001</v>
      </c>
      <c r="GM241" s="2275">
        <f>+IF(GF285&lt;=GM233,GM233,IF(GF285&lt;=GM234,GM234,IF(GF285&lt;=GM235,GM235,)))</f>
        <v>151.38999999999999</v>
      </c>
      <c r="GN241" s="2275">
        <f>+IF(GF285&lt;=GN233,GN233,IF(GF285&lt;=GN234,GN234,IF(GF285&lt;=GN235,GN235,)))</f>
        <v>162.08000000000001</v>
      </c>
      <c r="GO241" s="2275">
        <f>+IF(GF285&lt;=GO233,GO233,IF(GF285&lt;=GO234,GO234,IF(GF285&lt;=GO235,GO235,)))</f>
        <v>173.37</v>
      </c>
      <c r="GP241" s="2275">
        <f>+IF(GF285&lt;=GP233,GP233,IF(GF285&lt;=GP234,GP234,IF(GF285&lt;=GP235,GP235,)))</f>
        <v>183.96</v>
      </c>
      <c r="GQ241" s="2275">
        <f>+IF(GF285&lt;=GQ233,GQ233,IF(GF285&lt;=GQ234,GQ234,IF(GF285&lt;=GQ235,GQ235,)))</f>
        <v>195.84</v>
      </c>
      <c r="GR241" s="2275">
        <f>+IF(GF285&lt;=GR233,GR233,IF(GF285&lt;=GR234,GR234,IF(GF285&lt;=GR235,GR235,)))</f>
        <v>216.04</v>
      </c>
      <c r="GS241" s="2275">
        <f>+IF(GF285&lt;=GS233,GS233,IF(GF285&lt;=GS234,GS234,IF(GF285&lt;=GS235,GS235,)))</f>
        <v>232.18</v>
      </c>
      <c r="GT241" s="2275">
        <f>+IF(GF285&lt;=GT233,GT233,IF(GF285&lt;=GT234,GT234,IF(GF285&lt;=GT235,GT235,)))</f>
        <v>241.78</v>
      </c>
      <c r="GU241" s="2275">
        <f>+IF(GF285&lt;=GU233,GU233,IF(GF285&lt;=GU234,GU234,IF(GF285&lt;=GU235,GU235,)))</f>
        <v>253.96</v>
      </c>
      <c r="GV241" s="2275">
        <f>+IF(GF285&lt;=GV233,GV233,IF(GF285&lt;=GV234,GV234,IF(GF285&lt;=GV235,GV235,)))</f>
        <v>267.92</v>
      </c>
      <c r="GW241" s="2275">
        <f>+IF(GF285&lt;=GW233,GW233,IF(GF285&lt;=GW234,GW234,IF(GF285&lt;=GW235,GW235,)))</f>
        <v>277.02999999999997</v>
      </c>
      <c r="GX241" s="2275">
        <f>+IF(GF285&lt;=GX233,GX233,IF(GF285&lt;=GX234,GX234,IF(GF285&lt;=GX235,GX235,)))</f>
        <v>295.25</v>
      </c>
      <c r="GY241" s="2275">
        <f>+IF(GF285&lt;=GY233,GY233,IF(GF285&lt;=GY234,GY234,IF(GF285&lt;=GY235,GY235,)))</f>
        <v>338.91</v>
      </c>
      <c r="GZ241" s="2275">
        <f>+IF(GF285&lt;=GZ233,GZ233,IF(GF285&lt;=GZ234,GZ234,IF(GF285&lt;=GZ235,GZ235,)))</f>
        <v>342.87</v>
      </c>
      <c r="HA241" s="2275">
        <f>+IF(GF285&lt;=HA233,HA233,IF(GF285&lt;=HA234,HA234,IF(GF285&lt;=HA235,HA235,)))</f>
        <v>348.81</v>
      </c>
      <c r="HB241" s="2275">
        <f>+IF(GF285&lt;=HB233,HB233,IF(GF285&lt;=HB234,HB234,IF(GF285&lt;=HB235,HB235,)))</f>
        <v>362.28</v>
      </c>
      <c r="HC241" s="2275">
        <f>+IF(GF285&lt;=HC233,HC233,IF(GF285&lt;=HC234,HC234,IF(GF285&lt;=HC235,HC235,)))</f>
        <v>410.3</v>
      </c>
      <c r="HD241" s="2275">
        <f>+IF(GF285&lt;=HD233,HD233,IF(GF285&lt;=HD234,HD234,IF(GF285&lt;=HD235,HD235,)))</f>
        <v>467.82</v>
      </c>
      <c r="HE241" s="2275">
        <f>+IF(GF285&lt;=HE233,HE233,IF(GF285&lt;=HE234,HE234,IF(GF285&lt;=HE235,HE235,)))</f>
        <v>515.04999999999995</v>
      </c>
      <c r="HF241" s="2275">
        <f>+IF(GF285&lt;=HF233,HF233,IF(GF285&lt;=HF234,HF234,IF(GF285&lt;=HF235,HF235,)))</f>
        <v>526.83000000000004</v>
      </c>
      <c r="HG241" s="2275">
        <f>+IF(GF285&lt;=HG233,HG233,IF(GF285&lt;=HG234,HG234,IF(GF285&lt;=HG235,HG235,)))</f>
        <v>526.83000000000004</v>
      </c>
      <c r="HH241" s="2275">
        <f>+IF(GF285&lt;=HH233,HH233,IF(GF285&lt;=HH234,HH234,IF(GF285&lt;=HH235,HH235,)))</f>
        <v>526.83000000000004</v>
      </c>
      <c r="HI241" s="2275"/>
      <c r="HJ241" s="2275"/>
      <c r="HK241" s="2275"/>
      <c r="HL241" s="2275"/>
      <c r="HM241" s="2275"/>
      <c r="HN241" s="2275"/>
      <c r="HO241" s="2275"/>
      <c r="HP241" s="2275"/>
      <c r="HQ241" s="2275"/>
      <c r="HR241" s="2275"/>
      <c r="HS241" s="2275"/>
      <c r="HT241" s="2250"/>
      <c r="HU241" s="2250"/>
      <c r="HV241" s="2250"/>
      <c r="HW241" s="2250"/>
      <c r="HX241" s="2250"/>
      <c r="HY241" s="2250"/>
      <c r="HZ241" s="2250"/>
      <c r="IA241" s="2250"/>
      <c r="IB241" s="2250"/>
      <c r="IC241" s="2250"/>
      <c r="ID241" s="2250"/>
      <c r="IE241" s="2250"/>
      <c r="IF241" s="2250"/>
      <c r="IG241" s="2250"/>
      <c r="IH241" s="2250"/>
      <c r="II241" s="2250"/>
      <c r="IJ241" s="2250"/>
      <c r="IK241" s="2250"/>
      <c r="IL241" s="2250"/>
      <c r="IN241" s="277"/>
      <c r="IO241" s="277"/>
    </row>
    <row r="242" spans="1:249" ht="21.95" customHeight="1">
      <c r="A242" s="2275"/>
      <c r="B242" s="2275">
        <f>X141</f>
        <v>68.3</v>
      </c>
      <c r="C242" s="2275">
        <f>HLOOKUP(B242,D223:AD243,21,0)</f>
        <v>400</v>
      </c>
      <c r="D242" s="2250">
        <f t="shared" ref="D242:AD242" si="118">IF(D240=0,D241,D240)</f>
        <v>3.56</v>
      </c>
      <c r="E242" s="2250">
        <f t="shared" si="118"/>
        <v>3.86</v>
      </c>
      <c r="F242" s="2250">
        <f t="shared" si="118"/>
        <v>4.16</v>
      </c>
      <c r="G242" s="2250">
        <f t="shared" si="118"/>
        <v>4.46</v>
      </c>
      <c r="H242" s="2250">
        <f t="shared" si="118"/>
        <v>4.6500000000000004</v>
      </c>
      <c r="I242" s="2250">
        <f t="shared" si="118"/>
        <v>4.75</v>
      </c>
      <c r="J242" s="2250">
        <f t="shared" si="118"/>
        <v>5.15</v>
      </c>
      <c r="K242" s="2250">
        <f t="shared" si="118"/>
        <v>5.45</v>
      </c>
      <c r="L242" s="2250">
        <f t="shared" si="118"/>
        <v>5.84</v>
      </c>
      <c r="M242" s="2250">
        <f t="shared" si="118"/>
        <v>6.14</v>
      </c>
      <c r="N242" s="2250">
        <f t="shared" si="118"/>
        <v>6.83</v>
      </c>
      <c r="O242" s="2250">
        <f t="shared" si="118"/>
        <v>7.43</v>
      </c>
      <c r="P242" s="2250">
        <f t="shared" si="118"/>
        <v>7.62</v>
      </c>
      <c r="Q242" s="2250">
        <f t="shared" si="118"/>
        <v>8.02</v>
      </c>
      <c r="R242" s="2250">
        <f t="shared" si="118"/>
        <v>8.42</v>
      </c>
      <c r="S242" s="2250">
        <f t="shared" si="118"/>
        <v>8.7100000000000009</v>
      </c>
      <c r="T242" s="2250">
        <f t="shared" si="118"/>
        <v>9.31</v>
      </c>
      <c r="U242" s="2250">
        <f t="shared" si="118"/>
        <v>10.1</v>
      </c>
      <c r="V242" s="2250">
        <f t="shared" si="118"/>
        <v>10.79</v>
      </c>
      <c r="W242" s="2250">
        <f t="shared" si="118"/>
        <v>11.58</v>
      </c>
      <c r="X242" s="2250">
        <f t="shared" si="118"/>
        <v>12.38</v>
      </c>
      <c r="Y242" s="2250">
        <f t="shared" si="118"/>
        <v>13.66</v>
      </c>
      <c r="Z242" s="2250">
        <f t="shared" si="118"/>
        <v>14.95</v>
      </c>
      <c r="AA242" s="2250">
        <f t="shared" si="118"/>
        <v>16.53</v>
      </c>
      <c r="AB242" s="2250">
        <f t="shared" si="118"/>
        <v>18.61</v>
      </c>
      <c r="AC242" s="2250">
        <f t="shared" si="118"/>
        <v>19.7</v>
      </c>
      <c r="AD242" s="2250">
        <f t="shared" si="118"/>
        <v>23.17</v>
      </c>
      <c r="AE242" s="2275"/>
      <c r="AF242" s="2275"/>
      <c r="AG242" s="2275"/>
      <c r="AH242" s="2275"/>
      <c r="AI242" s="2275"/>
      <c r="AJ242" s="2275"/>
      <c r="AK242" s="2275"/>
      <c r="AL242" s="2275"/>
      <c r="AM242" s="2275"/>
      <c r="AN242" s="2275"/>
      <c r="AO242" s="2275"/>
      <c r="AP242" s="2250"/>
      <c r="AQ242" s="2250"/>
      <c r="AR242" s="2250"/>
      <c r="AS242" s="2250"/>
      <c r="AT242" s="2250"/>
      <c r="AU242" s="2250"/>
      <c r="AV242" s="2250"/>
      <c r="AW242" s="2250"/>
      <c r="AX242" s="2250"/>
      <c r="AY242" s="2250"/>
      <c r="AZ242" s="2250"/>
      <c r="BA242" s="2250"/>
      <c r="BB242" s="2250"/>
      <c r="BC242" s="2250"/>
      <c r="BD242" s="2250"/>
      <c r="BE242" s="2250"/>
      <c r="BF242" s="2276"/>
      <c r="BG242" s="2276"/>
      <c r="BH242" s="2250"/>
      <c r="BI242" s="2275"/>
      <c r="BJ242" s="2275">
        <f>CD141</f>
        <v>73.7</v>
      </c>
      <c r="BK242" s="2275">
        <f>HLOOKUP(BJ242,BL223:CL243,21,0)</f>
        <v>400</v>
      </c>
      <c r="BL242" s="2250">
        <f t="shared" ref="BL242:CL242" si="119">IF(BL240=0,BL241,BL240)</f>
        <v>3.56</v>
      </c>
      <c r="BM242" s="2250">
        <f t="shared" si="119"/>
        <v>3.86</v>
      </c>
      <c r="BN242" s="2250">
        <f t="shared" si="119"/>
        <v>4.16</v>
      </c>
      <c r="BO242" s="2250">
        <f t="shared" si="119"/>
        <v>4.46</v>
      </c>
      <c r="BP242" s="2250">
        <f t="shared" si="119"/>
        <v>4.6500000000000004</v>
      </c>
      <c r="BQ242" s="2250">
        <f t="shared" si="119"/>
        <v>4.75</v>
      </c>
      <c r="BR242" s="2250">
        <f t="shared" si="119"/>
        <v>5.15</v>
      </c>
      <c r="BS242" s="2250">
        <f t="shared" si="119"/>
        <v>5.45</v>
      </c>
      <c r="BT242" s="2250">
        <f t="shared" si="119"/>
        <v>5.84</v>
      </c>
      <c r="BU242" s="2250">
        <f t="shared" si="119"/>
        <v>6.14</v>
      </c>
      <c r="BV242" s="2250">
        <f t="shared" si="119"/>
        <v>6.83</v>
      </c>
      <c r="BW242" s="2250">
        <f t="shared" si="119"/>
        <v>7.43</v>
      </c>
      <c r="BX242" s="2250">
        <f t="shared" si="119"/>
        <v>7.62</v>
      </c>
      <c r="BY242" s="2250">
        <f t="shared" si="119"/>
        <v>8.02</v>
      </c>
      <c r="BZ242" s="2250">
        <f t="shared" si="119"/>
        <v>8.42</v>
      </c>
      <c r="CA242" s="2250">
        <f t="shared" si="119"/>
        <v>8.7100000000000009</v>
      </c>
      <c r="CB242" s="2250">
        <f t="shared" si="119"/>
        <v>9.31</v>
      </c>
      <c r="CC242" s="2250">
        <f t="shared" si="119"/>
        <v>10.1</v>
      </c>
      <c r="CD242" s="2250">
        <f t="shared" si="119"/>
        <v>10.79</v>
      </c>
      <c r="CE242" s="2250">
        <f t="shared" si="119"/>
        <v>11.58</v>
      </c>
      <c r="CF242" s="2250">
        <f t="shared" si="119"/>
        <v>12.38</v>
      </c>
      <c r="CG242" s="2250">
        <f t="shared" si="119"/>
        <v>13.66</v>
      </c>
      <c r="CH242" s="2250">
        <f t="shared" si="119"/>
        <v>14.95</v>
      </c>
      <c r="CI242" s="2250">
        <f t="shared" si="119"/>
        <v>16.53</v>
      </c>
      <c r="CJ242" s="2250">
        <f t="shared" si="119"/>
        <v>18.61</v>
      </c>
      <c r="CK242" s="2250">
        <f t="shared" si="119"/>
        <v>19.7</v>
      </c>
      <c r="CL242" s="2250">
        <f t="shared" si="119"/>
        <v>23.17</v>
      </c>
      <c r="CM242" s="2275"/>
      <c r="CN242" s="2275"/>
      <c r="CO242" s="2275"/>
      <c r="CP242" s="2275"/>
      <c r="CQ242" s="2275"/>
      <c r="CR242" s="2275"/>
      <c r="CS242" s="2275"/>
      <c r="CT242" s="2275"/>
      <c r="CU242" s="2275"/>
      <c r="CV242" s="2275"/>
      <c r="CW242" s="2275"/>
      <c r="CX242" s="2250"/>
      <c r="CY242" s="2250"/>
      <c r="CZ242" s="2250"/>
      <c r="DA242" s="2250"/>
      <c r="DB242" s="2250"/>
      <c r="DC242" s="2250"/>
      <c r="DD242" s="2250"/>
      <c r="DE242" s="2250"/>
      <c r="DF242" s="2250"/>
      <c r="DG242" s="2250"/>
      <c r="DH242" s="2250"/>
      <c r="DI242" s="2250"/>
      <c r="DJ242" s="2250"/>
      <c r="DK242" s="2250"/>
      <c r="DL242" s="2250"/>
      <c r="DM242" s="2250"/>
      <c r="DN242" s="2250"/>
      <c r="DO242" s="2250"/>
      <c r="DP242" s="2250"/>
      <c r="DQ242" s="2277"/>
      <c r="DR242" s="2277"/>
      <c r="DS242" s="277"/>
      <c r="DW242" s="2275"/>
      <c r="DX242" s="2275">
        <f>ET141</f>
        <v>43.9</v>
      </c>
      <c r="DY242" s="2275">
        <f>HLOOKUP(DX242,DZ223:EZ243,21,0)</f>
        <v>400</v>
      </c>
      <c r="DZ242" s="2250">
        <f t="shared" ref="DZ242:EZ242" si="120">IF(DZ240=0,DZ241,DZ240)</f>
        <v>3.56</v>
      </c>
      <c r="EA242" s="2250">
        <f t="shared" si="120"/>
        <v>3.86</v>
      </c>
      <c r="EB242" s="2250">
        <f t="shared" si="120"/>
        <v>4.16</v>
      </c>
      <c r="EC242" s="2250">
        <f t="shared" si="120"/>
        <v>4.46</v>
      </c>
      <c r="ED242" s="2250">
        <f t="shared" si="120"/>
        <v>4.6500000000000004</v>
      </c>
      <c r="EE242" s="2250">
        <f t="shared" si="120"/>
        <v>4.75</v>
      </c>
      <c r="EF242" s="2250">
        <f t="shared" si="120"/>
        <v>5.15</v>
      </c>
      <c r="EG242" s="2250">
        <f t="shared" si="120"/>
        <v>5.45</v>
      </c>
      <c r="EH242" s="2250">
        <f t="shared" si="120"/>
        <v>5.84</v>
      </c>
      <c r="EI242" s="2250">
        <f t="shared" si="120"/>
        <v>6.14</v>
      </c>
      <c r="EJ242" s="2250">
        <f t="shared" si="120"/>
        <v>6.83</v>
      </c>
      <c r="EK242" s="2250">
        <f t="shared" si="120"/>
        <v>7.43</v>
      </c>
      <c r="EL242" s="2250">
        <f t="shared" si="120"/>
        <v>7.62</v>
      </c>
      <c r="EM242" s="2250">
        <f t="shared" si="120"/>
        <v>8.02</v>
      </c>
      <c r="EN242" s="2250">
        <f t="shared" si="120"/>
        <v>8.42</v>
      </c>
      <c r="EO242" s="2250">
        <f t="shared" si="120"/>
        <v>8.7100000000000009</v>
      </c>
      <c r="EP242" s="2250">
        <f t="shared" si="120"/>
        <v>9.31</v>
      </c>
      <c r="EQ242" s="2250">
        <f t="shared" si="120"/>
        <v>10.1</v>
      </c>
      <c r="ER242" s="2250">
        <f t="shared" si="120"/>
        <v>10.79</v>
      </c>
      <c r="ES242" s="2250">
        <f t="shared" si="120"/>
        <v>11.58</v>
      </c>
      <c r="ET242" s="2250">
        <f t="shared" si="120"/>
        <v>12.38</v>
      </c>
      <c r="EU242" s="2250">
        <f t="shared" si="120"/>
        <v>13.66</v>
      </c>
      <c r="EV242" s="2250">
        <f t="shared" si="120"/>
        <v>14.95</v>
      </c>
      <c r="EW242" s="2250">
        <f t="shared" si="120"/>
        <v>16.53</v>
      </c>
      <c r="EX242" s="2250">
        <f t="shared" si="120"/>
        <v>18.61</v>
      </c>
      <c r="EY242" s="2250">
        <f t="shared" si="120"/>
        <v>19.7</v>
      </c>
      <c r="EZ242" s="2250">
        <f t="shared" si="120"/>
        <v>23.17</v>
      </c>
      <c r="FA242" s="2275"/>
      <c r="FB242" s="2275"/>
      <c r="FC242" s="2275"/>
      <c r="FD242" s="2275"/>
      <c r="FE242" s="2275"/>
      <c r="FF242" s="2275"/>
      <c r="FG242" s="2275"/>
      <c r="FH242" s="2275"/>
      <c r="FI242" s="2275"/>
      <c r="FJ242" s="2275"/>
      <c r="FK242" s="2275"/>
      <c r="FL242" s="2250"/>
      <c r="FM242" s="2250"/>
      <c r="FN242" s="2250"/>
      <c r="FO242" s="2250"/>
      <c r="FP242" s="2250"/>
      <c r="FQ242" s="2250"/>
      <c r="FR242" s="2250"/>
      <c r="FS242" s="2250"/>
      <c r="FT242" s="2250"/>
      <c r="FU242" s="2250"/>
      <c r="FV242" s="2250"/>
      <c r="FW242" s="2250"/>
      <c r="FX242" s="2250"/>
      <c r="FY242" s="2250"/>
      <c r="FZ242" s="2250"/>
      <c r="GA242" s="2250"/>
      <c r="GB242" s="2276"/>
      <c r="GC242" s="2276"/>
      <c r="GD242" s="2250"/>
      <c r="GE242" s="2275"/>
      <c r="GF242" s="2275">
        <f>GZ141</f>
        <v>48.8</v>
      </c>
      <c r="GG242" s="2275">
        <f>HLOOKUP(GF242,GH223:HH243,21,0)</f>
        <v>400</v>
      </c>
      <c r="GH242" s="2250">
        <f t="shared" ref="GH242:HH242" si="121">IF(GH240=0,GH241,GH240)</f>
        <v>3.56</v>
      </c>
      <c r="GI242" s="2250">
        <f t="shared" si="121"/>
        <v>3.86</v>
      </c>
      <c r="GJ242" s="2250">
        <f t="shared" si="121"/>
        <v>4.16</v>
      </c>
      <c r="GK242" s="2250">
        <f t="shared" si="121"/>
        <v>4.46</v>
      </c>
      <c r="GL242" s="2250">
        <f t="shared" si="121"/>
        <v>4.6500000000000004</v>
      </c>
      <c r="GM242" s="2250">
        <f t="shared" si="121"/>
        <v>4.75</v>
      </c>
      <c r="GN242" s="2250">
        <f t="shared" si="121"/>
        <v>5.15</v>
      </c>
      <c r="GO242" s="2250">
        <f t="shared" si="121"/>
        <v>5.45</v>
      </c>
      <c r="GP242" s="2250">
        <f t="shared" si="121"/>
        <v>5.84</v>
      </c>
      <c r="GQ242" s="2250">
        <f t="shared" si="121"/>
        <v>6.14</v>
      </c>
      <c r="GR242" s="2250">
        <f t="shared" si="121"/>
        <v>6.83</v>
      </c>
      <c r="GS242" s="2250">
        <f t="shared" si="121"/>
        <v>7.43</v>
      </c>
      <c r="GT242" s="2250">
        <f t="shared" si="121"/>
        <v>7.62</v>
      </c>
      <c r="GU242" s="2250">
        <f t="shared" si="121"/>
        <v>8.02</v>
      </c>
      <c r="GV242" s="2250">
        <f t="shared" si="121"/>
        <v>8.42</v>
      </c>
      <c r="GW242" s="2250">
        <f t="shared" si="121"/>
        <v>8.7100000000000009</v>
      </c>
      <c r="GX242" s="2250">
        <f t="shared" si="121"/>
        <v>9.31</v>
      </c>
      <c r="GY242" s="2250">
        <f t="shared" si="121"/>
        <v>10.1</v>
      </c>
      <c r="GZ242" s="2250">
        <f t="shared" si="121"/>
        <v>10.79</v>
      </c>
      <c r="HA242" s="2250">
        <f t="shared" si="121"/>
        <v>11.58</v>
      </c>
      <c r="HB242" s="2250">
        <f t="shared" si="121"/>
        <v>12.38</v>
      </c>
      <c r="HC242" s="2250">
        <f t="shared" si="121"/>
        <v>13.66</v>
      </c>
      <c r="HD242" s="2250">
        <f t="shared" si="121"/>
        <v>14.95</v>
      </c>
      <c r="HE242" s="2250">
        <f t="shared" si="121"/>
        <v>16.53</v>
      </c>
      <c r="HF242" s="2250">
        <f t="shared" si="121"/>
        <v>18.61</v>
      </c>
      <c r="HG242" s="2250">
        <f t="shared" si="121"/>
        <v>19.7</v>
      </c>
      <c r="HH242" s="2250">
        <f t="shared" si="121"/>
        <v>23.17</v>
      </c>
      <c r="HI242" s="2275"/>
      <c r="HJ242" s="2275"/>
      <c r="HK242" s="2275"/>
      <c r="HL242" s="2275"/>
      <c r="HM242" s="2275"/>
      <c r="HN242" s="2275"/>
      <c r="HO242" s="2275"/>
      <c r="HP242" s="2275"/>
      <c r="HQ242" s="2275"/>
      <c r="HR242" s="2275"/>
      <c r="HS242" s="2275"/>
      <c r="HT242" s="2250"/>
      <c r="HU242" s="2250"/>
      <c r="HV242" s="2250"/>
      <c r="HW242" s="2250"/>
      <c r="HX242" s="2250"/>
      <c r="HY242" s="2250"/>
      <c r="HZ242" s="2250"/>
      <c r="IA242" s="2250"/>
      <c r="IB242" s="2250"/>
      <c r="IC242" s="2250"/>
      <c r="ID242" s="2250"/>
      <c r="IE242" s="2250"/>
      <c r="IF242" s="2250"/>
      <c r="IG242" s="2250"/>
      <c r="IH242" s="2250"/>
      <c r="II242" s="2250"/>
      <c r="IJ242" s="2250"/>
      <c r="IK242" s="2250"/>
      <c r="IL242" s="2250"/>
      <c r="IN242" s="277"/>
      <c r="IO242" s="277"/>
    </row>
    <row r="243" spans="1:249" ht="21.95" customHeight="1">
      <c r="A243" s="2275"/>
      <c r="B243" s="2275"/>
      <c r="C243" s="2250" t="str">
        <f>IF(C241=AH239,IF(C242=AI239,"Right","Wrong"))</f>
        <v>Right</v>
      </c>
      <c r="D243" s="2250">
        <f>VLOOKUP(D242,D225:AE235,28,0)</f>
        <v>400</v>
      </c>
      <c r="E243" s="2250">
        <f>VLOOKUP(E242,E225:AE235,27,0)</f>
        <v>400</v>
      </c>
      <c r="F243" s="2250">
        <f>VLOOKUP(F242,F225:AE235,26,0)</f>
        <v>400</v>
      </c>
      <c r="G243" s="2250">
        <f>VLOOKUP(G242,G225:AE235,25,0)</f>
        <v>400</v>
      </c>
      <c r="H243" s="2250">
        <f>VLOOKUP(H242,H225:AE235,24,0)</f>
        <v>400</v>
      </c>
      <c r="I243" s="2250">
        <f>VLOOKUP(I242,I225:AE235,23,0)</f>
        <v>400</v>
      </c>
      <c r="J243" s="2250">
        <f>VLOOKUP(J242,J225:AE235,22,0)</f>
        <v>400</v>
      </c>
      <c r="K243" s="2250">
        <f>VLOOKUP(K242,K225:AE235,21,0)</f>
        <v>400</v>
      </c>
      <c r="L243" s="2250">
        <f>VLOOKUP(L242,L225:AE235,20,0)</f>
        <v>400</v>
      </c>
      <c r="M243" s="2250">
        <f>VLOOKUP(M242,M225:AE235,19,0)</f>
        <v>400</v>
      </c>
      <c r="N243" s="2250">
        <f>VLOOKUP(N242,N225:AE235,18,0)</f>
        <v>400</v>
      </c>
      <c r="O243" s="2250">
        <f>VLOOKUP(O242,O225:AE235,17,0)</f>
        <v>400</v>
      </c>
      <c r="P243" s="2250">
        <f>VLOOKUP(P242,P225:AE235,16,0)</f>
        <v>400</v>
      </c>
      <c r="Q243" s="2275">
        <f>VLOOKUP(Q242,Q225:AE257,15,0)</f>
        <v>400</v>
      </c>
      <c r="R243" s="2250">
        <f>VLOOKUP(R242,R225:AE235,14,0)</f>
        <v>400</v>
      </c>
      <c r="S243" s="2250">
        <f>VLOOKUP(S242,S225:AE235,13,0)</f>
        <v>400</v>
      </c>
      <c r="T243" s="2250">
        <f>VLOOKUP(T242,T225:AE235,12,0)</f>
        <v>400</v>
      </c>
      <c r="U243" s="2250">
        <f>VLOOKUP(U242,U225:AE235,11,0)</f>
        <v>400</v>
      </c>
      <c r="V243" s="2250">
        <f>VLOOKUP(V242,V225:AE235,10,0)</f>
        <v>400</v>
      </c>
      <c r="W243" s="2250">
        <f>VLOOKUP(W242,W225:AE235,9,0)</f>
        <v>400</v>
      </c>
      <c r="X243" s="2250">
        <f>VLOOKUP(X242,X225:AE235,8,0)</f>
        <v>400</v>
      </c>
      <c r="Y243" s="2250">
        <f>VLOOKUP(Y242,Y225:AE235,7,0)</f>
        <v>400</v>
      </c>
      <c r="Z243" s="2250">
        <f>VLOOKUP(Z242,Z225:AE235,6,0)</f>
        <v>400</v>
      </c>
      <c r="AA243" s="2250">
        <f>VLOOKUP(AA242,AA225:AE235,5,0)</f>
        <v>400</v>
      </c>
      <c r="AB243" s="2250">
        <f>VLOOKUP(AB242,AB225:AE235,4,0)</f>
        <v>400</v>
      </c>
      <c r="AC243" s="2250">
        <f>VLOOKUP(AC242,AC225:AE235,3,0)</f>
        <v>400</v>
      </c>
      <c r="AD243" s="2250">
        <f>VLOOKUP(AD242,AD225:AE235,2,0)</f>
        <v>400</v>
      </c>
      <c r="AE243" s="2275"/>
      <c r="AF243" s="2275"/>
      <c r="AG243" s="2275"/>
      <c r="AH243" s="2275"/>
      <c r="AI243" s="2275"/>
      <c r="AJ243" s="2275"/>
      <c r="AK243" s="2275"/>
      <c r="AL243" s="2275"/>
      <c r="AM243" s="2275"/>
      <c r="AN243" s="2275"/>
      <c r="AO243" s="2275"/>
      <c r="AP243" s="2250"/>
      <c r="AQ243" s="2250"/>
      <c r="AR243" s="2250"/>
      <c r="AS243" s="2250"/>
      <c r="AT243" s="2250"/>
      <c r="AU243" s="2250"/>
      <c r="AV243" s="2250"/>
      <c r="AW243" s="2250"/>
      <c r="AX243" s="2250"/>
      <c r="AY243" s="2250"/>
      <c r="AZ243" s="2250"/>
      <c r="BA243" s="2250"/>
      <c r="BB243" s="2250"/>
      <c r="BC243" s="2250"/>
      <c r="BD243" s="2250"/>
      <c r="BE243" s="2250"/>
      <c r="BF243" s="2276"/>
      <c r="BG243" s="2276"/>
      <c r="BH243" s="2250"/>
      <c r="BI243" s="2275"/>
      <c r="BJ243" s="2275"/>
      <c r="BK243" s="2250" t="str">
        <f>IF(BK241=CP239,IF(BK242=CQ239,"Right","Wrong"))</f>
        <v>Right</v>
      </c>
      <c r="BL243" s="2250">
        <f>VLOOKUP(BL242,BL225:CM235,28,0)</f>
        <v>400</v>
      </c>
      <c r="BM243" s="2250">
        <f>VLOOKUP(BM242,BM225:CM235,27,0)</f>
        <v>400</v>
      </c>
      <c r="BN243" s="2250">
        <f>VLOOKUP(BN242,BN225:CM235,26,0)</f>
        <v>400</v>
      </c>
      <c r="BO243" s="2250">
        <f>VLOOKUP(BO242,BO225:CM235,25,0)</f>
        <v>400</v>
      </c>
      <c r="BP243" s="2250">
        <f>VLOOKUP(BP242,BP225:CM235,24,0)</f>
        <v>400</v>
      </c>
      <c r="BQ243" s="2250">
        <f>VLOOKUP(BQ242,BQ225:CM235,23,0)</f>
        <v>400</v>
      </c>
      <c r="BR243" s="2250">
        <f>VLOOKUP(BR242,BR225:CM235,22,0)</f>
        <v>400</v>
      </c>
      <c r="BS243" s="2250">
        <f>VLOOKUP(BS242,BS225:CM235,21,0)</f>
        <v>400</v>
      </c>
      <c r="BT243" s="2250">
        <f>VLOOKUP(BT242,BT225:CM235,20,0)</f>
        <v>400</v>
      </c>
      <c r="BU243" s="2250">
        <f>VLOOKUP(BU242,BU225:CM235,19,0)</f>
        <v>400</v>
      </c>
      <c r="BV243" s="2250">
        <f>VLOOKUP(BV242,BV225:CM235,18,0)</f>
        <v>400</v>
      </c>
      <c r="BW243" s="2250">
        <f>VLOOKUP(BW242,BW225:CM235,17,0)</f>
        <v>400</v>
      </c>
      <c r="BX243" s="2250">
        <f>VLOOKUP(BX242,BX225:CM235,16,0)</f>
        <v>400</v>
      </c>
      <c r="BY243" s="2275">
        <f>VLOOKUP(BY242,BY225:CM257,15,0)</f>
        <v>400</v>
      </c>
      <c r="BZ243" s="2250">
        <f>VLOOKUP(BZ242,BZ225:CM235,14,0)</f>
        <v>400</v>
      </c>
      <c r="CA243" s="2250">
        <f>VLOOKUP(CA242,CA225:CM235,13,0)</f>
        <v>400</v>
      </c>
      <c r="CB243" s="2250">
        <f>VLOOKUP(CB242,CB225:CM235,12,0)</f>
        <v>400</v>
      </c>
      <c r="CC243" s="2250">
        <f>VLOOKUP(CC242,CC225:CM235,11,0)</f>
        <v>400</v>
      </c>
      <c r="CD243" s="2250">
        <f>VLOOKUP(CD242,CD225:CM235,10,0)</f>
        <v>400</v>
      </c>
      <c r="CE243" s="2250">
        <f>VLOOKUP(CE242,CE225:CM235,9,0)</f>
        <v>400</v>
      </c>
      <c r="CF243" s="2250">
        <f>VLOOKUP(CF242,CF225:CM235,8,0)</f>
        <v>400</v>
      </c>
      <c r="CG243" s="2250">
        <f>VLOOKUP(CG242,CG225:CM235,7,0)</f>
        <v>400</v>
      </c>
      <c r="CH243" s="2250">
        <f>VLOOKUP(CH242,CH225:CM235,6,0)</f>
        <v>400</v>
      </c>
      <c r="CI243" s="2250">
        <f>VLOOKUP(CI242,CI225:CM235,5,0)</f>
        <v>400</v>
      </c>
      <c r="CJ243" s="2250">
        <f>VLOOKUP(CJ242,CJ225:CM235,4,0)</f>
        <v>400</v>
      </c>
      <c r="CK243" s="2250">
        <f>VLOOKUP(CK242,CK225:CM235,3,0)</f>
        <v>400</v>
      </c>
      <c r="CL243" s="2250">
        <f>VLOOKUP(CL242,CL225:CM235,2,0)</f>
        <v>400</v>
      </c>
      <c r="CM243" s="2275"/>
      <c r="CN243" s="2275"/>
      <c r="CO243" s="2275"/>
      <c r="CP243" s="2275"/>
      <c r="CQ243" s="2275"/>
      <c r="CR243" s="2275"/>
      <c r="CS243" s="2275"/>
      <c r="CT243" s="2275"/>
      <c r="CU243" s="2275"/>
      <c r="CV243" s="2275"/>
      <c r="CW243" s="2275"/>
      <c r="CX243" s="2250"/>
      <c r="CY243" s="2250"/>
      <c r="CZ243" s="2250"/>
      <c r="DA243" s="2250"/>
      <c r="DB243" s="2250"/>
      <c r="DC243" s="2250"/>
      <c r="DD243" s="2250"/>
      <c r="DE243" s="2250"/>
      <c r="DF243" s="2250"/>
      <c r="DG243" s="2250"/>
      <c r="DH243" s="2250"/>
      <c r="DI243" s="2250"/>
      <c r="DJ243" s="2250"/>
      <c r="DK243" s="2250"/>
      <c r="DL243" s="2250"/>
      <c r="DM243" s="2250"/>
      <c r="DN243" s="2250"/>
      <c r="DO243" s="2250"/>
      <c r="DP243" s="2250"/>
      <c r="DQ243" s="2277"/>
      <c r="DR243" s="2277"/>
      <c r="DS243" s="277"/>
      <c r="DW243" s="2275"/>
      <c r="DX243" s="2275"/>
      <c r="DY243" s="2250" t="str">
        <f>IF(DY241=FD239,IF(DY242=FE239,"Right","Wrong"))</f>
        <v>Right</v>
      </c>
      <c r="DZ243" s="2250">
        <f>VLOOKUP(DZ242,DZ225:FA235,28,0)</f>
        <v>400</v>
      </c>
      <c r="EA243" s="2250">
        <f>VLOOKUP(EA242,EA225:FA235,27,0)</f>
        <v>400</v>
      </c>
      <c r="EB243" s="2250">
        <f>VLOOKUP(EB242,EB225:FA235,26,0)</f>
        <v>400</v>
      </c>
      <c r="EC243" s="2250">
        <f>VLOOKUP(EC242,EC225:FA235,25,0)</f>
        <v>400</v>
      </c>
      <c r="ED243" s="2250">
        <f>VLOOKUP(ED242,ED225:FA235,24,0)</f>
        <v>400</v>
      </c>
      <c r="EE243" s="2250">
        <f>VLOOKUP(EE242,EE225:FA235,23,0)</f>
        <v>400</v>
      </c>
      <c r="EF243" s="2250">
        <f>VLOOKUP(EF242,EF225:FA235,22,0)</f>
        <v>400</v>
      </c>
      <c r="EG243" s="2250">
        <f>VLOOKUP(EG242,EG225:FA235,21,0)</f>
        <v>400</v>
      </c>
      <c r="EH243" s="2250">
        <f>VLOOKUP(EH242,EH225:FA235,20,0)</f>
        <v>400</v>
      </c>
      <c r="EI243" s="2250">
        <f>VLOOKUP(EI242,EI225:FA235,19,0)</f>
        <v>400</v>
      </c>
      <c r="EJ243" s="2250">
        <f>VLOOKUP(EJ242,EJ225:FA235,18,0)</f>
        <v>400</v>
      </c>
      <c r="EK243" s="2250">
        <f>VLOOKUP(EK242,EK225:FA235,17,0)</f>
        <v>400</v>
      </c>
      <c r="EL243" s="2250">
        <f>VLOOKUP(EL242,EL225:FA235,16,0)</f>
        <v>400</v>
      </c>
      <c r="EM243" s="2275">
        <f>VLOOKUP(EM242,EM225:FA257,15,0)</f>
        <v>400</v>
      </c>
      <c r="EN243" s="2250">
        <f>VLOOKUP(EN242,EN225:FA235,14,0)</f>
        <v>400</v>
      </c>
      <c r="EO243" s="2250">
        <f>VLOOKUP(EO242,EO225:FA235,13,0)</f>
        <v>400</v>
      </c>
      <c r="EP243" s="2250">
        <f>VLOOKUP(EP242,EP225:FA235,12,0)</f>
        <v>400</v>
      </c>
      <c r="EQ243" s="2250">
        <f>VLOOKUP(EQ242,EQ225:FA235,11,0)</f>
        <v>400</v>
      </c>
      <c r="ER243" s="2250">
        <f>VLOOKUP(ER242,ER225:FA235,10,0)</f>
        <v>400</v>
      </c>
      <c r="ES243" s="2250">
        <f>VLOOKUP(ES242,ES225:FA235,9,0)</f>
        <v>400</v>
      </c>
      <c r="ET243" s="2250">
        <f>VLOOKUP(ET242,ET225:FA235,8,0)</f>
        <v>400</v>
      </c>
      <c r="EU243" s="2250">
        <f>VLOOKUP(EU242,EU225:FA235,7,0)</f>
        <v>400</v>
      </c>
      <c r="EV243" s="2250">
        <f>VLOOKUP(EV242,EV225:FA235,6,0)</f>
        <v>400</v>
      </c>
      <c r="EW243" s="2250">
        <f>VLOOKUP(EW242,EW225:FA235,5,0)</f>
        <v>400</v>
      </c>
      <c r="EX243" s="2250">
        <f>VLOOKUP(EX242,EX225:FA235,4,0)</f>
        <v>400</v>
      </c>
      <c r="EY243" s="2250">
        <f>VLOOKUP(EY242,EY225:FA235,3,0)</f>
        <v>400</v>
      </c>
      <c r="EZ243" s="2250">
        <f>VLOOKUP(EZ242,EZ225:FA235,2,0)</f>
        <v>400</v>
      </c>
      <c r="FA243" s="2275"/>
      <c r="FB243" s="2275"/>
      <c r="FC243" s="2275"/>
      <c r="FD243" s="2275"/>
      <c r="FE243" s="2275"/>
      <c r="FF243" s="2275"/>
      <c r="FG243" s="2275"/>
      <c r="FH243" s="2275"/>
      <c r="FI243" s="2275"/>
      <c r="FJ243" s="2275"/>
      <c r="FK243" s="2275"/>
      <c r="FL243" s="2250"/>
      <c r="FM243" s="2250"/>
      <c r="FN243" s="2250"/>
      <c r="FO243" s="2250"/>
      <c r="FP243" s="2250"/>
      <c r="FQ243" s="2250"/>
      <c r="FR243" s="2250"/>
      <c r="FS243" s="2250"/>
      <c r="FT243" s="2250"/>
      <c r="FU243" s="2250"/>
      <c r="FV243" s="2250"/>
      <c r="FW243" s="2250"/>
      <c r="FX243" s="2250"/>
      <c r="FY243" s="2250"/>
      <c r="FZ243" s="2250"/>
      <c r="GA243" s="2250"/>
      <c r="GB243" s="2276"/>
      <c r="GC243" s="2276"/>
      <c r="GD243" s="2250"/>
      <c r="GE243" s="2275"/>
      <c r="GF243" s="2275"/>
      <c r="GG243" s="2250" t="str">
        <f>IF(GG241=HL239,IF(GG242=HM239,"Right","Wrong"))</f>
        <v>Right</v>
      </c>
      <c r="GH243" s="2250">
        <f>VLOOKUP(GH242,GH225:HI235,28,0)</f>
        <v>400</v>
      </c>
      <c r="GI243" s="2250">
        <f>VLOOKUP(GI242,GI225:HI235,27,0)</f>
        <v>400</v>
      </c>
      <c r="GJ243" s="2250">
        <f>VLOOKUP(GJ242,GJ225:HI235,26,0)</f>
        <v>400</v>
      </c>
      <c r="GK243" s="2250">
        <f>VLOOKUP(GK242,GK225:HI235,25,0)</f>
        <v>400</v>
      </c>
      <c r="GL243" s="2250">
        <f>VLOOKUP(GL242,GL225:HI235,24,0)</f>
        <v>400</v>
      </c>
      <c r="GM243" s="2250">
        <f>VLOOKUP(GM242,GM225:HI235,23,0)</f>
        <v>400</v>
      </c>
      <c r="GN243" s="2250">
        <f>VLOOKUP(GN242,GN225:HI235,22,0)</f>
        <v>400</v>
      </c>
      <c r="GO243" s="2250">
        <f>VLOOKUP(GO242,GO225:HI235,21,0)</f>
        <v>400</v>
      </c>
      <c r="GP243" s="2250">
        <f>VLOOKUP(GP242,GP225:HI235,20,0)</f>
        <v>400</v>
      </c>
      <c r="GQ243" s="2250">
        <f>VLOOKUP(GQ242,GQ225:HI235,19,0)</f>
        <v>400</v>
      </c>
      <c r="GR243" s="2250">
        <f>VLOOKUP(GR242,GR225:HI235,18,0)</f>
        <v>400</v>
      </c>
      <c r="GS243" s="2250">
        <f>VLOOKUP(GS242,GS225:HI235,17,0)</f>
        <v>400</v>
      </c>
      <c r="GT243" s="2250">
        <f>VLOOKUP(GT242,GT225:HI235,16,0)</f>
        <v>400</v>
      </c>
      <c r="GU243" s="2275">
        <f>VLOOKUP(GU242,GU225:HI257,15,0)</f>
        <v>400</v>
      </c>
      <c r="GV243" s="2250">
        <f>VLOOKUP(GV242,GV225:HI235,14,0)</f>
        <v>400</v>
      </c>
      <c r="GW243" s="2250">
        <f>VLOOKUP(GW242,GW225:HI235,13,0)</f>
        <v>400</v>
      </c>
      <c r="GX243" s="2250">
        <f>VLOOKUP(GX242,GX225:HI235,12,0)</f>
        <v>400</v>
      </c>
      <c r="GY243" s="2250">
        <f>VLOOKUP(GY242,GY225:HI235,11,0)</f>
        <v>400</v>
      </c>
      <c r="GZ243" s="2250">
        <f>VLOOKUP(GZ242,GZ225:HI235,10,0)</f>
        <v>400</v>
      </c>
      <c r="HA243" s="2250">
        <f>VLOOKUP(HA242,HA225:HI235,9,0)</f>
        <v>400</v>
      </c>
      <c r="HB243" s="2250">
        <f>VLOOKUP(HB242,HB225:HI235,8,0)</f>
        <v>400</v>
      </c>
      <c r="HC243" s="2250">
        <f>VLOOKUP(HC242,HC225:HI235,7,0)</f>
        <v>400</v>
      </c>
      <c r="HD243" s="2250">
        <f>VLOOKUP(HD242,HD225:HI235,6,0)</f>
        <v>400</v>
      </c>
      <c r="HE243" s="2250">
        <f>VLOOKUP(HE242,HE225:HI235,5,0)</f>
        <v>400</v>
      </c>
      <c r="HF243" s="2250">
        <f>VLOOKUP(HF242,HF225:HI235,4,0)</f>
        <v>400</v>
      </c>
      <c r="HG243" s="2250">
        <f>VLOOKUP(HG242,HG225:HI235,3,0)</f>
        <v>400</v>
      </c>
      <c r="HH243" s="2250">
        <f>VLOOKUP(HH242,HH225:HI235,2,0)</f>
        <v>400</v>
      </c>
      <c r="HI243" s="2275"/>
      <c r="HJ243" s="2275"/>
      <c r="HK243" s="2275"/>
      <c r="HL243" s="2275"/>
      <c r="HM243" s="2275"/>
      <c r="HN243" s="2275"/>
      <c r="HO243" s="2275"/>
      <c r="HP243" s="2275"/>
      <c r="HQ243" s="2275"/>
      <c r="HR243" s="2275"/>
      <c r="HS243" s="2275"/>
      <c r="HT243" s="2250"/>
      <c r="HU243" s="2250"/>
      <c r="HV243" s="2250"/>
      <c r="HW243" s="2250"/>
      <c r="HX243" s="2250"/>
      <c r="HY243" s="2250"/>
      <c r="HZ243" s="2250"/>
      <c r="IA243" s="2250"/>
      <c r="IB243" s="2250"/>
      <c r="IC243" s="2250"/>
      <c r="ID243" s="2250"/>
      <c r="IE243" s="2250"/>
      <c r="IF243" s="2250"/>
      <c r="IG243" s="2250"/>
      <c r="IH243" s="2250"/>
      <c r="II243" s="2250"/>
      <c r="IJ243" s="2250"/>
      <c r="IK243" s="2250"/>
      <c r="IL243" s="2250"/>
      <c r="IN243" s="277"/>
      <c r="IO243" s="277"/>
    </row>
    <row r="244" spans="1:249" ht="21.95" customHeight="1">
      <c r="A244" s="2275"/>
      <c r="B244" s="2275"/>
      <c r="C244" s="2275"/>
      <c r="D244" s="2275"/>
      <c r="E244" s="2275"/>
      <c r="F244" s="2275"/>
      <c r="G244" s="2275"/>
      <c r="H244" s="2275"/>
      <c r="I244" s="2275"/>
      <c r="J244" s="2275"/>
      <c r="K244" s="2275"/>
      <c r="L244" s="2275"/>
      <c r="M244" s="2275"/>
      <c r="N244" s="2275"/>
      <c r="O244" s="2275"/>
      <c r="P244" s="2275"/>
      <c r="Q244" s="2275"/>
      <c r="R244" s="2275"/>
      <c r="S244" s="2275"/>
      <c r="T244" s="2275"/>
      <c r="U244" s="2275"/>
      <c r="V244" s="2275"/>
      <c r="W244" s="2275"/>
      <c r="X244" s="2275"/>
      <c r="Y244" s="2275"/>
      <c r="Z244" s="2275"/>
      <c r="AA244" s="2275"/>
      <c r="AB244" s="2275"/>
      <c r="AC244" s="2275"/>
      <c r="AD244" s="2275"/>
      <c r="AE244" s="2275"/>
      <c r="AF244" s="2275" t="s">
        <v>655</v>
      </c>
      <c r="AG244" s="2275">
        <f>AG222</f>
        <v>68.3</v>
      </c>
      <c r="AH244" s="2275"/>
      <c r="AI244" s="2275"/>
      <c r="AJ244" s="2275"/>
      <c r="AK244" s="2275"/>
      <c r="AL244" s="2275"/>
      <c r="AM244" s="2275"/>
      <c r="AN244" s="2275"/>
      <c r="AO244" s="2275"/>
      <c r="AP244" s="2250"/>
      <c r="AQ244" s="2250"/>
      <c r="AR244" s="2250"/>
      <c r="AS244" s="2250"/>
      <c r="AT244" s="2250"/>
      <c r="AU244" s="2250"/>
      <c r="AV244" s="2250"/>
      <c r="AW244" s="2250"/>
      <c r="AX244" s="2250"/>
      <c r="AY244" s="2250"/>
      <c r="AZ244" s="2250"/>
      <c r="BA244" s="2250"/>
      <c r="BB244" s="2250"/>
      <c r="BC244" s="2250"/>
      <c r="BD244" s="2250"/>
      <c r="BE244" s="2250"/>
      <c r="BF244" s="2276"/>
      <c r="BG244" s="2276"/>
      <c r="BH244" s="2250"/>
      <c r="BI244" s="2275"/>
      <c r="BJ244" s="2275"/>
      <c r="BK244" s="2275"/>
      <c r="BL244" s="2275"/>
      <c r="BM244" s="2275"/>
      <c r="BN244" s="2275"/>
      <c r="BO244" s="2275"/>
      <c r="BP244" s="2275"/>
      <c r="BQ244" s="2275"/>
      <c r="BR244" s="2275"/>
      <c r="BS244" s="2275"/>
      <c r="BT244" s="2275"/>
      <c r="BU244" s="2275"/>
      <c r="BV244" s="2275"/>
      <c r="BW244" s="2275"/>
      <c r="BX244" s="2275"/>
      <c r="BY244" s="2275"/>
      <c r="BZ244" s="2275"/>
      <c r="CA244" s="2275"/>
      <c r="CB244" s="2275"/>
      <c r="CC244" s="2275"/>
      <c r="CD244" s="2275"/>
      <c r="CE244" s="2275"/>
      <c r="CF244" s="2275"/>
      <c r="CG244" s="2275"/>
      <c r="CH244" s="2275"/>
      <c r="CI244" s="2275"/>
      <c r="CJ244" s="2275"/>
      <c r="CK244" s="2275"/>
      <c r="CL244" s="2275"/>
      <c r="CM244" s="2275"/>
      <c r="CN244" s="2275" t="s">
        <v>655</v>
      </c>
      <c r="CO244" s="2275">
        <f>CO222</f>
        <v>73.7</v>
      </c>
      <c r="CP244" s="2275"/>
      <c r="CQ244" s="2275"/>
      <c r="CR244" s="2275"/>
      <c r="CS244" s="2275"/>
      <c r="CT244" s="2275"/>
      <c r="CU244" s="2275"/>
      <c r="CV244" s="2275"/>
      <c r="CW244" s="2275"/>
      <c r="CX244" s="2250"/>
      <c r="CY244" s="2250"/>
      <c r="CZ244" s="2250"/>
      <c r="DA244" s="2250"/>
      <c r="DB244" s="2250"/>
      <c r="DC244" s="2250"/>
      <c r="DD244" s="2250"/>
      <c r="DE244" s="2250"/>
      <c r="DF244" s="2250"/>
      <c r="DG244" s="2250"/>
      <c r="DH244" s="2250"/>
      <c r="DI244" s="2250"/>
      <c r="DJ244" s="2250"/>
      <c r="DK244" s="2250"/>
      <c r="DL244" s="2250"/>
      <c r="DM244" s="2250"/>
      <c r="DN244" s="2250"/>
      <c r="DO244" s="2250"/>
      <c r="DP244" s="2250"/>
      <c r="DQ244" s="2277"/>
      <c r="DR244" s="2277"/>
      <c r="DS244" s="277"/>
      <c r="DW244" s="2275"/>
      <c r="DX244" s="2275"/>
      <c r="DY244" s="2275"/>
      <c r="DZ244" s="2275"/>
      <c r="EA244" s="2275"/>
      <c r="EB244" s="2275"/>
      <c r="EC244" s="2275"/>
      <c r="ED244" s="2275"/>
      <c r="EE244" s="2275"/>
      <c r="EF244" s="2275"/>
      <c r="EG244" s="2275"/>
      <c r="EH244" s="2275"/>
      <c r="EI244" s="2275"/>
      <c r="EJ244" s="2275"/>
      <c r="EK244" s="2275"/>
      <c r="EL244" s="2275"/>
      <c r="EM244" s="2275"/>
      <c r="EN244" s="2275"/>
      <c r="EO244" s="2275"/>
      <c r="EP244" s="2275"/>
      <c r="EQ244" s="2275"/>
      <c r="ER244" s="2275"/>
      <c r="ES244" s="2275"/>
      <c r="ET244" s="2275"/>
      <c r="EU244" s="2275"/>
      <c r="EV244" s="2275"/>
      <c r="EW244" s="2275"/>
      <c r="EX244" s="2275"/>
      <c r="EY244" s="2275"/>
      <c r="EZ244" s="2275"/>
      <c r="FA244" s="2275"/>
      <c r="FB244" s="2275" t="s">
        <v>655</v>
      </c>
      <c r="FC244" s="2275">
        <f>FC222</f>
        <v>43.9</v>
      </c>
      <c r="FD244" s="2275"/>
      <c r="FE244" s="2275"/>
      <c r="FF244" s="2275"/>
      <c r="FG244" s="2275"/>
      <c r="FH244" s="2275"/>
      <c r="FI244" s="2275"/>
      <c r="FJ244" s="2275"/>
      <c r="FK244" s="2275"/>
      <c r="FL244" s="2250"/>
      <c r="FM244" s="2250"/>
      <c r="FN244" s="2250"/>
      <c r="FO244" s="2250"/>
      <c r="FP244" s="2250"/>
      <c r="FQ244" s="2250"/>
      <c r="FR244" s="2250"/>
      <c r="FS244" s="2250"/>
      <c r="FT244" s="2250"/>
      <c r="FU244" s="2250"/>
      <c r="FV244" s="2250"/>
      <c r="FW244" s="2250"/>
      <c r="FX244" s="2250"/>
      <c r="FY244" s="2250"/>
      <c r="FZ244" s="2250"/>
      <c r="GA244" s="2250"/>
      <c r="GB244" s="2276"/>
      <c r="GC244" s="2276"/>
      <c r="GD244" s="2250"/>
      <c r="GE244" s="2275"/>
      <c r="GF244" s="2275"/>
      <c r="GG244" s="2275"/>
      <c r="GH244" s="2275"/>
      <c r="GI244" s="2275"/>
      <c r="GJ244" s="2275"/>
      <c r="GK244" s="2275"/>
      <c r="GL244" s="2275"/>
      <c r="GM244" s="2275"/>
      <c r="GN244" s="2275"/>
      <c r="GO244" s="2275"/>
      <c r="GP244" s="2275"/>
      <c r="GQ244" s="2275"/>
      <c r="GR244" s="2275"/>
      <c r="GS244" s="2275"/>
      <c r="GT244" s="2275"/>
      <c r="GU244" s="2275"/>
      <c r="GV244" s="2275"/>
      <c r="GW244" s="2275"/>
      <c r="GX244" s="2275"/>
      <c r="GY244" s="2275"/>
      <c r="GZ244" s="2275"/>
      <c r="HA244" s="2275"/>
      <c r="HB244" s="2275"/>
      <c r="HC244" s="2275"/>
      <c r="HD244" s="2275"/>
      <c r="HE244" s="2275"/>
      <c r="HF244" s="2275"/>
      <c r="HG244" s="2275"/>
      <c r="HH244" s="2275"/>
      <c r="HI244" s="2275"/>
      <c r="HJ244" s="2275" t="s">
        <v>655</v>
      </c>
      <c r="HK244" s="2275">
        <f>HK222</f>
        <v>48.8</v>
      </c>
      <c r="HL244" s="2275"/>
      <c r="HM244" s="2275"/>
      <c r="HN244" s="2275"/>
      <c r="HO244" s="2275"/>
      <c r="HP244" s="2275"/>
      <c r="HQ244" s="2275"/>
      <c r="HR244" s="2275"/>
      <c r="HS244" s="2275"/>
      <c r="HT244" s="2250"/>
      <c r="HU244" s="2250"/>
      <c r="HV244" s="2250"/>
      <c r="HW244" s="2250"/>
      <c r="HX244" s="2250"/>
      <c r="HY244" s="2250"/>
      <c r="HZ244" s="2250"/>
      <c r="IA244" s="2250"/>
      <c r="IB244" s="2250"/>
      <c r="IC244" s="2250"/>
      <c r="ID244" s="2250"/>
      <c r="IE244" s="2250"/>
      <c r="IF244" s="2250"/>
      <c r="IG244" s="2250"/>
      <c r="IH244" s="2250"/>
      <c r="II244" s="2250"/>
      <c r="IJ244" s="2250"/>
      <c r="IK244" s="2250"/>
      <c r="IL244" s="2250"/>
      <c r="IN244" s="277"/>
      <c r="IO244" s="277"/>
    </row>
    <row r="245" spans="1:249" ht="21.95" customHeight="1">
      <c r="A245" s="2275"/>
      <c r="B245" s="2333" t="s">
        <v>731</v>
      </c>
      <c r="C245" s="2333" t="s">
        <v>736</v>
      </c>
      <c r="D245" s="2333">
        <v>223.8</v>
      </c>
      <c r="E245" s="2333">
        <v>206.43</v>
      </c>
      <c r="F245" s="2333">
        <v>190.4</v>
      </c>
      <c r="G245" s="2333">
        <v>177.81</v>
      </c>
      <c r="H245" s="2333">
        <v>165.9</v>
      </c>
      <c r="I245" s="2333">
        <v>162.68</v>
      </c>
      <c r="J245" s="2333">
        <v>151.30000000000001</v>
      </c>
      <c r="K245" s="2333">
        <v>140.1</v>
      </c>
      <c r="L245" s="2333">
        <v>129.80000000000001</v>
      </c>
      <c r="M245" s="2333">
        <v>120.7</v>
      </c>
      <c r="N245" s="2333">
        <v>107.9</v>
      </c>
      <c r="O245" s="2333">
        <v>97.1</v>
      </c>
      <c r="P245" s="2333">
        <v>92.9</v>
      </c>
      <c r="Q245" s="2333">
        <v>88.2</v>
      </c>
      <c r="R245" s="2333">
        <v>83.3</v>
      </c>
      <c r="S245" s="2333">
        <v>78.2</v>
      </c>
      <c r="T245" s="2333">
        <v>73.7</v>
      </c>
      <c r="U245" s="2333">
        <v>68.3</v>
      </c>
      <c r="V245" s="2333">
        <v>63.4</v>
      </c>
      <c r="W245" s="2333">
        <v>58.1</v>
      </c>
      <c r="X245" s="2333">
        <v>53.7</v>
      </c>
      <c r="Y245" s="2333">
        <v>48.8</v>
      </c>
      <c r="Z245" s="2333">
        <v>43.9</v>
      </c>
      <c r="AA245" s="2333">
        <v>38.799999999999997</v>
      </c>
      <c r="AB245" s="2333">
        <v>34.200000000000003</v>
      </c>
      <c r="AC245" s="2333">
        <v>29.3</v>
      </c>
      <c r="AD245" s="2333">
        <v>24.5</v>
      </c>
      <c r="AE245" s="2333" t="s">
        <v>736</v>
      </c>
      <c r="AF245" s="2275" t="s">
        <v>738</v>
      </c>
      <c r="AG245" s="2275">
        <f>AG223</f>
        <v>0.75631178540277322</v>
      </c>
      <c r="AH245" s="2275"/>
      <c r="AI245" s="2275"/>
      <c r="AJ245" s="2275"/>
      <c r="AK245" s="2275"/>
      <c r="AL245" s="2275"/>
      <c r="AM245" s="2275"/>
      <c r="AN245" s="2275"/>
      <c r="AO245" s="2275"/>
      <c r="AP245" s="2250"/>
      <c r="AQ245" s="2250"/>
      <c r="AR245" s="2250"/>
      <c r="AS245" s="2250"/>
      <c r="AT245" s="2250"/>
      <c r="AU245" s="2250"/>
      <c r="AV245" s="2250"/>
      <c r="AW245" s="2250"/>
      <c r="AX245" s="2250"/>
      <c r="AY245" s="2250"/>
      <c r="AZ245" s="2250"/>
      <c r="BA245" s="2250"/>
      <c r="BB245" s="2250"/>
      <c r="BC245" s="2250"/>
      <c r="BD245" s="2250"/>
      <c r="BE245" s="2250"/>
      <c r="BF245" s="2276"/>
      <c r="BG245" s="2276"/>
      <c r="BH245" s="2250"/>
      <c r="BI245" s="2275"/>
      <c r="BJ245" s="2333" t="s">
        <v>731</v>
      </c>
      <c r="BK245" s="2333" t="s">
        <v>736</v>
      </c>
      <c r="BL245" s="2333">
        <v>223.8</v>
      </c>
      <c r="BM245" s="2333">
        <v>206.43</v>
      </c>
      <c r="BN245" s="2333">
        <v>190.4</v>
      </c>
      <c r="BO245" s="2333">
        <v>177.81</v>
      </c>
      <c r="BP245" s="2333">
        <v>165.9</v>
      </c>
      <c r="BQ245" s="2333">
        <v>162.68</v>
      </c>
      <c r="BR245" s="2333">
        <v>151.30000000000001</v>
      </c>
      <c r="BS245" s="2333">
        <v>140.1</v>
      </c>
      <c r="BT245" s="2333">
        <v>129.80000000000001</v>
      </c>
      <c r="BU245" s="2333">
        <v>120.7</v>
      </c>
      <c r="BV245" s="2333">
        <v>107.9</v>
      </c>
      <c r="BW245" s="2333">
        <v>97.1</v>
      </c>
      <c r="BX245" s="2333">
        <v>92.9</v>
      </c>
      <c r="BY245" s="2333">
        <v>88.2</v>
      </c>
      <c r="BZ245" s="2333">
        <v>83.3</v>
      </c>
      <c r="CA245" s="2333">
        <v>78.2</v>
      </c>
      <c r="CB245" s="2333">
        <v>73.7</v>
      </c>
      <c r="CC245" s="2333">
        <v>68.3</v>
      </c>
      <c r="CD245" s="2333">
        <v>63.4</v>
      </c>
      <c r="CE245" s="2333">
        <v>58.1</v>
      </c>
      <c r="CF245" s="2333">
        <v>53.7</v>
      </c>
      <c r="CG245" s="2333">
        <v>48.8</v>
      </c>
      <c r="CH245" s="2333">
        <v>43.9</v>
      </c>
      <c r="CI245" s="2333">
        <v>38.799999999999997</v>
      </c>
      <c r="CJ245" s="2333">
        <v>34.200000000000003</v>
      </c>
      <c r="CK245" s="2333">
        <v>29.3</v>
      </c>
      <c r="CL245" s="2333">
        <v>24.5</v>
      </c>
      <c r="CM245" s="2333" t="s">
        <v>736</v>
      </c>
      <c r="CN245" s="2275" t="s">
        <v>738</v>
      </c>
      <c r="CO245" s="2275">
        <f>CO223</f>
        <v>0.75631178540277322</v>
      </c>
      <c r="CP245" s="2275"/>
      <c r="CQ245" s="2275"/>
      <c r="CR245" s="2275"/>
      <c r="CS245" s="2275"/>
      <c r="CT245" s="2275"/>
      <c r="CU245" s="2275"/>
      <c r="CV245" s="2275"/>
      <c r="CW245" s="2275"/>
      <c r="CX245" s="2250"/>
      <c r="CY245" s="2250"/>
      <c r="CZ245" s="2250"/>
      <c r="DA245" s="2250"/>
      <c r="DB245" s="2250"/>
      <c r="DC245" s="2250"/>
      <c r="DD245" s="2250"/>
      <c r="DE245" s="2250"/>
      <c r="DF245" s="2250"/>
      <c r="DG245" s="2250"/>
      <c r="DH245" s="2250"/>
      <c r="DI245" s="2250"/>
      <c r="DJ245" s="2250"/>
      <c r="DK245" s="2250"/>
      <c r="DL245" s="2250"/>
      <c r="DM245" s="2250"/>
      <c r="DN245" s="2250"/>
      <c r="DO245" s="2250"/>
      <c r="DP245" s="2250"/>
      <c r="DQ245" s="2277"/>
      <c r="DR245" s="2277"/>
      <c r="DS245" s="277"/>
      <c r="DW245" s="2275"/>
      <c r="DX245" s="2333" t="s">
        <v>731</v>
      </c>
      <c r="DY245" s="2333" t="s">
        <v>736</v>
      </c>
      <c r="DZ245" s="2333">
        <v>223.8</v>
      </c>
      <c r="EA245" s="2333">
        <v>206.43</v>
      </c>
      <c r="EB245" s="2333">
        <v>190.4</v>
      </c>
      <c r="EC245" s="2333">
        <v>177.81</v>
      </c>
      <c r="ED245" s="2333">
        <v>165.9</v>
      </c>
      <c r="EE245" s="2333">
        <v>162.68</v>
      </c>
      <c r="EF245" s="2333">
        <v>151.30000000000001</v>
      </c>
      <c r="EG245" s="2333">
        <v>140.1</v>
      </c>
      <c r="EH245" s="2333">
        <v>129.80000000000001</v>
      </c>
      <c r="EI245" s="2333">
        <v>120.7</v>
      </c>
      <c r="EJ245" s="2333">
        <v>107.9</v>
      </c>
      <c r="EK245" s="2333">
        <v>97.1</v>
      </c>
      <c r="EL245" s="2333">
        <v>92.9</v>
      </c>
      <c r="EM245" s="2333">
        <v>88.2</v>
      </c>
      <c r="EN245" s="2333">
        <v>83.3</v>
      </c>
      <c r="EO245" s="2333">
        <v>78.2</v>
      </c>
      <c r="EP245" s="2333">
        <v>73.7</v>
      </c>
      <c r="EQ245" s="2333">
        <v>68.3</v>
      </c>
      <c r="ER245" s="2333">
        <v>63.4</v>
      </c>
      <c r="ES245" s="2333">
        <v>58.1</v>
      </c>
      <c r="ET245" s="2333">
        <v>53.7</v>
      </c>
      <c r="EU245" s="2333">
        <v>48.8</v>
      </c>
      <c r="EV245" s="2333">
        <v>43.9</v>
      </c>
      <c r="EW245" s="2333">
        <v>38.799999999999997</v>
      </c>
      <c r="EX245" s="2333">
        <v>34.200000000000003</v>
      </c>
      <c r="EY245" s="2333">
        <v>29.3</v>
      </c>
      <c r="EZ245" s="2333">
        <v>24.5</v>
      </c>
      <c r="FA245" s="2333" t="s">
        <v>736</v>
      </c>
      <c r="FB245" s="2275" t="s">
        <v>738</v>
      </c>
      <c r="FC245" s="2275">
        <f>FC223</f>
        <v>1.3354563802212776</v>
      </c>
      <c r="FD245" s="2275"/>
      <c r="FE245" s="2275"/>
      <c r="FF245" s="2275"/>
      <c r="FG245" s="2275"/>
      <c r="FH245" s="2275"/>
      <c r="FI245" s="2275"/>
      <c r="FJ245" s="2275"/>
      <c r="FK245" s="2275"/>
      <c r="FL245" s="2250"/>
      <c r="FM245" s="2250"/>
      <c r="FN245" s="2250"/>
      <c r="FO245" s="2250"/>
      <c r="FP245" s="2250"/>
      <c r="FQ245" s="2250"/>
      <c r="FR245" s="2250"/>
      <c r="FS245" s="2250"/>
      <c r="FT245" s="2250"/>
      <c r="FU245" s="2250"/>
      <c r="FV245" s="2250"/>
      <c r="FW245" s="2250"/>
      <c r="FX245" s="2250"/>
      <c r="FY245" s="2250"/>
      <c r="FZ245" s="2250"/>
      <c r="GA245" s="2250"/>
      <c r="GB245" s="2276"/>
      <c r="GC245" s="2276"/>
      <c r="GD245" s="2250"/>
      <c r="GE245" s="2275"/>
      <c r="GF245" s="2333" t="s">
        <v>731</v>
      </c>
      <c r="GG245" s="2333" t="s">
        <v>736</v>
      </c>
      <c r="GH245" s="2333">
        <v>223.8</v>
      </c>
      <c r="GI245" s="2333">
        <v>206.43</v>
      </c>
      <c r="GJ245" s="2333">
        <v>190.4</v>
      </c>
      <c r="GK245" s="2333">
        <v>177.81</v>
      </c>
      <c r="GL245" s="2333">
        <v>165.9</v>
      </c>
      <c r="GM245" s="2333">
        <v>162.68</v>
      </c>
      <c r="GN245" s="2333">
        <v>151.30000000000001</v>
      </c>
      <c r="GO245" s="2333">
        <v>140.1</v>
      </c>
      <c r="GP245" s="2333">
        <v>129.80000000000001</v>
      </c>
      <c r="GQ245" s="2333">
        <v>120.7</v>
      </c>
      <c r="GR245" s="2333">
        <v>107.9</v>
      </c>
      <c r="GS245" s="2333">
        <v>97.1</v>
      </c>
      <c r="GT245" s="2333">
        <v>92.9</v>
      </c>
      <c r="GU245" s="2333">
        <v>88.2</v>
      </c>
      <c r="GV245" s="2333">
        <v>83.3</v>
      </c>
      <c r="GW245" s="2333">
        <v>78.2</v>
      </c>
      <c r="GX245" s="2333">
        <v>73.7</v>
      </c>
      <c r="GY245" s="2333">
        <v>68.3</v>
      </c>
      <c r="GZ245" s="2333">
        <v>63.4</v>
      </c>
      <c r="HA245" s="2333">
        <v>58.1</v>
      </c>
      <c r="HB245" s="2333">
        <v>53.7</v>
      </c>
      <c r="HC245" s="2333">
        <v>48.8</v>
      </c>
      <c r="HD245" s="2333">
        <v>43.9</v>
      </c>
      <c r="HE245" s="2333">
        <v>38.799999999999997</v>
      </c>
      <c r="HF245" s="2333">
        <v>34.200000000000003</v>
      </c>
      <c r="HG245" s="2333">
        <v>29.3</v>
      </c>
      <c r="HH245" s="2333">
        <v>24.5</v>
      </c>
      <c r="HI245" s="2333" t="s">
        <v>736</v>
      </c>
      <c r="HJ245" s="2275" t="s">
        <v>738</v>
      </c>
      <c r="HK245" s="2275">
        <f>HK223</f>
        <v>1.3354563802212776</v>
      </c>
      <c r="HL245" s="2275"/>
      <c r="HM245" s="2275"/>
      <c r="HN245" s="2275"/>
      <c r="HO245" s="2275"/>
      <c r="HP245" s="2275"/>
      <c r="HQ245" s="2275"/>
      <c r="HR245" s="2275"/>
      <c r="HS245" s="2275"/>
      <c r="HT245" s="2250"/>
      <c r="HU245" s="2250"/>
      <c r="HV245" s="2250"/>
      <c r="HW245" s="2250"/>
      <c r="HX245" s="2250"/>
      <c r="HY245" s="2250"/>
      <c r="HZ245" s="2250"/>
      <c r="IA245" s="2250"/>
      <c r="IB245" s="2250"/>
      <c r="IC245" s="2250"/>
      <c r="ID245" s="2250"/>
      <c r="IE245" s="2250"/>
      <c r="IF245" s="2250"/>
      <c r="IG245" s="2250"/>
      <c r="IH245" s="2250"/>
      <c r="II245" s="2250"/>
      <c r="IJ245" s="2250"/>
      <c r="IK245" s="2250"/>
      <c r="IL245" s="2250"/>
      <c r="IN245" s="277"/>
      <c r="IO245" s="277"/>
    </row>
    <row r="246" spans="1:249" ht="21.95" customHeight="1">
      <c r="A246" s="2275"/>
      <c r="B246" s="2333"/>
      <c r="C246" s="2333"/>
      <c r="D246" s="2344">
        <v>0</v>
      </c>
      <c r="E246" s="2344">
        <v>0</v>
      </c>
      <c r="F246" s="2344">
        <v>0</v>
      </c>
      <c r="G246" s="2344">
        <v>0</v>
      </c>
      <c r="H246" s="2344">
        <v>0</v>
      </c>
      <c r="I246" s="2344">
        <v>0</v>
      </c>
      <c r="J246" s="2344">
        <v>0</v>
      </c>
      <c r="K246" s="2344">
        <v>0</v>
      </c>
      <c r="L246" s="2344">
        <v>0</v>
      </c>
      <c r="M246" s="2344">
        <v>0</v>
      </c>
      <c r="N246" s="2344">
        <v>0</v>
      </c>
      <c r="O246" s="2344">
        <v>0</v>
      </c>
      <c r="P246" s="2344">
        <v>0</v>
      </c>
      <c r="Q246" s="2344">
        <v>0</v>
      </c>
      <c r="R246" s="2344">
        <v>0</v>
      </c>
      <c r="S246" s="2344">
        <v>0</v>
      </c>
      <c r="T246" s="2344">
        <v>0</v>
      </c>
      <c r="U246" s="2344">
        <v>0</v>
      </c>
      <c r="V246" s="2344">
        <v>0</v>
      </c>
      <c r="W246" s="2344">
        <v>0</v>
      </c>
      <c r="X246" s="2344">
        <v>0</v>
      </c>
      <c r="Y246" s="2344">
        <v>0</v>
      </c>
      <c r="Z246" s="2344">
        <v>0</v>
      </c>
      <c r="AA246" s="2344">
        <v>0</v>
      </c>
      <c r="AB246" s="2344">
        <v>0</v>
      </c>
      <c r="AC246" s="2344">
        <v>0</v>
      </c>
      <c r="AD246" s="2344">
        <v>0</v>
      </c>
      <c r="AE246" s="2333"/>
      <c r="AF246" s="2275" t="s">
        <v>682</v>
      </c>
      <c r="AG246" s="2275">
        <f>HLOOKUP(AG244,D245:AD257,1,0)</f>
        <v>68.3</v>
      </c>
      <c r="AH246" s="2275" t="s">
        <v>706</v>
      </c>
      <c r="AI246" s="2275" t="s">
        <v>682</v>
      </c>
      <c r="AJ246" s="2275"/>
      <c r="AK246" s="2275"/>
      <c r="AL246" s="2275"/>
      <c r="AM246" s="2275"/>
      <c r="AN246" s="2275"/>
      <c r="AO246" s="2275"/>
      <c r="AP246" s="2250"/>
      <c r="AQ246" s="2250"/>
      <c r="AR246" s="2250"/>
      <c r="AS246" s="2250"/>
      <c r="AT246" s="2250"/>
      <c r="AU246" s="2250"/>
      <c r="AV246" s="2250"/>
      <c r="AW246" s="2250"/>
      <c r="AX246" s="2250"/>
      <c r="AY246" s="2250"/>
      <c r="AZ246" s="2250"/>
      <c r="BA246" s="2250"/>
      <c r="BB246" s="2250"/>
      <c r="BC246" s="2250"/>
      <c r="BD246" s="2250"/>
      <c r="BE246" s="2250"/>
      <c r="BF246" s="2276"/>
      <c r="BG246" s="2276"/>
      <c r="BH246" s="2250"/>
      <c r="BI246" s="2275"/>
      <c r="BJ246" s="2333"/>
      <c r="BK246" s="2333"/>
      <c r="BL246" s="2344">
        <v>0</v>
      </c>
      <c r="BM246" s="2344">
        <v>0</v>
      </c>
      <c r="BN246" s="2344">
        <v>0</v>
      </c>
      <c r="BO246" s="2344">
        <v>0</v>
      </c>
      <c r="BP246" s="2344">
        <v>0</v>
      </c>
      <c r="BQ246" s="2344">
        <v>0</v>
      </c>
      <c r="BR246" s="2344">
        <v>0</v>
      </c>
      <c r="BS246" s="2344">
        <v>0</v>
      </c>
      <c r="BT246" s="2344">
        <v>0</v>
      </c>
      <c r="BU246" s="2344">
        <v>0</v>
      </c>
      <c r="BV246" s="2344">
        <v>0</v>
      </c>
      <c r="BW246" s="2344">
        <v>0</v>
      </c>
      <c r="BX246" s="2344">
        <v>0</v>
      </c>
      <c r="BY246" s="2344">
        <v>0</v>
      </c>
      <c r="BZ246" s="2344">
        <v>0</v>
      </c>
      <c r="CA246" s="2344">
        <v>0</v>
      </c>
      <c r="CB246" s="2344">
        <v>0</v>
      </c>
      <c r="CC246" s="2344">
        <v>0</v>
      </c>
      <c r="CD246" s="2344">
        <v>0</v>
      </c>
      <c r="CE246" s="2344">
        <v>0</v>
      </c>
      <c r="CF246" s="2344">
        <v>0</v>
      </c>
      <c r="CG246" s="2344">
        <v>0</v>
      </c>
      <c r="CH246" s="2344">
        <v>0</v>
      </c>
      <c r="CI246" s="2344">
        <v>0</v>
      </c>
      <c r="CJ246" s="2344">
        <v>0</v>
      </c>
      <c r="CK246" s="2344">
        <v>0</v>
      </c>
      <c r="CL246" s="2344">
        <v>0</v>
      </c>
      <c r="CM246" s="2333"/>
      <c r="CN246" s="2275" t="s">
        <v>682</v>
      </c>
      <c r="CO246" s="2275">
        <f>HLOOKUP(CO244,BL245:CL257,1,0)</f>
        <v>73.7</v>
      </c>
      <c r="CP246" s="2275" t="s">
        <v>706</v>
      </c>
      <c r="CQ246" s="2275" t="s">
        <v>682</v>
      </c>
      <c r="CR246" s="2275"/>
      <c r="CS246" s="2275"/>
      <c r="CT246" s="2275"/>
      <c r="CU246" s="2275"/>
      <c r="CV246" s="2275"/>
      <c r="CW246" s="2275"/>
      <c r="CX246" s="2250"/>
      <c r="CY246" s="2250"/>
      <c r="CZ246" s="2250"/>
      <c r="DA246" s="2250"/>
      <c r="DB246" s="2250"/>
      <c r="DC246" s="2250"/>
      <c r="DD246" s="2250"/>
      <c r="DE246" s="2250"/>
      <c r="DF246" s="2250"/>
      <c r="DG246" s="2250"/>
      <c r="DH246" s="2250"/>
      <c r="DI246" s="2250"/>
      <c r="DJ246" s="2250"/>
      <c r="DK246" s="2250"/>
      <c r="DL246" s="2250"/>
      <c r="DM246" s="2250"/>
      <c r="DN246" s="2250"/>
      <c r="DO246" s="2250"/>
      <c r="DP246" s="2250"/>
      <c r="DQ246" s="2277"/>
      <c r="DR246" s="2277"/>
      <c r="DS246" s="277"/>
      <c r="DW246" s="2275"/>
      <c r="DX246" s="2333"/>
      <c r="DY246" s="2333"/>
      <c r="DZ246" s="2344">
        <v>0</v>
      </c>
      <c r="EA246" s="2344">
        <v>0</v>
      </c>
      <c r="EB246" s="2344">
        <v>0</v>
      </c>
      <c r="EC246" s="2344">
        <v>0</v>
      </c>
      <c r="ED246" s="2344">
        <v>0</v>
      </c>
      <c r="EE246" s="2344">
        <v>0</v>
      </c>
      <c r="EF246" s="2344">
        <v>0</v>
      </c>
      <c r="EG246" s="2344">
        <v>0</v>
      </c>
      <c r="EH246" s="2344">
        <v>0</v>
      </c>
      <c r="EI246" s="2344">
        <v>0</v>
      </c>
      <c r="EJ246" s="2344">
        <v>0</v>
      </c>
      <c r="EK246" s="2344">
        <v>0</v>
      </c>
      <c r="EL246" s="2344">
        <v>0</v>
      </c>
      <c r="EM246" s="2344">
        <v>0</v>
      </c>
      <c r="EN246" s="2344">
        <v>0</v>
      </c>
      <c r="EO246" s="2344">
        <v>0</v>
      </c>
      <c r="EP246" s="2344">
        <v>0</v>
      </c>
      <c r="EQ246" s="2344">
        <v>0</v>
      </c>
      <c r="ER246" s="2344">
        <v>0</v>
      </c>
      <c r="ES246" s="2344">
        <v>0</v>
      </c>
      <c r="ET246" s="2344">
        <v>0</v>
      </c>
      <c r="EU246" s="2344">
        <v>0</v>
      </c>
      <c r="EV246" s="2344">
        <v>0</v>
      </c>
      <c r="EW246" s="2344">
        <v>0</v>
      </c>
      <c r="EX246" s="2344">
        <v>0</v>
      </c>
      <c r="EY246" s="2344">
        <v>0</v>
      </c>
      <c r="EZ246" s="2344">
        <v>0</v>
      </c>
      <c r="FA246" s="2333"/>
      <c r="FB246" s="2275" t="s">
        <v>682</v>
      </c>
      <c r="FC246" s="2275">
        <f>HLOOKUP(FC244,DZ245:EZ257,1,0)</f>
        <v>43.9</v>
      </c>
      <c r="FD246" s="2275" t="s">
        <v>706</v>
      </c>
      <c r="FE246" s="2275" t="s">
        <v>682</v>
      </c>
      <c r="FF246" s="2275"/>
      <c r="FG246" s="2275"/>
      <c r="FH246" s="2275"/>
      <c r="FI246" s="2275"/>
      <c r="FJ246" s="2275"/>
      <c r="FK246" s="2275"/>
      <c r="FL246" s="2250"/>
      <c r="FM246" s="2250"/>
      <c r="FN246" s="2250"/>
      <c r="FO246" s="2250"/>
      <c r="FP246" s="2250"/>
      <c r="FQ246" s="2250"/>
      <c r="FR246" s="2250"/>
      <c r="FS246" s="2250"/>
      <c r="FT246" s="2250"/>
      <c r="FU246" s="2250"/>
      <c r="FV246" s="2250"/>
      <c r="FW246" s="2250"/>
      <c r="FX246" s="2250"/>
      <c r="FY246" s="2250"/>
      <c r="FZ246" s="2250"/>
      <c r="GA246" s="2250"/>
      <c r="GB246" s="2276"/>
      <c r="GC246" s="2276"/>
      <c r="GD246" s="2250"/>
      <c r="GE246" s="2275"/>
      <c r="GF246" s="2333"/>
      <c r="GG246" s="2333"/>
      <c r="GH246" s="2344">
        <v>0</v>
      </c>
      <c r="GI246" s="2344">
        <v>0</v>
      </c>
      <c r="GJ246" s="2344">
        <v>0</v>
      </c>
      <c r="GK246" s="2344">
        <v>0</v>
      </c>
      <c r="GL246" s="2344">
        <v>0</v>
      </c>
      <c r="GM246" s="2344">
        <v>0</v>
      </c>
      <c r="GN246" s="2344">
        <v>0</v>
      </c>
      <c r="GO246" s="2344">
        <v>0</v>
      </c>
      <c r="GP246" s="2344">
        <v>0</v>
      </c>
      <c r="GQ246" s="2344">
        <v>0</v>
      </c>
      <c r="GR246" s="2344">
        <v>0</v>
      </c>
      <c r="GS246" s="2344">
        <v>0</v>
      </c>
      <c r="GT246" s="2344">
        <v>0</v>
      </c>
      <c r="GU246" s="2344">
        <v>0</v>
      </c>
      <c r="GV246" s="2344">
        <v>0</v>
      </c>
      <c r="GW246" s="2344">
        <v>0</v>
      </c>
      <c r="GX246" s="2344">
        <v>0</v>
      </c>
      <c r="GY246" s="2344">
        <v>0</v>
      </c>
      <c r="GZ246" s="2344">
        <v>0</v>
      </c>
      <c r="HA246" s="2344">
        <v>0</v>
      </c>
      <c r="HB246" s="2344">
        <v>0</v>
      </c>
      <c r="HC246" s="2344">
        <v>0</v>
      </c>
      <c r="HD246" s="2344">
        <v>0</v>
      </c>
      <c r="HE246" s="2344">
        <v>0</v>
      </c>
      <c r="HF246" s="2344">
        <v>0</v>
      </c>
      <c r="HG246" s="2344">
        <v>0</v>
      </c>
      <c r="HH246" s="2344">
        <v>0</v>
      </c>
      <c r="HI246" s="2333"/>
      <c r="HJ246" s="2275" t="s">
        <v>682</v>
      </c>
      <c r="HK246" s="2275">
        <f>HLOOKUP(HK244,GH245:HH257,1,0)</f>
        <v>48.8</v>
      </c>
      <c r="HL246" s="2275" t="s">
        <v>706</v>
      </c>
      <c r="HM246" s="2275" t="s">
        <v>682</v>
      </c>
      <c r="HN246" s="2275"/>
      <c r="HO246" s="2275"/>
      <c r="HP246" s="2275"/>
      <c r="HQ246" s="2275"/>
      <c r="HR246" s="2275"/>
      <c r="HS246" s="2275"/>
      <c r="HT246" s="2250"/>
      <c r="HU246" s="2250"/>
      <c r="HV246" s="2250"/>
      <c r="HW246" s="2250"/>
      <c r="HX246" s="2250"/>
      <c r="HY246" s="2250"/>
      <c r="HZ246" s="2250"/>
      <c r="IA246" s="2250"/>
      <c r="IB246" s="2250"/>
      <c r="IC246" s="2250"/>
      <c r="ID246" s="2250"/>
      <c r="IE246" s="2250"/>
      <c r="IF246" s="2250"/>
      <c r="IG246" s="2250"/>
      <c r="IH246" s="2250"/>
      <c r="II246" s="2250"/>
      <c r="IJ246" s="2250"/>
      <c r="IK246" s="2250"/>
      <c r="IL246" s="2250"/>
      <c r="IN246" s="277"/>
      <c r="IO246" s="277"/>
    </row>
    <row r="247" spans="1:249" ht="21.95" customHeight="1">
      <c r="A247" s="2275"/>
      <c r="B247" s="4670" t="s">
        <v>733</v>
      </c>
      <c r="C247" s="2345">
        <v>400</v>
      </c>
      <c r="D247" s="2346">
        <v>2.57</v>
      </c>
      <c r="E247" s="2346">
        <v>2.77</v>
      </c>
      <c r="F247" s="2346">
        <v>2.97</v>
      </c>
      <c r="G247" s="2346">
        <v>3.17</v>
      </c>
      <c r="H247" s="2346">
        <v>3.37</v>
      </c>
      <c r="I247" s="2346">
        <v>3.47</v>
      </c>
      <c r="J247" s="2346">
        <v>3.66</v>
      </c>
      <c r="K247" s="2346">
        <v>3.96</v>
      </c>
      <c r="L247" s="2346">
        <v>4.26</v>
      </c>
      <c r="M247" s="2346">
        <v>4.46</v>
      </c>
      <c r="N247" s="2346">
        <v>4.95</v>
      </c>
      <c r="O247" s="2346">
        <v>5.35</v>
      </c>
      <c r="P247" s="2346">
        <v>5.54</v>
      </c>
      <c r="Q247" s="2346">
        <v>5.84</v>
      </c>
      <c r="R247" s="2346">
        <v>6.14</v>
      </c>
      <c r="S247" s="2346">
        <v>6.34</v>
      </c>
      <c r="T247" s="2346">
        <v>6.73</v>
      </c>
      <c r="U247" s="2346">
        <v>7.33</v>
      </c>
      <c r="V247" s="2346">
        <v>7.82</v>
      </c>
      <c r="W247" s="2346">
        <v>8.42</v>
      </c>
      <c r="X247" s="2346">
        <v>8.91</v>
      </c>
      <c r="Y247" s="2346">
        <v>9.8000000000000007</v>
      </c>
      <c r="Z247" s="2346">
        <v>10.79</v>
      </c>
      <c r="AA247" s="2346">
        <v>11.88</v>
      </c>
      <c r="AB247" s="2346">
        <v>13.47</v>
      </c>
      <c r="AC247" s="2346">
        <v>14.46</v>
      </c>
      <c r="AD247" s="2346">
        <v>16.73</v>
      </c>
      <c r="AE247" s="2347">
        <v>400</v>
      </c>
      <c r="AF247" s="2275"/>
      <c r="AG247" s="4671"/>
      <c r="AH247" s="4671"/>
      <c r="AI247" s="4671"/>
      <c r="AJ247" s="2275"/>
      <c r="AK247" s="2275"/>
      <c r="AL247" s="2275"/>
      <c r="AM247" s="2275"/>
      <c r="AN247" s="2275"/>
      <c r="AO247" s="2275"/>
      <c r="AP247" s="2250"/>
      <c r="AQ247" s="2250"/>
      <c r="AR247" s="2250"/>
      <c r="AS247" s="2250"/>
      <c r="AT247" s="2250"/>
      <c r="AU247" s="2250"/>
      <c r="AV247" s="2250"/>
      <c r="AW247" s="2250"/>
      <c r="AX247" s="2250"/>
      <c r="AY247" s="2250"/>
      <c r="AZ247" s="2250"/>
      <c r="BA247" s="2250"/>
      <c r="BB247" s="2250"/>
      <c r="BC247" s="2250"/>
      <c r="BD247" s="2250"/>
      <c r="BE247" s="2250"/>
      <c r="BF247" s="2276"/>
      <c r="BG247" s="2276"/>
      <c r="BH247" s="2250"/>
      <c r="BI247" s="2275"/>
      <c r="BJ247" s="4670" t="s">
        <v>733</v>
      </c>
      <c r="BK247" s="2345">
        <v>400</v>
      </c>
      <c r="BL247" s="2346">
        <v>2.57</v>
      </c>
      <c r="BM247" s="2346">
        <v>2.77</v>
      </c>
      <c r="BN247" s="2346">
        <v>2.97</v>
      </c>
      <c r="BO247" s="2346">
        <v>3.17</v>
      </c>
      <c r="BP247" s="2346">
        <v>3.37</v>
      </c>
      <c r="BQ247" s="2346">
        <v>3.47</v>
      </c>
      <c r="BR247" s="2346">
        <v>3.66</v>
      </c>
      <c r="BS247" s="2346">
        <v>3.96</v>
      </c>
      <c r="BT247" s="2346">
        <v>4.26</v>
      </c>
      <c r="BU247" s="2346">
        <v>4.46</v>
      </c>
      <c r="BV247" s="2346">
        <v>4.95</v>
      </c>
      <c r="BW247" s="2346">
        <v>5.35</v>
      </c>
      <c r="BX247" s="2346">
        <v>5.54</v>
      </c>
      <c r="BY247" s="2346">
        <v>5.84</v>
      </c>
      <c r="BZ247" s="2346">
        <v>6.14</v>
      </c>
      <c r="CA247" s="2346">
        <v>6.34</v>
      </c>
      <c r="CB247" s="2346">
        <v>6.73</v>
      </c>
      <c r="CC247" s="2346">
        <v>7.33</v>
      </c>
      <c r="CD247" s="2346">
        <v>7.82</v>
      </c>
      <c r="CE247" s="2346">
        <v>8.42</v>
      </c>
      <c r="CF247" s="2346">
        <v>8.91</v>
      </c>
      <c r="CG247" s="2346">
        <v>9.8000000000000007</v>
      </c>
      <c r="CH247" s="2346">
        <v>10.79</v>
      </c>
      <c r="CI247" s="2346">
        <v>11.88</v>
      </c>
      <c r="CJ247" s="2346">
        <v>13.47</v>
      </c>
      <c r="CK247" s="2346">
        <v>14.46</v>
      </c>
      <c r="CL247" s="2346">
        <v>16.73</v>
      </c>
      <c r="CM247" s="2347">
        <v>400</v>
      </c>
      <c r="CN247" s="2275"/>
      <c r="CO247" s="4671"/>
      <c r="CP247" s="4671"/>
      <c r="CQ247" s="4671"/>
      <c r="CR247" s="2275"/>
      <c r="CS247" s="2275"/>
      <c r="CT247" s="2275"/>
      <c r="CU247" s="2275"/>
      <c r="CV247" s="2275"/>
      <c r="CW247" s="2275"/>
      <c r="CX247" s="2250"/>
      <c r="CY247" s="2250"/>
      <c r="CZ247" s="2250"/>
      <c r="DA247" s="2250"/>
      <c r="DB247" s="2250"/>
      <c r="DC247" s="2250"/>
      <c r="DD247" s="2250"/>
      <c r="DE247" s="2250"/>
      <c r="DF247" s="2250"/>
      <c r="DG247" s="2250"/>
      <c r="DH247" s="2250"/>
      <c r="DI247" s="2250"/>
      <c r="DJ247" s="2250"/>
      <c r="DK247" s="2250"/>
      <c r="DL247" s="2250"/>
      <c r="DM247" s="2250"/>
      <c r="DN247" s="2250"/>
      <c r="DO247" s="2250"/>
      <c r="DP247" s="2250"/>
      <c r="DQ247" s="2277"/>
      <c r="DR247" s="2277"/>
      <c r="DS247" s="277"/>
      <c r="DW247" s="2275"/>
      <c r="DX247" s="4670" t="s">
        <v>733</v>
      </c>
      <c r="DY247" s="2345">
        <v>400</v>
      </c>
      <c r="DZ247" s="2346">
        <v>2.57</v>
      </c>
      <c r="EA247" s="2346">
        <v>2.77</v>
      </c>
      <c r="EB247" s="2346">
        <v>2.97</v>
      </c>
      <c r="EC247" s="2346">
        <v>3.17</v>
      </c>
      <c r="ED247" s="2346">
        <v>3.37</v>
      </c>
      <c r="EE247" s="2346">
        <v>3.47</v>
      </c>
      <c r="EF247" s="2346">
        <v>3.66</v>
      </c>
      <c r="EG247" s="2346">
        <v>3.96</v>
      </c>
      <c r="EH247" s="2346">
        <v>4.26</v>
      </c>
      <c r="EI247" s="2346">
        <v>4.46</v>
      </c>
      <c r="EJ247" s="2346">
        <v>4.95</v>
      </c>
      <c r="EK247" s="2346">
        <v>5.35</v>
      </c>
      <c r="EL247" s="2346">
        <v>5.54</v>
      </c>
      <c r="EM247" s="2346">
        <v>5.84</v>
      </c>
      <c r="EN247" s="2346">
        <v>6.14</v>
      </c>
      <c r="EO247" s="2346">
        <v>6.34</v>
      </c>
      <c r="EP247" s="2346">
        <v>6.73</v>
      </c>
      <c r="EQ247" s="2346">
        <v>7.33</v>
      </c>
      <c r="ER247" s="2346">
        <v>7.82</v>
      </c>
      <c r="ES247" s="2346">
        <v>8.42</v>
      </c>
      <c r="ET247" s="2346">
        <v>8.91</v>
      </c>
      <c r="EU247" s="2346">
        <v>9.8000000000000007</v>
      </c>
      <c r="EV247" s="2346">
        <v>10.79</v>
      </c>
      <c r="EW247" s="2346">
        <v>11.88</v>
      </c>
      <c r="EX247" s="2346">
        <v>13.47</v>
      </c>
      <c r="EY247" s="2346">
        <v>14.46</v>
      </c>
      <c r="EZ247" s="2346">
        <v>16.73</v>
      </c>
      <c r="FA247" s="2347">
        <v>400</v>
      </c>
      <c r="FB247" s="2275"/>
      <c r="FC247" s="4671"/>
      <c r="FD247" s="4671"/>
      <c r="FE247" s="4671"/>
      <c r="FF247" s="2275"/>
      <c r="FG247" s="2275"/>
      <c r="FH247" s="2275"/>
      <c r="FI247" s="2275"/>
      <c r="FJ247" s="2275"/>
      <c r="FK247" s="2275"/>
      <c r="FL247" s="2250"/>
      <c r="FM247" s="2250"/>
      <c r="FN247" s="2250"/>
      <c r="FO247" s="2250"/>
      <c r="FP247" s="2250"/>
      <c r="FQ247" s="2250"/>
      <c r="FR247" s="2250"/>
      <c r="FS247" s="2250"/>
      <c r="FT247" s="2250"/>
      <c r="FU247" s="2250"/>
      <c r="FV247" s="2250"/>
      <c r="FW247" s="2250"/>
      <c r="FX247" s="2250"/>
      <c r="FY247" s="2250"/>
      <c r="FZ247" s="2250"/>
      <c r="GA247" s="2250"/>
      <c r="GB247" s="2276"/>
      <c r="GC247" s="2276"/>
      <c r="GD247" s="2250"/>
      <c r="GE247" s="2275"/>
      <c r="GF247" s="4670" t="s">
        <v>733</v>
      </c>
      <c r="GG247" s="2345">
        <v>400</v>
      </c>
      <c r="GH247" s="2346">
        <v>2.57</v>
      </c>
      <c r="GI247" s="2346">
        <v>2.77</v>
      </c>
      <c r="GJ247" s="2346">
        <v>2.97</v>
      </c>
      <c r="GK247" s="2346">
        <v>3.17</v>
      </c>
      <c r="GL247" s="2346">
        <v>3.37</v>
      </c>
      <c r="GM247" s="2346">
        <v>3.47</v>
      </c>
      <c r="GN247" s="2346">
        <v>3.66</v>
      </c>
      <c r="GO247" s="2346">
        <v>3.96</v>
      </c>
      <c r="GP247" s="2346">
        <v>4.26</v>
      </c>
      <c r="GQ247" s="2346">
        <v>4.46</v>
      </c>
      <c r="GR247" s="2346">
        <v>4.95</v>
      </c>
      <c r="GS247" s="2346">
        <v>5.35</v>
      </c>
      <c r="GT247" s="2346">
        <v>5.54</v>
      </c>
      <c r="GU247" s="2346">
        <v>5.84</v>
      </c>
      <c r="GV247" s="2346">
        <v>6.14</v>
      </c>
      <c r="GW247" s="2346">
        <v>6.34</v>
      </c>
      <c r="GX247" s="2346">
        <v>6.73</v>
      </c>
      <c r="GY247" s="2346">
        <v>7.33</v>
      </c>
      <c r="GZ247" s="2346">
        <v>7.82</v>
      </c>
      <c r="HA247" s="2346">
        <v>8.42</v>
      </c>
      <c r="HB247" s="2346">
        <v>8.91</v>
      </c>
      <c r="HC247" s="2346">
        <v>9.8000000000000007</v>
      </c>
      <c r="HD247" s="2346">
        <v>10.79</v>
      </c>
      <c r="HE247" s="2346">
        <v>11.88</v>
      </c>
      <c r="HF247" s="2346">
        <v>13.47</v>
      </c>
      <c r="HG247" s="2346">
        <v>14.46</v>
      </c>
      <c r="HH247" s="2346">
        <v>16.73</v>
      </c>
      <c r="HI247" s="2347">
        <v>400</v>
      </c>
      <c r="HJ247" s="2275"/>
      <c r="HK247" s="4671"/>
      <c r="HL247" s="4671"/>
      <c r="HM247" s="4671"/>
      <c r="HN247" s="2275"/>
      <c r="HO247" s="2275"/>
      <c r="HP247" s="2275"/>
      <c r="HQ247" s="2275"/>
      <c r="HR247" s="2275"/>
      <c r="HS247" s="2275"/>
      <c r="HT247" s="2250"/>
      <c r="HU247" s="2250"/>
      <c r="HV247" s="2250"/>
      <c r="HW247" s="2250"/>
      <c r="HX247" s="2250"/>
      <c r="HY247" s="2250"/>
      <c r="HZ247" s="2250"/>
      <c r="IA247" s="2250"/>
      <c r="IB247" s="2250"/>
      <c r="IC247" s="2250"/>
      <c r="ID247" s="2250"/>
      <c r="IE247" s="2250"/>
      <c r="IF247" s="2250"/>
      <c r="IG247" s="2250"/>
      <c r="IH247" s="2250"/>
      <c r="II247" s="2250"/>
      <c r="IJ247" s="2250"/>
      <c r="IK247" s="2250"/>
      <c r="IL247" s="2250"/>
      <c r="IN247" s="277"/>
      <c r="IO247" s="277"/>
    </row>
    <row r="248" spans="1:249" ht="21.95" customHeight="1">
      <c r="A248" s="2275"/>
      <c r="B248" s="4670"/>
      <c r="C248" s="2345">
        <v>475</v>
      </c>
      <c r="D248" s="2346">
        <v>3.76</v>
      </c>
      <c r="E248" s="2346">
        <v>4.16</v>
      </c>
      <c r="F248" s="2346">
        <v>4.46</v>
      </c>
      <c r="G248" s="2346">
        <v>4.75</v>
      </c>
      <c r="H248" s="2346">
        <v>5.05</v>
      </c>
      <c r="I248" s="2346">
        <v>5.15</v>
      </c>
      <c r="J248" s="2346">
        <v>5.54</v>
      </c>
      <c r="K248" s="2346">
        <v>5.84</v>
      </c>
      <c r="L248" s="2346">
        <v>6.34</v>
      </c>
      <c r="M248" s="2346">
        <v>6.63</v>
      </c>
      <c r="N248" s="2346">
        <v>7.33</v>
      </c>
      <c r="O248" s="2346">
        <v>8.02</v>
      </c>
      <c r="P248" s="2346">
        <v>8.32</v>
      </c>
      <c r="Q248" s="2346">
        <v>8.7100000000000009</v>
      </c>
      <c r="R248" s="2346">
        <v>9.01</v>
      </c>
      <c r="S248" s="2346">
        <v>9.5</v>
      </c>
      <c r="T248" s="2346">
        <v>10.1</v>
      </c>
      <c r="U248" s="2346">
        <v>10.99</v>
      </c>
      <c r="V248" s="2346">
        <v>11.68</v>
      </c>
      <c r="W248" s="2346">
        <v>12.38</v>
      </c>
      <c r="X248" s="2346">
        <v>13.27</v>
      </c>
      <c r="Y248" s="2346">
        <v>14.65</v>
      </c>
      <c r="Z248" s="2346">
        <v>15.94</v>
      </c>
      <c r="AA248" s="2346">
        <v>17.920000000000002</v>
      </c>
      <c r="AB248" s="2346">
        <v>20.100000000000001</v>
      </c>
      <c r="AC248" s="2346">
        <v>22.87</v>
      </c>
      <c r="AD248" s="2346">
        <v>26.73</v>
      </c>
      <c r="AE248" s="2347">
        <v>475</v>
      </c>
      <c r="AF248" s="2275"/>
      <c r="AG248" s="2275">
        <f>HLOOKUP(AG244,D245:AD257,2,0)</f>
        <v>0</v>
      </c>
      <c r="AH248" s="2275">
        <f t="shared" ref="AH248:AH258" si="122">+AG249</f>
        <v>7.33</v>
      </c>
      <c r="AI248" s="2275">
        <v>400</v>
      </c>
      <c r="AJ248" s="2275"/>
      <c r="AK248" s="2275"/>
      <c r="AL248" s="2275"/>
      <c r="AM248" s="2275"/>
      <c r="AN248" s="2275"/>
      <c r="AO248" s="2275"/>
      <c r="AP248" s="2250"/>
      <c r="AQ248" s="2250"/>
      <c r="AR248" s="2250"/>
      <c r="AS248" s="2250"/>
      <c r="AT248" s="2250"/>
      <c r="AU248" s="2250"/>
      <c r="AV248" s="2250"/>
      <c r="AW248" s="2250"/>
      <c r="AX248" s="2250"/>
      <c r="AY248" s="2250"/>
      <c r="AZ248" s="2250"/>
      <c r="BA248" s="2250"/>
      <c r="BB248" s="2250"/>
      <c r="BC248" s="2250"/>
      <c r="BD248" s="2250"/>
      <c r="BE248" s="2250"/>
      <c r="BF248" s="2276"/>
      <c r="BG248" s="2276"/>
      <c r="BH248" s="2250"/>
      <c r="BI248" s="2275"/>
      <c r="BJ248" s="4670"/>
      <c r="BK248" s="2345">
        <v>475</v>
      </c>
      <c r="BL248" s="2346">
        <v>3.76</v>
      </c>
      <c r="BM248" s="2346">
        <v>4.16</v>
      </c>
      <c r="BN248" s="2346">
        <v>4.46</v>
      </c>
      <c r="BO248" s="2346">
        <v>4.75</v>
      </c>
      <c r="BP248" s="2346">
        <v>5.05</v>
      </c>
      <c r="BQ248" s="2346">
        <v>5.15</v>
      </c>
      <c r="BR248" s="2346">
        <v>5.54</v>
      </c>
      <c r="BS248" s="2346">
        <v>5.84</v>
      </c>
      <c r="BT248" s="2346">
        <v>6.34</v>
      </c>
      <c r="BU248" s="2346">
        <v>6.63</v>
      </c>
      <c r="BV248" s="2346">
        <v>7.33</v>
      </c>
      <c r="BW248" s="2346">
        <v>8.02</v>
      </c>
      <c r="BX248" s="2346">
        <v>8.32</v>
      </c>
      <c r="BY248" s="2346">
        <v>8.7100000000000009</v>
      </c>
      <c r="BZ248" s="2346">
        <v>9.01</v>
      </c>
      <c r="CA248" s="2346">
        <v>9.5</v>
      </c>
      <c r="CB248" s="2346">
        <v>10.1</v>
      </c>
      <c r="CC248" s="2346">
        <v>10.99</v>
      </c>
      <c r="CD248" s="2346">
        <v>11.68</v>
      </c>
      <c r="CE248" s="2346">
        <v>12.38</v>
      </c>
      <c r="CF248" s="2346">
        <v>13.27</v>
      </c>
      <c r="CG248" s="2346">
        <v>14.65</v>
      </c>
      <c r="CH248" s="2346">
        <v>15.94</v>
      </c>
      <c r="CI248" s="2346">
        <v>17.920000000000002</v>
      </c>
      <c r="CJ248" s="2346">
        <v>20.100000000000001</v>
      </c>
      <c r="CK248" s="2346">
        <v>22.87</v>
      </c>
      <c r="CL248" s="2346">
        <v>26.73</v>
      </c>
      <c r="CM248" s="2347">
        <v>475</v>
      </c>
      <c r="CN248" s="2275"/>
      <c r="CO248" s="2275">
        <f>HLOOKUP(CO244,BL245:CL257,2,0)</f>
        <v>0</v>
      </c>
      <c r="CP248" s="2275">
        <f t="shared" ref="CP248:CP258" si="123">+CO249</f>
        <v>6.73</v>
      </c>
      <c r="CQ248" s="2275">
        <v>400</v>
      </c>
      <c r="CR248" s="2275"/>
      <c r="CS248" s="2275"/>
      <c r="CT248" s="2275"/>
      <c r="CU248" s="2275"/>
      <c r="CV248" s="2275"/>
      <c r="CW248" s="2275"/>
      <c r="CX248" s="2250"/>
      <c r="CY248" s="2250"/>
      <c r="CZ248" s="2250"/>
      <c r="DA248" s="2250"/>
      <c r="DB248" s="2250"/>
      <c r="DC248" s="2250"/>
      <c r="DD248" s="2250"/>
      <c r="DE248" s="2250"/>
      <c r="DF248" s="2250"/>
      <c r="DG248" s="2250"/>
      <c r="DH248" s="2250"/>
      <c r="DI248" s="2250"/>
      <c r="DJ248" s="2250"/>
      <c r="DK248" s="2250"/>
      <c r="DL248" s="2250"/>
      <c r="DM248" s="2250"/>
      <c r="DN248" s="2250"/>
      <c r="DO248" s="2250"/>
      <c r="DP248" s="2250"/>
      <c r="DQ248" s="2277"/>
      <c r="DR248" s="2277"/>
      <c r="DS248" s="277"/>
      <c r="DW248" s="2275"/>
      <c r="DX248" s="4670"/>
      <c r="DY248" s="2345">
        <v>475</v>
      </c>
      <c r="DZ248" s="2346">
        <v>3.76</v>
      </c>
      <c r="EA248" s="2346">
        <v>4.16</v>
      </c>
      <c r="EB248" s="2346">
        <v>4.46</v>
      </c>
      <c r="EC248" s="2346">
        <v>4.75</v>
      </c>
      <c r="ED248" s="2346">
        <v>5.05</v>
      </c>
      <c r="EE248" s="2346">
        <v>5.15</v>
      </c>
      <c r="EF248" s="2346">
        <v>5.54</v>
      </c>
      <c r="EG248" s="2346">
        <v>5.84</v>
      </c>
      <c r="EH248" s="2346">
        <v>6.34</v>
      </c>
      <c r="EI248" s="2346">
        <v>6.63</v>
      </c>
      <c r="EJ248" s="2346">
        <v>7.33</v>
      </c>
      <c r="EK248" s="2346">
        <v>8.02</v>
      </c>
      <c r="EL248" s="2346">
        <v>8.32</v>
      </c>
      <c r="EM248" s="2346">
        <v>8.7100000000000009</v>
      </c>
      <c r="EN248" s="2346">
        <v>9.01</v>
      </c>
      <c r="EO248" s="2346">
        <v>9.5</v>
      </c>
      <c r="EP248" s="2346">
        <v>10.1</v>
      </c>
      <c r="EQ248" s="2346">
        <v>10.99</v>
      </c>
      <c r="ER248" s="2346">
        <v>11.68</v>
      </c>
      <c r="ES248" s="2346">
        <v>12.38</v>
      </c>
      <c r="ET248" s="2346">
        <v>13.27</v>
      </c>
      <c r="EU248" s="2346">
        <v>14.65</v>
      </c>
      <c r="EV248" s="2346">
        <v>15.94</v>
      </c>
      <c r="EW248" s="2346">
        <v>17.920000000000002</v>
      </c>
      <c r="EX248" s="2346">
        <v>20.100000000000001</v>
      </c>
      <c r="EY248" s="2346">
        <v>22.87</v>
      </c>
      <c r="EZ248" s="2346">
        <v>26.73</v>
      </c>
      <c r="FA248" s="2347">
        <v>475</v>
      </c>
      <c r="FB248" s="2275"/>
      <c r="FC248" s="2275">
        <f>HLOOKUP(FC244,DZ245:EZ257,2,0)</f>
        <v>0</v>
      </c>
      <c r="FD248" s="2275">
        <f t="shared" ref="FD248:FD258" si="124">+FC249</f>
        <v>10.79</v>
      </c>
      <c r="FE248" s="2275">
        <v>400</v>
      </c>
      <c r="FF248" s="2275"/>
      <c r="FG248" s="2275"/>
      <c r="FH248" s="2275"/>
      <c r="FI248" s="2275"/>
      <c r="FJ248" s="2275"/>
      <c r="FK248" s="2275"/>
      <c r="FL248" s="2250"/>
      <c r="FM248" s="2250"/>
      <c r="FN248" s="2250"/>
      <c r="FO248" s="2250"/>
      <c r="FP248" s="2250"/>
      <c r="FQ248" s="2250"/>
      <c r="FR248" s="2250"/>
      <c r="FS248" s="2250"/>
      <c r="FT248" s="2250"/>
      <c r="FU248" s="2250"/>
      <c r="FV248" s="2250"/>
      <c r="FW248" s="2250"/>
      <c r="FX248" s="2250"/>
      <c r="FY248" s="2250"/>
      <c r="FZ248" s="2250"/>
      <c r="GA248" s="2250"/>
      <c r="GB248" s="2276"/>
      <c r="GC248" s="2276"/>
      <c r="GD248" s="2250"/>
      <c r="GE248" s="2275"/>
      <c r="GF248" s="4670"/>
      <c r="GG248" s="2345">
        <v>475</v>
      </c>
      <c r="GH248" s="2346">
        <v>3.76</v>
      </c>
      <c r="GI248" s="2346">
        <v>4.16</v>
      </c>
      <c r="GJ248" s="2346">
        <v>4.46</v>
      </c>
      <c r="GK248" s="2346">
        <v>4.75</v>
      </c>
      <c r="GL248" s="2346">
        <v>5.05</v>
      </c>
      <c r="GM248" s="2346">
        <v>5.15</v>
      </c>
      <c r="GN248" s="2346">
        <v>5.54</v>
      </c>
      <c r="GO248" s="2346">
        <v>5.84</v>
      </c>
      <c r="GP248" s="2346">
        <v>6.34</v>
      </c>
      <c r="GQ248" s="2346">
        <v>6.63</v>
      </c>
      <c r="GR248" s="2346">
        <v>7.33</v>
      </c>
      <c r="GS248" s="2346">
        <v>8.02</v>
      </c>
      <c r="GT248" s="2346">
        <v>8.32</v>
      </c>
      <c r="GU248" s="2346">
        <v>8.7100000000000009</v>
      </c>
      <c r="GV248" s="2346">
        <v>9.01</v>
      </c>
      <c r="GW248" s="2346">
        <v>9.5</v>
      </c>
      <c r="GX248" s="2346">
        <v>10.1</v>
      </c>
      <c r="GY248" s="2346">
        <v>10.99</v>
      </c>
      <c r="GZ248" s="2346">
        <v>11.68</v>
      </c>
      <c r="HA248" s="2346">
        <v>12.38</v>
      </c>
      <c r="HB248" s="2346">
        <v>13.27</v>
      </c>
      <c r="HC248" s="2346">
        <v>14.65</v>
      </c>
      <c r="HD248" s="2346">
        <v>15.94</v>
      </c>
      <c r="HE248" s="2346">
        <v>17.920000000000002</v>
      </c>
      <c r="HF248" s="2346">
        <v>20.100000000000001</v>
      </c>
      <c r="HG248" s="2346">
        <v>22.87</v>
      </c>
      <c r="HH248" s="2346">
        <v>26.73</v>
      </c>
      <c r="HI248" s="2347">
        <v>475</v>
      </c>
      <c r="HJ248" s="2275"/>
      <c r="HK248" s="2275">
        <f>HLOOKUP(HK244,GH245:HH257,2,0)</f>
        <v>0</v>
      </c>
      <c r="HL248" s="2275">
        <f t="shared" ref="HL248:HL258" si="125">+HK249</f>
        <v>9.8000000000000007</v>
      </c>
      <c r="HM248" s="2275">
        <v>400</v>
      </c>
      <c r="HN248" s="2275"/>
      <c r="HO248" s="2275"/>
      <c r="HP248" s="2275"/>
      <c r="HQ248" s="2275"/>
      <c r="HR248" s="2275"/>
      <c r="HS248" s="2275"/>
      <c r="HT248" s="2250"/>
      <c r="HU248" s="2250"/>
      <c r="HV248" s="2250"/>
      <c r="HW248" s="2250"/>
      <c r="HX248" s="2250"/>
      <c r="HY248" s="2250"/>
      <c r="HZ248" s="2250"/>
      <c r="IA248" s="2250"/>
      <c r="IB248" s="2250"/>
      <c r="IC248" s="2250"/>
      <c r="ID248" s="2250"/>
      <c r="IE248" s="2250"/>
      <c r="IF248" s="2250"/>
      <c r="IG248" s="2250"/>
      <c r="IH248" s="2250"/>
      <c r="II248" s="2250"/>
      <c r="IJ248" s="2250"/>
      <c r="IK248" s="2250"/>
      <c r="IL248" s="2250"/>
      <c r="IN248" s="277"/>
      <c r="IO248" s="277"/>
    </row>
    <row r="249" spans="1:249" ht="21.95" customHeight="1">
      <c r="A249" s="2275"/>
      <c r="B249" s="4670"/>
      <c r="C249" s="2345">
        <v>550</v>
      </c>
      <c r="D249" s="2346">
        <v>7.43</v>
      </c>
      <c r="E249" s="2346">
        <v>8.02</v>
      </c>
      <c r="F249" s="2346">
        <v>8.61</v>
      </c>
      <c r="G249" s="2346">
        <v>9.31</v>
      </c>
      <c r="H249" s="2346">
        <v>9.9</v>
      </c>
      <c r="I249" s="2346">
        <v>10</v>
      </c>
      <c r="J249" s="2346">
        <v>10.79</v>
      </c>
      <c r="K249" s="2346">
        <v>11.49</v>
      </c>
      <c r="L249" s="2346">
        <v>12.18</v>
      </c>
      <c r="M249" s="2346">
        <v>12.97</v>
      </c>
      <c r="N249" s="2346">
        <v>14.36</v>
      </c>
      <c r="O249" s="2346">
        <v>15.35</v>
      </c>
      <c r="P249" s="2346">
        <v>16.239999999999998</v>
      </c>
      <c r="Q249" s="2346">
        <v>17.03</v>
      </c>
      <c r="R249" s="2346">
        <v>17.52</v>
      </c>
      <c r="S249" s="2346">
        <v>18.61</v>
      </c>
      <c r="T249" s="2346">
        <v>20</v>
      </c>
      <c r="U249" s="2346">
        <v>21.39</v>
      </c>
      <c r="V249" s="2346">
        <v>22.77</v>
      </c>
      <c r="W249" s="2346">
        <v>24.55</v>
      </c>
      <c r="X249" s="2346">
        <v>26.24</v>
      </c>
      <c r="Y249" s="2346">
        <v>28.71</v>
      </c>
      <c r="Z249" s="2346">
        <v>31.19</v>
      </c>
      <c r="AA249" s="2346">
        <v>34.75</v>
      </c>
      <c r="AB249" s="2346">
        <v>38.81</v>
      </c>
      <c r="AC249" s="2346">
        <v>43.37</v>
      </c>
      <c r="AD249" s="2346">
        <v>47.92</v>
      </c>
      <c r="AE249" s="2347">
        <v>550</v>
      </c>
      <c r="AF249" s="2275"/>
      <c r="AG249" s="2275">
        <f>HLOOKUP(AG244,D245:AD257,3,0)</f>
        <v>7.33</v>
      </c>
      <c r="AH249" s="2275">
        <f t="shared" si="122"/>
        <v>10.99</v>
      </c>
      <c r="AI249" s="2275">
        <v>475</v>
      </c>
      <c r="AJ249" s="2275"/>
      <c r="AK249" s="2275"/>
      <c r="AL249" s="2275"/>
      <c r="AM249" s="2275"/>
      <c r="AN249" s="2275"/>
      <c r="AO249" s="2275"/>
      <c r="AP249" s="2250"/>
      <c r="AQ249" s="2250"/>
      <c r="AR249" s="2250"/>
      <c r="AS249" s="2250"/>
      <c r="AT249" s="2250"/>
      <c r="AU249" s="2250"/>
      <c r="AV249" s="2250"/>
      <c r="AW249" s="2250"/>
      <c r="AX249" s="2250"/>
      <c r="AY249" s="2250"/>
      <c r="AZ249" s="2250"/>
      <c r="BA249" s="2250"/>
      <c r="BB249" s="2250"/>
      <c r="BC249" s="2250"/>
      <c r="BD249" s="2250"/>
      <c r="BE249" s="2250"/>
      <c r="BF249" s="2276"/>
      <c r="BG249" s="2276"/>
      <c r="BH249" s="2250"/>
      <c r="BI249" s="2275"/>
      <c r="BJ249" s="4670"/>
      <c r="BK249" s="2345">
        <v>550</v>
      </c>
      <c r="BL249" s="2346">
        <v>7.43</v>
      </c>
      <c r="BM249" s="2346">
        <v>8.02</v>
      </c>
      <c r="BN249" s="2346">
        <v>8.61</v>
      </c>
      <c r="BO249" s="2346">
        <v>9.31</v>
      </c>
      <c r="BP249" s="2346">
        <v>9.9</v>
      </c>
      <c r="BQ249" s="2346">
        <v>10</v>
      </c>
      <c r="BR249" s="2346">
        <v>10.79</v>
      </c>
      <c r="BS249" s="2346">
        <v>11.49</v>
      </c>
      <c r="BT249" s="2346">
        <v>12.18</v>
      </c>
      <c r="BU249" s="2346">
        <v>12.97</v>
      </c>
      <c r="BV249" s="2346">
        <v>14.36</v>
      </c>
      <c r="BW249" s="2346">
        <v>15.35</v>
      </c>
      <c r="BX249" s="2346">
        <v>16.239999999999998</v>
      </c>
      <c r="BY249" s="2346">
        <v>17.03</v>
      </c>
      <c r="BZ249" s="2346">
        <v>17.52</v>
      </c>
      <c r="CA249" s="2346">
        <v>18.61</v>
      </c>
      <c r="CB249" s="2346">
        <v>20</v>
      </c>
      <c r="CC249" s="2346">
        <v>21.39</v>
      </c>
      <c r="CD249" s="2346">
        <v>22.77</v>
      </c>
      <c r="CE249" s="2346">
        <v>24.55</v>
      </c>
      <c r="CF249" s="2346">
        <v>26.24</v>
      </c>
      <c r="CG249" s="2346">
        <v>28.71</v>
      </c>
      <c r="CH249" s="2346">
        <v>31.19</v>
      </c>
      <c r="CI249" s="2346">
        <v>34.75</v>
      </c>
      <c r="CJ249" s="2346">
        <v>38.81</v>
      </c>
      <c r="CK249" s="2346">
        <v>43.37</v>
      </c>
      <c r="CL249" s="2346">
        <v>47.92</v>
      </c>
      <c r="CM249" s="2347">
        <v>550</v>
      </c>
      <c r="CN249" s="2275"/>
      <c r="CO249" s="2275">
        <f>HLOOKUP(CO244,BL245:CL257,3,0)</f>
        <v>6.73</v>
      </c>
      <c r="CP249" s="2275">
        <f t="shared" si="123"/>
        <v>10.1</v>
      </c>
      <c r="CQ249" s="2275">
        <v>475</v>
      </c>
      <c r="CR249" s="2275"/>
      <c r="CS249" s="2275"/>
      <c r="CT249" s="2275"/>
      <c r="CU249" s="2275"/>
      <c r="CV249" s="2275"/>
      <c r="CW249" s="2275"/>
      <c r="CX249" s="2250"/>
      <c r="CY249" s="2250"/>
      <c r="CZ249" s="2250"/>
      <c r="DA249" s="2250"/>
      <c r="DB249" s="2250"/>
      <c r="DC249" s="2250"/>
      <c r="DD249" s="2250"/>
      <c r="DE249" s="2250"/>
      <c r="DF249" s="2250"/>
      <c r="DG249" s="2250"/>
      <c r="DH249" s="2250"/>
      <c r="DI249" s="2250"/>
      <c r="DJ249" s="2250"/>
      <c r="DK249" s="2250"/>
      <c r="DL249" s="2250"/>
      <c r="DM249" s="2250"/>
      <c r="DN249" s="2250"/>
      <c r="DO249" s="2250"/>
      <c r="DP249" s="2250"/>
      <c r="DQ249" s="2277"/>
      <c r="DR249" s="2277"/>
      <c r="DS249" s="277"/>
      <c r="DW249" s="2275"/>
      <c r="DX249" s="4670"/>
      <c r="DY249" s="2345">
        <v>550</v>
      </c>
      <c r="DZ249" s="2346">
        <v>7.43</v>
      </c>
      <c r="EA249" s="2346">
        <v>8.02</v>
      </c>
      <c r="EB249" s="2346">
        <v>8.61</v>
      </c>
      <c r="EC249" s="2346">
        <v>9.31</v>
      </c>
      <c r="ED249" s="2346">
        <v>9.9</v>
      </c>
      <c r="EE249" s="2346">
        <v>10</v>
      </c>
      <c r="EF249" s="2346">
        <v>10.79</v>
      </c>
      <c r="EG249" s="2346">
        <v>11.49</v>
      </c>
      <c r="EH249" s="2346">
        <v>12.18</v>
      </c>
      <c r="EI249" s="2346">
        <v>12.97</v>
      </c>
      <c r="EJ249" s="2346">
        <v>14.36</v>
      </c>
      <c r="EK249" s="2346">
        <v>15.35</v>
      </c>
      <c r="EL249" s="2346">
        <v>16.239999999999998</v>
      </c>
      <c r="EM249" s="2346">
        <v>17.03</v>
      </c>
      <c r="EN249" s="2346">
        <v>17.52</v>
      </c>
      <c r="EO249" s="2346">
        <v>18.61</v>
      </c>
      <c r="EP249" s="2346">
        <v>20</v>
      </c>
      <c r="EQ249" s="2346">
        <v>21.39</v>
      </c>
      <c r="ER249" s="2346">
        <v>22.77</v>
      </c>
      <c r="ES249" s="2346">
        <v>24.55</v>
      </c>
      <c r="ET249" s="2346">
        <v>26.24</v>
      </c>
      <c r="EU249" s="2346">
        <v>28.71</v>
      </c>
      <c r="EV249" s="2346">
        <v>31.19</v>
      </c>
      <c r="EW249" s="2346">
        <v>34.75</v>
      </c>
      <c r="EX249" s="2346">
        <v>38.81</v>
      </c>
      <c r="EY249" s="2346">
        <v>43.37</v>
      </c>
      <c r="EZ249" s="2346">
        <v>47.92</v>
      </c>
      <c r="FA249" s="2347">
        <v>550</v>
      </c>
      <c r="FB249" s="2275"/>
      <c r="FC249" s="2275">
        <f>HLOOKUP(FC244,DZ245:EZ257,3,0)</f>
        <v>10.79</v>
      </c>
      <c r="FD249" s="2275">
        <f t="shared" si="124"/>
        <v>15.94</v>
      </c>
      <c r="FE249" s="2275">
        <v>475</v>
      </c>
      <c r="FF249" s="2275"/>
      <c r="FG249" s="2275"/>
      <c r="FH249" s="2275"/>
      <c r="FI249" s="2275"/>
      <c r="FJ249" s="2275"/>
      <c r="FK249" s="2275"/>
      <c r="FL249" s="2250"/>
      <c r="FM249" s="2250"/>
      <c r="FN249" s="2250"/>
      <c r="FO249" s="2250"/>
      <c r="FP249" s="2250"/>
      <c r="FQ249" s="2250"/>
      <c r="FR249" s="2250"/>
      <c r="FS249" s="2250"/>
      <c r="FT249" s="2250"/>
      <c r="FU249" s="2250"/>
      <c r="FV249" s="2250"/>
      <c r="FW249" s="2250"/>
      <c r="FX249" s="2250"/>
      <c r="FY249" s="2250"/>
      <c r="FZ249" s="2250"/>
      <c r="GA249" s="2250"/>
      <c r="GB249" s="2276"/>
      <c r="GC249" s="2276"/>
      <c r="GD249" s="2250"/>
      <c r="GE249" s="2275"/>
      <c r="GF249" s="4670"/>
      <c r="GG249" s="2345">
        <v>550</v>
      </c>
      <c r="GH249" s="2346">
        <v>7.43</v>
      </c>
      <c r="GI249" s="2346">
        <v>8.02</v>
      </c>
      <c r="GJ249" s="2346">
        <v>8.61</v>
      </c>
      <c r="GK249" s="2346">
        <v>9.31</v>
      </c>
      <c r="GL249" s="2346">
        <v>9.9</v>
      </c>
      <c r="GM249" s="2346">
        <v>10</v>
      </c>
      <c r="GN249" s="2346">
        <v>10.79</v>
      </c>
      <c r="GO249" s="2346">
        <v>11.49</v>
      </c>
      <c r="GP249" s="2346">
        <v>12.18</v>
      </c>
      <c r="GQ249" s="2346">
        <v>12.97</v>
      </c>
      <c r="GR249" s="2346">
        <v>14.36</v>
      </c>
      <c r="GS249" s="2346">
        <v>15.35</v>
      </c>
      <c r="GT249" s="2346">
        <v>16.239999999999998</v>
      </c>
      <c r="GU249" s="2346">
        <v>17.03</v>
      </c>
      <c r="GV249" s="2346">
        <v>17.52</v>
      </c>
      <c r="GW249" s="2346">
        <v>18.61</v>
      </c>
      <c r="GX249" s="2346">
        <v>20</v>
      </c>
      <c r="GY249" s="2346">
        <v>21.39</v>
      </c>
      <c r="GZ249" s="2346">
        <v>22.77</v>
      </c>
      <c r="HA249" s="2346">
        <v>24.55</v>
      </c>
      <c r="HB249" s="2346">
        <v>26.24</v>
      </c>
      <c r="HC249" s="2346">
        <v>28.71</v>
      </c>
      <c r="HD249" s="2346">
        <v>31.19</v>
      </c>
      <c r="HE249" s="2346">
        <v>34.75</v>
      </c>
      <c r="HF249" s="2346">
        <v>38.81</v>
      </c>
      <c r="HG249" s="2346">
        <v>43.37</v>
      </c>
      <c r="HH249" s="2346">
        <v>47.92</v>
      </c>
      <c r="HI249" s="2347">
        <v>550</v>
      </c>
      <c r="HJ249" s="2275"/>
      <c r="HK249" s="2275">
        <f>HLOOKUP(HK244,GH245:HH257,3,0)</f>
        <v>9.8000000000000007</v>
      </c>
      <c r="HL249" s="2275">
        <f t="shared" si="125"/>
        <v>14.65</v>
      </c>
      <c r="HM249" s="2275">
        <v>475</v>
      </c>
      <c r="HN249" s="2275"/>
      <c r="HO249" s="2275"/>
      <c r="HP249" s="2275"/>
      <c r="HQ249" s="2275"/>
      <c r="HR249" s="2275"/>
      <c r="HS249" s="2275"/>
      <c r="HT249" s="2250"/>
      <c r="HU249" s="2250"/>
      <c r="HV249" s="2250"/>
      <c r="HW249" s="2250"/>
      <c r="HX249" s="2250"/>
      <c r="HY249" s="2250"/>
      <c r="HZ249" s="2250"/>
      <c r="IA249" s="2250"/>
      <c r="IB249" s="2250"/>
      <c r="IC249" s="2250"/>
      <c r="ID249" s="2250"/>
      <c r="IE249" s="2250"/>
      <c r="IF249" s="2250"/>
      <c r="IG249" s="2250"/>
      <c r="IH249" s="2250"/>
      <c r="II249" s="2250"/>
      <c r="IJ249" s="2250"/>
      <c r="IK249" s="2250"/>
      <c r="IL249" s="2250"/>
      <c r="IN249" s="277"/>
      <c r="IO249" s="277"/>
    </row>
    <row r="250" spans="1:249" ht="21.95" customHeight="1">
      <c r="A250" s="2275"/>
      <c r="B250" s="4671"/>
      <c r="C250" s="2345">
        <v>650</v>
      </c>
      <c r="D250" s="2346">
        <v>12.48</v>
      </c>
      <c r="E250" s="2346">
        <v>13.86</v>
      </c>
      <c r="F250" s="2346">
        <v>14.95</v>
      </c>
      <c r="G250" s="2346">
        <v>16.04</v>
      </c>
      <c r="H250" s="2346">
        <v>16.440000000000001</v>
      </c>
      <c r="I250" s="2346">
        <v>17.329999999999998</v>
      </c>
      <c r="J250" s="2346">
        <v>18.61</v>
      </c>
      <c r="K250" s="2346">
        <v>19.899999999999999</v>
      </c>
      <c r="L250" s="2346">
        <v>21.09</v>
      </c>
      <c r="M250" s="2346">
        <v>22.48</v>
      </c>
      <c r="N250" s="2346">
        <v>24.85</v>
      </c>
      <c r="O250" s="2346">
        <v>26.93</v>
      </c>
      <c r="P250" s="2346">
        <v>27.82</v>
      </c>
      <c r="Q250" s="2346">
        <v>29.41</v>
      </c>
      <c r="R250" s="2346">
        <v>30.99</v>
      </c>
      <c r="S250" s="2346">
        <v>31.98</v>
      </c>
      <c r="T250" s="2346">
        <v>34.06</v>
      </c>
      <c r="U250" s="2346">
        <v>36.14</v>
      </c>
      <c r="V250" s="2346">
        <v>38.909999999999997</v>
      </c>
      <c r="W250" s="2346">
        <v>42.18</v>
      </c>
      <c r="X250" s="2346">
        <v>45.45</v>
      </c>
      <c r="Y250" s="2346">
        <v>48.71</v>
      </c>
      <c r="Z250" s="2346">
        <v>52.97</v>
      </c>
      <c r="AA250" s="2346">
        <v>58.12</v>
      </c>
      <c r="AB250" s="2346">
        <v>65.150000000000006</v>
      </c>
      <c r="AC250" s="2346">
        <v>76.44</v>
      </c>
      <c r="AD250" s="2346">
        <v>33.270000000000003</v>
      </c>
      <c r="AE250" s="2347">
        <v>650</v>
      </c>
      <c r="AF250" s="2275"/>
      <c r="AG250" s="2275">
        <f>HLOOKUP(AG244,D245:AD257,4,0)</f>
        <v>10.99</v>
      </c>
      <c r="AH250" s="2275">
        <f t="shared" si="122"/>
        <v>21.39</v>
      </c>
      <c r="AI250" s="2275">
        <v>550</v>
      </c>
      <c r="AJ250" s="2275"/>
      <c r="AK250" s="2275"/>
      <c r="AL250" s="2275"/>
      <c r="AM250" s="2275"/>
      <c r="AN250" s="2275"/>
      <c r="AO250" s="2275"/>
      <c r="AP250" s="2250"/>
      <c r="AQ250" s="2250"/>
      <c r="AR250" s="2250"/>
      <c r="AS250" s="2250"/>
      <c r="AT250" s="2250"/>
      <c r="AU250" s="2250"/>
      <c r="AV250" s="2250"/>
      <c r="AW250" s="2250"/>
      <c r="AX250" s="2250"/>
      <c r="AY250" s="2250"/>
      <c r="AZ250" s="2250"/>
      <c r="BA250" s="2250"/>
      <c r="BB250" s="2250"/>
      <c r="BC250" s="2250"/>
      <c r="BD250" s="2250"/>
      <c r="BE250" s="2250"/>
      <c r="BF250" s="2276"/>
      <c r="BG250" s="2276"/>
      <c r="BH250" s="2250"/>
      <c r="BI250" s="2275"/>
      <c r="BJ250" s="4671"/>
      <c r="BK250" s="2345">
        <v>650</v>
      </c>
      <c r="BL250" s="2346">
        <v>12.48</v>
      </c>
      <c r="BM250" s="2346">
        <v>13.86</v>
      </c>
      <c r="BN250" s="2346">
        <v>14.95</v>
      </c>
      <c r="BO250" s="2346">
        <v>16.04</v>
      </c>
      <c r="BP250" s="2346">
        <v>16.440000000000001</v>
      </c>
      <c r="BQ250" s="2346">
        <v>17.329999999999998</v>
      </c>
      <c r="BR250" s="2346">
        <v>18.61</v>
      </c>
      <c r="BS250" s="2346">
        <v>19.899999999999999</v>
      </c>
      <c r="BT250" s="2346">
        <v>21.09</v>
      </c>
      <c r="BU250" s="2346">
        <v>22.48</v>
      </c>
      <c r="BV250" s="2346">
        <v>24.85</v>
      </c>
      <c r="BW250" s="2346">
        <v>26.93</v>
      </c>
      <c r="BX250" s="2346">
        <v>27.82</v>
      </c>
      <c r="BY250" s="2346">
        <v>29.41</v>
      </c>
      <c r="BZ250" s="2346">
        <v>30.99</v>
      </c>
      <c r="CA250" s="2346">
        <v>31.98</v>
      </c>
      <c r="CB250" s="2346">
        <v>34.06</v>
      </c>
      <c r="CC250" s="2346">
        <v>36.14</v>
      </c>
      <c r="CD250" s="2346">
        <v>38.909999999999997</v>
      </c>
      <c r="CE250" s="2346">
        <v>42.18</v>
      </c>
      <c r="CF250" s="2346">
        <v>45.45</v>
      </c>
      <c r="CG250" s="2346">
        <v>48.71</v>
      </c>
      <c r="CH250" s="2346">
        <v>52.97</v>
      </c>
      <c r="CI250" s="2346">
        <v>58.12</v>
      </c>
      <c r="CJ250" s="2346">
        <v>65.150000000000006</v>
      </c>
      <c r="CK250" s="2346">
        <v>76.44</v>
      </c>
      <c r="CL250" s="2346">
        <v>33.270000000000003</v>
      </c>
      <c r="CM250" s="2347">
        <v>650</v>
      </c>
      <c r="CN250" s="2275"/>
      <c r="CO250" s="2275">
        <f>HLOOKUP(CO244,BL245:CL257,4,0)</f>
        <v>10.1</v>
      </c>
      <c r="CP250" s="2275">
        <f t="shared" si="123"/>
        <v>20</v>
      </c>
      <c r="CQ250" s="2275">
        <v>550</v>
      </c>
      <c r="CR250" s="2275"/>
      <c r="CS250" s="2275"/>
      <c r="CT250" s="2275"/>
      <c r="CU250" s="2275"/>
      <c r="CV250" s="2275"/>
      <c r="CW250" s="2275"/>
      <c r="CX250" s="2250"/>
      <c r="CY250" s="2250"/>
      <c r="CZ250" s="2250"/>
      <c r="DA250" s="2250"/>
      <c r="DB250" s="2250"/>
      <c r="DC250" s="2250"/>
      <c r="DD250" s="2250"/>
      <c r="DE250" s="2250"/>
      <c r="DF250" s="2250"/>
      <c r="DG250" s="2250"/>
      <c r="DH250" s="2250"/>
      <c r="DI250" s="2250"/>
      <c r="DJ250" s="2250"/>
      <c r="DK250" s="2250"/>
      <c r="DL250" s="2250"/>
      <c r="DM250" s="2250"/>
      <c r="DN250" s="2250"/>
      <c r="DO250" s="2250"/>
      <c r="DP250" s="2250"/>
      <c r="DQ250" s="2277"/>
      <c r="DR250" s="2277"/>
      <c r="DS250" s="277"/>
      <c r="DW250" s="2275"/>
      <c r="DX250" s="4671"/>
      <c r="DY250" s="2345">
        <v>650</v>
      </c>
      <c r="DZ250" s="2346">
        <v>12.48</v>
      </c>
      <c r="EA250" s="2346">
        <v>13.86</v>
      </c>
      <c r="EB250" s="2346">
        <v>14.95</v>
      </c>
      <c r="EC250" s="2346">
        <v>16.04</v>
      </c>
      <c r="ED250" s="2346">
        <v>16.440000000000001</v>
      </c>
      <c r="EE250" s="2346">
        <v>17.329999999999998</v>
      </c>
      <c r="EF250" s="2346">
        <v>18.61</v>
      </c>
      <c r="EG250" s="2346">
        <v>19.899999999999999</v>
      </c>
      <c r="EH250" s="2346">
        <v>21.09</v>
      </c>
      <c r="EI250" s="2346">
        <v>22.48</v>
      </c>
      <c r="EJ250" s="2346">
        <v>24.85</v>
      </c>
      <c r="EK250" s="2346">
        <v>26.93</v>
      </c>
      <c r="EL250" s="2346">
        <v>27.82</v>
      </c>
      <c r="EM250" s="2346">
        <v>29.41</v>
      </c>
      <c r="EN250" s="2346">
        <v>30.99</v>
      </c>
      <c r="EO250" s="2346">
        <v>31.98</v>
      </c>
      <c r="EP250" s="2346">
        <v>34.06</v>
      </c>
      <c r="EQ250" s="2346">
        <v>36.14</v>
      </c>
      <c r="ER250" s="2346">
        <v>38.909999999999997</v>
      </c>
      <c r="ES250" s="2346">
        <v>42.18</v>
      </c>
      <c r="ET250" s="2346">
        <v>45.45</v>
      </c>
      <c r="EU250" s="2346">
        <v>48.71</v>
      </c>
      <c r="EV250" s="2346">
        <v>52.97</v>
      </c>
      <c r="EW250" s="2346">
        <v>58.12</v>
      </c>
      <c r="EX250" s="2346">
        <v>65.150000000000006</v>
      </c>
      <c r="EY250" s="2346">
        <v>76.44</v>
      </c>
      <c r="EZ250" s="2346">
        <v>33.270000000000003</v>
      </c>
      <c r="FA250" s="2347">
        <v>650</v>
      </c>
      <c r="FB250" s="2275"/>
      <c r="FC250" s="2275">
        <f>HLOOKUP(FC244,DZ245:EZ257,4,0)</f>
        <v>15.94</v>
      </c>
      <c r="FD250" s="2275">
        <f t="shared" si="124"/>
        <v>31.19</v>
      </c>
      <c r="FE250" s="2275">
        <v>550</v>
      </c>
      <c r="FF250" s="2275"/>
      <c r="FG250" s="2275"/>
      <c r="FH250" s="2275"/>
      <c r="FI250" s="2275"/>
      <c r="FJ250" s="2275"/>
      <c r="FK250" s="2275"/>
      <c r="FL250" s="2250"/>
      <c r="FM250" s="2250"/>
      <c r="FN250" s="2250"/>
      <c r="FO250" s="2250"/>
      <c r="FP250" s="2250"/>
      <c r="FQ250" s="2250"/>
      <c r="FR250" s="2250"/>
      <c r="FS250" s="2250"/>
      <c r="FT250" s="2250"/>
      <c r="FU250" s="2250"/>
      <c r="FV250" s="2250"/>
      <c r="FW250" s="2250"/>
      <c r="FX250" s="2250"/>
      <c r="FY250" s="2250"/>
      <c r="FZ250" s="2250"/>
      <c r="GA250" s="2250"/>
      <c r="GB250" s="2276"/>
      <c r="GC250" s="2276"/>
      <c r="GD250" s="2250"/>
      <c r="GE250" s="2275"/>
      <c r="GF250" s="4671"/>
      <c r="GG250" s="2345">
        <v>650</v>
      </c>
      <c r="GH250" s="2346">
        <v>12.48</v>
      </c>
      <c r="GI250" s="2346">
        <v>13.86</v>
      </c>
      <c r="GJ250" s="2346">
        <v>14.95</v>
      </c>
      <c r="GK250" s="2346">
        <v>16.04</v>
      </c>
      <c r="GL250" s="2346">
        <v>16.440000000000001</v>
      </c>
      <c r="GM250" s="2346">
        <v>17.329999999999998</v>
      </c>
      <c r="GN250" s="2346">
        <v>18.61</v>
      </c>
      <c r="GO250" s="2346">
        <v>19.899999999999999</v>
      </c>
      <c r="GP250" s="2346">
        <v>21.09</v>
      </c>
      <c r="GQ250" s="2346">
        <v>22.48</v>
      </c>
      <c r="GR250" s="2346">
        <v>24.85</v>
      </c>
      <c r="GS250" s="2346">
        <v>26.93</v>
      </c>
      <c r="GT250" s="2346">
        <v>27.82</v>
      </c>
      <c r="GU250" s="2346">
        <v>29.41</v>
      </c>
      <c r="GV250" s="2346">
        <v>30.99</v>
      </c>
      <c r="GW250" s="2346">
        <v>31.98</v>
      </c>
      <c r="GX250" s="2346">
        <v>34.06</v>
      </c>
      <c r="GY250" s="2346">
        <v>36.14</v>
      </c>
      <c r="GZ250" s="2346">
        <v>38.909999999999997</v>
      </c>
      <c r="HA250" s="2346">
        <v>42.18</v>
      </c>
      <c r="HB250" s="2346">
        <v>45.45</v>
      </c>
      <c r="HC250" s="2346">
        <v>48.71</v>
      </c>
      <c r="HD250" s="2346">
        <v>52.97</v>
      </c>
      <c r="HE250" s="2346">
        <v>58.12</v>
      </c>
      <c r="HF250" s="2346">
        <v>65.150000000000006</v>
      </c>
      <c r="HG250" s="2346">
        <v>76.44</v>
      </c>
      <c r="HH250" s="2346">
        <v>33.270000000000003</v>
      </c>
      <c r="HI250" s="2347">
        <v>650</v>
      </c>
      <c r="HJ250" s="2275"/>
      <c r="HK250" s="2275">
        <f>HLOOKUP(HK244,GH245:HH257,4,0)</f>
        <v>14.65</v>
      </c>
      <c r="HL250" s="2275">
        <f t="shared" si="125"/>
        <v>28.71</v>
      </c>
      <c r="HM250" s="2275">
        <v>550</v>
      </c>
      <c r="HN250" s="2275"/>
      <c r="HO250" s="2275"/>
      <c r="HP250" s="2275"/>
      <c r="HQ250" s="2275"/>
      <c r="HR250" s="2275"/>
      <c r="HS250" s="2275"/>
      <c r="HT250" s="2250"/>
      <c r="HU250" s="2250"/>
      <c r="HV250" s="2250"/>
      <c r="HW250" s="2250"/>
      <c r="HX250" s="2250"/>
      <c r="HY250" s="2250"/>
      <c r="HZ250" s="2250"/>
      <c r="IA250" s="2250"/>
      <c r="IB250" s="2250"/>
      <c r="IC250" s="2250"/>
      <c r="ID250" s="2250"/>
      <c r="IE250" s="2250"/>
      <c r="IF250" s="2250"/>
      <c r="IG250" s="2250"/>
      <c r="IH250" s="2250"/>
      <c r="II250" s="2250"/>
      <c r="IJ250" s="2250"/>
      <c r="IK250" s="2250"/>
      <c r="IL250" s="2250"/>
      <c r="IN250" s="277"/>
      <c r="IO250" s="277"/>
    </row>
    <row r="251" spans="1:249" ht="21.95" customHeight="1">
      <c r="A251" s="2275"/>
      <c r="B251" s="4671"/>
      <c r="C251" s="2345">
        <v>775</v>
      </c>
      <c r="D251" s="2346">
        <v>19.21</v>
      </c>
      <c r="E251" s="2346">
        <v>21.68</v>
      </c>
      <c r="F251" s="2346">
        <v>23.76</v>
      </c>
      <c r="G251" s="2346">
        <v>25.54</v>
      </c>
      <c r="H251" s="2346">
        <v>27.13</v>
      </c>
      <c r="I251" s="2346">
        <v>27.33</v>
      </c>
      <c r="J251" s="2346">
        <v>29.5</v>
      </c>
      <c r="K251" s="2346">
        <v>31.58</v>
      </c>
      <c r="L251" s="2346">
        <v>33.47</v>
      </c>
      <c r="M251" s="2346">
        <v>35.64</v>
      </c>
      <c r="N251" s="2346">
        <v>39.409999999999997</v>
      </c>
      <c r="O251" s="2346">
        <v>42.38</v>
      </c>
      <c r="P251" s="2346">
        <v>44.46</v>
      </c>
      <c r="Q251" s="2346">
        <v>46.73</v>
      </c>
      <c r="R251" s="2346">
        <v>48.12</v>
      </c>
      <c r="S251" s="2346">
        <v>50.89</v>
      </c>
      <c r="T251" s="2346">
        <v>54.06</v>
      </c>
      <c r="U251" s="2346">
        <v>58.61</v>
      </c>
      <c r="V251" s="2346">
        <v>62.48</v>
      </c>
      <c r="W251" s="2346">
        <v>66.83</v>
      </c>
      <c r="X251" s="2346">
        <v>71.290000000000006</v>
      </c>
      <c r="Y251" s="2346">
        <v>78.709999999999994</v>
      </c>
      <c r="Z251" s="2346">
        <v>86.04</v>
      </c>
      <c r="AA251" s="2346">
        <v>95.35</v>
      </c>
      <c r="AB251" s="2346">
        <v>107.03</v>
      </c>
      <c r="AC251" s="2346">
        <v>122.48</v>
      </c>
      <c r="AD251" s="2346">
        <v>131.49</v>
      </c>
      <c r="AE251" s="2347">
        <v>775</v>
      </c>
      <c r="AF251" s="2275"/>
      <c r="AG251" s="2275">
        <f>HLOOKUP(AG244,D245:AD257,5,0)</f>
        <v>21.39</v>
      </c>
      <c r="AH251" s="2275">
        <f t="shared" si="122"/>
        <v>36.14</v>
      </c>
      <c r="AI251" s="2275">
        <v>650</v>
      </c>
      <c r="AJ251" s="2275"/>
      <c r="AK251" s="2275"/>
      <c r="AL251" s="2275"/>
      <c r="AM251" s="2275"/>
      <c r="AN251" s="2275"/>
      <c r="AO251" s="2275"/>
      <c r="AP251" s="2250"/>
      <c r="AQ251" s="2250"/>
      <c r="AR251" s="2250"/>
      <c r="AS251" s="2250"/>
      <c r="AT251" s="2250"/>
      <c r="AU251" s="2250"/>
      <c r="AV251" s="2250"/>
      <c r="AW251" s="2250"/>
      <c r="AX251" s="2250"/>
      <c r="AY251" s="2250"/>
      <c r="AZ251" s="2250"/>
      <c r="BA251" s="2250"/>
      <c r="BB251" s="2250"/>
      <c r="BC251" s="2250"/>
      <c r="BD251" s="2250"/>
      <c r="BE251" s="2250"/>
      <c r="BF251" s="2276"/>
      <c r="BG251" s="2276"/>
      <c r="BH251" s="2250"/>
      <c r="BI251" s="2275"/>
      <c r="BJ251" s="4671"/>
      <c r="BK251" s="2345">
        <v>775</v>
      </c>
      <c r="BL251" s="2346">
        <v>19.21</v>
      </c>
      <c r="BM251" s="2346">
        <v>21.68</v>
      </c>
      <c r="BN251" s="2346">
        <v>23.76</v>
      </c>
      <c r="BO251" s="2346">
        <v>25.54</v>
      </c>
      <c r="BP251" s="2346">
        <v>27.13</v>
      </c>
      <c r="BQ251" s="2346">
        <v>27.33</v>
      </c>
      <c r="BR251" s="2346">
        <v>29.5</v>
      </c>
      <c r="BS251" s="2346">
        <v>31.58</v>
      </c>
      <c r="BT251" s="2346">
        <v>33.47</v>
      </c>
      <c r="BU251" s="2346">
        <v>35.64</v>
      </c>
      <c r="BV251" s="2346">
        <v>39.409999999999997</v>
      </c>
      <c r="BW251" s="2346">
        <v>42.38</v>
      </c>
      <c r="BX251" s="2346">
        <v>44.46</v>
      </c>
      <c r="BY251" s="2346">
        <v>46.73</v>
      </c>
      <c r="BZ251" s="2346">
        <v>48.12</v>
      </c>
      <c r="CA251" s="2346">
        <v>50.89</v>
      </c>
      <c r="CB251" s="2346">
        <v>54.06</v>
      </c>
      <c r="CC251" s="2346">
        <v>58.61</v>
      </c>
      <c r="CD251" s="2346">
        <v>62.48</v>
      </c>
      <c r="CE251" s="2346">
        <v>66.83</v>
      </c>
      <c r="CF251" s="2346">
        <v>71.290000000000006</v>
      </c>
      <c r="CG251" s="2346">
        <v>78.709999999999994</v>
      </c>
      <c r="CH251" s="2346">
        <v>86.04</v>
      </c>
      <c r="CI251" s="2346">
        <v>95.35</v>
      </c>
      <c r="CJ251" s="2346">
        <v>107.03</v>
      </c>
      <c r="CK251" s="2346">
        <v>122.48</v>
      </c>
      <c r="CL251" s="2346">
        <v>131.49</v>
      </c>
      <c r="CM251" s="2347">
        <v>775</v>
      </c>
      <c r="CN251" s="2275"/>
      <c r="CO251" s="2275">
        <f>HLOOKUP(CO244,BL245:CL257,5,0)</f>
        <v>20</v>
      </c>
      <c r="CP251" s="2275">
        <f t="shared" si="123"/>
        <v>34.06</v>
      </c>
      <c r="CQ251" s="2275">
        <v>650</v>
      </c>
      <c r="CR251" s="2275"/>
      <c r="CS251" s="2275"/>
      <c r="CT251" s="2275"/>
      <c r="CU251" s="2275"/>
      <c r="CV251" s="2275"/>
      <c r="CW251" s="2275"/>
      <c r="CX251" s="2250"/>
      <c r="CY251" s="2250"/>
      <c r="CZ251" s="2250"/>
      <c r="DA251" s="2250"/>
      <c r="DB251" s="2250"/>
      <c r="DC251" s="2250"/>
      <c r="DD251" s="2250"/>
      <c r="DE251" s="2250"/>
      <c r="DF251" s="2250"/>
      <c r="DG251" s="2250"/>
      <c r="DH251" s="2250"/>
      <c r="DI251" s="2250"/>
      <c r="DJ251" s="2250"/>
      <c r="DK251" s="2250"/>
      <c r="DL251" s="2250"/>
      <c r="DM251" s="2250"/>
      <c r="DN251" s="2250"/>
      <c r="DO251" s="2250"/>
      <c r="DP251" s="2250"/>
      <c r="DQ251" s="2277"/>
      <c r="DR251" s="2277"/>
      <c r="DS251" s="277"/>
      <c r="DW251" s="2275"/>
      <c r="DX251" s="4671"/>
      <c r="DY251" s="2345">
        <v>775</v>
      </c>
      <c r="DZ251" s="2346">
        <v>19.21</v>
      </c>
      <c r="EA251" s="2346">
        <v>21.68</v>
      </c>
      <c r="EB251" s="2346">
        <v>23.76</v>
      </c>
      <c r="EC251" s="2346">
        <v>25.54</v>
      </c>
      <c r="ED251" s="2346">
        <v>27.13</v>
      </c>
      <c r="EE251" s="2346">
        <v>27.33</v>
      </c>
      <c r="EF251" s="2346">
        <v>29.5</v>
      </c>
      <c r="EG251" s="2346">
        <v>31.58</v>
      </c>
      <c r="EH251" s="2346">
        <v>33.47</v>
      </c>
      <c r="EI251" s="2346">
        <v>35.64</v>
      </c>
      <c r="EJ251" s="2346">
        <v>39.409999999999997</v>
      </c>
      <c r="EK251" s="2346">
        <v>42.38</v>
      </c>
      <c r="EL251" s="2346">
        <v>44.46</v>
      </c>
      <c r="EM251" s="2346">
        <v>46.73</v>
      </c>
      <c r="EN251" s="2346">
        <v>48.12</v>
      </c>
      <c r="EO251" s="2346">
        <v>50.89</v>
      </c>
      <c r="EP251" s="2346">
        <v>54.06</v>
      </c>
      <c r="EQ251" s="2346">
        <v>58.61</v>
      </c>
      <c r="ER251" s="2346">
        <v>62.48</v>
      </c>
      <c r="ES251" s="2346">
        <v>66.83</v>
      </c>
      <c r="ET251" s="2346">
        <v>71.290000000000006</v>
      </c>
      <c r="EU251" s="2346">
        <v>78.709999999999994</v>
      </c>
      <c r="EV251" s="2346">
        <v>86.04</v>
      </c>
      <c r="EW251" s="2346">
        <v>95.35</v>
      </c>
      <c r="EX251" s="2346">
        <v>107.03</v>
      </c>
      <c r="EY251" s="2346">
        <v>122.48</v>
      </c>
      <c r="EZ251" s="2346">
        <v>131.49</v>
      </c>
      <c r="FA251" s="2347">
        <v>775</v>
      </c>
      <c r="FB251" s="2275"/>
      <c r="FC251" s="2275">
        <f>HLOOKUP(FC244,DZ245:EZ257,5,0)</f>
        <v>31.19</v>
      </c>
      <c r="FD251" s="2275">
        <f t="shared" si="124"/>
        <v>52.97</v>
      </c>
      <c r="FE251" s="2275">
        <v>650</v>
      </c>
      <c r="FF251" s="2275"/>
      <c r="FG251" s="2275"/>
      <c r="FH251" s="2275"/>
      <c r="FI251" s="2275"/>
      <c r="FJ251" s="2275"/>
      <c r="FK251" s="2275"/>
      <c r="FL251" s="2250"/>
      <c r="FM251" s="2250"/>
      <c r="FN251" s="2250"/>
      <c r="FO251" s="2250"/>
      <c r="FP251" s="2250"/>
      <c r="FQ251" s="2250"/>
      <c r="FR251" s="2250"/>
      <c r="FS251" s="2250"/>
      <c r="FT251" s="2250"/>
      <c r="FU251" s="2250"/>
      <c r="FV251" s="2250"/>
      <c r="FW251" s="2250"/>
      <c r="FX251" s="2250"/>
      <c r="FY251" s="2250"/>
      <c r="FZ251" s="2250"/>
      <c r="GA251" s="2250"/>
      <c r="GB251" s="2276"/>
      <c r="GC251" s="2276"/>
      <c r="GD251" s="2250"/>
      <c r="GE251" s="2275"/>
      <c r="GF251" s="4671"/>
      <c r="GG251" s="2345">
        <v>775</v>
      </c>
      <c r="GH251" s="2346">
        <v>19.21</v>
      </c>
      <c r="GI251" s="2346">
        <v>21.68</v>
      </c>
      <c r="GJ251" s="2346">
        <v>23.76</v>
      </c>
      <c r="GK251" s="2346">
        <v>25.54</v>
      </c>
      <c r="GL251" s="2346">
        <v>27.13</v>
      </c>
      <c r="GM251" s="2346">
        <v>27.33</v>
      </c>
      <c r="GN251" s="2346">
        <v>29.5</v>
      </c>
      <c r="GO251" s="2346">
        <v>31.58</v>
      </c>
      <c r="GP251" s="2346">
        <v>33.47</v>
      </c>
      <c r="GQ251" s="2346">
        <v>35.64</v>
      </c>
      <c r="GR251" s="2346">
        <v>39.409999999999997</v>
      </c>
      <c r="GS251" s="2346">
        <v>42.38</v>
      </c>
      <c r="GT251" s="2346">
        <v>44.46</v>
      </c>
      <c r="GU251" s="2346">
        <v>46.73</v>
      </c>
      <c r="GV251" s="2346">
        <v>48.12</v>
      </c>
      <c r="GW251" s="2346">
        <v>50.89</v>
      </c>
      <c r="GX251" s="2346">
        <v>54.06</v>
      </c>
      <c r="GY251" s="2346">
        <v>58.61</v>
      </c>
      <c r="GZ251" s="2346">
        <v>62.48</v>
      </c>
      <c r="HA251" s="2346">
        <v>66.83</v>
      </c>
      <c r="HB251" s="2346">
        <v>71.290000000000006</v>
      </c>
      <c r="HC251" s="2346">
        <v>78.709999999999994</v>
      </c>
      <c r="HD251" s="2346">
        <v>86.04</v>
      </c>
      <c r="HE251" s="2346">
        <v>95.35</v>
      </c>
      <c r="HF251" s="2346">
        <v>107.03</v>
      </c>
      <c r="HG251" s="2346">
        <v>122.48</v>
      </c>
      <c r="HH251" s="2346">
        <v>131.49</v>
      </c>
      <c r="HI251" s="2347">
        <v>775</v>
      </c>
      <c r="HJ251" s="2275"/>
      <c r="HK251" s="2275">
        <f>HLOOKUP(HK244,GH245:HH257,5,0)</f>
        <v>28.71</v>
      </c>
      <c r="HL251" s="2275">
        <f t="shared" si="125"/>
        <v>48.71</v>
      </c>
      <c r="HM251" s="2275">
        <v>650</v>
      </c>
      <c r="HN251" s="2275"/>
      <c r="HO251" s="2275"/>
      <c r="HP251" s="2275"/>
      <c r="HQ251" s="2275"/>
      <c r="HR251" s="2275"/>
      <c r="HS251" s="2275"/>
      <c r="HT251" s="2250"/>
      <c r="HU251" s="2250"/>
      <c r="HV251" s="2250"/>
      <c r="HW251" s="2250"/>
      <c r="HX251" s="2250"/>
      <c r="HY251" s="2250"/>
      <c r="HZ251" s="2250"/>
      <c r="IA251" s="2250"/>
      <c r="IB251" s="2250"/>
      <c r="IC251" s="2250"/>
      <c r="ID251" s="2250"/>
      <c r="IE251" s="2250"/>
      <c r="IF251" s="2250"/>
      <c r="IG251" s="2250"/>
      <c r="IH251" s="2250"/>
      <c r="II251" s="2250"/>
      <c r="IJ251" s="2250"/>
      <c r="IK251" s="2250"/>
      <c r="IL251" s="2250"/>
      <c r="IN251" s="277"/>
      <c r="IO251" s="277"/>
    </row>
    <row r="252" spans="1:249" ht="21.95" customHeight="1">
      <c r="A252" s="2275"/>
      <c r="B252" s="4671"/>
      <c r="C252" s="2345">
        <v>825</v>
      </c>
      <c r="D252" s="2346">
        <v>28.02</v>
      </c>
      <c r="E252" s="2346">
        <v>30.69</v>
      </c>
      <c r="F252" s="2346">
        <v>33.659999999999997</v>
      </c>
      <c r="G252" s="2346">
        <v>33.659999999999997</v>
      </c>
      <c r="H252" s="2346">
        <v>37.43</v>
      </c>
      <c r="I252" s="2346">
        <v>38.119999999999997</v>
      </c>
      <c r="J252" s="2346">
        <v>41.98</v>
      </c>
      <c r="K252" s="2346">
        <v>44.75</v>
      </c>
      <c r="L252" s="2346">
        <v>47.43</v>
      </c>
      <c r="M252" s="2346">
        <v>50</v>
      </c>
      <c r="N252" s="2346">
        <v>53.07</v>
      </c>
      <c r="O252" s="2346">
        <v>59.6</v>
      </c>
      <c r="P252" s="2346">
        <v>62.57</v>
      </c>
      <c r="Q252" s="2346">
        <v>63.37</v>
      </c>
      <c r="R252" s="2346">
        <v>65.84</v>
      </c>
      <c r="S252" s="2346">
        <v>72.08</v>
      </c>
      <c r="T252" s="2346">
        <v>72.48</v>
      </c>
      <c r="U252" s="2346">
        <v>80.2</v>
      </c>
      <c r="V252" s="2346">
        <v>84.85</v>
      </c>
      <c r="W252" s="2346">
        <v>89.31</v>
      </c>
      <c r="X252" s="2346">
        <v>96.63</v>
      </c>
      <c r="Y252" s="2346">
        <v>104.46</v>
      </c>
      <c r="Z252" s="2346">
        <v>114.75</v>
      </c>
      <c r="AA252" s="2346">
        <v>117.33</v>
      </c>
      <c r="AB252" s="2346">
        <v>128.32</v>
      </c>
      <c r="AC252" s="2346">
        <v>131.49</v>
      </c>
      <c r="AD252" s="2346">
        <v>131.49</v>
      </c>
      <c r="AE252" s="2347">
        <v>825</v>
      </c>
      <c r="AF252" s="2275"/>
      <c r="AG252" s="2275">
        <f>HLOOKUP(AG244,D245:AD257,6,0)</f>
        <v>36.14</v>
      </c>
      <c r="AH252" s="2275">
        <f t="shared" si="122"/>
        <v>58.61</v>
      </c>
      <c r="AI252" s="2275">
        <v>775</v>
      </c>
      <c r="AJ252" s="2275"/>
      <c r="AK252" s="2275"/>
      <c r="AL252" s="2275"/>
      <c r="AM252" s="2275"/>
      <c r="AN252" s="2275"/>
      <c r="AO252" s="2275"/>
      <c r="AP252" s="2250"/>
      <c r="AQ252" s="2250"/>
      <c r="AR252" s="2250"/>
      <c r="AS252" s="2250"/>
      <c r="AT252" s="2250"/>
      <c r="AU252" s="2250"/>
      <c r="AV252" s="2250"/>
      <c r="AW252" s="2250"/>
      <c r="AX252" s="2250"/>
      <c r="AY252" s="2250"/>
      <c r="AZ252" s="2250"/>
      <c r="BA252" s="2250"/>
      <c r="BB252" s="2250"/>
      <c r="BC252" s="2250"/>
      <c r="BD252" s="2250"/>
      <c r="BE252" s="2250"/>
      <c r="BF252" s="2276"/>
      <c r="BG252" s="2276"/>
      <c r="BH252" s="2250"/>
      <c r="BI252" s="2275"/>
      <c r="BJ252" s="4671"/>
      <c r="BK252" s="2345">
        <v>825</v>
      </c>
      <c r="BL252" s="2346">
        <v>28.02</v>
      </c>
      <c r="BM252" s="2346">
        <v>30.69</v>
      </c>
      <c r="BN252" s="2346">
        <v>33.659999999999997</v>
      </c>
      <c r="BO252" s="2346">
        <v>33.659999999999997</v>
      </c>
      <c r="BP252" s="2346">
        <v>37.43</v>
      </c>
      <c r="BQ252" s="2346">
        <v>38.119999999999997</v>
      </c>
      <c r="BR252" s="2346">
        <v>41.98</v>
      </c>
      <c r="BS252" s="2346">
        <v>44.75</v>
      </c>
      <c r="BT252" s="2346">
        <v>47.43</v>
      </c>
      <c r="BU252" s="2346">
        <v>50</v>
      </c>
      <c r="BV252" s="2346">
        <v>53.07</v>
      </c>
      <c r="BW252" s="2346">
        <v>59.6</v>
      </c>
      <c r="BX252" s="2346">
        <v>62.57</v>
      </c>
      <c r="BY252" s="2346">
        <v>63.37</v>
      </c>
      <c r="BZ252" s="2346">
        <v>65.84</v>
      </c>
      <c r="CA252" s="2346">
        <v>72.08</v>
      </c>
      <c r="CB252" s="2346">
        <v>72.48</v>
      </c>
      <c r="CC252" s="2346">
        <v>80.2</v>
      </c>
      <c r="CD252" s="2346">
        <v>84.85</v>
      </c>
      <c r="CE252" s="2346">
        <v>89.31</v>
      </c>
      <c r="CF252" s="2346">
        <v>96.63</v>
      </c>
      <c r="CG252" s="2346">
        <v>104.46</v>
      </c>
      <c r="CH252" s="2346">
        <v>114.75</v>
      </c>
      <c r="CI252" s="2346">
        <v>117.33</v>
      </c>
      <c r="CJ252" s="2346">
        <v>128.32</v>
      </c>
      <c r="CK252" s="2346">
        <v>131.49</v>
      </c>
      <c r="CL252" s="2346">
        <v>131.49</v>
      </c>
      <c r="CM252" s="2347">
        <v>825</v>
      </c>
      <c r="CN252" s="2275"/>
      <c r="CO252" s="2275">
        <f>HLOOKUP(CO244,BL245:CL257,6,0)</f>
        <v>34.06</v>
      </c>
      <c r="CP252" s="2275">
        <f t="shared" si="123"/>
        <v>54.06</v>
      </c>
      <c r="CQ252" s="2275">
        <v>775</v>
      </c>
      <c r="CR252" s="2275"/>
      <c r="CS252" s="2275"/>
      <c r="CT252" s="2275"/>
      <c r="CU252" s="2275"/>
      <c r="CV252" s="2275"/>
      <c r="CW252" s="2275"/>
      <c r="CX252" s="2250"/>
      <c r="CY252" s="2250"/>
      <c r="CZ252" s="2250"/>
      <c r="DA252" s="2250"/>
      <c r="DB252" s="2250"/>
      <c r="DC252" s="2250"/>
      <c r="DD252" s="2250"/>
      <c r="DE252" s="2250"/>
      <c r="DF252" s="2250"/>
      <c r="DG252" s="2250"/>
      <c r="DH252" s="2250"/>
      <c r="DI252" s="2250"/>
      <c r="DJ252" s="2250"/>
      <c r="DK252" s="2250"/>
      <c r="DL252" s="2250"/>
      <c r="DM252" s="2250"/>
      <c r="DN252" s="2250"/>
      <c r="DO252" s="2250"/>
      <c r="DP252" s="2250"/>
      <c r="DQ252" s="2277"/>
      <c r="DR252" s="2277"/>
      <c r="DS252" s="277"/>
      <c r="DW252" s="2275"/>
      <c r="DX252" s="4671"/>
      <c r="DY252" s="2345">
        <v>825</v>
      </c>
      <c r="DZ252" s="2346">
        <v>28.02</v>
      </c>
      <c r="EA252" s="2346">
        <v>30.69</v>
      </c>
      <c r="EB252" s="2346">
        <v>33.659999999999997</v>
      </c>
      <c r="EC252" s="2346">
        <v>33.659999999999997</v>
      </c>
      <c r="ED252" s="2346">
        <v>37.43</v>
      </c>
      <c r="EE252" s="2346">
        <v>38.119999999999997</v>
      </c>
      <c r="EF252" s="2346">
        <v>41.98</v>
      </c>
      <c r="EG252" s="2346">
        <v>44.75</v>
      </c>
      <c r="EH252" s="2346">
        <v>47.43</v>
      </c>
      <c r="EI252" s="2346">
        <v>50</v>
      </c>
      <c r="EJ252" s="2346">
        <v>53.07</v>
      </c>
      <c r="EK252" s="2346">
        <v>59.6</v>
      </c>
      <c r="EL252" s="2346">
        <v>62.57</v>
      </c>
      <c r="EM252" s="2346">
        <v>63.37</v>
      </c>
      <c r="EN252" s="2346">
        <v>65.84</v>
      </c>
      <c r="EO252" s="2346">
        <v>72.08</v>
      </c>
      <c r="EP252" s="2346">
        <v>72.48</v>
      </c>
      <c r="EQ252" s="2346">
        <v>80.2</v>
      </c>
      <c r="ER252" s="2346">
        <v>84.85</v>
      </c>
      <c r="ES252" s="2346">
        <v>89.31</v>
      </c>
      <c r="ET252" s="2346">
        <v>96.63</v>
      </c>
      <c r="EU252" s="2346">
        <v>104.46</v>
      </c>
      <c r="EV252" s="2346">
        <v>114.75</v>
      </c>
      <c r="EW252" s="2346">
        <v>117.33</v>
      </c>
      <c r="EX252" s="2346">
        <v>128.32</v>
      </c>
      <c r="EY252" s="2346">
        <v>131.49</v>
      </c>
      <c r="EZ252" s="2346">
        <v>131.49</v>
      </c>
      <c r="FA252" s="2347">
        <v>825</v>
      </c>
      <c r="FB252" s="2275"/>
      <c r="FC252" s="2275">
        <f>HLOOKUP(FC244,DZ245:EZ257,6,0)</f>
        <v>52.97</v>
      </c>
      <c r="FD252" s="2275">
        <f t="shared" si="124"/>
        <v>86.04</v>
      </c>
      <c r="FE252" s="2275">
        <v>775</v>
      </c>
      <c r="FF252" s="2275"/>
      <c r="FG252" s="2275"/>
      <c r="FH252" s="2275"/>
      <c r="FI252" s="2275"/>
      <c r="FJ252" s="2275"/>
      <c r="FK252" s="2275"/>
      <c r="FL252" s="2250"/>
      <c r="FM252" s="2250"/>
      <c r="FN252" s="2250"/>
      <c r="FO252" s="2250"/>
      <c r="FP252" s="2250"/>
      <c r="FQ252" s="2250"/>
      <c r="FR252" s="2250"/>
      <c r="FS252" s="2250"/>
      <c r="FT252" s="2250"/>
      <c r="FU252" s="2250"/>
      <c r="FV252" s="2250"/>
      <c r="FW252" s="2250"/>
      <c r="FX252" s="2250"/>
      <c r="FY252" s="2250"/>
      <c r="FZ252" s="2250"/>
      <c r="GA252" s="2250"/>
      <c r="GB252" s="2276"/>
      <c r="GC252" s="2276"/>
      <c r="GD252" s="2250"/>
      <c r="GE252" s="2275"/>
      <c r="GF252" s="4671"/>
      <c r="GG252" s="2345">
        <v>825</v>
      </c>
      <c r="GH252" s="2346">
        <v>28.02</v>
      </c>
      <c r="GI252" s="2346">
        <v>30.69</v>
      </c>
      <c r="GJ252" s="2346">
        <v>33.659999999999997</v>
      </c>
      <c r="GK252" s="2346">
        <v>33.659999999999997</v>
      </c>
      <c r="GL252" s="2346">
        <v>37.43</v>
      </c>
      <c r="GM252" s="2346">
        <v>38.119999999999997</v>
      </c>
      <c r="GN252" s="2346">
        <v>41.98</v>
      </c>
      <c r="GO252" s="2346">
        <v>44.75</v>
      </c>
      <c r="GP252" s="2346">
        <v>47.43</v>
      </c>
      <c r="GQ252" s="2346">
        <v>50</v>
      </c>
      <c r="GR252" s="2346">
        <v>53.07</v>
      </c>
      <c r="GS252" s="2346">
        <v>59.6</v>
      </c>
      <c r="GT252" s="2346">
        <v>62.57</v>
      </c>
      <c r="GU252" s="2346">
        <v>63.37</v>
      </c>
      <c r="GV252" s="2346">
        <v>65.84</v>
      </c>
      <c r="GW252" s="2346">
        <v>72.08</v>
      </c>
      <c r="GX252" s="2346">
        <v>72.48</v>
      </c>
      <c r="GY252" s="2346">
        <v>80.2</v>
      </c>
      <c r="GZ252" s="2346">
        <v>84.85</v>
      </c>
      <c r="HA252" s="2346">
        <v>89.31</v>
      </c>
      <c r="HB252" s="2346">
        <v>96.63</v>
      </c>
      <c r="HC252" s="2346">
        <v>104.46</v>
      </c>
      <c r="HD252" s="2346">
        <v>114.75</v>
      </c>
      <c r="HE252" s="2346">
        <v>117.33</v>
      </c>
      <c r="HF252" s="2346">
        <v>128.32</v>
      </c>
      <c r="HG252" s="2346">
        <v>131.49</v>
      </c>
      <c r="HH252" s="2346">
        <v>131.49</v>
      </c>
      <c r="HI252" s="2347">
        <v>825</v>
      </c>
      <c r="HJ252" s="2275"/>
      <c r="HK252" s="2275">
        <f>HLOOKUP(HK244,GH245:HH257,6,0)</f>
        <v>48.71</v>
      </c>
      <c r="HL252" s="2275">
        <f t="shared" si="125"/>
        <v>78.709999999999994</v>
      </c>
      <c r="HM252" s="2275">
        <v>775</v>
      </c>
      <c r="HN252" s="2275"/>
      <c r="HO252" s="2275"/>
      <c r="HP252" s="2275"/>
      <c r="HQ252" s="2275"/>
      <c r="HR252" s="2275"/>
      <c r="HS252" s="2275"/>
      <c r="HT252" s="2250"/>
      <c r="HU252" s="2250"/>
      <c r="HV252" s="2250"/>
      <c r="HW252" s="2250"/>
      <c r="HX252" s="2250"/>
      <c r="HY252" s="2250"/>
      <c r="HZ252" s="2250"/>
      <c r="IA252" s="2250"/>
      <c r="IB252" s="2250"/>
      <c r="IC252" s="2250"/>
      <c r="ID252" s="2250"/>
      <c r="IE252" s="2250"/>
      <c r="IF252" s="2250"/>
      <c r="IG252" s="2250"/>
      <c r="IH252" s="2250"/>
      <c r="II252" s="2250"/>
      <c r="IJ252" s="2250"/>
      <c r="IK252" s="2250"/>
      <c r="IL252" s="2250"/>
      <c r="IN252" s="277"/>
      <c r="IO252" s="277"/>
    </row>
    <row r="253" spans="1:249" ht="21.95" customHeight="1">
      <c r="A253" s="2275"/>
      <c r="B253" s="4671"/>
      <c r="C253" s="2345">
        <v>950</v>
      </c>
      <c r="D253" s="2346">
        <v>38.909999999999997</v>
      </c>
      <c r="E253" s="2346">
        <v>43.86</v>
      </c>
      <c r="F253" s="2346">
        <v>48.61</v>
      </c>
      <c r="G253" s="2346">
        <v>51.19</v>
      </c>
      <c r="H253" s="2346">
        <v>51.19</v>
      </c>
      <c r="I253" s="2346">
        <v>55.35</v>
      </c>
      <c r="J253" s="2346">
        <v>61.29</v>
      </c>
      <c r="K253" s="2346">
        <v>65.05</v>
      </c>
      <c r="L253" s="2346">
        <v>69.11</v>
      </c>
      <c r="M253" s="2346">
        <v>75.25</v>
      </c>
      <c r="N253" s="2346">
        <v>76.53</v>
      </c>
      <c r="O253" s="2346">
        <v>89.6</v>
      </c>
      <c r="P253" s="2346">
        <v>90.59</v>
      </c>
      <c r="Q253" s="2346">
        <v>90.79</v>
      </c>
      <c r="R253" s="2346">
        <v>95.35</v>
      </c>
      <c r="S253" s="2346">
        <v>104.06</v>
      </c>
      <c r="T253" s="2346">
        <v>111.98</v>
      </c>
      <c r="U253" s="2346">
        <v>117.82</v>
      </c>
      <c r="V253" s="2346">
        <v>122.57</v>
      </c>
      <c r="W253" s="2346">
        <v>134.85</v>
      </c>
      <c r="X253" s="2346">
        <v>145.25</v>
      </c>
      <c r="Y253" s="2346">
        <v>157.03</v>
      </c>
      <c r="Z253" s="2346">
        <v>169.7</v>
      </c>
      <c r="AA253" s="2346">
        <v>186.73</v>
      </c>
      <c r="AB253" s="2346">
        <v>196.24</v>
      </c>
      <c r="AC253" s="2346">
        <v>196.24</v>
      </c>
      <c r="AD253" s="2346">
        <v>196.24</v>
      </c>
      <c r="AE253" s="2347">
        <v>950</v>
      </c>
      <c r="AF253" s="2275"/>
      <c r="AG253" s="2275">
        <f>HLOOKUP(AG244,D245:AD257,7,0)</f>
        <v>58.61</v>
      </c>
      <c r="AH253" s="2275">
        <f t="shared" si="122"/>
        <v>80.2</v>
      </c>
      <c r="AI253" s="2275">
        <v>825</v>
      </c>
      <c r="AJ253" s="2275"/>
      <c r="AK253" s="2275"/>
      <c r="AL253" s="2275"/>
      <c r="AM253" s="2275"/>
      <c r="AN253" s="2275"/>
      <c r="AO253" s="2275"/>
      <c r="AP253" s="2250"/>
      <c r="AQ253" s="2250"/>
      <c r="AR253" s="2250"/>
      <c r="AS253" s="2250"/>
      <c r="AT253" s="2250"/>
      <c r="AU253" s="2250"/>
      <c r="AV253" s="2250"/>
      <c r="AW253" s="2250"/>
      <c r="AX253" s="2250"/>
      <c r="AY253" s="2250"/>
      <c r="AZ253" s="2250"/>
      <c r="BA253" s="2250"/>
      <c r="BB253" s="2250"/>
      <c r="BC253" s="2250"/>
      <c r="BD253" s="2250"/>
      <c r="BE253" s="2250"/>
      <c r="BF253" s="2276"/>
      <c r="BG253" s="2276"/>
      <c r="BH253" s="2250"/>
      <c r="BI253" s="2275"/>
      <c r="BJ253" s="4671"/>
      <c r="BK253" s="2345">
        <v>950</v>
      </c>
      <c r="BL253" s="2346">
        <v>38.909999999999997</v>
      </c>
      <c r="BM253" s="2346">
        <v>43.86</v>
      </c>
      <c r="BN253" s="2346">
        <v>48.61</v>
      </c>
      <c r="BO253" s="2346">
        <v>51.19</v>
      </c>
      <c r="BP253" s="2346">
        <v>51.19</v>
      </c>
      <c r="BQ253" s="2346">
        <v>55.35</v>
      </c>
      <c r="BR253" s="2346">
        <v>61.29</v>
      </c>
      <c r="BS253" s="2346">
        <v>65.05</v>
      </c>
      <c r="BT253" s="2346">
        <v>69.11</v>
      </c>
      <c r="BU253" s="2346">
        <v>75.25</v>
      </c>
      <c r="BV253" s="2346">
        <v>76.53</v>
      </c>
      <c r="BW253" s="2346">
        <v>89.6</v>
      </c>
      <c r="BX253" s="2346">
        <v>90.59</v>
      </c>
      <c r="BY253" s="2346">
        <v>90.79</v>
      </c>
      <c r="BZ253" s="2346">
        <v>95.35</v>
      </c>
      <c r="CA253" s="2346">
        <v>104.06</v>
      </c>
      <c r="CB253" s="2346">
        <v>111.98</v>
      </c>
      <c r="CC253" s="2346">
        <v>117.82</v>
      </c>
      <c r="CD253" s="2346">
        <v>122.57</v>
      </c>
      <c r="CE253" s="2346">
        <v>134.85</v>
      </c>
      <c r="CF253" s="2346">
        <v>145.25</v>
      </c>
      <c r="CG253" s="2346">
        <v>157.03</v>
      </c>
      <c r="CH253" s="2346">
        <v>169.7</v>
      </c>
      <c r="CI253" s="2346">
        <v>186.73</v>
      </c>
      <c r="CJ253" s="2346">
        <v>196.24</v>
      </c>
      <c r="CK253" s="2346">
        <v>196.24</v>
      </c>
      <c r="CL253" s="2346">
        <v>196.24</v>
      </c>
      <c r="CM253" s="2347">
        <v>950</v>
      </c>
      <c r="CN253" s="2275"/>
      <c r="CO253" s="2275">
        <f>HLOOKUP(CO244,BL245:CL257,7,0)</f>
        <v>54.06</v>
      </c>
      <c r="CP253" s="2275">
        <f t="shared" si="123"/>
        <v>72.48</v>
      </c>
      <c r="CQ253" s="2275">
        <v>825</v>
      </c>
      <c r="CR253" s="2275"/>
      <c r="CS253" s="2275"/>
      <c r="CT253" s="2275"/>
      <c r="CU253" s="2275"/>
      <c r="CV253" s="2275"/>
      <c r="CW253" s="2275"/>
      <c r="CX253" s="2250"/>
      <c r="CY253" s="2250"/>
      <c r="CZ253" s="2250"/>
      <c r="DA253" s="2250"/>
      <c r="DB253" s="2250"/>
      <c r="DC253" s="2250"/>
      <c r="DD253" s="2250"/>
      <c r="DE253" s="2250"/>
      <c r="DF253" s="2250"/>
      <c r="DG253" s="2250"/>
      <c r="DH253" s="2250"/>
      <c r="DI253" s="2250"/>
      <c r="DJ253" s="2250"/>
      <c r="DK253" s="2250"/>
      <c r="DL253" s="2250"/>
      <c r="DM253" s="2250"/>
      <c r="DN253" s="2250"/>
      <c r="DO253" s="2250"/>
      <c r="DP253" s="2250"/>
      <c r="DQ253" s="2277"/>
      <c r="DR253" s="2277"/>
      <c r="DS253" s="277"/>
      <c r="DW253" s="2275"/>
      <c r="DX253" s="4671"/>
      <c r="DY253" s="2345">
        <v>950</v>
      </c>
      <c r="DZ253" s="2346">
        <v>38.909999999999997</v>
      </c>
      <c r="EA253" s="2346">
        <v>43.86</v>
      </c>
      <c r="EB253" s="2346">
        <v>48.61</v>
      </c>
      <c r="EC253" s="2346">
        <v>51.19</v>
      </c>
      <c r="ED253" s="2346">
        <v>51.19</v>
      </c>
      <c r="EE253" s="2346">
        <v>55.35</v>
      </c>
      <c r="EF253" s="2346">
        <v>61.29</v>
      </c>
      <c r="EG253" s="2346">
        <v>65.05</v>
      </c>
      <c r="EH253" s="2346">
        <v>69.11</v>
      </c>
      <c r="EI253" s="2346">
        <v>75.25</v>
      </c>
      <c r="EJ253" s="2346">
        <v>76.53</v>
      </c>
      <c r="EK253" s="2346">
        <v>89.6</v>
      </c>
      <c r="EL253" s="2346">
        <v>90.59</v>
      </c>
      <c r="EM253" s="2346">
        <v>90.79</v>
      </c>
      <c r="EN253" s="2346">
        <v>95.35</v>
      </c>
      <c r="EO253" s="2346">
        <v>104.06</v>
      </c>
      <c r="EP253" s="2346">
        <v>111.98</v>
      </c>
      <c r="EQ253" s="2346">
        <v>117.82</v>
      </c>
      <c r="ER253" s="2346">
        <v>122.57</v>
      </c>
      <c r="ES253" s="2346">
        <v>134.85</v>
      </c>
      <c r="ET253" s="2346">
        <v>145.25</v>
      </c>
      <c r="EU253" s="2346">
        <v>157.03</v>
      </c>
      <c r="EV253" s="2346">
        <v>169.7</v>
      </c>
      <c r="EW253" s="2346">
        <v>186.73</v>
      </c>
      <c r="EX253" s="2346">
        <v>196.24</v>
      </c>
      <c r="EY253" s="2346">
        <v>196.24</v>
      </c>
      <c r="EZ253" s="2346">
        <v>196.24</v>
      </c>
      <c r="FA253" s="2347">
        <v>950</v>
      </c>
      <c r="FB253" s="2275"/>
      <c r="FC253" s="2275">
        <f>HLOOKUP(FC244,DZ245:EZ257,7,0)</f>
        <v>86.04</v>
      </c>
      <c r="FD253" s="2275">
        <f t="shared" si="124"/>
        <v>114.75</v>
      </c>
      <c r="FE253" s="2275">
        <v>825</v>
      </c>
      <c r="FF253" s="2275"/>
      <c r="FG253" s="2275"/>
      <c r="FH253" s="2275"/>
      <c r="FI253" s="2275"/>
      <c r="FJ253" s="2275"/>
      <c r="FK253" s="2275"/>
      <c r="FL253" s="2250"/>
      <c r="FM253" s="2250"/>
      <c r="FN253" s="2250"/>
      <c r="FO253" s="2250"/>
      <c r="FP253" s="2250"/>
      <c r="FQ253" s="2250"/>
      <c r="FR253" s="2250"/>
      <c r="FS253" s="2250"/>
      <c r="FT253" s="2250"/>
      <c r="FU253" s="2250"/>
      <c r="FV253" s="2250"/>
      <c r="FW253" s="2250"/>
      <c r="FX253" s="2250"/>
      <c r="FY253" s="2250"/>
      <c r="FZ253" s="2250"/>
      <c r="GA253" s="2250"/>
      <c r="GB253" s="2276"/>
      <c r="GC253" s="2276"/>
      <c r="GD253" s="2250"/>
      <c r="GE253" s="2275"/>
      <c r="GF253" s="4671"/>
      <c r="GG253" s="2345">
        <v>950</v>
      </c>
      <c r="GH253" s="2346">
        <v>38.909999999999997</v>
      </c>
      <c r="GI253" s="2346">
        <v>43.86</v>
      </c>
      <c r="GJ253" s="2346">
        <v>48.61</v>
      </c>
      <c r="GK253" s="2346">
        <v>51.19</v>
      </c>
      <c r="GL253" s="2346">
        <v>51.19</v>
      </c>
      <c r="GM253" s="2346">
        <v>55.35</v>
      </c>
      <c r="GN253" s="2346">
        <v>61.29</v>
      </c>
      <c r="GO253" s="2346">
        <v>65.05</v>
      </c>
      <c r="GP253" s="2346">
        <v>69.11</v>
      </c>
      <c r="GQ253" s="2346">
        <v>75.25</v>
      </c>
      <c r="GR253" s="2346">
        <v>76.53</v>
      </c>
      <c r="GS253" s="2346">
        <v>89.6</v>
      </c>
      <c r="GT253" s="2346">
        <v>90.59</v>
      </c>
      <c r="GU253" s="2346">
        <v>90.79</v>
      </c>
      <c r="GV253" s="2346">
        <v>95.35</v>
      </c>
      <c r="GW253" s="2346">
        <v>104.06</v>
      </c>
      <c r="GX253" s="2346">
        <v>111.98</v>
      </c>
      <c r="GY253" s="2346">
        <v>117.82</v>
      </c>
      <c r="GZ253" s="2346">
        <v>122.57</v>
      </c>
      <c r="HA253" s="2346">
        <v>134.85</v>
      </c>
      <c r="HB253" s="2346">
        <v>145.25</v>
      </c>
      <c r="HC253" s="2346">
        <v>157.03</v>
      </c>
      <c r="HD253" s="2346">
        <v>169.7</v>
      </c>
      <c r="HE253" s="2346">
        <v>186.73</v>
      </c>
      <c r="HF253" s="2346">
        <v>196.24</v>
      </c>
      <c r="HG253" s="2346">
        <v>196.24</v>
      </c>
      <c r="HH253" s="2346">
        <v>196.24</v>
      </c>
      <c r="HI253" s="2347">
        <v>950</v>
      </c>
      <c r="HJ253" s="2275"/>
      <c r="HK253" s="2275">
        <f>HLOOKUP(HK244,GH245:HH257,7,0)</f>
        <v>78.709999999999994</v>
      </c>
      <c r="HL253" s="2275">
        <f t="shared" si="125"/>
        <v>104.46</v>
      </c>
      <c r="HM253" s="2275">
        <v>825</v>
      </c>
      <c r="HN253" s="2275"/>
      <c r="HO253" s="2275"/>
      <c r="HP253" s="2275"/>
      <c r="HQ253" s="2275"/>
      <c r="HR253" s="2275"/>
      <c r="HS253" s="2275"/>
      <c r="HT253" s="2250"/>
      <c r="HU253" s="2250"/>
      <c r="HV253" s="2250"/>
      <c r="HW253" s="2250"/>
      <c r="HX253" s="2250"/>
      <c r="HY253" s="2250"/>
      <c r="HZ253" s="2250"/>
      <c r="IA253" s="2250"/>
      <c r="IB253" s="2250"/>
      <c r="IC253" s="2250"/>
      <c r="ID253" s="2250"/>
      <c r="IE253" s="2250"/>
      <c r="IF253" s="2250"/>
      <c r="IG253" s="2250"/>
      <c r="IH253" s="2250"/>
      <c r="II253" s="2250"/>
      <c r="IJ253" s="2250"/>
      <c r="IK253" s="2250"/>
      <c r="IL253" s="2250"/>
      <c r="IN253" s="277"/>
      <c r="IO253" s="277"/>
    </row>
    <row r="254" spans="1:249" ht="21.95" customHeight="1">
      <c r="A254" s="2275"/>
      <c r="B254" s="4671"/>
      <c r="C254" s="2345">
        <v>1100</v>
      </c>
      <c r="D254" s="2346">
        <v>52.28</v>
      </c>
      <c r="E254" s="2346">
        <v>58.91</v>
      </c>
      <c r="F254" s="2346">
        <v>65.25</v>
      </c>
      <c r="G254" s="2346">
        <v>77.23</v>
      </c>
      <c r="H254" s="2346">
        <v>78.61</v>
      </c>
      <c r="I254" s="2346">
        <v>74.260000000000005</v>
      </c>
      <c r="J254" s="2346">
        <v>82.28</v>
      </c>
      <c r="K254" s="2346">
        <v>90.2</v>
      </c>
      <c r="L254" s="2346">
        <v>95.84</v>
      </c>
      <c r="M254" s="2346">
        <v>101.49</v>
      </c>
      <c r="N254" s="2346">
        <v>114.75</v>
      </c>
      <c r="O254" s="2346">
        <v>122.77</v>
      </c>
      <c r="P254" s="2346">
        <v>129.6</v>
      </c>
      <c r="Q254" s="2346">
        <v>131.38999999999999</v>
      </c>
      <c r="R254" s="2346">
        <v>140.30000000000001</v>
      </c>
      <c r="S254" s="2346">
        <v>148.91</v>
      </c>
      <c r="T254" s="2346">
        <v>157.52000000000001</v>
      </c>
      <c r="U254" s="2346">
        <v>169.9</v>
      </c>
      <c r="V254" s="2346">
        <v>180.2</v>
      </c>
      <c r="W254" s="2346">
        <v>196.34</v>
      </c>
      <c r="X254" s="2346">
        <v>207.82</v>
      </c>
      <c r="Y254" s="2346">
        <v>228.91</v>
      </c>
      <c r="Z254" s="2346">
        <v>249.01</v>
      </c>
      <c r="AA254" s="2346">
        <v>278.12</v>
      </c>
      <c r="AB254" s="2346">
        <v>305.14999999999998</v>
      </c>
      <c r="AC254" s="2346">
        <v>355.05</v>
      </c>
      <c r="AD254" s="2346">
        <v>383.27</v>
      </c>
      <c r="AE254" s="2347">
        <v>1100</v>
      </c>
      <c r="AF254" s="2275"/>
      <c r="AG254" s="2275">
        <f>HLOOKUP(AG244,D245:AD257,8,0)</f>
        <v>80.2</v>
      </c>
      <c r="AH254" s="2275">
        <f t="shared" si="122"/>
        <v>117.82</v>
      </c>
      <c r="AI254" s="2275">
        <v>950</v>
      </c>
      <c r="AJ254" s="2275"/>
      <c r="AK254" s="2275"/>
      <c r="AL254" s="2275"/>
      <c r="AM254" s="2275"/>
      <c r="AN254" s="2275"/>
      <c r="AO254" s="2275"/>
      <c r="AP254" s="2250"/>
      <c r="AQ254" s="2250"/>
      <c r="AR254" s="2250"/>
      <c r="AS254" s="2250"/>
      <c r="AT254" s="2250"/>
      <c r="AU254" s="2250"/>
      <c r="AV254" s="2250"/>
      <c r="AW254" s="2250"/>
      <c r="AX254" s="2250"/>
      <c r="AY254" s="2250"/>
      <c r="AZ254" s="2250"/>
      <c r="BA254" s="2250"/>
      <c r="BB254" s="2250"/>
      <c r="BC254" s="2250"/>
      <c r="BD254" s="2250"/>
      <c r="BE254" s="2250"/>
      <c r="BF254" s="2276"/>
      <c r="BG254" s="2276"/>
      <c r="BH254" s="2250"/>
      <c r="BI254" s="2275"/>
      <c r="BJ254" s="4671"/>
      <c r="BK254" s="2345">
        <v>1100</v>
      </c>
      <c r="BL254" s="2346">
        <v>52.28</v>
      </c>
      <c r="BM254" s="2346">
        <v>58.91</v>
      </c>
      <c r="BN254" s="2346">
        <v>65.25</v>
      </c>
      <c r="BO254" s="2346">
        <v>77.23</v>
      </c>
      <c r="BP254" s="2346">
        <v>78.61</v>
      </c>
      <c r="BQ254" s="2346">
        <v>74.260000000000005</v>
      </c>
      <c r="BR254" s="2346">
        <v>82.28</v>
      </c>
      <c r="BS254" s="2346">
        <v>90.2</v>
      </c>
      <c r="BT254" s="2346">
        <v>95.84</v>
      </c>
      <c r="BU254" s="2346">
        <v>101.49</v>
      </c>
      <c r="BV254" s="2346">
        <v>114.75</v>
      </c>
      <c r="BW254" s="2346">
        <v>122.77</v>
      </c>
      <c r="BX254" s="2346">
        <v>129.6</v>
      </c>
      <c r="BY254" s="2346">
        <v>131.38999999999999</v>
      </c>
      <c r="BZ254" s="2346">
        <v>140.30000000000001</v>
      </c>
      <c r="CA254" s="2346">
        <v>148.91</v>
      </c>
      <c r="CB254" s="2346">
        <v>157.52000000000001</v>
      </c>
      <c r="CC254" s="2346">
        <v>169.9</v>
      </c>
      <c r="CD254" s="2346">
        <v>180.2</v>
      </c>
      <c r="CE254" s="2346">
        <v>196.34</v>
      </c>
      <c r="CF254" s="2346">
        <v>207.82</v>
      </c>
      <c r="CG254" s="2346">
        <v>228.91</v>
      </c>
      <c r="CH254" s="2346">
        <v>249.01</v>
      </c>
      <c r="CI254" s="2346">
        <v>278.12</v>
      </c>
      <c r="CJ254" s="2346">
        <v>305.14999999999998</v>
      </c>
      <c r="CK254" s="2346">
        <v>355.05</v>
      </c>
      <c r="CL254" s="2346">
        <v>383.27</v>
      </c>
      <c r="CM254" s="2347">
        <v>1100</v>
      </c>
      <c r="CN254" s="2275"/>
      <c r="CO254" s="2275">
        <f>HLOOKUP(CO244,BL245:CL257,8,0)</f>
        <v>72.48</v>
      </c>
      <c r="CP254" s="2275">
        <f t="shared" si="123"/>
        <v>111.98</v>
      </c>
      <c r="CQ254" s="2275">
        <v>950</v>
      </c>
      <c r="CR254" s="2275"/>
      <c r="CS254" s="2275"/>
      <c r="CT254" s="2275"/>
      <c r="CU254" s="2275"/>
      <c r="CV254" s="2275"/>
      <c r="CW254" s="2275"/>
      <c r="CX254" s="2250"/>
      <c r="CY254" s="2250"/>
      <c r="CZ254" s="2250"/>
      <c r="DA254" s="2250"/>
      <c r="DB254" s="2250"/>
      <c r="DC254" s="2250"/>
      <c r="DD254" s="2250"/>
      <c r="DE254" s="2250"/>
      <c r="DF254" s="2250"/>
      <c r="DG254" s="2250"/>
      <c r="DH254" s="2250"/>
      <c r="DI254" s="2250"/>
      <c r="DJ254" s="2250"/>
      <c r="DK254" s="2250"/>
      <c r="DL254" s="2250"/>
      <c r="DM254" s="2250"/>
      <c r="DN254" s="2250"/>
      <c r="DO254" s="2250"/>
      <c r="DP254" s="2250"/>
      <c r="DQ254" s="2277"/>
      <c r="DR254" s="2277"/>
      <c r="DS254" s="277"/>
      <c r="DW254" s="2275"/>
      <c r="DX254" s="4671"/>
      <c r="DY254" s="2345">
        <v>1100</v>
      </c>
      <c r="DZ254" s="2346">
        <v>52.28</v>
      </c>
      <c r="EA254" s="2346">
        <v>58.91</v>
      </c>
      <c r="EB254" s="2346">
        <v>65.25</v>
      </c>
      <c r="EC254" s="2346">
        <v>77.23</v>
      </c>
      <c r="ED254" s="2346">
        <v>78.61</v>
      </c>
      <c r="EE254" s="2346">
        <v>74.260000000000005</v>
      </c>
      <c r="EF254" s="2346">
        <v>82.28</v>
      </c>
      <c r="EG254" s="2346">
        <v>90.2</v>
      </c>
      <c r="EH254" s="2346">
        <v>95.84</v>
      </c>
      <c r="EI254" s="2346">
        <v>101.49</v>
      </c>
      <c r="EJ254" s="2346">
        <v>114.75</v>
      </c>
      <c r="EK254" s="2346">
        <v>122.77</v>
      </c>
      <c r="EL254" s="2346">
        <v>129.6</v>
      </c>
      <c r="EM254" s="2346">
        <v>131.38999999999999</v>
      </c>
      <c r="EN254" s="2346">
        <v>140.30000000000001</v>
      </c>
      <c r="EO254" s="2346">
        <v>148.91</v>
      </c>
      <c r="EP254" s="2346">
        <v>157.52000000000001</v>
      </c>
      <c r="EQ254" s="2346">
        <v>169.9</v>
      </c>
      <c r="ER254" s="2346">
        <v>180.2</v>
      </c>
      <c r="ES254" s="2346">
        <v>196.34</v>
      </c>
      <c r="ET254" s="2346">
        <v>207.82</v>
      </c>
      <c r="EU254" s="2346">
        <v>228.91</v>
      </c>
      <c r="EV254" s="2346">
        <v>249.01</v>
      </c>
      <c r="EW254" s="2346">
        <v>278.12</v>
      </c>
      <c r="EX254" s="2346">
        <v>305.14999999999998</v>
      </c>
      <c r="EY254" s="2346">
        <v>355.05</v>
      </c>
      <c r="EZ254" s="2346">
        <v>383.27</v>
      </c>
      <c r="FA254" s="2347">
        <v>1100</v>
      </c>
      <c r="FB254" s="2275"/>
      <c r="FC254" s="2275">
        <f>HLOOKUP(FC244,DZ245:EZ257,8,0)</f>
        <v>114.75</v>
      </c>
      <c r="FD254" s="2275">
        <f t="shared" si="124"/>
        <v>169.7</v>
      </c>
      <c r="FE254" s="2275">
        <v>950</v>
      </c>
      <c r="FF254" s="2275"/>
      <c r="FG254" s="2275"/>
      <c r="FH254" s="2275"/>
      <c r="FI254" s="2275"/>
      <c r="FJ254" s="2275"/>
      <c r="FK254" s="2275"/>
      <c r="FL254" s="2250"/>
      <c r="FM254" s="2250"/>
      <c r="FN254" s="2250"/>
      <c r="FO254" s="2250"/>
      <c r="FP254" s="2250"/>
      <c r="FQ254" s="2250"/>
      <c r="FR254" s="2250"/>
      <c r="FS254" s="2250"/>
      <c r="FT254" s="2250"/>
      <c r="FU254" s="2250"/>
      <c r="FV254" s="2250"/>
      <c r="FW254" s="2250"/>
      <c r="FX254" s="2250"/>
      <c r="FY254" s="2250"/>
      <c r="FZ254" s="2250"/>
      <c r="GA254" s="2250"/>
      <c r="GB254" s="2276"/>
      <c r="GC254" s="2276"/>
      <c r="GD254" s="2250"/>
      <c r="GE254" s="2275"/>
      <c r="GF254" s="4671"/>
      <c r="GG254" s="2345">
        <v>1100</v>
      </c>
      <c r="GH254" s="2346">
        <v>52.28</v>
      </c>
      <c r="GI254" s="2346">
        <v>58.91</v>
      </c>
      <c r="GJ254" s="2346">
        <v>65.25</v>
      </c>
      <c r="GK254" s="2346">
        <v>77.23</v>
      </c>
      <c r="GL254" s="2346">
        <v>78.61</v>
      </c>
      <c r="GM254" s="2346">
        <v>74.260000000000005</v>
      </c>
      <c r="GN254" s="2346">
        <v>82.28</v>
      </c>
      <c r="GO254" s="2346">
        <v>90.2</v>
      </c>
      <c r="GP254" s="2346">
        <v>95.84</v>
      </c>
      <c r="GQ254" s="2346">
        <v>101.49</v>
      </c>
      <c r="GR254" s="2346">
        <v>114.75</v>
      </c>
      <c r="GS254" s="2346">
        <v>122.77</v>
      </c>
      <c r="GT254" s="2346">
        <v>129.6</v>
      </c>
      <c r="GU254" s="2346">
        <v>131.38999999999999</v>
      </c>
      <c r="GV254" s="2346">
        <v>140.30000000000001</v>
      </c>
      <c r="GW254" s="2346">
        <v>148.91</v>
      </c>
      <c r="GX254" s="2346">
        <v>157.52000000000001</v>
      </c>
      <c r="GY254" s="2346">
        <v>169.9</v>
      </c>
      <c r="GZ254" s="2346">
        <v>180.2</v>
      </c>
      <c r="HA254" s="2346">
        <v>196.34</v>
      </c>
      <c r="HB254" s="2346">
        <v>207.82</v>
      </c>
      <c r="HC254" s="2346">
        <v>228.91</v>
      </c>
      <c r="HD254" s="2346">
        <v>249.01</v>
      </c>
      <c r="HE254" s="2346">
        <v>278.12</v>
      </c>
      <c r="HF254" s="2346">
        <v>305.14999999999998</v>
      </c>
      <c r="HG254" s="2346">
        <v>355.05</v>
      </c>
      <c r="HH254" s="2346">
        <v>383.27</v>
      </c>
      <c r="HI254" s="2347">
        <v>1100</v>
      </c>
      <c r="HJ254" s="2275"/>
      <c r="HK254" s="2275">
        <f>HLOOKUP(HK244,GH245:HH257,8,0)</f>
        <v>104.46</v>
      </c>
      <c r="HL254" s="2275">
        <f t="shared" si="125"/>
        <v>157.03</v>
      </c>
      <c r="HM254" s="2275">
        <v>950</v>
      </c>
      <c r="HN254" s="2275"/>
      <c r="HO254" s="2275"/>
      <c r="HP254" s="2275"/>
      <c r="HQ254" s="2275"/>
      <c r="HR254" s="2275"/>
      <c r="HS254" s="2275"/>
      <c r="HT254" s="2250"/>
      <c r="HU254" s="2250"/>
      <c r="HV254" s="2250"/>
      <c r="HW254" s="2250"/>
      <c r="HX254" s="2250"/>
      <c r="HY254" s="2250"/>
      <c r="HZ254" s="2250"/>
      <c r="IA254" s="2250"/>
      <c r="IB254" s="2250"/>
      <c r="IC254" s="2250"/>
      <c r="ID254" s="2250"/>
      <c r="IE254" s="2250"/>
      <c r="IF254" s="2250"/>
      <c r="IG254" s="2250"/>
      <c r="IH254" s="2250"/>
      <c r="II254" s="2250"/>
      <c r="IJ254" s="2250"/>
      <c r="IK254" s="2250"/>
      <c r="IL254" s="2250"/>
      <c r="IN254" s="277"/>
      <c r="IO254" s="277"/>
    </row>
    <row r="255" spans="1:249" ht="21.95" customHeight="1">
      <c r="A255" s="2275"/>
      <c r="B255" s="4671"/>
      <c r="C255" s="2345">
        <v>1250</v>
      </c>
      <c r="D255" s="2346">
        <v>76.73</v>
      </c>
      <c r="E255" s="2346">
        <v>86.53</v>
      </c>
      <c r="F255" s="2346">
        <v>94.16</v>
      </c>
      <c r="G255" s="2346">
        <v>100.99</v>
      </c>
      <c r="H255" s="2346">
        <v>107.33</v>
      </c>
      <c r="I255" s="2346">
        <v>109.01</v>
      </c>
      <c r="J255" s="2346">
        <v>116.73</v>
      </c>
      <c r="K255" s="2346">
        <v>124.95</v>
      </c>
      <c r="L255" s="2346">
        <v>132.57</v>
      </c>
      <c r="M255" s="2346">
        <v>141.19</v>
      </c>
      <c r="N255" s="2346">
        <v>156.13999999999999</v>
      </c>
      <c r="O255" s="2346">
        <v>168.61</v>
      </c>
      <c r="P255" s="2346">
        <v>176.14</v>
      </c>
      <c r="Q255" s="2346">
        <v>185.05</v>
      </c>
      <c r="R255" s="2346">
        <v>194.85</v>
      </c>
      <c r="S255" s="2346">
        <v>201.29</v>
      </c>
      <c r="T255" s="2346">
        <v>214.16</v>
      </c>
      <c r="U255" s="2346">
        <v>232.28</v>
      </c>
      <c r="V255" s="2346">
        <v>247.43</v>
      </c>
      <c r="W255" s="2346">
        <v>252.77</v>
      </c>
      <c r="X255" s="2346">
        <v>263.37</v>
      </c>
      <c r="Y255" s="2346">
        <v>295.54000000000002</v>
      </c>
      <c r="Z255" s="2346">
        <v>337.72</v>
      </c>
      <c r="AA255" s="2346">
        <v>372.28</v>
      </c>
      <c r="AB255" s="2346">
        <v>383.27</v>
      </c>
      <c r="AC255" s="2346">
        <v>383.27</v>
      </c>
      <c r="AD255" s="2346">
        <v>383.27</v>
      </c>
      <c r="AE255" s="2347">
        <v>1250</v>
      </c>
      <c r="AF255" s="2275"/>
      <c r="AG255" s="2275">
        <f>HLOOKUP(AG244,D245:AD257,9,0)</f>
        <v>117.82</v>
      </c>
      <c r="AH255" s="2275">
        <f t="shared" si="122"/>
        <v>169.9</v>
      </c>
      <c r="AI255" s="2275">
        <v>1100</v>
      </c>
      <c r="AJ255" s="2275"/>
      <c r="AK255" s="2275"/>
      <c r="AL255" s="2275"/>
      <c r="AM255" s="2275"/>
      <c r="AN255" s="2275"/>
      <c r="AO255" s="2275"/>
      <c r="AP255" s="2250"/>
      <c r="AQ255" s="2250"/>
      <c r="AR255" s="2250"/>
      <c r="AS255" s="2250"/>
      <c r="AT255" s="2250"/>
      <c r="AU255" s="2250"/>
      <c r="AV255" s="2250"/>
      <c r="AW255" s="2250"/>
      <c r="AX255" s="2250"/>
      <c r="AY255" s="2250"/>
      <c r="AZ255" s="2250"/>
      <c r="BA255" s="2250"/>
      <c r="BB255" s="2250"/>
      <c r="BC255" s="2250"/>
      <c r="BD255" s="2250"/>
      <c r="BE255" s="2250"/>
      <c r="BF255" s="2276"/>
      <c r="BG255" s="2276"/>
      <c r="BH255" s="2250"/>
      <c r="BI255" s="2275"/>
      <c r="BJ255" s="4671"/>
      <c r="BK255" s="2345">
        <v>1250</v>
      </c>
      <c r="BL255" s="2346">
        <v>76.73</v>
      </c>
      <c r="BM255" s="2346">
        <v>86.53</v>
      </c>
      <c r="BN255" s="2346">
        <v>94.16</v>
      </c>
      <c r="BO255" s="2346">
        <v>100.99</v>
      </c>
      <c r="BP255" s="2346">
        <v>107.33</v>
      </c>
      <c r="BQ255" s="2346">
        <v>109.01</v>
      </c>
      <c r="BR255" s="2346">
        <v>116.73</v>
      </c>
      <c r="BS255" s="2346">
        <v>124.95</v>
      </c>
      <c r="BT255" s="2346">
        <v>132.57</v>
      </c>
      <c r="BU255" s="2346">
        <v>141.19</v>
      </c>
      <c r="BV255" s="2346">
        <v>156.13999999999999</v>
      </c>
      <c r="BW255" s="2346">
        <v>168.61</v>
      </c>
      <c r="BX255" s="2346">
        <v>176.14</v>
      </c>
      <c r="BY255" s="2346">
        <v>185.05</v>
      </c>
      <c r="BZ255" s="2346">
        <v>194.85</v>
      </c>
      <c r="CA255" s="2346">
        <v>201.29</v>
      </c>
      <c r="CB255" s="2346">
        <v>214.16</v>
      </c>
      <c r="CC255" s="2346">
        <v>232.28</v>
      </c>
      <c r="CD255" s="2346">
        <v>247.43</v>
      </c>
      <c r="CE255" s="2346">
        <v>252.77</v>
      </c>
      <c r="CF255" s="2346">
        <v>263.37</v>
      </c>
      <c r="CG255" s="2346">
        <v>295.54000000000002</v>
      </c>
      <c r="CH255" s="2346">
        <v>337.72</v>
      </c>
      <c r="CI255" s="2346">
        <v>372.28</v>
      </c>
      <c r="CJ255" s="2346">
        <v>383.27</v>
      </c>
      <c r="CK255" s="2346">
        <v>383.27</v>
      </c>
      <c r="CL255" s="2346">
        <v>383.27</v>
      </c>
      <c r="CM255" s="2347">
        <v>1250</v>
      </c>
      <c r="CN255" s="2275"/>
      <c r="CO255" s="2275">
        <f>HLOOKUP(CO244,BL245:CL257,9,0)</f>
        <v>111.98</v>
      </c>
      <c r="CP255" s="2275">
        <f t="shared" si="123"/>
        <v>157.52000000000001</v>
      </c>
      <c r="CQ255" s="2275">
        <v>1100</v>
      </c>
      <c r="CR255" s="2275"/>
      <c r="CS255" s="2275"/>
      <c r="CT255" s="2275"/>
      <c r="CU255" s="2275"/>
      <c r="CV255" s="2275"/>
      <c r="CW255" s="2275"/>
      <c r="CX255" s="2250"/>
      <c r="CY255" s="2250"/>
      <c r="CZ255" s="2250"/>
      <c r="DA255" s="2250"/>
      <c r="DB255" s="2250"/>
      <c r="DC255" s="2250"/>
      <c r="DD255" s="2250"/>
      <c r="DE255" s="2250"/>
      <c r="DF255" s="2250"/>
      <c r="DG255" s="2250"/>
      <c r="DH255" s="2250"/>
      <c r="DI255" s="2250"/>
      <c r="DJ255" s="2250"/>
      <c r="DK255" s="2250"/>
      <c r="DL255" s="2250"/>
      <c r="DM255" s="2250"/>
      <c r="DN255" s="2250"/>
      <c r="DO255" s="2250"/>
      <c r="DP255" s="2250"/>
      <c r="DQ255" s="2277"/>
      <c r="DR255" s="2277"/>
      <c r="DS255" s="277"/>
      <c r="DW255" s="2275"/>
      <c r="DX255" s="4671"/>
      <c r="DY255" s="2345">
        <v>1250</v>
      </c>
      <c r="DZ255" s="2346">
        <v>76.73</v>
      </c>
      <c r="EA255" s="2346">
        <v>86.53</v>
      </c>
      <c r="EB255" s="2346">
        <v>94.16</v>
      </c>
      <c r="EC255" s="2346">
        <v>100.99</v>
      </c>
      <c r="ED255" s="2346">
        <v>107.33</v>
      </c>
      <c r="EE255" s="2346">
        <v>109.01</v>
      </c>
      <c r="EF255" s="2346">
        <v>116.73</v>
      </c>
      <c r="EG255" s="2346">
        <v>124.95</v>
      </c>
      <c r="EH255" s="2346">
        <v>132.57</v>
      </c>
      <c r="EI255" s="2346">
        <v>141.19</v>
      </c>
      <c r="EJ255" s="2346">
        <v>156.13999999999999</v>
      </c>
      <c r="EK255" s="2346">
        <v>168.61</v>
      </c>
      <c r="EL255" s="2346">
        <v>176.14</v>
      </c>
      <c r="EM255" s="2346">
        <v>185.05</v>
      </c>
      <c r="EN255" s="2346">
        <v>194.85</v>
      </c>
      <c r="EO255" s="2346">
        <v>201.29</v>
      </c>
      <c r="EP255" s="2346">
        <v>214.16</v>
      </c>
      <c r="EQ255" s="2346">
        <v>232.28</v>
      </c>
      <c r="ER255" s="2346">
        <v>247.43</v>
      </c>
      <c r="ES255" s="2346">
        <v>252.77</v>
      </c>
      <c r="ET255" s="2346">
        <v>263.37</v>
      </c>
      <c r="EU255" s="2346">
        <v>295.54000000000002</v>
      </c>
      <c r="EV255" s="2346">
        <v>337.72</v>
      </c>
      <c r="EW255" s="2346">
        <v>372.28</v>
      </c>
      <c r="EX255" s="2346">
        <v>383.27</v>
      </c>
      <c r="EY255" s="2346">
        <v>383.27</v>
      </c>
      <c r="EZ255" s="2346">
        <v>383.27</v>
      </c>
      <c r="FA255" s="2347">
        <v>1250</v>
      </c>
      <c r="FB255" s="2275"/>
      <c r="FC255" s="2275">
        <f>HLOOKUP(FC244,DZ245:EZ257,9,0)</f>
        <v>169.7</v>
      </c>
      <c r="FD255" s="2275">
        <f t="shared" si="124"/>
        <v>249.01</v>
      </c>
      <c r="FE255" s="2275">
        <v>1100</v>
      </c>
      <c r="FF255" s="2275"/>
      <c r="FG255" s="2275"/>
      <c r="FH255" s="2275"/>
      <c r="FI255" s="2275"/>
      <c r="FJ255" s="2275"/>
      <c r="FK255" s="2275"/>
      <c r="FL255" s="2250"/>
      <c r="FM255" s="2250"/>
      <c r="FN255" s="2250"/>
      <c r="FO255" s="2250"/>
      <c r="FP255" s="2250"/>
      <c r="FQ255" s="2250"/>
      <c r="FR255" s="2250"/>
      <c r="FS255" s="2250"/>
      <c r="FT255" s="2250"/>
      <c r="FU255" s="2250"/>
      <c r="FV255" s="2250"/>
      <c r="FW255" s="2250"/>
      <c r="FX255" s="2250"/>
      <c r="FY255" s="2250"/>
      <c r="FZ255" s="2250"/>
      <c r="GA255" s="2250"/>
      <c r="GB255" s="2276"/>
      <c r="GC255" s="2276"/>
      <c r="GD255" s="2250"/>
      <c r="GE255" s="2275"/>
      <c r="GF255" s="4671"/>
      <c r="GG255" s="2345">
        <v>1250</v>
      </c>
      <c r="GH255" s="2346">
        <v>76.73</v>
      </c>
      <c r="GI255" s="2346">
        <v>86.53</v>
      </c>
      <c r="GJ255" s="2346">
        <v>94.16</v>
      </c>
      <c r="GK255" s="2346">
        <v>100.99</v>
      </c>
      <c r="GL255" s="2346">
        <v>107.33</v>
      </c>
      <c r="GM255" s="2346">
        <v>109.01</v>
      </c>
      <c r="GN255" s="2346">
        <v>116.73</v>
      </c>
      <c r="GO255" s="2346">
        <v>124.95</v>
      </c>
      <c r="GP255" s="2346">
        <v>132.57</v>
      </c>
      <c r="GQ255" s="2346">
        <v>141.19</v>
      </c>
      <c r="GR255" s="2346">
        <v>156.13999999999999</v>
      </c>
      <c r="GS255" s="2346">
        <v>168.61</v>
      </c>
      <c r="GT255" s="2346">
        <v>176.14</v>
      </c>
      <c r="GU255" s="2346">
        <v>185.05</v>
      </c>
      <c r="GV255" s="2346">
        <v>194.85</v>
      </c>
      <c r="GW255" s="2346">
        <v>201.29</v>
      </c>
      <c r="GX255" s="2346">
        <v>214.16</v>
      </c>
      <c r="GY255" s="2346">
        <v>232.28</v>
      </c>
      <c r="GZ255" s="2346">
        <v>247.43</v>
      </c>
      <c r="HA255" s="2346">
        <v>252.77</v>
      </c>
      <c r="HB255" s="2346">
        <v>263.37</v>
      </c>
      <c r="HC255" s="2346">
        <v>295.54000000000002</v>
      </c>
      <c r="HD255" s="2346">
        <v>337.72</v>
      </c>
      <c r="HE255" s="2346">
        <v>372.28</v>
      </c>
      <c r="HF255" s="2346">
        <v>383.27</v>
      </c>
      <c r="HG255" s="2346">
        <v>383.27</v>
      </c>
      <c r="HH255" s="2346">
        <v>383.27</v>
      </c>
      <c r="HI255" s="2347">
        <v>1250</v>
      </c>
      <c r="HJ255" s="2275"/>
      <c r="HK255" s="2275">
        <f>HLOOKUP(HK244,GH245:HH257,9,0)</f>
        <v>157.03</v>
      </c>
      <c r="HL255" s="2275">
        <f t="shared" si="125"/>
        <v>228.91</v>
      </c>
      <c r="HM255" s="2275">
        <v>1100</v>
      </c>
      <c r="HN255" s="2275"/>
      <c r="HO255" s="2275"/>
      <c r="HP255" s="2275"/>
      <c r="HQ255" s="2275"/>
      <c r="HR255" s="2275"/>
      <c r="HS255" s="2275"/>
      <c r="HT255" s="2250"/>
      <c r="HU255" s="2250"/>
      <c r="HV255" s="2250"/>
      <c r="HW255" s="2250"/>
      <c r="HX255" s="2250"/>
      <c r="HY255" s="2250"/>
      <c r="HZ255" s="2250"/>
      <c r="IA255" s="2250"/>
      <c r="IB255" s="2250"/>
      <c r="IC255" s="2250"/>
      <c r="ID255" s="2250"/>
      <c r="IE255" s="2250"/>
      <c r="IF255" s="2250"/>
      <c r="IG255" s="2250"/>
      <c r="IH255" s="2250"/>
      <c r="II255" s="2250"/>
      <c r="IJ255" s="2250"/>
      <c r="IK255" s="2250"/>
      <c r="IL255" s="2250"/>
      <c r="IN255" s="277"/>
      <c r="IO255" s="277"/>
    </row>
    <row r="256" spans="1:249" ht="21.95" customHeight="1">
      <c r="A256" s="2275"/>
      <c r="B256" s="2275"/>
      <c r="C256" s="2345">
        <v>1450</v>
      </c>
      <c r="D256" s="2346">
        <v>118.22</v>
      </c>
      <c r="E256" s="2346">
        <v>133.27000000000001</v>
      </c>
      <c r="F256" s="2346">
        <v>147.62</v>
      </c>
      <c r="G256" s="2346">
        <v>159.31</v>
      </c>
      <c r="H256" s="2346">
        <v>159.31</v>
      </c>
      <c r="I256" s="2346">
        <v>168.02</v>
      </c>
      <c r="J256" s="2346">
        <v>185.45</v>
      </c>
      <c r="K256" s="2346">
        <v>197.72</v>
      </c>
      <c r="L256" s="2346">
        <v>210.5</v>
      </c>
      <c r="M256" s="2346">
        <v>224.16</v>
      </c>
      <c r="N256" s="2346">
        <v>232.57</v>
      </c>
      <c r="O256" s="2346">
        <v>263.56</v>
      </c>
      <c r="P256" s="2346">
        <v>275.05</v>
      </c>
      <c r="Q256" s="2346">
        <v>284.64999999999998</v>
      </c>
      <c r="R256" s="2346">
        <v>298.42</v>
      </c>
      <c r="S256" s="2346">
        <v>321.29000000000002</v>
      </c>
      <c r="T256" s="2346">
        <v>340.89</v>
      </c>
      <c r="U256" s="2346">
        <v>360.59</v>
      </c>
      <c r="V256" s="2346">
        <v>381.39</v>
      </c>
      <c r="W256" s="2346">
        <v>421.49</v>
      </c>
      <c r="X256" s="2346">
        <v>442.97</v>
      </c>
      <c r="Y256" s="2346">
        <v>486.63</v>
      </c>
      <c r="Z256" s="2346">
        <v>528.61</v>
      </c>
      <c r="AA256" s="2346">
        <v>549.41</v>
      </c>
      <c r="AB256" s="2346">
        <v>645.74</v>
      </c>
      <c r="AC256" s="2346">
        <v>662.28</v>
      </c>
      <c r="AD256" s="2346">
        <v>662.28</v>
      </c>
      <c r="AE256" s="2347">
        <v>1450</v>
      </c>
      <c r="AF256" s="2275"/>
      <c r="AG256" s="2275">
        <f>HLOOKUP(AG244,D245:AD257,10,0)</f>
        <v>169.9</v>
      </c>
      <c r="AH256" s="2275">
        <f t="shared" si="122"/>
        <v>232.28</v>
      </c>
      <c r="AI256" s="2275">
        <v>1250</v>
      </c>
      <c r="AJ256" s="2275"/>
      <c r="AK256" s="2275"/>
      <c r="AL256" s="2275"/>
      <c r="AM256" s="2275"/>
      <c r="AN256" s="2275"/>
      <c r="AO256" s="2275"/>
      <c r="AP256" s="2250"/>
      <c r="AQ256" s="2250"/>
      <c r="AR256" s="2250"/>
      <c r="AS256" s="2250"/>
      <c r="AT256" s="2250"/>
      <c r="AU256" s="2250"/>
      <c r="AV256" s="2250"/>
      <c r="AW256" s="2250"/>
      <c r="AX256" s="2250"/>
      <c r="AY256" s="2250"/>
      <c r="AZ256" s="2250"/>
      <c r="BA256" s="2250"/>
      <c r="BB256" s="2250"/>
      <c r="BC256" s="2250"/>
      <c r="BD256" s="2250"/>
      <c r="BE256" s="2250"/>
      <c r="BF256" s="2276"/>
      <c r="BG256" s="2276"/>
      <c r="BH256" s="2250"/>
      <c r="BI256" s="2275"/>
      <c r="BJ256" s="2275"/>
      <c r="BK256" s="2345">
        <v>1450</v>
      </c>
      <c r="BL256" s="2346">
        <v>118.22</v>
      </c>
      <c r="BM256" s="2346">
        <v>133.27000000000001</v>
      </c>
      <c r="BN256" s="2346">
        <v>147.62</v>
      </c>
      <c r="BO256" s="2346">
        <v>159.31</v>
      </c>
      <c r="BP256" s="2346">
        <v>159.31</v>
      </c>
      <c r="BQ256" s="2346">
        <v>168.02</v>
      </c>
      <c r="BR256" s="2346">
        <v>185.45</v>
      </c>
      <c r="BS256" s="2346">
        <v>197.72</v>
      </c>
      <c r="BT256" s="2346">
        <v>210.5</v>
      </c>
      <c r="BU256" s="2346">
        <v>224.16</v>
      </c>
      <c r="BV256" s="2346">
        <v>232.57</v>
      </c>
      <c r="BW256" s="2346">
        <v>263.56</v>
      </c>
      <c r="BX256" s="2346">
        <v>275.05</v>
      </c>
      <c r="BY256" s="2346">
        <v>284.64999999999998</v>
      </c>
      <c r="BZ256" s="2346">
        <v>298.42</v>
      </c>
      <c r="CA256" s="2346">
        <v>321.29000000000002</v>
      </c>
      <c r="CB256" s="2346">
        <v>340.89</v>
      </c>
      <c r="CC256" s="2346">
        <v>360.59</v>
      </c>
      <c r="CD256" s="2346">
        <v>381.39</v>
      </c>
      <c r="CE256" s="2346">
        <v>421.49</v>
      </c>
      <c r="CF256" s="2346">
        <v>442.97</v>
      </c>
      <c r="CG256" s="2346">
        <v>486.63</v>
      </c>
      <c r="CH256" s="2346">
        <v>528.61</v>
      </c>
      <c r="CI256" s="2346">
        <v>549.41</v>
      </c>
      <c r="CJ256" s="2346">
        <v>645.74</v>
      </c>
      <c r="CK256" s="2346">
        <v>662.28</v>
      </c>
      <c r="CL256" s="2346">
        <v>662.28</v>
      </c>
      <c r="CM256" s="2347">
        <v>1450</v>
      </c>
      <c r="CN256" s="2275"/>
      <c r="CO256" s="2275">
        <f>HLOOKUP(CO244,BL245:CL257,10,0)</f>
        <v>157.52000000000001</v>
      </c>
      <c r="CP256" s="2275">
        <f t="shared" si="123"/>
        <v>214.16</v>
      </c>
      <c r="CQ256" s="2275">
        <v>1250</v>
      </c>
      <c r="CR256" s="2275"/>
      <c r="CS256" s="2275"/>
      <c r="CT256" s="2275"/>
      <c r="CU256" s="2275"/>
      <c r="CV256" s="2275"/>
      <c r="CW256" s="2275"/>
      <c r="CX256" s="2250"/>
      <c r="CY256" s="2250"/>
      <c r="CZ256" s="2250"/>
      <c r="DA256" s="2250"/>
      <c r="DB256" s="2250"/>
      <c r="DC256" s="2250"/>
      <c r="DD256" s="2250"/>
      <c r="DE256" s="2250"/>
      <c r="DF256" s="2250"/>
      <c r="DG256" s="2250"/>
      <c r="DH256" s="2250"/>
      <c r="DI256" s="2250"/>
      <c r="DJ256" s="2250"/>
      <c r="DK256" s="2250"/>
      <c r="DL256" s="2250"/>
      <c r="DM256" s="2250"/>
      <c r="DN256" s="2250"/>
      <c r="DO256" s="2250"/>
      <c r="DP256" s="2250"/>
      <c r="DQ256" s="2277"/>
      <c r="DR256" s="2277"/>
      <c r="DS256" s="277"/>
      <c r="DW256" s="2275"/>
      <c r="DX256" s="2275"/>
      <c r="DY256" s="2345">
        <v>1450</v>
      </c>
      <c r="DZ256" s="2346">
        <v>118.22</v>
      </c>
      <c r="EA256" s="2346">
        <v>133.27000000000001</v>
      </c>
      <c r="EB256" s="2346">
        <v>147.62</v>
      </c>
      <c r="EC256" s="2346">
        <v>159.31</v>
      </c>
      <c r="ED256" s="2346">
        <v>159.31</v>
      </c>
      <c r="EE256" s="2346">
        <v>168.02</v>
      </c>
      <c r="EF256" s="2346">
        <v>185.45</v>
      </c>
      <c r="EG256" s="2346">
        <v>197.72</v>
      </c>
      <c r="EH256" s="2346">
        <v>210.5</v>
      </c>
      <c r="EI256" s="2346">
        <v>224.16</v>
      </c>
      <c r="EJ256" s="2346">
        <v>232.57</v>
      </c>
      <c r="EK256" s="2346">
        <v>263.56</v>
      </c>
      <c r="EL256" s="2346">
        <v>275.05</v>
      </c>
      <c r="EM256" s="2346">
        <v>284.64999999999998</v>
      </c>
      <c r="EN256" s="2346">
        <v>298.42</v>
      </c>
      <c r="EO256" s="2346">
        <v>321.29000000000002</v>
      </c>
      <c r="EP256" s="2346">
        <v>340.89</v>
      </c>
      <c r="EQ256" s="2346">
        <v>360.59</v>
      </c>
      <c r="ER256" s="2346">
        <v>381.39</v>
      </c>
      <c r="ES256" s="2346">
        <v>421.49</v>
      </c>
      <c r="ET256" s="2346">
        <v>442.97</v>
      </c>
      <c r="EU256" s="2346">
        <v>486.63</v>
      </c>
      <c r="EV256" s="2346">
        <v>528.61</v>
      </c>
      <c r="EW256" s="2346">
        <v>549.41</v>
      </c>
      <c r="EX256" s="2346">
        <v>645.74</v>
      </c>
      <c r="EY256" s="2346">
        <v>662.28</v>
      </c>
      <c r="EZ256" s="2346">
        <v>662.28</v>
      </c>
      <c r="FA256" s="2347">
        <v>1450</v>
      </c>
      <c r="FB256" s="2275"/>
      <c r="FC256" s="2275">
        <f>HLOOKUP(FC244,DZ245:EZ257,10,0)</f>
        <v>249.01</v>
      </c>
      <c r="FD256" s="2275">
        <f t="shared" si="124"/>
        <v>337.72</v>
      </c>
      <c r="FE256" s="2275">
        <v>1250</v>
      </c>
      <c r="FF256" s="2275"/>
      <c r="FG256" s="2275"/>
      <c r="FH256" s="2275"/>
      <c r="FI256" s="2275"/>
      <c r="FJ256" s="2275"/>
      <c r="FK256" s="2275"/>
      <c r="FL256" s="2250"/>
      <c r="FM256" s="2250"/>
      <c r="FN256" s="2250"/>
      <c r="FO256" s="2250"/>
      <c r="FP256" s="2250"/>
      <c r="FQ256" s="2250"/>
      <c r="FR256" s="2250"/>
      <c r="FS256" s="2250"/>
      <c r="FT256" s="2250"/>
      <c r="FU256" s="2250"/>
      <c r="FV256" s="2250"/>
      <c r="FW256" s="2250"/>
      <c r="FX256" s="2250"/>
      <c r="FY256" s="2250"/>
      <c r="FZ256" s="2250"/>
      <c r="GA256" s="2250"/>
      <c r="GB256" s="2276"/>
      <c r="GC256" s="2276"/>
      <c r="GD256" s="2250"/>
      <c r="GE256" s="2275"/>
      <c r="GF256" s="2275"/>
      <c r="GG256" s="2345">
        <v>1450</v>
      </c>
      <c r="GH256" s="2346">
        <v>118.22</v>
      </c>
      <c r="GI256" s="2346">
        <v>133.27000000000001</v>
      </c>
      <c r="GJ256" s="2346">
        <v>147.62</v>
      </c>
      <c r="GK256" s="2346">
        <v>159.31</v>
      </c>
      <c r="GL256" s="2346">
        <v>159.31</v>
      </c>
      <c r="GM256" s="2346">
        <v>168.02</v>
      </c>
      <c r="GN256" s="2346">
        <v>185.45</v>
      </c>
      <c r="GO256" s="2346">
        <v>197.72</v>
      </c>
      <c r="GP256" s="2346">
        <v>210.5</v>
      </c>
      <c r="GQ256" s="2346">
        <v>224.16</v>
      </c>
      <c r="GR256" s="2346">
        <v>232.57</v>
      </c>
      <c r="GS256" s="2346">
        <v>263.56</v>
      </c>
      <c r="GT256" s="2346">
        <v>275.05</v>
      </c>
      <c r="GU256" s="2346">
        <v>284.64999999999998</v>
      </c>
      <c r="GV256" s="2346">
        <v>298.42</v>
      </c>
      <c r="GW256" s="2346">
        <v>321.29000000000002</v>
      </c>
      <c r="GX256" s="2346">
        <v>340.89</v>
      </c>
      <c r="GY256" s="2346">
        <v>360.59</v>
      </c>
      <c r="GZ256" s="2346">
        <v>381.39</v>
      </c>
      <c r="HA256" s="2346">
        <v>421.49</v>
      </c>
      <c r="HB256" s="2346">
        <v>442.97</v>
      </c>
      <c r="HC256" s="2346">
        <v>486.63</v>
      </c>
      <c r="HD256" s="2346">
        <v>528.61</v>
      </c>
      <c r="HE256" s="2346">
        <v>549.41</v>
      </c>
      <c r="HF256" s="2346">
        <v>645.74</v>
      </c>
      <c r="HG256" s="2346">
        <v>662.28</v>
      </c>
      <c r="HH256" s="2346">
        <v>662.28</v>
      </c>
      <c r="HI256" s="2347">
        <v>1450</v>
      </c>
      <c r="HJ256" s="2275"/>
      <c r="HK256" s="2275">
        <f>HLOOKUP(HK244,GH245:HH257,10,0)</f>
        <v>228.91</v>
      </c>
      <c r="HL256" s="2275">
        <f t="shared" si="125"/>
        <v>295.54000000000002</v>
      </c>
      <c r="HM256" s="2275">
        <v>1250</v>
      </c>
      <c r="HN256" s="2275"/>
      <c r="HO256" s="2275"/>
      <c r="HP256" s="2275"/>
      <c r="HQ256" s="2275"/>
      <c r="HR256" s="2275"/>
      <c r="HS256" s="2275"/>
      <c r="HT256" s="2250"/>
      <c r="HU256" s="2250"/>
      <c r="HV256" s="2250"/>
      <c r="HW256" s="2250"/>
      <c r="HX256" s="2250"/>
      <c r="HY256" s="2250"/>
      <c r="HZ256" s="2250"/>
      <c r="IA256" s="2250"/>
      <c r="IB256" s="2250"/>
      <c r="IC256" s="2250"/>
      <c r="ID256" s="2250"/>
      <c r="IE256" s="2250"/>
      <c r="IF256" s="2250"/>
      <c r="IG256" s="2250"/>
      <c r="IH256" s="2250"/>
      <c r="II256" s="2250"/>
      <c r="IJ256" s="2250"/>
      <c r="IK256" s="2250"/>
      <c r="IL256" s="2250"/>
      <c r="IN256" s="277"/>
      <c r="IO256" s="277"/>
    </row>
    <row r="257" spans="1:249" ht="21.95" customHeight="1">
      <c r="A257" s="2275"/>
      <c r="B257" s="2275"/>
      <c r="C257" s="2345">
        <v>1650</v>
      </c>
      <c r="D257" s="2346">
        <v>171.78</v>
      </c>
      <c r="E257" s="2346">
        <v>193.66</v>
      </c>
      <c r="F257" s="2346">
        <v>213.96</v>
      </c>
      <c r="G257" s="2346">
        <v>213.96</v>
      </c>
      <c r="H257" s="2346">
        <v>225.54</v>
      </c>
      <c r="I257" s="2346">
        <v>244.16</v>
      </c>
      <c r="J257" s="2346">
        <v>256.44</v>
      </c>
      <c r="K257" s="2346">
        <v>284.06</v>
      </c>
      <c r="L257" s="2346">
        <v>300.79000000000002</v>
      </c>
      <c r="M257" s="2346">
        <v>322.27999999999997</v>
      </c>
      <c r="N257" s="2346">
        <v>338.02</v>
      </c>
      <c r="O257" s="2346">
        <v>393.37</v>
      </c>
      <c r="P257" s="2346">
        <v>399.8</v>
      </c>
      <c r="Q257" s="2346">
        <v>427.92</v>
      </c>
      <c r="R257" s="2346">
        <v>443.66</v>
      </c>
      <c r="S257" s="2346">
        <v>470.3</v>
      </c>
      <c r="T257" s="2346">
        <v>496.04</v>
      </c>
      <c r="U257" s="2346">
        <v>521.09</v>
      </c>
      <c r="V257" s="2346">
        <v>545.64</v>
      </c>
      <c r="W257" s="2346">
        <v>601.88</v>
      </c>
      <c r="X257" s="2346">
        <v>656.83</v>
      </c>
      <c r="Y257" s="2346">
        <v>722.67</v>
      </c>
      <c r="Z257" s="2346">
        <v>783.27</v>
      </c>
      <c r="AA257" s="2346">
        <v>839.5</v>
      </c>
      <c r="AB257" s="2346">
        <v>938.42</v>
      </c>
      <c r="AC257" s="2346">
        <v>1039.31</v>
      </c>
      <c r="AD257" s="2346">
        <v>1051.58</v>
      </c>
      <c r="AE257" s="2347">
        <v>1650</v>
      </c>
      <c r="AF257" s="2275"/>
      <c r="AG257" s="2275">
        <f>HLOOKUP(AG244,D245:AD257,11,0)</f>
        <v>232.28</v>
      </c>
      <c r="AH257" s="2275">
        <f t="shared" si="122"/>
        <v>360.59</v>
      </c>
      <c r="AI257" s="2275">
        <v>1450</v>
      </c>
      <c r="AJ257" s="2275"/>
      <c r="AK257" s="2275"/>
      <c r="AL257" s="2275"/>
      <c r="AM257" s="2275"/>
      <c r="AN257" s="2275"/>
      <c r="AO257" s="2275"/>
      <c r="AP257" s="2250"/>
      <c r="AQ257" s="2250"/>
      <c r="AR257" s="2250"/>
      <c r="AS257" s="2250"/>
      <c r="AT257" s="2250"/>
      <c r="AU257" s="2250"/>
      <c r="AV257" s="2250"/>
      <c r="AW257" s="2250"/>
      <c r="AX257" s="2250"/>
      <c r="AY257" s="2250"/>
      <c r="AZ257" s="2250"/>
      <c r="BA257" s="2250"/>
      <c r="BB257" s="2250"/>
      <c r="BC257" s="2250"/>
      <c r="BD257" s="2250"/>
      <c r="BE257" s="2250"/>
      <c r="BF257" s="2276"/>
      <c r="BG257" s="2276"/>
      <c r="BH257" s="2250"/>
      <c r="BI257" s="2275"/>
      <c r="BJ257" s="2275"/>
      <c r="BK257" s="2345">
        <v>1650</v>
      </c>
      <c r="BL257" s="2346">
        <v>171.78</v>
      </c>
      <c r="BM257" s="2346">
        <v>193.66</v>
      </c>
      <c r="BN257" s="2346">
        <v>213.96</v>
      </c>
      <c r="BO257" s="2346">
        <v>213.96</v>
      </c>
      <c r="BP257" s="2346">
        <v>225.54</v>
      </c>
      <c r="BQ257" s="2346">
        <v>244.16</v>
      </c>
      <c r="BR257" s="2346">
        <v>256.44</v>
      </c>
      <c r="BS257" s="2346">
        <v>284.06</v>
      </c>
      <c r="BT257" s="2346">
        <v>300.79000000000002</v>
      </c>
      <c r="BU257" s="2346">
        <v>322.27999999999997</v>
      </c>
      <c r="BV257" s="2346">
        <v>338.02</v>
      </c>
      <c r="BW257" s="2346">
        <v>393.37</v>
      </c>
      <c r="BX257" s="2346">
        <v>399.8</v>
      </c>
      <c r="BY257" s="2346">
        <v>427.92</v>
      </c>
      <c r="BZ257" s="2346">
        <v>443.66</v>
      </c>
      <c r="CA257" s="2346">
        <v>470.3</v>
      </c>
      <c r="CB257" s="2346">
        <v>496.04</v>
      </c>
      <c r="CC257" s="2346">
        <v>521.09</v>
      </c>
      <c r="CD257" s="2346">
        <v>545.64</v>
      </c>
      <c r="CE257" s="2346">
        <v>601.88</v>
      </c>
      <c r="CF257" s="2346">
        <v>656.83</v>
      </c>
      <c r="CG257" s="2346">
        <v>722.67</v>
      </c>
      <c r="CH257" s="2346">
        <v>783.27</v>
      </c>
      <c r="CI257" s="2346">
        <v>839.5</v>
      </c>
      <c r="CJ257" s="2346">
        <v>938.42</v>
      </c>
      <c r="CK257" s="2346">
        <v>1039.31</v>
      </c>
      <c r="CL257" s="2346">
        <v>1051.58</v>
      </c>
      <c r="CM257" s="2347">
        <v>1650</v>
      </c>
      <c r="CN257" s="2275"/>
      <c r="CO257" s="2275">
        <f>HLOOKUP(CO244,BL245:CL257,11,0)</f>
        <v>214.16</v>
      </c>
      <c r="CP257" s="2275">
        <f t="shared" si="123"/>
        <v>340.89</v>
      </c>
      <c r="CQ257" s="2275">
        <v>1450</v>
      </c>
      <c r="CR257" s="2275"/>
      <c r="CS257" s="2275"/>
      <c r="CT257" s="2275"/>
      <c r="CU257" s="2275"/>
      <c r="CV257" s="2275"/>
      <c r="CW257" s="2275"/>
      <c r="CX257" s="2250"/>
      <c r="CY257" s="2250"/>
      <c r="CZ257" s="2250"/>
      <c r="DA257" s="2250"/>
      <c r="DB257" s="2250"/>
      <c r="DC257" s="2250"/>
      <c r="DD257" s="2250"/>
      <c r="DE257" s="2250"/>
      <c r="DF257" s="2250"/>
      <c r="DG257" s="2250"/>
      <c r="DH257" s="2250"/>
      <c r="DI257" s="2250"/>
      <c r="DJ257" s="2250"/>
      <c r="DK257" s="2250"/>
      <c r="DL257" s="2250"/>
      <c r="DM257" s="2250"/>
      <c r="DN257" s="2250"/>
      <c r="DO257" s="2250"/>
      <c r="DP257" s="2250"/>
      <c r="DQ257" s="2277"/>
      <c r="DR257" s="2277"/>
      <c r="DS257" s="277"/>
      <c r="DW257" s="2275"/>
      <c r="DX257" s="2275"/>
      <c r="DY257" s="2345">
        <v>1650</v>
      </c>
      <c r="DZ257" s="2346">
        <v>171.78</v>
      </c>
      <c r="EA257" s="2346">
        <v>193.66</v>
      </c>
      <c r="EB257" s="2346">
        <v>213.96</v>
      </c>
      <c r="EC257" s="2346">
        <v>213.96</v>
      </c>
      <c r="ED257" s="2346">
        <v>225.54</v>
      </c>
      <c r="EE257" s="2346">
        <v>244.16</v>
      </c>
      <c r="EF257" s="2346">
        <v>256.44</v>
      </c>
      <c r="EG257" s="2346">
        <v>284.06</v>
      </c>
      <c r="EH257" s="2346">
        <v>300.79000000000002</v>
      </c>
      <c r="EI257" s="2346">
        <v>322.27999999999997</v>
      </c>
      <c r="EJ257" s="2346">
        <v>338.02</v>
      </c>
      <c r="EK257" s="2346">
        <v>393.37</v>
      </c>
      <c r="EL257" s="2346">
        <v>399.8</v>
      </c>
      <c r="EM257" s="2346">
        <v>427.92</v>
      </c>
      <c r="EN257" s="2346">
        <v>443.66</v>
      </c>
      <c r="EO257" s="2346">
        <v>470.3</v>
      </c>
      <c r="EP257" s="2346">
        <v>496.04</v>
      </c>
      <c r="EQ257" s="2346">
        <v>521.09</v>
      </c>
      <c r="ER257" s="2346">
        <v>545.64</v>
      </c>
      <c r="ES257" s="2346">
        <v>601.88</v>
      </c>
      <c r="ET257" s="2346">
        <v>656.83</v>
      </c>
      <c r="EU257" s="2346">
        <v>722.67</v>
      </c>
      <c r="EV257" s="2346">
        <v>783.27</v>
      </c>
      <c r="EW257" s="2346">
        <v>839.5</v>
      </c>
      <c r="EX257" s="2346">
        <v>938.42</v>
      </c>
      <c r="EY257" s="2346">
        <v>1039.31</v>
      </c>
      <c r="EZ257" s="2346">
        <v>1051.58</v>
      </c>
      <c r="FA257" s="2347">
        <v>1650</v>
      </c>
      <c r="FB257" s="2275"/>
      <c r="FC257" s="2275">
        <f>HLOOKUP(FC244,DZ245:EZ257,11,0)</f>
        <v>337.72</v>
      </c>
      <c r="FD257" s="2275">
        <f t="shared" si="124"/>
        <v>528.61</v>
      </c>
      <c r="FE257" s="2275">
        <v>1450</v>
      </c>
      <c r="FF257" s="2275"/>
      <c r="FG257" s="2275"/>
      <c r="FH257" s="2275"/>
      <c r="FI257" s="2275"/>
      <c r="FJ257" s="2275"/>
      <c r="FK257" s="2275"/>
      <c r="FL257" s="2250"/>
      <c r="FM257" s="2250"/>
      <c r="FN257" s="2250"/>
      <c r="FO257" s="2250"/>
      <c r="FP257" s="2250"/>
      <c r="FQ257" s="2250"/>
      <c r="FR257" s="2250"/>
      <c r="FS257" s="2250"/>
      <c r="FT257" s="2250"/>
      <c r="FU257" s="2250"/>
      <c r="FV257" s="2250"/>
      <c r="FW257" s="2250"/>
      <c r="FX257" s="2250"/>
      <c r="FY257" s="2250"/>
      <c r="FZ257" s="2250"/>
      <c r="GA257" s="2250"/>
      <c r="GB257" s="2276"/>
      <c r="GC257" s="2276"/>
      <c r="GD257" s="2250"/>
      <c r="GE257" s="2275"/>
      <c r="GF257" s="2275"/>
      <c r="GG257" s="2345">
        <v>1650</v>
      </c>
      <c r="GH257" s="2346">
        <v>171.78</v>
      </c>
      <c r="GI257" s="2346">
        <v>193.66</v>
      </c>
      <c r="GJ257" s="2346">
        <v>213.96</v>
      </c>
      <c r="GK257" s="2346">
        <v>213.96</v>
      </c>
      <c r="GL257" s="2346">
        <v>225.54</v>
      </c>
      <c r="GM257" s="2346">
        <v>244.16</v>
      </c>
      <c r="GN257" s="2346">
        <v>256.44</v>
      </c>
      <c r="GO257" s="2346">
        <v>284.06</v>
      </c>
      <c r="GP257" s="2346">
        <v>300.79000000000002</v>
      </c>
      <c r="GQ257" s="2346">
        <v>322.27999999999997</v>
      </c>
      <c r="GR257" s="2346">
        <v>338.02</v>
      </c>
      <c r="GS257" s="2346">
        <v>393.37</v>
      </c>
      <c r="GT257" s="2346">
        <v>399.8</v>
      </c>
      <c r="GU257" s="2346">
        <v>427.92</v>
      </c>
      <c r="GV257" s="2346">
        <v>443.66</v>
      </c>
      <c r="GW257" s="2346">
        <v>470.3</v>
      </c>
      <c r="GX257" s="2346">
        <v>496.04</v>
      </c>
      <c r="GY257" s="2346">
        <v>521.09</v>
      </c>
      <c r="GZ257" s="2346">
        <v>545.64</v>
      </c>
      <c r="HA257" s="2346">
        <v>601.88</v>
      </c>
      <c r="HB257" s="2346">
        <v>656.83</v>
      </c>
      <c r="HC257" s="2346">
        <v>722.67</v>
      </c>
      <c r="HD257" s="2346">
        <v>783.27</v>
      </c>
      <c r="HE257" s="2346">
        <v>839.5</v>
      </c>
      <c r="HF257" s="2346">
        <v>938.42</v>
      </c>
      <c r="HG257" s="2346">
        <v>1039.31</v>
      </c>
      <c r="HH257" s="2346">
        <v>1051.58</v>
      </c>
      <c r="HI257" s="2347">
        <v>1650</v>
      </c>
      <c r="HJ257" s="2275"/>
      <c r="HK257" s="2275">
        <f>HLOOKUP(HK244,GH245:HH257,11,0)</f>
        <v>295.54000000000002</v>
      </c>
      <c r="HL257" s="2275">
        <f t="shared" si="125"/>
        <v>486.63</v>
      </c>
      <c r="HM257" s="2275">
        <v>1450</v>
      </c>
      <c r="HN257" s="2275"/>
      <c r="HO257" s="2275"/>
      <c r="HP257" s="2275"/>
      <c r="HQ257" s="2275"/>
      <c r="HR257" s="2275"/>
      <c r="HS257" s="2275"/>
      <c r="HT257" s="2250"/>
      <c r="HU257" s="2250"/>
      <c r="HV257" s="2250"/>
      <c r="HW257" s="2250"/>
      <c r="HX257" s="2250"/>
      <c r="HY257" s="2250"/>
      <c r="HZ257" s="2250"/>
      <c r="IA257" s="2250"/>
      <c r="IB257" s="2250"/>
      <c r="IC257" s="2250"/>
      <c r="ID257" s="2250"/>
      <c r="IE257" s="2250"/>
      <c r="IF257" s="2250"/>
      <c r="IG257" s="2250"/>
      <c r="IH257" s="2250"/>
      <c r="II257" s="2250"/>
      <c r="IJ257" s="2250"/>
      <c r="IK257" s="2250"/>
      <c r="IL257" s="2250"/>
      <c r="IN257" s="277"/>
      <c r="IO257" s="277"/>
    </row>
    <row r="258" spans="1:249" ht="21.95" customHeight="1">
      <c r="A258" s="2275"/>
      <c r="B258" s="2275"/>
      <c r="C258" s="2275"/>
      <c r="D258" s="2275"/>
      <c r="E258" s="2275"/>
      <c r="F258" s="2275"/>
      <c r="G258" s="2275"/>
      <c r="H258" s="2275"/>
      <c r="I258" s="2275"/>
      <c r="J258" s="2275"/>
      <c r="K258" s="2275"/>
      <c r="L258" s="2275"/>
      <c r="M258" s="2275"/>
      <c r="N258" s="2275"/>
      <c r="O258" s="2275"/>
      <c r="P258" s="2275"/>
      <c r="Q258" s="2275"/>
      <c r="R258" s="2275"/>
      <c r="S258" s="2275"/>
      <c r="T258" s="2275"/>
      <c r="U258" s="2275"/>
      <c r="V258" s="2275"/>
      <c r="W258" s="2275"/>
      <c r="X258" s="2275"/>
      <c r="Y258" s="2275"/>
      <c r="Z258" s="2275"/>
      <c r="AA258" s="2275"/>
      <c r="AB258" s="2275"/>
      <c r="AC258" s="2275"/>
      <c r="AD258" s="2275"/>
      <c r="AE258" s="2346"/>
      <c r="AF258" s="2275"/>
      <c r="AG258" s="2275">
        <f>HLOOKUP(AG244,D245:AD257,12,0)</f>
        <v>360.59</v>
      </c>
      <c r="AH258" s="2275">
        <f t="shared" si="122"/>
        <v>521.09</v>
      </c>
      <c r="AI258" s="2275">
        <v>1650</v>
      </c>
      <c r="AJ258" s="2275"/>
      <c r="AK258" s="2275"/>
      <c r="AL258" s="2275"/>
      <c r="AM258" s="2275"/>
      <c r="AN258" s="2275"/>
      <c r="AO258" s="2275"/>
      <c r="AP258" s="2250"/>
      <c r="AQ258" s="2250"/>
      <c r="AR258" s="2250"/>
      <c r="AS258" s="2250"/>
      <c r="AT258" s="2250"/>
      <c r="AU258" s="2250"/>
      <c r="AV258" s="2250"/>
      <c r="AW258" s="2250"/>
      <c r="AX258" s="2250"/>
      <c r="AY258" s="2250"/>
      <c r="AZ258" s="2250"/>
      <c r="BA258" s="2250"/>
      <c r="BB258" s="2250"/>
      <c r="BC258" s="2250"/>
      <c r="BD258" s="2250"/>
      <c r="BE258" s="2250"/>
      <c r="BF258" s="2276"/>
      <c r="BG258" s="2276"/>
      <c r="BH258" s="2250"/>
      <c r="BI258" s="2275"/>
      <c r="BJ258" s="2275"/>
      <c r="BK258" s="2275"/>
      <c r="BL258" s="2275"/>
      <c r="BM258" s="2275"/>
      <c r="BN258" s="2275"/>
      <c r="BO258" s="2275"/>
      <c r="BP258" s="2275"/>
      <c r="BQ258" s="2275"/>
      <c r="BR258" s="2275"/>
      <c r="BS258" s="2275"/>
      <c r="BT258" s="2275"/>
      <c r="BU258" s="2275"/>
      <c r="BV258" s="2275"/>
      <c r="BW258" s="2275"/>
      <c r="BX258" s="2275"/>
      <c r="BY258" s="2275"/>
      <c r="BZ258" s="2275"/>
      <c r="CA258" s="2275"/>
      <c r="CB258" s="2275"/>
      <c r="CC258" s="2275"/>
      <c r="CD258" s="2275"/>
      <c r="CE258" s="2275"/>
      <c r="CF258" s="2275"/>
      <c r="CG258" s="2275"/>
      <c r="CH258" s="2275"/>
      <c r="CI258" s="2275"/>
      <c r="CJ258" s="2275"/>
      <c r="CK258" s="2275"/>
      <c r="CL258" s="2275"/>
      <c r="CM258" s="2346"/>
      <c r="CN258" s="2275"/>
      <c r="CO258" s="2275">
        <f>HLOOKUP(CO244,BL245:CL257,12,0)</f>
        <v>340.89</v>
      </c>
      <c r="CP258" s="2275">
        <f t="shared" si="123"/>
        <v>496.04</v>
      </c>
      <c r="CQ258" s="2275">
        <v>1650</v>
      </c>
      <c r="CR258" s="2275"/>
      <c r="CS258" s="2275"/>
      <c r="CT258" s="2275"/>
      <c r="CU258" s="2275"/>
      <c r="CV258" s="2275"/>
      <c r="CW258" s="2275"/>
      <c r="CX258" s="2250"/>
      <c r="CY258" s="2250"/>
      <c r="CZ258" s="2250"/>
      <c r="DA258" s="2250"/>
      <c r="DB258" s="2250"/>
      <c r="DC258" s="2250"/>
      <c r="DD258" s="2250"/>
      <c r="DE258" s="2250"/>
      <c r="DF258" s="2250"/>
      <c r="DG258" s="2250"/>
      <c r="DH258" s="2250"/>
      <c r="DI258" s="2250"/>
      <c r="DJ258" s="2250"/>
      <c r="DK258" s="2250"/>
      <c r="DL258" s="2250"/>
      <c r="DM258" s="2250"/>
      <c r="DN258" s="2250"/>
      <c r="DO258" s="2250"/>
      <c r="DP258" s="2250"/>
      <c r="DQ258" s="2277"/>
      <c r="DR258" s="2277"/>
      <c r="DS258" s="277"/>
      <c r="DW258" s="2275"/>
      <c r="DX258" s="2275"/>
      <c r="DY258" s="2275"/>
      <c r="DZ258" s="2275"/>
      <c r="EA258" s="2275"/>
      <c r="EB258" s="2275"/>
      <c r="EC258" s="2275"/>
      <c r="ED258" s="2275"/>
      <c r="EE258" s="2275"/>
      <c r="EF258" s="2275"/>
      <c r="EG258" s="2275"/>
      <c r="EH258" s="2275"/>
      <c r="EI258" s="2275"/>
      <c r="EJ258" s="2275"/>
      <c r="EK258" s="2275"/>
      <c r="EL258" s="2275"/>
      <c r="EM258" s="2275"/>
      <c r="EN258" s="2275"/>
      <c r="EO258" s="2275"/>
      <c r="EP258" s="2275"/>
      <c r="EQ258" s="2275"/>
      <c r="ER258" s="2275"/>
      <c r="ES258" s="2275"/>
      <c r="ET258" s="2275"/>
      <c r="EU258" s="2275"/>
      <c r="EV258" s="2275"/>
      <c r="EW258" s="2275"/>
      <c r="EX258" s="2275"/>
      <c r="EY258" s="2275"/>
      <c r="EZ258" s="2275"/>
      <c r="FA258" s="2346"/>
      <c r="FB258" s="2275"/>
      <c r="FC258" s="2275">
        <f>HLOOKUP(FC244,DZ245:EZ257,12,0)</f>
        <v>528.61</v>
      </c>
      <c r="FD258" s="2275">
        <f t="shared" si="124"/>
        <v>783.27</v>
      </c>
      <c r="FE258" s="2275">
        <v>1650</v>
      </c>
      <c r="FF258" s="2275"/>
      <c r="FG258" s="2275"/>
      <c r="FH258" s="2275"/>
      <c r="FI258" s="2275"/>
      <c r="FJ258" s="2275"/>
      <c r="FK258" s="2275"/>
      <c r="FL258" s="2250"/>
      <c r="FM258" s="2250"/>
      <c r="FN258" s="2250"/>
      <c r="FO258" s="2250"/>
      <c r="FP258" s="2250"/>
      <c r="FQ258" s="2250"/>
      <c r="FR258" s="2250"/>
      <c r="FS258" s="2250"/>
      <c r="FT258" s="2250"/>
      <c r="FU258" s="2250"/>
      <c r="FV258" s="2250"/>
      <c r="FW258" s="2250"/>
      <c r="FX258" s="2250"/>
      <c r="FY258" s="2250"/>
      <c r="FZ258" s="2250"/>
      <c r="GA258" s="2250"/>
      <c r="GB258" s="2276"/>
      <c r="GC258" s="2276"/>
      <c r="GD258" s="2250"/>
      <c r="GE258" s="2275"/>
      <c r="GF258" s="2275"/>
      <c r="GG258" s="2275"/>
      <c r="GH258" s="2275"/>
      <c r="GI258" s="2275"/>
      <c r="GJ258" s="2275"/>
      <c r="GK258" s="2275"/>
      <c r="GL258" s="2275"/>
      <c r="GM258" s="2275"/>
      <c r="GN258" s="2275"/>
      <c r="GO258" s="2275"/>
      <c r="GP258" s="2275"/>
      <c r="GQ258" s="2275"/>
      <c r="GR258" s="2275"/>
      <c r="GS258" s="2275"/>
      <c r="GT258" s="2275"/>
      <c r="GU258" s="2275"/>
      <c r="GV258" s="2275"/>
      <c r="GW258" s="2275"/>
      <c r="GX258" s="2275"/>
      <c r="GY258" s="2275"/>
      <c r="GZ258" s="2275"/>
      <c r="HA258" s="2275"/>
      <c r="HB258" s="2275"/>
      <c r="HC258" s="2275"/>
      <c r="HD258" s="2275"/>
      <c r="HE258" s="2275"/>
      <c r="HF258" s="2275"/>
      <c r="HG258" s="2275"/>
      <c r="HH258" s="2275"/>
      <c r="HI258" s="2346"/>
      <c r="HJ258" s="2275"/>
      <c r="HK258" s="2275">
        <f>HLOOKUP(HK244,GH245:HH257,12,0)</f>
        <v>486.63</v>
      </c>
      <c r="HL258" s="2275">
        <f t="shared" si="125"/>
        <v>722.67</v>
      </c>
      <c r="HM258" s="2275">
        <v>1650</v>
      </c>
      <c r="HN258" s="2275"/>
      <c r="HO258" s="2275"/>
      <c r="HP258" s="2275"/>
      <c r="HQ258" s="2275"/>
      <c r="HR258" s="2275"/>
      <c r="HS258" s="2275"/>
      <c r="HT258" s="2250"/>
      <c r="HU258" s="2250"/>
      <c r="HV258" s="2250"/>
      <c r="HW258" s="2250"/>
      <c r="HX258" s="2250"/>
      <c r="HY258" s="2250"/>
      <c r="HZ258" s="2250"/>
      <c r="IA258" s="2250"/>
      <c r="IB258" s="2250"/>
      <c r="IC258" s="2250"/>
      <c r="ID258" s="2250"/>
      <c r="IE258" s="2250"/>
      <c r="IF258" s="2250"/>
      <c r="IG258" s="2250"/>
      <c r="IH258" s="2250"/>
      <c r="II258" s="2250"/>
      <c r="IJ258" s="2250"/>
      <c r="IK258" s="2250"/>
      <c r="IL258" s="2250"/>
      <c r="IN258" s="277"/>
      <c r="IO258" s="277"/>
    </row>
    <row r="259" spans="1:249" ht="21.95" customHeight="1">
      <c r="A259" s="2275"/>
      <c r="B259" s="2275">
        <f>AG244</f>
        <v>68.3</v>
      </c>
      <c r="C259" s="2275">
        <v>0</v>
      </c>
      <c r="D259" s="2275">
        <f>VLOOKUP(B261,C247:AD257,2,0)</f>
        <v>2.57</v>
      </c>
      <c r="E259" s="2275">
        <f>VLOOKUP(B261,C247:E257,3,0)</f>
        <v>2.77</v>
      </c>
      <c r="F259" s="2275">
        <f>VLOOKUP(B261,C247:F257,4,0)</f>
        <v>2.97</v>
      </c>
      <c r="G259" s="2275">
        <f>VLOOKUP(B261,C247:G257,5,0)</f>
        <v>3.17</v>
      </c>
      <c r="H259" s="2275">
        <f>VLOOKUP(B261,C247:H257,6,0)</f>
        <v>3.37</v>
      </c>
      <c r="I259" s="2275">
        <f>VLOOKUP(B261,C247:I257,7,0)</f>
        <v>3.47</v>
      </c>
      <c r="J259" s="2275">
        <f>VLOOKUP(B261,C247:J257,8,0)</f>
        <v>3.66</v>
      </c>
      <c r="K259" s="2275">
        <f>VLOOKUP(B261,C247:K257,9,0)</f>
        <v>3.96</v>
      </c>
      <c r="L259" s="2275">
        <f>VLOOKUP(B261,C247:L257,10,0)</f>
        <v>4.26</v>
      </c>
      <c r="M259" s="2275">
        <f>VLOOKUP(B261,C247:M257,11,0)</f>
        <v>4.46</v>
      </c>
      <c r="N259" s="2275">
        <f>VLOOKUP(B261,C247:N257,12,0)</f>
        <v>4.95</v>
      </c>
      <c r="O259" s="2275">
        <f>VLOOKUP(B261,C247:O257,13,0)</f>
        <v>5.35</v>
      </c>
      <c r="P259" s="2275">
        <f>VLOOKUP(B261,C247:P257,14,0)</f>
        <v>5.54</v>
      </c>
      <c r="Q259" s="2275">
        <f>VLOOKUP(B261,C247:Q257,15,0)</f>
        <v>5.84</v>
      </c>
      <c r="R259" s="2275">
        <f>VLOOKUP(B261,C247:R257,16,0)</f>
        <v>6.14</v>
      </c>
      <c r="S259" s="2275">
        <f>VLOOKUP(B261,C247:S257,17,0)</f>
        <v>6.34</v>
      </c>
      <c r="T259" s="2275">
        <f>VLOOKUP(B261,C247:T257,18,0)</f>
        <v>6.73</v>
      </c>
      <c r="U259" s="2275">
        <f>VLOOKUP(B261,C247:U257,19,0)</f>
        <v>7.33</v>
      </c>
      <c r="V259" s="2275">
        <f>VLOOKUP(B261,C247:V257,20,0)</f>
        <v>7.82</v>
      </c>
      <c r="W259" s="2275">
        <f>VLOOKUP(B261,C247:W257,21,0)</f>
        <v>8.42</v>
      </c>
      <c r="X259" s="2275">
        <f>VLOOKUP(B261,C247:X257,22,0)</f>
        <v>8.91</v>
      </c>
      <c r="Y259" s="2275">
        <f>VLOOKUP(B261,C247:Y257,23,0)</f>
        <v>9.8000000000000007</v>
      </c>
      <c r="Z259" s="2275">
        <f>VLOOKUP(B261,C247:Z257,24,0)</f>
        <v>10.79</v>
      </c>
      <c r="AA259" s="2275">
        <f>VLOOKUP(B261,C247:AA257,25,0)</f>
        <v>11.88</v>
      </c>
      <c r="AB259" s="2275">
        <f>VLOOKUP(B261,C247:AB257,26,0)</f>
        <v>13.47</v>
      </c>
      <c r="AC259" s="2275">
        <f>VLOOKUP(B261,C247:AC257,27,0)</f>
        <v>14.46</v>
      </c>
      <c r="AD259" s="2275">
        <f>VLOOKUP(B261,C247:AD257,28,0)</f>
        <v>16.73</v>
      </c>
      <c r="AE259" s="2346"/>
      <c r="AF259" s="2275"/>
      <c r="AG259" s="2275">
        <f>HLOOKUP(AG244,D245:AD257,13,0)</f>
        <v>521.09</v>
      </c>
      <c r="AH259" s="2275"/>
      <c r="AI259" s="2275"/>
      <c r="AJ259" s="2275"/>
      <c r="AK259" s="2275"/>
      <c r="AL259" s="2275"/>
      <c r="AM259" s="2275"/>
      <c r="AN259" s="2275"/>
      <c r="AO259" s="2275"/>
      <c r="AP259" s="2250"/>
      <c r="AQ259" s="2250"/>
      <c r="AR259" s="2250"/>
      <c r="AS259" s="2250"/>
      <c r="AT259" s="2250"/>
      <c r="AU259" s="2250"/>
      <c r="AV259" s="2250"/>
      <c r="AW259" s="2250"/>
      <c r="AX259" s="2250"/>
      <c r="AY259" s="2250"/>
      <c r="AZ259" s="2250"/>
      <c r="BA259" s="2250"/>
      <c r="BB259" s="2250"/>
      <c r="BC259" s="2250"/>
      <c r="BD259" s="2250"/>
      <c r="BE259" s="2250"/>
      <c r="BF259" s="2276"/>
      <c r="BG259" s="2276"/>
      <c r="BH259" s="2250"/>
      <c r="BI259" s="2275"/>
      <c r="BJ259" s="2275">
        <f>CO244</f>
        <v>73.7</v>
      </c>
      <c r="BK259" s="2275">
        <v>0</v>
      </c>
      <c r="BL259" s="2275">
        <f>VLOOKUP(BJ261,BK247:CL257,2,0)</f>
        <v>2.57</v>
      </c>
      <c r="BM259" s="2275">
        <f>VLOOKUP(BJ261,BK247:BM257,3,0)</f>
        <v>2.77</v>
      </c>
      <c r="BN259" s="2275">
        <f>VLOOKUP(BJ261,BK247:BN257,4,0)</f>
        <v>2.97</v>
      </c>
      <c r="BO259" s="2275">
        <f>VLOOKUP(BJ261,BK247:BO257,5,0)</f>
        <v>3.17</v>
      </c>
      <c r="BP259" s="2275">
        <f>VLOOKUP(BJ261,BK247:BP257,6,0)</f>
        <v>3.37</v>
      </c>
      <c r="BQ259" s="2275">
        <f>VLOOKUP(BJ261,BK247:BQ257,7,0)</f>
        <v>3.47</v>
      </c>
      <c r="BR259" s="2275">
        <f>VLOOKUP(BJ261,BK247:BR257,8,0)</f>
        <v>3.66</v>
      </c>
      <c r="BS259" s="2275">
        <f>VLOOKUP(BJ261,BK247:BS257,9,0)</f>
        <v>3.96</v>
      </c>
      <c r="BT259" s="2275">
        <f>VLOOKUP(BJ261,BK247:BT257,10,0)</f>
        <v>4.26</v>
      </c>
      <c r="BU259" s="2275">
        <f>VLOOKUP(BJ261,BK247:BU257,11,0)</f>
        <v>4.46</v>
      </c>
      <c r="BV259" s="2275">
        <f>VLOOKUP(BJ261,BK247:BV257,12,0)</f>
        <v>4.95</v>
      </c>
      <c r="BW259" s="2275">
        <f>VLOOKUP(BJ261,BK247:BW257,13,0)</f>
        <v>5.35</v>
      </c>
      <c r="BX259" s="2275">
        <f>VLOOKUP(BJ261,BK247:BX257,14,0)</f>
        <v>5.54</v>
      </c>
      <c r="BY259" s="2275">
        <f>VLOOKUP(BJ261,BK247:BY257,15,0)</f>
        <v>5.84</v>
      </c>
      <c r="BZ259" s="2275">
        <f>VLOOKUP(BJ261,BK247:BZ257,16,0)</f>
        <v>6.14</v>
      </c>
      <c r="CA259" s="2275">
        <f>VLOOKUP(BJ261,BK247:CA257,17,0)</f>
        <v>6.34</v>
      </c>
      <c r="CB259" s="2275">
        <f>VLOOKUP(BJ261,BK247:CB257,18,0)</f>
        <v>6.73</v>
      </c>
      <c r="CC259" s="2275">
        <f>VLOOKUP(BJ261,BK247:CC257,19,0)</f>
        <v>7.33</v>
      </c>
      <c r="CD259" s="2275">
        <f>VLOOKUP(BJ261,BK247:CD257,20,0)</f>
        <v>7.82</v>
      </c>
      <c r="CE259" s="2275">
        <f>VLOOKUP(BJ261,BK247:CE257,21,0)</f>
        <v>8.42</v>
      </c>
      <c r="CF259" s="2275">
        <f>VLOOKUP(BJ261,BK247:CF257,22,0)</f>
        <v>8.91</v>
      </c>
      <c r="CG259" s="2275">
        <f>VLOOKUP(BJ261,BK247:CG257,23,0)</f>
        <v>9.8000000000000007</v>
      </c>
      <c r="CH259" s="2275">
        <f>VLOOKUP(BJ261,BK247:CH257,24,0)</f>
        <v>10.79</v>
      </c>
      <c r="CI259" s="2275">
        <f>VLOOKUP(BJ261,BK247:CI257,25,0)</f>
        <v>11.88</v>
      </c>
      <c r="CJ259" s="2275">
        <f>VLOOKUP(BJ261,BK247:CJ257,26,0)</f>
        <v>13.47</v>
      </c>
      <c r="CK259" s="2275">
        <f>VLOOKUP(BJ261,BK247:CK257,27,0)</f>
        <v>14.46</v>
      </c>
      <c r="CL259" s="2275">
        <f>VLOOKUP(BJ261,BK247:CL257,28,0)</f>
        <v>16.73</v>
      </c>
      <c r="CM259" s="2346"/>
      <c r="CN259" s="2275"/>
      <c r="CO259" s="2275">
        <f>HLOOKUP(CO244,BL245:CL257,13,0)</f>
        <v>496.04</v>
      </c>
      <c r="CP259" s="2275"/>
      <c r="CQ259" s="2275"/>
      <c r="CR259" s="2275"/>
      <c r="CS259" s="2275"/>
      <c r="CT259" s="2275"/>
      <c r="CU259" s="2275"/>
      <c r="CV259" s="2275"/>
      <c r="CW259" s="2275"/>
      <c r="CX259" s="2250"/>
      <c r="CY259" s="2250"/>
      <c r="CZ259" s="2250"/>
      <c r="DA259" s="2250"/>
      <c r="DB259" s="2250"/>
      <c r="DC259" s="2250"/>
      <c r="DD259" s="2250"/>
      <c r="DE259" s="2250"/>
      <c r="DF259" s="2250"/>
      <c r="DG259" s="2250"/>
      <c r="DH259" s="2250"/>
      <c r="DI259" s="2250"/>
      <c r="DJ259" s="2250"/>
      <c r="DK259" s="2250"/>
      <c r="DL259" s="2250"/>
      <c r="DM259" s="2250"/>
      <c r="DN259" s="2250"/>
      <c r="DO259" s="2250"/>
      <c r="DP259" s="2250"/>
      <c r="DQ259" s="2277"/>
      <c r="DR259" s="2277"/>
      <c r="DS259" s="277"/>
      <c r="DW259" s="2275"/>
      <c r="DX259" s="2275">
        <f>FC244</f>
        <v>43.9</v>
      </c>
      <c r="DY259" s="2275">
        <v>0</v>
      </c>
      <c r="DZ259" s="2275">
        <f>VLOOKUP(DX261,DY247:EZ257,2,0)</f>
        <v>2.57</v>
      </c>
      <c r="EA259" s="2275">
        <f>VLOOKUP(DX261,DY247:EA257,3,0)</f>
        <v>2.77</v>
      </c>
      <c r="EB259" s="2275">
        <f>VLOOKUP(DX261,DY247:EB257,4,0)</f>
        <v>2.97</v>
      </c>
      <c r="EC259" s="2275">
        <f>VLOOKUP(DX261,DY247:EC257,5,0)</f>
        <v>3.17</v>
      </c>
      <c r="ED259" s="2275">
        <f>VLOOKUP(DX261,DY247:ED257,6,0)</f>
        <v>3.37</v>
      </c>
      <c r="EE259" s="2275">
        <f>VLOOKUP(DX261,DY247:EE257,7,0)</f>
        <v>3.47</v>
      </c>
      <c r="EF259" s="2275">
        <f>VLOOKUP(DX261,DY247:EF257,8,0)</f>
        <v>3.66</v>
      </c>
      <c r="EG259" s="2275">
        <f>VLOOKUP(DX261,DY247:EG257,9,0)</f>
        <v>3.96</v>
      </c>
      <c r="EH259" s="2275">
        <f>VLOOKUP(DX261,DY247:EH257,10,0)</f>
        <v>4.26</v>
      </c>
      <c r="EI259" s="2275">
        <f>VLOOKUP(DX261,DY247:EI257,11,0)</f>
        <v>4.46</v>
      </c>
      <c r="EJ259" s="2275">
        <f>VLOOKUP(DX261,DY247:EJ257,12,0)</f>
        <v>4.95</v>
      </c>
      <c r="EK259" s="2275">
        <f>VLOOKUP(DX261,DY247:EK257,13,0)</f>
        <v>5.35</v>
      </c>
      <c r="EL259" s="2275">
        <f>VLOOKUP(DX261,DY247:EL257,14,0)</f>
        <v>5.54</v>
      </c>
      <c r="EM259" s="2275">
        <f>VLOOKUP(DX261,DY247:EM257,15,0)</f>
        <v>5.84</v>
      </c>
      <c r="EN259" s="2275">
        <f>VLOOKUP(DX261,DY247:EN257,16,0)</f>
        <v>6.14</v>
      </c>
      <c r="EO259" s="2275">
        <f>VLOOKUP(DX261,DY247:EO257,17,0)</f>
        <v>6.34</v>
      </c>
      <c r="EP259" s="2275">
        <f>VLOOKUP(DX261,DY247:EP257,18,0)</f>
        <v>6.73</v>
      </c>
      <c r="EQ259" s="2275">
        <f>VLOOKUP(DX261,DY247:EQ257,19,0)</f>
        <v>7.33</v>
      </c>
      <c r="ER259" s="2275">
        <f>VLOOKUP(DX261,DY247:ER257,20,0)</f>
        <v>7.82</v>
      </c>
      <c r="ES259" s="2275">
        <f>VLOOKUP(DX261,DY247:ES257,21,0)</f>
        <v>8.42</v>
      </c>
      <c r="ET259" s="2275">
        <f>VLOOKUP(DX261,DY247:ET257,22,0)</f>
        <v>8.91</v>
      </c>
      <c r="EU259" s="2275">
        <f>VLOOKUP(DX261,DY247:EU257,23,0)</f>
        <v>9.8000000000000007</v>
      </c>
      <c r="EV259" s="2275">
        <f>VLOOKUP(DX261,DY247:EV257,24,0)</f>
        <v>10.79</v>
      </c>
      <c r="EW259" s="2275">
        <f>VLOOKUP(DX261,DY247:EW257,25,0)</f>
        <v>11.88</v>
      </c>
      <c r="EX259" s="2275">
        <f>VLOOKUP(DX261,DY247:EX257,26,0)</f>
        <v>13.47</v>
      </c>
      <c r="EY259" s="2275">
        <f>VLOOKUP(DX261,DY247:EY257,27,0)</f>
        <v>14.46</v>
      </c>
      <c r="EZ259" s="2275">
        <f>VLOOKUP(DX261,DY247:EZ257,28,0)</f>
        <v>16.73</v>
      </c>
      <c r="FA259" s="2346"/>
      <c r="FB259" s="2275"/>
      <c r="FC259" s="2275">
        <f>HLOOKUP(FC244,DZ245:EZ257,13,0)</f>
        <v>783.27</v>
      </c>
      <c r="FD259" s="2275"/>
      <c r="FE259" s="2275"/>
      <c r="FF259" s="2275"/>
      <c r="FG259" s="2275"/>
      <c r="FH259" s="2275"/>
      <c r="FI259" s="2275"/>
      <c r="FJ259" s="2275"/>
      <c r="FK259" s="2275"/>
      <c r="FL259" s="2250"/>
      <c r="FM259" s="2250"/>
      <c r="FN259" s="2250"/>
      <c r="FO259" s="2250"/>
      <c r="FP259" s="2250"/>
      <c r="FQ259" s="2250"/>
      <c r="FR259" s="2250"/>
      <c r="FS259" s="2250"/>
      <c r="FT259" s="2250"/>
      <c r="FU259" s="2250"/>
      <c r="FV259" s="2250"/>
      <c r="FW259" s="2250"/>
      <c r="FX259" s="2250"/>
      <c r="FY259" s="2250"/>
      <c r="FZ259" s="2250"/>
      <c r="GA259" s="2250"/>
      <c r="GB259" s="2276"/>
      <c r="GC259" s="2276"/>
      <c r="GD259" s="2250"/>
      <c r="GE259" s="2275"/>
      <c r="GF259" s="2275">
        <f>HK244</f>
        <v>48.8</v>
      </c>
      <c r="GG259" s="2275">
        <v>0</v>
      </c>
      <c r="GH259" s="2275">
        <f>VLOOKUP(GF261,GG247:HH257,2,0)</f>
        <v>2.57</v>
      </c>
      <c r="GI259" s="2275">
        <f>VLOOKUP(GF261,GG247:GI257,3,0)</f>
        <v>2.77</v>
      </c>
      <c r="GJ259" s="2275">
        <f>VLOOKUP(GF261,GG247:GJ257,4,0)</f>
        <v>2.97</v>
      </c>
      <c r="GK259" s="2275">
        <f>VLOOKUP(GF261,GG247:GK257,5,0)</f>
        <v>3.17</v>
      </c>
      <c r="GL259" s="2275">
        <f>VLOOKUP(GF261,GG247:GL257,6,0)</f>
        <v>3.37</v>
      </c>
      <c r="GM259" s="2275">
        <f>VLOOKUP(GF261,GG247:GM257,7,0)</f>
        <v>3.47</v>
      </c>
      <c r="GN259" s="2275">
        <f>VLOOKUP(GF261,GG247:GN257,8,0)</f>
        <v>3.66</v>
      </c>
      <c r="GO259" s="2275">
        <f>VLOOKUP(GF261,GG247:GO257,9,0)</f>
        <v>3.96</v>
      </c>
      <c r="GP259" s="2275">
        <f>VLOOKUP(GF261,GG247:GP257,10,0)</f>
        <v>4.26</v>
      </c>
      <c r="GQ259" s="2275">
        <f>VLOOKUP(GF261,GG247:GQ257,11,0)</f>
        <v>4.46</v>
      </c>
      <c r="GR259" s="2275">
        <f>VLOOKUP(GF261,GG247:GR257,12,0)</f>
        <v>4.95</v>
      </c>
      <c r="GS259" s="2275">
        <f>VLOOKUP(GF261,GG247:GS257,13,0)</f>
        <v>5.35</v>
      </c>
      <c r="GT259" s="2275">
        <f>VLOOKUP(GF261,GG247:GT257,14,0)</f>
        <v>5.54</v>
      </c>
      <c r="GU259" s="2275">
        <f>VLOOKUP(GF261,GG247:GU257,15,0)</f>
        <v>5.84</v>
      </c>
      <c r="GV259" s="2275">
        <f>VLOOKUP(GF261,GG247:GV257,16,0)</f>
        <v>6.14</v>
      </c>
      <c r="GW259" s="2275">
        <f>VLOOKUP(GF261,GG247:GW257,17,0)</f>
        <v>6.34</v>
      </c>
      <c r="GX259" s="2275">
        <f>VLOOKUP(GF261,GG247:GX257,18,0)</f>
        <v>6.73</v>
      </c>
      <c r="GY259" s="2275">
        <f>VLOOKUP(GF261,GG247:GY257,19,0)</f>
        <v>7.33</v>
      </c>
      <c r="GZ259" s="2275">
        <f>VLOOKUP(GF261,GG247:GZ257,20,0)</f>
        <v>7.82</v>
      </c>
      <c r="HA259" s="2275">
        <f>VLOOKUP(GF261,GG247:HA257,21,0)</f>
        <v>8.42</v>
      </c>
      <c r="HB259" s="2275">
        <f>VLOOKUP(GF261,GG247:HB257,22,0)</f>
        <v>8.91</v>
      </c>
      <c r="HC259" s="2275">
        <f>VLOOKUP(GF261,GG247:HC257,23,0)</f>
        <v>9.8000000000000007</v>
      </c>
      <c r="HD259" s="2275">
        <f>VLOOKUP(GF261,GG247:HD257,24,0)</f>
        <v>10.79</v>
      </c>
      <c r="HE259" s="2275">
        <f>VLOOKUP(GF261,GG247:HE257,25,0)</f>
        <v>11.88</v>
      </c>
      <c r="HF259" s="2275">
        <f>VLOOKUP(GF261,GG247:HF257,26,0)</f>
        <v>13.47</v>
      </c>
      <c r="HG259" s="2275">
        <f>VLOOKUP(GF261,GG247:HG257,27,0)</f>
        <v>14.46</v>
      </c>
      <c r="HH259" s="2275">
        <f>VLOOKUP(GF261,GG247:HH257,28,0)</f>
        <v>16.73</v>
      </c>
      <c r="HI259" s="2346"/>
      <c r="HJ259" s="2275"/>
      <c r="HK259" s="2275">
        <f>HLOOKUP(HK244,GH245:HH257,13,0)</f>
        <v>722.67</v>
      </c>
      <c r="HL259" s="2275"/>
      <c r="HM259" s="2275"/>
      <c r="HN259" s="2275"/>
      <c r="HO259" s="2275"/>
      <c r="HP259" s="2275"/>
      <c r="HQ259" s="2275"/>
      <c r="HR259" s="2275"/>
      <c r="HS259" s="2275"/>
      <c r="HT259" s="2250"/>
      <c r="HU259" s="2250"/>
      <c r="HV259" s="2250"/>
      <c r="HW259" s="2250"/>
      <c r="HX259" s="2250"/>
      <c r="HY259" s="2250"/>
      <c r="HZ259" s="2250"/>
      <c r="IA259" s="2250"/>
      <c r="IB259" s="2250"/>
      <c r="IC259" s="2250"/>
      <c r="ID259" s="2250"/>
      <c r="IE259" s="2250"/>
      <c r="IF259" s="2250"/>
      <c r="IG259" s="2250"/>
      <c r="IH259" s="2250"/>
      <c r="II259" s="2250"/>
      <c r="IJ259" s="2250"/>
      <c r="IK259" s="2250"/>
      <c r="IL259" s="2250"/>
      <c r="IN259" s="277"/>
      <c r="IO259" s="277"/>
    </row>
    <row r="260" spans="1:249" ht="21.95" customHeight="1">
      <c r="A260" s="2275"/>
      <c r="B260" s="2275">
        <f>AH261</f>
        <v>7.33</v>
      </c>
      <c r="C260" s="2275"/>
      <c r="D260" s="2275"/>
      <c r="E260" s="2275"/>
      <c r="F260" s="2275"/>
      <c r="G260" s="2275"/>
      <c r="H260" s="2275"/>
      <c r="I260" s="2275"/>
      <c r="J260" s="2275"/>
      <c r="K260" s="2275"/>
      <c r="L260" s="2275"/>
      <c r="M260" s="2275"/>
      <c r="N260" s="2275"/>
      <c r="O260" s="2275"/>
      <c r="P260" s="2275"/>
      <c r="Q260" s="2275"/>
      <c r="R260" s="2275"/>
      <c r="S260" s="2275"/>
      <c r="T260" s="2275"/>
      <c r="U260" s="2275"/>
      <c r="V260" s="2275"/>
      <c r="W260" s="2275"/>
      <c r="X260" s="2275"/>
      <c r="Y260" s="2275"/>
      <c r="Z260" s="2275"/>
      <c r="AA260" s="2275"/>
      <c r="AB260" s="2275"/>
      <c r="AC260" s="2275"/>
      <c r="AD260" s="2275"/>
      <c r="AE260" s="2275"/>
      <c r="AF260" s="2275"/>
      <c r="AG260" s="2275">
        <f>VLOOKUP(AG245,AG247:AG259,1)</f>
        <v>0</v>
      </c>
      <c r="AH260" s="2275">
        <f>IFERROR(VLOOKUP(AG245,AH247:AH257,2,0),0)</f>
        <v>0</v>
      </c>
      <c r="AI260" s="2275"/>
      <c r="AJ260" s="2275"/>
      <c r="AK260" s="2275"/>
      <c r="AL260" s="2275"/>
      <c r="AM260" s="2275"/>
      <c r="AN260" s="2275"/>
      <c r="AO260" s="2275"/>
      <c r="AP260" s="2250"/>
      <c r="AQ260" s="2250"/>
      <c r="AR260" s="2250"/>
      <c r="AS260" s="2250"/>
      <c r="AT260" s="2250"/>
      <c r="AU260" s="2250"/>
      <c r="AV260" s="2250"/>
      <c r="AW260" s="2250"/>
      <c r="AX260" s="2250"/>
      <c r="AY260" s="2250"/>
      <c r="AZ260" s="2250"/>
      <c r="BA260" s="2250"/>
      <c r="BB260" s="2250"/>
      <c r="BC260" s="2250"/>
      <c r="BD260" s="2250"/>
      <c r="BE260" s="2250"/>
      <c r="BF260" s="2276"/>
      <c r="BG260" s="2276"/>
      <c r="BH260" s="2250"/>
      <c r="BI260" s="2275"/>
      <c r="BJ260" s="2275">
        <f>CP261</f>
        <v>6.73</v>
      </c>
      <c r="BK260" s="2275"/>
      <c r="BL260" s="2275"/>
      <c r="BM260" s="2275"/>
      <c r="BN260" s="2275"/>
      <c r="BO260" s="2275"/>
      <c r="BP260" s="2275"/>
      <c r="BQ260" s="2275"/>
      <c r="BR260" s="2275"/>
      <c r="BS260" s="2275"/>
      <c r="BT260" s="2275"/>
      <c r="BU260" s="2275"/>
      <c r="BV260" s="2275"/>
      <c r="BW260" s="2275"/>
      <c r="BX260" s="2275"/>
      <c r="BY260" s="2275"/>
      <c r="BZ260" s="2275"/>
      <c r="CA260" s="2275"/>
      <c r="CB260" s="2275"/>
      <c r="CC260" s="2275"/>
      <c r="CD260" s="2275"/>
      <c r="CE260" s="2275"/>
      <c r="CF260" s="2275"/>
      <c r="CG260" s="2275"/>
      <c r="CH260" s="2275"/>
      <c r="CI260" s="2275"/>
      <c r="CJ260" s="2275"/>
      <c r="CK260" s="2275"/>
      <c r="CL260" s="2275"/>
      <c r="CM260" s="2275"/>
      <c r="CN260" s="2275"/>
      <c r="CO260" s="2275">
        <f>VLOOKUP(CO245,CO247:CO259,1)</f>
        <v>0</v>
      </c>
      <c r="CP260" s="2275">
        <f>IFERROR(VLOOKUP(CO245,CP247:CP257,2,0),0)</f>
        <v>0</v>
      </c>
      <c r="CQ260" s="2275"/>
      <c r="CR260" s="2275"/>
      <c r="CS260" s="2275"/>
      <c r="CT260" s="2275"/>
      <c r="CU260" s="2275"/>
      <c r="CV260" s="2275"/>
      <c r="CW260" s="2275"/>
      <c r="CX260" s="2250"/>
      <c r="CY260" s="2250"/>
      <c r="CZ260" s="2250"/>
      <c r="DA260" s="2250"/>
      <c r="DB260" s="2250"/>
      <c r="DC260" s="2250"/>
      <c r="DD260" s="2250"/>
      <c r="DE260" s="2250"/>
      <c r="DF260" s="2250"/>
      <c r="DG260" s="2250"/>
      <c r="DH260" s="2250"/>
      <c r="DI260" s="2250"/>
      <c r="DJ260" s="2250"/>
      <c r="DK260" s="2250"/>
      <c r="DL260" s="2250"/>
      <c r="DM260" s="2250"/>
      <c r="DN260" s="2250"/>
      <c r="DO260" s="2250"/>
      <c r="DP260" s="2250"/>
      <c r="DQ260" s="2277"/>
      <c r="DR260" s="2277"/>
      <c r="DS260" s="277"/>
      <c r="DW260" s="2275"/>
      <c r="DX260" s="2275">
        <f>FD261</f>
        <v>10.79</v>
      </c>
      <c r="DY260" s="2275"/>
      <c r="DZ260" s="2275"/>
      <c r="EA260" s="2275"/>
      <c r="EB260" s="2275"/>
      <c r="EC260" s="2275"/>
      <c r="ED260" s="2275"/>
      <c r="EE260" s="2275"/>
      <c r="EF260" s="2275"/>
      <c r="EG260" s="2275"/>
      <c r="EH260" s="2275"/>
      <c r="EI260" s="2275"/>
      <c r="EJ260" s="2275"/>
      <c r="EK260" s="2275"/>
      <c r="EL260" s="2275"/>
      <c r="EM260" s="2275"/>
      <c r="EN260" s="2275"/>
      <c r="EO260" s="2275"/>
      <c r="EP260" s="2275"/>
      <c r="EQ260" s="2275"/>
      <c r="ER260" s="2275"/>
      <c r="ES260" s="2275"/>
      <c r="ET260" s="2275"/>
      <c r="EU260" s="2275"/>
      <c r="EV260" s="2275"/>
      <c r="EW260" s="2275"/>
      <c r="EX260" s="2275"/>
      <c r="EY260" s="2275"/>
      <c r="EZ260" s="2275"/>
      <c r="FA260" s="2275"/>
      <c r="FB260" s="2275"/>
      <c r="FC260" s="2275">
        <f>VLOOKUP(FC245,FC247:FC259,1)</f>
        <v>0</v>
      </c>
      <c r="FD260" s="2275">
        <f>IFERROR(VLOOKUP(FC245,FD247:FD257,2,0),0)</f>
        <v>0</v>
      </c>
      <c r="FE260" s="2275"/>
      <c r="FF260" s="2275"/>
      <c r="FG260" s="2275"/>
      <c r="FH260" s="2275"/>
      <c r="FI260" s="2275"/>
      <c r="FJ260" s="2275"/>
      <c r="FK260" s="2275"/>
      <c r="FL260" s="2250"/>
      <c r="FM260" s="2250"/>
      <c r="FN260" s="2250"/>
      <c r="FO260" s="2250"/>
      <c r="FP260" s="2250"/>
      <c r="FQ260" s="2250"/>
      <c r="FR260" s="2250"/>
      <c r="FS260" s="2250"/>
      <c r="FT260" s="2250"/>
      <c r="FU260" s="2250"/>
      <c r="FV260" s="2250"/>
      <c r="FW260" s="2250"/>
      <c r="FX260" s="2250"/>
      <c r="FY260" s="2250"/>
      <c r="FZ260" s="2250"/>
      <c r="GA260" s="2250"/>
      <c r="GB260" s="2276"/>
      <c r="GC260" s="2276"/>
      <c r="GD260" s="2250"/>
      <c r="GE260" s="2275"/>
      <c r="GF260" s="2275">
        <f>HL261</f>
        <v>9.8000000000000007</v>
      </c>
      <c r="GG260" s="2275"/>
      <c r="GH260" s="2275"/>
      <c r="GI260" s="2275"/>
      <c r="GJ260" s="2275"/>
      <c r="GK260" s="2275"/>
      <c r="GL260" s="2275"/>
      <c r="GM260" s="2275"/>
      <c r="GN260" s="2275"/>
      <c r="GO260" s="2275"/>
      <c r="GP260" s="2275"/>
      <c r="GQ260" s="2275"/>
      <c r="GR260" s="2275"/>
      <c r="GS260" s="2275"/>
      <c r="GT260" s="2275"/>
      <c r="GU260" s="2275"/>
      <c r="GV260" s="2275"/>
      <c r="GW260" s="2275"/>
      <c r="GX260" s="2275"/>
      <c r="GY260" s="2275"/>
      <c r="GZ260" s="2275"/>
      <c r="HA260" s="2275"/>
      <c r="HB260" s="2275"/>
      <c r="HC260" s="2275"/>
      <c r="HD260" s="2275"/>
      <c r="HE260" s="2275"/>
      <c r="HF260" s="2275"/>
      <c r="HG260" s="2275"/>
      <c r="HH260" s="2275"/>
      <c r="HI260" s="2275"/>
      <c r="HJ260" s="2275"/>
      <c r="HK260" s="2275">
        <f>VLOOKUP(HK245,HK247:HK259,1)</f>
        <v>0</v>
      </c>
      <c r="HL260" s="2275">
        <f>IFERROR(VLOOKUP(HK245,HL247:HL257,2,0),0)</f>
        <v>0</v>
      </c>
      <c r="HM260" s="2275"/>
      <c r="HN260" s="2275"/>
      <c r="HO260" s="2275"/>
      <c r="HP260" s="2275"/>
      <c r="HQ260" s="2275"/>
      <c r="HR260" s="2275"/>
      <c r="HS260" s="2275"/>
      <c r="HT260" s="2250"/>
      <c r="HU260" s="2250"/>
      <c r="HV260" s="2250"/>
      <c r="HW260" s="2250"/>
      <c r="HX260" s="2250"/>
      <c r="HY260" s="2250"/>
      <c r="HZ260" s="2250"/>
      <c r="IA260" s="2250"/>
      <c r="IB260" s="2250"/>
      <c r="IC260" s="2250"/>
      <c r="ID260" s="2250"/>
      <c r="IE260" s="2250"/>
      <c r="IF260" s="2250"/>
      <c r="IG260" s="2250"/>
      <c r="IH260" s="2250"/>
      <c r="II260" s="2250"/>
      <c r="IJ260" s="2250"/>
      <c r="IK260" s="2250"/>
      <c r="IL260" s="2250"/>
      <c r="IN260" s="277"/>
      <c r="IO260" s="277"/>
    </row>
    <row r="261" spans="1:249" ht="21.95" customHeight="1">
      <c r="A261" s="2275"/>
      <c r="B261" s="2346">
        <f>AI261</f>
        <v>400</v>
      </c>
      <c r="C261" s="2346" t="s">
        <v>739</v>
      </c>
      <c r="D261" s="2346">
        <f>HLOOKUP(B259,D245:AD259,15,0)</f>
        <v>7.33</v>
      </c>
      <c r="E261" s="2346" t="str">
        <f>IF(B260=D261,"Right","Wrong")</f>
        <v>Right</v>
      </c>
      <c r="F261" s="2275"/>
      <c r="G261" s="2275"/>
      <c r="H261" s="2275"/>
      <c r="I261" s="2275"/>
      <c r="J261" s="2275"/>
      <c r="K261" s="2275"/>
      <c r="L261" s="2275"/>
      <c r="M261" s="2275"/>
      <c r="N261" s="2275"/>
      <c r="O261" s="2275"/>
      <c r="P261" s="2275"/>
      <c r="Q261" s="2275"/>
      <c r="R261" s="2275"/>
      <c r="S261" s="2275"/>
      <c r="T261" s="2275"/>
      <c r="U261" s="2275"/>
      <c r="V261" s="2275"/>
      <c r="W261" s="2275"/>
      <c r="X261" s="2275"/>
      <c r="Y261" s="2275"/>
      <c r="Z261" s="2275"/>
      <c r="AA261" s="2275"/>
      <c r="AB261" s="2275"/>
      <c r="AC261" s="2275"/>
      <c r="AD261" s="2275"/>
      <c r="AE261" s="2275"/>
      <c r="AF261" s="2275"/>
      <c r="AG261" s="2275">
        <f>VLOOKUP(AG260,AG247:AH258,2,0)</f>
        <v>7.33</v>
      </c>
      <c r="AH261" s="2275">
        <f>IF(AH260&gt;0,AH260,AG261)</f>
        <v>7.33</v>
      </c>
      <c r="AI261" s="2275">
        <f>VLOOKUP(AH261,AH248:AI258,2,0)</f>
        <v>400</v>
      </c>
      <c r="AJ261" s="2275"/>
      <c r="AK261" s="2275"/>
      <c r="AL261" s="2275"/>
      <c r="AM261" s="2275"/>
      <c r="AN261" s="2275"/>
      <c r="AO261" s="2275"/>
      <c r="AP261" s="2250"/>
      <c r="AQ261" s="2250"/>
      <c r="AR261" s="2250"/>
      <c r="AS261" s="2250"/>
      <c r="AT261" s="2250"/>
      <c r="AU261" s="2250"/>
      <c r="AV261" s="2250"/>
      <c r="AW261" s="2250"/>
      <c r="AX261" s="2250"/>
      <c r="AY261" s="2250"/>
      <c r="AZ261" s="2250"/>
      <c r="BA261" s="2250"/>
      <c r="BB261" s="2250"/>
      <c r="BC261" s="2250"/>
      <c r="BD261" s="2250"/>
      <c r="BE261" s="2250"/>
      <c r="BF261" s="2276"/>
      <c r="BG261" s="2276"/>
      <c r="BH261" s="2250"/>
      <c r="BI261" s="2275"/>
      <c r="BJ261" s="2346">
        <f>CQ261</f>
        <v>400</v>
      </c>
      <c r="BK261" s="2346" t="s">
        <v>739</v>
      </c>
      <c r="BL261" s="2346">
        <f>HLOOKUP(BJ259,BL245:CL259,15,0)</f>
        <v>6.73</v>
      </c>
      <c r="BM261" s="2346" t="str">
        <f>IF(BJ260=BL261,"Right","Wrong")</f>
        <v>Right</v>
      </c>
      <c r="BN261" s="2275"/>
      <c r="BO261" s="2275"/>
      <c r="BP261" s="2275"/>
      <c r="BQ261" s="2275"/>
      <c r="BR261" s="2275"/>
      <c r="BS261" s="2275"/>
      <c r="BT261" s="2275"/>
      <c r="BU261" s="2275"/>
      <c r="BV261" s="2275"/>
      <c r="BW261" s="2275"/>
      <c r="BX261" s="2275"/>
      <c r="BY261" s="2275"/>
      <c r="BZ261" s="2275"/>
      <c r="CA261" s="2275"/>
      <c r="CB261" s="2275"/>
      <c r="CC261" s="2275"/>
      <c r="CD261" s="2275"/>
      <c r="CE261" s="2275"/>
      <c r="CF261" s="2275"/>
      <c r="CG261" s="2275"/>
      <c r="CH261" s="2275"/>
      <c r="CI261" s="2275"/>
      <c r="CJ261" s="2275"/>
      <c r="CK261" s="2275"/>
      <c r="CL261" s="2275"/>
      <c r="CM261" s="2275"/>
      <c r="CN261" s="2275"/>
      <c r="CO261" s="2275">
        <f>VLOOKUP(CO260,CO247:CP258,2,0)</f>
        <v>6.73</v>
      </c>
      <c r="CP261" s="2275">
        <f>IF(CP260&gt;0,CP260,CO261)</f>
        <v>6.73</v>
      </c>
      <c r="CQ261" s="2275">
        <f>VLOOKUP(CP261,CP248:CQ258,2,0)</f>
        <v>400</v>
      </c>
      <c r="CR261" s="2275"/>
      <c r="CS261" s="2275"/>
      <c r="CT261" s="2275"/>
      <c r="CU261" s="2275"/>
      <c r="CV261" s="2275"/>
      <c r="CW261" s="2275"/>
      <c r="CX261" s="2250"/>
      <c r="CY261" s="2250"/>
      <c r="CZ261" s="2250"/>
      <c r="DA261" s="2250"/>
      <c r="DB261" s="2250"/>
      <c r="DC261" s="2250"/>
      <c r="DD261" s="2250"/>
      <c r="DE261" s="2250"/>
      <c r="DF261" s="2250"/>
      <c r="DG261" s="2250"/>
      <c r="DH261" s="2250"/>
      <c r="DI261" s="2250"/>
      <c r="DJ261" s="2250"/>
      <c r="DK261" s="2250"/>
      <c r="DL261" s="2250"/>
      <c r="DM261" s="2250"/>
      <c r="DN261" s="2250"/>
      <c r="DO261" s="2250"/>
      <c r="DP261" s="2250"/>
      <c r="DQ261" s="2277"/>
      <c r="DR261" s="2277"/>
      <c r="DS261" s="277"/>
      <c r="DW261" s="2275"/>
      <c r="DX261" s="2346">
        <f>FE261</f>
        <v>400</v>
      </c>
      <c r="DY261" s="2346" t="s">
        <v>739</v>
      </c>
      <c r="DZ261" s="2346">
        <f>HLOOKUP(DX259,DZ245:EZ259,15,0)</f>
        <v>10.79</v>
      </c>
      <c r="EA261" s="2346" t="str">
        <f>IF(DX260=DZ261,"Right","Wrong")</f>
        <v>Right</v>
      </c>
      <c r="EB261" s="2275"/>
      <c r="EC261" s="2275"/>
      <c r="ED261" s="2275"/>
      <c r="EE261" s="2275"/>
      <c r="EF261" s="2275"/>
      <c r="EG261" s="2275"/>
      <c r="EH261" s="2275"/>
      <c r="EI261" s="2275"/>
      <c r="EJ261" s="2275"/>
      <c r="EK261" s="2275"/>
      <c r="EL261" s="2275"/>
      <c r="EM261" s="2275"/>
      <c r="EN261" s="2275"/>
      <c r="EO261" s="2275"/>
      <c r="EP261" s="2275"/>
      <c r="EQ261" s="2275"/>
      <c r="ER261" s="2275"/>
      <c r="ES261" s="2275"/>
      <c r="ET261" s="2275"/>
      <c r="EU261" s="2275"/>
      <c r="EV261" s="2275"/>
      <c r="EW261" s="2275"/>
      <c r="EX261" s="2275"/>
      <c r="EY261" s="2275"/>
      <c r="EZ261" s="2275"/>
      <c r="FA261" s="2275"/>
      <c r="FB261" s="2275"/>
      <c r="FC261" s="2275">
        <f>VLOOKUP(FC260,FC247:FD258,2,0)</f>
        <v>10.79</v>
      </c>
      <c r="FD261" s="2275">
        <f>IF(FD260&gt;0,FD260,FC261)</f>
        <v>10.79</v>
      </c>
      <c r="FE261" s="2275">
        <f>VLOOKUP(FD261,FD248:FE258,2,0)</f>
        <v>400</v>
      </c>
      <c r="FF261" s="2275"/>
      <c r="FG261" s="2275"/>
      <c r="FH261" s="2275"/>
      <c r="FI261" s="2275"/>
      <c r="FJ261" s="2275"/>
      <c r="FK261" s="2275"/>
      <c r="FL261" s="2250"/>
      <c r="FM261" s="2250"/>
      <c r="FN261" s="2250"/>
      <c r="FO261" s="2250"/>
      <c r="FP261" s="2250"/>
      <c r="FQ261" s="2250"/>
      <c r="FR261" s="2250"/>
      <c r="FS261" s="2250"/>
      <c r="FT261" s="2250"/>
      <c r="FU261" s="2250"/>
      <c r="FV261" s="2250"/>
      <c r="FW261" s="2250"/>
      <c r="FX261" s="2250"/>
      <c r="FY261" s="2250"/>
      <c r="FZ261" s="2250"/>
      <c r="GA261" s="2250"/>
      <c r="GB261" s="2276"/>
      <c r="GC261" s="2276"/>
      <c r="GD261" s="2250"/>
      <c r="GE261" s="2275"/>
      <c r="GF261" s="2346">
        <f>HM261</f>
        <v>400</v>
      </c>
      <c r="GG261" s="2346" t="s">
        <v>739</v>
      </c>
      <c r="GH261" s="2346">
        <f>HLOOKUP(GF259,GH245:HH259,15,0)</f>
        <v>9.8000000000000007</v>
      </c>
      <c r="GI261" s="2346" t="str">
        <f>IF(GF260=GH261,"Right","Wrong")</f>
        <v>Right</v>
      </c>
      <c r="GJ261" s="2275"/>
      <c r="GK261" s="2275"/>
      <c r="GL261" s="2275"/>
      <c r="GM261" s="2275"/>
      <c r="GN261" s="2275"/>
      <c r="GO261" s="2275"/>
      <c r="GP261" s="2275"/>
      <c r="GQ261" s="2275"/>
      <c r="GR261" s="2275"/>
      <c r="GS261" s="2275"/>
      <c r="GT261" s="2275"/>
      <c r="GU261" s="2275"/>
      <c r="GV261" s="2275"/>
      <c r="GW261" s="2275"/>
      <c r="GX261" s="2275"/>
      <c r="GY261" s="2275"/>
      <c r="GZ261" s="2275"/>
      <c r="HA261" s="2275"/>
      <c r="HB261" s="2275"/>
      <c r="HC261" s="2275"/>
      <c r="HD261" s="2275"/>
      <c r="HE261" s="2275"/>
      <c r="HF261" s="2275"/>
      <c r="HG261" s="2275"/>
      <c r="HH261" s="2275"/>
      <c r="HI261" s="2275"/>
      <c r="HJ261" s="2275"/>
      <c r="HK261" s="2275">
        <f>VLOOKUP(HK260,HK247:HL258,2,0)</f>
        <v>9.8000000000000007</v>
      </c>
      <c r="HL261" s="2275">
        <f>IF(HL260&gt;0,HL260,HK261)</f>
        <v>9.8000000000000007</v>
      </c>
      <c r="HM261" s="2275">
        <f>VLOOKUP(HL261,HL248:HM258,2,0)</f>
        <v>400</v>
      </c>
      <c r="HN261" s="2275"/>
      <c r="HO261" s="2275"/>
      <c r="HP261" s="2275"/>
      <c r="HQ261" s="2275"/>
      <c r="HR261" s="2275"/>
      <c r="HS261" s="2275"/>
      <c r="HT261" s="2250"/>
      <c r="HU261" s="2250"/>
      <c r="HV261" s="2250"/>
      <c r="HW261" s="2250"/>
      <c r="HX261" s="2250"/>
      <c r="HY261" s="2250"/>
      <c r="HZ261" s="2250"/>
      <c r="IA261" s="2250"/>
      <c r="IB261" s="2250"/>
      <c r="IC261" s="2250"/>
      <c r="ID261" s="2250"/>
      <c r="IE261" s="2250"/>
      <c r="IF261" s="2250"/>
      <c r="IG261" s="2250"/>
      <c r="IH261" s="2250"/>
      <c r="II261" s="2250"/>
      <c r="IJ261" s="2250"/>
      <c r="IK261" s="2250"/>
      <c r="IL261" s="2250"/>
      <c r="IN261" s="277"/>
      <c r="IO261" s="277"/>
    </row>
    <row r="262" spans="1:249" ht="21.95" customHeight="1">
      <c r="A262" s="2275"/>
      <c r="B262" s="2250"/>
      <c r="C262" s="2275"/>
      <c r="D262" s="2275">
        <f>+IF(B285&lt;=D247,D247,IF(B285&lt;=D248,D248,IF(B285&lt;=D249,D249,IF(B285&lt;=D250,D250,IF(B285&lt;=D251,D251,IF(B285&lt;=D252,D252,IF(B285&lt;=D253,D253,IF(B285&lt;=D254,D254,0))))))))</f>
        <v>2.57</v>
      </c>
      <c r="E262" s="2275">
        <f>+IF(B285&lt;=E247,E247,IF(B285&lt;=E248,E248,IF(B285&lt;=E249,E249,IF(B285&lt;=E250,E250,IF(B285&lt;=E251,E251,IF(B285&lt;=E252,E252,IF(B285&lt;=E253,E253,IF(B285&lt;=E254,E254,0))))))))</f>
        <v>2.77</v>
      </c>
      <c r="F262" s="2275">
        <f>+IF(B285&lt;=F247,F247,IF(B285&lt;=F248,F248,IF(B285&lt;=F249,F249,IF(B285&lt;=F250,F250,IF(B285&lt;=F251,F251,IF(B285&lt;=F252,F252,IF(B285&lt;=F253,F253,IF(B285&lt;=F254,F254,0))))))))</f>
        <v>2.97</v>
      </c>
      <c r="G262" s="2275">
        <f>+IF(B285&lt;=G247,G247,IF(B285&lt;=G248,G248,IF(B285&lt;=G249,G249,IF(B285&lt;=G250,G250,IF(B285&lt;=G251,G251,IF(B285&lt;=G252,G252,IF(B285&lt;=G253,G253,IF(B285&lt;=G254,G254,0))))))))</f>
        <v>3.17</v>
      </c>
      <c r="H262" s="2275">
        <f>+IF(B285&lt;=H247,H247,IF(B285&lt;=H248,H248,IF(B285&lt;=H249,H249,IF(B285&lt;=H250,H250,IF(B285&lt;=H251,H251,IF(B285&lt;=H252,H252,IF(B285&lt;=H253,H253,IF(B285&lt;=H254,H254,0))))))))</f>
        <v>3.37</v>
      </c>
      <c r="I262" s="2275">
        <f>+IF(B285&lt;=I247,I247,IF(B285&lt;=I248,I248,IF(B285&lt;=I249,I249,IF(B285&lt;=I250,I250,IF(B285&lt;=I251,I251,IF(B285&lt;=I252,I252,IF(B285&lt;=I253,I253,IF(B285&lt;=I254,I254,0))))))))</f>
        <v>3.47</v>
      </c>
      <c r="J262" s="2275">
        <f>+IF(B285&lt;=J247,J247,IF(B285&lt;=J248,J248,IF(B285&lt;=J249,J249,IF(B285&lt;=J250,J250,IF(B285&lt;=J251,J251,IF(B285&lt;=J252,J252,IF(B285&lt;=J253,J253,IF(B285&lt;=J254,J254,0))))))))</f>
        <v>3.66</v>
      </c>
      <c r="K262" s="2275">
        <f>+IF(B285&lt;=K247,K247,IF(B285&lt;=K248,K248,IF(B285&lt;=K249,K249,IF(B285&lt;=K250,K250,IF(B285&lt;=K251,K251,IF(B285&lt;=K252,K252,IF(B285&lt;=K253,K253,IF(B285&lt;=K254,K254,0))))))))</f>
        <v>3.96</v>
      </c>
      <c r="L262" s="2275">
        <f>+IF(B285&lt;=L247,L247,IF(B285&lt;=L248,L248,IF(B285&lt;=L249,L249,IF(B285&lt;=L250,L250,IF(B285&lt;=L251,L251,IF(B285&lt;=L252,L252,IF(B285&lt;=L253,L253,IF(B285&lt;=L254,L254,0))))))))</f>
        <v>4.26</v>
      </c>
      <c r="M262" s="2275">
        <f>+IF(B285&lt;=M247,M247,IF(B285&lt;=M248,M248,IF(B285&lt;=M249,M249,IF(B285&lt;=M250,M250,IF(B285&lt;=M251,M251,IF(B285&lt;=M252,M252,IF(B285&lt;=M253,M253,IF(B285&lt;=M254,M254,0))))))))</f>
        <v>4.46</v>
      </c>
      <c r="N262" s="2275">
        <f>+IF(B285&lt;=N247,N247,IF(B285&lt;=N248,N248,IF(B285&lt;=N249,N249,IF(B285&lt;=N250,N250,IF(B285&lt;=N251,N251,IF(B285&lt;=N252,N252,IF(B285&lt;=N253,N253,IF(B285&lt;=N254,N254,0))))))))</f>
        <v>4.95</v>
      </c>
      <c r="O262" s="2275">
        <f>+IF(B285&lt;=O247,O247,IF(B285&lt;=O248,O248,IF(B285&lt;=O249,O249,IF(B285&lt;=O250,O250,IF(B285&lt;=O251,O251,IF(B285&lt;=O252,O252,IF(B285&lt;=O253,O253,IF(B285&lt;=O254,O254,0))))))))</f>
        <v>5.35</v>
      </c>
      <c r="P262" s="2275">
        <f>+IF(B285&lt;=P247,P247,IF(B285&lt;=P248,P248,IF(B285&lt;=P249,P249,IF(B285&lt;=P250,P250,IF(B285&lt;=P251,P251,IF(B285&lt;=P252,P252,IF(B285&lt;=P253,P253,IF(B285&lt;=P254,P254,0))))))))</f>
        <v>5.54</v>
      </c>
      <c r="Q262" s="2275">
        <f>+IF(B285&lt;=Q247,Q247,IF(B285&lt;=Q248,Q248,IF(B285&lt;=Q249,Q249,IF(B285&lt;=Q250,Q250,IF(B285&lt;=Q251,Q251,IF(B285&lt;=Q252,Q252,IF(B285&lt;=Q253,Q253,IF(B285&lt;=Q254,Q254,0))))))))</f>
        <v>5.84</v>
      </c>
      <c r="R262" s="2275">
        <f>+IF(B285&lt;=R247,R247,IF(B285&lt;=R248,R248,IF(B285&lt;=R249,R249,IF(B285&lt;=R250,R250,IF(B285&lt;=R251,R251,IF(B285&lt;=R252,R252,IF(B285&lt;=R253,R253,IF(B285&lt;=R254,R254,0))))))))</f>
        <v>6.14</v>
      </c>
      <c r="S262" s="2275">
        <f>+IF(B285&lt;=S247,S247,IF(B285&lt;=S248,S248,IF(B285&lt;=S249,S249,IF(B285&lt;=S250,S250,IF(B285&lt;=S251,S251,IF(B285&lt;=S252,S252,IF(B285&lt;=S253,S253,IF(B285&lt;=S254,S254,0))))))))</f>
        <v>6.34</v>
      </c>
      <c r="T262" s="2275">
        <f>+IF(B285&lt;=T247,T247,IF(B285&lt;=T248,T248,IF(B285&lt;=T249,T249,IF(B285&lt;=T250,T250,IF(B285&lt;=T251,T251,IF(B285&lt;=T252,T252,IF(B285&lt;=T253,T253,IF(B285&lt;=T254,T254,0))))))))</f>
        <v>6.73</v>
      </c>
      <c r="U262" s="2275">
        <f>+IF(B285&lt;=U247,U247,IF(B285&lt;=U248,U248,IF(B285&lt;=U249,U249,IF(B285&lt;=U250,U250,IF(B285&lt;=U251,U251,IF(B285&lt;=U252,U252,IF(B285&lt;=U253,U253,IF(B285&lt;=U254,U254,0))))))))</f>
        <v>7.33</v>
      </c>
      <c r="V262" s="2275">
        <f>+IF(B285&lt;=V247,V247,IF(B285&lt;=V248,V248,IF(B285&lt;=V249,V249,IF(B285&lt;=V250,V250,IF(B285&lt;=V251,V251,IF(B285&lt;=V252,V252,IF(B285&lt;=V253,V253,IF(B285&lt;=V254,V254,0))))))))</f>
        <v>7.82</v>
      </c>
      <c r="W262" s="2275">
        <f>+IF(B285&lt;=W247,W247,IF(B285&lt;=W248,W248,IF(B285&lt;=W249,W249,IF(B285&lt;=W250,W250,IF(B285&lt;=W251,W251,IF(B285&lt;=W252,W252,IF(B285&lt;=W253,W253,IF(B285&lt;=W254,W254,0))))))))</f>
        <v>8.42</v>
      </c>
      <c r="X262" s="2275">
        <f>+IF(B285&lt;=X247,X247,IF(B285&lt;=X248,X248,IF(B285&lt;=X249,X249,IF(B285&lt;=X250,X250,IF(B285&lt;=X251,X251,IF(B285&lt;=X252,X252,IF(B285&lt;=X253,X253,IF(B285&lt;=X254,X254,0))))))))</f>
        <v>8.91</v>
      </c>
      <c r="Y262" s="2275">
        <f>+IF(B285&lt;=Y247,Y247,IF(B285&lt;=Y248,Y248,IF(B285&lt;=Y249,Y249,IF(B285&lt;=Y250,Y250,IF(B285&lt;=Y251,Y251,IF(B285&lt;=Y252,Y252,IF(B285&lt;=Y253,Y253,IF(B285&lt;=Y254,Y254,0))))))))</f>
        <v>9.8000000000000007</v>
      </c>
      <c r="Z262" s="2275">
        <f>+IF(B285&lt;=Z247,Z247,IF(B285&lt;=Z248,Z248,IF(B285&lt;=Z249,Z249,IF(B285&lt;=Z250,Z250,IF(B285&lt;=Z251,Z251,IF(B285&lt;=Z252,Z252,IF(B285&lt;=Z253,Z253,IF(B285&lt;=Z254,Z254,0))))))))</f>
        <v>10.79</v>
      </c>
      <c r="AA262" s="2275">
        <f>+IF(B285&lt;=AA247,AA247,IF(B285&lt;=AA248,AA248,IF(B285&lt;=AA249,AA249,IF(B285&lt;=AA250,AA250,IF(B285&lt;=AA251,AA251,IF(B285&lt;=AA252,AA252,IF(B285&lt;=AA253,AA253,IF(B285&lt;=AA254,AA254,0))))))))</f>
        <v>11.88</v>
      </c>
      <c r="AB262" s="2275">
        <f>+IF(B285&lt;=AB247,AB247,IF(B285&lt;=AB248,AB248,IF(B285&lt;=AB249,AB249,IF(B285&lt;=AB250,AB250,IF(B285&lt;=AB251,AB251,IF(B285&lt;=AB252,AB252,IF(B285&lt;=AB253,AB253,IF(B285&lt;=AB254,AB254,0))))))))</f>
        <v>13.47</v>
      </c>
      <c r="AC262" s="2275">
        <f>+IF(B285&lt;=AC247,AC247,IF(B285&lt;=AC248,AC248,IF(B285&lt;=AC249,AC249,IF(B285&lt;=AC250,AC250,IF(B285&lt;=AC251,AC251,IF(B285&lt;=AC252,AC252,IF(B285&lt;=AC253,AC253,IF(B285&lt;=AC254,AC254,0))))))))</f>
        <v>14.46</v>
      </c>
      <c r="AD262" s="2275">
        <f>+IF(B285&lt;=AD247,AD247,IF(B285&lt;=AD248,AD248,IF(B285&lt;=AD249,AD249,IF(B285&lt;=AD250,AD250,IF(B285&lt;=AD251,AD251,IF(B285&lt;=AD252,AD252,IF(B285&lt;=AD253,AD253,IF(B285&lt;=AD254,AD254,0))))))))</f>
        <v>16.73</v>
      </c>
      <c r="AE262" s="2275"/>
      <c r="AF262" s="2275"/>
      <c r="AG262" s="2275"/>
      <c r="AH262" s="2275"/>
      <c r="AI262" s="2275"/>
      <c r="AJ262" s="2275"/>
      <c r="AK262" s="2275"/>
      <c r="AL262" s="2275"/>
      <c r="AM262" s="2275"/>
      <c r="AN262" s="2275"/>
      <c r="AO262" s="2275"/>
      <c r="AP262" s="2250"/>
      <c r="AQ262" s="2250"/>
      <c r="AR262" s="2250"/>
      <c r="AS262" s="2250"/>
      <c r="AT262" s="2250"/>
      <c r="AU262" s="2250"/>
      <c r="AV262" s="2250"/>
      <c r="AW262" s="2250"/>
      <c r="AX262" s="2250"/>
      <c r="AY262" s="2250"/>
      <c r="AZ262" s="2250"/>
      <c r="BA262" s="2250"/>
      <c r="BB262" s="2250"/>
      <c r="BC262" s="2250"/>
      <c r="BD262" s="2250"/>
      <c r="BE262" s="2250"/>
      <c r="BF262" s="2276"/>
      <c r="BG262" s="2276"/>
      <c r="BH262" s="2250"/>
      <c r="BI262" s="2275"/>
      <c r="BJ262" s="2250"/>
      <c r="BK262" s="2275"/>
      <c r="BL262" s="2275">
        <f>+IF(BJ285&lt;=BL247,BL247,IF(BJ285&lt;=BL248,BL248,IF(BJ285&lt;=BL249,BL249,IF(BJ285&lt;=BL250,BL250,IF(BJ285&lt;=BL251,BL251,IF(BJ285&lt;=BL252,BL252,IF(BJ285&lt;=BL253,BL253,IF(BJ285&lt;=BL254,BL254,0))))))))</f>
        <v>2.57</v>
      </c>
      <c r="BM262" s="2275">
        <f>+IF(BJ285&lt;=BM247,BM247,IF(BJ285&lt;=BM248,BM248,IF(BJ285&lt;=BM249,BM249,IF(BJ285&lt;=BM250,BM250,IF(BJ285&lt;=BM251,BM251,IF(BJ285&lt;=BM252,BM252,IF(BJ285&lt;=BM253,BM253,IF(BJ285&lt;=BM254,BM254,0))))))))</f>
        <v>2.77</v>
      </c>
      <c r="BN262" s="2275">
        <f>+IF(BJ285&lt;=BN247,BN247,IF(BJ285&lt;=BN248,BN248,IF(BJ285&lt;=BN249,BN249,IF(BJ285&lt;=BN250,BN250,IF(BJ285&lt;=BN251,BN251,IF(BJ285&lt;=BN252,BN252,IF(BJ285&lt;=BN253,BN253,IF(BJ285&lt;=BN254,BN254,0))))))))</f>
        <v>2.97</v>
      </c>
      <c r="BO262" s="2275">
        <f>+IF(BJ285&lt;=BO247,BO247,IF(BJ285&lt;=BO248,BO248,IF(BJ285&lt;=BO249,BO249,IF(BJ285&lt;=BO250,BO250,IF(BJ285&lt;=BO251,BO251,IF(BJ285&lt;=BO252,BO252,IF(BJ285&lt;=BO253,BO253,IF(BJ285&lt;=BO254,BO254,0))))))))</f>
        <v>3.17</v>
      </c>
      <c r="BP262" s="2275">
        <f>+IF(BJ285&lt;=BP247,BP247,IF(BJ285&lt;=BP248,BP248,IF(BJ285&lt;=BP249,BP249,IF(BJ285&lt;=BP250,BP250,IF(BJ285&lt;=BP251,BP251,IF(BJ285&lt;=BP252,BP252,IF(BJ285&lt;=BP253,BP253,IF(BJ285&lt;=BP254,BP254,0))))))))</f>
        <v>3.37</v>
      </c>
      <c r="BQ262" s="2275">
        <f>+IF(BJ285&lt;=BQ247,BQ247,IF(BJ285&lt;=BQ248,BQ248,IF(BJ285&lt;=BQ249,BQ249,IF(BJ285&lt;=BQ250,BQ250,IF(BJ285&lt;=BQ251,BQ251,IF(BJ285&lt;=BQ252,BQ252,IF(BJ285&lt;=BQ253,BQ253,IF(BJ285&lt;=BQ254,BQ254,0))))))))</f>
        <v>3.47</v>
      </c>
      <c r="BR262" s="2275">
        <f>+IF(BJ285&lt;=BR247,BR247,IF(BJ285&lt;=BR248,BR248,IF(BJ285&lt;=BR249,BR249,IF(BJ285&lt;=BR250,BR250,IF(BJ285&lt;=BR251,BR251,IF(BJ285&lt;=BR252,BR252,IF(BJ285&lt;=BR253,BR253,IF(BJ285&lt;=BR254,BR254,0))))))))</f>
        <v>3.66</v>
      </c>
      <c r="BS262" s="2275">
        <f>+IF(BJ285&lt;=BS247,BS247,IF(BJ285&lt;=BS248,BS248,IF(BJ285&lt;=BS249,BS249,IF(BJ285&lt;=BS250,BS250,IF(BJ285&lt;=BS251,BS251,IF(BJ285&lt;=BS252,BS252,IF(BJ285&lt;=BS253,BS253,IF(BJ285&lt;=BS254,BS254,0))))))))</f>
        <v>3.96</v>
      </c>
      <c r="BT262" s="2275">
        <f>+IF(BJ285&lt;=BT247,BT247,IF(BJ285&lt;=BT248,BT248,IF(BJ285&lt;=BT249,BT249,IF(BJ285&lt;=BT250,BT250,IF(BJ285&lt;=BT251,BT251,IF(BJ285&lt;=BT252,BT252,IF(BJ285&lt;=BT253,BT253,IF(BJ285&lt;=BT254,BT254,0))))))))</f>
        <v>4.26</v>
      </c>
      <c r="BU262" s="2275">
        <f>+IF(BJ285&lt;=BU247,BU247,IF(BJ285&lt;=BU248,BU248,IF(BJ285&lt;=BU249,BU249,IF(BJ285&lt;=BU250,BU250,IF(BJ285&lt;=BU251,BU251,IF(BJ285&lt;=BU252,BU252,IF(BJ285&lt;=BU253,BU253,IF(BJ285&lt;=BU254,BU254,0))))))))</f>
        <v>4.46</v>
      </c>
      <c r="BV262" s="2275">
        <f>+IF(BJ285&lt;=BV247,BV247,IF(BJ285&lt;=BV248,BV248,IF(BJ285&lt;=BV249,BV249,IF(BJ285&lt;=BV250,BV250,IF(BJ285&lt;=BV251,BV251,IF(BJ285&lt;=BV252,BV252,IF(BJ285&lt;=BV253,BV253,IF(BJ285&lt;=BV254,BV254,0))))))))</f>
        <v>4.95</v>
      </c>
      <c r="BW262" s="2275">
        <f>+IF(BJ285&lt;=BW247,BW247,IF(BJ285&lt;=BW248,BW248,IF(BJ285&lt;=BW249,BW249,IF(BJ285&lt;=BW250,BW250,IF(BJ285&lt;=BW251,BW251,IF(BJ285&lt;=BW252,BW252,IF(BJ285&lt;=BW253,BW253,IF(BJ285&lt;=BW254,BW254,0))))))))</f>
        <v>5.35</v>
      </c>
      <c r="BX262" s="2275">
        <f>+IF(BJ285&lt;=BX247,BX247,IF(BJ285&lt;=BX248,BX248,IF(BJ285&lt;=BX249,BX249,IF(BJ285&lt;=BX250,BX250,IF(BJ285&lt;=BX251,BX251,IF(BJ285&lt;=BX252,BX252,IF(BJ285&lt;=BX253,BX253,IF(BJ285&lt;=BX254,BX254,0))))))))</f>
        <v>5.54</v>
      </c>
      <c r="BY262" s="2275">
        <f>+IF(BJ285&lt;=BY247,BY247,IF(BJ285&lt;=BY248,BY248,IF(BJ285&lt;=BY249,BY249,IF(BJ285&lt;=BY250,BY250,IF(BJ285&lt;=BY251,BY251,IF(BJ285&lt;=BY252,BY252,IF(BJ285&lt;=BY253,BY253,IF(BJ285&lt;=BY254,BY254,0))))))))</f>
        <v>5.84</v>
      </c>
      <c r="BZ262" s="2275">
        <f>+IF(BJ285&lt;=BZ247,BZ247,IF(BJ285&lt;=BZ248,BZ248,IF(BJ285&lt;=BZ249,BZ249,IF(BJ285&lt;=BZ250,BZ250,IF(BJ285&lt;=BZ251,BZ251,IF(BJ285&lt;=BZ252,BZ252,IF(BJ285&lt;=BZ253,BZ253,IF(BJ285&lt;=BZ254,BZ254,0))))))))</f>
        <v>6.14</v>
      </c>
      <c r="CA262" s="2275">
        <f>+IF(BJ285&lt;=CA247,CA247,IF(BJ285&lt;=CA248,CA248,IF(BJ285&lt;=CA249,CA249,IF(BJ285&lt;=CA250,CA250,IF(BJ285&lt;=CA251,CA251,IF(BJ285&lt;=CA252,CA252,IF(BJ285&lt;=CA253,CA253,IF(BJ285&lt;=CA254,CA254,0))))))))</f>
        <v>6.34</v>
      </c>
      <c r="CB262" s="2275">
        <f>+IF(BJ285&lt;=CB247,CB247,IF(BJ285&lt;=CB248,CB248,IF(BJ285&lt;=CB249,CB249,IF(BJ285&lt;=CB250,CB250,IF(BJ285&lt;=CB251,CB251,IF(BJ285&lt;=CB252,CB252,IF(BJ285&lt;=CB253,CB253,IF(BJ285&lt;=CB254,CB254,0))))))))</f>
        <v>6.73</v>
      </c>
      <c r="CC262" s="2275">
        <f>+IF(BJ285&lt;=CC247,CC247,IF(BJ285&lt;=CC248,CC248,IF(BJ285&lt;=CC249,CC249,IF(BJ285&lt;=CC250,CC250,IF(BJ285&lt;=CC251,CC251,IF(BJ285&lt;=CC252,CC252,IF(BJ285&lt;=CC253,CC253,IF(BJ285&lt;=CC254,CC254,0))))))))</f>
        <v>7.33</v>
      </c>
      <c r="CD262" s="2275">
        <f>+IF(BJ285&lt;=CD247,CD247,IF(BJ285&lt;=CD248,CD248,IF(BJ285&lt;=CD249,CD249,IF(BJ285&lt;=CD250,CD250,IF(BJ285&lt;=CD251,CD251,IF(BJ285&lt;=CD252,CD252,IF(BJ285&lt;=CD253,CD253,IF(BJ285&lt;=CD254,CD254,0))))))))</f>
        <v>7.82</v>
      </c>
      <c r="CE262" s="2275">
        <f>+IF(BJ285&lt;=CE247,CE247,IF(BJ285&lt;=CE248,CE248,IF(BJ285&lt;=CE249,CE249,IF(BJ285&lt;=CE250,CE250,IF(BJ285&lt;=CE251,CE251,IF(BJ285&lt;=CE252,CE252,IF(BJ285&lt;=CE253,CE253,IF(BJ285&lt;=CE254,CE254,0))))))))</f>
        <v>8.42</v>
      </c>
      <c r="CF262" s="2275">
        <f>+IF(BJ285&lt;=CF247,CF247,IF(BJ285&lt;=CF248,CF248,IF(BJ285&lt;=CF249,CF249,IF(BJ285&lt;=CF250,CF250,IF(BJ285&lt;=CF251,CF251,IF(BJ285&lt;=CF252,CF252,IF(BJ285&lt;=CF253,CF253,IF(BJ285&lt;=CF254,CF254,0))))))))</f>
        <v>8.91</v>
      </c>
      <c r="CG262" s="2275">
        <f>+IF(BJ285&lt;=CG247,CG247,IF(BJ285&lt;=CG248,CG248,IF(BJ285&lt;=CG249,CG249,IF(BJ285&lt;=CG250,CG250,IF(BJ285&lt;=CG251,CG251,IF(BJ285&lt;=CG252,CG252,IF(BJ285&lt;=CG253,CG253,IF(BJ285&lt;=CG254,CG254,0))))))))</f>
        <v>9.8000000000000007</v>
      </c>
      <c r="CH262" s="2275">
        <f>+IF(BJ285&lt;=CH247,CH247,IF(BJ285&lt;=CH248,CH248,IF(BJ285&lt;=CH249,CH249,IF(BJ285&lt;=CH250,CH250,IF(BJ285&lt;=CH251,CH251,IF(BJ285&lt;=CH252,CH252,IF(BJ285&lt;=CH253,CH253,IF(BJ285&lt;=CH254,CH254,0))))))))</f>
        <v>10.79</v>
      </c>
      <c r="CI262" s="2275">
        <f>+IF(BJ285&lt;=CI247,CI247,IF(BJ285&lt;=CI248,CI248,IF(BJ285&lt;=CI249,CI249,IF(BJ285&lt;=CI250,CI250,IF(BJ285&lt;=CI251,CI251,IF(BJ285&lt;=CI252,CI252,IF(BJ285&lt;=CI253,CI253,IF(BJ285&lt;=CI254,CI254,0))))))))</f>
        <v>11.88</v>
      </c>
      <c r="CJ262" s="2275">
        <f>+IF(BJ285&lt;=CJ247,CJ247,IF(BJ285&lt;=CJ248,CJ248,IF(BJ285&lt;=CJ249,CJ249,IF(BJ285&lt;=CJ250,CJ250,IF(BJ285&lt;=CJ251,CJ251,IF(BJ285&lt;=CJ252,CJ252,IF(BJ285&lt;=CJ253,CJ253,IF(BJ285&lt;=CJ254,CJ254,0))))))))</f>
        <v>13.47</v>
      </c>
      <c r="CK262" s="2275">
        <f>+IF(BJ285&lt;=CK247,CK247,IF(BJ285&lt;=CK248,CK248,IF(BJ285&lt;=CK249,CK249,IF(BJ285&lt;=CK250,CK250,IF(BJ285&lt;=CK251,CK251,IF(BJ285&lt;=CK252,CK252,IF(BJ285&lt;=CK253,CK253,IF(BJ285&lt;=CK254,CK254,0))))))))</f>
        <v>14.46</v>
      </c>
      <c r="CL262" s="2275">
        <f>+IF(BJ285&lt;=CL247,CL247,IF(BJ285&lt;=CL248,CL248,IF(BJ285&lt;=CL249,CL249,IF(BJ285&lt;=CL250,CL250,IF(BJ285&lt;=CL251,CL251,IF(BJ285&lt;=CL252,CL252,IF(BJ285&lt;=CL253,CL253,IF(BJ285&lt;=CL254,CL254,0))))))))</f>
        <v>16.73</v>
      </c>
      <c r="CM262" s="2275"/>
      <c r="CN262" s="2275"/>
      <c r="CO262" s="2275"/>
      <c r="CP262" s="2275"/>
      <c r="CQ262" s="2275"/>
      <c r="CR262" s="2275"/>
      <c r="CS262" s="2275"/>
      <c r="CT262" s="2275"/>
      <c r="CU262" s="2275"/>
      <c r="CV262" s="2275"/>
      <c r="CW262" s="2275"/>
      <c r="CX262" s="2250"/>
      <c r="CY262" s="2250"/>
      <c r="CZ262" s="2250"/>
      <c r="DA262" s="2250"/>
      <c r="DB262" s="2250"/>
      <c r="DC262" s="2250"/>
      <c r="DD262" s="2250"/>
      <c r="DE262" s="2250"/>
      <c r="DF262" s="2250"/>
      <c r="DG262" s="2250"/>
      <c r="DH262" s="2250"/>
      <c r="DI262" s="2250"/>
      <c r="DJ262" s="2250"/>
      <c r="DK262" s="2250"/>
      <c r="DL262" s="2250"/>
      <c r="DM262" s="2250"/>
      <c r="DN262" s="2250"/>
      <c r="DO262" s="2250"/>
      <c r="DP262" s="2250"/>
      <c r="DQ262" s="2277"/>
      <c r="DR262" s="2277"/>
      <c r="DS262" s="277"/>
      <c r="DW262" s="2275"/>
      <c r="DX262" s="2250"/>
      <c r="DY262" s="2275"/>
      <c r="DZ262" s="2275">
        <f>+IF(DX285&lt;=DZ247,DZ247,IF(DX285&lt;=DZ248,DZ248,IF(DX285&lt;=DZ249,DZ249,IF(DX285&lt;=DZ250,DZ250,IF(DX285&lt;=DZ251,DZ251,IF(DX285&lt;=DZ252,DZ252,IF(DX285&lt;=DZ253,DZ253,IF(DX285&lt;=DZ254,DZ254,0))))))))</f>
        <v>2.57</v>
      </c>
      <c r="EA262" s="2275">
        <f>+IF(DX285&lt;=EA247,EA247,IF(DX285&lt;=EA248,EA248,IF(DX285&lt;=EA249,EA249,IF(DX285&lt;=EA250,EA250,IF(DX285&lt;=EA251,EA251,IF(DX285&lt;=EA252,EA252,IF(DX285&lt;=EA253,EA253,IF(DX285&lt;=EA254,EA254,0))))))))</f>
        <v>2.77</v>
      </c>
      <c r="EB262" s="2275">
        <f>+IF(DX285&lt;=EB247,EB247,IF(DX285&lt;=EB248,EB248,IF(DX285&lt;=EB249,EB249,IF(DX285&lt;=EB250,EB250,IF(DX285&lt;=EB251,EB251,IF(DX285&lt;=EB252,EB252,IF(DX285&lt;=EB253,EB253,IF(DX285&lt;=EB254,EB254,0))))))))</f>
        <v>2.97</v>
      </c>
      <c r="EC262" s="2275">
        <f>+IF(DX285&lt;=EC247,EC247,IF(DX285&lt;=EC248,EC248,IF(DX285&lt;=EC249,EC249,IF(DX285&lt;=EC250,EC250,IF(DX285&lt;=EC251,EC251,IF(DX285&lt;=EC252,EC252,IF(DX285&lt;=EC253,EC253,IF(DX285&lt;=EC254,EC254,0))))))))</f>
        <v>3.17</v>
      </c>
      <c r="ED262" s="2275">
        <f>+IF(DX285&lt;=ED247,ED247,IF(DX285&lt;=ED248,ED248,IF(DX285&lt;=ED249,ED249,IF(DX285&lt;=ED250,ED250,IF(DX285&lt;=ED251,ED251,IF(DX285&lt;=ED252,ED252,IF(DX285&lt;=ED253,ED253,IF(DX285&lt;=ED254,ED254,0))))))))</f>
        <v>3.37</v>
      </c>
      <c r="EE262" s="2275">
        <f>+IF(DX285&lt;=EE247,EE247,IF(DX285&lt;=EE248,EE248,IF(DX285&lt;=EE249,EE249,IF(DX285&lt;=EE250,EE250,IF(DX285&lt;=EE251,EE251,IF(DX285&lt;=EE252,EE252,IF(DX285&lt;=EE253,EE253,IF(DX285&lt;=EE254,EE254,0))))))))</f>
        <v>3.47</v>
      </c>
      <c r="EF262" s="2275">
        <f>+IF(DX285&lt;=EF247,EF247,IF(DX285&lt;=EF248,EF248,IF(DX285&lt;=EF249,EF249,IF(DX285&lt;=EF250,EF250,IF(DX285&lt;=EF251,EF251,IF(DX285&lt;=EF252,EF252,IF(DX285&lt;=EF253,EF253,IF(DX285&lt;=EF254,EF254,0))))))))</f>
        <v>3.66</v>
      </c>
      <c r="EG262" s="2275">
        <f>+IF(DX285&lt;=EG247,EG247,IF(DX285&lt;=EG248,EG248,IF(DX285&lt;=EG249,EG249,IF(DX285&lt;=EG250,EG250,IF(DX285&lt;=EG251,EG251,IF(DX285&lt;=EG252,EG252,IF(DX285&lt;=EG253,EG253,IF(DX285&lt;=EG254,EG254,0))))))))</f>
        <v>3.96</v>
      </c>
      <c r="EH262" s="2275">
        <f>+IF(DX285&lt;=EH247,EH247,IF(DX285&lt;=EH248,EH248,IF(DX285&lt;=EH249,EH249,IF(DX285&lt;=EH250,EH250,IF(DX285&lt;=EH251,EH251,IF(DX285&lt;=EH252,EH252,IF(DX285&lt;=EH253,EH253,IF(DX285&lt;=EH254,EH254,0))))))))</f>
        <v>4.26</v>
      </c>
      <c r="EI262" s="2275">
        <f>+IF(DX285&lt;=EI247,EI247,IF(DX285&lt;=EI248,EI248,IF(DX285&lt;=EI249,EI249,IF(DX285&lt;=EI250,EI250,IF(DX285&lt;=EI251,EI251,IF(DX285&lt;=EI252,EI252,IF(DX285&lt;=EI253,EI253,IF(DX285&lt;=EI254,EI254,0))))))))</f>
        <v>4.46</v>
      </c>
      <c r="EJ262" s="2275">
        <f>+IF(DX285&lt;=EJ247,EJ247,IF(DX285&lt;=EJ248,EJ248,IF(DX285&lt;=EJ249,EJ249,IF(DX285&lt;=EJ250,EJ250,IF(DX285&lt;=EJ251,EJ251,IF(DX285&lt;=EJ252,EJ252,IF(DX285&lt;=EJ253,EJ253,IF(DX285&lt;=EJ254,EJ254,0))))))))</f>
        <v>4.95</v>
      </c>
      <c r="EK262" s="2275">
        <f>+IF(DX285&lt;=EK247,EK247,IF(DX285&lt;=EK248,EK248,IF(DX285&lt;=EK249,EK249,IF(DX285&lt;=EK250,EK250,IF(DX285&lt;=EK251,EK251,IF(DX285&lt;=EK252,EK252,IF(DX285&lt;=EK253,EK253,IF(DX285&lt;=EK254,EK254,0))))))))</f>
        <v>5.35</v>
      </c>
      <c r="EL262" s="2275">
        <f>+IF(DX285&lt;=EL247,EL247,IF(DX285&lt;=EL248,EL248,IF(DX285&lt;=EL249,EL249,IF(DX285&lt;=EL250,EL250,IF(DX285&lt;=EL251,EL251,IF(DX285&lt;=EL252,EL252,IF(DX285&lt;=EL253,EL253,IF(DX285&lt;=EL254,EL254,0))))))))</f>
        <v>5.54</v>
      </c>
      <c r="EM262" s="2275">
        <f>+IF(DX285&lt;=EM247,EM247,IF(DX285&lt;=EM248,EM248,IF(DX285&lt;=EM249,EM249,IF(DX285&lt;=EM250,EM250,IF(DX285&lt;=EM251,EM251,IF(DX285&lt;=EM252,EM252,IF(DX285&lt;=EM253,EM253,IF(DX285&lt;=EM254,EM254,0))))))))</f>
        <v>5.84</v>
      </c>
      <c r="EN262" s="2275">
        <f>+IF(DX285&lt;=EN247,EN247,IF(DX285&lt;=EN248,EN248,IF(DX285&lt;=EN249,EN249,IF(DX285&lt;=EN250,EN250,IF(DX285&lt;=EN251,EN251,IF(DX285&lt;=EN252,EN252,IF(DX285&lt;=EN253,EN253,IF(DX285&lt;=EN254,EN254,0))))))))</f>
        <v>6.14</v>
      </c>
      <c r="EO262" s="2275">
        <f>+IF(DX285&lt;=EO247,EO247,IF(DX285&lt;=EO248,EO248,IF(DX285&lt;=EO249,EO249,IF(DX285&lt;=EO250,EO250,IF(DX285&lt;=EO251,EO251,IF(DX285&lt;=EO252,EO252,IF(DX285&lt;=EO253,EO253,IF(DX285&lt;=EO254,EO254,0))))))))</f>
        <v>6.34</v>
      </c>
      <c r="EP262" s="2275">
        <f>+IF(DX285&lt;=EP247,EP247,IF(DX285&lt;=EP248,EP248,IF(DX285&lt;=EP249,EP249,IF(DX285&lt;=EP250,EP250,IF(DX285&lt;=EP251,EP251,IF(DX285&lt;=EP252,EP252,IF(DX285&lt;=EP253,EP253,IF(DX285&lt;=EP254,EP254,0))))))))</f>
        <v>6.73</v>
      </c>
      <c r="EQ262" s="2275">
        <f>+IF(DX285&lt;=EQ247,EQ247,IF(DX285&lt;=EQ248,EQ248,IF(DX285&lt;=EQ249,EQ249,IF(DX285&lt;=EQ250,EQ250,IF(DX285&lt;=EQ251,EQ251,IF(DX285&lt;=EQ252,EQ252,IF(DX285&lt;=EQ253,EQ253,IF(DX285&lt;=EQ254,EQ254,0))))))))</f>
        <v>7.33</v>
      </c>
      <c r="ER262" s="2275">
        <f>+IF(DX285&lt;=ER247,ER247,IF(DX285&lt;=ER248,ER248,IF(DX285&lt;=ER249,ER249,IF(DX285&lt;=ER250,ER250,IF(DX285&lt;=ER251,ER251,IF(DX285&lt;=ER252,ER252,IF(DX285&lt;=ER253,ER253,IF(DX285&lt;=ER254,ER254,0))))))))</f>
        <v>7.82</v>
      </c>
      <c r="ES262" s="2275">
        <f>+IF(DX285&lt;=ES247,ES247,IF(DX285&lt;=ES248,ES248,IF(DX285&lt;=ES249,ES249,IF(DX285&lt;=ES250,ES250,IF(DX285&lt;=ES251,ES251,IF(DX285&lt;=ES252,ES252,IF(DX285&lt;=ES253,ES253,IF(DX285&lt;=ES254,ES254,0))))))))</f>
        <v>8.42</v>
      </c>
      <c r="ET262" s="2275">
        <f>+IF(DX285&lt;=ET247,ET247,IF(DX285&lt;=ET248,ET248,IF(DX285&lt;=ET249,ET249,IF(DX285&lt;=ET250,ET250,IF(DX285&lt;=ET251,ET251,IF(DX285&lt;=ET252,ET252,IF(DX285&lt;=ET253,ET253,IF(DX285&lt;=ET254,ET254,0))))))))</f>
        <v>8.91</v>
      </c>
      <c r="EU262" s="2275">
        <f>+IF(DX285&lt;=EU247,EU247,IF(DX285&lt;=EU248,EU248,IF(DX285&lt;=EU249,EU249,IF(DX285&lt;=EU250,EU250,IF(DX285&lt;=EU251,EU251,IF(DX285&lt;=EU252,EU252,IF(DX285&lt;=EU253,EU253,IF(DX285&lt;=EU254,EU254,0))))))))</f>
        <v>9.8000000000000007</v>
      </c>
      <c r="EV262" s="2275">
        <f>+IF(DX285&lt;=EV247,EV247,IF(DX285&lt;=EV248,EV248,IF(DX285&lt;=EV249,EV249,IF(DX285&lt;=EV250,EV250,IF(DX285&lt;=EV251,EV251,IF(DX285&lt;=EV252,EV252,IF(DX285&lt;=EV253,EV253,IF(DX285&lt;=EV254,EV254,0))))))))</f>
        <v>10.79</v>
      </c>
      <c r="EW262" s="2275">
        <f>+IF(DX285&lt;=EW247,EW247,IF(DX285&lt;=EW248,EW248,IF(DX285&lt;=EW249,EW249,IF(DX285&lt;=EW250,EW250,IF(DX285&lt;=EW251,EW251,IF(DX285&lt;=EW252,EW252,IF(DX285&lt;=EW253,EW253,IF(DX285&lt;=EW254,EW254,0))))))))</f>
        <v>11.88</v>
      </c>
      <c r="EX262" s="2275">
        <f>+IF(DX285&lt;=EX247,EX247,IF(DX285&lt;=EX248,EX248,IF(DX285&lt;=EX249,EX249,IF(DX285&lt;=EX250,EX250,IF(DX285&lt;=EX251,EX251,IF(DX285&lt;=EX252,EX252,IF(DX285&lt;=EX253,EX253,IF(DX285&lt;=EX254,EX254,0))))))))</f>
        <v>13.47</v>
      </c>
      <c r="EY262" s="2275">
        <f>+IF(DX285&lt;=EY247,EY247,IF(DX285&lt;=EY248,EY248,IF(DX285&lt;=EY249,EY249,IF(DX285&lt;=EY250,EY250,IF(DX285&lt;=EY251,EY251,IF(DX285&lt;=EY252,EY252,IF(DX285&lt;=EY253,EY253,IF(DX285&lt;=EY254,EY254,0))))))))</f>
        <v>14.46</v>
      </c>
      <c r="EZ262" s="2275">
        <f>+IF(DX285&lt;=EZ247,EZ247,IF(DX285&lt;=EZ248,EZ248,IF(DX285&lt;=EZ249,EZ249,IF(DX285&lt;=EZ250,EZ250,IF(DX285&lt;=EZ251,EZ251,IF(DX285&lt;=EZ252,EZ252,IF(DX285&lt;=EZ253,EZ253,IF(DX285&lt;=EZ254,EZ254,0))))))))</f>
        <v>16.73</v>
      </c>
      <c r="FA262" s="2275"/>
      <c r="FB262" s="2275"/>
      <c r="FC262" s="2275"/>
      <c r="FD262" s="2275"/>
      <c r="FE262" s="2275"/>
      <c r="FF262" s="2275"/>
      <c r="FG262" s="2275"/>
      <c r="FH262" s="2275"/>
      <c r="FI262" s="2275"/>
      <c r="FJ262" s="2275"/>
      <c r="FK262" s="2275"/>
      <c r="FL262" s="2250"/>
      <c r="FM262" s="2250"/>
      <c r="FN262" s="2250"/>
      <c r="FO262" s="2250"/>
      <c r="FP262" s="2250"/>
      <c r="FQ262" s="2250"/>
      <c r="FR262" s="2250"/>
      <c r="FS262" s="2250"/>
      <c r="FT262" s="2250"/>
      <c r="FU262" s="2250"/>
      <c r="FV262" s="2250"/>
      <c r="FW262" s="2250"/>
      <c r="FX262" s="2250"/>
      <c r="FY262" s="2250"/>
      <c r="FZ262" s="2250"/>
      <c r="GA262" s="2250"/>
      <c r="GB262" s="2276"/>
      <c r="GC262" s="2276"/>
      <c r="GD262" s="2250"/>
      <c r="GE262" s="2275"/>
      <c r="GF262" s="2250"/>
      <c r="GG262" s="2275"/>
      <c r="GH262" s="2275">
        <f>+IF(GF285&lt;=GH247,GH247,IF(GF285&lt;=GH248,GH248,IF(GF285&lt;=GH249,GH249,IF(GF285&lt;=GH250,GH250,IF(GF285&lt;=GH251,GH251,IF(GF285&lt;=GH252,GH252,IF(GF285&lt;=GH253,GH253,IF(GF285&lt;=GH254,GH254,0))))))))</f>
        <v>2.57</v>
      </c>
      <c r="GI262" s="2275">
        <f>+IF(GF285&lt;=GI247,GI247,IF(GF285&lt;=GI248,GI248,IF(GF285&lt;=GI249,GI249,IF(GF285&lt;=GI250,GI250,IF(GF285&lt;=GI251,GI251,IF(GF285&lt;=GI252,GI252,IF(GF285&lt;=GI253,GI253,IF(GF285&lt;=GI254,GI254,0))))))))</f>
        <v>2.77</v>
      </c>
      <c r="GJ262" s="2275">
        <f>+IF(GF285&lt;=GJ247,GJ247,IF(GF285&lt;=GJ248,GJ248,IF(GF285&lt;=GJ249,GJ249,IF(GF285&lt;=GJ250,GJ250,IF(GF285&lt;=GJ251,GJ251,IF(GF285&lt;=GJ252,GJ252,IF(GF285&lt;=GJ253,GJ253,IF(GF285&lt;=GJ254,GJ254,0))))))))</f>
        <v>2.97</v>
      </c>
      <c r="GK262" s="2275">
        <f>+IF(GF285&lt;=GK247,GK247,IF(GF285&lt;=GK248,GK248,IF(GF285&lt;=GK249,GK249,IF(GF285&lt;=GK250,GK250,IF(GF285&lt;=GK251,GK251,IF(GF285&lt;=GK252,GK252,IF(GF285&lt;=GK253,GK253,IF(GF285&lt;=GK254,GK254,0))))))))</f>
        <v>3.17</v>
      </c>
      <c r="GL262" s="2275">
        <f>+IF(GF285&lt;=GL247,GL247,IF(GF285&lt;=GL248,GL248,IF(GF285&lt;=GL249,GL249,IF(GF285&lt;=GL250,GL250,IF(GF285&lt;=GL251,GL251,IF(GF285&lt;=GL252,GL252,IF(GF285&lt;=GL253,GL253,IF(GF285&lt;=GL254,GL254,0))))))))</f>
        <v>3.37</v>
      </c>
      <c r="GM262" s="2275">
        <f>+IF(GF285&lt;=GM247,GM247,IF(GF285&lt;=GM248,GM248,IF(GF285&lt;=GM249,GM249,IF(GF285&lt;=GM250,GM250,IF(GF285&lt;=GM251,GM251,IF(GF285&lt;=GM252,GM252,IF(GF285&lt;=GM253,GM253,IF(GF285&lt;=GM254,GM254,0))))))))</f>
        <v>3.47</v>
      </c>
      <c r="GN262" s="2275">
        <f>+IF(GF285&lt;=GN247,GN247,IF(GF285&lt;=GN248,GN248,IF(GF285&lt;=GN249,GN249,IF(GF285&lt;=GN250,GN250,IF(GF285&lt;=GN251,GN251,IF(GF285&lt;=GN252,GN252,IF(GF285&lt;=GN253,GN253,IF(GF285&lt;=GN254,GN254,0))))))))</f>
        <v>3.66</v>
      </c>
      <c r="GO262" s="2275">
        <f>+IF(GF285&lt;=GO247,GO247,IF(GF285&lt;=GO248,GO248,IF(GF285&lt;=GO249,GO249,IF(GF285&lt;=GO250,GO250,IF(GF285&lt;=GO251,GO251,IF(GF285&lt;=GO252,GO252,IF(GF285&lt;=GO253,GO253,IF(GF285&lt;=GO254,GO254,0))))))))</f>
        <v>3.96</v>
      </c>
      <c r="GP262" s="2275">
        <f>+IF(GF285&lt;=GP247,GP247,IF(GF285&lt;=GP248,GP248,IF(GF285&lt;=GP249,GP249,IF(GF285&lt;=GP250,GP250,IF(GF285&lt;=GP251,GP251,IF(GF285&lt;=GP252,GP252,IF(GF285&lt;=GP253,GP253,IF(GF285&lt;=GP254,GP254,0))))))))</f>
        <v>4.26</v>
      </c>
      <c r="GQ262" s="2275">
        <f>+IF(GF285&lt;=GQ247,GQ247,IF(GF285&lt;=GQ248,GQ248,IF(GF285&lt;=GQ249,GQ249,IF(GF285&lt;=GQ250,GQ250,IF(GF285&lt;=GQ251,GQ251,IF(GF285&lt;=GQ252,GQ252,IF(GF285&lt;=GQ253,GQ253,IF(GF285&lt;=GQ254,GQ254,0))))))))</f>
        <v>4.46</v>
      </c>
      <c r="GR262" s="2275">
        <f>+IF(GF285&lt;=GR247,GR247,IF(GF285&lt;=GR248,GR248,IF(GF285&lt;=GR249,GR249,IF(GF285&lt;=GR250,GR250,IF(GF285&lt;=GR251,GR251,IF(GF285&lt;=GR252,GR252,IF(GF285&lt;=GR253,GR253,IF(GF285&lt;=GR254,GR254,0))))))))</f>
        <v>4.95</v>
      </c>
      <c r="GS262" s="2275">
        <f>+IF(GF285&lt;=GS247,GS247,IF(GF285&lt;=GS248,GS248,IF(GF285&lt;=GS249,GS249,IF(GF285&lt;=GS250,GS250,IF(GF285&lt;=GS251,GS251,IF(GF285&lt;=GS252,GS252,IF(GF285&lt;=GS253,GS253,IF(GF285&lt;=GS254,GS254,0))))))))</f>
        <v>5.35</v>
      </c>
      <c r="GT262" s="2275">
        <f>+IF(GF285&lt;=GT247,GT247,IF(GF285&lt;=GT248,GT248,IF(GF285&lt;=GT249,GT249,IF(GF285&lt;=GT250,GT250,IF(GF285&lt;=GT251,GT251,IF(GF285&lt;=GT252,GT252,IF(GF285&lt;=GT253,GT253,IF(GF285&lt;=GT254,GT254,0))))))))</f>
        <v>5.54</v>
      </c>
      <c r="GU262" s="2275">
        <f>+IF(GF285&lt;=GU247,GU247,IF(GF285&lt;=GU248,GU248,IF(GF285&lt;=GU249,GU249,IF(GF285&lt;=GU250,GU250,IF(GF285&lt;=GU251,GU251,IF(GF285&lt;=GU252,GU252,IF(GF285&lt;=GU253,GU253,IF(GF285&lt;=GU254,GU254,0))))))))</f>
        <v>5.84</v>
      </c>
      <c r="GV262" s="2275">
        <f>+IF(GF285&lt;=GV247,GV247,IF(GF285&lt;=GV248,GV248,IF(GF285&lt;=GV249,GV249,IF(GF285&lt;=GV250,GV250,IF(GF285&lt;=GV251,GV251,IF(GF285&lt;=GV252,GV252,IF(GF285&lt;=GV253,GV253,IF(GF285&lt;=GV254,GV254,0))))))))</f>
        <v>6.14</v>
      </c>
      <c r="GW262" s="2275">
        <f>+IF(GF285&lt;=GW247,GW247,IF(GF285&lt;=GW248,GW248,IF(GF285&lt;=GW249,GW249,IF(GF285&lt;=GW250,GW250,IF(GF285&lt;=GW251,GW251,IF(GF285&lt;=GW252,GW252,IF(GF285&lt;=GW253,GW253,IF(GF285&lt;=GW254,GW254,0))))))))</f>
        <v>6.34</v>
      </c>
      <c r="GX262" s="2275">
        <f>+IF(GF285&lt;=GX247,GX247,IF(GF285&lt;=GX248,GX248,IF(GF285&lt;=GX249,GX249,IF(GF285&lt;=GX250,GX250,IF(GF285&lt;=GX251,GX251,IF(GF285&lt;=GX252,GX252,IF(GF285&lt;=GX253,GX253,IF(GF285&lt;=GX254,GX254,0))))))))</f>
        <v>6.73</v>
      </c>
      <c r="GY262" s="2275">
        <f>+IF(GF285&lt;=GY247,GY247,IF(GF285&lt;=GY248,GY248,IF(GF285&lt;=GY249,GY249,IF(GF285&lt;=GY250,GY250,IF(GF285&lt;=GY251,GY251,IF(GF285&lt;=GY252,GY252,IF(GF285&lt;=GY253,GY253,IF(GF285&lt;=GY254,GY254,0))))))))</f>
        <v>7.33</v>
      </c>
      <c r="GZ262" s="2275">
        <f>+IF(GF285&lt;=GZ247,GZ247,IF(GF285&lt;=GZ248,GZ248,IF(GF285&lt;=GZ249,GZ249,IF(GF285&lt;=GZ250,GZ250,IF(GF285&lt;=GZ251,GZ251,IF(GF285&lt;=GZ252,GZ252,IF(GF285&lt;=GZ253,GZ253,IF(GF285&lt;=GZ254,GZ254,0))))))))</f>
        <v>7.82</v>
      </c>
      <c r="HA262" s="2275">
        <f>+IF(GF285&lt;=HA247,HA247,IF(GF285&lt;=HA248,HA248,IF(GF285&lt;=HA249,HA249,IF(GF285&lt;=HA250,HA250,IF(GF285&lt;=HA251,HA251,IF(GF285&lt;=HA252,HA252,IF(GF285&lt;=HA253,HA253,IF(GF285&lt;=HA254,HA254,0))))))))</f>
        <v>8.42</v>
      </c>
      <c r="HB262" s="2275">
        <f>+IF(GF285&lt;=HB247,HB247,IF(GF285&lt;=HB248,HB248,IF(GF285&lt;=HB249,HB249,IF(GF285&lt;=HB250,HB250,IF(GF285&lt;=HB251,HB251,IF(GF285&lt;=HB252,HB252,IF(GF285&lt;=HB253,HB253,IF(GF285&lt;=HB254,HB254,0))))))))</f>
        <v>8.91</v>
      </c>
      <c r="HC262" s="2275">
        <f>+IF(GF285&lt;=HC247,HC247,IF(GF285&lt;=HC248,HC248,IF(GF285&lt;=HC249,HC249,IF(GF285&lt;=HC250,HC250,IF(GF285&lt;=HC251,HC251,IF(GF285&lt;=HC252,HC252,IF(GF285&lt;=HC253,HC253,IF(GF285&lt;=HC254,HC254,0))))))))</f>
        <v>9.8000000000000007</v>
      </c>
      <c r="HD262" s="2275">
        <f>+IF(GF285&lt;=HD247,HD247,IF(GF285&lt;=HD248,HD248,IF(GF285&lt;=HD249,HD249,IF(GF285&lt;=HD250,HD250,IF(GF285&lt;=HD251,HD251,IF(GF285&lt;=HD252,HD252,IF(GF285&lt;=HD253,HD253,IF(GF285&lt;=HD254,HD254,0))))))))</f>
        <v>10.79</v>
      </c>
      <c r="HE262" s="2275">
        <f>+IF(GF285&lt;=HE247,HE247,IF(GF285&lt;=HE248,HE248,IF(GF285&lt;=HE249,HE249,IF(GF285&lt;=HE250,HE250,IF(GF285&lt;=HE251,HE251,IF(GF285&lt;=HE252,HE252,IF(GF285&lt;=HE253,HE253,IF(GF285&lt;=HE254,HE254,0))))))))</f>
        <v>11.88</v>
      </c>
      <c r="HF262" s="2275">
        <f>+IF(GF285&lt;=HF247,HF247,IF(GF285&lt;=HF248,HF248,IF(GF285&lt;=HF249,HF249,IF(GF285&lt;=HF250,HF250,IF(GF285&lt;=HF251,HF251,IF(GF285&lt;=HF252,HF252,IF(GF285&lt;=HF253,HF253,IF(GF285&lt;=HF254,HF254,0))))))))</f>
        <v>13.47</v>
      </c>
      <c r="HG262" s="2275">
        <f>+IF(GF285&lt;=HG247,HG247,IF(GF285&lt;=HG248,HG248,IF(GF285&lt;=HG249,HG249,IF(GF285&lt;=HG250,HG250,IF(GF285&lt;=HG251,HG251,IF(GF285&lt;=HG252,HG252,IF(GF285&lt;=HG253,HG253,IF(GF285&lt;=HG254,HG254,0))))))))</f>
        <v>14.46</v>
      </c>
      <c r="HH262" s="2275">
        <f>+IF(GF285&lt;=HH247,HH247,IF(GF285&lt;=HH248,HH248,IF(GF285&lt;=HH249,HH249,IF(GF285&lt;=HH250,HH250,IF(GF285&lt;=HH251,HH251,IF(GF285&lt;=HH252,HH252,IF(GF285&lt;=HH253,HH253,IF(GF285&lt;=HH254,HH254,0))))))))</f>
        <v>16.73</v>
      </c>
      <c r="HI262" s="2275"/>
      <c r="HJ262" s="2275"/>
      <c r="HK262" s="2275"/>
      <c r="HL262" s="2275"/>
      <c r="HM262" s="2275"/>
      <c r="HN262" s="2275"/>
      <c r="HO262" s="2275"/>
      <c r="HP262" s="2275"/>
      <c r="HQ262" s="2275"/>
      <c r="HR262" s="2275"/>
      <c r="HS262" s="2275"/>
      <c r="HT262" s="2250"/>
      <c r="HU262" s="2250"/>
      <c r="HV262" s="2250"/>
      <c r="HW262" s="2250"/>
      <c r="HX262" s="2250"/>
      <c r="HY262" s="2250"/>
      <c r="HZ262" s="2250"/>
      <c r="IA262" s="2250"/>
      <c r="IB262" s="2250"/>
      <c r="IC262" s="2250"/>
      <c r="ID262" s="2250"/>
      <c r="IE262" s="2250"/>
      <c r="IF262" s="2250"/>
      <c r="IG262" s="2250"/>
      <c r="IH262" s="2250"/>
      <c r="II262" s="2250"/>
      <c r="IJ262" s="2250"/>
      <c r="IK262" s="2250"/>
      <c r="IL262" s="2250"/>
      <c r="IN262" s="277"/>
      <c r="IO262" s="277"/>
    </row>
    <row r="263" spans="1:249" ht="21.95" customHeight="1">
      <c r="A263" s="2275"/>
      <c r="B263" s="2275">
        <f>B241</f>
        <v>0.75631178540277322</v>
      </c>
      <c r="C263" s="2275">
        <f>HLOOKUP(B264,D245:AD265,20,0)</f>
        <v>7.33</v>
      </c>
      <c r="D263" s="2275">
        <f>+IF(B285&lt;=D255,D255,IF(B285&lt;=D256,D256,IF(B285&lt;=D257,D257,)))</f>
        <v>76.73</v>
      </c>
      <c r="E263" s="2275">
        <f>+IF(B285&lt;=E255,E255,IF(B285&lt;=E256,E256,IF(B285&lt;=E257,E257,)))</f>
        <v>86.53</v>
      </c>
      <c r="F263" s="2275">
        <f>+IF(B285&lt;=F255,F255,IF(B285&lt;=F256,F256,IF(B285&lt;=F257,F257,)))</f>
        <v>94.16</v>
      </c>
      <c r="G263" s="2275">
        <f>+IF(B285&lt;=G255,G255,IF(B285&lt;=G256,G256,IF(B285&lt;=G257,G257,)))</f>
        <v>100.99</v>
      </c>
      <c r="H263" s="2275">
        <f>+IF(B285&lt;=H255,H255,IF(B285&lt;=H256,H256,IF(B285&lt;=H257,H257,)))</f>
        <v>107.33</v>
      </c>
      <c r="I263" s="2275">
        <f>+IF(B285&lt;=I255,I255,IF(B285&lt;=I256,I256,IF(B285&lt;=I257,I257,)))</f>
        <v>109.01</v>
      </c>
      <c r="J263" s="2275">
        <f>+IF(B285&lt;=J255,J255,IF(B285&lt;=J256,J256,IF(B285&lt;=J257,J257,)))</f>
        <v>116.73</v>
      </c>
      <c r="K263" s="2275">
        <f>+IF(B285&lt;=K255,K255,IF(B285&lt;=K256,K256,IF(B285&lt;=K257,K257,)))</f>
        <v>124.95</v>
      </c>
      <c r="L263" s="2275">
        <f>+IF(B285&lt;=L255,L255,IF(B285&lt;=L256,L256,IF(B285&lt;=L257,L257,)))</f>
        <v>132.57</v>
      </c>
      <c r="M263" s="2275">
        <f>+IF(B285&lt;=M255,M255,IF(B285&lt;=M256,M256,IF(B285&lt;=M257,M257,)))</f>
        <v>141.19</v>
      </c>
      <c r="N263" s="2275">
        <f>+IF(B285&lt;=N255,N255,IF(B285&lt;=N256,N256,IF(B285&lt;=N257,N257,)))</f>
        <v>156.13999999999999</v>
      </c>
      <c r="O263" s="2275">
        <f>+IF(B285&lt;=O255,O255,IF(B285&lt;=O256,O256,IF(B285&lt;=O257,O257,)))</f>
        <v>168.61</v>
      </c>
      <c r="P263" s="2275">
        <f>+IF(B285&lt;=P255,P255,IF(B285&lt;=P256,P256,IF(B285&lt;=P257,P257,)))</f>
        <v>176.14</v>
      </c>
      <c r="Q263" s="2275">
        <f>+IF(B285&lt;=Q255,Q255,IF(B285&lt;=Q256,Q256,IF(B285&lt;=Q257,Q257,)))</f>
        <v>185.05</v>
      </c>
      <c r="R263" s="2275">
        <f>+IF(B285&lt;=R255,R255,IF(B285&lt;=R256,R256,IF(B285&lt;=R257,R257,)))</f>
        <v>194.85</v>
      </c>
      <c r="S263" s="2275">
        <f>+IF(B285&lt;=S255,S255,IF(B285&lt;=S256,S256,IF(B285&lt;=S257,S257,)))</f>
        <v>201.29</v>
      </c>
      <c r="T263" s="2275">
        <f>+IF(B285&lt;=T255,T255,IF(B285&lt;=T256,T256,IF(B285&lt;=T257,T257,)))</f>
        <v>214.16</v>
      </c>
      <c r="U263" s="2275">
        <f>+IF(B285&lt;=U255,U255,IF(B285&lt;=U256,U256,IF(B285&lt;=U257,U257,)))</f>
        <v>232.28</v>
      </c>
      <c r="V263" s="2275">
        <f>+IF(B285&lt;=V255,V255,IF(B285&lt;=V256,V256,IF(B285&lt;=V257,V257,)))</f>
        <v>247.43</v>
      </c>
      <c r="W263" s="2275">
        <f>+IF(B285&lt;=W255,W255,IF(B285&lt;=W256,W256,IF(B285&lt;=W257,W257,)))</f>
        <v>252.77</v>
      </c>
      <c r="X263" s="2275">
        <f>+IF(B285&lt;=X255,X255,IF(B285&lt;=X256,X256,IF(B285&lt;=X257,X257,)))</f>
        <v>263.37</v>
      </c>
      <c r="Y263" s="2275">
        <f>+IF(B285&lt;=Y255,Y255,IF(B285&lt;=Y256,Y256,IF(B285&lt;=Y257,Y257,)))</f>
        <v>295.54000000000002</v>
      </c>
      <c r="Z263" s="2275">
        <f>+IF(B285&lt;=Z255,Z255,IF(B285&lt;=Z256,Z256,IF(B285&lt;=Z257,Z257,)))</f>
        <v>337.72</v>
      </c>
      <c r="AA263" s="2275">
        <f>+IF(B285&lt;=AA255,AA255,IF(B285&lt;=AA256,AA256,IF(B285&lt;=AA257,AA257,)))</f>
        <v>372.28</v>
      </c>
      <c r="AB263" s="2275">
        <f>+IF(B285&lt;=AB255,AB255,IF(B285&lt;=AB256,AB256,IF(B285&lt;=AB257,AB257,)))</f>
        <v>383.27</v>
      </c>
      <c r="AC263" s="2275">
        <f>+IF(B285&lt;=AC255,AC255,IF(B285&lt;=AC256,AC256,IF(B285&lt;=AC257,AC257,)))</f>
        <v>383.27</v>
      </c>
      <c r="AD263" s="2275">
        <f>+IF(B285&lt;=AD255,AD255,IF(B285&lt;=AD256,AD256,IF(B285&lt;=AD257,AD257,)))</f>
        <v>383.27</v>
      </c>
      <c r="AE263" s="2275"/>
      <c r="AF263" s="2275"/>
      <c r="AG263" s="2275"/>
      <c r="AH263" s="2275"/>
      <c r="AI263" s="2275"/>
      <c r="AJ263" s="2275"/>
      <c r="AK263" s="2275"/>
      <c r="AL263" s="2275"/>
      <c r="AM263" s="2275"/>
      <c r="AN263" s="2275"/>
      <c r="AO263" s="2275"/>
      <c r="AP263" s="2250"/>
      <c r="AQ263" s="2250"/>
      <c r="AR263" s="2250"/>
      <c r="AS263" s="2250"/>
      <c r="AT263" s="2250"/>
      <c r="AU263" s="2250"/>
      <c r="AV263" s="2250"/>
      <c r="AW263" s="2250"/>
      <c r="AX263" s="2250"/>
      <c r="AY263" s="2250"/>
      <c r="AZ263" s="2250"/>
      <c r="BA263" s="2250"/>
      <c r="BB263" s="2250"/>
      <c r="BC263" s="2250"/>
      <c r="BD263" s="2250"/>
      <c r="BE263" s="2250"/>
      <c r="BF263" s="2276"/>
      <c r="BG263" s="2276"/>
      <c r="BH263" s="2250"/>
      <c r="BI263" s="2275"/>
      <c r="BJ263" s="2275">
        <f>BJ241</f>
        <v>0.75631178540277322</v>
      </c>
      <c r="BK263" s="2275">
        <f>HLOOKUP(BJ264,BL245:CL265,20,0)</f>
        <v>6.73</v>
      </c>
      <c r="BL263" s="2275">
        <f>+IF(BJ285&lt;=BL255,BL255,IF(BJ285&lt;=BL256,BL256,IF(BJ285&lt;=BL257,BL257,)))</f>
        <v>76.73</v>
      </c>
      <c r="BM263" s="2275">
        <f>+IF(BJ285&lt;=BM255,BM255,IF(BJ285&lt;=BM256,BM256,IF(BJ285&lt;=BM257,BM257,)))</f>
        <v>86.53</v>
      </c>
      <c r="BN263" s="2275">
        <f>+IF(BJ285&lt;=BN255,BN255,IF(BJ285&lt;=BN256,BN256,IF(BJ285&lt;=BN257,BN257,)))</f>
        <v>94.16</v>
      </c>
      <c r="BO263" s="2275">
        <f>+IF(BJ285&lt;=BO255,BO255,IF(BJ285&lt;=BO256,BO256,IF(BJ285&lt;=BO257,BO257,)))</f>
        <v>100.99</v>
      </c>
      <c r="BP263" s="2275">
        <f>+IF(BJ285&lt;=BP255,BP255,IF(BJ285&lt;=BP256,BP256,IF(BJ285&lt;=BP257,BP257,)))</f>
        <v>107.33</v>
      </c>
      <c r="BQ263" s="2275">
        <f>+IF(BJ285&lt;=BQ255,BQ255,IF(BJ285&lt;=BQ256,BQ256,IF(BJ285&lt;=BQ257,BQ257,)))</f>
        <v>109.01</v>
      </c>
      <c r="BR263" s="2275">
        <f>+IF(BJ285&lt;=BR255,BR255,IF(BJ285&lt;=BR256,BR256,IF(BJ285&lt;=BR257,BR257,)))</f>
        <v>116.73</v>
      </c>
      <c r="BS263" s="2275">
        <f>+IF(BJ285&lt;=BS255,BS255,IF(BJ285&lt;=BS256,BS256,IF(BJ285&lt;=BS257,BS257,)))</f>
        <v>124.95</v>
      </c>
      <c r="BT263" s="2275">
        <f>+IF(BJ285&lt;=BT255,BT255,IF(BJ285&lt;=BT256,BT256,IF(BJ285&lt;=BT257,BT257,)))</f>
        <v>132.57</v>
      </c>
      <c r="BU263" s="2275">
        <f>+IF(BJ285&lt;=BU255,BU255,IF(BJ285&lt;=BU256,BU256,IF(BJ285&lt;=BU257,BU257,)))</f>
        <v>141.19</v>
      </c>
      <c r="BV263" s="2275">
        <f>+IF(BJ285&lt;=BV255,BV255,IF(BJ285&lt;=BV256,BV256,IF(BJ285&lt;=BV257,BV257,)))</f>
        <v>156.13999999999999</v>
      </c>
      <c r="BW263" s="2275">
        <f>+IF(BJ285&lt;=BW255,BW255,IF(BJ285&lt;=BW256,BW256,IF(BJ285&lt;=BW257,BW257,)))</f>
        <v>168.61</v>
      </c>
      <c r="BX263" s="2275">
        <f>+IF(BJ285&lt;=BX255,BX255,IF(BJ285&lt;=BX256,BX256,IF(BJ285&lt;=BX257,BX257,)))</f>
        <v>176.14</v>
      </c>
      <c r="BY263" s="2275">
        <f>+IF(BJ285&lt;=BY255,BY255,IF(BJ285&lt;=BY256,BY256,IF(BJ285&lt;=BY257,BY257,)))</f>
        <v>185.05</v>
      </c>
      <c r="BZ263" s="2275">
        <f>+IF(BJ285&lt;=BZ255,BZ255,IF(BJ285&lt;=BZ256,BZ256,IF(BJ285&lt;=BZ257,BZ257,)))</f>
        <v>194.85</v>
      </c>
      <c r="CA263" s="2275">
        <f>+IF(BJ285&lt;=CA255,CA255,IF(BJ285&lt;=CA256,CA256,IF(BJ285&lt;=CA257,CA257,)))</f>
        <v>201.29</v>
      </c>
      <c r="CB263" s="2275">
        <f>+IF(BJ285&lt;=CB255,CB255,IF(BJ285&lt;=CB256,CB256,IF(BJ285&lt;=CB257,CB257,)))</f>
        <v>214.16</v>
      </c>
      <c r="CC263" s="2275">
        <f>+IF(BJ285&lt;=CC255,CC255,IF(BJ285&lt;=CC256,CC256,IF(BJ285&lt;=CC257,CC257,)))</f>
        <v>232.28</v>
      </c>
      <c r="CD263" s="2275">
        <f>+IF(BJ285&lt;=CD255,CD255,IF(BJ285&lt;=CD256,CD256,IF(BJ285&lt;=CD257,CD257,)))</f>
        <v>247.43</v>
      </c>
      <c r="CE263" s="2275">
        <f>+IF(BJ285&lt;=CE255,CE255,IF(BJ285&lt;=CE256,CE256,IF(BJ285&lt;=CE257,CE257,)))</f>
        <v>252.77</v>
      </c>
      <c r="CF263" s="2275">
        <f>+IF(BJ285&lt;=CF255,CF255,IF(BJ285&lt;=CF256,CF256,IF(BJ285&lt;=CF257,CF257,)))</f>
        <v>263.37</v>
      </c>
      <c r="CG263" s="2275">
        <f>+IF(BJ285&lt;=CG255,CG255,IF(BJ285&lt;=CG256,CG256,IF(BJ285&lt;=CG257,CG257,)))</f>
        <v>295.54000000000002</v>
      </c>
      <c r="CH263" s="2275">
        <f>+IF(BJ285&lt;=CH255,CH255,IF(BJ285&lt;=CH256,CH256,IF(BJ285&lt;=CH257,CH257,)))</f>
        <v>337.72</v>
      </c>
      <c r="CI263" s="2275">
        <f>+IF(BJ285&lt;=CI255,CI255,IF(BJ285&lt;=CI256,CI256,IF(BJ285&lt;=CI257,CI257,)))</f>
        <v>372.28</v>
      </c>
      <c r="CJ263" s="2275">
        <f>+IF(BJ285&lt;=CJ255,CJ255,IF(BJ285&lt;=CJ256,CJ256,IF(BJ285&lt;=CJ257,CJ257,)))</f>
        <v>383.27</v>
      </c>
      <c r="CK263" s="2275">
        <f>+IF(BJ285&lt;=CK255,CK255,IF(BJ285&lt;=CK256,CK256,IF(BJ285&lt;=CK257,CK257,)))</f>
        <v>383.27</v>
      </c>
      <c r="CL263" s="2275">
        <f>+IF(BJ285&lt;=CL255,CL255,IF(BJ285&lt;=CL256,CL256,IF(BJ285&lt;=CL257,CL257,)))</f>
        <v>383.27</v>
      </c>
      <c r="CM263" s="2275"/>
      <c r="CN263" s="2275"/>
      <c r="CO263" s="2275"/>
      <c r="CP263" s="2275"/>
      <c r="CQ263" s="2275"/>
      <c r="CR263" s="2275"/>
      <c r="CS263" s="2275"/>
      <c r="CT263" s="2275"/>
      <c r="CU263" s="2275"/>
      <c r="CV263" s="2275"/>
      <c r="CW263" s="2275"/>
      <c r="CX263" s="2250"/>
      <c r="CY263" s="2250"/>
      <c r="CZ263" s="2250"/>
      <c r="DA263" s="2250"/>
      <c r="DB263" s="2250"/>
      <c r="DC263" s="2250"/>
      <c r="DD263" s="2250"/>
      <c r="DE263" s="2250"/>
      <c r="DF263" s="2250"/>
      <c r="DG263" s="2250"/>
      <c r="DH263" s="2250"/>
      <c r="DI263" s="2250"/>
      <c r="DJ263" s="2250"/>
      <c r="DK263" s="2250"/>
      <c r="DL263" s="2250"/>
      <c r="DM263" s="2250"/>
      <c r="DN263" s="2250"/>
      <c r="DO263" s="2250"/>
      <c r="DP263" s="2250"/>
      <c r="DQ263" s="2277"/>
      <c r="DR263" s="2277"/>
      <c r="DS263" s="277"/>
      <c r="DW263" s="2275"/>
      <c r="DX263" s="2275">
        <f>DX241</f>
        <v>1.3354563802212776</v>
      </c>
      <c r="DY263" s="2275">
        <f>HLOOKUP(DX264,DZ245:EZ265,20,0)</f>
        <v>10.79</v>
      </c>
      <c r="DZ263" s="2275">
        <f>+IF(DX285&lt;=DZ255,DZ255,IF(DX285&lt;=DZ256,DZ256,IF(DX285&lt;=DZ257,DZ257,)))</f>
        <v>76.73</v>
      </c>
      <c r="EA263" s="2275">
        <f>+IF(DX285&lt;=EA255,EA255,IF(DX285&lt;=EA256,EA256,IF(DX285&lt;=EA257,EA257,)))</f>
        <v>86.53</v>
      </c>
      <c r="EB263" s="2275">
        <f>+IF(DX285&lt;=EB255,EB255,IF(DX285&lt;=EB256,EB256,IF(DX285&lt;=EB257,EB257,)))</f>
        <v>94.16</v>
      </c>
      <c r="EC263" s="2275">
        <f>+IF(DX285&lt;=EC255,EC255,IF(DX285&lt;=EC256,EC256,IF(DX285&lt;=EC257,EC257,)))</f>
        <v>100.99</v>
      </c>
      <c r="ED263" s="2275">
        <f>+IF(DX285&lt;=ED255,ED255,IF(DX285&lt;=ED256,ED256,IF(DX285&lt;=ED257,ED257,)))</f>
        <v>107.33</v>
      </c>
      <c r="EE263" s="2275">
        <f>+IF(DX285&lt;=EE255,EE255,IF(DX285&lt;=EE256,EE256,IF(DX285&lt;=EE257,EE257,)))</f>
        <v>109.01</v>
      </c>
      <c r="EF263" s="2275">
        <f>+IF(DX285&lt;=EF255,EF255,IF(DX285&lt;=EF256,EF256,IF(DX285&lt;=EF257,EF257,)))</f>
        <v>116.73</v>
      </c>
      <c r="EG263" s="2275">
        <f>+IF(DX285&lt;=EG255,EG255,IF(DX285&lt;=EG256,EG256,IF(DX285&lt;=EG257,EG257,)))</f>
        <v>124.95</v>
      </c>
      <c r="EH263" s="2275">
        <f>+IF(DX285&lt;=EH255,EH255,IF(DX285&lt;=EH256,EH256,IF(DX285&lt;=EH257,EH257,)))</f>
        <v>132.57</v>
      </c>
      <c r="EI263" s="2275">
        <f>+IF(DX285&lt;=EI255,EI255,IF(DX285&lt;=EI256,EI256,IF(DX285&lt;=EI257,EI257,)))</f>
        <v>141.19</v>
      </c>
      <c r="EJ263" s="2275">
        <f>+IF(DX285&lt;=EJ255,EJ255,IF(DX285&lt;=EJ256,EJ256,IF(DX285&lt;=EJ257,EJ257,)))</f>
        <v>156.13999999999999</v>
      </c>
      <c r="EK263" s="2275">
        <f>+IF(DX285&lt;=EK255,EK255,IF(DX285&lt;=EK256,EK256,IF(DX285&lt;=EK257,EK257,)))</f>
        <v>168.61</v>
      </c>
      <c r="EL263" s="2275">
        <f>+IF(DX285&lt;=EL255,EL255,IF(DX285&lt;=EL256,EL256,IF(DX285&lt;=EL257,EL257,)))</f>
        <v>176.14</v>
      </c>
      <c r="EM263" s="2275">
        <f>+IF(DX285&lt;=EM255,EM255,IF(DX285&lt;=EM256,EM256,IF(DX285&lt;=EM257,EM257,)))</f>
        <v>185.05</v>
      </c>
      <c r="EN263" s="2275">
        <f>+IF(DX285&lt;=EN255,EN255,IF(DX285&lt;=EN256,EN256,IF(DX285&lt;=EN257,EN257,)))</f>
        <v>194.85</v>
      </c>
      <c r="EO263" s="2275">
        <f>+IF(DX285&lt;=EO255,EO255,IF(DX285&lt;=EO256,EO256,IF(DX285&lt;=EO257,EO257,)))</f>
        <v>201.29</v>
      </c>
      <c r="EP263" s="2275">
        <f>+IF(DX285&lt;=EP255,EP255,IF(DX285&lt;=EP256,EP256,IF(DX285&lt;=EP257,EP257,)))</f>
        <v>214.16</v>
      </c>
      <c r="EQ263" s="2275">
        <f>+IF(DX285&lt;=EQ255,EQ255,IF(DX285&lt;=EQ256,EQ256,IF(DX285&lt;=EQ257,EQ257,)))</f>
        <v>232.28</v>
      </c>
      <c r="ER263" s="2275">
        <f>+IF(DX285&lt;=ER255,ER255,IF(DX285&lt;=ER256,ER256,IF(DX285&lt;=ER257,ER257,)))</f>
        <v>247.43</v>
      </c>
      <c r="ES263" s="2275">
        <f>+IF(DX285&lt;=ES255,ES255,IF(DX285&lt;=ES256,ES256,IF(DX285&lt;=ES257,ES257,)))</f>
        <v>252.77</v>
      </c>
      <c r="ET263" s="2275">
        <f>+IF(DX285&lt;=ET255,ET255,IF(DX285&lt;=ET256,ET256,IF(DX285&lt;=ET257,ET257,)))</f>
        <v>263.37</v>
      </c>
      <c r="EU263" s="2275">
        <f>+IF(DX285&lt;=EU255,EU255,IF(DX285&lt;=EU256,EU256,IF(DX285&lt;=EU257,EU257,)))</f>
        <v>295.54000000000002</v>
      </c>
      <c r="EV263" s="2275">
        <f>+IF(DX285&lt;=EV255,EV255,IF(DX285&lt;=EV256,EV256,IF(DX285&lt;=EV257,EV257,)))</f>
        <v>337.72</v>
      </c>
      <c r="EW263" s="2275">
        <f>+IF(DX285&lt;=EW255,EW255,IF(DX285&lt;=EW256,EW256,IF(DX285&lt;=EW257,EW257,)))</f>
        <v>372.28</v>
      </c>
      <c r="EX263" s="2275">
        <f>+IF(DX285&lt;=EX255,EX255,IF(DX285&lt;=EX256,EX256,IF(DX285&lt;=EX257,EX257,)))</f>
        <v>383.27</v>
      </c>
      <c r="EY263" s="2275">
        <f>+IF(DX285&lt;=EY255,EY255,IF(DX285&lt;=EY256,EY256,IF(DX285&lt;=EY257,EY257,)))</f>
        <v>383.27</v>
      </c>
      <c r="EZ263" s="2275">
        <f>+IF(DX285&lt;=EZ255,EZ255,IF(DX285&lt;=EZ256,EZ256,IF(DX285&lt;=EZ257,EZ257,)))</f>
        <v>383.27</v>
      </c>
      <c r="FA263" s="2275"/>
      <c r="FB263" s="2275"/>
      <c r="FC263" s="2275"/>
      <c r="FD263" s="2275"/>
      <c r="FE263" s="2275"/>
      <c r="FF263" s="2275"/>
      <c r="FG263" s="2275"/>
      <c r="FH263" s="2275"/>
      <c r="FI263" s="2275"/>
      <c r="FJ263" s="2275"/>
      <c r="FK263" s="2275"/>
      <c r="FL263" s="2250"/>
      <c r="FM263" s="2250"/>
      <c r="FN263" s="2250"/>
      <c r="FO263" s="2250"/>
      <c r="FP263" s="2250"/>
      <c r="FQ263" s="2250"/>
      <c r="FR263" s="2250"/>
      <c r="FS263" s="2250"/>
      <c r="FT263" s="2250"/>
      <c r="FU263" s="2250"/>
      <c r="FV263" s="2250"/>
      <c r="FW263" s="2250"/>
      <c r="FX263" s="2250"/>
      <c r="FY263" s="2250"/>
      <c r="FZ263" s="2250"/>
      <c r="GA263" s="2250"/>
      <c r="GB263" s="2276"/>
      <c r="GC263" s="2276"/>
      <c r="GD263" s="2250"/>
      <c r="GE263" s="2275"/>
      <c r="GF263" s="2275">
        <f>GF241</f>
        <v>1.3354563802212776</v>
      </c>
      <c r="GG263" s="2275">
        <f>HLOOKUP(GF264,GH245:HH265,20,0)</f>
        <v>9.8000000000000007</v>
      </c>
      <c r="GH263" s="2275">
        <f>+IF(GF285&lt;=GH255,GH255,IF(GF285&lt;=GH256,GH256,IF(GF285&lt;=GH257,GH257,)))</f>
        <v>76.73</v>
      </c>
      <c r="GI263" s="2275">
        <f>+IF(GF285&lt;=GI255,GI255,IF(GF285&lt;=GI256,GI256,IF(GF285&lt;=GI257,GI257,)))</f>
        <v>86.53</v>
      </c>
      <c r="GJ263" s="2275">
        <f>+IF(GF285&lt;=GJ255,GJ255,IF(GF285&lt;=GJ256,GJ256,IF(GF285&lt;=GJ257,GJ257,)))</f>
        <v>94.16</v>
      </c>
      <c r="GK263" s="2275">
        <f>+IF(GF285&lt;=GK255,GK255,IF(GF285&lt;=GK256,GK256,IF(GF285&lt;=GK257,GK257,)))</f>
        <v>100.99</v>
      </c>
      <c r="GL263" s="2275">
        <f>+IF(GF285&lt;=GL255,GL255,IF(GF285&lt;=GL256,GL256,IF(GF285&lt;=GL257,GL257,)))</f>
        <v>107.33</v>
      </c>
      <c r="GM263" s="2275">
        <f>+IF(GF285&lt;=GM255,GM255,IF(GF285&lt;=GM256,GM256,IF(GF285&lt;=GM257,GM257,)))</f>
        <v>109.01</v>
      </c>
      <c r="GN263" s="2275">
        <f>+IF(GF285&lt;=GN255,GN255,IF(GF285&lt;=GN256,GN256,IF(GF285&lt;=GN257,GN257,)))</f>
        <v>116.73</v>
      </c>
      <c r="GO263" s="2275">
        <f>+IF(GF285&lt;=GO255,GO255,IF(GF285&lt;=GO256,GO256,IF(GF285&lt;=GO257,GO257,)))</f>
        <v>124.95</v>
      </c>
      <c r="GP263" s="2275">
        <f>+IF(GF285&lt;=GP255,GP255,IF(GF285&lt;=GP256,GP256,IF(GF285&lt;=GP257,GP257,)))</f>
        <v>132.57</v>
      </c>
      <c r="GQ263" s="2275">
        <f>+IF(GF285&lt;=GQ255,GQ255,IF(GF285&lt;=GQ256,GQ256,IF(GF285&lt;=GQ257,GQ257,)))</f>
        <v>141.19</v>
      </c>
      <c r="GR263" s="2275">
        <f>+IF(GF285&lt;=GR255,GR255,IF(GF285&lt;=GR256,GR256,IF(GF285&lt;=GR257,GR257,)))</f>
        <v>156.13999999999999</v>
      </c>
      <c r="GS263" s="2275">
        <f>+IF(GF285&lt;=GS255,GS255,IF(GF285&lt;=GS256,GS256,IF(GF285&lt;=GS257,GS257,)))</f>
        <v>168.61</v>
      </c>
      <c r="GT263" s="2275">
        <f>+IF(GF285&lt;=GT255,GT255,IF(GF285&lt;=GT256,GT256,IF(GF285&lt;=GT257,GT257,)))</f>
        <v>176.14</v>
      </c>
      <c r="GU263" s="2275">
        <f>+IF(GF285&lt;=GU255,GU255,IF(GF285&lt;=GU256,GU256,IF(GF285&lt;=GU257,GU257,)))</f>
        <v>185.05</v>
      </c>
      <c r="GV263" s="2275">
        <f>+IF(GF285&lt;=GV255,GV255,IF(GF285&lt;=GV256,GV256,IF(GF285&lt;=GV257,GV257,)))</f>
        <v>194.85</v>
      </c>
      <c r="GW263" s="2275">
        <f>+IF(GF285&lt;=GW255,GW255,IF(GF285&lt;=GW256,GW256,IF(GF285&lt;=GW257,GW257,)))</f>
        <v>201.29</v>
      </c>
      <c r="GX263" s="2275">
        <f>+IF(GF285&lt;=GX255,GX255,IF(GF285&lt;=GX256,GX256,IF(GF285&lt;=GX257,GX257,)))</f>
        <v>214.16</v>
      </c>
      <c r="GY263" s="2275">
        <f>+IF(GF285&lt;=GY255,GY255,IF(GF285&lt;=GY256,GY256,IF(GF285&lt;=GY257,GY257,)))</f>
        <v>232.28</v>
      </c>
      <c r="GZ263" s="2275">
        <f>+IF(GF285&lt;=GZ255,GZ255,IF(GF285&lt;=GZ256,GZ256,IF(GF285&lt;=GZ257,GZ257,)))</f>
        <v>247.43</v>
      </c>
      <c r="HA263" s="2275">
        <f>+IF(GF285&lt;=HA255,HA255,IF(GF285&lt;=HA256,HA256,IF(GF285&lt;=HA257,HA257,)))</f>
        <v>252.77</v>
      </c>
      <c r="HB263" s="2275">
        <f>+IF(GF285&lt;=HB255,HB255,IF(GF285&lt;=HB256,HB256,IF(GF285&lt;=HB257,HB257,)))</f>
        <v>263.37</v>
      </c>
      <c r="HC263" s="2275">
        <f>+IF(GF285&lt;=HC255,HC255,IF(GF285&lt;=HC256,HC256,IF(GF285&lt;=HC257,HC257,)))</f>
        <v>295.54000000000002</v>
      </c>
      <c r="HD263" s="2275">
        <f>+IF(GF285&lt;=HD255,HD255,IF(GF285&lt;=HD256,HD256,IF(GF285&lt;=HD257,HD257,)))</f>
        <v>337.72</v>
      </c>
      <c r="HE263" s="2275">
        <f>+IF(GF285&lt;=HE255,HE255,IF(GF285&lt;=HE256,HE256,IF(GF285&lt;=HE257,HE257,)))</f>
        <v>372.28</v>
      </c>
      <c r="HF263" s="2275">
        <f>+IF(GF285&lt;=HF255,HF255,IF(GF285&lt;=HF256,HF256,IF(GF285&lt;=HF257,HF257,)))</f>
        <v>383.27</v>
      </c>
      <c r="HG263" s="2275">
        <f>+IF(GF285&lt;=HG255,HG255,IF(GF285&lt;=HG256,HG256,IF(GF285&lt;=HG257,HG257,)))</f>
        <v>383.27</v>
      </c>
      <c r="HH263" s="2275">
        <f>+IF(GF285&lt;=HH255,HH255,IF(GF285&lt;=HH256,HH256,IF(GF285&lt;=HH257,HH257,)))</f>
        <v>383.27</v>
      </c>
      <c r="HI263" s="2275"/>
      <c r="HJ263" s="2275"/>
      <c r="HK263" s="2275"/>
      <c r="HL263" s="2275"/>
      <c r="HM263" s="2275"/>
      <c r="HN263" s="2275"/>
      <c r="HO263" s="2275"/>
      <c r="HP263" s="2275"/>
      <c r="HQ263" s="2275"/>
      <c r="HR263" s="2275"/>
      <c r="HS263" s="2275"/>
      <c r="HT263" s="2250"/>
      <c r="HU263" s="2250"/>
      <c r="HV263" s="2250"/>
      <c r="HW263" s="2250"/>
      <c r="HX263" s="2250"/>
      <c r="HY263" s="2250"/>
      <c r="HZ263" s="2250"/>
      <c r="IA263" s="2250"/>
      <c r="IB263" s="2250"/>
      <c r="IC263" s="2250"/>
      <c r="ID263" s="2250"/>
      <c r="IE263" s="2250"/>
      <c r="IF263" s="2250"/>
      <c r="IG263" s="2250"/>
      <c r="IH263" s="2250"/>
      <c r="II263" s="2250"/>
      <c r="IJ263" s="2250"/>
      <c r="IK263" s="2250"/>
      <c r="IL263" s="2250"/>
      <c r="IN263" s="277"/>
      <c r="IO263" s="277"/>
    </row>
    <row r="264" spans="1:249" ht="21.95" customHeight="1">
      <c r="A264" s="2275"/>
      <c r="B264" s="2275">
        <f>B242</f>
        <v>68.3</v>
      </c>
      <c r="C264" s="2275">
        <f>HLOOKUP(B264,D245:AD265,21,0)</f>
        <v>400</v>
      </c>
      <c r="D264" s="2250">
        <f t="shared" ref="D264:AD264" si="126">IF(D262=0,D263,D262)</f>
        <v>2.57</v>
      </c>
      <c r="E264" s="2250">
        <f t="shared" si="126"/>
        <v>2.77</v>
      </c>
      <c r="F264" s="2250">
        <f t="shared" si="126"/>
        <v>2.97</v>
      </c>
      <c r="G264" s="2250">
        <f t="shared" si="126"/>
        <v>3.17</v>
      </c>
      <c r="H264" s="2250">
        <f t="shared" si="126"/>
        <v>3.37</v>
      </c>
      <c r="I264" s="2250">
        <f t="shared" si="126"/>
        <v>3.47</v>
      </c>
      <c r="J264" s="2250">
        <f t="shared" si="126"/>
        <v>3.66</v>
      </c>
      <c r="K264" s="2250">
        <f t="shared" si="126"/>
        <v>3.96</v>
      </c>
      <c r="L264" s="2250">
        <f t="shared" si="126"/>
        <v>4.26</v>
      </c>
      <c r="M264" s="2250">
        <f t="shared" si="126"/>
        <v>4.46</v>
      </c>
      <c r="N264" s="2250">
        <f t="shared" si="126"/>
        <v>4.95</v>
      </c>
      <c r="O264" s="2250">
        <f t="shared" si="126"/>
        <v>5.35</v>
      </c>
      <c r="P264" s="2250">
        <f t="shared" si="126"/>
        <v>5.54</v>
      </c>
      <c r="Q264" s="2250">
        <f t="shared" si="126"/>
        <v>5.84</v>
      </c>
      <c r="R264" s="2250">
        <f t="shared" si="126"/>
        <v>6.14</v>
      </c>
      <c r="S264" s="2250">
        <f t="shared" si="126"/>
        <v>6.34</v>
      </c>
      <c r="T264" s="2250">
        <f t="shared" si="126"/>
        <v>6.73</v>
      </c>
      <c r="U264" s="2250">
        <f t="shared" si="126"/>
        <v>7.33</v>
      </c>
      <c r="V264" s="2250">
        <f t="shared" si="126"/>
        <v>7.82</v>
      </c>
      <c r="W264" s="2250">
        <f t="shared" si="126"/>
        <v>8.42</v>
      </c>
      <c r="X264" s="2250">
        <f t="shared" si="126"/>
        <v>8.91</v>
      </c>
      <c r="Y264" s="2250">
        <f t="shared" si="126"/>
        <v>9.8000000000000007</v>
      </c>
      <c r="Z264" s="2250">
        <f t="shared" si="126"/>
        <v>10.79</v>
      </c>
      <c r="AA264" s="2250">
        <f t="shared" si="126"/>
        <v>11.88</v>
      </c>
      <c r="AB264" s="2250">
        <f t="shared" si="126"/>
        <v>13.47</v>
      </c>
      <c r="AC264" s="2250">
        <f t="shared" si="126"/>
        <v>14.46</v>
      </c>
      <c r="AD264" s="2250">
        <f t="shared" si="126"/>
        <v>16.73</v>
      </c>
      <c r="AE264" s="2275"/>
      <c r="AF264" s="2275"/>
      <c r="AG264" s="2275"/>
      <c r="AH264" s="2275"/>
      <c r="AI264" s="2275"/>
      <c r="AJ264" s="2275"/>
      <c r="AK264" s="2275"/>
      <c r="AL264" s="2275"/>
      <c r="AM264" s="2275"/>
      <c r="AN264" s="2275"/>
      <c r="AO264" s="2275"/>
      <c r="AP264" s="2250"/>
      <c r="AQ264" s="2250"/>
      <c r="AR264" s="2250"/>
      <c r="AS264" s="2250"/>
      <c r="AT264" s="2250"/>
      <c r="AU264" s="2250"/>
      <c r="AV264" s="2250"/>
      <c r="AW264" s="2250"/>
      <c r="AX264" s="2250"/>
      <c r="AY264" s="2250"/>
      <c r="AZ264" s="2250"/>
      <c r="BA264" s="2250"/>
      <c r="BB264" s="2250"/>
      <c r="BC264" s="2250"/>
      <c r="BD264" s="2250"/>
      <c r="BE264" s="2250"/>
      <c r="BF264" s="2276"/>
      <c r="BG264" s="2276"/>
      <c r="BH264" s="2250"/>
      <c r="BI264" s="2275"/>
      <c r="BJ264" s="2275">
        <f>BJ242</f>
        <v>73.7</v>
      </c>
      <c r="BK264" s="2275">
        <f>HLOOKUP(BJ264,BL245:CL265,21,0)</f>
        <v>400</v>
      </c>
      <c r="BL264" s="2250">
        <f t="shared" ref="BL264:CL264" si="127">IF(BL262=0,BL263,BL262)</f>
        <v>2.57</v>
      </c>
      <c r="BM264" s="2250">
        <f t="shared" si="127"/>
        <v>2.77</v>
      </c>
      <c r="BN264" s="2250">
        <f t="shared" si="127"/>
        <v>2.97</v>
      </c>
      <c r="BO264" s="2250">
        <f t="shared" si="127"/>
        <v>3.17</v>
      </c>
      <c r="BP264" s="2250">
        <f t="shared" si="127"/>
        <v>3.37</v>
      </c>
      <c r="BQ264" s="2250">
        <f t="shared" si="127"/>
        <v>3.47</v>
      </c>
      <c r="BR264" s="2250">
        <f t="shared" si="127"/>
        <v>3.66</v>
      </c>
      <c r="BS264" s="2250">
        <f t="shared" si="127"/>
        <v>3.96</v>
      </c>
      <c r="BT264" s="2250">
        <f t="shared" si="127"/>
        <v>4.26</v>
      </c>
      <c r="BU264" s="2250">
        <f t="shared" si="127"/>
        <v>4.46</v>
      </c>
      <c r="BV264" s="2250">
        <f t="shared" si="127"/>
        <v>4.95</v>
      </c>
      <c r="BW264" s="2250">
        <f t="shared" si="127"/>
        <v>5.35</v>
      </c>
      <c r="BX264" s="2250">
        <f t="shared" si="127"/>
        <v>5.54</v>
      </c>
      <c r="BY264" s="2250">
        <f t="shared" si="127"/>
        <v>5.84</v>
      </c>
      <c r="BZ264" s="2250">
        <f t="shared" si="127"/>
        <v>6.14</v>
      </c>
      <c r="CA264" s="2250">
        <f t="shared" si="127"/>
        <v>6.34</v>
      </c>
      <c r="CB264" s="2250">
        <f t="shared" si="127"/>
        <v>6.73</v>
      </c>
      <c r="CC264" s="2250">
        <f t="shared" si="127"/>
        <v>7.33</v>
      </c>
      <c r="CD264" s="2250">
        <f t="shared" si="127"/>
        <v>7.82</v>
      </c>
      <c r="CE264" s="2250">
        <f t="shared" si="127"/>
        <v>8.42</v>
      </c>
      <c r="CF264" s="2250">
        <f t="shared" si="127"/>
        <v>8.91</v>
      </c>
      <c r="CG264" s="2250">
        <f t="shared" si="127"/>
        <v>9.8000000000000007</v>
      </c>
      <c r="CH264" s="2250">
        <f t="shared" si="127"/>
        <v>10.79</v>
      </c>
      <c r="CI264" s="2250">
        <f t="shared" si="127"/>
        <v>11.88</v>
      </c>
      <c r="CJ264" s="2250">
        <f t="shared" si="127"/>
        <v>13.47</v>
      </c>
      <c r="CK264" s="2250">
        <f t="shared" si="127"/>
        <v>14.46</v>
      </c>
      <c r="CL264" s="2250">
        <f t="shared" si="127"/>
        <v>16.73</v>
      </c>
      <c r="CM264" s="2275"/>
      <c r="CN264" s="2275"/>
      <c r="CO264" s="2275"/>
      <c r="CP264" s="2275"/>
      <c r="CQ264" s="2275"/>
      <c r="CR264" s="2275"/>
      <c r="CS264" s="2275"/>
      <c r="CT264" s="2275"/>
      <c r="CU264" s="2275"/>
      <c r="CV264" s="2275"/>
      <c r="CW264" s="2275"/>
      <c r="CX264" s="2250"/>
      <c r="CY264" s="2250"/>
      <c r="CZ264" s="2250"/>
      <c r="DA264" s="2250"/>
      <c r="DB264" s="2250"/>
      <c r="DC264" s="2250"/>
      <c r="DD264" s="2250"/>
      <c r="DE264" s="2250"/>
      <c r="DF264" s="2250"/>
      <c r="DG264" s="2250"/>
      <c r="DH264" s="2250"/>
      <c r="DI264" s="2250"/>
      <c r="DJ264" s="2250"/>
      <c r="DK264" s="2250"/>
      <c r="DL264" s="2250"/>
      <c r="DM264" s="2250"/>
      <c r="DN264" s="2250"/>
      <c r="DO264" s="2250"/>
      <c r="DP264" s="2250"/>
      <c r="DQ264" s="2277"/>
      <c r="DR264" s="2277"/>
      <c r="DS264" s="277"/>
      <c r="DW264" s="2275"/>
      <c r="DX264" s="2275">
        <f>DX242</f>
        <v>43.9</v>
      </c>
      <c r="DY264" s="2275">
        <f>HLOOKUP(DX264,DZ245:EZ265,21,0)</f>
        <v>400</v>
      </c>
      <c r="DZ264" s="2250">
        <f t="shared" ref="DZ264:EZ264" si="128">IF(DZ262=0,DZ263,DZ262)</f>
        <v>2.57</v>
      </c>
      <c r="EA264" s="2250">
        <f t="shared" si="128"/>
        <v>2.77</v>
      </c>
      <c r="EB264" s="2250">
        <f t="shared" si="128"/>
        <v>2.97</v>
      </c>
      <c r="EC264" s="2250">
        <f t="shared" si="128"/>
        <v>3.17</v>
      </c>
      <c r="ED264" s="2250">
        <f t="shared" si="128"/>
        <v>3.37</v>
      </c>
      <c r="EE264" s="2250">
        <f t="shared" si="128"/>
        <v>3.47</v>
      </c>
      <c r="EF264" s="2250">
        <f t="shared" si="128"/>
        <v>3.66</v>
      </c>
      <c r="EG264" s="2250">
        <f t="shared" si="128"/>
        <v>3.96</v>
      </c>
      <c r="EH264" s="2250">
        <f t="shared" si="128"/>
        <v>4.26</v>
      </c>
      <c r="EI264" s="2250">
        <f t="shared" si="128"/>
        <v>4.46</v>
      </c>
      <c r="EJ264" s="2250">
        <f t="shared" si="128"/>
        <v>4.95</v>
      </c>
      <c r="EK264" s="2250">
        <f t="shared" si="128"/>
        <v>5.35</v>
      </c>
      <c r="EL264" s="2250">
        <f t="shared" si="128"/>
        <v>5.54</v>
      </c>
      <c r="EM264" s="2250">
        <f t="shared" si="128"/>
        <v>5.84</v>
      </c>
      <c r="EN264" s="2250">
        <f t="shared" si="128"/>
        <v>6.14</v>
      </c>
      <c r="EO264" s="2250">
        <f t="shared" si="128"/>
        <v>6.34</v>
      </c>
      <c r="EP264" s="2250">
        <f t="shared" si="128"/>
        <v>6.73</v>
      </c>
      <c r="EQ264" s="2250">
        <f t="shared" si="128"/>
        <v>7.33</v>
      </c>
      <c r="ER264" s="2250">
        <f t="shared" si="128"/>
        <v>7.82</v>
      </c>
      <c r="ES264" s="2250">
        <f t="shared" si="128"/>
        <v>8.42</v>
      </c>
      <c r="ET264" s="2250">
        <f t="shared" si="128"/>
        <v>8.91</v>
      </c>
      <c r="EU264" s="2250">
        <f t="shared" si="128"/>
        <v>9.8000000000000007</v>
      </c>
      <c r="EV264" s="2250">
        <f t="shared" si="128"/>
        <v>10.79</v>
      </c>
      <c r="EW264" s="2250">
        <f t="shared" si="128"/>
        <v>11.88</v>
      </c>
      <c r="EX264" s="2250">
        <f t="shared" si="128"/>
        <v>13.47</v>
      </c>
      <c r="EY264" s="2250">
        <f t="shared" si="128"/>
        <v>14.46</v>
      </c>
      <c r="EZ264" s="2250">
        <f t="shared" si="128"/>
        <v>16.73</v>
      </c>
      <c r="FA264" s="2275"/>
      <c r="FB264" s="2275"/>
      <c r="FC264" s="2275"/>
      <c r="FD264" s="2275"/>
      <c r="FE264" s="2275"/>
      <c r="FF264" s="2275"/>
      <c r="FG264" s="2275"/>
      <c r="FH264" s="2275"/>
      <c r="FI264" s="2275"/>
      <c r="FJ264" s="2275"/>
      <c r="FK264" s="2275"/>
      <c r="FL264" s="2250"/>
      <c r="FM264" s="2250"/>
      <c r="FN264" s="2250"/>
      <c r="FO264" s="2250"/>
      <c r="FP264" s="2250"/>
      <c r="FQ264" s="2250"/>
      <c r="FR264" s="2250"/>
      <c r="FS264" s="2250"/>
      <c r="FT264" s="2250"/>
      <c r="FU264" s="2250"/>
      <c r="FV264" s="2250"/>
      <c r="FW264" s="2250"/>
      <c r="FX264" s="2250"/>
      <c r="FY264" s="2250"/>
      <c r="FZ264" s="2250"/>
      <c r="GA264" s="2250"/>
      <c r="GB264" s="2276"/>
      <c r="GC264" s="2276"/>
      <c r="GD264" s="2250"/>
      <c r="GE264" s="2275"/>
      <c r="GF264" s="2275">
        <f>GF242</f>
        <v>48.8</v>
      </c>
      <c r="GG264" s="2275">
        <f>HLOOKUP(GF264,GH245:HH265,21,0)</f>
        <v>400</v>
      </c>
      <c r="GH264" s="2250">
        <f t="shared" ref="GH264:HH264" si="129">IF(GH262=0,GH263,GH262)</f>
        <v>2.57</v>
      </c>
      <c r="GI264" s="2250">
        <f t="shared" si="129"/>
        <v>2.77</v>
      </c>
      <c r="GJ264" s="2250">
        <f t="shared" si="129"/>
        <v>2.97</v>
      </c>
      <c r="GK264" s="2250">
        <f t="shared" si="129"/>
        <v>3.17</v>
      </c>
      <c r="GL264" s="2250">
        <f t="shared" si="129"/>
        <v>3.37</v>
      </c>
      <c r="GM264" s="2250">
        <f t="shared" si="129"/>
        <v>3.47</v>
      </c>
      <c r="GN264" s="2250">
        <f t="shared" si="129"/>
        <v>3.66</v>
      </c>
      <c r="GO264" s="2250">
        <f t="shared" si="129"/>
        <v>3.96</v>
      </c>
      <c r="GP264" s="2250">
        <f t="shared" si="129"/>
        <v>4.26</v>
      </c>
      <c r="GQ264" s="2250">
        <f t="shared" si="129"/>
        <v>4.46</v>
      </c>
      <c r="GR264" s="2250">
        <f t="shared" si="129"/>
        <v>4.95</v>
      </c>
      <c r="GS264" s="2250">
        <f t="shared" si="129"/>
        <v>5.35</v>
      </c>
      <c r="GT264" s="2250">
        <f t="shared" si="129"/>
        <v>5.54</v>
      </c>
      <c r="GU264" s="2250">
        <f t="shared" si="129"/>
        <v>5.84</v>
      </c>
      <c r="GV264" s="2250">
        <f t="shared" si="129"/>
        <v>6.14</v>
      </c>
      <c r="GW264" s="2250">
        <f t="shared" si="129"/>
        <v>6.34</v>
      </c>
      <c r="GX264" s="2250">
        <f t="shared" si="129"/>
        <v>6.73</v>
      </c>
      <c r="GY264" s="2250">
        <f t="shared" si="129"/>
        <v>7.33</v>
      </c>
      <c r="GZ264" s="2250">
        <f t="shared" si="129"/>
        <v>7.82</v>
      </c>
      <c r="HA264" s="2250">
        <f t="shared" si="129"/>
        <v>8.42</v>
      </c>
      <c r="HB264" s="2250">
        <f t="shared" si="129"/>
        <v>8.91</v>
      </c>
      <c r="HC264" s="2250">
        <f t="shared" si="129"/>
        <v>9.8000000000000007</v>
      </c>
      <c r="HD264" s="2250">
        <f t="shared" si="129"/>
        <v>10.79</v>
      </c>
      <c r="HE264" s="2250">
        <f t="shared" si="129"/>
        <v>11.88</v>
      </c>
      <c r="HF264" s="2250">
        <f t="shared" si="129"/>
        <v>13.47</v>
      </c>
      <c r="HG264" s="2250">
        <f t="shared" si="129"/>
        <v>14.46</v>
      </c>
      <c r="HH264" s="2250">
        <f t="shared" si="129"/>
        <v>16.73</v>
      </c>
      <c r="HI264" s="2275"/>
      <c r="HJ264" s="2275"/>
      <c r="HK264" s="2275"/>
      <c r="HL264" s="2275"/>
      <c r="HM264" s="2275"/>
      <c r="HN264" s="2275"/>
      <c r="HO264" s="2275"/>
      <c r="HP264" s="2275"/>
      <c r="HQ264" s="2275"/>
      <c r="HR264" s="2275"/>
      <c r="HS264" s="2275"/>
      <c r="HT264" s="2250"/>
      <c r="HU264" s="2250"/>
      <c r="HV264" s="2250"/>
      <c r="HW264" s="2250"/>
      <c r="HX264" s="2250"/>
      <c r="HY264" s="2250"/>
      <c r="HZ264" s="2250"/>
      <c r="IA264" s="2250"/>
      <c r="IB264" s="2250"/>
      <c r="IC264" s="2250"/>
      <c r="ID264" s="2250"/>
      <c r="IE264" s="2250"/>
      <c r="IF264" s="2250"/>
      <c r="IG264" s="2250"/>
      <c r="IH264" s="2250"/>
      <c r="II264" s="2250"/>
      <c r="IJ264" s="2250"/>
      <c r="IK264" s="2250"/>
      <c r="IL264" s="2250"/>
      <c r="IN264" s="277"/>
      <c r="IO264" s="277"/>
    </row>
    <row r="265" spans="1:249" ht="21.95" customHeight="1">
      <c r="A265" s="2275"/>
      <c r="B265" s="2250"/>
      <c r="C265" s="2250" t="str">
        <f>IF(C263=AH261,IF(C264=AI261,"Right","Wrong"))</f>
        <v>Right</v>
      </c>
      <c r="D265" s="2250">
        <f>VLOOKUP(D264,D247:AE257,28,0)</f>
        <v>400</v>
      </c>
      <c r="E265" s="2250">
        <f>VLOOKUP(E264,E247:AE257,27,0)</f>
        <v>400</v>
      </c>
      <c r="F265" s="2250">
        <f>VLOOKUP(F264,F247:AE257,26,0)</f>
        <v>400</v>
      </c>
      <c r="G265" s="2250">
        <f>VLOOKUP(G264,G247:AE257,25,0)</f>
        <v>400</v>
      </c>
      <c r="H265" s="2250">
        <f>VLOOKUP(H264,H247:AE257,24,0)</f>
        <v>400</v>
      </c>
      <c r="I265" s="2250">
        <f>VLOOKUP(I264,I247:AE257,23,0)</f>
        <v>400</v>
      </c>
      <c r="J265" s="2250">
        <f>VLOOKUP(J264,J247:AE257,22,0)</f>
        <v>400</v>
      </c>
      <c r="K265" s="2250">
        <f>VLOOKUP(K264,K247:AE257,21,0)</f>
        <v>400</v>
      </c>
      <c r="L265" s="2250">
        <f>VLOOKUP(L264,L247:AE257,20,0)</f>
        <v>400</v>
      </c>
      <c r="M265" s="2250">
        <f>VLOOKUP(M264,M247:AE257,19,0)</f>
        <v>400</v>
      </c>
      <c r="N265" s="2250">
        <f>VLOOKUP(N264,N247:AE257,18,0)</f>
        <v>400</v>
      </c>
      <c r="O265" s="2250">
        <f>VLOOKUP(O264,O247:AE257,17,0)</f>
        <v>400</v>
      </c>
      <c r="P265" s="2250">
        <f>VLOOKUP(P264,P247:AE257,16,0)</f>
        <v>400</v>
      </c>
      <c r="Q265" s="2250">
        <f>VLOOKUP(Q264,Q247:AE257,15,0)</f>
        <v>400</v>
      </c>
      <c r="R265" s="2250">
        <f>VLOOKUP(R264,R247:AE257,14,0)</f>
        <v>400</v>
      </c>
      <c r="S265" s="2250">
        <f>VLOOKUP(S264,S247:AE257,13,0)</f>
        <v>400</v>
      </c>
      <c r="T265" s="2250">
        <f>VLOOKUP(T264,T247:AE257,12,0)</f>
        <v>400</v>
      </c>
      <c r="U265" s="2250">
        <f>VLOOKUP(U264,U247:AE257,11,0)</f>
        <v>400</v>
      </c>
      <c r="V265" s="2250">
        <f>VLOOKUP(V264,V247:AE257,10,0)</f>
        <v>400</v>
      </c>
      <c r="W265" s="2250">
        <f>VLOOKUP(W264,W247:AE257,9,0)</f>
        <v>400</v>
      </c>
      <c r="X265" s="2250">
        <f>VLOOKUP(X264,X247:AE257,8,0)</f>
        <v>400</v>
      </c>
      <c r="Y265" s="2250">
        <f>VLOOKUP(Y264,Y247:AE257,7,0)</f>
        <v>400</v>
      </c>
      <c r="Z265" s="2250">
        <f>VLOOKUP(Z264,Z247:AE257,6,0)</f>
        <v>400</v>
      </c>
      <c r="AA265" s="2250">
        <f>VLOOKUP(AA264,AA247:AE257,5,0)</f>
        <v>400</v>
      </c>
      <c r="AB265" s="2250">
        <f>VLOOKUP(AB264,AB247:AE257,4,0)</f>
        <v>400</v>
      </c>
      <c r="AC265" s="2250">
        <f>VLOOKUP(AC264,AC247:AE257,3,0)</f>
        <v>400</v>
      </c>
      <c r="AD265" s="2250">
        <f>VLOOKUP(AD264,AD247:AE257,2,0)</f>
        <v>400</v>
      </c>
      <c r="AE265" s="2275"/>
      <c r="AF265" s="2275"/>
      <c r="AG265" s="2275"/>
      <c r="AH265" s="2275"/>
      <c r="AI265" s="2275"/>
      <c r="AJ265" s="2275"/>
      <c r="AK265" s="2275"/>
      <c r="AL265" s="2275"/>
      <c r="AM265" s="2275"/>
      <c r="AN265" s="2275"/>
      <c r="AO265" s="2275"/>
      <c r="AP265" s="2250"/>
      <c r="AQ265" s="2250"/>
      <c r="AR265" s="2250"/>
      <c r="AS265" s="2250"/>
      <c r="AT265" s="2250"/>
      <c r="AU265" s="2250"/>
      <c r="AV265" s="2250"/>
      <c r="AW265" s="2250"/>
      <c r="AX265" s="2250"/>
      <c r="AY265" s="2250"/>
      <c r="AZ265" s="2250"/>
      <c r="BA265" s="2250"/>
      <c r="BB265" s="2250"/>
      <c r="BC265" s="2250"/>
      <c r="BD265" s="2250"/>
      <c r="BE265" s="2250"/>
      <c r="BF265" s="2276"/>
      <c r="BG265" s="2276"/>
      <c r="BH265" s="2250"/>
      <c r="BI265" s="2275"/>
      <c r="BJ265" s="2250"/>
      <c r="BK265" s="2250" t="str">
        <f>IF(BK263=CP261,IF(BK264=CQ261,"Right","Wrong"))</f>
        <v>Right</v>
      </c>
      <c r="BL265" s="2250">
        <f>VLOOKUP(BL264,BL247:CM257,28,0)</f>
        <v>400</v>
      </c>
      <c r="BM265" s="2250">
        <f>VLOOKUP(BM264,BM247:CM257,27,0)</f>
        <v>400</v>
      </c>
      <c r="BN265" s="2250">
        <f>VLOOKUP(BN264,BN247:CM257,26,0)</f>
        <v>400</v>
      </c>
      <c r="BO265" s="2250">
        <f>VLOOKUP(BO264,BO247:CM257,25,0)</f>
        <v>400</v>
      </c>
      <c r="BP265" s="2250">
        <f>VLOOKUP(BP264,BP247:CM257,24,0)</f>
        <v>400</v>
      </c>
      <c r="BQ265" s="2250">
        <f>VLOOKUP(BQ264,BQ247:CM257,23,0)</f>
        <v>400</v>
      </c>
      <c r="BR265" s="2250">
        <f>VLOOKUP(BR264,BR247:CM257,22,0)</f>
        <v>400</v>
      </c>
      <c r="BS265" s="2250">
        <f>VLOOKUP(BS264,BS247:CM257,21,0)</f>
        <v>400</v>
      </c>
      <c r="BT265" s="2250">
        <f>VLOOKUP(BT264,BT247:CM257,20,0)</f>
        <v>400</v>
      </c>
      <c r="BU265" s="2250">
        <f>VLOOKUP(BU264,BU247:CM257,19,0)</f>
        <v>400</v>
      </c>
      <c r="BV265" s="2250">
        <f>VLOOKUP(BV264,BV247:CM257,18,0)</f>
        <v>400</v>
      </c>
      <c r="BW265" s="2250">
        <f>VLOOKUP(BW264,BW247:CM257,17,0)</f>
        <v>400</v>
      </c>
      <c r="BX265" s="2250">
        <f>VLOOKUP(BX264,BX247:CM257,16,0)</f>
        <v>400</v>
      </c>
      <c r="BY265" s="2250">
        <f>VLOOKUP(BY264,BY247:CM257,15,0)</f>
        <v>400</v>
      </c>
      <c r="BZ265" s="2250">
        <f>VLOOKUP(BZ264,BZ247:CM257,14,0)</f>
        <v>400</v>
      </c>
      <c r="CA265" s="2250">
        <f>VLOOKUP(CA264,CA247:CM257,13,0)</f>
        <v>400</v>
      </c>
      <c r="CB265" s="2250">
        <f>VLOOKUP(CB264,CB247:CM257,12,0)</f>
        <v>400</v>
      </c>
      <c r="CC265" s="2250">
        <f>VLOOKUP(CC264,CC247:CM257,11,0)</f>
        <v>400</v>
      </c>
      <c r="CD265" s="2250">
        <f>VLOOKUP(CD264,CD247:CM257,10,0)</f>
        <v>400</v>
      </c>
      <c r="CE265" s="2250">
        <f>VLOOKUP(CE264,CE247:CM257,9,0)</f>
        <v>400</v>
      </c>
      <c r="CF265" s="2250">
        <f>VLOOKUP(CF264,CF247:CM257,8,0)</f>
        <v>400</v>
      </c>
      <c r="CG265" s="2250">
        <f>VLOOKUP(CG264,CG247:CM257,7,0)</f>
        <v>400</v>
      </c>
      <c r="CH265" s="2250">
        <f>VLOOKUP(CH264,CH247:CM257,6,0)</f>
        <v>400</v>
      </c>
      <c r="CI265" s="2250">
        <f>VLOOKUP(CI264,CI247:CM257,5,0)</f>
        <v>400</v>
      </c>
      <c r="CJ265" s="2250">
        <f>VLOOKUP(CJ264,CJ247:CM257,4,0)</f>
        <v>400</v>
      </c>
      <c r="CK265" s="2250">
        <f>VLOOKUP(CK264,CK247:CM257,3,0)</f>
        <v>400</v>
      </c>
      <c r="CL265" s="2250">
        <f>VLOOKUP(CL264,CL247:CM257,2,0)</f>
        <v>400</v>
      </c>
      <c r="CM265" s="2275"/>
      <c r="CN265" s="2275"/>
      <c r="CO265" s="2275"/>
      <c r="CP265" s="2275"/>
      <c r="CQ265" s="2275"/>
      <c r="CR265" s="2275"/>
      <c r="CS265" s="2275"/>
      <c r="CT265" s="2275"/>
      <c r="CU265" s="2275"/>
      <c r="CV265" s="2275"/>
      <c r="CW265" s="2275"/>
      <c r="CX265" s="2250"/>
      <c r="CY265" s="2250"/>
      <c r="CZ265" s="2250"/>
      <c r="DA265" s="2250"/>
      <c r="DB265" s="2250"/>
      <c r="DC265" s="2250"/>
      <c r="DD265" s="2250"/>
      <c r="DE265" s="2250"/>
      <c r="DF265" s="2250"/>
      <c r="DG265" s="2250"/>
      <c r="DH265" s="2250"/>
      <c r="DI265" s="2250"/>
      <c r="DJ265" s="2250"/>
      <c r="DK265" s="2250"/>
      <c r="DL265" s="2250"/>
      <c r="DM265" s="2250"/>
      <c r="DN265" s="2250"/>
      <c r="DO265" s="2250"/>
      <c r="DP265" s="2250"/>
      <c r="DQ265" s="2277"/>
      <c r="DR265" s="2277"/>
      <c r="DS265" s="277"/>
      <c r="DW265" s="2275"/>
      <c r="DX265" s="2250"/>
      <c r="DY265" s="2250" t="str">
        <f>IF(DY263=FD261,IF(DY264=FE261,"Right","Wrong"))</f>
        <v>Right</v>
      </c>
      <c r="DZ265" s="2250">
        <f>VLOOKUP(DZ264,DZ247:FA257,28,0)</f>
        <v>400</v>
      </c>
      <c r="EA265" s="2250">
        <f>VLOOKUP(EA264,EA247:FA257,27,0)</f>
        <v>400</v>
      </c>
      <c r="EB265" s="2250">
        <f>VLOOKUP(EB264,EB247:FA257,26,0)</f>
        <v>400</v>
      </c>
      <c r="EC265" s="2250">
        <f>VLOOKUP(EC264,EC247:FA257,25,0)</f>
        <v>400</v>
      </c>
      <c r="ED265" s="2250">
        <f>VLOOKUP(ED264,ED247:FA257,24,0)</f>
        <v>400</v>
      </c>
      <c r="EE265" s="2250">
        <f>VLOOKUP(EE264,EE247:FA257,23,0)</f>
        <v>400</v>
      </c>
      <c r="EF265" s="2250">
        <f>VLOOKUP(EF264,EF247:FA257,22,0)</f>
        <v>400</v>
      </c>
      <c r="EG265" s="2250">
        <f>VLOOKUP(EG264,EG247:FA257,21,0)</f>
        <v>400</v>
      </c>
      <c r="EH265" s="2250">
        <f>VLOOKUP(EH264,EH247:FA257,20,0)</f>
        <v>400</v>
      </c>
      <c r="EI265" s="2250">
        <f>VLOOKUP(EI264,EI247:FA257,19,0)</f>
        <v>400</v>
      </c>
      <c r="EJ265" s="2250">
        <f>VLOOKUP(EJ264,EJ247:FA257,18,0)</f>
        <v>400</v>
      </c>
      <c r="EK265" s="2250">
        <f>VLOOKUP(EK264,EK247:FA257,17,0)</f>
        <v>400</v>
      </c>
      <c r="EL265" s="2250">
        <f>VLOOKUP(EL264,EL247:FA257,16,0)</f>
        <v>400</v>
      </c>
      <c r="EM265" s="2250">
        <f>VLOOKUP(EM264,EM247:FA257,15,0)</f>
        <v>400</v>
      </c>
      <c r="EN265" s="2250">
        <f>VLOOKUP(EN264,EN247:FA257,14,0)</f>
        <v>400</v>
      </c>
      <c r="EO265" s="2250">
        <f>VLOOKUP(EO264,EO247:FA257,13,0)</f>
        <v>400</v>
      </c>
      <c r="EP265" s="2250">
        <f>VLOOKUP(EP264,EP247:FA257,12,0)</f>
        <v>400</v>
      </c>
      <c r="EQ265" s="2250">
        <f>VLOOKUP(EQ264,EQ247:FA257,11,0)</f>
        <v>400</v>
      </c>
      <c r="ER265" s="2250">
        <f>VLOOKUP(ER264,ER247:FA257,10,0)</f>
        <v>400</v>
      </c>
      <c r="ES265" s="2250">
        <f>VLOOKUP(ES264,ES247:FA257,9,0)</f>
        <v>400</v>
      </c>
      <c r="ET265" s="2250">
        <f>VLOOKUP(ET264,ET247:FA257,8,0)</f>
        <v>400</v>
      </c>
      <c r="EU265" s="2250">
        <f>VLOOKUP(EU264,EU247:FA257,7,0)</f>
        <v>400</v>
      </c>
      <c r="EV265" s="2250">
        <f>VLOOKUP(EV264,EV247:FA257,6,0)</f>
        <v>400</v>
      </c>
      <c r="EW265" s="2250">
        <f>VLOOKUP(EW264,EW247:FA257,5,0)</f>
        <v>400</v>
      </c>
      <c r="EX265" s="2250">
        <f>VLOOKUP(EX264,EX247:FA257,4,0)</f>
        <v>400</v>
      </c>
      <c r="EY265" s="2250">
        <f>VLOOKUP(EY264,EY247:FA257,3,0)</f>
        <v>400</v>
      </c>
      <c r="EZ265" s="2250">
        <f>VLOOKUP(EZ264,EZ247:FA257,2,0)</f>
        <v>400</v>
      </c>
      <c r="FA265" s="2275"/>
      <c r="FB265" s="2275"/>
      <c r="FC265" s="2275"/>
      <c r="FD265" s="2275"/>
      <c r="FE265" s="2275"/>
      <c r="FF265" s="2275"/>
      <c r="FG265" s="2275"/>
      <c r="FH265" s="2275"/>
      <c r="FI265" s="2275"/>
      <c r="FJ265" s="2275"/>
      <c r="FK265" s="2275"/>
      <c r="FL265" s="2250"/>
      <c r="FM265" s="2250"/>
      <c r="FN265" s="2250"/>
      <c r="FO265" s="2250"/>
      <c r="FP265" s="2250"/>
      <c r="FQ265" s="2250"/>
      <c r="FR265" s="2250"/>
      <c r="FS265" s="2250"/>
      <c r="FT265" s="2250"/>
      <c r="FU265" s="2250"/>
      <c r="FV265" s="2250"/>
      <c r="FW265" s="2250"/>
      <c r="FX265" s="2250"/>
      <c r="FY265" s="2250"/>
      <c r="FZ265" s="2250"/>
      <c r="GA265" s="2250"/>
      <c r="GB265" s="2276"/>
      <c r="GC265" s="2276"/>
      <c r="GD265" s="2250"/>
      <c r="GE265" s="2275"/>
      <c r="GF265" s="2250"/>
      <c r="GG265" s="2250" t="str">
        <f>IF(GG263=HL261,IF(GG264=HM261,"Right","Wrong"))</f>
        <v>Right</v>
      </c>
      <c r="GH265" s="2250">
        <f>VLOOKUP(GH264,GH247:HI257,28,0)</f>
        <v>400</v>
      </c>
      <c r="GI265" s="2250">
        <f>VLOOKUP(GI264,GI247:HI257,27,0)</f>
        <v>400</v>
      </c>
      <c r="GJ265" s="2250">
        <f>VLOOKUP(GJ264,GJ247:HI257,26,0)</f>
        <v>400</v>
      </c>
      <c r="GK265" s="2250">
        <f>VLOOKUP(GK264,GK247:HI257,25,0)</f>
        <v>400</v>
      </c>
      <c r="GL265" s="2250">
        <f>VLOOKUP(GL264,GL247:HI257,24,0)</f>
        <v>400</v>
      </c>
      <c r="GM265" s="2250">
        <f>VLOOKUP(GM264,GM247:HI257,23,0)</f>
        <v>400</v>
      </c>
      <c r="GN265" s="2250">
        <f>VLOOKUP(GN264,GN247:HI257,22,0)</f>
        <v>400</v>
      </c>
      <c r="GO265" s="2250">
        <f>VLOOKUP(GO264,GO247:HI257,21,0)</f>
        <v>400</v>
      </c>
      <c r="GP265" s="2250">
        <f>VLOOKUP(GP264,GP247:HI257,20,0)</f>
        <v>400</v>
      </c>
      <c r="GQ265" s="2250">
        <f>VLOOKUP(GQ264,GQ247:HI257,19,0)</f>
        <v>400</v>
      </c>
      <c r="GR265" s="2250">
        <f>VLOOKUP(GR264,GR247:HI257,18,0)</f>
        <v>400</v>
      </c>
      <c r="GS265" s="2250">
        <f>VLOOKUP(GS264,GS247:HI257,17,0)</f>
        <v>400</v>
      </c>
      <c r="GT265" s="2250">
        <f>VLOOKUP(GT264,GT247:HI257,16,0)</f>
        <v>400</v>
      </c>
      <c r="GU265" s="2250">
        <f>VLOOKUP(GU264,GU247:HI257,15,0)</f>
        <v>400</v>
      </c>
      <c r="GV265" s="2250">
        <f>VLOOKUP(GV264,GV247:HI257,14,0)</f>
        <v>400</v>
      </c>
      <c r="GW265" s="2250">
        <f>VLOOKUP(GW264,GW247:HI257,13,0)</f>
        <v>400</v>
      </c>
      <c r="GX265" s="2250">
        <f>VLOOKUP(GX264,GX247:HI257,12,0)</f>
        <v>400</v>
      </c>
      <c r="GY265" s="2250">
        <f>VLOOKUP(GY264,GY247:HI257,11,0)</f>
        <v>400</v>
      </c>
      <c r="GZ265" s="2250">
        <f>VLOOKUP(GZ264,GZ247:HI257,10,0)</f>
        <v>400</v>
      </c>
      <c r="HA265" s="2250">
        <f>VLOOKUP(HA264,HA247:HI257,9,0)</f>
        <v>400</v>
      </c>
      <c r="HB265" s="2250">
        <f>VLOOKUP(HB264,HB247:HI257,8,0)</f>
        <v>400</v>
      </c>
      <c r="HC265" s="2250">
        <f>VLOOKUP(HC264,HC247:HI257,7,0)</f>
        <v>400</v>
      </c>
      <c r="HD265" s="2250">
        <f>VLOOKUP(HD264,HD247:HI257,6,0)</f>
        <v>400</v>
      </c>
      <c r="HE265" s="2250">
        <f>VLOOKUP(HE264,HE247:HI257,5,0)</f>
        <v>400</v>
      </c>
      <c r="HF265" s="2250">
        <f>VLOOKUP(HF264,HF247:HI257,4,0)</f>
        <v>400</v>
      </c>
      <c r="HG265" s="2250">
        <f>VLOOKUP(HG264,HG247:HI257,3,0)</f>
        <v>400</v>
      </c>
      <c r="HH265" s="2250">
        <f>VLOOKUP(HH264,HH247:HI257,2,0)</f>
        <v>400</v>
      </c>
      <c r="HI265" s="2275"/>
      <c r="HJ265" s="2275"/>
      <c r="HK265" s="2275"/>
      <c r="HL265" s="2275"/>
      <c r="HM265" s="2275"/>
      <c r="HN265" s="2275"/>
      <c r="HO265" s="2275"/>
      <c r="HP265" s="2275"/>
      <c r="HQ265" s="2275"/>
      <c r="HR265" s="2275"/>
      <c r="HS265" s="2275"/>
      <c r="HT265" s="2250"/>
      <c r="HU265" s="2250"/>
      <c r="HV265" s="2250"/>
      <c r="HW265" s="2250"/>
      <c r="HX265" s="2250"/>
      <c r="HY265" s="2250"/>
      <c r="HZ265" s="2250"/>
      <c r="IA265" s="2250"/>
      <c r="IB265" s="2250"/>
      <c r="IC265" s="2250"/>
      <c r="ID265" s="2250"/>
      <c r="IE265" s="2250"/>
      <c r="IF265" s="2250"/>
      <c r="IG265" s="2250"/>
      <c r="IH265" s="2250"/>
      <c r="II265" s="2250"/>
      <c r="IJ265" s="2250"/>
      <c r="IK265" s="2250"/>
      <c r="IL265" s="2250"/>
      <c r="IN265" s="277"/>
      <c r="IO265" s="277"/>
    </row>
    <row r="266" spans="1:249" ht="21.95" customHeight="1">
      <c r="A266" s="2275"/>
      <c r="B266" s="2275"/>
      <c r="C266" s="2275"/>
      <c r="D266" s="2275"/>
      <c r="E266" s="2275"/>
      <c r="F266" s="2275"/>
      <c r="G266" s="2275"/>
      <c r="H266" s="2275"/>
      <c r="I266" s="2275"/>
      <c r="J266" s="2275"/>
      <c r="K266" s="2275"/>
      <c r="L266" s="2275"/>
      <c r="M266" s="2275"/>
      <c r="N266" s="2275"/>
      <c r="O266" s="2275"/>
      <c r="P266" s="2275"/>
      <c r="Q266" s="2275"/>
      <c r="R266" s="2275"/>
      <c r="S266" s="2275"/>
      <c r="T266" s="2275"/>
      <c r="U266" s="2275"/>
      <c r="V266" s="2275"/>
      <c r="W266" s="2275"/>
      <c r="X266" s="2275"/>
      <c r="Y266" s="2275"/>
      <c r="Z266" s="2275"/>
      <c r="AA266" s="2275"/>
      <c r="AB266" s="2275"/>
      <c r="AC266" s="2275"/>
      <c r="AD266" s="2275"/>
      <c r="AE266" s="2275"/>
      <c r="AF266" s="2275" t="s">
        <v>655</v>
      </c>
      <c r="AG266" s="2275">
        <f>AG222</f>
        <v>68.3</v>
      </c>
      <c r="AH266" s="2275"/>
      <c r="AI266" s="2275"/>
      <c r="AJ266" s="2275"/>
      <c r="AK266" s="2275"/>
      <c r="AL266" s="2275"/>
      <c r="AM266" s="2275"/>
      <c r="AN266" s="2275"/>
      <c r="AO266" s="2275"/>
      <c r="AP266" s="2250"/>
      <c r="AQ266" s="2250"/>
      <c r="AR266" s="2250"/>
      <c r="AS266" s="2250"/>
      <c r="AT266" s="2250"/>
      <c r="AU266" s="2250"/>
      <c r="AV266" s="2250"/>
      <c r="AW266" s="2250"/>
      <c r="AX266" s="2250"/>
      <c r="AY266" s="2250"/>
      <c r="AZ266" s="2250"/>
      <c r="BA266" s="2250"/>
      <c r="BB266" s="2250"/>
      <c r="BC266" s="2250"/>
      <c r="BD266" s="2250"/>
      <c r="BE266" s="2250"/>
      <c r="BF266" s="2276"/>
      <c r="BG266" s="2276"/>
      <c r="BH266" s="2250"/>
      <c r="BI266" s="2275"/>
      <c r="BJ266" s="2275"/>
      <c r="BK266" s="2275"/>
      <c r="BL266" s="2275"/>
      <c r="BM266" s="2275"/>
      <c r="BN266" s="2275"/>
      <c r="BO266" s="2275"/>
      <c r="BP266" s="2275"/>
      <c r="BQ266" s="2275"/>
      <c r="BR266" s="2275"/>
      <c r="BS266" s="2275"/>
      <c r="BT266" s="2275"/>
      <c r="BU266" s="2275"/>
      <c r="BV266" s="2275"/>
      <c r="BW266" s="2275"/>
      <c r="BX266" s="2275"/>
      <c r="BY266" s="2275"/>
      <c r="BZ266" s="2275"/>
      <c r="CA266" s="2275"/>
      <c r="CB266" s="2275"/>
      <c r="CC266" s="2275"/>
      <c r="CD266" s="2275"/>
      <c r="CE266" s="2275"/>
      <c r="CF266" s="2275"/>
      <c r="CG266" s="2275"/>
      <c r="CH266" s="2275"/>
      <c r="CI266" s="2275"/>
      <c r="CJ266" s="2275"/>
      <c r="CK266" s="2275"/>
      <c r="CL266" s="2275"/>
      <c r="CM266" s="2275"/>
      <c r="CN266" s="2275" t="s">
        <v>655</v>
      </c>
      <c r="CO266" s="2275">
        <f>CO222</f>
        <v>73.7</v>
      </c>
      <c r="CP266" s="2275"/>
      <c r="CQ266" s="2275"/>
      <c r="CR266" s="2275"/>
      <c r="CS266" s="2275"/>
      <c r="CT266" s="2275"/>
      <c r="CU266" s="2275"/>
      <c r="CV266" s="2275"/>
      <c r="CW266" s="2275"/>
      <c r="CX266" s="2250"/>
      <c r="CY266" s="2250"/>
      <c r="CZ266" s="2250"/>
      <c r="DA266" s="2250"/>
      <c r="DB266" s="2250"/>
      <c r="DC266" s="2250"/>
      <c r="DD266" s="2250"/>
      <c r="DE266" s="2250"/>
      <c r="DF266" s="2250"/>
      <c r="DG266" s="2250"/>
      <c r="DH266" s="2250"/>
      <c r="DI266" s="2250"/>
      <c r="DJ266" s="2250"/>
      <c r="DK266" s="2250"/>
      <c r="DL266" s="2250"/>
      <c r="DM266" s="2250"/>
      <c r="DN266" s="2250"/>
      <c r="DO266" s="2250"/>
      <c r="DP266" s="2250"/>
      <c r="DQ266" s="2277"/>
      <c r="DR266" s="2277"/>
      <c r="DS266" s="277"/>
      <c r="DW266" s="2275"/>
      <c r="DX266" s="2275"/>
      <c r="DY266" s="2275"/>
      <c r="DZ266" s="2275"/>
      <c r="EA266" s="2275"/>
      <c r="EB266" s="2275"/>
      <c r="EC266" s="2275"/>
      <c r="ED266" s="2275"/>
      <c r="EE266" s="2275"/>
      <c r="EF266" s="2275"/>
      <c r="EG266" s="2275"/>
      <c r="EH266" s="2275"/>
      <c r="EI266" s="2275"/>
      <c r="EJ266" s="2275"/>
      <c r="EK266" s="2275"/>
      <c r="EL266" s="2275"/>
      <c r="EM266" s="2275"/>
      <c r="EN266" s="2275"/>
      <c r="EO266" s="2275"/>
      <c r="EP266" s="2275"/>
      <c r="EQ266" s="2275"/>
      <c r="ER266" s="2275"/>
      <c r="ES266" s="2275"/>
      <c r="ET266" s="2275"/>
      <c r="EU266" s="2275"/>
      <c r="EV266" s="2275"/>
      <c r="EW266" s="2275"/>
      <c r="EX266" s="2275"/>
      <c r="EY266" s="2275"/>
      <c r="EZ266" s="2275"/>
      <c r="FA266" s="2275"/>
      <c r="FB266" s="2275" t="s">
        <v>655</v>
      </c>
      <c r="FC266" s="2275">
        <f>FC222</f>
        <v>43.9</v>
      </c>
      <c r="FD266" s="2275"/>
      <c r="FE266" s="2275"/>
      <c r="FF266" s="2275"/>
      <c r="FG266" s="2275"/>
      <c r="FH266" s="2275"/>
      <c r="FI266" s="2275"/>
      <c r="FJ266" s="2275"/>
      <c r="FK266" s="2275"/>
      <c r="FL266" s="2250"/>
      <c r="FM266" s="2250"/>
      <c r="FN266" s="2250"/>
      <c r="FO266" s="2250"/>
      <c r="FP266" s="2250"/>
      <c r="FQ266" s="2250"/>
      <c r="FR266" s="2250"/>
      <c r="FS266" s="2250"/>
      <c r="FT266" s="2250"/>
      <c r="FU266" s="2250"/>
      <c r="FV266" s="2250"/>
      <c r="FW266" s="2250"/>
      <c r="FX266" s="2250"/>
      <c r="FY266" s="2250"/>
      <c r="FZ266" s="2250"/>
      <c r="GA266" s="2250"/>
      <c r="GB266" s="2276"/>
      <c r="GC266" s="2276"/>
      <c r="GD266" s="2250"/>
      <c r="GE266" s="2275"/>
      <c r="GF266" s="2275"/>
      <c r="GG266" s="2275"/>
      <c r="GH266" s="2275"/>
      <c r="GI266" s="2275"/>
      <c r="GJ266" s="2275"/>
      <c r="GK266" s="2275"/>
      <c r="GL266" s="2275"/>
      <c r="GM266" s="2275"/>
      <c r="GN266" s="2275"/>
      <c r="GO266" s="2275"/>
      <c r="GP266" s="2275"/>
      <c r="GQ266" s="2275"/>
      <c r="GR266" s="2275"/>
      <c r="GS266" s="2275"/>
      <c r="GT266" s="2275"/>
      <c r="GU266" s="2275"/>
      <c r="GV266" s="2275"/>
      <c r="GW266" s="2275"/>
      <c r="GX266" s="2275"/>
      <c r="GY266" s="2275"/>
      <c r="GZ266" s="2275"/>
      <c r="HA266" s="2275"/>
      <c r="HB266" s="2275"/>
      <c r="HC266" s="2275"/>
      <c r="HD266" s="2275"/>
      <c r="HE266" s="2275"/>
      <c r="HF266" s="2275"/>
      <c r="HG266" s="2275"/>
      <c r="HH266" s="2275"/>
      <c r="HI266" s="2275"/>
      <c r="HJ266" s="2275" t="s">
        <v>655</v>
      </c>
      <c r="HK266" s="2275">
        <f>HK222</f>
        <v>48.8</v>
      </c>
      <c r="HL266" s="2275"/>
      <c r="HM266" s="2275"/>
      <c r="HN266" s="2275"/>
      <c r="HO266" s="2275"/>
      <c r="HP266" s="2275"/>
      <c r="HQ266" s="2275"/>
      <c r="HR266" s="2275"/>
      <c r="HS266" s="2275"/>
      <c r="HT266" s="2250"/>
      <c r="HU266" s="2250"/>
      <c r="HV266" s="2250"/>
      <c r="HW266" s="2250"/>
      <c r="HX266" s="2250"/>
      <c r="HY266" s="2250"/>
      <c r="HZ266" s="2250"/>
      <c r="IA266" s="2250"/>
      <c r="IB266" s="2250"/>
      <c r="IC266" s="2250"/>
      <c r="ID266" s="2250"/>
      <c r="IE266" s="2250"/>
      <c r="IF266" s="2250"/>
      <c r="IG266" s="2250"/>
      <c r="IH266" s="2250"/>
      <c r="II266" s="2250"/>
      <c r="IJ266" s="2250"/>
      <c r="IK266" s="2250"/>
      <c r="IL266" s="2250"/>
      <c r="IN266" s="277"/>
      <c r="IO266" s="277"/>
    </row>
    <row r="267" spans="1:249" ht="21.95" customHeight="1">
      <c r="A267" s="2275"/>
      <c r="B267" s="2275"/>
      <c r="C267" s="2333" t="s">
        <v>736</v>
      </c>
      <c r="D267" s="2333">
        <v>223.8</v>
      </c>
      <c r="E267" s="2333">
        <v>206.43</v>
      </c>
      <c r="F267" s="2333">
        <v>190.4</v>
      </c>
      <c r="G267" s="2333">
        <v>177.81</v>
      </c>
      <c r="H267" s="2333">
        <v>165.9</v>
      </c>
      <c r="I267" s="2333">
        <v>162.68</v>
      </c>
      <c r="J267" s="2333">
        <v>151.30000000000001</v>
      </c>
      <c r="K267" s="2333">
        <v>140.1</v>
      </c>
      <c r="L267" s="2333">
        <v>129.80000000000001</v>
      </c>
      <c r="M267" s="2333">
        <v>120.7</v>
      </c>
      <c r="N267" s="2333">
        <v>107.9</v>
      </c>
      <c r="O267" s="2333">
        <v>97.1</v>
      </c>
      <c r="P267" s="2333">
        <v>92.9</v>
      </c>
      <c r="Q267" s="2333">
        <v>88.2</v>
      </c>
      <c r="R267" s="2333">
        <v>83.3</v>
      </c>
      <c r="S267" s="2333">
        <v>78.2</v>
      </c>
      <c r="T267" s="2333">
        <v>73.7</v>
      </c>
      <c r="U267" s="2333">
        <v>68.3</v>
      </c>
      <c r="V267" s="2333">
        <v>63.4</v>
      </c>
      <c r="W267" s="2333">
        <v>58.1</v>
      </c>
      <c r="X267" s="2333">
        <v>53.7</v>
      </c>
      <c r="Y267" s="2333">
        <v>48.8</v>
      </c>
      <c r="Z267" s="2333">
        <v>43.9</v>
      </c>
      <c r="AA267" s="2333">
        <v>38.799999999999997</v>
      </c>
      <c r="AB267" s="2333">
        <v>34.200000000000003</v>
      </c>
      <c r="AC267" s="2333">
        <v>29.3</v>
      </c>
      <c r="AD267" s="2345">
        <v>24.5</v>
      </c>
      <c r="AE267" s="2333" t="s">
        <v>736</v>
      </c>
      <c r="AF267" s="2275" t="s">
        <v>738</v>
      </c>
      <c r="AG267" s="2275">
        <f>AG223</f>
        <v>0.75631178540277322</v>
      </c>
      <c r="AH267" s="2275"/>
      <c r="AI267" s="2275"/>
      <c r="AJ267" s="2275"/>
      <c r="AK267" s="2275"/>
      <c r="AL267" s="2275"/>
      <c r="AM267" s="2275"/>
      <c r="AN267" s="2275"/>
      <c r="AO267" s="2275"/>
      <c r="AP267" s="2250"/>
      <c r="AQ267" s="2250"/>
      <c r="AR267" s="2250"/>
      <c r="AS267" s="2250"/>
      <c r="AT267" s="2250"/>
      <c r="AU267" s="2250"/>
      <c r="AV267" s="2250"/>
      <c r="AW267" s="2250"/>
      <c r="AX267" s="2250"/>
      <c r="AY267" s="2250"/>
      <c r="AZ267" s="2250"/>
      <c r="BA267" s="2250"/>
      <c r="BB267" s="2250"/>
      <c r="BC267" s="2250"/>
      <c r="BD267" s="2250"/>
      <c r="BE267" s="2250"/>
      <c r="BF267" s="2276"/>
      <c r="BG267" s="2276"/>
      <c r="BH267" s="2250"/>
      <c r="BI267" s="2275"/>
      <c r="BJ267" s="2275"/>
      <c r="BK267" s="2333" t="s">
        <v>736</v>
      </c>
      <c r="BL267" s="2333">
        <v>223.8</v>
      </c>
      <c r="BM267" s="2333">
        <v>206.43</v>
      </c>
      <c r="BN267" s="2333">
        <v>190.4</v>
      </c>
      <c r="BO267" s="2333">
        <v>177.81</v>
      </c>
      <c r="BP267" s="2333">
        <v>165.9</v>
      </c>
      <c r="BQ267" s="2333">
        <v>162.68</v>
      </c>
      <c r="BR267" s="2333">
        <v>151.30000000000001</v>
      </c>
      <c r="BS267" s="2333">
        <v>140.1</v>
      </c>
      <c r="BT267" s="2333">
        <v>129.80000000000001</v>
      </c>
      <c r="BU267" s="2333">
        <v>120.7</v>
      </c>
      <c r="BV267" s="2333">
        <v>107.9</v>
      </c>
      <c r="BW267" s="2333">
        <v>97.1</v>
      </c>
      <c r="BX267" s="2333">
        <v>92.9</v>
      </c>
      <c r="BY267" s="2333">
        <v>88.2</v>
      </c>
      <c r="BZ267" s="2333">
        <v>83.3</v>
      </c>
      <c r="CA267" s="2333">
        <v>78.2</v>
      </c>
      <c r="CB267" s="2333">
        <v>73.7</v>
      </c>
      <c r="CC267" s="2333">
        <v>68.3</v>
      </c>
      <c r="CD267" s="2333">
        <v>63.4</v>
      </c>
      <c r="CE267" s="2333">
        <v>58.1</v>
      </c>
      <c r="CF267" s="2333">
        <v>53.7</v>
      </c>
      <c r="CG267" s="2333">
        <v>48.8</v>
      </c>
      <c r="CH267" s="2333">
        <v>43.9</v>
      </c>
      <c r="CI267" s="2333">
        <v>38.799999999999997</v>
      </c>
      <c r="CJ267" s="2333">
        <v>34.200000000000003</v>
      </c>
      <c r="CK267" s="2333">
        <v>29.3</v>
      </c>
      <c r="CL267" s="2345">
        <v>24.5</v>
      </c>
      <c r="CM267" s="2333" t="s">
        <v>736</v>
      </c>
      <c r="CN267" s="2275" t="s">
        <v>738</v>
      </c>
      <c r="CO267" s="2275">
        <f>CO223</f>
        <v>0.75631178540277322</v>
      </c>
      <c r="CP267" s="2275"/>
      <c r="CQ267" s="2275"/>
      <c r="CR267" s="2275"/>
      <c r="CS267" s="2275"/>
      <c r="CT267" s="2275"/>
      <c r="CU267" s="2275"/>
      <c r="CV267" s="2275"/>
      <c r="CW267" s="2275"/>
      <c r="CX267" s="2250"/>
      <c r="CY267" s="2250"/>
      <c r="CZ267" s="2250"/>
      <c r="DA267" s="2250"/>
      <c r="DB267" s="2250"/>
      <c r="DC267" s="2250"/>
      <c r="DD267" s="2250"/>
      <c r="DE267" s="2250"/>
      <c r="DF267" s="2250"/>
      <c r="DG267" s="2250"/>
      <c r="DH267" s="2250"/>
      <c r="DI267" s="2250"/>
      <c r="DJ267" s="2250"/>
      <c r="DK267" s="2250"/>
      <c r="DL267" s="2250"/>
      <c r="DM267" s="2250"/>
      <c r="DN267" s="2250"/>
      <c r="DO267" s="2250"/>
      <c r="DP267" s="2250"/>
      <c r="DQ267" s="2277"/>
      <c r="DR267" s="2277"/>
      <c r="DS267" s="277"/>
      <c r="DW267" s="2275"/>
      <c r="DX267" s="2275"/>
      <c r="DY267" s="2333" t="s">
        <v>736</v>
      </c>
      <c r="DZ267" s="2333">
        <v>223.8</v>
      </c>
      <c r="EA267" s="2333">
        <v>206.43</v>
      </c>
      <c r="EB267" s="2333">
        <v>190.4</v>
      </c>
      <c r="EC267" s="2333">
        <v>177.81</v>
      </c>
      <c r="ED267" s="2333">
        <v>165.9</v>
      </c>
      <c r="EE267" s="2333">
        <v>162.68</v>
      </c>
      <c r="EF267" s="2333">
        <v>151.30000000000001</v>
      </c>
      <c r="EG267" s="2333">
        <v>140.1</v>
      </c>
      <c r="EH267" s="2333">
        <v>129.80000000000001</v>
      </c>
      <c r="EI267" s="2333">
        <v>120.7</v>
      </c>
      <c r="EJ267" s="2333">
        <v>107.9</v>
      </c>
      <c r="EK267" s="2333">
        <v>97.1</v>
      </c>
      <c r="EL267" s="2333">
        <v>92.9</v>
      </c>
      <c r="EM267" s="2333">
        <v>88.2</v>
      </c>
      <c r="EN267" s="2333">
        <v>83.3</v>
      </c>
      <c r="EO267" s="2333">
        <v>78.2</v>
      </c>
      <c r="EP267" s="2333">
        <v>73.7</v>
      </c>
      <c r="EQ267" s="2333">
        <v>68.3</v>
      </c>
      <c r="ER267" s="2333">
        <v>63.4</v>
      </c>
      <c r="ES267" s="2333">
        <v>58.1</v>
      </c>
      <c r="ET267" s="2333">
        <v>53.7</v>
      </c>
      <c r="EU267" s="2333">
        <v>48.8</v>
      </c>
      <c r="EV267" s="2333">
        <v>43.9</v>
      </c>
      <c r="EW267" s="2333">
        <v>38.799999999999997</v>
      </c>
      <c r="EX267" s="2333">
        <v>34.200000000000003</v>
      </c>
      <c r="EY267" s="2333">
        <v>29.3</v>
      </c>
      <c r="EZ267" s="2345">
        <v>24.5</v>
      </c>
      <c r="FA267" s="2333" t="s">
        <v>736</v>
      </c>
      <c r="FB267" s="2275" t="s">
        <v>738</v>
      </c>
      <c r="FC267" s="2275">
        <f>FC223</f>
        <v>1.3354563802212776</v>
      </c>
      <c r="FD267" s="2275"/>
      <c r="FE267" s="2275"/>
      <c r="FF267" s="2275"/>
      <c r="FG267" s="2275"/>
      <c r="FH267" s="2275"/>
      <c r="FI267" s="2275"/>
      <c r="FJ267" s="2275"/>
      <c r="FK267" s="2275"/>
      <c r="FL267" s="2250"/>
      <c r="FM267" s="2250"/>
      <c r="FN267" s="2250"/>
      <c r="FO267" s="2250"/>
      <c r="FP267" s="2250"/>
      <c r="FQ267" s="2250"/>
      <c r="FR267" s="2250"/>
      <c r="FS267" s="2250"/>
      <c r="FT267" s="2250"/>
      <c r="FU267" s="2250"/>
      <c r="FV267" s="2250"/>
      <c r="FW267" s="2250"/>
      <c r="FX267" s="2250"/>
      <c r="FY267" s="2250"/>
      <c r="FZ267" s="2250"/>
      <c r="GA267" s="2250"/>
      <c r="GB267" s="2276"/>
      <c r="GC267" s="2276"/>
      <c r="GD267" s="2250"/>
      <c r="GE267" s="2275"/>
      <c r="GF267" s="2275"/>
      <c r="GG267" s="2333" t="s">
        <v>736</v>
      </c>
      <c r="GH267" s="2333">
        <v>223.8</v>
      </c>
      <c r="GI267" s="2333">
        <v>206.43</v>
      </c>
      <c r="GJ267" s="2333">
        <v>190.4</v>
      </c>
      <c r="GK267" s="2333">
        <v>177.81</v>
      </c>
      <c r="GL267" s="2333">
        <v>165.9</v>
      </c>
      <c r="GM267" s="2333">
        <v>162.68</v>
      </c>
      <c r="GN267" s="2333">
        <v>151.30000000000001</v>
      </c>
      <c r="GO267" s="2333">
        <v>140.1</v>
      </c>
      <c r="GP267" s="2333">
        <v>129.80000000000001</v>
      </c>
      <c r="GQ267" s="2333">
        <v>120.7</v>
      </c>
      <c r="GR267" s="2333">
        <v>107.9</v>
      </c>
      <c r="GS267" s="2333">
        <v>97.1</v>
      </c>
      <c r="GT267" s="2333">
        <v>92.9</v>
      </c>
      <c r="GU267" s="2333">
        <v>88.2</v>
      </c>
      <c r="GV267" s="2333">
        <v>83.3</v>
      </c>
      <c r="GW267" s="2333">
        <v>78.2</v>
      </c>
      <c r="GX267" s="2333">
        <v>73.7</v>
      </c>
      <c r="GY267" s="2333">
        <v>68.3</v>
      </c>
      <c r="GZ267" s="2333">
        <v>63.4</v>
      </c>
      <c r="HA267" s="2333">
        <v>58.1</v>
      </c>
      <c r="HB267" s="2333">
        <v>53.7</v>
      </c>
      <c r="HC267" s="2333">
        <v>48.8</v>
      </c>
      <c r="HD267" s="2333">
        <v>43.9</v>
      </c>
      <c r="HE267" s="2333">
        <v>38.799999999999997</v>
      </c>
      <c r="HF267" s="2333">
        <v>34.200000000000003</v>
      </c>
      <c r="HG267" s="2333">
        <v>29.3</v>
      </c>
      <c r="HH267" s="2345">
        <v>24.5</v>
      </c>
      <c r="HI267" s="2333" t="s">
        <v>736</v>
      </c>
      <c r="HJ267" s="2275" t="s">
        <v>738</v>
      </c>
      <c r="HK267" s="2275">
        <f>HK223</f>
        <v>1.3354563802212776</v>
      </c>
      <c r="HL267" s="2275"/>
      <c r="HM267" s="2275"/>
      <c r="HN267" s="2275"/>
      <c r="HO267" s="2275"/>
      <c r="HP267" s="2275"/>
      <c r="HQ267" s="2275"/>
      <c r="HR267" s="2275"/>
      <c r="HS267" s="2275"/>
      <c r="HT267" s="2250"/>
      <c r="HU267" s="2250"/>
      <c r="HV267" s="2250"/>
      <c r="HW267" s="2250"/>
      <c r="HX267" s="2250"/>
      <c r="HY267" s="2250"/>
      <c r="HZ267" s="2250"/>
      <c r="IA267" s="2250"/>
      <c r="IB267" s="2250"/>
      <c r="IC267" s="2250"/>
      <c r="ID267" s="2250"/>
      <c r="IE267" s="2250"/>
      <c r="IF267" s="2250"/>
      <c r="IG267" s="2250"/>
      <c r="IH267" s="2250"/>
      <c r="II267" s="2250"/>
      <c r="IJ267" s="2250"/>
      <c r="IK267" s="2250"/>
      <c r="IL267" s="2250"/>
      <c r="IN267" s="277"/>
      <c r="IO267" s="277"/>
    </row>
    <row r="268" spans="1:249" ht="21.95" customHeight="1">
      <c r="A268" s="2275"/>
      <c r="B268" s="2275"/>
      <c r="C268" s="2333"/>
      <c r="D268" s="2344">
        <v>0</v>
      </c>
      <c r="E268" s="2344">
        <v>0</v>
      </c>
      <c r="F268" s="2344">
        <v>0</v>
      </c>
      <c r="G268" s="2344">
        <v>0</v>
      </c>
      <c r="H268" s="2344">
        <v>0</v>
      </c>
      <c r="I268" s="2344">
        <v>0</v>
      </c>
      <c r="J268" s="2344">
        <v>0</v>
      </c>
      <c r="K268" s="2344">
        <v>0</v>
      </c>
      <c r="L268" s="2344">
        <v>0</v>
      </c>
      <c r="M268" s="2344">
        <v>0</v>
      </c>
      <c r="N268" s="2344">
        <v>0</v>
      </c>
      <c r="O268" s="2344">
        <v>0</v>
      </c>
      <c r="P268" s="2344">
        <v>0</v>
      </c>
      <c r="Q268" s="2344">
        <v>0</v>
      </c>
      <c r="R268" s="2344">
        <v>0</v>
      </c>
      <c r="S268" s="2344">
        <v>0</v>
      </c>
      <c r="T268" s="2344">
        <v>0</v>
      </c>
      <c r="U268" s="2344">
        <v>0</v>
      </c>
      <c r="V268" s="2344">
        <v>0</v>
      </c>
      <c r="W268" s="2344">
        <v>0</v>
      </c>
      <c r="X268" s="2344">
        <v>0</v>
      </c>
      <c r="Y268" s="2344">
        <v>0</v>
      </c>
      <c r="Z268" s="2344">
        <v>0</v>
      </c>
      <c r="AA268" s="2344">
        <v>0</v>
      </c>
      <c r="AB268" s="2344">
        <v>0</v>
      </c>
      <c r="AC268" s="2344">
        <v>0</v>
      </c>
      <c r="AD268" s="2348">
        <v>0</v>
      </c>
      <c r="AE268" s="2333"/>
      <c r="AF268" s="2275" t="s">
        <v>682</v>
      </c>
      <c r="AG268" s="2275">
        <f>HLOOKUP(AG266,D267:AD279,1,0)</f>
        <v>68.3</v>
      </c>
      <c r="AH268" s="2275" t="s">
        <v>706</v>
      </c>
      <c r="AI268" s="2275" t="s">
        <v>682</v>
      </c>
      <c r="AJ268" s="2275"/>
      <c r="AK268" s="2275"/>
      <c r="AL268" s="2275"/>
      <c r="AM268" s="2275"/>
      <c r="AN268" s="2275"/>
      <c r="AO268" s="2275"/>
      <c r="AP268" s="2250"/>
      <c r="AQ268" s="2250"/>
      <c r="AR268" s="2250"/>
      <c r="AS268" s="2250"/>
      <c r="AT268" s="2250"/>
      <c r="AU268" s="2250"/>
      <c r="AV268" s="2250"/>
      <c r="AW268" s="2250"/>
      <c r="AX268" s="2250"/>
      <c r="AY268" s="2250"/>
      <c r="AZ268" s="2250"/>
      <c r="BA268" s="2250"/>
      <c r="BB268" s="2250"/>
      <c r="BC268" s="2250"/>
      <c r="BD268" s="2250"/>
      <c r="BE268" s="2250"/>
      <c r="BF268" s="2276"/>
      <c r="BG268" s="2276"/>
      <c r="BH268" s="2250"/>
      <c r="BI268" s="2275"/>
      <c r="BJ268" s="2275"/>
      <c r="BK268" s="2333"/>
      <c r="BL268" s="2344">
        <v>0</v>
      </c>
      <c r="BM268" s="2344">
        <v>0</v>
      </c>
      <c r="BN268" s="2344">
        <v>0</v>
      </c>
      <c r="BO268" s="2344">
        <v>0</v>
      </c>
      <c r="BP268" s="2344">
        <v>0</v>
      </c>
      <c r="BQ268" s="2344">
        <v>0</v>
      </c>
      <c r="BR268" s="2344">
        <v>0</v>
      </c>
      <c r="BS268" s="2344">
        <v>0</v>
      </c>
      <c r="BT268" s="2344">
        <v>0</v>
      </c>
      <c r="BU268" s="2344">
        <v>0</v>
      </c>
      <c r="BV268" s="2344">
        <v>0</v>
      </c>
      <c r="BW268" s="2344">
        <v>0</v>
      </c>
      <c r="BX268" s="2344">
        <v>0</v>
      </c>
      <c r="BY268" s="2344">
        <v>0</v>
      </c>
      <c r="BZ268" s="2344">
        <v>0</v>
      </c>
      <c r="CA268" s="2344">
        <v>0</v>
      </c>
      <c r="CB268" s="2344">
        <v>0</v>
      </c>
      <c r="CC268" s="2344">
        <v>0</v>
      </c>
      <c r="CD268" s="2344">
        <v>0</v>
      </c>
      <c r="CE268" s="2344">
        <v>0</v>
      </c>
      <c r="CF268" s="2344">
        <v>0</v>
      </c>
      <c r="CG268" s="2344">
        <v>0</v>
      </c>
      <c r="CH268" s="2344">
        <v>0</v>
      </c>
      <c r="CI268" s="2344">
        <v>0</v>
      </c>
      <c r="CJ268" s="2344">
        <v>0</v>
      </c>
      <c r="CK268" s="2344">
        <v>0</v>
      </c>
      <c r="CL268" s="2348">
        <v>0</v>
      </c>
      <c r="CM268" s="2333"/>
      <c r="CN268" s="2275" t="s">
        <v>682</v>
      </c>
      <c r="CO268" s="2275">
        <f>HLOOKUP(CO266,BL267:CL279,1,0)</f>
        <v>73.7</v>
      </c>
      <c r="CP268" s="2275" t="s">
        <v>706</v>
      </c>
      <c r="CQ268" s="2275" t="s">
        <v>682</v>
      </c>
      <c r="CR268" s="2275"/>
      <c r="CS268" s="2275"/>
      <c r="CT268" s="2275"/>
      <c r="CU268" s="2275"/>
      <c r="CV268" s="2275"/>
      <c r="CW268" s="2275"/>
      <c r="CX268" s="2250"/>
      <c r="CY268" s="2250"/>
      <c r="CZ268" s="2250"/>
      <c r="DA268" s="2250"/>
      <c r="DB268" s="2250"/>
      <c r="DC268" s="2250"/>
      <c r="DD268" s="2250"/>
      <c r="DE268" s="2250"/>
      <c r="DF268" s="2250"/>
      <c r="DG268" s="2250"/>
      <c r="DH268" s="2250"/>
      <c r="DI268" s="2250"/>
      <c r="DJ268" s="2250"/>
      <c r="DK268" s="2250"/>
      <c r="DL268" s="2250"/>
      <c r="DM268" s="2250"/>
      <c r="DN268" s="2250"/>
      <c r="DO268" s="2250"/>
      <c r="DP268" s="2250"/>
      <c r="DQ268" s="2277"/>
      <c r="DR268" s="2277"/>
      <c r="DS268" s="277"/>
      <c r="DW268" s="2275"/>
      <c r="DX268" s="2275"/>
      <c r="DY268" s="2333"/>
      <c r="DZ268" s="2344">
        <v>0</v>
      </c>
      <c r="EA268" s="2344">
        <v>0</v>
      </c>
      <c r="EB268" s="2344">
        <v>0</v>
      </c>
      <c r="EC268" s="2344">
        <v>0</v>
      </c>
      <c r="ED268" s="2344">
        <v>0</v>
      </c>
      <c r="EE268" s="2344">
        <v>0</v>
      </c>
      <c r="EF268" s="2344">
        <v>0</v>
      </c>
      <c r="EG268" s="2344">
        <v>0</v>
      </c>
      <c r="EH268" s="2344">
        <v>0</v>
      </c>
      <c r="EI268" s="2344">
        <v>0</v>
      </c>
      <c r="EJ268" s="2344">
        <v>0</v>
      </c>
      <c r="EK268" s="2344">
        <v>0</v>
      </c>
      <c r="EL268" s="2344">
        <v>0</v>
      </c>
      <c r="EM268" s="2344">
        <v>0</v>
      </c>
      <c r="EN268" s="2344">
        <v>0</v>
      </c>
      <c r="EO268" s="2344">
        <v>0</v>
      </c>
      <c r="EP268" s="2344">
        <v>0</v>
      </c>
      <c r="EQ268" s="2344">
        <v>0</v>
      </c>
      <c r="ER268" s="2344">
        <v>0</v>
      </c>
      <c r="ES268" s="2344">
        <v>0</v>
      </c>
      <c r="ET268" s="2344">
        <v>0</v>
      </c>
      <c r="EU268" s="2344">
        <v>0</v>
      </c>
      <c r="EV268" s="2344">
        <v>0</v>
      </c>
      <c r="EW268" s="2344">
        <v>0</v>
      </c>
      <c r="EX268" s="2344">
        <v>0</v>
      </c>
      <c r="EY268" s="2344">
        <v>0</v>
      </c>
      <c r="EZ268" s="2348">
        <v>0</v>
      </c>
      <c r="FA268" s="2333"/>
      <c r="FB268" s="2275" t="s">
        <v>682</v>
      </c>
      <c r="FC268" s="2275">
        <f>HLOOKUP(FC266,DZ267:EZ279,1,0)</f>
        <v>43.9</v>
      </c>
      <c r="FD268" s="2275" t="s">
        <v>706</v>
      </c>
      <c r="FE268" s="2275" t="s">
        <v>682</v>
      </c>
      <c r="FF268" s="2275"/>
      <c r="FG268" s="2275"/>
      <c r="FH268" s="2275"/>
      <c r="FI268" s="2275"/>
      <c r="FJ268" s="2275"/>
      <c r="FK268" s="2275"/>
      <c r="FL268" s="2250"/>
      <c r="FM268" s="2250"/>
      <c r="FN268" s="2250"/>
      <c r="FO268" s="2250"/>
      <c r="FP268" s="2250"/>
      <c r="FQ268" s="2250"/>
      <c r="FR268" s="2250"/>
      <c r="FS268" s="2250"/>
      <c r="FT268" s="2250"/>
      <c r="FU268" s="2250"/>
      <c r="FV268" s="2250"/>
      <c r="FW268" s="2250"/>
      <c r="FX268" s="2250"/>
      <c r="FY268" s="2250"/>
      <c r="FZ268" s="2250"/>
      <c r="GA268" s="2250"/>
      <c r="GB268" s="2276"/>
      <c r="GC268" s="2276"/>
      <c r="GD268" s="2250"/>
      <c r="GE268" s="2275"/>
      <c r="GF268" s="2275"/>
      <c r="GG268" s="2333"/>
      <c r="GH268" s="2344">
        <v>0</v>
      </c>
      <c r="GI268" s="2344">
        <v>0</v>
      </c>
      <c r="GJ268" s="2344">
        <v>0</v>
      </c>
      <c r="GK268" s="2344">
        <v>0</v>
      </c>
      <c r="GL268" s="2344">
        <v>0</v>
      </c>
      <c r="GM268" s="2344">
        <v>0</v>
      </c>
      <c r="GN268" s="2344">
        <v>0</v>
      </c>
      <c r="GO268" s="2344">
        <v>0</v>
      </c>
      <c r="GP268" s="2344">
        <v>0</v>
      </c>
      <c r="GQ268" s="2344">
        <v>0</v>
      </c>
      <c r="GR268" s="2344">
        <v>0</v>
      </c>
      <c r="GS268" s="2344">
        <v>0</v>
      </c>
      <c r="GT268" s="2344">
        <v>0</v>
      </c>
      <c r="GU268" s="2344">
        <v>0</v>
      </c>
      <c r="GV268" s="2344">
        <v>0</v>
      </c>
      <c r="GW268" s="2344">
        <v>0</v>
      </c>
      <c r="GX268" s="2344">
        <v>0</v>
      </c>
      <c r="GY268" s="2344">
        <v>0</v>
      </c>
      <c r="GZ268" s="2344">
        <v>0</v>
      </c>
      <c r="HA268" s="2344">
        <v>0</v>
      </c>
      <c r="HB268" s="2344">
        <v>0</v>
      </c>
      <c r="HC268" s="2344">
        <v>0</v>
      </c>
      <c r="HD268" s="2344">
        <v>0</v>
      </c>
      <c r="HE268" s="2344">
        <v>0</v>
      </c>
      <c r="HF268" s="2344">
        <v>0</v>
      </c>
      <c r="HG268" s="2344">
        <v>0</v>
      </c>
      <c r="HH268" s="2348">
        <v>0</v>
      </c>
      <c r="HI268" s="2333"/>
      <c r="HJ268" s="2275" t="s">
        <v>682</v>
      </c>
      <c r="HK268" s="2275">
        <f>HLOOKUP(HK266,GH267:HH279,1,0)</f>
        <v>48.8</v>
      </c>
      <c r="HL268" s="2275" t="s">
        <v>706</v>
      </c>
      <c r="HM268" s="2275" t="s">
        <v>682</v>
      </c>
      <c r="HN268" s="2275"/>
      <c r="HO268" s="2275"/>
      <c r="HP268" s="2275"/>
      <c r="HQ268" s="2275"/>
      <c r="HR268" s="2275"/>
      <c r="HS268" s="2275"/>
      <c r="HT268" s="2250"/>
      <c r="HU268" s="2250"/>
      <c r="HV268" s="2250"/>
      <c r="HW268" s="2250"/>
      <c r="HX268" s="2250"/>
      <c r="HY268" s="2250"/>
      <c r="HZ268" s="2250"/>
      <c r="IA268" s="2250"/>
      <c r="IB268" s="2250"/>
      <c r="IC268" s="2250"/>
      <c r="ID268" s="2250"/>
      <c r="IE268" s="2250"/>
      <c r="IF268" s="2250"/>
      <c r="IG268" s="2250"/>
      <c r="IH268" s="2250"/>
      <c r="II268" s="2250"/>
      <c r="IJ268" s="2250"/>
      <c r="IK268" s="2250"/>
      <c r="IL268" s="2250"/>
      <c r="IN268" s="277"/>
      <c r="IO268" s="277"/>
    </row>
    <row r="269" spans="1:249" ht="21.95" customHeight="1">
      <c r="A269" s="2275"/>
      <c r="B269" s="4670" t="s">
        <v>734</v>
      </c>
      <c r="C269" s="2345">
        <v>400</v>
      </c>
      <c r="D269" s="2346">
        <v>2.0299999999999998</v>
      </c>
      <c r="E269" s="2346">
        <v>2.37</v>
      </c>
      <c r="F269" s="2346">
        <v>2.6</v>
      </c>
      <c r="G269" s="2346">
        <v>2.71</v>
      </c>
      <c r="H269" s="2346">
        <v>2.93</v>
      </c>
      <c r="I269" s="2346">
        <v>2.93</v>
      </c>
      <c r="J269" s="2346">
        <v>3.16</v>
      </c>
      <c r="K269" s="2346">
        <v>3.39</v>
      </c>
      <c r="L269" s="2346">
        <v>3.61</v>
      </c>
      <c r="M269" s="2346">
        <v>3.84</v>
      </c>
      <c r="N269" s="2346">
        <v>4.29</v>
      </c>
      <c r="O269" s="2346">
        <v>4.63</v>
      </c>
      <c r="P269" s="2346">
        <v>4.74</v>
      </c>
      <c r="Q269" s="2346">
        <v>5.08</v>
      </c>
      <c r="R269" s="2346">
        <v>5.3</v>
      </c>
      <c r="S269" s="2346">
        <v>5.53</v>
      </c>
      <c r="T269" s="2346">
        <v>5.87</v>
      </c>
      <c r="U269" s="2346">
        <v>6.43</v>
      </c>
      <c r="V269" s="2346">
        <v>6.77</v>
      </c>
      <c r="W269" s="2346">
        <v>7.34</v>
      </c>
      <c r="X269" s="2346">
        <v>7.79</v>
      </c>
      <c r="Y269" s="2346">
        <v>8.58</v>
      </c>
      <c r="Z269" s="2346">
        <v>9.26</v>
      </c>
      <c r="AA269" s="2346">
        <v>10.38</v>
      </c>
      <c r="AB269" s="2346">
        <v>11.4</v>
      </c>
      <c r="AC269" s="2346">
        <v>12.42</v>
      </c>
      <c r="AD269" s="2346">
        <v>14.45</v>
      </c>
      <c r="AE269" s="2347">
        <v>400</v>
      </c>
      <c r="AF269" s="2275"/>
      <c r="AG269" s="4671"/>
      <c r="AH269" s="4671"/>
      <c r="AI269" s="4671"/>
      <c r="AJ269" s="2275"/>
      <c r="AK269" s="2275"/>
      <c r="AL269" s="2275"/>
      <c r="AM269" s="2275"/>
      <c r="AN269" s="2275"/>
      <c r="AO269" s="2275"/>
      <c r="AP269" s="2250"/>
      <c r="AQ269" s="2250"/>
      <c r="AR269" s="2250"/>
      <c r="AS269" s="2250"/>
      <c r="AT269" s="2250"/>
      <c r="AU269" s="2250"/>
      <c r="AV269" s="2250"/>
      <c r="AW269" s="2250"/>
      <c r="AX269" s="2250"/>
      <c r="AY269" s="2250"/>
      <c r="AZ269" s="2250"/>
      <c r="BA269" s="2250"/>
      <c r="BB269" s="2250"/>
      <c r="BC269" s="2250"/>
      <c r="BD269" s="2250"/>
      <c r="BE269" s="2250"/>
      <c r="BF269" s="2276"/>
      <c r="BG269" s="2276"/>
      <c r="BH269" s="2250"/>
      <c r="BI269" s="2275"/>
      <c r="BJ269" s="4670" t="s">
        <v>734</v>
      </c>
      <c r="BK269" s="2345">
        <v>400</v>
      </c>
      <c r="BL269" s="2346">
        <v>2.0299999999999998</v>
      </c>
      <c r="BM269" s="2346">
        <v>2.37</v>
      </c>
      <c r="BN269" s="2346">
        <v>2.6</v>
      </c>
      <c r="BO269" s="2346">
        <v>2.71</v>
      </c>
      <c r="BP269" s="2346">
        <v>2.93</v>
      </c>
      <c r="BQ269" s="2346">
        <v>2.93</v>
      </c>
      <c r="BR269" s="2346">
        <v>3.16</v>
      </c>
      <c r="BS269" s="2346">
        <v>3.39</v>
      </c>
      <c r="BT269" s="2346">
        <v>3.61</v>
      </c>
      <c r="BU269" s="2346">
        <v>3.84</v>
      </c>
      <c r="BV269" s="2346">
        <v>4.29</v>
      </c>
      <c r="BW269" s="2346">
        <v>4.63</v>
      </c>
      <c r="BX269" s="2346">
        <v>4.74</v>
      </c>
      <c r="BY269" s="2346">
        <v>5.08</v>
      </c>
      <c r="BZ269" s="2346">
        <v>5.3</v>
      </c>
      <c r="CA269" s="2346">
        <v>5.53</v>
      </c>
      <c r="CB269" s="2346">
        <v>5.87</v>
      </c>
      <c r="CC269" s="2346">
        <v>6.43</v>
      </c>
      <c r="CD269" s="2346">
        <v>6.77</v>
      </c>
      <c r="CE269" s="2346">
        <v>7.34</v>
      </c>
      <c r="CF269" s="2346">
        <v>7.79</v>
      </c>
      <c r="CG269" s="2346">
        <v>8.58</v>
      </c>
      <c r="CH269" s="2346">
        <v>9.26</v>
      </c>
      <c r="CI269" s="2346">
        <v>10.38</v>
      </c>
      <c r="CJ269" s="2346">
        <v>11.4</v>
      </c>
      <c r="CK269" s="2346">
        <v>12.42</v>
      </c>
      <c r="CL269" s="2346">
        <v>14.45</v>
      </c>
      <c r="CM269" s="2347">
        <v>400</v>
      </c>
      <c r="CN269" s="2275"/>
      <c r="CO269" s="4671"/>
      <c r="CP269" s="4671"/>
      <c r="CQ269" s="4671"/>
      <c r="CR269" s="2275"/>
      <c r="CS269" s="2275"/>
      <c r="CT269" s="2275"/>
      <c r="CU269" s="2275"/>
      <c r="CV269" s="2275"/>
      <c r="CW269" s="2275"/>
      <c r="CX269" s="2250"/>
      <c r="CY269" s="2250"/>
      <c r="CZ269" s="2250"/>
      <c r="DA269" s="2250"/>
      <c r="DB269" s="2250"/>
      <c r="DC269" s="2250"/>
      <c r="DD269" s="2250"/>
      <c r="DE269" s="2250"/>
      <c r="DF269" s="2250"/>
      <c r="DG269" s="2250"/>
      <c r="DH269" s="2250"/>
      <c r="DI269" s="2250"/>
      <c r="DJ269" s="2250"/>
      <c r="DK269" s="2250"/>
      <c r="DL269" s="2250"/>
      <c r="DM269" s="2250"/>
      <c r="DN269" s="2250"/>
      <c r="DO269" s="2250"/>
      <c r="DP269" s="2250"/>
      <c r="DQ269" s="2277"/>
      <c r="DR269" s="2277"/>
      <c r="DS269" s="277"/>
      <c r="DW269" s="2275"/>
      <c r="DX269" s="4670" t="s">
        <v>734</v>
      </c>
      <c r="DY269" s="2345">
        <v>400</v>
      </c>
      <c r="DZ269" s="2346">
        <v>2.0299999999999998</v>
      </c>
      <c r="EA269" s="2346">
        <v>2.37</v>
      </c>
      <c r="EB269" s="2346">
        <v>2.6</v>
      </c>
      <c r="EC269" s="2346">
        <v>2.71</v>
      </c>
      <c r="ED269" s="2346">
        <v>2.93</v>
      </c>
      <c r="EE269" s="2346">
        <v>2.93</v>
      </c>
      <c r="EF269" s="2346">
        <v>3.16</v>
      </c>
      <c r="EG269" s="2346">
        <v>3.39</v>
      </c>
      <c r="EH269" s="2346">
        <v>3.61</v>
      </c>
      <c r="EI269" s="2346">
        <v>3.84</v>
      </c>
      <c r="EJ269" s="2346">
        <v>4.29</v>
      </c>
      <c r="EK269" s="2346">
        <v>4.63</v>
      </c>
      <c r="EL269" s="2346">
        <v>4.74</v>
      </c>
      <c r="EM269" s="2346">
        <v>5.08</v>
      </c>
      <c r="EN269" s="2346">
        <v>5.3</v>
      </c>
      <c r="EO269" s="2346">
        <v>5.53</v>
      </c>
      <c r="EP269" s="2346">
        <v>5.87</v>
      </c>
      <c r="EQ269" s="2346">
        <v>6.43</v>
      </c>
      <c r="ER269" s="2346">
        <v>6.77</v>
      </c>
      <c r="ES269" s="2346">
        <v>7.34</v>
      </c>
      <c r="ET269" s="2346">
        <v>7.79</v>
      </c>
      <c r="EU269" s="2346">
        <v>8.58</v>
      </c>
      <c r="EV269" s="2346">
        <v>9.26</v>
      </c>
      <c r="EW269" s="2346">
        <v>10.38</v>
      </c>
      <c r="EX269" s="2346">
        <v>11.4</v>
      </c>
      <c r="EY269" s="2346">
        <v>12.42</v>
      </c>
      <c r="EZ269" s="2346">
        <v>14.45</v>
      </c>
      <c r="FA269" s="2347">
        <v>400</v>
      </c>
      <c r="FB269" s="2275"/>
      <c r="FC269" s="4671"/>
      <c r="FD269" s="4671"/>
      <c r="FE269" s="4671"/>
      <c r="FF269" s="2275"/>
      <c r="FG269" s="2275"/>
      <c r="FH269" s="2275"/>
      <c r="FI269" s="2275"/>
      <c r="FJ269" s="2275"/>
      <c r="FK269" s="2275"/>
      <c r="FL269" s="2250"/>
      <c r="FM269" s="2250"/>
      <c r="FN269" s="2250"/>
      <c r="FO269" s="2250"/>
      <c r="FP269" s="2250"/>
      <c r="FQ269" s="2250"/>
      <c r="FR269" s="2250"/>
      <c r="FS269" s="2250"/>
      <c r="FT269" s="2250"/>
      <c r="FU269" s="2250"/>
      <c r="FV269" s="2250"/>
      <c r="FW269" s="2250"/>
      <c r="FX269" s="2250"/>
      <c r="FY269" s="2250"/>
      <c r="FZ269" s="2250"/>
      <c r="GA269" s="2250"/>
      <c r="GB269" s="2276"/>
      <c r="GC269" s="2276"/>
      <c r="GD269" s="2250"/>
      <c r="GE269" s="2275"/>
      <c r="GF269" s="4670" t="s">
        <v>734</v>
      </c>
      <c r="GG269" s="2345">
        <v>400</v>
      </c>
      <c r="GH269" s="2346">
        <v>2.0299999999999998</v>
      </c>
      <c r="GI269" s="2346">
        <v>2.37</v>
      </c>
      <c r="GJ269" s="2346">
        <v>2.6</v>
      </c>
      <c r="GK269" s="2346">
        <v>2.71</v>
      </c>
      <c r="GL269" s="2346">
        <v>2.93</v>
      </c>
      <c r="GM269" s="2346">
        <v>2.93</v>
      </c>
      <c r="GN269" s="2346">
        <v>3.16</v>
      </c>
      <c r="GO269" s="2346">
        <v>3.39</v>
      </c>
      <c r="GP269" s="2346">
        <v>3.61</v>
      </c>
      <c r="GQ269" s="2346">
        <v>3.84</v>
      </c>
      <c r="GR269" s="2346">
        <v>4.29</v>
      </c>
      <c r="GS269" s="2346">
        <v>4.63</v>
      </c>
      <c r="GT269" s="2346">
        <v>4.74</v>
      </c>
      <c r="GU269" s="2346">
        <v>5.08</v>
      </c>
      <c r="GV269" s="2346">
        <v>5.3</v>
      </c>
      <c r="GW269" s="2346">
        <v>5.53</v>
      </c>
      <c r="GX269" s="2346">
        <v>5.87</v>
      </c>
      <c r="GY269" s="2346">
        <v>6.43</v>
      </c>
      <c r="GZ269" s="2346">
        <v>6.77</v>
      </c>
      <c r="HA269" s="2346">
        <v>7.34</v>
      </c>
      <c r="HB269" s="2346">
        <v>7.79</v>
      </c>
      <c r="HC269" s="2346">
        <v>8.58</v>
      </c>
      <c r="HD269" s="2346">
        <v>9.26</v>
      </c>
      <c r="HE269" s="2346">
        <v>10.38</v>
      </c>
      <c r="HF269" s="2346">
        <v>11.4</v>
      </c>
      <c r="HG269" s="2346">
        <v>12.42</v>
      </c>
      <c r="HH269" s="2346">
        <v>14.45</v>
      </c>
      <c r="HI269" s="2347">
        <v>400</v>
      </c>
      <c r="HJ269" s="2275"/>
      <c r="HK269" s="4671"/>
      <c r="HL269" s="4671"/>
      <c r="HM269" s="4671"/>
      <c r="HN269" s="2275"/>
      <c r="HO269" s="2275"/>
      <c r="HP269" s="2275"/>
      <c r="HQ269" s="2275"/>
      <c r="HR269" s="2275"/>
      <c r="HS269" s="2275"/>
      <c r="HT269" s="2250"/>
      <c r="HU269" s="2250"/>
      <c r="HV269" s="2250"/>
      <c r="HW269" s="2250"/>
      <c r="HX269" s="2250"/>
      <c r="HY269" s="2250"/>
      <c r="HZ269" s="2250"/>
      <c r="IA269" s="2250"/>
      <c r="IB269" s="2250"/>
      <c r="IC269" s="2250"/>
      <c r="ID269" s="2250"/>
      <c r="IE269" s="2250"/>
      <c r="IF269" s="2250"/>
      <c r="IG269" s="2250"/>
      <c r="IH269" s="2250"/>
      <c r="II269" s="2250"/>
      <c r="IJ269" s="2250"/>
      <c r="IK269" s="2250"/>
      <c r="IL269" s="2250"/>
      <c r="IN269" s="277"/>
      <c r="IO269" s="277"/>
    </row>
    <row r="270" spans="1:249" ht="21.95" customHeight="1">
      <c r="A270" s="2275"/>
      <c r="B270" s="4670"/>
      <c r="C270" s="2345">
        <v>475</v>
      </c>
      <c r="D270" s="2346">
        <v>3.05</v>
      </c>
      <c r="E270" s="2346">
        <v>3.39</v>
      </c>
      <c r="F270" s="2346">
        <v>3.72</v>
      </c>
      <c r="G270" s="2346">
        <v>4.0599999999999996</v>
      </c>
      <c r="H270" s="2346">
        <v>4.4000000000000004</v>
      </c>
      <c r="I270" s="2346">
        <v>4.29</v>
      </c>
      <c r="J270" s="2346">
        <v>4.74</v>
      </c>
      <c r="K270" s="2346">
        <v>5.08</v>
      </c>
      <c r="L270" s="2346">
        <v>5.42</v>
      </c>
      <c r="M270" s="2346">
        <v>5.76</v>
      </c>
      <c r="N270" s="2346">
        <v>6.32</v>
      </c>
      <c r="O270" s="2346">
        <v>6.77</v>
      </c>
      <c r="P270" s="2346">
        <v>7.11</v>
      </c>
      <c r="Q270" s="2346">
        <v>7.56</v>
      </c>
      <c r="R270" s="2346">
        <v>7.79</v>
      </c>
      <c r="S270" s="2346">
        <v>8.24</v>
      </c>
      <c r="T270" s="2346">
        <v>8.8000000000000007</v>
      </c>
      <c r="U270" s="2346">
        <v>9.59</v>
      </c>
      <c r="V270" s="2346">
        <v>10.16</v>
      </c>
      <c r="W270" s="2346">
        <v>10.84</v>
      </c>
      <c r="X270" s="2346">
        <v>11.63</v>
      </c>
      <c r="Y270" s="2346">
        <v>12.75</v>
      </c>
      <c r="Z270" s="2346">
        <v>13.88</v>
      </c>
      <c r="AA270" s="2346">
        <v>15.58</v>
      </c>
      <c r="AB270" s="2346">
        <v>17.489999999999998</v>
      </c>
      <c r="AC270" s="2346">
        <v>19.98</v>
      </c>
      <c r="AD270" s="2346">
        <v>23.36</v>
      </c>
      <c r="AE270" s="2347">
        <v>475</v>
      </c>
      <c r="AF270" s="2275"/>
      <c r="AG270" s="2275">
        <f>HLOOKUP(AG266,D267:AD279,2,0)</f>
        <v>0</v>
      </c>
      <c r="AH270" s="2275">
        <f t="shared" ref="AH270:AH280" si="130">+AG271</f>
        <v>6.43</v>
      </c>
      <c r="AI270" s="2275">
        <v>400</v>
      </c>
      <c r="AJ270" s="2275"/>
      <c r="AK270" s="2275"/>
      <c r="AL270" s="2275"/>
      <c r="AM270" s="2275"/>
      <c r="AN270" s="2275"/>
      <c r="AO270" s="2275"/>
      <c r="AP270" s="2250"/>
      <c r="AQ270" s="2250"/>
      <c r="AR270" s="2250"/>
      <c r="AS270" s="2250"/>
      <c r="AT270" s="2250"/>
      <c r="AU270" s="2250"/>
      <c r="AV270" s="2250"/>
      <c r="AW270" s="2250"/>
      <c r="AX270" s="2250"/>
      <c r="AY270" s="2250"/>
      <c r="AZ270" s="2250"/>
      <c r="BA270" s="2250"/>
      <c r="BB270" s="2250"/>
      <c r="BC270" s="2250"/>
      <c r="BD270" s="2250"/>
      <c r="BE270" s="2250"/>
      <c r="BF270" s="2276"/>
      <c r="BG270" s="2276"/>
      <c r="BH270" s="2250"/>
      <c r="BI270" s="2275"/>
      <c r="BJ270" s="4670"/>
      <c r="BK270" s="2345">
        <v>475</v>
      </c>
      <c r="BL270" s="2346">
        <v>3.05</v>
      </c>
      <c r="BM270" s="2346">
        <v>3.39</v>
      </c>
      <c r="BN270" s="2346">
        <v>3.72</v>
      </c>
      <c r="BO270" s="2346">
        <v>4.0599999999999996</v>
      </c>
      <c r="BP270" s="2346">
        <v>4.4000000000000004</v>
      </c>
      <c r="BQ270" s="2346">
        <v>4.29</v>
      </c>
      <c r="BR270" s="2346">
        <v>4.74</v>
      </c>
      <c r="BS270" s="2346">
        <v>5.08</v>
      </c>
      <c r="BT270" s="2346">
        <v>5.42</v>
      </c>
      <c r="BU270" s="2346">
        <v>5.76</v>
      </c>
      <c r="BV270" s="2346">
        <v>6.32</v>
      </c>
      <c r="BW270" s="2346">
        <v>6.77</v>
      </c>
      <c r="BX270" s="2346">
        <v>7.11</v>
      </c>
      <c r="BY270" s="2346">
        <v>7.56</v>
      </c>
      <c r="BZ270" s="2346">
        <v>7.79</v>
      </c>
      <c r="CA270" s="2346">
        <v>8.24</v>
      </c>
      <c r="CB270" s="2346">
        <v>8.8000000000000007</v>
      </c>
      <c r="CC270" s="2346">
        <v>9.59</v>
      </c>
      <c r="CD270" s="2346">
        <v>10.16</v>
      </c>
      <c r="CE270" s="2346">
        <v>10.84</v>
      </c>
      <c r="CF270" s="2346">
        <v>11.63</v>
      </c>
      <c r="CG270" s="2346">
        <v>12.75</v>
      </c>
      <c r="CH270" s="2346">
        <v>13.88</v>
      </c>
      <c r="CI270" s="2346">
        <v>15.58</v>
      </c>
      <c r="CJ270" s="2346">
        <v>17.489999999999998</v>
      </c>
      <c r="CK270" s="2346">
        <v>19.98</v>
      </c>
      <c r="CL270" s="2346">
        <v>23.36</v>
      </c>
      <c r="CM270" s="2347">
        <v>475</v>
      </c>
      <c r="CN270" s="2275"/>
      <c r="CO270" s="2275">
        <f>HLOOKUP(CO266,BL267:CL279,2,0)</f>
        <v>0</v>
      </c>
      <c r="CP270" s="2275">
        <f t="shared" ref="CP270:CP280" si="131">+CO271</f>
        <v>5.87</v>
      </c>
      <c r="CQ270" s="2275">
        <v>400</v>
      </c>
      <c r="CR270" s="2275"/>
      <c r="CS270" s="2275"/>
      <c r="CT270" s="2275"/>
      <c r="CU270" s="2275"/>
      <c r="CV270" s="2275"/>
      <c r="CW270" s="2275"/>
      <c r="CX270" s="2250"/>
      <c r="CY270" s="2250"/>
      <c r="CZ270" s="2250"/>
      <c r="DA270" s="2250"/>
      <c r="DB270" s="2250"/>
      <c r="DC270" s="2250"/>
      <c r="DD270" s="2250"/>
      <c r="DE270" s="2250"/>
      <c r="DF270" s="2250"/>
      <c r="DG270" s="2250"/>
      <c r="DH270" s="2250"/>
      <c r="DI270" s="2250"/>
      <c r="DJ270" s="2250"/>
      <c r="DK270" s="2250"/>
      <c r="DL270" s="2250"/>
      <c r="DM270" s="2250"/>
      <c r="DN270" s="2250"/>
      <c r="DO270" s="2250"/>
      <c r="DP270" s="2250"/>
      <c r="DQ270" s="2277"/>
      <c r="DR270" s="2277"/>
      <c r="DS270" s="277"/>
      <c r="DW270" s="2275"/>
      <c r="DX270" s="4670"/>
      <c r="DY270" s="2345">
        <v>475</v>
      </c>
      <c r="DZ270" s="2346">
        <v>3.05</v>
      </c>
      <c r="EA270" s="2346">
        <v>3.39</v>
      </c>
      <c r="EB270" s="2346">
        <v>3.72</v>
      </c>
      <c r="EC270" s="2346">
        <v>4.0599999999999996</v>
      </c>
      <c r="ED270" s="2346">
        <v>4.4000000000000004</v>
      </c>
      <c r="EE270" s="2346">
        <v>4.29</v>
      </c>
      <c r="EF270" s="2346">
        <v>4.74</v>
      </c>
      <c r="EG270" s="2346">
        <v>5.08</v>
      </c>
      <c r="EH270" s="2346">
        <v>5.42</v>
      </c>
      <c r="EI270" s="2346">
        <v>5.76</v>
      </c>
      <c r="EJ270" s="2346">
        <v>6.32</v>
      </c>
      <c r="EK270" s="2346">
        <v>6.77</v>
      </c>
      <c r="EL270" s="2346">
        <v>7.11</v>
      </c>
      <c r="EM270" s="2346">
        <v>7.56</v>
      </c>
      <c r="EN270" s="2346">
        <v>7.79</v>
      </c>
      <c r="EO270" s="2346">
        <v>8.24</v>
      </c>
      <c r="EP270" s="2346">
        <v>8.8000000000000007</v>
      </c>
      <c r="EQ270" s="2346">
        <v>9.59</v>
      </c>
      <c r="ER270" s="2346">
        <v>10.16</v>
      </c>
      <c r="ES270" s="2346">
        <v>10.84</v>
      </c>
      <c r="ET270" s="2346">
        <v>11.63</v>
      </c>
      <c r="EU270" s="2346">
        <v>12.75</v>
      </c>
      <c r="EV270" s="2346">
        <v>13.88</v>
      </c>
      <c r="EW270" s="2346">
        <v>15.58</v>
      </c>
      <c r="EX270" s="2346">
        <v>17.489999999999998</v>
      </c>
      <c r="EY270" s="2346">
        <v>19.98</v>
      </c>
      <c r="EZ270" s="2346">
        <v>23.36</v>
      </c>
      <c r="FA270" s="2347">
        <v>475</v>
      </c>
      <c r="FB270" s="2275"/>
      <c r="FC270" s="2275">
        <f>HLOOKUP(FC266,DZ267:EZ279,2,0)</f>
        <v>0</v>
      </c>
      <c r="FD270" s="2275">
        <f t="shared" ref="FD270:FD280" si="132">+FC271</f>
        <v>9.26</v>
      </c>
      <c r="FE270" s="2275">
        <v>400</v>
      </c>
      <c r="FF270" s="2275"/>
      <c r="FG270" s="2275"/>
      <c r="FH270" s="2275"/>
      <c r="FI270" s="2275"/>
      <c r="FJ270" s="2275"/>
      <c r="FK270" s="2275"/>
      <c r="FL270" s="2250"/>
      <c r="FM270" s="2250"/>
      <c r="FN270" s="2250"/>
      <c r="FO270" s="2250"/>
      <c r="FP270" s="2250"/>
      <c r="FQ270" s="2250"/>
      <c r="FR270" s="2250"/>
      <c r="FS270" s="2250"/>
      <c r="FT270" s="2250"/>
      <c r="FU270" s="2250"/>
      <c r="FV270" s="2250"/>
      <c r="FW270" s="2250"/>
      <c r="FX270" s="2250"/>
      <c r="FY270" s="2250"/>
      <c r="FZ270" s="2250"/>
      <c r="GA270" s="2250"/>
      <c r="GB270" s="2276"/>
      <c r="GC270" s="2276"/>
      <c r="GD270" s="2250"/>
      <c r="GE270" s="2275"/>
      <c r="GF270" s="4670"/>
      <c r="GG270" s="2345">
        <v>475</v>
      </c>
      <c r="GH270" s="2346">
        <v>3.05</v>
      </c>
      <c r="GI270" s="2346">
        <v>3.39</v>
      </c>
      <c r="GJ270" s="2346">
        <v>3.72</v>
      </c>
      <c r="GK270" s="2346">
        <v>4.0599999999999996</v>
      </c>
      <c r="GL270" s="2346">
        <v>4.4000000000000004</v>
      </c>
      <c r="GM270" s="2346">
        <v>4.29</v>
      </c>
      <c r="GN270" s="2346">
        <v>4.74</v>
      </c>
      <c r="GO270" s="2346">
        <v>5.08</v>
      </c>
      <c r="GP270" s="2346">
        <v>5.42</v>
      </c>
      <c r="GQ270" s="2346">
        <v>5.76</v>
      </c>
      <c r="GR270" s="2346">
        <v>6.32</v>
      </c>
      <c r="GS270" s="2346">
        <v>6.77</v>
      </c>
      <c r="GT270" s="2346">
        <v>7.11</v>
      </c>
      <c r="GU270" s="2346">
        <v>7.56</v>
      </c>
      <c r="GV270" s="2346">
        <v>7.79</v>
      </c>
      <c r="GW270" s="2346">
        <v>8.24</v>
      </c>
      <c r="GX270" s="2346">
        <v>8.8000000000000007</v>
      </c>
      <c r="GY270" s="2346">
        <v>9.59</v>
      </c>
      <c r="GZ270" s="2346">
        <v>10.16</v>
      </c>
      <c r="HA270" s="2346">
        <v>10.84</v>
      </c>
      <c r="HB270" s="2346">
        <v>11.63</v>
      </c>
      <c r="HC270" s="2346">
        <v>12.75</v>
      </c>
      <c r="HD270" s="2346">
        <v>13.88</v>
      </c>
      <c r="HE270" s="2346">
        <v>15.58</v>
      </c>
      <c r="HF270" s="2346">
        <v>17.489999999999998</v>
      </c>
      <c r="HG270" s="2346">
        <v>19.98</v>
      </c>
      <c r="HH270" s="2346">
        <v>23.36</v>
      </c>
      <c r="HI270" s="2347">
        <v>475</v>
      </c>
      <c r="HJ270" s="2275"/>
      <c r="HK270" s="2275">
        <f>HLOOKUP(HK266,GH267:HH279,2,0)</f>
        <v>0</v>
      </c>
      <c r="HL270" s="2275">
        <f t="shared" ref="HL270:HL280" si="133">+HK271</f>
        <v>8.58</v>
      </c>
      <c r="HM270" s="2275">
        <v>400</v>
      </c>
      <c r="HN270" s="2275"/>
      <c r="HO270" s="2275"/>
      <c r="HP270" s="2275"/>
      <c r="HQ270" s="2275"/>
      <c r="HR270" s="2275"/>
      <c r="HS270" s="2275"/>
      <c r="HT270" s="2250"/>
      <c r="HU270" s="2250"/>
      <c r="HV270" s="2250"/>
      <c r="HW270" s="2250"/>
      <c r="HX270" s="2250"/>
      <c r="HY270" s="2250"/>
      <c r="HZ270" s="2250"/>
      <c r="IA270" s="2250"/>
      <c r="IB270" s="2250"/>
      <c r="IC270" s="2250"/>
      <c r="ID270" s="2250"/>
      <c r="IE270" s="2250"/>
      <c r="IF270" s="2250"/>
      <c r="IG270" s="2250"/>
      <c r="IH270" s="2250"/>
      <c r="II270" s="2250"/>
      <c r="IJ270" s="2250"/>
      <c r="IK270" s="2250"/>
      <c r="IL270" s="2250"/>
      <c r="IN270" s="277"/>
      <c r="IO270" s="277"/>
    </row>
    <row r="271" spans="1:249" ht="21.95" customHeight="1">
      <c r="A271" s="2275"/>
      <c r="B271" s="4670"/>
      <c r="C271" s="2345">
        <v>550</v>
      </c>
      <c r="D271" s="2346">
        <v>5.64</v>
      </c>
      <c r="E271" s="2346">
        <v>6.32</v>
      </c>
      <c r="F271" s="2346">
        <v>7</v>
      </c>
      <c r="G271" s="2346">
        <v>7.79</v>
      </c>
      <c r="H271" s="2346">
        <v>8.4700000000000006</v>
      </c>
      <c r="I271" s="2346">
        <v>8.01</v>
      </c>
      <c r="J271" s="2346">
        <v>8.92</v>
      </c>
      <c r="K271" s="2346">
        <v>9.48</v>
      </c>
      <c r="L271" s="2346">
        <v>10.38</v>
      </c>
      <c r="M271" s="2346">
        <v>10.95</v>
      </c>
      <c r="N271" s="2346">
        <v>12.42</v>
      </c>
      <c r="O271" s="2346">
        <v>13.32</v>
      </c>
      <c r="P271" s="2346">
        <v>14</v>
      </c>
      <c r="Q271" s="2346">
        <v>14.33</v>
      </c>
      <c r="R271" s="2346">
        <v>15.12</v>
      </c>
      <c r="S271" s="2346">
        <v>16.14</v>
      </c>
      <c r="T271" s="2346">
        <v>17.16</v>
      </c>
      <c r="U271" s="2346">
        <v>18.510000000000002</v>
      </c>
      <c r="V271" s="2346">
        <v>19.64</v>
      </c>
      <c r="W271" s="2346">
        <v>21.44</v>
      </c>
      <c r="X271" s="2346">
        <v>22.12</v>
      </c>
      <c r="Y271" s="2346">
        <v>24.83</v>
      </c>
      <c r="Z271" s="2346">
        <v>25.96</v>
      </c>
      <c r="AA271" s="2346">
        <v>30.25</v>
      </c>
      <c r="AB271" s="2346">
        <v>32.049999999999997</v>
      </c>
      <c r="AC271" s="2346">
        <v>36.68</v>
      </c>
      <c r="AD271" s="2346">
        <v>41.08</v>
      </c>
      <c r="AE271" s="2347">
        <v>550</v>
      </c>
      <c r="AF271" s="2275"/>
      <c r="AG271" s="2275">
        <f>HLOOKUP(AG266,D267:AD279,3,0)</f>
        <v>6.43</v>
      </c>
      <c r="AH271" s="2275">
        <f t="shared" si="130"/>
        <v>9.59</v>
      </c>
      <c r="AI271" s="2275">
        <v>475</v>
      </c>
      <c r="AJ271" s="2275"/>
      <c r="AK271" s="2275"/>
      <c r="AL271" s="2275"/>
      <c r="AM271" s="2275"/>
      <c r="AN271" s="2275"/>
      <c r="AO271" s="2275"/>
      <c r="AP271" s="2250"/>
      <c r="AQ271" s="2250"/>
      <c r="AR271" s="2250"/>
      <c r="AS271" s="2250"/>
      <c r="AT271" s="2250"/>
      <c r="AU271" s="2250"/>
      <c r="AV271" s="2250"/>
      <c r="AW271" s="2250"/>
      <c r="AX271" s="2250"/>
      <c r="AY271" s="2250"/>
      <c r="AZ271" s="2250"/>
      <c r="BA271" s="2250"/>
      <c r="BB271" s="2250"/>
      <c r="BC271" s="2250"/>
      <c r="BD271" s="2250"/>
      <c r="BE271" s="2250"/>
      <c r="BF271" s="2276"/>
      <c r="BG271" s="2276"/>
      <c r="BH271" s="2250"/>
      <c r="BI271" s="2275"/>
      <c r="BJ271" s="4670"/>
      <c r="BK271" s="2345">
        <v>550</v>
      </c>
      <c r="BL271" s="2346">
        <v>5.64</v>
      </c>
      <c r="BM271" s="2346">
        <v>6.32</v>
      </c>
      <c r="BN271" s="2346">
        <v>7</v>
      </c>
      <c r="BO271" s="2346">
        <v>7.79</v>
      </c>
      <c r="BP271" s="2346">
        <v>8.4700000000000006</v>
      </c>
      <c r="BQ271" s="2346">
        <v>8.01</v>
      </c>
      <c r="BR271" s="2346">
        <v>8.92</v>
      </c>
      <c r="BS271" s="2346">
        <v>9.48</v>
      </c>
      <c r="BT271" s="2346">
        <v>10.38</v>
      </c>
      <c r="BU271" s="2346">
        <v>10.95</v>
      </c>
      <c r="BV271" s="2346">
        <v>12.42</v>
      </c>
      <c r="BW271" s="2346">
        <v>13.32</v>
      </c>
      <c r="BX271" s="2346">
        <v>14</v>
      </c>
      <c r="BY271" s="2346">
        <v>14.33</v>
      </c>
      <c r="BZ271" s="2346">
        <v>15.12</v>
      </c>
      <c r="CA271" s="2346">
        <v>16.14</v>
      </c>
      <c r="CB271" s="2346">
        <v>17.16</v>
      </c>
      <c r="CC271" s="2346">
        <v>18.510000000000002</v>
      </c>
      <c r="CD271" s="2346">
        <v>19.64</v>
      </c>
      <c r="CE271" s="2346">
        <v>21.44</v>
      </c>
      <c r="CF271" s="2346">
        <v>22.12</v>
      </c>
      <c r="CG271" s="2346">
        <v>24.83</v>
      </c>
      <c r="CH271" s="2346">
        <v>25.96</v>
      </c>
      <c r="CI271" s="2346">
        <v>30.25</v>
      </c>
      <c r="CJ271" s="2346">
        <v>32.049999999999997</v>
      </c>
      <c r="CK271" s="2346">
        <v>36.68</v>
      </c>
      <c r="CL271" s="2346">
        <v>41.08</v>
      </c>
      <c r="CM271" s="2347">
        <v>550</v>
      </c>
      <c r="CN271" s="2275"/>
      <c r="CO271" s="2275">
        <f>HLOOKUP(CO266,BL267:CL279,3,0)</f>
        <v>5.87</v>
      </c>
      <c r="CP271" s="2275">
        <f t="shared" si="131"/>
        <v>8.8000000000000007</v>
      </c>
      <c r="CQ271" s="2275">
        <v>475</v>
      </c>
      <c r="CR271" s="2275"/>
      <c r="CS271" s="2275"/>
      <c r="CT271" s="2275"/>
      <c r="CU271" s="2275"/>
      <c r="CV271" s="2275"/>
      <c r="CW271" s="2275"/>
      <c r="CX271" s="2250"/>
      <c r="CY271" s="2250"/>
      <c r="CZ271" s="2250"/>
      <c r="DA271" s="2250"/>
      <c r="DB271" s="2250"/>
      <c r="DC271" s="2250"/>
      <c r="DD271" s="2250"/>
      <c r="DE271" s="2250"/>
      <c r="DF271" s="2250"/>
      <c r="DG271" s="2250"/>
      <c r="DH271" s="2250"/>
      <c r="DI271" s="2250"/>
      <c r="DJ271" s="2250"/>
      <c r="DK271" s="2250"/>
      <c r="DL271" s="2250"/>
      <c r="DM271" s="2250"/>
      <c r="DN271" s="2250"/>
      <c r="DO271" s="2250"/>
      <c r="DP271" s="2250"/>
      <c r="DQ271" s="2277"/>
      <c r="DR271" s="2277"/>
      <c r="DS271" s="277"/>
      <c r="DW271" s="2275"/>
      <c r="DX271" s="4670"/>
      <c r="DY271" s="2345">
        <v>550</v>
      </c>
      <c r="DZ271" s="2346">
        <v>5.64</v>
      </c>
      <c r="EA271" s="2346">
        <v>6.32</v>
      </c>
      <c r="EB271" s="2346">
        <v>7</v>
      </c>
      <c r="EC271" s="2346">
        <v>7.79</v>
      </c>
      <c r="ED271" s="2346">
        <v>8.4700000000000006</v>
      </c>
      <c r="EE271" s="2346">
        <v>8.01</v>
      </c>
      <c r="EF271" s="2346">
        <v>8.92</v>
      </c>
      <c r="EG271" s="2346">
        <v>9.48</v>
      </c>
      <c r="EH271" s="2346">
        <v>10.38</v>
      </c>
      <c r="EI271" s="2346">
        <v>10.95</v>
      </c>
      <c r="EJ271" s="2346">
        <v>12.42</v>
      </c>
      <c r="EK271" s="2346">
        <v>13.32</v>
      </c>
      <c r="EL271" s="2346">
        <v>14</v>
      </c>
      <c r="EM271" s="2346">
        <v>14.33</v>
      </c>
      <c r="EN271" s="2346">
        <v>15.12</v>
      </c>
      <c r="EO271" s="2346">
        <v>16.14</v>
      </c>
      <c r="EP271" s="2346">
        <v>17.16</v>
      </c>
      <c r="EQ271" s="2346">
        <v>18.510000000000002</v>
      </c>
      <c r="ER271" s="2346">
        <v>19.64</v>
      </c>
      <c r="ES271" s="2346">
        <v>21.44</v>
      </c>
      <c r="ET271" s="2346">
        <v>22.12</v>
      </c>
      <c r="EU271" s="2346">
        <v>24.83</v>
      </c>
      <c r="EV271" s="2346">
        <v>25.96</v>
      </c>
      <c r="EW271" s="2346">
        <v>30.25</v>
      </c>
      <c r="EX271" s="2346">
        <v>32.049999999999997</v>
      </c>
      <c r="EY271" s="2346">
        <v>36.68</v>
      </c>
      <c r="EZ271" s="2346">
        <v>41.08</v>
      </c>
      <c r="FA271" s="2347">
        <v>550</v>
      </c>
      <c r="FB271" s="2275"/>
      <c r="FC271" s="2275">
        <f>HLOOKUP(FC266,DZ267:EZ279,3,0)</f>
        <v>9.26</v>
      </c>
      <c r="FD271" s="2275">
        <f t="shared" si="132"/>
        <v>13.88</v>
      </c>
      <c r="FE271" s="2275">
        <v>475</v>
      </c>
      <c r="FF271" s="2275"/>
      <c r="FG271" s="2275"/>
      <c r="FH271" s="2275"/>
      <c r="FI271" s="2275"/>
      <c r="FJ271" s="2275"/>
      <c r="FK271" s="2275"/>
      <c r="FL271" s="2250"/>
      <c r="FM271" s="2250"/>
      <c r="FN271" s="2250"/>
      <c r="FO271" s="2250"/>
      <c r="FP271" s="2250"/>
      <c r="FQ271" s="2250"/>
      <c r="FR271" s="2250"/>
      <c r="FS271" s="2250"/>
      <c r="FT271" s="2250"/>
      <c r="FU271" s="2250"/>
      <c r="FV271" s="2250"/>
      <c r="FW271" s="2250"/>
      <c r="FX271" s="2250"/>
      <c r="FY271" s="2250"/>
      <c r="FZ271" s="2250"/>
      <c r="GA271" s="2250"/>
      <c r="GB271" s="2276"/>
      <c r="GC271" s="2276"/>
      <c r="GD271" s="2250"/>
      <c r="GE271" s="2275"/>
      <c r="GF271" s="4670"/>
      <c r="GG271" s="2345">
        <v>550</v>
      </c>
      <c r="GH271" s="2346">
        <v>5.64</v>
      </c>
      <c r="GI271" s="2346">
        <v>6.32</v>
      </c>
      <c r="GJ271" s="2346">
        <v>7</v>
      </c>
      <c r="GK271" s="2346">
        <v>7.79</v>
      </c>
      <c r="GL271" s="2346">
        <v>8.4700000000000006</v>
      </c>
      <c r="GM271" s="2346">
        <v>8.01</v>
      </c>
      <c r="GN271" s="2346">
        <v>8.92</v>
      </c>
      <c r="GO271" s="2346">
        <v>9.48</v>
      </c>
      <c r="GP271" s="2346">
        <v>10.38</v>
      </c>
      <c r="GQ271" s="2346">
        <v>10.95</v>
      </c>
      <c r="GR271" s="2346">
        <v>12.42</v>
      </c>
      <c r="GS271" s="2346">
        <v>13.32</v>
      </c>
      <c r="GT271" s="2346">
        <v>14</v>
      </c>
      <c r="GU271" s="2346">
        <v>14.33</v>
      </c>
      <c r="GV271" s="2346">
        <v>15.12</v>
      </c>
      <c r="GW271" s="2346">
        <v>16.14</v>
      </c>
      <c r="GX271" s="2346">
        <v>17.16</v>
      </c>
      <c r="GY271" s="2346">
        <v>18.510000000000002</v>
      </c>
      <c r="GZ271" s="2346">
        <v>19.64</v>
      </c>
      <c r="HA271" s="2346">
        <v>21.44</v>
      </c>
      <c r="HB271" s="2346">
        <v>22.12</v>
      </c>
      <c r="HC271" s="2346">
        <v>24.83</v>
      </c>
      <c r="HD271" s="2346">
        <v>25.96</v>
      </c>
      <c r="HE271" s="2346">
        <v>30.25</v>
      </c>
      <c r="HF271" s="2346">
        <v>32.049999999999997</v>
      </c>
      <c r="HG271" s="2346">
        <v>36.68</v>
      </c>
      <c r="HH271" s="2346">
        <v>41.08</v>
      </c>
      <c r="HI271" s="2347">
        <v>550</v>
      </c>
      <c r="HJ271" s="2275"/>
      <c r="HK271" s="2275">
        <f>HLOOKUP(HK266,GH267:HH279,3,0)</f>
        <v>8.58</v>
      </c>
      <c r="HL271" s="2275">
        <f t="shared" si="133"/>
        <v>12.75</v>
      </c>
      <c r="HM271" s="2275">
        <v>475</v>
      </c>
      <c r="HN271" s="2275"/>
      <c r="HO271" s="2275"/>
      <c r="HP271" s="2275"/>
      <c r="HQ271" s="2275"/>
      <c r="HR271" s="2275"/>
      <c r="HS271" s="2275"/>
      <c r="HT271" s="2250"/>
      <c r="HU271" s="2250"/>
      <c r="HV271" s="2250"/>
      <c r="HW271" s="2250"/>
      <c r="HX271" s="2250"/>
      <c r="HY271" s="2250"/>
      <c r="HZ271" s="2250"/>
      <c r="IA271" s="2250"/>
      <c r="IB271" s="2250"/>
      <c r="IC271" s="2250"/>
      <c r="ID271" s="2250"/>
      <c r="IE271" s="2250"/>
      <c r="IF271" s="2250"/>
      <c r="IG271" s="2250"/>
      <c r="IH271" s="2250"/>
      <c r="II271" s="2250"/>
      <c r="IJ271" s="2250"/>
      <c r="IK271" s="2250"/>
      <c r="IL271" s="2250"/>
      <c r="IN271" s="277"/>
      <c r="IO271" s="277"/>
    </row>
    <row r="272" spans="1:249" ht="21.95" customHeight="1">
      <c r="A272" s="2275"/>
      <c r="B272" s="2275"/>
      <c r="C272" s="2345">
        <v>650</v>
      </c>
      <c r="D272" s="2346">
        <v>9.3699999999999992</v>
      </c>
      <c r="E272" s="2346">
        <v>10.61</v>
      </c>
      <c r="F272" s="2346">
        <v>11.74</v>
      </c>
      <c r="G272" s="2346">
        <v>12.42</v>
      </c>
      <c r="H272" s="2346">
        <v>12.42</v>
      </c>
      <c r="I272" s="2346">
        <v>13.32</v>
      </c>
      <c r="J272" s="2346">
        <v>14.79</v>
      </c>
      <c r="K272" s="2346">
        <v>15.69</v>
      </c>
      <c r="L272" s="2346">
        <v>16.59</v>
      </c>
      <c r="M272" s="2346">
        <v>18.28</v>
      </c>
      <c r="N272" s="2346">
        <v>20.09</v>
      </c>
      <c r="O272" s="2346">
        <v>21.9</v>
      </c>
      <c r="P272" s="2346">
        <v>23.7</v>
      </c>
      <c r="Q272" s="2346">
        <v>23.93</v>
      </c>
      <c r="R272" s="2346">
        <v>25.17</v>
      </c>
      <c r="S272" s="2346">
        <v>27.09</v>
      </c>
      <c r="T272" s="2346">
        <v>28.67</v>
      </c>
      <c r="U272" s="2346">
        <v>31.6</v>
      </c>
      <c r="V272" s="2346">
        <v>29.91</v>
      </c>
      <c r="W272" s="2346">
        <v>34.76</v>
      </c>
      <c r="X272" s="2346">
        <v>35.33</v>
      </c>
      <c r="Y272" s="2346">
        <v>39.840000000000003</v>
      </c>
      <c r="Z272" s="2346">
        <v>43.68</v>
      </c>
      <c r="AA272" s="2346">
        <v>48.31</v>
      </c>
      <c r="AB272" s="2346">
        <v>53.72</v>
      </c>
      <c r="AC272" s="2346">
        <v>57.79</v>
      </c>
      <c r="AD272" s="2346">
        <v>68.510000000000005</v>
      </c>
      <c r="AE272" s="2347">
        <v>650</v>
      </c>
      <c r="AF272" s="2275"/>
      <c r="AG272" s="2275">
        <f>HLOOKUP(AG266,D267:AD279,4,0)</f>
        <v>9.59</v>
      </c>
      <c r="AH272" s="2275">
        <f t="shared" si="130"/>
        <v>18.510000000000002</v>
      </c>
      <c r="AI272" s="2275">
        <v>550</v>
      </c>
      <c r="AJ272" s="2275"/>
      <c r="AK272" s="2275"/>
      <c r="AL272" s="2275"/>
      <c r="AM272" s="2275"/>
      <c r="AN272" s="2275"/>
      <c r="AO272" s="2275"/>
      <c r="AP272" s="2250"/>
      <c r="AQ272" s="2250"/>
      <c r="AR272" s="2250"/>
      <c r="AS272" s="2250"/>
      <c r="AT272" s="2250"/>
      <c r="AU272" s="2250"/>
      <c r="AV272" s="2250"/>
      <c r="AW272" s="2250"/>
      <c r="AX272" s="2250"/>
      <c r="AY272" s="2250"/>
      <c r="AZ272" s="2250"/>
      <c r="BA272" s="2250"/>
      <c r="BB272" s="2250"/>
      <c r="BC272" s="2250"/>
      <c r="BD272" s="2250"/>
      <c r="BE272" s="2250"/>
      <c r="BF272" s="2276"/>
      <c r="BG272" s="2276"/>
      <c r="BH272" s="2250"/>
      <c r="BI272" s="2275"/>
      <c r="BJ272" s="2275"/>
      <c r="BK272" s="2345">
        <v>650</v>
      </c>
      <c r="BL272" s="2346">
        <v>9.3699999999999992</v>
      </c>
      <c r="BM272" s="2346">
        <v>10.61</v>
      </c>
      <c r="BN272" s="2346">
        <v>11.74</v>
      </c>
      <c r="BO272" s="2346">
        <v>12.42</v>
      </c>
      <c r="BP272" s="2346">
        <v>12.42</v>
      </c>
      <c r="BQ272" s="2346">
        <v>13.32</v>
      </c>
      <c r="BR272" s="2346">
        <v>14.79</v>
      </c>
      <c r="BS272" s="2346">
        <v>15.69</v>
      </c>
      <c r="BT272" s="2346">
        <v>16.59</v>
      </c>
      <c r="BU272" s="2346">
        <v>18.28</v>
      </c>
      <c r="BV272" s="2346">
        <v>20.09</v>
      </c>
      <c r="BW272" s="2346">
        <v>21.9</v>
      </c>
      <c r="BX272" s="2346">
        <v>23.7</v>
      </c>
      <c r="BY272" s="2346">
        <v>23.93</v>
      </c>
      <c r="BZ272" s="2346">
        <v>25.17</v>
      </c>
      <c r="CA272" s="2346">
        <v>27.09</v>
      </c>
      <c r="CB272" s="2346">
        <v>28.67</v>
      </c>
      <c r="CC272" s="2346">
        <v>31.6</v>
      </c>
      <c r="CD272" s="2346">
        <v>29.91</v>
      </c>
      <c r="CE272" s="2346">
        <v>34.76</v>
      </c>
      <c r="CF272" s="2346">
        <v>35.33</v>
      </c>
      <c r="CG272" s="2346">
        <v>39.840000000000003</v>
      </c>
      <c r="CH272" s="2346">
        <v>43.68</v>
      </c>
      <c r="CI272" s="2346">
        <v>48.31</v>
      </c>
      <c r="CJ272" s="2346">
        <v>53.72</v>
      </c>
      <c r="CK272" s="2346">
        <v>57.79</v>
      </c>
      <c r="CL272" s="2346">
        <v>68.510000000000005</v>
      </c>
      <c r="CM272" s="2347">
        <v>650</v>
      </c>
      <c r="CN272" s="2275"/>
      <c r="CO272" s="2275">
        <f>HLOOKUP(CO266,BL267:CL279,4,0)</f>
        <v>8.8000000000000007</v>
      </c>
      <c r="CP272" s="2275">
        <f t="shared" si="131"/>
        <v>17.16</v>
      </c>
      <c r="CQ272" s="2275">
        <v>550</v>
      </c>
      <c r="CR272" s="2275"/>
      <c r="CS272" s="2275"/>
      <c r="CT272" s="2275"/>
      <c r="CU272" s="2275"/>
      <c r="CV272" s="2275"/>
      <c r="CW272" s="2275"/>
      <c r="CX272" s="2250"/>
      <c r="CY272" s="2250"/>
      <c r="CZ272" s="2250"/>
      <c r="DA272" s="2250"/>
      <c r="DB272" s="2250"/>
      <c r="DC272" s="2250"/>
      <c r="DD272" s="2250"/>
      <c r="DE272" s="2250"/>
      <c r="DF272" s="2250"/>
      <c r="DG272" s="2250"/>
      <c r="DH272" s="2250"/>
      <c r="DI272" s="2250"/>
      <c r="DJ272" s="2250"/>
      <c r="DK272" s="2250"/>
      <c r="DL272" s="2250"/>
      <c r="DM272" s="2250"/>
      <c r="DN272" s="2250"/>
      <c r="DO272" s="2250"/>
      <c r="DP272" s="2250"/>
      <c r="DQ272" s="2277"/>
      <c r="DR272" s="2277"/>
      <c r="DS272" s="277"/>
      <c r="DW272" s="2275"/>
      <c r="DX272" s="2275"/>
      <c r="DY272" s="2345">
        <v>650</v>
      </c>
      <c r="DZ272" s="2346">
        <v>9.3699999999999992</v>
      </c>
      <c r="EA272" s="2346">
        <v>10.61</v>
      </c>
      <c r="EB272" s="2346">
        <v>11.74</v>
      </c>
      <c r="EC272" s="2346">
        <v>12.42</v>
      </c>
      <c r="ED272" s="2346">
        <v>12.42</v>
      </c>
      <c r="EE272" s="2346">
        <v>13.32</v>
      </c>
      <c r="EF272" s="2346">
        <v>14.79</v>
      </c>
      <c r="EG272" s="2346">
        <v>15.69</v>
      </c>
      <c r="EH272" s="2346">
        <v>16.59</v>
      </c>
      <c r="EI272" s="2346">
        <v>18.28</v>
      </c>
      <c r="EJ272" s="2346">
        <v>20.09</v>
      </c>
      <c r="EK272" s="2346">
        <v>21.9</v>
      </c>
      <c r="EL272" s="2346">
        <v>23.7</v>
      </c>
      <c r="EM272" s="2346">
        <v>23.93</v>
      </c>
      <c r="EN272" s="2346">
        <v>25.17</v>
      </c>
      <c r="EO272" s="2346">
        <v>27.09</v>
      </c>
      <c r="EP272" s="2346">
        <v>28.67</v>
      </c>
      <c r="EQ272" s="2346">
        <v>31.6</v>
      </c>
      <c r="ER272" s="2346">
        <v>29.91</v>
      </c>
      <c r="ES272" s="2346">
        <v>34.76</v>
      </c>
      <c r="ET272" s="2346">
        <v>35.33</v>
      </c>
      <c r="EU272" s="2346">
        <v>39.840000000000003</v>
      </c>
      <c r="EV272" s="2346">
        <v>43.68</v>
      </c>
      <c r="EW272" s="2346">
        <v>48.31</v>
      </c>
      <c r="EX272" s="2346">
        <v>53.72</v>
      </c>
      <c r="EY272" s="2346">
        <v>57.79</v>
      </c>
      <c r="EZ272" s="2346">
        <v>68.510000000000005</v>
      </c>
      <c r="FA272" s="2347">
        <v>650</v>
      </c>
      <c r="FB272" s="2275"/>
      <c r="FC272" s="2275">
        <f>HLOOKUP(FC266,DZ267:EZ279,4,0)</f>
        <v>13.88</v>
      </c>
      <c r="FD272" s="2275">
        <f t="shared" si="132"/>
        <v>25.96</v>
      </c>
      <c r="FE272" s="2275">
        <v>550</v>
      </c>
      <c r="FF272" s="2275"/>
      <c r="FG272" s="2275"/>
      <c r="FH272" s="2275"/>
      <c r="FI272" s="2275"/>
      <c r="FJ272" s="2275"/>
      <c r="FK272" s="2275"/>
      <c r="FL272" s="2250"/>
      <c r="FM272" s="2250"/>
      <c r="FN272" s="2250"/>
      <c r="FO272" s="2250"/>
      <c r="FP272" s="2250"/>
      <c r="FQ272" s="2250"/>
      <c r="FR272" s="2250"/>
      <c r="FS272" s="2250"/>
      <c r="FT272" s="2250"/>
      <c r="FU272" s="2250"/>
      <c r="FV272" s="2250"/>
      <c r="FW272" s="2250"/>
      <c r="FX272" s="2250"/>
      <c r="FY272" s="2250"/>
      <c r="FZ272" s="2250"/>
      <c r="GA272" s="2250"/>
      <c r="GB272" s="2276"/>
      <c r="GC272" s="2276"/>
      <c r="GD272" s="2250"/>
      <c r="GE272" s="2275"/>
      <c r="GF272" s="2275"/>
      <c r="GG272" s="2345">
        <v>650</v>
      </c>
      <c r="GH272" s="2346">
        <v>9.3699999999999992</v>
      </c>
      <c r="GI272" s="2346">
        <v>10.61</v>
      </c>
      <c r="GJ272" s="2346">
        <v>11.74</v>
      </c>
      <c r="GK272" s="2346">
        <v>12.42</v>
      </c>
      <c r="GL272" s="2346">
        <v>12.42</v>
      </c>
      <c r="GM272" s="2346">
        <v>13.32</v>
      </c>
      <c r="GN272" s="2346">
        <v>14.79</v>
      </c>
      <c r="GO272" s="2346">
        <v>15.69</v>
      </c>
      <c r="GP272" s="2346">
        <v>16.59</v>
      </c>
      <c r="GQ272" s="2346">
        <v>18.28</v>
      </c>
      <c r="GR272" s="2346">
        <v>20.09</v>
      </c>
      <c r="GS272" s="2346">
        <v>21.9</v>
      </c>
      <c r="GT272" s="2346">
        <v>23.7</v>
      </c>
      <c r="GU272" s="2346">
        <v>23.93</v>
      </c>
      <c r="GV272" s="2346">
        <v>25.17</v>
      </c>
      <c r="GW272" s="2346">
        <v>27.09</v>
      </c>
      <c r="GX272" s="2346">
        <v>28.67</v>
      </c>
      <c r="GY272" s="2346">
        <v>31.6</v>
      </c>
      <c r="GZ272" s="2346">
        <v>29.91</v>
      </c>
      <c r="HA272" s="2346">
        <v>34.76</v>
      </c>
      <c r="HB272" s="2346">
        <v>35.33</v>
      </c>
      <c r="HC272" s="2346">
        <v>39.840000000000003</v>
      </c>
      <c r="HD272" s="2346">
        <v>43.68</v>
      </c>
      <c r="HE272" s="2346">
        <v>48.31</v>
      </c>
      <c r="HF272" s="2346">
        <v>53.72</v>
      </c>
      <c r="HG272" s="2346">
        <v>57.79</v>
      </c>
      <c r="HH272" s="2346">
        <v>68.510000000000005</v>
      </c>
      <c r="HI272" s="2347">
        <v>650</v>
      </c>
      <c r="HJ272" s="2275"/>
      <c r="HK272" s="2275">
        <f>HLOOKUP(HK266,GH267:HH279,4,0)</f>
        <v>12.75</v>
      </c>
      <c r="HL272" s="2275">
        <f t="shared" si="133"/>
        <v>24.83</v>
      </c>
      <c r="HM272" s="2275">
        <v>550</v>
      </c>
      <c r="HN272" s="2275"/>
      <c r="HO272" s="2275"/>
      <c r="HP272" s="2275"/>
      <c r="HQ272" s="2275"/>
      <c r="HR272" s="2275"/>
      <c r="HS272" s="2275"/>
      <c r="HT272" s="2250"/>
      <c r="HU272" s="2250"/>
      <c r="HV272" s="2250"/>
      <c r="HW272" s="2250"/>
      <c r="HX272" s="2250"/>
      <c r="HY272" s="2250"/>
      <c r="HZ272" s="2250"/>
      <c r="IA272" s="2250"/>
      <c r="IB272" s="2250"/>
      <c r="IC272" s="2250"/>
      <c r="ID272" s="2250"/>
      <c r="IE272" s="2250"/>
      <c r="IF272" s="2250"/>
      <c r="IG272" s="2250"/>
      <c r="IH272" s="2250"/>
      <c r="II272" s="2250"/>
      <c r="IJ272" s="2250"/>
      <c r="IK272" s="2250"/>
      <c r="IL272" s="2250"/>
      <c r="IN272" s="277"/>
      <c r="IO272" s="277"/>
    </row>
    <row r="273" spans="1:249" ht="21.95" customHeight="1">
      <c r="A273" s="2275"/>
      <c r="B273" s="2275"/>
      <c r="C273" s="2345">
        <v>775</v>
      </c>
      <c r="D273" s="2346">
        <v>14.45</v>
      </c>
      <c r="E273" s="2346">
        <v>16.25</v>
      </c>
      <c r="F273" s="2346">
        <v>17.95</v>
      </c>
      <c r="G273" s="2346">
        <v>19.98</v>
      </c>
      <c r="H273" s="2346">
        <v>21.9</v>
      </c>
      <c r="I273" s="2346">
        <v>20.54</v>
      </c>
      <c r="J273" s="2346">
        <v>22.69</v>
      </c>
      <c r="K273" s="2346">
        <v>24.15</v>
      </c>
      <c r="L273" s="2346">
        <v>26.52</v>
      </c>
      <c r="M273" s="2346">
        <v>28.22</v>
      </c>
      <c r="N273" s="2346">
        <v>33.409999999999997</v>
      </c>
      <c r="O273" s="2346">
        <v>35.89</v>
      </c>
      <c r="P273" s="2346">
        <v>37.58</v>
      </c>
      <c r="Q273" s="2346">
        <v>36.909999999999997</v>
      </c>
      <c r="R273" s="2346">
        <v>39.5</v>
      </c>
      <c r="S273" s="2346">
        <v>43</v>
      </c>
      <c r="T273" s="2346">
        <v>45.6</v>
      </c>
      <c r="U273" s="2346">
        <v>47.52</v>
      </c>
      <c r="V273" s="2346">
        <v>50.34</v>
      </c>
      <c r="W273" s="2346">
        <v>55.3</v>
      </c>
      <c r="X273" s="2346">
        <v>58.58</v>
      </c>
      <c r="Y273" s="2346">
        <v>63.77</v>
      </c>
      <c r="Z273" s="2346">
        <v>70.650000000000006</v>
      </c>
      <c r="AA273" s="2346">
        <v>77.88</v>
      </c>
      <c r="AB273" s="2346">
        <v>87.25</v>
      </c>
      <c r="AC273" s="2346">
        <v>98.98</v>
      </c>
      <c r="AD273" s="2346">
        <v>111.96</v>
      </c>
      <c r="AE273" s="2347">
        <v>775</v>
      </c>
      <c r="AF273" s="2275"/>
      <c r="AG273" s="2275">
        <f>HLOOKUP(AG266,D267:AD279,5,0)</f>
        <v>18.510000000000002</v>
      </c>
      <c r="AH273" s="2275">
        <f t="shared" si="130"/>
        <v>31.6</v>
      </c>
      <c r="AI273" s="2275">
        <v>650</v>
      </c>
      <c r="AJ273" s="2275"/>
      <c r="AK273" s="2275"/>
      <c r="AL273" s="2275"/>
      <c r="AM273" s="2275"/>
      <c r="AN273" s="2275"/>
      <c r="AO273" s="2275"/>
      <c r="AP273" s="2250"/>
      <c r="AQ273" s="2250"/>
      <c r="AR273" s="2250"/>
      <c r="AS273" s="2250"/>
      <c r="AT273" s="2250"/>
      <c r="AU273" s="2250"/>
      <c r="AV273" s="2250"/>
      <c r="AW273" s="2250"/>
      <c r="AX273" s="2250"/>
      <c r="AY273" s="2250"/>
      <c r="AZ273" s="2250"/>
      <c r="BA273" s="2250"/>
      <c r="BB273" s="2250"/>
      <c r="BC273" s="2250"/>
      <c r="BD273" s="2250"/>
      <c r="BE273" s="2250"/>
      <c r="BF273" s="2276"/>
      <c r="BG273" s="2276"/>
      <c r="BH273" s="2250"/>
      <c r="BI273" s="2275"/>
      <c r="BJ273" s="2275"/>
      <c r="BK273" s="2345">
        <v>775</v>
      </c>
      <c r="BL273" s="2346">
        <v>14.45</v>
      </c>
      <c r="BM273" s="2346">
        <v>16.25</v>
      </c>
      <c r="BN273" s="2346">
        <v>17.95</v>
      </c>
      <c r="BO273" s="2346">
        <v>19.98</v>
      </c>
      <c r="BP273" s="2346">
        <v>21.9</v>
      </c>
      <c r="BQ273" s="2346">
        <v>20.54</v>
      </c>
      <c r="BR273" s="2346">
        <v>22.69</v>
      </c>
      <c r="BS273" s="2346">
        <v>24.15</v>
      </c>
      <c r="BT273" s="2346">
        <v>26.52</v>
      </c>
      <c r="BU273" s="2346">
        <v>28.22</v>
      </c>
      <c r="BV273" s="2346">
        <v>33.409999999999997</v>
      </c>
      <c r="BW273" s="2346">
        <v>35.89</v>
      </c>
      <c r="BX273" s="2346">
        <v>37.58</v>
      </c>
      <c r="BY273" s="2346">
        <v>36.909999999999997</v>
      </c>
      <c r="BZ273" s="2346">
        <v>39.5</v>
      </c>
      <c r="CA273" s="2346">
        <v>43</v>
      </c>
      <c r="CB273" s="2346">
        <v>45.6</v>
      </c>
      <c r="CC273" s="2346">
        <v>47.52</v>
      </c>
      <c r="CD273" s="2346">
        <v>50.34</v>
      </c>
      <c r="CE273" s="2346">
        <v>55.3</v>
      </c>
      <c r="CF273" s="2346">
        <v>58.58</v>
      </c>
      <c r="CG273" s="2346">
        <v>63.77</v>
      </c>
      <c r="CH273" s="2346">
        <v>70.650000000000006</v>
      </c>
      <c r="CI273" s="2346">
        <v>77.88</v>
      </c>
      <c r="CJ273" s="2346">
        <v>87.25</v>
      </c>
      <c r="CK273" s="2346">
        <v>98.98</v>
      </c>
      <c r="CL273" s="2346">
        <v>111.96</v>
      </c>
      <c r="CM273" s="2347">
        <v>775</v>
      </c>
      <c r="CN273" s="2275"/>
      <c r="CO273" s="2275">
        <f>HLOOKUP(CO266,BL267:CL279,5,0)</f>
        <v>17.16</v>
      </c>
      <c r="CP273" s="2275">
        <f t="shared" si="131"/>
        <v>28.67</v>
      </c>
      <c r="CQ273" s="2275">
        <v>650</v>
      </c>
      <c r="CR273" s="2275"/>
      <c r="CS273" s="2275"/>
      <c r="CT273" s="2275"/>
      <c r="CU273" s="2275"/>
      <c r="CV273" s="2275"/>
      <c r="CW273" s="2275"/>
      <c r="CX273" s="2250"/>
      <c r="CY273" s="2250"/>
      <c r="CZ273" s="2250"/>
      <c r="DA273" s="2250"/>
      <c r="DB273" s="2250"/>
      <c r="DC273" s="2250"/>
      <c r="DD273" s="2250"/>
      <c r="DE273" s="2250"/>
      <c r="DF273" s="2250"/>
      <c r="DG273" s="2250"/>
      <c r="DH273" s="2250"/>
      <c r="DI273" s="2250"/>
      <c r="DJ273" s="2250"/>
      <c r="DK273" s="2250"/>
      <c r="DL273" s="2250"/>
      <c r="DM273" s="2250"/>
      <c r="DN273" s="2250"/>
      <c r="DO273" s="2250"/>
      <c r="DP273" s="2250"/>
      <c r="DQ273" s="2277"/>
      <c r="DR273" s="2277"/>
      <c r="DS273" s="277"/>
      <c r="DW273" s="2275"/>
      <c r="DX273" s="2275"/>
      <c r="DY273" s="2345">
        <v>775</v>
      </c>
      <c r="DZ273" s="2346">
        <v>14.45</v>
      </c>
      <c r="EA273" s="2346">
        <v>16.25</v>
      </c>
      <c r="EB273" s="2346">
        <v>17.95</v>
      </c>
      <c r="EC273" s="2346">
        <v>19.98</v>
      </c>
      <c r="ED273" s="2346">
        <v>21.9</v>
      </c>
      <c r="EE273" s="2346">
        <v>20.54</v>
      </c>
      <c r="EF273" s="2346">
        <v>22.69</v>
      </c>
      <c r="EG273" s="2346">
        <v>24.15</v>
      </c>
      <c r="EH273" s="2346">
        <v>26.52</v>
      </c>
      <c r="EI273" s="2346">
        <v>28.22</v>
      </c>
      <c r="EJ273" s="2346">
        <v>33.409999999999997</v>
      </c>
      <c r="EK273" s="2346">
        <v>35.89</v>
      </c>
      <c r="EL273" s="2346">
        <v>37.58</v>
      </c>
      <c r="EM273" s="2346">
        <v>36.909999999999997</v>
      </c>
      <c r="EN273" s="2346">
        <v>39.5</v>
      </c>
      <c r="EO273" s="2346">
        <v>43</v>
      </c>
      <c r="EP273" s="2346">
        <v>45.6</v>
      </c>
      <c r="EQ273" s="2346">
        <v>47.52</v>
      </c>
      <c r="ER273" s="2346">
        <v>50.34</v>
      </c>
      <c r="ES273" s="2346">
        <v>55.3</v>
      </c>
      <c r="ET273" s="2346">
        <v>58.58</v>
      </c>
      <c r="EU273" s="2346">
        <v>63.77</v>
      </c>
      <c r="EV273" s="2346">
        <v>70.650000000000006</v>
      </c>
      <c r="EW273" s="2346">
        <v>77.88</v>
      </c>
      <c r="EX273" s="2346">
        <v>87.25</v>
      </c>
      <c r="EY273" s="2346">
        <v>98.98</v>
      </c>
      <c r="EZ273" s="2346">
        <v>111.96</v>
      </c>
      <c r="FA273" s="2347">
        <v>775</v>
      </c>
      <c r="FB273" s="2275"/>
      <c r="FC273" s="2275">
        <f>HLOOKUP(FC266,DZ267:EZ279,5,0)</f>
        <v>25.96</v>
      </c>
      <c r="FD273" s="2275">
        <f t="shared" si="132"/>
        <v>43.68</v>
      </c>
      <c r="FE273" s="2275">
        <v>650</v>
      </c>
      <c r="FF273" s="2275"/>
      <c r="FG273" s="2275"/>
      <c r="FH273" s="2275"/>
      <c r="FI273" s="2275"/>
      <c r="FJ273" s="2275"/>
      <c r="FK273" s="2275"/>
      <c r="FL273" s="2250"/>
      <c r="FM273" s="2250"/>
      <c r="FN273" s="2250"/>
      <c r="FO273" s="2250"/>
      <c r="FP273" s="2250"/>
      <c r="FQ273" s="2250"/>
      <c r="FR273" s="2250"/>
      <c r="FS273" s="2250"/>
      <c r="FT273" s="2250"/>
      <c r="FU273" s="2250"/>
      <c r="FV273" s="2250"/>
      <c r="FW273" s="2250"/>
      <c r="FX273" s="2250"/>
      <c r="FY273" s="2250"/>
      <c r="FZ273" s="2250"/>
      <c r="GA273" s="2250"/>
      <c r="GB273" s="2276"/>
      <c r="GC273" s="2276"/>
      <c r="GD273" s="2250"/>
      <c r="GE273" s="2275"/>
      <c r="GF273" s="2275"/>
      <c r="GG273" s="2345">
        <v>775</v>
      </c>
      <c r="GH273" s="2346">
        <v>14.45</v>
      </c>
      <c r="GI273" s="2346">
        <v>16.25</v>
      </c>
      <c r="GJ273" s="2346">
        <v>17.95</v>
      </c>
      <c r="GK273" s="2346">
        <v>19.98</v>
      </c>
      <c r="GL273" s="2346">
        <v>21.9</v>
      </c>
      <c r="GM273" s="2346">
        <v>20.54</v>
      </c>
      <c r="GN273" s="2346">
        <v>22.69</v>
      </c>
      <c r="GO273" s="2346">
        <v>24.15</v>
      </c>
      <c r="GP273" s="2346">
        <v>26.52</v>
      </c>
      <c r="GQ273" s="2346">
        <v>28.22</v>
      </c>
      <c r="GR273" s="2346">
        <v>33.409999999999997</v>
      </c>
      <c r="GS273" s="2346">
        <v>35.89</v>
      </c>
      <c r="GT273" s="2346">
        <v>37.58</v>
      </c>
      <c r="GU273" s="2346">
        <v>36.909999999999997</v>
      </c>
      <c r="GV273" s="2346">
        <v>39.5</v>
      </c>
      <c r="GW273" s="2346">
        <v>43</v>
      </c>
      <c r="GX273" s="2346">
        <v>45.6</v>
      </c>
      <c r="GY273" s="2346">
        <v>47.52</v>
      </c>
      <c r="GZ273" s="2346">
        <v>50.34</v>
      </c>
      <c r="HA273" s="2346">
        <v>55.3</v>
      </c>
      <c r="HB273" s="2346">
        <v>58.58</v>
      </c>
      <c r="HC273" s="2346">
        <v>63.77</v>
      </c>
      <c r="HD273" s="2346">
        <v>70.650000000000006</v>
      </c>
      <c r="HE273" s="2346">
        <v>77.88</v>
      </c>
      <c r="HF273" s="2346">
        <v>87.25</v>
      </c>
      <c r="HG273" s="2346">
        <v>98.98</v>
      </c>
      <c r="HH273" s="2346">
        <v>111.96</v>
      </c>
      <c r="HI273" s="2347">
        <v>775</v>
      </c>
      <c r="HJ273" s="2275"/>
      <c r="HK273" s="2275">
        <f>HLOOKUP(HK266,GH267:HH279,5,0)</f>
        <v>24.83</v>
      </c>
      <c r="HL273" s="2275">
        <f t="shared" si="133"/>
        <v>39.840000000000003</v>
      </c>
      <c r="HM273" s="2275">
        <v>650</v>
      </c>
      <c r="HN273" s="2275"/>
      <c r="HO273" s="2275"/>
      <c r="HP273" s="2275"/>
      <c r="HQ273" s="2275"/>
      <c r="HR273" s="2275"/>
      <c r="HS273" s="2275"/>
      <c r="HT273" s="2250"/>
      <c r="HU273" s="2250"/>
      <c r="HV273" s="2250"/>
      <c r="HW273" s="2250"/>
      <c r="HX273" s="2250"/>
      <c r="HY273" s="2250"/>
      <c r="HZ273" s="2250"/>
      <c r="IA273" s="2250"/>
      <c r="IB273" s="2250"/>
      <c r="IC273" s="2250"/>
      <c r="ID273" s="2250"/>
      <c r="IE273" s="2250"/>
      <c r="IF273" s="2250"/>
      <c r="IG273" s="2250"/>
      <c r="IH273" s="2250"/>
      <c r="II273" s="2250"/>
      <c r="IJ273" s="2250"/>
      <c r="IK273" s="2250"/>
      <c r="IL273" s="2250"/>
      <c r="IN273" s="277"/>
      <c r="IO273" s="277"/>
    </row>
    <row r="274" spans="1:249" ht="21.95" customHeight="1">
      <c r="A274" s="2275"/>
      <c r="B274" s="2275"/>
      <c r="C274" s="2345">
        <v>825</v>
      </c>
      <c r="D274" s="2346">
        <v>20.99</v>
      </c>
      <c r="E274" s="2346">
        <v>23.25</v>
      </c>
      <c r="F274" s="2346">
        <v>25.17</v>
      </c>
      <c r="G274" s="2346">
        <v>25.28</v>
      </c>
      <c r="H274" s="2346">
        <v>28.1</v>
      </c>
      <c r="I274" s="2346">
        <v>28.67</v>
      </c>
      <c r="J274" s="2346">
        <v>31.6</v>
      </c>
      <c r="K274" s="2346">
        <v>33.75</v>
      </c>
      <c r="L274" s="2346">
        <v>35.89</v>
      </c>
      <c r="M274" s="2346">
        <v>38.04</v>
      </c>
      <c r="N274" s="2346">
        <v>40.520000000000003</v>
      </c>
      <c r="O274" s="2346">
        <v>45.49</v>
      </c>
      <c r="P274" s="2346">
        <v>47.74</v>
      </c>
      <c r="Q274" s="2346">
        <v>48.31</v>
      </c>
      <c r="R274" s="2346">
        <v>49.89</v>
      </c>
      <c r="S274" s="2346">
        <v>54.63</v>
      </c>
      <c r="T274" s="2346">
        <v>54.85</v>
      </c>
      <c r="U274" s="2346">
        <v>60.72</v>
      </c>
      <c r="V274" s="2346">
        <v>64.11</v>
      </c>
      <c r="W274" s="2346">
        <v>67.489999999999995</v>
      </c>
      <c r="X274" s="2346">
        <v>73.59</v>
      </c>
      <c r="Y274" s="2346">
        <v>79.8</v>
      </c>
      <c r="Z274" s="2346">
        <v>89.84</v>
      </c>
      <c r="AA274" s="2346">
        <v>99.55</v>
      </c>
      <c r="AB274" s="2346">
        <v>110.5</v>
      </c>
      <c r="AC274" s="2346">
        <v>112.87</v>
      </c>
      <c r="AD274" s="2346">
        <v>112.87</v>
      </c>
      <c r="AE274" s="2347">
        <v>825</v>
      </c>
      <c r="AF274" s="2275"/>
      <c r="AG274" s="2275">
        <f>HLOOKUP(AG266,D267:AD279,6,0)</f>
        <v>31.6</v>
      </c>
      <c r="AH274" s="2275">
        <f t="shared" si="130"/>
        <v>47.52</v>
      </c>
      <c r="AI274" s="2275">
        <v>775</v>
      </c>
      <c r="AJ274" s="2275"/>
      <c r="AK274" s="2275"/>
      <c r="AL274" s="2275"/>
      <c r="AM274" s="2275"/>
      <c r="AN274" s="2275"/>
      <c r="AO274" s="2275"/>
      <c r="AP274" s="2250"/>
      <c r="AQ274" s="2250"/>
      <c r="AR274" s="2250"/>
      <c r="AS274" s="2250"/>
      <c r="AT274" s="2250"/>
      <c r="AU274" s="2250"/>
      <c r="AV274" s="2250"/>
      <c r="AW274" s="2250"/>
      <c r="AX274" s="2250"/>
      <c r="AY274" s="2250"/>
      <c r="AZ274" s="2250"/>
      <c r="BA274" s="2250"/>
      <c r="BB274" s="2250"/>
      <c r="BC274" s="2250"/>
      <c r="BD274" s="2250"/>
      <c r="BE274" s="2250"/>
      <c r="BF274" s="2276"/>
      <c r="BG274" s="2276"/>
      <c r="BH274" s="2250"/>
      <c r="BI274" s="2275"/>
      <c r="BJ274" s="2275"/>
      <c r="BK274" s="2345">
        <v>825</v>
      </c>
      <c r="BL274" s="2346">
        <v>20.99</v>
      </c>
      <c r="BM274" s="2346">
        <v>23.25</v>
      </c>
      <c r="BN274" s="2346">
        <v>25.17</v>
      </c>
      <c r="BO274" s="2346">
        <v>25.28</v>
      </c>
      <c r="BP274" s="2346">
        <v>28.1</v>
      </c>
      <c r="BQ274" s="2346">
        <v>28.67</v>
      </c>
      <c r="BR274" s="2346">
        <v>31.6</v>
      </c>
      <c r="BS274" s="2346">
        <v>33.75</v>
      </c>
      <c r="BT274" s="2346">
        <v>35.89</v>
      </c>
      <c r="BU274" s="2346">
        <v>38.04</v>
      </c>
      <c r="BV274" s="2346">
        <v>40.520000000000003</v>
      </c>
      <c r="BW274" s="2346">
        <v>45.49</v>
      </c>
      <c r="BX274" s="2346">
        <v>47.74</v>
      </c>
      <c r="BY274" s="2346">
        <v>48.31</v>
      </c>
      <c r="BZ274" s="2346">
        <v>49.89</v>
      </c>
      <c r="CA274" s="2346">
        <v>54.63</v>
      </c>
      <c r="CB274" s="2346">
        <v>54.85</v>
      </c>
      <c r="CC274" s="2346">
        <v>60.72</v>
      </c>
      <c r="CD274" s="2346">
        <v>64.11</v>
      </c>
      <c r="CE274" s="2346">
        <v>67.489999999999995</v>
      </c>
      <c r="CF274" s="2346">
        <v>73.59</v>
      </c>
      <c r="CG274" s="2346">
        <v>79.8</v>
      </c>
      <c r="CH274" s="2346">
        <v>89.84</v>
      </c>
      <c r="CI274" s="2346">
        <v>99.55</v>
      </c>
      <c r="CJ274" s="2346">
        <v>110.5</v>
      </c>
      <c r="CK274" s="2346">
        <v>112.87</v>
      </c>
      <c r="CL274" s="2346">
        <v>112.87</v>
      </c>
      <c r="CM274" s="2347">
        <v>825</v>
      </c>
      <c r="CN274" s="2275"/>
      <c r="CO274" s="2275">
        <f>HLOOKUP(CO266,BL267:CL279,6,0)</f>
        <v>28.67</v>
      </c>
      <c r="CP274" s="2275">
        <f t="shared" si="131"/>
        <v>45.6</v>
      </c>
      <c r="CQ274" s="2275">
        <v>775</v>
      </c>
      <c r="CR274" s="2275"/>
      <c r="CS274" s="2275"/>
      <c r="CT274" s="2275"/>
      <c r="CU274" s="2275"/>
      <c r="CV274" s="2275"/>
      <c r="CW274" s="2275"/>
      <c r="CX274" s="2250"/>
      <c r="CY274" s="2250"/>
      <c r="CZ274" s="2250"/>
      <c r="DA274" s="2250"/>
      <c r="DB274" s="2250"/>
      <c r="DC274" s="2250"/>
      <c r="DD274" s="2250"/>
      <c r="DE274" s="2250"/>
      <c r="DF274" s="2250"/>
      <c r="DG274" s="2250"/>
      <c r="DH274" s="2250"/>
      <c r="DI274" s="2250"/>
      <c r="DJ274" s="2250"/>
      <c r="DK274" s="2250"/>
      <c r="DL274" s="2250"/>
      <c r="DM274" s="2250"/>
      <c r="DN274" s="2250"/>
      <c r="DO274" s="2250"/>
      <c r="DP274" s="2250"/>
      <c r="DQ274" s="2277"/>
      <c r="DR274" s="2277"/>
      <c r="DS274" s="277"/>
      <c r="DW274" s="2275"/>
      <c r="DX274" s="2275"/>
      <c r="DY274" s="2345">
        <v>825</v>
      </c>
      <c r="DZ274" s="2346">
        <v>20.99</v>
      </c>
      <c r="EA274" s="2346">
        <v>23.25</v>
      </c>
      <c r="EB274" s="2346">
        <v>25.17</v>
      </c>
      <c r="EC274" s="2346">
        <v>25.28</v>
      </c>
      <c r="ED274" s="2346">
        <v>28.1</v>
      </c>
      <c r="EE274" s="2346">
        <v>28.67</v>
      </c>
      <c r="EF274" s="2346">
        <v>31.6</v>
      </c>
      <c r="EG274" s="2346">
        <v>33.75</v>
      </c>
      <c r="EH274" s="2346">
        <v>35.89</v>
      </c>
      <c r="EI274" s="2346">
        <v>38.04</v>
      </c>
      <c r="EJ274" s="2346">
        <v>40.520000000000003</v>
      </c>
      <c r="EK274" s="2346">
        <v>45.49</v>
      </c>
      <c r="EL274" s="2346">
        <v>47.74</v>
      </c>
      <c r="EM274" s="2346">
        <v>48.31</v>
      </c>
      <c r="EN274" s="2346">
        <v>49.89</v>
      </c>
      <c r="EO274" s="2346">
        <v>54.63</v>
      </c>
      <c r="EP274" s="2346">
        <v>54.85</v>
      </c>
      <c r="EQ274" s="2346">
        <v>60.72</v>
      </c>
      <c r="ER274" s="2346">
        <v>64.11</v>
      </c>
      <c r="ES274" s="2346">
        <v>67.489999999999995</v>
      </c>
      <c r="ET274" s="2346">
        <v>73.59</v>
      </c>
      <c r="EU274" s="2346">
        <v>79.8</v>
      </c>
      <c r="EV274" s="2346">
        <v>89.84</v>
      </c>
      <c r="EW274" s="2346">
        <v>99.55</v>
      </c>
      <c r="EX274" s="2346">
        <v>110.5</v>
      </c>
      <c r="EY274" s="2346">
        <v>112.87</v>
      </c>
      <c r="EZ274" s="2346">
        <v>112.87</v>
      </c>
      <c r="FA274" s="2347">
        <v>825</v>
      </c>
      <c r="FB274" s="2275"/>
      <c r="FC274" s="2275">
        <f>HLOOKUP(FC266,DZ267:EZ279,6,0)</f>
        <v>43.68</v>
      </c>
      <c r="FD274" s="2275">
        <f t="shared" si="132"/>
        <v>70.650000000000006</v>
      </c>
      <c r="FE274" s="2275">
        <v>775</v>
      </c>
      <c r="FF274" s="2275"/>
      <c r="FG274" s="2275"/>
      <c r="FH274" s="2275"/>
      <c r="FI274" s="2275"/>
      <c r="FJ274" s="2275"/>
      <c r="FK274" s="2275"/>
      <c r="FL274" s="2250"/>
      <c r="FM274" s="2250"/>
      <c r="FN274" s="2250"/>
      <c r="FO274" s="2250"/>
      <c r="FP274" s="2250"/>
      <c r="FQ274" s="2250"/>
      <c r="FR274" s="2250"/>
      <c r="FS274" s="2250"/>
      <c r="FT274" s="2250"/>
      <c r="FU274" s="2250"/>
      <c r="FV274" s="2250"/>
      <c r="FW274" s="2250"/>
      <c r="FX274" s="2250"/>
      <c r="FY274" s="2250"/>
      <c r="FZ274" s="2250"/>
      <c r="GA274" s="2250"/>
      <c r="GB274" s="2276"/>
      <c r="GC274" s="2276"/>
      <c r="GD274" s="2250"/>
      <c r="GE274" s="2275"/>
      <c r="GF274" s="2275"/>
      <c r="GG274" s="2345">
        <v>825</v>
      </c>
      <c r="GH274" s="2346">
        <v>20.99</v>
      </c>
      <c r="GI274" s="2346">
        <v>23.25</v>
      </c>
      <c r="GJ274" s="2346">
        <v>25.17</v>
      </c>
      <c r="GK274" s="2346">
        <v>25.28</v>
      </c>
      <c r="GL274" s="2346">
        <v>28.1</v>
      </c>
      <c r="GM274" s="2346">
        <v>28.67</v>
      </c>
      <c r="GN274" s="2346">
        <v>31.6</v>
      </c>
      <c r="GO274" s="2346">
        <v>33.75</v>
      </c>
      <c r="GP274" s="2346">
        <v>35.89</v>
      </c>
      <c r="GQ274" s="2346">
        <v>38.04</v>
      </c>
      <c r="GR274" s="2346">
        <v>40.520000000000003</v>
      </c>
      <c r="GS274" s="2346">
        <v>45.49</v>
      </c>
      <c r="GT274" s="2346">
        <v>47.74</v>
      </c>
      <c r="GU274" s="2346">
        <v>48.31</v>
      </c>
      <c r="GV274" s="2346">
        <v>49.89</v>
      </c>
      <c r="GW274" s="2346">
        <v>54.63</v>
      </c>
      <c r="GX274" s="2346">
        <v>54.85</v>
      </c>
      <c r="GY274" s="2346">
        <v>60.72</v>
      </c>
      <c r="GZ274" s="2346">
        <v>64.11</v>
      </c>
      <c r="HA274" s="2346">
        <v>67.489999999999995</v>
      </c>
      <c r="HB274" s="2346">
        <v>73.59</v>
      </c>
      <c r="HC274" s="2346">
        <v>79.8</v>
      </c>
      <c r="HD274" s="2346">
        <v>89.84</v>
      </c>
      <c r="HE274" s="2346">
        <v>99.55</v>
      </c>
      <c r="HF274" s="2346">
        <v>110.5</v>
      </c>
      <c r="HG274" s="2346">
        <v>112.87</v>
      </c>
      <c r="HH274" s="2346">
        <v>112.87</v>
      </c>
      <c r="HI274" s="2347">
        <v>825</v>
      </c>
      <c r="HJ274" s="2275"/>
      <c r="HK274" s="2275">
        <f>HLOOKUP(HK266,GH267:HH279,6,0)</f>
        <v>39.840000000000003</v>
      </c>
      <c r="HL274" s="2275">
        <f t="shared" si="133"/>
        <v>63.77</v>
      </c>
      <c r="HM274" s="2275">
        <v>775</v>
      </c>
      <c r="HN274" s="2275"/>
      <c r="HO274" s="2275"/>
      <c r="HP274" s="2275"/>
      <c r="HQ274" s="2275"/>
      <c r="HR274" s="2275"/>
      <c r="HS274" s="2275"/>
      <c r="HT274" s="2250"/>
      <c r="HU274" s="2250"/>
      <c r="HV274" s="2250"/>
      <c r="HW274" s="2250"/>
      <c r="HX274" s="2250"/>
      <c r="HY274" s="2250"/>
      <c r="HZ274" s="2250"/>
      <c r="IA274" s="2250"/>
      <c r="IB274" s="2250"/>
      <c r="IC274" s="2250"/>
      <c r="ID274" s="2250"/>
      <c r="IE274" s="2250"/>
      <c r="IF274" s="2250"/>
      <c r="IG274" s="2250"/>
      <c r="IH274" s="2250"/>
      <c r="II274" s="2250"/>
      <c r="IJ274" s="2250"/>
      <c r="IK274" s="2250"/>
      <c r="IL274" s="2250"/>
      <c r="IN274" s="277"/>
      <c r="IO274" s="277"/>
    </row>
    <row r="275" spans="1:249" ht="21.95" customHeight="1">
      <c r="A275" s="2275"/>
      <c r="B275" s="2275"/>
      <c r="C275" s="2345">
        <v>950</v>
      </c>
      <c r="D275" s="2346">
        <v>29.12</v>
      </c>
      <c r="E275" s="2346">
        <v>32.840000000000003</v>
      </c>
      <c r="F275" s="2346">
        <v>36.340000000000003</v>
      </c>
      <c r="G275" s="2346">
        <v>38.83</v>
      </c>
      <c r="H275" s="2346">
        <v>38.83</v>
      </c>
      <c r="I275" s="2346">
        <v>41.53</v>
      </c>
      <c r="J275" s="2346">
        <v>45.94</v>
      </c>
      <c r="K275" s="2346">
        <v>48.87</v>
      </c>
      <c r="L275" s="2346">
        <v>52.14</v>
      </c>
      <c r="M275" s="2346">
        <v>57</v>
      </c>
      <c r="N275" s="2346">
        <v>58.35</v>
      </c>
      <c r="O275" s="2346">
        <v>68.17</v>
      </c>
      <c r="P275" s="2346">
        <v>69.069999999999993</v>
      </c>
      <c r="Q275" s="2346">
        <v>69.41</v>
      </c>
      <c r="R275" s="2346">
        <v>72.69</v>
      </c>
      <c r="S275" s="2346">
        <v>79.91</v>
      </c>
      <c r="T275" s="2346">
        <v>85.44</v>
      </c>
      <c r="U275" s="2346">
        <v>89.62</v>
      </c>
      <c r="V275" s="2346">
        <v>93.23</v>
      </c>
      <c r="W275" s="2346">
        <v>102.48</v>
      </c>
      <c r="X275" s="2346">
        <v>109.82</v>
      </c>
      <c r="Y275" s="2346">
        <v>119.07</v>
      </c>
      <c r="Z275" s="2346">
        <v>129.46</v>
      </c>
      <c r="AA275" s="2346">
        <v>142.33000000000001</v>
      </c>
      <c r="AB275" s="2346">
        <v>158.24</v>
      </c>
      <c r="AC275" s="2346">
        <v>168.4</v>
      </c>
      <c r="AD275" s="2346">
        <v>168.4</v>
      </c>
      <c r="AE275" s="2347">
        <v>950</v>
      </c>
      <c r="AF275" s="2275"/>
      <c r="AG275" s="2275">
        <f>HLOOKUP(AG266,D267:AD279,7,0)</f>
        <v>47.52</v>
      </c>
      <c r="AH275" s="2275">
        <f t="shared" si="130"/>
        <v>60.72</v>
      </c>
      <c r="AI275" s="2275">
        <v>825</v>
      </c>
      <c r="AJ275" s="2275"/>
      <c r="AK275" s="2275"/>
      <c r="AL275" s="2275"/>
      <c r="AM275" s="2275"/>
      <c r="AN275" s="2275"/>
      <c r="AO275" s="2275"/>
      <c r="AP275" s="2250"/>
      <c r="AQ275" s="2250"/>
      <c r="AR275" s="2250"/>
      <c r="AS275" s="2250"/>
      <c r="AT275" s="2250"/>
      <c r="AU275" s="2250"/>
      <c r="AV275" s="2250"/>
      <c r="AW275" s="2250"/>
      <c r="AX275" s="2250"/>
      <c r="AY275" s="2250"/>
      <c r="AZ275" s="2250"/>
      <c r="BA275" s="2250"/>
      <c r="BB275" s="2250"/>
      <c r="BC275" s="2250"/>
      <c r="BD275" s="2250"/>
      <c r="BE275" s="2250"/>
      <c r="BF275" s="2276"/>
      <c r="BG275" s="2276"/>
      <c r="BH275" s="2250"/>
      <c r="BI275" s="2275"/>
      <c r="BJ275" s="2275"/>
      <c r="BK275" s="2345">
        <v>950</v>
      </c>
      <c r="BL275" s="2346">
        <v>29.12</v>
      </c>
      <c r="BM275" s="2346">
        <v>32.840000000000003</v>
      </c>
      <c r="BN275" s="2346">
        <v>36.340000000000003</v>
      </c>
      <c r="BO275" s="2346">
        <v>38.83</v>
      </c>
      <c r="BP275" s="2346">
        <v>38.83</v>
      </c>
      <c r="BQ275" s="2346">
        <v>41.53</v>
      </c>
      <c r="BR275" s="2346">
        <v>45.94</v>
      </c>
      <c r="BS275" s="2346">
        <v>48.87</v>
      </c>
      <c r="BT275" s="2346">
        <v>52.14</v>
      </c>
      <c r="BU275" s="2346">
        <v>57</v>
      </c>
      <c r="BV275" s="2346">
        <v>58.35</v>
      </c>
      <c r="BW275" s="2346">
        <v>68.17</v>
      </c>
      <c r="BX275" s="2346">
        <v>69.069999999999993</v>
      </c>
      <c r="BY275" s="2346">
        <v>69.41</v>
      </c>
      <c r="BZ275" s="2346">
        <v>72.69</v>
      </c>
      <c r="CA275" s="2346">
        <v>79.91</v>
      </c>
      <c r="CB275" s="2346">
        <v>85.44</v>
      </c>
      <c r="CC275" s="2346">
        <v>89.62</v>
      </c>
      <c r="CD275" s="2346">
        <v>93.23</v>
      </c>
      <c r="CE275" s="2346">
        <v>102.48</v>
      </c>
      <c r="CF275" s="2346">
        <v>109.82</v>
      </c>
      <c r="CG275" s="2346">
        <v>119.07</v>
      </c>
      <c r="CH275" s="2346">
        <v>129.46</v>
      </c>
      <c r="CI275" s="2346">
        <v>142.33000000000001</v>
      </c>
      <c r="CJ275" s="2346">
        <v>158.24</v>
      </c>
      <c r="CK275" s="2346">
        <v>168.4</v>
      </c>
      <c r="CL275" s="2346">
        <v>168.4</v>
      </c>
      <c r="CM275" s="2347">
        <v>950</v>
      </c>
      <c r="CN275" s="2275"/>
      <c r="CO275" s="2275">
        <f>HLOOKUP(CO266,BL267:CL279,7,0)</f>
        <v>45.6</v>
      </c>
      <c r="CP275" s="2275">
        <f t="shared" si="131"/>
        <v>54.85</v>
      </c>
      <c r="CQ275" s="2275">
        <v>825</v>
      </c>
      <c r="CR275" s="2275"/>
      <c r="CS275" s="2275"/>
      <c r="CT275" s="2275"/>
      <c r="CU275" s="2275"/>
      <c r="CV275" s="2275"/>
      <c r="CW275" s="2275"/>
      <c r="CX275" s="2250"/>
      <c r="CY275" s="2250"/>
      <c r="CZ275" s="2250"/>
      <c r="DA275" s="2250"/>
      <c r="DB275" s="2250"/>
      <c r="DC275" s="2250"/>
      <c r="DD275" s="2250"/>
      <c r="DE275" s="2250"/>
      <c r="DF275" s="2250"/>
      <c r="DG275" s="2250"/>
      <c r="DH275" s="2250"/>
      <c r="DI275" s="2250"/>
      <c r="DJ275" s="2250"/>
      <c r="DK275" s="2250"/>
      <c r="DL275" s="2250"/>
      <c r="DM275" s="2250"/>
      <c r="DN275" s="2250"/>
      <c r="DO275" s="2250"/>
      <c r="DP275" s="2250"/>
      <c r="DQ275" s="2277"/>
      <c r="DR275" s="2277"/>
      <c r="DS275" s="277"/>
      <c r="DW275" s="2275"/>
      <c r="DX275" s="2275"/>
      <c r="DY275" s="2345">
        <v>950</v>
      </c>
      <c r="DZ275" s="2346">
        <v>29.12</v>
      </c>
      <c r="EA275" s="2346">
        <v>32.840000000000003</v>
      </c>
      <c r="EB275" s="2346">
        <v>36.340000000000003</v>
      </c>
      <c r="EC275" s="2346">
        <v>38.83</v>
      </c>
      <c r="ED275" s="2346">
        <v>38.83</v>
      </c>
      <c r="EE275" s="2346">
        <v>41.53</v>
      </c>
      <c r="EF275" s="2346">
        <v>45.94</v>
      </c>
      <c r="EG275" s="2346">
        <v>48.87</v>
      </c>
      <c r="EH275" s="2346">
        <v>52.14</v>
      </c>
      <c r="EI275" s="2346">
        <v>57</v>
      </c>
      <c r="EJ275" s="2346">
        <v>58.35</v>
      </c>
      <c r="EK275" s="2346">
        <v>68.17</v>
      </c>
      <c r="EL275" s="2346">
        <v>69.069999999999993</v>
      </c>
      <c r="EM275" s="2346">
        <v>69.41</v>
      </c>
      <c r="EN275" s="2346">
        <v>72.69</v>
      </c>
      <c r="EO275" s="2346">
        <v>79.91</v>
      </c>
      <c r="EP275" s="2346">
        <v>85.44</v>
      </c>
      <c r="EQ275" s="2346">
        <v>89.62</v>
      </c>
      <c r="ER275" s="2346">
        <v>93.23</v>
      </c>
      <c r="ES275" s="2346">
        <v>102.48</v>
      </c>
      <c r="ET275" s="2346">
        <v>109.82</v>
      </c>
      <c r="EU275" s="2346">
        <v>119.07</v>
      </c>
      <c r="EV275" s="2346">
        <v>129.46</v>
      </c>
      <c r="EW275" s="2346">
        <v>142.33000000000001</v>
      </c>
      <c r="EX275" s="2346">
        <v>158.24</v>
      </c>
      <c r="EY275" s="2346">
        <v>168.4</v>
      </c>
      <c r="EZ275" s="2346">
        <v>168.4</v>
      </c>
      <c r="FA275" s="2347">
        <v>950</v>
      </c>
      <c r="FB275" s="2275"/>
      <c r="FC275" s="2275">
        <f>HLOOKUP(FC266,DZ267:EZ279,7,0)</f>
        <v>70.650000000000006</v>
      </c>
      <c r="FD275" s="2275">
        <f t="shared" si="132"/>
        <v>89.84</v>
      </c>
      <c r="FE275" s="2275">
        <v>825</v>
      </c>
      <c r="FF275" s="2275"/>
      <c r="FG275" s="2275"/>
      <c r="FH275" s="2275"/>
      <c r="FI275" s="2275"/>
      <c r="FJ275" s="2275"/>
      <c r="FK275" s="2275"/>
      <c r="FL275" s="2250"/>
      <c r="FM275" s="2250"/>
      <c r="FN275" s="2250"/>
      <c r="FO275" s="2250"/>
      <c r="FP275" s="2250"/>
      <c r="FQ275" s="2250"/>
      <c r="FR275" s="2250"/>
      <c r="FS275" s="2250"/>
      <c r="FT275" s="2250"/>
      <c r="FU275" s="2250"/>
      <c r="FV275" s="2250"/>
      <c r="FW275" s="2250"/>
      <c r="FX275" s="2250"/>
      <c r="FY275" s="2250"/>
      <c r="FZ275" s="2250"/>
      <c r="GA275" s="2250"/>
      <c r="GB275" s="2276"/>
      <c r="GC275" s="2276"/>
      <c r="GD275" s="2250"/>
      <c r="GE275" s="2275"/>
      <c r="GF275" s="2275"/>
      <c r="GG275" s="2345">
        <v>950</v>
      </c>
      <c r="GH275" s="2346">
        <v>29.12</v>
      </c>
      <c r="GI275" s="2346">
        <v>32.840000000000003</v>
      </c>
      <c r="GJ275" s="2346">
        <v>36.340000000000003</v>
      </c>
      <c r="GK275" s="2346">
        <v>38.83</v>
      </c>
      <c r="GL275" s="2346">
        <v>38.83</v>
      </c>
      <c r="GM275" s="2346">
        <v>41.53</v>
      </c>
      <c r="GN275" s="2346">
        <v>45.94</v>
      </c>
      <c r="GO275" s="2346">
        <v>48.87</v>
      </c>
      <c r="GP275" s="2346">
        <v>52.14</v>
      </c>
      <c r="GQ275" s="2346">
        <v>57</v>
      </c>
      <c r="GR275" s="2346">
        <v>58.35</v>
      </c>
      <c r="GS275" s="2346">
        <v>68.17</v>
      </c>
      <c r="GT275" s="2346">
        <v>69.069999999999993</v>
      </c>
      <c r="GU275" s="2346">
        <v>69.41</v>
      </c>
      <c r="GV275" s="2346">
        <v>72.69</v>
      </c>
      <c r="GW275" s="2346">
        <v>79.91</v>
      </c>
      <c r="GX275" s="2346">
        <v>85.44</v>
      </c>
      <c r="GY275" s="2346">
        <v>89.62</v>
      </c>
      <c r="GZ275" s="2346">
        <v>93.23</v>
      </c>
      <c r="HA275" s="2346">
        <v>102.48</v>
      </c>
      <c r="HB275" s="2346">
        <v>109.82</v>
      </c>
      <c r="HC275" s="2346">
        <v>119.07</v>
      </c>
      <c r="HD275" s="2346">
        <v>129.46</v>
      </c>
      <c r="HE275" s="2346">
        <v>142.33000000000001</v>
      </c>
      <c r="HF275" s="2346">
        <v>158.24</v>
      </c>
      <c r="HG275" s="2346">
        <v>168.4</v>
      </c>
      <c r="HH275" s="2346">
        <v>168.4</v>
      </c>
      <c r="HI275" s="2347">
        <v>950</v>
      </c>
      <c r="HJ275" s="2275"/>
      <c r="HK275" s="2275">
        <f>HLOOKUP(HK266,GH267:HH279,7,0)</f>
        <v>63.77</v>
      </c>
      <c r="HL275" s="2275">
        <f t="shared" si="133"/>
        <v>79.8</v>
      </c>
      <c r="HM275" s="2275">
        <v>825</v>
      </c>
      <c r="HN275" s="2275"/>
      <c r="HO275" s="2275"/>
      <c r="HP275" s="2275"/>
      <c r="HQ275" s="2275"/>
      <c r="HR275" s="2275"/>
      <c r="HS275" s="2275"/>
      <c r="HT275" s="2250"/>
      <c r="HU275" s="2250"/>
      <c r="HV275" s="2250"/>
      <c r="HW275" s="2250"/>
      <c r="HX275" s="2250"/>
      <c r="HY275" s="2250"/>
      <c r="HZ275" s="2250"/>
      <c r="IA275" s="2250"/>
      <c r="IB275" s="2250"/>
      <c r="IC275" s="2250"/>
      <c r="ID275" s="2250"/>
      <c r="IE275" s="2250"/>
      <c r="IF275" s="2250"/>
      <c r="IG275" s="2250"/>
      <c r="IH275" s="2250"/>
      <c r="II275" s="2250"/>
      <c r="IJ275" s="2250"/>
      <c r="IK275" s="2250"/>
      <c r="IL275" s="2250"/>
      <c r="IN275" s="277"/>
      <c r="IO275" s="277"/>
    </row>
    <row r="276" spans="1:249" ht="21.95" customHeight="1">
      <c r="A276" s="2275"/>
      <c r="B276" s="2275"/>
      <c r="C276" s="2345">
        <v>1100</v>
      </c>
      <c r="D276" s="2346">
        <v>39.159999999999997</v>
      </c>
      <c r="E276" s="2346">
        <v>44.13</v>
      </c>
      <c r="F276" s="2346">
        <v>48.87</v>
      </c>
      <c r="G276" s="2346">
        <v>54.18</v>
      </c>
      <c r="H276" s="2346">
        <v>59.14</v>
      </c>
      <c r="I276" s="2346">
        <v>55.76</v>
      </c>
      <c r="J276" s="2346">
        <v>61.74</v>
      </c>
      <c r="K276" s="2346">
        <v>67.61</v>
      </c>
      <c r="L276" s="2346">
        <v>72.010000000000005</v>
      </c>
      <c r="M276" s="2346">
        <v>76.52</v>
      </c>
      <c r="N276" s="2346">
        <v>90.52</v>
      </c>
      <c r="O276" s="2346">
        <v>96.61</v>
      </c>
      <c r="P276" s="2346">
        <v>102.14</v>
      </c>
      <c r="Q276" s="2346">
        <v>100.23</v>
      </c>
      <c r="R276" s="2346">
        <v>107.34</v>
      </c>
      <c r="S276" s="2346">
        <v>113.77</v>
      </c>
      <c r="T276" s="2346">
        <v>123.7</v>
      </c>
      <c r="U276" s="2346">
        <v>129.12</v>
      </c>
      <c r="V276" s="2346">
        <v>136.57</v>
      </c>
      <c r="W276" s="2346">
        <v>151.13</v>
      </c>
      <c r="X276" s="2346">
        <v>158.91999999999999</v>
      </c>
      <c r="Y276" s="2346">
        <v>173.14</v>
      </c>
      <c r="Z276" s="2346">
        <v>189.39</v>
      </c>
      <c r="AA276" s="2346">
        <v>211.51</v>
      </c>
      <c r="AB276" s="2346">
        <v>232.51</v>
      </c>
      <c r="AC276" s="2346">
        <v>268.74</v>
      </c>
      <c r="AD276" s="2346">
        <v>303.83999999999997</v>
      </c>
      <c r="AE276" s="2347">
        <v>1100</v>
      </c>
      <c r="AF276" s="2275"/>
      <c r="AG276" s="2275">
        <f>HLOOKUP(AG266,D267:AD279,8,0)</f>
        <v>60.72</v>
      </c>
      <c r="AH276" s="2275">
        <f t="shared" si="130"/>
        <v>89.62</v>
      </c>
      <c r="AI276" s="2275">
        <v>950</v>
      </c>
      <c r="AJ276" s="2275"/>
      <c r="AK276" s="2275"/>
      <c r="AL276" s="2275"/>
      <c r="AM276" s="2275"/>
      <c r="AN276" s="2275"/>
      <c r="AO276" s="2275"/>
      <c r="AP276" s="2250"/>
      <c r="AQ276" s="2250"/>
      <c r="AR276" s="2250"/>
      <c r="AS276" s="2250"/>
      <c r="AT276" s="2250"/>
      <c r="AU276" s="2250"/>
      <c r="AV276" s="2250"/>
      <c r="AW276" s="2250"/>
      <c r="AX276" s="2250"/>
      <c r="AY276" s="2250"/>
      <c r="AZ276" s="2250"/>
      <c r="BA276" s="2250"/>
      <c r="BB276" s="2250"/>
      <c r="BC276" s="2250"/>
      <c r="BD276" s="2250"/>
      <c r="BE276" s="2250"/>
      <c r="BF276" s="2276"/>
      <c r="BG276" s="2276"/>
      <c r="BH276" s="2250"/>
      <c r="BI276" s="2275"/>
      <c r="BJ276" s="2275"/>
      <c r="BK276" s="2345">
        <v>1100</v>
      </c>
      <c r="BL276" s="2346">
        <v>39.159999999999997</v>
      </c>
      <c r="BM276" s="2346">
        <v>44.13</v>
      </c>
      <c r="BN276" s="2346">
        <v>48.87</v>
      </c>
      <c r="BO276" s="2346">
        <v>54.18</v>
      </c>
      <c r="BP276" s="2346">
        <v>59.14</v>
      </c>
      <c r="BQ276" s="2346">
        <v>55.76</v>
      </c>
      <c r="BR276" s="2346">
        <v>61.74</v>
      </c>
      <c r="BS276" s="2346">
        <v>67.61</v>
      </c>
      <c r="BT276" s="2346">
        <v>72.010000000000005</v>
      </c>
      <c r="BU276" s="2346">
        <v>76.52</v>
      </c>
      <c r="BV276" s="2346">
        <v>90.52</v>
      </c>
      <c r="BW276" s="2346">
        <v>96.61</v>
      </c>
      <c r="BX276" s="2346">
        <v>102.14</v>
      </c>
      <c r="BY276" s="2346">
        <v>100.23</v>
      </c>
      <c r="BZ276" s="2346">
        <v>107.34</v>
      </c>
      <c r="CA276" s="2346">
        <v>113.77</v>
      </c>
      <c r="CB276" s="2346">
        <v>123.7</v>
      </c>
      <c r="CC276" s="2346">
        <v>129.12</v>
      </c>
      <c r="CD276" s="2346">
        <v>136.57</v>
      </c>
      <c r="CE276" s="2346">
        <v>151.13</v>
      </c>
      <c r="CF276" s="2346">
        <v>158.91999999999999</v>
      </c>
      <c r="CG276" s="2346">
        <v>173.14</v>
      </c>
      <c r="CH276" s="2346">
        <v>189.39</v>
      </c>
      <c r="CI276" s="2346">
        <v>211.51</v>
      </c>
      <c r="CJ276" s="2346">
        <v>232.51</v>
      </c>
      <c r="CK276" s="2346">
        <v>268.74</v>
      </c>
      <c r="CL276" s="2346">
        <v>303.83999999999997</v>
      </c>
      <c r="CM276" s="2347">
        <v>1100</v>
      </c>
      <c r="CN276" s="2275"/>
      <c r="CO276" s="2275">
        <f>HLOOKUP(CO266,BL267:CL279,8,0)</f>
        <v>54.85</v>
      </c>
      <c r="CP276" s="2275">
        <f t="shared" si="131"/>
        <v>85.44</v>
      </c>
      <c r="CQ276" s="2275">
        <v>950</v>
      </c>
      <c r="CR276" s="2275"/>
      <c r="CS276" s="2275"/>
      <c r="CT276" s="2275"/>
      <c r="CU276" s="2275"/>
      <c r="CV276" s="2275"/>
      <c r="CW276" s="2275"/>
      <c r="CX276" s="2250"/>
      <c r="CY276" s="2250"/>
      <c r="CZ276" s="2250"/>
      <c r="DA276" s="2250"/>
      <c r="DB276" s="2250"/>
      <c r="DC276" s="2250"/>
      <c r="DD276" s="2250"/>
      <c r="DE276" s="2250"/>
      <c r="DF276" s="2250"/>
      <c r="DG276" s="2250"/>
      <c r="DH276" s="2250"/>
      <c r="DI276" s="2250"/>
      <c r="DJ276" s="2250"/>
      <c r="DK276" s="2250"/>
      <c r="DL276" s="2250"/>
      <c r="DM276" s="2250"/>
      <c r="DN276" s="2250"/>
      <c r="DO276" s="2250"/>
      <c r="DP276" s="2250"/>
      <c r="DQ276" s="2277"/>
      <c r="DR276" s="2277"/>
      <c r="DS276" s="277"/>
      <c r="DW276" s="2275"/>
      <c r="DX276" s="2275"/>
      <c r="DY276" s="2345">
        <v>1100</v>
      </c>
      <c r="DZ276" s="2346">
        <v>39.159999999999997</v>
      </c>
      <c r="EA276" s="2346">
        <v>44.13</v>
      </c>
      <c r="EB276" s="2346">
        <v>48.87</v>
      </c>
      <c r="EC276" s="2346">
        <v>54.18</v>
      </c>
      <c r="ED276" s="2346">
        <v>59.14</v>
      </c>
      <c r="EE276" s="2346">
        <v>55.76</v>
      </c>
      <c r="EF276" s="2346">
        <v>61.74</v>
      </c>
      <c r="EG276" s="2346">
        <v>67.61</v>
      </c>
      <c r="EH276" s="2346">
        <v>72.010000000000005</v>
      </c>
      <c r="EI276" s="2346">
        <v>76.52</v>
      </c>
      <c r="EJ276" s="2346">
        <v>90.52</v>
      </c>
      <c r="EK276" s="2346">
        <v>96.61</v>
      </c>
      <c r="EL276" s="2346">
        <v>102.14</v>
      </c>
      <c r="EM276" s="2346">
        <v>100.23</v>
      </c>
      <c r="EN276" s="2346">
        <v>107.34</v>
      </c>
      <c r="EO276" s="2346">
        <v>113.77</v>
      </c>
      <c r="EP276" s="2346">
        <v>123.7</v>
      </c>
      <c r="EQ276" s="2346">
        <v>129.12</v>
      </c>
      <c r="ER276" s="2346">
        <v>136.57</v>
      </c>
      <c r="ES276" s="2346">
        <v>151.13</v>
      </c>
      <c r="ET276" s="2346">
        <v>158.91999999999999</v>
      </c>
      <c r="EU276" s="2346">
        <v>173.14</v>
      </c>
      <c r="EV276" s="2346">
        <v>189.39</v>
      </c>
      <c r="EW276" s="2346">
        <v>211.51</v>
      </c>
      <c r="EX276" s="2346">
        <v>232.51</v>
      </c>
      <c r="EY276" s="2346">
        <v>268.74</v>
      </c>
      <c r="EZ276" s="2346">
        <v>303.83999999999997</v>
      </c>
      <c r="FA276" s="2347">
        <v>1100</v>
      </c>
      <c r="FB276" s="2275"/>
      <c r="FC276" s="2275">
        <f>HLOOKUP(FC266,DZ267:EZ279,8,0)</f>
        <v>89.84</v>
      </c>
      <c r="FD276" s="2275">
        <f t="shared" si="132"/>
        <v>129.46</v>
      </c>
      <c r="FE276" s="2275">
        <v>950</v>
      </c>
      <c r="FF276" s="2275"/>
      <c r="FG276" s="2275"/>
      <c r="FH276" s="2275"/>
      <c r="FI276" s="2275"/>
      <c r="FJ276" s="2275"/>
      <c r="FK276" s="2275"/>
      <c r="FL276" s="2250"/>
      <c r="FM276" s="2250"/>
      <c r="FN276" s="2250"/>
      <c r="FO276" s="2250"/>
      <c r="FP276" s="2250"/>
      <c r="FQ276" s="2250"/>
      <c r="FR276" s="2250"/>
      <c r="FS276" s="2250"/>
      <c r="FT276" s="2250"/>
      <c r="FU276" s="2250"/>
      <c r="FV276" s="2250"/>
      <c r="FW276" s="2250"/>
      <c r="FX276" s="2250"/>
      <c r="FY276" s="2250"/>
      <c r="FZ276" s="2250"/>
      <c r="GA276" s="2250"/>
      <c r="GB276" s="2276"/>
      <c r="GC276" s="2276"/>
      <c r="GD276" s="2250"/>
      <c r="GE276" s="2275"/>
      <c r="GF276" s="2275"/>
      <c r="GG276" s="2345">
        <v>1100</v>
      </c>
      <c r="GH276" s="2346">
        <v>39.159999999999997</v>
      </c>
      <c r="GI276" s="2346">
        <v>44.13</v>
      </c>
      <c r="GJ276" s="2346">
        <v>48.87</v>
      </c>
      <c r="GK276" s="2346">
        <v>54.18</v>
      </c>
      <c r="GL276" s="2346">
        <v>59.14</v>
      </c>
      <c r="GM276" s="2346">
        <v>55.76</v>
      </c>
      <c r="GN276" s="2346">
        <v>61.74</v>
      </c>
      <c r="GO276" s="2346">
        <v>67.61</v>
      </c>
      <c r="GP276" s="2346">
        <v>72.010000000000005</v>
      </c>
      <c r="GQ276" s="2346">
        <v>76.52</v>
      </c>
      <c r="GR276" s="2346">
        <v>90.52</v>
      </c>
      <c r="GS276" s="2346">
        <v>96.61</v>
      </c>
      <c r="GT276" s="2346">
        <v>102.14</v>
      </c>
      <c r="GU276" s="2346">
        <v>100.23</v>
      </c>
      <c r="GV276" s="2346">
        <v>107.34</v>
      </c>
      <c r="GW276" s="2346">
        <v>113.77</v>
      </c>
      <c r="GX276" s="2346">
        <v>123.7</v>
      </c>
      <c r="GY276" s="2346">
        <v>129.12</v>
      </c>
      <c r="GZ276" s="2346">
        <v>136.57</v>
      </c>
      <c r="HA276" s="2346">
        <v>151.13</v>
      </c>
      <c r="HB276" s="2346">
        <v>158.91999999999999</v>
      </c>
      <c r="HC276" s="2346">
        <v>173.14</v>
      </c>
      <c r="HD276" s="2346">
        <v>189.39</v>
      </c>
      <c r="HE276" s="2346">
        <v>211.51</v>
      </c>
      <c r="HF276" s="2346">
        <v>232.51</v>
      </c>
      <c r="HG276" s="2346">
        <v>268.74</v>
      </c>
      <c r="HH276" s="2346">
        <v>303.83999999999997</v>
      </c>
      <c r="HI276" s="2347">
        <v>1100</v>
      </c>
      <c r="HJ276" s="2275"/>
      <c r="HK276" s="2275">
        <f>HLOOKUP(HK266,GH267:HH279,8,0)</f>
        <v>79.8</v>
      </c>
      <c r="HL276" s="2275">
        <f t="shared" si="133"/>
        <v>119.07</v>
      </c>
      <c r="HM276" s="2275">
        <v>950</v>
      </c>
      <c r="HN276" s="2275"/>
      <c r="HO276" s="2275"/>
      <c r="HP276" s="2275"/>
      <c r="HQ276" s="2275"/>
      <c r="HR276" s="2275"/>
      <c r="HS276" s="2275"/>
      <c r="HT276" s="2250"/>
      <c r="HU276" s="2250"/>
      <c r="HV276" s="2250"/>
      <c r="HW276" s="2250"/>
      <c r="HX276" s="2250"/>
      <c r="HY276" s="2250"/>
      <c r="HZ276" s="2250"/>
      <c r="IA276" s="2250"/>
      <c r="IB276" s="2250"/>
      <c r="IC276" s="2250"/>
      <c r="ID276" s="2250"/>
      <c r="IE276" s="2250"/>
      <c r="IF276" s="2250"/>
      <c r="IG276" s="2250"/>
      <c r="IH276" s="2250"/>
      <c r="II276" s="2250"/>
      <c r="IJ276" s="2250"/>
      <c r="IK276" s="2250"/>
      <c r="IL276" s="2250"/>
      <c r="IN276" s="277"/>
      <c r="IO276" s="277"/>
    </row>
    <row r="277" spans="1:249" ht="21.95" customHeight="1">
      <c r="A277" s="2275"/>
      <c r="B277" s="2275"/>
      <c r="C277" s="2345">
        <v>1250</v>
      </c>
      <c r="D277" s="2346">
        <v>57.45</v>
      </c>
      <c r="E277" s="2346">
        <v>64.790000000000006</v>
      </c>
      <c r="F277" s="2346">
        <v>71.78</v>
      </c>
      <c r="G277" s="2346">
        <v>79.459999999999994</v>
      </c>
      <c r="H277" s="2346">
        <v>86.79</v>
      </c>
      <c r="I277" s="2346">
        <v>81.83</v>
      </c>
      <c r="J277" s="2346">
        <v>90.63</v>
      </c>
      <c r="K277" s="2346">
        <v>96.5</v>
      </c>
      <c r="L277" s="2346">
        <v>105.87</v>
      </c>
      <c r="M277" s="2346">
        <v>107.9</v>
      </c>
      <c r="N277" s="2346">
        <v>119.53</v>
      </c>
      <c r="O277" s="2346">
        <v>139.05000000000001</v>
      </c>
      <c r="P277" s="2346">
        <v>140.41</v>
      </c>
      <c r="Q277" s="2346">
        <v>147.18</v>
      </c>
      <c r="R277" s="2346">
        <v>154.85</v>
      </c>
      <c r="S277" s="2346">
        <v>166.37</v>
      </c>
      <c r="T277" s="2346">
        <v>173.81</v>
      </c>
      <c r="U277" s="2346">
        <v>188.37</v>
      </c>
      <c r="V277" s="2346">
        <v>200.56</v>
      </c>
      <c r="W277" s="2346">
        <v>216.25</v>
      </c>
      <c r="X277" s="2346">
        <v>228.67</v>
      </c>
      <c r="Y277" s="2346">
        <v>238.83</v>
      </c>
      <c r="Z277" s="2346">
        <v>265.01</v>
      </c>
      <c r="AA277" s="2346">
        <v>291.31</v>
      </c>
      <c r="AB277" s="2346">
        <v>327.31</v>
      </c>
      <c r="AC277" s="2346">
        <v>329.01</v>
      </c>
      <c r="AD277" s="2346">
        <v>329.01</v>
      </c>
      <c r="AE277" s="2347">
        <v>1250</v>
      </c>
      <c r="AF277" s="2275"/>
      <c r="AG277" s="2275">
        <f>HLOOKUP(AG266,D267:AD279,9,0)</f>
        <v>89.62</v>
      </c>
      <c r="AH277" s="2275">
        <f t="shared" si="130"/>
        <v>129.12</v>
      </c>
      <c r="AI277" s="2275">
        <v>1100</v>
      </c>
      <c r="AJ277" s="2275"/>
      <c r="AK277" s="2275"/>
      <c r="AL277" s="2275"/>
      <c r="AM277" s="2275"/>
      <c r="AN277" s="2275"/>
      <c r="AO277" s="2275"/>
      <c r="AP277" s="2250"/>
      <c r="AQ277" s="2250"/>
      <c r="AR277" s="2250"/>
      <c r="AS277" s="2250"/>
      <c r="AT277" s="2250"/>
      <c r="AU277" s="2250"/>
      <c r="AV277" s="2250"/>
      <c r="AW277" s="2250"/>
      <c r="AX277" s="2250"/>
      <c r="AY277" s="2250"/>
      <c r="AZ277" s="2250"/>
      <c r="BA277" s="2250"/>
      <c r="BB277" s="2250"/>
      <c r="BC277" s="2250"/>
      <c r="BD277" s="2250"/>
      <c r="BE277" s="2250"/>
      <c r="BF277" s="2276"/>
      <c r="BG277" s="2276"/>
      <c r="BH277" s="2250"/>
      <c r="BI277" s="2275"/>
      <c r="BJ277" s="2275"/>
      <c r="BK277" s="2345">
        <v>1250</v>
      </c>
      <c r="BL277" s="2346">
        <v>57.45</v>
      </c>
      <c r="BM277" s="2346">
        <v>64.790000000000006</v>
      </c>
      <c r="BN277" s="2346">
        <v>71.78</v>
      </c>
      <c r="BO277" s="2346">
        <v>79.459999999999994</v>
      </c>
      <c r="BP277" s="2346">
        <v>86.79</v>
      </c>
      <c r="BQ277" s="2346">
        <v>81.83</v>
      </c>
      <c r="BR277" s="2346">
        <v>90.63</v>
      </c>
      <c r="BS277" s="2346">
        <v>96.5</v>
      </c>
      <c r="BT277" s="2346">
        <v>105.87</v>
      </c>
      <c r="BU277" s="2346">
        <v>107.9</v>
      </c>
      <c r="BV277" s="2346">
        <v>119.53</v>
      </c>
      <c r="BW277" s="2346">
        <v>139.05000000000001</v>
      </c>
      <c r="BX277" s="2346">
        <v>140.41</v>
      </c>
      <c r="BY277" s="2346">
        <v>147.18</v>
      </c>
      <c r="BZ277" s="2346">
        <v>154.85</v>
      </c>
      <c r="CA277" s="2346">
        <v>166.37</v>
      </c>
      <c r="CB277" s="2346">
        <v>173.81</v>
      </c>
      <c r="CC277" s="2346">
        <v>188.37</v>
      </c>
      <c r="CD277" s="2346">
        <v>200.56</v>
      </c>
      <c r="CE277" s="2346">
        <v>216.25</v>
      </c>
      <c r="CF277" s="2346">
        <v>228.67</v>
      </c>
      <c r="CG277" s="2346">
        <v>238.83</v>
      </c>
      <c r="CH277" s="2346">
        <v>265.01</v>
      </c>
      <c r="CI277" s="2346">
        <v>291.31</v>
      </c>
      <c r="CJ277" s="2346">
        <v>327.31</v>
      </c>
      <c r="CK277" s="2346">
        <v>329.01</v>
      </c>
      <c r="CL277" s="2346">
        <v>329.01</v>
      </c>
      <c r="CM277" s="2347">
        <v>1250</v>
      </c>
      <c r="CN277" s="2275"/>
      <c r="CO277" s="2275">
        <f>HLOOKUP(CO266,BL267:CL279,9,0)</f>
        <v>85.44</v>
      </c>
      <c r="CP277" s="2275">
        <f t="shared" si="131"/>
        <v>123.7</v>
      </c>
      <c r="CQ277" s="2275">
        <v>1100</v>
      </c>
      <c r="CR277" s="2275"/>
      <c r="CS277" s="2275"/>
      <c r="CT277" s="2275"/>
      <c r="CU277" s="2275"/>
      <c r="CV277" s="2275"/>
      <c r="CW277" s="2275"/>
      <c r="CX277" s="2250"/>
      <c r="CY277" s="2250"/>
      <c r="CZ277" s="2250"/>
      <c r="DA277" s="2250"/>
      <c r="DB277" s="2250"/>
      <c r="DC277" s="2250"/>
      <c r="DD277" s="2250"/>
      <c r="DE277" s="2250"/>
      <c r="DF277" s="2250"/>
      <c r="DG277" s="2250"/>
      <c r="DH277" s="2250"/>
      <c r="DI277" s="2250"/>
      <c r="DJ277" s="2250"/>
      <c r="DK277" s="2250"/>
      <c r="DL277" s="2250"/>
      <c r="DM277" s="2250"/>
      <c r="DN277" s="2250"/>
      <c r="DO277" s="2250"/>
      <c r="DP277" s="2250"/>
      <c r="DQ277" s="2277"/>
      <c r="DR277" s="2277"/>
      <c r="DS277" s="277"/>
      <c r="DW277" s="2275"/>
      <c r="DX277" s="2275"/>
      <c r="DY277" s="2345">
        <v>1250</v>
      </c>
      <c r="DZ277" s="2346">
        <v>57.45</v>
      </c>
      <c r="EA277" s="2346">
        <v>64.790000000000006</v>
      </c>
      <c r="EB277" s="2346">
        <v>71.78</v>
      </c>
      <c r="EC277" s="2346">
        <v>79.459999999999994</v>
      </c>
      <c r="ED277" s="2346">
        <v>86.79</v>
      </c>
      <c r="EE277" s="2346">
        <v>81.83</v>
      </c>
      <c r="EF277" s="2346">
        <v>90.63</v>
      </c>
      <c r="EG277" s="2346">
        <v>96.5</v>
      </c>
      <c r="EH277" s="2346">
        <v>105.87</v>
      </c>
      <c r="EI277" s="2346">
        <v>107.9</v>
      </c>
      <c r="EJ277" s="2346">
        <v>119.53</v>
      </c>
      <c r="EK277" s="2346">
        <v>139.05000000000001</v>
      </c>
      <c r="EL277" s="2346">
        <v>140.41</v>
      </c>
      <c r="EM277" s="2346">
        <v>147.18</v>
      </c>
      <c r="EN277" s="2346">
        <v>154.85</v>
      </c>
      <c r="EO277" s="2346">
        <v>166.37</v>
      </c>
      <c r="EP277" s="2346">
        <v>173.81</v>
      </c>
      <c r="EQ277" s="2346">
        <v>188.37</v>
      </c>
      <c r="ER277" s="2346">
        <v>200.56</v>
      </c>
      <c r="ES277" s="2346">
        <v>216.25</v>
      </c>
      <c r="ET277" s="2346">
        <v>228.67</v>
      </c>
      <c r="EU277" s="2346">
        <v>238.83</v>
      </c>
      <c r="EV277" s="2346">
        <v>265.01</v>
      </c>
      <c r="EW277" s="2346">
        <v>291.31</v>
      </c>
      <c r="EX277" s="2346">
        <v>327.31</v>
      </c>
      <c r="EY277" s="2346">
        <v>329.01</v>
      </c>
      <c r="EZ277" s="2346">
        <v>329.01</v>
      </c>
      <c r="FA277" s="2347">
        <v>1250</v>
      </c>
      <c r="FB277" s="2275"/>
      <c r="FC277" s="2275">
        <f>HLOOKUP(FC266,DZ267:EZ279,9,0)</f>
        <v>129.46</v>
      </c>
      <c r="FD277" s="2275">
        <f t="shared" si="132"/>
        <v>189.39</v>
      </c>
      <c r="FE277" s="2275">
        <v>1100</v>
      </c>
      <c r="FF277" s="2275"/>
      <c r="FG277" s="2275"/>
      <c r="FH277" s="2275"/>
      <c r="FI277" s="2275"/>
      <c r="FJ277" s="2275"/>
      <c r="FK277" s="2275"/>
      <c r="FL277" s="2250"/>
      <c r="FM277" s="2250"/>
      <c r="FN277" s="2250"/>
      <c r="FO277" s="2250"/>
      <c r="FP277" s="2250"/>
      <c r="FQ277" s="2250"/>
      <c r="FR277" s="2250"/>
      <c r="FS277" s="2250"/>
      <c r="FT277" s="2250"/>
      <c r="FU277" s="2250"/>
      <c r="FV277" s="2250"/>
      <c r="FW277" s="2250"/>
      <c r="FX277" s="2250"/>
      <c r="FY277" s="2250"/>
      <c r="FZ277" s="2250"/>
      <c r="GA277" s="2250"/>
      <c r="GB277" s="2276"/>
      <c r="GC277" s="2276"/>
      <c r="GD277" s="2250"/>
      <c r="GE277" s="2275"/>
      <c r="GF277" s="2275"/>
      <c r="GG277" s="2345">
        <v>1250</v>
      </c>
      <c r="GH277" s="2346">
        <v>57.45</v>
      </c>
      <c r="GI277" s="2346">
        <v>64.790000000000006</v>
      </c>
      <c r="GJ277" s="2346">
        <v>71.78</v>
      </c>
      <c r="GK277" s="2346">
        <v>79.459999999999994</v>
      </c>
      <c r="GL277" s="2346">
        <v>86.79</v>
      </c>
      <c r="GM277" s="2346">
        <v>81.83</v>
      </c>
      <c r="GN277" s="2346">
        <v>90.63</v>
      </c>
      <c r="GO277" s="2346">
        <v>96.5</v>
      </c>
      <c r="GP277" s="2346">
        <v>105.87</v>
      </c>
      <c r="GQ277" s="2346">
        <v>107.9</v>
      </c>
      <c r="GR277" s="2346">
        <v>119.53</v>
      </c>
      <c r="GS277" s="2346">
        <v>139.05000000000001</v>
      </c>
      <c r="GT277" s="2346">
        <v>140.41</v>
      </c>
      <c r="GU277" s="2346">
        <v>147.18</v>
      </c>
      <c r="GV277" s="2346">
        <v>154.85</v>
      </c>
      <c r="GW277" s="2346">
        <v>166.37</v>
      </c>
      <c r="GX277" s="2346">
        <v>173.81</v>
      </c>
      <c r="GY277" s="2346">
        <v>188.37</v>
      </c>
      <c r="GZ277" s="2346">
        <v>200.56</v>
      </c>
      <c r="HA277" s="2346">
        <v>216.25</v>
      </c>
      <c r="HB277" s="2346">
        <v>228.67</v>
      </c>
      <c r="HC277" s="2346">
        <v>238.83</v>
      </c>
      <c r="HD277" s="2346">
        <v>265.01</v>
      </c>
      <c r="HE277" s="2346">
        <v>291.31</v>
      </c>
      <c r="HF277" s="2346">
        <v>327.31</v>
      </c>
      <c r="HG277" s="2346">
        <v>329.01</v>
      </c>
      <c r="HH277" s="2346">
        <v>329.01</v>
      </c>
      <c r="HI277" s="2347">
        <v>1250</v>
      </c>
      <c r="HJ277" s="2275"/>
      <c r="HK277" s="2275">
        <f>HLOOKUP(HK266,GH267:HH279,9,0)</f>
        <v>119.07</v>
      </c>
      <c r="HL277" s="2275">
        <f t="shared" si="133"/>
        <v>173.14</v>
      </c>
      <c r="HM277" s="2275">
        <v>1100</v>
      </c>
      <c r="HN277" s="2275"/>
      <c r="HO277" s="2275"/>
      <c r="HP277" s="2275"/>
      <c r="HQ277" s="2275"/>
      <c r="HR277" s="2275"/>
      <c r="HS277" s="2275"/>
      <c r="HT277" s="2250"/>
      <c r="HU277" s="2250"/>
      <c r="HV277" s="2250"/>
      <c r="HW277" s="2250"/>
      <c r="HX277" s="2250"/>
      <c r="HY277" s="2250"/>
      <c r="HZ277" s="2250"/>
      <c r="IA277" s="2250"/>
      <c r="IB277" s="2250"/>
      <c r="IC277" s="2250"/>
      <c r="ID277" s="2250"/>
      <c r="IE277" s="2250"/>
      <c r="IF277" s="2250"/>
      <c r="IG277" s="2250"/>
      <c r="IH277" s="2250"/>
      <c r="II277" s="2250"/>
      <c r="IJ277" s="2250"/>
      <c r="IK277" s="2250"/>
      <c r="IL277" s="2250"/>
      <c r="IN277" s="277"/>
      <c r="IO277" s="277"/>
    </row>
    <row r="278" spans="1:249" ht="21.95" customHeight="1">
      <c r="A278" s="2275"/>
      <c r="B278" s="2275"/>
      <c r="C278" s="2345">
        <v>1450</v>
      </c>
      <c r="D278" s="2346">
        <v>88.49</v>
      </c>
      <c r="E278" s="2346">
        <v>99.77</v>
      </c>
      <c r="F278" s="2346">
        <v>110.5</v>
      </c>
      <c r="G278" s="2346">
        <v>120.77</v>
      </c>
      <c r="H278" s="2346">
        <v>120.77</v>
      </c>
      <c r="I278" s="2346">
        <v>125.96</v>
      </c>
      <c r="J278" s="2346">
        <v>139.5</v>
      </c>
      <c r="K278" s="2346">
        <v>148.65</v>
      </c>
      <c r="L278" s="2346">
        <v>160.84</v>
      </c>
      <c r="M278" s="2346">
        <v>173.02</v>
      </c>
      <c r="N278" s="2346">
        <v>177.09</v>
      </c>
      <c r="O278" s="2346">
        <v>200.9</v>
      </c>
      <c r="P278" s="2346">
        <v>209.82</v>
      </c>
      <c r="Q278" s="2346">
        <v>217.38</v>
      </c>
      <c r="R278" s="2346">
        <v>227.43</v>
      </c>
      <c r="S278" s="2346">
        <v>248.76</v>
      </c>
      <c r="T278" s="2346">
        <v>266.48</v>
      </c>
      <c r="U278" s="2346">
        <v>286.12</v>
      </c>
      <c r="V278" s="2346">
        <v>290.07</v>
      </c>
      <c r="W278" s="2346">
        <v>328.44</v>
      </c>
      <c r="X278" s="2346">
        <v>343.34</v>
      </c>
      <c r="Y278" s="2346">
        <v>371.67</v>
      </c>
      <c r="Z278" s="2346">
        <v>404.74</v>
      </c>
      <c r="AA278" s="2346">
        <v>417.04</v>
      </c>
      <c r="AB278" s="2346">
        <v>491.31</v>
      </c>
      <c r="AC278" s="2346">
        <v>542.78</v>
      </c>
      <c r="AD278" s="2346">
        <v>568.51</v>
      </c>
      <c r="AE278" s="2347">
        <v>1450</v>
      </c>
      <c r="AF278" s="2275"/>
      <c r="AG278" s="2275">
        <f>HLOOKUP(AG266,D267:AD279,10,0)</f>
        <v>129.12</v>
      </c>
      <c r="AH278" s="2275">
        <f t="shared" si="130"/>
        <v>188.37</v>
      </c>
      <c r="AI278" s="2275">
        <v>1250</v>
      </c>
      <c r="AJ278" s="2275"/>
      <c r="AK278" s="2275"/>
      <c r="AL278" s="2275"/>
      <c r="AM278" s="2275"/>
      <c r="AN278" s="2275"/>
      <c r="AO278" s="2275"/>
      <c r="AP278" s="2250"/>
      <c r="AQ278" s="2250"/>
      <c r="AR278" s="2250"/>
      <c r="AS278" s="2250"/>
      <c r="AT278" s="2250"/>
      <c r="AU278" s="2250"/>
      <c r="AV278" s="2250"/>
      <c r="AW278" s="2250"/>
      <c r="AX278" s="2250"/>
      <c r="AY278" s="2250"/>
      <c r="AZ278" s="2250"/>
      <c r="BA278" s="2250"/>
      <c r="BB278" s="2250"/>
      <c r="BC278" s="2250"/>
      <c r="BD278" s="2250"/>
      <c r="BE278" s="2250"/>
      <c r="BF278" s="2276"/>
      <c r="BG278" s="2276"/>
      <c r="BH278" s="2250"/>
      <c r="BI278" s="2275"/>
      <c r="BJ278" s="2275"/>
      <c r="BK278" s="2345">
        <v>1450</v>
      </c>
      <c r="BL278" s="2346">
        <v>88.49</v>
      </c>
      <c r="BM278" s="2346">
        <v>99.77</v>
      </c>
      <c r="BN278" s="2346">
        <v>110.5</v>
      </c>
      <c r="BO278" s="2346">
        <v>120.77</v>
      </c>
      <c r="BP278" s="2346">
        <v>120.77</v>
      </c>
      <c r="BQ278" s="2346">
        <v>125.96</v>
      </c>
      <c r="BR278" s="2346">
        <v>139.5</v>
      </c>
      <c r="BS278" s="2346">
        <v>148.65</v>
      </c>
      <c r="BT278" s="2346">
        <v>160.84</v>
      </c>
      <c r="BU278" s="2346">
        <v>173.02</v>
      </c>
      <c r="BV278" s="2346">
        <v>177.09</v>
      </c>
      <c r="BW278" s="2346">
        <v>200.9</v>
      </c>
      <c r="BX278" s="2346">
        <v>209.82</v>
      </c>
      <c r="BY278" s="2346">
        <v>217.38</v>
      </c>
      <c r="BZ278" s="2346">
        <v>227.43</v>
      </c>
      <c r="CA278" s="2346">
        <v>248.76</v>
      </c>
      <c r="CB278" s="2346">
        <v>266.48</v>
      </c>
      <c r="CC278" s="2346">
        <v>286.12</v>
      </c>
      <c r="CD278" s="2346">
        <v>290.07</v>
      </c>
      <c r="CE278" s="2346">
        <v>328.44</v>
      </c>
      <c r="CF278" s="2346">
        <v>343.34</v>
      </c>
      <c r="CG278" s="2346">
        <v>371.67</v>
      </c>
      <c r="CH278" s="2346">
        <v>404.74</v>
      </c>
      <c r="CI278" s="2346">
        <v>417.04</v>
      </c>
      <c r="CJ278" s="2346">
        <v>491.31</v>
      </c>
      <c r="CK278" s="2346">
        <v>542.78</v>
      </c>
      <c r="CL278" s="2346">
        <v>568.51</v>
      </c>
      <c r="CM278" s="2347">
        <v>1450</v>
      </c>
      <c r="CN278" s="2275"/>
      <c r="CO278" s="2275">
        <f>HLOOKUP(CO266,BL267:CL279,10,0)</f>
        <v>123.7</v>
      </c>
      <c r="CP278" s="2275">
        <f t="shared" si="131"/>
        <v>173.81</v>
      </c>
      <c r="CQ278" s="2275">
        <v>1250</v>
      </c>
      <c r="CR278" s="2275"/>
      <c r="CS278" s="2275"/>
      <c r="CT278" s="2275"/>
      <c r="CU278" s="2275"/>
      <c r="CV278" s="2275"/>
      <c r="CW278" s="2275"/>
      <c r="CX278" s="2250"/>
      <c r="CY278" s="2250"/>
      <c r="CZ278" s="2250"/>
      <c r="DA278" s="2250"/>
      <c r="DB278" s="2250"/>
      <c r="DC278" s="2250"/>
      <c r="DD278" s="2250"/>
      <c r="DE278" s="2250"/>
      <c r="DF278" s="2250"/>
      <c r="DG278" s="2250"/>
      <c r="DH278" s="2250"/>
      <c r="DI278" s="2250"/>
      <c r="DJ278" s="2250"/>
      <c r="DK278" s="2250"/>
      <c r="DL278" s="2250"/>
      <c r="DM278" s="2250"/>
      <c r="DN278" s="2250"/>
      <c r="DO278" s="2250"/>
      <c r="DP278" s="2250"/>
      <c r="DQ278" s="2277"/>
      <c r="DR278" s="2277"/>
      <c r="DS278" s="277"/>
      <c r="DW278" s="2275"/>
      <c r="DX278" s="2275"/>
      <c r="DY278" s="2345">
        <v>1450</v>
      </c>
      <c r="DZ278" s="2346">
        <v>88.49</v>
      </c>
      <c r="EA278" s="2346">
        <v>99.77</v>
      </c>
      <c r="EB278" s="2346">
        <v>110.5</v>
      </c>
      <c r="EC278" s="2346">
        <v>120.77</v>
      </c>
      <c r="ED278" s="2346">
        <v>120.77</v>
      </c>
      <c r="EE278" s="2346">
        <v>125.96</v>
      </c>
      <c r="EF278" s="2346">
        <v>139.5</v>
      </c>
      <c r="EG278" s="2346">
        <v>148.65</v>
      </c>
      <c r="EH278" s="2346">
        <v>160.84</v>
      </c>
      <c r="EI278" s="2346">
        <v>173.02</v>
      </c>
      <c r="EJ278" s="2346">
        <v>177.09</v>
      </c>
      <c r="EK278" s="2346">
        <v>200.9</v>
      </c>
      <c r="EL278" s="2346">
        <v>209.82</v>
      </c>
      <c r="EM278" s="2346">
        <v>217.38</v>
      </c>
      <c r="EN278" s="2346">
        <v>227.43</v>
      </c>
      <c r="EO278" s="2346">
        <v>248.76</v>
      </c>
      <c r="EP278" s="2346">
        <v>266.48</v>
      </c>
      <c r="EQ278" s="2346">
        <v>286.12</v>
      </c>
      <c r="ER278" s="2346">
        <v>290.07</v>
      </c>
      <c r="ES278" s="2346">
        <v>328.44</v>
      </c>
      <c r="ET278" s="2346">
        <v>343.34</v>
      </c>
      <c r="EU278" s="2346">
        <v>371.67</v>
      </c>
      <c r="EV278" s="2346">
        <v>404.74</v>
      </c>
      <c r="EW278" s="2346">
        <v>417.04</v>
      </c>
      <c r="EX278" s="2346">
        <v>491.31</v>
      </c>
      <c r="EY278" s="2346">
        <v>542.78</v>
      </c>
      <c r="EZ278" s="2346">
        <v>568.51</v>
      </c>
      <c r="FA278" s="2347">
        <v>1450</v>
      </c>
      <c r="FB278" s="2275"/>
      <c r="FC278" s="2275">
        <f>HLOOKUP(FC266,DZ267:EZ279,10,0)</f>
        <v>189.39</v>
      </c>
      <c r="FD278" s="2275">
        <f t="shared" si="132"/>
        <v>265.01</v>
      </c>
      <c r="FE278" s="2275">
        <v>1250</v>
      </c>
      <c r="FF278" s="2275"/>
      <c r="FG278" s="2275"/>
      <c r="FH278" s="2275"/>
      <c r="FI278" s="2275"/>
      <c r="FJ278" s="2275"/>
      <c r="FK278" s="2275"/>
      <c r="FL278" s="2250"/>
      <c r="FM278" s="2250"/>
      <c r="FN278" s="2250"/>
      <c r="FO278" s="2250"/>
      <c r="FP278" s="2250"/>
      <c r="FQ278" s="2250"/>
      <c r="FR278" s="2250"/>
      <c r="FS278" s="2250"/>
      <c r="FT278" s="2250"/>
      <c r="FU278" s="2250"/>
      <c r="FV278" s="2250"/>
      <c r="FW278" s="2250"/>
      <c r="FX278" s="2250"/>
      <c r="FY278" s="2250"/>
      <c r="FZ278" s="2250"/>
      <c r="GA278" s="2250"/>
      <c r="GB278" s="2276"/>
      <c r="GC278" s="2276"/>
      <c r="GD278" s="2250"/>
      <c r="GE278" s="2275"/>
      <c r="GF278" s="2275"/>
      <c r="GG278" s="2345">
        <v>1450</v>
      </c>
      <c r="GH278" s="2346">
        <v>88.49</v>
      </c>
      <c r="GI278" s="2346">
        <v>99.77</v>
      </c>
      <c r="GJ278" s="2346">
        <v>110.5</v>
      </c>
      <c r="GK278" s="2346">
        <v>120.77</v>
      </c>
      <c r="GL278" s="2346">
        <v>120.77</v>
      </c>
      <c r="GM278" s="2346">
        <v>125.96</v>
      </c>
      <c r="GN278" s="2346">
        <v>139.5</v>
      </c>
      <c r="GO278" s="2346">
        <v>148.65</v>
      </c>
      <c r="GP278" s="2346">
        <v>160.84</v>
      </c>
      <c r="GQ278" s="2346">
        <v>173.02</v>
      </c>
      <c r="GR278" s="2346">
        <v>177.09</v>
      </c>
      <c r="GS278" s="2346">
        <v>200.9</v>
      </c>
      <c r="GT278" s="2346">
        <v>209.82</v>
      </c>
      <c r="GU278" s="2346">
        <v>217.38</v>
      </c>
      <c r="GV278" s="2346">
        <v>227.43</v>
      </c>
      <c r="GW278" s="2346">
        <v>248.76</v>
      </c>
      <c r="GX278" s="2346">
        <v>266.48</v>
      </c>
      <c r="GY278" s="2346">
        <v>286.12</v>
      </c>
      <c r="GZ278" s="2346">
        <v>290.07</v>
      </c>
      <c r="HA278" s="2346">
        <v>328.44</v>
      </c>
      <c r="HB278" s="2346">
        <v>343.34</v>
      </c>
      <c r="HC278" s="2346">
        <v>371.67</v>
      </c>
      <c r="HD278" s="2346">
        <v>404.74</v>
      </c>
      <c r="HE278" s="2346">
        <v>417.04</v>
      </c>
      <c r="HF278" s="2346">
        <v>491.31</v>
      </c>
      <c r="HG278" s="2346">
        <v>542.78</v>
      </c>
      <c r="HH278" s="2346">
        <v>568.51</v>
      </c>
      <c r="HI278" s="2347">
        <v>1450</v>
      </c>
      <c r="HJ278" s="2275"/>
      <c r="HK278" s="2275">
        <f>HLOOKUP(HK266,GH267:HH279,10,0)</f>
        <v>173.14</v>
      </c>
      <c r="HL278" s="2275">
        <f t="shared" si="133"/>
        <v>238.83</v>
      </c>
      <c r="HM278" s="2275">
        <v>1250</v>
      </c>
      <c r="HN278" s="2275"/>
      <c r="HO278" s="2275"/>
      <c r="HP278" s="2275"/>
      <c r="HQ278" s="2275"/>
      <c r="HR278" s="2275"/>
      <c r="HS278" s="2275"/>
      <c r="HT278" s="2250"/>
      <c r="HU278" s="2250"/>
      <c r="HV278" s="2250"/>
      <c r="HW278" s="2250"/>
      <c r="HX278" s="2250"/>
      <c r="HY278" s="2250"/>
      <c r="HZ278" s="2250"/>
      <c r="IA278" s="2250"/>
      <c r="IB278" s="2250"/>
      <c r="IC278" s="2250"/>
      <c r="ID278" s="2250"/>
      <c r="IE278" s="2250"/>
      <c r="IF278" s="2250"/>
      <c r="IG278" s="2250"/>
      <c r="IH278" s="2250"/>
      <c r="II278" s="2250"/>
      <c r="IJ278" s="2250"/>
      <c r="IK278" s="2250"/>
      <c r="IL278" s="2250"/>
      <c r="IN278" s="277"/>
      <c r="IO278" s="277"/>
    </row>
    <row r="279" spans="1:249" ht="21.95" customHeight="1">
      <c r="A279" s="2275"/>
      <c r="B279" s="2275"/>
      <c r="C279" s="2345">
        <v>1650</v>
      </c>
      <c r="D279" s="2346">
        <v>158.01</v>
      </c>
      <c r="E279" s="2346">
        <v>145.03</v>
      </c>
      <c r="F279" s="2346">
        <v>160.61000000000001</v>
      </c>
      <c r="G279" s="2346">
        <v>162.19</v>
      </c>
      <c r="H279" s="2346">
        <v>170.43</v>
      </c>
      <c r="I279" s="2346">
        <v>183.18</v>
      </c>
      <c r="J279" s="2346">
        <v>194.92</v>
      </c>
      <c r="K279" s="2346">
        <v>216.03</v>
      </c>
      <c r="L279" s="2346">
        <v>229.57</v>
      </c>
      <c r="M279" s="2346">
        <v>243.91</v>
      </c>
      <c r="N279" s="2346">
        <v>257.45</v>
      </c>
      <c r="O279" s="2346">
        <v>299.20999999999998</v>
      </c>
      <c r="P279" s="2346">
        <v>305.08</v>
      </c>
      <c r="Q279" s="2346">
        <v>319.3</v>
      </c>
      <c r="R279" s="2346">
        <v>339.39</v>
      </c>
      <c r="S279" s="2346">
        <v>358.8</v>
      </c>
      <c r="T279" s="2346">
        <v>377.31</v>
      </c>
      <c r="U279" s="2346">
        <v>400.45</v>
      </c>
      <c r="V279" s="2346">
        <v>412.98</v>
      </c>
      <c r="W279" s="2346">
        <v>455.53</v>
      </c>
      <c r="X279" s="2346">
        <v>501.81</v>
      </c>
      <c r="Y279" s="2346">
        <v>547.4</v>
      </c>
      <c r="Z279" s="2346">
        <v>600.34</v>
      </c>
      <c r="AA279" s="2346">
        <v>652.03</v>
      </c>
      <c r="AB279" s="2346">
        <v>726.75</v>
      </c>
      <c r="AC279" s="2346">
        <v>792.66</v>
      </c>
      <c r="AD279" s="2346">
        <v>902.82</v>
      </c>
      <c r="AE279" s="2347">
        <v>1650</v>
      </c>
      <c r="AF279" s="2275"/>
      <c r="AG279" s="2275">
        <f>HLOOKUP(AG266,D267:AD279,11,0)</f>
        <v>188.37</v>
      </c>
      <c r="AH279" s="2275">
        <f t="shared" si="130"/>
        <v>286.12</v>
      </c>
      <c r="AI279" s="2275">
        <v>1450</v>
      </c>
      <c r="AJ279" s="2275"/>
      <c r="AK279" s="2275"/>
      <c r="AL279" s="2275"/>
      <c r="AM279" s="2275"/>
      <c r="AN279" s="2275"/>
      <c r="AO279" s="2275"/>
      <c r="AP279" s="2250"/>
      <c r="AQ279" s="2250"/>
      <c r="AR279" s="2250"/>
      <c r="AS279" s="2250"/>
      <c r="AT279" s="2250"/>
      <c r="AU279" s="2250"/>
      <c r="AV279" s="2250"/>
      <c r="AW279" s="2250"/>
      <c r="AX279" s="2250"/>
      <c r="AY279" s="2250"/>
      <c r="AZ279" s="2250"/>
      <c r="BA279" s="2250"/>
      <c r="BB279" s="2250"/>
      <c r="BC279" s="2250"/>
      <c r="BD279" s="2250"/>
      <c r="BE279" s="2250"/>
      <c r="BF279" s="2276"/>
      <c r="BG279" s="2276"/>
      <c r="BH279" s="2250"/>
      <c r="BI279" s="2275"/>
      <c r="BJ279" s="2275"/>
      <c r="BK279" s="2345">
        <v>1650</v>
      </c>
      <c r="BL279" s="2346">
        <v>158.01</v>
      </c>
      <c r="BM279" s="2346">
        <v>145.03</v>
      </c>
      <c r="BN279" s="2346">
        <v>160.61000000000001</v>
      </c>
      <c r="BO279" s="2346">
        <v>162.19</v>
      </c>
      <c r="BP279" s="2346">
        <v>170.43</v>
      </c>
      <c r="BQ279" s="2346">
        <v>183.18</v>
      </c>
      <c r="BR279" s="2346">
        <v>194.92</v>
      </c>
      <c r="BS279" s="2346">
        <v>216.03</v>
      </c>
      <c r="BT279" s="2346">
        <v>229.57</v>
      </c>
      <c r="BU279" s="2346">
        <v>243.91</v>
      </c>
      <c r="BV279" s="2346">
        <v>257.45</v>
      </c>
      <c r="BW279" s="2346">
        <v>299.20999999999998</v>
      </c>
      <c r="BX279" s="2346">
        <v>305.08</v>
      </c>
      <c r="BY279" s="2346">
        <v>319.3</v>
      </c>
      <c r="BZ279" s="2346">
        <v>339.39</v>
      </c>
      <c r="CA279" s="2346">
        <v>358.8</v>
      </c>
      <c r="CB279" s="2346">
        <v>377.31</v>
      </c>
      <c r="CC279" s="2346">
        <v>400.45</v>
      </c>
      <c r="CD279" s="2346">
        <v>412.98</v>
      </c>
      <c r="CE279" s="2346">
        <v>455.53</v>
      </c>
      <c r="CF279" s="2346">
        <v>501.81</v>
      </c>
      <c r="CG279" s="2346">
        <v>547.4</v>
      </c>
      <c r="CH279" s="2346">
        <v>600.34</v>
      </c>
      <c r="CI279" s="2346">
        <v>652.03</v>
      </c>
      <c r="CJ279" s="2346">
        <v>726.75</v>
      </c>
      <c r="CK279" s="2346">
        <v>792.66</v>
      </c>
      <c r="CL279" s="2346">
        <v>902.82</v>
      </c>
      <c r="CM279" s="2347">
        <v>1650</v>
      </c>
      <c r="CN279" s="2275"/>
      <c r="CO279" s="2275">
        <f>HLOOKUP(CO266,BL267:CL279,11,0)</f>
        <v>173.81</v>
      </c>
      <c r="CP279" s="2275">
        <f t="shared" si="131"/>
        <v>266.48</v>
      </c>
      <c r="CQ279" s="2275">
        <v>1450</v>
      </c>
      <c r="CR279" s="2275"/>
      <c r="CS279" s="2275"/>
      <c r="CT279" s="2275"/>
      <c r="CU279" s="2275"/>
      <c r="CV279" s="2275"/>
      <c r="CW279" s="2275"/>
      <c r="CX279" s="2250"/>
      <c r="CY279" s="2250"/>
      <c r="CZ279" s="2250"/>
      <c r="DA279" s="2250"/>
      <c r="DB279" s="2250"/>
      <c r="DC279" s="2250"/>
      <c r="DD279" s="2250"/>
      <c r="DE279" s="2250"/>
      <c r="DF279" s="2250"/>
      <c r="DG279" s="2250"/>
      <c r="DH279" s="2250"/>
      <c r="DI279" s="2250"/>
      <c r="DJ279" s="2250"/>
      <c r="DK279" s="2250"/>
      <c r="DL279" s="2250"/>
      <c r="DM279" s="2250"/>
      <c r="DN279" s="2250"/>
      <c r="DO279" s="2250"/>
      <c r="DP279" s="2250"/>
      <c r="DQ279" s="2277"/>
      <c r="DR279" s="2277"/>
      <c r="DS279" s="277"/>
      <c r="DW279" s="2275"/>
      <c r="DX279" s="2275"/>
      <c r="DY279" s="2345">
        <v>1650</v>
      </c>
      <c r="DZ279" s="2346">
        <v>158.01</v>
      </c>
      <c r="EA279" s="2346">
        <v>145.03</v>
      </c>
      <c r="EB279" s="2346">
        <v>160.61000000000001</v>
      </c>
      <c r="EC279" s="2346">
        <v>162.19</v>
      </c>
      <c r="ED279" s="2346">
        <v>170.43</v>
      </c>
      <c r="EE279" s="2346">
        <v>183.18</v>
      </c>
      <c r="EF279" s="2346">
        <v>194.92</v>
      </c>
      <c r="EG279" s="2346">
        <v>216.03</v>
      </c>
      <c r="EH279" s="2346">
        <v>229.57</v>
      </c>
      <c r="EI279" s="2346">
        <v>243.91</v>
      </c>
      <c r="EJ279" s="2346">
        <v>257.45</v>
      </c>
      <c r="EK279" s="2346">
        <v>299.20999999999998</v>
      </c>
      <c r="EL279" s="2346">
        <v>305.08</v>
      </c>
      <c r="EM279" s="2346">
        <v>319.3</v>
      </c>
      <c r="EN279" s="2346">
        <v>339.39</v>
      </c>
      <c r="EO279" s="2346">
        <v>358.8</v>
      </c>
      <c r="EP279" s="2346">
        <v>377.31</v>
      </c>
      <c r="EQ279" s="2346">
        <v>400.45</v>
      </c>
      <c r="ER279" s="2346">
        <v>412.98</v>
      </c>
      <c r="ES279" s="2346">
        <v>455.53</v>
      </c>
      <c r="ET279" s="2346">
        <v>501.81</v>
      </c>
      <c r="EU279" s="2346">
        <v>547.4</v>
      </c>
      <c r="EV279" s="2346">
        <v>600.34</v>
      </c>
      <c r="EW279" s="2346">
        <v>652.03</v>
      </c>
      <c r="EX279" s="2346">
        <v>726.75</v>
      </c>
      <c r="EY279" s="2346">
        <v>792.66</v>
      </c>
      <c r="EZ279" s="2346">
        <v>902.82</v>
      </c>
      <c r="FA279" s="2347">
        <v>1650</v>
      </c>
      <c r="FB279" s="2275"/>
      <c r="FC279" s="2275">
        <f>HLOOKUP(FC266,DZ267:EZ279,11,0)</f>
        <v>265.01</v>
      </c>
      <c r="FD279" s="2275">
        <f t="shared" si="132"/>
        <v>404.74</v>
      </c>
      <c r="FE279" s="2275">
        <v>1450</v>
      </c>
      <c r="FF279" s="2275"/>
      <c r="FG279" s="2275"/>
      <c r="FH279" s="2275"/>
      <c r="FI279" s="2275"/>
      <c r="FJ279" s="2275"/>
      <c r="FK279" s="2275"/>
      <c r="FL279" s="2250"/>
      <c r="FM279" s="2250"/>
      <c r="FN279" s="2250"/>
      <c r="FO279" s="2250"/>
      <c r="FP279" s="2250"/>
      <c r="FQ279" s="2250"/>
      <c r="FR279" s="2250"/>
      <c r="FS279" s="2250"/>
      <c r="FT279" s="2250"/>
      <c r="FU279" s="2250"/>
      <c r="FV279" s="2250"/>
      <c r="FW279" s="2250"/>
      <c r="FX279" s="2250"/>
      <c r="FY279" s="2250"/>
      <c r="FZ279" s="2250"/>
      <c r="GA279" s="2250"/>
      <c r="GB279" s="2276"/>
      <c r="GC279" s="2276"/>
      <c r="GD279" s="2250"/>
      <c r="GE279" s="2275"/>
      <c r="GF279" s="2275"/>
      <c r="GG279" s="2345">
        <v>1650</v>
      </c>
      <c r="GH279" s="2346">
        <v>158.01</v>
      </c>
      <c r="GI279" s="2346">
        <v>145.03</v>
      </c>
      <c r="GJ279" s="2346">
        <v>160.61000000000001</v>
      </c>
      <c r="GK279" s="2346">
        <v>162.19</v>
      </c>
      <c r="GL279" s="2346">
        <v>170.43</v>
      </c>
      <c r="GM279" s="2346">
        <v>183.18</v>
      </c>
      <c r="GN279" s="2346">
        <v>194.92</v>
      </c>
      <c r="GO279" s="2346">
        <v>216.03</v>
      </c>
      <c r="GP279" s="2346">
        <v>229.57</v>
      </c>
      <c r="GQ279" s="2346">
        <v>243.91</v>
      </c>
      <c r="GR279" s="2346">
        <v>257.45</v>
      </c>
      <c r="GS279" s="2346">
        <v>299.20999999999998</v>
      </c>
      <c r="GT279" s="2346">
        <v>305.08</v>
      </c>
      <c r="GU279" s="2346">
        <v>319.3</v>
      </c>
      <c r="GV279" s="2346">
        <v>339.39</v>
      </c>
      <c r="GW279" s="2346">
        <v>358.8</v>
      </c>
      <c r="GX279" s="2346">
        <v>377.31</v>
      </c>
      <c r="GY279" s="2346">
        <v>400.45</v>
      </c>
      <c r="GZ279" s="2346">
        <v>412.98</v>
      </c>
      <c r="HA279" s="2346">
        <v>455.53</v>
      </c>
      <c r="HB279" s="2346">
        <v>501.81</v>
      </c>
      <c r="HC279" s="2346">
        <v>547.4</v>
      </c>
      <c r="HD279" s="2346">
        <v>600.34</v>
      </c>
      <c r="HE279" s="2346">
        <v>652.03</v>
      </c>
      <c r="HF279" s="2346">
        <v>726.75</v>
      </c>
      <c r="HG279" s="2346">
        <v>792.66</v>
      </c>
      <c r="HH279" s="2346">
        <v>902.82</v>
      </c>
      <c r="HI279" s="2347">
        <v>1650</v>
      </c>
      <c r="HJ279" s="2275"/>
      <c r="HK279" s="2275">
        <f>HLOOKUP(HK266,GH267:HH279,11,0)</f>
        <v>238.83</v>
      </c>
      <c r="HL279" s="2275">
        <f t="shared" si="133"/>
        <v>371.67</v>
      </c>
      <c r="HM279" s="2275">
        <v>1450</v>
      </c>
      <c r="HN279" s="2275"/>
      <c r="HO279" s="2275"/>
      <c r="HP279" s="2275"/>
      <c r="HQ279" s="2275"/>
      <c r="HR279" s="2275"/>
      <c r="HS279" s="2275"/>
      <c r="HT279" s="2250"/>
      <c r="HU279" s="2250"/>
      <c r="HV279" s="2250"/>
      <c r="HW279" s="2250"/>
      <c r="HX279" s="2250"/>
      <c r="HY279" s="2250"/>
      <c r="HZ279" s="2250"/>
      <c r="IA279" s="2250"/>
      <c r="IB279" s="2250"/>
      <c r="IC279" s="2250"/>
      <c r="ID279" s="2250"/>
      <c r="IE279" s="2250"/>
      <c r="IF279" s="2250"/>
      <c r="IG279" s="2250"/>
      <c r="IH279" s="2250"/>
      <c r="II279" s="2250"/>
      <c r="IJ279" s="2250"/>
      <c r="IK279" s="2250"/>
      <c r="IL279" s="2250"/>
      <c r="IN279" s="277"/>
      <c r="IO279" s="277"/>
    </row>
    <row r="280" spans="1:249" ht="21.95" customHeight="1">
      <c r="A280" s="2275"/>
      <c r="B280" s="2275"/>
      <c r="C280" s="2275"/>
      <c r="D280" s="2275"/>
      <c r="E280" s="2275"/>
      <c r="F280" s="2275"/>
      <c r="G280" s="2275"/>
      <c r="H280" s="2275"/>
      <c r="I280" s="2275"/>
      <c r="J280" s="2275"/>
      <c r="K280" s="2275"/>
      <c r="L280" s="2275"/>
      <c r="M280" s="2275"/>
      <c r="N280" s="2275"/>
      <c r="O280" s="2275"/>
      <c r="P280" s="2275"/>
      <c r="Q280" s="2275"/>
      <c r="R280" s="2275"/>
      <c r="S280" s="2275"/>
      <c r="T280" s="2275"/>
      <c r="U280" s="2275"/>
      <c r="V280" s="2275"/>
      <c r="W280" s="2275"/>
      <c r="X280" s="2275"/>
      <c r="Y280" s="2275"/>
      <c r="Z280" s="2275"/>
      <c r="AA280" s="2275"/>
      <c r="AB280" s="2275"/>
      <c r="AC280" s="2275"/>
      <c r="AD280" s="2275"/>
      <c r="AE280" s="2346"/>
      <c r="AF280" s="2275"/>
      <c r="AG280" s="2275">
        <f>HLOOKUP(AG266,D267:AD279,12,0)</f>
        <v>286.12</v>
      </c>
      <c r="AH280" s="2275">
        <f t="shared" si="130"/>
        <v>400.45</v>
      </c>
      <c r="AI280" s="2275">
        <v>1650</v>
      </c>
      <c r="AJ280" s="2275"/>
      <c r="AK280" s="2275"/>
      <c r="AL280" s="2275"/>
      <c r="AM280" s="2275"/>
      <c r="AN280" s="2275"/>
      <c r="AO280" s="2275"/>
      <c r="AP280" s="2250"/>
      <c r="AQ280" s="2250"/>
      <c r="AR280" s="2250"/>
      <c r="AS280" s="2250"/>
      <c r="AT280" s="2250"/>
      <c r="AU280" s="2250"/>
      <c r="AV280" s="2250"/>
      <c r="AW280" s="2250"/>
      <c r="AX280" s="2250"/>
      <c r="AY280" s="2250"/>
      <c r="AZ280" s="2250"/>
      <c r="BA280" s="2250"/>
      <c r="BB280" s="2250"/>
      <c r="BC280" s="2250"/>
      <c r="BD280" s="2250"/>
      <c r="BE280" s="2250"/>
      <c r="BF280" s="2276"/>
      <c r="BG280" s="2276"/>
      <c r="BH280" s="2250"/>
      <c r="BI280" s="2275"/>
      <c r="BJ280" s="2275"/>
      <c r="BK280" s="2275"/>
      <c r="BL280" s="2275"/>
      <c r="BM280" s="2275"/>
      <c r="BN280" s="2275"/>
      <c r="BO280" s="2275"/>
      <c r="BP280" s="2275"/>
      <c r="BQ280" s="2275"/>
      <c r="BR280" s="2275"/>
      <c r="BS280" s="2275"/>
      <c r="BT280" s="2275"/>
      <c r="BU280" s="2275"/>
      <c r="BV280" s="2275"/>
      <c r="BW280" s="2275"/>
      <c r="BX280" s="2275"/>
      <c r="BY280" s="2275"/>
      <c r="BZ280" s="2275"/>
      <c r="CA280" s="2275"/>
      <c r="CB280" s="2275"/>
      <c r="CC280" s="2275"/>
      <c r="CD280" s="2275"/>
      <c r="CE280" s="2275"/>
      <c r="CF280" s="2275"/>
      <c r="CG280" s="2275"/>
      <c r="CH280" s="2275"/>
      <c r="CI280" s="2275"/>
      <c r="CJ280" s="2275"/>
      <c r="CK280" s="2275"/>
      <c r="CL280" s="2275"/>
      <c r="CM280" s="2346"/>
      <c r="CN280" s="2275"/>
      <c r="CO280" s="2275">
        <f>HLOOKUP(CO266,BL267:CL279,12,0)</f>
        <v>266.48</v>
      </c>
      <c r="CP280" s="2275">
        <f t="shared" si="131"/>
        <v>377.31</v>
      </c>
      <c r="CQ280" s="2275">
        <v>1650</v>
      </c>
      <c r="CR280" s="2275"/>
      <c r="CS280" s="2275"/>
      <c r="CT280" s="2275"/>
      <c r="CU280" s="2275"/>
      <c r="CV280" s="2275"/>
      <c r="CW280" s="2275"/>
      <c r="CX280" s="2250"/>
      <c r="CY280" s="2250"/>
      <c r="CZ280" s="2250"/>
      <c r="DA280" s="2250"/>
      <c r="DB280" s="2250"/>
      <c r="DC280" s="2250"/>
      <c r="DD280" s="2250"/>
      <c r="DE280" s="2250"/>
      <c r="DF280" s="2250"/>
      <c r="DG280" s="2250"/>
      <c r="DH280" s="2250"/>
      <c r="DI280" s="2250"/>
      <c r="DJ280" s="2250"/>
      <c r="DK280" s="2250"/>
      <c r="DL280" s="2250"/>
      <c r="DM280" s="2250"/>
      <c r="DN280" s="2250"/>
      <c r="DO280" s="2250"/>
      <c r="DP280" s="2250"/>
      <c r="DQ280" s="2277"/>
      <c r="DR280" s="2277"/>
      <c r="DS280" s="277"/>
      <c r="DW280" s="2275"/>
      <c r="DX280" s="2275"/>
      <c r="DY280" s="2275"/>
      <c r="DZ280" s="2275"/>
      <c r="EA280" s="2275"/>
      <c r="EB280" s="2275"/>
      <c r="EC280" s="2275"/>
      <c r="ED280" s="2275"/>
      <c r="EE280" s="2275"/>
      <c r="EF280" s="2275"/>
      <c r="EG280" s="2275"/>
      <c r="EH280" s="2275"/>
      <c r="EI280" s="2275"/>
      <c r="EJ280" s="2275"/>
      <c r="EK280" s="2275"/>
      <c r="EL280" s="2275"/>
      <c r="EM280" s="2275"/>
      <c r="EN280" s="2275"/>
      <c r="EO280" s="2275"/>
      <c r="EP280" s="2275"/>
      <c r="EQ280" s="2275"/>
      <c r="ER280" s="2275"/>
      <c r="ES280" s="2275"/>
      <c r="ET280" s="2275"/>
      <c r="EU280" s="2275"/>
      <c r="EV280" s="2275"/>
      <c r="EW280" s="2275"/>
      <c r="EX280" s="2275"/>
      <c r="EY280" s="2275"/>
      <c r="EZ280" s="2275"/>
      <c r="FA280" s="2346"/>
      <c r="FB280" s="2275"/>
      <c r="FC280" s="2275">
        <f>HLOOKUP(FC266,DZ267:EZ279,12,0)</f>
        <v>404.74</v>
      </c>
      <c r="FD280" s="2275">
        <f t="shared" si="132"/>
        <v>600.34</v>
      </c>
      <c r="FE280" s="2275">
        <v>1650</v>
      </c>
      <c r="FF280" s="2275"/>
      <c r="FG280" s="2275"/>
      <c r="FH280" s="2275"/>
      <c r="FI280" s="2275"/>
      <c r="FJ280" s="2275"/>
      <c r="FK280" s="2275"/>
      <c r="FL280" s="2250"/>
      <c r="FM280" s="2250"/>
      <c r="FN280" s="2250"/>
      <c r="FO280" s="2250"/>
      <c r="FP280" s="2250"/>
      <c r="FQ280" s="2250"/>
      <c r="FR280" s="2250"/>
      <c r="FS280" s="2250"/>
      <c r="FT280" s="2250"/>
      <c r="FU280" s="2250"/>
      <c r="FV280" s="2250"/>
      <c r="FW280" s="2250"/>
      <c r="FX280" s="2250"/>
      <c r="FY280" s="2250"/>
      <c r="FZ280" s="2250"/>
      <c r="GA280" s="2250"/>
      <c r="GB280" s="2276"/>
      <c r="GC280" s="2276"/>
      <c r="GD280" s="2250"/>
      <c r="GE280" s="2275"/>
      <c r="GF280" s="2275"/>
      <c r="GG280" s="2275"/>
      <c r="GH280" s="2275"/>
      <c r="GI280" s="2275"/>
      <c r="GJ280" s="2275"/>
      <c r="GK280" s="2275"/>
      <c r="GL280" s="2275"/>
      <c r="GM280" s="2275"/>
      <c r="GN280" s="2275"/>
      <c r="GO280" s="2275"/>
      <c r="GP280" s="2275"/>
      <c r="GQ280" s="2275"/>
      <c r="GR280" s="2275"/>
      <c r="GS280" s="2275"/>
      <c r="GT280" s="2275"/>
      <c r="GU280" s="2275"/>
      <c r="GV280" s="2275"/>
      <c r="GW280" s="2275"/>
      <c r="GX280" s="2275"/>
      <c r="GY280" s="2275"/>
      <c r="GZ280" s="2275"/>
      <c r="HA280" s="2275"/>
      <c r="HB280" s="2275"/>
      <c r="HC280" s="2275"/>
      <c r="HD280" s="2275"/>
      <c r="HE280" s="2275"/>
      <c r="HF280" s="2275"/>
      <c r="HG280" s="2275"/>
      <c r="HH280" s="2275"/>
      <c r="HI280" s="2346"/>
      <c r="HJ280" s="2275"/>
      <c r="HK280" s="2275">
        <f>HLOOKUP(HK266,GH267:HH279,12,0)</f>
        <v>371.67</v>
      </c>
      <c r="HL280" s="2275">
        <f t="shared" si="133"/>
        <v>547.4</v>
      </c>
      <c r="HM280" s="2275">
        <v>1650</v>
      </c>
      <c r="HN280" s="2275"/>
      <c r="HO280" s="2275"/>
      <c r="HP280" s="2275"/>
      <c r="HQ280" s="2275"/>
      <c r="HR280" s="2275"/>
      <c r="HS280" s="2275"/>
      <c r="HT280" s="2250"/>
      <c r="HU280" s="2250"/>
      <c r="HV280" s="2250"/>
      <c r="HW280" s="2250"/>
      <c r="HX280" s="2250"/>
      <c r="HY280" s="2250"/>
      <c r="HZ280" s="2250"/>
      <c r="IA280" s="2250"/>
      <c r="IB280" s="2250"/>
      <c r="IC280" s="2250"/>
      <c r="ID280" s="2250"/>
      <c r="IE280" s="2250"/>
      <c r="IF280" s="2250"/>
      <c r="IG280" s="2250"/>
      <c r="IH280" s="2250"/>
      <c r="II280" s="2250"/>
      <c r="IJ280" s="2250"/>
      <c r="IK280" s="2250"/>
      <c r="IL280" s="2250"/>
      <c r="IN280" s="277"/>
      <c r="IO280" s="277"/>
    </row>
    <row r="281" spans="1:249" ht="21.95" customHeight="1">
      <c r="A281" s="2275"/>
      <c r="B281" s="2275">
        <f>AG266</f>
        <v>68.3</v>
      </c>
      <c r="C281" s="2275">
        <v>0</v>
      </c>
      <c r="D281" s="2275">
        <f>VLOOKUP(B283,C269:AD279,2,0)</f>
        <v>2.0299999999999998</v>
      </c>
      <c r="E281" s="2275">
        <f>VLOOKUP(B283,C269:E279,3,0)</f>
        <v>2.37</v>
      </c>
      <c r="F281" s="2275">
        <f>VLOOKUP(B283,C269:F279,4,0)</f>
        <v>2.6</v>
      </c>
      <c r="G281" s="2275">
        <f>VLOOKUP(B283,C269:G279,5,0)</f>
        <v>2.71</v>
      </c>
      <c r="H281" s="2275">
        <f>VLOOKUP(B283,C269:H279,6,0)</f>
        <v>2.93</v>
      </c>
      <c r="I281" s="2275">
        <f>VLOOKUP(B283,C269:I279,7,0)</f>
        <v>2.93</v>
      </c>
      <c r="J281" s="2275">
        <f>VLOOKUP(B283,C269:J279,8,0)</f>
        <v>3.16</v>
      </c>
      <c r="K281" s="2275">
        <f>VLOOKUP(B283,C269:K279,9,0)</f>
        <v>3.39</v>
      </c>
      <c r="L281" s="2275">
        <f>VLOOKUP(B283,C269:L279,10,0)</f>
        <v>3.61</v>
      </c>
      <c r="M281" s="2275">
        <f>VLOOKUP(B283,C269:M279,11,0)</f>
        <v>3.84</v>
      </c>
      <c r="N281" s="2275">
        <f>VLOOKUP(B283,C269:N279,12,0)</f>
        <v>4.29</v>
      </c>
      <c r="O281" s="2275">
        <f>VLOOKUP(B283,C269:O279,13,0)</f>
        <v>4.63</v>
      </c>
      <c r="P281" s="2275">
        <f>VLOOKUP(B283,C269:P279,14,0)</f>
        <v>4.74</v>
      </c>
      <c r="Q281" s="2275">
        <f>VLOOKUP(B283,C269:Q279,15,0)</f>
        <v>5.08</v>
      </c>
      <c r="R281" s="2275">
        <f>VLOOKUP(B283,C269:R279,16,0)</f>
        <v>5.3</v>
      </c>
      <c r="S281" s="2275">
        <f>VLOOKUP(B283,C269:S279,17,0)</f>
        <v>5.53</v>
      </c>
      <c r="T281" s="2275">
        <f>VLOOKUP(B283,C269:T279,18,0)</f>
        <v>5.87</v>
      </c>
      <c r="U281" s="2275">
        <f>VLOOKUP(B283,C269:U279,19,0)</f>
        <v>6.43</v>
      </c>
      <c r="V281" s="2275">
        <f>VLOOKUP(B283,C269:V279,20,0)</f>
        <v>6.77</v>
      </c>
      <c r="W281" s="2275">
        <f>VLOOKUP(B283,C269:W279,21,0)</f>
        <v>7.34</v>
      </c>
      <c r="X281" s="2275">
        <f>VLOOKUP(B283,C269:X279,22,0)</f>
        <v>7.79</v>
      </c>
      <c r="Y281" s="2275">
        <f>VLOOKUP(B283,C269:Y279,23,0)</f>
        <v>8.58</v>
      </c>
      <c r="Z281" s="2275">
        <f>VLOOKUP(B283,C269:Z279,24,0)</f>
        <v>9.26</v>
      </c>
      <c r="AA281" s="2275">
        <f>VLOOKUP(B283,C269:AA279,25,0)</f>
        <v>10.38</v>
      </c>
      <c r="AB281" s="2275">
        <f>VLOOKUP(B283,C269:AB279,26,0)</f>
        <v>11.4</v>
      </c>
      <c r="AC281" s="2275">
        <f>VLOOKUP(B283,C269:AC279,27,0)</f>
        <v>12.42</v>
      </c>
      <c r="AD281" s="2275">
        <f>VLOOKUP(B283,C269:AD279,28,0)</f>
        <v>14.45</v>
      </c>
      <c r="AE281" s="2346"/>
      <c r="AF281" s="2275"/>
      <c r="AG281" s="2275">
        <f>HLOOKUP(AG266,D267:AD279,13,0)</f>
        <v>400.45</v>
      </c>
      <c r="AH281" s="2275"/>
      <c r="AI281" s="2275"/>
      <c r="AJ281" s="2275"/>
      <c r="AK281" s="2275"/>
      <c r="AL281" s="2275"/>
      <c r="AM281" s="2275"/>
      <c r="AN281" s="2275"/>
      <c r="AO281" s="2275"/>
      <c r="AP281" s="2250"/>
      <c r="AQ281" s="2250"/>
      <c r="AR281" s="2250"/>
      <c r="AS281" s="2250"/>
      <c r="AT281" s="2250"/>
      <c r="AU281" s="2250"/>
      <c r="AV281" s="2250"/>
      <c r="AW281" s="2250"/>
      <c r="AX281" s="2250"/>
      <c r="AY281" s="2250"/>
      <c r="AZ281" s="2250"/>
      <c r="BA281" s="2250"/>
      <c r="BB281" s="2250"/>
      <c r="BC281" s="2250"/>
      <c r="BD281" s="2250"/>
      <c r="BE281" s="2250"/>
      <c r="BF281" s="2276"/>
      <c r="BG281" s="2276"/>
      <c r="BH281" s="2250"/>
      <c r="BI281" s="2275"/>
      <c r="BJ281" s="2275">
        <f>CO266</f>
        <v>73.7</v>
      </c>
      <c r="BK281" s="2275">
        <v>0</v>
      </c>
      <c r="BL281" s="2275">
        <f>VLOOKUP(BJ283,BK269:CL279,2,0)</f>
        <v>2.0299999999999998</v>
      </c>
      <c r="BM281" s="2275">
        <f>VLOOKUP(BJ283,BK269:BM279,3,0)</f>
        <v>2.37</v>
      </c>
      <c r="BN281" s="2275">
        <f>VLOOKUP(BJ283,BK269:BN279,4,0)</f>
        <v>2.6</v>
      </c>
      <c r="BO281" s="2275">
        <f>VLOOKUP(BJ283,BK269:BO279,5,0)</f>
        <v>2.71</v>
      </c>
      <c r="BP281" s="2275">
        <f>VLOOKUP(BJ283,BK269:BP279,6,0)</f>
        <v>2.93</v>
      </c>
      <c r="BQ281" s="2275">
        <f>VLOOKUP(BJ283,BK269:BQ279,7,0)</f>
        <v>2.93</v>
      </c>
      <c r="BR281" s="2275">
        <f>VLOOKUP(BJ283,BK269:BR279,8,0)</f>
        <v>3.16</v>
      </c>
      <c r="BS281" s="2275">
        <f>VLOOKUP(BJ283,BK269:BS279,9,0)</f>
        <v>3.39</v>
      </c>
      <c r="BT281" s="2275">
        <f>VLOOKUP(BJ283,BK269:BT279,10,0)</f>
        <v>3.61</v>
      </c>
      <c r="BU281" s="2275">
        <f>VLOOKUP(BJ283,BK269:BU279,11,0)</f>
        <v>3.84</v>
      </c>
      <c r="BV281" s="2275">
        <f>VLOOKUP(BJ283,BK269:BV279,12,0)</f>
        <v>4.29</v>
      </c>
      <c r="BW281" s="2275">
        <f>VLOOKUP(BJ283,BK269:BW279,13,0)</f>
        <v>4.63</v>
      </c>
      <c r="BX281" s="2275">
        <f>VLOOKUP(BJ283,BK269:BX279,14,0)</f>
        <v>4.74</v>
      </c>
      <c r="BY281" s="2275">
        <f>VLOOKUP(BJ283,BK269:BY279,15,0)</f>
        <v>5.08</v>
      </c>
      <c r="BZ281" s="2275">
        <f>VLOOKUP(BJ283,BK269:BZ279,16,0)</f>
        <v>5.3</v>
      </c>
      <c r="CA281" s="2275">
        <f>VLOOKUP(BJ283,BK269:CA279,17,0)</f>
        <v>5.53</v>
      </c>
      <c r="CB281" s="2275">
        <f>VLOOKUP(BJ283,BK269:CB279,18,0)</f>
        <v>5.87</v>
      </c>
      <c r="CC281" s="2275">
        <f>VLOOKUP(BJ283,BK269:CC279,19,0)</f>
        <v>6.43</v>
      </c>
      <c r="CD281" s="2275">
        <f>VLOOKUP(BJ283,BK269:CD279,20,0)</f>
        <v>6.77</v>
      </c>
      <c r="CE281" s="2275">
        <f>VLOOKUP(BJ283,BK269:CE279,21,0)</f>
        <v>7.34</v>
      </c>
      <c r="CF281" s="2275">
        <f>VLOOKUP(BJ283,BK269:CF279,22,0)</f>
        <v>7.79</v>
      </c>
      <c r="CG281" s="2275">
        <f>VLOOKUP(BJ283,BK269:CG279,23,0)</f>
        <v>8.58</v>
      </c>
      <c r="CH281" s="2275">
        <f>VLOOKUP(BJ283,BK269:CH279,24,0)</f>
        <v>9.26</v>
      </c>
      <c r="CI281" s="2275">
        <f>VLOOKUP(BJ283,BK269:CI279,25,0)</f>
        <v>10.38</v>
      </c>
      <c r="CJ281" s="2275">
        <f>VLOOKUP(BJ283,BK269:CJ279,26,0)</f>
        <v>11.4</v>
      </c>
      <c r="CK281" s="2275">
        <f>VLOOKUP(BJ283,BK269:CK279,27,0)</f>
        <v>12.42</v>
      </c>
      <c r="CL281" s="2275">
        <f>VLOOKUP(BJ283,BK269:CL279,28,0)</f>
        <v>14.45</v>
      </c>
      <c r="CM281" s="2346"/>
      <c r="CN281" s="2275"/>
      <c r="CO281" s="2275">
        <f>HLOOKUP(CO266,BL267:CL279,13,0)</f>
        <v>377.31</v>
      </c>
      <c r="CP281" s="2275"/>
      <c r="CQ281" s="2275"/>
      <c r="CR281" s="2275"/>
      <c r="CS281" s="2275"/>
      <c r="CT281" s="2275"/>
      <c r="CU281" s="2275"/>
      <c r="CV281" s="2275"/>
      <c r="CW281" s="2275"/>
      <c r="CX281" s="2250"/>
      <c r="CY281" s="2250"/>
      <c r="CZ281" s="2250"/>
      <c r="DA281" s="2250"/>
      <c r="DB281" s="2250"/>
      <c r="DC281" s="2250"/>
      <c r="DD281" s="2250"/>
      <c r="DE281" s="2250"/>
      <c r="DF281" s="2250"/>
      <c r="DG281" s="2250"/>
      <c r="DH281" s="2250"/>
      <c r="DI281" s="2250"/>
      <c r="DJ281" s="2250"/>
      <c r="DK281" s="2250"/>
      <c r="DL281" s="2250"/>
      <c r="DM281" s="2250"/>
      <c r="DN281" s="2250"/>
      <c r="DO281" s="2250"/>
      <c r="DP281" s="2250"/>
      <c r="DQ281" s="2277"/>
      <c r="DR281" s="2277"/>
      <c r="DS281" s="277"/>
      <c r="DW281" s="2275"/>
      <c r="DX281" s="2275">
        <f>FC266</f>
        <v>43.9</v>
      </c>
      <c r="DY281" s="2275">
        <v>0</v>
      </c>
      <c r="DZ281" s="2275">
        <f>VLOOKUP(DX283,DY269:EZ279,2,0)</f>
        <v>2.0299999999999998</v>
      </c>
      <c r="EA281" s="2275">
        <f>VLOOKUP(DX283,DY269:EA279,3,0)</f>
        <v>2.37</v>
      </c>
      <c r="EB281" s="2275">
        <f>VLOOKUP(DX283,DY269:EB279,4,0)</f>
        <v>2.6</v>
      </c>
      <c r="EC281" s="2275">
        <f>VLOOKUP(DX283,DY269:EC279,5,0)</f>
        <v>2.71</v>
      </c>
      <c r="ED281" s="2275">
        <f>VLOOKUP(DX283,DY269:ED279,6,0)</f>
        <v>2.93</v>
      </c>
      <c r="EE281" s="2275">
        <f>VLOOKUP(DX283,DY269:EE279,7,0)</f>
        <v>2.93</v>
      </c>
      <c r="EF281" s="2275">
        <f>VLOOKUP(DX283,DY269:EF279,8,0)</f>
        <v>3.16</v>
      </c>
      <c r="EG281" s="2275">
        <f>VLOOKUP(DX283,DY269:EG279,9,0)</f>
        <v>3.39</v>
      </c>
      <c r="EH281" s="2275">
        <f>VLOOKUP(DX283,DY269:EH279,10,0)</f>
        <v>3.61</v>
      </c>
      <c r="EI281" s="2275">
        <f>VLOOKUP(DX283,DY269:EI279,11,0)</f>
        <v>3.84</v>
      </c>
      <c r="EJ281" s="2275">
        <f>VLOOKUP(DX283,DY269:EJ279,12,0)</f>
        <v>4.29</v>
      </c>
      <c r="EK281" s="2275">
        <f>VLOOKUP(DX283,DY269:EK279,13,0)</f>
        <v>4.63</v>
      </c>
      <c r="EL281" s="2275">
        <f>VLOOKUP(DX283,DY269:EL279,14,0)</f>
        <v>4.74</v>
      </c>
      <c r="EM281" s="2275">
        <f>VLOOKUP(DX283,DY269:EM279,15,0)</f>
        <v>5.08</v>
      </c>
      <c r="EN281" s="2275">
        <f>VLOOKUP(DX283,DY269:EN279,16,0)</f>
        <v>5.3</v>
      </c>
      <c r="EO281" s="2275">
        <f>VLOOKUP(DX283,DY269:EO279,17,0)</f>
        <v>5.53</v>
      </c>
      <c r="EP281" s="2275">
        <f>VLOOKUP(DX283,DY269:EP279,18,0)</f>
        <v>5.87</v>
      </c>
      <c r="EQ281" s="2275">
        <f>VLOOKUP(DX283,DY269:EQ279,19,0)</f>
        <v>6.43</v>
      </c>
      <c r="ER281" s="2275">
        <f>VLOOKUP(DX283,DY269:ER279,20,0)</f>
        <v>6.77</v>
      </c>
      <c r="ES281" s="2275">
        <f>VLOOKUP(DX283,DY269:ES279,21,0)</f>
        <v>7.34</v>
      </c>
      <c r="ET281" s="2275">
        <f>VLOOKUP(DX283,DY269:ET279,22,0)</f>
        <v>7.79</v>
      </c>
      <c r="EU281" s="2275">
        <f>VLOOKUP(DX283,DY269:EU279,23,0)</f>
        <v>8.58</v>
      </c>
      <c r="EV281" s="2275">
        <f>VLOOKUP(DX283,DY269:EV279,24,0)</f>
        <v>9.26</v>
      </c>
      <c r="EW281" s="2275">
        <f>VLOOKUP(DX283,DY269:EW279,25,0)</f>
        <v>10.38</v>
      </c>
      <c r="EX281" s="2275">
        <f>VLOOKUP(DX283,DY269:EX279,26,0)</f>
        <v>11.4</v>
      </c>
      <c r="EY281" s="2275">
        <f>VLOOKUP(DX283,DY269:EY279,27,0)</f>
        <v>12.42</v>
      </c>
      <c r="EZ281" s="2275">
        <f>VLOOKUP(DX283,DY269:EZ279,28,0)</f>
        <v>14.45</v>
      </c>
      <c r="FA281" s="2346"/>
      <c r="FB281" s="2275"/>
      <c r="FC281" s="2275">
        <f>HLOOKUP(FC266,DZ267:EZ279,13,0)</f>
        <v>600.34</v>
      </c>
      <c r="FD281" s="2275"/>
      <c r="FE281" s="2275"/>
      <c r="FF281" s="2275"/>
      <c r="FG281" s="2275"/>
      <c r="FH281" s="2275"/>
      <c r="FI281" s="2275"/>
      <c r="FJ281" s="2275"/>
      <c r="FK281" s="2275"/>
      <c r="FL281" s="2250"/>
      <c r="FM281" s="2250"/>
      <c r="FN281" s="2250"/>
      <c r="FO281" s="2250"/>
      <c r="FP281" s="2250"/>
      <c r="FQ281" s="2250"/>
      <c r="FR281" s="2250"/>
      <c r="FS281" s="2250"/>
      <c r="FT281" s="2250"/>
      <c r="FU281" s="2250"/>
      <c r="FV281" s="2250"/>
      <c r="FW281" s="2250"/>
      <c r="FX281" s="2250"/>
      <c r="FY281" s="2250"/>
      <c r="FZ281" s="2250"/>
      <c r="GA281" s="2250"/>
      <c r="GB281" s="2276"/>
      <c r="GC281" s="2276"/>
      <c r="GD281" s="2250"/>
      <c r="GE281" s="2275"/>
      <c r="GF281" s="2275">
        <f>HK266</f>
        <v>48.8</v>
      </c>
      <c r="GG281" s="2275">
        <v>0</v>
      </c>
      <c r="GH281" s="2275">
        <f>VLOOKUP(GF283,GG269:HH279,2,0)</f>
        <v>2.0299999999999998</v>
      </c>
      <c r="GI281" s="2275">
        <f>VLOOKUP(GF283,GG269:GI279,3,0)</f>
        <v>2.37</v>
      </c>
      <c r="GJ281" s="2275">
        <f>VLOOKUP(GF283,GG269:GJ279,4,0)</f>
        <v>2.6</v>
      </c>
      <c r="GK281" s="2275">
        <f>VLOOKUP(GF283,GG269:GK279,5,0)</f>
        <v>2.71</v>
      </c>
      <c r="GL281" s="2275">
        <f>VLOOKUP(GF283,GG269:GL279,6,0)</f>
        <v>2.93</v>
      </c>
      <c r="GM281" s="2275">
        <f>VLOOKUP(GF283,GG269:GM279,7,0)</f>
        <v>2.93</v>
      </c>
      <c r="GN281" s="2275">
        <f>VLOOKUP(GF283,GG269:GN279,8,0)</f>
        <v>3.16</v>
      </c>
      <c r="GO281" s="2275">
        <f>VLOOKUP(GF283,GG269:GO279,9,0)</f>
        <v>3.39</v>
      </c>
      <c r="GP281" s="2275">
        <f>VLOOKUP(GF283,GG269:GP279,10,0)</f>
        <v>3.61</v>
      </c>
      <c r="GQ281" s="2275">
        <f>VLOOKUP(GF283,GG269:GQ279,11,0)</f>
        <v>3.84</v>
      </c>
      <c r="GR281" s="2275">
        <f>VLOOKUP(GF283,GG269:GR279,12,0)</f>
        <v>4.29</v>
      </c>
      <c r="GS281" s="2275">
        <f>VLOOKUP(GF283,GG269:GS279,13,0)</f>
        <v>4.63</v>
      </c>
      <c r="GT281" s="2275">
        <f>VLOOKUP(GF283,GG269:GT279,14,0)</f>
        <v>4.74</v>
      </c>
      <c r="GU281" s="2275">
        <f>VLOOKUP(GF283,GG269:GU279,15,0)</f>
        <v>5.08</v>
      </c>
      <c r="GV281" s="2275">
        <f>VLOOKUP(GF283,GG269:GV279,16,0)</f>
        <v>5.3</v>
      </c>
      <c r="GW281" s="2275">
        <f>VLOOKUP(GF283,GG269:GW279,17,0)</f>
        <v>5.53</v>
      </c>
      <c r="GX281" s="2275">
        <f>VLOOKUP(GF283,GG269:GX279,18,0)</f>
        <v>5.87</v>
      </c>
      <c r="GY281" s="2275">
        <f>VLOOKUP(GF283,GG269:GY279,19,0)</f>
        <v>6.43</v>
      </c>
      <c r="GZ281" s="2275">
        <f>VLOOKUP(GF283,GG269:GZ279,20,0)</f>
        <v>6.77</v>
      </c>
      <c r="HA281" s="2275">
        <f>VLOOKUP(GF283,GG269:HA279,21,0)</f>
        <v>7.34</v>
      </c>
      <c r="HB281" s="2275">
        <f>VLOOKUP(GF283,GG269:HB279,22,0)</f>
        <v>7.79</v>
      </c>
      <c r="HC281" s="2275">
        <f>VLOOKUP(GF283,GG269:HC279,23,0)</f>
        <v>8.58</v>
      </c>
      <c r="HD281" s="2275">
        <f>VLOOKUP(GF283,GG269:HD279,24,0)</f>
        <v>9.26</v>
      </c>
      <c r="HE281" s="2275">
        <f>VLOOKUP(GF283,GG269:HE279,25,0)</f>
        <v>10.38</v>
      </c>
      <c r="HF281" s="2275">
        <f>VLOOKUP(GF283,GG269:HF279,26,0)</f>
        <v>11.4</v>
      </c>
      <c r="HG281" s="2275">
        <f>VLOOKUP(GF283,GG269:HG279,27,0)</f>
        <v>12.42</v>
      </c>
      <c r="HH281" s="2275">
        <f>VLOOKUP(GF283,GG269:HH279,28,0)</f>
        <v>14.45</v>
      </c>
      <c r="HI281" s="2346"/>
      <c r="HJ281" s="2275"/>
      <c r="HK281" s="2275">
        <f>HLOOKUP(HK266,GH267:HH279,13,0)</f>
        <v>547.4</v>
      </c>
      <c r="HL281" s="2275"/>
      <c r="HM281" s="2275"/>
      <c r="HN281" s="2275"/>
      <c r="HO281" s="2275"/>
      <c r="HP281" s="2275"/>
      <c r="HQ281" s="2275"/>
      <c r="HR281" s="2275"/>
      <c r="HS281" s="2275"/>
      <c r="HT281" s="2250"/>
      <c r="HU281" s="2250"/>
      <c r="HV281" s="2250"/>
      <c r="HW281" s="2250"/>
      <c r="HX281" s="2250"/>
      <c r="HY281" s="2250"/>
      <c r="HZ281" s="2250"/>
      <c r="IA281" s="2250"/>
      <c r="IB281" s="2250"/>
      <c r="IC281" s="2250"/>
      <c r="ID281" s="2250"/>
      <c r="IE281" s="2250"/>
      <c r="IF281" s="2250"/>
      <c r="IG281" s="2250"/>
      <c r="IH281" s="2250"/>
      <c r="II281" s="2250"/>
      <c r="IJ281" s="2250"/>
      <c r="IK281" s="2250"/>
      <c r="IL281" s="2250"/>
      <c r="IN281" s="277"/>
      <c r="IO281" s="277"/>
    </row>
    <row r="282" spans="1:249" ht="21.95" customHeight="1">
      <c r="A282" s="2275"/>
      <c r="B282" s="2275">
        <f>AH283</f>
        <v>6.43</v>
      </c>
      <c r="C282" s="2250"/>
      <c r="D282" s="2275"/>
      <c r="E282" s="2275"/>
      <c r="F282" s="2275"/>
      <c r="G282" s="2275"/>
      <c r="H282" s="2275"/>
      <c r="I282" s="2275"/>
      <c r="J282" s="2275"/>
      <c r="K282" s="2275"/>
      <c r="L282" s="2275"/>
      <c r="M282" s="2275"/>
      <c r="N282" s="2275"/>
      <c r="O282" s="2275"/>
      <c r="P282" s="2275"/>
      <c r="Q282" s="2275"/>
      <c r="R282" s="2275"/>
      <c r="S282" s="2275"/>
      <c r="T282" s="2275"/>
      <c r="U282" s="2275"/>
      <c r="V282" s="2275"/>
      <c r="W282" s="2275"/>
      <c r="X282" s="2275"/>
      <c r="Y282" s="2275"/>
      <c r="Z282" s="2275"/>
      <c r="AA282" s="2275"/>
      <c r="AB282" s="2275"/>
      <c r="AC282" s="2275"/>
      <c r="AD282" s="2275"/>
      <c r="AE282" s="2275"/>
      <c r="AF282" s="2275"/>
      <c r="AG282" s="2275">
        <f>VLOOKUP(AG267,AG269:AG281,1)</f>
        <v>0</v>
      </c>
      <c r="AH282" s="2275">
        <f>IFERROR(VLOOKUP(AG267,AH269:AH279,2,0),0)</f>
        <v>0</v>
      </c>
      <c r="AI282" s="2275"/>
      <c r="AJ282" s="2275"/>
      <c r="AK282" s="2275"/>
      <c r="AL282" s="2275"/>
      <c r="AM282" s="2275"/>
      <c r="AN282" s="2275"/>
      <c r="AO282" s="2275"/>
      <c r="AP282" s="2250"/>
      <c r="AQ282" s="2250"/>
      <c r="AR282" s="2250"/>
      <c r="AS282" s="2250"/>
      <c r="AT282" s="2250"/>
      <c r="AU282" s="2250"/>
      <c r="AV282" s="2250"/>
      <c r="AW282" s="2250"/>
      <c r="AX282" s="2250"/>
      <c r="AY282" s="2250"/>
      <c r="AZ282" s="2250"/>
      <c r="BA282" s="2250"/>
      <c r="BB282" s="2250"/>
      <c r="BC282" s="2250"/>
      <c r="BD282" s="2250"/>
      <c r="BE282" s="2250"/>
      <c r="BF282" s="2276"/>
      <c r="BG282" s="2276"/>
      <c r="BH282" s="2250"/>
      <c r="BI282" s="2275"/>
      <c r="BJ282" s="2275">
        <f>CP283</f>
        <v>5.87</v>
      </c>
      <c r="BK282" s="2250"/>
      <c r="BL282" s="2275"/>
      <c r="BM282" s="2275"/>
      <c r="BN282" s="2275"/>
      <c r="BO282" s="2275"/>
      <c r="BP282" s="2275"/>
      <c r="BQ282" s="2275"/>
      <c r="BR282" s="2275"/>
      <c r="BS282" s="2275"/>
      <c r="BT282" s="2275"/>
      <c r="BU282" s="2275"/>
      <c r="BV282" s="2275"/>
      <c r="BW282" s="2275"/>
      <c r="BX282" s="2275"/>
      <c r="BY282" s="2275"/>
      <c r="BZ282" s="2275"/>
      <c r="CA282" s="2275"/>
      <c r="CB282" s="2275"/>
      <c r="CC282" s="2275"/>
      <c r="CD282" s="2275"/>
      <c r="CE282" s="2275"/>
      <c r="CF282" s="2275"/>
      <c r="CG282" s="2275"/>
      <c r="CH282" s="2275"/>
      <c r="CI282" s="2275"/>
      <c r="CJ282" s="2275"/>
      <c r="CK282" s="2275"/>
      <c r="CL282" s="2275"/>
      <c r="CM282" s="2275"/>
      <c r="CN282" s="2275"/>
      <c r="CO282" s="2275">
        <f>VLOOKUP(CO267,CO269:CO281,1)</f>
        <v>0</v>
      </c>
      <c r="CP282" s="2275">
        <f>IFERROR(VLOOKUP(CO267,CP269:CP279,2,0),0)</f>
        <v>0</v>
      </c>
      <c r="CQ282" s="2275"/>
      <c r="CR282" s="2275"/>
      <c r="CS282" s="2275"/>
      <c r="CT282" s="2275"/>
      <c r="CU282" s="2275"/>
      <c r="CV282" s="2275"/>
      <c r="CW282" s="2275"/>
      <c r="CX282" s="2250"/>
      <c r="CY282" s="2250"/>
      <c r="CZ282" s="2250"/>
      <c r="DA282" s="2250"/>
      <c r="DB282" s="2250"/>
      <c r="DC282" s="2250"/>
      <c r="DD282" s="2250"/>
      <c r="DE282" s="2250"/>
      <c r="DF282" s="2250"/>
      <c r="DG282" s="2250"/>
      <c r="DH282" s="2250"/>
      <c r="DI282" s="2250"/>
      <c r="DJ282" s="2250"/>
      <c r="DK282" s="2250"/>
      <c r="DL282" s="2250"/>
      <c r="DM282" s="2250"/>
      <c r="DN282" s="2250"/>
      <c r="DO282" s="2250"/>
      <c r="DP282" s="2250"/>
      <c r="DQ282" s="2277"/>
      <c r="DR282" s="2277"/>
      <c r="DS282" s="277"/>
      <c r="DW282" s="2275"/>
      <c r="DX282" s="2275">
        <f>FD283</f>
        <v>9.26</v>
      </c>
      <c r="DY282" s="2250"/>
      <c r="DZ282" s="2275"/>
      <c r="EA282" s="2275"/>
      <c r="EB282" s="2275"/>
      <c r="EC282" s="2275"/>
      <c r="ED282" s="2275"/>
      <c r="EE282" s="2275"/>
      <c r="EF282" s="2275"/>
      <c r="EG282" s="2275"/>
      <c r="EH282" s="2275"/>
      <c r="EI282" s="2275"/>
      <c r="EJ282" s="2275"/>
      <c r="EK282" s="2275"/>
      <c r="EL282" s="2275"/>
      <c r="EM282" s="2275"/>
      <c r="EN282" s="2275"/>
      <c r="EO282" s="2275"/>
      <c r="EP282" s="2275"/>
      <c r="EQ282" s="2275"/>
      <c r="ER282" s="2275"/>
      <c r="ES282" s="2275"/>
      <c r="ET282" s="2275"/>
      <c r="EU282" s="2275"/>
      <c r="EV282" s="2275"/>
      <c r="EW282" s="2275"/>
      <c r="EX282" s="2275"/>
      <c r="EY282" s="2275"/>
      <c r="EZ282" s="2275"/>
      <c r="FA282" s="2275"/>
      <c r="FB282" s="2275"/>
      <c r="FC282" s="2275">
        <f>VLOOKUP(FC267,FC269:FC281,1)</f>
        <v>0</v>
      </c>
      <c r="FD282" s="2275">
        <f>IFERROR(VLOOKUP(FC267,FD269:FD279,2,0),0)</f>
        <v>0</v>
      </c>
      <c r="FE282" s="2275"/>
      <c r="FF282" s="2275"/>
      <c r="FG282" s="2275"/>
      <c r="FH282" s="2275"/>
      <c r="FI282" s="2275"/>
      <c r="FJ282" s="2275"/>
      <c r="FK282" s="2275"/>
      <c r="FL282" s="2250"/>
      <c r="FM282" s="2250"/>
      <c r="FN282" s="2250"/>
      <c r="FO282" s="2250"/>
      <c r="FP282" s="2250"/>
      <c r="FQ282" s="2250"/>
      <c r="FR282" s="2250"/>
      <c r="FS282" s="2250"/>
      <c r="FT282" s="2250"/>
      <c r="FU282" s="2250"/>
      <c r="FV282" s="2250"/>
      <c r="FW282" s="2250"/>
      <c r="FX282" s="2250"/>
      <c r="FY282" s="2250"/>
      <c r="FZ282" s="2250"/>
      <c r="GA282" s="2250"/>
      <c r="GB282" s="2276"/>
      <c r="GC282" s="2276"/>
      <c r="GD282" s="2250"/>
      <c r="GE282" s="2275"/>
      <c r="GF282" s="2275">
        <f>HL283</f>
        <v>8.58</v>
      </c>
      <c r="GG282" s="2250"/>
      <c r="GH282" s="2275"/>
      <c r="GI282" s="2275"/>
      <c r="GJ282" s="2275"/>
      <c r="GK282" s="2275"/>
      <c r="GL282" s="2275"/>
      <c r="GM282" s="2275"/>
      <c r="GN282" s="2275"/>
      <c r="GO282" s="2275"/>
      <c r="GP282" s="2275"/>
      <c r="GQ282" s="2275"/>
      <c r="GR282" s="2275"/>
      <c r="GS282" s="2275"/>
      <c r="GT282" s="2275"/>
      <c r="GU282" s="2275"/>
      <c r="GV282" s="2275"/>
      <c r="GW282" s="2275"/>
      <c r="GX282" s="2275"/>
      <c r="GY282" s="2275"/>
      <c r="GZ282" s="2275"/>
      <c r="HA282" s="2275"/>
      <c r="HB282" s="2275"/>
      <c r="HC282" s="2275"/>
      <c r="HD282" s="2275"/>
      <c r="HE282" s="2275"/>
      <c r="HF282" s="2275"/>
      <c r="HG282" s="2275"/>
      <c r="HH282" s="2275"/>
      <c r="HI282" s="2275"/>
      <c r="HJ282" s="2275"/>
      <c r="HK282" s="2275">
        <f>VLOOKUP(HK267,HK269:HK281,1)</f>
        <v>0</v>
      </c>
      <c r="HL282" s="2275">
        <f>IFERROR(VLOOKUP(HK267,HL269:HL279,2,0),0)</f>
        <v>0</v>
      </c>
      <c r="HM282" s="2275"/>
      <c r="HN282" s="2275"/>
      <c r="HO282" s="2275"/>
      <c r="HP282" s="2275"/>
      <c r="HQ282" s="2275"/>
      <c r="HR282" s="2275"/>
      <c r="HS282" s="2275"/>
      <c r="HT282" s="2250"/>
      <c r="HU282" s="2250"/>
      <c r="HV282" s="2250"/>
      <c r="HW282" s="2250"/>
      <c r="HX282" s="2250"/>
      <c r="HY282" s="2250"/>
      <c r="HZ282" s="2250"/>
      <c r="IA282" s="2250"/>
      <c r="IB282" s="2250"/>
      <c r="IC282" s="2250"/>
      <c r="ID282" s="2250"/>
      <c r="IE282" s="2250"/>
      <c r="IF282" s="2250"/>
      <c r="IG282" s="2250"/>
      <c r="IH282" s="2250"/>
      <c r="II282" s="2250"/>
      <c r="IJ282" s="2250"/>
      <c r="IK282" s="2250"/>
      <c r="IL282" s="2250"/>
      <c r="IN282" s="277"/>
      <c r="IO282" s="277"/>
    </row>
    <row r="283" spans="1:249" ht="21.95" customHeight="1">
      <c r="A283" s="2275"/>
      <c r="B283" s="2346">
        <f>AI283</f>
        <v>400</v>
      </c>
      <c r="C283" s="2346" t="s">
        <v>739</v>
      </c>
      <c r="D283" s="2346">
        <f>HLOOKUP(B281,D267:AD281,15,0)</f>
        <v>6.43</v>
      </c>
      <c r="E283" s="2346" t="str">
        <f>IF(B282=D283,"Right","Wrong")</f>
        <v>Right</v>
      </c>
      <c r="F283" s="2275"/>
      <c r="G283" s="2275"/>
      <c r="H283" s="2275"/>
      <c r="I283" s="2275"/>
      <c r="J283" s="2275"/>
      <c r="K283" s="2275"/>
      <c r="L283" s="2275"/>
      <c r="M283" s="2275"/>
      <c r="N283" s="2275"/>
      <c r="O283" s="2275"/>
      <c r="P283" s="2275"/>
      <c r="Q283" s="2275"/>
      <c r="R283" s="2275"/>
      <c r="S283" s="2275"/>
      <c r="T283" s="2275"/>
      <c r="U283" s="2275"/>
      <c r="V283" s="2275"/>
      <c r="W283" s="2275"/>
      <c r="X283" s="2275"/>
      <c r="Y283" s="2275"/>
      <c r="Z283" s="2275"/>
      <c r="AA283" s="2275"/>
      <c r="AB283" s="2275"/>
      <c r="AC283" s="2275"/>
      <c r="AD283" s="2275"/>
      <c r="AE283" s="2275"/>
      <c r="AF283" s="2275"/>
      <c r="AG283" s="2275">
        <f>VLOOKUP(AG282,AG269:AH280,2,0)</f>
        <v>6.43</v>
      </c>
      <c r="AH283" s="2275">
        <f>IF(AH282&gt;0,AH282,AG283)</f>
        <v>6.43</v>
      </c>
      <c r="AI283" s="2275">
        <f>VLOOKUP(AH283,AH270:AI280,2,0)</f>
        <v>400</v>
      </c>
      <c r="AJ283" s="2275"/>
      <c r="AK283" s="2275"/>
      <c r="AL283" s="2275"/>
      <c r="AM283" s="2275"/>
      <c r="AN283" s="2275"/>
      <c r="AO283" s="2275"/>
      <c r="AP283" s="2250"/>
      <c r="AQ283" s="2250"/>
      <c r="AR283" s="2250"/>
      <c r="AS283" s="2250"/>
      <c r="AT283" s="2250"/>
      <c r="AU283" s="2250"/>
      <c r="AV283" s="2250"/>
      <c r="AW283" s="2250"/>
      <c r="AX283" s="2250"/>
      <c r="AY283" s="2250"/>
      <c r="AZ283" s="2250"/>
      <c r="BA283" s="2250"/>
      <c r="BB283" s="2250"/>
      <c r="BC283" s="2250"/>
      <c r="BD283" s="2250"/>
      <c r="BE283" s="2250"/>
      <c r="BF283" s="2276"/>
      <c r="BG283" s="2276"/>
      <c r="BH283" s="2250"/>
      <c r="BI283" s="2275"/>
      <c r="BJ283" s="2346">
        <f>CQ283</f>
        <v>400</v>
      </c>
      <c r="BK283" s="2346" t="s">
        <v>739</v>
      </c>
      <c r="BL283" s="2346">
        <f>HLOOKUP(BJ281,BL267:CL281,15,0)</f>
        <v>5.87</v>
      </c>
      <c r="BM283" s="2346" t="str">
        <f>IF(BJ282=BL283,"Right","Wrong")</f>
        <v>Right</v>
      </c>
      <c r="BN283" s="2275"/>
      <c r="BO283" s="2275"/>
      <c r="BP283" s="2275"/>
      <c r="BQ283" s="2275"/>
      <c r="BR283" s="2275"/>
      <c r="BS283" s="2275"/>
      <c r="BT283" s="2275"/>
      <c r="BU283" s="2275"/>
      <c r="BV283" s="2275"/>
      <c r="BW283" s="2275"/>
      <c r="BX283" s="2275"/>
      <c r="BY283" s="2275"/>
      <c r="BZ283" s="2275"/>
      <c r="CA283" s="2275"/>
      <c r="CB283" s="2275"/>
      <c r="CC283" s="2275"/>
      <c r="CD283" s="2275"/>
      <c r="CE283" s="2275"/>
      <c r="CF283" s="2275"/>
      <c r="CG283" s="2275"/>
      <c r="CH283" s="2275"/>
      <c r="CI283" s="2275"/>
      <c r="CJ283" s="2275"/>
      <c r="CK283" s="2275"/>
      <c r="CL283" s="2275"/>
      <c r="CM283" s="2275"/>
      <c r="CN283" s="2275"/>
      <c r="CO283" s="2275">
        <f>VLOOKUP(CO282,CO269:CP280,2,0)</f>
        <v>5.87</v>
      </c>
      <c r="CP283" s="2275">
        <f>IF(CP282&gt;0,CP282,CO283)</f>
        <v>5.87</v>
      </c>
      <c r="CQ283" s="2275">
        <f>VLOOKUP(CP283,CP270:CQ280,2,0)</f>
        <v>400</v>
      </c>
      <c r="CR283" s="2275"/>
      <c r="CS283" s="2275"/>
      <c r="CT283" s="2275"/>
      <c r="CU283" s="2275"/>
      <c r="CV283" s="2275"/>
      <c r="CW283" s="2275"/>
      <c r="CX283" s="2250"/>
      <c r="CY283" s="2250"/>
      <c r="CZ283" s="2250"/>
      <c r="DA283" s="2250"/>
      <c r="DB283" s="2250"/>
      <c r="DC283" s="2250"/>
      <c r="DD283" s="2250"/>
      <c r="DE283" s="2250"/>
      <c r="DF283" s="2250"/>
      <c r="DG283" s="2250"/>
      <c r="DH283" s="2250"/>
      <c r="DI283" s="2250"/>
      <c r="DJ283" s="2250"/>
      <c r="DK283" s="2250"/>
      <c r="DL283" s="2250"/>
      <c r="DM283" s="2250"/>
      <c r="DN283" s="2250"/>
      <c r="DO283" s="2250"/>
      <c r="DP283" s="2250"/>
      <c r="DQ283" s="2277"/>
      <c r="DR283" s="2277"/>
      <c r="DS283" s="277"/>
      <c r="DW283" s="2275"/>
      <c r="DX283" s="2346">
        <f>FE283</f>
        <v>400</v>
      </c>
      <c r="DY283" s="2346" t="s">
        <v>739</v>
      </c>
      <c r="DZ283" s="2346">
        <f>HLOOKUP(DX281,DZ267:EZ281,15,0)</f>
        <v>9.26</v>
      </c>
      <c r="EA283" s="2346" t="str">
        <f>IF(DX282=DZ283,"Right","Wrong")</f>
        <v>Right</v>
      </c>
      <c r="EB283" s="2275"/>
      <c r="EC283" s="2275"/>
      <c r="ED283" s="2275"/>
      <c r="EE283" s="2275"/>
      <c r="EF283" s="2275"/>
      <c r="EG283" s="2275"/>
      <c r="EH283" s="2275"/>
      <c r="EI283" s="2275"/>
      <c r="EJ283" s="2275"/>
      <c r="EK283" s="2275"/>
      <c r="EL283" s="2275"/>
      <c r="EM283" s="2275"/>
      <c r="EN283" s="2275"/>
      <c r="EO283" s="2275"/>
      <c r="EP283" s="2275"/>
      <c r="EQ283" s="2275"/>
      <c r="ER283" s="2275"/>
      <c r="ES283" s="2275"/>
      <c r="ET283" s="2275"/>
      <c r="EU283" s="2275"/>
      <c r="EV283" s="2275"/>
      <c r="EW283" s="2275"/>
      <c r="EX283" s="2275"/>
      <c r="EY283" s="2275"/>
      <c r="EZ283" s="2275"/>
      <c r="FA283" s="2275"/>
      <c r="FB283" s="2275"/>
      <c r="FC283" s="2275">
        <f>VLOOKUP(FC282,FC269:FD280,2,0)</f>
        <v>9.26</v>
      </c>
      <c r="FD283" s="2275">
        <f>IF(FD282&gt;0,FD282,FC283)</f>
        <v>9.26</v>
      </c>
      <c r="FE283" s="2275">
        <f>VLOOKUP(FD283,FD270:FE280,2,0)</f>
        <v>400</v>
      </c>
      <c r="FF283" s="2275"/>
      <c r="FG283" s="2275"/>
      <c r="FH283" s="2275"/>
      <c r="FI283" s="2275"/>
      <c r="FJ283" s="2275"/>
      <c r="FK283" s="2275"/>
      <c r="FL283" s="2250"/>
      <c r="FM283" s="2250"/>
      <c r="FN283" s="2250"/>
      <c r="FO283" s="2250"/>
      <c r="FP283" s="2250"/>
      <c r="FQ283" s="2250"/>
      <c r="FR283" s="2250"/>
      <c r="FS283" s="2250"/>
      <c r="FT283" s="2250"/>
      <c r="FU283" s="2250"/>
      <c r="FV283" s="2250"/>
      <c r="FW283" s="2250"/>
      <c r="FX283" s="2250"/>
      <c r="FY283" s="2250"/>
      <c r="FZ283" s="2250"/>
      <c r="GA283" s="2250"/>
      <c r="GB283" s="2276"/>
      <c r="GC283" s="2276"/>
      <c r="GD283" s="2250"/>
      <c r="GE283" s="2275"/>
      <c r="GF283" s="2346">
        <f>HM283</f>
        <v>400</v>
      </c>
      <c r="GG283" s="2346" t="s">
        <v>739</v>
      </c>
      <c r="GH283" s="2346">
        <f>HLOOKUP(GF281,GH267:HH281,15,0)</f>
        <v>8.58</v>
      </c>
      <c r="GI283" s="2346" t="str">
        <f>IF(GF282=GH283,"Right","Wrong")</f>
        <v>Right</v>
      </c>
      <c r="GJ283" s="2275"/>
      <c r="GK283" s="2275"/>
      <c r="GL283" s="2275"/>
      <c r="GM283" s="2275"/>
      <c r="GN283" s="2275"/>
      <c r="GO283" s="2275"/>
      <c r="GP283" s="2275"/>
      <c r="GQ283" s="2275"/>
      <c r="GR283" s="2275"/>
      <c r="GS283" s="2275"/>
      <c r="GT283" s="2275"/>
      <c r="GU283" s="2275"/>
      <c r="GV283" s="2275"/>
      <c r="GW283" s="2275"/>
      <c r="GX283" s="2275"/>
      <c r="GY283" s="2275"/>
      <c r="GZ283" s="2275"/>
      <c r="HA283" s="2275"/>
      <c r="HB283" s="2275"/>
      <c r="HC283" s="2275"/>
      <c r="HD283" s="2275"/>
      <c r="HE283" s="2275"/>
      <c r="HF283" s="2275"/>
      <c r="HG283" s="2275"/>
      <c r="HH283" s="2275"/>
      <c r="HI283" s="2275"/>
      <c r="HJ283" s="2275"/>
      <c r="HK283" s="2275">
        <f>VLOOKUP(HK282,HK269:HL280,2,0)</f>
        <v>8.58</v>
      </c>
      <c r="HL283" s="2275">
        <f>IF(HL282&gt;0,HL282,HK283)</f>
        <v>8.58</v>
      </c>
      <c r="HM283" s="2275">
        <f>VLOOKUP(HL283,HL270:HM280,2,0)</f>
        <v>400</v>
      </c>
      <c r="HN283" s="2275"/>
      <c r="HO283" s="2275"/>
      <c r="HP283" s="2275"/>
      <c r="HQ283" s="2275"/>
      <c r="HR283" s="2275"/>
      <c r="HS283" s="2275"/>
      <c r="HT283" s="2250"/>
      <c r="HU283" s="2250"/>
      <c r="HV283" s="2250"/>
      <c r="HW283" s="2250"/>
      <c r="HX283" s="2250"/>
      <c r="HY283" s="2250"/>
      <c r="HZ283" s="2250"/>
      <c r="IA283" s="2250"/>
      <c r="IB283" s="2250"/>
      <c r="IC283" s="2250"/>
      <c r="ID283" s="2250"/>
      <c r="IE283" s="2250"/>
      <c r="IF283" s="2250"/>
      <c r="IG283" s="2250"/>
      <c r="IH283" s="2250"/>
      <c r="II283" s="2250"/>
      <c r="IJ283" s="2250"/>
      <c r="IK283" s="2250"/>
      <c r="IL283" s="2250"/>
      <c r="IN283" s="277"/>
      <c r="IO283" s="277"/>
    </row>
    <row r="284" spans="1:249" ht="21.95" customHeight="1">
      <c r="A284" s="2275"/>
      <c r="B284" s="2250"/>
      <c r="C284" s="2275"/>
      <c r="D284" s="2275">
        <f>+IF(B285&lt;=D269,D269,IF(B285&lt;=D270,D270,IF(B285&lt;=D271,D271,IF(B285&lt;=D272,D272,IF(B285&lt;=D273,D273,IF(B285&lt;=D274,D274,IF(B285&lt;=D275,D275,IF(B285&lt;=D276,D276,0))))))))</f>
        <v>2.0299999999999998</v>
      </c>
      <c r="E284" s="2275">
        <f>+IF(B285&lt;=E269,E269,IF(B285&lt;=E270,E270,IF(B285&lt;=E271,E271,IF(B285&lt;=E272,E272,IF(B285&lt;=E273,E273,IF(B285&lt;=E274,E274,IF(B285&lt;=E275,E275,IF(B285&lt;=E276,E276,0))))))))</f>
        <v>2.37</v>
      </c>
      <c r="F284" s="2275">
        <f>+IF(B285&lt;=F269,F269,IF(B285&lt;=F270,F270,IF(B285&lt;=F271,F271,IF(B285&lt;=F272,F272,IF(B285&lt;=F273,F273,IF(B285&lt;=F274,F274,IF(B285&lt;=F275,F275,IF(B285&lt;=F276,F276,0))))))))</f>
        <v>2.6</v>
      </c>
      <c r="G284" s="2275">
        <f>+IF(B285&lt;=G269,G269,IF(B285&lt;=G270,G270,IF(B285&lt;=G271,G271,IF(B285&lt;=G272,G272,IF(B285&lt;=G273,G273,IF(B285&lt;=G274,G274,IF(B285&lt;=G275,G275,IF(B285&lt;=G276,G276,0))))))))</f>
        <v>2.71</v>
      </c>
      <c r="H284" s="2275">
        <f>+IF(B285&lt;=H269,H269,IF(B285&lt;=H270,H270,IF(B285&lt;=H271,H271,IF(B285&lt;=H272,H272,IF(B285&lt;=H273,H273,IF(B285&lt;=H274,H274,IF(B285&lt;=H275,H275,IF(B285&lt;=H276,H276,0))))))))</f>
        <v>2.93</v>
      </c>
      <c r="I284" s="2275">
        <f>+IF(B285&lt;=I269,I269,IF(B285&lt;=I270,I270,IF(B285&lt;=I271,I271,IF(B285&lt;=I272,I272,IF(B285&lt;=I273,I273,IF(B285&lt;=I274,I274,IF(B285&lt;=I275,I275,IF(B285&lt;=I276,I276,0))))))))</f>
        <v>2.93</v>
      </c>
      <c r="J284" s="2275">
        <f>+IF(B285&lt;=J269,J269,IF(B285&lt;=J270,J270,IF(B285&lt;=J271,J271,IF(B285&lt;=J272,J272,IF(B285&lt;=J273,J273,IF(B285&lt;=J274,J274,IF(B285&lt;=J275,J275,IF(B285&lt;=J276,J276,0))))))))</f>
        <v>3.16</v>
      </c>
      <c r="K284" s="2275">
        <f>+IF(B285&lt;=K269,K269,IF(B285&lt;=K270,K270,IF(B285&lt;=K271,K271,IF(B285&lt;=K272,K272,IF(B285&lt;=K273,K273,IF(B285&lt;=K274,K274,IF(B285&lt;=K275,K275,IF(B285&lt;=K276,K276,0))))))))</f>
        <v>3.39</v>
      </c>
      <c r="L284" s="2275">
        <f>+IF(B285&lt;=L269,L269,IF(B285&lt;=L270,L270,IF(B285&lt;=L271,L271,IF(B285&lt;=L272,L272,IF(B285&lt;=L273,L273,IF(B285&lt;=L274,L274,IF(B285&lt;=L275,L275,IF(B285&lt;=L276,L276,0))))))))</f>
        <v>3.61</v>
      </c>
      <c r="M284" s="2275">
        <f>+IF(B285&lt;=M269,M269,IF(B285&lt;=M270,M270,IF(B285&lt;=M271,M271,IF(B285&lt;=M272,M272,IF(B285&lt;=M273,M273,IF(B285&lt;=M274,M274,IF(B285&lt;=M275,M275,IF(B285&lt;=M276,M276,0))))))))</f>
        <v>3.84</v>
      </c>
      <c r="N284" s="2275">
        <f>+IF(B285&lt;=N269,N269,IF(B285&lt;=N270,N270,IF(B285&lt;=N271,N271,IF(B285&lt;=N272,N272,IF(B285&lt;=N273,N273,IF(B285&lt;=N274,N274,IF(B285&lt;=N275,N275,IF(B285&lt;=N276,N276,0))))))))</f>
        <v>4.29</v>
      </c>
      <c r="O284" s="2275">
        <f>+IF(B285&lt;=O269,O269,IF(B285&lt;=O270,O270,IF(B285&lt;=O271,O271,IF(B285&lt;=O272,O272,IF(B285&lt;=O273,O273,IF(B285&lt;=O274,O274,IF(B285&lt;=O275,O275,IF(B285&lt;=O276,O276,0))))))))</f>
        <v>4.63</v>
      </c>
      <c r="P284" s="2275">
        <f>+IF(B285&lt;=P269,P269,IF(B285&lt;=P270,P270,IF(B285&lt;=P271,P271,IF(B285&lt;=P272,P272,IF(B285&lt;=P273,P273,IF(B285&lt;=P274,P274,IF(B285&lt;=P275,P275,IF(B285&lt;=P276,P276,0))))))))</f>
        <v>4.74</v>
      </c>
      <c r="Q284" s="2275">
        <f>+IF(B285&lt;=Q269,Q269,IF(B285&lt;=Q270,Q270,IF(B285&lt;=Q271,Q271,IF(B285&lt;=Q272,Q272,IF(B285&lt;=Q273,Q273,IF(B285&lt;=Q274,Q274,IF(B285&lt;=Q275,Q275,IF(B285&lt;=Q276,Q276,0))))))))</f>
        <v>5.08</v>
      </c>
      <c r="R284" s="2275">
        <f>+IF(B285&lt;=R269,R269,IF(B285&lt;=R270,R270,IF(B285&lt;=R271,R271,IF(B285&lt;=R272,R272,IF(B285&lt;=R273,R273,IF(B285&lt;=R274,R274,IF(B285&lt;=R275,R275,IF(B285&lt;=R276,R276,0))))))))</f>
        <v>5.3</v>
      </c>
      <c r="S284" s="2275">
        <f>+IF(B285&lt;=S269,S269,IF(B285&lt;=S270,S270,IF(B285&lt;=S271,S271,IF(B285&lt;=S272,S272,IF(B285&lt;=S273,S273,IF(B285&lt;=S274,S274,IF(B285&lt;=S275,S275,IF(B285&lt;=S276,S276,0))))))))</f>
        <v>5.53</v>
      </c>
      <c r="T284" s="2275">
        <f>+IF(B285&lt;=T269,T269,IF(B285&lt;=T270,T270,IF(B285&lt;=T271,T271,IF(B285&lt;=T272,T272,IF(B285&lt;=T273,T273,IF(B285&lt;=T274,T274,IF(B285&lt;=T275,T275,IF(B285&lt;=T276,T276,0))))))))</f>
        <v>5.87</v>
      </c>
      <c r="U284" s="2275">
        <f>+IF(B285&lt;=U269,U269,IF(B285&lt;=U270,U270,IF(B285&lt;=U271,U271,IF(B285&lt;=U272,U272,IF(B285&lt;=U273,U273,IF(B285&lt;=U274,U274,IF(B285&lt;=U275,U275,IF(B285&lt;=U276,U276,0))))))))</f>
        <v>6.43</v>
      </c>
      <c r="V284" s="2275">
        <f>+IF(B285&lt;=V269,V269,IF(B285&lt;=V270,V270,IF(B285&lt;=V271,V271,IF(B285&lt;=V272,V272,IF(B285&lt;=V273,V273,IF(B285&lt;=V274,V274,IF(B285&lt;=V275,V275,IF(B285&lt;=V276,V276,0))))))))</f>
        <v>6.77</v>
      </c>
      <c r="W284" s="2275">
        <f>+IF(B285&lt;=W269,W269,IF(B285&lt;=W270,W270,IF(B285&lt;=W271,W271,IF(B285&lt;=W272,W272,IF(B285&lt;=W273,W273,IF(B285&lt;=W274,W274,IF(B285&lt;=W275,W275,IF(B285&lt;=W276,W276,0))))))))</f>
        <v>7.34</v>
      </c>
      <c r="X284" s="2275">
        <f>+IF(B285&lt;=X269,X269,IF(B285&lt;=X270,X270,IF(B285&lt;=X271,X271,IF(B285&lt;=X272,X272,IF(B285&lt;=X273,X273,IF(B285&lt;=X274,X274,IF(B285&lt;=X275,X275,IF(B285&lt;=X276,X276,0))))))))</f>
        <v>7.79</v>
      </c>
      <c r="Y284" s="2275">
        <f>+IF(B285&lt;=Y269,Y269,IF(B285&lt;=Y270,Y270,IF(B285&lt;=Y271,Y271,IF(B285&lt;=Y272,Y272,IF(B285&lt;=Y273,Y273,IF(B285&lt;=Y274,Y274,IF(B285&lt;=Y275,Y275,IF(B285&lt;=Y276,Y276,0))))))))</f>
        <v>8.58</v>
      </c>
      <c r="Z284" s="2275">
        <f>+IF(B285&lt;=Z269,Z269,IF(B285&lt;=Z270,Z270,IF(B285&lt;=Z271,Z271,IF(B285&lt;=Z272,Z272,IF(B285&lt;=Z273,Z273,IF(B285&lt;=Z274,Z274,IF(B285&lt;=Z275,Z275,IF(B285&lt;=Z276,Z276,0))))))))</f>
        <v>9.26</v>
      </c>
      <c r="AA284" s="2275">
        <f>+IF(B285&lt;=AA269,AA269,IF(B285&lt;=AA270,AA270,IF(B285&lt;=AA271,AA271,IF(B285&lt;=AA272,AA272,IF(B285&lt;=AA273,AA273,IF(B285&lt;=AA274,AA274,IF(B285&lt;=AA275,AA275,IF(B285&lt;=AA276,AA276,0))))))))</f>
        <v>10.38</v>
      </c>
      <c r="AB284" s="2275">
        <f>+IF(B285&lt;=AB269,AB269,IF(B285&lt;=AB270,AB270,IF(B285&lt;=AB271,AB271,IF(B285&lt;=AB272,AB272,IF(B285&lt;=AB273,AB273,IF(B285&lt;=AB274,AB274,IF(B285&lt;=AB275,AB275,IF(B285&lt;=AB276,AB276,0))))))))</f>
        <v>11.4</v>
      </c>
      <c r="AC284" s="2275">
        <f>+IF(B285&lt;=AC269,AC269,IF(B285&lt;=AC270,AC270,IF(B285&lt;=AC271,AC271,IF(B285&lt;=AC272,AC272,IF(B285&lt;=AC273,AC273,IF(B285&lt;=AC274,AC274,IF(B285&lt;=AC275,AC275,IF(B285&lt;=AC276,AC276,0))))))))</f>
        <v>12.42</v>
      </c>
      <c r="AD284" s="2275">
        <f>+IF(B285&lt;=AD269,AD269,IF(B285&lt;=AD270,AD270,IF(B285&lt;=AD271,AD271,IF(B285&lt;=AD272,AD272,IF(B285&lt;=AD273,AD273,IF(B285&lt;=AD274,AD274,IF(B285&lt;=AD275,AD275,IF(B285&lt;=AD276,AD276,0))))))))</f>
        <v>14.45</v>
      </c>
      <c r="AE284" s="2275"/>
      <c r="AF284" s="2275"/>
      <c r="AG284" s="2275"/>
      <c r="AH284" s="2275"/>
      <c r="AI284" s="2275"/>
      <c r="AJ284" s="2275"/>
      <c r="AK284" s="2275"/>
      <c r="AL284" s="2275"/>
      <c r="AM284" s="2275"/>
      <c r="AN284" s="2275"/>
      <c r="AO284" s="2275"/>
      <c r="AP284" s="2250"/>
      <c r="AQ284" s="2250"/>
      <c r="AR284" s="2250"/>
      <c r="AS284" s="2250"/>
      <c r="AT284" s="2250"/>
      <c r="AU284" s="2250"/>
      <c r="AV284" s="2250"/>
      <c r="AW284" s="2250"/>
      <c r="AX284" s="2250"/>
      <c r="AY284" s="2250"/>
      <c r="AZ284" s="2250"/>
      <c r="BA284" s="2250"/>
      <c r="BB284" s="2250"/>
      <c r="BC284" s="2250"/>
      <c r="BD284" s="2250"/>
      <c r="BE284" s="2250"/>
      <c r="BF284" s="2276"/>
      <c r="BG284" s="2276"/>
      <c r="BH284" s="2250"/>
      <c r="BI284" s="2275"/>
      <c r="BJ284" s="2250"/>
      <c r="BK284" s="2275"/>
      <c r="BL284" s="2275">
        <f>+IF(BJ285&lt;=BL269,BL269,IF(BJ285&lt;=BL270,BL270,IF(BJ285&lt;=BL271,BL271,IF(BJ285&lt;=BL272,BL272,IF(BJ285&lt;=BL273,BL273,IF(BJ285&lt;=BL274,BL274,IF(BJ285&lt;=BL275,BL275,IF(BJ285&lt;=BL276,BL276,0))))))))</f>
        <v>2.0299999999999998</v>
      </c>
      <c r="BM284" s="2275">
        <f>+IF(BJ285&lt;=BM269,BM269,IF(BJ285&lt;=BM270,BM270,IF(BJ285&lt;=BM271,BM271,IF(BJ285&lt;=BM272,BM272,IF(BJ285&lt;=BM273,BM273,IF(BJ285&lt;=BM274,BM274,IF(BJ285&lt;=BM275,BM275,IF(BJ285&lt;=BM276,BM276,0))))))))</f>
        <v>2.37</v>
      </c>
      <c r="BN284" s="2275">
        <f>+IF(BJ285&lt;=BN269,BN269,IF(BJ285&lt;=BN270,BN270,IF(BJ285&lt;=BN271,BN271,IF(BJ285&lt;=BN272,BN272,IF(BJ285&lt;=BN273,BN273,IF(BJ285&lt;=BN274,BN274,IF(BJ285&lt;=BN275,BN275,IF(BJ285&lt;=BN276,BN276,0))))))))</f>
        <v>2.6</v>
      </c>
      <c r="BO284" s="2275">
        <f>+IF(BJ285&lt;=BO269,BO269,IF(BJ285&lt;=BO270,BO270,IF(BJ285&lt;=BO271,BO271,IF(BJ285&lt;=BO272,BO272,IF(BJ285&lt;=BO273,BO273,IF(BJ285&lt;=BO274,BO274,IF(BJ285&lt;=BO275,BO275,IF(BJ285&lt;=BO276,BO276,0))))))))</f>
        <v>2.71</v>
      </c>
      <c r="BP284" s="2275">
        <f>+IF(BJ285&lt;=BP269,BP269,IF(BJ285&lt;=BP270,BP270,IF(BJ285&lt;=BP271,BP271,IF(BJ285&lt;=BP272,BP272,IF(BJ285&lt;=BP273,BP273,IF(BJ285&lt;=BP274,BP274,IF(BJ285&lt;=BP275,BP275,IF(BJ285&lt;=BP276,BP276,0))))))))</f>
        <v>2.93</v>
      </c>
      <c r="BQ284" s="2275">
        <f>+IF(BJ285&lt;=BQ269,BQ269,IF(BJ285&lt;=BQ270,BQ270,IF(BJ285&lt;=BQ271,BQ271,IF(BJ285&lt;=BQ272,BQ272,IF(BJ285&lt;=BQ273,BQ273,IF(BJ285&lt;=BQ274,BQ274,IF(BJ285&lt;=BQ275,BQ275,IF(BJ285&lt;=BQ276,BQ276,0))))))))</f>
        <v>2.93</v>
      </c>
      <c r="BR284" s="2275">
        <f>+IF(BJ285&lt;=BR269,BR269,IF(BJ285&lt;=BR270,BR270,IF(BJ285&lt;=BR271,BR271,IF(BJ285&lt;=BR272,BR272,IF(BJ285&lt;=BR273,BR273,IF(BJ285&lt;=BR274,BR274,IF(BJ285&lt;=BR275,BR275,IF(BJ285&lt;=BR276,BR276,0))))))))</f>
        <v>3.16</v>
      </c>
      <c r="BS284" s="2275">
        <f>+IF(BJ285&lt;=BS269,BS269,IF(BJ285&lt;=BS270,BS270,IF(BJ285&lt;=BS271,BS271,IF(BJ285&lt;=BS272,BS272,IF(BJ285&lt;=BS273,BS273,IF(BJ285&lt;=BS274,BS274,IF(BJ285&lt;=BS275,BS275,IF(BJ285&lt;=BS276,BS276,0))))))))</f>
        <v>3.39</v>
      </c>
      <c r="BT284" s="2275">
        <f>+IF(BJ285&lt;=BT269,BT269,IF(BJ285&lt;=BT270,BT270,IF(BJ285&lt;=BT271,BT271,IF(BJ285&lt;=BT272,BT272,IF(BJ285&lt;=BT273,BT273,IF(BJ285&lt;=BT274,BT274,IF(BJ285&lt;=BT275,BT275,IF(BJ285&lt;=BT276,BT276,0))))))))</f>
        <v>3.61</v>
      </c>
      <c r="BU284" s="2275">
        <f>+IF(BJ285&lt;=BU269,BU269,IF(BJ285&lt;=BU270,BU270,IF(BJ285&lt;=BU271,BU271,IF(BJ285&lt;=BU272,BU272,IF(BJ285&lt;=BU273,BU273,IF(BJ285&lt;=BU274,BU274,IF(BJ285&lt;=BU275,BU275,IF(BJ285&lt;=BU276,BU276,0))))))))</f>
        <v>3.84</v>
      </c>
      <c r="BV284" s="2275">
        <f>+IF(BJ285&lt;=BV269,BV269,IF(BJ285&lt;=BV270,BV270,IF(BJ285&lt;=BV271,BV271,IF(BJ285&lt;=BV272,BV272,IF(BJ285&lt;=BV273,BV273,IF(BJ285&lt;=BV274,BV274,IF(BJ285&lt;=BV275,BV275,IF(BJ285&lt;=BV276,BV276,0))))))))</f>
        <v>4.29</v>
      </c>
      <c r="BW284" s="2275">
        <f>+IF(BJ285&lt;=BW269,BW269,IF(BJ285&lt;=BW270,BW270,IF(BJ285&lt;=BW271,BW271,IF(BJ285&lt;=BW272,BW272,IF(BJ285&lt;=BW273,BW273,IF(BJ285&lt;=BW274,BW274,IF(BJ285&lt;=BW275,BW275,IF(BJ285&lt;=BW276,BW276,0))))))))</f>
        <v>4.63</v>
      </c>
      <c r="BX284" s="2275">
        <f>+IF(BJ285&lt;=BX269,BX269,IF(BJ285&lt;=BX270,BX270,IF(BJ285&lt;=BX271,BX271,IF(BJ285&lt;=BX272,BX272,IF(BJ285&lt;=BX273,BX273,IF(BJ285&lt;=BX274,BX274,IF(BJ285&lt;=BX275,BX275,IF(BJ285&lt;=BX276,BX276,0))))))))</f>
        <v>4.74</v>
      </c>
      <c r="BY284" s="2275">
        <f>+IF(BJ285&lt;=BY269,BY269,IF(BJ285&lt;=BY270,BY270,IF(BJ285&lt;=BY271,BY271,IF(BJ285&lt;=BY272,BY272,IF(BJ285&lt;=BY273,BY273,IF(BJ285&lt;=BY274,BY274,IF(BJ285&lt;=BY275,BY275,IF(BJ285&lt;=BY276,BY276,0))))))))</f>
        <v>5.08</v>
      </c>
      <c r="BZ284" s="2275">
        <f>+IF(BJ285&lt;=BZ269,BZ269,IF(BJ285&lt;=BZ270,BZ270,IF(BJ285&lt;=BZ271,BZ271,IF(BJ285&lt;=BZ272,BZ272,IF(BJ285&lt;=BZ273,BZ273,IF(BJ285&lt;=BZ274,BZ274,IF(BJ285&lt;=BZ275,BZ275,IF(BJ285&lt;=BZ276,BZ276,0))))))))</f>
        <v>5.3</v>
      </c>
      <c r="CA284" s="2275">
        <f>+IF(BJ285&lt;=CA269,CA269,IF(BJ285&lt;=CA270,CA270,IF(BJ285&lt;=CA271,CA271,IF(BJ285&lt;=CA272,CA272,IF(BJ285&lt;=CA273,CA273,IF(BJ285&lt;=CA274,CA274,IF(BJ285&lt;=CA275,CA275,IF(BJ285&lt;=CA276,CA276,0))))))))</f>
        <v>5.53</v>
      </c>
      <c r="CB284" s="2275">
        <f>+IF(BJ285&lt;=CB269,CB269,IF(BJ285&lt;=CB270,CB270,IF(BJ285&lt;=CB271,CB271,IF(BJ285&lt;=CB272,CB272,IF(BJ285&lt;=CB273,CB273,IF(BJ285&lt;=CB274,CB274,IF(BJ285&lt;=CB275,CB275,IF(BJ285&lt;=CB276,CB276,0))))))))</f>
        <v>5.87</v>
      </c>
      <c r="CC284" s="2275">
        <f>+IF(BJ285&lt;=CC269,CC269,IF(BJ285&lt;=CC270,CC270,IF(BJ285&lt;=CC271,CC271,IF(BJ285&lt;=CC272,CC272,IF(BJ285&lt;=CC273,CC273,IF(BJ285&lt;=CC274,CC274,IF(BJ285&lt;=CC275,CC275,IF(BJ285&lt;=CC276,CC276,0))))))))</f>
        <v>6.43</v>
      </c>
      <c r="CD284" s="2275">
        <f>+IF(BJ285&lt;=CD269,CD269,IF(BJ285&lt;=CD270,CD270,IF(BJ285&lt;=CD271,CD271,IF(BJ285&lt;=CD272,CD272,IF(BJ285&lt;=CD273,CD273,IF(BJ285&lt;=CD274,CD274,IF(BJ285&lt;=CD275,CD275,IF(BJ285&lt;=CD276,CD276,0))))))))</f>
        <v>6.77</v>
      </c>
      <c r="CE284" s="2275">
        <f>+IF(BJ285&lt;=CE269,CE269,IF(BJ285&lt;=CE270,CE270,IF(BJ285&lt;=CE271,CE271,IF(BJ285&lt;=CE272,CE272,IF(BJ285&lt;=CE273,CE273,IF(BJ285&lt;=CE274,CE274,IF(BJ285&lt;=CE275,CE275,IF(BJ285&lt;=CE276,CE276,0))))))))</f>
        <v>7.34</v>
      </c>
      <c r="CF284" s="2275">
        <f>+IF(BJ285&lt;=CF269,CF269,IF(BJ285&lt;=CF270,CF270,IF(BJ285&lt;=CF271,CF271,IF(BJ285&lt;=CF272,CF272,IF(BJ285&lt;=CF273,CF273,IF(BJ285&lt;=CF274,CF274,IF(BJ285&lt;=CF275,CF275,IF(BJ285&lt;=CF276,CF276,0))))))))</f>
        <v>7.79</v>
      </c>
      <c r="CG284" s="2275">
        <f>+IF(BJ285&lt;=CG269,CG269,IF(BJ285&lt;=CG270,CG270,IF(BJ285&lt;=CG271,CG271,IF(BJ285&lt;=CG272,CG272,IF(BJ285&lt;=CG273,CG273,IF(BJ285&lt;=CG274,CG274,IF(BJ285&lt;=CG275,CG275,IF(BJ285&lt;=CG276,CG276,0))))))))</f>
        <v>8.58</v>
      </c>
      <c r="CH284" s="2275">
        <f>+IF(BJ285&lt;=CH269,CH269,IF(BJ285&lt;=CH270,CH270,IF(BJ285&lt;=CH271,CH271,IF(BJ285&lt;=CH272,CH272,IF(BJ285&lt;=CH273,CH273,IF(BJ285&lt;=CH274,CH274,IF(BJ285&lt;=CH275,CH275,IF(BJ285&lt;=CH276,CH276,0))))))))</f>
        <v>9.26</v>
      </c>
      <c r="CI284" s="2275">
        <f>+IF(BJ285&lt;=CI269,CI269,IF(BJ285&lt;=CI270,CI270,IF(BJ285&lt;=CI271,CI271,IF(BJ285&lt;=CI272,CI272,IF(BJ285&lt;=CI273,CI273,IF(BJ285&lt;=CI274,CI274,IF(BJ285&lt;=CI275,CI275,IF(BJ285&lt;=CI276,CI276,0))))))))</f>
        <v>10.38</v>
      </c>
      <c r="CJ284" s="2275">
        <f>+IF(BJ285&lt;=CJ269,CJ269,IF(BJ285&lt;=CJ270,CJ270,IF(BJ285&lt;=CJ271,CJ271,IF(BJ285&lt;=CJ272,CJ272,IF(BJ285&lt;=CJ273,CJ273,IF(BJ285&lt;=CJ274,CJ274,IF(BJ285&lt;=CJ275,CJ275,IF(BJ285&lt;=CJ276,CJ276,0))))))))</f>
        <v>11.4</v>
      </c>
      <c r="CK284" s="2275">
        <f>+IF(BJ285&lt;=CK269,CK269,IF(BJ285&lt;=CK270,CK270,IF(BJ285&lt;=CK271,CK271,IF(BJ285&lt;=CK272,CK272,IF(BJ285&lt;=CK273,CK273,IF(BJ285&lt;=CK274,CK274,IF(BJ285&lt;=CK275,CK275,IF(BJ285&lt;=CK276,CK276,0))))))))</f>
        <v>12.42</v>
      </c>
      <c r="CL284" s="2275">
        <f>+IF(BJ285&lt;=CL269,CL269,IF(BJ285&lt;=CL270,CL270,IF(BJ285&lt;=CL271,CL271,IF(BJ285&lt;=CL272,CL272,IF(BJ285&lt;=CL273,CL273,IF(BJ285&lt;=CL274,CL274,IF(BJ285&lt;=CL275,CL275,IF(BJ285&lt;=CL276,CL276,0))))))))</f>
        <v>14.45</v>
      </c>
      <c r="CM284" s="2275"/>
      <c r="CN284" s="2275"/>
      <c r="CO284" s="2275"/>
      <c r="CP284" s="2275"/>
      <c r="CQ284" s="2275"/>
      <c r="CR284" s="2275"/>
      <c r="CS284" s="2275"/>
      <c r="CT284" s="2275"/>
      <c r="CU284" s="2275"/>
      <c r="CV284" s="2275"/>
      <c r="CW284" s="2275"/>
      <c r="CX284" s="2250"/>
      <c r="CY284" s="2250"/>
      <c r="CZ284" s="2250"/>
      <c r="DA284" s="2250"/>
      <c r="DB284" s="2250"/>
      <c r="DC284" s="2250"/>
      <c r="DD284" s="2250"/>
      <c r="DE284" s="2250"/>
      <c r="DF284" s="2250"/>
      <c r="DG284" s="2250"/>
      <c r="DH284" s="2250"/>
      <c r="DI284" s="2250"/>
      <c r="DJ284" s="2250"/>
      <c r="DK284" s="2250"/>
      <c r="DL284" s="2250"/>
      <c r="DM284" s="2250"/>
      <c r="DN284" s="2250"/>
      <c r="DO284" s="2250"/>
      <c r="DP284" s="2250"/>
      <c r="DQ284" s="2277"/>
      <c r="DR284" s="2277"/>
      <c r="DS284" s="277"/>
      <c r="DW284" s="2275"/>
      <c r="DX284" s="2250"/>
      <c r="DY284" s="2275"/>
      <c r="DZ284" s="2275">
        <f>+IF(DX285&lt;=DZ269,DZ269,IF(DX285&lt;=DZ270,DZ270,IF(DX285&lt;=DZ271,DZ271,IF(DX285&lt;=DZ272,DZ272,IF(DX285&lt;=DZ273,DZ273,IF(DX285&lt;=DZ274,DZ274,IF(DX285&lt;=DZ275,DZ275,IF(DX285&lt;=DZ276,DZ276,0))))))))</f>
        <v>2.0299999999999998</v>
      </c>
      <c r="EA284" s="2275">
        <f>+IF(DX285&lt;=EA269,EA269,IF(DX285&lt;=EA270,EA270,IF(DX285&lt;=EA271,EA271,IF(DX285&lt;=EA272,EA272,IF(DX285&lt;=EA273,EA273,IF(DX285&lt;=EA274,EA274,IF(DX285&lt;=EA275,EA275,IF(DX285&lt;=EA276,EA276,0))))))))</f>
        <v>2.37</v>
      </c>
      <c r="EB284" s="2275">
        <f>+IF(DX285&lt;=EB269,EB269,IF(DX285&lt;=EB270,EB270,IF(DX285&lt;=EB271,EB271,IF(DX285&lt;=EB272,EB272,IF(DX285&lt;=EB273,EB273,IF(DX285&lt;=EB274,EB274,IF(DX285&lt;=EB275,EB275,IF(DX285&lt;=EB276,EB276,0))))))))</f>
        <v>2.6</v>
      </c>
      <c r="EC284" s="2275">
        <f>+IF(DX285&lt;=EC269,EC269,IF(DX285&lt;=EC270,EC270,IF(DX285&lt;=EC271,EC271,IF(DX285&lt;=EC272,EC272,IF(DX285&lt;=EC273,EC273,IF(DX285&lt;=EC274,EC274,IF(DX285&lt;=EC275,EC275,IF(DX285&lt;=EC276,EC276,0))))))))</f>
        <v>2.71</v>
      </c>
      <c r="ED284" s="2275">
        <f>+IF(DX285&lt;=ED269,ED269,IF(DX285&lt;=ED270,ED270,IF(DX285&lt;=ED271,ED271,IF(DX285&lt;=ED272,ED272,IF(DX285&lt;=ED273,ED273,IF(DX285&lt;=ED274,ED274,IF(DX285&lt;=ED275,ED275,IF(DX285&lt;=ED276,ED276,0))))))))</f>
        <v>2.93</v>
      </c>
      <c r="EE284" s="2275">
        <f>+IF(DX285&lt;=EE269,EE269,IF(DX285&lt;=EE270,EE270,IF(DX285&lt;=EE271,EE271,IF(DX285&lt;=EE272,EE272,IF(DX285&lt;=EE273,EE273,IF(DX285&lt;=EE274,EE274,IF(DX285&lt;=EE275,EE275,IF(DX285&lt;=EE276,EE276,0))))))))</f>
        <v>2.93</v>
      </c>
      <c r="EF284" s="2275">
        <f>+IF(DX285&lt;=EF269,EF269,IF(DX285&lt;=EF270,EF270,IF(DX285&lt;=EF271,EF271,IF(DX285&lt;=EF272,EF272,IF(DX285&lt;=EF273,EF273,IF(DX285&lt;=EF274,EF274,IF(DX285&lt;=EF275,EF275,IF(DX285&lt;=EF276,EF276,0))))))))</f>
        <v>3.16</v>
      </c>
      <c r="EG284" s="2275">
        <f>+IF(DX285&lt;=EG269,EG269,IF(DX285&lt;=EG270,EG270,IF(DX285&lt;=EG271,EG271,IF(DX285&lt;=EG272,EG272,IF(DX285&lt;=EG273,EG273,IF(DX285&lt;=EG274,EG274,IF(DX285&lt;=EG275,EG275,IF(DX285&lt;=EG276,EG276,0))))))))</f>
        <v>3.39</v>
      </c>
      <c r="EH284" s="2275">
        <f>+IF(DX285&lt;=EH269,EH269,IF(DX285&lt;=EH270,EH270,IF(DX285&lt;=EH271,EH271,IF(DX285&lt;=EH272,EH272,IF(DX285&lt;=EH273,EH273,IF(DX285&lt;=EH274,EH274,IF(DX285&lt;=EH275,EH275,IF(DX285&lt;=EH276,EH276,0))))))))</f>
        <v>3.61</v>
      </c>
      <c r="EI284" s="2275">
        <f>+IF(DX285&lt;=EI269,EI269,IF(DX285&lt;=EI270,EI270,IF(DX285&lt;=EI271,EI271,IF(DX285&lt;=EI272,EI272,IF(DX285&lt;=EI273,EI273,IF(DX285&lt;=EI274,EI274,IF(DX285&lt;=EI275,EI275,IF(DX285&lt;=EI276,EI276,0))))))))</f>
        <v>3.84</v>
      </c>
      <c r="EJ284" s="2275">
        <f>+IF(DX285&lt;=EJ269,EJ269,IF(DX285&lt;=EJ270,EJ270,IF(DX285&lt;=EJ271,EJ271,IF(DX285&lt;=EJ272,EJ272,IF(DX285&lt;=EJ273,EJ273,IF(DX285&lt;=EJ274,EJ274,IF(DX285&lt;=EJ275,EJ275,IF(DX285&lt;=EJ276,EJ276,0))))))))</f>
        <v>4.29</v>
      </c>
      <c r="EK284" s="2275">
        <f>+IF(DX285&lt;=EK269,EK269,IF(DX285&lt;=EK270,EK270,IF(DX285&lt;=EK271,EK271,IF(DX285&lt;=EK272,EK272,IF(DX285&lt;=EK273,EK273,IF(DX285&lt;=EK274,EK274,IF(DX285&lt;=EK275,EK275,IF(DX285&lt;=EK276,EK276,0))))))))</f>
        <v>4.63</v>
      </c>
      <c r="EL284" s="2275">
        <f>+IF(DX285&lt;=EL269,EL269,IF(DX285&lt;=EL270,EL270,IF(DX285&lt;=EL271,EL271,IF(DX285&lt;=EL272,EL272,IF(DX285&lt;=EL273,EL273,IF(DX285&lt;=EL274,EL274,IF(DX285&lt;=EL275,EL275,IF(DX285&lt;=EL276,EL276,0))))))))</f>
        <v>4.74</v>
      </c>
      <c r="EM284" s="2275">
        <f>+IF(DX285&lt;=EM269,EM269,IF(DX285&lt;=EM270,EM270,IF(DX285&lt;=EM271,EM271,IF(DX285&lt;=EM272,EM272,IF(DX285&lt;=EM273,EM273,IF(DX285&lt;=EM274,EM274,IF(DX285&lt;=EM275,EM275,IF(DX285&lt;=EM276,EM276,0))))))))</f>
        <v>5.08</v>
      </c>
      <c r="EN284" s="2275">
        <f>+IF(DX285&lt;=EN269,EN269,IF(DX285&lt;=EN270,EN270,IF(DX285&lt;=EN271,EN271,IF(DX285&lt;=EN272,EN272,IF(DX285&lt;=EN273,EN273,IF(DX285&lt;=EN274,EN274,IF(DX285&lt;=EN275,EN275,IF(DX285&lt;=EN276,EN276,0))))))))</f>
        <v>5.3</v>
      </c>
      <c r="EO284" s="2275">
        <f>+IF(DX285&lt;=EO269,EO269,IF(DX285&lt;=EO270,EO270,IF(DX285&lt;=EO271,EO271,IF(DX285&lt;=EO272,EO272,IF(DX285&lt;=EO273,EO273,IF(DX285&lt;=EO274,EO274,IF(DX285&lt;=EO275,EO275,IF(DX285&lt;=EO276,EO276,0))))))))</f>
        <v>5.53</v>
      </c>
      <c r="EP284" s="2275">
        <f>+IF(DX285&lt;=EP269,EP269,IF(DX285&lt;=EP270,EP270,IF(DX285&lt;=EP271,EP271,IF(DX285&lt;=EP272,EP272,IF(DX285&lt;=EP273,EP273,IF(DX285&lt;=EP274,EP274,IF(DX285&lt;=EP275,EP275,IF(DX285&lt;=EP276,EP276,0))))))))</f>
        <v>5.87</v>
      </c>
      <c r="EQ284" s="2275">
        <f>+IF(DX285&lt;=EQ269,EQ269,IF(DX285&lt;=EQ270,EQ270,IF(DX285&lt;=EQ271,EQ271,IF(DX285&lt;=EQ272,EQ272,IF(DX285&lt;=EQ273,EQ273,IF(DX285&lt;=EQ274,EQ274,IF(DX285&lt;=EQ275,EQ275,IF(DX285&lt;=EQ276,EQ276,0))))))))</f>
        <v>6.43</v>
      </c>
      <c r="ER284" s="2275">
        <f>+IF(DX285&lt;=ER269,ER269,IF(DX285&lt;=ER270,ER270,IF(DX285&lt;=ER271,ER271,IF(DX285&lt;=ER272,ER272,IF(DX285&lt;=ER273,ER273,IF(DX285&lt;=ER274,ER274,IF(DX285&lt;=ER275,ER275,IF(DX285&lt;=ER276,ER276,0))))))))</f>
        <v>6.77</v>
      </c>
      <c r="ES284" s="2275">
        <f>+IF(DX285&lt;=ES269,ES269,IF(DX285&lt;=ES270,ES270,IF(DX285&lt;=ES271,ES271,IF(DX285&lt;=ES272,ES272,IF(DX285&lt;=ES273,ES273,IF(DX285&lt;=ES274,ES274,IF(DX285&lt;=ES275,ES275,IF(DX285&lt;=ES276,ES276,0))))))))</f>
        <v>7.34</v>
      </c>
      <c r="ET284" s="2275">
        <f>+IF(DX285&lt;=ET269,ET269,IF(DX285&lt;=ET270,ET270,IF(DX285&lt;=ET271,ET271,IF(DX285&lt;=ET272,ET272,IF(DX285&lt;=ET273,ET273,IF(DX285&lt;=ET274,ET274,IF(DX285&lt;=ET275,ET275,IF(DX285&lt;=ET276,ET276,0))))))))</f>
        <v>7.79</v>
      </c>
      <c r="EU284" s="2275">
        <f>+IF(DX285&lt;=EU269,EU269,IF(DX285&lt;=EU270,EU270,IF(DX285&lt;=EU271,EU271,IF(DX285&lt;=EU272,EU272,IF(DX285&lt;=EU273,EU273,IF(DX285&lt;=EU274,EU274,IF(DX285&lt;=EU275,EU275,IF(DX285&lt;=EU276,EU276,0))))))))</f>
        <v>8.58</v>
      </c>
      <c r="EV284" s="2275">
        <f>+IF(DX285&lt;=EV269,EV269,IF(DX285&lt;=EV270,EV270,IF(DX285&lt;=EV271,EV271,IF(DX285&lt;=EV272,EV272,IF(DX285&lt;=EV273,EV273,IF(DX285&lt;=EV274,EV274,IF(DX285&lt;=EV275,EV275,IF(DX285&lt;=EV276,EV276,0))))))))</f>
        <v>9.26</v>
      </c>
      <c r="EW284" s="2275">
        <f>+IF(DX285&lt;=EW269,EW269,IF(DX285&lt;=EW270,EW270,IF(DX285&lt;=EW271,EW271,IF(DX285&lt;=EW272,EW272,IF(DX285&lt;=EW273,EW273,IF(DX285&lt;=EW274,EW274,IF(DX285&lt;=EW275,EW275,IF(DX285&lt;=EW276,EW276,0))))))))</f>
        <v>10.38</v>
      </c>
      <c r="EX284" s="2275">
        <f>+IF(DX285&lt;=EX269,EX269,IF(DX285&lt;=EX270,EX270,IF(DX285&lt;=EX271,EX271,IF(DX285&lt;=EX272,EX272,IF(DX285&lt;=EX273,EX273,IF(DX285&lt;=EX274,EX274,IF(DX285&lt;=EX275,EX275,IF(DX285&lt;=EX276,EX276,0))))))))</f>
        <v>11.4</v>
      </c>
      <c r="EY284" s="2275">
        <f>+IF(DX285&lt;=EY269,EY269,IF(DX285&lt;=EY270,EY270,IF(DX285&lt;=EY271,EY271,IF(DX285&lt;=EY272,EY272,IF(DX285&lt;=EY273,EY273,IF(DX285&lt;=EY274,EY274,IF(DX285&lt;=EY275,EY275,IF(DX285&lt;=EY276,EY276,0))))))))</f>
        <v>12.42</v>
      </c>
      <c r="EZ284" s="2275">
        <f>+IF(DX285&lt;=EZ269,EZ269,IF(DX285&lt;=EZ270,EZ270,IF(DX285&lt;=EZ271,EZ271,IF(DX285&lt;=EZ272,EZ272,IF(DX285&lt;=EZ273,EZ273,IF(DX285&lt;=EZ274,EZ274,IF(DX285&lt;=EZ275,EZ275,IF(DX285&lt;=EZ276,EZ276,0))))))))</f>
        <v>14.45</v>
      </c>
      <c r="FA284" s="2275"/>
      <c r="FB284" s="2275"/>
      <c r="FC284" s="2275"/>
      <c r="FD284" s="2275"/>
      <c r="FE284" s="2275"/>
      <c r="FF284" s="2275"/>
      <c r="FG284" s="2275"/>
      <c r="FH284" s="2275"/>
      <c r="FI284" s="2275"/>
      <c r="FJ284" s="2275"/>
      <c r="FK284" s="2275"/>
      <c r="FL284" s="2250"/>
      <c r="FM284" s="2250"/>
      <c r="FN284" s="2250"/>
      <c r="FO284" s="2250"/>
      <c r="FP284" s="2250"/>
      <c r="FQ284" s="2250"/>
      <c r="FR284" s="2250"/>
      <c r="FS284" s="2250"/>
      <c r="FT284" s="2250"/>
      <c r="FU284" s="2250"/>
      <c r="FV284" s="2250"/>
      <c r="FW284" s="2250"/>
      <c r="FX284" s="2250"/>
      <c r="FY284" s="2250"/>
      <c r="FZ284" s="2250"/>
      <c r="GA284" s="2250"/>
      <c r="GB284" s="2276"/>
      <c r="GC284" s="2276"/>
      <c r="GD284" s="2250"/>
      <c r="GE284" s="2275"/>
      <c r="GF284" s="2250"/>
      <c r="GG284" s="2275"/>
      <c r="GH284" s="2275">
        <f>+IF(GF285&lt;=GH269,GH269,IF(GF285&lt;=GH270,GH270,IF(GF285&lt;=GH271,GH271,IF(GF285&lt;=GH272,GH272,IF(GF285&lt;=GH273,GH273,IF(GF285&lt;=GH274,GH274,IF(GF285&lt;=GH275,GH275,IF(GF285&lt;=GH276,GH276,0))))))))</f>
        <v>2.0299999999999998</v>
      </c>
      <c r="GI284" s="2275">
        <f>+IF(GF285&lt;=GI269,GI269,IF(GF285&lt;=GI270,GI270,IF(GF285&lt;=GI271,GI271,IF(GF285&lt;=GI272,GI272,IF(GF285&lt;=GI273,GI273,IF(GF285&lt;=GI274,GI274,IF(GF285&lt;=GI275,GI275,IF(GF285&lt;=GI276,GI276,0))))))))</f>
        <v>2.37</v>
      </c>
      <c r="GJ284" s="2275">
        <f>+IF(GF285&lt;=GJ269,GJ269,IF(GF285&lt;=GJ270,GJ270,IF(GF285&lt;=GJ271,GJ271,IF(GF285&lt;=GJ272,GJ272,IF(GF285&lt;=GJ273,GJ273,IF(GF285&lt;=GJ274,GJ274,IF(GF285&lt;=GJ275,GJ275,IF(GF285&lt;=GJ276,GJ276,0))))))))</f>
        <v>2.6</v>
      </c>
      <c r="GK284" s="2275">
        <f>+IF(GF285&lt;=GK269,GK269,IF(GF285&lt;=GK270,GK270,IF(GF285&lt;=GK271,GK271,IF(GF285&lt;=GK272,GK272,IF(GF285&lt;=GK273,GK273,IF(GF285&lt;=GK274,GK274,IF(GF285&lt;=GK275,GK275,IF(GF285&lt;=GK276,GK276,0))))))))</f>
        <v>2.71</v>
      </c>
      <c r="GL284" s="2275">
        <f>+IF(GF285&lt;=GL269,GL269,IF(GF285&lt;=GL270,GL270,IF(GF285&lt;=GL271,GL271,IF(GF285&lt;=GL272,GL272,IF(GF285&lt;=GL273,GL273,IF(GF285&lt;=GL274,GL274,IF(GF285&lt;=GL275,GL275,IF(GF285&lt;=GL276,GL276,0))))))))</f>
        <v>2.93</v>
      </c>
      <c r="GM284" s="2275">
        <f>+IF(GF285&lt;=GM269,GM269,IF(GF285&lt;=GM270,GM270,IF(GF285&lt;=GM271,GM271,IF(GF285&lt;=GM272,GM272,IF(GF285&lt;=GM273,GM273,IF(GF285&lt;=GM274,GM274,IF(GF285&lt;=GM275,GM275,IF(GF285&lt;=GM276,GM276,0))))))))</f>
        <v>2.93</v>
      </c>
      <c r="GN284" s="2275">
        <f>+IF(GF285&lt;=GN269,GN269,IF(GF285&lt;=GN270,GN270,IF(GF285&lt;=GN271,GN271,IF(GF285&lt;=GN272,GN272,IF(GF285&lt;=GN273,GN273,IF(GF285&lt;=GN274,GN274,IF(GF285&lt;=GN275,GN275,IF(GF285&lt;=GN276,GN276,0))))))))</f>
        <v>3.16</v>
      </c>
      <c r="GO284" s="2275">
        <f>+IF(GF285&lt;=GO269,GO269,IF(GF285&lt;=GO270,GO270,IF(GF285&lt;=GO271,GO271,IF(GF285&lt;=GO272,GO272,IF(GF285&lt;=GO273,GO273,IF(GF285&lt;=GO274,GO274,IF(GF285&lt;=GO275,GO275,IF(GF285&lt;=GO276,GO276,0))))))))</f>
        <v>3.39</v>
      </c>
      <c r="GP284" s="2275">
        <f>+IF(GF285&lt;=GP269,GP269,IF(GF285&lt;=GP270,GP270,IF(GF285&lt;=GP271,GP271,IF(GF285&lt;=GP272,GP272,IF(GF285&lt;=GP273,GP273,IF(GF285&lt;=GP274,GP274,IF(GF285&lt;=GP275,GP275,IF(GF285&lt;=GP276,GP276,0))))))))</f>
        <v>3.61</v>
      </c>
      <c r="GQ284" s="2275">
        <f>+IF(GF285&lt;=GQ269,GQ269,IF(GF285&lt;=GQ270,GQ270,IF(GF285&lt;=GQ271,GQ271,IF(GF285&lt;=GQ272,GQ272,IF(GF285&lt;=GQ273,GQ273,IF(GF285&lt;=GQ274,GQ274,IF(GF285&lt;=GQ275,GQ275,IF(GF285&lt;=GQ276,GQ276,0))))))))</f>
        <v>3.84</v>
      </c>
      <c r="GR284" s="2275">
        <f>+IF(GF285&lt;=GR269,GR269,IF(GF285&lt;=GR270,GR270,IF(GF285&lt;=GR271,GR271,IF(GF285&lt;=GR272,GR272,IF(GF285&lt;=GR273,GR273,IF(GF285&lt;=GR274,GR274,IF(GF285&lt;=GR275,GR275,IF(GF285&lt;=GR276,GR276,0))))))))</f>
        <v>4.29</v>
      </c>
      <c r="GS284" s="2275">
        <f>+IF(GF285&lt;=GS269,GS269,IF(GF285&lt;=GS270,GS270,IF(GF285&lt;=GS271,GS271,IF(GF285&lt;=GS272,GS272,IF(GF285&lt;=GS273,GS273,IF(GF285&lt;=GS274,GS274,IF(GF285&lt;=GS275,GS275,IF(GF285&lt;=GS276,GS276,0))))))))</f>
        <v>4.63</v>
      </c>
      <c r="GT284" s="2275">
        <f>+IF(GF285&lt;=GT269,GT269,IF(GF285&lt;=GT270,GT270,IF(GF285&lt;=GT271,GT271,IF(GF285&lt;=GT272,GT272,IF(GF285&lt;=GT273,GT273,IF(GF285&lt;=GT274,GT274,IF(GF285&lt;=GT275,GT275,IF(GF285&lt;=GT276,GT276,0))))))))</f>
        <v>4.74</v>
      </c>
      <c r="GU284" s="2275">
        <f>+IF(GF285&lt;=GU269,GU269,IF(GF285&lt;=GU270,GU270,IF(GF285&lt;=GU271,GU271,IF(GF285&lt;=GU272,GU272,IF(GF285&lt;=GU273,GU273,IF(GF285&lt;=GU274,GU274,IF(GF285&lt;=GU275,GU275,IF(GF285&lt;=GU276,GU276,0))))))))</f>
        <v>5.08</v>
      </c>
      <c r="GV284" s="2275">
        <f>+IF(GF285&lt;=GV269,GV269,IF(GF285&lt;=GV270,GV270,IF(GF285&lt;=GV271,GV271,IF(GF285&lt;=GV272,GV272,IF(GF285&lt;=GV273,GV273,IF(GF285&lt;=GV274,GV274,IF(GF285&lt;=GV275,GV275,IF(GF285&lt;=GV276,GV276,0))))))))</f>
        <v>5.3</v>
      </c>
      <c r="GW284" s="2275">
        <f>+IF(GF285&lt;=GW269,GW269,IF(GF285&lt;=GW270,GW270,IF(GF285&lt;=GW271,GW271,IF(GF285&lt;=GW272,GW272,IF(GF285&lt;=GW273,GW273,IF(GF285&lt;=GW274,GW274,IF(GF285&lt;=GW275,GW275,IF(GF285&lt;=GW276,GW276,0))))))))</f>
        <v>5.53</v>
      </c>
      <c r="GX284" s="2275">
        <f>+IF(GF285&lt;=GX269,GX269,IF(GF285&lt;=GX270,GX270,IF(GF285&lt;=GX271,GX271,IF(GF285&lt;=GX272,GX272,IF(GF285&lt;=GX273,GX273,IF(GF285&lt;=GX274,GX274,IF(GF285&lt;=GX275,GX275,IF(GF285&lt;=GX276,GX276,0))))))))</f>
        <v>5.87</v>
      </c>
      <c r="GY284" s="2275">
        <f>+IF(GF285&lt;=GY269,GY269,IF(GF285&lt;=GY270,GY270,IF(GF285&lt;=GY271,GY271,IF(GF285&lt;=GY272,GY272,IF(GF285&lt;=GY273,GY273,IF(GF285&lt;=GY274,GY274,IF(GF285&lt;=GY275,GY275,IF(GF285&lt;=GY276,GY276,0))))))))</f>
        <v>6.43</v>
      </c>
      <c r="GZ284" s="2275">
        <f>+IF(GF285&lt;=GZ269,GZ269,IF(GF285&lt;=GZ270,GZ270,IF(GF285&lt;=GZ271,GZ271,IF(GF285&lt;=GZ272,GZ272,IF(GF285&lt;=GZ273,GZ273,IF(GF285&lt;=GZ274,GZ274,IF(GF285&lt;=GZ275,GZ275,IF(GF285&lt;=GZ276,GZ276,0))))))))</f>
        <v>6.77</v>
      </c>
      <c r="HA284" s="2275">
        <f>+IF(GF285&lt;=HA269,HA269,IF(GF285&lt;=HA270,HA270,IF(GF285&lt;=HA271,HA271,IF(GF285&lt;=HA272,HA272,IF(GF285&lt;=HA273,HA273,IF(GF285&lt;=HA274,HA274,IF(GF285&lt;=HA275,HA275,IF(GF285&lt;=HA276,HA276,0))))))))</f>
        <v>7.34</v>
      </c>
      <c r="HB284" s="2275">
        <f>+IF(GF285&lt;=HB269,HB269,IF(GF285&lt;=HB270,HB270,IF(GF285&lt;=HB271,HB271,IF(GF285&lt;=HB272,HB272,IF(GF285&lt;=HB273,HB273,IF(GF285&lt;=HB274,HB274,IF(GF285&lt;=HB275,HB275,IF(GF285&lt;=HB276,HB276,0))))))))</f>
        <v>7.79</v>
      </c>
      <c r="HC284" s="2275">
        <f>+IF(GF285&lt;=HC269,HC269,IF(GF285&lt;=HC270,HC270,IF(GF285&lt;=HC271,HC271,IF(GF285&lt;=HC272,HC272,IF(GF285&lt;=HC273,HC273,IF(GF285&lt;=HC274,HC274,IF(GF285&lt;=HC275,HC275,IF(GF285&lt;=HC276,HC276,0))))))))</f>
        <v>8.58</v>
      </c>
      <c r="HD284" s="2275">
        <f>+IF(GF285&lt;=HD269,HD269,IF(GF285&lt;=HD270,HD270,IF(GF285&lt;=HD271,HD271,IF(GF285&lt;=HD272,HD272,IF(GF285&lt;=HD273,HD273,IF(GF285&lt;=HD274,HD274,IF(GF285&lt;=HD275,HD275,IF(GF285&lt;=HD276,HD276,0))))))))</f>
        <v>9.26</v>
      </c>
      <c r="HE284" s="2275">
        <f>+IF(GF285&lt;=HE269,HE269,IF(GF285&lt;=HE270,HE270,IF(GF285&lt;=HE271,HE271,IF(GF285&lt;=HE272,HE272,IF(GF285&lt;=HE273,HE273,IF(GF285&lt;=HE274,HE274,IF(GF285&lt;=HE275,HE275,IF(GF285&lt;=HE276,HE276,0))))))))</f>
        <v>10.38</v>
      </c>
      <c r="HF284" s="2275">
        <f>+IF(GF285&lt;=HF269,HF269,IF(GF285&lt;=HF270,HF270,IF(GF285&lt;=HF271,HF271,IF(GF285&lt;=HF272,HF272,IF(GF285&lt;=HF273,HF273,IF(GF285&lt;=HF274,HF274,IF(GF285&lt;=HF275,HF275,IF(GF285&lt;=HF276,HF276,0))))))))</f>
        <v>11.4</v>
      </c>
      <c r="HG284" s="2275">
        <f>+IF(GF285&lt;=HG269,HG269,IF(GF285&lt;=HG270,HG270,IF(GF285&lt;=HG271,HG271,IF(GF285&lt;=HG272,HG272,IF(GF285&lt;=HG273,HG273,IF(GF285&lt;=HG274,HG274,IF(GF285&lt;=HG275,HG275,IF(GF285&lt;=HG276,HG276,0))))))))</f>
        <v>12.42</v>
      </c>
      <c r="HH284" s="2275">
        <f>+IF(GF285&lt;=HH269,HH269,IF(GF285&lt;=HH270,HH270,IF(GF285&lt;=HH271,HH271,IF(GF285&lt;=HH272,HH272,IF(GF285&lt;=HH273,HH273,IF(GF285&lt;=HH274,HH274,IF(GF285&lt;=HH275,HH275,IF(GF285&lt;=HH276,HH276,0))))))))</f>
        <v>14.45</v>
      </c>
      <c r="HI284" s="2275"/>
      <c r="HJ284" s="2275"/>
      <c r="HK284" s="2275"/>
      <c r="HL284" s="2275"/>
      <c r="HM284" s="2275"/>
      <c r="HN284" s="2275"/>
      <c r="HO284" s="2275"/>
      <c r="HP284" s="2275"/>
      <c r="HQ284" s="2275"/>
      <c r="HR284" s="2275"/>
      <c r="HS284" s="2275"/>
      <c r="HT284" s="2250"/>
      <c r="HU284" s="2250"/>
      <c r="HV284" s="2250"/>
      <c r="HW284" s="2250"/>
      <c r="HX284" s="2250"/>
      <c r="HY284" s="2250"/>
      <c r="HZ284" s="2250"/>
      <c r="IA284" s="2250"/>
      <c r="IB284" s="2250"/>
      <c r="IC284" s="2250"/>
      <c r="ID284" s="2250"/>
      <c r="IE284" s="2250"/>
      <c r="IF284" s="2250"/>
      <c r="IG284" s="2250"/>
      <c r="IH284" s="2250"/>
      <c r="II284" s="2250"/>
      <c r="IJ284" s="2250"/>
      <c r="IK284" s="2250"/>
      <c r="IL284" s="2250"/>
      <c r="IN284" s="277"/>
      <c r="IO284" s="277"/>
    </row>
    <row r="285" spans="1:249" ht="21.95" customHeight="1">
      <c r="A285" s="2275"/>
      <c r="B285" s="2275">
        <f>B241</f>
        <v>0.75631178540277322</v>
      </c>
      <c r="C285" s="2275">
        <f>HLOOKUP(B286,D267:AD287,20,0)</f>
        <v>6.43</v>
      </c>
      <c r="D285" s="2275">
        <f>+IF(B285&lt;=D277,D277,IF(B285&lt;=D278,D278,IF(B285&lt;=D279,D279,)))</f>
        <v>57.45</v>
      </c>
      <c r="E285" s="2275">
        <f>+IF(B285&lt;=E277,E277,IF(B285&lt;=E278,E278,IF(B285&lt;=E279,E279,)))</f>
        <v>64.790000000000006</v>
      </c>
      <c r="F285" s="2275">
        <f>+IF(B285&lt;=F277,F277,IF(B285&lt;=F278,F278,IF(B285&lt;=F279,F279,)))</f>
        <v>71.78</v>
      </c>
      <c r="G285" s="2275">
        <f>+IF(B285&lt;=G277,G277,IF(B285&lt;=G278,G278,IF(B285&lt;=G279,G279,)))</f>
        <v>79.459999999999994</v>
      </c>
      <c r="H285" s="2275">
        <f>+IF(B285&lt;=H277,H277,IF(B285&lt;=H278,H278,IF(B285&lt;=H279,H279,)))</f>
        <v>86.79</v>
      </c>
      <c r="I285" s="2275">
        <f>+IF(B285&lt;=I277,I277,IF(B285&lt;=I278,I278,IF(B285&lt;=I279,I279,)))</f>
        <v>81.83</v>
      </c>
      <c r="J285" s="2275">
        <f>+IF(B285&lt;=J277,J277,IF(B285&lt;=J278,J278,IF(B285&lt;=J279,J279,)))</f>
        <v>90.63</v>
      </c>
      <c r="K285" s="2275">
        <f>+IF(B285&lt;=K277,K277,IF(B285&lt;=K278,K278,IF(B285&lt;=K279,K279,)))</f>
        <v>96.5</v>
      </c>
      <c r="L285" s="2275">
        <f>+IF(B285&lt;=L277,L277,IF(B285&lt;=L278,L278,IF(B285&lt;=L279,L279,)))</f>
        <v>105.87</v>
      </c>
      <c r="M285" s="2275">
        <f>+IF(B285&lt;=M277,M277,IF(B285&lt;=M278,M278,IF(B285&lt;=M279,M279,)))</f>
        <v>107.9</v>
      </c>
      <c r="N285" s="2275">
        <f>+IF(B285&lt;=N277,N277,IF(B285&lt;=N278,N278,IF(B285&lt;=N279,N279,)))</f>
        <v>119.53</v>
      </c>
      <c r="O285" s="2275">
        <f>+IF(B285&lt;=O277,O277,IF(B285&lt;=O278,O278,IF(B285&lt;=O279,O279,)))</f>
        <v>139.05000000000001</v>
      </c>
      <c r="P285" s="2275">
        <f>+IF(B285&lt;=P277,P277,IF(B285&lt;=P278,P278,IF(B285&lt;=P279,P279,)))</f>
        <v>140.41</v>
      </c>
      <c r="Q285" s="2275">
        <f>+IF(B285&lt;=Q277,Q277,IF(B285&lt;=Q278,Q278,IF(B285&lt;=Q279,Q279,)))</f>
        <v>147.18</v>
      </c>
      <c r="R285" s="2275">
        <f>+IF(B285&lt;=R277,R277,IF(B285&lt;=R278,R278,IF(B285&lt;=R279,R279,)))</f>
        <v>154.85</v>
      </c>
      <c r="S285" s="2275">
        <f>+IF(B285&lt;=S277,S277,IF(B285&lt;=S278,S278,IF(B285&lt;=S279,S279,)))</f>
        <v>166.37</v>
      </c>
      <c r="T285" s="2275">
        <f>+IF(B285&lt;=T277,T277,IF(B285&lt;=T278,T278,IF(B285&lt;=T279,T279,)))</f>
        <v>173.81</v>
      </c>
      <c r="U285" s="2275">
        <f>+IF(B285&lt;=U277,U277,IF(B285&lt;=U278,U278,IF(B285&lt;=U279,U279,)))</f>
        <v>188.37</v>
      </c>
      <c r="V285" s="2275">
        <f>+IF(B285&lt;=V277,V277,IF(B285&lt;=V278,V278,IF(B285&lt;=V279,V279,)))</f>
        <v>200.56</v>
      </c>
      <c r="W285" s="2275">
        <f>+IF(B285&lt;=W277,W277,IF(B285&lt;=W278,W278,IF(B285&lt;=W279,W279,)))</f>
        <v>216.25</v>
      </c>
      <c r="X285" s="2275">
        <f>+IF(B285&lt;=X277,X277,IF(B285&lt;=X278,X278,IF(B285&lt;=X279,X279,)))</f>
        <v>228.67</v>
      </c>
      <c r="Y285" s="2275">
        <f>+IF(B285&lt;=Y277,Y277,IF(B285&lt;=Y278,Y278,IF(B285&lt;=Y279,Y279,)))</f>
        <v>238.83</v>
      </c>
      <c r="Z285" s="2275">
        <f>+IF(B285&lt;=Z277,Z277,IF(B285&lt;=Z278,Z278,IF(B285&lt;=Z279,Z279,)))</f>
        <v>265.01</v>
      </c>
      <c r="AA285" s="2275">
        <f>+IF(B285&lt;=AA277,AA277,IF(B285&lt;=AA278,AA278,IF(B285&lt;=AA279,AA279,)))</f>
        <v>291.31</v>
      </c>
      <c r="AB285" s="2275">
        <f>+IF(B285&lt;=AB277,AB277,IF(B285&lt;=AB278,AB278,IF(B285&lt;=AB279,AB279,)))</f>
        <v>327.31</v>
      </c>
      <c r="AC285" s="2275">
        <f>+IF(B285&lt;=AC277,AC277,IF(B285&lt;=AC278,AC278,IF(B285&lt;=AC279,AC279,)))</f>
        <v>329.01</v>
      </c>
      <c r="AD285" s="2275">
        <f>+IF(B285&lt;=AD277,AD277,IF(B285&lt;=AD278,AD278,IF(B285&lt;=AD279,AD279,)))</f>
        <v>329.01</v>
      </c>
      <c r="AE285" s="2275"/>
      <c r="AF285" s="2275"/>
      <c r="AG285" s="2275"/>
      <c r="AH285" s="2275"/>
      <c r="AI285" s="2275"/>
      <c r="AJ285" s="2275"/>
      <c r="AK285" s="2275"/>
      <c r="AL285" s="2275"/>
      <c r="AM285" s="2275"/>
      <c r="AN285" s="2275"/>
      <c r="AO285" s="2275"/>
      <c r="AP285" s="2250"/>
      <c r="AQ285" s="2250"/>
      <c r="AR285" s="2250"/>
      <c r="AS285" s="2250"/>
      <c r="AT285" s="2250"/>
      <c r="AU285" s="2250"/>
      <c r="AV285" s="2250"/>
      <c r="AW285" s="2250"/>
      <c r="AX285" s="2250"/>
      <c r="AY285" s="2250"/>
      <c r="AZ285" s="2250"/>
      <c r="BA285" s="2250"/>
      <c r="BB285" s="2250"/>
      <c r="BC285" s="2250"/>
      <c r="BD285" s="2250"/>
      <c r="BE285" s="2250"/>
      <c r="BF285" s="2276"/>
      <c r="BG285" s="2276"/>
      <c r="BH285" s="2250"/>
      <c r="BI285" s="2275"/>
      <c r="BJ285" s="2275">
        <f>BJ241</f>
        <v>0.75631178540277322</v>
      </c>
      <c r="BK285" s="2275">
        <f>HLOOKUP(BJ286,BL267:CL287,20,0)</f>
        <v>5.87</v>
      </c>
      <c r="BL285" s="2275">
        <f>+IF(BJ285&lt;=BL277,BL277,IF(BJ285&lt;=BL278,BL278,IF(BJ285&lt;=BL279,BL279,)))</f>
        <v>57.45</v>
      </c>
      <c r="BM285" s="2275">
        <f>+IF(BJ285&lt;=BM277,BM277,IF(BJ285&lt;=BM278,BM278,IF(BJ285&lt;=BM279,BM279,)))</f>
        <v>64.790000000000006</v>
      </c>
      <c r="BN285" s="2275">
        <f>+IF(BJ285&lt;=BN277,BN277,IF(BJ285&lt;=BN278,BN278,IF(BJ285&lt;=BN279,BN279,)))</f>
        <v>71.78</v>
      </c>
      <c r="BO285" s="2275">
        <f>+IF(BJ285&lt;=BO277,BO277,IF(BJ285&lt;=BO278,BO278,IF(BJ285&lt;=BO279,BO279,)))</f>
        <v>79.459999999999994</v>
      </c>
      <c r="BP285" s="2275">
        <f>+IF(BJ285&lt;=BP277,BP277,IF(BJ285&lt;=BP278,BP278,IF(BJ285&lt;=BP279,BP279,)))</f>
        <v>86.79</v>
      </c>
      <c r="BQ285" s="2275">
        <f>+IF(BJ285&lt;=BQ277,BQ277,IF(BJ285&lt;=BQ278,BQ278,IF(BJ285&lt;=BQ279,BQ279,)))</f>
        <v>81.83</v>
      </c>
      <c r="BR285" s="2275">
        <f>+IF(BJ285&lt;=BR277,BR277,IF(BJ285&lt;=BR278,BR278,IF(BJ285&lt;=BR279,BR279,)))</f>
        <v>90.63</v>
      </c>
      <c r="BS285" s="2275">
        <f>+IF(BJ285&lt;=BS277,BS277,IF(BJ285&lt;=BS278,BS278,IF(BJ285&lt;=BS279,BS279,)))</f>
        <v>96.5</v>
      </c>
      <c r="BT285" s="2275">
        <f>+IF(BJ285&lt;=BT277,BT277,IF(BJ285&lt;=BT278,BT278,IF(BJ285&lt;=BT279,BT279,)))</f>
        <v>105.87</v>
      </c>
      <c r="BU285" s="2275">
        <f>+IF(BJ285&lt;=BU277,BU277,IF(BJ285&lt;=BU278,BU278,IF(BJ285&lt;=BU279,BU279,)))</f>
        <v>107.9</v>
      </c>
      <c r="BV285" s="2275">
        <f>+IF(BJ285&lt;=BV277,BV277,IF(BJ285&lt;=BV278,BV278,IF(BJ285&lt;=BV279,BV279,)))</f>
        <v>119.53</v>
      </c>
      <c r="BW285" s="2275">
        <f>+IF(BJ285&lt;=BW277,BW277,IF(BJ285&lt;=BW278,BW278,IF(BJ285&lt;=BW279,BW279,)))</f>
        <v>139.05000000000001</v>
      </c>
      <c r="BX285" s="2275">
        <f>+IF(BJ285&lt;=BX277,BX277,IF(BJ285&lt;=BX278,BX278,IF(BJ285&lt;=BX279,BX279,)))</f>
        <v>140.41</v>
      </c>
      <c r="BY285" s="2275">
        <f>+IF(BJ285&lt;=BY277,BY277,IF(BJ285&lt;=BY278,BY278,IF(BJ285&lt;=BY279,BY279,)))</f>
        <v>147.18</v>
      </c>
      <c r="BZ285" s="2275">
        <f>+IF(BJ285&lt;=BZ277,BZ277,IF(BJ285&lt;=BZ278,BZ278,IF(BJ285&lt;=BZ279,BZ279,)))</f>
        <v>154.85</v>
      </c>
      <c r="CA285" s="2275">
        <f>+IF(BJ285&lt;=CA277,CA277,IF(BJ285&lt;=CA278,CA278,IF(BJ285&lt;=CA279,CA279,)))</f>
        <v>166.37</v>
      </c>
      <c r="CB285" s="2275">
        <f>+IF(BJ285&lt;=CB277,CB277,IF(BJ285&lt;=CB278,CB278,IF(BJ285&lt;=CB279,CB279,)))</f>
        <v>173.81</v>
      </c>
      <c r="CC285" s="2275">
        <f>+IF(BJ285&lt;=CC277,CC277,IF(BJ285&lt;=CC278,CC278,IF(BJ285&lt;=CC279,CC279,)))</f>
        <v>188.37</v>
      </c>
      <c r="CD285" s="2275">
        <f>+IF(BJ285&lt;=CD277,CD277,IF(BJ285&lt;=CD278,CD278,IF(BJ285&lt;=CD279,CD279,)))</f>
        <v>200.56</v>
      </c>
      <c r="CE285" s="2275">
        <f>+IF(BJ285&lt;=CE277,CE277,IF(BJ285&lt;=CE278,CE278,IF(BJ285&lt;=CE279,CE279,)))</f>
        <v>216.25</v>
      </c>
      <c r="CF285" s="2275">
        <f>+IF(BJ285&lt;=CF277,CF277,IF(BJ285&lt;=CF278,CF278,IF(BJ285&lt;=CF279,CF279,)))</f>
        <v>228.67</v>
      </c>
      <c r="CG285" s="2275">
        <f>+IF(BJ285&lt;=CG277,CG277,IF(BJ285&lt;=CG278,CG278,IF(BJ285&lt;=CG279,CG279,)))</f>
        <v>238.83</v>
      </c>
      <c r="CH285" s="2275">
        <f>+IF(BJ285&lt;=CH277,CH277,IF(BJ285&lt;=CH278,CH278,IF(BJ285&lt;=CH279,CH279,)))</f>
        <v>265.01</v>
      </c>
      <c r="CI285" s="2275">
        <f>+IF(BJ285&lt;=CI277,CI277,IF(BJ285&lt;=CI278,CI278,IF(BJ285&lt;=CI279,CI279,)))</f>
        <v>291.31</v>
      </c>
      <c r="CJ285" s="2275">
        <f>+IF(BJ285&lt;=CJ277,CJ277,IF(BJ285&lt;=CJ278,CJ278,IF(BJ285&lt;=CJ279,CJ279,)))</f>
        <v>327.31</v>
      </c>
      <c r="CK285" s="2275">
        <f>+IF(BJ285&lt;=CK277,CK277,IF(BJ285&lt;=CK278,CK278,IF(BJ285&lt;=CK279,CK279,)))</f>
        <v>329.01</v>
      </c>
      <c r="CL285" s="2275">
        <f>+IF(BJ285&lt;=CL277,CL277,IF(BJ285&lt;=CL278,CL278,IF(BJ285&lt;=CL279,CL279,)))</f>
        <v>329.01</v>
      </c>
      <c r="CM285" s="2275"/>
      <c r="CN285" s="2275"/>
      <c r="CO285" s="2275"/>
      <c r="CP285" s="2275"/>
      <c r="CQ285" s="2275"/>
      <c r="CR285" s="2275"/>
      <c r="CS285" s="2275"/>
      <c r="CT285" s="2275"/>
      <c r="CU285" s="2275"/>
      <c r="CV285" s="2275"/>
      <c r="CW285" s="2275"/>
      <c r="CX285" s="2250"/>
      <c r="CY285" s="2250"/>
      <c r="CZ285" s="2250"/>
      <c r="DA285" s="2250"/>
      <c r="DB285" s="2250"/>
      <c r="DC285" s="2250"/>
      <c r="DD285" s="2250"/>
      <c r="DE285" s="2250"/>
      <c r="DF285" s="2250"/>
      <c r="DG285" s="2250"/>
      <c r="DH285" s="2250"/>
      <c r="DI285" s="2250"/>
      <c r="DJ285" s="2250"/>
      <c r="DK285" s="2250"/>
      <c r="DL285" s="2250"/>
      <c r="DM285" s="2250"/>
      <c r="DN285" s="2250"/>
      <c r="DO285" s="2250"/>
      <c r="DP285" s="2250"/>
      <c r="DQ285" s="2277"/>
      <c r="DR285" s="2277"/>
      <c r="DS285" s="277"/>
      <c r="DW285" s="2275"/>
      <c r="DX285" s="2275">
        <f>DX241</f>
        <v>1.3354563802212776</v>
      </c>
      <c r="DY285" s="2275">
        <f>HLOOKUP(DX286,DZ267:EZ287,20,0)</f>
        <v>9.26</v>
      </c>
      <c r="DZ285" s="2275">
        <f>+IF(DX285&lt;=DZ277,DZ277,IF(DX285&lt;=DZ278,DZ278,IF(DX285&lt;=DZ279,DZ279,)))</f>
        <v>57.45</v>
      </c>
      <c r="EA285" s="2275">
        <f>+IF(DX285&lt;=EA277,EA277,IF(DX285&lt;=EA278,EA278,IF(DX285&lt;=EA279,EA279,)))</f>
        <v>64.790000000000006</v>
      </c>
      <c r="EB285" s="2275">
        <f>+IF(DX285&lt;=EB277,EB277,IF(DX285&lt;=EB278,EB278,IF(DX285&lt;=EB279,EB279,)))</f>
        <v>71.78</v>
      </c>
      <c r="EC285" s="2275">
        <f>+IF(DX285&lt;=EC277,EC277,IF(DX285&lt;=EC278,EC278,IF(DX285&lt;=EC279,EC279,)))</f>
        <v>79.459999999999994</v>
      </c>
      <c r="ED285" s="2275">
        <f>+IF(DX285&lt;=ED277,ED277,IF(DX285&lt;=ED278,ED278,IF(DX285&lt;=ED279,ED279,)))</f>
        <v>86.79</v>
      </c>
      <c r="EE285" s="2275">
        <f>+IF(DX285&lt;=EE277,EE277,IF(DX285&lt;=EE278,EE278,IF(DX285&lt;=EE279,EE279,)))</f>
        <v>81.83</v>
      </c>
      <c r="EF285" s="2275">
        <f>+IF(DX285&lt;=EF277,EF277,IF(DX285&lt;=EF278,EF278,IF(DX285&lt;=EF279,EF279,)))</f>
        <v>90.63</v>
      </c>
      <c r="EG285" s="2275">
        <f>+IF(DX285&lt;=EG277,EG277,IF(DX285&lt;=EG278,EG278,IF(DX285&lt;=EG279,EG279,)))</f>
        <v>96.5</v>
      </c>
      <c r="EH285" s="2275">
        <f>+IF(DX285&lt;=EH277,EH277,IF(DX285&lt;=EH278,EH278,IF(DX285&lt;=EH279,EH279,)))</f>
        <v>105.87</v>
      </c>
      <c r="EI285" s="2275">
        <f>+IF(DX285&lt;=EI277,EI277,IF(DX285&lt;=EI278,EI278,IF(DX285&lt;=EI279,EI279,)))</f>
        <v>107.9</v>
      </c>
      <c r="EJ285" s="2275">
        <f>+IF(DX285&lt;=EJ277,EJ277,IF(DX285&lt;=EJ278,EJ278,IF(DX285&lt;=EJ279,EJ279,)))</f>
        <v>119.53</v>
      </c>
      <c r="EK285" s="2275">
        <f>+IF(DX285&lt;=EK277,EK277,IF(DX285&lt;=EK278,EK278,IF(DX285&lt;=EK279,EK279,)))</f>
        <v>139.05000000000001</v>
      </c>
      <c r="EL285" s="2275">
        <f>+IF(DX285&lt;=EL277,EL277,IF(DX285&lt;=EL278,EL278,IF(DX285&lt;=EL279,EL279,)))</f>
        <v>140.41</v>
      </c>
      <c r="EM285" s="2275">
        <f>+IF(DX285&lt;=EM277,EM277,IF(DX285&lt;=EM278,EM278,IF(DX285&lt;=EM279,EM279,)))</f>
        <v>147.18</v>
      </c>
      <c r="EN285" s="2275">
        <f>+IF(DX285&lt;=EN277,EN277,IF(DX285&lt;=EN278,EN278,IF(DX285&lt;=EN279,EN279,)))</f>
        <v>154.85</v>
      </c>
      <c r="EO285" s="2275">
        <f>+IF(DX285&lt;=EO277,EO277,IF(DX285&lt;=EO278,EO278,IF(DX285&lt;=EO279,EO279,)))</f>
        <v>166.37</v>
      </c>
      <c r="EP285" s="2275">
        <f>+IF(DX285&lt;=EP277,EP277,IF(DX285&lt;=EP278,EP278,IF(DX285&lt;=EP279,EP279,)))</f>
        <v>173.81</v>
      </c>
      <c r="EQ285" s="2275">
        <f>+IF(DX285&lt;=EQ277,EQ277,IF(DX285&lt;=EQ278,EQ278,IF(DX285&lt;=EQ279,EQ279,)))</f>
        <v>188.37</v>
      </c>
      <c r="ER285" s="2275">
        <f>+IF(DX285&lt;=ER277,ER277,IF(DX285&lt;=ER278,ER278,IF(DX285&lt;=ER279,ER279,)))</f>
        <v>200.56</v>
      </c>
      <c r="ES285" s="2275">
        <f>+IF(DX285&lt;=ES277,ES277,IF(DX285&lt;=ES278,ES278,IF(DX285&lt;=ES279,ES279,)))</f>
        <v>216.25</v>
      </c>
      <c r="ET285" s="2275">
        <f>+IF(DX285&lt;=ET277,ET277,IF(DX285&lt;=ET278,ET278,IF(DX285&lt;=ET279,ET279,)))</f>
        <v>228.67</v>
      </c>
      <c r="EU285" s="2275">
        <f>+IF(DX285&lt;=EU277,EU277,IF(DX285&lt;=EU278,EU278,IF(DX285&lt;=EU279,EU279,)))</f>
        <v>238.83</v>
      </c>
      <c r="EV285" s="2275">
        <f>+IF(DX285&lt;=EV277,EV277,IF(DX285&lt;=EV278,EV278,IF(DX285&lt;=EV279,EV279,)))</f>
        <v>265.01</v>
      </c>
      <c r="EW285" s="2275">
        <f>+IF(DX285&lt;=EW277,EW277,IF(DX285&lt;=EW278,EW278,IF(DX285&lt;=EW279,EW279,)))</f>
        <v>291.31</v>
      </c>
      <c r="EX285" s="2275">
        <f>+IF(DX285&lt;=EX277,EX277,IF(DX285&lt;=EX278,EX278,IF(DX285&lt;=EX279,EX279,)))</f>
        <v>327.31</v>
      </c>
      <c r="EY285" s="2275">
        <f>+IF(DX285&lt;=EY277,EY277,IF(DX285&lt;=EY278,EY278,IF(DX285&lt;=EY279,EY279,)))</f>
        <v>329.01</v>
      </c>
      <c r="EZ285" s="2275">
        <f>+IF(DX285&lt;=EZ277,EZ277,IF(DX285&lt;=EZ278,EZ278,IF(DX285&lt;=EZ279,EZ279,)))</f>
        <v>329.01</v>
      </c>
      <c r="FA285" s="2275"/>
      <c r="FB285" s="2275"/>
      <c r="FC285" s="2275"/>
      <c r="FD285" s="2275"/>
      <c r="FE285" s="2275"/>
      <c r="FF285" s="2275"/>
      <c r="FG285" s="2275"/>
      <c r="FH285" s="2275"/>
      <c r="FI285" s="2275"/>
      <c r="FJ285" s="2275"/>
      <c r="FK285" s="2275"/>
      <c r="FL285" s="2250"/>
      <c r="FM285" s="2250"/>
      <c r="FN285" s="2250"/>
      <c r="FO285" s="2250"/>
      <c r="FP285" s="2250"/>
      <c r="FQ285" s="2250"/>
      <c r="FR285" s="2250"/>
      <c r="FS285" s="2250"/>
      <c r="FT285" s="2250"/>
      <c r="FU285" s="2250"/>
      <c r="FV285" s="2250"/>
      <c r="FW285" s="2250"/>
      <c r="FX285" s="2250"/>
      <c r="FY285" s="2250"/>
      <c r="FZ285" s="2250"/>
      <c r="GA285" s="2250"/>
      <c r="GB285" s="2276"/>
      <c r="GC285" s="2276"/>
      <c r="GD285" s="2250"/>
      <c r="GE285" s="2275"/>
      <c r="GF285" s="2275">
        <f>GF241</f>
        <v>1.3354563802212776</v>
      </c>
      <c r="GG285" s="2275">
        <f>HLOOKUP(GF286,GH267:HH287,20,0)</f>
        <v>8.58</v>
      </c>
      <c r="GH285" s="2275">
        <f>+IF(GF285&lt;=GH277,GH277,IF(GF285&lt;=GH278,GH278,IF(GF285&lt;=GH279,GH279,)))</f>
        <v>57.45</v>
      </c>
      <c r="GI285" s="2275">
        <f>+IF(GF285&lt;=GI277,GI277,IF(GF285&lt;=GI278,GI278,IF(GF285&lt;=GI279,GI279,)))</f>
        <v>64.790000000000006</v>
      </c>
      <c r="GJ285" s="2275">
        <f>+IF(GF285&lt;=GJ277,GJ277,IF(GF285&lt;=GJ278,GJ278,IF(GF285&lt;=GJ279,GJ279,)))</f>
        <v>71.78</v>
      </c>
      <c r="GK285" s="2275">
        <f>+IF(GF285&lt;=GK277,GK277,IF(GF285&lt;=GK278,GK278,IF(GF285&lt;=GK279,GK279,)))</f>
        <v>79.459999999999994</v>
      </c>
      <c r="GL285" s="2275">
        <f>+IF(GF285&lt;=GL277,GL277,IF(GF285&lt;=GL278,GL278,IF(GF285&lt;=GL279,GL279,)))</f>
        <v>86.79</v>
      </c>
      <c r="GM285" s="2275">
        <f>+IF(GF285&lt;=GM277,GM277,IF(GF285&lt;=GM278,GM278,IF(GF285&lt;=GM279,GM279,)))</f>
        <v>81.83</v>
      </c>
      <c r="GN285" s="2275">
        <f>+IF(GF285&lt;=GN277,GN277,IF(GF285&lt;=GN278,GN278,IF(GF285&lt;=GN279,GN279,)))</f>
        <v>90.63</v>
      </c>
      <c r="GO285" s="2275">
        <f>+IF(GF285&lt;=GO277,GO277,IF(GF285&lt;=GO278,GO278,IF(GF285&lt;=GO279,GO279,)))</f>
        <v>96.5</v>
      </c>
      <c r="GP285" s="2275">
        <f>+IF(GF285&lt;=GP277,GP277,IF(GF285&lt;=GP278,GP278,IF(GF285&lt;=GP279,GP279,)))</f>
        <v>105.87</v>
      </c>
      <c r="GQ285" s="2275">
        <f>+IF(GF285&lt;=GQ277,GQ277,IF(GF285&lt;=GQ278,GQ278,IF(GF285&lt;=GQ279,GQ279,)))</f>
        <v>107.9</v>
      </c>
      <c r="GR285" s="2275">
        <f>+IF(GF285&lt;=GR277,GR277,IF(GF285&lt;=GR278,GR278,IF(GF285&lt;=GR279,GR279,)))</f>
        <v>119.53</v>
      </c>
      <c r="GS285" s="2275">
        <f>+IF(GF285&lt;=GS277,GS277,IF(GF285&lt;=GS278,GS278,IF(GF285&lt;=GS279,GS279,)))</f>
        <v>139.05000000000001</v>
      </c>
      <c r="GT285" s="2275">
        <f>+IF(GF285&lt;=GT277,GT277,IF(GF285&lt;=GT278,GT278,IF(GF285&lt;=GT279,GT279,)))</f>
        <v>140.41</v>
      </c>
      <c r="GU285" s="2275">
        <f>+IF(GF285&lt;=GU277,GU277,IF(GF285&lt;=GU278,GU278,IF(GF285&lt;=GU279,GU279,)))</f>
        <v>147.18</v>
      </c>
      <c r="GV285" s="2275">
        <f>+IF(GF285&lt;=GV277,GV277,IF(GF285&lt;=GV278,GV278,IF(GF285&lt;=GV279,GV279,)))</f>
        <v>154.85</v>
      </c>
      <c r="GW285" s="2275">
        <f>+IF(GF285&lt;=GW277,GW277,IF(GF285&lt;=GW278,GW278,IF(GF285&lt;=GW279,GW279,)))</f>
        <v>166.37</v>
      </c>
      <c r="GX285" s="2275">
        <f>+IF(GF285&lt;=GX277,GX277,IF(GF285&lt;=GX278,GX278,IF(GF285&lt;=GX279,GX279,)))</f>
        <v>173.81</v>
      </c>
      <c r="GY285" s="2275">
        <f>+IF(GF285&lt;=GY277,GY277,IF(GF285&lt;=GY278,GY278,IF(GF285&lt;=GY279,GY279,)))</f>
        <v>188.37</v>
      </c>
      <c r="GZ285" s="2275">
        <f>+IF(GF285&lt;=GZ277,GZ277,IF(GF285&lt;=GZ278,GZ278,IF(GF285&lt;=GZ279,GZ279,)))</f>
        <v>200.56</v>
      </c>
      <c r="HA285" s="2275">
        <f>+IF(GF285&lt;=HA277,HA277,IF(GF285&lt;=HA278,HA278,IF(GF285&lt;=HA279,HA279,)))</f>
        <v>216.25</v>
      </c>
      <c r="HB285" s="2275">
        <f>+IF(GF285&lt;=HB277,HB277,IF(GF285&lt;=HB278,HB278,IF(GF285&lt;=HB279,HB279,)))</f>
        <v>228.67</v>
      </c>
      <c r="HC285" s="2275">
        <f>+IF(GF285&lt;=HC277,HC277,IF(GF285&lt;=HC278,HC278,IF(GF285&lt;=HC279,HC279,)))</f>
        <v>238.83</v>
      </c>
      <c r="HD285" s="2275">
        <f>+IF(GF285&lt;=HD277,HD277,IF(GF285&lt;=HD278,HD278,IF(GF285&lt;=HD279,HD279,)))</f>
        <v>265.01</v>
      </c>
      <c r="HE285" s="2275">
        <f>+IF(GF285&lt;=HE277,HE277,IF(GF285&lt;=HE278,HE278,IF(GF285&lt;=HE279,HE279,)))</f>
        <v>291.31</v>
      </c>
      <c r="HF285" s="2275">
        <f>+IF(GF285&lt;=HF277,HF277,IF(GF285&lt;=HF278,HF278,IF(GF285&lt;=HF279,HF279,)))</f>
        <v>327.31</v>
      </c>
      <c r="HG285" s="2275">
        <f>+IF(GF285&lt;=HG277,HG277,IF(GF285&lt;=HG278,HG278,IF(GF285&lt;=HG279,HG279,)))</f>
        <v>329.01</v>
      </c>
      <c r="HH285" s="2275">
        <f>+IF(GF285&lt;=HH277,HH277,IF(GF285&lt;=HH278,HH278,IF(GF285&lt;=HH279,HH279,)))</f>
        <v>329.01</v>
      </c>
      <c r="HI285" s="2275"/>
      <c r="HJ285" s="2275"/>
      <c r="HK285" s="2275"/>
      <c r="HL285" s="2275"/>
      <c r="HM285" s="2275"/>
      <c r="HN285" s="2275"/>
      <c r="HO285" s="2275"/>
      <c r="HP285" s="2275"/>
      <c r="HQ285" s="2275"/>
      <c r="HR285" s="2275"/>
      <c r="HS285" s="2275"/>
      <c r="HT285" s="2250"/>
      <c r="HU285" s="2250"/>
      <c r="HV285" s="2250"/>
      <c r="HW285" s="2250"/>
      <c r="HX285" s="2250"/>
      <c r="HY285" s="2250"/>
      <c r="HZ285" s="2250"/>
      <c r="IA285" s="2250"/>
      <c r="IB285" s="2250"/>
      <c r="IC285" s="2250"/>
      <c r="ID285" s="2250"/>
      <c r="IE285" s="2250"/>
      <c r="IF285" s="2250"/>
      <c r="IG285" s="2250"/>
      <c r="IH285" s="2250"/>
      <c r="II285" s="2250"/>
      <c r="IJ285" s="2250"/>
      <c r="IK285" s="2250"/>
      <c r="IL285" s="2250"/>
      <c r="IN285" s="277"/>
      <c r="IO285" s="277"/>
    </row>
    <row r="286" spans="1:249" ht="21.95" customHeight="1">
      <c r="A286" s="2275"/>
      <c r="B286" s="2275">
        <f>B242</f>
        <v>68.3</v>
      </c>
      <c r="C286" s="2275">
        <f>HLOOKUP(B286,D267:AD287,21,0)</f>
        <v>400</v>
      </c>
      <c r="D286" s="2250">
        <f t="shared" ref="D286:AD286" si="134">IF(D284=0,D285,D284)</f>
        <v>2.0299999999999998</v>
      </c>
      <c r="E286" s="2250">
        <f t="shared" si="134"/>
        <v>2.37</v>
      </c>
      <c r="F286" s="2250">
        <f t="shared" si="134"/>
        <v>2.6</v>
      </c>
      <c r="G286" s="2250">
        <f t="shared" si="134"/>
        <v>2.71</v>
      </c>
      <c r="H286" s="2250">
        <f t="shared" si="134"/>
        <v>2.93</v>
      </c>
      <c r="I286" s="2250">
        <f t="shared" si="134"/>
        <v>2.93</v>
      </c>
      <c r="J286" s="2250">
        <f t="shared" si="134"/>
        <v>3.16</v>
      </c>
      <c r="K286" s="2250">
        <f t="shared" si="134"/>
        <v>3.39</v>
      </c>
      <c r="L286" s="2250">
        <f t="shared" si="134"/>
        <v>3.61</v>
      </c>
      <c r="M286" s="2250">
        <f t="shared" si="134"/>
        <v>3.84</v>
      </c>
      <c r="N286" s="2250">
        <f t="shared" si="134"/>
        <v>4.29</v>
      </c>
      <c r="O286" s="2250">
        <f t="shared" si="134"/>
        <v>4.63</v>
      </c>
      <c r="P286" s="2250">
        <f t="shared" si="134"/>
        <v>4.74</v>
      </c>
      <c r="Q286" s="2250">
        <f t="shared" si="134"/>
        <v>5.08</v>
      </c>
      <c r="R286" s="2250">
        <f t="shared" si="134"/>
        <v>5.3</v>
      </c>
      <c r="S286" s="2250">
        <f t="shared" si="134"/>
        <v>5.53</v>
      </c>
      <c r="T286" s="2250">
        <f t="shared" si="134"/>
        <v>5.87</v>
      </c>
      <c r="U286" s="2250">
        <f t="shared" si="134"/>
        <v>6.43</v>
      </c>
      <c r="V286" s="2250">
        <f t="shared" si="134"/>
        <v>6.77</v>
      </c>
      <c r="W286" s="2250">
        <f t="shared" si="134"/>
        <v>7.34</v>
      </c>
      <c r="X286" s="2250">
        <f t="shared" si="134"/>
        <v>7.79</v>
      </c>
      <c r="Y286" s="2250">
        <f t="shared" si="134"/>
        <v>8.58</v>
      </c>
      <c r="Z286" s="2250">
        <f t="shared" si="134"/>
        <v>9.26</v>
      </c>
      <c r="AA286" s="2250">
        <f t="shared" si="134"/>
        <v>10.38</v>
      </c>
      <c r="AB286" s="2250">
        <f t="shared" si="134"/>
        <v>11.4</v>
      </c>
      <c r="AC286" s="2250">
        <f t="shared" si="134"/>
        <v>12.42</v>
      </c>
      <c r="AD286" s="2250">
        <f t="shared" si="134"/>
        <v>14.45</v>
      </c>
      <c r="AE286" s="2275"/>
      <c r="AF286" s="2275"/>
      <c r="AG286" s="2275"/>
      <c r="AH286" s="2275"/>
      <c r="AI286" s="2275"/>
      <c r="AJ286" s="2275"/>
      <c r="AK286" s="2275"/>
      <c r="AL286" s="2275"/>
      <c r="AM286" s="2275"/>
      <c r="AN286" s="2275"/>
      <c r="AO286" s="2275"/>
      <c r="AP286" s="2250"/>
      <c r="AQ286" s="2250"/>
      <c r="AR286" s="2250"/>
      <c r="AS286" s="2250"/>
      <c r="AT286" s="2250"/>
      <c r="AU286" s="2250"/>
      <c r="AV286" s="2250"/>
      <c r="AW286" s="2250"/>
      <c r="AX286" s="2250"/>
      <c r="AY286" s="2250"/>
      <c r="AZ286" s="2250"/>
      <c r="BA286" s="2250"/>
      <c r="BB286" s="2250"/>
      <c r="BC286" s="2250"/>
      <c r="BD286" s="2250"/>
      <c r="BE286" s="2250"/>
      <c r="BF286" s="2276"/>
      <c r="BG286" s="2276"/>
      <c r="BH286" s="2250"/>
      <c r="BI286" s="2275"/>
      <c r="BJ286" s="2275">
        <f>BJ242</f>
        <v>73.7</v>
      </c>
      <c r="BK286" s="2275">
        <f>HLOOKUP(BJ286,BL267:CL287,21,0)</f>
        <v>400</v>
      </c>
      <c r="BL286" s="2250">
        <f t="shared" ref="BL286:CL286" si="135">IF(BL284=0,BL285,BL284)</f>
        <v>2.0299999999999998</v>
      </c>
      <c r="BM286" s="2250">
        <f t="shared" si="135"/>
        <v>2.37</v>
      </c>
      <c r="BN286" s="2250">
        <f t="shared" si="135"/>
        <v>2.6</v>
      </c>
      <c r="BO286" s="2250">
        <f t="shared" si="135"/>
        <v>2.71</v>
      </c>
      <c r="BP286" s="2250">
        <f t="shared" si="135"/>
        <v>2.93</v>
      </c>
      <c r="BQ286" s="2250">
        <f t="shared" si="135"/>
        <v>2.93</v>
      </c>
      <c r="BR286" s="2250">
        <f t="shared" si="135"/>
        <v>3.16</v>
      </c>
      <c r="BS286" s="2250">
        <f t="shared" si="135"/>
        <v>3.39</v>
      </c>
      <c r="BT286" s="2250">
        <f t="shared" si="135"/>
        <v>3.61</v>
      </c>
      <c r="BU286" s="2250">
        <f t="shared" si="135"/>
        <v>3.84</v>
      </c>
      <c r="BV286" s="2250">
        <f t="shared" si="135"/>
        <v>4.29</v>
      </c>
      <c r="BW286" s="2250">
        <f t="shared" si="135"/>
        <v>4.63</v>
      </c>
      <c r="BX286" s="2250">
        <f t="shared" si="135"/>
        <v>4.74</v>
      </c>
      <c r="BY286" s="2250">
        <f t="shared" si="135"/>
        <v>5.08</v>
      </c>
      <c r="BZ286" s="2250">
        <f t="shared" si="135"/>
        <v>5.3</v>
      </c>
      <c r="CA286" s="2250">
        <f t="shared" si="135"/>
        <v>5.53</v>
      </c>
      <c r="CB286" s="2250">
        <f t="shared" si="135"/>
        <v>5.87</v>
      </c>
      <c r="CC286" s="2250">
        <f t="shared" si="135"/>
        <v>6.43</v>
      </c>
      <c r="CD286" s="2250">
        <f t="shared" si="135"/>
        <v>6.77</v>
      </c>
      <c r="CE286" s="2250">
        <f t="shared" si="135"/>
        <v>7.34</v>
      </c>
      <c r="CF286" s="2250">
        <f t="shared" si="135"/>
        <v>7.79</v>
      </c>
      <c r="CG286" s="2250">
        <f t="shared" si="135"/>
        <v>8.58</v>
      </c>
      <c r="CH286" s="2250">
        <f t="shared" si="135"/>
        <v>9.26</v>
      </c>
      <c r="CI286" s="2250">
        <f t="shared" si="135"/>
        <v>10.38</v>
      </c>
      <c r="CJ286" s="2250">
        <f t="shared" si="135"/>
        <v>11.4</v>
      </c>
      <c r="CK286" s="2250">
        <f t="shared" si="135"/>
        <v>12.42</v>
      </c>
      <c r="CL286" s="2250">
        <f t="shared" si="135"/>
        <v>14.45</v>
      </c>
      <c r="CM286" s="2275"/>
      <c r="CN286" s="2275"/>
      <c r="CO286" s="2275"/>
      <c r="CP286" s="2275"/>
      <c r="CQ286" s="2275"/>
      <c r="CR286" s="2275"/>
      <c r="CS286" s="2275"/>
      <c r="CT286" s="2275"/>
      <c r="CU286" s="2275"/>
      <c r="CV286" s="2275"/>
      <c r="CW286" s="2275"/>
      <c r="CX286" s="2250"/>
      <c r="CY286" s="2250"/>
      <c r="CZ286" s="2250"/>
      <c r="DA286" s="2250"/>
      <c r="DB286" s="2250"/>
      <c r="DC286" s="2250"/>
      <c r="DD286" s="2250"/>
      <c r="DE286" s="2250"/>
      <c r="DF286" s="2250"/>
      <c r="DG286" s="2250"/>
      <c r="DH286" s="2250"/>
      <c r="DI286" s="2250"/>
      <c r="DJ286" s="2250"/>
      <c r="DK286" s="2250"/>
      <c r="DL286" s="2250"/>
      <c r="DM286" s="2250"/>
      <c r="DN286" s="2250"/>
      <c r="DO286" s="2250"/>
      <c r="DP286" s="2250"/>
      <c r="DQ286" s="2277"/>
      <c r="DR286" s="2277"/>
      <c r="DS286" s="277"/>
      <c r="DW286" s="2275"/>
      <c r="DX286" s="2275">
        <f>DX242</f>
        <v>43.9</v>
      </c>
      <c r="DY286" s="2275">
        <f>HLOOKUP(DX286,DZ267:EZ287,21,0)</f>
        <v>400</v>
      </c>
      <c r="DZ286" s="2250">
        <f t="shared" ref="DZ286:EZ286" si="136">IF(DZ284=0,DZ285,DZ284)</f>
        <v>2.0299999999999998</v>
      </c>
      <c r="EA286" s="2250">
        <f t="shared" si="136"/>
        <v>2.37</v>
      </c>
      <c r="EB286" s="2250">
        <f t="shared" si="136"/>
        <v>2.6</v>
      </c>
      <c r="EC286" s="2250">
        <f t="shared" si="136"/>
        <v>2.71</v>
      </c>
      <c r="ED286" s="2250">
        <f t="shared" si="136"/>
        <v>2.93</v>
      </c>
      <c r="EE286" s="2250">
        <f t="shared" si="136"/>
        <v>2.93</v>
      </c>
      <c r="EF286" s="2250">
        <f t="shared" si="136"/>
        <v>3.16</v>
      </c>
      <c r="EG286" s="2250">
        <f t="shared" si="136"/>
        <v>3.39</v>
      </c>
      <c r="EH286" s="2250">
        <f t="shared" si="136"/>
        <v>3.61</v>
      </c>
      <c r="EI286" s="2250">
        <f t="shared" si="136"/>
        <v>3.84</v>
      </c>
      <c r="EJ286" s="2250">
        <f t="shared" si="136"/>
        <v>4.29</v>
      </c>
      <c r="EK286" s="2250">
        <f t="shared" si="136"/>
        <v>4.63</v>
      </c>
      <c r="EL286" s="2250">
        <f t="shared" si="136"/>
        <v>4.74</v>
      </c>
      <c r="EM286" s="2250">
        <f t="shared" si="136"/>
        <v>5.08</v>
      </c>
      <c r="EN286" s="2250">
        <f t="shared" si="136"/>
        <v>5.3</v>
      </c>
      <c r="EO286" s="2250">
        <f t="shared" si="136"/>
        <v>5.53</v>
      </c>
      <c r="EP286" s="2250">
        <f t="shared" si="136"/>
        <v>5.87</v>
      </c>
      <c r="EQ286" s="2250">
        <f t="shared" si="136"/>
        <v>6.43</v>
      </c>
      <c r="ER286" s="2250">
        <f t="shared" si="136"/>
        <v>6.77</v>
      </c>
      <c r="ES286" s="2250">
        <f t="shared" si="136"/>
        <v>7.34</v>
      </c>
      <c r="ET286" s="2250">
        <f t="shared" si="136"/>
        <v>7.79</v>
      </c>
      <c r="EU286" s="2250">
        <f t="shared" si="136"/>
        <v>8.58</v>
      </c>
      <c r="EV286" s="2250">
        <f t="shared" si="136"/>
        <v>9.26</v>
      </c>
      <c r="EW286" s="2250">
        <f t="shared" si="136"/>
        <v>10.38</v>
      </c>
      <c r="EX286" s="2250">
        <f t="shared" si="136"/>
        <v>11.4</v>
      </c>
      <c r="EY286" s="2250">
        <f t="shared" si="136"/>
        <v>12.42</v>
      </c>
      <c r="EZ286" s="2250">
        <f t="shared" si="136"/>
        <v>14.45</v>
      </c>
      <c r="FA286" s="2275"/>
      <c r="FB286" s="2275"/>
      <c r="FC286" s="2275"/>
      <c r="FD286" s="2275"/>
      <c r="FE286" s="2275"/>
      <c r="FF286" s="2275"/>
      <c r="FG286" s="2275"/>
      <c r="FH286" s="2275"/>
      <c r="FI286" s="2275"/>
      <c r="FJ286" s="2275"/>
      <c r="FK286" s="2275"/>
      <c r="FL286" s="2250"/>
      <c r="FM286" s="2250"/>
      <c r="FN286" s="2250"/>
      <c r="FO286" s="2250"/>
      <c r="FP286" s="2250"/>
      <c r="FQ286" s="2250"/>
      <c r="FR286" s="2250"/>
      <c r="FS286" s="2250"/>
      <c r="FT286" s="2250"/>
      <c r="FU286" s="2250"/>
      <c r="FV286" s="2250"/>
      <c r="FW286" s="2250"/>
      <c r="FX286" s="2250"/>
      <c r="FY286" s="2250"/>
      <c r="FZ286" s="2250"/>
      <c r="GA286" s="2250"/>
      <c r="GB286" s="2276"/>
      <c r="GC286" s="2276"/>
      <c r="GD286" s="2250"/>
      <c r="GE286" s="2275"/>
      <c r="GF286" s="2275">
        <f>GF242</f>
        <v>48.8</v>
      </c>
      <c r="GG286" s="2275">
        <f>HLOOKUP(GF286,GH267:HH287,21,0)</f>
        <v>400</v>
      </c>
      <c r="GH286" s="2250">
        <f t="shared" ref="GH286:HH286" si="137">IF(GH284=0,GH285,GH284)</f>
        <v>2.0299999999999998</v>
      </c>
      <c r="GI286" s="2250">
        <f t="shared" si="137"/>
        <v>2.37</v>
      </c>
      <c r="GJ286" s="2250">
        <f t="shared" si="137"/>
        <v>2.6</v>
      </c>
      <c r="GK286" s="2250">
        <f t="shared" si="137"/>
        <v>2.71</v>
      </c>
      <c r="GL286" s="2250">
        <f t="shared" si="137"/>
        <v>2.93</v>
      </c>
      <c r="GM286" s="2250">
        <f t="shared" si="137"/>
        <v>2.93</v>
      </c>
      <c r="GN286" s="2250">
        <f t="shared" si="137"/>
        <v>3.16</v>
      </c>
      <c r="GO286" s="2250">
        <f t="shared" si="137"/>
        <v>3.39</v>
      </c>
      <c r="GP286" s="2250">
        <f t="shared" si="137"/>
        <v>3.61</v>
      </c>
      <c r="GQ286" s="2250">
        <f t="shared" si="137"/>
        <v>3.84</v>
      </c>
      <c r="GR286" s="2250">
        <f t="shared" si="137"/>
        <v>4.29</v>
      </c>
      <c r="GS286" s="2250">
        <f t="shared" si="137"/>
        <v>4.63</v>
      </c>
      <c r="GT286" s="2250">
        <f t="shared" si="137"/>
        <v>4.74</v>
      </c>
      <c r="GU286" s="2250">
        <f t="shared" si="137"/>
        <v>5.08</v>
      </c>
      <c r="GV286" s="2250">
        <f t="shared" si="137"/>
        <v>5.3</v>
      </c>
      <c r="GW286" s="2250">
        <f t="shared" si="137"/>
        <v>5.53</v>
      </c>
      <c r="GX286" s="2250">
        <f t="shared" si="137"/>
        <v>5.87</v>
      </c>
      <c r="GY286" s="2250">
        <f t="shared" si="137"/>
        <v>6.43</v>
      </c>
      <c r="GZ286" s="2250">
        <f t="shared" si="137"/>
        <v>6.77</v>
      </c>
      <c r="HA286" s="2250">
        <f t="shared" si="137"/>
        <v>7.34</v>
      </c>
      <c r="HB286" s="2250">
        <f t="shared" si="137"/>
        <v>7.79</v>
      </c>
      <c r="HC286" s="2250">
        <f t="shared" si="137"/>
        <v>8.58</v>
      </c>
      <c r="HD286" s="2250">
        <f t="shared" si="137"/>
        <v>9.26</v>
      </c>
      <c r="HE286" s="2250">
        <f t="shared" si="137"/>
        <v>10.38</v>
      </c>
      <c r="HF286" s="2250">
        <f t="shared" si="137"/>
        <v>11.4</v>
      </c>
      <c r="HG286" s="2250">
        <f t="shared" si="137"/>
        <v>12.42</v>
      </c>
      <c r="HH286" s="2250">
        <f t="shared" si="137"/>
        <v>14.45</v>
      </c>
      <c r="HI286" s="2275"/>
      <c r="HJ286" s="2275"/>
      <c r="HK286" s="2275"/>
      <c r="HL286" s="2275"/>
      <c r="HM286" s="2275"/>
      <c r="HN286" s="2275"/>
      <c r="HO286" s="2275"/>
      <c r="HP286" s="2275"/>
      <c r="HQ286" s="2275"/>
      <c r="HR286" s="2275"/>
      <c r="HS286" s="2275"/>
      <c r="HT286" s="2250"/>
      <c r="HU286" s="2250"/>
      <c r="HV286" s="2250"/>
      <c r="HW286" s="2250"/>
      <c r="HX286" s="2250"/>
      <c r="HY286" s="2250"/>
      <c r="HZ286" s="2250"/>
      <c r="IA286" s="2250"/>
      <c r="IB286" s="2250"/>
      <c r="IC286" s="2250"/>
      <c r="ID286" s="2250"/>
      <c r="IE286" s="2250"/>
      <c r="IF286" s="2250"/>
      <c r="IG286" s="2250"/>
      <c r="IH286" s="2250"/>
      <c r="II286" s="2250"/>
      <c r="IJ286" s="2250"/>
      <c r="IK286" s="2250"/>
      <c r="IL286" s="2250"/>
      <c r="IN286" s="277"/>
      <c r="IO286" s="277"/>
    </row>
    <row r="287" spans="1:249" ht="21.95" customHeight="1">
      <c r="A287" s="2275"/>
      <c r="B287" s="2250"/>
      <c r="C287" s="2250" t="str">
        <f>IF(C285=AH283,IF(C286=AI283,"Right","Wrong"))</f>
        <v>Right</v>
      </c>
      <c r="D287" s="2250">
        <f>VLOOKUP(D286,D269:AE279,28,0)</f>
        <v>400</v>
      </c>
      <c r="E287" s="2250">
        <f>VLOOKUP(E286,E269:AE279,27,0)</f>
        <v>400</v>
      </c>
      <c r="F287" s="2250">
        <f>VLOOKUP(F286,F269:AE279,26,0)</f>
        <v>400</v>
      </c>
      <c r="G287" s="2250">
        <f>VLOOKUP(G286,G269:AE279,25,0)</f>
        <v>400</v>
      </c>
      <c r="H287" s="2250">
        <f>VLOOKUP(H286,H269:AE279,24,0)</f>
        <v>400</v>
      </c>
      <c r="I287" s="2250">
        <f>VLOOKUP(I286,I269:AE279,23,0)</f>
        <v>400</v>
      </c>
      <c r="J287" s="2250">
        <f>VLOOKUP(J286,J269:AE279,22,0)</f>
        <v>400</v>
      </c>
      <c r="K287" s="2250">
        <f>VLOOKUP(K286,K269:AE279,21,0)</f>
        <v>400</v>
      </c>
      <c r="L287" s="2250">
        <f>VLOOKUP(L286,L269:AE279,20,0)</f>
        <v>400</v>
      </c>
      <c r="M287" s="2250">
        <f>VLOOKUP(M286,M269:AE279,19,0)</f>
        <v>400</v>
      </c>
      <c r="N287" s="2250">
        <f>VLOOKUP(N286,N269:AE279,18,0)</f>
        <v>400</v>
      </c>
      <c r="O287" s="2250">
        <f>VLOOKUP(O286,O269:AE279,17,0)</f>
        <v>400</v>
      </c>
      <c r="P287" s="2250">
        <f>VLOOKUP(P286,P269:AE279,16,0)</f>
        <v>400</v>
      </c>
      <c r="Q287" s="2250">
        <f>VLOOKUP(Q286,Q269:AE279,15,0)</f>
        <v>400</v>
      </c>
      <c r="R287" s="2250">
        <f>VLOOKUP(R286,R269:AE279,14,0)</f>
        <v>400</v>
      </c>
      <c r="S287" s="2250">
        <f>VLOOKUP(S286,S269:AE279,13,0)</f>
        <v>400</v>
      </c>
      <c r="T287" s="2250">
        <f>VLOOKUP(T286,T269:AE279,12,0)</f>
        <v>400</v>
      </c>
      <c r="U287" s="2250">
        <f>VLOOKUP(U286,U269:AE279,11,0)</f>
        <v>400</v>
      </c>
      <c r="V287" s="2250">
        <f>VLOOKUP(V286,V269:AE279,10,0)</f>
        <v>400</v>
      </c>
      <c r="W287" s="2250">
        <f>VLOOKUP(W286,W269:AE279,9,0)</f>
        <v>400</v>
      </c>
      <c r="X287" s="2250">
        <f>VLOOKUP(X286,X269:AE279,8,0)</f>
        <v>400</v>
      </c>
      <c r="Y287" s="2250">
        <f>VLOOKUP(Y286,Y269:AE279,7,0)</f>
        <v>400</v>
      </c>
      <c r="Z287" s="2250">
        <f>VLOOKUP(Z286,Z269:AE279,6,0)</f>
        <v>400</v>
      </c>
      <c r="AA287" s="2250">
        <f>VLOOKUP(AA286,AA269:AE279,5,0)</f>
        <v>400</v>
      </c>
      <c r="AB287" s="2250">
        <f>VLOOKUP(AB286,AB269:AE279,4,0)</f>
        <v>400</v>
      </c>
      <c r="AC287" s="2250">
        <f>VLOOKUP(AC286,AC269:AE279,3,0)</f>
        <v>400</v>
      </c>
      <c r="AD287" s="2250">
        <f>VLOOKUP(AD286,AD269:AE279,2,0)</f>
        <v>400</v>
      </c>
      <c r="AE287" s="2275"/>
      <c r="AF287" s="2275"/>
      <c r="AG287" s="2275"/>
      <c r="AH287" s="2275"/>
      <c r="AI287" s="2275"/>
      <c r="AJ287" s="2275"/>
      <c r="AK287" s="2275"/>
      <c r="AL287" s="2275"/>
      <c r="AM287" s="2275"/>
      <c r="AN287" s="2275"/>
      <c r="AO287" s="2275"/>
      <c r="AP287" s="2250"/>
      <c r="AQ287" s="2250"/>
      <c r="AR287" s="2250"/>
      <c r="AS287" s="2250"/>
      <c r="AT287" s="2250"/>
      <c r="AU287" s="2250"/>
      <c r="AV287" s="2250"/>
      <c r="AW287" s="2250"/>
      <c r="AX287" s="2250"/>
      <c r="AY287" s="2250"/>
      <c r="AZ287" s="2250"/>
      <c r="BA287" s="2250"/>
      <c r="BB287" s="2250"/>
      <c r="BC287" s="2250"/>
      <c r="BD287" s="2250"/>
      <c r="BE287" s="2250"/>
      <c r="BF287" s="2276"/>
      <c r="BG287" s="2276"/>
      <c r="BH287" s="2250"/>
      <c r="BI287" s="2275"/>
      <c r="BJ287" s="2250"/>
      <c r="BK287" s="2250" t="str">
        <f>IF(BK285=CP283,IF(BK286=CQ283,"Right","Wrong"))</f>
        <v>Right</v>
      </c>
      <c r="BL287" s="2250">
        <f>VLOOKUP(BL286,BL269:CM279,28,0)</f>
        <v>400</v>
      </c>
      <c r="BM287" s="2250">
        <f>VLOOKUP(BM286,BM269:CM279,27,0)</f>
        <v>400</v>
      </c>
      <c r="BN287" s="2250">
        <f>VLOOKUP(BN286,BN269:CM279,26,0)</f>
        <v>400</v>
      </c>
      <c r="BO287" s="2250">
        <f>VLOOKUP(BO286,BO269:CM279,25,0)</f>
        <v>400</v>
      </c>
      <c r="BP287" s="2250">
        <f>VLOOKUP(BP286,BP269:CM279,24,0)</f>
        <v>400</v>
      </c>
      <c r="BQ287" s="2250">
        <f>VLOOKUP(BQ286,BQ269:CM279,23,0)</f>
        <v>400</v>
      </c>
      <c r="BR287" s="2250">
        <f>VLOOKUP(BR286,BR269:CM279,22,0)</f>
        <v>400</v>
      </c>
      <c r="BS287" s="2250">
        <f>VLOOKUP(BS286,BS269:CM279,21,0)</f>
        <v>400</v>
      </c>
      <c r="BT287" s="2250">
        <f>VLOOKUP(BT286,BT269:CM279,20,0)</f>
        <v>400</v>
      </c>
      <c r="BU287" s="2250">
        <f>VLOOKUP(BU286,BU269:CM279,19,0)</f>
        <v>400</v>
      </c>
      <c r="BV287" s="2250">
        <f>VLOOKUP(BV286,BV269:CM279,18,0)</f>
        <v>400</v>
      </c>
      <c r="BW287" s="2250">
        <f>VLOOKUP(BW286,BW269:CM279,17,0)</f>
        <v>400</v>
      </c>
      <c r="BX287" s="2250">
        <f>VLOOKUP(BX286,BX269:CM279,16,0)</f>
        <v>400</v>
      </c>
      <c r="BY287" s="2250">
        <f>VLOOKUP(BY286,BY269:CM279,15,0)</f>
        <v>400</v>
      </c>
      <c r="BZ287" s="2250">
        <f>VLOOKUP(BZ286,BZ269:CM279,14,0)</f>
        <v>400</v>
      </c>
      <c r="CA287" s="2250">
        <f>VLOOKUP(CA286,CA269:CM279,13,0)</f>
        <v>400</v>
      </c>
      <c r="CB287" s="2250">
        <f>VLOOKUP(CB286,CB269:CM279,12,0)</f>
        <v>400</v>
      </c>
      <c r="CC287" s="2250">
        <f>VLOOKUP(CC286,CC269:CM279,11,0)</f>
        <v>400</v>
      </c>
      <c r="CD287" s="2250">
        <f>VLOOKUP(CD286,CD269:CM279,10,0)</f>
        <v>400</v>
      </c>
      <c r="CE287" s="2250">
        <f>VLOOKUP(CE286,CE269:CM279,9,0)</f>
        <v>400</v>
      </c>
      <c r="CF287" s="2250">
        <f>VLOOKUP(CF286,CF269:CM279,8,0)</f>
        <v>400</v>
      </c>
      <c r="CG287" s="2250">
        <f>VLOOKUP(CG286,CG269:CM279,7,0)</f>
        <v>400</v>
      </c>
      <c r="CH287" s="2250">
        <f>VLOOKUP(CH286,CH269:CM279,6,0)</f>
        <v>400</v>
      </c>
      <c r="CI287" s="2250">
        <f>VLOOKUP(CI286,CI269:CM279,5,0)</f>
        <v>400</v>
      </c>
      <c r="CJ287" s="2250">
        <f>VLOOKUP(CJ286,CJ269:CM279,4,0)</f>
        <v>400</v>
      </c>
      <c r="CK287" s="2250">
        <f>VLOOKUP(CK286,CK269:CM279,3,0)</f>
        <v>400</v>
      </c>
      <c r="CL287" s="2250">
        <f>VLOOKUP(CL286,CL269:CM279,2,0)</f>
        <v>400</v>
      </c>
      <c r="CM287" s="2275"/>
      <c r="CN287" s="2275"/>
      <c r="CO287" s="2275"/>
      <c r="CP287" s="2275"/>
      <c r="CQ287" s="2275"/>
      <c r="CR287" s="2275"/>
      <c r="CS287" s="2275"/>
      <c r="CT287" s="2275"/>
      <c r="CU287" s="2275"/>
      <c r="CV287" s="2275"/>
      <c r="CW287" s="2275"/>
      <c r="CX287" s="2250"/>
      <c r="CY287" s="2250"/>
      <c r="CZ287" s="2250"/>
      <c r="DA287" s="2250"/>
      <c r="DB287" s="2250"/>
      <c r="DC287" s="2250"/>
      <c r="DD287" s="2250"/>
      <c r="DE287" s="2250"/>
      <c r="DF287" s="2250"/>
      <c r="DG287" s="2250"/>
      <c r="DH287" s="2250"/>
      <c r="DI287" s="2250"/>
      <c r="DJ287" s="2250"/>
      <c r="DK287" s="2250"/>
      <c r="DL287" s="2250"/>
      <c r="DM287" s="2250"/>
      <c r="DN287" s="2250"/>
      <c r="DO287" s="2250"/>
      <c r="DP287" s="2250"/>
      <c r="DQ287" s="2277"/>
      <c r="DR287" s="2277"/>
      <c r="DS287" s="277"/>
      <c r="DW287" s="2275"/>
      <c r="DX287" s="2250"/>
      <c r="DY287" s="2250" t="str">
        <f>IF(DY285=FD283,IF(DY286=FE283,"Right","Wrong"))</f>
        <v>Right</v>
      </c>
      <c r="DZ287" s="2250">
        <f>VLOOKUP(DZ286,DZ269:FA279,28,0)</f>
        <v>400</v>
      </c>
      <c r="EA287" s="2250">
        <f>VLOOKUP(EA286,EA269:FA279,27,0)</f>
        <v>400</v>
      </c>
      <c r="EB287" s="2250">
        <f>VLOOKUP(EB286,EB269:FA279,26,0)</f>
        <v>400</v>
      </c>
      <c r="EC287" s="2250">
        <f>VLOOKUP(EC286,EC269:FA279,25,0)</f>
        <v>400</v>
      </c>
      <c r="ED287" s="2250">
        <f>VLOOKUP(ED286,ED269:FA279,24,0)</f>
        <v>400</v>
      </c>
      <c r="EE287" s="2250">
        <f>VLOOKUP(EE286,EE269:FA279,23,0)</f>
        <v>400</v>
      </c>
      <c r="EF287" s="2250">
        <f>VLOOKUP(EF286,EF269:FA279,22,0)</f>
        <v>400</v>
      </c>
      <c r="EG287" s="2250">
        <f>VLOOKUP(EG286,EG269:FA279,21,0)</f>
        <v>400</v>
      </c>
      <c r="EH287" s="2250">
        <f>VLOOKUP(EH286,EH269:FA279,20,0)</f>
        <v>400</v>
      </c>
      <c r="EI287" s="2250">
        <f>VLOOKUP(EI286,EI269:FA279,19,0)</f>
        <v>400</v>
      </c>
      <c r="EJ287" s="2250">
        <f>VLOOKUP(EJ286,EJ269:FA279,18,0)</f>
        <v>400</v>
      </c>
      <c r="EK287" s="2250">
        <f>VLOOKUP(EK286,EK269:FA279,17,0)</f>
        <v>400</v>
      </c>
      <c r="EL287" s="2250">
        <f>VLOOKUP(EL286,EL269:FA279,16,0)</f>
        <v>400</v>
      </c>
      <c r="EM287" s="2250">
        <f>VLOOKUP(EM286,EM269:FA279,15,0)</f>
        <v>400</v>
      </c>
      <c r="EN287" s="2250">
        <f>VLOOKUP(EN286,EN269:FA279,14,0)</f>
        <v>400</v>
      </c>
      <c r="EO287" s="2250">
        <f>VLOOKUP(EO286,EO269:FA279,13,0)</f>
        <v>400</v>
      </c>
      <c r="EP287" s="2250">
        <f>VLOOKUP(EP286,EP269:FA279,12,0)</f>
        <v>400</v>
      </c>
      <c r="EQ287" s="2250">
        <f>VLOOKUP(EQ286,EQ269:FA279,11,0)</f>
        <v>400</v>
      </c>
      <c r="ER287" s="2250">
        <f>VLOOKUP(ER286,ER269:FA279,10,0)</f>
        <v>400</v>
      </c>
      <c r="ES287" s="2250">
        <f>VLOOKUP(ES286,ES269:FA279,9,0)</f>
        <v>400</v>
      </c>
      <c r="ET287" s="2250">
        <f>VLOOKUP(ET286,ET269:FA279,8,0)</f>
        <v>400</v>
      </c>
      <c r="EU287" s="2250">
        <f>VLOOKUP(EU286,EU269:FA279,7,0)</f>
        <v>400</v>
      </c>
      <c r="EV287" s="2250">
        <f>VLOOKUP(EV286,EV269:FA279,6,0)</f>
        <v>400</v>
      </c>
      <c r="EW287" s="2250">
        <f>VLOOKUP(EW286,EW269:FA279,5,0)</f>
        <v>400</v>
      </c>
      <c r="EX287" s="2250">
        <f>VLOOKUP(EX286,EX269:FA279,4,0)</f>
        <v>400</v>
      </c>
      <c r="EY287" s="2250">
        <f>VLOOKUP(EY286,EY269:FA279,3,0)</f>
        <v>400</v>
      </c>
      <c r="EZ287" s="2250">
        <f>VLOOKUP(EZ286,EZ269:FA279,2,0)</f>
        <v>400</v>
      </c>
      <c r="FA287" s="2275"/>
      <c r="FB287" s="2275"/>
      <c r="FC287" s="2275"/>
      <c r="FD287" s="2275"/>
      <c r="FE287" s="2275"/>
      <c r="FF287" s="2275"/>
      <c r="FG287" s="2275"/>
      <c r="FH287" s="2275"/>
      <c r="FI287" s="2275"/>
      <c r="FJ287" s="2275"/>
      <c r="FK287" s="2275"/>
      <c r="FL287" s="2250"/>
      <c r="FM287" s="2250"/>
      <c r="FN287" s="2250"/>
      <c r="FO287" s="2250"/>
      <c r="FP287" s="2250"/>
      <c r="FQ287" s="2250"/>
      <c r="FR287" s="2250"/>
      <c r="FS287" s="2250"/>
      <c r="FT287" s="2250"/>
      <c r="FU287" s="2250"/>
      <c r="FV287" s="2250"/>
      <c r="FW287" s="2250"/>
      <c r="FX287" s="2250"/>
      <c r="FY287" s="2250"/>
      <c r="FZ287" s="2250"/>
      <c r="GA287" s="2250"/>
      <c r="GB287" s="2276"/>
      <c r="GC287" s="2276"/>
      <c r="GD287" s="2250"/>
      <c r="GE287" s="2275"/>
      <c r="GF287" s="2250"/>
      <c r="GG287" s="2250" t="str">
        <f>IF(GG285=HL283,IF(GG286=HM283,"Right","Wrong"))</f>
        <v>Right</v>
      </c>
      <c r="GH287" s="2250">
        <f>VLOOKUP(GH286,GH269:HI279,28,0)</f>
        <v>400</v>
      </c>
      <c r="GI287" s="2250">
        <f>VLOOKUP(GI286,GI269:HI279,27,0)</f>
        <v>400</v>
      </c>
      <c r="GJ287" s="2250">
        <f>VLOOKUP(GJ286,GJ269:HI279,26,0)</f>
        <v>400</v>
      </c>
      <c r="GK287" s="2250">
        <f>VLOOKUP(GK286,GK269:HI279,25,0)</f>
        <v>400</v>
      </c>
      <c r="GL287" s="2250">
        <f>VLOOKUP(GL286,GL269:HI279,24,0)</f>
        <v>400</v>
      </c>
      <c r="GM287" s="2250">
        <f>VLOOKUP(GM286,GM269:HI279,23,0)</f>
        <v>400</v>
      </c>
      <c r="GN287" s="2250">
        <f>VLOOKUP(GN286,GN269:HI279,22,0)</f>
        <v>400</v>
      </c>
      <c r="GO287" s="2250">
        <f>VLOOKUP(GO286,GO269:HI279,21,0)</f>
        <v>400</v>
      </c>
      <c r="GP287" s="2250">
        <f>VLOOKUP(GP286,GP269:HI279,20,0)</f>
        <v>400</v>
      </c>
      <c r="GQ287" s="2250">
        <f>VLOOKUP(GQ286,GQ269:HI279,19,0)</f>
        <v>400</v>
      </c>
      <c r="GR287" s="2250">
        <f>VLOOKUP(GR286,GR269:HI279,18,0)</f>
        <v>400</v>
      </c>
      <c r="GS287" s="2250">
        <f>VLOOKUP(GS286,GS269:HI279,17,0)</f>
        <v>400</v>
      </c>
      <c r="GT287" s="2250">
        <f>VLOOKUP(GT286,GT269:HI279,16,0)</f>
        <v>400</v>
      </c>
      <c r="GU287" s="2250">
        <f>VLOOKUP(GU286,GU269:HI279,15,0)</f>
        <v>400</v>
      </c>
      <c r="GV287" s="2250">
        <f>VLOOKUP(GV286,GV269:HI279,14,0)</f>
        <v>400</v>
      </c>
      <c r="GW287" s="2250">
        <f>VLOOKUP(GW286,GW269:HI279,13,0)</f>
        <v>400</v>
      </c>
      <c r="GX287" s="2250">
        <f>VLOOKUP(GX286,GX269:HI279,12,0)</f>
        <v>400</v>
      </c>
      <c r="GY287" s="2250">
        <f>VLOOKUP(GY286,GY269:HI279,11,0)</f>
        <v>400</v>
      </c>
      <c r="GZ287" s="2250">
        <f>VLOOKUP(GZ286,GZ269:HI279,10,0)</f>
        <v>400</v>
      </c>
      <c r="HA287" s="2250">
        <f>VLOOKUP(HA286,HA269:HI279,9,0)</f>
        <v>400</v>
      </c>
      <c r="HB287" s="2250">
        <f>VLOOKUP(HB286,HB269:HI279,8,0)</f>
        <v>400</v>
      </c>
      <c r="HC287" s="2250">
        <f>VLOOKUP(HC286,HC269:HI279,7,0)</f>
        <v>400</v>
      </c>
      <c r="HD287" s="2250">
        <f>VLOOKUP(HD286,HD269:HI279,6,0)</f>
        <v>400</v>
      </c>
      <c r="HE287" s="2250">
        <f>VLOOKUP(HE286,HE269:HI279,5,0)</f>
        <v>400</v>
      </c>
      <c r="HF287" s="2250">
        <f>VLOOKUP(HF286,HF269:HI279,4,0)</f>
        <v>400</v>
      </c>
      <c r="HG287" s="2250">
        <f>VLOOKUP(HG286,HG269:HI279,3,0)</f>
        <v>400</v>
      </c>
      <c r="HH287" s="2250">
        <f>VLOOKUP(HH286,HH269:HI279,2,0)</f>
        <v>400</v>
      </c>
      <c r="HI287" s="2275"/>
      <c r="HJ287" s="2275"/>
      <c r="HK287" s="2275"/>
      <c r="HL287" s="2275"/>
      <c r="HM287" s="2275"/>
      <c r="HN287" s="2275"/>
      <c r="HO287" s="2275"/>
      <c r="HP287" s="2275"/>
      <c r="HQ287" s="2275"/>
      <c r="HR287" s="2275"/>
      <c r="HS287" s="2275"/>
      <c r="HT287" s="2250"/>
      <c r="HU287" s="2250"/>
      <c r="HV287" s="2250"/>
      <c r="HW287" s="2250"/>
      <c r="HX287" s="2250"/>
      <c r="HY287" s="2250"/>
      <c r="HZ287" s="2250"/>
      <c r="IA287" s="2250"/>
      <c r="IB287" s="2250"/>
      <c r="IC287" s="2250"/>
      <c r="ID287" s="2250"/>
      <c r="IE287" s="2250"/>
      <c r="IF287" s="2250"/>
      <c r="IG287" s="2250"/>
      <c r="IH287" s="2250"/>
      <c r="II287" s="2250"/>
      <c r="IJ287" s="2250"/>
      <c r="IK287" s="2250"/>
      <c r="IL287" s="2250"/>
      <c r="IN287" s="277"/>
      <c r="IO287" s="277"/>
    </row>
    <row r="288" spans="1:249" ht="21.95" customHeight="1">
      <c r="A288" s="2275"/>
      <c r="B288" s="2275"/>
      <c r="C288" s="2275"/>
      <c r="D288" s="2275"/>
      <c r="E288" s="2275"/>
      <c r="F288" s="2275"/>
      <c r="G288" s="2275"/>
      <c r="H288" s="2275"/>
      <c r="I288" s="2275"/>
      <c r="J288" s="2275"/>
      <c r="K288" s="2275"/>
      <c r="L288" s="2275"/>
      <c r="M288" s="2275"/>
      <c r="N288" s="2275"/>
      <c r="O288" s="2275"/>
      <c r="P288" s="2275"/>
      <c r="Q288" s="2275"/>
      <c r="R288" s="2275"/>
      <c r="S288" s="2275"/>
      <c r="T288" s="2275"/>
      <c r="U288" s="2275"/>
      <c r="V288" s="2275"/>
      <c r="W288" s="2275"/>
      <c r="X288" s="2275"/>
      <c r="Y288" s="2275"/>
      <c r="Z288" s="2275"/>
      <c r="AA288" s="2275"/>
      <c r="AB288" s="2275"/>
      <c r="AC288" s="2275"/>
      <c r="AD288" s="2275"/>
      <c r="AE288" s="2275"/>
      <c r="AF288" s="2275" t="s">
        <v>655</v>
      </c>
      <c r="AG288" s="2275">
        <f>AG222</f>
        <v>68.3</v>
      </c>
      <c r="AH288" s="2275"/>
      <c r="AI288" s="2275"/>
      <c r="AJ288" s="2275"/>
      <c r="AK288" s="2275"/>
      <c r="AL288" s="2275"/>
      <c r="AM288" s="2275"/>
      <c r="AN288" s="2275"/>
      <c r="AO288" s="2275"/>
      <c r="AP288" s="2250"/>
      <c r="AQ288" s="2250"/>
      <c r="AR288" s="2250"/>
      <c r="AS288" s="2250"/>
      <c r="AT288" s="2250"/>
      <c r="AU288" s="2250"/>
      <c r="AV288" s="2250"/>
      <c r="AW288" s="2250"/>
      <c r="AX288" s="2250"/>
      <c r="AY288" s="2250"/>
      <c r="AZ288" s="2250"/>
      <c r="BA288" s="2250"/>
      <c r="BB288" s="2250"/>
      <c r="BC288" s="2250"/>
      <c r="BD288" s="2250"/>
      <c r="BE288" s="2250"/>
      <c r="BF288" s="2276"/>
      <c r="BG288" s="2276"/>
      <c r="BH288" s="2250"/>
      <c r="BI288" s="2275"/>
      <c r="BJ288" s="2275"/>
      <c r="BK288" s="2275"/>
      <c r="BL288" s="2275"/>
      <c r="BM288" s="2275"/>
      <c r="BN288" s="2275"/>
      <c r="BO288" s="2275"/>
      <c r="BP288" s="2275"/>
      <c r="BQ288" s="2275"/>
      <c r="BR288" s="2275"/>
      <c r="BS288" s="2275"/>
      <c r="BT288" s="2275"/>
      <c r="BU288" s="2275"/>
      <c r="BV288" s="2275"/>
      <c r="BW288" s="2275"/>
      <c r="BX288" s="2275"/>
      <c r="BY288" s="2275"/>
      <c r="BZ288" s="2275"/>
      <c r="CA288" s="2275"/>
      <c r="CB288" s="2275"/>
      <c r="CC288" s="2275"/>
      <c r="CD288" s="2275"/>
      <c r="CE288" s="2275"/>
      <c r="CF288" s="2275"/>
      <c r="CG288" s="2275"/>
      <c r="CH288" s="2275"/>
      <c r="CI288" s="2275"/>
      <c r="CJ288" s="2275"/>
      <c r="CK288" s="2275"/>
      <c r="CL288" s="2275"/>
      <c r="CM288" s="2275"/>
      <c r="CN288" s="2275" t="s">
        <v>655</v>
      </c>
      <c r="CO288" s="2275">
        <f>CO222</f>
        <v>73.7</v>
      </c>
      <c r="CP288" s="2275"/>
      <c r="CQ288" s="2275"/>
      <c r="CR288" s="2275"/>
      <c r="CS288" s="2275"/>
      <c r="CT288" s="2275"/>
      <c r="CU288" s="2275"/>
      <c r="CV288" s="2275"/>
      <c r="CW288" s="2275"/>
      <c r="CX288" s="2250"/>
      <c r="CY288" s="2250"/>
      <c r="CZ288" s="2250"/>
      <c r="DA288" s="2250"/>
      <c r="DB288" s="2250"/>
      <c r="DC288" s="2250"/>
      <c r="DD288" s="2250"/>
      <c r="DE288" s="2250"/>
      <c r="DF288" s="2250"/>
      <c r="DG288" s="2250"/>
      <c r="DH288" s="2250"/>
      <c r="DI288" s="2250"/>
      <c r="DJ288" s="2250"/>
      <c r="DK288" s="2250"/>
      <c r="DL288" s="2250"/>
      <c r="DM288" s="2250"/>
      <c r="DN288" s="2250"/>
      <c r="DO288" s="2250"/>
      <c r="DP288" s="2250"/>
      <c r="DQ288" s="2277"/>
      <c r="DR288" s="2277"/>
      <c r="DS288" s="277"/>
      <c r="DW288" s="2275"/>
      <c r="DX288" s="2275"/>
      <c r="DY288" s="2275"/>
      <c r="DZ288" s="2275"/>
      <c r="EA288" s="2275"/>
      <c r="EB288" s="2275"/>
      <c r="EC288" s="2275"/>
      <c r="ED288" s="2275"/>
      <c r="EE288" s="2275"/>
      <c r="EF288" s="2275"/>
      <c r="EG288" s="2275"/>
      <c r="EH288" s="2275"/>
      <c r="EI288" s="2275"/>
      <c r="EJ288" s="2275"/>
      <c r="EK288" s="2275"/>
      <c r="EL288" s="2275"/>
      <c r="EM288" s="2275"/>
      <c r="EN288" s="2275"/>
      <c r="EO288" s="2275"/>
      <c r="EP288" s="2275"/>
      <c r="EQ288" s="2275"/>
      <c r="ER288" s="2275"/>
      <c r="ES288" s="2275"/>
      <c r="ET288" s="2275"/>
      <c r="EU288" s="2275"/>
      <c r="EV288" s="2275"/>
      <c r="EW288" s="2275"/>
      <c r="EX288" s="2275"/>
      <c r="EY288" s="2275"/>
      <c r="EZ288" s="2275"/>
      <c r="FA288" s="2275"/>
      <c r="FB288" s="2275" t="s">
        <v>655</v>
      </c>
      <c r="FC288" s="2275">
        <f>FC222</f>
        <v>43.9</v>
      </c>
      <c r="FD288" s="2275"/>
      <c r="FE288" s="2275"/>
      <c r="FF288" s="2275"/>
      <c r="FG288" s="2275"/>
      <c r="FH288" s="2275"/>
      <c r="FI288" s="2275"/>
      <c r="FJ288" s="2275"/>
      <c r="FK288" s="2275"/>
      <c r="FL288" s="2250"/>
      <c r="FM288" s="2250"/>
      <c r="FN288" s="2250"/>
      <c r="FO288" s="2250"/>
      <c r="FP288" s="2250"/>
      <c r="FQ288" s="2250"/>
      <c r="FR288" s="2250"/>
      <c r="FS288" s="2250"/>
      <c r="FT288" s="2250"/>
      <c r="FU288" s="2250"/>
      <c r="FV288" s="2250"/>
      <c r="FW288" s="2250"/>
      <c r="FX288" s="2250"/>
      <c r="FY288" s="2250"/>
      <c r="FZ288" s="2250"/>
      <c r="GA288" s="2250"/>
      <c r="GB288" s="2276"/>
      <c r="GC288" s="2276"/>
      <c r="GD288" s="2250"/>
      <c r="GE288" s="2275"/>
      <c r="GF288" s="2275"/>
      <c r="GG288" s="2275"/>
      <c r="GH288" s="2275"/>
      <c r="GI288" s="2275"/>
      <c r="GJ288" s="2275"/>
      <c r="GK288" s="2275"/>
      <c r="GL288" s="2275"/>
      <c r="GM288" s="2275"/>
      <c r="GN288" s="2275"/>
      <c r="GO288" s="2275"/>
      <c r="GP288" s="2275"/>
      <c r="GQ288" s="2275"/>
      <c r="GR288" s="2275"/>
      <c r="GS288" s="2275"/>
      <c r="GT288" s="2275"/>
      <c r="GU288" s="2275"/>
      <c r="GV288" s="2275"/>
      <c r="GW288" s="2275"/>
      <c r="GX288" s="2275"/>
      <c r="GY288" s="2275"/>
      <c r="GZ288" s="2275"/>
      <c r="HA288" s="2275"/>
      <c r="HB288" s="2275"/>
      <c r="HC288" s="2275"/>
      <c r="HD288" s="2275"/>
      <c r="HE288" s="2275"/>
      <c r="HF288" s="2275"/>
      <c r="HG288" s="2275"/>
      <c r="HH288" s="2275"/>
      <c r="HI288" s="2275"/>
      <c r="HJ288" s="2275" t="s">
        <v>655</v>
      </c>
      <c r="HK288" s="2275">
        <f>HK222</f>
        <v>48.8</v>
      </c>
      <c r="HL288" s="2275"/>
      <c r="HM288" s="2275"/>
      <c r="HN288" s="2275"/>
      <c r="HO288" s="2275"/>
      <c r="HP288" s="2275"/>
      <c r="HQ288" s="2275"/>
      <c r="HR288" s="2275"/>
      <c r="HS288" s="2275"/>
      <c r="HT288" s="2250"/>
      <c r="HU288" s="2250"/>
      <c r="HV288" s="2250"/>
      <c r="HW288" s="2250"/>
      <c r="HX288" s="2250"/>
      <c r="HY288" s="2250"/>
      <c r="HZ288" s="2250"/>
      <c r="IA288" s="2250"/>
      <c r="IB288" s="2250"/>
      <c r="IC288" s="2250"/>
      <c r="ID288" s="2250"/>
      <c r="IE288" s="2250"/>
      <c r="IF288" s="2250"/>
      <c r="IG288" s="2250"/>
      <c r="IH288" s="2250"/>
      <c r="II288" s="2250"/>
      <c r="IJ288" s="2250"/>
      <c r="IK288" s="2250"/>
      <c r="IL288" s="2250"/>
      <c r="IN288" s="277"/>
      <c r="IO288" s="277"/>
    </row>
    <row r="289" spans="1:249" ht="21.95" customHeight="1">
      <c r="A289" s="2275"/>
      <c r="B289" s="2275"/>
      <c r="C289" s="2333" t="s">
        <v>736</v>
      </c>
      <c r="D289" s="2333">
        <v>223.8</v>
      </c>
      <c r="E289" s="2333">
        <v>206.43</v>
      </c>
      <c r="F289" s="2333">
        <v>190.4</v>
      </c>
      <c r="G289" s="2333">
        <v>177.81</v>
      </c>
      <c r="H289" s="2333">
        <v>165.9</v>
      </c>
      <c r="I289" s="2333">
        <v>162.68</v>
      </c>
      <c r="J289" s="2333">
        <v>151.30000000000001</v>
      </c>
      <c r="K289" s="2333">
        <v>140.1</v>
      </c>
      <c r="L289" s="2333">
        <v>129.80000000000001</v>
      </c>
      <c r="M289" s="2333">
        <v>120.7</v>
      </c>
      <c r="N289" s="2333">
        <v>107.9</v>
      </c>
      <c r="O289" s="2333">
        <v>97.1</v>
      </c>
      <c r="P289" s="2333">
        <v>92.9</v>
      </c>
      <c r="Q289" s="2333">
        <v>88.2</v>
      </c>
      <c r="R289" s="2333">
        <v>83.3</v>
      </c>
      <c r="S289" s="2333">
        <v>78.2</v>
      </c>
      <c r="T289" s="2333">
        <v>73.7</v>
      </c>
      <c r="U289" s="2333">
        <v>68.3</v>
      </c>
      <c r="V289" s="2333">
        <v>63.4</v>
      </c>
      <c r="W289" s="2333">
        <v>58.1</v>
      </c>
      <c r="X289" s="2333">
        <v>53.7</v>
      </c>
      <c r="Y289" s="2333">
        <v>48.8</v>
      </c>
      <c r="Z289" s="2333">
        <v>43.9</v>
      </c>
      <c r="AA289" s="2333">
        <v>38.799999999999997</v>
      </c>
      <c r="AB289" s="2333">
        <v>34.200000000000003</v>
      </c>
      <c r="AC289" s="2333">
        <v>29.3</v>
      </c>
      <c r="AD289" s="2333">
        <v>24.5</v>
      </c>
      <c r="AE289" s="2333" t="s">
        <v>736</v>
      </c>
      <c r="AF289" s="2275" t="s">
        <v>738</v>
      </c>
      <c r="AG289" s="2275">
        <f>AG223</f>
        <v>0.75631178540277322</v>
      </c>
      <c r="AH289" s="2275"/>
      <c r="AI289" s="2275"/>
      <c r="AJ289" s="2275"/>
      <c r="AK289" s="2275"/>
      <c r="AL289" s="2275"/>
      <c r="AM289" s="2275"/>
      <c r="AN289" s="2275"/>
      <c r="AO289" s="2275"/>
      <c r="AP289" s="2250"/>
      <c r="AQ289" s="2250"/>
      <c r="AR289" s="2250"/>
      <c r="AS289" s="2250"/>
      <c r="AT289" s="2250"/>
      <c r="AU289" s="2250"/>
      <c r="AV289" s="2250"/>
      <c r="AW289" s="2250"/>
      <c r="AX289" s="2250"/>
      <c r="AY289" s="2250"/>
      <c r="AZ289" s="2250"/>
      <c r="BA289" s="2250"/>
      <c r="BB289" s="2250"/>
      <c r="BC289" s="2250"/>
      <c r="BD289" s="2250"/>
      <c r="BE289" s="2250"/>
      <c r="BF289" s="2276"/>
      <c r="BG289" s="2276"/>
      <c r="BH289" s="2250"/>
      <c r="BI289" s="2275"/>
      <c r="BJ289" s="2275"/>
      <c r="BK289" s="2333" t="s">
        <v>736</v>
      </c>
      <c r="BL289" s="2333">
        <v>223.8</v>
      </c>
      <c r="BM289" s="2333">
        <v>206.43</v>
      </c>
      <c r="BN289" s="2333">
        <v>190.4</v>
      </c>
      <c r="BO289" s="2333">
        <v>177.81</v>
      </c>
      <c r="BP289" s="2333">
        <v>165.9</v>
      </c>
      <c r="BQ289" s="2333">
        <v>162.68</v>
      </c>
      <c r="BR289" s="2333">
        <v>151.30000000000001</v>
      </c>
      <c r="BS289" s="2333">
        <v>140.1</v>
      </c>
      <c r="BT289" s="2333">
        <v>129.80000000000001</v>
      </c>
      <c r="BU289" s="2333">
        <v>120.7</v>
      </c>
      <c r="BV289" s="2333">
        <v>107.9</v>
      </c>
      <c r="BW289" s="2333">
        <v>97.1</v>
      </c>
      <c r="BX289" s="2333">
        <v>92.9</v>
      </c>
      <c r="BY289" s="2333">
        <v>88.2</v>
      </c>
      <c r="BZ289" s="2333">
        <v>83.3</v>
      </c>
      <c r="CA289" s="2333">
        <v>78.2</v>
      </c>
      <c r="CB289" s="2333">
        <v>73.7</v>
      </c>
      <c r="CC289" s="2333">
        <v>68.3</v>
      </c>
      <c r="CD289" s="2333">
        <v>63.4</v>
      </c>
      <c r="CE289" s="2333">
        <v>58.1</v>
      </c>
      <c r="CF289" s="2333">
        <v>53.7</v>
      </c>
      <c r="CG289" s="2333">
        <v>48.8</v>
      </c>
      <c r="CH289" s="2333">
        <v>43.9</v>
      </c>
      <c r="CI289" s="2333">
        <v>38.799999999999997</v>
      </c>
      <c r="CJ289" s="2333">
        <v>34.200000000000003</v>
      </c>
      <c r="CK289" s="2333">
        <v>29.3</v>
      </c>
      <c r="CL289" s="2333">
        <v>24.5</v>
      </c>
      <c r="CM289" s="2333" t="s">
        <v>736</v>
      </c>
      <c r="CN289" s="2275" t="s">
        <v>738</v>
      </c>
      <c r="CO289" s="2275">
        <f>CO223</f>
        <v>0.75631178540277322</v>
      </c>
      <c r="CP289" s="2275"/>
      <c r="CQ289" s="2275"/>
      <c r="CR289" s="2275"/>
      <c r="CS289" s="2275"/>
      <c r="CT289" s="2275"/>
      <c r="CU289" s="2275"/>
      <c r="CV289" s="2275"/>
      <c r="CW289" s="2275"/>
      <c r="CX289" s="2250"/>
      <c r="CY289" s="2250"/>
      <c r="CZ289" s="2250"/>
      <c r="DA289" s="2250"/>
      <c r="DB289" s="2250"/>
      <c r="DC289" s="2250"/>
      <c r="DD289" s="2250"/>
      <c r="DE289" s="2250"/>
      <c r="DF289" s="2250"/>
      <c r="DG289" s="2250"/>
      <c r="DH289" s="2250"/>
      <c r="DI289" s="2250"/>
      <c r="DJ289" s="2250"/>
      <c r="DK289" s="2250"/>
      <c r="DL289" s="2250"/>
      <c r="DM289" s="2250"/>
      <c r="DN289" s="2250"/>
      <c r="DO289" s="2250"/>
      <c r="DP289" s="2250"/>
      <c r="DQ289" s="2277"/>
      <c r="DR289" s="2277"/>
      <c r="DS289" s="277"/>
      <c r="DW289" s="2275"/>
      <c r="DX289" s="2275"/>
      <c r="DY289" s="2333" t="s">
        <v>736</v>
      </c>
      <c r="DZ289" s="2333">
        <v>223.8</v>
      </c>
      <c r="EA289" s="2333">
        <v>206.43</v>
      </c>
      <c r="EB289" s="2333">
        <v>190.4</v>
      </c>
      <c r="EC289" s="2333">
        <v>177.81</v>
      </c>
      <c r="ED289" s="2333">
        <v>165.9</v>
      </c>
      <c r="EE289" s="2333">
        <v>162.68</v>
      </c>
      <c r="EF289" s="2333">
        <v>151.30000000000001</v>
      </c>
      <c r="EG289" s="2333">
        <v>140.1</v>
      </c>
      <c r="EH289" s="2333">
        <v>129.80000000000001</v>
      </c>
      <c r="EI289" s="2333">
        <v>120.7</v>
      </c>
      <c r="EJ289" s="2333">
        <v>107.9</v>
      </c>
      <c r="EK289" s="2333">
        <v>97.1</v>
      </c>
      <c r="EL289" s="2333">
        <v>92.9</v>
      </c>
      <c r="EM289" s="2333">
        <v>88.2</v>
      </c>
      <c r="EN289" s="2333">
        <v>83.3</v>
      </c>
      <c r="EO289" s="2333">
        <v>78.2</v>
      </c>
      <c r="EP289" s="2333">
        <v>73.7</v>
      </c>
      <c r="EQ289" s="2333">
        <v>68.3</v>
      </c>
      <c r="ER289" s="2333">
        <v>63.4</v>
      </c>
      <c r="ES289" s="2333">
        <v>58.1</v>
      </c>
      <c r="ET289" s="2333">
        <v>53.7</v>
      </c>
      <c r="EU289" s="2333">
        <v>48.8</v>
      </c>
      <c r="EV289" s="2333">
        <v>43.9</v>
      </c>
      <c r="EW289" s="2333">
        <v>38.799999999999997</v>
      </c>
      <c r="EX289" s="2333">
        <v>34.200000000000003</v>
      </c>
      <c r="EY289" s="2333">
        <v>29.3</v>
      </c>
      <c r="EZ289" s="2333">
        <v>24.5</v>
      </c>
      <c r="FA289" s="2333" t="s">
        <v>736</v>
      </c>
      <c r="FB289" s="2275" t="s">
        <v>738</v>
      </c>
      <c r="FC289" s="2275">
        <f>FC223</f>
        <v>1.3354563802212776</v>
      </c>
      <c r="FD289" s="2275"/>
      <c r="FE289" s="2275"/>
      <c r="FF289" s="2275"/>
      <c r="FG289" s="2275"/>
      <c r="FH289" s="2275"/>
      <c r="FI289" s="2275"/>
      <c r="FJ289" s="2275"/>
      <c r="FK289" s="2275"/>
      <c r="FL289" s="2250"/>
      <c r="FM289" s="2250"/>
      <c r="FN289" s="2250"/>
      <c r="FO289" s="2250"/>
      <c r="FP289" s="2250"/>
      <c r="FQ289" s="2250"/>
      <c r="FR289" s="2250"/>
      <c r="FS289" s="2250"/>
      <c r="FT289" s="2250"/>
      <c r="FU289" s="2250"/>
      <c r="FV289" s="2250"/>
      <c r="FW289" s="2250"/>
      <c r="FX289" s="2250"/>
      <c r="FY289" s="2250"/>
      <c r="FZ289" s="2250"/>
      <c r="GA289" s="2250"/>
      <c r="GB289" s="2276"/>
      <c r="GC289" s="2276"/>
      <c r="GD289" s="2250"/>
      <c r="GE289" s="2275"/>
      <c r="GF289" s="2275"/>
      <c r="GG289" s="2333" t="s">
        <v>736</v>
      </c>
      <c r="GH289" s="2333">
        <v>223.8</v>
      </c>
      <c r="GI289" s="2333">
        <v>206.43</v>
      </c>
      <c r="GJ289" s="2333">
        <v>190.4</v>
      </c>
      <c r="GK289" s="2333">
        <v>177.81</v>
      </c>
      <c r="GL289" s="2333">
        <v>165.9</v>
      </c>
      <c r="GM289" s="2333">
        <v>162.68</v>
      </c>
      <c r="GN289" s="2333">
        <v>151.30000000000001</v>
      </c>
      <c r="GO289" s="2333">
        <v>140.1</v>
      </c>
      <c r="GP289" s="2333">
        <v>129.80000000000001</v>
      </c>
      <c r="GQ289" s="2333">
        <v>120.7</v>
      </c>
      <c r="GR289" s="2333">
        <v>107.9</v>
      </c>
      <c r="GS289" s="2333">
        <v>97.1</v>
      </c>
      <c r="GT289" s="2333">
        <v>92.9</v>
      </c>
      <c r="GU289" s="2333">
        <v>88.2</v>
      </c>
      <c r="GV289" s="2333">
        <v>83.3</v>
      </c>
      <c r="GW289" s="2333">
        <v>78.2</v>
      </c>
      <c r="GX289" s="2333">
        <v>73.7</v>
      </c>
      <c r="GY289" s="2333">
        <v>68.3</v>
      </c>
      <c r="GZ289" s="2333">
        <v>63.4</v>
      </c>
      <c r="HA289" s="2333">
        <v>58.1</v>
      </c>
      <c r="HB289" s="2333">
        <v>53.7</v>
      </c>
      <c r="HC289" s="2333">
        <v>48.8</v>
      </c>
      <c r="HD289" s="2333">
        <v>43.9</v>
      </c>
      <c r="HE289" s="2333">
        <v>38.799999999999997</v>
      </c>
      <c r="HF289" s="2333">
        <v>34.200000000000003</v>
      </c>
      <c r="HG289" s="2333">
        <v>29.3</v>
      </c>
      <c r="HH289" s="2333">
        <v>24.5</v>
      </c>
      <c r="HI289" s="2333" t="s">
        <v>736</v>
      </c>
      <c r="HJ289" s="2275" t="s">
        <v>738</v>
      </c>
      <c r="HK289" s="2275">
        <f>HK223</f>
        <v>1.3354563802212776</v>
      </c>
      <c r="HL289" s="2275"/>
      <c r="HM289" s="2275"/>
      <c r="HN289" s="2275"/>
      <c r="HO289" s="2275"/>
      <c r="HP289" s="2275"/>
      <c r="HQ289" s="2275"/>
      <c r="HR289" s="2275"/>
      <c r="HS289" s="2275"/>
      <c r="HT289" s="2250"/>
      <c r="HU289" s="2250"/>
      <c r="HV289" s="2250"/>
      <c r="HW289" s="2250"/>
      <c r="HX289" s="2250"/>
      <c r="HY289" s="2250"/>
      <c r="HZ289" s="2250"/>
      <c r="IA289" s="2250"/>
      <c r="IB289" s="2250"/>
      <c r="IC289" s="2250"/>
      <c r="ID289" s="2250"/>
      <c r="IE289" s="2250"/>
      <c r="IF289" s="2250"/>
      <c r="IG289" s="2250"/>
      <c r="IH289" s="2250"/>
      <c r="II289" s="2250"/>
      <c r="IJ289" s="2250"/>
      <c r="IK289" s="2250"/>
      <c r="IL289" s="2250"/>
      <c r="IN289" s="277"/>
      <c r="IO289" s="277"/>
    </row>
    <row r="290" spans="1:249" ht="21.95" customHeight="1">
      <c r="A290" s="2275"/>
      <c r="B290" s="2275"/>
      <c r="C290" s="2333"/>
      <c r="D290" s="2344">
        <v>0</v>
      </c>
      <c r="E290" s="2344">
        <v>0</v>
      </c>
      <c r="F290" s="2344">
        <v>0</v>
      </c>
      <c r="G290" s="2344">
        <v>0</v>
      </c>
      <c r="H290" s="2344">
        <v>0</v>
      </c>
      <c r="I290" s="2344">
        <v>0</v>
      </c>
      <c r="J290" s="2344">
        <v>0</v>
      </c>
      <c r="K290" s="2344">
        <v>0</v>
      </c>
      <c r="L290" s="2344">
        <v>0</v>
      </c>
      <c r="M290" s="2344">
        <v>0</v>
      </c>
      <c r="N290" s="2344">
        <v>0</v>
      </c>
      <c r="O290" s="2344">
        <v>0</v>
      </c>
      <c r="P290" s="2344">
        <v>0</v>
      </c>
      <c r="Q290" s="2344">
        <v>0</v>
      </c>
      <c r="R290" s="2344">
        <v>0</v>
      </c>
      <c r="S290" s="2344">
        <v>0</v>
      </c>
      <c r="T290" s="2344">
        <v>0</v>
      </c>
      <c r="U290" s="2344">
        <v>0</v>
      </c>
      <c r="V290" s="2344">
        <v>0</v>
      </c>
      <c r="W290" s="2344">
        <v>0</v>
      </c>
      <c r="X290" s="2344">
        <v>0</v>
      </c>
      <c r="Y290" s="2344">
        <v>0</v>
      </c>
      <c r="Z290" s="2344">
        <v>0</v>
      </c>
      <c r="AA290" s="2344">
        <v>0</v>
      </c>
      <c r="AB290" s="2344">
        <v>0</v>
      </c>
      <c r="AC290" s="2344">
        <v>0</v>
      </c>
      <c r="AD290" s="2344">
        <v>0</v>
      </c>
      <c r="AE290" s="2333"/>
      <c r="AF290" s="2275" t="s">
        <v>682</v>
      </c>
      <c r="AG290" s="2275">
        <f>HLOOKUP(AG288,D289:AD301,1,0)</f>
        <v>68.3</v>
      </c>
      <c r="AH290" s="2275" t="s">
        <v>706</v>
      </c>
      <c r="AI290" s="2275" t="s">
        <v>682</v>
      </c>
      <c r="AJ290" s="2275"/>
      <c r="AK290" s="2275"/>
      <c r="AL290" s="2275"/>
      <c r="AM290" s="2275"/>
      <c r="AN290" s="2275"/>
      <c r="AO290" s="2275"/>
      <c r="AP290" s="2250"/>
      <c r="AQ290" s="2250"/>
      <c r="AR290" s="2250"/>
      <c r="AS290" s="2250"/>
      <c r="AT290" s="2250"/>
      <c r="AU290" s="2250"/>
      <c r="AV290" s="2250"/>
      <c r="AW290" s="2250"/>
      <c r="AX290" s="2250"/>
      <c r="AY290" s="2250"/>
      <c r="AZ290" s="2250"/>
      <c r="BA290" s="2250"/>
      <c r="BB290" s="2250"/>
      <c r="BC290" s="2250"/>
      <c r="BD290" s="2250"/>
      <c r="BE290" s="2250"/>
      <c r="BF290" s="2276"/>
      <c r="BG290" s="2276"/>
      <c r="BH290" s="2250"/>
      <c r="BI290" s="2275"/>
      <c r="BJ290" s="2275"/>
      <c r="BK290" s="2333"/>
      <c r="BL290" s="2344">
        <v>0</v>
      </c>
      <c r="BM290" s="2344">
        <v>0</v>
      </c>
      <c r="BN290" s="2344">
        <v>0</v>
      </c>
      <c r="BO290" s="2344">
        <v>0</v>
      </c>
      <c r="BP290" s="2344">
        <v>0</v>
      </c>
      <c r="BQ290" s="2344">
        <v>0</v>
      </c>
      <c r="BR290" s="2344">
        <v>0</v>
      </c>
      <c r="BS290" s="2344">
        <v>0</v>
      </c>
      <c r="BT290" s="2344">
        <v>0</v>
      </c>
      <c r="BU290" s="2344">
        <v>0</v>
      </c>
      <c r="BV290" s="2344">
        <v>0</v>
      </c>
      <c r="BW290" s="2344">
        <v>0</v>
      </c>
      <c r="BX290" s="2344">
        <v>0</v>
      </c>
      <c r="BY290" s="2344">
        <v>0</v>
      </c>
      <c r="BZ290" s="2344">
        <v>0</v>
      </c>
      <c r="CA290" s="2344">
        <v>0</v>
      </c>
      <c r="CB290" s="2344">
        <v>0</v>
      </c>
      <c r="CC290" s="2344">
        <v>0</v>
      </c>
      <c r="CD290" s="2344">
        <v>0</v>
      </c>
      <c r="CE290" s="2344">
        <v>0</v>
      </c>
      <c r="CF290" s="2344">
        <v>0</v>
      </c>
      <c r="CG290" s="2344">
        <v>0</v>
      </c>
      <c r="CH290" s="2344">
        <v>0</v>
      </c>
      <c r="CI290" s="2344">
        <v>0</v>
      </c>
      <c r="CJ290" s="2344">
        <v>0</v>
      </c>
      <c r="CK290" s="2344">
        <v>0</v>
      </c>
      <c r="CL290" s="2344">
        <v>0</v>
      </c>
      <c r="CM290" s="2333"/>
      <c r="CN290" s="2275" t="s">
        <v>682</v>
      </c>
      <c r="CO290" s="2275">
        <f>HLOOKUP(CO288,BL289:CL301,1,0)</f>
        <v>73.7</v>
      </c>
      <c r="CP290" s="2275" t="s">
        <v>706</v>
      </c>
      <c r="CQ290" s="2275" t="s">
        <v>682</v>
      </c>
      <c r="CR290" s="2275"/>
      <c r="CS290" s="2275"/>
      <c r="CT290" s="2275"/>
      <c r="CU290" s="2275"/>
      <c r="CV290" s="2275"/>
      <c r="CW290" s="2275"/>
      <c r="CX290" s="2250"/>
      <c r="CY290" s="2250"/>
      <c r="CZ290" s="2250"/>
      <c r="DA290" s="2250"/>
      <c r="DB290" s="2250"/>
      <c r="DC290" s="2250"/>
      <c r="DD290" s="2250"/>
      <c r="DE290" s="2250"/>
      <c r="DF290" s="2250"/>
      <c r="DG290" s="2250"/>
      <c r="DH290" s="2250"/>
      <c r="DI290" s="2250"/>
      <c r="DJ290" s="2250"/>
      <c r="DK290" s="2250"/>
      <c r="DL290" s="2250"/>
      <c r="DM290" s="2250"/>
      <c r="DN290" s="2250"/>
      <c r="DO290" s="2250"/>
      <c r="DP290" s="2250"/>
      <c r="DQ290" s="2277"/>
      <c r="DR290" s="2277"/>
      <c r="DS290" s="277"/>
      <c r="DW290" s="2275"/>
      <c r="DX290" s="2275"/>
      <c r="DY290" s="2333"/>
      <c r="DZ290" s="2344">
        <v>0</v>
      </c>
      <c r="EA290" s="2344">
        <v>0</v>
      </c>
      <c r="EB290" s="2344">
        <v>0</v>
      </c>
      <c r="EC290" s="2344">
        <v>0</v>
      </c>
      <c r="ED290" s="2344">
        <v>0</v>
      </c>
      <c r="EE290" s="2344">
        <v>0</v>
      </c>
      <c r="EF290" s="2344">
        <v>0</v>
      </c>
      <c r="EG290" s="2344">
        <v>0</v>
      </c>
      <c r="EH290" s="2344">
        <v>0</v>
      </c>
      <c r="EI290" s="2344">
        <v>0</v>
      </c>
      <c r="EJ290" s="2344">
        <v>0</v>
      </c>
      <c r="EK290" s="2344">
        <v>0</v>
      </c>
      <c r="EL290" s="2344">
        <v>0</v>
      </c>
      <c r="EM290" s="2344">
        <v>0</v>
      </c>
      <c r="EN290" s="2344">
        <v>0</v>
      </c>
      <c r="EO290" s="2344">
        <v>0</v>
      </c>
      <c r="EP290" s="2344">
        <v>0</v>
      </c>
      <c r="EQ290" s="2344">
        <v>0</v>
      </c>
      <c r="ER290" s="2344">
        <v>0</v>
      </c>
      <c r="ES290" s="2344">
        <v>0</v>
      </c>
      <c r="ET290" s="2344">
        <v>0</v>
      </c>
      <c r="EU290" s="2344">
        <v>0</v>
      </c>
      <c r="EV290" s="2344">
        <v>0</v>
      </c>
      <c r="EW290" s="2344">
        <v>0</v>
      </c>
      <c r="EX290" s="2344">
        <v>0</v>
      </c>
      <c r="EY290" s="2344">
        <v>0</v>
      </c>
      <c r="EZ290" s="2344">
        <v>0</v>
      </c>
      <c r="FA290" s="2333"/>
      <c r="FB290" s="2275" t="s">
        <v>682</v>
      </c>
      <c r="FC290" s="2275">
        <f>HLOOKUP(FC288,DZ289:EZ301,1,0)</f>
        <v>43.9</v>
      </c>
      <c r="FD290" s="2275" t="s">
        <v>706</v>
      </c>
      <c r="FE290" s="2275" t="s">
        <v>682</v>
      </c>
      <c r="FF290" s="2275"/>
      <c r="FG290" s="2275"/>
      <c r="FH290" s="2275"/>
      <c r="FI290" s="2275"/>
      <c r="FJ290" s="2275"/>
      <c r="FK290" s="2275"/>
      <c r="FL290" s="2250"/>
      <c r="FM290" s="2250"/>
      <c r="FN290" s="2250"/>
      <c r="FO290" s="2250"/>
      <c r="FP290" s="2250"/>
      <c r="FQ290" s="2250"/>
      <c r="FR290" s="2250"/>
      <c r="FS290" s="2250"/>
      <c r="FT290" s="2250"/>
      <c r="FU290" s="2250"/>
      <c r="FV290" s="2250"/>
      <c r="FW290" s="2250"/>
      <c r="FX290" s="2250"/>
      <c r="FY290" s="2250"/>
      <c r="FZ290" s="2250"/>
      <c r="GA290" s="2250"/>
      <c r="GB290" s="2276"/>
      <c r="GC290" s="2276"/>
      <c r="GD290" s="2250"/>
      <c r="GE290" s="2275"/>
      <c r="GF290" s="2275"/>
      <c r="GG290" s="2333"/>
      <c r="GH290" s="2344">
        <v>0</v>
      </c>
      <c r="GI290" s="2344">
        <v>0</v>
      </c>
      <c r="GJ290" s="2344">
        <v>0</v>
      </c>
      <c r="GK290" s="2344">
        <v>0</v>
      </c>
      <c r="GL290" s="2344">
        <v>0</v>
      </c>
      <c r="GM290" s="2344">
        <v>0</v>
      </c>
      <c r="GN290" s="2344">
        <v>0</v>
      </c>
      <c r="GO290" s="2344">
        <v>0</v>
      </c>
      <c r="GP290" s="2344">
        <v>0</v>
      </c>
      <c r="GQ290" s="2344">
        <v>0</v>
      </c>
      <c r="GR290" s="2344">
        <v>0</v>
      </c>
      <c r="GS290" s="2344">
        <v>0</v>
      </c>
      <c r="GT290" s="2344">
        <v>0</v>
      </c>
      <c r="GU290" s="2344">
        <v>0</v>
      </c>
      <c r="GV290" s="2344">
        <v>0</v>
      </c>
      <c r="GW290" s="2344">
        <v>0</v>
      </c>
      <c r="GX290" s="2344">
        <v>0</v>
      </c>
      <c r="GY290" s="2344">
        <v>0</v>
      </c>
      <c r="GZ290" s="2344">
        <v>0</v>
      </c>
      <c r="HA290" s="2344">
        <v>0</v>
      </c>
      <c r="HB290" s="2344">
        <v>0</v>
      </c>
      <c r="HC290" s="2344">
        <v>0</v>
      </c>
      <c r="HD290" s="2344">
        <v>0</v>
      </c>
      <c r="HE290" s="2344">
        <v>0</v>
      </c>
      <c r="HF290" s="2344">
        <v>0</v>
      </c>
      <c r="HG290" s="2344">
        <v>0</v>
      </c>
      <c r="HH290" s="2344">
        <v>0</v>
      </c>
      <c r="HI290" s="2333"/>
      <c r="HJ290" s="2275" t="s">
        <v>682</v>
      </c>
      <c r="HK290" s="2275">
        <f>HLOOKUP(HK288,GH289:HH301,1,0)</f>
        <v>48.8</v>
      </c>
      <c r="HL290" s="2275" t="s">
        <v>706</v>
      </c>
      <c r="HM290" s="2275" t="s">
        <v>682</v>
      </c>
      <c r="HN290" s="2275"/>
      <c r="HO290" s="2275"/>
      <c r="HP290" s="2275"/>
      <c r="HQ290" s="2275"/>
      <c r="HR290" s="2275"/>
      <c r="HS290" s="2275"/>
      <c r="HT290" s="2250"/>
      <c r="HU290" s="2250"/>
      <c r="HV290" s="2250"/>
      <c r="HW290" s="2250"/>
      <c r="HX290" s="2250"/>
      <c r="HY290" s="2250"/>
      <c r="HZ290" s="2250"/>
      <c r="IA290" s="2250"/>
      <c r="IB290" s="2250"/>
      <c r="IC290" s="2250"/>
      <c r="ID290" s="2250"/>
      <c r="IE290" s="2250"/>
      <c r="IF290" s="2250"/>
      <c r="IG290" s="2250"/>
      <c r="IH290" s="2250"/>
      <c r="II290" s="2250"/>
      <c r="IJ290" s="2250"/>
      <c r="IK290" s="2250"/>
      <c r="IL290" s="2250"/>
      <c r="IN290" s="277"/>
      <c r="IO290" s="277"/>
    </row>
    <row r="291" spans="1:249" ht="21.95" customHeight="1">
      <c r="A291" s="2275"/>
      <c r="B291" s="4670" t="s">
        <v>735</v>
      </c>
      <c r="C291" s="2345">
        <v>400</v>
      </c>
      <c r="D291" s="2346">
        <v>1.19</v>
      </c>
      <c r="E291" s="2346">
        <v>1.39</v>
      </c>
      <c r="F291" s="2346">
        <v>1.49</v>
      </c>
      <c r="G291" s="2346">
        <v>1.68</v>
      </c>
      <c r="H291" s="2346">
        <v>1.78</v>
      </c>
      <c r="I291" s="2346">
        <v>1.68</v>
      </c>
      <c r="J291" s="2346">
        <v>1.88</v>
      </c>
      <c r="K291" s="2346">
        <v>1.98</v>
      </c>
      <c r="L291" s="2346">
        <v>2.1800000000000002</v>
      </c>
      <c r="M291" s="2346">
        <v>2.38</v>
      </c>
      <c r="N291" s="2346">
        <v>2.57</v>
      </c>
      <c r="O291" s="2346">
        <v>2.67</v>
      </c>
      <c r="P291" s="2346">
        <v>3.07</v>
      </c>
      <c r="Q291" s="2346">
        <v>3.07</v>
      </c>
      <c r="R291" s="2346">
        <v>3.17</v>
      </c>
      <c r="S291" s="2346">
        <v>3.56</v>
      </c>
      <c r="T291" s="2346">
        <v>3.76</v>
      </c>
      <c r="U291" s="2346">
        <v>3.86</v>
      </c>
      <c r="V291" s="2346">
        <v>4.16</v>
      </c>
      <c r="W291" s="2346">
        <v>4.46</v>
      </c>
      <c r="X291" s="2346">
        <v>4.95</v>
      </c>
      <c r="Y291" s="2346">
        <v>5.25</v>
      </c>
      <c r="Z291" s="2346">
        <v>5.35</v>
      </c>
      <c r="AA291" s="2346">
        <v>6.44</v>
      </c>
      <c r="AB291" s="2346">
        <v>6.53</v>
      </c>
      <c r="AC291" s="2346">
        <v>8.61</v>
      </c>
      <c r="AD291" s="2346">
        <v>9.9</v>
      </c>
      <c r="AE291" s="2347">
        <v>400</v>
      </c>
      <c r="AF291" s="2275"/>
      <c r="AG291" s="4671"/>
      <c r="AH291" s="4671"/>
      <c r="AI291" s="4671"/>
      <c r="AJ291" s="2275"/>
      <c r="AK291" s="2275"/>
      <c r="AL291" s="2275"/>
      <c r="AM291" s="2275"/>
      <c r="AN291" s="2275"/>
      <c r="AO291" s="2275"/>
      <c r="AP291" s="2250"/>
      <c r="AQ291" s="2250"/>
      <c r="AR291" s="2250"/>
      <c r="AS291" s="2250"/>
      <c r="AT291" s="2250"/>
      <c r="AU291" s="2250"/>
      <c r="AV291" s="2250"/>
      <c r="AW291" s="2250"/>
      <c r="AX291" s="2250"/>
      <c r="AY291" s="2250"/>
      <c r="AZ291" s="2250"/>
      <c r="BA291" s="2250"/>
      <c r="BB291" s="2250"/>
      <c r="BC291" s="2250"/>
      <c r="BD291" s="2250"/>
      <c r="BE291" s="2250"/>
      <c r="BF291" s="2276"/>
      <c r="BG291" s="2276"/>
      <c r="BH291" s="2250"/>
      <c r="BI291" s="2275"/>
      <c r="BJ291" s="4670" t="s">
        <v>735</v>
      </c>
      <c r="BK291" s="2345">
        <v>400</v>
      </c>
      <c r="BL291" s="2346">
        <v>1.19</v>
      </c>
      <c r="BM291" s="2346">
        <v>1.39</v>
      </c>
      <c r="BN291" s="2346">
        <v>1.49</v>
      </c>
      <c r="BO291" s="2346">
        <v>1.68</v>
      </c>
      <c r="BP291" s="2346">
        <v>1.78</v>
      </c>
      <c r="BQ291" s="2346">
        <v>1.68</v>
      </c>
      <c r="BR291" s="2346">
        <v>1.88</v>
      </c>
      <c r="BS291" s="2346">
        <v>1.98</v>
      </c>
      <c r="BT291" s="2346">
        <v>2.1800000000000002</v>
      </c>
      <c r="BU291" s="2346">
        <v>2.38</v>
      </c>
      <c r="BV291" s="2346">
        <v>2.57</v>
      </c>
      <c r="BW291" s="2346">
        <v>2.67</v>
      </c>
      <c r="BX291" s="2346">
        <v>3.07</v>
      </c>
      <c r="BY291" s="2346">
        <v>3.07</v>
      </c>
      <c r="BZ291" s="2346">
        <v>3.17</v>
      </c>
      <c r="CA291" s="2346">
        <v>3.56</v>
      </c>
      <c r="CB291" s="2346">
        <v>3.76</v>
      </c>
      <c r="CC291" s="2346">
        <v>3.86</v>
      </c>
      <c r="CD291" s="2346">
        <v>4.16</v>
      </c>
      <c r="CE291" s="2346">
        <v>4.46</v>
      </c>
      <c r="CF291" s="2346">
        <v>4.95</v>
      </c>
      <c r="CG291" s="2346">
        <v>5.25</v>
      </c>
      <c r="CH291" s="2346">
        <v>5.35</v>
      </c>
      <c r="CI291" s="2346">
        <v>6.44</v>
      </c>
      <c r="CJ291" s="2346">
        <v>6.53</v>
      </c>
      <c r="CK291" s="2346">
        <v>8.61</v>
      </c>
      <c r="CL291" s="2346">
        <v>9.9</v>
      </c>
      <c r="CM291" s="2347">
        <v>400</v>
      </c>
      <c r="CN291" s="2275"/>
      <c r="CO291" s="4671"/>
      <c r="CP291" s="4671"/>
      <c r="CQ291" s="4671"/>
      <c r="CR291" s="2275"/>
      <c r="CS291" s="2275"/>
      <c r="CT291" s="2275"/>
      <c r="CU291" s="2275"/>
      <c r="CV291" s="2275"/>
      <c r="CW291" s="2275"/>
      <c r="CX291" s="2250"/>
      <c r="CY291" s="2250"/>
      <c r="CZ291" s="2250"/>
      <c r="DA291" s="2250"/>
      <c r="DB291" s="2250"/>
      <c r="DC291" s="2250"/>
      <c r="DD291" s="2250"/>
      <c r="DE291" s="2250"/>
      <c r="DF291" s="2250"/>
      <c r="DG291" s="2250"/>
      <c r="DH291" s="2250"/>
      <c r="DI291" s="2250"/>
      <c r="DJ291" s="2250"/>
      <c r="DK291" s="2250"/>
      <c r="DL291" s="2250"/>
      <c r="DM291" s="2250"/>
      <c r="DN291" s="2250"/>
      <c r="DO291" s="2250"/>
      <c r="DP291" s="2250"/>
      <c r="DQ291" s="2277"/>
      <c r="DR291" s="2277"/>
      <c r="DS291" s="277"/>
      <c r="DW291" s="2275"/>
      <c r="DX291" s="4670" t="s">
        <v>735</v>
      </c>
      <c r="DY291" s="2345">
        <v>400</v>
      </c>
      <c r="DZ291" s="2346">
        <v>1.19</v>
      </c>
      <c r="EA291" s="2346">
        <v>1.39</v>
      </c>
      <c r="EB291" s="2346">
        <v>1.49</v>
      </c>
      <c r="EC291" s="2346">
        <v>1.68</v>
      </c>
      <c r="ED291" s="2346">
        <v>1.78</v>
      </c>
      <c r="EE291" s="2346">
        <v>1.68</v>
      </c>
      <c r="EF291" s="2346">
        <v>1.88</v>
      </c>
      <c r="EG291" s="2346">
        <v>1.98</v>
      </c>
      <c r="EH291" s="2346">
        <v>2.1800000000000002</v>
      </c>
      <c r="EI291" s="2346">
        <v>2.38</v>
      </c>
      <c r="EJ291" s="2346">
        <v>2.57</v>
      </c>
      <c r="EK291" s="2346">
        <v>2.67</v>
      </c>
      <c r="EL291" s="2346">
        <v>3.07</v>
      </c>
      <c r="EM291" s="2346">
        <v>3.07</v>
      </c>
      <c r="EN291" s="2346">
        <v>3.17</v>
      </c>
      <c r="EO291" s="2346">
        <v>3.56</v>
      </c>
      <c r="EP291" s="2346">
        <v>3.76</v>
      </c>
      <c r="EQ291" s="2346">
        <v>3.86</v>
      </c>
      <c r="ER291" s="2346">
        <v>4.16</v>
      </c>
      <c r="ES291" s="2346">
        <v>4.46</v>
      </c>
      <c r="ET291" s="2346">
        <v>4.95</v>
      </c>
      <c r="EU291" s="2346">
        <v>5.25</v>
      </c>
      <c r="EV291" s="2346">
        <v>5.35</v>
      </c>
      <c r="EW291" s="2346">
        <v>6.44</v>
      </c>
      <c r="EX291" s="2346">
        <v>6.53</v>
      </c>
      <c r="EY291" s="2346">
        <v>8.61</v>
      </c>
      <c r="EZ291" s="2346">
        <v>9.9</v>
      </c>
      <c r="FA291" s="2347">
        <v>400</v>
      </c>
      <c r="FB291" s="2275"/>
      <c r="FC291" s="4671"/>
      <c r="FD291" s="4671"/>
      <c r="FE291" s="4671"/>
      <c r="FF291" s="2275"/>
      <c r="FG291" s="2275"/>
      <c r="FH291" s="2275"/>
      <c r="FI291" s="2275"/>
      <c r="FJ291" s="2275"/>
      <c r="FK291" s="2275"/>
      <c r="FL291" s="2250"/>
      <c r="FM291" s="2250"/>
      <c r="FN291" s="2250"/>
      <c r="FO291" s="2250"/>
      <c r="FP291" s="2250"/>
      <c r="FQ291" s="2250"/>
      <c r="FR291" s="2250"/>
      <c r="FS291" s="2250"/>
      <c r="FT291" s="2250"/>
      <c r="FU291" s="2250"/>
      <c r="FV291" s="2250"/>
      <c r="FW291" s="2250"/>
      <c r="FX291" s="2250"/>
      <c r="FY291" s="2250"/>
      <c r="FZ291" s="2250"/>
      <c r="GA291" s="2250"/>
      <c r="GB291" s="2276"/>
      <c r="GC291" s="2276"/>
      <c r="GD291" s="2250"/>
      <c r="GE291" s="2275"/>
      <c r="GF291" s="4670" t="s">
        <v>735</v>
      </c>
      <c r="GG291" s="2345">
        <v>400</v>
      </c>
      <c r="GH291" s="2346">
        <v>1.19</v>
      </c>
      <c r="GI291" s="2346">
        <v>1.39</v>
      </c>
      <c r="GJ291" s="2346">
        <v>1.49</v>
      </c>
      <c r="GK291" s="2346">
        <v>1.68</v>
      </c>
      <c r="GL291" s="2346">
        <v>1.78</v>
      </c>
      <c r="GM291" s="2346">
        <v>1.68</v>
      </c>
      <c r="GN291" s="2346">
        <v>1.88</v>
      </c>
      <c r="GO291" s="2346">
        <v>1.98</v>
      </c>
      <c r="GP291" s="2346">
        <v>2.1800000000000002</v>
      </c>
      <c r="GQ291" s="2346">
        <v>2.38</v>
      </c>
      <c r="GR291" s="2346">
        <v>2.57</v>
      </c>
      <c r="GS291" s="2346">
        <v>2.67</v>
      </c>
      <c r="GT291" s="2346">
        <v>3.07</v>
      </c>
      <c r="GU291" s="2346">
        <v>3.07</v>
      </c>
      <c r="GV291" s="2346">
        <v>3.17</v>
      </c>
      <c r="GW291" s="2346">
        <v>3.56</v>
      </c>
      <c r="GX291" s="2346">
        <v>3.76</v>
      </c>
      <c r="GY291" s="2346">
        <v>3.86</v>
      </c>
      <c r="GZ291" s="2346">
        <v>4.16</v>
      </c>
      <c r="HA291" s="2346">
        <v>4.46</v>
      </c>
      <c r="HB291" s="2346">
        <v>4.95</v>
      </c>
      <c r="HC291" s="2346">
        <v>5.25</v>
      </c>
      <c r="HD291" s="2346">
        <v>5.35</v>
      </c>
      <c r="HE291" s="2346">
        <v>6.44</v>
      </c>
      <c r="HF291" s="2346">
        <v>6.53</v>
      </c>
      <c r="HG291" s="2346">
        <v>8.61</v>
      </c>
      <c r="HH291" s="2346">
        <v>9.9</v>
      </c>
      <c r="HI291" s="2347">
        <v>400</v>
      </c>
      <c r="HJ291" s="2275"/>
      <c r="HK291" s="4671"/>
      <c r="HL291" s="4671"/>
      <c r="HM291" s="4671"/>
      <c r="HN291" s="2275"/>
      <c r="HO291" s="2275"/>
      <c r="HP291" s="2275"/>
      <c r="HQ291" s="2275"/>
      <c r="HR291" s="2275"/>
      <c r="HS291" s="2275"/>
      <c r="HT291" s="2250"/>
      <c r="HU291" s="2250"/>
      <c r="HV291" s="2250"/>
      <c r="HW291" s="2250"/>
      <c r="HX291" s="2250"/>
      <c r="HY291" s="2250"/>
      <c r="HZ291" s="2250"/>
      <c r="IA291" s="2250"/>
      <c r="IB291" s="2250"/>
      <c r="IC291" s="2250"/>
      <c r="ID291" s="2250"/>
      <c r="IE291" s="2250"/>
      <c r="IF291" s="2250"/>
      <c r="IG291" s="2250"/>
      <c r="IH291" s="2250"/>
      <c r="II291" s="2250"/>
      <c r="IJ291" s="2250"/>
      <c r="IK291" s="2250"/>
      <c r="IL291" s="2250"/>
      <c r="IN291" s="277"/>
      <c r="IO291" s="277"/>
    </row>
    <row r="292" spans="1:249" ht="21.95" customHeight="1">
      <c r="A292" s="2275"/>
      <c r="B292" s="4670"/>
      <c r="C292" s="2345">
        <v>475</v>
      </c>
      <c r="D292" s="2346">
        <v>1.78</v>
      </c>
      <c r="E292" s="2346">
        <v>1.98</v>
      </c>
      <c r="F292" s="2346">
        <v>2.1800000000000002</v>
      </c>
      <c r="G292" s="2346">
        <v>2.38</v>
      </c>
      <c r="H292" s="2346">
        <v>2.67</v>
      </c>
      <c r="I292" s="2346">
        <v>2.48</v>
      </c>
      <c r="J292" s="2346">
        <v>2.77</v>
      </c>
      <c r="K292" s="2346">
        <v>2.97</v>
      </c>
      <c r="L292" s="2346">
        <v>3.07</v>
      </c>
      <c r="M292" s="2346">
        <v>3.37</v>
      </c>
      <c r="N292" s="2346">
        <v>4.0599999999999996</v>
      </c>
      <c r="O292" s="2346">
        <v>3.96</v>
      </c>
      <c r="P292" s="2346">
        <v>4.3600000000000003</v>
      </c>
      <c r="Q292" s="2346">
        <v>4.3600000000000003</v>
      </c>
      <c r="R292" s="2346">
        <v>4.75</v>
      </c>
      <c r="S292" s="2346">
        <v>4.95</v>
      </c>
      <c r="T292" s="2346">
        <v>5.25</v>
      </c>
      <c r="U292" s="2346">
        <v>5.64</v>
      </c>
      <c r="V292" s="2346">
        <v>6.04</v>
      </c>
      <c r="W292" s="2346">
        <v>6.83</v>
      </c>
      <c r="X292" s="2346">
        <v>7.03</v>
      </c>
      <c r="Y292" s="2346">
        <v>7.72</v>
      </c>
      <c r="Z292" s="2346">
        <v>8.7100000000000009</v>
      </c>
      <c r="AA292" s="2346">
        <v>9.6999999999999993</v>
      </c>
      <c r="AB292" s="2346">
        <v>10.3</v>
      </c>
      <c r="AC292" s="2346">
        <v>11.88</v>
      </c>
      <c r="AD292" s="2346">
        <v>14.16</v>
      </c>
      <c r="AE292" s="2347">
        <v>475</v>
      </c>
      <c r="AF292" s="2275"/>
      <c r="AG292" s="2275">
        <f>HLOOKUP(AG288,D289:AD301,2,0)</f>
        <v>0</v>
      </c>
      <c r="AH292" s="2275">
        <f t="shared" ref="AH292:AH302" si="138">+AG293</f>
        <v>3.86</v>
      </c>
      <c r="AI292" s="2275">
        <v>400</v>
      </c>
      <c r="AJ292" s="2275"/>
      <c r="AK292" s="2275"/>
      <c r="AL292" s="2275"/>
      <c r="AM292" s="2275"/>
      <c r="AN292" s="2275"/>
      <c r="AO292" s="2275"/>
      <c r="AP292" s="2250"/>
      <c r="AQ292" s="2250"/>
      <c r="AR292" s="2250"/>
      <c r="AS292" s="2250"/>
      <c r="AT292" s="2250"/>
      <c r="AU292" s="2250"/>
      <c r="AV292" s="2250"/>
      <c r="AW292" s="2250"/>
      <c r="AX292" s="2250"/>
      <c r="AY292" s="2250"/>
      <c r="AZ292" s="2250"/>
      <c r="BA292" s="2250"/>
      <c r="BB292" s="2250"/>
      <c r="BC292" s="2250"/>
      <c r="BD292" s="2250"/>
      <c r="BE292" s="2250"/>
      <c r="BF292" s="2276"/>
      <c r="BG292" s="2276"/>
      <c r="BH292" s="2250"/>
      <c r="BI292" s="2275"/>
      <c r="BJ292" s="4670"/>
      <c r="BK292" s="2345">
        <v>475</v>
      </c>
      <c r="BL292" s="2346">
        <v>1.78</v>
      </c>
      <c r="BM292" s="2346">
        <v>1.98</v>
      </c>
      <c r="BN292" s="2346">
        <v>2.1800000000000002</v>
      </c>
      <c r="BO292" s="2346">
        <v>2.38</v>
      </c>
      <c r="BP292" s="2346">
        <v>2.67</v>
      </c>
      <c r="BQ292" s="2346">
        <v>2.48</v>
      </c>
      <c r="BR292" s="2346">
        <v>2.77</v>
      </c>
      <c r="BS292" s="2346">
        <v>2.97</v>
      </c>
      <c r="BT292" s="2346">
        <v>3.07</v>
      </c>
      <c r="BU292" s="2346">
        <v>3.37</v>
      </c>
      <c r="BV292" s="2346">
        <v>4.0599999999999996</v>
      </c>
      <c r="BW292" s="2346">
        <v>3.96</v>
      </c>
      <c r="BX292" s="2346">
        <v>4.3600000000000003</v>
      </c>
      <c r="BY292" s="2346">
        <v>4.3600000000000003</v>
      </c>
      <c r="BZ292" s="2346">
        <v>4.75</v>
      </c>
      <c r="CA292" s="2346">
        <v>4.95</v>
      </c>
      <c r="CB292" s="2346">
        <v>5.25</v>
      </c>
      <c r="CC292" s="2346">
        <v>5.64</v>
      </c>
      <c r="CD292" s="2346">
        <v>6.04</v>
      </c>
      <c r="CE292" s="2346">
        <v>6.83</v>
      </c>
      <c r="CF292" s="2346">
        <v>7.03</v>
      </c>
      <c r="CG292" s="2346">
        <v>7.72</v>
      </c>
      <c r="CH292" s="2346">
        <v>8.7100000000000009</v>
      </c>
      <c r="CI292" s="2346">
        <v>9.6999999999999993</v>
      </c>
      <c r="CJ292" s="2346">
        <v>10.3</v>
      </c>
      <c r="CK292" s="2346">
        <v>11.88</v>
      </c>
      <c r="CL292" s="2346">
        <v>14.16</v>
      </c>
      <c r="CM292" s="2347">
        <v>475</v>
      </c>
      <c r="CN292" s="2275"/>
      <c r="CO292" s="2275">
        <f>HLOOKUP(CO288,BL289:CL301,2,0)</f>
        <v>0</v>
      </c>
      <c r="CP292" s="2275">
        <f t="shared" ref="CP292:CP302" si="139">+CO293</f>
        <v>3.76</v>
      </c>
      <c r="CQ292" s="2275">
        <v>400</v>
      </c>
      <c r="CR292" s="2275"/>
      <c r="CS292" s="2275"/>
      <c r="CT292" s="2275"/>
      <c r="CU292" s="2275"/>
      <c r="CV292" s="2275"/>
      <c r="CW292" s="2275"/>
      <c r="CX292" s="2250"/>
      <c r="CY292" s="2250"/>
      <c r="CZ292" s="2250"/>
      <c r="DA292" s="2250"/>
      <c r="DB292" s="2250"/>
      <c r="DC292" s="2250"/>
      <c r="DD292" s="2250"/>
      <c r="DE292" s="2250"/>
      <c r="DF292" s="2250"/>
      <c r="DG292" s="2250"/>
      <c r="DH292" s="2250"/>
      <c r="DI292" s="2250"/>
      <c r="DJ292" s="2250"/>
      <c r="DK292" s="2250"/>
      <c r="DL292" s="2250"/>
      <c r="DM292" s="2250"/>
      <c r="DN292" s="2250"/>
      <c r="DO292" s="2250"/>
      <c r="DP292" s="2250"/>
      <c r="DQ292" s="2277"/>
      <c r="DR292" s="2277"/>
      <c r="DS292" s="277"/>
      <c r="DW292" s="2275"/>
      <c r="DX292" s="4670"/>
      <c r="DY292" s="2345">
        <v>475</v>
      </c>
      <c r="DZ292" s="2346">
        <v>1.78</v>
      </c>
      <c r="EA292" s="2346">
        <v>1.98</v>
      </c>
      <c r="EB292" s="2346">
        <v>2.1800000000000002</v>
      </c>
      <c r="EC292" s="2346">
        <v>2.38</v>
      </c>
      <c r="ED292" s="2346">
        <v>2.67</v>
      </c>
      <c r="EE292" s="2346">
        <v>2.48</v>
      </c>
      <c r="EF292" s="2346">
        <v>2.77</v>
      </c>
      <c r="EG292" s="2346">
        <v>2.97</v>
      </c>
      <c r="EH292" s="2346">
        <v>3.07</v>
      </c>
      <c r="EI292" s="2346">
        <v>3.37</v>
      </c>
      <c r="EJ292" s="2346">
        <v>4.0599999999999996</v>
      </c>
      <c r="EK292" s="2346">
        <v>3.96</v>
      </c>
      <c r="EL292" s="2346">
        <v>4.3600000000000003</v>
      </c>
      <c r="EM292" s="2346">
        <v>4.3600000000000003</v>
      </c>
      <c r="EN292" s="2346">
        <v>4.75</v>
      </c>
      <c r="EO292" s="2346">
        <v>4.95</v>
      </c>
      <c r="EP292" s="2346">
        <v>5.25</v>
      </c>
      <c r="EQ292" s="2346">
        <v>5.64</v>
      </c>
      <c r="ER292" s="2346">
        <v>6.04</v>
      </c>
      <c r="ES292" s="2346">
        <v>6.83</v>
      </c>
      <c r="ET292" s="2346">
        <v>7.03</v>
      </c>
      <c r="EU292" s="2346">
        <v>7.72</v>
      </c>
      <c r="EV292" s="2346">
        <v>8.7100000000000009</v>
      </c>
      <c r="EW292" s="2346">
        <v>9.6999999999999993</v>
      </c>
      <c r="EX292" s="2346">
        <v>10.3</v>
      </c>
      <c r="EY292" s="2346">
        <v>11.88</v>
      </c>
      <c r="EZ292" s="2346">
        <v>14.16</v>
      </c>
      <c r="FA292" s="2347">
        <v>475</v>
      </c>
      <c r="FB292" s="2275"/>
      <c r="FC292" s="2275">
        <f>HLOOKUP(FC288,DZ289:EZ301,2,0)</f>
        <v>0</v>
      </c>
      <c r="FD292" s="2275">
        <f t="shared" ref="FD292:FD302" si="140">+FC293</f>
        <v>5.35</v>
      </c>
      <c r="FE292" s="2275">
        <v>400</v>
      </c>
      <c r="FF292" s="2275"/>
      <c r="FG292" s="2275"/>
      <c r="FH292" s="2275"/>
      <c r="FI292" s="2275"/>
      <c r="FJ292" s="2275"/>
      <c r="FK292" s="2275"/>
      <c r="FL292" s="2250"/>
      <c r="FM292" s="2250"/>
      <c r="FN292" s="2250"/>
      <c r="FO292" s="2250"/>
      <c r="FP292" s="2250"/>
      <c r="FQ292" s="2250"/>
      <c r="FR292" s="2250"/>
      <c r="FS292" s="2250"/>
      <c r="FT292" s="2250"/>
      <c r="FU292" s="2250"/>
      <c r="FV292" s="2250"/>
      <c r="FW292" s="2250"/>
      <c r="FX292" s="2250"/>
      <c r="FY292" s="2250"/>
      <c r="FZ292" s="2250"/>
      <c r="GA292" s="2250"/>
      <c r="GB292" s="2276"/>
      <c r="GC292" s="2276"/>
      <c r="GD292" s="2250"/>
      <c r="GE292" s="2275"/>
      <c r="GF292" s="4670"/>
      <c r="GG292" s="2345">
        <v>475</v>
      </c>
      <c r="GH292" s="2346">
        <v>1.78</v>
      </c>
      <c r="GI292" s="2346">
        <v>1.98</v>
      </c>
      <c r="GJ292" s="2346">
        <v>2.1800000000000002</v>
      </c>
      <c r="GK292" s="2346">
        <v>2.38</v>
      </c>
      <c r="GL292" s="2346">
        <v>2.67</v>
      </c>
      <c r="GM292" s="2346">
        <v>2.48</v>
      </c>
      <c r="GN292" s="2346">
        <v>2.77</v>
      </c>
      <c r="GO292" s="2346">
        <v>2.97</v>
      </c>
      <c r="GP292" s="2346">
        <v>3.07</v>
      </c>
      <c r="GQ292" s="2346">
        <v>3.37</v>
      </c>
      <c r="GR292" s="2346">
        <v>4.0599999999999996</v>
      </c>
      <c r="GS292" s="2346">
        <v>3.96</v>
      </c>
      <c r="GT292" s="2346">
        <v>4.3600000000000003</v>
      </c>
      <c r="GU292" s="2346">
        <v>4.3600000000000003</v>
      </c>
      <c r="GV292" s="2346">
        <v>4.75</v>
      </c>
      <c r="GW292" s="2346">
        <v>4.95</v>
      </c>
      <c r="GX292" s="2346">
        <v>5.25</v>
      </c>
      <c r="GY292" s="2346">
        <v>5.64</v>
      </c>
      <c r="GZ292" s="2346">
        <v>6.04</v>
      </c>
      <c r="HA292" s="2346">
        <v>6.83</v>
      </c>
      <c r="HB292" s="2346">
        <v>7.03</v>
      </c>
      <c r="HC292" s="2346">
        <v>7.72</v>
      </c>
      <c r="HD292" s="2346">
        <v>8.7100000000000009</v>
      </c>
      <c r="HE292" s="2346">
        <v>9.6999999999999993</v>
      </c>
      <c r="HF292" s="2346">
        <v>10.3</v>
      </c>
      <c r="HG292" s="2346">
        <v>11.88</v>
      </c>
      <c r="HH292" s="2346">
        <v>14.16</v>
      </c>
      <c r="HI292" s="2347">
        <v>475</v>
      </c>
      <c r="HJ292" s="2275"/>
      <c r="HK292" s="2275">
        <f>HLOOKUP(HK288,GH289:HH301,2,0)</f>
        <v>0</v>
      </c>
      <c r="HL292" s="2275">
        <f t="shared" ref="HL292:HL302" si="141">+HK293</f>
        <v>5.25</v>
      </c>
      <c r="HM292" s="2275">
        <v>400</v>
      </c>
      <c r="HN292" s="2275"/>
      <c r="HO292" s="2275"/>
      <c r="HP292" s="2275"/>
      <c r="HQ292" s="2275"/>
      <c r="HR292" s="2275"/>
      <c r="HS292" s="2275"/>
      <c r="HT292" s="2250"/>
      <c r="HU292" s="2250"/>
      <c r="HV292" s="2250"/>
      <c r="HW292" s="2250"/>
      <c r="HX292" s="2250"/>
      <c r="HY292" s="2250"/>
      <c r="HZ292" s="2250"/>
      <c r="IA292" s="2250"/>
      <c r="IB292" s="2250"/>
      <c r="IC292" s="2250"/>
      <c r="ID292" s="2250"/>
      <c r="IE292" s="2250"/>
      <c r="IF292" s="2250"/>
      <c r="IG292" s="2250"/>
      <c r="IH292" s="2250"/>
      <c r="II292" s="2250"/>
      <c r="IJ292" s="2250"/>
      <c r="IK292" s="2250"/>
      <c r="IL292" s="2250"/>
      <c r="IN292" s="277"/>
      <c r="IO292" s="277"/>
    </row>
    <row r="293" spans="1:249" ht="21.95" customHeight="1">
      <c r="A293" s="2275"/>
      <c r="B293" s="4670"/>
      <c r="C293" s="2345">
        <v>550</v>
      </c>
      <c r="D293" s="2346">
        <v>3.27</v>
      </c>
      <c r="E293" s="2346">
        <v>3.66</v>
      </c>
      <c r="F293" s="2346">
        <v>4.0599999999999996</v>
      </c>
      <c r="G293" s="2346">
        <v>4.55</v>
      </c>
      <c r="H293" s="2346">
        <v>4.95</v>
      </c>
      <c r="I293" s="2346">
        <v>4.6500000000000004</v>
      </c>
      <c r="J293" s="2346">
        <v>5.15</v>
      </c>
      <c r="K293" s="2346">
        <v>5.45</v>
      </c>
      <c r="L293" s="2346">
        <v>5.94</v>
      </c>
      <c r="M293" s="2346">
        <v>6.34</v>
      </c>
      <c r="N293" s="2346">
        <v>7.43</v>
      </c>
      <c r="O293" s="2346">
        <v>7.92</v>
      </c>
      <c r="P293" s="2346">
        <v>8.51</v>
      </c>
      <c r="Q293" s="2346">
        <v>8.2200000000000006</v>
      </c>
      <c r="R293" s="2346">
        <v>8.81</v>
      </c>
      <c r="S293" s="2346">
        <v>9.31</v>
      </c>
      <c r="T293" s="2346">
        <v>9.8000000000000007</v>
      </c>
      <c r="U293" s="2346">
        <v>10.59</v>
      </c>
      <c r="V293" s="2346">
        <v>11.19</v>
      </c>
      <c r="W293" s="2346">
        <v>12.67</v>
      </c>
      <c r="X293" s="2346">
        <v>12.77</v>
      </c>
      <c r="Y293" s="2346">
        <v>14.36</v>
      </c>
      <c r="Z293" s="2346">
        <v>15.05</v>
      </c>
      <c r="AA293" s="2346">
        <v>17.52</v>
      </c>
      <c r="AB293" s="2346">
        <v>18.420000000000002</v>
      </c>
      <c r="AC293" s="2346">
        <v>21.19</v>
      </c>
      <c r="AD293" s="2346">
        <v>25.15</v>
      </c>
      <c r="AE293" s="2347">
        <v>550</v>
      </c>
      <c r="AF293" s="2275"/>
      <c r="AG293" s="2275">
        <f>HLOOKUP(AG288,D289:AD301,3,0)</f>
        <v>3.86</v>
      </c>
      <c r="AH293" s="2275">
        <f t="shared" si="138"/>
        <v>5.64</v>
      </c>
      <c r="AI293" s="2275">
        <v>475</v>
      </c>
      <c r="AJ293" s="2275"/>
      <c r="AK293" s="2275"/>
      <c r="AL293" s="2275"/>
      <c r="AM293" s="2275"/>
      <c r="AN293" s="2275"/>
      <c r="AO293" s="2275"/>
      <c r="AP293" s="2250"/>
      <c r="AQ293" s="2250"/>
      <c r="AR293" s="2250"/>
      <c r="AS293" s="2250"/>
      <c r="AT293" s="2250"/>
      <c r="AU293" s="2250"/>
      <c r="AV293" s="2250"/>
      <c r="AW293" s="2250"/>
      <c r="AX293" s="2250"/>
      <c r="AY293" s="2250"/>
      <c r="AZ293" s="2250"/>
      <c r="BA293" s="2250"/>
      <c r="BB293" s="2250"/>
      <c r="BC293" s="2250"/>
      <c r="BD293" s="2250"/>
      <c r="BE293" s="2250"/>
      <c r="BF293" s="2276"/>
      <c r="BG293" s="2276"/>
      <c r="BH293" s="2250"/>
      <c r="BI293" s="2275"/>
      <c r="BJ293" s="4670"/>
      <c r="BK293" s="2345">
        <v>550</v>
      </c>
      <c r="BL293" s="2346">
        <v>3.27</v>
      </c>
      <c r="BM293" s="2346">
        <v>3.66</v>
      </c>
      <c r="BN293" s="2346">
        <v>4.0599999999999996</v>
      </c>
      <c r="BO293" s="2346">
        <v>4.55</v>
      </c>
      <c r="BP293" s="2346">
        <v>4.95</v>
      </c>
      <c r="BQ293" s="2346">
        <v>4.6500000000000004</v>
      </c>
      <c r="BR293" s="2346">
        <v>5.15</v>
      </c>
      <c r="BS293" s="2346">
        <v>5.45</v>
      </c>
      <c r="BT293" s="2346">
        <v>5.94</v>
      </c>
      <c r="BU293" s="2346">
        <v>6.34</v>
      </c>
      <c r="BV293" s="2346">
        <v>7.43</v>
      </c>
      <c r="BW293" s="2346">
        <v>7.92</v>
      </c>
      <c r="BX293" s="2346">
        <v>8.51</v>
      </c>
      <c r="BY293" s="2346">
        <v>8.2200000000000006</v>
      </c>
      <c r="BZ293" s="2346">
        <v>8.81</v>
      </c>
      <c r="CA293" s="2346">
        <v>9.31</v>
      </c>
      <c r="CB293" s="2346">
        <v>9.8000000000000007</v>
      </c>
      <c r="CC293" s="2346">
        <v>10.59</v>
      </c>
      <c r="CD293" s="2346">
        <v>11.19</v>
      </c>
      <c r="CE293" s="2346">
        <v>12.67</v>
      </c>
      <c r="CF293" s="2346">
        <v>12.77</v>
      </c>
      <c r="CG293" s="2346">
        <v>14.36</v>
      </c>
      <c r="CH293" s="2346">
        <v>15.05</v>
      </c>
      <c r="CI293" s="2346">
        <v>17.52</v>
      </c>
      <c r="CJ293" s="2346">
        <v>18.420000000000002</v>
      </c>
      <c r="CK293" s="2346">
        <v>21.19</v>
      </c>
      <c r="CL293" s="2346">
        <v>25.15</v>
      </c>
      <c r="CM293" s="2347">
        <v>550</v>
      </c>
      <c r="CN293" s="2275"/>
      <c r="CO293" s="2275">
        <f>HLOOKUP(CO288,BL289:CL301,3,0)</f>
        <v>3.76</v>
      </c>
      <c r="CP293" s="2275">
        <f t="shared" si="139"/>
        <v>5.25</v>
      </c>
      <c r="CQ293" s="2275">
        <v>475</v>
      </c>
      <c r="CR293" s="2275"/>
      <c r="CS293" s="2275"/>
      <c r="CT293" s="2275"/>
      <c r="CU293" s="2275"/>
      <c r="CV293" s="2275"/>
      <c r="CW293" s="2275"/>
      <c r="CX293" s="2250"/>
      <c r="CY293" s="2250"/>
      <c r="CZ293" s="2250"/>
      <c r="DA293" s="2250"/>
      <c r="DB293" s="2250"/>
      <c r="DC293" s="2250"/>
      <c r="DD293" s="2250"/>
      <c r="DE293" s="2250"/>
      <c r="DF293" s="2250"/>
      <c r="DG293" s="2250"/>
      <c r="DH293" s="2250"/>
      <c r="DI293" s="2250"/>
      <c r="DJ293" s="2250"/>
      <c r="DK293" s="2250"/>
      <c r="DL293" s="2250"/>
      <c r="DM293" s="2250"/>
      <c r="DN293" s="2250"/>
      <c r="DO293" s="2250"/>
      <c r="DP293" s="2250"/>
      <c r="DQ293" s="2277"/>
      <c r="DR293" s="2277"/>
      <c r="DS293" s="277"/>
      <c r="DW293" s="2275"/>
      <c r="DX293" s="4670"/>
      <c r="DY293" s="2345">
        <v>550</v>
      </c>
      <c r="DZ293" s="2346">
        <v>3.27</v>
      </c>
      <c r="EA293" s="2346">
        <v>3.66</v>
      </c>
      <c r="EB293" s="2346">
        <v>4.0599999999999996</v>
      </c>
      <c r="EC293" s="2346">
        <v>4.55</v>
      </c>
      <c r="ED293" s="2346">
        <v>4.95</v>
      </c>
      <c r="EE293" s="2346">
        <v>4.6500000000000004</v>
      </c>
      <c r="EF293" s="2346">
        <v>5.15</v>
      </c>
      <c r="EG293" s="2346">
        <v>5.45</v>
      </c>
      <c r="EH293" s="2346">
        <v>5.94</v>
      </c>
      <c r="EI293" s="2346">
        <v>6.34</v>
      </c>
      <c r="EJ293" s="2346">
        <v>7.43</v>
      </c>
      <c r="EK293" s="2346">
        <v>7.92</v>
      </c>
      <c r="EL293" s="2346">
        <v>8.51</v>
      </c>
      <c r="EM293" s="2346">
        <v>8.2200000000000006</v>
      </c>
      <c r="EN293" s="2346">
        <v>8.81</v>
      </c>
      <c r="EO293" s="2346">
        <v>9.31</v>
      </c>
      <c r="EP293" s="2346">
        <v>9.8000000000000007</v>
      </c>
      <c r="EQ293" s="2346">
        <v>10.59</v>
      </c>
      <c r="ER293" s="2346">
        <v>11.19</v>
      </c>
      <c r="ES293" s="2346">
        <v>12.67</v>
      </c>
      <c r="ET293" s="2346">
        <v>12.77</v>
      </c>
      <c r="EU293" s="2346">
        <v>14.36</v>
      </c>
      <c r="EV293" s="2346">
        <v>15.05</v>
      </c>
      <c r="EW293" s="2346">
        <v>17.52</v>
      </c>
      <c r="EX293" s="2346">
        <v>18.420000000000002</v>
      </c>
      <c r="EY293" s="2346">
        <v>21.19</v>
      </c>
      <c r="EZ293" s="2346">
        <v>25.15</v>
      </c>
      <c r="FA293" s="2347">
        <v>550</v>
      </c>
      <c r="FB293" s="2275"/>
      <c r="FC293" s="2275">
        <f>HLOOKUP(FC288,DZ289:EZ301,3,0)</f>
        <v>5.35</v>
      </c>
      <c r="FD293" s="2275">
        <f t="shared" si="140"/>
        <v>8.7100000000000009</v>
      </c>
      <c r="FE293" s="2275">
        <v>475</v>
      </c>
      <c r="FF293" s="2275"/>
      <c r="FG293" s="2275"/>
      <c r="FH293" s="2275"/>
      <c r="FI293" s="2275"/>
      <c r="FJ293" s="2275"/>
      <c r="FK293" s="2275"/>
      <c r="FL293" s="2250"/>
      <c r="FM293" s="2250"/>
      <c r="FN293" s="2250"/>
      <c r="FO293" s="2250"/>
      <c r="FP293" s="2250"/>
      <c r="FQ293" s="2250"/>
      <c r="FR293" s="2250"/>
      <c r="FS293" s="2250"/>
      <c r="FT293" s="2250"/>
      <c r="FU293" s="2250"/>
      <c r="FV293" s="2250"/>
      <c r="FW293" s="2250"/>
      <c r="FX293" s="2250"/>
      <c r="FY293" s="2250"/>
      <c r="FZ293" s="2250"/>
      <c r="GA293" s="2250"/>
      <c r="GB293" s="2276"/>
      <c r="GC293" s="2276"/>
      <c r="GD293" s="2250"/>
      <c r="GE293" s="2275"/>
      <c r="GF293" s="4670"/>
      <c r="GG293" s="2345">
        <v>550</v>
      </c>
      <c r="GH293" s="2346">
        <v>3.27</v>
      </c>
      <c r="GI293" s="2346">
        <v>3.66</v>
      </c>
      <c r="GJ293" s="2346">
        <v>4.0599999999999996</v>
      </c>
      <c r="GK293" s="2346">
        <v>4.55</v>
      </c>
      <c r="GL293" s="2346">
        <v>4.95</v>
      </c>
      <c r="GM293" s="2346">
        <v>4.6500000000000004</v>
      </c>
      <c r="GN293" s="2346">
        <v>5.15</v>
      </c>
      <c r="GO293" s="2346">
        <v>5.45</v>
      </c>
      <c r="GP293" s="2346">
        <v>5.94</v>
      </c>
      <c r="GQ293" s="2346">
        <v>6.34</v>
      </c>
      <c r="GR293" s="2346">
        <v>7.43</v>
      </c>
      <c r="GS293" s="2346">
        <v>7.92</v>
      </c>
      <c r="GT293" s="2346">
        <v>8.51</v>
      </c>
      <c r="GU293" s="2346">
        <v>8.2200000000000006</v>
      </c>
      <c r="GV293" s="2346">
        <v>8.81</v>
      </c>
      <c r="GW293" s="2346">
        <v>9.31</v>
      </c>
      <c r="GX293" s="2346">
        <v>9.8000000000000007</v>
      </c>
      <c r="GY293" s="2346">
        <v>10.59</v>
      </c>
      <c r="GZ293" s="2346">
        <v>11.19</v>
      </c>
      <c r="HA293" s="2346">
        <v>12.67</v>
      </c>
      <c r="HB293" s="2346">
        <v>12.77</v>
      </c>
      <c r="HC293" s="2346">
        <v>14.36</v>
      </c>
      <c r="HD293" s="2346">
        <v>15.05</v>
      </c>
      <c r="HE293" s="2346">
        <v>17.52</v>
      </c>
      <c r="HF293" s="2346">
        <v>18.420000000000002</v>
      </c>
      <c r="HG293" s="2346">
        <v>21.19</v>
      </c>
      <c r="HH293" s="2346">
        <v>25.15</v>
      </c>
      <c r="HI293" s="2347">
        <v>550</v>
      </c>
      <c r="HJ293" s="2275"/>
      <c r="HK293" s="2275">
        <f>HLOOKUP(HK288,GH289:HH301,3,0)</f>
        <v>5.25</v>
      </c>
      <c r="HL293" s="2275">
        <f t="shared" si="141"/>
        <v>7.72</v>
      </c>
      <c r="HM293" s="2275">
        <v>475</v>
      </c>
      <c r="HN293" s="2275"/>
      <c r="HO293" s="2275"/>
      <c r="HP293" s="2275"/>
      <c r="HQ293" s="2275"/>
      <c r="HR293" s="2275"/>
      <c r="HS293" s="2275"/>
      <c r="HT293" s="2250"/>
      <c r="HU293" s="2250"/>
      <c r="HV293" s="2250"/>
      <c r="HW293" s="2250"/>
      <c r="HX293" s="2250"/>
      <c r="HY293" s="2250"/>
      <c r="HZ293" s="2250"/>
      <c r="IA293" s="2250"/>
      <c r="IB293" s="2250"/>
      <c r="IC293" s="2250"/>
      <c r="ID293" s="2250"/>
      <c r="IE293" s="2250"/>
      <c r="IF293" s="2250"/>
      <c r="IG293" s="2250"/>
      <c r="IH293" s="2250"/>
      <c r="II293" s="2250"/>
      <c r="IJ293" s="2250"/>
      <c r="IK293" s="2250"/>
      <c r="IL293" s="2250"/>
      <c r="IN293" s="277"/>
      <c r="IO293" s="277"/>
    </row>
    <row r="294" spans="1:249" ht="21.95" customHeight="1">
      <c r="A294" s="2275"/>
      <c r="B294" s="2275"/>
      <c r="C294" s="2345">
        <v>650</v>
      </c>
      <c r="D294" s="2346">
        <v>5.45</v>
      </c>
      <c r="E294" s="2346">
        <v>6.14</v>
      </c>
      <c r="F294" s="2346">
        <v>6.73</v>
      </c>
      <c r="G294" s="2346">
        <v>7.13</v>
      </c>
      <c r="H294" s="2346">
        <v>7.13</v>
      </c>
      <c r="I294" s="2346">
        <v>7.72</v>
      </c>
      <c r="J294" s="2346">
        <v>8.51</v>
      </c>
      <c r="K294" s="2346">
        <v>9.11</v>
      </c>
      <c r="L294" s="2346">
        <v>9.5</v>
      </c>
      <c r="M294" s="2346">
        <v>10.5</v>
      </c>
      <c r="N294" s="2346">
        <v>11.68</v>
      </c>
      <c r="O294" s="2346">
        <v>12.57</v>
      </c>
      <c r="P294" s="2346">
        <v>13.66</v>
      </c>
      <c r="Q294" s="2346">
        <v>13.66</v>
      </c>
      <c r="R294" s="2346">
        <v>14.36</v>
      </c>
      <c r="S294" s="2346">
        <v>15.45</v>
      </c>
      <c r="T294" s="2346">
        <v>16.34</v>
      </c>
      <c r="U294" s="2346">
        <v>17.23</v>
      </c>
      <c r="V294" s="2346">
        <v>18.12</v>
      </c>
      <c r="W294" s="2346">
        <v>20</v>
      </c>
      <c r="X294" s="2346">
        <v>20.399999999999999</v>
      </c>
      <c r="Y294" s="2346">
        <v>23.07</v>
      </c>
      <c r="Z294" s="2346">
        <v>25.25</v>
      </c>
      <c r="AA294" s="2346">
        <v>27.82</v>
      </c>
      <c r="AB294" s="2346">
        <v>30.99</v>
      </c>
      <c r="AC294" s="2346">
        <v>33.270000000000003</v>
      </c>
      <c r="AD294" s="2346">
        <v>39.21</v>
      </c>
      <c r="AE294" s="2347">
        <v>650</v>
      </c>
      <c r="AF294" s="2275"/>
      <c r="AG294" s="2275">
        <f>HLOOKUP(AG288,D289:AD301,4,0)</f>
        <v>5.64</v>
      </c>
      <c r="AH294" s="2275">
        <f t="shared" si="138"/>
        <v>10.59</v>
      </c>
      <c r="AI294" s="2275">
        <v>550</v>
      </c>
      <c r="AJ294" s="2275"/>
      <c r="AK294" s="2275"/>
      <c r="AL294" s="2275"/>
      <c r="AM294" s="2275"/>
      <c r="AN294" s="2275"/>
      <c r="AO294" s="2275"/>
      <c r="AP294" s="2250"/>
      <c r="AQ294" s="2250"/>
      <c r="AR294" s="2250"/>
      <c r="AS294" s="2250"/>
      <c r="AT294" s="2250"/>
      <c r="AU294" s="2250"/>
      <c r="AV294" s="2250"/>
      <c r="AW294" s="2250"/>
      <c r="AX294" s="2250"/>
      <c r="AY294" s="2250"/>
      <c r="AZ294" s="2250"/>
      <c r="BA294" s="2250"/>
      <c r="BB294" s="2250"/>
      <c r="BC294" s="2250"/>
      <c r="BD294" s="2250"/>
      <c r="BE294" s="2250"/>
      <c r="BF294" s="2276"/>
      <c r="BG294" s="2276"/>
      <c r="BH294" s="2250"/>
      <c r="BI294" s="2275"/>
      <c r="BJ294" s="2275"/>
      <c r="BK294" s="2345">
        <v>650</v>
      </c>
      <c r="BL294" s="2346">
        <v>5.45</v>
      </c>
      <c r="BM294" s="2346">
        <v>6.14</v>
      </c>
      <c r="BN294" s="2346">
        <v>6.73</v>
      </c>
      <c r="BO294" s="2346">
        <v>7.13</v>
      </c>
      <c r="BP294" s="2346">
        <v>7.13</v>
      </c>
      <c r="BQ294" s="2346">
        <v>7.72</v>
      </c>
      <c r="BR294" s="2346">
        <v>8.51</v>
      </c>
      <c r="BS294" s="2346">
        <v>9.11</v>
      </c>
      <c r="BT294" s="2346">
        <v>9.5</v>
      </c>
      <c r="BU294" s="2346">
        <v>10.5</v>
      </c>
      <c r="BV294" s="2346">
        <v>11.68</v>
      </c>
      <c r="BW294" s="2346">
        <v>12.57</v>
      </c>
      <c r="BX294" s="2346">
        <v>13.66</v>
      </c>
      <c r="BY294" s="2346">
        <v>13.66</v>
      </c>
      <c r="BZ294" s="2346">
        <v>14.36</v>
      </c>
      <c r="CA294" s="2346">
        <v>15.45</v>
      </c>
      <c r="CB294" s="2346">
        <v>16.34</v>
      </c>
      <c r="CC294" s="2346">
        <v>17.23</v>
      </c>
      <c r="CD294" s="2346">
        <v>18.12</v>
      </c>
      <c r="CE294" s="2346">
        <v>20</v>
      </c>
      <c r="CF294" s="2346">
        <v>20.399999999999999</v>
      </c>
      <c r="CG294" s="2346">
        <v>23.07</v>
      </c>
      <c r="CH294" s="2346">
        <v>25.25</v>
      </c>
      <c r="CI294" s="2346">
        <v>27.82</v>
      </c>
      <c r="CJ294" s="2346">
        <v>30.99</v>
      </c>
      <c r="CK294" s="2346">
        <v>33.270000000000003</v>
      </c>
      <c r="CL294" s="2346">
        <v>39.21</v>
      </c>
      <c r="CM294" s="2347">
        <v>650</v>
      </c>
      <c r="CN294" s="2275"/>
      <c r="CO294" s="2275">
        <f>HLOOKUP(CO288,BL289:CL301,4,0)</f>
        <v>5.25</v>
      </c>
      <c r="CP294" s="2275">
        <f t="shared" si="139"/>
        <v>9.8000000000000007</v>
      </c>
      <c r="CQ294" s="2275">
        <v>550</v>
      </c>
      <c r="CR294" s="2275"/>
      <c r="CS294" s="2275"/>
      <c r="CT294" s="2275"/>
      <c r="CU294" s="2275"/>
      <c r="CV294" s="2275"/>
      <c r="CW294" s="2275"/>
      <c r="CX294" s="2250"/>
      <c r="CY294" s="2250"/>
      <c r="CZ294" s="2250"/>
      <c r="DA294" s="2250"/>
      <c r="DB294" s="2250"/>
      <c r="DC294" s="2250"/>
      <c r="DD294" s="2250"/>
      <c r="DE294" s="2250"/>
      <c r="DF294" s="2250"/>
      <c r="DG294" s="2250"/>
      <c r="DH294" s="2250"/>
      <c r="DI294" s="2250"/>
      <c r="DJ294" s="2250"/>
      <c r="DK294" s="2250"/>
      <c r="DL294" s="2250"/>
      <c r="DM294" s="2250"/>
      <c r="DN294" s="2250"/>
      <c r="DO294" s="2250"/>
      <c r="DP294" s="2250"/>
      <c r="DQ294" s="2277"/>
      <c r="DR294" s="2277"/>
      <c r="DS294" s="277"/>
      <c r="DW294" s="2275"/>
      <c r="DX294" s="2275"/>
      <c r="DY294" s="2345">
        <v>650</v>
      </c>
      <c r="DZ294" s="2346">
        <v>5.45</v>
      </c>
      <c r="EA294" s="2346">
        <v>6.14</v>
      </c>
      <c r="EB294" s="2346">
        <v>6.73</v>
      </c>
      <c r="EC294" s="2346">
        <v>7.13</v>
      </c>
      <c r="ED294" s="2346">
        <v>7.13</v>
      </c>
      <c r="EE294" s="2346">
        <v>7.72</v>
      </c>
      <c r="EF294" s="2346">
        <v>8.51</v>
      </c>
      <c r="EG294" s="2346">
        <v>9.11</v>
      </c>
      <c r="EH294" s="2346">
        <v>9.5</v>
      </c>
      <c r="EI294" s="2346">
        <v>10.5</v>
      </c>
      <c r="EJ294" s="2346">
        <v>11.68</v>
      </c>
      <c r="EK294" s="2346">
        <v>12.57</v>
      </c>
      <c r="EL294" s="2346">
        <v>13.66</v>
      </c>
      <c r="EM294" s="2346">
        <v>13.66</v>
      </c>
      <c r="EN294" s="2346">
        <v>14.36</v>
      </c>
      <c r="EO294" s="2346">
        <v>15.45</v>
      </c>
      <c r="EP294" s="2346">
        <v>16.34</v>
      </c>
      <c r="EQ294" s="2346">
        <v>17.23</v>
      </c>
      <c r="ER294" s="2346">
        <v>18.12</v>
      </c>
      <c r="ES294" s="2346">
        <v>20</v>
      </c>
      <c r="ET294" s="2346">
        <v>20.399999999999999</v>
      </c>
      <c r="EU294" s="2346">
        <v>23.07</v>
      </c>
      <c r="EV294" s="2346">
        <v>25.25</v>
      </c>
      <c r="EW294" s="2346">
        <v>27.82</v>
      </c>
      <c r="EX294" s="2346">
        <v>30.99</v>
      </c>
      <c r="EY294" s="2346">
        <v>33.270000000000003</v>
      </c>
      <c r="EZ294" s="2346">
        <v>39.21</v>
      </c>
      <c r="FA294" s="2347">
        <v>650</v>
      </c>
      <c r="FB294" s="2275"/>
      <c r="FC294" s="2275">
        <f>HLOOKUP(FC288,DZ289:EZ301,4,0)</f>
        <v>8.7100000000000009</v>
      </c>
      <c r="FD294" s="2275">
        <f t="shared" si="140"/>
        <v>15.05</v>
      </c>
      <c r="FE294" s="2275">
        <v>550</v>
      </c>
      <c r="FF294" s="2275"/>
      <c r="FG294" s="2275"/>
      <c r="FH294" s="2275"/>
      <c r="FI294" s="2275"/>
      <c r="FJ294" s="2275"/>
      <c r="FK294" s="2275"/>
      <c r="FL294" s="2250"/>
      <c r="FM294" s="2250"/>
      <c r="FN294" s="2250"/>
      <c r="FO294" s="2250"/>
      <c r="FP294" s="2250"/>
      <c r="FQ294" s="2250"/>
      <c r="FR294" s="2250"/>
      <c r="FS294" s="2250"/>
      <c r="FT294" s="2250"/>
      <c r="FU294" s="2250"/>
      <c r="FV294" s="2250"/>
      <c r="FW294" s="2250"/>
      <c r="FX294" s="2250"/>
      <c r="FY294" s="2250"/>
      <c r="FZ294" s="2250"/>
      <c r="GA294" s="2250"/>
      <c r="GB294" s="2276"/>
      <c r="GC294" s="2276"/>
      <c r="GD294" s="2250"/>
      <c r="GE294" s="2275"/>
      <c r="GF294" s="2275"/>
      <c r="GG294" s="2345">
        <v>650</v>
      </c>
      <c r="GH294" s="2346">
        <v>5.45</v>
      </c>
      <c r="GI294" s="2346">
        <v>6.14</v>
      </c>
      <c r="GJ294" s="2346">
        <v>6.73</v>
      </c>
      <c r="GK294" s="2346">
        <v>7.13</v>
      </c>
      <c r="GL294" s="2346">
        <v>7.13</v>
      </c>
      <c r="GM294" s="2346">
        <v>7.72</v>
      </c>
      <c r="GN294" s="2346">
        <v>8.51</v>
      </c>
      <c r="GO294" s="2346">
        <v>9.11</v>
      </c>
      <c r="GP294" s="2346">
        <v>9.5</v>
      </c>
      <c r="GQ294" s="2346">
        <v>10.5</v>
      </c>
      <c r="GR294" s="2346">
        <v>11.68</v>
      </c>
      <c r="GS294" s="2346">
        <v>12.57</v>
      </c>
      <c r="GT294" s="2346">
        <v>13.66</v>
      </c>
      <c r="GU294" s="2346">
        <v>13.66</v>
      </c>
      <c r="GV294" s="2346">
        <v>14.36</v>
      </c>
      <c r="GW294" s="2346">
        <v>15.45</v>
      </c>
      <c r="GX294" s="2346">
        <v>16.34</v>
      </c>
      <c r="GY294" s="2346">
        <v>17.23</v>
      </c>
      <c r="GZ294" s="2346">
        <v>18.12</v>
      </c>
      <c r="HA294" s="2346">
        <v>20</v>
      </c>
      <c r="HB294" s="2346">
        <v>20.399999999999999</v>
      </c>
      <c r="HC294" s="2346">
        <v>23.07</v>
      </c>
      <c r="HD294" s="2346">
        <v>25.25</v>
      </c>
      <c r="HE294" s="2346">
        <v>27.82</v>
      </c>
      <c r="HF294" s="2346">
        <v>30.99</v>
      </c>
      <c r="HG294" s="2346">
        <v>33.270000000000003</v>
      </c>
      <c r="HH294" s="2346">
        <v>39.21</v>
      </c>
      <c r="HI294" s="2347">
        <v>650</v>
      </c>
      <c r="HJ294" s="2275"/>
      <c r="HK294" s="2275">
        <f>HLOOKUP(HK288,GH289:HH301,4,0)</f>
        <v>7.72</v>
      </c>
      <c r="HL294" s="2275">
        <f t="shared" si="141"/>
        <v>14.36</v>
      </c>
      <c r="HM294" s="2275">
        <v>550</v>
      </c>
      <c r="HN294" s="2275"/>
      <c r="HO294" s="2275"/>
      <c r="HP294" s="2275"/>
      <c r="HQ294" s="2275"/>
      <c r="HR294" s="2275"/>
      <c r="HS294" s="2275"/>
      <c r="HT294" s="2250"/>
      <c r="HU294" s="2250"/>
      <c r="HV294" s="2250"/>
      <c r="HW294" s="2250"/>
      <c r="HX294" s="2250"/>
      <c r="HY294" s="2250"/>
      <c r="HZ294" s="2250"/>
      <c r="IA294" s="2250"/>
      <c r="IB294" s="2250"/>
      <c r="IC294" s="2250"/>
      <c r="ID294" s="2250"/>
      <c r="IE294" s="2250"/>
      <c r="IF294" s="2250"/>
      <c r="IG294" s="2250"/>
      <c r="IH294" s="2250"/>
      <c r="II294" s="2250"/>
      <c r="IJ294" s="2250"/>
      <c r="IK294" s="2250"/>
      <c r="IL294" s="2250"/>
      <c r="IN294" s="277"/>
      <c r="IO294" s="277"/>
    </row>
    <row r="295" spans="1:249" ht="21.95" customHeight="1">
      <c r="A295" s="2275"/>
      <c r="B295" s="2275"/>
      <c r="C295" s="2345">
        <v>775</v>
      </c>
      <c r="D295" s="2346">
        <v>8.32</v>
      </c>
      <c r="E295" s="2346">
        <v>9.41</v>
      </c>
      <c r="F295" s="2346">
        <v>10.4</v>
      </c>
      <c r="G295" s="2346">
        <v>11.58</v>
      </c>
      <c r="H295" s="2346">
        <v>12.67</v>
      </c>
      <c r="I295" s="2346">
        <v>11.88</v>
      </c>
      <c r="J295" s="2346">
        <v>13.17</v>
      </c>
      <c r="K295" s="2346">
        <v>13.96</v>
      </c>
      <c r="L295" s="2346">
        <v>15.35</v>
      </c>
      <c r="M295" s="2346">
        <v>16.34</v>
      </c>
      <c r="N295" s="2346">
        <v>19.309999999999999</v>
      </c>
      <c r="O295" s="2346">
        <v>20.79</v>
      </c>
      <c r="P295" s="2346">
        <v>21.78</v>
      </c>
      <c r="Q295" s="2346">
        <v>21.09</v>
      </c>
      <c r="R295" s="2346">
        <v>22.67</v>
      </c>
      <c r="S295" s="2346">
        <v>24.65</v>
      </c>
      <c r="T295" s="2346">
        <v>25.94</v>
      </c>
      <c r="U295" s="2346">
        <v>27.13</v>
      </c>
      <c r="V295" s="2346">
        <v>28.81</v>
      </c>
      <c r="W295" s="2346">
        <v>31.68</v>
      </c>
      <c r="X295" s="2346">
        <v>33.56</v>
      </c>
      <c r="Y295" s="2346">
        <v>36.83</v>
      </c>
      <c r="Z295" s="2346">
        <v>40.89</v>
      </c>
      <c r="AA295" s="2346">
        <v>45.05</v>
      </c>
      <c r="AB295" s="2346">
        <v>50.2</v>
      </c>
      <c r="AC295" s="2346">
        <v>57.13</v>
      </c>
      <c r="AD295" s="2346">
        <v>64.459999999999994</v>
      </c>
      <c r="AE295" s="2347">
        <v>775</v>
      </c>
      <c r="AF295" s="2275"/>
      <c r="AG295" s="2275">
        <f>HLOOKUP(AG288,D289:AD301,5,0)</f>
        <v>10.59</v>
      </c>
      <c r="AH295" s="2275">
        <f t="shared" si="138"/>
        <v>17.23</v>
      </c>
      <c r="AI295" s="2275">
        <v>650</v>
      </c>
      <c r="AJ295" s="2275"/>
      <c r="AK295" s="2275"/>
      <c r="AL295" s="2275"/>
      <c r="AM295" s="2275"/>
      <c r="AN295" s="2275"/>
      <c r="AO295" s="2275"/>
      <c r="AP295" s="2250"/>
      <c r="AQ295" s="2250"/>
      <c r="AR295" s="2250"/>
      <c r="AS295" s="2250"/>
      <c r="AT295" s="2250"/>
      <c r="AU295" s="2250"/>
      <c r="AV295" s="2250"/>
      <c r="AW295" s="2250"/>
      <c r="AX295" s="2250"/>
      <c r="AY295" s="2250"/>
      <c r="AZ295" s="2250"/>
      <c r="BA295" s="2250"/>
      <c r="BB295" s="2250"/>
      <c r="BC295" s="2250"/>
      <c r="BD295" s="2250"/>
      <c r="BE295" s="2250"/>
      <c r="BF295" s="2276"/>
      <c r="BG295" s="2276"/>
      <c r="BH295" s="2250"/>
      <c r="BI295" s="2275"/>
      <c r="BJ295" s="2275"/>
      <c r="BK295" s="2345">
        <v>775</v>
      </c>
      <c r="BL295" s="2346">
        <v>8.32</v>
      </c>
      <c r="BM295" s="2346">
        <v>9.41</v>
      </c>
      <c r="BN295" s="2346">
        <v>10.4</v>
      </c>
      <c r="BO295" s="2346">
        <v>11.58</v>
      </c>
      <c r="BP295" s="2346">
        <v>12.67</v>
      </c>
      <c r="BQ295" s="2346">
        <v>11.88</v>
      </c>
      <c r="BR295" s="2346">
        <v>13.17</v>
      </c>
      <c r="BS295" s="2346">
        <v>13.96</v>
      </c>
      <c r="BT295" s="2346">
        <v>15.35</v>
      </c>
      <c r="BU295" s="2346">
        <v>16.34</v>
      </c>
      <c r="BV295" s="2346">
        <v>19.309999999999999</v>
      </c>
      <c r="BW295" s="2346">
        <v>20.79</v>
      </c>
      <c r="BX295" s="2346">
        <v>21.78</v>
      </c>
      <c r="BY295" s="2346">
        <v>21.09</v>
      </c>
      <c r="BZ295" s="2346">
        <v>22.67</v>
      </c>
      <c r="CA295" s="2346">
        <v>24.65</v>
      </c>
      <c r="CB295" s="2346">
        <v>25.94</v>
      </c>
      <c r="CC295" s="2346">
        <v>27.13</v>
      </c>
      <c r="CD295" s="2346">
        <v>28.81</v>
      </c>
      <c r="CE295" s="2346">
        <v>31.68</v>
      </c>
      <c r="CF295" s="2346">
        <v>33.56</v>
      </c>
      <c r="CG295" s="2346">
        <v>36.83</v>
      </c>
      <c r="CH295" s="2346">
        <v>40.89</v>
      </c>
      <c r="CI295" s="2346">
        <v>45.05</v>
      </c>
      <c r="CJ295" s="2346">
        <v>50.2</v>
      </c>
      <c r="CK295" s="2346">
        <v>57.13</v>
      </c>
      <c r="CL295" s="2346">
        <v>64.459999999999994</v>
      </c>
      <c r="CM295" s="2347">
        <v>775</v>
      </c>
      <c r="CN295" s="2275"/>
      <c r="CO295" s="2275">
        <f>HLOOKUP(CO288,BL289:CL301,5,0)</f>
        <v>9.8000000000000007</v>
      </c>
      <c r="CP295" s="2275">
        <f t="shared" si="139"/>
        <v>16.34</v>
      </c>
      <c r="CQ295" s="2275">
        <v>650</v>
      </c>
      <c r="CR295" s="2275"/>
      <c r="CS295" s="2275"/>
      <c r="CT295" s="2275"/>
      <c r="CU295" s="2275"/>
      <c r="CV295" s="2275"/>
      <c r="CW295" s="2275"/>
      <c r="CX295" s="2250"/>
      <c r="CY295" s="2250"/>
      <c r="CZ295" s="2250"/>
      <c r="DA295" s="2250"/>
      <c r="DB295" s="2250"/>
      <c r="DC295" s="2250"/>
      <c r="DD295" s="2250"/>
      <c r="DE295" s="2250"/>
      <c r="DF295" s="2250"/>
      <c r="DG295" s="2250"/>
      <c r="DH295" s="2250"/>
      <c r="DI295" s="2250"/>
      <c r="DJ295" s="2250"/>
      <c r="DK295" s="2250"/>
      <c r="DL295" s="2250"/>
      <c r="DM295" s="2250"/>
      <c r="DN295" s="2250"/>
      <c r="DO295" s="2250"/>
      <c r="DP295" s="2250"/>
      <c r="DQ295" s="2277"/>
      <c r="DR295" s="2277"/>
      <c r="DS295" s="277"/>
      <c r="DW295" s="2275"/>
      <c r="DX295" s="2275"/>
      <c r="DY295" s="2345">
        <v>775</v>
      </c>
      <c r="DZ295" s="2346">
        <v>8.32</v>
      </c>
      <c r="EA295" s="2346">
        <v>9.41</v>
      </c>
      <c r="EB295" s="2346">
        <v>10.4</v>
      </c>
      <c r="EC295" s="2346">
        <v>11.58</v>
      </c>
      <c r="ED295" s="2346">
        <v>12.67</v>
      </c>
      <c r="EE295" s="2346">
        <v>11.88</v>
      </c>
      <c r="EF295" s="2346">
        <v>13.17</v>
      </c>
      <c r="EG295" s="2346">
        <v>13.96</v>
      </c>
      <c r="EH295" s="2346">
        <v>15.35</v>
      </c>
      <c r="EI295" s="2346">
        <v>16.34</v>
      </c>
      <c r="EJ295" s="2346">
        <v>19.309999999999999</v>
      </c>
      <c r="EK295" s="2346">
        <v>20.79</v>
      </c>
      <c r="EL295" s="2346">
        <v>21.78</v>
      </c>
      <c r="EM295" s="2346">
        <v>21.09</v>
      </c>
      <c r="EN295" s="2346">
        <v>22.67</v>
      </c>
      <c r="EO295" s="2346">
        <v>24.65</v>
      </c>
      <c r="EP295" s="2346">
        <v>25.94</v>
      </c>
      <c r="EQ295" s="2346">
        <v>27.13</v>
      </c>
      <c r="ER295" s="2346">
        <v>28.81</v>
      </c>
      <c r="ES295" s="2346">
        <v>31.68</v>
      </c>
      <c r="ET295" s="2346">
        <v>33.56</v>
      </c>
      <c r="EU295" s="2346">
        <v>36.83</v>
      </c>
      <c r="EV295" s="2346">
        <v>40.89</v>
      </c>
      <c r="EW295" s="2346">
        <v>45.05</v>
      </c>
      <c r="EX295" s="2346">
        <v>50.2</v>
      </c>
      <c r="EY295" s="2346">
        <v>57.13</v>
      </c>
      <c r="EZ295" s="2346">
        <v>64.459999999999994</v>
      </c>
      <c r="FA295" s="2347">
        <v>775</v>
      </c>
      <c r="FB295" s="2275"/>
      <c r="FC295" s="2275">
        <f>HLOOKUP(FC288,DZ289:EZ301,5,0)</f>
        <v>15.05</v>
      </c>
      <c r="FD295" s="2275">
        <f t="shared" si="140"/>
        <v>25.25</v>
      </c>
      <c r="FE295" s="2275">
        <v>650</v>
      </c>
      <c r="FF295" s="2275"/>
      <c r="FG295" s="2275"/>
      <c r="FH295" s="2275"/>
      <c r="FI295" s="2275"/>
      <c r="FJ295" s="2275"/>
      <c r="FK295" s="2275"/>
      <c r="FL295" s="2250"/>
      <c r="FM295" s="2250"/>
      <c r="FN295" s="2250"/>
      <c r="FO295" s="2250"/>
      <c r="FP295" s="2250"/>
      <c r="FQ295" s="2250"/>
      <c r="FR295" s="2250"/>
      <c r="FS295" s="2250"/>
      <c r="FT295" s="2250"/>
      <c r="FU295" s="2250"/>
      <c r="FV295" s="2250"/>
      <c r="FW295" s="2250"/>
      <c r="FX295" s="2250"/>
      <c r="FY295" s="2250"/>
      <c r="FZ295" s="2250"/>
      <c r="GA295" s="2250"/>
      <c r="GB295" s="2276"/>
      <c r="GC295" s="2276"/>
      <c r="GD295" s="2250"/>
      <c r="GE295" s="2275"/>
      <c r="GF295" s="2275"/>
      <c r="GG295" s="2345">
        <v>775</v>
      </c>
      <c r="GH295" s="2346">
        <v>8.32</v>
      </c>
      <c r="GI295" s="2346">
        <v>9.41</v>
      </c>
      <c r="GJ295" s="2346">
        <v>10.4</v>
      </c>
      <c r="GK295" s="2346">
        <v>11.58</v>
      </c>
      <c r="GL295" s="2346">
        <v>12.67</v>
      </c>
      <c r="GM295" s="2346">
        <v>11.88</v>
      </c>
      <c r="GN295" s="2346">
        <v>13.17</v>
      </c>
      <c r="GO295" s="2346">
        <v>13.96</v>
      </c>
      <c r="GP295" s="2346">
        <v>15.35</v>
      </c>
      <c r="GQ295" s="2346">
        <v>16.34</v>
      </c>
      <c r="GR295" s="2346">
        <v>19.309999999999999</v>
      </c>
      <c r="GS295" s="2346">
        <v>20.79</v>
      </c>
      <c r="GT295" s="2346">
        <v>21.78</v>
      </c>
      <c r="GU295" s="2346">
        <v>21.09</v>
      </c>
      <c r="GV295" s="2346">
        <v>22.67</v>
      </c>
      <c r="GW295" s="2346">
        <v>24.65</v>
      </c>
      <c r="GX295" s="2346">
        <v>25.94</v>
      </c>
      <c r="GY295" s="2346">
        <v>27.13</v>
      </c>
      <c r="GZ295" s="2346">
        <v>28.81</v>
      </c>
      <c r="HA295" s="2346">
        <v>31.68</v>
      </c>
      <c r="HB295" s="2346">
        <v>33.56</v>
      </c>
      <c r="HC295" s="2346">
        <v>36.83</v>
      </c>
      <c r="HD295" s="2346">
        <v>40.89</v>
      </c>
      <c r="HE295" s="2346">
        <v>45.05</v>
      </c>
      <c r="HF295" s="2346">
        <v>50.2</v>
      </c>
      <c r="HG295" s="2346">
        <v>57.13</v>
      </c>
      <c r="HH295" s="2346">
        <v>64.459999999999994</v>
      </c>
      <c r="HI295" s="2347">
        <v>775</v>
      </c>
      <c r="HJ295" s="2275"/>
      <c r="HK295" s="2275">
        <f>HLOOKUP(HK288,GH289:HH301,5,0)</f>
        <v>14.36</v>
      </c>
      <c r="HL295" s="2275">
        <f t="shared" si="141"/>
        <v>23.07</v>
      </c>
      <c r="HM295" s="2275">
        <v>650</v>
      </c>
      <c r="HN295" s="2275"/>
      <c r="HO295" s="2275"/>
      <c r="HP295" s="2275"/>
      <c r="HQ295" s="2275"/>
      <c r="HR295" s="2275"/>
      <c r="HS295" s="2275"/>
      <c r="HT295" s="2250"/>
      <c r="HU295" s="2250"/>
      <c r="HV295" s="2250"/>
      <c r="HW295" s="2250"/>
      <c r="HX295" s="2250"/>
      <c r="HY295" s="2250"/>
      <c r="HZ295" s="2250"/>
      <c r="IA295" s="2250"/>
      <c r="IB295" s="2250"/>
      <c r="IC295" s="2250"/>
      <c r="ID295" s="2250"/>
      <c r="IE295" s="2250"/>
      <c r="IF295" s="2250"/>
      <c r="IG295" s="2250"/>
      <c r="IH295" s="2250"/>
      <c r="II295" s="2250"/>
      <c r="IJ295" s="2250"/>
      <c r="IK295" s="2250"/>
      <c r="IL295" s="2250"/>
      <c r="IN295" s="277"/>
      <c r="IO295" s="277"/>
    </row>
    <row r="296" spans="1:249" ht="21.95" customHeight="1">
      <c r="A296" s="2275"/>
      <c r="B296" s="2275"/>
      <c r="C296" s="2345">
        <v>825</v>
      </c>
      <c r="D296" s="2346">
        <v>12.18</v>
      </c>
      <c r="E296" s="2346">
        <v>13.37</v>
      </c>
      <c r="F296" s="2346">
        <v>14.55</v>
      </c>
      <c r="G296" s="2346">
        <v>14.65</v>
      </c>
      <c r="H296" s="2346">
        <v>16.239999999999998</v>
      </c>
      <c r="I296" s="2346">
        <v>16.63</v>
      </c>
      <c r="J296" s="2346">
        <v>18.22</v>
      </c>
      <c r="K296" s="2346">
        <v>19.5</v>
      </c>
      <c r="L296" s="2346">
        <v>20.69</v>
      </c>
      <c r="M296" s="2346">
        <v>21.98</v>
      </c>
      <c r="N296" s="2346">
        <v>23.17</v>
      </c>
      <c r="O296" s="2346">
        <v>25.94</v>
      </c>
      <c r="P296" s="2346">
        <v>27.13</v>
      </c>
      <c r="Q296" s="2346">
        <v>27.72</v>
      </c>
      <c r="R296" s="2346">
        <v>28.51</v>
      </c>
      <c r="S296" s="2346">
        <v>31.29</v>
      </c>
      <c r="T296" s="2346">
        <v>31.58</v>
      </c>
      <c r="U296" s="2346">
        <v>34.950000000000003</v>
      </c>
      <c r="V296" s="2346">
        <v>37.03</v>
      </c>
      <c r="W296" s="2346">
        <v>39.21</v>
      </c>
      <c r="X296" s="2346">
        <v>42.48</v>
      </c>
      <c r="Y296" s="2346">
        <v>45.94</v>
      </c>
      <c r="Z296" s="2346">
        <v>51.68</v>
      </c>
      <c r="AA296" s="2346">
        <v>57.43</v>
      </c>
      <c r="AB296" s="2346">
        <v>64.16</v>
      </c>
      <c r="AC296" s="2346">
        <v>69.7</v>
      </c>
      <c r="AD296" s="2346">
        <v>78.61</v>
      </c>
      <c r="AE296" s="2347">
        <v>825</v>
      </c>
      <c r="AF296" s="2275"/>
      <c r="AG296" s="2275">
        <f>HLOOKUP(AG288,D289:AD301,6,0)</f>
        <v>17.23</v>
      </c>
      <c r="AH296" s="2275">
        <f t="shared" si="138"/>
        <v>27.13</v>
      </c>
      <c r="AI296" s="2275">
        <v>775</v>
      </c>
      <c r="AJ296" s="2275"/>
      <c r="AK296" s="2275"/>
      <c r="AL296" s="2275"/>
      <c r="AM296" s="2275"/>
      <c r="AN296" s="2275"/>
      <c r="AO296" s="2275"/>
      <c r="AP296" s="2250"/>
      <c r="AQ296" s="2250"/>
      <c r="AR296" s="2250"/>
      <c r="AS296" s="2250"/>
      <c r="AT296" s="2250"/>
      <c r="AU296" s="2250"/>
      <c r="AV296" s="2250"/>
      <c r="AW296" s="2250"/>
      <c r="AX296" s="2250"/>
      <c r="AY296" s="2250"/>
      <c r="AZ296" s="2250"/>
      <c r="BA296" s="2250"/>
      <c r="BB296" s="2250"/>
      <c r="BC296" s="2250"/>
      <c r="BD296" s="2250"/>
      <c r="BE296" s="2250"/>
      <c r="BF296" s="2276"/>
      <c r="BG296" s="2276"/>
      <c r="BH296" s="2250"/>
      <c r="BI296" s="2275"/>
      <c r="BJ296" s="2275"/>
      <c r="BK296" s="2345">
        <v>825</v>
      </c>
      <c r="BL296" s="2346">
        <v>12.18</v>
      </c>
      <c r="BM296" s="2346">
        <v>13.37</v>
      </c>
      <c r="BN296" s="2346">
        <v>14.55</v>
      </c>
      <c r="BO296" s="2346">
        <v>14.65</v>
      </c>
      <c r="BP296" s="2346">
        <v>16.239999999999998</v>
      </c>
      <c r="BQ296" s="2346">
        <v>16.63</v>
      </c>
      <c r="BR296" s="2346">
        <v>18.22</v>
      </c>
      <c r="BS296" s="2346">
        <v>19.5</v>
      </c>
      <c r="BT296" s="2346">
        <v>20.69</v>
      </c>
      <c r="BU296" s="2346">
        <v>21.98</v>
      </c>
      <c r="BV296" s="2346">
        <v>23.17</v>
      </c>
      <c r="BW296" s="2346">
        <v>25.94</v>
      </c>
      <c r="BX296" s="2346">
        <v>27.13</v>
      </c>
      <c r="BY296" s="2346">
        <v>27.72</v>
      </c>
      <c r="BZ296" s="2346">
        <v>28.51</v>
      </c>
      <c r="CA296" s="2346">
        <v>31.29</v>
      </c>
      <c r="CB296" s="2346">
        <v>31.58</v>
      </c>
      <c r="CC296" s="2346">
        <v>34.950000000000003</v>
      </c>
      <c r="CD296" s="2346">
        <v>37.03</v>
      </c>
      <c r="CE296" s="2346">
        <v>39.21</v>
      </c>
      <c r="CF296" s="2346">
        <v>42.48</v>
      </c>
      <c r="CG296" s="2346">
        <v>45.94</v>
      </c>
      <c r="CH296" s="2346">
        <v>51.68</v>
      </c>
      <c r="CI296" s="2346">
        <v>57.43</v>
      </c>
      <c r="CJ296" s="2346">
        <v>64.16</v>
      </c>
      <c r="CK296" s="2346">
        <v>69.7</v>
      </c>
      <c r="CL296" s="2346">
        <v>78.61</v>
      </c>
      <c r="CM296" s="2347">
        <v>825</v>
      </c>
      <c r="CN296" s="2275"/>
      <c r="CO296" s="2275">
        <f>HLOOKUP(CO288,BL289:CL301,6,0)</f>
        <v>16.34</v>
      </c>
      <c r="CP296" s="2275">
        <f t="shared" si="139"/>
        <v>25.94</v>
      </c>
      <c r="CQ296" s="2275">
        <v>775</v>
      </c>
      <c r="CR296" s="2275"/>
      <c r="CS296" s="2275"/>
      <c r="CT296" s="2275"/>
      <c r="CU296" s="2275"/>
      <c r="CV296" s="2275"/>
      <c r="CW296" s="2275"/>
      <c r="CX296" s="2250"/>
      <c r="CY296" s="2250"/>
      <c r="CZ296" s="2250"/>
      <c r="DA296" s="2250"/>
      <c r="DB296" s="2250"/>
      <c r="DC296" s="2250"/>
      <c r="DD296" s="2250"/>
      <c r="DE296" s="2250"/>
      <c r="DF296" s="2250"/>
      <c r="DG296" s="2250"/>
      <c r="DH296" s="2250"/>
      <c r="DI296" s="2250"/>
      <c r="DJ296" s="2250"/>
      <c r="DK296" s="2250"/>
      <c r="DL296" s="2250"/>
      <c r="DM296" s="2250"/>
      <c r="DN296" s="2250"/>
      <c r="DO296" s="2250"/>
      <c r="DP296" s="2250"/>
      <c r="DQ296" s="2277"/>
      <c r="DR296" s="2277"/>
      <c r="DS296" s="277"/>
      <c r="DW296" s="2275"/>
      <c r="DX296" s="2275"/>
      <c r="DY296" s="2345">
        <v>825</v>
      </c>
      <c r="DZ296" s="2346">
        <v>12.18</v>
      </c>
      <c r="EA296" s="2346">
        <v>13.37</v>
      </c>
      <c r="EB296" s="2346">
        <v>14.55</v>
      </c>
      <c r="EC296" s="2346">
        <v>14.65</v>
      </c>
      <c r="ED296" s="2346">
        <v>16.239999999999998</v>
      </c>
      <c r="EE296" s="2346">
        <v>16.63</v>
      </c>
      <c r="EF296" s="2346">
        <v>18.22</v>
      </c>
      <c r="EG296" s="2346">
        <v>19.5</v>
      </c>
      <c r="EH296" s="2346">
        <v>20.69</v>
      </c>
      <c r="EI296" s="2346">
        <v>21.98</v>
      </c>
      <c r="EJ296" s="2346">
        <v>23.17</v>
      </c>
      <c r="EK296" s="2346">
        <v>25.94</v>
      </c>
      <c r="EL296" s="2346">
        <v>27.13</v>
      </c>
      <c r="EM296" s="2346">
        <v>27.72</v>
      </c>
      <c r="EN296" s="2346">
        <v>28.51</v>
      </c>
      <c r="EO296" s="2346">
        <v>31.29</v>
      </c>
      <c r="EP296" s="2346">
        <v>31.58</v>
      </c>
      <c r="EQ296" s="2346">
        <v>34.950000000000003</v>
      </c>
      <c r="ER296" s="2346">
        <v>37.03</v>
      </c>
      <c r="ES296" s="2346">
        <v>39.21</v>
      </c>
      <c r="ET296" s="2346">
        <v>42.48</v>
      </c>
      <c r="EU296" s="2346">
        <v>45.94</v>
      </c>
      <c r="EV296" s="2346">
        <v>51.68</v>
      </c>
      <c r="EW296" s="2346">
        <v>57.43</v>
      </c>
      <c r="EX296" s="2346">
        <v>64.16</v>
      </c>
      <c r="EY296" s="2346">
        <v>69.7</v>
      </c>
      <c r="EZ296" s="2346">
        <v>78.61</v>
      </c>
      <c r="FA296" s="2347">
        <v>825</v>
      </c>
      <c r="FB296" s="2275"/>
      <c r="FC296" s="2275">
        <f>HLOOKUP(FC288,DZ289:EZ301,6,0)</f>
        <v>25.25</v>
      </c>
      <c r="FD296" s="2275">
        <f t="shared" si="140"/>
        <v>40.89</v>
      </c>
      <c r="FE296" s="2275">
        <v>775</v>
      </c>
      <c r="FF296" s="2275"/>
      <c r="FG296" s="2275"/>
      <c r="FH296" s="2275"/>
      <c r="FI296" s="2275"/>
      <c r="FJ296" s="2275"/>
      <c r="FK296" s="2275"/>
      <c r="FL296" s="2250"/>
      <c r="FM296" s="2250"/>
      <c r="FN296" s="2250"/>
      <c r="FO296" s="2250"/>
      <c r="FP296" s="2250"/>
      <c r="FQ296" s="2250"/>
      <c r="FR296" s="2250"/>
      <c r="FS296" s="2250"/>
      <c r="FT296" s="2250"/>
      <c r="FU296" s="2250"/>
      <c r="FV296" s="2250"/>
      <c r="FW296" s="2250"/>
      <c r="FX296" s="2250"/>
      <c r="FY296" s="2250"/>
      <c r="FZ296" s="2250"/>
      <c r="GA296" s="2250"/>
      <c r="GB296" s="2276"/>
      <c r="GC296" s="2276"/>
      <c r="GD296" s="2250"/>
      <c r="GE296" s="2275"/>
      <c r="GF296" s="2275"/>
      <c r="GG296" s="2345">
        <v>825</v>
      </c>
      <c r="GH296" s="2346">
        <v>12.18</v>
      </c>
      <c r="GI296" s="2346">
        <v>13.37</v>
      </c>
      <c r="GJ296" s="2346">
        <v>14.55</v>
      </c>
      <c r="GK296" s="2346">
        <v>14.65</v>
      </c>
      <c r="GL296" s="2346">
        <v>16.239999999999998</v>
      </c>
      <c r="GM296" s="2346">
        <v>16.63</v>
      </c>
      <c r="GN296" s="2346">
        <v>18.22</v>
      </c>
      <c r="GO296" s="2346">
        <v>19.5</v>
      </c>
      <c r="GP296" s="2346">
        <v>20.69</v>
      </c>
      <c r="GQ296" s="2346">
        <v>21.98</v>
      </c>
      <c r="GR296" s="2346">
        <v>23.17</v>
      </c>
      <c r="GS296" s="2346">
        <v>25.94</v>
      </c>
      <c r="GT296" s="2346">
        <v>27.13</v>
      </c>
      <c r="GU296" s="2346">
        <v>27.72</v>
      </c>
      <c r="GV296" s="2346">
        <v>28.51</v>
      </c>
      <c r="GW296" s="2346">
        <v>31.29</v>
      </c>
      <c r="GX296" s="2346">
        <v>31.58</v>
      </c>
      <c r="GY296" s="2346">
        <v>34.950000000000003</v>
      </c>
      <c r="GZ296" s="2346">
        <v>37.03</v>
      </c>
      <c r="HA296" s="2346">
        <v>39.21</v>
      </c>
      <c r="HB296" s="2346">
        <v>42.48</v>
      </c>
      <c r="HC296" s="2346">
        <v>45.94</v>
      </c>
      <c r="HD296" s="2346">
        <v>51.68</v>
      </c>
      <c r="HE296" s="2346">
        <v>57.43</v>
      </c>
      <c r="HF296" s="2346">
        <v>64.16</v>
      </c>
      <c r="HG296" s="2346">
        <v>69.7</v>
      </c>
      <c r="HH296" s="2346">
        <v>78.61</v>
      </c>
      <c r="HI296" s="2347">
        <v>825</v>
      </c>
      <c r="HJ296" s="2275"/>
      <c r="HK296" s="2275">
        <f>HLOOKUP(HK288,GH289:HH301,6,0)</f>
        <v>23.07</v>
      </c>
      <c r="HL296" s="2275">
        <f t="shared" si="141"/>
        <v>36.83</v>
      </c>
      <c r="HM296" s="2275">
        <v>775</v>
      </c>
      <c r="HN296" s="2275"/>
      <c r="HO296" s="2275"/>
      <c r="HP296" s="2275"/>
      <c r="HQ296" s="2275"/>
      <c r="HR296" s="2275"/>
      <c r="HS296" s="2275"/>
      <c r="HT296" s="2250"/>
      <c r="HU296" s="2250"/>
      <c r="HV296" s="2250"/>
      <c r="HW296" s="2250"/>
      <c r="HX296" s="2250"/>
      <c r="HY296" s="2250"/>
      <c r="HZ296" s="2250"/>
      <c r="IA296" s="2250"/>
      <c r="IB296" s="2250"/>
      <c r="IC296" s="2250"/>
      <c r="ID296" s="2250"/>
      <c r="IE296" s="2250"/>
      <c r="IF296" s="2250"/>
      <c r="IG296" s="2250"/>
      <c r="IH296" s="2250"/>
      <c r="II296" s="2250"/>
      <c r="IJ296" s="2250"/>
      <c r="IK296" s="2250"/>
      <c r="IL296" s="2250"/>
      <c r="IN296" s="277"/>
      <c r="IO296" s="277"/>
    </row>
    <row r="297" spans="1:249" ht="21.95" customHeight="1">
      <c r="A297" s="2275"/>
      <c r="B297" s="2275"/>
      <c r="C297" s="2345">
        <v>950</v>
      </c>
      <c r="D297" s="2346">
        <v>16.93</v>
      </c>
      <c r="E297" s="2346">
        <v>19.010000000000002</v>
      </c>
      <c r="F297" s="2346">
        <v>21.09</v>
      </c>
      <c r="G297" s="2346">
        <v>22.28</v>
      </c>
      <c r="H297" s="2346">
        <v>22.28</v>
      </c>
      <c r="I297" s="2346">
        <v>23.96</v>
      </c>
      <c r="J297" s="2346">
        <v>26.53</v>
      </c>
      <c r="K297" s="2346">
        <v>28.32</v>
      </c>
      <c r="L297" s="2346">
        <v>30.1</v>
      </c>
      <c r="M297" s="2346">
        <v>32.770000000000003</v>
      </c>
      <c r="N297" s="2346">
        <v>33.47</v>
      </c>
      <c r="O297" s="2346">
        <v>39.21</v>
      </c>
      <c r="P297" s="2346">
        <v>39.409999999999997</v>
      </c>
      <c r="Q297" s="2346">
        <v>39.700000000000003</v>
      </c>
      <c r="R297" s="2346">
        <v>41.78</v>
      </c>
      <c r="S297" s="2346">
        <v>45.54</v>
      </c>
      <c r="T297" s="2346">
        <v>48.71</v>
      </c>
      <c r="U297" s="2346">
        <v>51.19</v>
      </c>
      <c r="V297" s="2346">
        <v>53.76</v>
      </c>
      <c r="W297" s="2346">
        <v>59.01</v>
      </c>
      <c r="X297" s="2346">
        <v>63.47</v>
      </c>
      <c r="Y297" s="2346">
        <v>68.91</v>
      </c>
      <c r="Z297" s="2346">
        <v>74.650000000000006</v>
      </c>
      <c r="AA297" s="2346">
        <v>81.98</v>
      </c>
      <c r="AB297" s="2346">
        <v>90.2</v>
      </c>
      <c r="AC297" s="2346">
        <v>99.41</v>
      </c>
      <c r="AD297" s="2346">
        <v>117.33</v>
      </c>
      <c r="AE297" s="2347">
        <v>950</v>
      </c>
      <c r="AF297" s="2275"/>
      <c r="AG297" s="2275">
        <f>HLOOKUP(AG288,D289:AD301,7,0)</f>
        <v>27.13</v>
      </c>
      <c r="AH297" s="2275">
        <f t="shared" si="138"/>
        <v>34.950000000000003</v>
      </c>
      <c r="AI297" s="2275">
        <v>825</v>
      </c>
      <c r="AJ297" s="2275"/>
      <c r="AK297" s="2275"/>
      <c r="AL297" s="2275"/>
      <c r="AM297" s="2275"/>
      <c r="AN297" s="2275"/>
      <c r="AO297" s="2275"/>
      <c r="AP297" s="2250"/>
      <c r="AQ297" s="2250"/>
      <c r="AR297" s="2250"/>
      <c r="AS297" s="2250"/>
      <c r="AT297" s="2250"/>
      <c r="AU297" s="2250"/>
      <c r="AV297" s="2250"/>
      <c r="AW297" s="2250"/>
      <c r="AX297" s="2250"/>
      <c r="AY297" s="2250"/>
      <c r="AZ297" s="2250"/>
      <c r="BA297" s="2250"/>
      <c r="BB297" s="2250"/>
      <c r="BC297" s="2250"/>
      <c r="BD297" s="2250"/>
      <c r="BE297" s="2250"/>
      <c r="BF297" s="2276"/>
      <c r="BG297" s="2276"/>
      <c r="BH297" s="2250"/>
      <c r="BI297" s="2275"/>
      <c r="BJ297" s="2275"/>
      <c r="BK297" s="2345">
        <v>950</v>
      </c>
      <c r="BL297" s="2346">
        <v>16.93</v>
      </c>
      <c r="BM297" s="2346">
        <v>19.010000000000002</v>
      </c>
      <c r="BN297" s="2346">
        <v>21.09</v>
      </c>
      <c r="BO297" s="2346">
        <v>22.28</v>
      </c>
      <c r="BP297" s="2346">
        <v>22.28</v>
      </c>
      <c r="BQ297" s="2346">
        <v>23.96</v>
      </c>
      <c r="BR297" s="2346">
        <v>26.53</v>
      </c>
      <c r="BS297" s="2346">
        <v>28.32</v>
      </c>
      <c r="BT297" s="2346">
        <v>30.1</v>
      </c>
      <c r="BU297" s="2346">
        <v>32.770000000000003</v>
      </c>
      <c r="BV297" s="2346">
        <v>33.47</v>
      </c>
      <c r="BW297" s="2346">
        <v>39.21</v>
      </c>
      <c r="BX297" s="2346">
        <v>39.409999999999997</v>
      </c>
      <c r="BY297" s="2346">
        <v>39.700000000000003</v>
      </c>
      <c r="BZ297" s="2346">
        <v>41.78</v>
      </c>
      <c r="CA297" s="2346">
        <v>45.54</v>
      </c>
      <c r="CB297" s="2346">
        <v>48.71</v>
      </c>
      <c r="CC297" s="2346">
        <v>51.19</v>
      </c>
      <c r="CD297" s="2346">
        <v>53.76</v>
      </c>
      <c r="CE297" s="2346">
        <v>59.01</v>
      </c>
      <c r="CF297" s="2346">
        <v>63.47</v>
      </c>
      <c r="CG297" s="2346">
        <v>68.91</v>
      </c>
      <c r="CH297" s="2346">
        <v>74.650000000000006</v>
      </c>
      <c r="CI297" s="2346">
        <v>81.98</v>
      </c>
      <c r="CJ297" s="2346">
        <v>90.2</v>
      </c>
      <c r="CK297" s="2346">
        <v>99.41</v>
      </c>
      <c r="CL297" s="2346">
        <v>117.33</v>
      </c>
      <c r="CM297" s="2347">
        <v>950</v>
      </c>
      <c r="CN297" s="2275"/>
      <c r="CO297" s="2275">
        <f>HLOOKUP(CO288,BL289:CL301,7,0)</f>
        <v>25.94</v>
      </c>
      <c r="CP297" s="2275">
        <f t="shared" si="139"/>
        <v>31.58</v>
      </c>
      <c r="CQ297" s="2275">
        <v>825</v>
      </c>
      <c r="CR297" s="2275"/>
      <c r="CS297" s="2275"/>
      <c r="CT297" s="2275"/>
      <c r="CU297" s="2275"/>
      <c r="CV297" s="2275"/>
      <c r="CW297" s="2275"/>
      <c r="CX297" s="2250"/>
      <c r="CY297" s="2250"/>
      <c r="CZ297" s="2250"/>
      <c r="DA297" s="2250"/>
      <c r="DB297" s="2250"/>
      <c r="DC297" s="2250"/>
      <c r="DD297" s="2250"/>
      <c r="DE297" s="2250"/>
      <c r="DF297" s="2250"/>
      <c r="DG297" s="2250"/>
      <c r="DH297" s="2250"/>
      <c r="DI297" s="2250"/>
      <c r="DJ297" s="2250"/>
      <c r="DK297" s="2250"/>
      <c r="DL297" s="2250"/>
      <c r="DM297" s="2250"/>
      <c r="DN297" s="2250"/>
      <c r="DO297" s="2250"/>
      <c r="DP297" s="2250"/>
      <c r="DQ297" s="2277"/>
      <c r="DR297" s="2277"/>
      <c r="DS297" s="277"/>
      <c r="DW297" s="2275"/>
      <c r="DX297" s="2275"/>
      <c r="DY297" s="2345">
        <v>950</v>
      </c>
      <c r="DZ297" s="2346">
        <v>16.93</v>
      </c>
      <c r="EA297" s="2346">
        <v>19.010000000000002</v>
      </c>
      <c r="EB297" s="2346">
        <v>21.09</v>
      </c>
      <c r="EC297" s="2346">
        <v>22.28</v>
      </c>
      <c r="ED297" s="2346">
        <v>22.28</v>
      </c>
      <c r="EE297" s="2346">
        <v>23.96</v>
      </c>
      <c r="EF297" s="2346">
        <v>26.53</v>
      </c>
      <c r="EG297" s="2346">
        <v>28.32</v>
      </c>
      <c r="EH297" s="2346">
        <v>30.1</v>
      </c>
      <c r="EI297" s="2346">
        <v>32.770000000000003</v>
      </c>
      <c r="EJ297" s="2346">
        <v>33.47</v>
      </c>
      <c r="EK297" s="2346">
        <v>39.21</v>
      </c>
      <c r="EL297" s="2346">
        <v>39.409999999999997</v>
      </c>
      <c r="EM297" s="2346">
        <v>39.700000000000003</v>
      </c>
      <c r="EN297" s="2346">
        <v>41.78</v>
      </c>
      <c r="EO297" s="2346">
        <v>45.54</v>
      </c>
      <c r="EP297" s="2346">
        <v>48.71</v>
      </c>
      <c r="EQ297" s="2346">
        <v>51.19</v>
      </c>
      <c r="ER297" s="2346">
        <v>53.76</v>
      </c>
      <c r="ES297" s="2346">
        <v>59.01</v>
      </c>
      <c r="ET297" s="2346">
        <v>63.47</v>
      </c>
      <c r="EU297" s="2346">
        <v>68.91</v>
      </c>
      <c r="EV297" s="2346">
        <v>74.650000000000006</v>
      </c>
      <c r="EW297" s="2346">
        <v>81.98</v>
      </c>
      <c r="EX297" s="2346">
        <v>90.2</v>
      </c>
      <c r="EY297" s="2346">
        <v>99.41</v>
      </c>
      <c r="EZ297" s="2346">
        <v>117.33</v>
      </c>
      <c r="FA297" s="2347">
        <v>950</v>
      </c>
      <c r="FB297" s="2275"/>
      <c r="FC297" s="2275">
        <f>HLOOKUP(FC288,DZ289:EZ301,7,0)</f>
        <v>40.89</v>
      </c>
      <c r="FD297" s="2275">
        <f t="shared" si="140"/>
        <v>51.68</v>
      </c>
      <c r="FE297" s="2275">
        <v>825</v>
      </c>
      <c r="FF297" s="2275"/>
      <c r="FG297" s="2275"/>
      <c r="FH297" s="2275"/>
      <c r="FI297" s="2275"/>
      <c r="FJ297" s="2275"/>
      <c r="FK297" s="2275"/>
      <c r="FL297" s="2250"/>
      <c r="FM297" s="2250"/>
      <c r="FN297" s="2250"/>
      <c r="FO297" s="2250"/>
      <c r="FP297" s="2250"/>
      <c r="FQ297" s="2250"/>
      <c r="FR297" s="2250"/>
      <c r="FS297" s="2250"/>
      <c r="FT297" s="2250"/>
      <c r="FU297" s="2250"/>
      <c r="FV297" s="2250"/>
      <c r="FW297" s="2250"/>
      <c r="FX297" s="2250"/>
      <c r="FY297" s="2250"/>
      <c r="FZ297" s="2250"/>
      <c r="GA297" s="2250"/>
      <c r="GB297" s="2276"/>
      <c r="GC297" s="2276"/>
      <c r="GD297" s="2250"/>
      <c r="GE297" s="2275"/>
      <c r="GF297" s="2275"/>
      <c r="GG297" s="2345">
        <v>950</v>
      </c>
      <c r="GH297" s="2346">
        <v>16.93</v>
      </c>
      <c r="GI297" s="2346">
        <v>19.010000000000002</v>
      </c>
      <c r="GJ297" s="2346">
        <v>21.09</v>
      </c>
      <c r="GK297" s="2346">
        <v>22.28</v>
      </c>
      <c r="GL297" s="2346">
        <v>22.28</v>
      </c>
      <c r="GM297" s="2346">
        <v>23.96</v>
      </c>
      <c r="GN297" s="2346">
        <v>26.53</v>
      </c>
      <c r="GO297" s="2346">
        <v>28.32</v>
      </c>
      <c r="GP297" s="2346">
        <v>30.1</v>
      </c>
      <c r="GQ297" s="2346">
        <v>32.770000000000003</v>
      </c>
      <c r="GR297" s="2346">
        <v>33.47</v>
      </c>
      <c r="GS297" s="2346">
        <v>39.21</v>
      </c>
      <c r="GT297" s="2346">
        <v>39.409999999999997</v>
      </c>
      <c r="GU297" s="2346">
        <v>39.700000000000003</v>
      </c>
      <c r="GV297" s="2346">
        <v>41.78</v>
      </c>
      <c r="GW297" s="2346">
        <v>45.54</v>
      </c>
      <c r="GX297" s="2346">
        <v>48.71</v>
      </c>
      <c r="GY297" s="2346">
        <v>51.19</v>
      </c>
      <c r="GZ297" s="2346">
        <v>53.76</v>
      </c>
      <c r="HA297" s="2346">
        <v>59.01</v>
      </c>
      <c r="HB297" s="2346">
        <v>63.47</v>
      </c>
      <c r="HC297" s="2346">
        <v>68.91</v>
      </c>
      <c r="HD297" s="2346">
        <v>74.650000000000006</v>
      </c>
      <c r="HE297" s="2346">
        <v>81.98</v>
      </c>
      <c r="HF297" s="2346">
        <v>90.2</v>
      </c>
      <c r="HG297" s="2346">
        <v>99.41</v>
      </c>
      <c r="HH297" s="2346">
        <v>117.33</v>
      </c>
      <c r="HI297" s="2347">
        <v>950</v>
      </c>
      <c r="HJ297" s="2275"/>
      <c r="HK297" s="2275">
        <f>HLOOKUP(HK288,GH289:HH301,7,0)</f>
        <v>36.83</v>
      </c>
      <c r="HL297" s="2275">
        <f t="shared" si="141"/>
        <v>45.94</v>
      </c>
      <c r="HM297" s="2275">
        <v>825</v>
      </c>
      <c r="HN297" s="2275"/>
      <c r="HO297" s="2275"/>
      <c r="HP297" s="2275"/>
      <c r="HQ297" s="2275"/>
      <c r="HR297" s="2275"/>
      <c r="HS297" s="2275"/>
      <c r="HT297" s="2250"/>
      <c r="HU297" s="2250"/>
      <c r="HV297" s="2250"/>
      <c r="HW297" s="2250"/>
      <c r="HX297" s="2250"/>
      <c r="HY297" s="2250"/>
      <c r="HZ297" s="2250"/>
      <c r="IA297" s="2250"/>
      <c r="IB297" s="2250"/>
      <c r="IC297" s="2250"/>
      <c r="ID297" s="2250"/>
      <c r="IE297" s="2250"/>
      <c r="IF297" s="2250"/>
      <c r="IG297" s="2250"/>
      <c r="IH297" s="2250"/>
      <c r="II297" s="2250"/>
      <c r="IJ297" s="2250"/>
      <c r="IK297" s="2250"/>
      <c r="IL297" s="2250"/>
      <c r="IN297" s="277"/>
      <c r="IO297" s="277"/>
    </row>
    <row r="298" spans="1:249" ht="21.95" customHeight="1">
      <c r="A298" s="2275"/>
      <c r="B298" s="2275"/>
      <c r="C298" s="2345">
        <v>1100</v>
      </c>
      <c r="D298" s="2346">
        <v>22.67</v>
      </c>
      <c r="E298" s="2346">
        <v>25.54</v>
      </c>
      <c r="F298" s="2346">
        <v>28.32</v>
      </c>
      <c r="G298" s="2346">
        <v>31.39</v>
      </c>
      <c r="H298" s="2346">
        <v>34.26</v>
      </c>
      <c r="I298" s="2346">
        <v>32.28</v>
      </c>
      <c r="J298" s="2346">
        <v>35.74</v>
      </c>
      <c r="K298" s="2346">
        <v>39.11</v>
      </c>
      <c r="L298" s="2346">
        <v>41.68</v>
      </c>
      <c r="M298" s="2346">
        <v>44.26</v>
      </c>
      <c r="N298" s="2346">
        <v>51.88</v>
      </c>
      <c r="O298" s="2346">
        <v>55.35</v>
      </c>
      <c r="P298" s="2346">
        <v>59.01</v>
      </c>
      <c r="Q298" s="2346">
        <v>57.33</v>
      </c>
      <c r="R298" s="2346">
        <v>61.49</v>
      </c>
      <c r="S298" s="2346">
        <v>64.849999999999994</v>
      </c>
      <c r="T298" s="2346">
        <v>70.5</v>
      </c>
      <c r="U298" s="2346">
        <v>73.66</v>
      </c>
      <c r="V298" s="2346">
        <v>78.12</v>
      </c>
      <c r="W298" s="2346">
        <v>86.53</v>
      </c>
      <c r="X298" s="2346">
        <v>91.19</v>
      </c>
      <c r="Y298" s="2346">
        <v>100</v>
      </c>
      <c r="Z298" s="2346">
        <v>109.6</v>
      </c>
      <c r="AA298" s="2346">
        <v>131.19</v>
      </c>
      <c r="AB298" s="2346">
        <v>133.86000000000001</v>
      </c>
      <c r="AC298" s="2346">
        <v>155.15</v>
      </c>
      <c r="AD298" s="2346">
        <v>175.05</v>
      </c>
      <c r="AE298" s="2347">
        <v>1100</v>
      </c>
      <c r="AF298" s="2275"/>
      <c r="AG298" s="2275">
        <f>HLOOKUP(AG288,D289:AD301,8,0)</f>
        <v>34.950000000000003</v>
      </c>
      <c r="AH298" s="2275">
        <f t="shared" si="138"/>
        <v>51.19</v>
      </c>
      <c r="AI298" s="2275">
        <v>950</v>
      </c>
      <c r="AJ298" s="2275"/>
      <c r="AK298" s="2275"/>
      <c r="AL298" s="2275"/>
      <c r="AM298" s="2275"/>
      <c r="AN298" s="2275"/>
      <c r="AO298" s="2275"/>
      <c r="AP298" s="2250"/>
      <c r="AQ298" s="2250"/>
      <c r="AR298" s="2250"/>
      <c r="AS298" s="2250"/>
      <c r="AT298" s="2250"/>
      <c r="AU298" s="2250"/>
      <c r="AV298" s="2250"/>
      <c r="AW298" s="2250"/>
      <c r="AX298" s="2250"/>
      <c r="AY298" s="2250"/>
      <c r="AZ298" s="2250"/>
      <c r="BA298" s="2250"/>
      <c r="BB298" s="2250"/>
      <c r="BC298" s="2250"/>
      <c r="BD298" s="2250"/>
      <c r="BE298" s="2250"/>
      <c r="BF298" s="2276"/>
      <c r="BG298" s="2276"/>
      <c r="BH298" s="2250"/>
      <c r="BI298" s="2275"/>
      <c r="BJ298" s="2275"/>
      <c r="BK298" s="2345">
        <v>1100</v>
      </c>
      <c r="BL298" s="2346">
        <v>22.67</v>
      </c>
      <c r="BM298" s="2346">
        <v>25.54</v>
      </c>
      <c r="BN298" s="2346">
        <v>28.32</v>
      </c>
      <c r="BO298" s="2346">
        <v>31.39</v>
      </c>
      <c r="BP298" s="2346">
        <v>34.26</v>
      </c>
      <c r="BQ298" s="2346">
        <v>32.28</v>
      </c>
      <c r="BR298" s="2346">
        <v>35.74</v>
      </c>
      <c r="BS298" s="2346">
        <v>39.11</v>
      </c>
      <c r="BT298" s="2346">
        <v>41.68</v>
      </c>
      <c r="BU298" s="2346">
        <v>44.26</v>
      </c>
      <c r="BV298" s="2346">
        <v>51.88</v>
      </c>
      <c r="BW298" s="2346">
        <v>55.35</v>
      </c>
      <c r="BX298" s="2346">
        <v>59.01</v>
      </c>
      <c r="BY298" s="2346">
        <v>57.33</v>
      </c>
      <c r="BZ298" s="2346">
        <v>61.49</v>
      </c>
      <c r="CA298" s="2346">
        <v>64.849999999999994</v>
      </c>
      <c r="CB298" s="2346">
        <v>70.5</v>
      </c>
      <c r="CC298" s="2346">
        <v>73.66</v>
      </c>
      <c r="CD298" s="2346">
        <v>78.12</v>
      </c>
      <c r="CE298" s="2346">
        <v>86.53</v>
      </c>
      <c r="CF298" s="2346">
        <v>91.19</v>
      </c>
      <c r="CG298" s="2346">
        <v>100</v>
      </c>
      <c r="CH298" s="2346">
        <v>109.6</v>
      </c>
      <c r="CI298" s="2346">
        <v>131.19</v>
      </c>
      <c r="CJ298" s="2346">
        <v>133.86000000000001</v>
      </c>
      <c r="CK298" s="2346">
        <v>155.15</v>
      </c>
      <c r="CL298" s="2346">
        <v>175.05</v>
      </c>
      <c r="CM298" s="2347">
        <v>1100</v>
      </c>
      <c r="CN298" s="2275"/>
      <c r="CO298" s="2275">
        <f>HLOOKUP(CO288,BL289:CL301,8,0)</f>
        <v>31.58</v>
      </c>
      <c r="CP298" s="2275">
        <f t="shared" si="139"/>
        <v>48.71</v>
      </c>
      <c r="CQ298" s="2275">
        <v>950</v>
      </c>
      <c r="CR298" s="2275"/>
      <c r="CS298" s="2275"/>
      <c r="CT298" s="2275"/>
      <c r="CU298" s="2275"/>
      <c r="CV298" s="2275"/>
      <c r="CW298" s="2275"/>
      <c r="CX298" s="2250"/>
      <c r="CY298" s="2250"/>
      <c r="CZ298" s="2250"/>
      <c r="DA298" s="2250"/>
      <c r="DB298" s="2250"/>
      <c r="DC298" s="2250"/>
      <c r="DD298" s="2250"/>
      <c r="DE298" s="2250"/>
      <c r="DF298" s="2250"/>
      <c r="DG298" s="2250"/>
      <c r="DH298" s="2250"/>
      <c r="DI298" s="2250"/>
      <c r="DJ298" s="2250"/>
      <c r="DK298" s="2250"/>
      <c r="DL298" s="2250"/>
      <c r="DM298" s="2250"/>
      <c r="DN298" s="2250"/>
      <c r="DO298" s="2250"/>
      <c r="DP298" s="2250"/>
      <c r="DQ298" s="2277"/>
      <c r="DR298" s="2277"/>
      <c r="DS298" s="277"/>
      <c r="DW298" s="2275"/>
      <c r="DX298" s="2275"/>
      <c r="DY298" s="2345">
        <v>1100</v>
      </c>
      <c r="DZ298" s="2346">
        <v>22.67</v>
      </c>
      <c r="EA298" s="2346">
        <v>25.54</v>
      </c>
      <c r="EB298" s="2346">
        <v>28.32</v>
      </c>
      <c r="EC298" s="2346">
        <v>31.39</v>
      </c>
      <c r="ED298" s="2346">
        <v>34.26</v>
      </c>
      <c r="EE298" s="2346">
        <v>32.28</v>
      </c>
      <c r="EF298" s="2346">
        <v>35.74</v>
      </c>
      <c r="EG298" s="2346">
        <v>39.11</v>
      </c>
      <c r="EH298" s="2346">
        <v>41.68</v>
      </c>
      <c r="EI298" s="2346">
        <v>44.26</v>
      </c>
      <c r="EJ298" s="2346">
        <v>51.88</v>
      </c>
      <c r="EK298" s="2346">
        <v>55.35</v>
      </c>
      <c r="EL298" s="2346">
        <v>59.01</v>
      </c>
      <c r="EM298" s="2346">
        <v>57.33</v>
      </c>
      <c r="EN298" s="2346">
        <v>61.49</v>
      </c>
      <c r="EO298" s="2346">
        <v>64.849999999999994</v>
      </c>
      <c r="EP298" s="2346">
        <v>70.5</v>
      </c>
      <c r="EQ298" s="2346">
        <v>73.66</v>
      </c>
      <c r="ER298" s="2346">
        <v>78.12</v>
      </c>
      <c r="ES298" s="2346">
        <v>86.53</v>
      </c>
      <c r="ET298" s="2346">
        <v>91.19</v>
      </c>
      <c r="EU298" s="2346">
        <v>100</v>
      </c>
      <c r="EV298" s="2346">
        <v>109.6</v>
      </c>
      <c r="EW298" s="2346">
        <v>131.19</v>
      </c>
      <c r="EX298" s="2346">
        <v>133.86000000000001</v>
      </c>
      <c r="EY298" s="2346">
        <v>155.15</v>
      </c>
      <c r="EZ298" s="2346">
        <v>175.05</v>
      </c>
      <c r="FA298" s="2347">
        <v>1100</v>
      </c>
      <c r="FB298" s="2275"/>
      <c r="FC298" s="2275">
        <f>HLOOKUP(FC288,DZ289:EZ301,8,0)</f>
        <v>51.68</v>
      </c>
      <c r="FD298" s="2275">
        <f t="shared" si="140"/>
        <v>74.650000000000006</v>
      </c>
      <c r="FE298" s="2275">
        <v>950</v>
      </c>
      <c r="FF298" s="2275"/>
      <c r="FG298" s="2275"/>
      <c r="FH298" s="2275"/>
      <c r="FI298" s="2275"/>
      <c r="FJ298" s="2275"/>
      <c r="FK298" s="2275"/>
      <c r="FL298" s="2250"/>
      <c r="FM298" s="2250"/>
      <c r="FN298" s="2250"/>
      <c r="FO298" s="2250"/>
      <c r="FP298" s="2250"/>
      <c r="FQ298" s="2250"/>
      <c r="FR298" s="2250"/>
      <c r="FS298" s="2250"/>
      <c r="FT298" s="2250"/>
      <c r="FU298" s="2250"/>
      <c r="FV298" s="2250"/>
      <c r="FW298" s="2250"/>
      <c r="FX298" s="2250"/>
      <c r="FY298" s="2250"/>
      <c r="FZ298" s="2250"/>
      <c r="GA298" s="2250"/>
      <c r="GB298" s="2276"/>
      <c r="GC298" s="2276"/>
      <c r="GD298" s="2250"/>
      <c r="GE298" s="2275"/>
      <c r="GF298" s="2275"/>
      <c r="GG298" s="2345">
        <v>1100</v>
      </c>
      <c r="GH298" s="2346">
        <v>22.67</v>
      </c>
      <c r="GI298" s="2346">
        <v>25.54</v>
      </c>
      <c r="GJ298" s="2346">
        <v>28.32</v>
      </c>
      <c r="GK298" s="2346">
        <v>31.39</v>
      </c>
      <c r="GL298" s="2346">
        <v>34.26</v>
      </c>
      <c r="GM298" s="2346">
        <v>32.28</v>
      </c>
      <c r="GN298" s="2346">
        <v>35.74</v>
      </c>
      <c r="GO298" s="2346">
        <v>39.11</v>
      </c>
      <c r="GP298" s="2346">
        <v>41.68</v>
      </c>
      <c r="GQ298" s="2346">
        <v>44.26</v>
      </c>
      <c r="GR298" s="2346">
        <v>51.88</v>
      </c>
      <c r="GS298" s="2346">
        <v>55.35</v>
      </c>
      <c r="GT298" s="2346">
        <v>59.01</v>
      </c>
      <c r="GU298" s="2346">
        <v>57.33</v>
      </c>
      <c r="GV298" s="2346">
        <v>61.49</v>
      </c>
      <c r="GW298" s="2346">
        <v>64.849999999999994</v>
      </c>
      <c r="GX298" s="2346">
        <v>70.5</v>
      </c>
      <c r="GY298" s="2346">
        <v>73.66</v>
      </c>
      <c r="GZ298" s="2346">
        <v>78.12</v>
      </c>
      <c r="HA298" s="2346">
        <v>86.53</v>
      </c>
      <c r="HB298" s="2346">
        <v>91.19</v>
      </c>
      <c r="HC298" s="2346">
        <v>100</v>
      </c>
      <c r="HD298" s="2346">
        <v>109.6</v>
      </c>
      <c r="HE298" s="2346">
        <v>131.19</v>
      </c>
      <c r="HF298" s="2346">
        <v>133.86000000000001</v>
      </c>
      <c r="HG298" s="2346">
        <v>155.15</v>
      </c>
      <c r="HH298" s="2346">
        <v>175.05</v>
      </c>
      <c r="HI298" s="2347">
        <v>1100</v>
      </c>
      <c r="HJ298" s="2275"/>
      <c r="HK298" s="2275">
        <f>HLOOKUP(HK288,GH289:HH301,8,0)</f>
        <v>45.94</v>
      </c>
      <c r="HL298" s="2275">
        <f t="shared" si="141"/>
        <v>68.91</v>
      </c>
      <c r="HM298" s="2275">
        <v>950</v>
      </c>
      <c r="HN298" s="2275"/>
      <c r="HO298" s="2275"/>
      <c r="HP298" s="2275"/>
      <c r="HQ298" s="2275"/>
      <c r="HR298" s="2275"/>
      <c r="HS298" s="2275"/>
      <c r="HT298" s="2250"/>
      <c r="HU298" s="2250"/>
      <c r="HV298" s="2250"/>
      <c r="HW298" s="2250"/>
      <c r="HX298" s="2250"/>
      <c r="HY298" s="2250"/>
      <c r="HZ298" s="2250"/>
      <c r="IA298" s="2250"/>
      <c r="IB298" s="2250"/>
      <c r="IC298" s="2250"/>
      <c r="ID298" s="2250"/>
      <c r="IE298" s="2250"/>
      <c r="IF298" s="2250"/>
      <c r="IG298" s="2250"/>
      <c r="IH298" s="2250"/>
      <c r="II298" s="2250"/>
      <c r="IJ298" s="2250"/>
      <c r="IK298" s="2250"/>
      <c r="IL298" s="2250"/>
      <c r="IN298" s="277"/>
      <c r="IO298" s="277"/>
    </row>
    <row r="299" spans="1:249" ht="21.95" customHeight="1">
      <c r="A299" s="2275"/>
      <c r="B299" s="2275"/>
      <c r="C299" s="2345">
        <v>1250</v>
      </c>
      <c r="D299" s="2346">
        <v>33.369999999999997</v>
      </c>
      <c r="E299" s="2346">
        <v>37.619999999999997</v>
      </c>
      <c r="F299" s="2346">
        <v>41.58</v>
      </c>
      <c r="G299" s="2346">
        <v>46.14</v>
      </c>
      <c r="H299" s="2346">
        <v>49.7</v>
      </c>
      <c r="I299" s="2346">
        <v>47.33</v>
      </c>
      <c r="J299" s="2346">
        <v>52.48</v>
      </c>
      <c r="K299" s="2346">
        <v>55.84</v>
      </c>
      <c r="L299" s="2346">
        <v>61.19</v>
      </c>
      <c r="M299" s="2346">
        <v>61.78</v>
      </c>
      <c r="N299" s="2346">
        <v>70.989999999999995</v>
      </c>
      <c r="O299" s="2346">
        <v>79.31</v>
      </c>
      <c r="P299" s="2346">
        <v>80.099999999999994</v>
      </c>
      <c r="Q299" s="2346">
        <v>84.16</v>
      </c>
      <c r="R299" s="2346">
        <v>88.12</v>
      </c>
      <c r="S299" s="2346">
        <v>94.85</v>
      </c>
      <c r="T299" s="2346">
        <v>99.5</v>
      </c>
      <c r="U299" s="2346">
        <v>108.22</v>
      </c>
      <c r="V299" s="2346">
        <v>114.75</v>
      </c>
      <c r="W299" s="2346">
        <v>123.76</v>
      </c>
      <c r="X299" s="2346">
        <v>131.88</v>
      </c>
      <c r="Y299" s="2346">
        <v>138.12</v>
      </c>
      <c r="Z299" s="2346">
        <v>153.27000000000001</v>
      </c>
      <c r="AA299" s="2346">
        <v>166.24</v>
      </c>
      <c r="AB299" s="2346">
        <v>188.71</v>
      </c>
      <c r="AC299" s="2346">
        <v>216.63</v>
      </c>
      <c r="AD299" s="2346">
        <v>228.42</v>
      </c>
      <c r="AE299" s="2347">
        <v>1250</v>
      </c>
      <c r="AF299" s="2275"/>
      <c r="AG299" s="2275">
        <f>HLOOKUP(AG288,D289:AD301,9,0)</f>
        <v>51.19</v>
      </c>
      <c r="AH299" s="2275">
        <f t="shared" si="138"/>
        <v>73.66</v>
      </c>
      <c r="AI299" s="2275">
        <v>1100</v>
      </c>
      <c r="AJ299" s="2275"/>
      <c r="AK299" s="2275"/>
      <c r="AL299" s="2275"/>
      <c r="AM299" s="2275"/>
      <c r="AN299" s="2275"/>
      <c r="AO299" s="2275"/>
      <c r="AP299" s="2250"/>
      <c r="AQ299" s="2250"/>
      <c r="AR299" s="2250"/>
      <c r="AS299" s="2250"/>
      <c r="AT299" s="2250"/>
      <c r="AU299" s="2250"/>
      <c r="AV299" s="2250"/>
      <c r="AW299" s="2250"/>
      <c r="AX299" s="2250"/>
      <c r="AY299" s="2250"/>
      <c r="AZ299" s="2250"/>
      <c r="BA299" s="2250"/>
      <c r="BB299" s="2250"/>
      <c r="BC299" s="2250"/>
      <c r="BD299" s="2250"/>
      <c r="BE299" s="2250"/>
      <c r="BF299" s="2276"/>
      <c r="BG299" s="2276"/>
      <c r="BH299" s="2250"/>
      <c r="BI299" s="2275"/>
      <c r="BJ299" s="2275"/>
      <c r="BK299" s="2345">
        <v>1250</v>
      </c>
      <c r="BL299" s="2346">
        <v>33.369999999999997</v>
      </c>
      <c r="BM299" s="2346">
        <v>37.619999999999997</v>
      </c>
      <c r="BN299" s="2346">
        <v>41.58</v>
      </c>
      <c r="BO299" s="2346">
        <v>46.14</v>
      </c>
      <c r="BP299" s="2346">
        <v>49.7</v>
      </c>
      <c r="BQ299" s="2346">
        <v>47.33</v>
      </c>
      <c r="BR299" s="2346">
        <v>52.48</v>
      </c>
      <c r="BS299" s="2346">
        <v>55.84</v>
      </c>
      <c r="BT299" s="2346">
        <v>61.19</v>
      </c>
      <c r="BU299" s="2346">
        <v>61.78</v>
      </c>
      <c r="BV299" s="2346">
        <v>70.989999999999995</v>
      </c>
      <c r="BW299" s="2346">
        <v>79.31</v>
      </c>
      <c r="BX299" s="2346">
        <v>80.099999999999994</v>
      </c>
      <c r="BY299" s="2346">
        <v>84.16</v>
      </c>
      <c r="BZ299" s="2346">
        <v>88.12</v>
      </c>
      <c r="CA299" s="2346">
        <v>94.85</v>
      </c>
      <c r="CB299" s="2346">
        <v>99.5</v>
      </c>
      <c r="CC299" s="2346">
        <v>108.22</v>
      </c>
      <c r="CD299" s="2346">
        <v>114.75</v>
      </c>
      <c r="CE299" s="2346">
        <v>123.76</v>
      </c>
      <c r="CF299" s="2346">
        <v>131.88</v>
      </c>
      <c r="CG299" s="2346">
        <v>138.12</v>
      </c>
      <c r="CH299" s="2346">
        <v>153.27000000000001</v>
      </c>
      <c r="CI299" s="2346">
        <v>166.24</v>
      </c>
      <c r="CJ299" s="2346">
        <v>188.71</v>
      </c>
      <c r="CK299" s="2346">
        <v>216.63</v>
      </c>
      <c r="CL299" s="2346">
        <v>228.42</v>
      </c>
      <c r="CM299" s="2347">
        <v>1250</v>
      </c>
      <c r="CN299" s="2275"/>
      <c r="CO299" s="2275">
        <f>HLOOKUP(CO288,BL289:CL301,9,0)</f>
        <v>48.71</v>
      </c>
      <c r="CP299" s="2275">
        <f t="shared" si="139"/>
        <v>70.5</v>
      </c>
      <c r="CQ299" s="2275">
        <v>1100</v>
      </c>
      <c r="CR299" s="2275"/>
      <c r="CS299" s="2275"/>
      <c r="CT299" s="2275"/>
      <c r="CU299" s="2275"/>
      <c r="CV299" s="2275"/>
      <c r="CW299" s="2275"/>
      <c r="CX299" s="2250"/>
      <c r="CY299" s="2250"/>
      <c r="CZ299" s="2250"/>
      <c r="DA299" s="2250"/>
      <c r="DB299" s="2250"/>
      <c r="DC299" s="2250"/>
      <c r="DD299" s="2250"/>
      <c r="DE299" s="2250"/>
      <c r="DF299" s="2250"/>
      <c r="DG299" s="2250"/>
      <c r="DH299" s="2250"/>
      <c r="DI299" s="2250"/>
      <c r="DJ299" s="2250"/>
      <c r="DK299" s="2250"/>
      <c r="DL299" s="2250"/>
      <c r="DM299" s="2250"/>
      <c r="DN299" s="2250"/>
      <c r="DO299" s="2250"/>
      <c r="DP299" s="2250"/>
      <c r="DQ299" s="2277"/>
      <c r="DR299" s="2277"/>
      <c r="DS299" s="277"/>
      <c r="DW299" s="2275"/>
      <c r="DX299" s="2275"/>
      <c r="DY299" s="2345">
        <v>1250</v>
      </c>
      <c r="DZ299" s="2346">
        <v>33.369999999999997</v>
      </c>
      <c r="EA299" s="2346">
        <v>37.619999999999997</v>
      </c>
      <c r="EB299" s="2346">
        <v>41.58</v>
      </c>
      <c r="EC299" s="2346">
        <v>46.14</v>
      </c>
      <c r="ED299" s="2346">
        <v>49.7</v>
      </c>
      <c r="EE299" s="2346">
        <v>47.33</v>
      </c>
      <c r="EF299" s="2346">
        <v>52.48</v>
      </c>
      <c r="EG299" s="2346">
        <v>55.84</v>
      </c>
      <c r="EH299" s="2346">
        <v>61.19</v>
      </c>
      <c r="EI299" s="2346">
        <v>61.78</v>
      </c>
      <c r="EJ299" s="2346">
        <v>70.989999999999995</v>
      </c>
      <c r="EK299" s="2346">
        <v>79.31</v>
      </c>
      <c r="EL299" s="2346">
        <v>80.099999999999994</v>
      </c>
      <c r="EM299" s="2346">
        <v>84.16</v>
      </c>
      <c r="EN299" s="2346">
        <v>88.12</v>
      </c>
      <c r="EO299" s="2346">
        <v>94.85</v>
      </c>
      <c r="EP299" s="2346">
        <v>99.5</v>
      </c>
      <c r="EQ299" s="2346">
        <v>108.22</v>
      </c>
      <c r="ER299" s="2346">
        <v>114.75</v>
      </c>
      <c r="ES299" s="2346">
        <v>123.76</v>
      </c>
      <c r="ET299" s="2346">
        <v>131.88</v>
      </c>
      <c r="EU299" s="2346">
        <v>138.12</v>
      </c>
      <c r="EV299" s="2346">
        <v>153.27000000000001</v>
      </c>
      <c r="EW299" s="2346">
        <v>166.24</v>
      </c>
      <c r="EX299" s="2346">
        <v>188.71</v>
      </c>
      <c r="EY299" s="2346">
        <v>216.63</v>
      </c>
      <c r="EZ299" s="2346">
        <v>228.42</v>
      </c>
      <c r="FA299" s="2347">
        <v>1250</v>
      </c>
      <c r="FB299" s="2275"/>
      <c r="FC299" s="2275">
        <f>HLOOKUP(FC288,DZ289:EZ301,9,0)</f>
        <v>74.650000000000006</v>
      </c>
      <c r="FD299" s="2275">
        <f t="shared" si="140"/>
        <v>109.6</v>
      </c>
      <c r="FE299" s="2275">
        <v>1100</v>
      </c>
      <c r="FF299" s="2275"/>
      <c r="FG299" s="2275"/>
      <c r="FH299" s="2275"/>
      <c r="FI299" s="2275"/>
      <c r="FJ299" s="2275"/>
      <c r="FK299" s="2275"/>
      <c r="FL299" s="2250"/>
      <c r="FM299" s="2250"/>
      <c r="FN299" s="2250"/>
      <c r="FO299" s="2250"/>
      <c r="FP299" s="2250"/>
      <c r="FQ299" s="2250"/>
      <c r="FR299" s="2250"/>
      <c r="FS299" s="2250"/>
      <c r="FT299" s="2250"/>
      <c r="FU299" s="2250"/>
      <c r="FV299" s="2250"/>
      <c r="FW299" s="2250"/>
      <c r="FX299" s="2250"/>
      <c r="FY299" s="2250"/>
      <c r="FZ299" s="2250"/>
      <c r="GA299" s="2250"/>
      <c r="GB299" s="2276"/>
      <c r="GC299" s="2276"/>
      <c r="GD299" s="2250"/>
      <c r="GE299" s="2275"/>
      <c r="GF299" s="2275"/>
      <c r="GG299" s="2345">
        <v>1250</v>
      </c>
      <c r="GH299" s="2346">
        <v>33.369999999999997</v>
      </c>
      <c r="GI299" s="2346">
        <v>37.619999999999997</v>
      </c>
      <c r="GJ299" s="2346">
        <v>41.58</v>
      </c>
      <c r="GK299" s="2346">
        <v>46.14</v>
      </c>
      <c r="GL299" s="2346">
        <v>49.7</v>
      </c>
      <c r="GM299" s="2346">
        <v>47.33</v>
      </c>
      <c r="GN299" s="2346">
        <v>52.48</v>
      </c>
      <c r="GO299" s="2346">
        <v>55.84</v>
      </c>
      <c r="GP299" s="2346">
        <v>61.19</v>
      </c>
      <c r="GQ299" s="2346">
        <v>61.78</v>
      </c>
      <c r="GR299" s="2346">
        <v>70.989999999999995</v>
      </c>
      <c r="GS299" s="2346">
        <v>79.31</v>
      </c>
      <c r="GT299" s="2346">
        <v>80.099999999999994</v>
      </c>
      <c r="GU299" s="2346">
        <v>84.16</v>
      </c>
      <c r="GV299" s="2346">
        <v>88.12</v>
      </c>
      <c r="GW299" s="2346">
        <v>94.85</v>
      </c>
      <c r="GX299" s="2346">
        <v>99.5</v>
      </c>
      <c r="GY299" s="2346">
        <v>108.22</v>
      </c>
      <c r="GZ299" s="2346">
        <v>114.75</v>
      </c>
      <c r="HA299" s="2346">
        <v>123.76</v>
      </c>
      <c r="HB299" s="2346">
        <v>131.88</v>
      </c>
      <c r="HC299" s="2346">
        <v>138.12</v>
      </c>
      <c r="HD299" s="2346">
        <v>153.27000000000001</v>
      </c>
      <c r="HE299" s="2346">
        <v>166.24</v>
      </c>
      <c r="HF299" s="2346">
        <v>188.71</v>
      </c>
      <c r="HG299" s="2346">
        <v>216.63</v>
      </c>
      <c r="HH299" s="2346">
        <v>228.42</v>
      </c>
      <c r="HI299" s="2347">
        <v>1250</v>
      </c>
      <c r="HJ299" s="2275"/>
      <c r="HK299" s="2275">
        <f>HLOOKUP(HK288,GH289:HH301,9,0)</f>
        <v>68.91</v>
      </c>
      <c r="HL299" s="2275">
        <f t="shared" si="141"/>
        <v>100</v>
      </c>
      <c r="HM299" s="2275">
        <v>1100</v>
      </c>
      <c r="HN299" s="2275"/>
      <c r="HO299" s="2275"/>
      <c r="HP299" s="2275"/>
      <c r="HQ299" s="2275"/>
      <c r="HR299" s="2275"/>
      <c r="HS299" s="2275"/>
      <c r="HT299" s="2250"/>
      <c r="HU299" s="2250"/>
      <c r="HV299" s="2250"/>
      <c r="HW299" s="2250"/>
      <c r="HX299" s="2250"/>
      <c r="HY299" s="2250"/>
      <c r="HZ299" s="2250"/>
      <c r="IA299" s="2250"/>
      <c r="IB299" s="2250"/>
      <c r="IC299" s="2250"/>
      <c r="ID299" s="2250"/>
      <c r="IE299" s="2250"/>
      <c r="IF299" s="2250"/>
      <c r="IG299" s="2250"/>
      <c r="IH299" s="2250"/>
      <c r="II299" s="2250"/>
      <c r="IJ299" s="2250"/>
      <c r="IK299" s="2250"/>
      <c r="IL299" s="2250"/>
      <c r="IN299" s="277"/>
      <c r="IO299" s="277"/>
    </row>
    <row r="300" spans="1:249" ht="21.95" customHeight="1">
      <c r="A300" s="2275"/>
      <c r="B300" s="2275"/>
      <c r="C300" s="2345">
        <v>1450</v>
      </c>
      <c r="D300" s="2346">
        <v>51.39</v>
      </c>
      <c r="E300" s="2346">
        <v>57.92</v>
      </c>
      <c r="F300" s="2346">
        <v>64.06</v>
      </c>
      <c r="G300" s="2346">
        <v>69.209999999999994</v>
      </c>
      <c r="H300" s="2346">
        <v>69.209999999999994</v>
      </c>
      <c r="I300" s="2346">
        <v>72.87</v>
      </c>
      <c r="J300" s="2346">
        <v>80.790000000000006</v>
      </c>
      <c r="K300" s="2346">
        <v>85.94</v>
      </c>
      <c r="L300" s="2346">
        <v>92.18</v>
      </c>
      <c r="M300" s="2346">
        <v>100</v>
      </c>
      <c r="N300" s="2346">
        <v>101.68</v>
      </c>
      <c r="O300" s="2346">
        <v>115.15</v>
      </c>
      <c r="P300" s="2346">
        <v>119.8</v>
      </c>
      <c r="Q300" s="2346">
        <v>123.76</v>
      </c>
      <c r="R300" s="2346">
        <v>129.5</v>
      </c>
      <c r="S300" s="2346">
        <v>141.88</v>
      </c>
      <c r="T300" s="2346">
        <v>152.47999999999999</v>
      </c>
      <c r="U300" s="2346">
        <v>163.16999999999999</v>
      </c>
      <c r="V300" s="2346">
        <v>167.23</v>
      </c>
      <c r="W300" s="2346">
        <v>188.81</v>
      </c>
      <c r="X300" s="2346">
        <v>197.62</v>
      </c>
      <c r="Y300" s="2346">
        <v>215.25</v>
      </c>
      <c r="Z300" s="2346">
        <v>234.16</v>
      </c>
      <c r="AA300" s="2346">
        <v>240.5</v>
      </c>
      <c r="AB300" s="2346">
        <v>280.79000000000002</v>
      </c>
      <c r="AC300" s="2346">
        <v>309.5</v>
      </c>
      <c r="AD300" s="2346">
        <v>380.59</v>
      </c>
      <c r="AE300" s="2347">
        <v>1450</v>
      </c>
      <c r="AF300" s="2275"/>
      <c r="AG300" s="2275">
        <f>HLOOKUP(AG288,D289:AD301,10,0)</f>
        <v>73.66</v>
      </c>
      <c r="AH300" s="2275">
        <f t="shared" si="138"/>
        <v>108.22</v>
      </c>
      <c r="AI300" s="2275">
        <v>1250</v>
      </c>
      <c r="AJ300" s="2275"/>
      <c r="AK300" s="2275"/>
      <c r="AL300" s="2275"/>
      <c r="AM300" s="2275"/>
      <c r="AN300" s="2275"/>
      <c r="AO300" s="2275"/>
      <c r="AP300" s="2250"/>
      <c r="AQ300" s="2250"/>
      <c r="AR300" s="2250"/>
      <c r="AS300" s="2250"/>
      <c r="AT300" s="2250"/>
      <c r="AU300" s="2250"/>
      <c r="AV300" s="2250"/>
      <c r="AW300" s="2250"/>
      <c r="AX300" s="2250"/>
      <c r="AY300" s="2250"/>
      <c r="AZ300" s="2250"/>
      <c r="BA300" s="2250"/>
      <c r="BB300" s="2250"/>
      <c r="BC300" s="2250"/>
      <c r="BD300" s="2250"/>
      <c r="BE300" s="2250"/>
      <c r="BF300" s="2276"/>
      <c r="BG300" s="2276"/>
      <c r="BH300" s="2250"/>
      <c r="BI300" s="2275"/>
      <c r="BJ300" s="2275"/>
      <c r="BK300" s="2345">
        <v>1450</v>
      </c>
      <c r="BL300" s="2346">
        <v>51.39</v>
      </c>
      <c r="BM300" s="2346">
        <v>57.92</v>
      </c>
      <c r="BN300" s="2346">
        <v>64.06</v>
      </c>
      <c r="BO300" s="2346">
        <v>69.209999999999994</v>
      </c>
      <c r="BP300" s="2346">
        <v>69.209999999999994</v>
      </c>
      <c r="BQ300" s="2346">
        <v>72.87</v>
      </c>
      <c r="BR300" s="2346">
        <v>80.790000000000006</v>
      </c>
      <c r="BS300" s="2346">
        <v>85.94</v>
      </c>
      <c r="BT300" s="2346">
        <v>92.18</v>
      </c>
      <c r="BU300" s="2346">
        <v>100</v>
      </c>
      <c r="BV300" s="2346">
        <v>101.68</v>
      </c>
      <c r="BW300" s="2346">
        <v>115.15</v>
      </c>
      <c r="BX300" s="2346">
        <v>119.8</v>
      </c>
      <c r="BY300" s="2346">
        <v>123.76</v>
      </c>
      <c r="BZ300" s="2346">
        <v>129.5</v>
      </c>
      <c r="CA300" s="2346">
        <v>141.88</v>
      </c>
      <c r="CB300" s="2346">
        <v>152.47999999999999</v>
      </c>
      <c r="CC300" s="2346">
        <v>163.16999999999999</v>
      </c>
      <c r="CD300" s="2346">
        <v>167.23</v>
      </c>
      <c r="CE300" s="2346">
        <v>188.81</v>
      </c>
      <c r="CF300" s="2346">
        <v>197.62</v>
      </c>
      <c r="CG300" s="2346">
        <v>215.25</v>
      </c>
      <c r="CH300" s="2346">
        <v>234.16</v>
      </c>
      <c r="CI300" s="2346">
        <v>240.5</v>
      </c>
      <c r="CJ300" s="2346">
        <v>280.79000000000002</v>
      </c>
      <c r="CK300" s="2346">
        <v>309.5</v>
      </c>
      <c r="CL300" s="2346">
        <v>380.59</v>
      </c>
      <c r="CM300" s="2347">
        <v>1450</v>
      </c>
      <c r="CN300" s="2275"/>
      <c r="CO300" s="2275">
        <f>HLOOKUP(CO288,BL289:CL301,10,0)</f>
        <v>70.5</v>
      </c>
      <c r="CP300" s="2275">
        <f t="shared" si="139"/>
        <v>99.5</v>
      </c>
      <c r="CQ300" s="2275">
        <v>1250</v>
      </c>
      <c r="CR300" s="2275"/>
      <c r="CS300" s="2275"/>
      <c r="CT300" s="2275"/>
      <c r="CU300" s="2275"/>
      <c r="CV300" s="2275"/>
      <c r="CW300" s="2275"/>
      <c r="CX300" s="2250"/>
      <c r="CY300" s="2250"/>
      <c r="CZ300" s="2250"/>
      <c r="DA300" s="2250"/>
      <c r="DB300" s="2250"/>
      <c r="DC300" s="2250"/>
      <c r="DD300" s="2250"/>
      <c r="DE300" s="2250"/>
      <c r="DF300" s="2250"/>
      <c r="DG300" s="2250"/>
      <c r="DH300" s="2250"/>
      <c r="DI300" s="2250"/>
      <c r="DJ300" s="2250"/>
      <c r="DK300" s="2250"/>
      <c r="DL300" s="2250"/>
      <c r="DM300" s="2250"/>
      <c r="DN300" s="2250"/>
      <c r="DO300" s="2250"/>
      <c r="DP300" s="2250"/>
      <c r="DQ300" s="2277"/>
      <c r="DR300" s="2277"/>
      <c r="DS300" s="277"/>
      <c r="DW300" s="2275"/>
      <c r="DX300" s="2275"/>
      <c r="DY300" s="2345">
        <v>1450</v>
      </c>
      <c r="DZ300" s="2346">
        <v>51.39</v>
      </c>
      <c r="EA300" s="2346">
        <v>57.92</v>
      </c>
      <c r="EB300" s="2346">
        <v>64.06</v>
      </c>
      <c r="EC300" s="2346">
        <v>69.209999999999994</v>
      </c>
      <c r="ED300" s="2346">
        <v>69.209999999999994</v>
      </c>
      <c r="EE300" s="2346">
        <v>72.87</v>
      </c>
      <c r="EF300" s="2346">
        <v>80.790000000000006</v>
      </c>
      <c r="EG300" s="2346">
        <v>85.94</v>
      </c>
      <c r="EH300" s="2346">
        <v>92.18</v>
      </c>
      <c r="EI300" s="2346">
        <v>100</v>
      </c>
      <c r="EJ300" s="2346">
        <v>101.68</v>
      </c>
      <c r="EK300" s="2346">
        <v>115.15</v>
      </c>
      <c r="EL300" s="2346">
        <v>119.8</v>
      </c>
      <c r="EM300" s="2346">
        <v>123.76</v>
      </c>
      <c r="EN300" s="2346">
        <v>129.5</v>
      </c>
      <c r="EO300" s="2346">
        <v>141.88</v>
      </c>
      <c r="EP300" s="2346">
        <v>152.47999999999999</v>
      </c>
      <c r="EQ300" s="2346">
        <v>163.16999999999999</v>
      </c>
      <c r="ER300" s="2346">
        <v>167.23</v>
      </c>
      <c r="ES300" s="2346">
        <v>188.81</v>
      </c>
      <c r="ET300" s="2346">
        <v>197.62</v>
      </c>
      <c r="EU300" s="2346">
        <v>215.25</v>
      </c>
      <c r="EV300" s="2346">
        <v>234.16</v>
      </c>
      <c r="EW300" s="2346">
        <v>240.5</v>
      </c>
      <c r="EX300" s="2346">
        <v>280.79000000000002</v>
      </c>
      <c r="EY300" s="2346">
        <v>309.5</v>
      </c>
      <c r="EZ300" s="2346">
        <v>380.59</v>
      </c>
      <c r="FA300" s="2347">
        <v>1450</v>
      </c>
      <c r="FB300" s="2275"/>
      <c r="FC300" s="2275">
        <f>HLOOKUP(FC288,DZ289:EZ301,10,0)</f>
        <v>109.6</v>
      </c>
      <c r="FD300" s="2275">
        <f t="shared" si="140"/>
        <v>153.27000000000001</v>
      </c>
      <c r="FE300" s="2275">
        <v>1250</v>
      </c>
      <c r="FF300" s="2275"/>
      <c r="FG300" s="2275"/>
      <c r="FH300" s="2275"/>
      <c r="FI300" s="2275"/>
      <c r="FJ300" s="2275"/>
      <c r="FK300" s="2275"/>
      <c r="FL300" s="2250"/>
      <c r="FM300" s="2250"/>
      <c r="FN300" s="2250"/>
      <c r="FO300" s="2250"/>
      <c r="FP300" s="2250"/>
      <c r="FQ300" s="2250"/>
      <c r="FR300" s="2250"/>
      <c r="FS300" s="2250"/>
      <c r="FT300" s="2250"/>
      <c r="FU300" s="2250"/>
      <c r="FV300" s="2250"/>
      <c r="FW300" s="2250"/>
      <c r="FX300" s="2250"/>
      <c r="FY300" s="2250"/>
      <c r="FZ300" s="2250"/>
      <c r="GA300" s="2250"/>
      <c r="GB300" s="2276"/>
      <c r="GC300" s="2276"/>
      <c r="GD300" s="2250"/>
      <c r="GE300" s="2275"/>
      <c r="GF300" s="2275"/>
      <c r="GG300" s="2345">
        <v>1450</v>
      </c>
      <c r="GH300" s="2346">
        <v>51.39</v>
      </c>
      <c r="GI300" s="2346">
        <v>57.92</v>
      </c>
      <c r="GJ300" s="2346">
        <v>64.06</v>
      </c>
      <c r="GK300" s="2346">
        <v>69.209999999999994</v>
      </c>
      <c r="GL300" s="2346">
        <v>69.209999999999994</v>
      </c>
      <c r="GM300" s="2346">
        <v>72.87</v>
      </c>
      <c r="GN300" s="2346">
        <v>80.790000000000006</v>
      </c>
      <c r="GO300" s="2346">
        <v>85.94</v>
      </c>
      <c r="GP300" s="2346">
        <v>92.18</v>
      </c>
      <c r="GQ300" s="2346">
        <v>100</v>
      </c>
      <c r="GR300" s="2346">
        <v>101.68</v>
      </c>
      <c r="GS300" s="2346">
        <v>115.15</v>
      </c>
      <c r="GT300" s="2346">
        <v>119.8</v>
      </c>
      <c r="GU300" s="2346">
        <v>123.76</v>
      </c>
      <c r="GV300" s="2346">
        <v>129.5</v>
      </c>
      <c r="GW300" s="2346">
        <v>141.88</v>
      </c>
      <c r="GX300" s="2346">
        <v>152.47999999999999</v>
      </c>
      <c r="GY300" s="2346">
        <v>163.16999999999999</v>
      </c>
      <c r="GZ300" s="2346">
        <v>167.23</v>
      </c>
      <c r="HA300" s="2346">
        <v>188.81</v>
      </c>
      <c r="HB300" s="2346">
        <v>197.62</v>
      </c>
      <c r="HC300" s="2346">
        <v>215.25</v>
      </c>
      <c r="HD300" s="2346">
        <v>234.16</v>
      </c>
      <c r="HE300" s="2346">
        <v>240.5</v>
      </c>
      <c r="HF300" s="2346">
        <v>280.79000000000002</v>
      </c>
      <c r="HG300" s="2346">
        <v>309.5</v>
      </c>
      <c r="HH300" s="2346">
        <v>380.59</v>
      </c>
      <c r="HI300" s="2347">
        <v>1450</v>
      </c>
      <c r="HJ300" s="2275"/>
      <c r="HK300" s="2275">
        <f>HLOOKUP(HK288,GH289:HH301,10,0)</f>
        <v>100</v>
      </c>
      <c r="HL300" s="2275">
        <f t="shared" si="141"/>
        <v>138.12</v>
      </c>
      <c r="HM300" s="2275">
        <v>1250</v>
      </c>
      <c r="HN300" s="2275"/>
      <c r="HO300" s="2275"/>
      <c r="HP300" s="2275"/>
      <c r="HQ300" s="2275"/>
      <c r="HR300" s="2275"/>
      <c r="HS300" s="2275"/>
      <c r="HT300" s="2250"/>
      <c r="HU300" s="2250"/>
      <c r="HV300" s="2250"/>
      <c r="HW300" s="2250"/>
      <c r="HX300" s="2250"/>
      <c r="HY300" s="2250"/>
      <c r="HZ300" s="2250"/>
      <c r="IA300" s="2250"/>
      <c r="IB300" s="2250"/>
      <c r="IC300" s="2250"/>
      <c r="ID300" s="2250"/>
      <c r="IE300" s="2250"/>
      <c r="IF300" s="2250"/>
      <c r="IG300" s="2250"/>
      <c r="IH300" s="2250"/>
      <c r="II300" s="2250"/>
      <c r="IJ300" s="2250"/>
      <c r="IK300" s="2250"/>
      <c r="IL300" s="2250"/>
      <c r="IN300" s="277"/>
      <c r="IO300" s="277"/>
    </row>
    <row r="301" spans="1:249" ht="21.95" customHeight="1">
      <c r="A301" s="2275"/>
      <c r="B301" s="2275"/>
      <c r="C301" s="2345">
        <v>1650</v>
      </c>
      <c r="D301" s="2346">
        <v>74.650000000000006</v>
      </c>
      <c r="E301" s="2346">
        <v>84.16</v>
      </c>
      <c r="F301" s="2346">
        <v>92.87</v>
      </c>
      <c r="G301" s="2346">
        <v>92.87</v>
      </c>
      <c r="H301" s="2346">
        <v>98.02</v>
      </c>
      <c r="I301" s="2346">
        <v>105.94</v>
      </c>
      <c r="J301" s="2346">
        <v>111.68</v>
      </c>
      <c r="K301" s="2346">
        <v>123.76</v>
      </c>
      <c r="L301" s="2346">
        <v>131.49</v>
      </c>
      <c r="M301" s="2346">
        <v>140.99</v>
      </c>
      <c r="N301" s="2346">
        <v>147.82</v>
      </c>
      <c r="O301" s="2346">
        <v>172.38</v>
      </c>
      <c r="P301" s="2346">
        <v>174.16</v>
      </c>
      <c r="Q301" s="2346">
        <v>182.97</v>
      </c>
      <c r="R301" s="2346">
        <v>144.46</v>
      </c>
      <c r="S301" s="2346">
        <v>204.26</v>
      </c>
      <c r="T301" s="2346">
        <v>215.15</v>
      </c>
      <c r="U301" s="2346">
        <v>228.32</v>
      </c>
      <c r="V301" s="2346">
        <v>237.72</v>
      </c>
      <c r="W301" s="2346">
        <v>262.27999999999997</v>
      </c>
      <c r="X301" s="2346">
        <v>287.13</v>
      </c>
      <c r="Y301" s="2346">
        <v>316.93</v>
      </c>
      <c r="Z301" s="2346">
        <v>347.13</v>
      </c>
      <c r="AA301" s="2346">
        <v>377.52</v>
      </c>
      <c r="AB301" s="2346">
        <v>424.65</v>
      </c>
      <c r="AC301" s="2346">
        <v>451.88</v>
      </c>
      <c r="AD301" s="2346">
        <v>539.21</v>
      </c>
      <c r="AE301" s="2347">
        <v>1650</v>
      </c>
      <c r="AF301" s="2275"/>
      <c r="AG301" s="2275">
        <f>HLOOKUP(AG288,D289:AD301,11,0)</f>
        <v>108.22</v>
      </c>
      <c r="AH301" s="2275">
        <f t="shared" si="138"/>
        <v>163.16999999999999</v>
      </c>
      <c r="AI301" s="2275">
        <v>1450</v>
      </c>
      <c r="AJ301" s="2275"/>
      <c r="AK301" s="2275"/>
      <c r="AL301" s="2275"/>
      <c r="AM301" s="2275"/>
      <c r="AN301" s="2275"/>
      <c r="AO301" s="2275"/>
      <c r="AP301" s="2250"/>
      <c r="AQ301" s="2250"/>
      <c r="AR301" s="2250"/>
      <c r="AS301" s="2250"/>
      <c r="AT301" s="2250"/>
      <c r="AU301" s="2250"/>
      <c r="AV301" s="2250"/>
      <c r="AW301" s="2250"/>
      <c r="AX301" s="2250"/>
      <c r="AY301" s="2250"/>
      <c r="AZ301" s="2250"/>
      <c r="BA301" s="2250"/>
      <c r="BB301" s="2250"/>
      <c r="BC301" s="2250"/>
      <c r="BD301" s="2250"/>
      <c r="BE301" s="2250"/>
      <c r="BF301" s="2276"/>
      <c r="BG301" s="2276"/>
      <c r="BH301" s="2250"/>
      <c r="BI301" s="2275"/>
      <c r="BJ301" s="2275"/>
      <c r="BK301" s="2345">
        <v>1650</v>
      </c>
      <c r="BL301" s="2346">
        <v>74.650000000000006</v>
      </c>
      <c r="BM301" s="2346">
        <v>84.16</v>
      </c>
      <c r="BN301" s="2346">
        <v>92.87</v>
      </c>
      <c r="BO301" s="2346">
        <v>92.87</v>
      </c>
      <c r="BP301" s="2346">
        <v>98.02</v>
      </c>
      <c r="BQ301" s="2346">
        <v>105.94</v>
      </c>
      <c r="BR301" s="2346">
        <v>111.68</v>
      </c>
      <c r="BS301" s="2346">
        <v>123.76</v>
      </c>
      <c r="BT301" s="2346">
        <v>131.49</v>
      </c>
      <c r="BU301" s="2346">
        <v>140.99</v>
      </c>
      <c r="BV301" s="2346">
        <v>147.82</v>
      </c>
      <c r="BW301" s="2346">
        <v>172.38</v>
      </c>
      <c r="BX301" s="2346">
        <v>174.16</v>
      </c>
      <c r="BY301" s="2346">
        <v>182.97</v>
      </c>
      <c r="BZ301" s="2346">
        <v>144.46</v>
      </c>
      <c r="CA301" s="2346">
        <v>204.26</v>
      </c>
      <c r="CB301" s="2346">
        <v>215.15</v>
      </c>
      <c r="CC301" s="2346">
        <v>228.32</v>
      </c>
      <c r="CD301" s="2346">
        <v>237.72</v>
      </c>
      <c r="CE301" s="2346">
        <v>262.27999999999997</v>
      </c>
      <c r="CF301" s="2346">
        <v>287.13</v>
      </c>
      <c r="CG301" s="2346">
        <v>316.93</v>
      </c>
      <c r="CH301" s="2346">
        <v>347.13</v>
      </c>
      <c r="CI301" s="2346">
        <v>377.52</v>
      </c>
      <c r="CJ301" s="2346">
        <v>424.65</v>
      </c>
      <c r="CK301" s="2346">
        <v>451.88</v>
      </c>
      <c r="CL301" s="2346">
        <v>539.21</v>
      </c>
      <c r="CM301" s="2347">
        <v>1650</v>
      </c>
      <c r="CN301" s="2275"/>
      <c r="CO301" s="2275">
        <f>HLOOKUP(CO288,BL289:CL301,11,0)</f>
        <v>99.5</v>
      </c>
      <c r="CP301" s="2275">
        <f t="shared" si="139"/>
        <v>152.47999999999999</v>
      </c>
      <c r="CQ301" s="2275">
        <v>1450</v>
      </c>
      <c r="CR301" s="2275"/>
      <c r="CS301" s="2275"/>
      <c r="CT301" s="2275"/>
      <c r="CU301" s="2275"/>
      <c r="CV301" s="2275"/>
      <c r="CW301" s="2275"/>
      <c r="CX301" s="2250"/>
      <c r="CY301" s="2250"/>
      <c r="CZ301" s="2250"/>
      <c r="DA301" s="2250"/>
      <c r="DB301" s="2250"/>
      <c r="DC301" s="2250"/>
      <c r="DD301" s="2250"/>
      <c r="DE301" s="2250"/>
      <c r="DF301" s="2250"/>
      <c r="DG301" s="2250"/>
      <c r="DH301" s="2250"/>
      <c r="DI301" s="2250"/>
      <c r="DJ301" s="2250"/>
      <c r="DK301" s="2250"/>
      <c r="DL301" s="2250"/>
      <c r="DM301" s="2250"/>
      <c r="DN301" s="2250"/>
      <c r="DO301" s="2250"/>
      <c r="DP301" s="2250"/>
      <c r="DQ301" s="2277"/>
      <c r="DR301" s="2277"/>
      <c r="DS301" s="277"/>
      <c r="DW301" s="2275"/>
      <c r="DX301" s="2275"/>
      <c r="DY301" s="2345">
        <v>1650</v>
      </c>
      <c r="DZ301" s="2346">
        <v>74.650000000000006</v>
      </c>
      <c r="EA301" s="2346">
        <v>84.16</v>
      </c>
      <c r="EB301" s="2346">
        <v>92.87</v>
      </c>
      <c r="EC301" s="2346">
        <v>92.87</v>
      </c>
      <c r="ED301" s="2346">
        <v>98.02</v>
      </c>
      <c r="EE301" s="2346">
        <v>105.94</v>
      </c>
      <c r="EF301" s="2346">
        <v>111.68</v>
      </c>
      <c r="EG301" s="2346">
        <v>123.76</v>
      </c>
      <c r="EH301" s="2346">
        <v>131.49</v>
      </c>
      <c r="EI301" s="2346">
        <v>140.99</v>
      </c>
      <c r="EJ301" s="2346">
        <v>147.82</v>
      </c>
      <c r="EK301" s="2346">
        <v>172.38</v>
      </c>
      <c r="EL301" s="2346">
        <v>174.16</v>
      </c>
      <c r="EM301" s="2346">
        <v>182.97</v>
      </c>
      <c r="EN301" s="2346">
        <v>144.46</v>
      </c>
      <c r="EO301" s="2346">
        <v>204.26</v>
      </c>
      <c r="EP301" s="2346">
        <v>215.15</v>
      </c>
      <c r="EQ301" s="2346">
        <v>228.32</v>
      </c>
      <c r="ER301" s="2346">
        <v>237.72</v>
      </c>
      <c r="ES301" s="2346">
        <v>262.27999999999997</v>
      </c>
      <c r="ET301" s="2346">
        <v>287.13</v>
      </c>
      <c r="EU301" s="2346">
        <v>316.93</v>
      </c>
      <c r="EV301" s="2346">
        <v>347.13</v>
      </c>
      <c r="EW301" s="2346">
        <v>377.52</v>
      </c>
      <c r="EX301" s="2346">
        <v>424.65</v>
      </c>
      <c r="EY301" s="2346">
        <v>451.88</v>
      </c>
      <c r="EZ301" s="2346">
        <v>539.21</v>
      </c>
      <c r="FA301" s="2347">
        <v>1650</v>
      </c>
      <c r="FB301" s="2275"/>
      <c r="FC301" s="2275">
        <f>HLOOKUP(FC288,DZ289:EZ301,11,0)</f>
        <v>153.27000000000001</v>
      </c>
      <c r="FD301" s="2275">
        <f t="shared" si="140"/>
        <v>234.16</v>
      </c>
      <c r="FE301" s="2275">
        <v>1450</v>
      </c>
      <c r="FF301" s="2275"/>
      <c r="FG301" s="2275"/>
      <c r="FH301" s="2275"/>
      <c r="FI301" s="2275"/>
      <c r="FJ301" s="2275"/>
      <c r="FK301" s="2275"/>
      <c r="FL301" s="2250"/>
      <c r="FM301" s="2250"/>
      <c r="FN301" s="2250"/>
      <c r="FO301" s="2250"/>
      <c r="FP301" s="2250"/>
      <c r="FQ301" s="2250"/>
      <c r="FR301" s="2250"/>
      <c r="FS301" s="2250"/>
      <c r="FT301" s="2250"/>
      <c r="FU301" s="2250"/>
      <c r="FV301" s="2250"/>
      <c r="FW301" s="2250"/>
      <c r="FX301" s="2250"/>
      <c r="FY301" s="2250"/>
      <c r="FZ301" s="2250"/>
      <c r="GA301" s="2250"/>
      <c r="GB301" s="2276"/>
      <c r="GC301" s="2276"/>
      <c r="GD301" s="2250"/>
      <c r="GE301" s="2275"/>
      <c r="GF301" s="2275"/>
      <c r="GG301" s="2345">
        <v>1650</v>
      </c>
      <c r="GH301" s="2346">
        <v>74.650000000000006</v>
      </c>
      <c r="GI301" s="2346">
        <v>84.16</v>
      </c>
      <c r="GJ301" s="2346">
        <v>92.87</v>
      </c>
      <c r="GK301" s="2346">
        <v>92.87</v>
      </c>
      <c r="GL301" s="2346">
        <v>98.02</v>
      </c>
      <c r="GM301" s="2346">
        <v>105.94</v>
      </c>
      <c r="GN301" s="2346">
        <v>111.68</v>
      </c>
      <c r="GO301" s="2346">
        <v>123.76</v>
      </c>
      <c r="GP301" s="2346">
        <v>131.49</v>
      </c>
      <c r="GQ301" s="2346">
        <v>140.99</v>
      </c>
      <c r="GR301" s="2346">
        <v>147.82</v>
      </c>
      <c r="GS301" s="2346">
        <v>172.38</v>
      </c>
      <c r="GT301" s="2346">
        <v>174.16</v>
      </c>
      <c r="GU301" s="2346">
        <v>182.97</v>
      </c>
      <c r="GV301" s="2346">
        <v>144.46</v>
      </c>
      <c r="GW301" s="2346">
        <v>204.26</v>
      </c>
      <c r="GX301" s="2346">
        <v>215.15</v>
      </c>
      <c r="GY301" s="2346">
        <v>228.32</v>
      </c>
      <c r="GZ301" s="2346">
        <v>237.72</v>
      </c>
      <c r="HA301" s="2346">
        <v>262.27999999999997</v>
      </c>
      <c r="HB301" s="2346">
        <v>287.13</v>
      </c>
      <c r="HC301" s="2346">
        <v>316.93</v>
      </c>
      <c r="HD301" s="2346">
        <v>347.13</v>
      </c>
      <c r="HE301" s="2346">
        <v>377.52</v>
      </c>
      <c r="HF301" s="2346">
        <v>424.65</v>
      </c>
      <c r="HG301" s="2346">
        <v>451.88</v>
      </c>
      <c r="HH301" s="2346">
        <v>539.21</v>
      </c>
      <c r="HI301" s="2347">
        <v>1650</v>
      </c>
      <c r="HJ301" s="2275"/>
      <c r="HK301" s="2275">
        <f>HLOOKUP(HK288,GH289:HH301,11,0)</f>
        <v>138.12</v>
      </c>
      <c r="HL301" s="2275">
        <f t="shared" si="141"/>
        <v>215.25</v>
      </c>
      <c r="HM301" s="2275">
        <v>1450</v>
      </c>
      <c r="HN301" s="2275"/>
      <c r="HO301" s="2275"/>
      <c r="HP301" s="2275"/>
      <c r="HQ301" s="2275"/>
      <c r="HR301" s="2275"/>
      <c r="HS301" s="2275"/>
      <c r="HT301" s="2250"/>
      <c r="HU301" s="2250"/>
      <c r="HV301" s="2250"/>
      <c r="HW301" s="2250"/>
      <c r="HX301" s="2250"/>
      <c r="HY301" s="2250"/>
      <c r="HZ301" s="2250"/>
      <c r="IA301" s="2250"/>
      <c r="IB301" s="2250"/>
      <c r="IC301" s="2250"/>
      <c r="ID301" s="2250"/>
      <c r="IE301" s="2250"/>
      <c r="IF301" s="2250"/>
      <c r="IG301" s="2250"/>
      <c r="IH301" s="2250"/>
      <c r="II301" s="2250"/>
      <c r="IJ301" s="2250"/>
      <c r="IK301" s="2250"/>
      <c r="IL301" s="2250"/>
      <c r="IN301" s="277"/>
      <c r="IO301" s="277"/>
    </row>
    <row r="302" spans="1:249" ht="21.95" customHeight="1">
      <c r="A302" s="2275"/>
      <c r="B302" s="2275"/>
      <c r="C302" s="2275"/>
      <c r="D302" s="2275"/>
      <c r="E302" s="2275"/>
      <c r="F302" s="2275"/>
      <c r="G302" s="2275"/>
      <c r="H302" s="2275"/>
      <c r="I302" s="2275"/>
      <c r="J302" s="2275"/>
      <c r="K302" s="2275"/>
      <c r="L302" s="2275"/>
      <c r="M302" s="2275"/>
      <c r="N302" s="2275"/>
      <c r="O302" s="2275"/>
      <c r="P302" s="2275"/>
      <c r="Q302" s="2275"/>
      <c r="R302" s="2275"/>
      <c r="S302" s="2275"/>
      <c r="T302" s="2275"/>
      <c r="U302" s="2275"/>
      <c r="V302" s="2275"/>
      <c r="W302" s="2275"/>
      <c r="X302" s="2275"/>
      <c r="Y302" s="2275"/>
      <c r="Z302" s="2275"/>
      <c r="AA302" s="2275"/>
      <c r="AB302" s="2275"/>
      <c r="AC302" s="2275"/>
      <c r="AD302" s="2275"/>
      <c r="AE302" s="2346"/>
      <c r="AF302" s="2275"/>
      <c r="AG302" s="2275">
        <f>HLOOKUP(AG288,D289:AD301,12,0)</f>
        <v>163.16999999999999</v>
      </c>
      <c r="AH302" s="2275">
        <f t="shared" si="138"/>
        <v>228.32</v>
      </c>
      <c r="AI302" s="2275">
        <v>1650</v>
      </c>
      <c r="AJ302" s="2275"/>
      <c r="AK302" s="2275"/>
      <c r="AL302" s="2275"/>
      <c r="AM302" s="2275"/>
      <c r="AN302" s="2275"/>
      <c r="AO302" s="2275"/>
      <c r="AP302" s="2250"/>
      <c r="AQ302" s="2250"/>
      <c r="AR302" s="2250"/>
      <c r="AS302" s="2250"/>
      <c r="AT302" s="2250"/>
      <c r="AU302" s="2250"/>
      <c r="AV302" s="2250"/>
      <c r="AW302" s="2250"/>
      <c r="AX302" s="2250"/>
      <c r="AY302" s="2250"/>
      <c r="AZ302" s="2250"/>
      <c r="BA302" s="2250"/>
      <c r="BB302" s="2250"/>
      <c r="BC302" s="2250"/>
      <c r="BD302" s="2250"/>
      <c r="BE302" s="2250"/>
      <c r="BF302" s="2276"/>
      <c r="BG302" s="2276"/>
      <c r="BH302" s="2250"/>
      <c r="BI302" s="2275"/>
      <c r="BJ302" s="2275"/>
      <c r="BK302" s="2275"/>
      <c r="BL302" s="2275"/>
      <c r="BM302" s="2275"/>
      <c r="BN302" s="2275"/>
      <c r="BO302" s="2275"/>
      <c r="BP302" s="2275"/>
      <c r="BQ302" s="2275"/>
      <c r="BR302" s="2275"/>
      <c r="BS302" s="2275"/>
      <c r="BT302" s="2275"/>
      <c r="BU302" s="2275"/>
      <c r="BV302" s="2275"/>
      <c r="BW302" s="2275"/>
      <c r="BX302" s="2275"/>
      <c r="BY302" s="2275"/>
      <c r="BZ302" s="2275"/>
      <c r="CA302" s="2275"/>
      <c r="CB302" s="2275"/>
      <c r="CC302" s="2275"/>
      <c r="CD302" s="2275"/>
      <c r="CE302" s="2275"/>
      <c r="CF302" s="2275"/>
      <c r="CG302" s="2275"/>
      <c r="CH302" s="2275"/>
      <c r="CI302" s="2275"/>
      <c r="CJ302" s="2275"/>
      <c r="CK302" s="2275"/>
      <c r="CL302" s="2275"/>
      <c r="CM302" s="2346"/>
      <c r="CN302" s="2275"/>
      <c r="CO302" s="2275">
        <f>HLOOKUP(CO288,BL289:CL301,12,0)</f>
        <v>152.47999999999999</v>
      </c>
      <c r="CP302" s="2275">
        <f t="shared" si="139"/>
        <v>215.15</v>
      </c>
      <c r="CQ302" s="2275">
        <v>1650</v>
      </c>
      <c r="CR302" s="2275"/>
      <c r="CS302" s="2275"/>
      <c r="CT302" s="2275"/>
      <c r="CU302" s="2275"/>
      <c r="CV302" s="2275"/>
      <c r="CW302" s="2275"/>
      <c r="CX302" s="2250"/>
      <c r="CY302" s="2250"/>
      <c r="CZ302" s="2250"/>
      <c r="DA302" s="2250"/>
      <c r="DB302" s="2250"/>
      <c r="DC302" s="2250"/>
      <c r="DD302" s="2250"/>
      <c r="DE302" s="2250"/>
      <c r="DF302" s="2250"/>
      <c r="DG302" s="2250"/>
      <c r="DH302" s="2250"/>
      <c r="DI302" s="2250"/>
      <c r="DJ302" s="2250"/>
      <c r="DK302" s="2250"/>
      <c r="DL302" s="2250"/>
      <c r="DM302" s="2250"/>
      <c r="DN302" s="2250"/>
      <c r="DO302" s="2250"/>
      <c r="DP302" s="2250"/>
      <c r="DQ302" s="2277"/>
      <c r="DR302" s="2277"/>
      <c r="DS302" s="277"/>
      <c r="DW302" s="2275"/>
      <c r="DX302" s="2275"/>
      <c r="DY302" s="2275"/>
      <c r="DZ302" s="2275"/>
      <c r="EA302" s="2275"/>
      <c r="EB302" s="2275"/>
      <c r="EC302" s="2275"/>
      <c r="ED302" s="2275"/>
      <c r="EE302" s="2275"/>
      <c r="EF302" s="2275"/>
      <c r="EG302" s="2275"/>
      <c r="EH302" s="2275"/>
      <c r="EI302" s="2275"/>
      <c r="EJ302" s="2275"/>
      <c r="EK302" s="2275"/>
      <c r="EL302" s="2275"/>
      <c r="EM302" s="2275"/>
      <c r="EN302" s="2275"/>
      <c r="EO302" s="2275"/>
      <c r="EP302" s="2275"/>
      <c r="EQ302" s="2275"/>
      <c r="ER302" s="2275"/>
      <c r="ES302" s="2275"/>
      <c r="ET302" s="2275"/>
      <c r="EU302" s="2275"/>
      <c r="EV302" s="2275"/>
      <c r="EW302" s="2275"/>
      <c r="EX302" s="2275"/>
      <c r="EY302" s="2275"/>
      <c r="EZ302" s="2275"/>
      <c r="FA302" s="2346"/>
      <c r="FB302" s="2275"/>
      <c r="FC302" s="2275">
        <f>HLOOKUP(FC288,DZ289:EZ301,12,0)</f>
        <v>234.16</v>
      </c>
      <c r="FD302" s="2275">
        <f t="shared" si="140"/>
        <v>347.13</v>
      </c>
      <c r="FE302" s="2275">
        <v>1650</v>
      </c>
      <c r="FF302" s="2275"/>
      <c r="FG302" s="2275"/>
      <c r="FH302" s="2275"/>
      <c r="FI302" s="2275"/>
      <c r="FJ302" s="2275"/>
      <c r="FK302" s="2275"/>
      <c r="FL302" s="2250"/>
      <c r="FM302" s="2250"/>
      <c r="FN302" s="2250"/>
      <c r="FO302" s="2250"/>
      <c r="FP302" s="2250"/>
      <c r="FQ302" s="2250"/>
      <c r="FR302" s="2250"/>
      <c r="FS302" s="2250"/>
      <c r="FT302" s="2250"/>
      <c r="FU302" s="2250"/>
      <c r="FV302" s="2250"/>
      <c r="FW302" s="2250"/>
      <c r="FX302" s="2250"/>
      <c r="FY302" s="2250"/>
      <c r="FZ302" s="2250"/>
      <c r="GA302" s="2250"/>
      <c r="GB302" s="2276"/>
      <c r="GC302" s="2276"/>
      <c r="GD302" s="2250"/>
      <c r="GE302" s="2275"/>
      <c r="GF302" s="2275"/>
      <c r="GG302" s="2275"/>
      <c r="GH302" s="2275"/>
      <c r="GI302" s="2275"/>
      <c r="GJ302" s="2275"/>
      <c r="GK302" s="2275"/>
      <c r="GL302" s="2275"/>
      <c r="GM302" s="2275"/>
      <c r="GN302" s="2275"/>
      <c r="GO302" s="2275"/>
      <c r="GP302" s="2275"/>
      <c r="GQ302" s="2275"/>
      <c r="GR302" s="2275"/>
      <c r="GS302" s="2275"/>
      <c r="GT302" s="2275"/>
      <c r="GU302" s="2275"/>
      <c r="GV302" s="2275"/>
      <c r="GW302" s="2275"/>
      <c r="GX302" s="2275"/>
      <c r="GY302" s="2275"/>
      <c r="GZ302" s="2275"/>
      <c r="HA302" s="2275"/>
      <c r="HB302" s="2275"/>
      <c r="HC302" s="2275"/>
      <c r="HD302" s="2275"/>
      <c r="HE302" s="2275"/>
      <c r="HF302" s="2275"/>
      <c r="HG302" s="2275"/>
      <c r="HH302" s="2275"/>
      <c r="HI302" s="2346"/>
      <c r="HJ302" s="2275"/>
      <c r="HK302" s="2275">
        <f>HLOOKUP(HK288,GH289:HH301,12,0)</f>
        <v>215.25</v>
      </c>
      <c r="HL302" s="2275">
        <f t="shared" si="141"/>
        <v>316.93</v>
      </c>
      <c r="HM302" s="2275">
        <v>1650</v>
      </c>
      <c r="HN302" s="2275"/>
      <c r="HO302" s="2275"/>
      <c r="HP302" s="2275"/>
      <c r="HQ302" s="2275"/>
      <c r="HR302" s="2275"/>
      <c r="HS302" s="2275"/>
      <c r="HT302" s="2250"/>
      <c r="HU302" s="2250"/>
      <c r="HV302" s="2250"/>
      <c r="HW302" s="2250"/>
      <c r="HX302" s="2250"/>
      <c r="HY302" s="2250"/>
      <c r="HZ302" s="2250"/>
      <c r="IA302" s="2250"/>
      <c r="IB302" s="2250"/>
      <c r="IC302" s="2250"/>
      <c r="ID302" s="2250"/>
      <c r="IE302" s="2250"/>
      <c r="IF302" s="2250"/>
      <c r="IG302" s="2250"/>
      <c r="IH302" s="2250"/>
      <c r="II302" s="2250"/>
      <c r="IJ302" s="2250"/>
      <c r="IK302" s="2250"/>
      <c r="IL302" s="2250"/>
      <c r="IN302" s="277"/>
      <c r="IO302" s="277"/>
    </row>
    <row r="303" spans="1:249" ht="21.95" customHeight="1">
      <c r="A303" s="2275"/>
      <c r="B303" s="2275">
        <f>AG288</f>
        <v>68.3</v>
      </c>
      <c r="C303" s="2275">
        <v>0</v>
      </c>
      <c r="D303" s="2275">
        <f>VLOOKUP(B305,C291:AD301,2,0)</f>
        <v>1.19</v>
      </c>
      <c r="E303" s="2275">
        <f>VLOOKUP(B305,C291:E301,3,0)</f>
        <v>1.39</v>
      </c>
      <c r="F303" s="2275">
        <f>VLOOKUP(B305,C291:F301,4,0)</f>
        <v>1.49</v>
      </c>
      <c r="G303" s="2275">
        <f>VLOOKUP(B305,C291:G301,5,0)</f>
        <v>1.68</v>
      </c>
      <c r="H303" s="2275">
        <f>VLOOKUP(B305,C291:H301,6,0)</f>
        <v>1.78</v>
      </c>
      <c r="I303" s="2275">
        <f>VLOOKUP(B305,C291:I301,7,0)</f>
        <v>1.68</v>
      </c>
      <c r="J303" s="2275">
        <f>VLOOKUP(B305,C291:J301,8,0)</f>
        <v>1.88</v>
      </c>
      <c r="K303" s="2275">
        <f>VLOOKUP(B305,C291:K301,9,0)</f>
        <v>1.98</v>
      </c>
      <c r="L303" s="2275">
        <f>VLOOKUP(B305,C291:L301,10,0)</f>
        <v>2.1800000000000002</v>
      </c>
      <c r="M303" s="2275">
        <f>VLOOKUP(B305,C291:M301,11,0)</f>
        <v>2.38</v>
      </c>
      <c r="N303" s="2275">
        <f>VLOOKUP(B305,C291:N301,12,0)</f>
        <v>2.57</v>
      </c>
      <c r="O303" s="2275">
        <f>VLOOKUP(B305,C291:O301,13,0)</f>
        <v>2.67</v>
      </c>
      <c r="P303" s="2275">
        <f>VLOOKUP(B305,C291:P301,14,0)</f>
        <v>3.07</v>
      </c>
      <c r="Q303" s="2275">
        <f>VLOOKUP(B305,C291:Q301,15,0)</f>
        <v>3.07</v>
      </c>
      <c r="R303" s="2275">
        <f>VLOOKUP(B305,C291:R301,16,0)</f>
        <v>3.17</v>
      </c>
      <c r="S303" s="2275">
        <f>VLOOKUP(B305,C291:S301,17,0)</f>
        <v>3.56</v>
      </c>
      <c r="T303" s="2275">
        <f>VLOOKUP(B305,C291:T301,18,0)</f>
        <v>3.76</v>
      </c>
      <c r="U303" s="2275">
        <f>VLOOKUP(B305,C291:U301,19,0)</f>
        <v>3.86</v>
      </c>
      <c r="V303" s="2275">
        <f>VLOOKUP(B305,C291:V301,20,0)</f>
        <v>4.16</v>
      </c>
      <c r="W303" s="2275">
        <f>VLOOKUP(B305,C291:W301,21,0)</f>
        <v>4.46</v>
      </c>
      <c r="X303" s="2275">
        <f>VLOOKUP(B305,C291:X301,22,0)</f>
        <v>4.95</v>
      </c>
      <c r="Y303" s="2275">
        <f>VLOOKUP(B305,C291:Y301,23,0)</f>
        <v>5.25</v>
      </c>
      <c r="Z303" s="2275">
        <f>VLOOKUP(B305,C291:Z301,24,0)</f>
        <v>5.35</v>
      </c>
      <c r="AA303" s="2275">
        <f>VLOOKUP(B305,C291:AA301,25,0)</f>
        <v>6.44</v>
      </c>
      <c r="AB303" s="2275">
        <f>VLOOKUP(B305,C291:AB301,26,0)</f>
        <v>6.53</v>
      </c>
      <c r="AC303" s="2275">
        <f>VLOOKUP(B305,C291:AC301,27,0)</f>
        <v>8.61</v>
      </c>
      <c r="AD303" s="2275">
        <f>VLOOKUP(B305,C291:AD301,28,0)</f>
        <v>9.9</v>
      </c>
      <c r="AE303" s="2346"/>
      <c r="AF303" s="2275"/>
      <c r="AG303" s="2275">
        <f>HLOOKUP(AG288,D289:AD301,13,0)</f>
        <v>228.32</v>
      </c>
      <c r="AH303" s="2275"/>
      <c r="AI303" s="2275"/>
      <c r="AJ303" s="2275"/>
      <c r="AK303" s="2275"/>
      <c r="AL303" s="2275"/>
      <c r="AM303" s="2275"/>
      <c r="AN303" s="2275"/>
      <c r="AO303" s="2275"/>
      <c r="AP303" s="2250"/>
      <c r="AQ303" s="2250"/>
      <c r="AR303" s="2250"/>
      <c r="AS303" s="2250"/>
      <c r="AT303" s="2250"/>
      <c r="AU303" s="2250"/>
      <c r="AV303" s="2250"/>
      <c r="AW303" s="2250"/>
      <c r="AX303" s="2250"/>
      <c r="AY303" s="2250"/>
      <c r="AZ303" s="2250"/>
      <c r="BA303" s="2250"/>
      <c r="BB303" s="2250"/>
      <c r="BC303" s="2250"/>
      <c r="BD303" s="2250"/>
      <c r="BE303" s="2250"/>
      <c r="BF303" s="2276"/>
      <c r="BG303" s="2276"/>
      <c r="BH303" s="2250"/>
      <c r="BI303" s="2275"/>
      <c r="BJ303" s="2275">
        <f>CO288</f>
        <v>73.7</v>
      </c>
      <c r="BK303" s="2275">
        <v>0</v>
      </c>
      <c r="BL303" s="2275">
        <f>VLOOKUP(BJ305,BK291:CL301,2,0)</f>
        <v>1.19</v>
      </c>
      <c r="BM303" s="2275">
        <f>VLOOKUP(BJ305,BK291:BM301,3,0)</f>
        <v>1.39</v>
      </c>
      <c r="BN303" s="2275">
        <f>VLOOKUP(BJ305,BK291:BN301,4,0)</f>
        <v>1.49</v>
      </c>
      <c r="BO303" s="2275">
        <f>VLOOKUP(BJ305,BK291:BO301,5,0)</f>
        <v>1.68</v>
      </c>
      <c r="BP303" s="2275">
        <f>VLOOKUP(BJ305,BK291:BP301,6,0)</f>
        <v>1.78</v>
      </c>
      <c r="BQ303" s="2275">
        <f>VLOOKUP(BJ305,BK291:BQ301,7,0)</f>
        <v>1.68</v>
      </c>
      <c r="BR303" s="2275">
        <f>VLOOKUP(BJ305,BK291:BR301,8,0)</f>
        <v>1.88</v>
      </c>
      <c r="BS303" s="2275">
        <f>VLOOKUP(BJ305,BK291:BS301,9,0)</f>
        <v>1.98</v>
      </c>
      <c r="BT303" s="2275">
        <f>VLOOKUP(BJ305,BK291:BT301,10,0)</f>
        <v>2.1800000000000002</v>
      </c>
      <c r="BU303" s="2275">
        <f>VLOOKUP(BJ305,BK291:BU301,11,0)</f>
        <v>2.38</v>
      </c>
      <c r="BV303" s="2275">
        <f>VLOOKUP(BJ305,BK291:BV301,12,0)</f>
        <v>2.57</v>
      </c>
      <c r="BW303" s="2275">
        <f>VLOOKUP(BJ305,BK291:BW301,13,0)</f>
        <v>2.67</v>
      </c>
      <c r="BX303" s="2275">
        <f>VLOOKUP(BJ305,BK291:BX301,14,0)</f>
        <v>3.07</v>
      </c>
      <c r="BY303" s="2275">
        <f>VLOOKUP(BJ305,BK291:BY301,15,0)</f>
        <v>3.07</v>
      </c>
      <c r="BZ303" s="2275">
        <f>VLOOKUP(BJ305,BK291:BZ301,16,0)</f>
        <v>3.17</v>
      </c>
      <c r="CA303" s="2275">
        <f>VLOOKUP(BJ305,BK291:CA301,17,0)</f>
        <v>3.56</v>
      </c>
      <c r="CB303" s="2275">
        <f>VLOOKUP(BJ305,BK291:CB301,18,0)</f>
        <v>3.76</v>
      </c>
      <c r="CC303" s="2275">
        <f>VLOOKUP(BJ305,BK291:CC301,19,0)</f>
        <v>3.86</v>
      </c>
      <c r="CD303" s="2275">
        <f>VLOOKUP(BJ305,BK291:CD301,20,0)</f>
        <v>4.16</v>
      </c>
      <c r="CE303" s="2275">
        <f>VLOOKUP(BJ305,BK291:CE301,21,0)</f>
        <v>4.46</v>
      </c>
      <c r="CF303" s="2275">
        <f>VLOOKUP(BJ305,BK291:CF301,22,0)</f>
        <v>4.95</v>
      </c>
      <c r="CG303" s="2275">
        <f>VLOOKUP(BJ305,BK291:CG301,23,0)</f>
        <v>5.25</v>
      </c>
      <c r="CH303" s="2275">
        <f>VLOOKUP(BJ305,BK291:CH301,24,0)</f>
        <v>5.35</v>
      </c>
      <c r="CI303" s="2275">
        <f>VLOOKUP(BJ305,BK291:CI301,25,0)</f>
        <v>6.44</v>
      </c>
      <c r="CJ303" s="2275">
        <f>VLOOKUP(BJ305,BK291:CJ301,26,0)</f>
        <v>6.53</v>
      </c>
      <c r="CK303" s="2275">
        <f>VLOOKUP(BJ305,BK291:CK301,27,0)</f>
        <v>8.61</v>
      </c>
      <c r="CL303" s="2275">
        <f>VLOOKUP(BJ305,BK291:CL301,28,0)</f>
        <v>9.9</v>
      </c>
      <c r="CM303" s="2346"/>
      <c r="CN303" s="2275"/>
      <c r="CO303" s="2275">
        <f>HLOOKUP(CO288,BL289:CL301,13,0)</f>
        <v>215.15</v>
      </c>
      <c r="CP303" s="2275"/>
      <c r="CQ303" s="2275"/>
      <c r="CR303" s="2275"/>
      <c r="CS303" s="2275"/>
      <c r="CT303" s="2275"/>
      <c r="CU303" s="2275"/>
      <c r="CV303" s="2275"/>
      <c r="CW303" s="2275"/>
      <c r="CX303" s="2250"/>
      <c r="CY303" s="2250"/>
      <c r="CZ303" s="2250"/>
      <c r="DA303" s="2250"/>
      <c r="DB303" s="2250"/>
      <c r="DC303" s="2250"/>
      <c r="DD303" s="2250"/>
      <c r="DE303" s="2250"/>
      <c r="DF303" s="2250"/>
      <c r="DG303" s="2250"/>
      <c r="DH303" s="2250"/>
      <c r="DI303" s="2250"/>
      <c r="DJ303" s="2250"/>
      <c r="DK303" s="2250"/>
      <c r="DL303" s="2250"/>
      <c r="DM303" s="2250"/>
      <c r="DN303" s="2250"/>
      <c r="DO303" s="2250"/>
      <c r="DP303" s="2250"/>
      <c r="DQ303" s="2277"/>
      <c r="DR303" s="2277"/>
      <c r="DS303" s="277"/>
      <c r="DW303" s="2275"/>
      <c r="DX303" s="2275">
        <f>FC288</f>
        <v>43.9</v>
      </c>
      <c r="DY303" s="2275">
        <v>0</v>
      </c>
      <c r="DZ303" s="2275">
        <f>VLOOKUP(DX305,DY291:EZ301,2,0)</f>
        <v>1.19</v>
      </c>
      <c r="EA303" s="2275">
        <f>VLOOKUP(DX305,DY291:EA301,3,0)</f>
        <v>1.39</v>
      </c>
      <c r="EB303" s="2275">
        <f>VLOOKUP(DX305,DY291:EB301,4,0)</f>
        <v>1.49</v>
      </c>
      <c r="EC303" s="2275">
        <f>VLOOKUP(DX305,DY291:EC301,5,0)</f>
        <v>1.68</v>
      </c>
      <c r="ED303" s="2275">
        <f>VLOOKUP(DX305,DY291:ED301,6,0)</f>
        <v>1.78</v>
      </c>
      <c r="EE303" s="2275">
        <f>VLOOKUP(DX305,DY291:EE301,7,0)</f>
        <v>1.68</v>
      </c>
      <c r="EF303" s="2275">
        <f>VLOOKUP(DX305,DY291:EF301,8,0)</f>
        <v>1.88</v>
      </c>
      <c r="EG303" s="2275">
        <f>VLOOKUP(DX305,DY291:EG301,9,0)</f>
        <v>1.98</v>
      </c>
      <c r="EH303" s="2275">
        <f>VLOOKUP(DX305,DY291:EH301,10,0)</f>
        <v>2.1800000000000002</v>
      </c>
      <c r="EI303" s="2275">
        <f>VLOOKUP(DX305,DY291:EI301,11,0)</f>
        <v>2.38</v>
      </c>
      <c r="EJ303" s="2275">
        <f>VLOOKUP(DX305,DY291:EJ301,12,0)</f>
        <v>2.57</v>
      </c>
      <c r="EK303" s="2275">
        <f>VLOOKUP(DX305,DY291:EK301,13,0)</f>
        <v>2.67</v>
      </c>
      <c r="EL303" s="2275">
        <f>VLOOKUP(DX305,DY291:EL301,14,0)</f>
        <v>3.07</v>
      </c>
      <c r="EM303" s="2275">
        <f>VLOOKUP(DX305,DY291:EM301,15,0)</f>
        <v>3.07</v>
      </c>
      <c r="EN303" s="2275">
        <f>VLOOKUP(DX305,DY291:EN301,16,0)</f>
        <v>3.17</v>
      </c>
      <c r="EO303" s="2275">
        <f>VLOOKUP(DX305,DY291:EO301,17,0)</f>
        <v>3.56</v>
      </c>
      <c r="EP303" s="2275">
        <f>VLOOKUP(DX305,DY291:EP301,18,0)</f>
        <v>3.76</v>
      </c>
      <c r="EQ303" s="2275">
        <f>VLOOKUP(DX305,DY291:EQ301,19,0)</f>
        <v>3.86</v>
      </c>
      <c r="ER303" s="2275">
        <f>VLOOKUP(DX305,DY291:ER301,20,0)</f>
        <v>4.16</v>
      </c>
      <c r="ES303" s="2275">
        <f>VLOOKUP(DX305,DY291:ES301,21,0)</f>
        <v>4.46</v>
      </c>
      <c r="ET303" s="2275">
        <f>VLOOKUP(DX305,DY291:ET301,22,0)</f>
        <v>4.95</v>
      </c>
      <c r="EU303" s="2275">
        <f>VLOOKUP(DX305,DY291:EU301,23,0)</f>
        <v>5.25</v>
      </c>
      <c r="EV303" s="2275">
        <f>VLOOKUP(DX305,DY291:EV301,24,0)</f>
        <v>5.35</v>
      </c>
      <c r="EW303" s="2275">
        <f>VLOOKUP(DX305,DY291:EW301,25,0)</f>
        <v>6.44</v>
      </c>
      <c r="EX303" s="2275">
        <f>VLOOKUP(DX305,DY291:EX301,26,0)</f>
        <v>6.53</v>
      </c>
      <c r="EY303" s="2275">
        <f>VLOOKUP(DX305,DY291:EY301,27,0)</f>
        <v>8.61</v>
      </c>
      <c r="EZ303" s="2275">
        <f>VLOOKUP(DX305,DY291:EZ301,28,0)</f>
        <v>9.9</v>
      </c>
      <c r="FA303" s="2346"/>
      <c r="FB303" s="2275"/>
      <c r="FC303" s="2275">
        <f>HLOOKUP(FC288,DZ289:EZ301,13,0)</f>
        <v>347.13</v>
      </c>
      <c r="FD303" s="2275"/>
      <c r="FE303" s="2275"/>
      <c r="FF303" s="2275"/>
      <c r="FG303" s="2275"/>
      <c r="FH303" s="2275"/>
      <c r="FI303" s="2275"/>
      <c r="FJ303" s="2275"/>
      <c r="FK303" s="2275"/>
      <c r="FL303" s="2250"/>
      <c r="FM303" s="2250"/>
      <c r="FN303" s="2250"/>
      <c r="FO303" s="2250"/>
      <c r="FP303" s="2250"/>
      <c r="FQ303" s="2250"/>
      <c r="FR303" s="2250"/>
      <c r="FS303" s="2250"/>
      <c r="FT303" s="2250"/>
      <c r="FU303" s="2250"/>
      <c r="FV303" s="2250"/>
      <c r="FW303" s="2250"/>
      <c r="FX303" s="2250"/>
      <c r="FY303" s="2250"/>
      <c r="FZ303" s="2250"/>
      <c r="GA303" s="2250"/>
      <c r="GB303" s="2276"/>
      <c r="GC303" s="2276"/>
      <c r="GD303" s="2250"/>
      <c r="GE303" s="2275"/>
      <c r="GF303" s="2275">
        <f>HK288</f>
        <v>48.8</v>
      </c>
      <c r="GG303" s="2275">
        <v>0</v>
      </c>
      <c r="GH303" s="2275">
        <f>VLOOKUP(GF305,GG291:HH301,2,0)</f>
        <v>1.19</v>
      </c>
      <c r="GI303" s="2275">
        <f>VLOOKUP(GF305,GG291:GI301,3,0)</f>
        <v>1.39</v>
      </c>
      <c r="GJ303" s="2275">
        <f>VLOOKUP(GF305,GG291:GJ301,4,0)</f>
        <v>1.49</v>
      </c>
      <c r="GK303" s="2275">
        <f>VLOOKUP(GF305,GG291:GK301,5,0)</f>
        <v>1.68</v>
      </c>
      <c r="GL303" s="2275">
        <f>VLOOKUP(GF305,GG291:GL301,6,0)</f>
        <v>1.78</v>
      </c>
      <c r="GM303" s="2275">
        <f>VLOOKUP(GF305,GG291:GM301,7,0)</f>
        <v>1.68</v>
      </c>
      <c r="GN303" s="2275">
        <f>VLOOKUP(GF305,GG291:GN301,8,0)</f>
        <v>1.88</v>
      </c>
      <c r="GO303" s="2275">
        <f>VLOOKUP(GF305,GG291:GO301,9,0)</f>
        <v>1.98</v>
      </c>
      <c r="GP303" s="2275">
        <f>VLOOKUP(GF305,GG291:GP301,10,0)</f>
        <v>2.1800000000000002</v>
      </c>
      <c r="GQ303" s="2275">
        <f>VLOOKUP(GF305,GG291:GQ301,11,0)</f>
        <v>2.38</v>
      </c>
      <c r="GR303" s="2275">
        <f>VLOOKUP(GF305,GG291:GR301,12,0)</f>
        <v>2.57</v>
      </c>
      <c r="GS303" s="2275">
        <f>VLOOKUP(GF305,GG291:GS301,13,0)</f>
        <v>2.67</v>
      </c>
      <c r="GT303" s="2275">
        <f>VLOOKUP(GF305,GG291:GT301,14,0)</f>
        <v>3.07</v>
      </c>
      <c r="GU303" s="2275">
        <f>VLOOKUP(GF305,GG291:GU301,15,0)</f>
        <v>3.07</v>
      </c>
      <c r="GV303" s="2275">
        <f>VLOOKUP(GF305,GG291:GV301,16,0)</f>
        <v>3.17</v>
      </c>
      <c r="GW303" s="2275">
        <f>VLOOKUP(GF305,GG291:GW301,17,0)</f>
        <v>3.56</v>
      </c>
      <c r="GX303" s="2275">
        <f>VLOOKUP(GF305,GG291:GX301,18,0)</f>
        <v>3.76</v>
      </c>
      <c r="GY303" s="2275">
        <f>VLOOKUP(GF305,GG291:GY301,19,0)</f>
        <v>3.86</v>
      </c>
      <c r="GZ303" s="2275">
        <f>VLOOKUP(GF305,GG291:GZ301,20,0)</f>
        <v>4.16</v>
      </c>
      <c r="HA303" s="2275">
        <f>VLOOKUP(GF305,GG291:HA301,21,0)</f>
        <v>4.46</v>
      </c>
      <c r="HB303" s="2275">
        <f>VLOOKUP(GF305,GG291:HB301,22,0)</f>
        <v>4.95</v>
      </c>
      <c r="HC303" s="2275">
        <f>VLOOKUP(GF305,GG291:HC301,23,0)</f>
        <v>5.25</v>
      </c>
      <c r="HD303" s="2275">
        <f>VLOOKUP(GF305,GG291:HD301,24,0)</f>
        <v>5.35</v>
      </c>
      <c r="HE303" s="2275">
        <f>VLOOKUP(GF305,GG291:HE301,25,0)</f>
        <v>6.44</v>
      </c>
      <c r="HF303" s="2275">
        <f>VLOOKUP(GF305,GG291:HF301,26,0)</f>
        <v>6.53</v>
      </c>
      <c r="HG303" s="2275">
        <f>VLOOKUP(GF305,GG291:HG301,27,0)</f>
        <v>8.61</v>
      </c>
      <c r="HH303" s="2275">
        <f>VLOOKUP(GF305,GG291:HH301,28,0)</f>
        <v>9.9</v>
      </c>
      <c r="HI303" s="2346"/>
      <c r="HJ303" s="2275"/>
      <c r="HK303" s="2275">
        <f>HLOOKUP(HK288,GH289:HH301,13,0)</f>
        <v>316.93</v>
      </c>
      <c r="HL303" s="2275"/>
      <c r="HM303" s="2275"/>
      <c r="HN303" s="2275"/>
      <c r="HO303" s="2275"/>
      <c r="HP303" s="2275"/>
      <c r="HQ303" s="2275"/>
      <c r="HR303" s="2275"/>
      <c r="HS303" s="2275"/>
      <c r="HT303" s="2250"/>
      <c r="HU303" s="2250"/>
      <c r="HV303" s="2250"/>
      <c r="HW303" s="2250"/>
      <c r="HX303" s="2250"/>
      <c r="HY303" s="2250"/>
      <c r="HZ303" s="2250"/>
      <c r="IA303" s="2250"/>
      <c r="IB303" s="2250"/>
      <c r="IC303" s="2250"/>
      <c r="ID303" s="2250"/>
      <c r="IE303" s="2250"/>
      <c r="IF303" s="2250"/>
      <c r="IG303" s="2250"/>
      <c r="IH303" s="2250"/>
      <c r="II303" s="2250"/>
      <c r="IJ303" s="2250"/>
      <c r="IK303" s="2250"/>
      <c r="IL303" s="2250"/>
      <c r="IN303" s="277"/>
      <c r="IO303" s="277"/>
    </row>
    <row r="304" spans="1:249" ht="21.95" customHeight="1">
      <c r="A304" s="2275"/>
      <c r="B304" s="2275">
        <f>AH305</f>
        <v>3.86</v>
      </c>
      <c r="C304" s="2275"/>
      <c r="D304" s="2275"/>
      <c r="E304" s="2275"/>
      <c r="F304" s="2275"/>
      <c r="G304" s="2275"/>
      <c r="H304" s="2275"/>
      <c r="I304" s="2275"/>
      <c r="J304" s="2275"/>
      <c r="K304" s="2275"/>
      <c r="L304" s="2275"/>
      <c r="M304" s="2275"/>
      <c r="N304" s="2275"/>
      <c r="O304" s="2275"/>
      <c r="P304" s="2275"/>
      <c r="Q304" s="2275"/>
      <c r="R304" s="2275"/>
      <c r="S304" s="2275"/>
      <c r="T304" s="2275"/>
      <c r="U304" s="2275"/>
      <c r="V304" s="2275"/>
      <c r="W304" s="2275"/>
      <c r="X304" s="2275"/>
      <c r="Y304" s="2275"/>
      <c r="Z304" s="2275"/>
      <c r="AA304" s="2275"/>
      <c r="AB304" s="2275"/>
      <c r="AC304" s="2275"/>
      <c r="AD304" s="2275"/>
      <c r="AE304" s="2275"/>
      <c r="AF304" s="2275"/>
      <c r="AG304" s="2275">
        <f>VLOOKUP(AG289,AG291:AG303,1)</f>
        <v>0</v>
      </c>
      <c r="AH304" s="2275">
        <f>IFERROR(VLOOKUP(AG289,AH292:AH302,1,0),0)</f>
        <v>0</v>
      </c>
      <c r="AI304" s="2275"/>
      <c r="AJ304" s="2275"/>
      <c r="AK304" s="2275"/>
      <c r="AL304" s="2275"/>
      <c r="AM304" s="2275"/>
      <c r="AN304" s="2275"/>
      <c r="AO304" s="2275"/>
      <c r="AP304" s="2250"/>
      <c r="AQ304" s="2250"/>
      <c r="AR304" s="2250"/>
      <c r="AS304" s="2250"/>
      <c r="AT304" s="2250"/>
      <c r="AU304" s="2250"/>
      <c r="AV304" s="2250"/>
      <c r="AW304" s="2250"/>
      <c r="AX304" s="2250"/>
      <c r="AY304" s="2250"/>
      <c r="AZ304" s="2250"/>
      <c r="BA304" s="2250"/>
      <c r="BB304" s="2250"/>
      <c r="BC304" s="2250"/>
      <c r="BD304" s="2250"/>
      <c r="BE304" s="2250"/>
      <c r="BF304" s="2276"/>
      <c r="BG304" s="2276"/>
      <c r="BH304" s="2250"/>
      <c r="BI304" s="2275"/>
      <c r="BJ304" s="2275">
        <f>CP305</f>
        <v>3.76</v>
      </c>
      <c r="BK304" s="2275"/>
      <c r="BL304" s="2275"/>
      <c r="BM304" s="2275"/>
      <c r="BN304" s="2275"/>
      <c r="BO304" s="2275"/>
      <c r="BP304" s="2275"/>
      <c r="BQ304" s="2275"/>
      <c r="BR304" s="2275"/>
      <c r="BS304" s="2275"/>
      <c r="BT304" s="2275"/>
      <c r="BU304" s="2275"/>
      <c r="BV304" s="2275"/>
      <c r="BW304" s="2275"/>
      <c r="BX304" s="2275"/>
      <c r="BY304" s="2275"/>
      <c r="BZ304" s="2275"/>
      <c r="CA304" s="2275"/>
      <c r="CB304" s="2275"/>
      <c r="CC304" s="2275"/>
      <c r="CD304" s="2275"/>
      <c r="CE304" s="2275"/>
      <c r="CF304" s="2275"/>
      <c r="CG304" s="2275"/>
      <c r="CH304" s="2275"/>
      <c r="CI304" s="2275"/>
      <c r="CJ304" s="2275"/>
      <c r="CK304" s="2275"/>
      <c r="CL304" s="2275"/>
      <c r="CM304" s="2275"/>
      <c r="CN304" s="2275"/>
      <c r="CO304" s="2275">
        <f>VLOOKUP(CO289,CO291:CO303,1)</f>
        <v>0</v>
      </c>
      <c r="CP304" s="2275">
        <f>IFERROR(VLOOKUP(CO289,CP292:CP302,1,0),0)</f>
        <v>0</v>
      </c>
      <c r="CQ304" s="2275"/>
      <c r="CR304" s="2275"/>
      <c r="CS304" s="2275"/>
      <c r="CT304" s="2275"/>
      <c r="CU304" s="2275"/>
      <c r="CV304" s="2275"/>
      <c r="CW304" s="2275"/>
      <c r="CX304" s="2250"/>
      <c r="CY304" s="2250"/>
      <c r="CZ304" s="2250"/>
      <c r="DA304" s="2250"/>
      <c r="DB304" s="2250"/>
      <c r="DC304" s="2250"/>
      <c r="DD304" s="2250"/>
      <c r="DE304" s="2250"/>
      <c r="DF304" s="2250"/>
      <c r="DG304" s="2250"/>
      <c r="DH304" s="2250"/>
      <c r="DI304" s="2250"/>
      <c r="DJ304" s="2250"/>
      <c r="DK304" s="2250"/>
      <c r="DL304" s="2250"/>
      <c r="DM304" s="2250"/>
      <c r="DN304" s="2250"/>
      <c r="DO304" s="2250"/>
      <c r="DP304" s="2250"/>
      <c r="DQ304" s="2277"/>
      <c r="DR304" s="2277"/>
      <c r="DS304" s="277"/>
      <c r="DW304" s="2275"/>
      <c r="DX304" s="2275">
        <f>FD305</f>
        <v>5.35</v>
      </c>
      <c r="DY304" s="2275"/>
      <c r="DZ304" s="2275"/>
      <c r="EA304" s="2275"/>
      <c r="EB304" s="2275"/>
      <c r="EC304" s="2275"/>
      <c r="ED304" s="2275"/>
      <c r="EE304" s="2275"/>
      <c r="EF304" s="2275"/>
      <c r="EG304" s="2275"/>
      <c r="EH304" s="2275"/>
      <c r="EI304" s="2275"/>
      <c r="EJ304" s="2275"/>
      <c r="EK304" s="2275"/>
      <c r="EL304" s="2275"/>
      <c r="EM304" s="2275"/>
      <c r="EN304" s="2275"/>
      <c r="EO304" s="2275"/>
      <c r="EP304" s="2275"/>
      <c r="EQ304" s="2275"/>
      <c r="ER304" s="2275"/>
      <c r="ES304" s="2275"/>
      <c r="ET304" s="2275"/>
      <c r="EU304" s="2275"/>
      <c r="EV304" s="2275"/>
      <c r="EW304" s="2275"/>
      <c r="EX304" s="2275"/>
      <c r="EY304" s="2275"/>
      <c r="EZ304" s="2275"/>
      <c r="FA304" s="2275"/>
      <c r="FB304" s="2275"/>
      <c r="FC304" s="2275">
        <f>VLOOKUP(FC289,FC291:FC303,1)</f>
        <v>0</v>
      </c>
      <c r="FD304" s="2275">
        <f>IFERROR(VLOOKUP(FC289,FD292:FD302,1,0),0)</f>
        <v>0</v>
      </c>
      <c r="FE304" s="2275"/>
      <c r="FF304" s="2275"/>
      <c r="FG304" s="2275"/>
      <c r="FH304" s="2275"/>
      <c r="FI304" s="2275"/>
      <c r="FJ304" s="2275"/>
      <c r="FK304" s="2275"/>
      <c r="FL304" s="2250"/>
      <c r="FM304" s="2250"/>
      <c r="FN304" s="2250"/>
      <c r="FO304" s="2250"/>
      <c r="FP304" s="2250"/>
      <c r="FQ304" s="2250"/>
      <c r="FR304" s="2250"/>
      <c r="FS304" s="2250"/>
      <c r="FT304" s="2250"/>
      <c r="FU304" s="2250"/>
      <c r="FV304" s="2250"/>
      <c r="FW304" s="2250"/>
      <c r="FX304" s="2250"/>
      <c r="FY304" s="2250"/>
      <c r="FZ304" s="2250"/>
      <c r="GA304" s="2250"/>
      <c r="GB304" s="2276"/>
      <c r="GC304" s="2276"/>
      <c r="GD304" s="2250"/>
      <c r="GE304" s="2275"/>
      <c r="GF304" s="2275">
        <f>HL305</f>
        <v>5.25</v>
      </c>
      <c r="GG304" s="2275"/>
      <c r="GH304" s="2275"/>
      <c r="GI304" s="2275"/>
      <c r="GJ304" s="2275"/>
      <c r="GK304" s="2275"/>
      <c r="GL304" s="2275"/>
      <c r="GM304" s="2275"/>
      <c r="GN304" s="2275"/>
      <c r="GO304" s="2275"/>
      <c r="GP304" s="2275"/>
      <c r="GQ304" s="2275"/>
      <c r="GR304" s="2275"/>
      <c r="GS304" s="2275"/>
      <c r="GT304" s="2275"/>
      <c r="GU304" s="2275"/>
      <c r="GV304" s="2275"/>
      <c r="GW304" s="2275"/>
      <c r="GX304" s="2275"/>
      <c r="GY304" s="2275"/>
      <c r="GZ304" s="2275"/>
      <c r="HA304" s="2275"/>
      <c r="HB304" s="2275"/>
      <c r="HC304" s="2275"/>
      <c r="HD304" s="2275"/>
      <c r="HE304" s="2275"/>
      <c r="HF304" s="2275"/>
      <c r="HG304" s="2275"/>
      <c r="HH304" s="2275"/>
      <c r="HI304" s="2275"/>
      <c r="HJ304" s="2275"/>
      <c r="HK304" s="2275">
        <f>VLOOKUP(HK289,HK291:HK303,1)</f>
        <v>0</v>
      </c>
      <c r="HL304" s="2275">
        <f>IFERROR(VLOOKUP(HK289,HL292:HL302,1,0),0)</f>
        <v>0</v>
      </c>
      <c r="HM304" s="2275"/>
      <c r="HN304" s="2275"/>
      <c r="HO304" s="2275"/>
      <c r="HP304" s="2275"/>
      <c r="HQ304" s="2275"/>
      <c r="HR304" s="2275"/>
      <c r="HS304" s="2275"/>
      <c r="HT304" s="2250"/>
      <c r="HU304" s="2250"/>
      <c r="HV304" s="2250"/>
      <c r="HW304" s="2250"/>
      <c r="HX304" s="2250"/>
      <c r="HY304" s="2250"/>
      <c r="HZ304" s="2250"/>
      <c r="IA304" s="2250"/>
      <c r="IB304" s="2250"/>
      <c r="IC304" s="2250"/>
      <c r="ID304" s="2250"/>
      <c r="IE304" s="2250"/>
      <c r="IF304" s="2250"/>
      <c r="IG304" s="2250"/>
      <c r="IH304" s="2250"/>
      <c r="II304" s="2250"/>
      <c r="IJ304" s="2250"/>
      <c r="IK304" s="2250"/>
      <c r="IL304" s="2250"/>
      <c r="IN304" s="277"/>
      <c r="IO304" s="277"/>
    </row>
    <row r="305" spans="1:249" ht="21.95" customHeight="1">
      <c r="A305" s="2275"/>
      <c r="B305" s="2346">
        <f>AI305</f>
        <v>400</v>
      </c>
      <c r="C305" s="2346" t="s">
        <v>739</v>
      </c>
      <c r="D305" s="2346">
        <f>HLOOKUP(B303,D289:AD303,15,0)</f>
        <v>3.86</v>
      </c>
      <c r="E305" s="2346" t="str">
        <f>IF(B304=D305,"Right","Wrong")</f>
        <v>Right</v>
      </c>
      <c r="F305" s="2275"/>
      <c r="G305" s="2275"/>
      <c r="H305" s="2275"/>
      <c r="I305" s="2275"/>
      <c r="J305" s="2275"/>
      <c r="K305" s="2275"/>
      <c r="L305" s="2275"/>
      <c r="M305" s="2275"/>
      <c r="N305" s="2275"/>
      <c r="O305" s="2275"/>
      <c r="P305" s="2275"/>
      <c r="Q305" s="2275"/>
      <c r="R305" s="2275"/>
      <c r="S305" s="2275"/>
      <c r="T305" s="2275"/>
      <c r="U305" s="2275"/>
      <c r="V305" s="2275"/>
      <c r="W305" s="2275"/>
      <c r="X305" s="2275"/>
      <c r="Y305" s="2275"/>
      <c r="Z305" s="2275"/>
      <c r="AA305" s="2275"/>
      <c r="AB305" s="2275"/>
      <c r="AC305" s="2275"/>
      <c r="AD305" s="2275"/>
      <c r="AE305" s="2275"/>
      <c r="AF305" s="2275"/>
      <c r="AG305" s="2275">
        <f>VLOOKUP(AG304,AG291:AH302,2,0)</f>
        <v>3.86</v>
      </c>
      <c r="AH305" s="2275">
        <f>IF(AH304&gt;0,AH304,AG305)</f>
        <v>3.86</v>
      </c>
      <c r="AI305" s="2275">
        <f>VLOOKUP(AH305,AH292:AI302,2,0)</f>
        <v>400</v>
      </c>
      <c r="AJ305" s="2275"/>
      <c r="AK305" s="2275"/>
      <c r="AL305" s="2275"/>
      <c r="AM305" s="2275"/>
      <c r="AN305" s="2275"/>
      <c r="AO305" s="2275"/>
      <c r="AP305" s="2250"/>
      <c r="AQ305" s="2250"/>
      <c r="AR305" s="2250"/>
      <c r="AS305" s="2250"/>
      <c r="AT305" s="2250"/>
      <c r="AU305" s="2250"/>
      <c r="AV305" s="2250"/>
      <c r="AW305" s="2250"/>
      <c r="AX305" s="2250"/>
      <c r="AY305" s="2250"/>
      <c r="AZ305" s="2250"/>
      <c r="BA305" s="2250"/>
      <c r="BB305" s="2250"/>
      <c r="BC305" s="2250"/>
      <c r="BD305" s="2250"/>
      <c r="BE305" s="2250"/>
      <c r="BF305" s="2276"/>
      <c r="BG305" s="2276"/>
      <c r="BH305" s="2250"/>
      <c r="BI305" s="2275"/>
      <c r="BJ305" s="2346">
        <f>CQ305</f>
        <v>400</v>
      </c>
      <c r="BK305" s="2346" t="s">
        <v>739</v>
      </c>
      <c r="BL305" s="2346">
        <f>HLOOKUP(BJ303,BL289:CL303,15,0)</f>
        <v>3.76</v>
      </c>
      <c r="BM305" s="2346" t="str">
        <f>IF(BJ304=BL305,"Right","Wrong")</f>
        <v>Right</v>
      </c>
      <c r="BN305" s="2275"/>
      <c r="BO305" s="2275"/>
      <c r="BP305" s="2275"/>
      <c r="BQ305" s="2275"/>
      <c r="BR305" s="2275"/>
      <c r="BS305" s="2275"/>
      <c r="BT305" s="2275"/>
      <c r="BU305" s="2275"/>
      <c r="BV305" s="2275"/>
      <c r="BW305" s="2275"/>
      <c r="BX305" s="2275"/>
      <c r="BY305" s="2275"/>
      <c r="BZ305" s="2275"/>
      <c r="CA305" s="2275"/>
      <c r="CB305" s="2275"/>
      <c r="CC305" s="2275"/>
      <c r="CD305" s="2275"/>
      <c r="CE305" s="2275"/>
      <c r="CF305" s="2275"/>
      <c r="CG305" s="2275"/>
      <c r="CH305" s="2275"/>
      <c r="CI305" s="2275"/>
      <c r="CJ305" s="2275"/>
      <c r="CK305" s="2275"/>
      <c r="CL305" s="2275"/>
      <c r="CM305" s="2275"/>
      <c r="CN305" s="2275"/>
      <c r="CO305" s="2275">
        <f>VLOOKUP(CO304,CO291:CP302,2,0)</f>
        <v>3.76</v>
      </c>
      <c r="CP305" s="2275">
        <f>IF(CP304&gt;0,CP304,CO305)</f>
        <v>3.76</v>
      </c>
      <c r="CQ305" s="2275">
        <f>VLOOKUP(CP305,CP292:CQ302,2,0)</f>
        <v>400</v>
      </c>
      <c r="CR305" s="2275"/>
      <c r="CS305" s="2275"/>
      <c r="CT305" s="2275"/>
      <c r="CU305" s="2275"/>
      <c r="CV305" s="2275"/>
      <c r="CW305" s="2275"/>
      <c r="CX305" s="2250"/>
      <c r="CY305" s="2250"/>
      <c r="CZ305" s="2250"/>
      <c r="DA305" s="2250"/>
      <c r="DB305" s="2250"/>
      <c r="DC305" s="2250"/>
      <c r="DD305" s="2250"/>
      <c r="DE305" s="2250"/>
      <c r="DF305" s="2250"/>
      <c r="DG305" s="2250"/>
      <c r="DH305" s="2250"/>
      <c r="DI305" s="2250"/>
      <c r="DJ305" s="2250"/>
      <c r="DK305" s="2250"/>
      <c r="DL305" s="2250"/>
      <c r="DM305" s="2250"/>
      <c r="DN305" s="2250"/>
      <c r="DO305" s="2250"/>
      <c r="DP305" s="2250"/>
      <c r="DQ305" s="2277"/>
      <c r="DR305" s="2277"/>
      <c r="DS305" s="277"/>
      <c r="DW305" s="2275"/>
      <c r="DX305" s="2346">
        <f>FE305</f>
        <v>400</v>
      </c>
      <c r="DY305" s="2346" t="s">
        <v>739</v>
      </c>
      <c r="DZ305" s="2346">
        <f>HLOOKUP(DX303,DZ289:EZ303,15,0)</f>
        <v>5.35</v>
      </c>
      <c r="EA305" s="2346" t="str">
        <f>IF(DX304=DZ305,"Right","Wrong")</f>
        <v>Right</v>
      </c>
      <c r="EB305" s="2275"/>
      <c r="EC305" s="2275"/>
      <c r="ED305" s="2275"/>
      <c r="EE305" s="2275"/>
      <c r="EF305" s="2275"/>
      <c r="EG305" s="2275"/>
      <c r="EH305" s="2275"/>
      <c r="EI305" s="2275"/>
      <c r="EJ305" s="2275"/>
      <c r="EK305" s="2275"/>
      <c r="EL305" s="2275"/>
      <c r="EM305" s="2275"/>
      <c r="EN305" s="2275"/>
      <c r="EO305" s="2275"/>
      <c r="EP305" s="2275"/>
      <c r="EQ305" s="2275"/>
      <c r="ER305" s="2275"/>
      <c r="ES305" s="2275"/>
      <c r="ET305" s="2275"/>
      <c r="EU305" s="2275"/>
      <c r="EV305" s="2275"/>
      <c r="EW305" s="2275"/>
      <c r="EX305" s="2275"/>
      <c r="EY305" s="2275"/>
      <c r="EZ305" s="2275"/>
      <c r="FA305" s="2275"/>
      <c r="FB305" s="2275"/>
      <c r="FC305" s="2275">
        <f>VLOOKUP(FC304,FC291:FD302,2,0)</f>
        <v>5.35</v>
      </c>
      <c r="FD305" s="2275">
        <f>IF(FD304&gt;0,FD304,FC305)</f>
        <v>5.35</v>
      </c>
      <c r="FE305" s="2275">
        <f>VLOOKUP(FD305,FD292:FE302,2,0)</f>
        <v>400</v>
      </c>
      <c r="FF305" s="2275"/>
      <c r="FG305" s="2275"/>
      <c r="FH305" s="2275"/>
      <c r="FI305" s="2275"/>
      <c r="FJ305" s="2275"/>
      <c r="FK305" s="2275"/>
      <c r="FL305" s="2250"/>
      <c r="FM305" s="2250"/>
      <c r="FN305" s="2250"/>
      <c r="FO305" s="2250"/>
      <c r="FP305" s="2250"/>
      <c r="FQ305" s="2250"/>
      <c r="FR305" s="2250"/>
      <c r="FS305" s="2250"/>
      <c r="FT305" s="2250"/>
      <c r="FU305" s="2250"/>
      <c r="FV305" s="2250"/>
      <c r="FW305" s="2250"/>
      <c r="FX305" s="2250"/>
      <c r="FY305" s="2250"/>
      <c r="FZ305" s="2250"/>
      <c r="GA305" s="2250"/>
      <c r="GB305" s="2276"/>
      <c r="GC305" s="2276"/>
      <c r="GD305" s="2250"/>
      <c r="GE305" s="2275"/>
      <c r="GF305" s="2346">
        <f>HM305</f>
        <v>400</v>
      </c>
      <c r="GG305" s="2346" t="s">
        <v>739</v>
      </c>
      <c r="GH305" s="2346">
        <f>HLOOKUP(GF303,GH289:HH303,15,0)</f>
        <v>5.25</v>
      </c>
      <c r="GI305" s="2346" t="str">
        <f>IF(GF304=GH305,"Right","Wrong")</f>
        <v>Right</v>
      </c>
      <c r="GJ305" s="2275"/>
      <c r="GK305" s="2275"/>
      <c r="GL305" s="2275"/>
      <c r="GM305" s="2275"/>
      <c r="GN305" s="2275"/>
      <c r="GO305" s="2275"/>
      <c r="GP305" s="2275"/>
      <c r="GQ305" s="2275"/>
      <c r="GR305" s="2275"/>
      <c r="GS305" s="2275"/>
      <c r="GT305" s="2275"/>
      <c r="GU305" s="2275"/>
      <c r="GV305" s="2275"/>
      <c r="GW305" s="2275"/>
      <c r="GX305" s="2275"/>
      <c r="GY305" s="2275"/>
      <c r="GZ305" s="2275"/>
      <c r="HA305" s="2275"/>
      <c r="HB305" s="2275"/>
      <c r="HC305" s="2275"/>
      <c r="HD305" s="2275"/>
      <c r="HE305" s="2275"/>
      <c r="HF305" s="2275"/>
      <c r="HG305" s="2275"/>
      <c r="HH305" s="2275"/>
      <c r="HI305" s="2275"/>
      <c r="HJ305" s="2275"/>
      <c r="HK305" s="2275">
        <f>VLOOKUP(HK304,HK291:HL302,2,0)</f>
        <v>5.25</v>
      </c>
      <c r="HL305" s="2275">
        <f>IF(HL304&gt;0,HL304,HK305)</f>
        <v>5.25</v>
      </c>
      <c r="HM305" s="2275">
        <f>VLOOKUP(HL305,HL292:HM302,2,0)</f>
        <v>400</v>
      </c>
      <c r="HN305" s="2275"/>
      <c r="HO305" s="2275"/>
      <c r="HP305" s="2275"/>
      <c r="HQ305" s="2275"/>
      <c r="HR305" s="2275"/>
      <c r="HS305" s="2275"/>
      <c r="HT305" s="2250"/>
      <c r="HU305" s="2250"/>
      <c r="HV305" s="2250"/>
      <c r="HW305" s="2250"/>
      <c r="HX305" s="2250"/>
      <c r="HY305" s="2250"/>
      <c r="HZ305" s="2250"/>
      <c r="IA305" s="2250"/>
      <c r="IB305" s="2250"/>
      <c r="IC305" s="2250"/>
      <c r="ID305" s="2250"/>
      <c r="IE305" s="2250"/>
      <c r="IF305" s="2250"/>
      <c r="IG305" s="2250"/>
      <c r="IH305" s="2250"/>
      <c r="II305" s="2250"/>
      <c r="IJ305" s="2250"/>
      <c r="IK305" s="2250"/>
      <c r="IL305" s="2250"/>
      <c r="IN305" s="277"/>
      <c r="IO305" s="277"/>
    </row>
    <row r="306" spans="1:249" ht="21.95" customHeight="1">
      <c r="A306" s="2275"/>
      <c r="B306" s="2250"/>
      <c r="C306" s="2275"/>
      <c r="D306" s="2275">
        <f>+IF(B285&lt;=D291,D291,IF(B285&lt;=D292,D292,IF(B285&lt;=D293,D293,IF(B285&lt;=D294,D294,IF(B285&lt;=D295,D295,IF(B285&lt;=D296,D296,IF(B285&lt;=D297,D297,IF(B285&lt;=D298,D298,0))))))))</f>
        <v>1.19</v>
      </c>
      <c r="E306" s="2275">
        <f>+IF(B285&lt;=E291,E291,IF(B285&lt;=E292,E292,IF(B285&lt;=E293,E293,IF(B285&lt;=E294,E294,IF(B285&lt;=E295,E295,IF(B285&lt;=E296,E296,IF(B285&lt;=E297,E297,IF(B285&lt;=E298,E298,0))))))))</f>
        <v>1.39</v>
      </c>
      <c r="F306" s="2275">
        <f>+IF(B285&lt;=F291,F291,IF(B285&lt;=F292,F292,IF(B285&lt;=F293,F293,IF(B285&lt;=F294,F294,IF(B285&lt;=F295,F295,IF(B285&lt;=F296,F296,IF(B285&lt;=F297,F297,IF(B285&lt;=F298,F298,0))))))))</f>
        <v>1.49</v>
      </c>
      <c r="G306" s="2275">
        <f>+IF(B285&lt;=G291,G291,IF(B285&lt;=G292,G292,IF(B285&lt;=G293,G293,IF(B285&lt;=G294,G294,IF(B285&lt;=G295,G295,IF(B285&lt;=G296,G296,IF(B285&lt;=G297,G297,IF(B285&lt;=G298,G298,0))))))))</f>
        <v>1.68</v>
      </c>
      <c r="H306" s="2275">
        <f>+IF(B285&lt;=H291,H291,IF(B285&lt;=H292,H292,IF(B285&lt;=H293,H293,IF(B285&lt;=H294,H294,IF(B285&lt;=H295,H295,IF(B285&lt;=H296,H296,IF(B285&lt;=H297,H297,IF(B285&lt;=H298,H298,0))))))))</f>
        <v>1.78</v>
      </c>
      <c r="I306" s="2275">
        <f>+IF(B285&lt;=I291,I291,IF(B285&lt;=I292,I292,IF(B285&lt;=I293,I293,IF(B285&lt;=I294,I294,IF(B285&lt;=I295,I295,IF(B285&lt;=I296,I296,IF(B285&lt;=I297,I297,IF(B285&lt;=I298,I298,0))))))))</f>
        <v>1.68</v>
      </c>
      <c r="J306" s="2275">
        <f>+IF(B285&lt;=J291,J291,IF(B285&lt;=J292,J292,IF(B285&lt;=J293,J293,IF(B285&lt;=J294,J294,IF(B285&lt;=J295,J295,IF(B285&lt;=J296,J296,IF(B285&lt;=J297,J297,IF(B285&lt;=J298,J298,0))))))))</f>
        <v>1.88</v>
      </c>
      <c r="K306" s="2275">
        <f>+IF(B285&lt;=K291,K291,IF(B285&lt;=K292,K292,IF(B285&lt;=K293,K293,IF(B285&lt;=K294,K294,IF(B285&lt;=K295,K295,IF(B285&lt;=K296,K296,IF(B285&lt;=K297,K297,IF(B285&lt;=K298,K298,0))))))))</f>
        <v>1.98</v>
      </c>
      <c r="L306" s="2275">
        <f>+IF(B285&lt;=L291,L291,IF(B285&lt;=L292,L292,IF(B285&lt;=L293,L293,IF(B285&lt;=L294,L294,IF(B285&lt;=L295,L295,IF(B285&lt;=L296,L296,IF(B285&lt;=L297,L297,IF(B285&lt;=L298,L298,0))))))))</f>
        <v>2.1800000000000002</v>
      </c>
      <c r="M306" s="2275">
        <f>+IF(B285&lt;=M291,M291,IF(B285&lt;=M292,M292,IF(B285&lt;=M293,M293,IF(B285&lt;=M294,M294,IF(B285&lt;=M295,M295,IF(B285&lt;=M296,M296,IF(B285&lt;=M297,M297,IF(B285&lt;=M298,M298,0))))))))</f>
        <v>2.38</v>
      </c>
      <c r="N306" s="2275">
        <f>+IF(B285&lt;=N291,N291,IF(B285&lt;=N292,N292,IF(B285&lt;=N293,N293,IF(B285&lt;=N294,N294,IF(B285&lt;=N295,N295,IF(B285&lt;=N296,N296,IF(B285&lt;=N297,N297,IF(B285&lt;=N298,N298,0))))))))</f>
        <v>2.57</v>
      </c>
      <c r="O306" s="2275">
        <f>+IF(B285&lt;=O291,O291,IF(B285&lt;=O292,O292,IF(B285&lt;=O293,O293,IF(B285&lt;=O294,O294,IF(B285&lt;=O295,O295,IF(B285&lt;=O296,O296,IF(B285&lt;=O297,O297,IF(B285&lt;=O298,O298,0))))))))</f>
        <v>2.67</v>
      </c>
      <c r="P306" s="2275">
        <f>+IF(B285&lt;=P291,P291,IF(B285&lt;=P292,P292,IF(B285&lt;=P293,P293,IF(B285&lt;=P294,P294,IF(B285&lt;=P295,P295,IF(B285&lt;=P296,P296,IF(B285&lt;=P297,P297,IF(B285&lt;=P298,P298,0))))))))</f>
        <v>3.07</v>
      </c>
      <c r="Q306" s="2275">
        <f>+IF(B285&lt;=Q291,Q291,IF(B285&lt;=Q292,Q292,IF(B285&lt;=Q293,Q293,IF(B285&lt;=Q294,Q294,IF(B285&lt;=Q295,Q295,IF(B285&lt;=Q296,Q296,IF(B285&lt;=Q297,Q297,IF(B285&lt;=Q298,Q298,0))))))))</f>
        <v>3.07</v>
      </c>
      <c r="R306" s="2275">
        <f>+IF(B285&lt;=R291,R291,IF(B285&lt;=R292,R292,IF(B285&lt;=R293,R293,IF(B285&lt;=R294,R294,IF(B285&lt;=R295,R295,IF(B285&lt;=R296,R296,IF(B285&lt;=R297,R297,IF(B285&lt;=R298,R298,0))))))))</f>
        <v>3.17</v>
      </c>
      <c r="S306" s="2275">
        <f>+IF(B285&lt;=S291,S291,IF(B285&lt;=S292,S292,IF(B285&lt;=S293,S293,IF(B285&lt;=S294,S294,IF(B285&lt;=S295,S295,IF(B285&lt;=S296,S296,IF(B285&lt;=S297,S297,IF(B285&lt;=S298,S298,0))))))))</f>
        <v>3.56</v>
      </c>
      <c r="T306" s="2275">
        <f>+IF(B285&lt;=T291,T291,IF(B285&lt;=T292,T292,IF(B285&lt;=T293,T293,IF(B285&lt;=T294,T294,IF(B285&lt;=T295,T295,IF(B285&lt;=T296,T296,IF(B285&lt;=T297,T297,IF(B285&lt;=T298,T298,0))))))))</f>
        <v>3.76</v>
      </c>
      <c r="U306" s="2275">
        <f>+IF(B285&lt;=U291,U291,IF(B285&lt;=U292,U292,IF(B285&lt;=U293,U293,IF(B285&lt;=U294,U294,IF(B285&lt;=U295,U295,IF(B285&lt;=U296,U296,IF(B285&lt;=U297,U297,IF(B285&lt;=U298,U298,0))))))))</f>
        <v>3.86</v>
      </c>
      <c r="V306" s="2275">
        <f>+IF(B285&lt;=V291,V291,IF(B285&lt;=V292,V292,IF(B285&lt;=V293,V293,IF(B285&lt;=V294,V294,IF(B285&lt;=V295,V295,IF(B285&lt;=V296,V296,IF(B285&lt;=V297,V297,IF(B285&lt;=V298,V298,0))))))))</f>
        <v>4.16</v>
      </c>
      <c r="W306" s="2275">
        <f>+IF(B285&lt;=W291,W291,IF(B285&lt;=W292,W292,IF(B285&lt;=W293,W293,IF(B285&lt;=W294,W294,IF(B285&lt;=W295,W295,IF(B285&lt;=W296,W296,IF(B285&lt;=W297,W297,IF(B285&lt;=W298,W298,0))))))))</f>
        <v>4.46</v>
      </c>
      <c r="X306" s="2275">
        <f>+IF(B285&lt;=X291,X291,IF(B285&lt;=X292,X292,IF(B285&lt;=X293,X293,IF(B285&lt;=X294,X294,IF(B285&lt;=X295,X295,IF(B285&lt;=X296,X296,IF(B285&lt;=X297,X297,IF(B285&lt;=X298,X298,0))))))))</f>
        <v>4.95</v>
      </c>
      <c r="Y306" s="2275">
        <f>+IF(B285&lt;=Y291,Y291,IF(B285&lt;=Y292,Y292,IF(B285&lt;=Y293,Y293,IF(B285&lt;=Y294,Y294,IF(B285&lt;=Y295,Y295,IF(B285&lt;=Y296,Y296,IF(B285&lt;=Y297,Y297,IF(B285&lt;=Y298,Y298,0))))))))</f>
        <v>5.25</v>
      </c>
      <c r="Z306" s="2275">
        <f>+IF(B285&lt;=Z291,Z291,IF(B285&lt;=Z292,Z292,IF(B285&lt;=Z293,Z293,IF(B285&lt;=Z294,Z294,IF(B285&lt;=Z295,Z295,IF(B285&lt;=Z296,Z296,IF(B285&lt;=Z297,Z297,IF(B285&lt;=Z298,Z298,0))))))))</f>
        <v>5.35</v>
      </c>
      <c r="AA306" s="2275">
        <f>+IF(B285&lt;=AA291,AA291,IF(B285&lt;=AA292,AA292,IF(B285&lt;=AA293,AA293,IF(B285&lt;=AA294,AA294,IF(B285&lt;=AA295,AA295,IF(B285&lt;=AA296,AA296,IF(B285&lt;=AA297,AA297,IF(B285&lt;=AA298,AA298,0))))))))</f>
        <v>6.44</v>
      </c>
      <c r="AB306" s="2275">
        <f>+IF(B285&lt;=AB291,AB291,IF(B285&lt;=AB292,AB292,IF(B285&lt;=AB293,AB293,IF(B285&lt;=AB294,AB294,IF(B285&lt;=AB295,AB295,IF(B285&lt;=AB296,AB296,IF(B285&lt;=AB297,AB297,IF(B285&lt;=AB298,AB298,0))))))))</f>
        <v>6.53</v>
      </c>
      <c r="AC306" s="2275">
        <f>+IF(B285&lt;=AC291,AC291,IF(B285&lt;=AC292,AC292,IF(B285&lt;=AC293,AC293,IF(B285&lt;=AC294,AC294,IF(B285&lt;=AC295,AC295,IF(B285&lt;=AC296,AC296,IF(B285&lt;=AC297,AC297,IF(B285&lt;=AC298,AC298,0))))))))</f>
        <v>8.61</v>
      </c>
      <c r="AD306" s="2275">
        <f>+IF(B285&lt;=AD291,AD291,IF(B285&lt;=AD292,AD292,IF(B285&lt;=AD293,AD293,IF(B285&lt;=AD294,AD294,IF(B285&lt;=AD295,AD295,IF(B285&lt;=AD296,AD296,IF(B285&lt;=AD297,AD297,IF(B285&lt;=AD298,AD298,0))))))))</f>
        <v>9.9</v>
      </c>
      <c r="AE306" s="2275"/>
      <c r="AF306" s="2275"/>
      <c r="AG306" s="2275"/>
      <c r="AH306" s="2275"/>
      <c r="AI306" s="2275"/>
      <c r="AJ306" s="2275"/>
      <c r="AK306" s="2275"/>
      <c r="AL306" s="2275"/>
      <c r="AM306" s="2275"/>
      <c r="AN306" s="2275"/>
      <c r="AO306" s="2275"/>
      <c r="AP306" s="2250"/>
      <c r="AQ306" s="2250"/>
      <c r="AR306" s="2250"/>
      <c r="AS306" s="2250"/>
      <c r="AT306" s="2250"/>
      <c r="AU306" s="2250"/>
      <c r="AV306" s="2250"/>
      <c r="AW306" s="2250"/>
      <c r="AX306" s="2250"/>
      <c r="AY306" s="2250"/>
      <c r="AZ306" s="2250"/>
      <c r="BA306" s="2250"/>
      <c r="BB306" s="2250"/>
      <c r="BC306" s="2250"/>
      <c r="BD306" s="2250"/>
      <c r="BE306" s="2250"/>
      <c r="BF306" s="2276"/>
      <c r="BG306" s="2276"/>
      <c r="BH306" s="2250"/>
      <c r="BI306" s="2275"/>
      <c r="BJ306" s="2250"/>
      <c r="BK306" s="2275"/>
      <c r="BL306" s="2275">
        <f>+IF(BJ285&lt;=BL291,BL291,IF(BJ285&lt;=BL292,BL292,IF(BJ285&lt;=BL293,BL293,IF(BJ285&lt;=BL294,BL294,IF(BJ285&lt;=BL295,BL295,IF(BJ285&lt;=BL296,BL296,IF(BJ285&lt;=BL297,BL297,IF(BJ285&lt;=BL298,BL298,0))))))))</f>
        <v>1.19</v>
      </c>
      <c r="BM306" s="2275">
        <f>+IF(BJ285&lt;=BM291,BM291,IF(BJ285&lt;=BM292,BM292,IF(BJ285&lt;=BM293,BM293,IF(BJ285&lt;=BM294,BM294,IF(BJ285&lt;=BM295,BM295,IF(BJ285&lt;=BM296,BM296,IF(BJ285&lt;=BM297,BM297,IF(BJ285&lt;=BM298,BM298,0))))))))</f>
        <v>1.39</v>
      </c>
      <c r="BN306" s="2275">
        <f>+IF(BJ285&lt;=BN291,BN291,IF(BJ285&lt;=BN292,BN292,IF(BJ285&lt;=BN293,BN293,IF(BJ285&lt;=BN294,BN294,IF(BJ285&lt;=BN295,BN295,IF(BJ285&lt;=BN296,BN296,IF(BJ285&lt;=BN297,BN297,IF(BJ285&lt;=BN298,BN298,0))))))))</f>
        <v>1.49</v>
      </c>
      <c r="BO306" s="2275">
        <f>+IF(BJ285&lt;=BO291,BO291,IF(BJ285&lt;=BO292,BO292,IF(BJ285&lt;=BO293,BO293,IF(BJ285&lt;=BO294,BO294,IF(BJ285&lt;=BO295,BO295,IF(BJ285&lt;=BO296,BO296,IF(BJ285&lt;=BO297,BO297,IF(BJ285&lt;=BO298,BO298,0))))))))</f>
        <v>1.68</v>
      </c>
      <c r="BP306" s="2275">
        <f>+IF(BJ285&lt;=BP291,BP291,IF(BJ285&lt;=BP292,BP292,IF(BJ285&lt;=BP293,BP293,IF(BJ285&lt;=BP294,BP294,IF(BJ285&lt;=BP295,BP295,IF(BJ285&lt;=BP296,BP296,IF(BJ285&lt;=BP297,BP297,IF(BJ285&lt;=BP298,BP298,0))))))))</f>
        <v>1.78</v>
      </c>
      <c r="BQ306" s="2275">
        <f>+IF(BJ285&lt;=BQ291,BQ291,IF(BJ285&lt;=BQ292,BQ292,IF(BJ285&lt;=BQ293,BQ293,IF(BJ285&lt;=BQ294,BQ294,IF(BJ285&lt;=BQ295,BQ295,IF(BJ285&lt;=BQ296,BQ296,IF(BJ285&lt;=BQ297,BQ297,IF(BJ285&lt;=BQ298,BQ298,0))))))))</f>
        <v>1.68</v>
      </c>
      <c r="BR306" s="2275">
        <f>+IF(BJ285&lt;=BR291,BR291,IF(BJ285&lt;=BR292,BR292,IF(BJ285&lt;=BR293,BR293,IF(BJ285&lt;=BR294,BR294,IF(BJ285&lt;=BR295,BR295,IF(BJ285&lt;=BR296,BR296,IF(BJ285&lt;=BR297,BR297,IF(BJ285&lt;=BR298,BR298,0))))))))</f>
        <v>1.88</v>
      </c>
      <c r="BS306" s="2275">
        <f>+IF(BJ285&lt;=BS291,BS291,IF(BJ285&lt;=BS292,BS292,IF(BJ285&lt;=BS293,BS293,IF(BJ285&lt;=BS294,BS294,IF(BJ285&lt;=BS295,BS295,IF(BJ285&lt;=BS296,BS296,IF(BJ285&lt;=BS297,BS297,IF(BJ285&lt;=BS298,BS298,0))))))))</f>
        <v>1.98</v>
      </c>
      <c r="BT306" s="2275">
        <f>+IF(BJ285&lt;=BT291,BT291,IF(BJ285&lt;=BT292,BT292,IF(BJ285&lt;=BT293,BT293,IF(BJ285&lt;=BT294,BT294,IF(BJ285&lt;=BT295,BT295,IF(BJ285&lt;=BT296,BT296,IF(BJ285&lt;=BT297,BT297,IF(BJ285&lt;=BT298,BT298,0))))))))</f>
        <v>2.1800000000000002</v>
      </c>
      <c r="BU306" s="2275">
        <f>+IF(BJ285&lt;=BU291,BU291,IF(BJ285&lt;=BU292,BU292,IF(BJ285&lt;=BU293,BU293,IF(BJ285&lt;=BU294,BU294,IF(BJ285&lt;=BU295,BU295,IF(BJ285&lt;=BU296,BU296,IF(BJ285&lt;=BU297,BU297,IF(BJ285&lt;=BU298,BU298,0))))))))</f>
        <v>2.38</v>
      </c>
      <c r="BV306" s="2275">
        <f>+IF(BJ285&lt;=BV291,BV291,IF(BJ285&lt;=BV292,BV292,IF(BJ285&lt;=BV293,BV293,IF(BJ285&lt;=BV294,BV294,IF(BJ285&lt;=BV295,BV295,IF(BJ285&lt;=BV296,BV296,IF(BJ285&lt;=BV297,BV297,IF(BJ285&lt;=BV298,BV298,0))))))))</f>
        <v>2.57</v>
      </c>
      <c r="BW306" s="2275">
        <f>+IF(BJ285&lt;=BW291,BW291,IF(BJ285&lt;=BW292,BW292,IF(BJ285&lt;=BW293,BW293,IF(BJ285&lt;=BW294,BW294,IF(BJ285&lt;=BW295,BW295,IF(BJ285&lt;=BW296,BW296,IF(BJ285&lt;=BW297,BW297,IF(BJ285&lt;=BW298,BW298,0))))))))</f>
        <v>2.67</v>
      </c>
      <c r="BX306" s="2275">
        <f>+IF(BJ285&lt;=BX291,BX291,IF(BJ285&lt;=BX292,BX292,IF(BJ285&lt;=BX293,BX293,IF(BJ285&lt;=BX294,BX294,IF(BJ285&lt;=BX295,BX295,IF(BJ285&lt;=BX296,BX296,IF(BJ285&lt;=BX297,BX297,IF(BJ285&lt;=BX298,BX298,0))))))))</f>
        <v>3.07</v>
      </c>
      <c r="BY306" s="2275">
        <f>+IF(BJ285&lt;=BY291,BY291,IF(BJ285&lt;=BY292,BY292,IF(BJ285&lt;=BY293,BY293,IF(BJ285&lt;=BY294,BY294,IF(BJ285&lt;=BY295,BY295,IF(BJ285&lt;=BY296,BY296,IF(BJ285&lt;=BY297,BY297,IF(BJ285&lt;=BY298,BY298,0))))))))</f>
        <v>3.07</v>
      </c>
      <c r="BZ306" s="2275">
        <f>+IF(BJ285&lt;=BZ291,BZ291,IF(BJ285&lt;=BZ292,BZ292,IF(BJ285&lt;=BZ293,BZ293,IF(BJ285&lt;=BZ294,BZ294,IF(BJ285&lt;=BZ295,BZ295,IF(BJ285&lt;=BZ296,BZ296,IF(BJ285&lt;=BZ297,BZ297,IF(BJ285&lt;=BZ298,BZ298,0))))))))</f>
        <v>3.17</v>
      </c>
      <c r="CA306" s="2275">
        <f>+IF(BJ285&lt;=CA291,CA291,IF(BJ285&lt;=CA292,CA292,IF(BJ285&lt;=CA293,CA293,IF(BJ285&lt;=CA294,CA294,IF(BJ285&lt;=CA295,CA295,IF(BJ285&lt;=CA296,CA296,IF(BJ285&lt;=CA297,CA297,IF(BJ285&lt;=CA298,CA298,0))))))))</f>
        <v>3.56</v>
      </c>
      <c r="CB306" s="2275">
        <f>+IF(BJ285&lt;=CB291,CB291,IF(BJ285&lt;=CB292,CB292,IF(BJ285&lt;=CB293,CB293,IF(BJ285&lt;=CB294,CB294,IF(BJ285&lt;=CB295,CB295,IF(BJ285&lt;=CB296,CB296,IF(BJ285&lt;=CB297,CB297,IF(BJ285&lt;=CB298,CB298,0))))))))</f>
        <v>3.76</v>
      </c>
      <c r="CC306" s="2275">
        <f>+IF(BJ285&lt;=CC291,CC291,IF(BJ285&lt;=CC292,CC292,IF(BJ285&lt;=CC293,CC293,IF(BJ285&lt;=CC294,CC294,IF(BJ285&lt;=CC295,CC295,IF(BJ285&lt;=CC296,CC296,IF(BJ285&lt;=CC297,CC297,IF(BJ285&lt;=CC298,CC298,0))))))))</f>
        <v>3.86</v>
      </c>
      <c r="CD306" s="2275">
        <f>+IF(BJ285&lt;=CD291,CD291,IF(BJ285&lt;=CD292,CD292,IF(BJ285&lt;=CD293,CD293,IF(BJ285&lt;=CD294,CD294,IF(BJ285&lt;=CD295,CD295,IF(BJ285&lt;=CD296,CD296,IF(BJ285&lt;=CD297,CD297,IF(BJ285&lt;=CD298,CD298,0))))))))</f>
        <v>4.16</v>
      </c>
      <c r="CE306" s="2275">
        <f>+IF(BJ285&lt;=CE291,CE291,IF(BJ285&lt;=CE292,CE292,IF(BJ285&lt;=CE293,CE293,IF(BJ285&lt;=CE294,CE294,IF(BJ285&lt;=CE295,CE295,IF(BJ285&lt;=CE296,CE296,IF(BJ285&lt;=CE297,CE297,IF(BJ285&lt;=CE298,CE298,0))))))))</f>
        <v>4.46</v>
      </c>
      <c r="CF306" s="2275">
        <f>+IF(BJ285&lt;=CF291,CF291,IF(BJ285&lt;=CF292,CF292,IF(BJ285&lt;=CF293,CF293,IF(BJ285&lt;=CF294,CF294,IF(BJ285&lt;=CF295,CF295,IF(BJ285&lt;=CF296,CF296,IF(BJ285&lt;=CF297,CF297,IF(BJ285&lt;=CF298,CF298,0))))))))</f>
        <v>4.95</v>
      </c>
      <c r="CG306" s="2275">
        <f>+IF(BJ285&lt;=CG291,CG291,IF(BJ285&lt;=CG292,CG292,IF(BJ285&lt;=CG293,CG293,IF(BJ285&lt;=CG294,CG294,IF(BJ285&lt;=CG295,CG295,IF(BJ285&lt;=CG296,CG296,IF(BJ285&lt;=CG297,CG297,IF(BJ285&lt;=CG298,CG298,0))))))))</f>
        <v>5.25</v>
      </c>
      <c r="CH306" s="2275">
        <f>+IF(BJ285&lt;=CH291,CH291,IF(BJ285&lt;=CH292,CH292,IF(BJ285&lt;=CH293,CH293,IF(BJ285&lt;=CH294,CH294,IF(BJ285&lt;=CH295,CH295,IF(BJ285&lt;=CH296,CH296,IF(BJ285&lt;=CH297,CH297,IF(BJ285&lt;=CH298,CH298,0))))))))</f>
        <v>5.35</v>
      </c>
      <c r="CI306" s="2275">
        <f>+IF(BJ285&lt;=CI291,CI291,IF(BJ285&lt;=CI292,CI292,IF(BJ285&lt;=CI293,CI293,IF(BJ285&lt;=CI294,CI294,IF(BJ285&lt;=CI295,CI295,IF(BJ285&lt;=CI296,CI296,IF(BJ285&lt;=CI297,CI297,IF(BJ285&lt;=CI298,CI298,0))))))))</f>
        <v>6.44</v>
      </c>
      <c r="CJ306" s="2275">
        <f>+IF(BJ285&lt;=CJ291,CJ291,IF(BJ285&lt;=CJ292,CJ292,IF(BJ285&lt;=CJ293,CJ293,IF(BJ285&lt;=CJ294,CJ294,IF(BJ285&lt;=CJ295,CJ295,IF(BJ285&lt;=CJ296,CJ296,IF(BJ285&lt;=CJ297,CJ297,IF(BJ285&lt;=CJ298,CJ298,0))))))))</f>
        <v>6.53</v>
      </c>
      <c r="CK306" s="2275">
        <f>+IF(BJ285&lt;=CK291,CK291,IF(BJ285&lt;=CK292,CK292,IF(BJ285&lt;=CK293,CK293,IF(BJ285&lt;=CK294,CK294,IF(BJ285&lt;=CK295,CK295,IF(BJ285&lt;=CK296,CK296,IF(BJ285&lt;=CK297,CK297,IF(BJ285&lt;=CK298,CK298,0))))))))</f>
        <v>8.61</v>
      </c>
      <c r="CL306" s="2275">
        <f>+IF(BJ285&lt;=CL291,CL291,IF(BJ285&lt;=CL292,CL292,IF(BJ285&lt;=CL293,CL293,IF(BJ285&lt;=CL294,CL294,IF(BJ285&lt;=CL295,CL295,IF(BJ285&lt;=CL296,CL296,IF(BJ285&lt;=CL297,CL297,IF(BJ285&lt;=CL298,CL298,0))))))))</f>
        <v>9.9</v>
      </c>
      <c r="CM306" s="2275"/>
      <c r="CN306" s="2275"/>
      <c r="CO306" s="2275"/>
      <c r="CP306" s="2275"/>
      <c r="CQ306" s="2275"/>
      <c r="CR306" s="2275"/>
      <c r="CS306" s="2275"/>
      <c r="CT306" s="2275"/>
      <c r="CU306" s="2275"/>
      <c r="CV306" s="2275"/>
      <c r="CW306" s="2275"/>
      <c r="CX306" s="2250"/>
      <c r="CY306" s="2250"/>
      <c r="CZ306" s="2250"/>
      <c r="DA306" s="2250"/>
      <c r="DB306" s="2250"/>
      <c r="DC306" s="2250"/>
      <c r="DD306" s="2250"/>
      <c r="DE306" s="2250"/>
      <c r="DF306" s="2250"/>
      <c r="DG306" s="2250"/>
      <c r="DH306" s="2250"/>
      <c r="DI306" s="2250"/>
      <c r="DJ306" s="2250"/>
      <c r="DK306" s="2250"/>
      <c r="DL306" s="2250"/>
      <c r="DM306" s="2250"/>
      <c r="DN306" s="2250"/>
      <c r="DO306" s="2250"/>
      <c r="DP306" s="2250"/>
      <c r="DQ306" s="2277"/>
      <c r="DR306" s="2277"/>
      <c r="DS306" s="277"/>
      <c r="DW306" s="2275"/>
      <c r="DX306" s="2250"/>
      <c r="DY306" s="2275"/>
      <c r="DZ306" s="2275">
        <f>+IF(DX285&lt;=DZ291,DZ291,IF(DX285&lt;=DZ292,DZ292,IF(DX285&lt;=DZ293,DZ293,IF(DX285&lt;=DZ294,DZ294,IF(DX285&lt;=DZ295,DZ295,IF(DX285&lt;=DZ296,DZ296,IF(DX285&lt;=DZ297,DZ297,IF(DX285&lt;=DZ298,DZ298,0))))))))</f>
        <v>1.78</v>
      </c>
      <c r="EA306" s="2275">
        <f>+IF(DX285&lt;=EA291,EA291,IF(DX285&lt;=EA292,EA292,IF(DX285&lt;=EA293,EA293,IF(DX285&lt;=EA294,EA294,IF(DX285&lt;=EA295,EA295,IF(DX285&lt;=EA296,EA296,IF(DX285&lt;=EA297,EA297,IF(DX285&lt;=EA298,EA298,0))))))))</f>
        <v>1.39</v>
      </c>
      <c r="EB306" s="2275">
        <f>+IF(DX285&lt;=EB291,EB291,IF(DX285&lt;=EB292,EB292,IF(DX285&lt;=EB293,EB293,IF(DX285&lt;=EB294,EB294,IF(DX285&lt;=EB295,EB295,IF(DX285&lt;=EB296,EB296,IF(DX285&lt;=EB297,EB297,IF(DX285&lt;=EB298,EB298,0))))))))</f>
        <v>1.49</v>
      </c>
      <c r="EC306" s="2275">
        <f>+IF(DX285&lt;=EC291,EC291,IF(DX285&lt;=EC292,EC292,IF(DX285&lt;=EC293,EC293,IF(DX285&lt;=EC294,EC294,IF(DX285&lt;=EC295,EC295,IF(DX285&lt;=EC296,EC296,IF(DX285&lt;=EC297,EC297,IF(DX285&lt;=EC298,EC298,0))))))))</f>
        <v>1.68</v>
      </c>
      <c r="ED306" s="2275">
        <f>+IF(DX285&lt;=ED291,ED291,IF(DX285&lt;=ED292,ED292,IF(DX285&lt;=ED293,ED293,IF(DX285&lt;=ED294,ED294,IF(DX285&lt;=ED295,ED295,IF(DX285&lt;=ED296,ED296,IF(DX285&lt;=ED297,ED297,IF(DX285&lt;=ED298,ED298,0))))))))</f>
        <v>1.78</v>
      </c>
      <c r="EE306" s="2275">
        <f>+IF(DX285&lt;=EE291,EE291,IF(DX285&lt;=EE292,EE292,IF(DX285&lt;=EE293,EE293,IF(DX285&lt;=EE294,EE294,IF(DX285&lt;=EE295,EE295,IF(DX285&lt;=EE296,EE296,IF(DX285&lt;=EE297,EE297,IF(DX285&lt;=EE298,EE298,0))))))))</f>
        <v>1.68</v>
      </c>
      <c r="EF306" s="2275">
        <f>+IF(DX285&lt;=EF291,EF291,IF(DX285&lt;=EF292,EF292,IF(DX285&lt;=EF293,EF293,IF(DX285&lt;=EF294,EF294,IF(DX285&lt;=EF295,EF295,IF(DX285&lt;=EF296,EF296,IF(DX285&lt;=EF297,EF297,IF(DX285&lt;=EF298,EF298,0))))))))</f>
        <v>1.88</v>
      </c>
      <c r="EG306" s="2275">
        <f>+IF(DX285&lt;=EG291,EG291,IF(DX285&lt;=EG292,EG292,IF(DX285&lt;=EG293,EG293,IF(DX285&lt;=EG294,EG294,IF(DX285&lt;=EG295,EG295,IF(DX285&lt;=EG296,EG296,IF(DX285&lt;=EG297,EG297,IF(DX285&lt;=EG298,EG298,0))))))))</f>
        <v>1.98</v>
      </c>
      <c r="EH306" s="2275">
        <f>+IF(DX285&lt;=EH291,EH291,IF(DX285&lt;=EH292,EH292,IF(DX285&lt;=EH293,EH293,IF(DX285&lt;=EH294,EH294,IF(DX285&lt;=EH295,EH295,IF(DX285&lt;=EH296,EH296,IF(DX285&lt;=EH297,EH297,IF(DX285&lt;=EH298,EH298,0))))))))</f>
        <v>2.1800000000000002</v>
      </c>
      <c r="EI306" s="2275">
        <f>+IF(DX285&lt;=EI291,EI291,IF(DX285&lt;=EI292,EI292,IF(DX285&lt;=EI293,EI293,IF(DX285&lt;=EI294,EI294,IF(DX285&lt;=EI295,EI295,IF(DX285&lt;=EI296,EI296,IF(DX285&lt;=EI297,EI297,IF(DX285&lt;=EI298,EI298,0))))))))</f>
        <v>2.38</v>
      </c>
      <c r="EJ306" s="2275">
        <f>+IF(DX285&lt;=EJ291,EJ291,IF(DX285&lt;=EJ292,EJ292,IF(DX285&lt;=EJ293,EJ293,IF(DX285&lt;=EJ294,EJ294,IF(DX285&lt;=EJ295,EJ295,IF(DX285&lt;=EJ296,EJ296,IF(DX285&lt;=EJ297,EJ297,IF(DX285&lt;=EJ298,EJ298,0))))))))</f>
        <v>2.57</v>
      </c>
      <c r="EK306" s="2275">
        <f>+IF(DX285&lt;=EK291,EK291,IF(DX285&lt;=EK292,EK292,IF(DX285&lt;=EK293,EK293,IF(DX285&lt;=EK294,EK294,IF(DX285&lt;=EK295,EK295,IF(DX285&lt;=EK296,EK296,IF(DX285&lt;=EK297,EK297,IF(DX285&lt;=EK298,EK298,0))))))))</f>
        <v>2.67</v>
      </c>
      <c r="EL306" s="2275">
        <f>+IF(DX285&lt;=EL291,EL291,IF(DX285&lt;=EL292,EL292,IF(DX285&lt;=EL293,EL293,IF(DX285&lt;=EL294,EL294,IF(DX285&lt;=EL295,EL295,IF(DX285&lt;=EL296,EL296,IF(DX285&lt;=EL297,EL297,IF(DX285&lt;=EL298,EL298,0))))))))</f>
        <v>3.07</v>
      </c>
      <c r="EM306" s="2275">
        <f>+IF(DX285&lt;=EM291,EM291,IF(DX285&lt;=EM292,EM292,IF(DX285&lt;=EM293,EM293,IF(DX285&lt;=EM294,EM294,IF(DX285&lt;=EM295,EM295,IF(DX285&lt;=EM296,EM296,IF(DX285&lt;=EM297,EM297,IF(DX285&lt;=EM298,EM298,0))))))))</f>
        <v>3.07</v>
      </c>
      <c r="EN306" s="2275">
        <f>+IF(DX285&lt;=EN291,EN291,IF(DX285&lt;=EN292,EN292,IF(DX285&lt;=EN293,EN293,IF(DX285&lt;=EN294,EN294,IF(DX285&lt;=EN295,EN295,IF(DX285&lt;=EN296,EN296,IF(DX285&lt;=EN297,EN297,IF(DX285&lt;=EN298,EN298,0))))))))</f>
        <v>3.17</v>
      </c>
      <c r="EO306" s="2275">
        <f>+IF(DX285&lt;=EO291,EO291,IF(DX285&lt;=EO292,EO292,IF(DX285&lt;=EO293,EO293,IF(DX285&lt;=EO294,EO294,IF(DX285&lt;=EO295,EO295,IF(DX285&lt;=EO296,EO296,IF(DX285&lt;=EO297,EO297,IF(DX285&lt;=EO298,EO298,0))))))))</f>
        <v>3.56</v>
      </c>
      <c r="EP306" s="2275">
        <f>+IF(DX285&lt;=EP291,EP291,IF(DX285&lt;=EP292,EP292,IF(DX285&lt;=EP293,EP293,IF(DX285&lt;=EP294,EP294,IF(DX285&lt;=EP295,EP295,IF(DX285&lt;=EP296,EP296,IF(DX285&lt;=EP297,EP297,IF(DX285&lt;=EP298,EP298,0))))))))</f>
        <v>3.76</v>
      </c>
      <c r="EQ306" s="2275">
        <f>+IF(DX285&lt;=EQ291,EQ291,IF(DX285&lt;=EQ292,EQ292,IF(DX285&lt;=EQ293,EQ293,IF(DX285&lt;=EQ294,EQ294,IF(DX285&lt;=EQ295,EQ295,IF(DX285&lt;=EQ296,EQ296,IF(DX285&lt;=EQ297,EQ297,IF(DX285&lt;=EQ298,EQ298,0))))))))</f>
        <v>3.86</v>
      </c>
      <c r="ER306" s="2275">
        <f>+IF(DX285&lt;=ER291,ER291,IF(DX285&lt;=ER292,ER292,IF(DX285&lt;=ER293,ER293,IF(DX285&lt;=ER294,ER294,IF(DX285&lt;=ER295,ER295,IF(DX285&lt;=ER296,ER296,IF(DX285&lt;=ER297,ER297,IF(DX285&lt;=ER298,ER298,0))))))))</f>
        <v>4.16</v>
      </c>
      <c r="ES306" s="2275">
        <f>+IF(DX285&lt;=ES291,ES291,IF(DX285&lt;=ES292,ES292,IF(DX285&lt;=ES293,ES293,IF(DX285&lt;=ES294,ES294,IF(DX285&lt;=ES295,ES295,IF(DX285&lt;=ES296,ES296,IF(DX285&lt;=ES297,ES297,IF(DX285&lt;=ES298,ES298,0))))))))</f>
        <v>4.46</v>
      </c>
      <c r="ET306" s="2275">
        <f>+IF(DX285&lt;=ET291,ET291,IF(DX285&lt;=ET292,ET292,IF(DX285&lt;=ET293,ET293,IF(DX285&lt;=ET294,ET294,IF(DX285&lt;=ET295,ET295,IF(DX285&lt;=ET296,ET296,IF(DX285&lt;=ET297,ET297,IF(DX285&lt;=ET298,ET298,0))))))))</f>
        <v>4.95</v>
      </c>
      <c r="EU306" s="2275">
        <f>+IF(DX285&lt;=EU291,EU291,IF(DX285&lt;=EU292,EU292,IF(DX285&lt;=EU293,EU293,IF(DX285&lt;=EU294,EU294,IF(DX285&lt;=EU295,EU295,IF(DX285&lt;=EU296,EU296,IF(DX285&lt;=EU297,EU297,IF(DX285&lt;=EU298,EU298,0))))))))</f>
        <v>5.25</v>
      </c>
      <c r="EV306" s="2275">
        <f>+IF(DX285&lt;=EV291,EV291,IF(DX285&lt;=EV292,EV292,IF(DX285&lt;=EV293,EV293,IF(DX285&lt;=EV294,EV294,IF(DX285&lt;=EV295,EV295,IF(DX285&lt;=EV296,EV296,IF(DX285&lt;=EV297,EV297,IF(DX285&lt;=EV298,EV298,0))))))))</f>
        <v>5.35</v>
      </c>
      <c r="EW306" s="2275">
        <f>+IF(DX285&lt;=EW291,EW291,IF(DX285&lt;=EW292,EW292,IF(DX285&lt;=EW293,EW293,IF(DX285&lt;=EW294,EW294,IF(DX285&lt;=EW295,EW295,IF(DX285&lt;=EW296,EW296,IF(DX285&lt;=EW297,EW297,IF(DX285&lt;=EW298,EW298,0))))))))</f>
        <v>6.44</v>
      </c>
      <c r="EX306" s="2275">
        <f>+IF(DX285&lt;=EX291,EX291,IF(DX285&lt;=EX292,EX292,IF(DX285&lt;=EX293,EX293,IF(DX285&lt;=EX294,EX294,IF(DX285&lt;=EX295,EX295,IF(DX285&lt;=EX296,EX296,IF(DX285&lt;=EX297,EX297,IF(DX285&lt;=EX298,EX298,0))))))))</f>
        <v>6.53</v>
      </c>
      <c r="EY306" s="2275">
        <f>+IF(DX285&lt;=EY291,EY291,IF(DX285&lt;=EY292,EY292,IF(DX285&lt;=EY293,EY293,IF(DX285&lt;=EY294,EY294,IF(DX285&lt;=EY295,EY295,IF(DX285&lt;=EY296,EY296,IF(DX285&lt;=EY297,EY297,IF(DX285&lt;=EY298,EY298,0))))))))</f>
        <v>8.61</v>
      </c>
      <c r="EZ306" s="2275">
        <f>+IF(DX285&lt;=EZ291,EZ291,IF(DX285&lt;=EZ292,EZ292,IF(DX285&lt;=EZ293,EZ293,IF(DX285&lt;=EZ294,EZ294,IF(DX285&lt;=EZ295,EZ295,IF(DX285&lt;=EZ296,EZ296,IF(DX285&lt;=EZ297,EZ297,IF(DX285&lt;=EZ298,EZ298,0))))))))</f>
        <v>9.9</v>
      </c>
      <c r="FA306" s="2275"/>
      <c r="FB306" s="2275"/>
      <c r="FC306" s="2275"/>
      <c r="FD306" s="2275"/>
      <c r="FE306" s="2275"/>
      <c r="FF306" s="2275"/>
      <c r="FG306" s="2275"/>
      <c r="FH306" s="2275"/>
      <c r="FI306" s="2275"/>
      <c r="FJ306" s="2275"/>
      <c r="FK306" s="2275"/>
      <c r="FL306" s="2250"/>
      <c r="FM306" s="2250"/>
      <c r="FN306" s="2250"/>
      <c r="FO306" s="2250"/>
      <c r="FP306" s="2250"/>
      <c r="FQ306" s="2250"/>
      <c r="FR306" s="2250"/>
      <c r="FS306" s="2250"/>
      <c r="FT306" s="2250"/>
      <c r="FU306" s="2250"/>
      <c r="FV306" s="2250"/>
      <c r="FW306" s="2250"/>
      <c r="FX306" s="2250"/>
      <c r="FY306" s="2250"/>
      <c r="FZ306" s="2250"/>
      <c r="GA306" s="2250"/>
      <c r="GB306" s="2276"/>
      <c r="GC306" s="2276"/>
      <c r="GD306" s="2250"/>
      <c r="GE306" s="2275"/>
      <c r="GF306" s="2250"/>
      <c r="GG306" s="2275"/>
      <c r="GH306" s="2275">
        <f>+IF(GF285&lt;=GH291,GH291,IF(GF285&lt;=GH292,GH292,IF(GF285&lt;=GH293,GH293,IF(GF285&lt;=GH294,GH294,IF(GF285&lt;=GH295,GH295,IF(GF285&lt;=GH296,GH296,IF(GF285&lt;=GH297,GH297,IF(GF285&lt;=GH298,GH298,0))))))))</f>
        <v>1.78</v>
      </c>
      <c r="GI306" s="2275">
        <f>+IF(GF285&lt;=GI291,GI291,IF(GF285&lt;=GI292,GI292,IF(GF285&lt;=GI293,GI293,IF(GF285&lt;=GI294,GI294,IF(GF285&lt;=GI295,GI295,IF(GF285&lt;=GI296,GI296,IF(GF285&lt;=GI297,GI297,IF(GF285&lt;=GI298,GI298,0))))))))</f>
        <v>1.39</v>
      </c>
      <c r="GJ306" s="2275">
        <f>+IF(GF285&lt;=GJ291,GJ291,IF(GF285&lt;=GJ292,GJ292,IF(GF285&lt;=GJ293,GJ293,IF(GF285&lt;=GJ294,GJ294,IF(GF285&lt;=GJ295,GJ295,IF(GF285&lt;=GJ296,GJ296,IF(GF285&lt;=GJ297,GJ297,IF(GF285&lt;=GJ298,GJ298,0))))))))</f>
        <v>1.49</v>
      </c>
      <c r="GK306" s="2275">
        <f>+IF(GF285&lt;=GK291,GK291,IF(GF285&lt;=GK292,GK292,IF(GF285&lt;=GK293,GK293,IF(GF285&lt;=GK294,GK294,IF(GF285&lt;=GK295,GK295,IF(GF285&lt;=GK296,GK296,IF(GF285&lt;=GK297,GK297,IF(GF285&lt;=GK298,GK298,0))))))))</f>
        <v>1.68</v>
      </c>
      <c r="GL306" s="2275">
        <f>+IF(GF285&lt;=GL291,GL291,IF(GF285&lt;=GL292,GL292,IF(GF285&lt;=GL293,GL293,IF(GF285&lt;=GL294,GL294,IF(GF285&lt;=GL295,GL295,IF(GF285&lt;=GL296,GL296,IF(GF285&lt;=GL297,GL297,IF(GF285&lt;=GL298,GL298,0))))))))</f>
        <v>1.78</v>
      </c>
      <c r="GM306" s="2275">
        <f>+IF(GF285&lt;=GM291,GM291,IF(GF285&lt;=GM292,GM292,IF(GF285&lt;=GM293,GM293,IF(GF285&lt;=GM294,GM294,IF(GF285&lt;=GM295,GM295,IF(GF285&lt;=GM296,GM296,IF(GF285&lt;=GM297,GM297,IF(GF285&lt;=GM298,GM298,0))))))))</f>
        <v>1.68</v>
      </c>
      <c r="GN306" s="2275">
        <f>+IF(GF285&lt;=GN291,GN291,IF(GF285&lt;=GN292,GN292,IF(GF285&lt;=GN293,GN293,IF(GF285&lt;=GN294,GN294,IF(GF285&lt;=GN295,GN295,IF(GF285&lt;=GN296,GN296,IF(GF285&lt;=GN297,GN297,IF(GF285&lt;=GN298,GN298,0))))))))</f>
        <v>1.88</v>
      </c>
      <c r="GO306" s="2275">
        <f>+IF(GF285&lt;=GO291,GO291,IF(GF285&lt;=GO292,GO292,IF(GF285&lt;=GO293,GO293,IF(GF285&lt;=GO294,GO294,IF(GF285&lt;=GO295,GO295,IF(GF285&lt;=GO296,GO296,IF(GF285&lt;=GO297,GO297,IF(GF285&lt;=GO298,GO298,0))))))))</f>
        <v>1.98</v>
      </c>
      <c r="GP306" s="2275">
        <f>+IF(GF285&lt;=GP291,GP291,IF(GF285&lt;=GP292,GP292,IF(GF285&lt;=GP293,GP293,IF(GF285&lt;=GP294,GP294,IF(GF285&lt;=GP295,GP295,IF(GF285&lt;=GP296,GP296,IF(GF285&lt;=GP297,GP297,IF(GF285&lt;=GP298,GP298,0))))))))</f>
        <v>2.1800000000000002</v>
      </c>
      <c r="GQ306" s="2275">
        <f>+IF(GF285&lt;=GQ291,GQ291,IF(GF285&lt;=GQ292,GQ292,IF(GF285&lt;=GQ293,GQ293,IF(GF285&lt;=GQ294,GQ294,IF(GF285&lt;=GQ295,GQ295,IF(GF285&lt;=GQ296,GQ296,IF(GF285&lt;=GQ297,GQ297,IF(GF285&lt;=GQ298,GQ298,0))))))))</f>
        <v>2.38</v>
      </c>
      <c r="GR306" s="2275">
        <f>+IF(GF285&lt;=GR291,GR291,IF(GF285&lt;=GR292,GR292,IF(GF285&lt;=GR293,GR293,IF(GF285&lt;=GR294,GR294,IF(GF285&lt;=GR295,GR295,IF(GF285&lt;=GR296,GR296,IF(GF285&lt;=GR297,GR297,IF(GF285&lt;=GR298,GR298,0))))))))</f>
        <v>2.57</v>
      </c>
      <c r="GS306" s="2275">
        <f>+IF(GF285&lt;=GS291,GS291,IF(GF285&lt;=GS292,GS292,IF(GF285&lt;=GS293,GS293,IF(GF285&lt;=GS294,GS294,IF(GF285&lt;=GS295,GS295,IF(GF285&lt;=GS296,GS296,IF(GF285&lt;=GS297,GS297,IF(GF285&lt;=GS298,GS298,0))))))))</f>
        <v>2.67</v>
      </c>
      <c r="GT306" s="2275">
        <f>+IF(GF285&lt;=GT291,GT291,IF(GF285&lt;=GT292,GT292,IF(GF285&lt;=GT293,GT293,IF(GF285&lt;=GT294,GT294,IF(GF285&lt;=GT295,GT295,IF(GF285&lt;=GT296,GT296,IF(GF285&lt;=GT297,GT297,IF(GF285&lt;=GT298,GT298,0))))))))</f>
        <v>3.07</v>
      </c>
      <c r="GU306" s="2275">
        <f>+IF(GF285&lt;=GU291,GU291,IF(GF285&lt;=GU292,GU292,IF(GF285&lt;=GU293,GU293,IF(GF285&lt;=GU294,GU294,IF(GF285&lt;=GU295,GU295,IF(GF285&lt;=GU296,GU296,IF(GF285&lt;=GU297,GU297,IF(GF285&lt;=GU298,GU298,0))))))))</f>
        <v>3.07</v>
      </c>
      <c r="GV306" s="2275">
        <f>+IF(GF285&lt;=GV291,GV291,IF(GF285&lt;=GV292,GV292,IF(GF285&lt;=GV293,GV293,IF(GF285&lt;=GV294,GV294,IF(GF285&lt;=GV295,GV295,IF(GF285&lt;=GV296,GV296,IF(GF285&lt;=GV297,GV297,IF(GF285&lt;=GV298,GV298,0))))))))</f>
        <v>3.17</v>
      </c>
      <c r="GW306" s="2275">
        <f>+IF(GF285&lt;=GW291,GW291,IF(GF285&lt;=GW292,GW292,IF(GF285&lt;=GW293,GW293,IF(GF285&lt;=GW294,GW294,IF(GF285&lt;=GW295,GW295,IF(GF285&lt;=GW296,GW296,IF(GF285&lt;=GW297,GW297,IF(GF285&lt;=GW298,GW298,0))))))))</f>
        <v>3.56</v>
      </c>
      <c r="GX306" s="2275">
        <f>+IF(GF285&lt;=GX291,GX291,IF(GF285&lt;=GX292,GX292,IF(GF285&lt;=GX293,GX293,IF(GF285&lt;=GX294,GX294,IF(GF285&lt;=GX295,GX295,IF(GF285&lt;=GX296,GX296,IF(GF285&lt;=GX297,GX297,IF(GF285&lt;=GX298,GX298,0))))))))</f>
        <v>3.76</v>
      </c>
      <c r="GY306" s="2275">
        <f>+IF(GF285&lt;=GY291,GY291,IF(GF285&lt;=GY292,GY292,IF(GF285&lt;=GY293,GY293,IF(GF285&lt;=GY294,GY294,IF(GF285&lt;=GY295,GY295,IF(GF285&lt;=GY296,GY296,IF(GF285&lt;=GY297,GY297,IF(GF285&lt;=GY298,GY298,0))))))))</f>
        <v>3.86</v>
      </c>
      <c r="GZ306" s="2275">
        <f>+IF(GF285&lt;=GZ291,GZ291,IF(GF285&lt;=GZ292,GZ292,IF(GF285&lt;=GZ293,GZ293,IF(GF285&lt;=GZ294,GZ294,IF(GF285&lt;=GZ295,GZ295,IF(GF285&lt;=GZ296,GZ296,IF(GF285&lt;=GZ297,GZ297,IF(GF285&lt;=GZ298,GZ298,0))))))))</f>
        <v>4.16</v>
      </c>
      <c r="HA306" s="2275">
        <f>+IF(GF285&lt;=HA291,HA291,IF(GF285&lt;=HA292,HA292,IF(GF285&lt;=HA293,HA293,IF(GF285&lt;=HA294,HA294,IF(GF285&lt;=HA295,HA295,IF(GF285&lt;=HA296,HA296,IF(GF285&lt;=HA297,HA297,IF(GF285&lt;=HA298,HA298,0))))))))</f>
        <v>4.46</v>
      </c>
      <c r="HB306" s="2275">
        <f>+IF(GF285&lt;=HB291,HB291,IF(GF285&lt;=HB292,HB292,IF(GF285&lt;=HB293,HB293,IF(GF285&lt;=HB294,HB294,IF(GF285&lt;=HB295,HB295,IF(GF285&lt;=HB296,HB296,IF(GF285&lt;=HB297,HB297,IF(GF285&lt;=HB298,HB298,0))))))))</f>
        <v>4.95</v>
      </c>
      <c r="HC306" s="2275">
        <f>+IF(GF285&lt;=HC291,HC291,IF(GF285&lt;=HC292,HC292,IF(GF285&lt;=HC293,HC293,IF(GF285&lt;=HC294,HC294,IF(GF285&lt;=HC295,HC295,IF(GF285&lt;=HC296,HC296,IF(GF285&lt;=HC297,HC297,IF(GF285&lt;=HC298,HC298,0))))))))</f>
        <v>5.25</v>
      </c>
      <c r="HD306" s="2275">
        <f>+IF(GF285&lt;=HD291,HD291,IF(GF285&lt;=HD292,HD292,IF(GF285&lt;=HD293,HD293,IF(GF285&lt;=HD294,HD294,IF(GF285&lt;=HD295,HD295,IF(GF285&lt;=HD296,HD296,IF(GF285&lt;=HD297,HD297,IF(GF285&lt;=HD298,HD298,0))))))))</f>
        <v>5.35</v>
      </c>
      <c r="HE306" s="2275">
        <f>+IF(GF285&lt;=HE291,HE291,IF(GF285&lt;=HE292,HE292,IF(GF285&lt;=HE293,HE293,IF(GF285&lt;=HE294,HE294,IF(GF285&lt;=HE295,HE295,IF(GF285&lt;=HE296,HE296,IF(GF285&lt;=HE297,HE297,IF(GF285&lt;=HE298,HE298,0))))))))</f>
        <v>6.44</v>
      </c>
      <c r="HF306" s="2275">
        <f>+IF(GF285&lt;=HF291,HF291,IF(GF285&lt;=HF292,HF292,IF(GF285&lt;=HF293,HF293,IF(GF285&lt;=HF294,HF294,IF(GF285&lt;=HF295,HF295,IF(GF285&lt;=HF296,HF296,IF(GF285&lt;=HF297,HF297,IF(GF285&lt;=HF298,HF298,0))))))))</f>
        <v>6.53</v>
      </c>
      <c r="HG306" s="2275">
        <f>+IF(GF285&lt;=HG291,HG291,IF(GF285&lt;=HG292,HG292,IF(GF285&lt;=HG293,HG293,IF(GF285&lt;=HG294,HG294,IF(GF285&lt;=HG295,HG295,IF(GF285&lt;=HG296,HG296,IF(GF285&lt;=HG297,HG297,IF(GF285&lt;=HG298,HG298,0))))))))</f>
        <v>8.61</v>
      </c>
      <c r="HH306" s="2275">
        <f>+IF(GF285&lt;=HH291,HH291,IF(GF285&lt;=HH292,HH292,IF(GF285&lt;=HH293,HH293,IF(GF285&lt;=HH294,HH294,IF(GF285&lt;=HH295,HH295,IF(GF285&lt;=HH296,HH296,IF(GF285&lt;=HH297,HH297,IF(GF285&lt;=HH298,HH298,0))))))))</f>
        <v>9.9</v>
      </c>
      <c r="HI306" s="2275"/>
      <c r="HJ306" s="2275"/>
      <c r="HK306" s="2275"/>
      <c r="HL306" s="2275"/>
      <c r="HM306" s="2275"/>
      <c r="HN306" s="2275"/>
      <c r="HO306" s="2275"/>
      <c r="HP306" s="2275"/>
      <c r="HQ306" s="2275"/>
      <c r="HR306" s="2275"/>
      <c r="HS306" s="2275"/>
      <c r="HT306" s="2250"/>
      <c r="HU306" s="2250"/>
      <c r="HV306" s="2250"/>
      <c r="HW306" s="2250"/>
      <c r="HX306" s="2250"/>
      <c r="HY306" s="2250"/>
      <c r="HZ306" s="2250"/>
      <c r="IA306" s="2250"/>
      <c r="IB306" s="2250"/>
      <c r="IC306" s="2250"/>
      <c r="ID306" s="2250"/>
      <c r="IE306" s="2250"/>
      <c r="IF306" s="2250"/>
      <c r="IG306" s="2250"/>
      <c r="IH306" s="2250"/>
      <c r="II306" s="2250"/>
      <c r="IJ306" s="2250"/>
      <c r="IK306" s="2250"/>
      <c r="IL306" s="2250"/>
      <c r="IN306" s="277"/>
      <c r="IO306" s="277"/>
    </row>
    <row r="307" spans="1:249" ht="21.95" customHeight="1">
      <c r="A307" s="2275"/>
      <c r="B307" s="2275">
        <f>B241</f>
        <v>0.75631178540277322</v>
      </c>
      <c r="C307" s="2275">
        <f>HLOOKUP(B308,D289:AD309,20,0)</f>
        <v>3.86</v>
      </c>
      <c r="D307" s="2275">
        <f>+IF(B285&lt;=D299,D299,IF(B285&lt;=D300,D300,IF(B285&lt;=D301,D301,)))</f>
        <v>33.369999999999997</v>
      </c>
      <c r="E307" s="2275">
        <f>+IF(B285&lt;=E299,E299,IF(B285&lt;=E300,E300,IF(B285&lt;=E301,E301,)))</f>
        <v>37.619999999999997</v>
      </c>
      <c r="F307" s="2275">
        <f>+IF(B285&lt;=F299,F299,IF(B285&lt;=F300,F300,IF(B285&lt;=F301,F301,)))</f>
        <v>41.58</v>
      </c>
      <c r="G307" s="2275">
        <f>+IF(B285&lt;=G299,G299,IF(B285&lt;=G300,G300,IF(B285&lt;=G301,G301,)))</f>
        <v>46.14</v>
      </c>
      <c r="H307" s="2275">
        <f>+IF(B285&lt;=H299,H299,IF(B285&lt;=H300,H300,IF(B285&lt;=H301,H301,)))</f>
        <v>49.7</v>
      </c>
      <c r="I307" s="2275">
        <f>+IF(B285&lt;=I299,I299,IF(B285&lt;=I300,I300,IF(B285&lt;=I301,I301,)))</f>
        <v>47.33</v>
      </c>
      <c r="J307" s="2275">
        <f>+IF(B285&lt;=J299,J299,IF(B285&lt;=J300,J300,IF(B285&lt;=J301,J301,)))</f>
        <v>52.48</v>
      </c>
      <c r="K307" s="2275">
        <f>+IF(B285&lt;=K299,K299,IF(B285&lt;=K300,K300,IF(B285&lt;=K301,K301,)))</f>
        <v>55.84</v>
      </c>
      <c r="L307" s="2275">
        <f>+IF(B285&lt;=L299,L299,IF(B285&lt;=L300,L300,IF(B285&lt;=L301,L301,)))</f>
        <v>61.19</v>
      </c>
      <c r="M307" s="2275">
        <f>+IF(B285&lt;=M299,M299,IF(B285&lt;=M300,M300,IF(B285&lt;=M301,M301,)))</f>
        <v>61.78</v>
      </c>
      <c r="N307" s="2275">
        <f>+IF(B285&lt;=N299,N299,IF(B285&lt;=N300,N300,IF(B285&lt;=N301,N301,)))</f>
        <v>70.989999999999995</v>
      </c>
      <c r="O307" s="2275">
        <f>+IF(B285&lt;=O299,O299,IF(B285&lt;=O300,O300,IF(B285&lt;=O301,O301,)))</f>
        <v>79.31</v>
      </c>
      <c r="P307" s="2275">
        <f>+IF(B285&lt;=P299,P299,IF(B285&lt;=P300,P300,IF(B285&lt;=P301,P301,)))</f>
        <v>80.099999999999994</v>
      </c>
      <c r="Q307" s="2275">
        <f>+IF(B285&lt;=Q299,Q299,IF(B285&lt;=Q300,Q300,IF(B285&lt;=Q301,Q301,)))</f>
        <v>84.16</v>
      </c>
      <c r="R307" s="2275">
        <f>+IF(B285&lt;=R299,R299,IF(B285&lt;=R300,R300,IF(B285&lt;=R301,R301,)))</f>
        <v>88.12</v>
      </c>
      <c r="S307" s="2275">
        <f>+IF(B285&lt;=S299,S299,IF(B285&lt;=S300,S300,IF(B285&lt;=S301,S301,)))</f>
        <v>94.85</v>
      </c>
      <c r="T307" s="2275">
        <f>+IF(B285&lt;=T299,T299,IF(B285&lt;=T300,T300,IF(B285&lt;=T301,T301,)))</f>
        <v>99.5</v>
      </c>
      <c r="U307" s="2275">
        <f>+IF(B285&lt;=U299,U299,IF(B285&lt;=U300,U300,IF(B285&lt;=U301,U301,)))</f>
        <v>108.22</v>
      </c>
      <c r="V307" s="2275">
        <f>+IF(B285&lt;=V299,V299,IF(B285&lt;=V300,V300,IF(B285&lt;=V301,V301,)))</f>
        <v>114.75</v>
      </c>
      <c r="W307" s="2275">
        <f>+IF(B285&lt;=W299,W299,IF(B285&lt;=W300,W300,IF(B285&lt;=W301,W301,)))</f>
        <v>123.76</v>
      </c>
      <c r="X307" s="2275">
        <f>+IF(B285&lt;=X299,X299,IF(B285&lt;=X300,X300,IF(B285&lt;=X301,X301,)))</f>
        <v>131.88</v>
      </c>
      <c r="Y307" s="2275">
        <f>+IF(B285&lt;=Y299,Y299,IF(B285&lt;=Y300,Y300,IF(B285&lt;=Y301,Y301,)))</f>
        <v>138.12</v>
      </c>
      <c r="Z307" s="2275">
        <f>+IF(B285&lt;=Z299,Z299,IF(B285&lt;=Z300,Z300,IF(B285&lt;=Z301,Z301,)))</f>
        <v>153.27000000000001</v>
      </c>
      <c r="AA307" s="2275">
        <f>+IF(B285&lt;=AA299,AA299,IF(B285&lt;=AA300,AA300,IF(B285&lt;=AA301,AA301,)))</f>
        <v>166.24</v>
      </c>
      <c r="AB307" s="2275">
        <f>+IF(B285&lt;=AB299,AB299,IF(B285&lt;=AB300,AB300,IF(B285&lt;=AB301,AB301,)))</f>
        <v>188.71</v>
      </c>
      <c r="AC307" s="2275">
        <f>+IF(B285&lt;=AC299,AC299,IF(B285&lt;=AC300,AC300,IF(B285&lt;=AC301,AC301,)))</f>
        <v>216.63</v>
      </c>
      <c r="AD307" s="2275">
        <f>+IF(B285&lt;=AD299,AD299,IF(B285&lt;=AD300,AD300,IF(B285&lt;=AD301,AD301,)))</f>
        <v>228.42</v>
      </c>
      <c r="AE307" s="2275"/>
      <c r="AF307" s="2275"/>
      <c r="AG307" s="2275"/>
      <c r="AH307" s="2275"/>
      <c r="AI307" s="2275"/>
      <c r="AJ307" s="2275"/>
      <c r="AK307" s="2275"/>
      <c r="AL307" s="2275"/>
      <c r="AM307" s="2275"/>
      <c r="AN307" s="2275"/>
      <c r="AO307" s="2275"/>
      <c r="AP307" s="2250"/>
      <c r="AQ307" s="2250"/>
      <c r="AR307" s="2250"/>
      <c r="AS307" s="2250"/>
      <c r="AT307" s="2250"/>
      <c r="AU307" s="2250"/>
      <c r="AV307" s="2250"/>
      <c r="AW307" s="2250"/>
      <c r="AX307" s="2250"/>
      <c r="AY307" s="2250"/>
      <c r="AZ307" s="2250"/>
      <c r="BA307" s="2250"/>
      <c r="BB307" s="2250"/>
      <c r="BC307" s="2250"/>
      <c r="BD307" s="2250"/>
      <c r="BE307" s="2250"/>
      <c r="BF307" s="2276"/>
      <c r="BG307" s="2276"/>
      <c r="BH307" s="2250"/>
      <c r="BI307" s="2275"/>
      <c r="BJ307" s="2275">
        <f>BJ241</f>
        <v>0.75631178540277322</v>
      </c>
      <c r="BK307" s="2275">
        <f>HLOOKUP(BJ308,BL289:CL309,20,0)</f>
        <v>3.76</v>
      </c>
      <c r="BL307" s="2275">
        <f>+IF(BJ285&lt;=BL299,BL299,IF(BJ285&lt;=BL300,BL300,IF(BJ285&lt;=BL301,BL301,)))</f>
        <v>33.369999999999997</v>
      </c>
      <c r="BM307" s="2275">
        <f>+IF(BJ285&lt;=BM299,BM299,IF(BJ285&lt;=BM300,BM300,IF(BJ285&lt;=BM301,BM301,)))</f>
        <v>37.619999999999997</v>
      </c>
      <c r="BN307" s="2275">
        <f>+IF(BJ285&lt;=BN299,BN299,IF(BJ285&lt;=BN300,BN300,IF(BJ285&lt;=BN301,BN301,)))</f>
        <v>41.58</v>
      </c>
      <c r="BO307" s="2275">
        <f>+IF(BJ285&lt;=BO299,BO299,IF(BJ285&lt;=BO300,BO300,IF(BJ285&lt;=BO301,BO301,)))</f>
        <v>46.14</v>
      </c>
      <c r="BP307" s="2275">
        <f>+IF(BJ285&lt;=BP299,BP299,IF(BJ285&lt;=BP300,BP300,IF(BJ285&lt;=BP301,BP301,)))</f>
        <v>49.7</v>
      </c>
      <c r="BQ307" s="2275">
        <f>+IF(BJ285&lt;=BQ299,BQ299,IF(BJ285&lt;=BQ300,BQ300,IF(BJ285&lt;=BQ301,BQ301,)))</f>
        <v>47.33</v>
      </c>
      <c r="BR307" s="2275">
        <f>+IF(BJ285&lt;=BR299,BR299,IF(BJ285&lt;=BR300,BR300,IF(BJ285&lt;=BR301,BR301,)))</f>
        <v>52.48</v>
      </c>
      <c r="BS307" s="2275">
        <f>+IF(BJ285&lt;=BS299,BS299,IF(BJ285&lt;=BS300,BS300,IF(BJ285&lt;=BS301,BS301,)))</f>
        <v>55.84</v>
      </c>
      <c r="BT307" s="2275">
        <f>+IF(BJ285&lt;=BT299,BT299,IF(BJ285&lt;=BT300,BT300,IF(BJ285&lt;=BT301,BT301,)))</f>
        <v>61.19</v>
      </c>
      <c r="BU307" s="2275">
        <f>+IF(BJ285&lt;=BU299,BU299,IF(BJ285&lt;=BU300,BU300,IF(BJ285&lt;=BU301,BU301,)))</f>
        <v>61.78</v>
      </c>
      <c r="BV307" s="2275">
        <f>+IF(BJ285&lt;=BV299,BV299,IF(BJ285&lt;=BV300,BV300,IF(BJ285&lt;=BV301,BV301,)))</f>
        <v>70.989999999999995</v>
      </c>
      <c r="BW307" s="2275">
        <f>+IF(BJ285&lt;=BW299,BW299,IF(BJ285&lt;=BW300,BW300,IF(BJ285&lt;=BW301,BW301,)))</f>
        <v>79.31</v>
      </c>
      <c r="BX307" s="2275">
        <f>+IF(BJ285&lt;=BX299,BX299,IF(BJ285&lt;=BX300,BX300,IF(BJ285&lt;=BX301,BX301,)))</f>
        <v>80.099999999999994</v>
      </c>
      <c r="BY307" s="2275">
        <f>+IF(BJ285&lt;=BY299,BY299,IF(BJ285&lt;=BY300,BY300,IF(BJ285&lt;=BY301,BY301,)))</f>
        <v>84.16</v>
      </c>
      <c r="BZ307" s="2275">
        <f>+IF(BJ285&lt;=BZ299,BZ299,IF(BJ285&lt;=BZ300,BZ300,IF(BJ285&lt;=BZ301,BZ301,)))</f>
        <v>88.12</v>
      </c>
      <c r="CA307" s="2275">
        <f>+IF(BJ285&lt;=CA299,CA299,IF(BJ285&lt;=CA300,CA300,IF(BJ285&lt;=CA301,CA301,)))</f>
        <v>94.85</v>
      </c>
      <c r="CB307" s="2275">
        <f>+IF(BJ285&lt;=CB299,CB299,IF(BJ285&lt;=CB300,CB300,IF(BJ285&lt;=CB301,CB301,)))</f>
        <v>99.5</v>
      </c>
      <c r="CC307" s="2275">
        <f>+IF(BJ285&lt;=CC299,CC299,IF(BJ285&lt;=CC300,CC300,IF(BJ285&lt;=CC301,CC301,)))</f>
        <v>108.22</v>
      </c>
      <c r="CD307" s="2275">
        <f>+IF(BJ285&lt;=CD299,CD299,IF(BJ285&lt;=CD300,CD300,IF(BJ285&lt;=CD301,CD301,)))</f>
        <v>114.75</v>
      </c>
      <c r="CE307" s="2275">
        <f>+IF(BJ285&lt;=CE299,CE299,IF(BJ285&lt;=CE300,CE300,IF(BJ285&lt;=CE301,CE301,)))</f>
        <v>123.76</v>
      </c>
      <c r="CF307" s="2275">
        <f>+IF(BJ285&lt;=CF299,CF299,IF(BJ285&lt;=CF300,CF300,IF(BJ285&lt;=CF301,CF301,)))</f>
        <v>131.88</v>
      </c>
      <c r="CG307" s="2275">
        <f>+IF(BJ285&lt;=CG299,CG299,IF(BJ285&lt;=CG300,CG300,IF(BJ285&lt;=CG301,CG301,)))</f>
        <v>138.12</v>
      </c>
      <c r="CH307" s="2275">
        <f>+IF(BJ285&lt;=CH299,CH299,IF(BJ285&lt;=CH300,CH300,IF(BJ285&lt;=CH301,CH301,)))</f>
        <v>153.27000000000001</v>
      </c>
      <c r="CI307" s="2275">
        <f>+IF(BJ285&lt;=CI299,CI299,IF(BJ285&lt;=CI300,CI300,IF(BJ285&lt;=CI301,CI301,)))</f>
        <v>166.24</v>
      </c>
      <c r="CJ307" s="2275">
        <f>+IF(BJ285&lt;=CJ299,CJ299,IF(BJ285&lt;=CJ300,CJ300,IF(BJ285&lt;=CJ301,CJ301,)))</f>
        <v>188.71</v>
      </c>
      <c r="CK307" s="2275">
        <f>+IF(BJ285&lt;=CK299,CK299,IF(BJ285&lt;=CK300,CK300,IF(BJ285&lt;=CK301,CK301,)))</f>
        <v>216.63</v>
      </c>
      <c r="CL307" s="2275">
        <f>+IF(BJ285&lt;=CL299,CL299,IF(BJ285&lt;=CL300,CL300,IF(BJ285&lt;=CL301,CL301,)))</f>
        <v>228.42</v>
      </c>
      <c r="CM307" s="2275"/>
      <c r="CN307" s="2275"/>
      <c r="CO307" s="2275"/>
      <c r="CP307" s="2275"/>
      <c r="CQ307" s="2275"/>
      <c r="CR307" s="2275"/>
      <c r="CS307" s="2275"/>
      <c r="CT307" s="2275"/>
      <c r="CU307" s="2275"/>
      <c r="CV307" s="2275"/>
      <c r="CW307" s="2275"/>
      <c r="CX307" s="2250"/>
      <c r="CY307" s="2250"/>
      <c r="CZ307" s="2250"/>
      <c r="DA307" s="2250"/>
      <c r="DB307" s="2250"/>
      <c r="DC307" s="2250"/>
      <c r="DD307" s="2250"/>
      <c r="DE307" s="2250"/>
      <c r="DF307" s="2250"/>
      <c r="DG307" s="2250"/>
      <c r="DH307" s="2250"/>
      <c r="DI307" s="2250"/>
      <c r="DJ307" s="2250"/>
      <c r="DK307" s="2250"/>
      <c r="DL307" s="2250"/>
      <c r="DM307" s="2250"/>
      <c r="DN307" s="2250"/>
      <c r="DO307" s="2250"/>
      <c r="DP307" s="2250"/>
      <c r="DQ307" s="2277"/>
      <c r="DR307" s="2277"/>
      <c r="DS307" s="277"/>
      <c r="DW307" s="2275"/>
      <c r="DX307" s="2275">
        <f>DX241</f>
        <v>1.3354563802212776</v>
      </c>
      <c r="DY307" s="2275">
        <f>HLOOKUP(DX308,DZ289:EZ309,20,0)</f>
        <v>5.35</v>
      </c>
      <c r="DZ307" s="2275">
        <f>+IF(DX285&lt;=DZ299,DZ299,IF(DX285&lt;=DZ300,DZ300,IF(DX285&lt;=DZ301,DZ301,)))</f>
        <v>33.369999999999997</v>
      </c>
      <c r="EA307" s="2275">
        <f>+IF(DX285&lt;=EA299,EA299,IF(DX285&lt;=EA300,EA300,IF(DX285&lt;=EA301,EA301,)))</f>
        <v>37.619999999999997</v>
      </c>
      <c r="EB307" s="2275">
        <f>+IF(DX285&lt;=EB299,EB299,IF(DX285&lt;=EB300,EB300,IF(DX285&lt;=EB301,EB301,)))</f>
        <v>41.58</v>
      </c>
      <c r="EC307" s="2275">
        <f>+IF(DX285&lt;=EC299,EC299,IF(DX285&lt;=EC300,EC300,IF(DX285&lt;=EC301,EC301,)))</f>
        <v>46.14</v>
      </c>
      <c r="ED307" s="2275">
        <f>+IF(DX285&lt;=ED299,ED299,IF(DX285&lt;=ED300,ED300,IF(DX285&lt;=ED301,ED301,)))</f>
        <v>49.7</v>
      </c>
      <c r="EE307" s="2275">
        <f>+IF(DX285&lt;=EE299,EE299,IF(DX285&lt;=EE300,EE300,IF(DX285&lt;=EE301,EE301,)))</f>
        <v>47.33</v>
      </c>
      <c r="EF307" s="2275">
        <f>+IF(DX285&lt;=EF299,EF299,IF(DX285&lt;=EF300,EF300,IF(DX285&lt;=EF301,EF301,)))</f>
        <v>52.48</v>
      </c>
      <c r="EG307" s="2275">
        <f>+IF(DX285&lt;=EG299,EG299,IF(DX285&lt;=EG300,EG300,IF(DX285&lt;=EG301,EG301,)))</f>
        <v>55.84</v>
      </c>
      <c r="EH307" s="2275">
        <f>+IF(DX285&lt;=EH299,EH299,IF(DX285&lt;=EH300,EH300,IF(DX285&lt;=EH301,EH301,)))</f>
        <v>61.19</v>
      </c>
      <c r="EI307" s="2275">
        <f>+IF(DX285&lt;=EI299,EI299,IF(DX285&lt;=EI300,EI300,IF(DX285&lt;=EI301,EI301,)))</f>
        <v>61.78</v>
      </c>
      <c r="EJ307" s="2275">
        <f>+IF(DX285&lt;=EJ299,EJ299,IF(DX285&lt;=EJ300,EJ300,IF(DX285&lt;=EJ301,EJ301,)))</f>
        <v>70.989999999999995</v>
      </c>
      <c r="EK307" s="2275">
        <f>+IF(DX285&lt;=EK299,EK299,IF(DX285&lt;=EK300,EK300,IF(DX285&lt;=EK301,EK301,)))</f>
        <v>79.31</v>
      </c>
      <c r="EL307" s="2275">
        <f>+IF(DX285&lt;=EL299,EL299,IF(DX285&lt;=EL300,EL300,IF(DX285&lt;=EL301,EL301,)))</f>
        <v>80.099999999999994</v>
      </c>
      <c r="EM307" s="2275">
        <f>+IF(DX285&lt;=EM299,EM299,IF(DX285&lt;=EM300,EM300,IF(DX285&lt;=EM301,EM301,)))</f>
        <v>84.16</v>
      </c>
      <c r="EN307" s="2275">
        <f>+IF(DX285&lt;=EN299,EN299,IF(DX285&lt;=EN300,EN300,IF(DX285&lt;=EN301,EN301,)))</f>
        <v>88.12</v>
      </c>
      <c r="EO307" s="2275">
        <f>+IF(DX285&lt;=EO299,EO299,IF(DX285&lt;=EO300,EO300,IF(DX285&lt;=EO301,EO301,)))</f>
        <v>94.85</v>
      </c>
      <c r="EP307" s="2275">
        <f>+IF(DX285&lt;=EP299,EP299,IF(DX285&lt;=EP300,EP300,IF(DX285&lt;=EP301,EP301,)))</f>
        <v>99.5</v>
      </c>
      <c r="EQ307" s="2275">
        <f>+IF(DX285&lt;=EQ299,EQ299,IF(DX285&lt;=EQ300,EQ300,IF(DX285&lt;=EQ301,EQ301,)))</f>
        <v>108.22</v>
      </c>
      <c r="ER307" s="2275">
        <f>+IF(DX285&lt;=ER299,ER299,IF(DX285&lt;=ER300,ER300,IF(DX285&lt;=ER301,ER301,)))</f>
        <v>114.75</v>
      </c>
      <c r="ES307" s="2275">
        <f>+IF(DX285&lt;=ES299,ES299,IF(DX285&lt;=ES300,ES300,IF(DX285&lt;=ES301,ES301,)))</f>
        <v>123.76</v>
      </c>
      <c r="ET307" s="2275">
        <f>+IF(DX285&lt;=ET299,ET299,IF(DX285&lt;=ET300,ET300,IF(DX285&lt;=ET301,ET301,)))</f>
        <v>131.88</v>
      </c>
      <c r="EU307" s="2275">
        <f>+IF(DX285&lt;=EU299,EU299,IF(DX285&lt;=EU300,EU300,IF(DX285&lt;=EU301,EU301,)))</f>
        <v>138.12</v>
      </c>
      <c r="EV307" s="2275">
        <f>+IF(DX285&lt;=EV299,EV299,IF(DX285&lt;=EV300,EV300,IF(DX285&lt;=EV301,EV301,)))</f>
        <v>153.27000000000001</v>
      </c>
      <c r="EW307" s="2275">
        <f>+IF(DX285&lt;=EW299,EW299,IF(DX285&lt;=EW300,EW300,IF(DX285&lt;=EW301,EW301,)))</f>
        <v>166.24</v>
      </c>
      <c r="EX307" s="2275">
        <f>+IF(DX285&lt;=EX299,EX299,IF(DX285&lt;=EX300,EX300,IF(DX285&lt;=EX301,EX301,)))</f>
        <v>188.71</v>
      </c>
      <c r="EY307" s="2275">
        <f>+IF(DX285&lt;=EY299,EY299,IF(DX285&lt;=EY300,EY300,IF(DX285&lt;=EY301,EY301,)))</f>
        <v>216.63</v>
      </c>
      <c r="EZ307" s="2275">
        <f>+IF(DX285&lt;=EZ299,EZ299,IF(DX285&lt;=EZ300,EZ300,IF(DX285&lt;=EZ301,EZ301,)))</f>
        <v>228.42</v>
      </c>
      <c r="FA307" s="2275"/>
      <c r="FB307" s="2275"/>
      <c r="FC307" s="2275"/>
      <c r="FD307" s="2275"/>
      <c r="FE307" s="2275"/>
      <c r="FF307" s="2275"/>
      <c r="FG307" s="2275"/>
      <c r="FH307" s="2275"/>
      <c r="FI307" s="2275"/>
      <c r="FJ307" s="2275"/>
      <c r="FK307" s="2275"/>
      <c r="FL307" s="2250"/>
      <c r="FM307" s="2250"/>
      <c r="FN307" s="2250"/>
      <c r="FO307" s="2250"/>
      <c r="FP307" s="2250"/>
      <c r="FQ307" s="2250"/>
      <c r="FR307" s="2250"/>
      <c r="FS307" s="2250"/>
      <c r="FT307" s="2250"/>
      <c r="FU307" s="2250"/>
      <c r="FV307" s="2250"/>
      <c r="FW307" s="2250"/>
      <c r="FX307" s="2250"/>
      <c r="FY307" s="2250"/>
      <c r="FZ307" s="2250"/>
      <c r="GA307" s="2250"/>
      <c r="GB307" s="2276"/>
      <c r="GC307" s="2276"/>
      <c r="GD307" s="2250"/>
      <c r="GE307" s="2275"/>
      <c r="GF307" s="2275">
        <f>GF241</f>
        <v>1.3354563802212776</v>
      </c>
      <c r="GG307" s="2275">
        <f>HLOOKUP(GF308,GH289:HH309,20,0)</f>
        <v>5.25</v>
      </c>
      <c r="GH307" s="2275">
        <f>+IF(GF285&lt;=GH299,GH299,IF(GF285&lt;=GH300,GH300,IF(GF285&lt;=GH301,GH301,)))</f>
        <v>33.369999999999997</v>
      </c>
      <c r="GI307" s="2275">
        <f>+IF(GF285&lt;=GI299,GI299,IF(GF285&lt;=GI300,GI300,IF(GF285&lt;=GI301,GI301,)))</f>
        <v>37.619999999999997</v>
      </c>
      <c r="GJ307" s="2275">
        <f>+IF(GF285&lt;=GJ299,GJ299,IF(GF285&lt;=GJ300,GJ300,IF(GF285&lt;=GJ301,GJ301,)))</f>
        <v>41.58</v>
      </c>
      <c r="GK307" s="2275">
        <f>+IF(GF285&lt;=GK299,GK299,IF(GF285&lt;=GK300,GK300,IF(GF285&lt;=GK301,GK301,)))</f>
        <v>46.14</v>
      </c>
      <c r="GL307" s="2275">
        <f>+IF(GF285&lt;=GL299,GL299,IF(GF285&lt;=GL300,GL300,IF(GF285&lt;=GL301,GL301,)))</f>
        <v>49.7</v>
      </c>
      <c r="GM307" s="2275">
        <f>+IF(GF285&lt;=GM299,GM299,IF(GF285&lt;=GM300,GM300,IF(GF285&lt;=GM301,GM301,)))</f>
        <v>47.33</v>
      </c>
      <c r="GN307" s="2275">
        <f>+IF(GF285&lt;=GN299,GN299,IF(GF285&lt;=GN300,GN300,IF(GF285&lt;=GN301,GN301,)))</f>
        <v>52.48</v>
      </c>
      <c r="GO307" s="2275">
        <f>+IF(GF285&lt;=GO299,GO299,IF(GF285&lt;=GO300,GO300,IF(GF285&lt;=GO301,GO301,)))</f>
        <v>55.84</v>
      </c>
      <c r="GP307" s="2275">
        <f>+IF(GF285&lt;=GP299,GP299,IF(GF285&lt;=GP300,GP300,IF(GF285&lt;=GP301,GP301,)))</f>
        <v>61.19</v>
      </c>
      <c r="GQ307" s="2275">
        <f>+IF(GF285&lt;=GQ299,GQ299,IF(GF285&lt;=GQ300,GQ300,IF(GF285&lt;=GQ301,GQ301,)))</f>
        <v>61.78</v>
      </c>
      <c r="GR307" s="2275">
        <f>+IF(GF285&lt;=GR299,GR299,IF(GF285&lt;=GR300,GR300,IF(GF285&lt;=GR301,GR301,)))</f>
        <v>70.989999999999995</v>
      </c>
      <c r="GS307" s="2275">
        <f>+IF(GF285&lt;=GS299,GS299,IF(GF285&lt;=GS300,GS300,IF(GF285&lt;=GS301,GS301,)))</f>
        <v>79.31</v>
      </c>
      <c r="GT307" s="2275">
        <f>+IF(GF285&lt;=GT299,GT299,IF(GF285&lt;=GT300,GT300,IF(GF285&lt;=GT301,GT301,)))</f>
        <v>80.099999999999994</v>
      </c>
      <c r="GU307" s="2275">
        <f>+IF(GF285&lt;=GU299,GU299,IF(GF285&lt;=GU300,GU300,IF(GF285&lt;=GU301,GU301,)))</f>
        <v>84.16</v>
      </c>
      <c r="GV307" s="2275">
        <f>+IF(GF285&lt;=GV299,GV299,IF(GF285&lt;=GV300,GV300,IF(GF285&lt;=GV301,GV301,)))</f>
        <v>88.12</v>
      </c>
      <c r="GW307" s="2275">
        <f>+IF(GF285&lt;=GW299,GW299,IF(GF285&lt;=GW300,GW300,IF(GF285&lt;=GW301,GW301,)))</f>
        <v>94.85</v>
      </c>
      <c r="GX307" s="2275">
        <f>+IF(GF285&lt;=GX299,GX299,IF(GF285&lt;=GX300,GX300,IF(GF285&lt;=GX301,GX301,)))</f>
        <v>99.5</v>
      </c>
      <c r="GY307" s="2275">
        <f>+IF(GF285&lt;=GY299,GY299,IF(GF285&lt;=GY300,GY300,IF(GF285&lt;=GY301,GY301,)))</f>
        <v>108.22</v>
      </c>
      <c r="GZ307" s="2275">
        <f>+IF(GF285&lt;=GZ299,GZ299,IF(GF285&lt;=GZ300,GZ300,IF(GF285&lt;=GZ301,GZ301,)))</f>
        <v>114.75</v>
      </c>
      <c r="HA307" s="2275">
        <f>+IF(GF285&lt;=HA299,HA299,IF(GF285&lt;=HA300,HA300,IF(GF285&lt;=HA301,HA301,)))</f>
        <v>123.76</v>
      </c>
      <c r="HB307" s="2275">
        <f>+IF(GF285&lt;=HB299,HB299,IF(GF285&lt;=HB300,HB300,IF(GF285&lt;=HB301,HB301,)))</f>
        <v>131.88</v>
      </c>
      <c r="HC307" s="2275">
        <f>+IF(GF285&lt;=HC299,HC299,IF(GF285&lt;=HC300,HC300,IF(GF285&lt;=HC301,HC301,)))</f>
        <v>138.12</v>
      </c>
      <c r="HD307" s="2275">
        <f>+IF(GF285&lt;=HD299,HD299,IF(GF285&lt;=HD300,HD300,IF(GF285&lt;=HD301,HD301,)))</f>
        <v>153.27000000000001</v>
      </c>
      <c r="HE307" s="2275">
        <f>+IF(GF285&lt;=HE299,HE299,IF(GF285&lt;=HE300,HE300,IF(GF285&lt;=HE301,HE301,)))</f>
        <v>166.24</v>
      </c>
      <c r="HF307" s="2275">
        <f>+IF(GF285&lt;=HF299,HF299,IF(GF285&lt;=HF300,HF300,IF(GF285&lt;=HF301,HF301,)))</f>
        <v>188.71</v>
      </c>
      <c r="HG307" s="2275">
        <f>+IF(GF285&lt;=HG299,HG299,IF(GF285&lt;=HG300,HG300,IF(GF285&lt;=HG301,HG301,)))</f>
        <v>216.63</v>
      </c>
      <c r="HH307" s="2275">
        <f>+IF(GF285&lt;=HH299,HH299,IF(GF285&lt;=HH300,HH300,IF(GF285&lt;=HH301,HH301,)))</f>
        <v>228.42</v>
      </c>
      <c r="HI307" s="2275"/>
      <c r="HJ307" s="2275"/>
      <c r="HK307" s="2275"/>
      <c r="HL307" s="2275"/>
      <c r="HM307" s="2275"/>
      <c r="HN307" s="2275"/>
      <c r="HO307" s="2275"/>
      <c r="HP307" s="2275"/>
      <c r="HQ307" s="2275"/>
      <c r="HR307" s="2275"/>
      <c r="HS307" s="2275"/>
      <c r="HT307" s="2250"/>
      <c r="HU307" s="2250"/>
      <c r="HV307" s="2250"/>
      <c r="HW307" s="2250"/>
      <c r="HX307" s="2250"/>
      <c r="HY307" s="2250"/>
      <c r="HZ307" s="2250"/>
      <c r="IA307" s="2250"/>
      <c r="IB307" s="2250"/>
      <c r="IC307" s="2250"/>
      <c r="ID307" s="2250"/>
      <c r="IE307" s="2250"/>
      <c r="IF307" s="2250"/>
      <c r="IG307" s="2250"/>
      <c r="IH307" s="2250"/>
      <c r="II307" s="2250"/>
      <c r="IJ307" s="2250"/>
      <c r="IK307" s="2250"/>
      <c r="IL307" s="2250"/>
      <c r="IN307" s="277"/>
      <c r="IO307" s="277"/>
    </row>
    <row r="308" spans="1:249" ht="21.95" customHeight="1">
      <c r="A308" s="2275"/>
      <c r="B308" s="2275">
        <f>B242</f>
        <v>68.3</v>
      </c>
      <c r="C308" s="2275">
        <f>HLOOKUP(B308,D289:AD309,21,0)</f>
        <v>400</v>
      </c>
      <c r="D308" s="2250">
        <f t="shared" ref="D308:AD308" si="142">IF(D306=0,D307,D306)</f>
        <v>1.19</v>
      </c>
      <c r="E308" s="2250">
        <f t="shared" si="142"/>
        <v>1.39</v>
      </c>
      <c r="F308" s="2250">
        <f t="shared" si="142"/>
        <v>1.49</v>
      </c>
      <c r="G308" s="2250">
        <f t="shared" si="142"/>
        <v>1.68</v>
      </c>
      <c r="H308" s="2250">
        <f t="shared" si="142"/>
        <v>1.78</v>
      </c>
      <c r="I308" s="2250">
        <f t="shared" si="142"/>
        <v>1.68</v>
      </c>
      <c r="J308" s="2250">
        <f t="shared" si="142"/>
        <v>1.88</v>
      </c>
      <c r="K308" s="2250">
        <f t="shared" si="142"/>
        <v>1.98</v>
      </c>
      <c r="L308" s="2250">
        <f t="shared" si="142"/>
        <v>2.1800000000000002</v>
      </c>
      <c r="M308" s="2250">
        <f t="shared" si="142"/>
        <v>2.38</v>
      </c>
      <c r="N308" s="2250">
        <f t="shared" si="142"/>
        <v>2.57</v>
      </c>
      <c r="O308" s="2250">
        <f t="shared" si="142"/>
        <v>2.67</v>
      </c>
      <c r="P308" s="2250">
        <f t="shared" si="142"/>
        <v>3.07</v>
      </c>
      <c r="Q308" s="2250">
        <f t="shared" si="142"/>
        <v>3.07</v>
      </c>
      <c r="R308" s="2250">
        <f t="shared" si="142"/>
        <v>3.17</v>
      </c>
      <c r="S308" s="2250">
        <f t="shared" si="142"/>
        <v>3.56</v>
      </c>
      <c r="T308" s="2250">
        <f t="shared" si="142"/>
        <v>3.76</v>
      </c>
      <c r="U308" s="2250">
        <f t="shared" si="142"/>
        <v>3.86</v>
      </c>
      <c r="V308" s="2250">
        <f t="shared" si="142"/>
        <v>4.16</v>
      </c>
      <c r="W308" s="2250">
        <f t="shared" si="142"/>
        <v>4.46</v>
      </c>
      <c r="X308" s="2250">
        <f t="shared" si="142"/>
        <v>4.95</v>
      </c>
      <c r="Y308" s="2250">
        <f t="shared" si="142"/>
        <v>5.25</v>
      </c>
      <c r="Z308" s="2250">
        <f t="shared" si="142"/>
        <v>5.35</v>
      </c>
      <c r="AA308" s="2250">
        <f t="shared" si="142"/>
        <v>6.44</v>
      </c>
      <c r="AB308" s="2250">
        <f t="shared" si="142"/>
        <v>6.53</v>
      </c>
      <c r="AC308" s="2250">
        <f t="shared" si="142"/>
        <v>8.61</v>
      </c>
      <c r="AD308" s="2250">
        <f t="shared" si="142"/>
        <v>9.9</v>
      </c>
      <c r="AE308" s="2275"/>
      <c r="AF308" s="2275"/>
      <c r="AG308" s="2275"/>
      <c r="AH308" s="2275"/>
      <c r="AI308" s="2275"/>
      <c r="AJ308" s="2275"/>
      <c r="AK308" s="2275"/>
      <c r="AL308" s="2275"/>
      <c r="AM308" s="2275"/>
      <c r="AN308" s="2275"/>
      <c r="AO308" s="2275"/>
      <c r="AP308" s="2250"/>
      <c r="AQ308" s="2250"/>
      <c r="AR308" s="2250"/>
      <c r="AS308" s="2250"/>
      <c r="AT308" s="2250"/>
      <c r="AU308" s="2250"/>
      <c r="AV308" s="2250"/>
      <c r="AW308" s="2250"/>
      <c r="AX308" s="2250"/>
      <c r="AY308" s="2250"/>
      <c r="AZ308" s="2250"/>
      <c r="BA308" s="2250"/>
      <c r="BB308" s="2250"/>
      <c r="BC308" s="2250"/>
      <c r="BD308" s="2250"/>
      <c r="BE308" s="2250"/>
      <c r="BF308" s="2276"/>
      <c r="BG308" s="2276"/>
      <c r="BH308" s="2250"/>
      <c r="BI308" s="2275"/>
      <c r="BJ308" s="2275">
        <f>BJ242</f>
        <v>73.7</v>
      </c>
      <c r="BK308" s="2275">
        <f>HLOOKUP(BJ308,BL289:CL309,21,0)</f>
        <v>400</v>
      </c>
      <c r="BL308" s="2250">
        <f t="shared" ref="BL308:CL308" si="143">IF(BL306=0,BL307,BL306)</f>
        <v>1.19</v>
      </c>
      <c r="BM308" s="2250">
        <f t="shared" si="143"/>
        <v>1.39</v>
      </c>
      <c r="BN308" s="2250">
        <f t="shared" si="143"/>
        <v>1.49</v>
      </c>
      <c r="BO308" s="2250">
        <f t="shared" si="143"/>
        <v>1.68</v>
      </c>
      <c r="BP308" s="2250">
        <f t="shared" si="143"/>
        <v>1.78</v>
      </c>
      <c r="BQ308" s="2250">
        <f t="shared" si="143"/>
        <v>1.68</v>
      </c>
      <c r="BR308" s="2250">
        <f t="shared" si="143"/>
        <v>1.88</v>
      </c>
      <c r="BS308" s="2250">
        <f t="shared" si="143"/>
        <v>1.98</v>
      </c>
      <c r="BT308" s="2250">
        <f t="shared" si="143"/>
        <v>2.1800000000000002</v>
      </c>
      <c r="BU308" s="2250">
        <f t="shared" si="143"/>
        <v>2.38</v>
      </c>
      <c r="BV308" s="2250">
        <f t="shared" si="143"/>
        <v>2.57</v>
      </c>
      <c r="BW308" s="2250">
        <f t="shared" si="143"/>
        <v>2.67</v>
      </c>
      <c r="BX308" s="2250">
        <f t="shared" si="143"/>
        <v>3.07</v>
      </c>
      <c r="BY308" s="2250">
        <f t="shared" si="143"/>
        <v>3.07</v>
      </c>
      <c r="BZ308" s="2250">
        <f t="shared" si="143"/>
        <v>3.17</v>
      </c>
      <c r="CA308" s="2250">
        <f t="shared" si="143"/>
        <v>3.56</v>
      </c>
      <c r="CB308" s="2250">
        <f t="shared" si="143"/>
        <v>3.76</v>
      </c>
      <c r="CC308" s="2250">
        <f t="shared" si="143"/>
        <v>3.86</v>
      </c>
      <c r="CD308" s="2250">
        <f t="shared" si="143"/>
        <v>4.16</v>
      </c>
      <c r="CE308" s="2250">
        <f t="shared" si="143"/>
        <v>4.46</v>
      </c>
      <c r="CF308" s="2250">
        <f t="shared" si="143"/>
        <v>4.95</v>
      </c>
      <c r="CG308" s="2250">
        <f t="shared" si="143"/>
        <v>5.25</v>
      </c>
      <c r="CH308" s="2250">
        <f t="shared" si="143"/>
        <v>5.35</v>
      </c>
      <c r="CI308" s="2250">
        <f t="shared" si="143"/>
        <v>6.44</v>
      </c>
      <c r="CJ308" s="2250">
        <f t="shared" si="143"/>
        <v>6.53</v>
      </c>
      <c r="CK308" s="2250">
        <f t="shared" si="143"/>
        <v>8.61</v>
      </c>
      <c r="CL308" s="2250">
        <f t="shared" si="143"/>
        <v>9.9</v>
      </c>
      <c r="CM308" s="2275"/>
      <c r="CN308" s="2275"/>
      <c r="CO308" s="2275"/>
      <c r="CP308" s="2275"/>
      <c r="CQ308" s="2275"/>
      <c r="CR308" s="2275"/>
      <c r="CS308" s="2275"/>
      <c r="CT308" s="2275"/>
      <c r="CU308" s="2275"/>
      <c r="CV308" s="2275"/>
      <c r="CW308" s="2275"/>
      <c r="CX308" s="2250"/>
      <c r="CY308" s="2250"/>
      <c r="CZ308" s="2250"/>
      <c r="DA308" s="2250"/>
      <c r="DB308" s="2250"/>
      <c r="DC308" s="2250"/>
      <c r="DD308" s="2250"/>
      <c r="DE308" s="2250"/>
      <c r="DF308" s="2250"/>
      <c r="DG308" s="2250"/>
      <c r="DH308" s="2250"/>
      <c r="DI308" s="2250"/>
      <c r="DJ308" s="2250"/>
      <c r="DK308" s="2250"/>
      <c r="DL308" s="2250"/>
      <c r="DM308" s="2250"/>
      <c r="DN308" s="2250"/>
      <c r="DO308" s="2250"/>
      <c r="DP308" s="2250"/>
      <c r="DQ308" s="2277"/>
      <c r="DR308" s="2277"/>
      <c r="DS308" s="277"/>
      <c r="DW308" s="2275"/>
      <c r="DX308" s="2275">
        <f>DX242</f>
        <v>43.9</v>
      </c>
      <c r="DY308" s="2275">
        <f>HLOOKUP(DX308,DZ289:EZ309,21,0)</f>
        <v>400</v>
      </c>
      <c r="DZ308" s="2250">
        <f t="shared" ref="DZ308:EZ308" si="144">IF(DZ306=0,DZ307,DZ306)</f>
        <v>1.78</v>
      </c>
      <c r="EA308" s="2250">
        <f t="shared" si="144"/>
        <v>1.39</v>
      </c>
      <c r="EB308" s="2250">
        <f t="shared" si="144"/>
        <v>1.49</v>
      </c>
      <c r="EC308" s="2250">
        <f t="shared" si="144"/>
        <v>1.68</v>
      </c>
      <c r="ED308" s="2250">
        <f t="shared" si="144"/>
        <v>1.78</v>
      </c>
      <c r="EE308" s="2250">
        <f t="shared" si="144"/>
        <v>1.68</v>
      </c>
      <c r="EF308" s="2250">
        <f t="shared" si="144"/>
        <v>1.88</v>
      </c>
      <c r="EG308" s="2250">
        <f t="shared" si="144"/>
        <v>1.98</v>
      </c>
      <c r="EH308" s="2250">
        <f t="shared" si="144"/>
        <v>2.1800000000000002</v>
      </c>
      <c r="EI308" s="2250">
        <f t="shared" si="144"/>
        <v>2.38</v>
      </c>
      <c r="EJ308" s="2250">
        <f t="shared" si="144"/>
        <v>2.57</v>
      </c>
      <c r="EK308" s="2250">
        <f t="shared" si="144"/>
        <v>2.67</v>
      </c>
      <c r="EL308" s="2250">
        <f t="shared" si="144"/>
        <v>3.07</v>
      </c>
      <c r="EM308" s="2250">
        <f t="shared" si="144"/>
        <v>3.07</v>
      </c>
      <c r="EN308" s="2250">
        <f t="shared" si="144"/>
        <v>3.17</v>
      </c>
      <c r="EO308" s="2250">
        <f t="shared" si="144"/>
        <v>3.56</v>
      </c>
      <c r="EP308" s="2250">
        <f t="shared" si="144"/>
        <v>3.76</v>
      </c>
      <c r="EQ308" s="2250">
        <f t="shared" si="144"/>
        <v>3.86</v>
      </c>
      <c r="ER308" s="2250">
        <f t="shared" si="144"/>
        <v>4.16</v>
      </c>
      <c r="ES308" s="2250">
        <f t="shared" si="144"/>
        <v>4.46</v>
      </c>
      <c r="ET308" s="2250">
        <f t="shared" si="144"/>
        <v>4.95</v>
      </c>
      <c r="EU308" s="2250">
        <f t="shared" si="144"/>
        <v>5.25</v>
      </c>
      <c r="EV308" s="2250">
        <f t="shared" si="144"/>
        <v>5.35</v>
      </c>
      <c r="EW308" s="2250">
        <f t="shared" si="144"/>
        <v>6.44</v>
      </c>
      <c r="EX308" s="2250">
        <f t="shared" si="144"/>
        <v>6.53</v>
      </c>
      <c r="EY308" s="2250">
        <f t="shared" si="144"/>
        <v>8.61</v>
      </c>
      <c r="EZ308" s="2250">
        <f t="shared" si="144"/>
        <v>9.9</v>
      </c>
      <c r="FA308" s="2275"/>
      <c r="FB308" s="2275"/>
      <c r="FC308" s="2275"/>
      <c r="FD308" s="2275"/>
      <c r="FE308" s="2275"/>
      <c r="FF308" s="2275"/>
      <c r="FG308" s="2275"/>
      <c r="FH308" s="2275"/>
      <c r="FI308" s="2275"/>
      <c r="FJ308" s="2275"/>
      <c r="FK308" s="2275"/>
      <c r="FL308" s="2250"/>
      <c r="FM308" s="2250"/>
      <c r="FN308" s="2250"/>
      <c r="FO308" s="2250"/>
      <c r="FP308" s="2250"/>
      <c r="FQ308" s="2250"/>
      <c r="FR308" s="2250"/>
      <c r="FS308" s="2250"/>
      <c r="FT308" s="2250"/>
      <c r="FU308" s="2250"/>
      <c r="FV308" s="2250"/>
      <c r="FW308" s="2250"/>
      <c r="FX308" s="2250"/>
      <c r="FY308" s="2250"/>
      <c r="FZ308" s="2250"/>
      <c r="GA308" s="2250"/>
      <c r="GB308" s="2276"/>
      <c r="GC308" s="2276"/>
      <c r="GD308" s="2250"/>
      <c r="GE308" s="2275"/>
      <c r="GF308" s="2275">
        <f>GF242</f>
        <v>48.8</v>
      </c>
      <c r="GG308" s="2275">
        <f>HLOOKUP(GF308,GH289:HH309,21,0)</f>
        <v>400</v>
      </c>
      <c r="GH308" s="2250">
        <f t="shared" ref="GH308:HH308" si="145">IF(GH306=0,GH307,GH306)</f>
        <v>1.78</v>
      </c>
      <c r="GI308" s="2250">
        <f t="shared" si="145"/>
        <v>1.39</v>
      </c>
      <c r="GJ308" s="2250">
        <f t="shared" si="145"/>
        <v>1.49</v>
      </c>
      <c r="GK308" s="2250">
        <f t="shared" si="145"/>
        <v>1.68</v>
      </c>
      <c r="GL308" s="2250">
        <f t="shared" si="145"/>
        <v>1.78</v>
      </c>
      <c r="GM308" s="2250">
        <f t="shared" si="145"/>
        <v>1.68</v>
      </c>
      <c r="GN308" s="2250">
        <f t="shared" si="145"/>
        <v>1.88</v>
      </c>
      <c r="GO308" s="2250">
        <f t="shared" si="145"/>
        <v>1.98</v>
      </c>
      <c r="GP308" s="2250">
        <f t="shared" si="145"/>
        <v>2.1800000000000002</v>
      </c>
      <c r="GQ308" s="2250">
        <f t="shared" si="145"/>
        <v>2.38</v>
      </c>
      <c r="GR308" s="2250">
        <f t="shared" si="145"/>
        <v>2.57</v>
      </c>
      <c r="GS308" s="2250">
        <f t="shared" si="145"/>
        <v>2.67</v>
      </c>
      <c r="GT308" s="2250">
        <f t="shared" si="145"/>
        <v>3.07</v>
      </c>
      <c r="GU308" s="2250">
        <f t="shared" si="145"/>
        <v>3.07</v>
      </c>
      <c r="GV308" s="2250">
        <f t="shared" si="145"/>
        <v>3.17</v>
      </c>
      <c r="GW308" s="2250">
        <f t="shared" si="145"/>
        <v>3.56</v>
      </c>
      <c r="GX308" s="2250">
        <f t="shared" si="145"/>
        <v>3.76</v>
      </c>
      <c r="GY308" s="2250">
        <f t="shared" si="145"/>
        <v>3.86</v>
      </c>
      <c r="GZ308" s="2250">
        <f t="shared" si="145"/>
        <v>4.16</v>
      </c>
      <c r="HA308" s="2250">
        <f t="shared" si="145"/>
        <v>4.46</v>
      </c>
      <c r="HB308" s="2250">
        <f t="shared" si="145"/>
        <v>4.95</v>
      </c>
      <c r="HC308" s="2250">
        <f t="shared" si="145"/>
        <v>5.25</v>
      </c>
      <c r="HD308" s="2250">
        <f t="shared" si="145"/>
        <v>5.35</v>
      </c>
      <c r="HE308" s="2250">
        <f t="shared" si="145"/>
        <v>6.44</v>
      </c>
      <c r="HF308" s="2250">
        <f t="shared" si="145"/>
        <v>6.53</v>
      </c>
      <c r="HG308" s="2250">
        <f t="shared" si="145"/>
        <v>8.61</v>
      </c>
      <c r="HH308" s="2250">
        <f t="shared" si="145"/>
        <v>9.9</v>
      </c>
      <c r="HI308" s="2275"/>
      <c r="HJ308" s="2275"/>
      <c r="HK308" s="2275"/>
      <c r="HL308" s="2275"/>
      <c r="HM308" s="2275"/>
      <c r="HN308" s="2275"/>
      <c r="HO308" s="2275"/>
      <c r="HP308" s="2275"/>
      <c r="HQ308" s="2275"/>
      <c r="HR308" s="2275"/>
      <c r="HS308" s="2275"/>
      <c r="HT308" s="2250"/>
      <c r="HU308" s="2250"/>
      <c r="HV308" s="2250"/>
      <c r="HW308" s="2250"/>
      <c r="HX308" s="2250"/>
      <c r="HY308" s="2250"/>
      <c r="HZ308" s="2250"/>
      <c r="IA308" s="2250"/>
      <c r="IB308" s="2250"/>
      <c r="IC308" s="2250"/>
      <c r="ID308" s="2250"/>
      <c r="IE308" s="2250"/>
      <c r="IF308" s="2250"/>
      <c r="IG308" s="2250"/>
      <c r="IH308" s="2250"/>
      <c r="II308" s="2250"/>
      <c r="IJ308" s="2250"/>
      <c r="IK308" s="2250"/>
      <c r="IL308" s="2250"/>
      <c r="IN308" s="277"/>
      <c r="IO308" s="277"/>
    </row>
    <row r="309" spans="1:249" ht="21.95" customHeight="1">
      <c r="A309" s="2275"/>
      <c r="B309" s="2250"/>
      <c r="C309" s="2250" t="str">
        <f>IF(C307=AH305,IF(C308=AI305,"Right","Wrong"))</f>
        <v>Right</v>
      </c>
      <c r="D309" s="2250">
        <f>VLOOKUP(D308,D291:AE301,28,0)</f>
        <v>400</v>
      </c>
      <c r="E309" s="2250">
        <f>VLOOKUP(E308,E291:AE301,27,0)</f>
        <v>400</v>
      </c>
      <c r="F309" s="2250">
        <f>VLOOKUP(F308,F289:AE301,26,0)</f>
        <v>400</v>
      </c>
      <c r="G309" s="2250">
        <f>VLOOKUP(G308,G289:AE301,25,0)</f>
        <v>400</v>
      </c>
      <c r="H309" s="2250">
        <f>VLOOKUP(H308,H289:AE301,24,0)</f>
        <v>400</v>
      </c>
      <c r="I309" s="2250">
        <f>VLOOKUP(I308,I289:AE301,23,0)</f>
        <v>400</v>
      </c>
      <c r="J309" s="2250">
        <f>VLOOKUP(J308,J289:AE301,22,0)</f>
        <v>400</v>
      </c>
      <c r="K309" s="2250">
        <f>VLOOKUP(K308,K289:AE301,21,0)</f>
        <v>400</v>
      </c>
      <c r="L309" s="2250">
        <f>VLOOKUP(L308,L289:AE301,20,0)</f>
        <v>400</v>
      </c>
      <c r="M309" s="2250">
        <f>VLOOKUP(M308,M289:AE301,19,0)</f>
        <v>400</v>
      </c>
      <c r="N309" s="2250">
        <f>VLOOKUP(N308,N289:AE301,18,0)</f>
        <v>400</v>
      </c>
      <c r="O309" s="2250">
        <f>VLOOKUP(O308,O289:AE301,17,0)</f>
        <v>400</v>
      </c>
      <c r="P309" s="2250">
        <f>VLOOKUP(P308,P289:AE301,16,0)</f>
        <v>400</v>
      </c>
      <c r="Q309" s="2250">
        <f>VLOOKUP(Q308,Q289:AE301,15,0)</f>
        <v>400</v>
      </c>
      <c r="R309" s="2250">
        <f>VLOOKUP(R308,R289:AE301,14,0)</f>
        <v>400</v>
      </c>
      <c r="S309" s="2250">
        <f>VLOOKUP(S308,S289:AE301,13,0)</f>
        <v>400</v>
      </c>
      <c r="T309" s="2250">
        <f>VLOOKUP(T308,T289:AE301,12,0)</f>
        <v>400</v>
      </c>
      <c r="U309" s="2250">
        <f>VLOOKUP(U308,U289:AE301,11,0)</f>
        <v>400</v>
      </c>
      <c r="V309" s="2250">
        <f>VLOOKUP(V308,V289:AE301,10,0)</f>
        <v>400</v>
      </c>
      <c r="W309" s="2250">
        <f>VLOOKUP(W308,W289:AE301,9,0)</f>
        <v>400</v>
      </c>
      <c r="X309" s="2250">
        <f>VLOOKUP(X308,X289:AE301,8,0)</f>
        <v>400</v>
      </c>
      <c r="Y309" s="2250">
        <f>VLOOKUP(Y308,Y289:AE301,7,0)</f>
        <v>400</v>
      </c>
      <c r="Z309" s="2250">
        <f>VLOOKUP(Z308,Z289:AE301,6,0)</f>
        <v>400</v>
      </c>
      <c r="AA309" s="2250">
        <f>VLOOKUP(AA308,AA289:AE301,5,0)</f>
        <v>400</v>
      </c>
      <c r="AB309" s="2250">
        <f>VLOOKUP(AB308,AB289:AE301,4,0)</f>
        <v>400</v>
      </c>
      <c r="AC309" s="2250">
        <f>VLOOKUP(AC308,AC289:AE301,3,0)</f>
        <v>400</v>
      </c>
      <c r="AD309" s="2250">
        <f>VLOOKUP(AD308,AD289:AE301,2,0)</f>
        <v>400</v>
      </c>
      <c r="AE309" s="2275"/>
      <c r="AF309" s="2275"/>
      <c r="AG309" s="2275"/>
      <c r="AH309" s="2275"/>
      <c r="AI309" s="2275"/>
      <c r="AJ309" s="2275"/>
      <c r="AK309" s="2275"/>
      <c r="AL309" s="2275"/>
      <c r="AM309" s="2275"/>
      <c r="AN309" s="2275"/>
      <c r="AO309" s="2275"/>
      <c r="AP309" s="2250"/>
      <c r="AQ309" s="2250"/>
      <c r="AR309" s="2250"/>
      <c r="AS309" s="2250"/>
      <c r="AT309" s="2250"/>
      <c r="AU309" s="2250"/>
      <c r="AV309" s="2250"/>
      <c r="AW309" s="2250"/>
      <c r="AX309" s="2250"/>
      <c r="AY309" s="2250"/>
      <c r="AZ309" s="2250"/>
      <c r="BA309" s="2250"/>
      <c r="BB309" s="2250"/>
      <c r="BC309" s="2250"/>
      <c r="BD309" s="2250"/>
      <c r="BE309" s="2250"/>
      <c r="BF309" s="2276"/>
      <c r="BG309" s="2276"/>
      <c r="BH309" s="2250"/>
      <c r="BI309" s="2275"/>
      <c r="BJ309" s="2250"/>
      <c r="BK309" s="2250" t="str">
        <f>IF(BK307=CP305,IF(BK308=CQ305,"Right","Wrong"))</f>
        <v>Right</v>
      </c>
      <c r="BL309" s="2250">
        <f>VLOOKUP(BL308,BL291:CM301,28,0)</f>
        <v>400</v>
      </c>
      <c r="BM309" s="2250">
        <f>VLOOKUP(BM308,BM291:CM301,27,0)</f>
        <v>400</v>
      </c>
      <c r="BN309" s="2250">
        <f>VLOOKUP(BN308,BN289:CM301,26,0)</f>
        <v>400</v>
      </c>
      <c r="BO309" s="2250">
        <f>VLOOKUP(BO308,BO289:CM301,25,0)</f>
        <v>400</v>
      </c>
      <c r="BP309" s="2250">
        <f>VLOOKUP(BP308,BP289:CM301,24,0)</f>
        <v>400</v>
      </c>
      <c r="BQ309" s="2250">
        <f>VLOOKUP(BQ308,BQ289:CM301,23,0)</f>
        <v>400</v>
      </c>
      <c r="BR309" s="2250">
        <f>VLOOKUP(BR308,BR289:CM301,22,0)</f>
        <v>400</v>
      </c>
      <c r="BS309" s="2250">
        <f>VLOOKUP(BS308,BS289:CM301,21,0)</f>
        <v>400</v>
      </c>
      <c r="BT309" s="2250">
        <f>VLOOKUP(BT308,BT289:CM301,20,0)</f>
        <v>400</v>
      </c>
      <c r="BU309" s="2250">
        <f>VLOOKUP(BU308,BU289:CM301,19,0)</f>
        <v>400</v>
      </c>
      <c r="BV309" s="2250">
        <f>VLOOKUP(BV308,BV289:CM301,18,0)</f>
        <v>400</v>
      </c>
      <c r="BW309" s="2250">
        <f>VLOOKUP(BW308,BW289:CM301,17,0)</f>
        <v>400</v>
      </c>
      <c r="BX309" s="2250">
        <f>VLOOKUP(BX308,BX289:CM301,16,0)</f>
        <v>400</v>
      </c>
      <c r="BY309" s="2250">
        <f>VLOOKUP(BY308,BY289:CM301,15,0)</f>
        <v>400</v>
      </c>
      <c r="BZ309" s="2250">
        <f>VLOOKUP(BZ308,BZ289:CM301,14,0)</f>
        <v>400</v>
      </c>
      <c r="CA309" s="2250">
        <f>VLOOKUP(CA308,CA289:CM301,13,0)</f>
        <v>400</v>
      </c>
      <c r="CB309" s="2250">
        <f>VLOOKUP(CB308,CB289:CM301,12,0)</f>
        <v>400</v>
      </c>
      <c r="CC309" s="2250">
        <f>VLOOKUP(CC308,CC289:CM301,11,0)</f>
        <v>400</v>
      </c>
      <c r="CD309" s="2250">
        <f>VLOOKUP(CD308,CD289:CM301,10,0)</f>
        <v>400</v>
      </c>
      <c r="CE309" s="2250">
        <f>VLOOKUP(CE308,CE289:CM301,9,0)</f>
        <v>400</v>
      </c>
      <c r="CF309" s="2250">
        <f>VLOOKUP(CF308,CF289:CM301,8,0)</f>
        <v>400</v>
      </c>
      <c r="CG309" s="2250">
        <f>VLOOKUP(CG308,CG289:CM301,7,0)</f>
        <v>400</v>
      </c>
      <c r="CH309" s="2250">
        <f>VLOOKUP(CH308,CH289:CM301,6,0)</f>
        <v>400</v>
      </c>
      <c r="CI309" s="2250">
        <f>VLOOKUP(CI308,CI289:CM301,5,0)</f>
        <v>400</v>
      </c>
      <c r="CJ309" s="2250">
        <f>VLOOKUP(CJ308,CJ289:CM301,4,0)</f>
        <v>400</v>
      </c>
      <c r="CK309" s="2250">
        <f>VLOOKUP(CK308,CK289:CM301,3,0)</f>
        <v>400</v>
      </c>
      <c r="CL309" s="2250">
        <f>VLOOKUP(CL308,CL289:CM301,2,0)</f>
        <v>400</v>
      </c>
      <c r="CM309" s="2275"/>
      <c r="CN309" s="2275"/>
      <c r="CO309" s="2275"/>
      <c r="CP309" s="2275"/>
      <c r="CQ309" s="2275"/>
      <c r="CR309" s="2275"/>
      <c r="CS309" s="2275"/>
      <c r="CT309" s="2275"/>
      <c r="CU309" s="2275"/>
      <c r="CV309" s="2275"/>
      <c r="CW309" s="2275"/>
      <c r="CX309" s="2250"/>
      <c r="CY309" s="2250"/>
      <c r="CZ309" s="2250"/>
      <c r="DA309" s="2250"/>
      <c r="DB309" s="2250"/>
      <c r="DC309" s="2250"/>
      <c r="DD309" s="2250"/>
      <c r="DE309" s="2250"/>
      <c r="DF309" s="2250"/>
      <c r="DG309" s="2250"/>
      <c r="DH309" s="2250"/>
      <c r="DI309" s="2250"/>
      <c r="DJ309" s="2250"/>
      <c r="DK309" s="2250"/>
      <c r="DL309" s="2250"/>
      <c r="DM309" s="2250"/>
      <c r="DN309" s="2250"/>
      <c r="DO309" s="2250"/>
      <c r="DP309" s="2250"/>
      <c r="DQ309" s="2277"/>
      <c r="DR309" s="2277"/>
      <c r="DS309" s="277"/>
      <c r="DW309" s="2275"/>
      <c r="DX309" s="2250"/>
      <c r="DY309" s="2250" t="str">
        <f>IF(DY307=FD305,IF(DY308=FE305,"Right","Wrong"))</f>
        <v>Right</v>
      </c>
      <c r="DZ309" s="2250">
        <f>VLOOKUP(DZ308,DZ291:FA301,28,0)</f>
        <v>475</v>
      </c>
      <c r="EA309" s="2250">
        <f>VLOOKUP(EA308,EA291:FA301,27,0)</f>
        <v>400</v>
      </c>
      <c r="EB309" s="2250">
        <f>VLOOKUP(EB308,EB289:FA301,26,0)</f>
        <v>400</v>
      </c>
      <c r="EC309" s="2250">
        <f>VLOOKUP(EC308,EC289:FA301,25,0)</f>
        <v>400</v>
      </c>
      <c r="ED309" s="2250">
        <f>VLOOKUP(ED308,ED289:FA301,24,0)</f>
        <v>400</v>
      </c>
      <c r="EE309" s="2250">
        <f>VLOOKUP(EE308,EE289:FA301,23,0)</f>
        <v>400</v>
      </c>
      <c r="EF309" s="2250">
        <f>VLOOKUP(EF308,EF289:FA301,22,0)</f>
        <v>400</v>
      </c>
      <c r="EG309" s="2250">
        <f>VLOOKUP(EG308,EG289:FA301,21,0)</f>
        <v>400</v>
      </c>
      <c r="EH309" s="2250">
        <f>VLOOKUP(EH308,EH289:FA301,20,0)</f>
        <v>400</v>
      </c>
      <c r="EI309" s="2250">
        <f>VLOOKUP(EI308,EI289:FA301,19,0)</f>
        <v>400</v>
      </c>
      <c r="EJ309" s="2250">
        <f>VLOOKUP(EJ308,EJ289:FA301,18,0)</f>
        <v>400</v>
      </c>
      <c r="EK309" s="2250">
        <f>VLOOKUP(EK308,EK289:FA301,17,0)</f>
        <v>400</v>
      </c>
      <c r="EL309" s="2250">
        <f>VLOOKUP(EL308,EL289:FA301,16,0)</f>
        <v>400</v>
      </c>
      <c r="EM309" s="2250">
        <f>VLOOKUP(EM308,EM289:FA301,15,0)</f>
        <v>400</v>
      </c>
      <c r="EN309" s="2250">
        <f>VLOOKUP(EN308,EN289:FA301,14,0)</f>
        <v>400</v>
      </c>
      <c r="EO309" s="2250">
        <f>VLOOKUP(EO308,EO289:FA301,13,0)</f>
        <v>400</v>
      </c>
      <c r="EP309" s="2250">
        <f>VLOOKUP(EP308,EP289:FA301,12,0)</f>
        <v>400</v>
      </c>
      <c r="EQ309" s="2250">
        <f>VLOOKUP(EQ308,EQ289:FA301,11,0)</f>
        <v>400</v>
      </c>
      <c r="ER309" s="2250">
        <f>VLOOKUP(ER308,ER289:FA301,10,0)</f>
        <v>400</v>
      </c>
      <c r="ES309" s="2250">
        <f>VLOOKUP(ES308,ES289:FA301,9,0)</f>
        <v>400</v>
      </c>
      <c r="ET309" s="2250">
        <f>VLOOKUP(ET308,ET289:FA301,8,0)</f>
        <v>400</v>
      </c>
      <c r="EU309" s="2250">
        <f>VLOOKUP(EU308,EU289:FA301,7,0)</f>
        <v>400</v>
      </c>
      <c r="EV309" s="2250">
        <f>VLOOKUP(EV308,EV289:FA301,6,0)</f>
        <v>400</v>
      </c>
      <c r="EW309" s="2250">
        <f>VLOOKUP(EW308,EW289:FA301,5,0)</f>
        <v>400</v>
      </c>
      <c r="EX309" s="2250">
        <f>VLOOKUP(EX308,EX289:FA301,4,0)</f>
        <v>400</v>
      </c>
      <c r="EY309" s="2250">
        <f>VLOOKUP(EY308,EY289:FA301,3,0)</f>
        <v>400</v>
      </c>
      <c r="EZ309" s="2250">
        <f>VLOOKUP(EZ308,EZ289:FA301,2,0)</f>
        <v>400</v>
      </c>
      <c r="FA309" s="2275"/>
      <c r="FB309" s="2275"/>
      <c r="FC309" s="2275"/>
      <c r="FD309" s="2275"/>
      <c r="FE309" s="2275"/>
      <c r="FF309" s="2275"/>
      <c r="FG309" s="2275"/>
      <c r="FH309" s="2275"/>
      <c r="FI309" s="2275"/>
      <c r="FJ309" s="2275"/>
      <c r="FK309" s="2275"/>
      <c r="FL309" s="2250"/>
      <c r="FM309" s="2250"/>
      <c r="FN309" s="2250"/>
      <c r="FO309" s="2250"/>
      <c r="FP309" s="2250"/>
      <c r="FQ309" s="2250"/>
      <c r="FR309" s="2250"/>
      <c r="FS309" s="2250"/>
      <c r="FT309" s="2250"/>
      <c r="FU309" s="2250"/>
      <c r="FV309" s="2250"/>
      <c r="FW309" s="2250"/>
      <c r="FX309" s="2250"/>
      <c r="FY309" s="2250"/>
      <c r="FZ309" s="2250"/>
      <c r="GA309" s="2250"/>
      <c r="GB309" s="2276"/>
      <c r="GC309" s="2276"/>
      <c r="GD309" s="2250"/>
      <c r="GE309" s="2275"/>
      <c r="GF309" s="2250"/>
      <c r="GG309" s="2250" t="str">
        <f>IF(GG307=HL305,IF(GG308=HM305,"Right","Wrong"))</f>
        <v>Right</v>
      </c>
      <c r="GH309" s="2250">
        <f>VLOOKUP(GH308,GH291:HI301,28,0)</f>
        <v>475</v>
      </c>
      <c r="GI309" s="2250">
        <f>VLOOKUP(GI308,GI291:HI301,27,0)</f>
        <v>400</v>
      </c>
      <c r="GJ309" s="2250">
        <f>VLOOKUP(GJ308,GJ289:HI301,26,0)</f>
        <v>400</v>
      </c>
      <c r="GK309" s="2250">
        <f>VLOOKUP(GK308,GK289:HI301,25,0)</f>
        <v>400</v>
      </c>
      <c r="GL309" s="2250">
        <f>VLOOKUP(GL308,GL289:HI301,24,0)</f>
        <v>400</v>
      </c>
      <c r="GM309" s="2250">
        <f>VLOOKUP(GM308,GM289:HI301,23,0)</f>
        <v>400</v>
      </c>
      <c r="GN309" s="2250">
        <f>VLOOKUP(GN308,GN289:HI301,22,0)</f>
        <v>400</v>
      </c>
      <c r="GO309" s="2250">
        <f>VLOOKUP(GO308,GO289:HI301,21,0)</f>
        <v>400</v>
      </c>
      <c r="GP309" s="2250">
        <f>VLOOKUP(GP308,GP289:HI301,20,0)</f>
        <v>400</v>
      </c>
      <c r="GQ309" s="2250">
        <f>VLOOKUP(GQ308,GQ289:HI301,19,0)</f>
        <v>400</v>
      </c>
      <c r="GR309" s="2250">
        <f>VLOOKUP(GR308,GR289:HI301,18,0)</f>
        <v>400</v>
      </c>
      <c r="GS309" s="2250">
        <f>VLOOKUP(GS308,GS289:HI301,17,0)</f>
        <v>400</v>
      </c>
      <c r="GT309" s="2250">
        <f>VLOOKUP(GT308,GT289:HI301,16,0)</f>
        <v>400</v>
      </c>
      <c r="GU309" s="2250">
        <f>VLOOKUP(GU308,GU289:HI301,15,0)</f>
        <v>400</v>
      </c>
      <c r="GV309" s="2250">
        <f>VLOOKUP(GV308,GV289:HI301,14,0)</f>
        <v>400</v>
      </c>
      <c r="GW309" s="2250">
        <f>VLOOKUP(GW308,GW289:HI301,13,0)</f>
        <v>400</v>
      </c>
      <c r="GX309" s="2250">
        <f>VLOOKUP(GX308,GX289:HI301,12,0)</f>
        <v>400</v>
      </c>
      <c r="GY309" s="2250">
        <f>VLOOKUP(GY308,GY289:HI301,11,0)</f>
        <v>400</v>
      </c>
      <c r="GZ309" s="2250">
        <f>VLOOKUP(GZ308,GZ289:HI301,10,0)</f>
        <v>400</v>
      </c>
      <c r="HA309" s="2250">
        <f>VLOOKUP(HA308,HA289:HI301,9,0)</f>
        <v>400</v>
      </c>
      <c r="HB309" s="2250">
        <f>VLOOKUP(HB308,HB289:HI301,8,0)</f>
        <v>400</v>
      </c>
      <c r="HC309" s="2250">
        <f>VLOOKUP(HC308,HC289:HI301,7,0)</f>
        <v>400</v>
      </c>
      <c r="HD309" s="2250">
        <f>VLOOKUP(HD308,HD289:HI301,6,0)</f>
        <v>400</v>
      </c>
      <c r="HE309" s="2250">
        <f>VLOOKUP(HE308,HE289:HI301,5,0)</f>
        <v>400</v>
      </c>
      <c r="HF309" s="2250">
        <f>VLOOKUP(HF308,HF289:HI301,4,0)</f>
        <v>400</v>
      </c>
      <c r="HG309" s="2250">
        <f>VLOOKUP(HG308,HG289:HI301,3,0)</f>
        <v>400</v>
      </c>
      <c r="HH309" s="2250">
        <f>VLOOKUP(HH308,HH289:HI301,2,0)</f>
        <v>400</v>
      </c>
      <c r="HI309" s="2275"/>
      <c r="HJ309" s="2275"/>
      <c r="HK309" s="2275"/>
      <c r="HL309" s="2275"/>
      <c r="HM309" s="2275"/>
      <c r="HN309" s="2275"/>
      <c r="HO309" s="2275"/>
      <c r="HP309" s="2275"/>
      <c r="HQ309" s="2275"/>
      <c r="HR309" s="2275"/>
      <c r="HS309" s="2275"/>
      <c r="HT309" s="2250"/>
      <c r="HU309" s="2250"/>
      <c r="HV309" s="2250"/>
      <c r="HW309" s="2250"/>
      <c r="HX309" s="2250"/>
      <c r="HY309" s="2250"/>
      <c r="HZ309" s="2250"/>
      <c r="IA309" s="2250"/>
      <c r="IB309" s="2250"/>
      <c r="IC309" s="2250"/>
      <c r="ID309" s="2250"/>
      <c r="IE309" s="2250"/>
      <c r="IF309" s="2250"/>
      <c r="IG309" s="2250"/>
      <c r="IH309" s="2250"/>
      <c r="II309" s="2250"/>
      <c r="IJ309" s="2250"/>
      <c r="IK309" s="2250"/>
      <c r="IL309" s="2250"/>
      <c r="IN309" s="277"/>
      <c r="IO309" s="277"/>
    </row>
    <row r="310" spans="1:249" ht="21.95" customHeight="1">
      <c r="A310" s="2275"/>
      <c r="B310" s="2275"/>
      <c r="C310" s="2275"/>
      <c r="D310" s="2275"/>
      <c r="E310" s="2275"/>
      <c r="F310" s="2275"/>
      <c r="G310" s="2275"/>
      <c r="H310" s="2275"/>
      <c r="I310" s="2275"/>
      <c r="J310" s="2275"/>
      <c r="K310" s="2275"/>
      <c r="L310" s="2275"/>
      <c r="M310" s="2275"/>
      <c r="N310" s="2275"/>
      <c r="O310" s="2275"/>
      <c r="P310" s="2275"/>
      <c r="Q310" s="2275"/>
      <c r="R310" s="2275"/>
      <c r="S310" s="2275"/>
      <c r="T310" s="2275"/>
      <c r="U310" s="2275"/>
      <c r="V310" s="2275"/>
      <c r="W310" s="2275"/>
      <c r="X310" s="2275"/>
      <c r="Y310" s="2275"/>
      <c r="Z310" s="2275"/>
      <c r="AA310" s="2275"/>
      <c r="AB310" s="2275"/>
      <c r="AC310" s="2275"/>
      <c r="AD310" s="2275"/>
      <c r="AE310" s="2275"/>
      <c r="AF310" s="2275"/>
      <c r="AG310" s="2275"/>
      <c r="AH310" s="2275"/>
      <c r="AI310" s="2275"/>
      <c r="AJ310" s="2275"/>
      <c r="AK310" s="2275"/>
      <c r="AL310" s="2275"/>
      <c r="AM310" s="2275"/>
      <c r="AN310" s="2275"/>
      <c r="AO310" s="2275"/>
      <c r="AP310" s="2250"/>
      <c r="AQ310" s="2250"/>
      <c r="AR310" s="2250"/>
      <c r="AS310" s="2250"/>
      <c r="AT310" s="2250"/>
      <c r="AU310" s="2250"/>
      <c r="AV310" s="2250"/>
      <c r="AW310" s="2250"/>
      <c r="AX310" s="2250"/>
      <c r="AY310" s="2250"/>
      <c r="AZ310" s="2250"/>
      <c r="BA310" s="2250"/>
      <c r="BB310" s="2250"/>
      <c r="BC310" s="2250"/>
      <c r="BD310" s="2250"/>
      <c r="BE310" s="2250"/>
      <c r="BF310" s="2276"/>
      <c r="BG310" s="2276"/>
      <c r="BH310" s="2250"/>
      <c r="BI310" s="2275"/>
      <c r="BJ310" s="2275"/>
      <c r="BK310" s="2275"/>
      <c r="BL310" s="2275"/>
      <c r="BM310" s="2275"/>
      <c r="BN310" s="2275"/>
      <c r="BO310" s="2275"/>
      <c r="BP310" s="2275"/>
      <c r="BQ310" s="2275"/>
      <c r="BR310" s="2275"/>
      <c r="BS310" s="2275"/>
      <c r="BT310" s="2275"/>
      <c r="BU310" s="2275"/>
      <c r="BV310" s="2275"/>
      <c r="BW310" s="2275"/>
      <c r="BX310" s="2275"/>
      <c r="BY310" s="2275"/>
      <c r="BZ310" s="2275"/>
      <c r="CA310" s="2275"/>
      <c r="CB310" s="2275"/>
      <c r="CC310" s="2275"/>
      <c r="CD310" s="2275"/>
      <c r="CE310" s="2275"/>
      <c r="CF310" s="2275"/>
      <c r="CG310" s="2275"/>
      <c r="CH310" s="2275"/>
      <c r="CI310" s="2275"/>
      <c r="CJ310" s="2275"/>
      <c r="CK310" s="2275"/>
      <c r="CL310" s="2275"/>
      <c r="CM310" s="2275"/>
      <c r="CN310" s="2275"/>
      <c r="CO310" s="2275"/>
      <c r="CP310" s="2275"/>
      <c r="CQ310" s="2275"/>
      <c r="CR310" s="2275"/>
      <c r="CS310" s="2275"/>
      <c r="CT310" s="2275"/>
      <c r="CU310" s="2275"/>
      <c r="CV310" s="2275"/>
      <c r="CW310" s="2275"/>
      <c r="CX310" s="2250"/>
      <c r="CY310" s="2250"/>
      <c r="CZ310" s="2250"/>
      <c r="DA310" s="2250"/>
      <c r="DB310" s="2250"/>
      <c r="DC310" s="2250"/>
      <c r="DD310" s="2250"/>
      <c r="DE310" s="2250"/>
      <c r="DF310" s="2250"/>
      <c r="DG310" s="2250"/>
      <c r="DH310" s="2250"/>
      <c r="DI310" s="2250"/>
      <c r="DJ310" s="2250"/>
      <c r="DK310" s="2250"/>
      <c r="DL310" s="2250"/>
      <c r="DM310" s="2250"/>
      <c r="DN310" s="2250"/>
      <c r="DO310" s="2250"/>
      <c r="DP310" s="2250"/>
      <c r="DQ310" s="2277"/>
      <c r="DR310" s="2277"/>
      <c r="DS310" s="277"/>
      <c r="DW310" s="2275"/>
      <c r="DX310" s="2275"/>
      <c r="DY310" s="2275"/>
      <c r="DZ310" s="2275"/>
      <c r="EA310" s="2275"/>
      <c r="EB310" s="2275"/>
      <c r="EC310" s="2275"/>
      <c r="ED310" s="2275"/>
      <c r="EE310" s="2275"/>
      <c r="EF310" s="2275"/>
      <c r="EG310" s="2275"/>
      <c r="EH310" s="2275"/>
      <c r="EI310" s="2275"/>
      <c r="EJ310" s="2275"/>
      <c r="EK310" s="2275"/>
      <c r="EL310" s="2275"/>
      <c r="EM310" s="2275"/>
      <c r="EN310" s="2275"/>
      <c r="EO310" s="2275"/>
      <c r="EP310" s="2275"/>
      <c r="EQ310" s="2275"/>
      <c r="ER310" s="2275"/>
      <c r="ES310" s="2275"/>
      <c r="ET310" s="2275"/>
      <c r="EU310" s="2275"/>
      <c r="EV310" s="2275"/>
      <c r="EW310" s="2275"/>
      <c r="EX310" s="2275"/>
      <c r="EY310" s="2275"/>
      <c r="EZ310" s="2275"/>
      <c r="FA310" s="2275"/>
      <c r="FB310" s="2275"/>
      <c r="FC310" s="2275"/>
      <c r="FD310" s="2275"/>
      <c r="FE310" s="2275"/>
      <c r="FF310" s="2275"/>
      <c r="FG310" s="2275"/>
      <c r="FH310" s="2275"/>
      <c r="FI310" s="2275"/>
      <c r="FJ310" s="2275"/>
      <c r="FK310" s="2275"/>
      <c r="FL310" s="2250"/>
      <c r="FM310" s="2250"/>
      <c r="FN310" s="2250"/>
      <c r="FO310" s="2250"/>
      <c r="FP310" s="2250"/>
      <c r="FQ310" s="2250"/>
      <c r="FR310" s="2250"/>
      <c r="FS310" s="2250"/>
      <c r="FT310" s="2250"/>
      <c r="FU310" s="2250"/>
      <c r="FV310" s="2250"/>
      <c r="FW310" s="2250"/>
      <c r="FX310" s="2250"/>
      <c r="FY310" s="2250"/>
      <c r="FZ310" s="2250"/>
      <c r="GA310" s="2250"/>
      <c r="GB310" s="2276"/>
      <c r="GC310" s="2276"/>
      <c r="GD310" s="2250"/>
      <c r="GE310" s="2275"/>
      <c r="GF310" s="2275"/>
      <c r="GG310" s="2275"/>
      <c r="GH310" s="2275"/>
      <c r="GI310" s="2275"/>
      <c r="GJ310" s="2275"/>
      <c r="GK310" s="2275"/>
      <c r="GL310" s="2275"/>
      <c r="GM310" s="2275"/>
      <c r="GN310" s="2275"/>
      <c r="GO310" s="2275"/>
      <c r="GP310" s="2275"/>
      <c r="GQ310" s="2275"/>
      <c r="GR310" s="2275"/>
      <c r="GS310" s="2275"/>
      <c r="GT310" s="2275"/>
      <c r="GU310" s="2275"/>
      <c r="GV310" s="2275"/>
      <c r="GW310" s="2275"/>
      <c r="GX310" s="2275"/>
      <c r="GY310" s="2275"/>
      <c r="GZ310" s="2275"/>
      <c r="HA310" s="2275"/>
      <c r="HB310" s="2275"/>
      <c r="HC310" s="2275"/>
      <c r="HD310" s="2275"/>
      <c r="HE310" s="2275"/>
      <c r="HF310" s="2275"/>
      <c r="HG310" s="2275"/>
      <c r="HH310" s="2275"/>
      <c r="HI310" s="2275"/>
      <c r="HJ310" s="2275"/>
      <c r="HK310" s="2275"/>
      <c r="HL310" s="2275"/>
      <c r="HM310" s="2275"/>
      <c r="HN310" s="2275"/>
      <c r="HO310" s="2275"/>
      <c r="HP310" s="2275"/>
      <c r="HQ310" s="2275"/>
      <c r="HR310" s="2275"/>
      <c r="HS310" s="2275"/>
      <c r="HT310" s="2250"/>
      <c r="HU310" s="2250"/>
      <c r="HV310" s="2250"/>
      <c r="HW310" s="2250"/>
      <c r="HX310" s="2250"/>
      <c r="HY310" s="2250"/>
      <c r="HZ310" s="2250"/>
      <c r="IA310" s="2250"/>
      <c r="IB310" s="2250"/>
      <c r="IC310" s="2250"/>
      <c r="ID310" s="2250"/>
      <c r="IE310" s="2250"/>
      <c r="IF310" s="2250"/>
      <c r="IG310" s="2250"/>
      <c r="IH310" s="2250"/>
      <c r="II310" s="2250"/>
      <c r="IJ310" s="2250"/>
      <c r="IK310" s="2250"/>
      <c r="IL310" s="2250"/>
      <c r="IN310" s="277"/>
      <c r="IO310" s="277"/>
    </row>
    <row r="311" spans="1:249" ht="21.95" customHeight="1">
      <c r="A311" s="2275"/>
      <c r="B311" s="2275"/>
      <c r="C311" s="2275"/>
      <c r="D311" s="2275"/>
      <c r="E311" s="2275"/>
      <c r="F311" s="2275"/>
      <c r="G311" s="2275"/>
      <c r="H311" s="2275"/>
      <c r="I311" s="2275"/>
      <c r="J311" s="2275"/>
      <c r="K311" s="2275"/>
      <c r="L311" s="2275"/>
      <c r="M311" s="2275"/>
      <c r="N311" s="2275"/>
      <c r="O311" s="2275"/>
      <c r="P311" s="2275"/>
      <c r="Q311" s="2275"/>
      <c r="R311" s="2275"/>
      <c r="S311" s="2275"/>
      <c r="T311" s="2275"/>
      <c r="U311" s="2275"/>
      <c r="V311" s="2275"/>
      <c r="W311" s="2275"/>
      <c r="X311" s="2275"/>
      <c r="Y311" s="2275"/>
      <c r="Z311" s="2275"/>
      <c r="AA311" s="2275"/>
      <c r="AB311" s="2275"/>
      <c r="AC311" s="2275"/>
      <c r="AD311" s="2275"/>
      <c r="AE311" s="2275"/>
      <c r="AF311" s="2275"/>
      <c r="AG311" s="2275"/>
      <c r="AH311" s="2275"/>
      <c r="AI311" s="2275"/>
      <c r="AJ311" s="2275"/>
      <c r="AK311" s="2275"/>
      <c r="AL311" s="2275"/>
      <c r="AM311" s="2275"/>
      <c r="AN311" s="2275"/>
      <c r="AO311" s="2275"/>
      <c r="AP311" s="2250"/>
      <c r="AQ311" s="2250"/>
      <c r="AR311" s="2250"/>
      <c r="AS311" s="2250"/>
      <c r="AT311" s="2250"/>
      <c r="AU311" s="2250"/>
      <c r="AV311" s="2250"/>
      <c r="AW311" s="2250"/>
      <c r="AX311" s="2250"/>
      <c r="AY311" s="2250"/>
      <c r="AZ311" s="2250"/>
      <c r="BA311" s="2250"/>
      <c r="BB311" s="2250"/>
      <c r="BC311" s="2250"/>
      <c r="BD311" s="2250"/>
      <c r="BE311" s="2250"/>
      <c r="BF311" s="2276"/>
      <c r="BG311" s="2276"/>
      <c r="BH311" s="2250"/>
      <c r="BI311" s="2275"/>
      <c r="BJ311" s="2275"/>
      <c r="BK311" s="2275"/>
      <c r="BL311" s="2275"/>
      <c r="BM311" s="2275"/>
      <c r="BN311" s="2275"/>
      <c r="BO311" s="2275"/>
      <c r="BP311" s="2275"/>
      <c r="BQ311" s="2275"/>
      <c r="BR311" s="2275"/>
      <c r="BS311" s="2275"/>
      <c r="BT311" s="2275"/>
      <c r="BU311" s="2275"/>
      <c r="BV311" s="2275"/>
      <c r="BW311" s="2275"/>
      <c r="BX311" s="2275"/>
      <c r="BY311" s="2275"/>
      <c r="BZ311" s="2275"/>
      <c r="CA311" s="2275"/>
      <c r="CB311" s="2275"/>
      <c r="CC311" s="2275"/>
      <c r="CD311" s="2275"/>
      <c r="CE311" s="2275"/>
      <c r="CF311" s="2275"/>
      <c r="CG311" s="2275"/>
      <c r="CH311" s="2275"/>
      <c r="CI311" s="2275"/>
      <c r="CJ311" s="2275"/>
      <c r="CK311" s="2275"/>
      <c r="CL311" s="2275"/>
      <c r="CM311" s="2275"/>
      <c r="CN311" s="2275"/>
      <c r="CO311" s="2275"/>
      <c r="CP311" s="2275"/>
      <c r="CQ311" s="2275"/>
      <c r="CR311" s="2275"/>
      <c r="CS311" s="2275"/>
      <c r="CT311" s="2275"/>
      <c r="CU311" s="2275"/>
      <c r="CV311" s="2275"/>
      <c r="CW311" s="2275"/>
      <c r="CX311" s="2250"/>
      <c r="CY311" s="2250"/>
      <c r="CZ311" s="2250"/>
      <c r="DA311" s="2250"/>
      <c r="DB311" s="2250"/>
      <c r="DC311" s="2250"/>
      <c r="DD311" s="2250"/>
      <c r="DE311" s="2250"/>
      <c r="DF311" s="2250"/>
      <c r="DG311" s="2250"/>
      <c r="DH311" s="2250"/>
      <c r="DI311" s="2250"/>
      <c r="DJ311" s="2250"/>
      <c r="DK311" s="2250"/>
      <c r="DL311" s="2250"/>
      <c r="DM311" s="2250"/>
      <c r="DN311" s="2250"/>
      <c r="DO311" s="2250"/>
      <c r="DP311" s="2250"/>
      <c r="DQ311" s="2277"/>
      <c r="DR311" s="2277"/>
      <c r="DS311" s="277"/>
      <c r="DW311" s="2275"/>
      <c r="DX311" s="2275"/>
      <c r="DY311" s="2275"/>
      <c r="DZ311" s="2275"/>
      <c r="EA311" s="2275"/>
      <c r="EB311" s="2275"/>
      <c r="EC311" s="2275"/>
      <c r="ED311" s="2275"/>
      <c r="EE311" s="2275"/>
      <c r="EF311" s="2275"/>
      <c r="EG311" s="2275"/>
      <c r="EH311" s="2275"/>
      <c r="EI311" s="2275"/>
      <c r="EJ311" s="2275"/>
      <c r="EK311" s="2275"/>
      <c r="EL311" s="2275"/>
      <c r="EM311" s="2275"/>
      <c r="EN311" s="2275"/>
      <c r="EO311" s="2275"/>
      <c r="EP311" s="2275"/>
      <c r="EQ311" s="2275"/>
      <c r="ER311" s="2275"/>
      <c r="ES311" s="2275"/>
      <c r="ET311" s="2275"/>
      <c r="EU311" s="2275"/>
      <c r="EV311" s="2275"/>
      <c r="EW311" s="2275"/>
      <c r="EX311" s="2275"/>
      <c r="EY311" s="2275"/>
      <c r="EZ311" s="2275"/>
      <c r="FA311" s="2275"/>
      <c r="FB311" s="2275"/>
      <c r="FC311" s="2275"/>
      <c r="FD311" s="2275"/>
      <c r="FE311" s="2275"/>
      <c r="FF311" s="2275"/>
      <c r="FG311" s="2275"/>
      <c r="FH311" s="2275"/>
      <c r="FI311" s="2275"/>
      <c r="FJ311" s="2275"/>
      <c r="FK311" s="2275"/>
      <c r="FL311" s="2250"/>
      <c r="FM311" s="2250"/>
      <c r="FN311" s="2250"/>
      <c r="FO311" s="2250"/>
      <c r="FP311" s="2250"/>
      <c r="FQ311" s="2250"/>
      <c r="FR311" s="2250"/>
      <c r="FS311" s="2250"/>
      <c r="FT311" s="2250"/>
      <c r="FU311" s="2250"/>
      <c r="FV311" s="2250"/>
      <c r="FW311" s="2250"/>
      <c r="FX311" s="2250"/>
      <c r="FY311" s="2250"/>
      <c r="FZ311" s="2250"/>
      <c r="GA311" s="2250"/>
      <c r="GB311" s="2276"/>
      <c r="GC311" s="2276"/>
      <c r="GD311" s="2250"/>
      <c r="GE311" s="2275"/>
      <c r="GF311" s="2275"/>
      <c r="GG311" s="2275"/>
      <c r="GH311" s="2275"/>
      <c r="GI311" s="2275"/>
      <c r="GJ311" s="2275"/>
      <c r="GK311" s="2275"/>
      <c r="GL311" s="2275"/>
      <c r="GM311" s="2275"/>
      <c r="GN311" s="2275"/>
      <c r="GO311" s="2275"/>
      <c r="GP311" s="2275"/>
      <c r="GQ311" s="2275"/>
      <c r="GR311" s="2275"/>
      <c r="GS311" s="2275"/>
      <c r="GT311" s="2275"/>
      <c r="GU311" s="2275"/>
      <c r="GV311" s="2275"/>
      <c r="GW311" s="2275"/>
      <c r="GX311" s="2275"/>
      <c r="GY311" s="2275"/>
      <c r="GZ311" s="2275"/>
      <c r="HA311" s="2275"/>
      <c r="HB311" s="2275"/>
      <c r="HC311" s="2275"/>
      <c r="HD311" s="2275"/>
      <c r="HE311" s="2275"/>
      <c r="HF311" s="2275"/>
      <c r="HG311" s="2275"/>
      <c r="HH311" s="2275"/>
      <c r="HI311" s="2275"/>
      <c r="HJ311" s="2275"/>
      <c r="HK311" s="2275"/>
      <c r="HL311" s="2275"/>
      <c r="HM311" s="2275"/>
      <c r="HN311" s="2275"/>
      <c r="HO311" s="2275"/>
      <c r="HP311" s="2275"/>
      <c r="HQ311" s="2275"/>
      <c r="HR311" s="2275"/>
      <c r="HS311" s="2275"/>
      <c r="HT311" s="2250"/>
      <c r="HU311" s="2250"/>
      <c r="HV311" s="2250"/>
      <c r="HW311" s="2250"/>
      <c r="HX311" s="2250"/>
      <c r="HY311" s="2250"/>
      <c r="HZ311" s="2250"/>
      <c r="IA311" s="2250"/>
      <c r="IB311" s="2250"/>
      <c r="IC311" s="2250"/>
      <c r="ID311" s="2250"/>
      <c r="IE311" s="2250"/>
      <c r="IF311" s="2250"/>
      <c r="IG311" s="2250"/>
      <c r="IH311" s="2250"/>
      <c r="II311" s="2250"/>
      <c r="IJ311" s="2250"/>
      <c r="IK311" s="2250"/>
      <c r="IL311" s="2250"/>
      <c r="IN311" s="277"/>
      <c r="IO311" s="277"/>
    </row>
    <row r="312" spans="1:249" ht="21.95" customHeight="1" thickBot="1">
      <c r="A312" s="2275"/>
      <c r="B312" s="2275"/>
      <c r="C312" s="2275"/>
      <c r="D312" s="2275"/>
      <c r="E312" s="2275"/>
      <c r="F312" s="2275"/>
      <c r="G312" s="2275"/>
      <c r="H312" s="2275"/>
      <c r="I312" s="2275"/>
      <c r="J312" s="2275"/>
      <c r="K312" s="2275"/>
      <c r="L312" s="2275"/>
      <c r="M312" s="2275"/>
      <c r="N312" s="2275"/>
      <c r="O312" s="2275"/>
      <c r="P312" s="2275"/>
      <c r="Q312" s="2275"/>
      <c r="R312" s="2275"/>
      <c r="S312" s="2275"/>
      <c r="T312" s="2275"/>
      <c r="U312" s="2275"/>
      <c r="V312" s="2275"/>
      <c r="W312" s="2275"/>
      <c r="X312" s="2275"/>
      <c r="Y312" s="2275"/>
      <c r="Z312" s="2275"/>
      <c r="AA312" s="2275"/>
      <c r="AB312" s="2275"/>
      <c r="AC312" s="2275"/>
      <c r="AD312" s="2275"/>
      <c r="AE312" s="2275"/>
      <c r="AF312" s="2275"/>
      <c r="AG312" s="2275"/>
      <c r="AH312" s="2275"/>
      <c r="AI312" s="2275"/>
      <c r="AJ312" s="2275"/>
      <c r="AK312" s="2275"/>
      <c r="AL312" s="2275"/>
      <c r="AM312" s="2275"/>
      <c r="AN312" s="2275"/>
      <c r="AO312" s="2275"/>
      <c r="AP312" s="2250"/>
      <c r="AQ312" s="2250"/>
      <c r="AR312" s="2250"/>
      <c r="AS312" s="2250"/>
      <c r="AT312" s="2250"/>
      <c r="AU312" s="2250"/>
      <c r="AV312" s="2250"/>
      <c r="AW312" s="2250"/>
      <c r="AX312" s="2250"/>
      <c r="AY312" s="2250"/>
      <c r="AZ312" s="2250"/>
      <c r="BA312" s="2250"/>
      <c r="BB312" s="2250"/>
      <c r="BC312" s="2250"/>
      <c r="BD312" s="2250"/>
      <c r="BE312" s="2250"/>
      <c r="BF312" s="2276"/>
      <c r="BG312" s="2276"/>
      <c r="BH312" s="2250"/>
      <c r="BI312" s="2275"/>
      <c r="BJ312" s="2275"/>
      <c r="BK312" s="2275"/>
      <c r="BL312" s="2275"/>
      <c r="BM312" s="2275"/>
      <c r="BN312" s="2275"/>
      <c r="BO312" s="2275"/>
      <c r="BP312" s="2275"/>
      <c r="BQ312" s="2275"/>
      <c r="BR312" s="2275"/>
      <c r="BS312" s="2275"/>
      <c r="BT312" s="2275"/>
      <c r="BU312" s="2275"/>
      <c r="BV312" s="2275"/>
      <c r="BW312" s="2275"/>
      <c r="BX312" s="2275"/>
      <c r="BY312" s="2275"/>
      <c r="BZ312" s="2275"/>
      <c r="CA312" s="2275"/>
      <c r="CB312" s="2275"/>
      <c r="CC312" s="2275"/>
      <c r="CD312" s="2275"/>
      <c r="CE312" s="2275"/>
      <c r="CF312" s="2275"/>
      <c r="CG312" s="2275"/>
      <c r="CH312" s="2275"/>
      <c r="CI312" s="2275"/>
      <c r="CJ312" s="2275"/>
      <c r="CK312" s="2275"/>
      <c r="CL312" s="2275"/>
      <c r="CM312" s="2275"/>
      <c r="CN312" s="2275"/>
      <c r="CO312" s="2275"/>
      <c r="CP312" s="2275"/>
      <c r="CQ312" s="2275"/>
      <c r="CR312" s="2275"/>
      <c r="CS312" s="2275"/>
      <c r="CT312" s="2275"/>
      <c r="CU312" s="2275"/>
      <c r="CV312" s="2275"/>
      <c r="CW312" s="2275"/>
      <c r="CX312" s="2250"/>
      <c r="CY312" s="2250"/>
      <c r="CZ312" s="2250"/>
      <c r="DA312" s="2250"/>
      <c r="DB312" s="2250"/>
      <c r="DC312" s="2250"/>
      <c r="DD312" s="2250"/>
      <c r="DE312" s="2250"/>
      <c r="DF312" s="2250"/>
      <c r="DG312" s="2250"/>
      <c r="DH312" s="2250"/>
      <c r="DI312" s="2250"/>
      <c r="DJ312" s="2250"/>
      <c r="DK312" s="2250"/>
      <c r="DL312" s="2250"/>
      <c r="DM312" s="2250"/>
      <c r="DN312" s="2250"/>
      <c r="DO312" s="2250"/>
      <c r="DP312" s="2250"/>
      <c r="DQ312" s="2277"/>
      <c r="DR312" s="2277"/>
      <c r="DS312" s="277"/>
      <c r="DW312" s="2275"/>
      <c r="DX312" s="2275"/>
      <c r="DY312" s="2275"/>
      <c r="DZ312" s="2275"/>
      <c r="EA312" s="2275"/>
      <c r="EB312" s="2275"/>
      <c r="EC312" s="2275"/>
      <c r="ED312" s="2275"/>
      <c r="EE312" s="2275"/>
      <c r="EF312" s="2275"/>
      <c r="EG312" s="2275"/>
      <c r="EH312" s="2275"/>
      <c r="EI312" s="2275"/>
      <c r="EJ312" s="2275"/>
      <c r="EK312" s="2275"/>
      <c r="EL312" s="2275"/>
      <c r="EM312" s="2275"/>
      <c r="EN312" s="2275"/>
      <c r="EO312" s="2275"/>
      <c r="EP312" s="2275"/>
      <c r="EQ312" s="2275"/>
      <c r="ER312" s="2275"/>
      <c r="ES312" s="2275"/>
      <c r="ET312" s="2275"/>
      <c r="EU312" s="2275"/>
      <c r="EV312" s="2275"/>
      <c r="EW312" s="2275"/>
      <c r="EX312" s="2275"/>
      <c r="EY312" s="2275"/>
      <c r="EZ312" s="2275"/>
      <c r="FA312" s="2275"/>
      <c r="FB312" s="2275"/>
      <c r="FC312" s="2275"/>
      <c r="FD312" s="2275"/>
      <c r="FE312" s="2275"/>
      <c r="FF312" s="2275"/>
      <c r="FG312" s="2275"/>
      <c r="FH312" s="2275"/>
      <c r="FI312" s="2275"/>
      <c r="FJ312" s="2275"/>
      <c r="FK312" s="2275"/>
      <c r="FL312" s="2250"/>
      <c r="FM312" s="2250"/>
      <c r="FN312" s="2250"/>
      <c r="FO312" s="2250"/>
      <c r="FP312" s="2250"/>
      <c r="FQ312" s="2250"/>
      <c r="FR312" s="2250"/>
      <c r="FS312" s="2250"/>
      <c r="FT312" s="2250"/>
      <c r="FU312" s="2250"/>
      <c r="FV312" s="2250"/>
      <c r="FW312" s="2250"/>
      <c r="FX312" s="2250"/>
      <c r="FY312" s="2250"/>
      <c r="FZ312" s="2250"/>
      <c r="GA312" s="2250"/>
      <c r="GB312" s="2276"/>
      <c r="GC312" s="2276"/>
      <c r="GD312" s="2250"/>
      <c r="GE312" s="2275"/>
      <c r="GF312" s="2275"/>
      <c r="GG312" s="2275"/>
      <c r="GH312" s="2275"/>
      <c r="GI312" s="2275"/>
      <c r="GJ312" s="2275"/>
      <c r="GK312" s="2275"/>
      <c r="GL312" s="2275"/>
      <c r="GM312" s="2275"/>
      <c r="GN312" s="2275"/>
      <c r="GO312" s="2275"/>
      <c r="GP312" s="2275"/>
      <c r="GQ312" s="2275"/>
      <c r="GR312" s="2275"/>
      <c r="GS312" s="2275"/>
      <c r="GT312" s="2275"/>
      <c r="GU312" s="2275"/>
      <c r="GV312" s="2275"/>
      <c r="GW312" s="2275"/>
      <c r="GX312" s="2275"/>
      <c r="GY312" s="2275"/>
      <c r="GZ312" s="2275"/>
      <c r="HA312" s="2275"/>
      <c r="HB312" s="2275"/>
      <c r="HC312" s="2275"/>
      <c r="HD312" s="2275"/>
      <c r="HE312" s="2275"/>
      <c r="HF312" s="2275"/>
      <c r="HG312" s="2275"/>
      <c r="HH312" s="2275"/>
      <c r="HI312" s="2275"/>
      <c r="HJ312" s="2275"/>
      <c r="HK312" s="2275"/>
      <c r="HL312" s="2275"/>
      <c r="HM312" s="2275"/>
      <c r="HN312" s="2275"/>
      <c r="HO312" s="2275"/>
      <c r="HP312" s="2275"/>
      <c r="HQ312" s="2275"/>
      <c r="HR312" s="2275"/>
      <c r="HS312" s="2275"/>
      <c r="HT312" s="2250"/>
      <c r="HU312" s="2250"/>
      <c r="HV312" s="2250"/>
      <c r="HW312" s="2250"/>
      <c r="HX312" s="2250"/>
      <c r="HY312" s="2250"/>
      <c r="HZ312" s="2250"/>
      <c r="IA312" s="2250"/>
      <c r="IB312" s="2250"/>
      <c r="IC312" s="2250"/>
      <c r="ID312" s="2250"/>
      <c r="IE312" s="2250"/>
      <c r="IF312" s="2250"/>
      <c r="IG312" s="2250"/>
      <c r="IH312" s="2250"/>
      <c r="II312" s="2250"/>
      <c r="IJ312" s="2250"/>
      <c r="IK312" s="2250"/>
      <c r="IL312" s="2250"/>
      <c r="IN312" s="277"/>
      <c r="IO312" s="277"/>
    </row>
    <row r="313" spans="1:249" ht="21.95" customHeight="1" thickBot="1">
      <c r="A313" s="4682" t="s">
        <v>2266</v>
      </c>
      <c r="B313" s="4689"/>
      <c r="C313" s="2295">
        <f>E143</f>
        <v>0.75631178540277322</v>
      </c>
      <c r="D313" s="1684"/>
      <c r="E313" s="2371"/>
      <c r="F313" s="2372"/>
      <c r="G313" s="1684"/>
      <c r="H313" s="1684"/>
      <c r="I313" s="1684"/>
      <c r="J313" s="1684"/>
      <c r="K313" s="1684"/>
      <c r="L313" s="1684"/>
      <c r="M313" s="1684"/>
      <c r="N313" s="1684"/>
      <c r="O313" s="1684"/>
      <c r="P313" s="1684"/>
      <c r="Q313" s="1684"/>
      <c r="R313" s="1684"/>
      <c r="S313" s="1684"/>
      <c r="T313" s="1684"/>
      <c r="U313" s="1684"/>
      <c r="V313" s="1684"/>
      <c r="W313" s="1684"/>
      <c r="X313" s="1684"/>
      <c r="Y313" s="1684"/>
      <c r="Z313" s="1684"/>
      <c r="AA313" s="1684"/>
      <c r="AB313" s="1684"/>
      <c r="AC313" s="1684"/>
      <c r="AD313" s="1684"/>
      <c r="AE313" s="1684"/>
      <c r="AF313" s="1684"/>
      <c r="AG313" s="1684"/>
      <c r="AH313" s="1684"/>
      <c r="AI313" s="1684"/>
      <c r="AJ313" s="1684"/>
      <c r="AK313" s="1684"/>
      <c r="AL313" s="1684"/>
      <c r="AM313" s="1684"/>
      <c r="AN313" s="2275"/>
      <c r="AO313" s="2275"/>
      <c r="AP313" s="2250"/>
      <c r="AQ313" s="2250"/>
      <c r="AR313" s="2250"/>
      <c r="AS313" s="2250"/>
      <c r="AT313" s="2250"/>
      <c r="AU313" s="2250"/>
      <c r="AV313" s="2250"/>
      <c r="AW313" s="2250"/>
      <c r="AX313" s="2250"/>
      <c r="AY313" s="2250"/>
      <c r="AZ313" s="2250"/>
      <c r="BA313" s="2250"/>
      <c r="BB313" s="2250"/>
      <c r="BC313" s="2250"/>
      <c r="BD313" s="2250"/>
      <c r="BE313" s="2250"/>
      <c r="BF313" s="2276"/>
      <c r="BG313" s="2276"/>
      <c r="BH313" s="2250"/>
      <c r="BI313" s="2275"/>
      <c r="BJ313" s="4682" t="s">
        <v>2266</v>
      </c>
      <c r="BK313" s="4689"/>
      <c r="BL313" s="2295">
        <f>CD140</f>
        <v>0.75631178540277322</v>
      </c>
      <c r="BM313" s="1684"/>
      <c r="BN313" s="2371"/>
      <c r="BO313" s="2372"/>
      <c r="BP313" s="1684"/>
      <c r="BQ313" s="1684"/>
      <c r="BR313" s="1684"/>
      <c r="BS313" s="1684"/>
      <c r="BT313" s="1684"/>
      <c r="BU313" s="1684"/>
      <c r="BV313" s="1684"/>
      <c r="BW313" s="1684"/>
      <c r="BX313" s="1684"/>
      <c r="BY313" s="1684"/>
      <c r="BZ313" s="1684"/>
      <c r="CA313" s="1684"/>
      <c r="CB313" s="1684"/>
      <c r="CC313" s="1684"/>
      <c r="CD313" s="1684"/>
      <c r="CE313" s="1684"/>
      <c r="CF313" s="1684"/>
      <c r="CG313" s="1684"/>
      <c r="CH313" s="1684"/>
      <c r="CI313" s="1684"/>
      <c r="CJ313" s="1684"/>
      <c r="CK313" s="1684"/>
      <c r="CL313" s="1684"/>
      <c r="CM313" s="1684"/>
      <c r="CN313" s="1684"/>
      <c r="CO313" s="1684"/>
      <c r="CP313" s="1684"/>
      <c r="CQ313" s="1684"/>
      <c r="CR313" s="1684"/>
      <c r="CS313" s="1684"/>
      <c r="CT313" s="1684"/>
      <c r="CU313" s="1684"/>
      <c r="CV313" s="1684"/>
      <c r="CW313" s="2275"/>
      <c r="CX313" s="2275"/>
      <c r="CY313" s="2250"/>
      <c r="CZ313" s="2250"/>
      <c r="DA313" s="2250"/>
      <c r="DB313" s="2250"/>
      <c r="DC313" s="2250"/>
      <c r="DD313" s="2250"/>
      <c r="DE313" s="2250"/>
      <c r="DF313" s="2250"/>
      <c r="DG313" s="2250"/>
      <c r="DH313" s="2250"/>
      <c r="DI313" s="2250"/>
      <c r="DJ313" s="2250"/>
      <c r="DK313" s="2250"/>
      <c r="DL313" s="2250"/>
      <c r="DM313" s="2250"/>
      <c r="DN313" s="2250"/>
      <c r="DO313" s="2250"/>
      <c r="DP313" s="2250"/>
      <c r="DQ313" s="2277"/>
      <c r="DR313" s="2277"/>
      <c r="DS313" s="277"/>
      <c r="DW313" s="4682" t="s">
        <v>2266</v>
      </c>
      <c r="DX313" s="4689"/>
      <c r="DY313" s="2295">
        <f>EA143</f>
        <v>1.3354563802212776</v>
      </c>
      <c r="DZ313" s="1684"/>
      <c r="EA313" s="2371"/>
      <c r="EB313" s="2372"/>
      <c r="EC313" s="1684"/>
      <c r="ED313" s="1684"/>
      <c r="EE313" s="1684"/>
      <c r="EF313" s="1684"/>
      <c r="EG313" s="1684"/>
      <c r="EH313" s="1684"/>
      <c r="EI313" s="1684"/>
      <c r="EJ313" s="1684"/>
      <c r="EK313" s="1684"/>
      <c r="EL313" s="1684"/>
      <c r="EM313" s="1684"/>
      <c r="EN313" s="1684"/>
      <c r="EO313" s="1684"/>
      <c r="EP313" s="1684"/>
      <c r="EQ313" s="1684"/>
      <c r="ER313" s="1684"/>
      <c r="ES313" s="1684"/>
      <c r="ET313" s="1684"/>
      <c r="EU313" s="1684"/>
      <c r="EV313" s="1684"/>
      <c r="EW313" s="1684"/>
      <c r="EX313" s="1684"/>
      <c r="EY313" s="1684"/>
      <c r="EZ313" s="1684"/>
      <c r="FA313" s="1684"/>
      <c r="FB313" s="1684"/>
      <c r="FC313" s="1684"/>
      <c r="FD313" s="1684"/>
      <c r="FE313" s="1684"/>
      <c r="FF313" s="1684"/>
      <c r="FG313" s="1684"/>
      <c r="FH313" s="1684"/>
      <c r="FI313" s="1684"/>
      <c r="FJ313" s="2275"/>
      <c r="FK313" s="2275"/>
      <c r="FL313" s="2250"/>
      <c r="FM313" s="2250"/>
      <c r="FN313" s="2250"/>
      <c r="FO313" s="2250"/>
      <c r="FP313" s="2250"/>
      <c r="FQ313" s="2250"/>
      <c r="FR313" s="2250"/>
      <c r="FS313" s="2250"/>
      <c r="FT313" s="2250"/>
      <c r="FU313" s="2250"/>
      <c r="FV313" s="2250"/>
      <c r="FW313" s="2250"/>
      <c r="FX313" s="2250"/>
      <c r="FY313" s="2250"/>
      <c r="FZ313" s="2250"/>
      <c r="GA313" s="2250"/>
      <c r="GB313" s="2276"/>
      <c r="GC313" s="2276"/>
      <c r="GD313" s="2250"/>
      <c r="GE313" s="2275"/>
      <c r="GF313" s="4682" t="s">
        <v>2266</v>
      </c>
      <c r="GG313" s="4689"/>
      <c r="GH313" s="2295">
        <f>GZ140</f>
        <v>1.3354563802212776</v>
      </c>
      <c r="GI313" s="1684"/>
      <c r="GJ313" s="2371"/>
      <c r="GK313" s="2372"/>
      <c r="GL313" s="1684"/>
      <c r="GM313" s="1684"/>
      <c r="GN313" s="1684"/>
      <c r="GO313" s="1684"/>
      <c r="GP313" s="1684"/>
      <c r="GQ313" s="1684"/>
      <c r="GR313" s="1684"/>
      <c r="GS313" s="1684"/>
      <c r="GT313" s="1684"/>
      <c r="GU313" s="1684"/>
      <c r="GV313" s="1684"/>
      <c r="GW313" s="1684"/>
      <c r="GX313" s="1684"/>
      <c r="GY313" s="1684"/>
      <c r="GZ313" s="1684"/>
      <c r="HA313" s="1684"/>
      <c r="HB313" s="1684"/>
      <c r="HC313" s="1684"/>
      <c r="HD313" s="1684"/>
      <c r="HE313" s="1684"/>
      <c r="HF313" s="1684"/>
      <c r="HG313" s="1684"/>
      <c r="HH313" s="1684"/>
      <c r="HI313" s="1684"/>
      <c r="HJ313" s="1684"/>
      <c r="HK313" s="1684"/>
      <c r="HL313" s="1684"/>
      <c r="HM313" s="1684"/>
      <c r="HN313" s="1684"/>
      <c r="HO313" s="1684"/>
      <c r="HP313" s="1684"/>
      <c r="HQ313" s="1684"/>
      <c r="HR313" s="1684"/>
      <c r="HS313" s="2275"/>
      <c r="HT313" s="2275"/>
      <c r="HU313" s="2250"/>
      <c r="HV313" s="2250"/>
      <c r="HW313" s="2250"/>
      <c r="HX313" s="2250"/>
      <c r="HY313" s="2250"/>
      <c r="HZ313" s="2250"/>
      <c r="IA313" s="2250"/>
      <c r="IB313" s="2250"/>
      <c r="IC313" s="2250"/>
      <c r="ID313" s="2250"/>
      <c r="IE313" s="2250"/>
      <c r="IF313" s="2250"/>
      <c r="IG313" s="2250"/>
      <c r="IH313" s="2250"/>
      <c r="II313" s="2250"/>
      <c r="IJ313" s="2250"/>
      <c r="IK313" s="2250"/>
      <c r="IL313" s="2250"/>
      <c r="IN313" s="277"/>
      <c r="IO313" s="277"/>
    </row>
    <row r="314" spans="1:249" ht="21.95" customHeight="1" thickBot="1">
      <c r="A314" s="4727" t="s">
        <v>2267</v>
      </c>
      <c r="B314" s="4728"/>
      <c r="C314" s="2295">
        <f>BF184</f>
        <v>68.3</v>
      </c>
      <c r="D314" s="1684"/>
      <c r="E314" s="2371"/>
      <c r="F314" s="2371"/>
      <c r="G314" s="1684"/>
      <c r="H314" s="1684"/>
      <c r="I314" s="1684"/>
      <c r="J314" s="1684"/>
      <c r="K314" s="1684"/>
      <c r="L314" s="1684"/>
      <c r="M314" s="1684"/>
      <c r="N314" s="1684"/>
      <c r="O314" s="1684"/>
      <c r="P314" s="1684"/>
      <c r="Q314" s="1684"/>
      <c r="R314" s="1684"/>
      <c r="S314" s="1684"/>
      <c r="T314" s="1684"/>
      <c r="U314" s="1684"/>
      <c r="V314" s="1684"/>
      <c r="W314" s="1684"/>
      <c r="X314" s="1684"/>
      <c r="Y314" s="1684"/>
      <c r="Z314" s="1684"/>
      <c r="AA314" s="1684"/>
      <c r="AB314" s="1684"/>
      <c r="AC314" s="1684"/>
      <c r="AD314" s="1684"/>
      <c r="AE314" s="1684"/>
      <c r="AF314" s="1684"/>
      <c r="AG314" s="1684"/>
      <c r="AH314" s="1684"/>
      <c r="AI314" s="1684"/>
      <c r="AJ314" s="1684"/>
      <c r="AK314" s="1684"/>
      <c r="AL314" s="1684"/>
      <c r="AM314" s="1684"/>
      <c r="AN314" s="2275"/>
      <c r="AO314" s="2275"/>
      <c r="AP314" s="2250"/>
      <c r="AQ314" s="2250"/>
      <c r="AR314" s="2250"/>
      <c r="AS314" s="2250"/>
      <c r="AT314" s="2250"/>
      <c r="AU314" s="2250"/>
      <c r="AV314" s="2250"/>
      <c r="AW314" s="2250"/>
      <c r="AX314" s="2250"/>
      <c r="AY314" s="2250"/>
      <c r="AZ314" s="2250"/>
      <c r="BA314" s="2250"/>
      <c r="BB314" s="2250"/>
      <c r="BC314" s="2250"/>
      <c r="BD314" s="2250"/>
      <c r="BE314" s="2250"/>
      <c r="BF314" s="2276"/>
      <c r="BG314" s="2276"/>
      <c r="BH314" s="2250"/>
      <c r="BI314" s="2275"/>
      <c r="BJ314" s="4727" t="s">
        <v>2267</v>
      </c>
      <c r="BK314" s="4728"/>
      <c r="BL314" s="2295">
        <f>BG184</f>
        <v>73.7</v>
      </c>
      <c r="BM314" s="1684"/>
      <c r="BN314" s="2371"/>
      <c r="BO314" s="2371"/>
      <c r="BP314" s="1684"/>
      <c r="BQ314" s="1684"/>
      <c r="BR314" s="1684"/>
      <c r="BS314" s="1684"/>
      <c r="BT314" s="1684"/>
      <c r="BU314" s="1684"/>
      <c r="BV314" s="1684"/>
      <c r="BW314" s="1684"/>
      <c r="BX314" s="1684"/>
      <c r="BY314" s="1684"/>
      <c r="BZ314" s="1684"/>
      <c r="CA314" s="1684"/>
      <c r="CB314" s="1684"/>
      <c r="CC314" s="1684"/>
      <c r="CD314" s="1684"/>
      <c r="CE314" s="1684"/>
      <c r="CF314" s="1684"/>
      <c r="CG314" s="1684"/>
      <c r="CH314" s="1684"/>
      <c r="CI314" s="1684"/>
      <c r="CJ314" s="1684"/>
      <c r="CK314" s="1684"/>
      <c r="CL314" s="1684"/>
      <c r="CM314" s="1684"/>
      <c r="CN314" s="1684"/>
      <c r="CO314" s="1684"/>
      <c r="CP314" s="1684"/>
      <c r="CQ314" s="1684"/>
      <c r="CR314" s="1684"/>
      <c r="CS314" s="1684"/>
      <c r="CT314" s="1684"/>
      <c r="CU314" s="1684"/>
      <c r="CV314" s="1684"/>
      <c r="CW314" s="2275"/>
      <c r="CX314" s="2275"/>
      <c r="CY314" s="2250"/>
      <c r="CZ314" s="2250"/>
      <c r="DA314" s="2250"/>
      <c r="DB314" s="2250"/>
      <c r="DC314" s="2250"/>
      <c r="DD314" s="2250"/>
      <c r="DE314" s="2250"/>
      <c r="DF314" s="2250"/>
      <c r="DG314" s="2250"/>
      <c r="DH314" s="2250"/>
      <c r="DI314" s="2250"/>
      <c r="DJ314" s="2250"/>
      <c r="DK314" s="2250"/>
      <c r="DL314" s="2250"/>
      <c r="DM314" s="2250"/>
      <c r="DN314" s="2250"/>
      <c r="DO314" s="2250"/>
      <c r="DP314" s="2250"/>
      <c r="DQ314" s="2277"/>
      <c r="DR314" s="2277"/>
      <c r="DS314" s="277"/>
      <c r="DW314" s="4727" t="s">
        <v>2267</v>
      </c>
      <c r="DX314" s="4728"/>
      <c r="DY314" s="2295">
        <f>GB184</f>
        <v>43.9</v>
      </c>
      <c r="DZ314" s="1684"/>
      <c r="EA314" s="2371"/>
      <c r="EB314" s="2371"/>
      <c r="EC314" s="1684"/>
      <c r="ED314" s="1684"/>
      <c r="EE314" s="1684"/>
      <c r="EF314" s="1684"/>
      <c r="EG314" s="1684"/>
      <c r="EH314" s="1684"/>
      <c r="EI314" s="1684"/>
      <c r="EJ314" s="1684"/>
      <c r="EK314" s="1684"/>
      <c r="EL314" s="1684"/>
      <c r="EM314" s="1684"/>
      <c r="EN314" s="1684"/>
      <c r="EO314" s="1684"/>
      <c r="EP314" s="1684"/>
      <c r="EQ314" s="1684"/>
      <c r="ER314" s="1684"/>
      <c r="ES314" s="1684"/>
      <c r="ET314" s="1684"/>
      <c r="EU314" s="1684"/>
      <c r="EV314" s="1684"/>
      <c r="EW314" s="1684"/>
      <c r="EX314" s="1684"/>
      <c r="EY314" s="1684"/>
      <c r="EZ314" s="1684"/>
      <c r="FA314" s="1684"/>
      <c r="FB314" s="1684"/>
      <c r="FC314" s="1684"/>
      <c r="FD314" s="1684"/>
      <c r="FE314" s="1684"/>
      <c r="FF314" s="1684"/>
      <c r="FG314" s="1684"/>
      <c r="FH314" s="1684"/>
      <c r="FI314" s="1684"/>
      <c r="FJ314" s="2275"/>
      <c r="FK314" s="2275"/>
      <c r="FL314" s="2250"/>
      <c r="FM314" s="2250"/>
      <c r="FN314" s="2250"/>
      <c r="FO314" s="2250"/>
      <c r="FP314" s="2250"/>
      <c r="FQ314" s="2250"/>
      <c r="FR314" s="2250"/>
      <c r="FS314" s="2250"/>
      <c r="FT314" s="2250"/>
      <c r="FU314" s="2250"/>
      <c r="FV314" s="2250"/>
      <c r="FW314" s="2250"/>
      <c r="FX314" s="2250"/>
      <c r="FY314" s="2250"/>
      <c r="FZ314" s="2250"/>
      <c r="GA314" s="2250"/>
      <c r="GB314" s="2276"/>
      <c r="GC314" s="2276"/>
      <c r="GD314" s="2250"/>
      <c r="GE314" s="2275"/>
      <c r="GF314" s="4727" t="s">
        <v>2267</v>
      </c>
      <c r="GG314" s="4728"/>
      <c r="GH314" s="2295">
        <f>GC184</f>
        <v>48.8</v>
      </c>
      <c r="GI314" s="1684"/>
      <c r="GJ314" s="2371"/>
      <c r="GK314" s="2371"/>
      <c r="GL314" s="1684"/>
      <c r="GM314" s="1684"/>
      <c r="GN314" s="1684"/>
      <c r="GO314" s="1684"/>
      <c r="GP314" s="1684"/>
      <c r="GQ314" s="1684"/>
      <c r="GR314" s="1684"/>
      <c r="GS314" s="1684"/>
      <c r="GT314" s="1684"/>
      <c r="GU314" s="1684"/>
      <c r="GV314" s="1684"/>
      <c r="GW314" s="1684"/>
      <c r="GX314" s="1684"/>
      <c r="GY314" s="1684"/>
      <c r="GZ314" s="1684"/>
      <c r="HA314" s="1684"/>
      <c r="HB314" s="1684"/>
      <c r="HC314" s="1684"/>
      <c r="HD314" s="1684"/>
      <c r="HE314" s="1684"/>
      <c r="HF314" s="1684"/>
      <c r="HG314" s="1684"/>
      <c r="HH314" s="1684"/>
      <c r="HI314" s="1684"/>
      <c r="HJ314" s="1684"/>
      <c r="HK314" s="1684"/>
      <c r="HL314" s="1684"/>
      <c r="HM314" s="1684"/>
      <c r="HN314" s="1684"/>
      <c r="HO314" s="1684"/>
      <c r="HP314" s="1684"/>
      <c r="HQ314" s="1684"/>
      <c r="HR314" s="1684"/>
      <c r="HS314" s="2275"/>
      <c r="HT314" s="2275"/>
      <c r="HU314" s="2250"/>
      <c r="HV314" s="2250"/>
      <c r="HW314" s="2250"/>
      <c r="HX314" s="2250"/>
      <c r="HY314" s="2250"/>
      <c r="HZ314" s="2250"/>
      <c r="IA314" s="2250"/>
      <c r="IB314" s="2250"/>
      <c r="IC314" s="2250"/>
      <c r="ID314" s="2250"/>
      <c r="IE314" s="2250"/>
      <c r="IF314" s="2250"/>
      <c r="IG314" s="2250"/>
      <c r="IH314" s="2250"/>
      <c r="II314" s="2250"/>
      <c r="IJ314" s="2250"/>
      <c r="IK314" s="2250"/>
      <c r="IL314" s="2250"/>
      <c r="IN314" s="277"/>
      <c r="IO314" s="277"/>
    </row>
    <row r="315" spans="1:249" ht="21.95" customHeight="1">
      <c r="A315" s="2275"/>
      <c r="B315" s="1684"/>
      <c r="C315" s="1684"/>
      <c r="D315" s="1684"/>
      <c r="E315" s="2371"/>
      <c r="F315" s="2371"/>
      <c r="G315" s="1684"/>
      <c r="H315" s="1684"/>
      <c r="I315" s="1684"/>
      <c r="J315" s="1684"/>
      <c r="K315" s="1684"/>
      <c r="L315" s="1684"/>
      <c r="M315" s="1684"/>
      <c r="N315" s="1684"/>
      <c r="O315" s="1684"/>
      <c r="P315" s="1684"/>
      <c r="Q315" s="1684"/>
      <c r="R315" s="1684"/>
      <c r="S315" s="1684"/>
      <c r="T315" s="1684"/>
      <c r="U315" s="1684"/>
      <c r="V315" s="1684"/>
      <c r="W315" s="1684"/>
      <c r="X315" s="1684"/>
      <c r="Y315" s="1684"/>
      <c r="Z315" s="1684"/>
      <c r="AA315" s="1684"/>
      <c r="AB315" s="1684"/>
      <c r="AC315" s="1684"/>
      <c r="AD315" s="1684"/>
      <c r="AE315" s="1684"/>
      <c r="AF315" s="1684"/>
      <c r="AG315" s="1684"/>
      <c r="AH315" s="1684"/>
      <c r="AI315" s="1684"/>
      <c r="AJ315" s="1684"/>
      <c r="AK315" s="1684"/>
      <c r="AL315" s="1684"/>
      <c r="AM315" s="1684"/>
      <c r="AN315" s="2275"/>
      <c r="AO315" s="2275"/>
      <c r="AP315" s="2250"/>
      <c r="AQ315" s="2250"/>
      <c r="AR315" s="2250"/>
      <c r="AS315" s="2250"/>
      <c r="AT315" s="2250"/>
      <c r="AU315" s="2250"/>
      <c r="AV315" s="2250"/>
      <c r="AW315" s="2250"/>
      <c r="AX315" s="2250"/>
      <c r="AY315" s="2250"/>
      <c r="AZ315" s="2250"/>
      <c r="BA315" s="2250"/>
      <c r="BB315" s="2250"/>
      <c r="BC315" s="2250"/>
      <c r="BD315" s="2250"/>
      <c r="BE315" s="2250"/>
      <c r="BF315" s="2276"/>
      <c r="BG315" s="2276"/>
      <c r="BH315" s="2250"/>
      <c r="BI315" s="2275"/>
      <c r="BJ315" s="2275"/>
      <c r="BK315" s="1684"/>
      <c r="BL315" s="1684"/>
      <c r="BM315" s="1684"/>
      <c r="BN315" s="2371"/>
      <c r="BO315" s="2371"/>
      <c r="BP315" s="1684"/>
      <c r="BQ315" s="1684"/>
      <c r="BR315" s="1684"/>
      <c r="BS315" s="1684"/>
      <c r="BT315" s="1684"/>
      <c r="BU315" s="1684"/>
      <c r="BV315" s="1684"/>
      <c r="BW315" s="1684"/>
      <c r="BX315" s="1684"/>
      <c r="BY315" s="1684"/>
      <c r="BZ315" s="1684"/>
      <c r="CA315" s="1684"/>
      <c r="CB315" s="1684"/>
      <c r="CC315" s="1684"/>
      <c r="CD315" s="1684"/>
      <c r="CE315" s="1684"/>
      <c r="CF315" s="1684"/>
      <c r="CG315" s="1684"/>
      <c r="CH315" s="1684"/>
      <c r="CI315" s="1684"/>
      <c r="CJ315" s="1684"/>
      <c r="CK315" s="1684"/>
      <c r="CL315" s="1684"/>
      <c r="CM315" s="1684"/>
      <c r="CN315" s="1684"/>
      <c r="CO315" s="1684"/>
      <c r="CP315" s="1684"/>
      <c r="CQ315" s="1684"/>
      <c r="CR315" s="1684"/>
      <c r="CS315" s="1684"/>
      <c r="CT315" s="1684"/>
      <c r="CU315" s="1684"/>
      <c r="CV315" s="1684"/>
      <c r="CW315" s="2275"/>
      <c r="CX315" s="2275"/>
      <c r="CY315" s="2250"/>
      <c r="CZ315" s="2250"/>
      <c r="DA315" s="2250"/>
      <c r="DB315" s="2250"/>
      <c r="DC315" s="2250"/>
      <c r="DD315" s="2250"/>
      <c r="DE315" s="2250"/>
      <c r="DF315" s="2250"/>
      <c r="DG315" s="2250"/>
      <c r="DH315" s="2250"/>
      <c r="DI315" s="2250"/>
      <c r="DJ315" s="2250"/>
      <c r="DK315" s="2250"/>
      <c r="DL315" s="2250"/>
      <c r="DM315" s="2250"/>
      <c r="DN315" s="2250"/>
      <c r="DO315" s="2250"/>
      <c r="DP315" s="2250"/>
      <c r="DQ315" s="2277"/>
      <c r="DR315" s="2277"/>
      <c r="DS315" s="277"/>
      <c r="DW315" s="2275"/>
      <c r="DX315" s="1684"/>
      <c r="DY315" s="1684"/>
      <c r="DZ315" s="1684"/>
      <c r="EA315" s="2371"/>
      <c r="EB315" s="2371"/>
      <c r="EC315" s="1684"/>
      <c r="ED315" s="1684"/>
      <c r="EE315" s="1684"/>
      <c r="EF315" s="1684"/>
      <c r="EG315" s="1684"/>
      <c r="EH315" s="1684"/>
      <c r="EI315" s="1684"/>
      <c r="EJ315" s="1684"/>
      <c r="EK315" s="1684"/>
      <c r="EL315" s="1684"/>
      <c r="EM315" s="1684"/>
      <c r="EN315" s="1684"/>
      <c r="EO315" s="1684"/>
      <c r="EP315" s="1684"/>
      <c r="EQ315" s="1684"/>
      <c r="ER315" s="1684"/>
      <c r="ES315" s="1684"/>
      <c r="ET315" s="1684"/>
      <c r="EU315" s="1684"/>
      <c r="EV315" s="1684"/>
      <c r="EW315" s="1684"/>
      <c r="EX315" s="1684"/>
      <c r="EY315" s="1684"/>
      <c r="EZ315" s="1684"/>
      <c r="FA315" s="1684"/>
      <c r="FB315" s="1684"/>
      <c r="FC315" s="1684"/>
      <c r="FD315" s="1684"/>
      <c r="FE315" s="1684"/>
      <c r="FF315" s="1684"/>
      <c r="FG315" s="1684"/>
      <c r="FH315" s="1684"/>
      <c r="FI315" s="1684"/>
      <c r="FJ315" s="2275"/>
      <c r="FK315" s="2275"/>
      <c r="FL315" s="2250"/>
      <c r="FM315" s="2250"/>
      <c r="FN315" s="2250"/>
      <c r="FO315" s="2250"/>
      <c r="FP315" s="2250"/>
      <c r="FQ315" s="2250"/>
      <c r="FR315" s="2250"/>
      <c r="FS315" s="2250"/>
      <c r="FT315" s="2250"/>
      <c r="FU315" s="2250"/>
      <c r="FV315" s="2250"/>
      <c r="FW315" s="2250"/>
      <c r="FX315" s="2250"/>
      <c r="FY315" s="2250"/>
      <c r="FZ315" s="2250"/>
      <c r="GA315" s="2250"/>
      <c r="GB315" s="2276"/>
      <c r="GC315" s="2276"/>
      <c r="GD315" s="2250"/>
      <c r="GE315" s="2275"/>
      <c r="GF315" s="2275"/>
      <c r="GG315" s="1684"/>
      <c r="GH315" s="1684"/>
      <c r="GI315" s="1684"/>
      <c r="GJ315" s="2371"/>
      <c r="GK315" s="2371"/>
      <c r="GL315" s="1684"/>
      <c r="GM315" s="1684"/>
      <c r="GN315" s="1684"/>
      <c r="GO315" s="1684"/>
      <c r="GP315" s="1684"/>
      <c r="GQ315" s="1684"/>
      <c r="GR315" s="1684"/>
      <c r="GS315" s="1684"/>
      <c r="GT315" s="1684"/>
      <c r="GU315" s="1684"/>
      <c r="GV315" s="1684"/>
      <c r="GW315" s="1684"/>
      <c r="GX315" s="1684"/>
      <c r="GY315" s="1684"/>
      <c r="GZ315" s="1684"/>
      <c r="HA315" s="1684"/>
      <c r="HB315" s="1684"/>
      <c r="HC315" s="1684"/>
      <c r="HD315" s="1684"/>
      <c r="HE315" s="1684"/>
      <c r="HF315" s="1684"/>
      <c r="HG315" s="1684"/>
      <c r="HH315" s="1684"/>
      <c r="HI315" s="1684"/>
      <c r="HJ315" s="1684"/>
      <c r="HK315" s="1684"/>
      <c r="HL315" s="1684"/>
      <c r="HM315" s="1684"/>
      <c r="HN315" s="1684"/>
      <c r="HO315" s="1684"/>
      <c r="HP315" s="1684"/>
      <c r="HQ315" s="1684"/>
      <c r="HR315" s="1684"/>
      <c r="HS315" s="2275"/>
      <c r="HT315" s="2275"/>
      <c r="HU315" s="2250"/>
      <c r="HV315" s="2250"/>
      <c r="HW315" s="2250"/>
      <c r="HX315" s="2250"/>
      <c r="HY315" s="2250"/>
      <c r="HZ315" s="2250"/>
      <c r="IA315" s="2250"/>
      <c r="IB315" s="2250"/>
      <c r="IC315" s="2250"/>
      <c r="ID315" s="2250"/>
      <c r="IE315" s="2250"/>
      <c r="IF315" s="2250"/>
      <c r="IG315" s="2250"/>
      <c r="IH315" s="2250"/>
      <c r="II315" s="2250"/>
      <c r="IJ315" s="2250"/>
      <c r="IK315" s="2250"/>
      <c r="IL315" s="2250"/>
      <c r="IN315" s="277"/>
      <c r="IO315" s="277"/>
    </row>
    <row r="316" spans="1:249" ht="21.95" customHeight="1">
      <c r="A316" s="2275"/>
      <c r="B316" s="2373">
        <v>3177</v>
      </c>
      <c r="C316" s="1684"/>
      <c r="D316" s="1684"/>
      <c r="E316" s="1684"/>
      <c r="F316" s="1684"/>
      <c r="G316" s="1684"/>
      <c r="H316" s="1684"/>
      <c r="I316" s="1684"/>
      <c r="J316" s="1684"/>
      <c r="K316" s="1684"/>
      <c r="L316" s="2373">
        <v>3177</v>
      </c>
      <c r="M316" s="1684"/>
      <c r="N316" s="1684"/>
      <c r="O316" s="1684"/>
      <c r="P316" s="1684"/>
      <c r="Q316" s="1684"/>
      <c r="R316" s="1684"/>
      <c r="S316" s="1684"/>
      <c r="T316" s="1684"/>
      <c r="U316" s="1684"/>
      <c r="V316" s="2373">
        <v>3177</v>
      </c>
      <c r="W316" s="1684"/>
      <c r="X316" s="1684"/>
      <c r="Y316" s="1684"/>
      <c r="Z316" s="1684"/>
      <c r="AA316" s="1684"/>
      <c r="AB316" s="1684"/>
      <c r="AC316" s="1684"/>
      <c r="AD316" s="1684"/>
      <c r="AE316" s="1684"/>
      <c r="AF316" s="2373">
        <v>3177</v>
      </c>
      <c r="AG316" s="1684"/>
      <c r="AH316" s="1684"/>
      <c r="AI316" s="1684"/>
      <c r="AJ316" s="1684"/>
      <c r="AK316" s="1684"/>
      <c r="AL316" s="1684"/>
      <c r="AM316" s="1684"/>
      <c r="AN316" s="2275"/>
      <c r="AO316" s="2275"/>
      <c r="AP316" s="2250"/>
      <c r="AQ316" s="2250"/>
      <c r="AR316" s="2250"/>
      <c r="AS316" s="2250"/>
      <c r="AT316" s="2250"/>
      <c r="AU316" s="2250"/>
      <c r="AV316" s="2250"/>
      <c r="AW316" s="2250"/>
      <c r="AX316" s="2250"/>
      <c r="AY316" s="2250"/>
      <c r="AZ316" s="2250"/>
      <c r="BA316" s="2250"/>
      <c r="BB316" s="2250"/>
      <c r="BC316" s="2250"/>
      <c r="BD316" s="2250"/>
      <c r="BE316" s="2250"/>
      <c r="BF316" s="2276"/>
      <c r="BG316" s="2276"/>
      <c r="BH316" s="2250"/>
      <c r="BI316" s="2275"/>
      <c r="BJ316" s="2275"/>
      <c r="BK316" s="2373">
        <v>3177</v>
      </c>
      <c r="BL316" s="1684"/>
      <c r="BM316" s="1684"/>
      <c r="BN316" s="1684"/>
      <c r="BO316" s="1684"/>
      <c r="BP316" s="1684"/>
      <c r="BQ316" s="1684"/>
      <c r="BR316" s="1684"/>
      <c r="BS316" s="1684"/>
      <c r="BT316" s="1684"/>
      <c r="BU316" s="2373">
        <v>3177</v>
      </c>
      <c r="BV316" s="1684"/>
      <c r="BW316" s="1684"/>
      <c r="BX316" s="1684"/>
      <c r="BY316" s="1684"/>
      <c r="BZ316" s="1684"/>
      <c r="CA316" s="1684"/>
      <c r="CB316" s="1684"/>
      <c r="CC316" s="1684"/>
      <c r="CD316" s="1684"/>
      <c r="CE316" s="2373">
        <v>3177</v>
      </c>
      <c r="CF316" s="1684"/>
      <c r="CG316" s="1684"/>
      <c r="CH316" s="1684"/>
      <c r="CI316" s="1684"/>
      <c r="CJ316" s="1684"/>
      <c r="CK316" s="1684"/>
      <c r="CL316" s="1684"/>
      <c r="CM316" s="1684"/>
      <c r="CN316" s="1684"/>
      <c r="CO316" s="2373">
        <v>3177</v>
      </c>
      <c r="CP316" s="1684"/>
      <c r="CQ316" s="1684"/>
      <c r="CR316" s="1684"/>
      <c r="CS316" s="1684"/>
      <c r="CT316" s="1684"/>
      <c r="CU316" s="1684"/>
      <c r="CV316" s="1684"/>
      <c r="CW316" s="2275"/>
      <c r="CX316" s="2275"/>
      <c r="CY316" s="2250"/>
      <c r="CZ316" s="2250"/>
      <c r="DA316" s="2250"/>
      <c r="DB316" s="2250"/>
      <c r="DC316" s="2250"/>
      <c r="DD316" s="2250"/>
      <c r="DE316" s="2250"/>
      <c r="DF316" s="2250"/>
      <c r="DG316" s="2250"/>
      <c r="DH316" s="2250"/>
      <c r="DI316" s="2250"/>
      <c r="DJ316" s="2250"/>
      <c r="DK316" s="2250"/>
      <c r="DL316" s="2250"/>
      <c r="DM316" s="2250"/>
      <c r="DN316" s="2250"/>
      <c r="DO316" s="2250"/>
      <c r="DP316" s="2250"/>
      <c r="DQ316" s="2277"/>
      <c r="DR316" s="2277"/>
      <c r="DS316" s="277"/>
      <c r="DW316" s="2275"/>
      <c r="DX316" s="2373">
        <v>3177</v>
      </c>
      <c r="DY316" s="1684"/>
      <c r="DZ316" s="1684"/>
      <c r="EA316" s="1684"/>
      <c r="EB316" s="1684"/>
      <c r="EC316" s="1684"/>
      <c r="ED316" s="1684"/>
      <c r="EE316" s="1684"/>
      <c r="EF316" s="1684"/>
      <c r="EG316" s="1684"/>
      <c r="EH316" s="2373">
        <v>3177</v>
      </c>
      <c r="EI316" s="1684"/>
      <c r="EJ316" s="1684"/>
      <c r="EK316" s="1684"/>
      <c r="EL316" s="1684"/>
      <c r="EM316" s="1684"/>
      <c r="EN316" s="1684"/>
      <c r="EO316" s="1684"/>
      <c r="EP316" s="1684"/>
      <c r="EQ316" s="1684"/>
      <c r="ER316" s="2373">
        <v>3177</v>
      </c>
      <c r="ES316" s="1684"/>
      <c r="ET316" s="1684"/>
      <c r="EU316" s="1684"/>
      <c r="EV316" s="1684"/>
      <c r="EW316" s="1684"/>
      <c r="EX316" s="1684"/>
      <c r="EY316" s="1684"/>
      <c r="EZ316" s="1684"/>
      <c r="FA316" s="1684"/>
      <c r="FB316" s="2373">
        <v>3177</v>
      </c>
      <c r="FC316" s="1684"/>
      <c r="FD316" s="1684"/>
      <c r="FE316" s="1684"/>
      <c r="FF316" s="1684"/>
      <c r="FG316" s="1684"/>
      <c r="FH316" s="1684"/>
      <c r="FI316" s="1684"/>
      <c r="FJ316" s="2275"/>
      <c r="FK316" s="2275"/>
      <c r="FL316" s="2250"/>
      <c r="FM316" s="2250"/>
      <c r="FN316" s="2250"/>
      <c r="FO316" s="2250"/>
      <c r="FP316" s="2250"/>
      <c r="FQ316" s="2250"/>
      <c r="FR316" s="2250"/>
      <c r="FS316" s="2250"/>
      <c r="FT316" s="2250"/>
      <c r="FU316" s="2250"/>
      <c r="FV316" s="2250"/>
      <c r="FW316" s="2250"/>
      <c r="FX316" s="2250"/>
      <c r="FY316" s="2250"/>
      <c r="FZ316" s="2250"/>
      <c r="GA316" s="2250"/>
      <c r="GB316" s="2276"/>
      <c r="GC316" s="2276"/>
      <c r="GD316" s="2250"/>
      <c r="GE316" s="2275"/>
      <c r="GF316" s="2275"/>
      <c r="GG316" s="2373">
        <v>3177</v>
      </c>
      <c r="GH316" s="1684"/>
      <c r="GI316" s="1684"/>
      <c r="GJ316" s="1684"/>
      <c r="GK316" s="1684"/>
      <c r="GL316" s="1684"/>
      <c r="GM316" s="1684"/>
      <c r="GN316" s="1684"/>
      <c r="GO316" s="1684"/>
      <c r="GP316" s="1684"/>
      <c r="GQ316" s="2373">
        <v>3177</v>
      </c>
      <c r="GR316" s="1684"/>
      <c r="GS316" s="1684"/>
      <c r="GT316" s="1684"/>
      <c r="GU316" s="1684"/>
      <c r="GV316" s="1684"/>
      <c r="GW316" s="1684"/>
      <c r="GX316" s="1684"/>
      <c r="GY316" s="1684"/>
      <c r="GZ316" s="1684"/>
      <c r="HA316" s="2373">
        <v>3177</v>
      </c>
      <c r="HB316" s="1684"/>
      <c r="HC316" s="1684"/>
      <c r="HD316" s="1684"/>
      <c r="HE316" s="1684"/>
      <c r="HF316" s="1684"/>
      <c r="HG316" s="1684"/>
      <c r="HH316" s="1684"/>
      <c r="HI316" s="1684"/>
      <c r="HJ316" s="1684"/>
      <c r="HK316" s="2373">
        <v>3177</v>
      </c>
      <c r="HL316" s="1684"/>
      <c r="HM316" s="1684"/>
      <c r="HN316" s="1684"/>
      <c r="HO316" s="1684"/>
      <c r="HP316" s="1684"/>
      <c r="HQ316" s="1684"/>
      <c r="HR316" s="1684"/>
      <c r="HS316" s="2275"/>
      <c r="HT316" s="2275"/>
      <c r="HU316" s="2250"/>
      <c r="HV316" s="2250"/>
      <c r="HW316" s="2250"/>
      <c r="HX316" s="2250"/>
      <c r="HY316" s="2250"/>
      <c r="HZ316" s="2250"/>
      <c r="IA316" s="2250"/>
      <c r="IB316" s="2250"/>
      <c r="IC316" s="2250"/>
      <c r="ID316" s="2250"/>
      <c r="IE316" s="2250"/>
      <c r="IF316" s="2250"/>
      <c r="IG316" s="2250"/>
      <c r="IH316" s="2250"/>
      <c r="II316" s="2250"/>
      <c r="IJ316" s="2250"/>
      <c r="IK316" s="2250"/>
      <c r="IL316" s="2250"/>
      <c r="IN316" s="277"/>
      <c r="IO316" s="277"/>
    </row>
    <row r="317" spans="1:249" ht="21.95" customHeight="1">
      <c r="A317" s="2275"/>
      <c r="B317" s="4670" t="s">
        <v>732</v>
      </c>
      <c r="C317" s="4670"/>
      <c r="D317" s="1684"/>
      <c r="E317" s="1684"/>
      <c r="F317" s="1684"/>
      <c r="G317" s="1684"/>
      <c r="H317" s="1684"/>
      <c r="I317" s="1684"/>
      <c r="J317" s="1684"/>
      <c r="K317" s="1684"/>
      <c r="L317" s="4670" t="s">
        <v>733</v>
      </c>
      <c r="M317" s="4670"/>
      <c r="N317" s="1684"/>
      <c r="O317" s="1684"/>
      <c r="P317" s="1684"/>
      <c r="Q317" s="1684"/>
      <c r="R317" s="1684"/>
      <c r="S317" s="1684"/>
      <c r="T317" s="1684"/>
      <c r="U317" s="1684"/>
      <c r="V317" s="4670" t="s">
        <v>734</v>
      </c>
      <c r="W317" s="4670"/>
      <c r="X317" s="1684"/>
      <c r="Y317" s="1684"/>
      <c r="Z317" s="1684"/>
      <c r="AA317" s="1684"/>
      <c r="AB317" s="1684"/>
      <c r="AC317" s="1684"/>
      <c r="AD317" s="1684"/>
      <c r="AE317" s="1684"/>
      <c r="AF317" s="4670" t="s">
        <v>735</v>
      </c>
      <c r="AG317" s="4670"/>
      <c r="AH317" s="1684"/>
      <c r="AI317" s="1684"/>
      <c r="AJ317" s="1684"/>
      <c r="AK317" s="1684"/>
      <c r="AL317" s="1684"/>
      <c r="AM317" s="1684"/>
      <c r="AN317" s="2275"/>
      <c r="AO317" s="2275"/>
      <c r="AP317" s="2250"/>
      <c r="AQ317" s="2250"/>
      <c r="AR317" s="2250"/>
      <c r="AS317" s="2250"/>
      <c r="AT317" s="2250"/>
      <c r="AU317" s="2250"/>
      <c r="AV317" s="2250"/>
      <c r="AW317" s="2250"/>
      <c r="AX317" s="2250"/>
      <c r="AY317" s="2250"/>
      <c r="AZ317" s="2250"/>
      <c r="BA317" s="2250"/>
      <c r="BB317" s="2250"/>
      <c r="BC317" s="2250"/>
      <c r="BD317" s="2250"/>
      <c r="BE317" s="2250"/>
      <c r="BF317" s="2276"/>
      <c r="BG317" s="2276"/>
      <c r="BH317" s="2250"/>
      <c r="BI317" s="2275"/>
      <c r="BJ317" s="2275"/>
      <c r="BK317" s="4670" t="s">
        <v>732</v>
      </c>
      <c r="BL317" s="4670"/>
      <c r="BM317" s="1684"/>
      <c r="BN317" s="1684"/>
      <c r="BO317" s="1684"/>
      <c r="BP317" s="1684"/>
      <c r="BQ317" s="1684"/>
      <c r="BR317" s="1684"/>
      <c r="BS317" s="1684"/>
      <c r="BT317" s="1684"/>
      <c r="BU317" s="4670" t="s">
        <v>733</v>
      </c>
      <c r="BV317" s="4670"/>
      <c r="BW317" s="1684"/>
      <c r="BX317" s="1684"/>
      <c r="BY317" s="1684"/>
      <c r="BZ317" s="1684"/>
      <c r="CA317" s="1684"/>
      <c r="CB317" s="1684"/>
      <c r="CC317" s="1684"/>
      <c r="CD317" s="1684"/>
      <c r="CE317" s="4670" t="s">
        <v>734</v>
      </c>
      <c r="CF317" s="4670"/>
      <c r="CG317" s="1684"/>
      <c r="CH317" s="1684"/>
      <c r="CI317" s="1684"/>
      <c r="CJ317" s="1684"/>
      <c r="CK317" s="1684"/>
      <c r="CL317" s="1684"/>
      <c r="CM317" s="1684"/>
      <c r="CN317" s="1684"/>
      <c r="CO317" s="4670" t="s">
        <v>735</v>
      </c>
      <c r="CP317" s="4670"/>
      <c r="CQ317" s="1684"/>
      <c r="CR317" s="1684"/>
      <c r="CS317" s="1684"/>
      <c r="CT317" s="1684"/>
      <c r="CU317" s="1684"/>
      <c r="CV317" s="1684"/>
      <c r="CW317" s="2275"/>
      <c r="CX317" s="2275"/>
      <c r="CY317" s="2250"/>
      <c r="CZ317" s="2250"/>
      <c r="DA317" s="2250"/>
      <c r="DB317" s="2250"/>
      <c r="DC317" s="2250"/>
      <c r="DD317" s="2250"/>
      <c r="DE317" s="2250"/>
      <c r="DF317" s="2250"/>
      <c r="DG317" s="2250"/>
      <c r="DH317" s="2250"/>
      <c r="DI317" s="2250"/>
      <c r="DJ317" s="2250"/>
      <c r="DK317" s="2250"/>
      <c r="DL317" s="2250"/>
      <c r="DM317" s="2250"/>
      <c r="DN317" s="2250"/>
      <c r="DO317" s="2250"/>
      <c r="DP317" s="2250"/>
      <c r="DQ317" s="2277"/>
      <c r="DR317" s="2277"/>
      <c r="DS317" s="277"/>
      <c r="DW317" s="2275"/>
      <c r="DX317" s="4670" t="s">
        <v>732</v>
      </c>
      <c r="DY317" s="4670"/>
      <c r="DZ317" s="1684"/>
      <c r="EA317" s="1684"/>
      <c r="EB317" s="1684"/>
      <c r="EC317" s="1684"/>
      <c r="ED317" s="1684"/>
      <c r="EE317" s="1684"/>
      <c r="EF317" s="1684"/>
      <c r="EG317" s="1684"/>
      <c r="EH317" s="4670" t="s">
        <v>733</v>
      </c>
      <c r="EI317" s="4670"/>
      <c r="EJ317" s="1684"/>
      <c r="EK317" s="1684"/>
      <c r="EL317" s="1684"/>
      <c r="EM317" s="1684"/>
      <c r="EN317" s="1684"/>
      <c r="EO317" s="1684"/>
      <c r="EP317" s="1684"/>
      <c r="EQ317" s="1684"/>
      <c r="ER317" s="4670" t="s">
        <v>734</v>
      </c>
      <c r="ES317" s="4670"/>
      <c r="ET317" s="1684"/>
      <c r="EU317" s="1684"/>
      <c r="EV317" s="1684"/>
      <c r="EW317" s="1684"/>
      <c r="EX317" s="1684"/>
      <c r="EY317" s="1684"/>
      <c r="EZ317" s="1684"/>
      <c r="FA317" s="1684"/>
      <c r="FB317" s="4670" t="s">
        <v>735</v>
      </c>
      <c r="FC317" s="4670"/>
      <c r="FD317" s="1684"/>
      <c r="FE317" s="1684"/>
      <c r="FF317" s="1684"/>
      <c r="FG317" s="1684"/>
      <c r="FH317" s="1684"/>
      <c r="FI317" s="1684"/>
      <c r="FJ317" s="2275"/>
      <c r="FK317" s="2275"/>
      <c r="FL317" s="2250"/>
      <c r="FM317" s="2250"/>
      <c r="FN317" s="2250"/>
      <c r="FO317" s="2250"/>
      <c r="FP317" s="2250"/>
      <c r="FQ317" s="2250"/>
      <c r="FR317" s="2250"/>
      <c r="FS317" s="2250"/>
      <c r="FT317" s="2250"/>
      <c r="FU317" s="2250"/>
      <c r="FV317" s="2250"/>
      <c r="FW317" s="2250"/>
      <c r="FX317" s="2250"/>
      <c r="FY317" s="2250"/>
      <c r="FZ317" s="2250"/>
      <c r="GA317" s="2250"/>
      <c r="GB317" s="2276"/>
      <c r="GC317" s="2276"/>
      <c r="GD317" s="2250"/>
      <c r="GE317" s="2275"/>
      <c r="GF317" s="2275"/>
      <c r="GG317" s="4670" t="s">
        <v>732</v>
      </c>
      <c r="GH317" s="4670"/>
      <c r="GI317" s="1684"/>
      <c r="GJ317" s="1684"/>
      <c r="GK317" s="1684"/>
      <c r="GL317" s="1684"/>
      <c r="GM317" s="1684"/>
      <c r="GN317" s="1684"/>
      <c r="GO317" s="1684"/>
      <c r="GP317" s="1684"/>
      <c r="GQ317" s="4670" t="s">
        <v>733</v>
      </c>
      <c r="GR317" s="4670"/>
      <c r="GS317" s="1684"/>
      <c r="GT317" s="1684"/>
      <c r="GU317" s="1684"/>
      <c r="GV317" s="1684"/>
      <c r="GW317" s="1684"/>
      <c r="GX317" s="1684"/>
      <c r="GY317" s="1684"/>
      <c r="GZ317" s="1684"/>
      <c r="HA317" s="4670" t="s">
        <v>734</v>
      </c>
      <c r="HB317" s="4670"/>
      <c r="HC317" s="1684"/>
      <c r="HD317" s="1684"/>
      <c r="HE317" s="1684"/>
      <c r="HF317" s="1684"/>
      <c r="HG317" s="1684"/>
      <c r="HH317" s="1684"/>
      <c r="HI317" s="1684"/>
      <c r="HJ317" s="1684"/>
      <c r="HK317" s="4670" t="s">
        <v>735</v>
      </c>
      <c r="HL317" s="4670"/>
      <c r="HM317" s="1684"/>
      <c r="HN317" s="1684"/>
      <c r="HO317" s="1684"/>
      <c r="HP317" s="1684"/>
      <c r="HQ317" s="1684"/>
      <c r="HR317" s="1684"/>
      <c r="HS317" s="2275"/>
      <c r="HT317" s="2275"/>
      <c r="HU317" s="2250"/>
      <c r="HV317" s="2250"/>
      <c r="HW317" s="2250"/>
      <c r="HX317" s="2250"/>
      <c r="HY317" s="2250"/>
      <c r="HZ317" s="2250"/>
      <c r="IA317" s="2250"/>
      <c r="IB317" s="2250"/>
      <c r="IC317" s="2250"/>
      <c r="ID317" s="2250"/>
      <c r="IE317" s="2250"/>
      <c r="IF317" s="2250"/>
      <c r="IG317" s="2250"/>
      <c r="IH317" s="2250"/>
      <c r="II317" s="2250"/>
      <c r="IJ317" s="2250"/>
      <c r="IK317" s="2250"/>
      <c r="IL317" s="2250"/>
      <c r="IN317" s="277"/>
      <c r="IO317" s="277"/>
    </row>
    <row r="318" spans="1:249" ht="21.95" customHeight="1">
      <c r="A318" s="2275"/>
      <c r="B318" s="2374" t="s">
        <v>736</v>
      </c>
      <c r="C318" s="2375">
        <v>275</v>
      </c>
      <c r="D318" s="2375">
        <v>300</v>
      </c>
      <c r="E318" s="2375">
        <v>350</v>
      </c>
      <c r="F318" s="2374">
        <v>400</v>
      </c>
      <c r="G318" s="2374">
        <v>450</v>
      </c>
      <c r="H318" s="2374">
        <v>500</v>
      </c>
      <c r="I318" s="2374">
        <v>600</v>
      </c>
      <c r="J318" s="1684"/>
      <c r="K318" s="1684"/>
      <c r="L318" s="2374" t="s">
        <v>736</v>
      </c>
      <c r="M318" s="2375">
        <v>275</v>
      </c>
      <c r="N318" s="2375">
        <v>300</v>
      </c>
      <c r="O318" s="2375">
        <v>350</v>
      </c>
      <c r="P318" s="2374">
        <v>400</v>
      </c>
      <c r="Q318" s="2374">
        <v>450</v>
      </c>
      <c r="R318" s="2374">
        <v>500</v>
      </c>
      <c r="S318" s="2374">
        <v>600</v>
      </c>
      <c r="T318" s="1684"/>
      <c r="U318" s="1684"/>
      <c r="V318" s="2374" t="s">
        <v>736</v>
      </c>
      <c r="W318" s="2375">
        <v>275</v>
      </c>
      <c r="X318" s="2375">
        <v>300</v>
      </c>
      <c r="Y318" s="2375">
        <v>350</v>
      </c>
      <c r="Z318" s="2374">
        <v>400</v>
      </c>
      <c r="AA318" s="2374">
        <v>450</v>
      </c>
      <c r="AB318" s="2374">
        <v>500</v>
      </c>
      <c r="AC318" s="2374">
        <v>600</v>
      </c>
      <c r="AD318" s="1684"/>
      <c r="AE318" s="1684"/>
      <c r="AF318" s="2374" t="s">
        <v>736</v>
      </c>
      <c r="AG318" s="2375">
        <v>275</v>
      </c>
      <c r="AH318" s="2375">
        <v>300</v>
      </c>
      <c r="AI318" s="2375">
        <v>350</v>
      </c>
      <c r="AJ318" s="2374">
        <v>400</v>
      </c>
      <c r="AK318" s="2374">
        <v>450</v>
      </c>
      <c r="AL318" s="2374">
        <v>500</v>
      </c>
      <c r="AM318" s="2374">
        <v>600</v>
      </c>
      <c r="AN318" s="2275"/>
      <c r="AO318" s="2275"/>
      <c r="AP318" s="2250"/>
      <c r="AQ318" s="2250"/>
      <c r="AR318" s="2250"/>
      <c r="AS318" s="2250"/>
      <c r="AT318" s="2250"/>
      <c r="AU318" s="2250"/>
      <c r="AV318" s="2250"/>
      <c r="AW318" s="2250"/>
      <c r="AX318" s="2250"/>
      <c r="AY318" s="2250"/>
      <c r="AZ318" s="2250"/>
      <c r="BA318" s="2250"/>
      <c r="BB318" s="2250"/>
      <c r="BC318" s="2250"/>
      <c r="BD318" s="2250"/>
      <c r="BE318" s="2250"/>
      <c r="BF318" s="2276"/>
      <c r="BG318" s="2276"/>
      <c r="BH318" s="2250"/>
      <c r="BI318" s="2275"/>
      <c r="BJ318" s="2275"/>
      <c r="BK318" s="2374" t="s">
        <v>736</v>
      </c>
      <c r="BL318" s="2375">
        <v>275</v>
      </c>
      <c r="BM318" s="2375">
        <v>300</v>
      </c>
      <c r="BN318" s="2375">
        <v>350</v>
      </c>
      <c r="BO318" s="2374">
        <v>400</v>
      </c>
      <c r="BP318" s="2374">
        <v>450</v>
      </c>
      <c r="BQ318" s="2374">
        <v>500</v>
      </c>
      <c r="BR318" s="2374">
        <v>600</v>
      </c>
      <c r="BS318" s="1684"/>
      <c r="BT318" s="1684"/>
      <c r="BU318" s="2374" t="s">
        <v>736</v>
      </c>
      <c r="BV318" s="2375">
        <v>275</v>
      </c>
      <c r="BW318" s="2375">
        <v>300</v>
      </c>
      <c r="BX318" s="2375">
        <v>350</v>
      </c>
      <c r="BY318" s="2374">
        <v>400</v>
      </c>
      <c r="BZ318" s="2374">
        <v>450</v>
      </c>
      <c r="CA318" s="2374">
        <v>500</v>
      </c>
      <c r="CB318" s="2374">
        <v>600</v>
      </c>
      <c r="CC318" s="1684"/>
      <c r="CD318" s="1684"/>
      <c r="CE318" s="2374" t="s">
        <v>736</v>
      </c>
      <c r="CF318" s="2375">
        <v>275</v>
      </c>
      <c r="CG318" s="2375">
        <v>300</v>
      </c>
      <c r="CH318" s="2375">
        <v>350</v>
      </c>
      <c r="CI318" s="2374">
        <v>400</v>
      </c>
      <c r="CJ318" s="2374">
        <v>450</v>
      </c>
      <c r="CK318" s="2374">
        <v>500</v>
      </c>
      <c r="CL318" s="2374">
        <v>600</v>
      </c>
      <c r="CM318" s="1684"/>
      <c r="CN318" s="1684"/>
      <c r="CO318" s="2374" t="s">
        <v>736</v>
      </c>
      <c r="CP318" s="2375">
        <v>275</v>
      </c>
      <c r="CQ318" s="2375">
        <v>300</v>
      </c>
      <c r="CR318" s="2375">
        <v>350</v>
      </c>
      <c r="CS318" s="2374">
        <v>400</v>
      </c>
      <c r="CT318" s="2374">
        <v>450</v>
      </c>
      <c r="CU318" s="2374">
        <v>500</v>
      </c>
      <c r="CV318" s="2374">
        <v>600</v>
      </c>
      <c r="CW318" s="2275"/>
      <c r="CX318" s="2275"/>
      <c r="CY318" s="2250"/>
      <c r="CZ318" s="2250"/>
      <c r="DA318" s="2250"/>
      <c r="DB318" s="2250"/>
      <c r="DC318" s="2250"/>
      <c r="DD318" s="2250"/>
      <c r="DE318" s="2250"/>
      <c r="DF318" s="2250"/>
      <c r="DG318" s="2250"/>
      <c r="DH318" s="2250"/>
      <c r="DI318" s="2250"/>
      <c r="DJ318" s="2250"/>
      <c r="DK318" s="2250"/>
      <c r="DL318" s="2250"/>
      <c r="DM318" s="2250"/>
      <c r="DN318" s="2250"/>
      <c r="DO318" s="2250"/>
      <c r="DP318" s="2250"/>
      <c r="DQ318" s="2277"/>
      <c r="DR318" s="2277"/>
      <c r="DS318" s="277"/>
      <c r="DW318" s="2275"/>
      <c r="DX318" s="2374" t="s">
        <v>736</v>
      </c>
      <c r="DY318" s="2375">
        <v>275</v>
      </c>
      <c r="DZ318" s="2375">
        <v>300</v>
      </c>
      <c r="EA318" s="2375">
        <v>350</v>
      </c>
      <c r="EB318" s="2374">
        <v>400</v>
      </c>
      <c r="EC318" s="2374">
        <v>450</v>
      </c>
      <c r="ED318" s="2374">
        <v>500</v>
      </c>
      <c r="EE318" s="2374">
        <v>600</v>
      </c>
      <c r="EF318" s="1684"/>
      <c r="EG318" s="1684"/>
      <c r="EH318" s="2374" t="s">
        <v>736</v>
      </c>
      <c r="EI318" s="2375">
        <v>275</v>
      </c>
      <c r="EJ318" s="2375">
        <v>300</v>
      </c>
      <c r="EK318" s="2375">
        <v>350</v>
      </c>
      <c r="EL318" s="2374">
        <v>400</v>
      </c>
      <c r="EM318" s="2374">
        <v>450</v>
      </c>
      <c r="EN318" s="2374">
        <v>500</v>
      </c>
      <c r="EO318" s="2374">
        <v>600</v>
      </c>
      <c r="EP318" s="1684"/>
      <c r="EQ318" s="1684"/>
      <c r="ER318" s="2374" t="s">
        <v>736</v>
      </c>
      <c r="ES318" s="2375">
        <v>275</v>
      </c>
      <c r="ET318" s="2375">
        <v>300</v>
      </c>
      <c r="EU318" s="2375">
        <v>350</v>
      </c>
      <c r="EV318" s="2374">
        <v>400</v>
      </c>
      <c r="EW318" s="2374">
        <v>450</v>
      </c>
      <c r="EX318" s="2374">
        <v>500</v>
      </c>
      <c r="EY318" s="2374">
        <v>600</v>
      </c>
      <c r="EZ318" s="1684"/>
      <c r="FA318" s="1684"/>
      <c r="FB318" s="2374" t="s">
        <v>736</v>
      </c>
      <c r="FC318" s="2375">
        <v>275</v>
      </c>
      <c r="FD318" s="2375">
        <v>300</v>
      </c>
      <c r="FE318" s="2375">
        <v>350</v>
      </c>
      <c r="FF318" s="2374">
        <v>400</v>
      </c>
      <c r="FG318" s="2374">
        <v>450</v>
      </c>
      <c r="FH318" s="2374">
        <v>500</v>
      </c>
      <c r="FI318" s="2374">
        <v>600</v>
      </c>
      <c r="FJ318" s="2275"/>
      <c r="FK318" s="2275"/>
      <c r="FL318" s="2250"/>
      <c r="FM318" s="2250"/>
      <c r="FN318" s="2250"/>
      <c r="FO318" s="2250"/>
      <c r="FP318" s="2250"/>
      <c r="FQ318" s="2250"/>
      <c r="FR318" s="2250"/>
      <c r="FS318" s="2250"/>
      <c r="FT318" s="2250"/>
      <c r="FU318" s="2250"/>
      <c r="FV318" s="2250"/>
      <c r="FW318" s="2250"/>
      <c r="FX318" s="2250"/>
      <c r="FY318" s="2250"/>
      <c r="FZ318" s="2250"/>
      <c r="GA318" s="2250"/>
      <c r="GB318" s="2276"/>
      <c r="GC318" s="2276"/>
      <c r="GD318" s="2250"/>
      <c r="GE318" s="2275"/>
      <c r="GF318" s="2275"/>
      <c r="GG318" s="2374" t="s">
        <v>736</v>
      </c>
      <c r="GH318" s="2375">
        <v>275</v>
      </c>
      <c r="GI318" s="2375">
        <v>300</v>
      </c>
      <c r="GJ318" s="2375">
        <v>350</v>
      </c>
      <c r="GK318" s="2374">
        <v>400</v>
      </c>
      <c r="GL318" s="2374">
        <v>450</v>
      </c>
      <c r="GM318" s="2374">
        <v>500</v>
      </c>
      <c r="GN318" s="2374">
        <v>600</v>
      </c>
      <c r="GO318" s="1684"/>
      <c r="GP318" s="1684"/>
      <c r="GQ318" s="2374" t="s">
        <v>736</v>
      </c>
      <c r="GR318" s="2375">
        <v>275</v>
      </c>
      <c r="GS318" s="2375">
        <v>300</v>
      </c>
      <c r="GT318" s="2375">
        <v>350</v>
      </c>
      <c r="GU318" s="2374">
        <v>400</v>
      </c>
      <c r="GV318" s="2374">
        <v>450</v>
      </c>
      <c r="GW318" s="2374">
        <v>500</v>
      </c>
      <c r="GX318" s="2374">
        <v>600</v>
      </c>
      <c r="GY318" s="1684"/>
      <c r="GZ318" s="1684"/>
      <c r="HA318" s="2374" t="s">
        <v>736</v>
      </c>
      <c r="HB318" s="2375">
        <v>275</v>
      </c>
      <c r="HC318" s="2375">
        <v>300</v>
      </c>
      <c r="HD318" s="2375">
        <v>350</v>
      </c>
      <c r="HE318" s="2374">
        <v>400</v>
      </c>
      <c r="HF318" s="2374">
        <v>450</v>
      </c>
      <c r="HG318" s="2374">
        <v>500</v>
      </c>
      <c r="HH318" s="2374">
        <v>600</v>
      </c>
      <c r="HI318" s="1684"/>
      <c r="HJ318" s="1684"/>
      <c r="HK318" s="2374" t="s">
        <v>736</v>
      </c>
      <c r="HL318" s="2375">
        <v>275</v>
      </c>
      <c r="HM318" s="2375">
        <v>300</v>
      </c>
      <c r="HN318" s="2375">
        <v>350</v>
      </c>
      <c r="HO318" s="2374">
        <v>400</v>
      </c>
      <c r="HP318" s="2374">
        <v>450</v>
      </c>
      <c r="HQ318" s="2374">
        <v>500</v>
      </c>
      <c r="HR318" s="2374">
        <v>600</v>
      </c>
      <c r="HS318" s="2275"/>
      <c r="HT318" s="2275"/>
      <c r="HU318" s="2250"/>
      <c r="HV318" s="2250"/>
      <c r="HW318" s="2250"/>
      <c r="HX318" s="2250"/>
      <c r="HY318" s="2250"/>
      <c r="HZ318" s="2250"/>
      <c r="IA318" s="2250"/>
      <c r="IB318" s="2250"/>
      <c r="IC318" s="2250"/>
      <c r="ID318" s="2250"/>
      <c r="IE318" s="2250"/>
      <c r="IF318" s="2250"/>
      <c r="IG318" s="2250"/>
      <c r="IH318" s="2250"/>
      <c r="II318" s="2250"/>
      <c r="IJ318" s="2250"/>
      <c r="IK318" s="2250"/>
      <c r="IL318" s="2250"/>
      <c r="IN318" s="277"/>
      <c r="IO318" s="277"/>
    </row>
    <row r="319" spans="1:249" ht="21.95" customHeight="1">
      <c r="A319" s="2275"/>
      <c r="B319" s="2374">
        <v>23.6</v>
      </c>
      <c r="C319" s="2376">
        <v>10.5</v>
      </c>
      <c r="D319" s="2376">
        <v>18.32</v>
      </c>
      <c r="E319" s="2376">
        <v>29.41</v>
      </c>
      <c r="F319" s="2376">
        <v>52.48</v>
      </c>
      <c r="G319" s="2376">
        <v>70.59</v>
      </c>
      <c r="H319" s="2376">
        <v>102.77</v>
      </c>
      <c r="I319" s="2376">
        <v>179.21</v>
      </c>
      <c r="J319" s="1684"/>
      <c r="K319" s="1684"/>
      <c r="L319" s="2374">
        <v>23.6</v>
      </c>
      <c r="M319" s="2376">
        <v>7.62</v>
      </c>
      <c r="N319" s="2376">
        <v>13.27</v>
      </c>
      <c r="O319" s="2376">
        <v>21.39</v>
      </c>
      <c r="P319" s="2376">
        <v>38.020000000000003</v>
      </c>
      <c r="Q319" s="2376">
        <v>51.49</v>
      </c>
      <c r="R319" s="2376">
        <v>74.459999999999994</v>
      </c>
      <c r="S319" s="2376">
        <v>128.51</v>
      </c>
      <c r="T319" s="1684"/>
      <c r="U319" s="1684"/>
      <c r="V319" s="2374">
        <v>23.6</v>
      </c>
      <c r="W319" s="2376">
        <v>5.84</v>
      </c>
      <c r="X319" s="2376">
        <v>11.58</v>
      </c>
      <c r="Y319" s="2376">
        <v>15.74</v>
      </c>
      <c r="Z319" s="2376">
        <v>27.62</v>
      </c>
      <c r="AA319" s="2376">
        <v>36.14</v>
      </c>
      <c r="AB319" s="2376">
        <v>51.68</v>
      </c>
      <c r="AC319" s="2376">
        <v>86.04</v>
      </c>
      <c r="AD319" s="1684"/>
      <c r="AE319" s="1684"/>
      <c r="AF319" s="2374">
        <v>23.6</v>
      </c>
      <c r="AG319" s="2376">
        <v>4.0599999999999996</v>
      </c>
      <c r="AH319" s="2376">
        <v>6.63</v>
      </c>
      <c r="AI319" s="2376">
        <v>10.3</v>
      </c>
      <c r="AJ319" s="2376">
        <v>17.920000000000002</v>
      </c>
      <c r="AK319" s="2376">
        <v>23.66</v>
      </c>
      <c r="AL319" s="2376">
        <v>33.56</v>
      </c>
      <c r="AM319" s="2376">
        <v>56.14</v>
      </c>
      <c r="AN319" s="2275"/>
      <c r="AO319" s="2275"/>
      <c r="AP319" s="2250"/>
      <c r="AQ319" s="2250"/>
      <c r="AR319" s="2250"/>
      <c r="AS319" s="2250"/>
      <c r="AT319" s="2250"/>
      <c r="AU319" s="2250"/>
      <c r="AV319" s="2250"/>
      <c r="AW319" s="2250"/>
      <c r="AX319" s="2250"/>
      <c r="AY319" s="2250"/>
      <c r="AZ319" s="2250"/>
      <c r="BA319" s="2250"/>
      <c r="BB319" s="2250"/>
      <c r="BC319" s="2250"/>
      <c r="BD319" s="2250"/>
      <c r="BE319" s="2250"/>
      <c r="BF319" s="2276"/>
      <c r="BG319" s="2276"/>
      <c r="BH319" s="2250"/>
      <c r="BI319" s="2275"/>
      <c r="BJ319" s="2275"/>
      <c r="BK319" s="2374">
        <v>23.6</v>
      </c>
      <c r="BL319" s="2376">
        <v>10.5</v>
      </c>
      <c r="BM319" s="2376">
        <v>18.32</v>
      </c>
      <c r="BN319" s="2376">
        <v>29.41</v>
      </c>
      <c r="BO319" s="2376">
        <v>52.48</v>
      </c>
      <c r="BP319" s="2376">
        <v>70.59</v>
      </c>
      <c r="BQ319" s="2376">
        <v>102.77</v>
      </c>
      <c r="BR319" s="2376">
        <v>179.21</v>
      </c>
      <c r="BS319" s="1684"/>
      <c r="BT319" s="1684"/>
      <c r="BU319" s="2374">
        <v>23.6</v>
      </c>
      <c r="BV319" s="2376">
        <v>7.62</v>
      </c>
      <c r="BW319" s="2376">
        <v>13.27</v>
      </c>
      <c r="BX319" s="2376">
        <v>21.39</v>
      </c>
      <c r="BY319" s="2376">
        <v>38.020000000000003</v>
      </c>
      <c r="BZ319" s="2376">
        <v>51.49</v>
      </c>
      <c r="CA319" s="2376">
        <v>74.459999999999994</v>
      </c>
      <c r="CB319" s="2376">
        <v>128.51</v>
      </c>
      <c r="CC319" s="1684"/>
      <c r="CD319" s="1684"/>
      <c r="CE319" s="2374">
        <v>23.6</v>
      </c>
      <c r="CF319" s="2376">
        <v>5.84</v>
      </c>
      <c r="CG319" s="2376">
        <v>11.58</v>
      </c>
      <c r="CH319" s="2376">
        <v>15.74</v>
      </c>
      <c r="CI319" s="2376">
        <v>27.62</v>
      </c>
      <c r="CJ319" s="2376">
        <v>36.14</v>
      </c>
      <c r="CK319" s="2376">
        <v>51.68</v>
      </c>
      <c r="CL319" s="2376">
        <v>86.04</v>
      </c>
      <c r="CM319" s="1684"/>
      <c r="CN319" s="1684"/>
      <c r="CO319" s="2374">
        <v>23.6</v>
      </c>
      <c r="CP319" s="2376">
        <v>4.0599999999999996</v>
      </c>
      <c r="CQ319" s="2376">
        <v>6.63</v>
      </c>
      <c r="CR319" s="2376">
        <v>10.3</v>
      </c>
      <c r="CS319" s="2376">
        <v>17.920000000000002</v>
      </c>
      <c r="CT319" s="2376">
        <v>23.66</v>
      </c>
      <c r="CU319" s="2376">
        <v>33.56</v>
      </c>
      <c r="CV319" s="2376">
        <v>56.14</v>
      </c>
      <c r="CW319" s="2275"/>
      <c r="CX319" s="2275"/>
      <c r="CY319" s="2250"/>
      <c r="CZ319" s="2250"/>
      <c r="DA319" s="2250"/>
      <c r="DB319" s="2250"/>
      <c r="DC319" s="2250"/>
      <c r="DD319" s="2250"/>
      <c r="DE319" s="2250"/>
      <c r="DF319" s="2250"/>
      <c r="DG319" s="2250"/>
      <c r="DH319" s="2250"/>
      <c r="DI319" s="2250"/>
      <c r="DJ319" s="2250"/>
      <c r="DK319" s="2250"/>
      <c r="DL319" s="2250"/>
      <c r="DM319" s="2250"/>
      <c r="DN319" s="2250"/>
      <c r="DO319" s="2250"/>
      <c r="DP319" s="2250"/>
      <c r="DQ319" s="2277"/>
      <c r="DR319" s="2277"/>
      <c r="DS319" s="277"/>
      <c r="DW319" s="2275"/>
      <c r="DX319" s="2374">
        <v>23.6</v>
      </c>
      <c r="DY319" s="2376">
        <v>10.5</v>
      </c>
      <c r="DZ319" s="2376">
        <v>18.32</v>
      </c>
      <c r="EA319" s="2376">
        <v>29.41</v>
      </c>
      <c r="EB319" s="2376">
        <v>52.48</v>
      </c>
      <c r="EC319" s="2376">
        <v>70.59</v>
      </c>
      <c r="ED319" s="2376">
        <v>102.77</v>
      </c>
      <c r="EE319" s="2376">
        <v>179.21</v>
      </c>
      <c r="EF319" s="1684"/>
      <c r="EG319" s="1684"/>
      <c r="EH319" s="2374">
        <v>23.6</v>
      </c>
      <c r="EI319" s="2376">
        <v>7.62</v>
      </c>
      <c r="EJ319" s="2376">
        <v>13.27</v>
      </c>
      <c r="EK319" s="2376">
        <v>21.39</v>
      </c>
      <c r="EL319" s="2376">
        <v>38.020000000000003</v>
      </c>
      <c r="EM319" s="2376">
        <v>51.49</v>
      </c>
      <c r="EN319" s="2376">
        <v>74.459999999999994</v>
      </c>
      <c r="EO319" s="2376">
        <v>128.51</v>
      </c>
      <c r="EP319" s="1684"/>
      <c r="EQ319" s="1684"/>
      <c r="ER319" s="2374">
        <v>23.6</v>
      </c>
      <c r="ES319" s="2376">
        <v>5.84</v>
      </c>
      <c r="ET319" s="2376">
        <v>11.58</v>
      </c>
      <c r="EU319" s="2376">
        <v>15.74</v>
      </c>
      <c r="EV319" s="2376">
        <v>27.62</v>
      </c>
      <c r="EW319" s="2376">
        <v>36.14</v>
      </c>
      <c r="EX319" s="2376">
        <v>51.68</v>
      </c>
      <c r="EY319" s="2376">
        <v>86.04</v>
      </c>
      <c r="EZ319" s="1684"/>
      <c r="FA319" s="1684"/>
      <c r="FB319" s="2374">
        <v>23.6</v>
      </c>
      <c r="FC319" s="2376">
        <v>4.0599999999999996</v>
      </c>
      <c r="FD319" s="2376">
        <v>6.63</v>
      </c>
      <c r="FE319" s="2376">
        <v>10.3</v>
      </c>
      <c r="FF319" s="2376">
        <v>17.920000000000002</v>
      </c>
      <c r="FG319" s="2376">
        <v>23.66</v>
      </c>
      <c r="FH319" s="2376">
        <v>33.56</v>
      </c>
      <c r="FI319" s="2376">
        <v>56.14</v>
      </c>
      <c r="FJ319" s="2275"/>
      <c r="FK319" s="2275"/>
      <c r="FL319" s="2250"/>
      <c r="FM319" s="2250"/>
      <c r="FN319" s="2250"/>
      <c r="FO319" s="2250"/>
      <c r="FP319" s="2250"/>
      <c r="FQ319" s="2250"/>
      <c r="FR319" s="2250"/>
      <c r="FS319" s="2250"/>
      <c r="FT319" s="2250"/>
      <c r="FU319" s="2250"/>
      <c r="FV319" s="2250"/>
      <c r="FW319" s="2250"/>
      <c r="FX319" s="2250"/>
      <c r="FY319" s="2250"/>
      <c r="FZ319" s="2250"/>
      <c r="GA319" s="2250"/>
      <c r="GB319" s="2276"/>
      <c r="GC319" s="2276"/>
      <c r="GD319" s="2250"/>
      <c r="GE319" s="2275"/>
      <c r="GF319" s="2275"/>
      <c r="GG319" s="2374">
        <v>23.6</v>
      </c>
      <c r="GH319" s="2376">
        <v>10.5</v>
      </c>
      <c r="GI319" s="2376">
        <v>18.32</v>
      </c>
      <c r="GJ319" s="2376">
        <v>29.41</v>
      </c>
      <c r="GK319" s="2376">
        <v>52.48</v>
      </c>
      <c r="GL319" s="2376">
        <v>70.59</v>
      </c>
      <c r="GM319" s="2376">
        <v>102.77</v>
      </c>
      <c r="GN319" s="2376">
        <v>179.21</v>
      </c>
      <c r="GO319" s="1684"/>
      <c r="GP319" s="1684"/>
      <c r="GQ319" s="2374">
        <v>23.6</v>
      </c>
      <c r="GR319" s="2376">
        <v>7.62</v>
      </c>
      <c r="GS319" s="2376">
        <v>13.27</v>
      </c>
      <c r="GT319" s="2376">
        <v>21.39</v>
      </c>
      <c r="GU319" s="2376">
        <v>38.020000000000003</v>
      </c>
      <c r="GV319" s="2376">
        <v>51.49</v>
      </c>
      <c r="GW319" s="2376">
        <v>74.459999999999994</v>
      </c>
      <c r="GX319" s="2376">
        <v>128.51</v>
      </c>
      <c r="GY319" s="1684"/>
      <c r="GZ319" s="1684"/>
      <c r="HA319" s="2374">
        <v>23.6</v>
      </c>
      <c r="HB319" s="2376">
        <v>5.84</v>
      </c>
      <c r="HC319" s="2376">
        <v>11.58</v>
      </c>
      <c r="HD319" s="2376">
        <v>15.74</v>
      </c>
      <c r="HE319" s="2376">
        <v>27.62</v>
      </c>
      <c r="HF319" s="2376">
        <v>36.14</v>
      </c>
      <c r="HG319" s="2376">
        <v>51.68</v>
      </c>
      <c r="HH319" s="2376">
        <v>86.04</v>
      </c>
      <c r="HI319" s="1684"/>
      <c r="HJ319" s="1684"/>
      <c r="HK319" s="2374">
        <v>23.6</v>
      </c>
      <c r="HL319" s="2376">
        <v>4.0599999999999996</v>
      </c>
      <c r="HM319" s="2376">
        <v>6.63</v>
      </c>
      <c r="HN319" s="2376">
        <v>10.3</v>
      </c>
      <c r="HO319" s="2376">
        <v>17.920000000000002</v>
      </c>
      <c r="HP319" s="2376">
        <v>23.66</v>
      </c>
      <c r="HQ319" s="2376">
        <v>33.56</v>
      </c>
      <c r="HR319" s="2376">
        <v>56.14</v>
      </c>
      <c r="HS319" s="2275"/>
      <c r="HT319" s="2275"/>
      <c r="HU319" s="2250"/>
      <c r="HV319" s="2250"/>
      <c r="HW319" s="2250"/>
      <c r="HX319" s="2250"/>
      <c r="HY319" s="2250"/>
      <c r="HZ319" s="2250"/>
      <c r="IA319" s="2250"/>
      <c r="IB319" s="2250"/>
      <c r="IC319" s="2250"/>
      <c r="ID319" s="2250"/>
      <c r="IE319" s="2250"/>
      <c r="IF319" s="2250"/>
      <c r="IG319" s="2250"/>
      <c r="IH319" s="2250"/>
      <c r="II319" s="2250"/>
      <c r="IJ319" s="2250"/>
      <c r="IK319" s="2250"/>
      <c r="IL319" s="2250"/>
      <c r="IN319" s="277"/>
      <c r="IO319" s="277"/>
    </row>
    <row r="320" spans="1:249" ht="21.95" customHeight="1">
      <c r="A320" s="2275"/>
      <c r="B320" s="2374">
        <v>18.8</v>
      </c>
      <c r="C320" s="2376">
        <v>12.57</v>
      </c>
      <c r="D320" s="2376">
        <v>21.19</v>
      </c>
      <c r="E320" s="2376">
        <v>35.15</v>
      </c>
      <c r="F320" s="2376">
        <v>66.44</v>
      </c>
      <c r="G320" s="2376">
        <v>87.72</v>
      </c>
      <c r="H320" s="2376">
        <v>130.79</v>
      </c>
      <c r="I320" s="2376">
        <v>215.25</v>
      </c>
      <c r="J320" s="1684"/>
      <c r="K320" s="1684"/>
      <c r="L320" s="2374">
        <v>18.8</v>
      </c>
      <c r="M320" s="2376">
        <v>9.01</v>
      </c>
      <c r="N320" s="2376">
        <v>15.35</v>
      </c>
      <c r="O320" s="2376">
        <v>25.25</v>
      </c>
      <c r="P320" s="2376">
        <v>48.12</v>
      </c>
      <c r="Q320" s="2376">
        <v>63.56</v>
      </c>
      <c r="R320" s="2376">
        <v>91.49</v>
      </c>
      <c r="S320" s="2376">
        <v>154.46</v>
      </c>
      <c r="T320" s="1684"/>
      <c r="U320" s="1684"/>
      <c r="V320" s="2374">
        <v>18.8</v>
      </c>
      <c r="W320" s="2376">
        <v>6.93</v>
      </c>
      <c r="X320" s="2376">
        <v>13.96</v>
      </c>
      <c r="Y320" s="2376">
        <v>19.010000000000002</v>
      </c>
      <c r="Z320" s="2376">
        <v>34.06</v>
      </c>
      <c r="AA320" s="2376">
        <v>44.06</v>
      </c>
      <c r="AB320" s="2376">
        <v>61.19</v>
      </c>
      <c r="AC320" s="2376">
        <v>104.06</v>
      </c>
      <c r="AD320" s="1684"/>
      <c r="AE320" s="1684"/>
      <c r="AF320" s="2374">
        <v>18.8</v>
      </c>
      <c r="AG320" s="2376">
        <v>4.6500000000000004</v>
      </c>
      <c r="AH320" s="2376">
        <v>8.1199999999999992</v>
      </c>
      <c r="AI320" s="2376">
        <v>12.38</v>
      </c>
      <c r="AJ320" s="2376">
        <v>18.809999999999999</v>
      </c>
      <c r="AK320" s="2376">
        <v>22.28</v>
      </c>
      <c r="AL320" s="2376">
        <v>40.1</v>
      </c>
      <c r="AM320" s="2376">
        <v>67.62</v>
      </c>
      <c r="AN320" s="2275"/>
      <c r="AO320" s="2275"/>
      <c r="AP320" s="2250"/>
      <c r="AQ320" s="2250"/>
      <c r="AR320" s="2250"/>
      <c r="AS320" s="2250"/>
      <c r="AT320" s="2250"/>
      <c r="AU320" s="2250"/>
      <c r="AV320" s="2250"/>
      <c r="AW320" s="2250"/>
      <c r="AX320" s="2250"/>
      <c r="AY320" s="2250"/>
      <c r="AZ320" s="2250"/>
      <c r="BA320" s="2250"/>
      <c r="BB320" s="2250"/>
      <c r="BC320" s="2250"/>
      <c r="BD320" s="2250"/>
      <c r="BE320" s="2250"/>
      <c r="BF320" s="2276"/>
      <c r="BG320" s="2276"/>
      <c r="BH320" s="2250"/>
      <c r="BI320" s="2275"/>
      <c r="BJ320" s="2275"/>
      <c r="BK320" s="2374">
        <v>18.8</v>
      </c>
      <c r="BL320" s="2376">
        <v>12.57</v>
      </c>
      <c r="BM320" s="2376">
        <v>21.19</v>
      </c>
      <c r="BN320" s="2376">
        <v>35.15</v>
      </c>
      <c r="BO320" s="2376">
        <v>66.44</v>
      </c>
      <c r="BP320" s="2376">
        <v>87.72</v>
      </c>
      <c r="BQ320" s="2376">
        <v>130.79</v>
      </c>
      <c r="BR320" s="2376">
        <v>215.25</v>
      </c>
      <c r="BS320" s="1684"/>
      <c r="BT320" s="1684"/>
      <c r="BU320" s="2374">
        <v>18.8</v>
      </c>
      <c r="BV320" s="2376">
        <v>9.01</v>
      </c>
      <c r="BW320" s="2376">
        <v>15.35</v>
      </c>
      <c r="BX320" s="2376">
        <v>25.25</v>
      </c>
      <c r="BY320" s="2376">
        <v>48.12</v>
      </c>
      <c r="BZ320" s="2376">
        <v>63.56</v>
      </c>
      <c r="CA320" s="2376">
        <v>91.49</v>
      </c>
      <c r="CB320" s="2376">
        <v>154.46</v>
      </c>
      <c r="CC320" s="1684"/>
      <c r="CD320" s="1684"/>
      <c r="CE320" s="2374">
        <v>18.8</v>
      </c>
      <c r="CF320" s="2376">
        <v>6.93</v>
      </c>
      <c r="CG320" s="2376">
        <v>13.96</v>
      </c>
      <c r="CH320" s="2376">
        <v>19.010000000000002</v>
      </c>
      <c r="CI320" s="2376">
        <v>34.06</v>
      </c>
      <c r="CJ320" s="2376">
        <v>44.06</v>
      </c>
      <c r="CK320" s="2376">
        <v>61.19</v>
      </c>
      <c r="CL320" s="2376">
        <v>104.06</v>
      </c>
      <c r="CM320" s="1684"/>
      <c r="CN320" s="1684"/>
      <c r="CO320" s="2374">
        <v>18.8</v>
      </c>
      <c r="CP320" s="2376">
        <v>4.6500000000000004</v>
      </c>
      <c r="CQ320" s="2376">
        <v>8.1199999999999992</v>
      </c>
      <c r="CR320" s="2376">
        <v>12.38</v>
      </c>
      <c r="CS320" s="2376">
        <v>18.809999999999999</v>
      </c>
      <c r="CT320" s="2376">
        <v>22.28</v>
      </c>
      <c r="CU320" s="2376">
        <v>40.1</v>
      </c>
      <c r="CV320" s="2376">
        <v>67.62</v>
      </c>
      <c r="CW320" s="2275"/>
      <c r="CX320" s="2275"/>
      <c r="CY320" s="2250"/>
      <c r="CZ320" s="2250"/>
      <c r="DA320" s="2250"/>
      <c r="DB320" s="2250"/>
      <c r="DC320" s="2250"/>
      <c r="DD320" s="2250"/>
      <c r="DE320" s="2250"/>
      <c r="DF320" s="2250"/>
      <c r="DG320" s="2250"/>
      <c r="DH320" s="2250"/>
      <c r="DI320" s="2250"/>
      <c r="DJ320" s="2250"/>
      <c r="DK320" s="2250"/>
      <c r="DL320" s="2250"/>
      <c r="DM320" s="2250"/>
      <c r="DN320" s="2250"/>
      <c r="DO320" s="2250"/>
      <c r="DP320" s="2250"/>
      <c r="DQ320" s="2277"/>
      <c r="DR320" s="2277"/>
      <c r="DS320" s="277"/>
      <c r="DW320" s="2275"/>
      <c r="DX320" s="2374">
        <v>18.8</v>
      </c>
      <c r="DY320" s="2376">
        <v>12.57</v>
      </c>
      <c r="DZ320" s="2376">
        <v>21.19</v>
      </c>
      <c r="EA320" s="2376">
        <v>35.15</v>
      </c>
      <c r="EB320" s="2376">
        <v>66.44</v>
      </c>
      <c r="EC320" s="2376">
        <v>87.72</v>
      </c>
      <c r="ED320" s="2376">
        <v>130.79</v>
      </c>
      <c r="EE320" s="2376">
        <v>215.25</v>
      </c>
      <c r="EF320" s="1684"/>
      <c r="EG320" s="1684"/>
      <c r="EH320" s="2374">
        <v>18.8</v>
      </c>
      <c r="EI320" s="2376">
        <v>9.01</v>
      </c>
      <c r="EJ320" s="2376">
        <v>15.35</v>
      </c>
      <c r="EK320" s="2376">
        <v>25.25</v>
      </c>
      <c r="EL320" s="2376">
        <v>48.12</v>
      </c>
      <c r="EM320" s="2376">
        <v>63.56</v>
      </c>
      <c r="EN320" s="2376">
        <v>91.49</v>
      </c>
      <c r="EO320" s="2376">
        <v>154.46</v>
      </c>
      <c r="EP320" s="1684"/>
      <c r="EQ320" s="1684"/>
      <c r="ER320" s="2374">
        <v>18.8</v>
      </c>
      <c r="ES320" s="2376">
        <v>6.93</v>
      </c>
      <c r="ET320" s="2376">
        <v>13.96</v>
      </c>
      <c r="EU320" s="2376">
        <v>19.010000000000002</v>
      </c>
      <c r="EV320" s="2376">
        <v>34.06</v>
      </c>
      <c r="EW320" s="2376">
        <v>44.06</v>
      </c>
      <c r="EX320" s="2376">
        <v>61.19</v>
      </c>
      <c r="EY320" s="2376">
        <v>104.06</v>
      </c>
      <c r="EZ320" s="1684"/>
      <c r="FA320" s="1684"/>
      <c r="FB320" s="2374">
        <v>18.8</v>
      </c>
      <c r="FC320" s="2376">
        <v>4.6500000000000004</v>
      </c>
      <c r="FD320" s="2376">
        <v>8.1199999999999992</v>
      </c>
      <c r="FE320" s="2376">
        <v>12.38</v>
      </c>
      <c r="FF320" s="2376">
        <v>18.809999999999999</v>
      </c>
      <c r="FG320" s="2376">
        <v>22.28</v>
      </c>
      <c r="FH320" s="2376">
        <v>40.1</v>
      </c>
      <c r="FI320" s="2376">
        <v>67.62</v>
      </c>
      <c r="FJ320" s="2275"/>
      <c r="FK320" s="2275"/>
      <c r="FL320" s="2250"/>
      <c r="FM320" s="2250"/>
      <c r="FN320" s="2250"/>
      <c r="FO320" s="2250"/>
      <c r="FP320" s="2250"/>
      <c r="FQ320" s="2250"/>
      <c r="FR320" s="2250"/>
      <c r="FS320" s="2250"/>
      <c r="FT320" s="2250"/>
      <c r="FU320" s="2250"/>
      <c r="FV320" s="2250"/>
      <c r="FW320" s="2250"/>
      <c r="FX320" s="2250"/>
      <c r="FY320" s="2250"/>
      <c r="FZ320" s="2250"/>
      <c r="GA320" s="2250"/>
      <c r="GB320" s="2276"/>
      <c r="GC320" s="2276"/>
      <c r="GD320" s="2250"/>
      <c r="GE320" s="2275"/>
      <c r="GF320" s="2275"/>
      <c r="GG320" s="2374">
        <v>18.8</v>
      </c>
      <c r="GH320" s="2376">
        <v>12.57</v>
      </c>
      <c r="GI320" s="2376">
        <v>21.19</v>
      </c>
      <c r="GJ320" s="2376">
        <v>35.15</v>
      </c>
      <c r="GK320" s="2376">
        <v>66.44</v>
      </c>
      <c r="GL320" s="2376">
        <v>87.72</v>
      </c>
      <c r="GM320" s="2376">
        <v>130.79</v>
      </c>
      <c r="GN320" s="2376">
        <v>215.25</v>
      </c>
      <c r="GO320" s="1684"/>
      <c r="GP320" s="1684"/>
      <c r="GQ320" s="2374">
        <v>18.8</v>
      </c>
      <c r="GR320" s="2376">
        <v>9.01</v>
      </c>
      <c r="GS320" s="2376">
        <v>15.35</v>
      </c>
      <c r="GT320" s="2376">
        <v>25.25</v>
      </c>
      <c r="GU320" s="2376">
        <v>48.12</v>
      </c>
      <c r="GV320" s="2376">
        <v>63.56</v>
      </c>
      <c r="GW320" s="2376">
        <v>91.49</v>
      </c>
      <c r="GX320" s="2376">
        <v>154.46</v>
      </c>
      <c r="GY320" s="1684"/>
      <c r="GZ320" s="1684"/>
      <c r="HA320" s="2374">
        <v>18.8</v>
      </c>
      <c r="HB320" s="2376">
        <v>6.93</v>
      </c>
      <c r="HC320" s="2376">
        <v>13.96</v>
      </c>
      <c r="HD320" s="2376">
        <v>19.010000000000002</v>
      </c>
      <c r="HE320" s="2376">
        <v>34.06</v>
      </c>
      <c r="HF320" s="2376">
        <v>44.06</v>
      </c>
      <c r="HG320" s="2376">
        <v>61.19</v>
      </c>
      <c r="HH320" s="2376">
        <v>104.06</v>
      </c>
      <c r="HI320" s="1684"/>
      <c r="HJ320" s="1684"/>
      <c r="HK320" s="2374">
        <v>18.8</v>
      </c>
      <c r="HL320" s="2376">
        <v>4.6500000000000004</v>
      </c>
      <c r="HM320" s="2376">
        <v>8.1199999999999992</v>
      </c>
      <c r="HN320" s="2376">
        <v>12.38</v>
      </c>
      <c r="HO320" s="2376">
        <v>18.809999999999999</v>
      </c>
      <c r="HP320" s="2376">
        <v>22.28</v>
      </c>
      <c r="HQ320" s="2376">
        <v>40.1</v>
      </c>
      <c r="HR320" s="2376">
        <v>67.62</v>
      </c>
      <c r="HS320" s="2275"/>
      <c r="HT320" s="2275"/>
      <c r="HU320" s="2250"/>
      <c r="HV320" s="2250"/>
      <c r="HW320" s="2250"/>
      <c r="HX320" s="2250"/>
      <c r="HY320" s="2250"/>
      <c r="HZ320" s="2250"/>
      <c r="IA320" s="2250"/>
      <c r="IB320" s="2250"/>
      <c r="IC320" s="2250"/>
      <c r="ID320" s="2250"/>
      <c r="IE320" s="2250"/>
      <c r="IF320" s="2250"/>
      <c r="IG320" s="2250"/>
      <c r="IH320" s="2250"/>
      <c r="II320" s="2250"/>
      <c r="IJ320" s="2250"/>
      <c r="IK320" s="2250"/>
      <c r="IL320" s="2250"/>
      <c r="IN320" s="277"/>
      <c r="IO320" s="277"/>
    </row>
    <row r="321" spans="1:249" ht="21.95" customHeight="1">
      <c r="A321" s="2275"/>
      <c r="B321" s="2374">
        <v>15</v>
      </c>
      <c r="C321" s="2376">
        <v>15.54</v>
      </c>
      <c r="D321" s="2376">
        <v>25.45</v>
      </c>
      <c r="E321" s="2376">
        <v>43.27</v>
      </c>
      <c r="F321" s="2376">
        <v>69.8</v>
      </c>
      <c r="G321" s="2376">
        <v>106.93</v>
      </c>
      <c r="H321" s="2376">
        <v>139.5</v>
      </c>
      <c r="I321" s="2376">
        <v>255.64</v>
      </c>
      <c r="J321" s="1684"/>
      <c r="K321" s="1684"/>
      <c r="L321" s="2374">
        <v>15</v>
      </c>
      <c r="M321" s="2376">
        <v>11.19</v>
      </c>
      <c r="N321" s="2376">
        <v>18.420000000000002</v>
      </c>
      <c r="O321" s="2376">
        <v>31.39</v>
      </c>
      <c r="P321" s="2376">
        <v>50.59</v>
      </c>
      <c r="Q321" s="2376">
        <v>76.930000000000007</v>
      </c>
      <c r="R321" s="2376">
        <v>101.19</v>
      </c>
      <c r="S321" s="2376">
        <v>185.35</v>
      </c>
      <c r="T321" s="1684"/>
      <c r="U321" s="1684"/>
      <c r="V321" s="2374">
        <v>15</v>
      </c>
      <c r="W321" s="2376">
        <v>8.61</v>
      </c>
      <c r="X321" s="2376">
        <v>18.420000000000002</v>
      </c>
      <c r="Y321" s="2376">
        <v>23.66</v>
      </c>
      <c r="Z321" s="2376">
        <v>38.22</v>
      </c>
      <c r="AA321" s="2376">
        <v>58.81</v>
      </c>
      <c r="AB321" s="2376">
        <v>76.34</v>
      </c>
      <c r="AC321" s="2376">
        <v>138.71</v>
      </c>
      <c r="AD321" s="1684"/>
      <c r="AE321" s="1684"/>
      <c r="AF321" s="2374">
        <v>15</v>
      </c>
      <c r="AG321" s="2376">
        <v>6.14</v>
      </c>
      <c r="AH321" s="2376">
        <v>10.5</v>
      </c>
      <c r="AI321" s="2376">
        <v>16.53</v>
      </c>
      <c r="AJ321" s="2376">
        <v>28.71</v>
      </c>
      <c r="AK321" s="2376">
        <v>38.61</v>
      </c>
      <c r="AL321" s="2376">
        <v>53.37</v>
      </c>
      <c r="AM321" s="2376">
        <v>90.5</v>
      </c>
      <c r="AN321" s="2275"/>
      <c r="AO321" s="2275"/>
      <c r="AP321" s="2250"/>
      <c r="AQ321" s="2250"/>
      <c r="AR321" s="2250"/>
      <c r="AS321" s="2250"/>
      <c r="AT321" s="2250"/>
      <c r="AU321" s="2250"/>
      <c r="AV321" s="2250"/>
      <c r="AW321" s="2250"/>
      <c r="AX321" s="2250"/>
      <c r="AY321" s="2250"/>
      <c r="AZ321" s="2250"/>
      <c r="BA321" s="2250"/>
      <c r="BB321" s="2250"/>
      <c r="BC321" s="2250"/>
      <c r="BD321" s="2250"/>
      <c r="BE321" s="2250"/>
      <c r="BF321" s="2276"/>
      <c r="BG321" s="2276"/>
      <c r="BH321" s="2250"/>
      <c r="BI321" s="2275"/>
      <c r="BJ321" s="2275"/>
      <c r="BK321" s="2374">
        <v>15</v>
      </c>
      <c r="BL321" s="2376">
        <v>15.54</v>
      </c>
      <c r="BM321" s="2376">
        <v>25.45</v>
      </c>
      <c r="BN321" s="2376">
        <v>43.27</v>
      </c>
      <c r="BO321" s="2376">
        <v>69.8</v>
      </c>
      <c r="BP321" s="2376">
        <v>106.93</v>
      </c>
      <c r="BQ321" s="2376">
        <v>139.5</v>
      </c>
      <c r="BR321" s="2376">
        <v>255.64</v>
      </c>
      <c r="BS321" s="1684"/>
      <c r="BT321" s="1684"/>
      <c r="BU321" s="2374">
        <v>15</v>
      </c>
      <c r="BV321" s="2376">
        <v>11.19</v>
      </c>
      <c r="BW321" s="2376">
        <v>18.420000000000002</v>
      </c>
      <c r="BX321" s="2376">
        <v>31.39</v>
      </c>
      <c r="BY321" s="2376">
        <v>50.59</v>
      </c>
      <c r="BZ321" s="2376">
        <v>76.930000000000007</v>
      </c>
      <c r="CA321" s="2376">
        <v>101.19</v>
      </c>
      <c r="CB321" s="2376">
        <v>185.35</v>
      </c>
      <c r="CC321" s="1684"/>
      <c r="CD321" s="1684"/>
      <c r="CE321" s="2374">
        <v>15</v>
      </c>
      <c r="CF321" s="2376">
        <v>8.61</v>
      </c>
      <c r="CG321" s="2376">
        <v>18.420000000000002</v>
      </c>
      <c r="CH321" s="2376">
        <v>23.66</v>
      </c>
      <c r="CI321" s="2376">
        <v>38.22</v>
      </c>
      <c r="CJ321" s="2376">
        <v>58.81</v>
      </c>
      <c r="CK321" s="2376">
        <v>76.34</v>
      </c>
      <c r="CL321" s="2376">
        <v>138.71</v>
      </c>
      <c r="CM321" s="1684"/>
      <c r="CN321" s="1684"/>
      <c r="CO321" s="2374">
        <v>15</v>
      </c>
      <c r="CP321" s="2376">
        <v>6.14</v>
      </c>
      <c r="CQ321" s="2376">
        <v>10.5</v>
      </c>
      <c r="CR321" s="2376">
        <v>16.53</v>
      </c>
      <c r="CS321" s="2376">
        <v>28.71</v>
      </c>
      <c r="CT321" s="2376">
        <v>38.61</v>
      </c>
      <c r="CU321" s="2376">
        <v>53.37</v>
      </c>
      <c r="CV321" s="2376">
        <v>90.5</v>
      </c>
      <c r="CW321" s="2275"/>
      <c r="CX321" s="2275"/>
      <c r="CY321" s="2250"/>
      <c r="CZ321" s="2250"/>
      <c r="DA321" s="2250"/>
      <c r="DB321" s="2250"/>
      <c r="DC321" s="2250"/>
      <c r="DD321" s="2250"/>
      <c r="DE321" s="2250"/>
      <c r="DF321" s="2250"/>
      <c r="DG321" s="2250"/>
      <c r="DH321" s="2250"/>
      <c r="DI321" s="2250"/>
      <c r="DJ321" s="2250"/>
      <c r="DK321" s="2250"/>
      <c r="DL321" s="2250"/>
      <c r="DM321" s="2250"/>
      <c r="DN321" s="2250"/>
      <c r="DO321" s="2250"/>
      <c r="DP321" s="2250"/>
      <c r="DQ321" s="2277"/>
      <c r="DR321" s="2277"/>
      <c r="DS321" s="277"/>
      <c r="DW321" s="2275"/>
      <c r="DX321" s="2374">
        <v>15</v>
      </c>
      <c r="DY321" s="2376">
        <v>15.54</v>
      </c>
      <c r="DZ321" s="2376">
        <v>25.45</v>
      </c>
      <c r="EA321" s="2376">
        <v>43.27</v>
      </c>
      <c r="EB321" s="2376">
        <v>69.8</v>
      </c>
      <c r="EC321" s="2376">
        <v>106.93</v>
      </c>
      <c r="ED321" s="2376">
        <v>139.5</v>
      </c>
      <c r="EE321" s="2376">
        <v>255.64</v>
      </c>
      <c r="EF321" s="1684"/>
      <c r="EG321" s="1684"/>
      <c r="EH321" s="2374">
        <v>15</v>
      </c>
      <c r="EI321" s="2376">
        <v>11.19</v>
      </c>
      <c r="EJ321" s="2376">
        <v>18.420000000000002</v>
      </c>
      <c r="EK321" s="2376">
        <v>31.39</v>
      </c>
      <c r="EL321" s="2376">
        <v>50.59</v>
      </c>
      <c r="EM321" s="2376">
        <v>76.930000000000007</v>
      </c>
      <c r="EN321" s="2376">
        <v>101.19</v>
      </c>
      <c r="EO321" s="2376">
        <v>185.35</v>
      </c>
      <c r="EP321" s="1684"/>
      <c r="EQ321" s="1684"/>
      <c r="ER321" s="2374">
        <v>15</v>
      </c>
      <c r="ES321" s="2376">
        <v>8.61</v>
      </c>
      <c r="ET321" s="2376">
        <v>18.420000000000002</v>
      </c>
      <c r="EU321" s="2376">
        <v>23.66</v>
      </c>
      <c r="EV321" s="2376">
        <v>38.22</v>
      </c>
      <c r="EW321" s="2376">
        <v>58.81</v>
      </c>
      <c r="EX321" s="2376">
        <v>76.34</v>
      </c>
      <c r="EY321" s="2376">
        <v>138.71</v>
      </c>
      <c r="EZ321" s="1684"/>
      <c r="FA321" s="1684"/>
      <c r="FB321" s="2374">
        <v>15</v>
      </c>
      <c r="FC321" s="2376">
        <v>6.14</v>
      </c>
      <c r="FD321" s="2376">
        <v>10.5</v>
      </c>
      <c r="FE321" s="2376">
        <v>16.53</v>
      </c>
      <c r="FF321" s="2376">
        <v>28.71</v>
      </c>
      <c r="FG321" s="2376">
        <v>38.61</v>
      </c>
      <c r="FH321" s="2376">
        <v>53.37</v>
      </c>
      <c r="FI321" s="2376">
        <v>90.5</v>
      </c>
      <c r="FJ321" s="2275"/>
      <c r="FK321" s="2275"/>
      <c r="FL321" s="2250"/>
      <c r="FM321" s="2250"/>
      <c r="FN321" s="2250"/>
      <c r="FO321" s="2250"/>
      <c r="FP321" s="2250"/>
      <c r="FQ321" s="2250"/>
      <c r="FR321" s="2250"/>
      <c r="FS321" s="2250"/>
      <c r="FT321" s="2250"/>
      <c r="FU321" s="2250"/>
      <c r="FV321" s="2250"/>
      <c r="FW321" s="2250"/>
      <c r="FX321" s="2250"/>
      <c r="FY321" s="2250"/>
      <c r="FZ321" s="2250"/>
      <c r="GA321" s="2250"/>
      <c r="GB321" s="2276"/>
      <c r="GC321" s="2276"/>
      <c r="GD321" s="2250"/>
      <c r="GE321" s="2275"/>
      <c r="GF321" s="2275"/>
      <c r="GG321" s="2374">
        <v>15</v>
      </c>
      <c r="GH321" s="2376">
        <v>15.54</v>
      </c>
      <c r="GI321" s="2376">
        <v>25.45</v>
      </c>
      <c r="GJ321" s="2376">
        <v>43.27</v>
      </c>
      <c r="GK321" s="2376">
        <v>69.8</v>
      </c>
      <c r="GL321" s="2376">
        <v>106.93</v>
      </c>
      <c r="GM321" s="2376">
        <v>139.5</v>
      </c>
      <c r="GN321" s="2376">
        <v>255.64</v>
      </c>
      <c r="GO321" s="1684"/>
      <c r="GP321" s="1684"/>
      <c r="GQ321" s="2374">
        <v>15</v>
      </c>
      <c r="GR321" s="2376">
        <v>11.19</v>
      </c>
      <c r="GS321" s="2376">
        <v>18.420000000000002</v>
      </c>
      <c r="GT321" s="2376">
        <v>31.39</v>
      </c>
      <c r="GU321" s="2376">
        <v>50.59</v>
      </c>
      <c r="GV321" s="2376">
        <v>76.930000000000007</v>
      </c>
      <c r="GW321" s="2376">
        <v>101.19</v>
      </c>
      <c r="GX321" s="2376">
        <v>185.35</v>
      </c>
      <c r="GY321" s="1684"/>
      <c r="GZ321" s="1684"/>
      <c r="HA321" s="2374">
        <v>15</v>
      </c>
      <c r="HB321" s="2376">
        <v>8.61</v>
      </c>
      <c r="HC321" s="2376">
        <v>18.420000000000002</v>
      </c>
      <c r="HD321" s="2376">
        <v>23.66</v>
      </c>
      <c r="HE321" s="2376">
        <v>38.22</v>
      </c>
      <c r="HF321" s="2376">
        <v>58.81</v>
      </c>
      <c r="HG321" s="2376">
        <v>76.34</v>
      </c>
      <c r="HH321" s="2376">
        <v>138.71</v>
      </c>
      <c r="HI321" s="1684"/>
      <c r="HJ321" s="1684"/>
      <c r="HK321" s="2374">
        <v>15</v>
      </c>
      <c r="HL321" s="2376">
        <v>6.14</v>
      </c>
      <c r="HM321" s="2376">
        <v>10.5</v>
      </c>
      <c r="HN321" s="2376">
        <v>16.53</v>
      </c>
      <c r="HO321" s="2376">
        <v>28.71</v>
      </c>
      <c r="HP321" s="2376">
        <v>38.61</v>
      </c>
      <c r="HQ321" s="2376">
        <v>53.37</v>
      </c>
      <c r="HR321" s="2376">
        <v>90.5</v>
      </c>
      <c r="HS321" s="2275"/>
      <c r="HT321" s="2275"/>
      <c r="HU321" s="2250"/>
      <c r="HV321" s="2250"/>
      <c r="HW321" s="2250"/>
      <c r="HX321" s="2250"/>
      <c r="HY321" s="2250"/>
      <c r="HZ321" s="2250"/>
      <c r="IA321" s="2250"/>
      <c r="IB321" s="2250"/>
      <c r="IC321" s="2250"/>
      <c r="ID321" s="2250"/>
      <c r="IE321" s="2250"/>
      <c r="IF321" s="2250"/>
      <c r="IG321" s="2250"/>
      <c r="IH321" s="2250"/>
      <c r="II321" s="2250"/>
      <c r="IJ321" s="2250"/>
      <c r="IK321" s="2250"/>
      <c r="IL321" s="2250"/>
      <c r="IN321" s="277"/>
      <c r="IO321" s="277"/>
    </row>
    <row r="322" spans="1:249" ht="21.95" customHeight="1">
      <c r="A322" s="2275"/>
      <c r="B322" s="1684"/>
      <c r="C322" s="1684"/>
      <c r="D322" s="1684"/>
      <c r="E322" s="1684"/>
      <c r="F322" s="1684"/>
      <c r="G322" s="1684"/>
      <c r="H322" s="1684"/>
      <c r="I322" s="1684"/>
      <c r="J322" s="1684"/>
      <c r="K322" s="1684"/>
      <c r="L322" s="1684"/>
      <c r="M322" s="1684"/>
      <c r="N322" s="1684"/>
      <c r="O322" s="1684"/>
      <c r="P322" s="1684"/>
      <c r="Q322" s="1684"/>
      <c r="R322" s="1684"/>
      <c r="S322" s="1684"/>
      <c r="T322" s="1684"/>
      <c r="U322" s="1684"/>
      <c r="V322" s="1684"/>
      <c r="W322" s="1684"/>
      <c r="X322" s="1684"/>
      <c r="Y322" s="1684"/>
      <c r="Z322" s="1684"/>
      <c r="AA322" s="1684"/>
      <c r="AB322" s="1684"/>
      <c r="AC322" s="1684"/>
      <c r="AD322" s="1684"/>
      <c r="AE322" s="1684"/>
      <c r="AF322" s="1684"/>
      <c r="AG322" s="1684"/>
      <c r="AH322" s="1684"/>
      <c r="AI322" s="1684"/>
      <c r="AJ322" s="1684"/>
      <c r="AK322" s="1684"/>
      <c r="AL322" s="1684"/>
      <c r="AM322" s="1684"/>
      <c r="AN322" s="2275"/>
      <c r="AO322" s="2275"/>
      <c r="AP322" s="2250"/>
      <c r="AQ322" s="2250"/>
      <c r="AR322" s="2250"/>
      <c r="AS322" s="2250"/>
      <c r="AT322" s="2250"/>
      <c r="AU322" s="2250"/>
      <c r="AV322" s="2250"/>
      <c r="AW322" s="2250"/>
      <c r="AX322" s="2250"/>
      <c r="AY322" s="2250"/>
      <c r="AZ322" s="2250"/>
      <c r="BA322" s="2250"/>
      <c r="BB322" s="2250"/>
      <c r="BC322" s="2250"/>
      <c r="BD322" s="2250"/>
      <c r="BE322" s="2250"/>
      <c r="BF322" s="2276"/>
      <c r="BG322" s="2276"/>
      <c r="BH322" s="2250"/>
      <c r="BI322" s="2275"/>
      <c r="BJ322" s="2275"/>
      <c r="BK322" s="1684"/>
      <c r="BL322" s="1684"/>
      <c r="BM322" s="1684"/>
      <c r="BN322" s="1684"/>
      <c r="BO322" s="1684"/>
      <c r="BP322" s="1684"/>
      <c r="BQ322" s="1684"/>
      <c r="BR322" s="1684"/>
      <c r="BS322" s="1684"/>
      <c r="BT322" s="1684"/>
      <c r="BU322" s="1684"/>
      <c r="BV322" s="1684"/>
      <c r="BW322" s="1684"/>
      <c r="BX322" s="1684"/>
      <c r="BY322" s="1684"/>
      <c r="BZ322" s="1684"/>
      <c r="CA322" s="1684"/>
      <c r="CB322" s="1684"/>
      <c r="CC322" s="1684"/>
      <c r="CD322" s="1684"/>
      <c r="CE322" s="1684"/>
      <c r="CF322" s="1684"/>
      <c r="CG322" s="1684"/>
      <c r="CH322" s="1684"/>
      <c r="CI322" s="1684"/>
      <c r="CJ322" s="1684"/>
      <c r="CK322" s="1684"/>
      <c r="CL322" s="1684"/>
      <c r="CM322" s="1684"/>
      <c r="CN322" s="1684"/>
      <c r="CO322" s="1684"/>
      <c r="CP322" s="1684"/>
      <c r="CQ322" s="1684"/>
      <c r="CR322" s="1684"/>
      <c r="CS322" s="1684"/>
      <c r="CT322" s="1684"/>
      <c r="CU322" s="1684"/>
      <c r="CV322" s="1684"/>
      <c r="CW322" s="2275"/>
      <c r="CX322" s="2275"/>
      <c r="CY322" s="2250"/>
      <c r="CZ322" s="2250"/>
      <c r="DA322" s="2250"/>
      <c r="DB322" s="2250"/>
      <c r="DC322" s="2250"/>
      <c r="DD322" s="2250"/>
      <c r="DE322" s="2250"/>
      <c r="DF322" s="2250"/>
      <c r="DG322" s="2250"/>
      <c r="DH322" s="2250"/>
      <c r="DI322" s="2250"/>
      <c r="DJ322" s="2250"/>
      <c r="DK322" s="2250"/>
      <c r="DL322" s="2250"/>
      <c r="DM322" s="2250"/>
      <c r="DN322" s="2250"/>
      <c r="DO322" s="2250"/>
      <c r="DP322" s="2250"/>
      <c r="DQ322" s="2277"/>
      <c r="DR322" s="2277"/>
      <c r="DS322" s="277"/>
      <c r="DW322" s="2275"/>
      <c r="DX322" s="1684"/>
      <c r="DY322" s="1684"/>
      <c r="DZ322" s="1684"/>
      <c r="EA322" s="1684"/>
      <c r="EB322" s="1684"/>
      <c r="EC322" s="1684"/>
      <c r="ED322" s="1684"/>
      <c r="EE322" s="1684"/>
      <c r="EF322" s="1684"/>
      <c r="EG322" s="1684"/>
      <c r="EH322" s="1684"/>
      <c r="EI322" s="1684"/>
      <c r="EJ322" s="1684"/>
      <c r="EK322" s="1684"/>
      <c r="EL322" s="1684"/>
      <c r="EM322" s="1684"/>
      <c r="EN322" s="1684"/>
      <c r="EO322" s="1684"/>
      <c r="EP322" s="1684"/>
      <c r="EQ322" s="1684"/>
      <c r="ER322" s="1684"/>
      <c r="ES322" s="1684"/>
      <c r="ET322" s="1684"/>
      <c r="EU322" s="1684"/>
      <c r="EV322" s="1684"/>
      <c r="EW322" s="1684"/>
      <c r="EX322" s="1684"/>
      <c r="EY322" s="1684"/>
      <c r="EZ322" s="1684"/>
      <c r="FA322" s="1684"/>
      <c r="FB322" s="1684"/>
      <c r="FC322" s="1684"/>
      <c r="FD322" s="1684"/>
      <c r="FE322" s="1684"/>
      <c r="FF322" s="1684"/>
      <c r="FG322" s="1684"/>
      <c r="FH322" s="1684"/>
      <c r="FI322" s="1684"/>
      <c r="FJ322" s="2275"/>
      <c r="FK322" s="2275"/>
      <c r="FL322" s="2250"/>
      <c r="FM322" s="2250"/>
      <c r="FN322" s="2250"/>
      <c r="FO322" s="2250"/>
      <c r="FP322" s="2250"/>
      <c r="FQ322" s="2250"/>
      <c r="FR322" s="2250"/>
      <c r="FS322" s="2250"/>
      <c r="FT322" s="2250"/>
      <c r="FU322" s="2250"/>
      <c r="FV322" s="2250"/>
      <c r="FW322" s="2250"/>
      <c r="FX322" s="2250"/>
      <c r="FY322" s="2250"/>
      <c r="FZ322" s="2250"/>
      <c r="GA322" s="2250"/>
      <c r="GB322" s="2276"/>
      <c r="GC322" s="2276"/>
      <c r="GD322" s="2250"/>
      <c r="GE322" s="2275"/>
      <c r="GF322" s="2275"/>
      <c r="GG322" s="1684"/>
      <c r="GH322" s="1684"/>
      <c r="GI322" s="1684"/>
      <c r="GJ322" s="1684"/>
      <c r="GK322" s="1684"/>
      <c r="GL322" s="1684"/>
      <c r="GM322" s="1684"/>
      <c r="GN322" s="1684"/>
      <c r="GO322" s="1684"/>
      <c r="GP322" s="1684"/>
      <c r="GQ322" s="1684"/>
      <c r="GR322" s="1684"/>
      <c r="GS322" s="1684"/>
      <c r="GT322" s="1684"/>
      <c r="GU322" s="1684"/>
      <c r="GV322" s="1684"/>
      <c r="GW322" s="1684"/>
      <c r="GX322" s="1684"/>
      <c r="GY322" s="1684"/>
      <c r="GZ322" s="1684"/>
      <c r="HA322" s="1684"/>
      <c r="HB322" s="1684"/>
      <c r="HC322" s="1684"/>
      <c r="HD322" s="1684"/>
      <c r="HE322" s="1684"/>
      <c r="HF322" s="1684"/>
      <c r="HG322" s="1684"/>
      <c r="HH322" s="1684"/>
      <c r="HI322" s="1684"/>
      <c r="HJ322" s="1684"/>
      <c r="HK322" s="1684"/>
      <c r="HL322" s="1684"/>
      <c r="HM322" s="1684"/>
      <c r="HN322" s="1684"/>
      <c r="HO322" s="1684"/>
      <c r="HP322" s="1684"/>
      <c r="HQ322" s="1684"/>
      <c r="HR322" s="1684"/>
      <c r="HS322" s="2275"/>
      <c r="HT322" s="2275"/>
      <c r="HU322" s="2250"/>
      <c r="HV322" s="2250"/>
      <c r="HW322" s="2250"/>
      <c r="HX322" s="2250"/>
      <c r="HY322" s="2250"/>
      <c r="HZ322" s="2250"/>
      <c r="IA322" s="2250"/>
      <c r="IB322" s="2250"/>
      <c r="IC322" s="2250"/>
      <c r="ID322" s="2250"/>
      <c r="IE322" s="2250"/>
      <c r="IF322" s="2250"/>
      <c r="IG322" s="2250"/>
      <c r="IH322" s="2250"/>
      <c r="II322" s="2250"/>
      <c r="IJ322" s="2250"/>
      <c r="IK322" s="2250"/>
      <c r="IL322" s="2250"/>
      <c r="IN322" s="277"/>
      <c r="IO322" s="277"/>
    </row>
    <row r="323" spans="1:249" ht="21.95" customHeight="1">
      <c r="A323" s="2275"/>
      <c r="B323" s="284" t="s">
        <v>2183</v>
      </c>
      <c r="C323" s="2377">
        <f>C313</f>
        <v>0.75631178540277322</v>
      </c>
      <c r="D323" s="1684"/>
      <c r="E323" s="2378" t="e">
        <f>IF(B332="Right","Right",IF(B331="Right","Right","Wrong"))</f>
        <v>#N/A</v>
      </c>
      <c r="F323" s="1684"/>
      <c r="G323" s="1684"/>
      <c r="H323" s="1684"/>
      <c r="I323" s="1684"/>
      <c r="J323" s="2374"/>
      <c r="K323" s="1684"/>
      <c r="L323" s="284" t="s">
        <v>2183</v>
      </c>
      <c r="M323" s="2377">
        <f>C323</f>
        <v>0.75631178540277322</v>
      </c>
      <c r="N323" s="1684"/>
      <c r="O323" s="2378" t="e">
        <f>IF(L332="Right","Right",IF(L331="Right","Right","Wrong"))</f>
        <v>#N/A</v>
      </c>
      <c r="P323" s="1684"/>
      <c r="Q323" s="1684"/>
      <c r="R323" s="1684"/>
      <c r="S323" s="1684"/>
      <c r="T323" s="1684"/>
      <c r="U323" s="1684"/>
      <c r="V323" s="284" t="s">
        <v>2183</v>
      </c>
      <c r="W323" s="2377">
        <f>+C323</f>
        <v>0.75631178540277322</v>
      </c>
      <c r="X323" s="1684"/>
      <c r="Y323" s="2378" t="e">
        <f>IF(V332="Right","Right",IF(V331="Right","Right","Wrong"))</f>
        <v>#N/A</v>
      </c>
      <c r="Z323" s="1684"/>
      <c r="AA323" s="1684"/>
      <c r="AB323" s="1684"/>
      <c r="AC323" s="1684"/>
      <c r="AD323" s="1684"/>
      <c r="AE323" s="1684"/>
      <c r="AF323" s="284" t="s">
        <v>2183</v>
      </c>
      <c r="AG323" s="2377">
        <f>+C323</f>
        <v>0.75631178540277322</v>
      </c>
      <c r="AH323" s="1684"/>
      <c r="AI323" s="2378" t="e">
        <f>IF(AF332="Right","Right",IF(AF331="Right","Right","Wrong"))</f>
        <v>#N/A</v>
      </c>
      <c r="AJ323" s="1684"/>
      <c r="AK323" s="1684"/>
      <c r="AL323" s="1684"/>
      <c r="AM323" s="1684"/>
      <c r="AN323" s="2275"/>
      <c r="AO323" s="2275"/>
      <c r="AP323" s="2250"/>
      <c r="AQ323" s="2250"/>
      <c r="AR323" s="2250"/>
      <c r="AS323" s="2250"/>
      <c r="AT323" s="2250"/>
      <c r="AU323" s="2250"/>
      <c r="AV323" s="2250"/>
      <c r="AW323" s="2250"/>
      <c r="AX323" s="2250"/>
      <c r="AY323" s="2250"/>
      <c r="AZ323" s="2250"/>
      <c r="BA323" s="2250"/>
      <c r="BB323" s="2250"/>
      <c r="BC323" s="2250"/>
      <c r="BD323" s="2250"/>
      <c r="BE323" s="2250"/>
      <c r="BF323" s="2276"/>
      <c r="BG323" s="2276"/>
      <c r="BH323" s="2250"/>
      <c r="BI323" s="2275"/>
      <c r="BJ323" s="2275"/>
      <c r="BK323" s="284" t="s">
        <v>2183</v>
      </c>
      <c r="BL323" s="2377">
        <f>BL313</f>
        <v>0.75631178540277322</v>
      </c>
      <c r="BM323" s="1684"/>
      <c r="BN323" s="2378" t="e">
        <f>IF(BK332="Right","Right",IF(BK331="Right","Right","Wrong"))</f>
        <v>#N/A</v>
      </c>
      <c r="BO323" s="1684"/>
      <c r="BP323" s="1684"/>
      <c r="BQ323" s="1684"/>
      <c r="BR323" s="1684"/>
      <c r="BS323" s="2374"/>
      <c r="BT323" s="1684"/>
      <c r="BU323" s="284" t="s">
        <v>2183</v>
      </c>
      <c r="BV323" s="2377">
        <f>BL323</f>
        <v>0.75631178540277322</v>
      </c>
      <c r="BW323" s="1684"/>
      <c r="BX323" s="2378" t="e">
        <f>IF(BU332="Right","Right",IF(BU331="Right","Right","Wrong"))</f>
        <v>#N/A</v>
      </c>
      <c r="BY323" s="1684"/>
      <c r="BZ323" s="1684"/>
      <c r="CA323" s="1684"/>
      <c r="CB323" s="1684"/>
      <c r="CC323" s="1684"/>
      <c r="CD323" s="1684"/>
      <c r="CE323" s="284" t="s">
        <v>2183</v>
      </c>
      <c r="CF323" s="2377">
        <f>+BL323</f>
        <v>0.75631178540277322</v>
      </c>
      <c r="CG323" s="1684"/>
      <c r="CH323" s="2378" t="e">
        <f>IF(CE332="Right","Right",IF(CE331="Right","Right","Wrong"))</f>
        <v>#N/A</v>
      </c>
      <c r="CI323" s="1684"/>
      <c r="CJ323" s="1684"/>
      <c r="CK323" s="1684"/>
      <c r="CL323" s="1684"/>
      <c r="CM323" s="1684"/>
      <c r="CN323" s="1684"/>
      <c r="CO323" s="284" t="s">
        <v>2183</v>
      </c>
      <c r="CP323" s="2377">
        <f>+BL323</f>
        <v>0.75631178540277322</v>
      </c>
      <c r="CQ323" s="1684"/>
      <c r="CR323" s="2378" t="e">
        <f>IF(CO332="Right","Right",IF(CO331="Right","Right","Wrong"))</f>
        <v>#N/A</v>
      </c>
      <c r="CS323" s="1684"/>
      <c r="CT323" s="1684"/>
      <c r="CU323" s="1684"/>
      <c r="CV323" s="1684"/>
      <c r="CW323" s="2275"/>
      <c r="CX323" s="2275"/>
      <c r="CY323" s="2250"/>
      <c r="CZ323" s="2250"/>
      <c r="DA323" s="2250"/>
      <c r="DB323" s="2250"/>
      <c r="DC323" s="2250"/>
      <c r="DD323" s="2250"/>
      <c r="DE323" s="2250"/>
      <c r="DF323" s="2250"/>
      <c r="DG323" s="2250"/>
      <c r="DH323" s="2250"/>
      <c r="DI323" s="2250"/>
      <c r="DJ323" s="2250"/>
      <c r="DK323" s="2250"/>
      <c r="DL323" s="2250"/>
      <c r="DM323" s="2250"/>
      <c r="DN323" s="2250"/>
      <c r="DO323" s="2250"/>
      <c r="DP323" s="2250"/>
      <c r="DQ323" s="2277"/>
      <c r="DR323" s="2277"/>
      <c r="DS323" s="277"/>
      <c r="DW323" s="2275"/>
      <c r="DX323" s="284" t="s">
        <v>2183</v>
      </c>
      <c r="DY323" s="2377">
        <f>DY313</f>
        <v>1.3354563802212776</v>
      </c>
      <c r="DZ323" s="1684"/>
      <c r="EA323" s="2378" t="e">
        <f>IF(DX332="Right","Right",IF(DX331="Right","Right","Wrong"))</f>
        <v>#N/A</v>
      </c>
      <c r="EB323" s="1684"/>
      <c r="EC323" s="1684"/>
      <c r="ED323" s="1684"/>
      <c r="EE323" s="1684"/>
      <c r="EF323" s="2374"/>
      <c r="EG323" s="1684"/>
      <c r="EH323" s="284" t="s">
        <v>2183</v>
      </c>
      <c r="EI323" s="2377">
        <f>DY323</f>
        <v>1.3354563802212776</v>
      </c>
      <c r="EJ323" s="1684"/>
      <c r="EK323" s="2378" t="e">
        <f>IF(EH332="Right","Right",IF(EH331="Right","Right","Wrong"))</f>
        <v>#N/A</v>
      </c>
      <c r="EL323" s="1684"/>
      <c r="EM323" s="1684"/>
      <c r="EN323" s="1684"/>
      <c r="EO323" s="1684"/>
      <c r="EP323" s="1684"/>
      <c r="EQ323" s="1684"/>
      <c r="ER323" s="284" t="s">
        <v>2183</v>
      </c>
      <c r="ES323" s="2377">
        <f>+DY323</f>
        <v>1.3354563802212776</v>
      </c>
      <c r="ET323" s="1684"/>
      <c r="EU323" s="2378" t="e">
        <f>IF(ER332="Right","Right",IF(ER331="Right","Right","Wrong"))</f>
        <v>#N/A</v>
      </c>
      <c r="EV323" s="1684"/>
      <c r="EW323" s="1684"/>
      <c r="EX323" s="1684"/>
      <c r="EY323" s="1684"/>
      <c r="EZ323" s="1684"/>
      <c r="FA323" s="1684"/>
      <c r="FB323" s="284" t="s">
        <v>2183</v>
      </c>
      <c r="FC323" s="2377">
        <f>+DY323</f>
        <v>1.3354563802212776</v>
      </c>
      <c r="FD323" s="1684"/>
      <c r="FE323" s="2378" t="e">
        <f>IF(FB332="Right","Right",IF(FB331="Right","Right","Wrong"))</f>
        <v>#N/A</v>
      </c>
      <c r="FF323" s="1684"/>
      <c r="FG323" s="1684"/>
      <c r="FH323" s="1684"/>
      <c r="FI323" s="1684"/>
      <c r="FJ323" s="2275"/>
      <c r="FK323" s="2275"/>
      <c r="FL323" s="2250"/>
      <c r="FM323" s="2250"/>
      <c r="FN323" s="2250"/>
      <c r="FO323" s="2250"/>
      <c r="FP323" s="2250"/>
      <c r="FQ323" s="2250"/>
      <c r="FR323" s="2250"/>
      <c r="FS323" s="2250"/>
      <c r="FT323" s="2250"/>
      <c r="FU323" s="2250"/>
      <c r="FV323" s="2250"/>
      <c r="FW323" s="2250"/>
      <c r="FX323" s="2250"/>
      <c r="FY323" s="2250"/>
      <c r="FZ323" s="2250"/>
      <c r="GA323" s="2250"/>
      <c r="GB323" s="2276"/>
      <c r="GC323" s="2276"/>
      <c r="GD323" s="2250"/>
      <c r="GE323" s="2275"/>
      <c r="GF323" s="2275"/>
      <c r="GG323" s="284" t="s">
        <v>2183</v>
      </c>
      <c r="GH323" s="2377">
        <f>GH313</f>
        <v>1.3354563802212776</v>
      </c>
      <c r="GI323" s="1684"/>
      <c r="GJ323" s="2378" t="e">
        <f>IF(GG332="Right","Right",IF(GG331="Right","Right","Wrong"))</f>
        <v>#N/A</v>
      </c>
      <c r="GK323" s="1684"/>
      <c r="GL323" s="1684"/>
      <c r="GM323" s="1684"/>
      <c r="GN323" s="1684"/>
      <c r="GO323" s="2374"/>
      <c r="GP323" s="1684"/>
      <c r="GQ323" s="284" t="s">
        <v>2183</v>
      </c>
      <c r="GR323" s="2377">
        <f>GH323</f>
        <v>1.3354563802212776</v>
      </c>
      <c r="GS323" s="1684"/>
      <c r="GT323" s="2378" t="e">
        <f>IF(GQ332="Right","Right",IF(GQ331="Right","Right","Wrong"))</f>
        <v>#N/A</v>
      </c>
      <c r="GU323" s="1684"/>
      <c r="GV323" s="1684"/>
      <c r="GW323" s="1684"/>
      <c r="GX323" s="1684"/>
      <c r="GY323" s="1684"/>
      <c r="GZ323" s="1684"/>
      <c r="HA323" s="284" t="s">
        <v>2183</v>
      </c>
      <c r="HB323" s="2377">
        <f>+GH323</f>
        <v>1.3354563802212776</v>
      </c>
      <c r="HC323" s="1684"/>
      <c r="HD323" s="2378" t="e">
        <f>IF(HA332="Right","Right",IF(HA331="Right","Right","Wrong"))</f>
        <v>#N/A</v>
      </c>
      <c r="HE323" s="1684"/>
      <c r="HF323" s="1684"/>
      <c r="HG323" s="1684"/>
      <c r="HH323" s="1684"/>
      <c r="HI323" s="1684"/>
      <c r="HJ323" s="1684"/>
      <c r="HK323" s="284" t="s">
        <v>2183</v>
      </c>
      <c r="HL323" s="2377">
        <f>+GH323</f>
        <v>1.3354563802212776</v>
      </c>
      <c r="HM323" s="1684"/>
      <c r="HN323" s="2378" t="e">
        <f>IF(HK332="Right","Right",IF(HK331="Right","Right","Wrong"))</f>
        <v>#N/A</v>
      </c>
      <c r="HO323" s="1684"/>
      <c r="HP323" s="1684"/>
      <c r="HQ323" s="1684"/>
      <c r="HR323" s="1684"/>
      <c r="HS323" s="2275"/>
      <c r="HT323" s="2275"/>
      <c r="HU323" s="2250"/>
      <c r="HV323" s="2250"/>
      <c r="HW323" s="2250"/>
      <c r="HX323" s="2250"/>
      <c r="HY323" s="2250"/>
      <c r="HZ323" s="2250"/>
      <c r="IA323" s="2250"/>
      <c r="IB323" s="2250"/>
      <c r="IC323" s="2250"/>
      <c r="ID323" s="2250"/>
      <c r="IE323" s="2250"/>
      <c r="IF323" s="2250"/>
      <c r="IG323" s="2250"/>
      <c r="IH323" s="2250"/>
      <c r="II323" s="2250"/>
      <c r="IJ323" s="2250"/>
      <c r="IK323" s="2250"/>
      <c r="IL323" s="2250"/>
      <c r="IN323" s="277"/>
      <c r="IO323" s="277"/>
    </row>
    <row r="324" spans="1:249" ht="21.95" customHeight="1">
      <c r="A324" s="2275"/>
      <c r="B324" s="284" t="s">
        <v>2184</v>
      </c>
      <c r="C324" s="2377">
        <f>C314</f>
        <v>68.3</v>
      </c>
      <c r="D324" s="1684"/>
      <c r="E324" s="1684"/>
      <c r="F324" s="1684"/>
      <c r="G324" s="1684"/>
      <c r="H324" s="1684"/>
      <c r="I324" s="1684"/>
      <c r="J324" s="2374"/>
      <c r="K324" s="1684"/>
      <c r="L324" s="284" t="s">
        <v>2184</v>
      </c>
      <c r="M324" s="2379">
        <f>C324</f>
        <v>68.3</v>
      </c>
      <c r="N324" s="1684"/>
      <c r="O324" s="1684"/>
      <c r="P324" s="1684"/>
      <c r="Q324" s="1684"/>
      <c r="R324" s="1684"/>
      <c r="S324" s="1684"/>
      <c r="T324" s="1684"/>
      <c r="U324" s="1684"/>
      <c r="V324" s="284" t="s">
        <v>2184</v>
      </c>
      <c r="W324" s="2379">
        <f>+C324</f>
        <v>68.3</v>
      </c>
      <c r="X324" s="1684"/>
      <c r="Y324" s="1684"/>
      <c r="Z324" s="1684"/>
      <c r="AA324" s="1684"/>
      <c r="AB324" s="1684"/>
      <c r="AC324" s="1684"/>
      <c r="AD324" s="1684"/>
      <c r="AE324" s="1684"/>
      <c r="AF324" s="284" t="s">
        <v>2184</v>
      </c>
      <c r="AG324" s="2379">
        <f>+C324</f>
        <v>68.3</v>
      </c>
      <c r="AH324" s="1684"/>
      <c r="AI324" s="1684"/>
      <c r="AJ324" s="1684"/>
      <c r="AK324" s="1684"/>
      <c r="AL324" s="1684"/>
      <c r="AM324" s="1684"/>
      <c r="AN324" s="2275"/>
      <c r="AO324" s="2275"/>
      <c r="AP324" s="2250"/>
      <c r="AQ324" s="2250"/>
      <c r="AR324" s="2250"/>
      <c r="AS324" s="2250"/>
      <c r="AT324" s="2250"/>
      <c r="AU324" s="2250"/>
      <c r="AV324" s="2250"/>
      <c r="AW324" s="2250"/>
      <c r="AX324" s="2250"/>
      <c r="AY324" s="2250"/>
      <c r="AZ324" s="2250"/>
      <c r="BA324" s="2250"/>
      <c r="BB324" s="2250"/>
      <c r="BC324" s="2250"/>
      <c r="BD324" s="2250"/>
      <c r="BE324" s="2250"/>
      <c r="BF324" s="2276"/>
      <c r="BG324" s="2276"/>
      <c r="BH324" s="2250"/>
      <c r="BI324" s="2275"/>
      <c r="BJ324" s="2275"/>
      <c r="BK324" s="284" t="s">
        <v>2184</v>
      </c>
      <c r="BL324" s="2377">
        <f>BL314</f>
        <v>73.7</v>
      </c>
      <c r="BM324" s="1684"/>
      <c r="BN324" s="1684"/>
      <c r="BO324" s="1684"/>
      <c r="BP324" s="1684"/>
      <c r="BQ324" s="1684"/>
      <c r="BR324" s="1684"/>
      <c r="BS324" s="2374"/>
      <c r="BT324" s="1684"/>
      <c r="BU324" s="284" t="s">
        <v>2184</v>
      </c>
      <c r="BV324" s="2379">
        <f>BL324</f>
        <v>73.7</v>
      </c>
      <c r="BW324" s="1684"/>
      <c r="BX324" s="1684"/>
      <c r="BY324" s="1684"/>
      <c r="BZ324" s="1684"/>
      <c r="CA324" s="1684"/>
      <c r="CB324" s="1684"/>
      <c r="CC324" s="1684"/>
      <c r="CD324" s="1684"/>
      <c r="CE324" s="284" t="s">
        <v>2184</v>
      </c>
      <c r="CF324" s="2379">
        <f>+BL324</f>
        <v>73.7</v>
      </c>
      <c r="CG324" s="1684"/>
      <c r="CH324" s="1684"/>
      <c r="CI324" s="1684"/>
      <c r="CJ324" s="1684"/>
      <c r="CK324" s="1684"/>
      <c r="CL324" s="1684"/>
      <c r="CM324" s="1684"/>
      <c r="CN324" s="1684"/>
      <c r="CO324" s="284" t="s">
        <v>2184</v>
      </c>
      <c r="CP324" s="2379">
        <f>+BL324</f>
        <v>73.7</v>
      </c>
      <c r="CQ324" s="1684"/>
      <c r="CR324" s="1684"/>
      <c r="CS324" s="1684"/>
      <c r="CT324" s="1684"/>
      <c r="CU324" s="1684"/>
      <c r="CV324" s="1684"/>
      <c r="CW324" s="2275"/>
      <c r="CX324" s="2275"/>
      <c r="CY324" s="2250"/>
      <c r="CZ324" s="2250"/>
      <c r="DA324" s="2250"/>
      <c r="DB324" s="2250"/>
      <c r="DC324" s="2250"/>
      <c r="DD324" s="2250"/>
      <c r="DE324" s="2250"/>
      <c r="DF324" s="2250"/>
      <c r="DG324" s="2250"/>
      <c r="DH324" s="2250"/>
      <c r="DI324" s="2250"/>
      <c r="DJ324" s="2250"/>
      <c r="DK324" s="2250"/>
      <c r="DL324" s="2250"/>
      <c r="DM324" s="2250"/>
      <c r="DN324" s="2250"/>
      <c r="DO324" s="2250"/>
      <c r="DP324" s="2250"/>
      <c r="DQ324" s="2277"/>
      <c r="DR324" s="2277"/>
      <c r="DS324" s="277"/>
      <c r="DW324" s="2275"/>
      <c r="DX324" s="284" t="s">
        <v>2184</v>
      </c>
      <c r="DY324" s="2377">
        <f>DY314</f>
        <v>43.9</v>
      </c>
      <c r="DZ324" s="1684"/>
      <c r="EA324" s="1684"/>
      <c r="EB324" s="1684"/>
      <c r="EC324" s="1684"/>
      <c r="ED324" s="1684"/>
      <c r="EE324" s="1684"/>
      <c r="EF324" s="2374"/>
      <c r="EG324" s="1684"/>
      <c r="EH324" s="284" t="s">
        <v>2184</v>
      </c>
      <c r="EI324" s="2379">
        <f>DY324</f>
        <v>43.9</v>
      </c>
      <c r="EJ324" s="1684"/>
      <c r="EK324" s="1684"/>
      <c r="EL324" s="1684"/>
      <c r="EM324" s="1684"/>
      <c r="EN324" s="1684"/>
      <c r="EO324" s="1684"/>
      <c r="EP324" s="1684"/>
      <c r="EQ324" s="1684"/>
      <c r="ER324" s="284" t="s">
        <v>2184</v>
      </c>
      <c r="ES324" s="2379">
        <f>+DY324</f>
        <v>43.9</v>
      </c>
      <c r="ET324" s="1684"/>
      <c r="EU324" s="1684"/>
      <c r="EV324" s="1684"/>
      <c r="EW324" s="1684"/>
      <c r="EX324" s="1684"/>
      <c r="EY324" s="1684"/>
      <c r="EZ324" s="1684"/>
      <c r="FA324" s="1684"/>
      <c r="FB324" s="284" t="s">
        <v>2184</v>
      </c>
      <c r="FC324" s="2379">
        <f>+DY324</f>
        <v>43.9</v>
      </c>
      <c r="FD324" s="1684"/>
      <c r="FE324" s="1684"/>
      <c r="FF324" s="1684"/>
      <c r="FG324" s="1684"/>
      <c r="FH324" s="1684"/>
      <c r="FI324" s="1684"/>
      <c r="FJ324" s="2275"/>
      <c r="FK324" s="2275"/>
      <c r="FL324" s="2250"/>
      <c r="FM324" s="2250"/>
      <c r="FN324" s="2250"/>
      <c r="FO324" s="2250"/>
      <c r="FP324" s="2250"/>
      <c r="FQ324" s="2250"/>
      <c r="FR324" s="2250"/>
      <c r="FS324" s="2250"/>
      <c r="FT324" s="2250"/>
      <c r="FU324" s="2250"/>
      <c r="FV324" s="2250"/>
      <c r="FW324" s="2250"/>
      <c r="FX324" s="2250"/>
      <c r="FY324" s="2250"/>
      <c r="FZ324" s="2250"/>
      <c r="GA324" s="2250"/>
      <c r="GB324" s="2276"/>
      <c r="GC324" s="2276"/>
      <c r="GD324" s="2250"/>
      <c r="GE324" s="2275"/>
      <c r="GF324" s="2275"/>
      <c r="GG324" s="284" t="s">
        <v>2184</v>
      </c>
      <c r="GH324" s="2377">
        <f>GH314</f>
        <v>48.8</v>
      </c>
      <c r="GI324" s="1684"/>
      <c r="GJ324" s="1684"/>
      <c r="GK324" s="1684"/>
      <c r="GL324" s="1684"/>
      <c r="GM324" s="1684"/>
      <c r="GN324" s="1684"/>
      <c r="GO324" s="2374"/>
      <c r="GP324" s="1684"/>
      <c r="GQ324" s="284" t="s">
        <v>2184</v>
      </c>
      <c r="GR324" s="2379">
        <f>GH324</f>
        <v>48.8</v>
      </c>
      <c r="GS324" s="1684"/>
      <c r="GT324" s="1684"/>
      <c r="GU324" s="1684"/>
      <c r="GV324" s="1684"/>
      <c r="GW324" s="1684"/>
      <c r="GX324" s="1684"/>
      <c r="GY324" s="1684"/>
      <c r="GZ324" s="1684"/>
      <c r="HA324" s="284" t="s">
        <v>2184</v>
      </c>
      <c r="HB324" s="2379">
        <f>+GH324</f>
        <v>48.8</v>
      </c>
      <c r="HC324" s="1684"/>
      <c r="HD324" s="1684"/>
      <c r="HE324" s="1684"/>
      <c r="HF324" s="1684"/>
      <c r="HG324" s="1684"/>
      <c r="HH324" s="1684"/>
      <c r="HI324" s="1684"/>
      <c r="HJ324" s="1684"/>
      <c r="HK324" s="284" t="s">
        <v>2184</v>
      </c>
      <c r="HL324" s="2379">
        <f>+GH324</f>
        <v>48.8</v>
      </c>
      <c r="HM324" s="1684"/>
      <c r="HN324" s="1684"/>
      <c r="HO324" s="1684"/>
      <c r="HP324" s="1684"/>
      <c r="HQ324" s="1684"/>
      <c r="HR324" s="1684"/>
      <c r="HS324" s="2275"/>
      <c r="HT324" s="2275"/>
      <c r="HU324" s="2250"/>
      <c r="HV324" s="2250"/>
      <c r="HW324" s="2250"/>
      <c r="HX324" s="2250"/>
      <c r="HY324" s="2250"/>
      <c r="HZ324" s="2250"/>
      <c r="IA324" s="2250"/>
      <c r="IB324" s="2250"/>
      <c r="IC324" s="2250"/>
      <c r="ID324" s="2250"/>
      <c r="IE324" s="2250"/>
      <c r="IF324" s="2250"/>
      <c r="IG324" s="2250"/>
      <c r="IH324" s="2250"/>
      <c r="II324" s="2250"/>
      <c r="IJ324" s="2250"/>
      <c r="IK324" s="2250"/>
      <c r="IL324" s="2250"/>
      <c r="IN324" s="277"/>
      <c r="IO324" s="277"/>
    </row>
    <row r="325" spans="1:249" ht="21.95" customHeight="1">
      <c r="A325" s="2275"/>
      <c r="B325" s="1684">
        <v>0</v>
      </c>
      <c r="C325" s="1684" t="b">
        <f>IF(C324=B319,C319,IF(C324=B320,C320,IF(C324=B321,C321)))</f>
        <v>0</v>
      </c>
      <c r="D325" s="1684" t="b">
        <f>IF(C324=B319,D319,IF(C324=B320,D320,IF(C324=B321,D321)))</f>
        <v>0</v>
      </c>
      <c r="E325" s="1684" t="b">
        <f>IF(C324=B319,E319,IF(C324=B320,E320,IF(C324=B321,E321)))</f>
        <v>0</v>
      </c>
      <c r="F325" s="1684" t="b">
        <f>IF(C324=B319,F319,IF(C324=B320,F320,IF(C324=B321,F321)))</f>
        <v>0</v>
      </c>
      <c r="G325" s="1684" t="b">
        <f>IF(C324=B319,G319,IF(C324=B320,G320,IF(C324=B321,G321)))</f>
        <v>0</v>
      </c>
      <c r="H325" s="1684" t="b">
        <f>IF(C324=B319,H319,IF(C324=B320,H320,IF(C324=B321,H321)))</f>
        <v>0</v>
      </c>
      <c r="I325" s="1684" t="b">
        <f>IF(C324=B319,I319,IF(C324=B320,I320,IF(C324=B321,I321)))</f>
        <v>0</v>
      </c>
      <c r="J325" s="2374"/>
      <c r="K325" s="1684"/>
      <c r="L325" s="1684">
        <v>0</v>
      </c>
      <c r="M325" s="1684" t="b">
        <f>IF(M324=L319,M319,IF(M324=L320,M320,IF(M324=L321,M321)))</f>
        <v>0</v>
      </c>
      <c r="N325" s="1684" t="b">
        <f>IF(M324=L319,N319,IF(M324=L320,N320,IF(M324=L321,N321)))</f>
        <v>0</v>
      </c>
      <c r="O325" s="1684" t="b">
        <f>IF(M324=L319,O319,IF(M324=L320,O320,IF(M324=L321,O321)))</f>
        <v>0</v>
      </c>
      <c r="P325" s="1684" t="b">
        <f>IF(M324=L319,P319,IF(M324=L320,P320,IF(M324=L321,P321)))</f>
        <v>0</v>
      </c>
      <c r="Q325" s="1684" t="b">
        <f>IF(M324=L319,Q319,IF(M324=L320,Q320,IF(M324=L321,Q321)))</f>
        <v>0</v>
      </c>
      <c r="R325" s="1684" t="b">
        <f>IF(M324=L319,R319,IF(M324=L320,R320,IF(M324=L321,R321)))</f>
        <v>0</v>
      </c>
      <c r="S325" s="1684" t="b">
        <f>IF(M324=L319,S319,IF(M324=L320,S320,IF(M324=L321,S321)))</f>
        <v>0</v>
      </c>
      <c r="T325" s="1684"/>
      <c r="U325" s="1684"/>
      <c r="V325" s="1684">
        <v>0</v>
      </c>
      <c r="W325" s="1684" t="b">
        <f>IF(W324=V319,W319,IF(W324=V320,W320,IF(W324=V321,W321)))</f>
        <v>0</v>
      </c>
      <c r="X325" s="1684" t="b">
        <f>IF(W324=V319,X319,IF(W324=V320,X320,IF(W324=V321,X321)))</f>
        <v>0</v>
      </c>
      <c r="Y325" s="1684" t="b">
        <f>IF(W324=V319,Y319,IF(W324=V320,Y320,IF(W324=V321,Y321)))</f>
        <v>0</v>
      </c>
      <c r="Z325" s="1684" t="b">
        <f>IF(W324=V319,Z319,IF(W324=V320,Z320,IF(W324=V321,Z321)))</f>
        <v>0</v>
      </c>
      <c r="AA325" s="1684" t="b">
        <f>IF(W324=V319,AA319,IF(W324=V320,AA320,IF(W324=V321,AA321)))</f>
        <v>0</v>
      </c>
      <c r="AB325" s="1684" t="b">
        <f>IF(W324=V319,AB319,IF(W324=V320,AB320,IF(W324=V321,AB321)))</f>
        <v>0</v>
      </c>
      <c r="AC325" s="1684" t="b">
        <f>IF(W324=V319,AC319,IF(W324=V320,AC320,IF(W324=V321,AC321)))</f>
        <v>0</v>
      </c>
      <c r="AD325" s="1684"/>
      <c r="AE325" s="1684"/>
      <c r="AF325" s="1684">
        <v>0</v>
      </c>
      <c r="AG325" s="1684" t="b">
        <f>IF(AG324=AF319,AG319,IF(AG324=AF320,AG320,IF(AG324=AF321,AG321)))</f>
        <v>0</v>
      </c>
      <c r="AH325" s="1684" t="b">
        <f>IF(AG324=AF319,AH319,IF(AG324=AF320,AH320,IF(AG324=AF321,AH321)))</f>
        <v>0</v>
      </c>
      <c r="AI325" s="1684" t="b">
        <f>IF(AG324=AF319,AI319,IF(AG324=AF320,AI320,IF(AG324=AF321,AI321)))</f>
        <v>0</v>
      </c>
      <c r="AJ325" s="1684" t="b">
        <f>IF(AG324=AF319,AJ319,IF(AG324=AF320,AJ320,IF(AG324=AF321,AJ321)))</f>
        <v>0</v>
      </c>
      <c r="AK325" s="1684" t="b">
        <f>IF(AG324=AF319,AK319,IF(AG324=AF320,AK320,IF(AG324=AF321,AK321)))</f>
        <v>0</v>
      </c>
      <c r="AL325" s="1684" t="b">
        <f>IF(AG324=AF319,AL319,IF(AG324=AF320,AL320,IF(AG324=AF321,AL321)))</f>
        <v>0</v>
      </c>
      <c r="AM325" s="1684" t="b">
        <f>IF(AG324=AF319,AM319,IF(AG324=AF320,AM320,IF(AG324=AF321,AM321)))</f>
        <v>0</v>
      </c>
      <c r="AN325" s="2275"/>
      <c r="AO325" s="2275"/>
      <c r="AP325" s="2250"/>
      <c r="AQ325" s="2250"/>
      <c r="AR325" s="2250"/>
      <c r="AS325" s="2250"/>
      <c r="AT325" s="2250"/>
      <c r="AU325" s="2250"/>
      <c r="AV325" s="2250"/>
      <c r="AW325" s="2250"/>
      <c r="AX325" s="2250"/>
      <c r="AY325" s="2250"/>
      <c r="AZ325" s="2250"/>
      <c r="BA325" s="2250"/>
      <c r="BB325" s="2250"/>
      <c r="BC325" s="2250"/>
      <c r="BD325" s="2250"/>
      <c r="BE325" s="2250"/>
      <c r="BF325" s="2276"/>
      <c r="BG325" s="2276"/>
      <c r="BH325" s="2250"/>
      <c r="BI325" s="2275"/>
      <c r="BJ325" s="2275"/>
      <c r="BK325" s="1684">
        <v>0</v>
      </c>
      <c r="BL325" s="1684" t="b">
        <f>IF(BL324=BK319,BL319,IF(BL324=BK320,BL320,IF(BL324=BK321,BL321)))</f>
        <v>0</v>
      </c>
      <c r="BM325" s="1684" t="b">
        <f>IF(BL324=BK319,BM319,IF(BL324=BK320,BM320,IF(BL324=BK321,BM321)))</f>
        <v>0</v>
      </c>
      <c r="BN325" s="1684" t="b">
        <f>IF(BL324=BK319,BN319,IF(BL324=BK320,BN320,IF(BL324=BK321,BN321)))</f>
        <v>0</v>
      </c>
      <c r="BO325" s="1684" t="b">
        <f>IF(BL324=BK319,BO319,IF(BL324=BK320,BO320,IF(BL324=BK321,BO321)))</f>
        <v>0</v>
      </c>
      <c r="BP325" s="1684" t="b">
        <f>IF(BL324=BK319,BP319,IF(BL324=BK320,BP320,IF(BL324=BK321,BP321)))</f>
        <v>0</v>
      </c>
      <c r="BQ325" s="1684" t="b">
        <f>IF(BL324=BK319,BQ319,IF(BL324=BK320,BQ320,IF(BL324=BK321,BQ321)))</f>
        <v>0</v>
      </c>
      <c r="BR325" s="1684" t="b">
        <f>IF(BL324=BK319,BR319,IF(BL324=BK320,BR320,IF(BL324=BK321,BR321)))</f>
        <v>0</v>
      </c>
      <c r="BS325" s="2374"/>
      <c r="BT325" s="1684"/>
      <c r="BU325" s="1684">
        <v>0</v>
      </c>
      <c r="BV325" s="1684" t="b">
        <f>IF(BV324=BU319,BV319,IF(BV324=BU320,BV320,IF(BV324=BU321,BV321)))</f>
        <v>0</v>
      </c>
      <c r="BW325" s="1684" t="b">
        <f>IF(BV324=BU319,BW319,IF(BV324=BU320,BW320,IF(BV324=BU321,BW321)))</f>
        <v>0</v>
      </c>
      <c r="BX325" s="1684" t="b">
        <f>IF(BV324=BU319,BX319,IF(BV324=BU320,BX320,IF(BV324=BU321,BX321)))</f>
        <v>0</v>
      </c>
      <c r="BY325" s="1684" t="b">
        <f>IF(BV324=BU319,BY319,IF(BV324=BU320,BY320,IF(BV324=BU321,BY321)))</f>
        <v>0</v>
      </c>
      <c r="BZ325" s="1684" t="b">
        <f>IF(BV324=BU319,BZ319,IF(BV324=BU320,BZ320,IF(BV324=BU321,BZ321)))</f>
        <v>0</v>
      </c>
      <c r="CA325" s="1684" t="b">
        <f>IF(BV324=BU319,CA319,IF(BV324=BU320,CA320,IF(BV324=BU321,CA321)))</f>
        <v>0</v>
      </c>
      <c r="CB325" s="1684" t="b">
        <f>IF(BV324=BU319,CB319,IF(BV324=BU320,CB320,IF(BV324=BU321,CB321)))</f>
        <v>0</v>
      </c>
      <c r="CC325" s="1684"/>
      <c r="CD325" s="1684"/>
      <c r="CE325" s="1684">
        <v>0</v>
      </c>
      <c r="CF325" s="1684" t="b">
        <f>IF(CF324=CE319,CF319,IF(CF324=CE320,CF320,IF(CF324=CE321,CF321)))</f>
        <v>0</v>
      </c>
      <c r="CG325" s="1684" t="b">
        <f>IF(CF324=CE319,CG319,IF(CF324=CE320,CG320,IF(CF324=CE321,CG321)))</f>
        <v>0</v>
      </c>
      <c r="CH325" s="1684" t="b">
        <f>IF(CF324=CE319,CH319,IF(CF324=CE320,CH320,IF(CF324=CE321,CH321)))</f>
        <v>0</v>
      </c>
      <c r="CI325" s="1684" t="b">
        <f>IF(CF324=CE319,CI319,IF(CF324=CE320,CI320,IF(CF324=CE321,CI321)))</f>
        <v>0</v>
      </c>
      <c r="CJ325" s="1684" t="b">
        <f>IF(CF324=CE319,CJ319,IF(CF324=CE320,CJ320,IF(CF324=CE321,CJ321)))</f>
        <v>0</v>
      </c>
      <c r="CK325" s="1684" t="b">
        <f>IF(CF324=CE319,CK319,IF(CF324=CE320,CK320,IF(CF324=CE321,CK321)))</f>
        <v>0</v>
      </c>
      <c r="CL325" s="1684" t="b">
        <f>IF(CF324=CE319,CL319,IF(CF324=CE320,CL320,IF(CF324=CE321,CL321)))</f>
        <v>0</v>
      </c>
      <c r="CM325" s="1684"/>
      <c r="CN325" s="1684"/>
      <c r="CO325" s="1684">
        <v>0</v>
      </c>
      <c r="CP325" s="1684" t="b">
        <f>IF(CP324=CO319,CP319,IF(CP324=CO320,CP320,IF(CP324=CO321,CP321)))</f>
        <v>0</v>
      </c>
      <c r="CQ325" s="1684" t="b">
        <f>IF(CP324=CO319,CQ319,IF(CP324=CO320,CQ320,IF(CP324=CO321,CQ321)))</f>
        <v>0</v>
      </c>
      <c r="CR325" s="1684" t="b">
        <f>IF(CP324=CO319,CR319,IF(CP324=CO320,CR320,IF(CP324=CO321,CR321)))</f>
        <v>0</v>
      </c>
      <c r="CS325" s="1684" t="b">
        <f>IF(CP324=CO319,CS319,IF(CP324=CO320,CS320,IF(CP324=CO321,CS321)))</f>
        <v>0</v>
      </c>
      <c r="CT325" s="1684" t="b">
        <f>IF(CP324=CO319,CT319,IF(CP324=CO320,CT320,IF(CP324=CO321,CT321)))</f>
        <v>0</v>
      </c>
      <c r="CU325" s="1684" t="b">
        <f>IF(CP324=CO319,CU319,IF(CP324=CO320,CU320,IF(CP324=CO321,CU321)))</f>
        <v>0</v>
      </c>
      <c r="CV325" s="1684" t="b">
        <f>IF(CP324=CO319,CV319,IF(CP324=CO320,CV320,IF(CP324=CO321,CV321)))</f>
        <v>0</v>
      </c>
      <c r="CW325" s="2275"/>
      <c r="CX325" s="2275"/>
      <c r="CY325" s="2250"/>
      <c r="CZ325" s="2250"/>
      <c r="DA325" s="2250"/>
      <c r="DB325" s="2250"/>
      <c r="DC325" s="2250"/>
      <c r="DD325" s="2250"/>
      <c r="DE325" s="2250"/>
      <c r="DF325" s="2250"/>
      <c r="DG325" s="2250"/>
      <c r="DH325" s="2250"/>
      <c r="DI325" s="2250"/>
      <c r="DJ325" s="2250"/>
      <c r="DK325" s="2250"/>
      <c r="DL325" s="2250"/>
      <c r="DM325" s="2250"/>
      <c r="DN325" s="2250"/>
      <c r="DO325" s="2250"/>
      <c r="DP325" s="2250"/>
      <c r="DQ325" s="2277"/>
      <c r="DR325" s="2277"/>
      <c r="DS325" s="277"/>
      <c r="DW325" s="2275"/>
      <c r="DX325" s="1684">
        <v>0</v>
      </c>
      <c r="DY325" s="1684" t="b">
        <f>IF(DY324=DX319,DY319,IF(DY324=DX320,DY320,IF(DY324=DX321,DY321)))</f>
        <v>0</v>
      </c>
      <c r="DZ325" s="1684" t="b">
        <f>IF(DY324=DX319,DZ319,IF(DY324=DX320,DZ320,IF(DY324=DX321,DZ321)))</f>
        <v>0</v>
      </c>
      <c r="EA325" s="1684" t="b">
        <f>IF(DY324=DX319,EA319,IF(DY324=DX320,EA320,IF(DY324=DX321,EA321)))</f>
        <v>0</v>
      </c>
      <c r="EB325" s="1684" t="b">
        <f>IF(DY324=DX319,EB319,IF(DY324=DX320,EB320,IF(DY324=DX321,EB321)))</f>
        <v>0</v>
      </c>
      <c r="EC325" s="1684" t="b">
        <f>IF(DY324=DX319,EC319,IF(DY324=DX320,EC320,IF(DY324=DX321,EC321)))</f>
        <v>0</v>
      </c>
      <c r="ED325" s="1684" t="b">
        <f>IF(DY324=DX319,ED319,IF(DY324=DX320,ED320,IF(DY324=DX321,ED321)))</f>
        <v>0</v>
      </c>
      <c r="EE325" s="1684" t="b">
        <f>IF(DY324=DX319,EE319,IF(DY324=DX320,EE320,IF(DY324=DX321,EE321)))</f>
        <v>0</v>
      </c>
      <c r="EF325" s="2374"/>
      <c r="EG325" s="1684"/>
      <c r="EH325" s="1684">
        <v>0</v>
      </c>
      <c r="EI325" s="1684" t="b">
        <f>IF(EI324=EH319,EI319,IF(EI324=EH320,EI320,IF(EI324=EH321,EI321)))</f>
        <v>0</v>
      </c>
      <c r="EJ325" s="1684" t="b">
        <f>IF(EI324=EH319,EJ319,IF(EI324=EH320,EJ320,IF(EI324=EH321,EJ321)))</f>
        <v>0</v>
      </c>
      <c r="EK325" s="1684" t="b">
        <f>IF(EI324=EH319,EK319,IF(EI324=EH320,EK320,IF(EI324=EH321,EK321)))</f>
        <v>0</v>
      </c>
      <c r="EL325" s="1684" t="b">
        <f>IF(EI324=EH319,EL319,IF(EI324=EH320,EL320,IF(EI324=EH321,EL321)))</f>
        <v>0</v>
      </c>
      <c r="EM325" s="1684" t="b">
        <f>IF(EI324=EH319,EM319,IF(EI324=EH320,EM320,IF(EI324=EH321,EM321)))</f>
        <v>0</v>
      </c>
      <c r="EN325" s="1684" t="b">
        <f>IF(EI324=EH319,EN319,IF(EI324=EH320,EN320,IF(EI324=EH321,EN321)))</f>
        <v>0</v>
      </c>
      <c r="EO325" s="1684" t="b">
        <f>IF(EI324=EH319,EO319,IF(EI324=EH320,EO320,IF(EI324=EH321,EO321)))</f>
        <v>0</v>
      </c>
      <c r="EP325" s="1684"/>
      <c r="EQ325" s="1684"/>
      <c r="ER325" s="1684">
        <v>0</v>
      </c>
      <c r="ES325" s="1684" t="b">
        <f>IF(ES324=ER319,ES319,IF(ES324=ER320,ES320,IF(ES324=ER321,ES321)))</f>
        <v>0</v>
      </c>
      <c r="ET325" s="1684" t="b">
        <f>IF(ES324=ER319,ET319,IF(ES324=ER320,ET320,IF(ES324=ER321,ET321)))</f>
        <v>0</v>
      </c>
      <c r="EU325" s="1684" t="b">
        <f>IF(ES324=ER319,EU319,IF(ES324=ER320,EU320,IF(ES324=ER321,EU321)))</f>
        <v>0</v>
      </c>
      <c r="EV325" s="1684" t="b">
        <f>IF(ES324=ER319,EV319,IF(ES324=ER320,EV320,IF(ES324=ER321,EV321)))</f>
        <v>0</v>
      </c>
      <c r="EW325" s="1684" t="b">
        <f>IF(ES324=ER319,EW319,IF(ES324=ER320,EW320,IF(ES324=ER321,EW321)))</f>
        <v>0</v>
      </c>
      <c r="EX325" s="1684" t="b">
        <f>IF(ES324=ER319,EX319,IF(ES324=ER320,EX320,IF(ES324=ER321,EX321)))</f>
        <v>0</v>
      </c>
      <c r="EY325" s="1684" t="b">
        <f>IF(ES324=ER319,EY319,IF(ES324=ER320,EY320,IF(ES324=ER321,EY321)))</f>
        <v>0</v>
      </c>
      <c r="EZ325" s="1684"/>
      <c r="FA325" s="1684"/>
      <c r="FB325" s="1684">
        <v>0</v>
      </c>
      <c r="FC325" s="1684" t="b">
        <f>IF(FC324=FB319,FC319,IF(FC324=FB320,FC320,IF(FC324=FB321,FC321)))</f>
        <v>0</v>
      </c>
      <c r="FD325" s="1684" t="b">
        <f>IF(FC324=FB319,FD319,IF(FC324=FB320,FD320,IF(FC324=FB321,FD321)))</f>
        <v>0</v>
      </c>
      <c r="FE325" s="1684" t="b">
        <f>IF(FC324=FB319,FE319,IF(FC324=FB320,FE320,IF(FC324=FB321,FE321)))</f>
        <v>0</v>
      </c>
      <c r="FF325" s="1684" t="b">
        <f>IF(FC324=FB319,FF319,IF(FC324=FB320,FF320,IF(FC324=FB321,FF321)))</f>
        <v>0</v>
      </c>
      <c r="FG325" s="1684" t="b">
        <f>IF(FC324=FB319,FG319,IF(FC324=FB320,FG320,IF(FC324=FB321,FG321)))</f>
        <v>0</v>
      </c>
      <c r="FH325" s="1684" t="b">
        <f>IF(FC324=FB319,FH319,IF(FC324=FB320,FH320,IF(FC324=FB321,FH321)))</f>
        <v>0</v>
      </c>
      <c r="FI325" s="1684" t="b">
        <f>IF(FC324=FB319,FI319,IF(FC324=FB320,FI320,IF(FC324=FB321,FI321)))</f>
        <v>0</v>
      </c>
      <c r="FJ325" s="2275"/>
      <c r="FK325" s="2275"/>
      <c r="FL325" s="2250"/>
      <c r="FM325" s="2250"/>
      <c r="FN325" s="2250"/>
      <c r="FO325" s="2250"/>
      <c r="FP325" s="2250"/>
      <c r="FQ325" s="2250"/>
      <c r="FR325" s="2250"/>
      <c r="FS325" s="2250"/>
      <c r="FT325" s="2250"/>
      <c r="FU325" s="2250"/>
      <c r="FV325" s="2250"/>
      <c r="FW325" s="2250"/>
      <c r="FX325" s="2250"/>
      <c r="FY325" s="2250"/>
      <c r="FZ325" s="2250"/>
      <c r="GA325" s="2250"/>
      <c r="GB325" s="2276"/>
      <c r="GC325" s="2276"/>
      <c r="GD325" s="2250"/>
      <c r="GE325" s="2275"/>
      <c r="GF325" s="2275"/>
      <c r="GG325" s="1684">
        <v>0</v>
      </c>
      <c r="GH325" s="1684" t="b">
        <f>IF(GH324=GG319,GH319,IF(GH324=GG320,GH320,IF(GH324=GG321,GH321)))</f>
        <v>0</v>
      </c>
      <c r="GI325" s="1684" t="b">
        <f>IF(GH324=GG319,GI319,IF(GH324=GG320,GI320,IF(GH324=GG321,GI321)))</f>
        <v>0</v>
      </c>
      <c r="GJ325" s="1684" t="b">
        <f>IF(GH324=GG319,GJ319,IF(GH324=GG320,GJ320,IF(GH324=GG321,GJ321)))</f>
        <v>0</v>
      </c>
      <c r="GK325" s="1684" t="b">
        <f>IF(GH324=GG319,GK319,IF(GH324=GG320,GK320,IF(GH324=GG321,GK321)))</f>
        <v>0</v>
      </c>
      <c r="GL325" s="1684" t="b">
        <f>IF(GH324=GG319,GL319,IF(GH324=GG320,GL320,IF(GH324=GG321,GL321)))</f>
        <v>0</v>
      </c>
      <c r="GM325" s="1684" t="b">
        <f>IF(GH324=GG319,GM319,IF(GH324=GG320,GM320,IF(GH324=GG321,GM321)))</f>
        <v>0</v>
      </c>
      <c r="GN325" s="1684" t="b">
        <f>IF(GH324=GG319,GN319,IF(GH324=GG320,GN320,IF(GH324=GG321,GN321)))</f>
        <v>0</v>
      </c>
      <c r="GO325" s="2374"/>
      <c r="GP325" s="1684"/>
      <c r="GQ325" s="1684">
        <v>0</v>
      </c>
      <c r="GR325" s="1684" t="b">
        <f>IF(GR324=GQ319,GR319,IF(GR324=GQ320,GR320,IF(GR324=GQ321,GR321)))</f>
        <v>0</v>
      </c>
      <c r="GS325" s="1684" t="b">
        <f>IF(GR324=GQ319,GS319,IF(GR324=GQ320,GS320,IF(GR324=GQ321,GS321)))</f>
        <v>0</v>
      </c>
      <c r="GT325" s="1684" t="b">
        <f>IF(GR324=GQ319,GT319,IF(GR324=GQ320,GT320,IF(GR324=GQ321,GT321)))</f>
        <v>0</v>
      </c>
      <c r="GU325" s="1684" t="b">
        <f>IF(GR324=GQ319,GU319,IF(GR324=GQ320,GU320,IF(GR324=GQ321,GU321)))</f>
        <v>0</v>
      </c>
      <c r="GV325" s="1684" t="b">
        <f>IF(GR324=GQ319,GV319,IF(GR324=GQ320,GV320,IF(GR324=GQ321,GV321)))</f>
        <v>0</v>
      </c>
      <c r="GW325" s="1684" t="b">
        <f>IF(GR324=GQ319,GW319,IF(GR324=GQ320,GW320,IF(GR324=GQ321,GW321)))</f>
        <v>0</v>
      </c>
      <c r="GX325" s="1684" t="b">
        <f>IF(GR324=GQ319,GX319,IF(GR324=GQ320,GX320,IF(GR324=GQ321,GX321)))</f>
        <v>0</v>
      </c>
      <c r="GY325" s="1684"/>
      <c r="GZ325" s="1684"/>
      <c r="HA325" s="1684">
        <v>0</v>
      </c>
      <c r="HB325" s="1684" t="b">
        <f>IF(HB324=HA319,HB319,IF(HB324=HA320,HB320,IF(HB324=HA321,HB321)))</f>
        <v>0</v>
      </c>
      <c r="HC325" s="1684" t="b">
        <f>IF(HB324=HA319,HC319,IF(HB324=HA320,HC320,IF(HB324=HA321,HC321)))</f>
        <v>0</v>
      </c>
      <c r="HD325" s="1684" t="b">
        <f>IF(HB324=HA319,HD319,IF(HB324=HA320,HD320,IF(HB324=HA321,HD321)))</f>
        <v>0</v>
      </c>
      <c r="HE325" s="1684" t="b">
        <f>IF(HB324=HA319,HE319,IF(HB324=HA320,HE320,IF(HB324=HA321,HE321)))</f>
        <v>0</v>
      </c>
      <c r="HF325" s="1684" t="b">
        <f>IF(HB324=HA319,HF319,IF(HB324=HA320,HF320,IF(HB324=HA321,HF321)))</f>
        <v>0</v>
      </c>
      <c r="HG325" s="1684" t="b">
        <f>IF(HB324=HA319,HG319,IF(HB324=HA320,HG320,IF(HB324=HA321,HG321)))</f>
        <v>0</v>
      </c>
      <c r="HH325" s="1684" t="b">
        <f>IF(HB324=HA319,HH319,IF(HB324=HA320,HH320,IF(HB324=HA321,HH321)))</f>
        <v>0</v>
      </c>
      <c r="HI325" s="1684"/>
      <c r="HJ325" s="1684"/>
      <c r="HK325" s="1684">
        <v>0</v>
      </c>
      <c r="HL325" s="1684" t="b">
        <f>IF(HL324=HK319,HL319,IF(HL324=HK320,HL320,IF(HL324=HK321,HL321)))</f>
        <v>0</v>
      </c>
      <c r="HM325" s="1684" t="b">
        <f>IF(HL324=HK319,HM319,IF(HL324=HK320,HM320,IF(HL324=HK321,HM321)))</f>
        <v>0</v>
      </c>
      <c r="HN325" s="1684" t="b">
        <f>IF(HL324=HK319,HN319,IF(HL324=HK320,HN320,IF(HL324=HK321,HN321)))</f>
        <v>0</v>
      </c>
      <c r="HO325" s="1684" t="b">
        <f>IF(HL324=HK319,HO319,IF(HL324=HK320,HO320,IF(HL324=HK321,HO321)))</f>
        <v>0</v>
      </c>
      <c r="HP325" s="1684" t="b">
        <f>IF(HL324=HK319,HP319,IF(HL324=HK320,HP320,IF(HL324=HK321,HP321)))</f>
        <v>0</v>
      </c>
      <c r="HQ325" s="1684" t="b">
        <f>IF(HL324=HK319,HQ319,IF(HL324=HK320,HQ320,IF(HL324=HK321,HQ321)))</f>
        <v>0</v>
      </c>
      <c r="HR325" s="1684" t="b">
        <f>IF(HL324=HK319,HR319,IF(HL324=HK320,HR320,IF(HL324=HK321,HR321)))</f>
        <v>0</v>
      </c>
      <c r="HS325" s="2275"/>
      <c r="HT325" s="2275"/>
      <c r="HU325" s="2250"/>
      <c r="HV325" s="2250"/>
      <c r="HW325" s="2250"/>
      <c r="HX325" s="2250"/>
      <c r="HY325" s="2250"/>
      <c r="HZ325" s="2250"/>
      <c r="IA325" s="2250"/>
      <c r="IB325" s="2250"/>
      <c r="IC325" s="2250"/>
      <c r="ID325" s="2250"/>
      <c r="IE325" s="2250"/>
      <c r="IF325" s="2250"/>
      <c r="IG325" s="2250"/>
      <c r="IH325" s="2250"/>
      <c r="II325" s="2250"/>
      <c r="IJ325" s="2250"/>
      <c r="IK325" s="2250"/>
      <c r="IL325" s="2250"/>
      <c r="IN325" s="277"/>
      <c r="IO325" s="277"/>
    </row>
    <row r="326" spans="1:249" ht="21.95" customHeight="1">
      <c r="A326" s="2275"/>
      <c r="B326" s="1684" t="b">
        <f t="shared" ref="B326:H326" si="146">+C325</f>
        <v>0</v>
      </c>
      <c r="C326" s="1684" t="b">
        <f t="shared" si="146"/>
        <v>0</v>
      </c>
      <c r="D326" s="1684" t="b">
        <f t="shared" si="146"/>
        <v>0</v>
      </c>
      <c r="E326" s="1684" t="b">
        <f t="shared" si="146"/>
        <v>0</v>
      </c>
      <c r="F326" s="1684" t="b">
        <f t="shared" si="146"/>
        <v>0</v>
      </c>
      <c r="G326" s="1684" t="b">
        <f t="shared" si="146"/>
        <v>0</v>
      </c>
      <c r="H326" s="1684" t="b">
        <f t="shared" si="146"/>
        <v>0</v>
      </c>
      <c r="I326" s="1684" t="b">
        <f>+H326</f>
        <v>0</v>
      </c>
      <c r="J326" s="2374"/>
      <c r="K326" s="1684"/>
      <c r="L326" s="1684" t="b">
        <f t="shared" ref="L326:R326" si="147">+M325</f>
        <v>0</v>
      </c>
      <c r="M326" s="1684" t="b">
        <f t="shared" si="147"/>
        <v>0</v>
      </c>
      <c r="N326" s="1684" t="b">
        <f t="shared" si="147"/>
        <v>0</v>
      </c>
      <c r="O326" s="1684" t="b">
        <f t="shared" si="147"/>
        <v>0</v>
      </c>
      <c r="P326" s="1684" t="b">
        <f t="shared" si="147"/>
        <v>0</v>
      </c>
      <c r="Q326" s="1684" t="b">
        <f t="shared" si="147"/>
        <v>0</v>
      </c>
      <c r="R326" s="1684" t="b">
        <f t="shared" si="147"/>
        <v>0</v>
      </c>
      <c r="S326" s="1684" t="b">
        <f>+R326</f>
        <v>0</v>
      </c>
      <c r="T326" s="1684"/>
      <c r="U326" s="1684"/>
      <c r="V326" s="1684" t="b">
        <f t="shared" ref="V326:AB326" si="148">+W325</f>
        <v>0</v>
      </c>
      <c r="W326" s="1684" t="b">
        <f t="shared" si="148"/>
        <v>0</v>
      </c>
      <c r="X326" s="1684" t="b">
        <f t="shared" si="148"/>
        <v>0</v>
      </c>
      <c r="Y326" s="1684" t="b">
        <f t="shared" si="148"/>
        <v>0</v>
      </c>
      <c r="Z326" s="1684" t="b">
        <f t="shared" si="148"/>
        <v>0</v>
      </c>
      <c r="AA326" s="1684" t="b">
        <f t="shared" si="148"/>
        <v>0</v>
      </c>
      <c r="AB326" s="1684" t="b">
        <f t="shared" si="148"/>
        <v>0</v>
      </c>
      <c r="AC326" s="1684" t="b">
        <f>+AB326</f>
        <v>0</v>
      </c>
      <c r="AD326" s="1684"/>
      <c r="AE326" s="1684"/>
      <c r="AF326" s="1684" t="b">
        <f t="shared" ref="AF326:AL326" si="149">+AG325</f>
        <v>0</v>
      </c>
      <c r="AG326" s="1684" t="b">
        <f t="shared" si="149"/>
        <v>0</v>
      </c>
      <c r="AH326" s="1684" t="b">
        <f t="shared" si="149"/>
        <v>0</v>
      </c>
      <c r="AI326" s="1684" t="b">
        <f t="shared" si="149"/>
        <v>0</v>
      </c>
      <c r="AJ326" s="1684" t="b">
        <f t="shared" si="149"/>
        <v>0</v>
      </c>
      <c r="AK326" s="1684" t="b">
        <f t="shared" si="149"/>
        <v>0</v>
      </c>
      <c r="AL326" s="1684" t="b">
        <f t="shared" si="149"/>
        <v>0</v>
      </c>
      <c r="AM326" s="1684" t="b">
        <f>+AL326</f>
        <v>0</v>
      </c>
      <c r="AN326" s="2275"/>
      <c r="AO326" s="2275"/>
      <c r="AP326" s="2250"/>
      <c r="AQ326" s="2250"/>
      <c r="AR326" s="2250"/>
      <c r="AS326" s="2250"/>
      <c r="AT326" s="2250"/>
      <c r="AU326" s="2250"/>
      <c r="AV326" s="2250"/>
      <c r="AW326" s="2250"/>
      <c r="AX326" s="2250"/>
      <c r="AY326" s="2250"/>
      <c r="AZ326" s="2250"/>
      <c r="BA326" s="2250"/>
      <c r="BB326" s="2250"/>
      <c r="BC326" s="2250"/>
      <c r="BD326" s="2250"/>
      <c r="BE326" s="2250"/>
      <c r="BF326" s="2276"/>
      <c r="BG326" s="2276"/>
      <c r="BH326" s="2250"/>
      <c r="BI326" s="2275"/>
      <c r="BJ326" s="2275"/>
      <c r="BK326" s="1684" t="b">
        <f t="shared" ref="BK326" si="150">+BL325</f>
        <v>0</v>
      </c>
      <c r="BL326" s="1684" t="b">
        <f t="shared" ref="BL326" si="151">+BM325</f>
        <v>0</v>
      </c>
      <c r="BM326" s="1684" t="b">
        <f t="shared" ref="BM326" si="152">+BN325</f>
        <v>0</v>
      </c>
      <c r="BN326" s="1684" t="b">
        <f t="shared" ref="BN326" si="153">+BO325</f>
        <v>0</v>
      </c>
      <c r="BO326" s="1684" t="b">
        <f t="shared" ref="BO326" si="154">+BP325</f>
        <v>0</v>
      </c>
      <c r="BP326" s="1684" t="b">
        <f t="shared" ref="BP326" si="155">+BQ325</f>
        <v>0</v>
      </c>
      <c r="BQ326" s="1684" t="b">
        <f t="shared" ref="BQ326" si="156">+BR325</f>
        <v>0</v>
      </c>
      <c r="BR326" s="1684" t="b">
        <f>+BQ326</f>
        <v>0</v>
      </c>
      <c r="BS326" s="2374"/>
      <c r="BT326" s="1684"/>
      <c r="BU326" s="1684" t="b">
        <f t="shared" ref="BU326" si="157">+BV325</f>
        <v>0</v>
      </c>
      <c r="BV326" s="1684" t="b">
        <f t="shared" ref="BV326" si="158">+BW325</f>
        <v>0</v>
      </c>
      <c r="BW326" s="1684" t="b">
        <f t="shared" ref="BW326" si="159">+BX325</f>
        <v>0</v>
      </c>
      <c r="BX326" s="1684" t="b">
        <f t="shared" ref="BX326" si="160">+BY325</f>
        <v>0</v>
      </c>
      <c r="BY326" s="1684" t="b">
        <f t="shared" ref="BY326" si="161">+BZ325</f>
        <v>0</v>
      </c>
      <c r="BZ326" s="1684" t="b">
        <f t="shared" ref="BZ326" si="162">+CA325</f>
        <v>0</v>
      </c>
      <c r="CA326" s="1684" t="b">
        <f t="shared" ref="CA326" si="163">+CB325</f>
        <v>0</v>
      </c>
      <c r="CB326" s="1684" t="b">
        <f>+CA326</f>
        <v>0</v>
      </c>
      <c r="CC326" s="1684"/>
      <c r="CD326" s="1684"/>
      <c r="CE326" s="1684" t="b">
        <f t="shared" ref="CE326" si="164">+CF325</f>
        <v>0</v>
      </c>
      <c r="CF326" s="1684" t="b">
        <f t="shared" ref="CF326" si="165">+CG325</f>
        <v>0</v>
      </c>
      <c r="CG326" s="1684" t="b">
        <f t="shared" ref="CG326" si="166">+CH325</f>
        <v>0</v>
      </c>
      <c r="CH326" s="1684" t="b">
        <f t="shared" ref="CH326" si="167">+CI325</f>
        <v>0</v>
      </c>
      <c r="CI326" s="1684" t="b">
        <f t="shared" ref="CI326" si="168">+CJ325</f>
        <v>0</v>
      </c>
      <c r="CJ326" s="1684" t="b">
        <f t="shared" ref="CJ326" si="169">+CK325</f>
        <v>0</v>
      </c>
      <c r="CK326" s="1684" t="b">
        <f t="shared" ref="CK326" si="170">+CL325</f>
        <v>0</v>
      </c>
      <c r="CL326" s="1684" t="b">
        <f>+CK326</f>
        <v>0</v>
      </c>
      <c r="CM326" s="1684"/>
      <c r="CN326" s="1684"/>
      <c r="CO326" s="1684" t="b">
        <f t="shared" ref="CO326" si="171">+CP325</f>
        <v>0</v>
      </c>
      <c r="CP326" s="1684" t="b">
        <f t="shared" ref="CP326" si="172">+CQ325</f>
        <v>0</v>
      </c>
      <c r="CQ326" s="1684" t="b">
        <f t="shared" ref="CQ326" si="173">+CR325</f>
        <v>0</v>
      </c>
      <c r="CR326" s="1684" t="b">
        <f t="shared" ref="CR326" si="174">+CS325</f>
        <v>0</v>
      </c>
      <c r="CS326" s="1684" t="b">
        <f t="shared" ref="CS326" si="175">+CT325</f>
        <v>0</v>
      </c>
      <c r="CT326" s="1684" t="b">
        <f t="shared" ref="CT326" si="176">+CU325</f>
        <v>0</v>
      </c>
      <c r="CU326" s="1684" t="b">
        <f t="shared" ref="CU326" si="177">+CV325</f>
        <v>0</v>
      </c>
      <c r="CV326" s="1684" t="b">
        <f>+CU326</f>
        <v>0</v>
      </c>
      <c r="CW326" s="2275"/>
      <c r="CX326" s="2275"/>
      <c r="CY326" s="2250"/>
      <c r="CZ326" s="2250"/>
      <c r="DA326" s="2250"/>
      <c r="DB326" s="2250"/>
      <c r="DC326" s="2250"/>
      <c r="DD326" s="2250"/>
      <c r="DE326" s="2250"/>
      <c r="DF326" s="2250"/>
      <c r="DG326" s="2250"/>
      <c r="DH326" s="2250"/>
      <c r="DI326" s="2250"/>
      <c r="DJ326" s="2250"/>
      <c r="DK326" s="2250"/>
      <c r="DL326" s="2250"/>
      <c r="DM326" s="2250"/>
      <c r="DN326" s="2250"/>
      <c r="DO326" s="2250"/>
      <c r="DP326" s="2250"/>
      <c r="DQ326" s="2277"/>
      <c r="DR326" s="2277"/>
      <c r="DS326" s="277"/>
      <c r="DW326" s="2275"/>
      <c r="DX326" s="1684" t="b">
        <f t="shared" ref="DX326:ED326" si="178">+DY325</f>
        <v>0</v>
      </c>
      <c r="DY326" s="1684" t="b">
        <f t="shared" si="178"/>
        <v>0</v>
      </c>
      <c r="DZ326" s="1684" t="b">
        <f t="shared" si="178"/>
        <v>0</v>
      </c>
      <c r="EA326" s="1684" t="b">
        <f t="shared" si="178"/>
        <v>0</v>
      </c>
      <c r="EB326" s="1684" t="b">
        <f t="shared" si="178"/>
        <v>0</v>
      </c>
      <c r="EC326" s="1684" t="b">
        <f t="shared" si="178"/>
        <v>0</v>
      </c>
      <c r="ED326" s="1684" t="b">
        <f t="shared" si="178"/>
        <v>0</v>
      </c>
      <c r="EE326" s="1684" t="b">
        <f>+ED326</f>
        <v>0</v>
      </c>
      <c r="EF326" s="2374"/>
      <c r="EG326" s="1684"/>
      <c r="EH326" s="1684" t="b">
        <f t="shared" ref="EH326:EN326" si="179">+EI325</f>
        <v>0</v>
      </c>
      <c r="EI326" s="1684" t="b">
        <f t="shared" si="179"/>
        <v>0</v>
      </c>
      <c r="EJ326" s="1684" t="b">
        <f t="shared" si="179"/>
        <v>0</v>
      </c>
      <c r="EK326" s="1684" t="b">
        <f t="shared" si="179"/>
        <v>0</v>
      </c>
      <c r="EL326" s="1684" t="b">
        <f t="shared" si="179"/>
        <v>0</v>
      </c>
      <c r="EM326" s="1684" t="b">
        <f t="shared" si="179"/>
        <v>0</v>
      </c>
      <c r="EN326" s="1684" t="b">
        <f t="shared" si="179"/>
        <v>0</v>
      </c>
      <c r="EO326" s="1684" t="b">
        <f>+EN326</f>
        <v>0</v>
      </c>
      <c r="EP326" s="1684"/>
      <c r="EQ326" s="1684"/>
      <c r="ER326" s="1684" t="b">
        <f t="shared" ref="ER326:EX326" si="180">+ES325</f>
        <v>0</v>
      </c>
      <c r="ES326" s="1684" t="b">
        <f t="shared" si="180"/>
        <v>0</v>
      </c>
      <c r="ET326" s="1684" t="b">
        <f t="shared" si="180"/>
        <v>0</v>
      </c>
      <c r="EU326" s="1684" t="b">
        <f t="shared" si="180"/>
        <v>0</v>
      </c>
      <c r="EV326" s="1684" t="b">
        <f t="shared" si="180"/>
        <v>0</v>
      </c>
      <c r="EW326" s="1684" t="b">
        <f t="shared" si="180"/>
        <v>0</v>
      </c>
      <c r="EX326" s="1684" t="b">
        <f t="shared" si="180"/>
        <v>0</v>
      </c>
      <c r="EY326" s="1684" t="b">
        <f>+EX326</f>
        <v>0</v>
      </c>
      <c r="EZ326" s="1684"/>
      <c r="FA326" s="1684"/>
      <c r="FB326" s="1684" t="b">
        <f t="shared" ref="FB326:FH326" si="181">+FC325</f>
        <v>0</v>
      </c>
      <c r="FC326" s="1684" t="b">
        <f t="shared" si="181"/>
        <v>0</v>
      </c>
      <c r="FD326" s="1684" t="b">
        <f t="shared" si="181"/>
        <v>0</v>
      </c>
      <c r="FE326" s="1684" t="b">
        <f t="shared" si="181"/>
        <v>0</v>
      </c>
      <c r="FF326" s="1684" t="b">
        <f t="shared" si="181"/>
        <v>0</v>
      </c>
      <c r="FG326" s="1684" t="b">
        <f t="shared" si="181"/>
        <v>0</v>
      </c>
      <c r="FH326" s="1684" t="b">
        <f t="shared" si="181"/>
        <v>0</v>
      </c>
      <c r="FI326" s="1684" t="b">
        <f>+FH326</f>
        <v>0</v>
      </c>
      <c r="FJ326" s="2275"/>
      <c r="FK326" s="2275"/>
      <c r="FL326" s="2250"/>
      <c r="FM326" s="2250"/>
      <c r="FN326" s="2250"/>
      <c r="FO326" s="2250"/>
      <c r="FP326" s="2250"/>
      <c r="FQ326" s="2250"/>
      <c r="FR326" s="2250"/>
      <c r="FS326" s="2250"/>
      <c r="FT326" s="2250"/>
      <c r="FU326" s="2250"/>
      <c r="FV326" s="2250"/>
      <c r="FW326" s="2250"/>
      <c r="FX326" s="2250"/>
      <c r="FY326" s="2250"/>
      <c r="FZ326" s="2250"/>
      <c r="GA326" s="2250"/>
      <c r="GB326" s="2276"/>
      <c r="GC326" s="2276"/>
      <c r="GD326" s="2250"/>
      <c r="GE326" s="2275"/>
      <c r="GF326" s="2275"/>
      <c r="GG326" s="1684" t="b">
        <f t="shared" ref="GG326:GM326" si="182">+GH325</f>
        <v>0</v>
      </c>
      <c r="GH326" s="1684" t="b">
        <f t="shared" si="182"/>
        <v>0</v>
      </c>
      <c r="GI326" s="1684" t="b">
        <f t="shared" si="182"/>
        <v>0</v>
      </c>
      <c r="GJ326" s="1684" t="b">
        <f t="shared" si="182"/>
        <v>0</v>
      </c>
      <c r="GK326" s="1684" t="b">
        <f t="shared" si="182"/>
        <v>0</v>
      </c>
      <c r="GL326" s="1684" t="b">
        <f t="shared" si="182"/>
        <v>0</v>
      </c>
      <c r="GM326" s="1684" t="b">
        <f t="shared" si="182"/>
        <v>0</v>
      </c>
      <c r="GN326" s="1684" t="b">
        <f>+GM326</f>
        <v>0</v>
      </c>
      <c r="GO326" s="2374"/>
      <c r="GP326" s="1684"/>
      <c r="GQ326" s="1684" t="b">
        <f t="shared" ref="GQ326:GW326" si="183">+GR325</f>
        <v>0</v>
      </c>
      <c r="GR326" s="1684" t="b">
        <f t="shared" si="183"/>
        <v>0</v>
      </c>
      <c r="GS326" s="1684" t="b">
        <f t="shared" si="183"/>
        <v>0</v>
      </c>
      <c r="GT326" s="1684" t="b">
        <f t="shared" si="183"/>
        <v>0</v>
      </c>
      <c r="GU326" s="1684" t="b">
        <f t="shared" si="183"/>
        <v>0</v>
      </c>
      <c r="GV326" s="1684" t="b">
        <f t="shared" si="183"/>
        <v>0</v>
      </c>
      <c r="GW326" s="1684" t="b">
        <f t="shared" si="183"/>
        <v>0</v>
      </c>
      <c r="GX326" s="1684" t="b">
        <f>+GW326</f>
        <v>0</v>
      </c>
      <c r="GY326" s="1684"/>
      <c r="GZ326" s="1684"/>
      <c r="HA326" s="1684" t="b">
        <f t="shared" ref="HA326:HG326" si="184">+HB325</f>
        <v>0</v>
      </c>
      <c r="HB326" s="1684" t="b">
        <f t="shared" si="184"/>
        <v>0</v>
      </c>
      <c r="HC326" s="1684" t="b">
        <f t="shared" si="184"/>
        <v>0</v>
      </c>
      <c r="HD326" s="1684" t="b">
        <f t="shared" si="184"/>
        <v>0</v>
      </c>
      <c r="HE326" s="1684" t="b">
        <f t="shared" si="184"/>
        <v>0</v>
      </c>
      <c r="HF326" s="1684" t="b">
        <f t="shared" si="184"/>
        <v>0</v>
      </c>
      <c r="HG326" s="1684" t="b">
        <f t="shared" si="184"/>
        <v>0</v>
      </c>
      <c r="HH326" s="1684" t="b">
        <f>+HG326</f>
        <v>0</v>
      </c>
      <c r="HI326" s="1684"/>
      <c r="HJ326" s="1684"/>
      <c r="HK326" s="1684" t="b">
        <f t="shared" ref="HK326:HQ326" si="185">+HL325</f>
        <v>0</v>
      </c>
      <c r="HL326" s="1684" t="b">
        <f t="shared" si="185"/>
        <v>0</v>
      </c>
      <c r="HM326" s="1684" t="b">
        <f t="shared" si="185"/>
        <v>0</v>
      </c>
      <c r="HN326" s="1684" t="b">
        <f t="shared" si="185"/>
        <v>0</v>
      </c>
      <c r="HO326" s="1684" t="b">
        <f t="shared" si="185"/>
        <v>0</v>
      </c>
      <c r="HP326" s="1684" t="b">
        <f t="shared" si="185"/>
        <v>0</v>
      </c>
      <c r="HQ326" s="1684" t="b">
        <f t="shared" si="185"/>
        <v>0</v>
      </c>
      <c r="HR326" s="1684" t="b">
        <f>+HQ326</f>
        <v>0</v>
      </c>
      <c r="HS326" s="2275"/>
      <c r="HT326" s="2275"/>
      <c r="HU326" s="2250"/>
      <c r="HV326" s="2250"/>
      <c r="HW326" s="2250"/>
      <c r="HX326" s="2250"/>
      <c r="HY326" s="2250"/>
      <c r="HZ326" s="2250"/>
      <c r="IA326" s="2250"/>
      <c r="IB326" s="2250"/>
      <c r="IC326" s="2250"/>
      <c r="ID326" s="2250"/>
      <c r="IE326" s="2250"/>
      <c r="IF326" s="2250"/>
      <c r="IG326" s="2250"/>
      <c r="IH326" s="2250"/>
      <c r="II326" s="2250"/>
      <c r="IJ326" s="2250"/>
      <c r="IK326" s="2250"/>
      <c r="IL326" s="2250"/>
      <c r="IN326" s="277"/>
      <c r="IO326" s="277"/>
    </row>
    <row r="327" spans="1:249" ht="21.95" customHeight="1">
      <c r="A327" s="2275"/>
      <c r="B327" s="2375">
        <v>275</v>
      </c>
      <c r="C327" s="2375">
        <v>300</v>
      </c>
      <c r="D327" s="2375">
        <v>350</v>
      </c>
      <c r="E327" s="2374">
        <v>400</v>
      </c>
      <c r="F327" s="2374">
        <v>450</v>
      </c>
      <c r="G327" s="2374">
        <v>500</v>
      </c>
      <c r="H327" s="2374">
        <v>600</v>
      </c>
      <c r="I327" s="2374">
        <v>600</v>
      </c>
      <c r="J327" s="2374"/>
      <c r="K327" s="1684"/>
      <c r="L327" s="2375">
        <v>275</v>
      </c>
      <c r="M327" s="2375">
        <v>300</v>
      </c>
      <c r="N327" s="2375">
        <v>350</v>
      </c>
      <c r="O327" s="2374">
        <v>400</v>
      </c>
      <c r="P327" s="2374">
        <v>450</v>
      </c>
      <c r="Q327" s="2374">
        <v>500</v>
      </c>
      <c r="R327" s="2374">
        <v>600</v>
      </c>
      <c r="S327" s="2374">
        <v>600</v>
      </c>
      <c r="T327" s="1684"/>
      <c r="U327" s="1684"/>
      <c r="V327" s="2375">
        <v>275</v>
      </c>
      <c r="W327" s="2375">
        <v>300</v>
      </c>
      <c r="X327" s="2375">
        <v>350</v>
      </c>
      <c r="Y327" s="2374">
        <v>400</v>
      </c>
      <c r="Z327" s="2374">
        <v>450</v>
      </c>
      <c r="AA327" s="2374">
        <v>500</v>
      </c>
      <c r="AB327" s="2374">
        <v>600</v>
      </c>
      <c r="AC327" s="2374">
        <v>600</v>
      </c>
      <c r="AD327" s="1684"/>
      <c r="AE327" s="1684"/>
      <c r="AF327" s="2375">
        <v>275</v>
      </c>
      <c r="AG327" s="2375">
        <v>300</v>
      </c>
      <c r="AH327" s="2375">
        <v>350</v>
      </c>
      <c r="AI327" s="2374">
        <v>400</v>
      </c>
      <c r="AJ327" s="2374">
        <v>450</v>
      </c>
      <c r="AK327" s="2374">
        <v>500</v>
      </c>
      <c r="AL327" s="2374">
        <v>600</v>
      </c>
      <c r="AM327" s="2374">
        <v>600</v>
      </c>
      <c r="AN327" s="2275"/>
      <c r="AO327" s="2275"/>
      <c r="AP327" s="2250"/>
      <c r="AQ327" s="2250"/>
      <c r="AR327" s="2250"/>
      <c r="AS327" s="2250"/>
      <c r="AT327" s="2250"/>
      <c r="AU327" s="2250"/>
      <c r="AV327" s="2250"/>
      <c r="AW327" s="2250"/>
      <c r="AX327" s="2250"/>
      <c r="AY327" s="2250"/>
      <c r="AZ327" s="2250"/>
      <c r="BA327" s="2250"/>
      <c r="BB327" s="2250"/>
      <c r="BC327" s="2250"/>
      <c r="BD327" s="2250"/>
      <c r="BE327" s="2250"/>
      <c r="BF327" s="2276"/>
      <c r="BG327" s="2276"/>
      <c r="BH327" s="2250"/>
      <c r="BI327" s="2275"/>
      <c r="BJ327" s="2275"/>
      <c r="BK327" s="2375">
        <v>275</v>
      </c>
      <c r="BL327" s="2375">
        <v>300</v>
      </c>
      <c r="BM327" s="2375">
        <v>350</v>
      </c>
      <c r="BN327" s="2374">
        <v>400</v>
      </c>
      <c r="BO327" s="2374">
        <v>450</v>
      </c>
      <c r="BP327" s="2374">
        <v>500</v>
      </c>
      <c r="BQ327" s="2374">
        <v>600</v>
      </c>
      <c r="BR327" s="2374">
        <v>600</v>
      </c>
      <c r="BS327" s="2374"/>
      <c r="BT327" s="1684"/>
      <c r="BU327" s="2375">
        <v>275</v>
      </c>
      <c r="BV327" s="2375">
        <v>300</v>
      </c>
      <c r="BW327" s="2375">
        <v>350</v>
      </c>
      <c r="BX327" s="2374">
        <v>400</v>
      </c>
      <c r="BY327" s="2374">
        <v>450</v>
      </c>
      <c r="BZ327" s="2374">
        <v>500</v>
      </c>
      <c r="CA327" s="2374">
        <v>600</v>
      </c>
      <c r="CB327" s="2374">
        <v>600</v>
      </c>
      <c r="CC327" s="1684"/>
      <c r="CD327" s="1684"/>
      <c r="CE327" s="2375">
        <v>275</v>
      </c>
      <c r="CF327" s="2375">
        <v>300</v>
      </c>
      <c r="CG327" s="2375">
        <v>350</v>
      </c>
      <c r="CH327" s="2374">
        <v>400</v>
      </c>
      <c r="CI327" s="2374">
        <v>450</v>
      </c>
      <c r="CJ327" s="2374">
        <v>500</v>
      </c>
      <c r="CK327" s="2374">
        <v>600</v>
      </c>
      <c r="CL327" s="2374">
        <v>600</v>
      </c>
      <c r="CM327" s="1684"/>
      <c r="CN327" s="1684"/>
      <c r="CO327" s="2375">
        <v>275</v>
      </c>
      <c r="CP327" s="2375">
        <v>300</v>
      </c>
      <c r="CQ327" s="2375">
        <v>350</v>
      </c>
      <c r="CR327" s="2374">
        <v>400</v>
      </c>
      <c r="CS327" s="2374">
        <v>450</v>
      </c>
      <c r="CT327" s="2374">
        <v>500</v>
      </c>
      <c r="CU327" s="2374">
        <v>600</v>
      </c>
      <c r="CV327" s="2374">
        <v>600</v>
      </c>
      <c r="CW327" s="2275"/>
      <c r="CX327" s="2275"/>
      <c r="CY327" s="2250"/>
      <c r="CZ327" s="2250"/>
      <c r="DA327" s="2250"/>
      <c r="DB327" s="2250"/>
      <c r="DC327" s="2250"/>
      <c r="DD327" s="2250"/>
      <c r="DE327" s="2250"/>
      <c r="DF327" s="2250"/>
      <c r="DG327" s="2250"/>
      <c r="DH327" s="2250"/>
      <c r="DI327" s="2250"/>
      <c r="DJ327" s="2250"/>
      <c r="DK327" s="2250"/>
      <c r="DL327" s="2250"/>
      <c r="DM327" s="2250"/>
      <c r="DN327" s="2250"/>
      <c r="DO327" s="2250"/>
      <c r="DP327" s="2250"/>
      <c r="DQ327" s="2277"/>
      <c r="DR327" s="2277"/>
      <c r="DS327" s="277"/>
      <c r="DW327" s="2275"/>
      <c r="DX327" s="2375">
        <v>275</v>
      </c>
      <c r="DY327" s="2375">
        <v>300</v>
      </c>
      <c r="DZ327" s="2375">
        <v>350</v>
      </c>
      <c r="EA327" s="2374">
        <v>400</v>
      </c>
      <c r="EB327" s="2374">
        <v>450</v>
      </c>
      <c r="EC327" s="2374">
        <v>500</v>
      </c>
      <c r="ED327" s="2374">
        <v>600</v>
      </c>
      <c r="EE327" s="2374">
        <v>600</v>
      </c>
      <c r="EF327" s="2374"/>
      <c r="EG327" s="1684"/>
      <c r="EH327" s="2375">
        <v>275</v>
      </c>
      <c r="EI327" s="2375">
        <v>300</v>
      </c>
      <c r="EJ327" s="2375">
        <v>350</v>
      </c>
      <c r="EK327" s="2374">
        <v>400</v>
      </c>
      <c r="EL327" s="2374">
        <v>450</v>
      </c>
      <c r="EM327" s="2374">
        <v>500</v>
      </c>
      <c r="EN327" s="2374">
        <v>600</v>
      </c>
      <c r="EO327" s="2374">
        <v>600</v>
      </c>
      <c r="EP327" s="1684"/>
      <c r="EQ327" s="1684"/>
      <c r="ER327" s="2375">
        <v>275</v>
      </c>
      <c r="ES327" s="2375">
        <v>300</v>
      </c>
      <c r="ET327" s="2375">
        <v>350</v>
      </c>
      <c r="EU327" s="2374">
        <v>400</v>
      </c>
      <c r="EV327" s="2374">
        <v>450</v>
      </c>
      <c r="EW327" s="2374">
        <v>500</v>
      </c>
      <c r="EX327" s="2374">
        <v>600</v>
      </c>
      <c r="EY327" s="2374">
        <v>600</v>
      </c>
      <c r="EZ327" s="1684"/>
      <c r="FA327" s="1684"/>
      <c r="FB327" s="2375">
        <v>275</v>
      </c>
      <c r="FC327" s="2375">
        <v>300</v>
      </c>
      <c r="FD327" s="2375">
        <v>350</v>
      </c>
      <c r="FE327" s="2374">
        <v>400</v>
      </c>
      <c r="FF327" s="2374">
        <v>450</v>
      </c>
      <c r="FG327" s="2374">
        <v>500</v>
      </c>
      <c r="FH327" s="2374">
        <v>600</v>
      </c>
      <c r="FI327" s="2374">
        <v>600</v>
      </c>
      <c r="FJ327" s="2275"/>
      <c r="FK327" s="2275"/>
      <c r="FL327" s="2250"/>
      <c r="FM327" s="2250"/>
      <c r="FN327" s="2250"/>
      <c r="FO327" s="2250"/>
      <c r="FP327" s="2250"/>
      <c r="FQ327" s="2250"/>
      <c r="FR327" s="2250"/>
      <c r="FS327" s="2250"/>
      <c r="FT327" s="2250"/>
      <c r="FU327" s="2250"/>
      <c r="FV327" s="2250"/>
      <c r="FW327" s="2250"/>
      <c r="FX327" s="2250"/>
      <c r="FY327" s="2250"/>
      <c r="FZ327" s="2250"/>
      <c r="GA327" s="2250"/>
      <c r="GB327" s="2276"/>
      <c r="GC327" s="2276"/>
      <c r="GD327" s="2250"/>
      <c r="GE327" s="2275"/>
      <c r="GF327" s="2275"/>
      <c r="GG327" s="2375">
        <v>275</v>
      </c>
      <c r="GH327" s="2375">
        <v>300</v>
      </c>
      <c r="GI327" s="2375">
        <v>350</v>
      </c>
      <c r="GJ327" s="2374">
        <v>400</v>
      </c>
      <c r="GK327" s="2374">
        <v>450</v>
      </c>
      <c r="GL327" s="2374">
        <v>500</v>
      </c>
      <c r="GM327" s="2374">
        <v>600</v>
      </c>
      <c r="GN327" s="2374">
        <v>600</v>
      </c>
      <c r="GO327" s="2374"/>
      <c r="GP327" s="1684"/>
      <c r="GQ327" s="2375">
        <v>275</v>
      </c>
      <c r="GR327" s="2375">
        <v>300</v>
      </c>
      <c r="GS327" s="2375">
        <v>350</v>
      </c>
      <c r="GT327" s="2374">
        <v>400</v>
      </c>
      <c r="GU327" s="2374">
        <v>450</v>
      </c>
      <c r="GV327" s="2374">
        <v>500</v>
      </c>
      <c r="GW327" s="2374">
        <v>600</v>
      </c>
      <c r="GX327" s="2374">
        <v>600</v>
      </c>
      <c r="GY327" s="1684"/>
      <c r="GZ327" s="1684"/>
      <c r="HA327" s="2375">
        <v>275</v>
      </c>
      <c r="HB327" s="2375">
        <v>300</v>
      </c>
      <c r="HC327" s="2375">
        <v>350</v>
      </c>
      <c r="HD327" s="2374">
        <v>400</v>
      </c>
      <c r="HE327" s="2374">
        <v>450</v>
      </c>
      <c r="HF327" s="2374">
        <v>500</v>
      </c>
      <c r="HG327" s="2374">
        <v>600</v>
      </c>
      <c r="HH327" s="2374">
        <v>600</v>
      </c>
      <c r="HI327" s="1684"/>
      <c r="HJ327" s="1684"/>
      <c r="HK327" s="2375">
        <v>275</v>
      </c>
      <c r="HL327" s="2375">
        <v>300</v>
      </c>
      <c r="HM327" s="2375">
        <v>350</v>
      </c>
      <c r="HN327" s="2374">
        <v>400</v>
      </c>
      <c r="HO327" s="2374">
        <v>450</v>
      </c>
      <c r="HP327" s="2374">
        <v>500</v>
      </c>
      <c r="HQ327" s="2374">
        <v>600</v>
      </c>
      <c r="HR327" s="2374">
        <v>600</v>
      </c>
      <c r="HS327" s="2275"/>
      <c r="HT327" s="2275"/>
      <c r="HU327" s="2250"/>
      <c r="HV327" s="2250"/>
      <c r="HW327" s="2250"/>
      <c r="HX327" s="2250"/>
      <c r="HY327" s="2250"/>
      <c r="HZ327" s="2250"/>
      <c r="IA327" s="2250"/>
      <c r="IB327" s="2250"/>
      <c r="IC327" s="2250"/>
      <c r="ID327" s="2250"/>
      <c r="IE327" s="2250"/>
      <c r="IF327" s="2250"/>
      <c r="IG327" s="2250"/>
      <c r="IH327" s="2250"/>
      <c r="II327" s="2250"/>
      <c r="IJ327" s="2250"/>
      <c r="IK327" s="2250"/>
      <c r="IL327" s="2250"/>
      <c r="IN327" s="277"/>
      <c r="IO327" s="277"/>
    </row>
    <row r="328" spans="1:249" ht="21.95" customHeight="1">
      <c r="A328" s="2275"/>
      <c r="B328" s="1684"/>
      <c r="C328" s="1684"/>
      <c r="D328" s="1684"/>
      <c r="E328" s="1684"/>
      <c r="F328" s="1684"/>
      <c r="G328" s="1684"/>
      <c r="H328" s="1684"/>
      <c r="I328" s="1684"/>
      <c r="J328" s="2374"/>
      <c r="K328" s="1684"/>
      <c r="L328" s="1684"/>
      <c r="M328" s="1684"/>
      <c r="N328" s="1684"/>
      <c r="O328" s="1684"/>
      <c r="P328" s="1684"/>
      <c r="Q328" s="1684"/>
      <c r="R328" s="1684"/>
      <c r="S328" s="1684"/>
      <c r="T328" s="1684"/>
      <c r="U328" s="1684"/>
      <c r="V328" s="1684"/>
      <c r="W328" s="1684"/>
      <c r="X328" s="1684"/>
      <c r="Y328" s="1684"/>
      <c r="Z328" s="1684"/>
      <c r="AA328" s="1684"/>
      <c r="AB328" s="1684"/>
      <c r="AC328" s="1684"/>
      <c r="AD328" s="1684"/>
      <c r="AE328" s="1684"/>
      <c r="AF328" s="1684"/>
      <c r="AG328" s="1684"/>
      <c r="AH328" s="1684"/>
      <c r="AI328" s="1684"/>
      <c r="AJ328" s="1684"/>
      <c r="AK328" s="1684"/>
      <c r="AL328" s="1684"/>
      <c r="AM328" s="1684"/>
      <c r="AN328" s="2275"/>
      <c r="AO328" s="2275"/>
      <c r="AP328" s="2250"/>
      <c r="AQ328" s="2250"/>
      <c r="AR328" s="2250"/>
      <c r="AS328" s="2250"/>
      <c r="AT328" s="2250"/>
      <c r="AU328" s="2250"/>
      <c r="AV328" s="2250"/>
      <c r="AW328" s="2250"/>
      <c r="AX328" s="2250"/>
      <c r="AY328" s="2250"/>
      <c r="AZ328" s="2250"/>
      <c r="BA328" s="2250"/>
      <c r="BB328" s="2250"/>
      <c r="BC328" s="2250"/>
      <c r="BD328" s="2250"/>
      <c r="BE328" s="2250"/>
      <c r="BF328" s="2276"/>
      <c r="BG328" s="2276"/>
      <c r="BH328" s="2250"/>
      <c r="BI328" s="2275"/>
      <c r="BJ328" s="2275"/>
      <c r="BK328" s="1684"/>
      <c r="BL328" s="1684"/>
      <c r="BM328" s="1684"/>
      <c r="BN328" s="1684"/>
      <c r="BO328" s="1684"/>
      <c r="BP328" s="1684"/>
      <c r="BQ328" s="1684"/>
      <c r="BR328" s="1684"/>
      <c r="BS328" s="2374"/>
      <c r="BT328" s="1684"/>
      <c r="BU328" s="1684"/>
      <c r="BV328" s="1684"/>
      <c r="BW328" s="1684"/>
      <c r="BX328" s="1684"/>
      <c r="BY328" s="1684"/>
      <c r="BZ328" s="1684"/>
      <c r="CA328" s="1684"/>
      <c r="CB328" s="1684"/>
      <c r="CC328" s="1684"/>
      <c r="CD328" s="1684"/>
      <c r="CE328" s="1684"/>
      <c r="CF328" s="1684"/>
      <c r="CG328" s="1684"/>
      <c r="CH328" s="1684"/>
      <c r="CI328" s="1684"/>
      <c r="CJ328" s="1684"/>
      <c r="CK328" s="1684"/>
      <c r="CL328" s="1684"/>
      <c r="CM328" s="1684"/>
      <c r="CN328" s="1684"/>
      <c r="CO328" s="1684"/>
      <c r="CP328" s="1684"/>
      <c r="CQ328" s="1684"/>
      <c r="CR328" s="1684"/>
      <c r="CS328" s="1684"/>
      <c r="CT328" s="1684"/>
      <c r="CU328" s="1684"/>
      <c r="CV328" s="1684"/>
      <c r="CW328" s="2275"/>
      <c r="CX328" s="2275"/>
      <c r="CY328" s="2250"/>
      <c r="CZ328" s="2250"/>
      <c r="DA328" s="2250"/>
      <c r="DB328" s="2250"/>
      <c r="DC328" s="2250"/>
      <c r="DD328" s="2250"/>
      <c r="DE328" s="2250"/>
      <c r="DF328" s="2250"/>
      <c r="DG328" s="2250"/>
      <c r="DH328" s="2250"/>
      <c r="DI328" s="2250"/>
      <c r="DJ328" s="2250"/>
      <c r="DK328" s="2250"/>
      <c r="DL328" s="2250"/>
      <c r="DM328" s="2250"/>
      <c r="DN328" s="2250"/>
      <c r="DO328" s="2250"/>
      <c r="DP328" s="2250"/>
      <c r="DQ328" s="2277"/>
      <c r="DR328" s="2277"/>
      <c r="DS328" s="277"/>
      <c r="DW328" s="2275"/>
      <c r="DX328" s="1684"/>
      <c r="DY328" s="1684"/>
      <c r="DZ328" s="1684"/>
      <c r="EA328" s="1684"/>
      <c r="EB328" s="1684"/>
      <c r="EC328" s="1684"/>
      <c r="ED328" s="1684"/>
      <c r="EE328" s="1684"/>
      <c r="EF328" s="2374"/>
      <c r="EG328" s="1684"/>
      <c r="EH328" s="1684"/>
      <c r="EI328" s="1684"/>
      <c r="EJ328" s="1684"/>
      <c r="EK328" s="1684"/>
      <c r="EL328" s="1684"/>
      <c r="EM328" s="1684"/>
      <c r="EN328" s="1684"/>
      <c r="EO328" s="1684"/>
      <c r="EP328" s="1684"/>
      <c r="EQ328" s="1684"/>
      <c r="ER328" s="1684"/>
      <c r="ES328" s="1684"/>
      <c r="ET328" s="1684"/>
      <c r="EU328" s="1684"/>
      <c r="EV328" s="1684"/>
      <c r="EW328" s="1684"/>
      <c r="EX328" s="1684"/>
      <c r="EY328" s="1684"/>
      <c r="EZ328" s="1684"/>
      <c r="FA328" s="1684"/>
      <c r="FB328" s="1684"/>
      <c r="FC328" s="1684"/>
      <c r="FD328" s="1684"/>
      <c r="FE328" s="1684"/>
      <c r="FF328" s="1684"/>
      <c r="FG328" s="1684"/>
      <c r="FH328" s="1684"/>
      <c r="FI328" s="1684"/>
      <c r="FJ328" s="2275"/>
      <c r="FK328" s="2275"/>
      <c r="FL328" s="2250"/>
      <c r="FM328" s="2250"/>
      <c r="FN328" s="2250"/>
      <c r="FO328" s="2250"/>
      <c r="FP328" s="2250"/>
      <c r="FQ328" s="2250"/>
      <c r="FR328" s="2250"/>
      <c r="FS328" s="2250"/>
      <c r="FT328" s="2250"/>
      <c r="FU328" s="2250"/>
      <c r="FV328" s="2250"/>
      <c r="FW328" s="2250"/>
      <c r="FX328" s="2250"/>
      <c r="FY328" s="2250"/>
      <c r="FZ328" s="2250"/>
      <c r="GA328" s="2250"/>
      <c r="GB328" s="2276"/>
      <c r="GC328" s="2276"/>
      <c r="GD328" s="2250"/>
      <c r="GE328" s="2275"/>
      <c r="GF328" s="2275"/>
      <c r="GG328" s="1684"/>
      <c r="GH328" s="1684"/>
      <c r="GI328" s="1684"/>
      <c r="GJ328" s="1684"/>
      <c r="GK328" s="1684"/>
      <c r="GL328" s="1684"/>
      <c r="GM328" s="1684"/>
      <c r="GN328" s="1684"/>
      <c r="GO328" s="2374"/>
      <c r="GP328" s="1684"/>
      <c r="GQ328" s="1684"/>
      <c r="GR328" s="1684"/>
      <c r="GS328" s="1684"/>
      <c r="GT328" s="1684"/>
      <c r="GU328" s="1684"/>
      <c r="GV328" s="1684"/>
      <c r="GW328" s="1684"/>
      <c r="GX328" s="1684"/>
      <c r="GY328" s="1684"/>
      <c r="GZ328" s="1684"/>
      <c r="HA328" s="1684"/>
      <c r="HB328" s="1684"/>
      <c r="HC328" s="1684"/>
      <c r="HD328" s="1684"/>
      <c r="HE328" s="1684"/>
      <c r="HF328" s="1684"/>
      <c r="HG328" s="1684"/>
      <c r="HH328" s="1684"/>
      <c r="HI328" s="1684"/>
      <c r="HJ328" s="1684"/>
      <c r="HK328" s="1684"/>
      <c r="HL328" s="1684"/>
      <c r="HM328" s="1684"/>
      <c r="HN328" s="1684"/>
      <c r="HO328" s="1684"/>
      <c r="HP328" s="1684"/>
      <c r="HQ328" s="1684"/>
      <c r="HR328" s="1684"/>
      <c r="HS328" s="2275"/>
      <c r="HT328" s="2275"/>
      <c r="HU328" s="2250"/>
      <c r="HV328" s="2250"/>
      <c r="HW328" s="2250"/>
      <c r="HX328" s="2250"/>
      <c r="HY328" s="2250"/>
      <c r="HZ328" s="2250"/>
      <c r="IA328" s="2250"/>
      <c r="IB328" s="2250"/>
      <c r="IC328" s="2250"/>
      <c r="ID328" s="2250"/>
      <c r="IE328" s="2250"/>
      <c r="IF328" s="2250"/>
      <c r="IG328" s="2250"/>
      <c r="IH328" s="2250"/>
      <c r="II328" s="2250"/>
      <c r="IJ328" s="2250"/>
      <c r="IK328" s="2250"/>
      <c r="IL328" s="2250"/>
      <c r="IN328" s="277"/>
      <c r="IO328" s="277"/>
    </row>
    <row r="329" spans="1:249" ht="21.95" customHeight="1">
      <c r="A329" s="2275"/>
      <c r="B329" s="2378">
        <f>HLOOKUP(C323,B325:I325,1)</f>
        <v>0</v>
      </c>
      <c r="C329" s="2378" t="b">
        <f>HLOOKUP(B329,B325:I326,2,0)</f>
        <v>0</v>
      </c>
      <c r="D329" s="1684"/>
      <c r="E329" s="1684"/>
      <c r="F329" s="1684"/>
      <c r="G329" s="1684"/>
      <c r="H329" s="1684"/>
      <c r="I329" s="1684"/>
      <c r="J329" s="2374"/>
      <c r="K329" s="1684"/>
      <c r="L329" s="2378">
        <f>HLOOKUP(M323,L325:S325,1)</f>
        <v>0</v>
      </c>
      <c r="M329" s="2378" t="b">
        <f>HLOOKUP(L329,L325:S326,2,0)</f>
        <v>0</v>
      </c>
      <c r="N329" s="1684"/>
      <c r="O329" s="1684"/>
      <c r="P329" s="1684"/>
      <c r="Q329" s="1684"/>
      <c r="R329" s="1684"/>
      <c r="S329" s="1684"/>
      <c r="T329" s="1684"/>
      <c r="U329" s="1684"/>
      <c r="V329" s="2378">
        <f>HLOOKUP(W323,V325:AC325,1)</f>
        <v>0</v>
      </c>
      <c r="W329" s="2378" t="b">
        <f>HLOOKUP(V329,V325:AC326,2,0)</f>
        <v>0</v>
      </c>
      <c r="X329" s="1684"/>
      <c r="Y329" s="1684"/>
      <c r="Z329" s="1684"/>
      <c r="AA329" s="1684"/>
      <c r="AB329" s="1684"/>
      <c r="AC329" s="1684"/>
      <c r="AD329" s="1684"/>
      <c r="AE329" s="1684"/>
      <c r="AF329" s="2378">
        <f>HLOOKUP(AG323,AF325:AM325,1)</f>
        <v>0</v>
      </c>
      <c r="AG329" s="2378" t="b">
        <f>HLOOKUP(AF329,AF325:AM326,2,0)</f>
        <v>0</v>
      </c>
      <c r="AH329" s="1684"/>
      <c r="AI329" s="1684"/>
      <c r="AJ329" s="1684"/>
      <c r="AK329" s="1684"/>
      <c r="AL329" s="1684"/>
      <c r="AM329" s="1684"/>
      <c r="AN329" s="2275"/>
      <c r="AO329" s="2275"/>
      <c r="AP329" s="2250"/>
      <c r="AQ329" s="2250"/>
      <c r="AR329" s="2250"/>
      <c r="AS329" s="2250"/>
      <c r="AT329" s="2250"/>
      <c r="AU329" s="2250"/>
      <c r="AV329" s="2250"/>
      <c r="AW329" s="2250"/>
      <c r="AX329" s="2250"/>
      <c r="AY329" s="2250"/>
      <c r="AZ329" s="2250"/>
      <c r="BA329" s="2250"/>
      <c r="BB329" s="2250"/>
      <c r="BC329" s="2250"/>
      <c r="BD329" s="2250"/>
      <c r="BE329" s="2250"/>
      <c r="BF329" s="2276"/>
      <c r="BG329" s="2276"/>
      <c r="BH329" s="2250"/>
      <c r="BI329" s="2275"/>
      <c r="BJ329" s="2275"/>
      <c r="BK329" s="2378">
        <f>HLOOKUP(BL323,BK325:BR325,1)</f>
        <v>0</v>
      </c>
      <c r="BL329" s="2378" t="b">
        <f>HLOOKUP(BK329,BK325:BR326,2,0)</f>
        <v>0</v>
      </c>
      <c r="BM329" s="1684"/>
      <c r="BN329" s="1684"/>
      <c r="BO329" s="1684"/>
      <c r="BP329" s="1684"/>
      <c r="BQ329" s="1684"/>
      <c r="BR329" s="1684"/>
      <c r="BS329" s="2374"/>
      <c r="BT329" s="1684"/>
      <c r="BU329" s="2378">
        <f>HLOOKUP(BV323,BU325:CB325,1)</f>
        <v>0</v>
      </c>
      <c r="BV329" s="2378" t="b">
        <f>HLOOKUP(BU329,BU325:CB326,2,0)</f>
        <v>0</v>
      </c>
      <c r="BW329" s="1684"/>
      <c r="BX329" s="1684"/>
      <c r="BY329" s="1684"/>
      <c r="BZ329" s="1684"/>
      <c r="CA329" s="1684"/>
      <c r="CB329" s="1684"/>
      <c r="CC329" s="1684"/>
      <c r="CD329" s="1684"/>
      <c r="CE329" s="2378">
        <f>HLOOKUP(CF323,CE325:CL325,1)</f>
        <v>0</v>
      </c>
      <c r="CF329" s="2378" t="b">
        <f>HLOOKUP(CE329,CE325:CL326,2,0)</f>
        <v>0</v>
      </c>
      <c r="CG329" s="1684"/>
      <c r="CH329" s="1684"/>
      <c r="CI329" s="1684"/>
      <c r="CJ329" s="1684"/>
      <c r="CK329" s="1684"/>
      <c r="CL329" s="1684"/>
      <c r="CM329" s="1684"/>
      <c r="CN329" s="1684"/>
      <c r="CO329" s="2378">
        <f>HLOOKUP(CP323,CO325:CV325,1)</f>
        <v>0</v>
      </c>
      <c r="CP329" s="2378" t="b">
        <f>HLOOKUP(CO329,CO325:CV326,2,0)</f>
        <v>0</v>
      </c>
      <c r="CQ329" s="1684"/>
      <c r="CR329" s="1684"/>
      <c r="CS329" s="1684"/>
      <c r="CT329" s="1684"/>
      <c r="CU329" s="1684"/>
      <c r="CV329" s="1684"/>
      <c r="CW329" s="2275"/>
      <c r="CX329" s="2275"/>
      <c r="CY329" s="2250"/>
      <c r="CZ329" s="2250"/>
      <c r="DA329" s="2250"/>
      <c r="DB329" s="2250"/>
      <c r="DC329" s="2250"/>
      <c r="DD329" s="2250"/>
      <c r="DE329" s="2250"/>
      <c r="DF329" s="2250"/>
      <c r="DG329" s="2250"/>
      <c r="DH329" s="2250"/>
      <c r="DI329" s="2250"/>
      <c r="DJ329" s="2250"/>
      <c r="DK329" s="2250"/>
      <c r="DL329" s="2250"/>
      <c r="DM329" s="2250"/>
      <c r="DN329" s="2250"/>
      <c r="DO329" s="2250"/>
      <c r="DP329" s="2250"/>
      <c r="DQ329" s="2277"/>
      <c r="DR329" s="2277"/>
      <c r="DS329" s="277"/>
      <c r="DW329" s="2275"/>
      <c r="DX329" s="2378">
        <f>HLOOKUP(DY323,DX325:EE325,1)</f>
        <v>0</v>
      </c>
      <c r="DY329" s="2378" t="b">
        <f>HLOOKUP(DX329,DX325:EE326,2,0)</f>
        <v>0</v>
      </c>
      <c r="DZ329" s="1684"/>
      <c r="EA329" s="1684"/>
      <c r="EB329" s="1684"/>
      <c r="EC329" s="1684"/>
      <c r="ED329" s="1684"/>
      <c r="EE329" s="1684"/>
      <c r="EF329" s="2374"/>
      <c r="EG329" s="1684"/>
      <c r="EH329" s="2378">
        <f>HLOOKUP(EI323,EH325:EO325,1)</f>
        <v>0</v>
      </c>
      <c r="EI329" s="2378" t="b">
        <f>HLOOKUP(EH329,EH325:EO326,2,0)</f>
        <v>0</v>
      </c>
      <c r="EJ329" s="1684"/>
      <c r="EK329" s="1684"/>
      <c r="EL329" s="1684"/>
      <c r="EM329" s="1684"/>
      <c r="EN329" s="1684"/>
      <c r="EO329" s="1684"/>
      <c r="EP329" s="1684"/>
      <c r="EQ329" s="1684"/>
      <c r="ER329" s="2378">
        <f>HLOOKUP(ES323,ER325:EY325,1)</f>
        <v>0</v>
      </c>
      <c r="ES329" s="2378" t="b">
        <f>HLOOKUP(ER329,ER325:EY326,2,0)</f>
        <v>0</v>
      </c>
      <c r="ET329" s="1684"/>
      <c r="EU329" s="1684"/>
      <c r="EV329" s="1684"/>
      <c r="EW329" s="1684"/>
      <c r="EX329" s="1684"/>
      <c r="EY329" s="1684"/>
      <c r="EZ329" s="1684"/>
      <c r="FA329" s="1684"/>
      <c r="FB329" s="2378">
        <f>HLOOKUP(FC323,FB325:FI325,1)</f>
        <v>0</v>
      </c>
      <c r="FC329" s="2378" t="b">
        <f>HLOOKUP(FB329,FB325:FI326,2,0)</f>
        <v>0</v>
      </c>
      <c r="FD329" s="1684"/>
      <c r="FE329" s="1684"/>
      <c r="FF329" s="1684"/>
      <c r="FG329" s="1684"/>
      <c r="FH329" s="1684"/>
      <c r="FI329" s="1684"/>
      <c r="FJ329" s="2275"/>
      <c r="FK329" s="2275"/>
      <c r="FL329" s="2250"/>
      <c r="FM329" s="2250"/>
      <c r="FN329" s="2250"/>
      <c r="FO329" s="2250"/>
      <c r="FP329" s="2250"/>
      <c r="FQ329" s="2250"/>
      <c r="FR329" s="2250"/>
      <c r="FS329" s="2250"/>
      <c r="FT329" s="2250"/>
      <c r="FU329" s="2250"/>
      <c r="FV329" s="2250"/>
      <c r="FW329" s="2250"/>
      <c r="FX329" s="2250"/>
      <c r="FY329" s="2250"/>
      <c r="FZ329" s="2250"/>
      <c r="GA329" s="2250"/>
      <c r="GB329" s="2276"/>
      <c r="GC329" s="2276"/>
      <c r="GD329" s="2250"/>
      <c r="GE329" s="2275"/>
      <c r="GF329" s="2275"/>
      <c r="GG329" s="2378">
        <f>HLOOKUP(GH323,GG325:GN325,1)</f>
        <v>0</v>
      </c>
      <c r="GH329" s="2378" t="b">
        <f>HLOOKUP(GG329,GG325:GN326,2,0)</f>
        <v>0</v>
      </c>
      <c r="GI329" s="1684"/>
      <c r="GJ329" s="1684"/>
      <c r="GK329" s="1684"/>
      <c r="GL329" s="1684"/>
      <c r="GM329" s="1684"/>
      <c r="GN329" s="1684"/>
      <c r="GO329" s="2374"/>
      <c r="GP329" s="1684"/>
      <c r="GQ329" s="2378">
        <f>HLOOKUP(GR323,GQ325:GX325,1)</f>
        <v>0</v>
      </c>
      <c r="GR329" s="2378" t="b">
        <f>HLOOKUP(GQ329,GQ325:GX326,2,0)</f>
        <v>0</v>
      </c>
      <c r="GS329" s="1684"/>
      <c r="GT329" s="1684"/>
      <c r="GU329" s="1684"/>
      <c r="GV329" s="1684"/>
      <c r="GW329" s="1684"/>
      <c r="GX329" s="1684"/>
      <c r="GY329" s="1684"/>
      <c r="GZ329" s="1684"/>
      <c r="HA329" s="2378">
        <f>HLOOKUP(HB323,HA325:HH325,1)</f>
        <v>0</v>
      </c>
      <c r="HB329" s="2378" t="b">
        <f>HLOOKUP(HA329,HA325:HH326,2,0)</f>
        <v>0</v>
      </c>
      <c r="HC329" s="1684"/>
      <c r="HD329" s="1684"/>
      <c r="HE329" s="1684"/>
      <c r="HF329" s="1684"/>
      <c r="HG329" s="1684"/>
      <c r="HH329" s="1684"/>
      <c r="HI329" s="1684"/>
      <c r="HJ329" s="1684"/>
      <c r="HK329" s="2378">
        <f>HLOOKUP(HL323,HK325:HR325,1)</f>
        <v>0</v>
      </c>
      <c r="HL329" s="2378" t="b">
        <f>HLOOKUP(HK329,HK325:HR326,2,0)</f>
        <v>0</v>
      </c>
      <c r="HM329" s="1684"/>
      <c r="HN329" s="1684"/>
      <c r="HO329" s="1684"/>
      <c r="HP329" s="1684"/>
      <c r="HQ329" s="1684"/>
      <c r="HR329" s="1684"/>
      <c r="HS329" s="2275"/>
      <c r="HT329" s="2275"/>
      <c r="HU329" s="2250"/>
      <c r="HV329" s="2250"/>
      <c r="HW329" s="2250"/>
      <c r="HX329" s="2250"/>
      <c r="HY329" s="2250"/>
      <c r="HZ329" s="2250"/>
      <c r="IA329" s="2250"/>
      <c r="IB329" s="2250"/>
      <c r="IC329" s="2250"/>
      <c r="ID329" s="2250"/>
      <c r="IE329" s="2250"/>
      <c r="IF329" s="2250"/>
      <c r="IG329" s="2250"/>
      <c r="IH329" s="2250"/>
      <c r="II329" s="2250"/>
      <c r="IJ329" s="2250"/>
      <c r="IK329" s="2250"/>
      <c r="IL329" s="2250"/>
      <c r="IN329" s="277"/>
      <c r="IO329" s="277"/>
    </row>
    <row r="330" spans="1:249" ht="21.95" customHeight="1">
      <c r="A330" s="2275"/>
      <c r="B330" s="2378">
        <f>IFERROR(HLOOKUP(C323,B325:I325,1,0),0)</f>
        <v>0</v>
      </c>
      <c r="C330" s="2378" t="b">
        <f>IF(B330&gt;0,B330,C329)</f>
        <v>0</v>
      </c>
      <c r="D330" s="1684"/>
      <c r="E330" s="1684"/>
      <c r="F330" s="1684"/>
      <c r="G330" s="1684"/>
      <c r="H330" s="1684"/>
      <c r="I330" s="1684"/>
      <c r="J330" s="2374"/>
      <c r="K330" s="1684"/>
      <c r="L330" s="2378">
        <f>IFERROR(HLOOKUP(M323,L325:S325,1,0),0)</f>
        <v>0</v>
      </c>
      <c r="M330" s="2378" t="b">
        <f>IF(L330&gt;0,L330,M329)</f>
        <v>0</v>
      </c>
      <c r="N330" s="1684"/>
      <c r="O330" s="1684"/>
      <c r="P330" s="1684"/>
      <c r="Q330" s="1684"/>
      <c r="R330" s="1684"/>
      <c r="S330" s="1684"/>
      <c r="T330" s="1684"/>
      <c r="U330" s="1684"/>
      <c r="V330" s="2378">
        <f>IFERROR(HLOOKUP(W323,V325:AC325,1,0),0)</f>
        <v>0</v>
      </c>
      <c r="W330" s="2378" t="b">
        <f>IF(V330&gt;0,V330,W329)</f>
        <v>0</v>
      </c>
      <c r="X330" s="1684"/>
      <c r="Y330" s="1684"/>
      <c r="Z330" s="1684"/>
      <c r="AA330" s="1684"/>
      <c r="AB330" s="1684"/>
      <c r="AC330" s="1684"/>
      <c r="AD330" s="1684"/>
      <c r="AE330" s="1684"/>
      <c r="AF330" s="2378">
        <f>IFERROR(HLOOKUP(AG323,AF325:AM325,1,0),0)</f>
        <v>0</v>
      </c>
      <c r="AG330" s="2378" t="b">
        <f>IF(AF330&gt;0,AF330,AG329)</f>
        <v>0</v>
      </c>
      <c r="AH330" s="1684"/>
      <c r="AI330" s="1684"/>
      <c r="AJ330" s="1684"/>
      <c r="AK330" s="1684"/>
      <c r="AL330" s="1684"/>
      <c r="AM330" s="1684"/>
      <c r="AN330" s="2275"/>
      <c r="AO330" s="2275"/>
      <c r="AP330" s="2250"/>
      <c r="AQ330" s="2250"/>
      <c r="AR330" s="2250"/>
      <c r="AS330" s="2250"/>
      <c r="AT330" s="2250"/>
      <c r="AU330" s="2250"/>
      <c r="AV330" s="2250"/>
      <c r="AW330" s="2250"/>
      <c r="AX330" s="2250"/>
      <c r="AY330" s="2250"/>
      <c r="AZ330" s="2250"/>
      <c r="BA330" s="2250"/>
      <c r="BB330" s="2250"/>
      <c r="BC330" s="2250"/>
      <c r="BD330" s="2250"/>
      <c r="BE330" s="2250"/>
      <c r="BF330" s="2276"/>
      <c r="BG330" s="2276"/>
      <c r="BH330" s="2250"/>
      <c r="BI330" s="2275"/>
      <c r="BJ330" s="2275"/>
      <c r="BK330" s="2378">
        <f>IFERROR(HLOOKUP(BL323,BK325:BR325,1,0),0)</f>
        <v>0</v>
      </c>
      <c r="BL330" s="2378" t="b">
        <f>IF(BK330&gt;0,BK330,BL329)</f>
        <v>0</v>
      </c>
      <c r="BM330" s="1684"/>
      <c r="BN330" s="1684"/>
      <c r="BO330" s="1684"/>
      <c r="BP330" s="1684"/>
      <c r="BQ330" s="1684"/>
      <c r="BR330" s="1684"/>
      <c r="BS330" s="2374"/>
      <c r="BT330" s="1684"/>
      <c r="BU330" s="2378">
        <f>IFERROR(HLOOKUP(BV323,BU325:CB325,1,0),0)</f>
        <v>0</v>
      </c>
      <c r="BV330" s="2378" t="b">
        <f>IF(BU330&gt;0,BU330,BV329)</f>
        <v>0</v>
      </c>
      <c r="BW330" s="1684"/>
      <c r="BX330" s="1684"/>
      <c r="BY330" s="1684"/>
      <c r="BZ330" s="1684"/>
      <c r="CA330" s="1684"/>
      <c r="CB330" s="1684"/>
      <c r="CC330" s="1684"/>
      <c r="CD330" s="1684"/>
      <c r="CE330" s="2378">
        <f>IFERROR(HLOOKUP(CF323,CE325:CL325,1,0),0)</f>
        <v>0</v>
      </c>
      <c r="CF330" s="2378" t="b">
        <f>IF(CE330&gt;0,CE330,CF329)</f>
        <v>0</v>
      </c>
      <c r="CG330" s="1684"/>
      <c r="CH330" s="1684"/>
      <c r="CI330" s="1684"/>
      <c r="CJ330" s="1684"/>
      <c r="CK330" s="1684"/>
      <c r="CL330" s="1684"/>
      <c r="CM330" s="1684"/>
      <c r="CN330" s="1684"/>
      <c r="CO330" s="2378">
        <f>IFERROR(HLOOKUP(CP323,CO325:CV325,1,0),0)</f>
        <v>0</v>
      </c>
      <c r="CP330" s="2378" t="b">
        <f>IF(CO330&gt;0,CO330,CP329)</f>
        <v>0</v>
      </c>
      <c r="CQ330" s="1684"/>
      <c r="CR330" s="1684"/>
      <c r="CS330" s="1684"/>
      <c r="CT330" s="1684"/>
      <c r="CU330" s="1684"/>
      <c r="CV330" s="1684"/>
      <c r="CW330" s="2275"/>
      <c r="CX330" s="2275"/>
      <c r="CY330" s="2250"/>
      <c r="CZ330" s="2250"/>
      <c r="DA330" s="2250"/>
      <c r="DB330" s="2250"/>
      <c r="DC330" s="2250"/>
      <c r="DD330" s="2250"/>
      <c r="DE330" s="2250"/>
      <c r="DF330" s="2250"/>
      <c r="DG330" s="2250"/>
      <c r="DH330" s="2250"/>
      <c r="DI330" s="2250"/>
      <c r="DJ330" s="2250"/>
      <c r="DK330" s="2250"/>
      <c r="DL330" s="2250"/>
      <c r="DM330" s="2250"/>
      <c r="DN330" s="2250"/>
      <c r="DO330" s="2250"/>
      <c r="DP330" s="2250"/>
      <c r="DQ330" s="2277"/>
      <c r="DR330" s="2277"/>
      <c r="DS330" s="277"/>
      <c r="DW330" s="2275"/>
      <c r="DX330" s="2378">
        <f>IFERROR(HLOOKUP(DY323,DX325:EE325,1,0),0)</f>
        <v>0</v>
      </c>
      <c r="DY330" s="2378" t="b">
        <f>IF(DX330&gt;0,DX330,DY329)</f>
        <v>0</v>
      </c>
      <c r="DZ330" s="1684"/>
      <c r="EA330" s="1684"/>
      <c r="EB330" s="1684"/>
      <c r="EC330" s="1684"/>
      <c r="ED330" s="1684"/>
      <c r="EE330" s="1684"/>
      <c r="EF330" s="2374"/>
      <c r="EG330" s="1684"/>
      <c r="EH330" s="2378">
        <f>IFERROR(HLOOKUP(EI323,EH325:EO325,1,0),0)</f>
        <v>0</v>
      </c>
      <c r="EI330" s="2378" t="b">
        <f>IF(EH330&gt;0,EH330,EI329)</f>
        <v>0</v>
      </c>
      <c r="EJ330" s="1684"/>
      <c r="EK330" s="1684"/>
      <c r="EL330" s="1684"/>
      <c r="EM330" s="1684"/>
      <c r="EN330" s="1684"/>
      <c r="EO330" s="1684"/>
      <c r="EP330" s="1684"/>
      <c r="EQ330" s="1684"/>
      <c r="ER330" s="2378">
        <f>IFERROR(HLOOKUP(ES323,ER325:EY325,1,0),0)</f>
        <v>0</v>
      </c>
      <c r="ES330" s="2378" t="b">
        <f>IF(ER330&gt;0,ER330,ES329)</f>
        <v>0</v>
      </c>
      <c r="ET330" s="1684"/>
      <c r="EU330" s="1684"/>
      <c r="EV330" s="1684"/>
      <c r="EW330" s="1684"/>
      <c r="EX330" s="1684"/>
      <c r="EY330" s="1684"/>
      <c r="EZ330" s="1684"/>
      <c r="FA330" s="1684"/>
      <c r="FB330" s="2378">
        <f>IFERROR(HLOOKUP(FC323,FB325:FI325,1,0),0)</f>
        <v>0</v>
      </c>
      <c r="FC330" s="2378" t="b">
        <f>IF(FB330&gt;0,FB330,FC329)</f>
        <v>0</v>
      </c>
      <c r="FD330" s="1684"/>
      <c r="FE330" s="1684"/>
      <c r="FF330" s="1684"/>
      <c r="FG330" s="1684"/>
      <c r="FH330" s="1684"/>
      <c r="FI330" s="1684"/>
      <c r="FJ330" s="2275"/>
      <c r="FK330" s="2275"/>
      <c r="FL330" s="2250"/>
      <c r="FM330" s="2250"/>
      <c r="FN330" s="2250"/>
      <c r="FO330" s="2250"/>
      <c r="FP330" s="2250"/>
      <c r="FQ330" s="2250"/>
      <c r="FR330" s="2250"/>
      <c r="FS330" s="2250"/>
      <c r="FT330" s="2250"/>
      <c r="FU330" s="2250"/>
      <c r="FV330" s="2250"/>
      <c r="FW330" s="2250"/>
      <c r="FX330" s="2250"/>
      <c r="FY330" s="2250"/>
      <c r="FZ330" s="2250"/>
      <c r="GA330" s="2250"/>
      <c r="GB330" s="2276"/>
      <c r="GC330" s="2276"/>
      <c r="GD330" s="2250"/>
      <c r="GE330" s="2275"/>
      <c r="GF330" s="2275"/>
      <c r="GG330" s="2378">
        <f>IFERROR(HLOOKUP(GH323,GG325:GN325,1,0),0)</f>
        <v>0</v>
      </c>
      <c r="GH330" s="2378" t="b">
        <f>IF(GG330&gt;0,GG330,GH329)</f>
        <v>0</v>
      </c>
      <c r="GI330" s="1684"/>
      <c r="GJ330" s="1684"/>
      <c r="GK330" s="1684"/>
      <c r="GL330" s="1684"/>
      <c r="GM330" s="1684"/>
      <c r="GN330" s="1684"/>
      <c r="GO330" s="2374"/>
      <c r="GP330" s="1684"/>
      <c r="GQ330" s="2378">
        <f>IFERROR(HLOOKUP(GR323,GQ325:GX325,1,0),0)</f>
        <v>0</v>
      </c>
      <c r="GR330" s="2378" t="b">
        <f>IF(GQ330&gt;0,GQ330,GR329)</f>
        <v>0</v>
      </c>
      <c r="GS330" s="1684"/>
      <c r="GT330" s="1684"/>
      <c r="GU330" s="1684"/>
      <c r="GV330" s="1684"/>
      <c r="GW330" s="1684"/>
      <c r="GX330" s="1684"/>
      <c r="GY330" s="1684"/>
      <c r="GZ330" s="1684"/>
      <c r="HA330" s="2378">
        <f>IFERROR(HLOOKUP(HB323,HA325:HH325,1,0),0)</f>
        <v>0</v>
      </c>
      <c r="HB330" s="2378" t="b">
        <f>IF(HA330&gt;0,HA330,HB329)</f>
        <v>0</v>
      </c>
      <c r="HC330" s="1684"/>
      <c r="HD330" s="1684"/>
      <c r="HE330" s="1684"/>
      <c r="HF330" s="1684"/>
      <c r="HG330" s="1684"/>
      <c r="HH330" s="1684"/>
      <c r="HI330" s="1684"/>
      <c r="HJ330" s="1684"/>
      <c r="HK330" s="2378">
        <f>IFERROR(HLOOKUP(HL323,HK325:HR325,1,0),0)</f>
        <v>0</v>
      </c>
      <c r="HL330" s="2378" t="b">
        <f>IF(HK330&gt;0,HK330,HL329)</f>
        <v>0</v>
      </c>
      <c r="HM330" s="1684"/>
      <c r="HN330" s="1684"/>
      <c r="HO330" s="1684"/>
      <c r="HP330" s="1684"/>
      <c r="HQ330" s="1684"/>
      <c r="HR330" s="1684"/>
      <c r="HS330" s="2275"/>
      <c r="HT330" s="2275"/>
      <c r="HU330" s="2250"/>
      <c r="HV330" s="2250"/>
      <c r="HW330" s="2250"/>
      <c r="HX330" s="2250"/>
      <c r="HY330" s="2250"/>
      <c r="HZ330" s="2250"/>
      <c r="IA330" s="2250"/>
      <c r="IB330" s="2250"/>
      <c r="IC330" s="2250"/>
      <c r="ID330" s="2250"/>
      <c r="IE330" s="2250"/>
      <c r="IF330" s="2250"/>
      <c r="IG330" s="2250"/>
      <c r="IH330" s="2250"/>
      <c r="II330" s="2250"/>
      <c r="IJ330" s="2250"/>
      <c r="IK330" s="2250"/>
      <c r="IL330" s="2250"/>
      <c r="IN330" s="277"/>
      <c r="IO330" s="277"/>
    </row>
    <row r="331" spans="1:249" ht="21.95" customHeight="1">
      <c r="A331" s="2275"/>
      <c r="B331" s="2378" t="e">
        <f>IF(C331=E348,"Right","Wrong")</f>
        <v>#N/A</v>
      </c>
      <c r="C331" s="2378">
        <f>HLOOKUP(C330,B326:I327,2,0)</f>
        <v>275</v>
      </c>
      <c r="D331" s="1684"/>
      <c r="E331" s="1684"/>
      <c r="F331" s="1684"/>
      <c r="G331" s="1684"/>
      <c r="H331" s="1684"/>
      <c r="I331" s="1684"/>
      <c r="J331" s="2374"/>
      <c r="K331" s="1684"/>
      <c r="L331" s="2378" t="e">
        <f>IF(M331=O348,"Right","Wrong")</f>
        <v>#N/A</v>
      </c>
      <c r="M331" s="2378">
        <f>HLOOKUP(M330,L326:S327,2,0)</f>
        <v>275</v>
      </c>
      <c r="N331" s="1684"/>
      <c r="O331" s="1684"/>
      <c r="P331" s="1684"/>
      <c r="Q331" s="1684"/>
      <c r="R331" s="1684"/>
      <c r="S331" s="1684"/>
      <c r="T331" s="1684"/>
      <c r="U331" s="1684"/>
      <c r="V331" s="2378" t="e">
        <f>IF(W331=Y348,"Right","Wrong")</f>
        <v>#N/A</v>
      </c>
      <c r="W331" s="2378">
        <f>HLOOKUP(W330,V326:AC327,2,0)</f>
        <v>275</v>
      </c>
      <c r="X331" s="1684"/>
      <c r="Y331" s="1684"/>
      <c r="Z331" s="1684"/>
      <c r="AA331" s="1684"/>
      <c r="AB331" s="1684"/>
      <c r="AC331" s="1684"/>
      <c r="AD331" s="1684"/>
      <c r="AE331" s="1684"/>
      <c r="AF331" s="2378" t="e">
        <f>IF(AG331=AI348,"Right","Wrong")</f>
        <v>#N/A</v>
      </c>
      <c r="AG331" s="2378">
        <f>HLOOKUP(AG330,AF326:AM327,2,0)</f>
        <v>275</v>
      </c>
      <c r="AH331" s="1684"/>
      <c r="AI331" s="1684"/>
      <c r="AJ331" s="1684"/>
      <c r="AK331" s="1684"/>
      <c r="AL331" s="1684"/>
      <c r="AM331" s="1684"/>
      <c r="AN331" s="2275"/>
      <c r="AO331" s="2275"/>
      <c r="AP331" s="2250"/>
      <c r="AQ331" s="2250"/>
      <c r="AR331" s="2250"/>
      <c r="AS331" s="2250"/>
      <c r="AT331" s="2250"/>
      <c r="AU331" s="2250"/>
      <c r="AV331" s="2250"/>
      <c r="AW331" s="2250"/>
      <c r="AX331" s="2250"/>
      <c r="AY331" s="2250"/>
      <c r="AZ331" s="2250"/>
      <c r="BA331" s="2250"/>
      <c r="BB331" s="2250"/>
      <c r="BC331" s="2250"/>
      <c r="BD331" s="2250"/>
      <c r="BE331" s="2250"/>
      <c r="BF331" s="2276"/>
      <c r="BG331" s="2276"/>
      <c r="BH331" s="2250"/>
      <c r="BI331" s="2275"/>
      <c r="BJ331" s="2275"/>
      <c r="BK331" s="2378" t="e">
        <f>IF(BL331=BN348,"Right","Wrong")</f>
        <v>#N/A</v>
      </c>
      <c r="BL331" s="2378">
        <f>HLOOKUP(BL330,BK326:BR327,2,0)</f>
        <v>275</v>
      </c>
      <c r="BM331" s="1684"/>
      <c r="BN331" s="1684"/>
      <c r="BO331" s="1684"/>
      <c r="BP331" s="1684"/>
      <c r="BQ331" s="1684"/>
      <c r="BR331" s="1684"/>
      <c r="BS331" s="2374"/>
      <c r="BT331" s="1684"/>
      <c r="BU331" s="2378" t="e">
        <f>IF(BV331=BX348,"Right","Wrong")</f>
        <v>#N/A</v>
      </c>
      <c r="BV331" s="2378">
        <f>HLOOKUP(BV330,BU326:CB327,2,0)</f>
        <v>275</v>
      </c>
      <c r="BW331" s="1684"/>
      <c r="BX331" s="1684"/>
      <c r="BY331" s="1684"/>
      <c r="BZ331" s="1684"/>
      <c r="CA331" s="1684"/>
      <c r="CB331" s="1684"/>
      <c r="CC331" s="1684"/>
      <c r="CD331" s="1684"/>
      <c r="CE331" s="2378" t="e">
        <f>IF(CF331=CH348,"Right","Wrong")</f>
        <v>#N/A</v>
      </c>
      <c r="CF331" s="2378">
        <f>HLOOKUP(CF330,CE326:CL327,2,0)</f>
        <v>275</v>
      </c>
      <c r="CG331" s="1684"/>
      <c r="CH331" s="1684"/>
      <c r="CI331" s="1684"/>
      <c r="CJ331" s="1684"/>
      <c r="CK331" s="1684"/>
      <c r="CL331" s="1684"/>
      <c r="CM331" s="1684"/>
      <c r="CN331" s="1684"/>
      <c r="CO331" s="2378" t="e">
        <f>IF(CP331=CR348,"Right","Wrong")</f>
        <v>#N/A</v>
      </c>
      <c r="CP331" s="2378">
        <f>HLOOKUP(CP330,CO326:CV327,2,0)</f>
        <v>275</v>
      </c>
      <c r="CQ331" s="1684"/>
      <c r="CR331" s="1684"/>
      <c r="CS331" s="1684"/>
      <c r="CT331" s="1684"/>
      <c r="CU331" s="1684"/>
      <c r="CV331" s="1684"/>
      <c r="CW331" s="2275"/>
      <c r="CX331" s="2275"/>
      <c r="CY331" s="2250"/>
      <c r="CZ331" s="2250"/>
      <c r="DA331" s="2250"/>
      <c r="DB331" s="2250"/>
      <c r="DC331" s="2250"/>
      <c r="DD331" s="2250"/>
      <c r="DE331" s="2250"/>
      <c r="DF331" s="2250"/>
      <c r="DG331" s="2250"/>
      <c r="DH331" s="2250"/>
      <c r="DI331" s="2250"/>
      <c r="DJ331" s="2250"/>
      <c r="DK331" s="2250"/>
      <c r="DL331" s="2250"/>
      <c r="DM331" s="2250"/>
      <c r="DN331" s="2250"/>
      <c r="DO331" s="2250"/>
      <c r="DP331" s="2250"/>
      <c r="DQ331" s="2277"/>
      <c r="DR331" s="2277"/>
      <c r="DS331" s="277"/>
      <c r="DW331" s="2275"/>
      <c r="DX331" s="2378" t="e">
        <f>IF(DY331=EA348,"Right","Wrong")</f>
        <v>#N/A</v>
      </c>
      <c r="DY331" s="2378">
        <f>HLOOKUP(DY330,DX326:EE327,2,0)</f>
        <v>275</v>
      </c>
      <c r="DZ331" s="1684"/>
      <c r="EA331" s="1684"/>
      <c r="EB331" s="1684"/>
      <c r="EC331" s="1684"/>
      <c r="ED331" s="1684"/>
      <c r="EE331" s="1684"/>
      <c r="EF331" s="2374"/>
      <c r="EG331" s="1684"/>
      <c r="EH331" s="2378" t="e">
        <f>IF(EI331=EK348,"Right","Wrong")</f>
        <v>#N/A</v>
      </c>
      <c r="EI331" s="2378">
        <f>HLOOKUP(EI330,EH326:EO327,2,0)</f>
        <v>275</v>
      </c>
      <c r="EJ331" s="1684"/>
      <c r="EK331" s="1684"/>
      <c r="EL331" s="1684"/>
      <c r="EM331" s="1684"/>
      <c r="EN331" s="1684"/>
      <c r="EO331" s="1684"/>
      <c r="EP331" s="1684"/>
      <c r="EQ331" s="1684"/>
      <c r="ER331" s="2378" t="e">
        <f>IF(ES331=EU348,"Right","Wrong")</f>
        <v>#N/A</v>
      </c>
      <c r="ES331" s="2378">
        <f>HLOOKUP(ES330,ER326:EY327,2,0)</f>
        <v>275</v>
      </c>
      <c r="ET331" s="1684"/>
      <c r="EU331" s="1684"/>
      <c r="EV331" s="1684"/>
      <c r="EW331" s="1684"/>
      <c r="EX331" s="1684"/>
      <c r="EY331" s="1684"/>
      <c r="EZ331" s="1684"/>
      <c r="FA331" s="1684"/>
      <c r="FB331" s="2378" t="e">
        <f>IF(FC331=FE348,"Right","Wrong")</f>
        <v>#N/A</v>
      </c>
      <c r="FC331" s="2378">
        <f>HLOOKUP(FC330,FB326:FI327,2,0)</f>
        <v>275</v>
      </c>
      <c r="FD331" s="1684"/>
      <c r="FE331" s="1684"/>
      <c r="FF331" s="1684"/>
      <c r="FG331" s="1684"/>
      <c r="FH331" s="1684"/>
      <c r="FI331" s="1684"/>
      <c r="FJ331" s="2275"/>
      <c r="FK331" s="2275"/>
      <c r="FL331" s="2250"/>
      <c r="FM331" s="2250"/>
      <c r="FN331" s="2250"/>
      <c r="FO331" s="2250"/>
      <c r="FP331" s="2250"/>
      <c r="FQ331" s="2250"/>
      <c r="FR331" s="2250"/>
      <c r="FS331" s="2250"/>
      <c r="FT331" s="2250"/>
      <c r="FU331" s="2250"/>
      <c r="FV331" s="2250"/>
      <c r="FW331" s="2250"/>
      <c r="FX331" s="2250"/>
      <c r="FY331" s="2250"/>
      <c r="FZ331" s="2250"/>
      <c r="GA331" s="2250"/>
      <c r="GB331" s="2276"/>
      <c r="GC331" s="2276"/>
      <c r="GD331" s="2250"/>
      <c r="GE331" s="2275"/>
      <c r="GF331" s="2275"/>
      <c r="GG331" s="2378" t="e">
        <f>IF(GH331=GJ348,"Right","Wrong")</f>
        <v>#N/A</v>
      </c>
      <c r="GH331" s="2378">
        <f>HLOOKUP(GH330,GG326:GN327,2,0)</f>
        <v>275</v>
      </c>
      <c r="GI331" s="1684"/>
      <c r="GJ331" s="1684"/>
      <c r="GK331" s="1684"/>
      <c r="GL331" s="1684"/>
      <c r="GM331" s="1684"/>
      <c r="GN331" s="1684"/>
      <c r="GO331" s="2374"/>
      <c r="GP331" s="1684"/>
      <c r="GQ331" s="2378" t="e">
        <f>IF(GR331=GT348,"Right","Wrong")</f>
        <v>#N/A</v>
      </c>
      <c r="GR331" s="2378">
        <f>HLOOKUP(GR330,GQ326:GX327,2,0)</f>
        <v>275</v>
      </c>
      <c r="GS331" s="1684"/>
      <c r="GT331" s="1684"/>
      <c r="GU331" s="1684"/>
      <c r="GV331" s="1684"/>
      <c r="GW331" s="1684"/>
      <c r="GX331" s="1684"/>
      <c r="GY331" s="1684"/>
      <c r="GZ331" s="1684"/>
      <c r="HA331" s="2378" t="e">
        <f>IF(HB331=HD348,"Right","Wrong")</f>
        <v>#N/A</v>
      </c>
      <c r="HB331" s="2378">
        <f>HLOOKUP(HB330,HA326:HH327,2,0)</f>
        <v>275</v>
      </c>
      <c r="HC331" s="1684"/>
      <c r="HD331" s="1684"/>
      <c r="HE331" s="1684"/>
      <c r="HF331" s="1684"/>
      <c r="HG331" s="1684"/>
      <c r="HH331" s="1684"/>
      <c r="HI331" s="1684"/>
      <c r="HJ331" s="1684"/>
      <c r="HK331" s="2378" t="e">
        <f>IF(HL331=HN348,"Right","Wrong")</f>
        <v>#N/A</v>
      </c>
      <c r="HL331" s="2378">
        <f>HLOOKUP(HL330,HK326:HR327,2,0)</f>
        <v>275</v>
      </c>
      <c r="HM331" s="1684"/>
      <c r="HN331" s="1684"/>
      <c r="HO331" s="1684"/>
      <c r="HP331" s="1684"/>
      <c r="HQ331" s="1684"/>
      <c r="HR331" s="1684"/>
      <c r="HS331" s="2275"/>
      <c r="HT331" s="2275"/>
      <c r="HU331" s="2250"/>
      <c r="HV331" s="2250"/>
      <c r="HW331" s="2250"/>
      <c r="HX331" s="2250"/>
      <c r="HY331" s="2250"/>
      <c r="HZ331" s="2250"/>
      <c r="IA331" s="2250"/>
      <c r="IB331" s="2250"/>
      <c r="IC331" s="2250"/>
      <c r="ID331" s="2250"/>
      <c r="IE331" s="2250"/>
      <c r="IF331" s="2250"/>
      <c r="IG331" s="2250"/>
      <c r="IH331" s="2250"/>
      <c r="II331" s="2250"/>
      <c r="IJ331" s="2250"/>
      <c r="IK331" s="2250"/>
      <c r="IL331" s="2250"/>
      <c r="IN331" s="277"/>
      <c r="IO331" s="277"/>
    </row>
    <row r="332" spans="1:249" ht="21.95" customHeight="1">
      <c r="A332" s="2275"/>
      <c r="B332" s="2378" t="e">
        <f>IF(C330=D348,"Right","Wrong")</f>
        <v>#N/A</v>
      </c>
      <c r="C332" s="2380"/>
      <c r="D332" s="1684"/>
      <c r="E332" s="1684"/>
      <c r="F332" s="1684"/>
      <c r="G332" s="1684"/>
      <c r="H332" s="1684"/>
      <c r="I332" s="1684"/>
      <c r="J332" s="2374"/>
      <c r="K332" s="1684"/>
      <c r="L332" s="2378" t="e">
        <f>IF(M330=N348,"Right","Wrong")</f>
        <v>#N/A</v>
      </c>
      <c r="M332" s="2380"/>
      <c r="N332" s="1684"/>
      <c r="O332" s="1684"/>
      <c r="P332" s="1684"/>
      <c r="Q332" s="1684"/>
      <c r="R332" s="1684"/>
      <c r="S332" s="1684"/>
      <c r="T332" s="1684"/>
      <c r="U332" s="1684"/>
      <c r="V332" s="2378" t="e">
        <f>IF(W330=X348,"Right","Wrong")</f>
        <v>#N/A</v>
      </c>
      <c r="W332" s="2380"/>
      <c r="X332" s="1684"/>
      <c r="Y332" s="1684"/>
      <c r="Z332" s="1684"/>
      <c r="AA332" s="1684"/>
      <c r="AB332" s="1684"/>
      <c r="AC332" s="1684"/>
      <c r="AD332" s="1684"/>
      <c r="AE332" s="1684"/>
      <c r="AF332" s="2378" t="e">
        <f>IF(AG330=AH348,"Right","Wrong")</f>
        <v>#N/A</v>
      </c>
      <c r="AG332" s="2380"/>
      <c r="AH332" s="1684"/>
      <c r="AI332" s="1684"/>
      <c r="AJ332" s="1684"/>
      <c r="AK332" s="1684"/>
      <c r="AL332" s="1684"/>
      <c r="AM332" s="1684"/>
      <c r="AN332" s="2275"/>
      <c r="AO332" s="2275"/>
      <c r="AP332" s="2250"/>
      <c r="AQ332" s="2250"/>
      <c r="AR332" s="2250"/>
      <c r="AS332" s="2250"/>
      <c r="AT332" s="2250"/>
      <c r="AU332" s="2250"/>
      <c r="AV332" s="2250"/>
      <c r="AW332" s="2250"/>
      <c r="AX332" s="2250"/>
      <c r="AY332" s="2250"/>
      <c r="AZ332" s="2250"/>
      <c r="BA332" s="2250"/>
      <c r="BB332" s="2250"/>
      <c r="BC332" s="2250"/>
      <c r="BD332" s="2250"/>
      <c r="BE332" s="2250"/>
      <c r="BF332" s="2276"/>
      <c r="BG332" s="2276"/>
      <c r="BH332" s="2250"/>
      <c r="BI332" s="2275"/>
      <c r="BJ332" s="2275"/>
      <c r="BK332" s="2378" t="e">
        <f>IF(BL330=BM348,"Right","Wrong")</f>
        <v>#N/A</v>
      </c>
      <c r="BL332" s="2380"/>
      <c r="BM332" s="1684"/>
      <c r="BN332" s="1684"/>
      <c r="BO332" s="1684"/>
      <c r="BP332" s="1684"/>
      <c r="BQ332" s="1684"/>
      <c r="BR332" s="1684"/>
      <c r="BS332" s="2374"/>
      <c r="BT332" s="1684"/>
      <c r="BU332" s="2378" t="e">
        <f>IF(BV330=BW348,"Right","Wrong")</f>
        <v>#N/A</v>
      </c>
      <c r="BV332" s="2380"/>
      <c r="BW332" s="1684"/>
      <c r="BX332" s="1684"/>
      <c r="BY332" s="1684"/>
      <c r="BZ332" s="1684"/>
      <c r="CA332" s="1684"/>
      <c r="CB332" s="1684"/>
      <c r="CC332" s="1684"/>
      <c r="CD332" s="1684"/>
      <c r="CE332" s="2378" t="e">
        <f>IF(CF330=CG348,"Right","Wrong")</f>
        <v>#N/A</v>
      </c>
      <c r="CF332" s="2380"/>
      <c r="CG332" s="1684"/>
      <c r="CH332" s="1684"/>
      <c r="CI332" s="1684"/>
      <c r="CJ332" s="1684"/>
      <c r="CK332" s="1684"/>
      <c r="CL332" s="1684"/>
      <c r="CM332" s="1684"/>
      <c r="CN332" s="1684"/>
      <c r="CO332" s="2378" t="e">
        <f>IF(CP330=CQ348,"Right","Wrong")</f>
        <v>#N/A</v>
      </c>
      <c r="CP332" s="2380"/>
      <c r="CQ332" s="1684"/>
      <c r="CR332" s="1684"/>
      <c r="CS332" s="1684"/>
      <c r="CT332" s="1684"/>
      <c r="CU332" s="1684"/>
      <c r="CV332" s="1684"/>
      <c r="CW332" s="2275"/>
      <c r="CX332" s="2275"/>
      <c r="CY332" s="2250"/>
      <c r="CZ332" s="2250"/>
      <c r="DA332" s="2250"/>
      <c r="DB332" s="2250"/>
      <c r="DC332" s="2250"/>
      <c r="DD332" s="2250"/>
      <c r="DE332" s="2250"/>
      <c r="DF332" s="2250"/>
      <c r="DG332" s="2250"/>
      <c r="DH332" s="2250"/>
      <c r="DI332" s="2250"/>
      <c r="DJ332" s="2250"/>
      <c r="DK332" s="2250"/>
      <c r="DL332" s="2250"/>
      <c r="DM332" s="2250"/>
      <c r="DN332" s="2250"/>
      <c r="DO332" s="2250"/>
      <c r="DP332" s="2250"/>
      <c r="DQ332" s="2277"/>
      <c r="DR332" s="2277"/>
      <c r="DS332" s="277"/>
      <c r="DW332" s="2275"/>
      <c r="DX332" s="2378" t="e">
        <f>IF(DY330=DZ348,"Right","Wrong")</f>
        <v>#N/A</v>
      </c>
      <c r="DY332" s="2380"/>
      <c r="DZ332" s="1684"/>
      <c r="EA332" s="1684"/>
      <c r="EB332" s="1684"/>
      <c r="EC332" s="1684"/>
      <c r="ED332" s="1684"/>
      <c r="EE332" s="1684"/>
      <c r="EF332" s="2374"/>
      <c r="EG332" s="1684"/>
      <c r="EH332" s="2378" t="e">
        <f>IF(EI330=EJ348,"Right","Wrong")</f>
        <v>#N/A</v>
      </c>
      <c r="EI332" s="2380"/>
      <c r="EJ332" s="1684"/>
      <c r="EK332" s="1684"/>
      <c r="EL332" s="1684"/>
      <c r="EM332" s="1684"/>
      <c r="EN332" s="1684"/>
      <c r="EO332" s="1684"/>
      <c r="EP332" s="1684"/>
      <c r="EQ332" s="1684"/>
      <c r="ER332" s="2378" t="e">
        <f>IF(ES330=ET348,"Right","Wrong")</f>
        <v>#N/A</v>
      </c>
      <c r="ES332" s="2380"/>
      <c r="ET332" s="1684"/>
      <c r="EU332" s="1684"/>
      <c r="EV332" s="1684"/>
      <c r="EW332" s="1684"/>
      <c r="EX332" s="1684"/>
      <c r="EY332" s="1684"/>
      <c r="EZ332" s="1684"/>
      <c r="FA332" s="1684"/>
      <c r="FB332" s="2378" t="e">
        <f>IF(FC330=FD348,"Right","Wrong")</f>
        <v>#N/A</v>
      </c>
      <c r="FC332" s="2380"/>
      <c r="FD332" s="1684"/>
      <c r="FE332" s="1684"/>
      <c r="FF332" s="1684"/>
      <c r="FG332" s="1684"/>
      <c r="FH332" s="1684"/>
      <c r="FI332" s="1684"/>
      <c r="FJ332" s="2275"/>
      <c r="FK332" s="2275"/>
      <c r="FL332" s="2250"/>
      <c r="FM332" s="2250"/>
      <c r="FN332" s="2250"/>
      <c r="FO332" s="2250"/>
      <c r="FP332" s="2250"/>
      <c r="FQ332" s="2250"/>
      <c r="FR332" s="2250"/>
      <c r="FS332" s="2250"/>
      <c r="FT332" s="2250"/>
      <c r="FU332" s="2250"/>
      <c r="FV332" s="2250"/>
      <c r="FW332" s="2250"/>
      <c r="FX332" s="2250"/>
      <c r="FY332" s="2250"/>
      <c r="FZ332" s="2250"/>
      <c r="GA332" s="2250"/>
      <c r="GB332" s="2276"/>
      <c r="GC332" s="2276"/>
      <c r="GD332" s="2250"/>
      <c r="GE332" s="2275"/>
      <c r="GF332" s="2275"/>
      <c r="GG332" s="2378" t="e">
        <f>IF(GH330=GI348,"Right","Wrong")</f>
        <v>#N/A</v>
      </c>
      <c r="GH332" s="2380"/>
      <c r="GI332" s="1684"/>
      <c r="GJ332" s="1684"/>
      <c r="GK332" s="1684"/>
      <c r="GL332" s="1684"/>
      <c r="GM332" s="1684"/>
      <c r="GN332" s="1684"/>
      <c r="GO332" s="2374"/>
      <c r="GP332" s="1684"/>
      <c r="GQ332" s="2378" t="e">
        <f>IF(GR330=GS348,"Right","Wrong")</f>
        <v>#N/A</v>
      </c>
      <c r="GR332" s="2380"/>
      <c r="GS332" s="1684"/>
      <c r="GT332" s="1684"/>
      <c r="GU332" s="1684"/>
      <c r="GV332" s="1684"/>
      <c r="GW332" s="1684"/>
      <c r="GX332" s="1684"/>
      <c r="GY332" s="1684"/>
      <c r="GZ332" s="1684"/>
      <c r="HA332" s="2378" t="e">
        <f>IF(HB330=HC348,"Right","Wrong")</f>
        <v>#N/A</v>
      </c>
      <c r="HB332" s="2380"/>
      <c r="HC332" s="1684"/>
      <c r="HD332" s="1684"/>
      <c r="HE332" s="1684"/>
      <c r="HF332" s="1684"/>
      <c r="HG332" s="1684"/>
      <c r="HH332" s="1684"/>
      <c r="HI332" s="1684"/>
      <c r="HJ332" s="1684"/>
      <c r="HK332" s="2378" t="e">
        <f>IF(HL330=HM348,"Right","Wrong")</f>
        <v>#N/A</v>
      </c>
      <c r="HL332" s="2380"/>
      <c r="HM332" s="1684"/>
      <c r="HN332" s="1684"/>
      <c r="HO332" s="1684"/>
      <c r="HP332" s="1684"/>
      <c r="HQ332" s="1684"/>
      <c r="HR332" s="1684"/>
      <c r="HS332" s="2275"/>
      <c r="HT332" s="2275"/>
      <c r="HU332" s="2250"/>
      <c r="HV332" s="2250"/>
      <c r="HW332" s="2250"/>
      <c r="HX332" s="2250"/>
      <c r="HY332" s="2250"/>
      <c r="HZ332" s="2250"/>
      <c r="IA332" s="2250"/>
      <c r="IB332" s="2250"/>
      <c r="IC332" s="2250"/>
      <c r="ID332" s="2250"/>
      <c r="IE332" s="2250"/>
      <c r="IF332" s="2250"/>
      <c r="IG332" s="2250"/>
      <c r="IH332" s="2250"/>
      <c r="II332" s="2250"/>
      <c r="IJ332" s="2250"/>
      <c r="IK332" s="2250"/>
      <c r="IL332" s="2250"/>
      <c r="IN332" s="277"/>
      <c r="IO332" s="277"/>
    </row>
    <row r="333" spans="1:249" ht="21.95" customHeight="1">
      <c r="A333" s="2275"/>
      <c r="B333" s="1684"/>
      <c r="C333" s="1684"/>
      <c r="D333" s="1684"/>
      <c r="E333" s="1684"/>
      <c r="F333" s="1684"/>
      <c r="G333" s="1684"/>
      <c r="H333" s="1684"/>
      <c r="I333" s="1684"/>
      <c r="J333" s="2374"/>
      <c r="K333" s="1684"/>
      <c r="L333" s="1684"/>
      <c r="M333" s="1684"/>
      <c r="N333" s="1684"/>
      <c r="O333" s="1684"/>
      <c r="P333" s="1684"/>
      <c r="Q333" s="1684"/>
      <c r="R333" s="1684"/>
      <c r="S333" s="1684"/>
      <c r="T333" s="1684"/>
      <c r="U333" s="1684"/>
      <c r="V333" s="1684"/>
      <c r="W333" s="1684"/>
      <c r="X333" s="1684"/>
      <c r="Y333" s="1684"/>
      <c r="Z333" s="1684"/>
      <c r="AA333" s="1684"/>
      <c r="AB333" s="1684"/>
      <c r="AC333" s="1684"/>
      <c r="AD333" s="1684"/>
      <c r="AE333" s="1684"/>
      <c r="AF333" s="1684"/>
      <c r="AG333" s="1684"/>
      <c r="AH333" s="1684"/>
      <c r="AI333" s="1684"/>
      <c r="AJ333" s="1684"/>
      <c r="AK333" s="1684"/>
      <c r="AL333" s="1684"/>
      <c r="AM333" s="1684"/>
      <c r="AN333" s="2275"/>
      <c r="AO333" s="2275"/>
      <c r="AP333" s="2250"/>
      <c r="AQ333" s="2250"/>
      <c r="AR333" s="2250"/>
      <c r="AS333" s="2250"/>
      <c r="AT333" s="2250"/>
      <c r="AU333" s="2250"/>
      <c r="AV333" s="2250"/>
      <c r="AW333" s="2250"/>
      <c r="AX333" s="2250"/>
      <c r="AY333" s="2250"/>
      <c r="AZ333" s="2250"/>
      <c r="BA333" s="2250"/>
      <c r="BB333" s="2250"/>
      <c r="BC333" s="2250"/>
      <c r="BD333" s="2250"/>
      <c r="BE333" s="2250"/>
      <c r="BF333" s="2276"/>
      <c r="BG333" s="2276"/>
      <c r="BH333" s="2250"/>
      <c r="BI333" s="2275"/>
      <c r="BJ333" s="2275"/>
      <c r="BK333" s="1684"/>
      <c r="BL333" s="1684"/>
      <c r="BM333" s="1684"/>
      <c r="BN333" s="1684"/>
      <c r="BO333" s="1684"/>
      <c r="BP333" s="1684"/>
      <c r="BQ333" s="1684"/>
      <c r="BR333" s="1684"/>
      <c r="BS333" s="2374"/>
      <c r="BT333" s="1684"/>
      <c r="BU333" s="1684"/>
      <c r="BV333" s="1684"/>
      <c r="BW333" s="1684"/>
      <c r="BX333" s="1684"/>
      <c r="BY333" s="1684"/>
      <c r="BZ333" s="1684"/>
      <c r="CA333" s="1684"/>
      <c r="CB333" s="1684"/>
      <c r="CC333" s="1684"/>
      <c r="CD333" s="1684"/>
      <c r="CE333" s="1684"/>
      <c r="CF333" s="1684"/>
      <c r="CG333" s="1684"/>
      <c r="CH333" s="1684"/>
      <c r="CI333" s="1684"/>
      <c r="CJ333" s="1684"/>
      <c r="CK333" s="1684"/>
      <c r="CL333" s="1684"/>
      <c r="CM333" s="1684"/>
      <c r="CN333" s="1684"/>
      <c r="CO333" s="1684"/>
      <c r="CP333" s="1684"/>
      <c r="CQ333" s="1684"/>
      <c r="CR333" s="1684"/>
      <c r="CS333" s="1684"/>
      <c r="CT333" s="1684"/>
      <c r="CU333" s="1684"/>
      <c r="CV333" s="1684"/>
      <c r="CW333" s="2275"/>
      <c r="CX333" s="2275"/>
      <c r="CY333" s="2250"/>
      <c r="CZ333" s="2250"/>
      <c r="DA333" s="2250"/>
      <c r="DB333" s="2250"/>
      <c r="DC333" s="2250"/>
      <c r="DD333" s="2250"/>
      <c r="DE333" s="2250"/>
      <c r="DF333" s="2250"/>
      <c r="DG333" s="2250"/>
      <c r="DH333" s="2250"/>
      <c r="DI333" s="2250"/>
      <c r="DJ333" s="2250"/>
      <c r="DK333" s="2250"/>
      <c r="DL333" s="2250"/>
      <c r="DM333" s="2250"/>
      <c r="DN333" s="2250"/>
      <c r="DO333" s="2250"/>
      <c r="DP333" s="2250"/>
      <c r="DQ333" s="2277"/>
      <c r="DR333" s="2277"/>
      <c r="DS333" s="277"/>
      <c r="DW333" s="2275"/>
      <c r="DX333" s="1684"/>
      <c r="DY333" s="1684"/>
      <c r="DZ333" s="1684"/>
      <c r="EA333" s="1684"/>
      <c r="EB333" s="1684"/>
      <c r="EC333" s="1684"/>
      <c r="ED333" s="1684"/>
      <c r="EE333" s="1684"/>
      <c r="EF333" s="2374"/>
      <c r="EG333" s="1684"/>
      <c r="EH333" s="1684"/>
      <c r="EI333" s="1684"/>
      <c r="EJ333" s="1684"/>
      <c r="EK333" s="1684"/>
      <c r="EL333" s="1684"/>
      <c r="EM333" s="1684"/>
      <c r="EN333" s="1684"/>
      <c r="EO333" s="1684"/>
      <c r="EP333" s="1684"/>
      <c r="EQ333" s="1684"/>
      <c r="ER333" s="1684"/>
      <c r="ES333" s="1684"/>
      <c r="ET333" s="1684"/>
      <c r="EU333" s="1684"/>
      <c r="EV333" s="1684"/>
      <c r="EW333" s="1684"/>
      <c r="EX333" s="1684"/>
      <c r="EY333" s="1684"/>
      <c r="EZ333" s="1684"/>
      <c r="FA333" s="1684"/>
      <c r="FB333" s="1684"/>
      <c r="FC333" s="1684"/>
      <c r="FD333" s="1684"/>
      <c r="FE333" s="1684"/>
      <c r="FF333" s="1684"/>
      <c r="FG333" s="1684"/>
      <c r="FH333" s="1684"/>
      <c r="FI333" s="1684"/>
      <c r="FJ333" s="2275"/>
      <c r="FK333" s="2275"/>
      <c r="FL333" s="2250"/>
      <c r="FM333" s="2250"/>
      <c r="FN333" s="2250"/>
      <c r="FO333" s="2250"/>
      <c r="FP333" s="2250"/>
      <c r="FQ333" s="2250"/>
      <c r="FR333" s="2250"/>
      <c r="FS333" s="2250"/>
      <c r="FT333" s="2250"/>
      <c r="FU333" s="2250"/>
      <c r="FV333" s="2250"/>
      <c r="FW333" s="2250"/>
      <c r="FX333" s="2250"/>
      <c r="FY333" s="2250"/>
      <c r="FZ333" s="2250"/>
      <c r="GA333" s="2250"/>
      <c r="GB333" s="2276"/>
      <c r="GC333" s="2276"/>
      <c r="GD333" s="2250"/>
      <c r="GE333" s="2275"/>
      <c r="GF333" s="2275"/>
      <c r="GG333" s="1684"/>
      <c r="GH333" s="1684"/>
      <c r="GI333" s="1684"/>
      <c r="GJ333" s="1684"/>
      <c r="GK333" s="1684"/>
      <c r="GL333" s="1684"/>
      <c r="GM333" s="1684"/>
      <c r="GN333" s="1684"/>
      <c r="GO333" s="2374"/>
      <c r="GP333" s="1684"/>
      <c r="GQ333" s="1684"/>
      <c r="GR333" s="1684"/>
      <c r="GS333" s="1684"/>
      <c r="GT333" s="1684"/>
      <c r="GU333" s="1684"/>
      <c r="GV333" s="1684"/>
      <c r="GW333" s="1684"/>
      <c r="GX333" s="1684"/>
      <c r="GY333" s="1684"/>
      <c r="GZ333" s="1684"/>
      <c r="HA333" s="1684"/>
      <c r="HB333" s="1684"/>
      <c r="HC333" s="1684"/>
      <c r="HD333" s="1684"/>
      <c r="HE333" s="1684"/>
      <c r="HF333" s="1684"/>
      <c r="HG333" s="1684"/>
      <c r="HH333" s="1684"/>
      <c r="HI333" s="1684"/>
      <c r="HJ333" s="1684"/>
      <c r="HK333" s="1684"/>
      <c r="HL333" s="1684"/>
      <c r="HM333" s="1684"/>
      <c r="HN333" s="1684"/>
      <c r="HO333" s="1684"/>
      <c r="HP333" s="1684"/>
      <c r="HQ333" s="1684"/>
      <c r="HR333" s="1684"/>
      <c r="HS333" s="2275"/>
      <c r="HT333" s="2275"/>
      <c r="HU333" s="2250"/>
      <c r="HV333" s="2250"/>
      <c r="HW333" s="2250"/>
      <c r="HX333" s="2250"/>
      <c r="HY333" s="2250"/>
      <c r="HZ333" s="2250"/>
      <c r="IA333" s="2250"/>
      <c r="IB333" s="2250"/>
      <c r="IC333" s="2250"/>
      <c r="ID333" s="2250"/>
      <c r="IE333" s="2250"/>
      <c r="IF333" s="2250"/>
      <c r="IG333" s="2250"/>
      <c r="IH333" s="2250"/>
      <c r="II333" s="2250"/>
      <c r="IJ333" s="2250"/>
      <c r="IK333" s="2250"/>
      <c r="IL333" s="2250"/>
      <c r="IN333" s="277"/>
      <c r="IO333" s="277"/>
    </row>
    <row r="334" spans="1:249" ht="21.95" customHeight="1">
      <c r="A334" s="2275"/>
      <c r="B334" s="284" t="s">
        <v>2183</v>
      </c>
      <c r="C334" s="2381">
        <f>C323</f>
        <v>0.75631178540277322</v>
      </c>
      <c r="D334" s="2251"/>
      <c r="E334" s="2251"/>
      <c r="F334" s="1684"/>
      <c r="G334" s="1684"/>
      <c r="H334" s="1684"/>
      <c r="I334" s="1684"/>
      <c r="J334" s="2374"/>
      <c r="K334" s="1684"/>
      <c r="L334" s="284" t="s">
        <v>2183</v>
      </c>
      <c r="M334" s="2381">
        <f>M323</f>
        <v>0.75631178540277322</v>
      </c>
      <c r="N334" s="2251"/>
      <c r="O334" s="2251"/>
      <c r="P334" s="1684"/>
      <c r="Q334" s="1684"/>
      <c r="R334" s="1684"/>
      <c r="S334" s="1684"/>
      <c r="T334" s="1684"/>
      <c r="U334" s="1684"/>
      <c r="V334" s="284" t="s">
        <v>2183</v>
      </c>
      <c r="W334" s="2381">
        <f>W323</f>
        <v>0.75631178540277322</v>
      </c>
      <c r="X334" s="2251"/>
      <c r="Y334" s="2251"/>
      <c r="Z334" s="1684"/>
      <c r="AA334" s="1684"/>
      <c r="AB334" s="1684"/>
      <c r="AC334" s="1684"/>
      <c r="AD334" s="1684"/>
      <c r="AE334" s="1684"/>
      <c r="AF334" s="284" t="s">
        <v>2183</v>
      </c>
      <c r="AG334" s="2381">
        <f>AG323</f>
        <v>0.75631178540277322</v>
      </c>
      <c r="AH334" s="2251"/>
      <c r="AI334" s="2251"/>
      <c r="AJ334" s="1684"/>
      <c r="AK334" s="1684"/>
      <c r="AL334" s="1684"/>
      <c r="AM334" s="1684"/>
      <c r="AN334" s="2275"/>
      <c r="AO334" s="2275"/>
      <c r="AP334" s="2250"/>
      <c r="AQ334" s="2250"/>
      <c r="AR334" s="2250"/>
      <c r="AS334" s="2250"/>
      <c r="AT334" s="2250"/>
      <c r="AU334" s="2250"/>
      <c r="AV334" s="2250"/>
      <c r="AW334" s="2250"/>
      <c r="AX334" s="2250"/>
      <c r="AY334" s="2250"/>
      <c r="AZ334" s="2250"/>
      <c r="BA334" s="2250"/>
      <c r="BB334" s="2250"/>
      <c r="BC334" s="2250"/>
      <c r="BD334" s="2250"/>
      <c r="BE334" s="2250"/>
      <c r="BF334" s="2276"/>
      <c r="BG334" s="2276"/>
      <c r="BH334" s="2250"/>
      <c r="BI334" s="2275"/>
      <c r="BJ334" s="2275"/>
      <c r="BK334" s="284" t="s">
        <v>2183</v>
      </c>
      <c r="BL334" s="2381">
        <f>BL323</f>
        <v>0.75631178540277322</v>
      </c>
      <c r="BM334" s="2251"/>
      <c r="BN334" s="2251"/>
      <c r="BO334" s="1684"/>
      <c r="BP334" s="1684"/>
      <c r="BQ334" s="1684"/>
      <c r="BR334" s="1684"/>
      <c r="BS334" s="2374"/>
      <c r="BT334" s="1684"/>
      <c r="BU334" s="284" t="s">
        <v>2183</v>
      </c>
      <c r="BV334" s="2381">
        <f>BV323</f>
        <v>0.75631178540277322</v>
      </c>
      <c r="BW334" s="2251"/>
      <c r="BX334" s="2251"/>
      <c r="BY334" s="1684"/>
      <c r="BZ334" s="1684"/>
      <c r="CA334" s="1684"/>
      <c r="CB334" s="1684"/>
      <c r="CC334" s="1684"/>
      <c r="CD334" s="1684"/>
      <c r="CE334" s="284" t="s">
        <v>2183</v>
      </c>
      <c r="CF334" s="2381">
        <f>CF323</f>
        <v>0.75631178540277322</v>
      </c>
      <c r="CG334" s="2251"/>
      <c r="CH334" s="2251"/>
      <c r="CI334" s="1684"/>
      <c r="CJ334" s="1684"/>
      <c r="CK334" s="1684"/>
      <c r="CL334" s="1684"/>
      <c r="CM334" s="1684"/>
      <c r="CN334" s="1684"/>
      <c r="CO334" s="284" t="s">
        <v>2183</v>
      </c>
      <c r="CP334" s="2381">
        <f>CP323</f>
        <v>0.75631178540277322</v>
      </c>
      <c r="CQ334" s="2251"/>
      <c r="CR334" s="2251"/>
      <c r="CS334" s="1684"/>
      <c r="CT334" s="1684"/>
      <c r="CU334" s="1684"/>
      <c r="CV334" s="1684"/>
      <c r="CW334" s="2275"/>
      <c r="CX334" s="2275"/>
      <c r="CY334" s="2250"/>
      <c r="CZ334" s="2250"/>
      <c r="DA334" s="2250"/>
      <c r="DB334" s="2250"/>
      <c r="DC334" s="2250"/>
      <c r="DD334" s="2250"/>
      <c r="DE334" s="2250"/>
      <c r="DF334" s="2250"/>
      <c r="DG334" s="2250"/>
      <c r="DH334" s="2250"/>
      <c r="DI334" s="2250"/>
      <c r="DJ334" s="2250"/>
      <c r="DK334" s="2250"/>
      <c r="DL334" s="2250"/>
      <c r="DM334" s="2250"/>
      <c r="DN334" s="2250"/>
      <c r="DO334" s="2250"/>
      <c r="DP334" s="2250"/>
      <c r="DQ334" s="2277"/>
      <c r="DR334" s="2277"/>
      <c r="DS334" s="277"/>
      <c r="DW334" s="2275"/>
      <c r="DX334" s="284" t="s">
        <v>2183</v>
      </c>
      <c r="DY334" s="2381">
        <f>DY323</f>
        <v>1.3354563802212776</v>
      </c>
      <c r="DZ334" s="2251"/>
      <c r="EA334" s="2251"/>
      <c r="EB334" s="1684"/>
      <c r="EC334" s="1684"/>
      <c r="ED334" s="1684"/>
      <c r="EE334" s="1684"/>
      <c r="EF334" s="2374"/>
      <c r="EG334" s="1684"/>
      <c r="EH334" s="284" t="s">
        <v>2183</v>
      </c>
      <c r="EI334" s="2381">
        <f>EI323</f>
        <v>1.3354563802212776</v>
      </c>
      <c r="EJ334" s="2251"/>
      <c r="EK334" s="2251"/>
      <c r="EL334" s="1684"/>
      <c r="EM334" s="1684"/>
      <c r="EN334" s="1684"/>
      <c r="EO334" s="1684"/>
      <c r="EP334" s="1684"/>
      <c r="EQ334" s="1684"/>
      <c r="ER334" s="284" t="s">
        <v>2183</v>
      </c>
      <c r="ES334" s="2381">
        <f>ES323</f>
        <v>1.3354563802212776</v>
      </c>
      <c r="ET334" s="2251"/>
      <c r="EU334" s="2251"/>
      <c r="EV334" s="1684"/>
      <c r="EW334" s="1684"/>
      <c r="EX334" s="1684"/>
      <c r="EY334" s="1684"/>
      <c r="EZ334" s="1684"/>
      <c r="FA334" s="1684"/>
      <c r="FB334" s="284" t="s">
        <v>2183</v>
      </c>
      <c r="FC334" s="2381">
        <f>FC323</f>
        <v>1.3354563802212776</v>
      </c>
      <c r="FD334" s="2251"/>
      <c r="FE334" s="2251"/>
      <c r="FF334" s="1684"/>
      <c r="FG334" s="1684"/>
      <c r="FH334" s="1684"/>
      <c r="FI334" s="1684"/>
      <c r="FJ334" s="2275"/>
      <c r="FK334" s="2275"/>
      <c r="FL334" s="2250"/>
      <c r="FM334" s="2250"/>
      <c r="FN334" s="2250"/>
      <c r="FO334" s="2250"/>
      <c r="FP334" s="2250"/>
      <c r="FQ334" s="2250"/>
      <c r="FR334" s="2250"/>
      <c r="FS334" s="2250"/>
      <c r="FT334" s="2250"/>
      <c r="FU334" s="2250"/>
      <c r="FV334" s="2250"/>
      <c r="FW334" s="2250"/>
      <c r="FX334" s="2250"/>
      <c r="FY334" s="2250"/>
      <c r="FZ334" s="2250"/>
      <c r="GA334" s="2250"/>
      <c r="GB334" s="2276"/>
      <c r="GC334" s="2276"/>
      <c r="GD334" s="2250"/>
      <c r="GE334" s="2275"/>
      <c r="GF334" s="2275"/>
      <c r="GG334" s="284" t="s">
        <v>2183</v>
      </c>
      <c r="GH334" s="2381">
        <f>GH323</f>
        <v>1.3354563802212776</v>
      </c>
      <c r="GI334" s="2251"/>
      <c r="GJ334" s="2251"/>
      <c r="GK334" s="1684"/>
      <c r="GL334" s="1684"/>
      <c r="GM334" s="1684"/>
      <c r="GN334" s="1684"/>
      <c r="GO334" s="2374"/>
      <c r="GP334" s="1684"/>
      <c r="GQ334" s="284" t="s">
        <v>2183</v>
      </c>
      <c r="GR334" s="2381">
        <f>GR323</f>
        <v>1.3354563802212776</v>
      </c>
      <c r="GS334" s="2251"/>
      <c r="GT334" s="2251"/>
      <c r="GU334" s="1684"/>
      <c r="GV334" s="1684"/>
      <c r="GW334" s="1684"/>
      <c r="GX334" s="1684"/>
      <c r="GY334" s="1684"/>
      <c r="GZ334" s="1684"/>
      <c r="HA334" s="284" t="s">
        <v>2183</v>
      </c>
      <c r="HB334" s="2381">
        <f>HB323</f>
        <v>1.3354563802212776</v>
      </c>
      <c r="HC334" s="2251"/>
      <c r="HD334" s="2251"/>
      <c r="HE334" s="1684"/>
      <c r="HF334" s="1684"/>
      <c r="HG334" s="1684"/>
      <c r="HH334" s="1684"/>
      <c r="HI334" s="1684"/>
      <c r="HJ334" s="1684"/>
      <c r="HK334" s="284" t="s">
        <v>2183</v>
      </c>
      <c r="HL334" s="2381">
        <f>HL323</f>
        <v>1.3354563802212776</v>
      </c>
      <c r="HM334" s="2251"/>
      <c r="HN334" s="2251"/>
      <c r="HO334" s="1684"/>
      <c r="HP334" s="1684"/>
      <c r="HQ334" s="1684"/>
      <c r="HR334" s="1684"/>
      <c r="HS334" s="2275"/>
      <c r="HT334" s="2275"/>
      <c r="HU334" s="2250"/>
      <c r="HV334" s="2250"/>
      <c r="HW334" s="2250"/>
      <c r="HX334" s="2250"/>
      <c r="HY334" s="2250"/>
      <c r="HZ334" s="2250"/>
      <c r="IA334" s="2250"/>
      <c r="IB334" s="2250"/>
      <c r="IC334" s="2250"/>
      <c r="ID334" s="2250"/>
      <c r="IE334" s="2250"/>
      <c r="IF334" s="2250"/>
      <c r="IG334" s="2250"/>
      <c r="IH334" s="2250"/>
      <c r="II334" s="2250"/>
      <c r="IJ334" s="2250"/>
      <c r="IK334" s="2250"/>
      <c r="IL334" s="2250"/>
      <c r="IN334" s="277"/>
      <c r="IO334" s="277"/>
    </row>
    <row r="335" spans="1:249" ht="21.95" customHeight="1">
      <c r="A335" s="2275"/>
      <c r="B335" s="284" t="s">
        <v>2184</v>
      </c>
      <c r="C335" s="2381">
        <f>C324</f>
        <v>68.3</v>
      </c>
      <c r="D335" s="2251"/>
      <c r="E335" s="2251"/>
      <c r="F335" s="1684"/>
      <c r="G335" s="1684"/>
      <c r="H335" s="1684"/>
      <c r="I335" s="1684"/>
      <c r="J335" s="2374"/>
      <c r="K335" s="1684"/>
      <c r="L335" s="284" t="s">
        <v>2184</v>
      </c>
      <c r="M335" s="2381">
        <f>M324</f>
        <v>68.3</v>
      </c>
      <c r="N335" s="2251"/>
      <c r="O335" s="2251"/>
      <c r="P335" s="1684"/>
      <c r="Q335" s="1684"/>
      <c r="R335" s="1684"/>
      <c r="S335" s="1684"/>
      <c r="T335" s="1684"/>
      <c r="U335" s="1684"/>
      <c r="V335" s="284" t="s">
        <v>2184</v>
      </c>
      <c r="W335" s="2381">
        <f>W324</f>
        <v>68.3</v>
      </c>
      <c r="X335" s="2251"/>
      <c r="Y335" s="2251"/>
      <c r="Z335" s="1684"/>
      <c r="AA335" s="1684"/>
      <c r="AB335" s="1684"/>
      <c r="AC335" s="1684"/>
      <c r="AD335" s="1684"/>
      <c r="AE335" s="1684"/>
      <c r="AF335" s="284" t="s">
        <v>2184</v>
      </c>
      <c r="AG335" s="2381">
        <f>AG324</f>
        <v>68.3</v>
      </c>
      <c r="AH335" s="2251"/>
      <c r="AI335" s="2251"/>
      <c r="AJ335" s="1684"/>
      <c r="AK335" s="1684"/>
      <c r="AL335" s="1684"/>
      <c r="AM335" s="1684"/>
      <c r="AN335" s="2275"/>
      <c r="AO335" s="2275"/>
      <c r="AP335" s="2250"/>
      <c r="AQ335" s="2250"/>
      <c r="AR335" s="2250"/>
      <c r="AS335" s="2250"/>
      <c r="AT335" s="2250"/>
      <c r="AU335" s="2250"/>
      <c r="AV335" s="2250"/>
      <c r="AW335" s="2250"/>
      <c r="AX335" s="2250"/>
      <c r="AY335" s="2250"/>
      <c r="AZ335" s="2250"/>
      <c r="BA335" s="2250"/>
      <c r="BB335" s="2250"/>
      <c r="BC335" s="2250"/>
      <c r="BD335" s="2250"/>
      <c r="BE335" s="2250"/>
      <c r="BF335" s="2276"/>
      <c r="BG335" s="2276"/>
      <c r="BH335" s="2250"/>
      <c r="BI335" s="2275"/>
      <c r="BJ335" s="2275"/>
      <c r="BK335" s="284" t="s">
        <v>2184</v>
      </c>
      <c r="BL335" s="2381">
        <f>BL324</f>
        <v>73.7</v>
      </c>
      <c r="BM335" s="2251"/>
      <c r="BN335" s="2251"/>
      <c r="BO335" s="1684"/>
      <c r="BP335" s="1684"/>
      <c r="BQ335" s="1684"/>
      <c r="BR335" s="1684"/>
      <c r="BS335" s="2374"/>
      <c r="BT335" s="1684"/>
      <c r="BU335" s="284" t="s">
        <v>2184</v>
      </c>
      <c r="BV335" s="2381">
        <f>BV324</f>
        <v>73.7</v>
      </c>
      <c r="BW335" s="2251"/>
      <c r="BX335" s="2251"/>
      <c r="BY335" s="1684"/>
      <c r="BZ335" s="1684"/>
      <c r="CA335" s="1684"/>
      <c r="CB335" s="1684"/>
      <c r="CC335" s="1684"/>
      <c r="CD335" s="1684"/>
      <c r="CE335" s="284" t="s">
        <v>2184</v>
      </c>
      <c r="CF335" s="2381">
        <f>CF324</f>
        <v>73.7</v>
      </c>
      <c r="CG335" s="2251"/>
      <c r="CH335" s="2251"/>
      <c r="CI335" s="1684"/>
      <c r="CJ335" s="1684"/>
      <c r="CK335" s="1684"/>
      <c r="CL335" s="1684"/>
      <c r="CM335" s="1684"/>
      <c r="CN335" s="1684"/>
      <c r="CO335" s="284" t="s">
        <v>2184</v>
      </c>
      <c r="CP335" s="2381">
        <f>CP324</f>
        <v>73.7</v>
      </c>
      <c r="CQ335" s="2251"/>
      <c r="CR335" s="2251"/>
      <c r="CS335" s="1684"/>
      <c r="CT335" s="1684"/>
      <c r="CU335" s="1684"/>
      <c r="CV335" s="1684"/>
      <c r="CW335" s="2275"/>
      <c r="CX335" s="2275"/>
      <c r="CY335" s="2250"/>
      <c r="CZ335" s="2250"/>
      <c r="DA335" s="2250"/>
      <c r="DB335" s="2250"/>
      <c r="DC335" s="2250"/>
      <c r="DD335" s="2250"/>
      <c r="DE335" s="2250"/>
      <c r="DF335" s="2250"/>
      <c r="DG335" s="2250"/>
      <c r="DH335" s="2250"/>
      <c r="DI335" s="2250"/>
      <c r="DJ335" s="2250"/>
      <c r="DK335" s="2250"/>
      <c r="DL335" s="2250"/>
      <c r="DM335" s="2250"/>
      <c r="DN335" s="2250"/>
      <c r="DO335" s="2250"/>
      <c r="DP335" s="2250"/>
      <c r="DQ335" s="2277"/>
      <c r="DR335" s="2277"/>
      <c r="DS335" s="277"/>
      <c r="DW335" s="2275"/>
      <c r="DX335" s="284" t="s">
        <v>2184</v>
      </c>
      <c r="DY335" s="2381">
        <f>DY324</f>
        <v>43.9</v>
      </c>
      <c r="DZ335" s="2251"/>
      <c r="EA335" s="2251"/>
      <c r="EB335" s="1684"/>
      <c r="EC335" s="1684"/>
      <c r="ED335" s="1684"/>
      <c r="EE335" s="1684"/>
      <c r="EF335" s="2374"/>
      <c r="EG335" s="1684"/>
      <c r="EH335" s="284" t="s">
        <v>2184</v>
      </c>
      <c r="EI335" s="2381">
        <f>EI324</f>
        <v>43.9</v>
      </c>
      <c r="EJ335" s="2251"/>
      <c r="EK335" s="2251"/>
      <c r="EL335" s="1684"/>
      <c r="EM335" s="1684"/>
      <c r="EN335" s="1684"/>
      <c r="EO335" s="1684"/>
      <c r="EP335" s="1684"/>
      <c r="EQ335" s="1684"/>
      <c r="ER335" s="284" t="s">
        <v>2184</v>
      </c>
      <c r="ES335" s="2381">
        <f>ES324</f>
        <v>43.9</v>
      </c>
      <c r="ET335" s="2251"/>
      <c r="EU335" s="2251"/>
      <c r="EV335" s="1684"/>
      <c r="EW335" s="1684"/>
      <c r="EX335" s="1684"/>
      <c r="EY335" s="1684"/>
      <c r="EZ335" s="1684"/>
      <c r="FA335" s="1684"/>
      <c r="FB335" s="284" t="s">
        <v>2184</v>
      </c>
      <c r="FC335" s="2381">
        <f>FC324</f>
        <v>43.9</v>
      </c>
      <c r="FD335" s="2251"/>
      <c r="FE335" s="2251"/>
      <c r="FF335" s="1684"/>
      <c r="FG335" s="1684"/>
      <c r="FH335" s="1684"/>
      <c r="FI335" s="1684"/>
      <c r="FJ335" s="2275"/>
      <c r="FK335" s="2275"/>
      <c r="FL335" s="2250"/>
      <c r="FM335" s="2250"/>
      <c r="FN335" s="2250"/>
      <c r="FO335" s="2250"/>
      <c r="FP335" s="2250"/>
      <c r="FQ335" s="2250"/>
      <c r="FR335" s="2250"/>
      <c r="FS335" s="2250"/>
      <c r="FT335" s="2250"/>
      <c r="FU335" s="2250"/>
      <c r="FV335" s="2250"/>
      <c r="FW335" s="2250"/>
      <c r="FX335" s="2250"/>
      <c r="FY335" s="2250"/>
      <c r="FZ335" s="2250"/>
      <c r="GA335" s="2250"/>
      <c r="GB335" s="2276"/>
      <c r="GC335" s="2276"/>
      <c r="GD335" s="2250"/>
      <c r="GE335" s="2275"/>
      <c r="GF335" s="2275"/>
      <c r="GG335" s="284" t="s">
        <v>2184</v>
      </c>
      <c r="GH335" s="2381">
        <f>GH324</f>
        <v>48.8</v>
      </c>
      <c r="GI335" s="2251"/>
      <c r="GJ335" s="2251"/>
      <c r="GK335" s="1684"/>
      <c r="GL335" s="1684"/>
      <c r="GM335" s="1684"/>
      <c r="GN335" s="1684"/>
      <c r="GO335" s="2374"/>
      <c r="GP335" s="1684"/>
      <c r="GQ335" s="284" t="s">
        <v>2184</v>
      </c>
      <c r="GR335" s="2381">
        <f>GR324</f>
        <v>48.8</v>
      </c>
      <c r="GS335" s="2251"/>
      <c r="GT335" s="2251"/>
      <c r="GU335" s="1684"/>
      <c r="GV335" s="1684"/>
      <c r="GW335" s="1684"/>
      <c r="GX335" s="1684"/>
      <c r="GY335" s="1684"/>
      <c r="GZ335" s="1684"/>
      <c r="HA335" s="284" t="s">
        <v>2184</v>
      </c>
      <c r="HB335" s="2381">
        <f>HB324</f>
        <v>48.8</v>
      </c>
      <c r="HC335" s="2251"/>
      <c r="HD335" s="2251"/>
      <c r="HE335" s="1684"/>
      <c r="HF335" s="1684"/>
      <c r="HG335" s="1684"/>
      <c r="HH335" s="1684"/>
      <c r="HI335" s="1684"/>
      <c r="HJ335" s="1684"/>
      <c r="HK335" s="284" t="s">
        <v>2184</v>
      </c>
      <c r="HL335" s="2381">
        <f>HL324</f>
        <v>48.8</v>
      </c>
      <c r="HM335" s="2251"/>
      <c r="HN335" s="2251"/>
      <c r="HO335" s="1684"/>
      <c r="HP335" s="1684"/>
      <c r="HQ335" s="1684"/>
      <c r="HR335" s="1684"/>
      <c r="HS335" s="2275"/>
      <c r="HT335" s="2275"/>
      <c r="HU335" s="2250"/>
      <c r="HV335" s="2250"/>
      <c r="HW335" s="2250"/>
      <c r="HX335" s="2250"/>
      <c r="HY335" s="2250"/>
      <c r="HZ335" s="2250"/>
      <c r="IA335" s="2250"/>
      <c r="IB335" s="2250"/>
      <c r="IC335" s="2250"/>
      <c r="ID335" s="2250"/>
      <c r="IE335" s="2250"/>
      <c r="IF335" s="2250"/>
      <c r="IG335" s="2250"/>
      <c r="IH335" s="2250"/>
      <c r="II335" s="2250"/>
      <c r="IJ335" s="2250"/>
      <c r="IK335" s="2250"/>
      <c r="IL335" s="2250"/>
      <c r="IN335" s="277"/>
      <c r="IO335" s="277"/>
    </row>
    <row r="336" spans="1:249" ht="21.95" customHeight="1">
      <c r="A336" s="2275"/>
      <c r="B336" s="2251"/>
      <c r="C336" s="2251"/>
      <c r="D336" s="2251"/>
      <c r="E336" s="284" t="s">
        <v>707</v>
      </c>
      <c r="F336" s="1684"/>
      <c r="G336" s="1684"/>
      <c r="H336" s="1684"/>
      <c r="I336" s="1684"/>
      <c r="J336" s="2374"/>
      <c r="K336" s="1684"/>
      <c r="L336" s="2251"/>
      <c r="M336" s="2251"/>
      <c r="N336" s="2251"/>
      <c r="O336" s="284" t="s">
        <v>707</v>
      </c>
      <c r="P336" s="1684"/>
      <c r="Q336" s="1684"/>
      <c r="R336" s="1684"/>
      <c r="S336" s="1684"/>
      <c r="T336" s="1684"/>
      <c r="U336" s="1684"/>
      <c r="V336" s="2251"/>
      <c r="W336" s="2251"/>
      <c r="X336" s="2251"/>
      <c r="Y336" s="284" t="s">
        <v>707</v>
      </c>
      <c r="Z336" s="1684"/>
      <c r="AA336" s="1684"/>
      <c r="AB336" s="1684"/>
      <c r="AC336" s="1684"/>
      <c r="AD336" s="1684"/>
      <c r="AE336" s="1684"/>
      <c r="AF336" s="2251"/>
      <c r="AG336" s="2251"/>
      <c r="AH336" s="2251"/>
      <c r="AI336" s="284" t="s">
        <v>707</v>
      </c>
      <c r="AJ336" s="1684"/>
      <c r="AK336" s="1684"/>
      <c r="AL336" s="1684"/>
      <c r="AM336" s="1684"/>
      <c r="AN336" s="2275"/>
      <c r="AO336" s="2275"/>
      <c r="AP336" s="2250"/>
      <c r="AQ336" s="2250"/>
      <c r="AR336" s="2250"/>
      <c r="AS336" s="2250"/>
      <c r="AT336" s="2250"/>
      <c r="AU336" s="2250"/>
      <c r="AV336" s="2250"/>
      <c r="AW336" s="2250"/>
      <c r="AX336" s="2250"/>
      <c r="AY336" s="2250"/>
      <c r="AZ336" s="2250"/>
      <c r="BA336" s="2250"/>
      <c r="BB336" s="2250"/>
      <c r="BC336" s="2250"/>
      <c r="BD336" s="2250"/>
      <c r="BE336" s="2250"/>
      <c r="BF336" s="2276"/>
      <c r="BG336" s="2276"/>
      <c r="BH336" s="2250"/>
      <c r="BI336" s="2275"/>
      <c r="BJ336" s="2275"/>
      <c r="BK336" s="2251"/>
      <c r="BL336" s="2251"/>
      <c r="BM336" s="2251"/>
      <c r="BN336" s="284" t="s">
        <v>707</v>
      </c>
      <c r="BO336" s="1684"/>
      <c r="BP336" s="1684"/>
      <c r="BQ336" s="1684"/>
      <c r="BR336" s="1684"/>
      <c r="BS336" s="2374"/>
      <c r="BT336" s="1684"/>
      <c r="BU336" s="2251"/>
      <c r="BV336" s="2251"/>
      <c r="BW336" s="2251"/>
      <c r="BX336" s="284" t="s">
        <v>707</v>
      </c>
      <c r="BY336" s="1684"/>
      <c r="BZ336" s="1684"/>
      <c r="CA336" s="1684"/>
      <c r="CB336" s="1684"/>
      <c r="CC336" s="1684"/>
      <c r="CD336" s="1684"/>
      <c r="CE336" s="2251"/>
      <c r="CF336" s="2251"/>
      <c r="CG336" s="2251"/>
      <c r="CH336" s="284" t="s">
        <v>707</v>
      </c>
      <c r="CI336" s="1684"/>
      <c r="CJ336" s="1684"/>
      <c r="CK336" s="1684"/>
      <c r="CL336" s="1684"/>
      <c r="CM336" s="1684"/>
      <c r="CN336" s="1684"/>
      <c r="CO336" s="2251"/>
      <c r="CP336" s="2251"/>
      <c r="CQ336" s="2251"/>
      <c r="CR336" s="284" t="s">
        <v>707</v>
      </c>
      <c r="CS336" s="1684"/>
      <c r="CT336" s="1684"/>
      <c r="CU336" s="1684"/>
      <c r="CV336" s="1684"/>
      <c r="CW336" s="2275"/>
      <c r="CX336" s="2275"/>
      <c r="CY336" s="2250"/>
      <c r="CZ336" s="2250"/>
      <c r="DA336" s="2250"/>
      <c r="DB336" s="2250"/>
      <c r="DC336" s="2250"/>
      <c r="DD336" s="2250"/>
      <c r="DE336" s="2250"/>
      <c r="DF336" s="2250"/>
      <c r="DG336" s="2250"/>
      <c r="DH336" s="2250"/>
      <c r="DI336" s="2250"/>
      <c r="DJ336" s="2250"/>
      <c r="DK336" s="2250"/>
      <c r="DL336" s="2250"/>
      <c r="DM336" s="2250"/>
      <c r="DN336" s="2250"/>
      <c r="DO336" s="2250"/>
      <c r="DP336" s="2250"/>
      <c r="DQ336" s="2277"/>
      <c r="DR336" s="2277"/>
      <c r="DS336" s="277"/>
      <c r="DW336" s="2275"/>
      <c r="DX336" s="2251"/>
      <c r="DY336" s="2251"/>
      <c r="DZ336" s="2251"/>
      <c r="EA336" s="284" t="s">
        <v>707</v>
      </c>
      <c r="EB336" s="1684"/>
      <c r="EC336" s="1684"/>
      <c r="ED336" s="1684"/>
      <c r="EE336" s="1684"/>
      <c r="EF336" s="2374"/>
      <c r="EG336" s="1684"/>
      <c r="EH336" s="2251"/>
      <c r="EI336" s="2251"/>
      <c r="EJ336" s="2251"/>
      <c r="EK336" s="284" t="s">
        <v>707</v>
      </c>
      <c r="EL336" s="1684"/>
      <c r="EM336" s="1684"/>
      <c r="EN336" s="1684"/>
      <c r="EO336" s="1684"/>
      <c r="EP336" s="1684"/>
      <c r="EQ336" s="1684"/>
      <c r="ER336" s="2251"/>
      <c r="ES336" s="2251"/>
      <c r="ET336" s="2251"/>
      <c r="EU336" s="284" t="s">
        <v>707</v>
      </c>
      <c r="EV336" s="1684"/>
      <c r="EW336" s="1684"/>
      <c r="EX336" s="1684"/>
      <c r="EY336" s="1684"/>
      <c r="EZ336" s="1684"/>
      <c r="FA336" s="1684"/>
      <c r="FB336" s="2251"/>
      <c r="FC336" s="2251"/>
      <c r="FD336" s="2251"/>
      <c r="FE336" s="284" t="s">
        <v>707</v>
      </c>
      <c r="FF336" s="1684"/>
      <c r="FG336" s="1684"/>
      <c r="FH336" s="1684"/>
      <c r="FI336" s="1684"/>
      <c r="FJ336" s="2275"/>
      <c r="FK336" s="2275"/>
      <c r="FL336" s="2250"/>
      <c r="FM336" s="2250"/>
      <c r="FN336" s="2250"/>
      <c r="FO336" s="2250"/>
      <c r="FP336" s="2250"/>
      <c r="FQ336" s="2250"/>
      <c r="FR336" s="2250"/>
      <c r="FS336" s="2250"/>
      <c r="FT336" s="2250"/>
      <c r="FU336" s="2250"/>
      <c r="FV336" s="2250"/>
      <c r="FW336" s="2250"/>
      <c r="FX336" s="2250"/>
      <c r="FY336" s="2250"/>
      <c r="FZ336" s="2250"/>
      <c r="GA336" s="2250"/>
      <c r="GB336" s="2276"/>
      <c r="GC336" s="2276"/>
      <c r="GD336" s="2250"/>
      <c r="GE336" s="2275"/>
      <c r="GF336" s="2275"/>
      <c r="GG336" s="2251"/>
      <c r="GH336" s="2251"/>
      <c r="GI336" s="2251"/>
      <c r="GJ336" s="284" t="s">
        <v>707</v>
      </c>
      <c r="GK336" s="1684"/>
      <c r="GL336" s="1684"/>
      <c r="GM336" s="1684"/>
      <c r="GN336" s="1684"/>
      <c r="GO336" s="2374"/>
      <c r="GP336" s="1684"/>
      <c r="GQ336" s="2251"/>
      <c r="GR336" s="2251"/>
      <c r="GS336" s="2251"/>
      <c r="GT336" s="284" t="s">
        <v>707</v>
      </c>
      <c r="GU336" s="1684"/>
      <c r="GV336" s="1684"/>
      <c r="GW336" s="1684"/>
      <c r="GX336" s="1684"/>
      <c r="GY336" s="1684"/>
      <c r="GZ336" s="1684"/>
      <c r="HA336" s="2251"/>
      <c r="HB336" s="2251"/>
      <c r="HC336" s="2251"/>
      <c r="HD336" s="284" t="s">
        <v>707</v>
      </c>
      <c r="HE336" s="1684"/>
      <c r="HF336" s="1684"/>
      <c r="HG336" s="1684"/>
      <c r="HH336" s="1684"/>
      <c r="HI336" s="1684"/>
      <c r="HJ336" s="1684"/>
      <c r="HK336" s="2251"/>
      <c r="HL336" s="2251"/>
      <c r="HM336" s="2251"/>
      <c r="HN336" s="284" t="s">
        <v>707</v>
      </c>
      <c r="HO336" s="1684"/>
      <c r="HP336" s="1684"/>
      <c r="HQ336" s="1684"/>
      <c r="HR336" s="1684"/>
      <c r="HS336" s="2275"/>
      <c r="HT336" s="2275"/>
      <c r="HU336" s="2250"/>
      <c r="HV336" s="2250"/>
      <c r="HW336" s="2250"/>
      <c r="HX336" s="2250"/>
      <c r="HY336" s="2250"/>
      <c r="HZ336" s="2250"/>
      <c r="IA336" s="2250"/>
      <c r="IB336" s="2250"/>
      <c r="IC336" s="2250"/>
      <c r="ID336" s="2250"/>
      <c r="IE336" s="2250"/>
      <c r="IF336" s="2250"/>
      <c r="IG336" s="2250"/>
      <c r="IH336" s="2250"/>
      <c r="II336" s="2250"/>
      <c r="IJ336" s="2250"/>
      <c r="IK336" s="2250"/>
      <c r="IL336" s="2250"/>
      <c r="IN336" s="277"/>
      <c r="IO336" s="277"/>
    </row>
    <row r="337" spans="1:249" ht="21.95" customHeight="1">
      <c r="A337" s="2275"/>
      <c r="B337" s="284" t="s">
        <v>707</v>
      </c>
      <c r="C337" s="284">
        <v>0</v>
      </c>
      <c r="D337" s="284" t="e">
        <f>+C338</f>
        <v>#N/A</v>
      </c>
      <c r="E337" s="284">
        <v>275</v>
      </c>
      <c r="F337" s="1684"/>
      <c r="L337" s="284" t="s">
        <v>707</v>
      </c>
      <c r="M337" s="284">
        <v>0</v>
      </c>
      <c r="N337" s="284" t="e">
        <f>+M338</f>
        <v>#N/A</v>
      </c>
      <c r="O337" s="284">
        <v>275</v>
      </c>
      <c r="P337" s="1684"/>
      <c r="Q337" s="1684"/>
      <c r="R337" s="1684"/>
      <c r="S337" s="1684"/>
      <c r="T337" s="1684"/>
      <c r="U337" s="1684"/>
      <c r="V337" s="284" t="s">
        <v>707</v>
      </c>
      <c r="W337" s="284">
        <v>0</v>
      </c>
      <c r="X337" s="284" t="e">
        <f>+W338</f>
        <v>#N/A</v>
      </c>
      <c r="Y337" s="284">
        <v>275</v>
      </c>
      <c r="Z337" s="1684"/>
      <c r="AA337" s="1684"/>
      <c r="AB337" s="1684"/>
      <c r="AC337" s="1684"/>
      <c r="AD337" s="1684"/>
      <c r="AE337" s="1684"/>
      <c r="AF337" s="284" t="s">
        <v>707</v>
      </c>
      <c r="AG337" s="284">
        <v>0</v>
      </c>
      <c r="AH337" s="284" t="e">
        <f>+AG338</f>
        <v>#N/A</v>
      </c>
      <c r="AI337" s="284">
        <v>275</v>
      </c>
      <c r="AJ337" s="1684"/>
      <c r="AK337" s="1684"/>
      <c r="AL337" s="1684"/>
      <c r="AM337" s="1684"/>
      <c r="AN337" s="2275"/>
      <c r="AO337" s="2275"/>
      <c r="AP337" s="2250"/>
      <c r="AQ337" s="2250"/>
      <c r="AR337" s="2250"/>
      <c r="AS337" s="2250"/>
      <c r="AT337" s="2250"/>
      <c r="AU337" s="2250"/>
      <c r="AV337" s="2250"/>
      <c r="AW337" s="2250"/>
      <c r="AX337" s="2250"/>
      <c r="AY337" s="2250"/>
      <c r="AZ337" s="2250"/>
      <c r="BA337" s="2250"/>
      <c r="BB337" s="2250"/>
      <c r="BC337" s="2250"/>
      <c r="BD337" s="2250"/>
      <c r="BE337" s="2250"/>
      <c r="BF337" s="2276"/>
      <c r="BG337" s="2276"/>
      <c r="BH337" s="2250"/>
      <c r="BI337" s="2275"/>
      <c r="BJ337" s="2275"/>
      <c r="BK337" s="284" t="s">
        <v>707</v>
      </c>
      <c r="BL337" s="284">
        <v>0</v>
      </c>
      <c r="BM337" s="284" t="e">
        <f>+BL338</f>
        <v>#N/A</v>
      </c>
      <c r="BN337" s="284">
        <v>275</v>
      </c>
      <c r="BO337" s="1684"/>
      <c r="BU337" s="284" t="s">
        <v>707</v>
      </c>
      <c r="BV337" s="284">
        <v>0</v>
      </c>
      <c r="BW337" s="284" t="e">
        <f>+BV338</f>
        <v>#N/A</v>
      </c>
      <c r="BX337" s="284">
        <v>275</v>
      </c>
      <c r="BY337" s="1684"/>
      <c r="BZ337" s="1684"/>
      <c r="CA337" s="1684"/>
      <c r="CB337" s="1684"/>
      <c r="CC337" s="1684"/>
      <c r="CD337" s="1684"/>
      <c r="CE337" s="284" t="s">
        <v>707</v>
      </c>
      <c r="CF337" s="284">
        <v>0</v>
      </c>
      <c r="CG337" s="284" t="e">
        <f>+CF338</f>
        <v>#N/A</v>
      </c>
      <c r="CH337" s="284">
        <v>275</v>
      </c>
      <c r="CI337" s="1684"/>
      <c r="CJ337" s="1684"/>
      <c r="CK337" s="1684"/>
      <c r="CL337" s="1684"/>
      <c r="CM337" s="1684"/>
      <c r="CN337" s="1684"/>
      <c r="CO337" s="284" t="s">
        <v>707</v>
      </c>
      <c r="CP337" s="284">
        <v>0</v>
      </c>
      <c r="CQ337" s="284" t="e">
        <f>+CP338</f>
        <v>#N/A</v>
      </c>
      <c r="CR337" s="284">
        <v>275</v>
      </c>
      <c r="CS337" s="1684"/>
      <c r="CT337" s="1684"/>
      <c r="CU337" s="1684"/>
      <c r="CV337" s="1684"/>
      <c r="CW337" s="2275"/>
      <c r="CX337" s="2275"/>
      <c r="CY337" s="2250"/>
      <c r="CZ337" s="2250"/>
      <c r="DA337" s="2250"/>
      <c r="DB337" s="2250"/>
      <c r="DC337" s="2250"/>
      <c r="DD337" s="2250"/>
      <c r="DE337" s="2250"/>
      <c r="DF337" s="2250"/>
      <c r="DG337" s="2250"/>
      <c r="DH337" s="2250"/>
      <c r="DI337" s="2250"/>
      <c r="DJ337" s="2250"/>
      <c r="DK337" s="2250"/>
      <c r="DL337" s="2250"/>
      <c r="DM337" s="2250"/>
      <c r="DN337" s="2250"/>
      <c r="DO337" s="2250"/>
      <c r="DP337" s="2250"/>
      <c r="DQ337" s="2277"/>
      <c r="DR337" s="2277"/>
      <c r="DS337" s="277"/>
      <c r="DW337" s="2275"/>
      <c r="DX337" s="284" t="s">
        <v>707</v>
      </c>
      <c r="DY337" s="284">
        <v>0</v>
      </c>
      <c r="DZ337" s="284" t="e">
        <f t="shared" ref="DZ337:DZ343" si="186">+DY338</f>
        <v>#N/A</v>
      </c>
      <c r="EA337" s="284">
        <v>275</v>
      </c>
      <c r="EB337" s="1684"/>
      <c r="EH337" s="284" t="s">
        <v>707</v>
      </c>
      <c r="EI337" s="284">
        <v>0</v>
      </c>
      <c r="EJ337" s="284" t="e">
        <f t="shared" ref="EJ337:EJ343" si="187">+EI338</f>
        <v>#N/A</v>
      </c>
      <c r="EK337" s="284">
        <v>275</v>
      </c>
      <c r="EL337" s="1684"/>
      <c r="EM337" s="1684"/>
      <c r="EN337" s="1684"/>
      <c r="EO337" s="1684"/>
      <c r="EP337" s="1684"/>
      <c r="EQ337" s="1684"/>
      <c r="ER337" s="284" t="s">
        <v>707</v>
      </c>
      <c r="ES337" s="284">
        <v>0</v>
      </c>
      <c r="ET337" s="284" t="e">
        <f t="shared" ref="ET337:ET343" si="188">+ES338</f>
        <v>#N/A</v>
      </c>
      <c r="EU337" s="284">
        <v>275</v>
      </c>
      <c r="EV337" s="1684"/>
      <c r="EW337" s="1684"/>
      <c r="EX337" s="1684"/>
      <c r="EY337" s="1684"/>
      <c r="EZ337" s="1684"/>
      <c r="FA337" s="1684"/>
      <c r="FB337" s="284" t="s">
        <v>707</v>
      </c>
      <c r="FC337" s="284">
        <v>0</v>
      </c>
      <c r="FD337" s="284" t="e">
        <f t="shared" ref="FD337:FD343" si="189">+FC338</f>
        <v>#N/A</v>
      </c>
      <c r="FE337" s="284">
        <v>275</v>
      </c>
      <c r="FF337" s="1684"/>
      <c r="FG337" s="1684"/>
      <c r="FH337" s="1684"/>
      <c r="FI337" s="1684"/>
      <c r="FJ337" s="2275"/>
      <c r="FK337" s="2275"/>
      <c r="FL337" s="2250"/>
      <c r="FM337" s="2250"/>
      <c r="FN337" s="2250"/>
      <c r="FO337" s="2250"/>
      <c r="FP337" s="2250"/>
      <c r="FQ337" s="2250"/>
      <c r="FR337" s="2250"/>
      <c r="FS337" s="2250"/>
      <c r="FT337" s="2250"/>
      <c r="FU337" s="2250"/>
      <c r="FV337" s="2250"/>
      <c r="FW337" s="2250"/>
      <c r="FX337" s="2250"/>
      <c r="FY337" s="2250"/>
      <c r="FZ337" s="2250"/>
      <c r="GA337" s="2250"/>
      <c r="GB337" s="2276"/>
      <c r="GC337" s="2276"/>
      <c r="GD337" s="2250"/>
      <c r="GE337" s="2275"/>
      <c r="GF337" s="2275"/>
      <c r="GG337" s="284" t="s">
        <v>707</v>
      </c>
      <c r="GH337" s="284">
        <v>0</v>
      </c>
      <c r="GI337" s="284" t="e">
        <f t="shared" ref="GI337:GI343" si="190">+GH338</f>
        <v>#N/A</v>
      </c>
      <c r="GJ337" s="284">
        <v>275</v>
      </c>
      <c r="GK337" s="1684"/>
      <c r="GQ337" s="284" t="s">
        <v>707</v>
      </c>
      <c r="GR337" s="284">
        <v>0</v>
      </c>
      <c r="GS337" s="284" t="e">
        <f t="shared" ref="GS337:GS343" si="191">+GR338</f>
        <v>#N/A</v>
      </c>
      <c r="GT337" s="284">
        <v>275</v>
      </c>
      <c r="GU337" s="1684"/>
      <c r="GV337" s="1684"/>
      <c r="GW337" s="1684"/>
      <c r="GX337" s="1684"/>
      <c r="GY337" s="1684"/>
      <c r="GZ337" s="1684"/>
      <c r="HA337" s="284" t="s">
        <v>707</v>
      </c>
      <c r="HB337" s="284">
        <v>0</v>
      </c>
      <c r="HC337" s="284" t="e">
        <f t="shared" ref="HC337:HC343" si="192">+HB338</f>
        <v>#N/A</v>
      </c>
      <c r="HD337" s="284">
        <v>275</v>
      </c>
      <c r="HE337" s="1684"/>
      <c r="HF337" s="1684"/>
      <c r="HG337" s="1684"/>
      <c r="HH337" s="1684"/>
      <c r="HI337" s="1684"/>
      <c r="HJ337" s="1684"/>
      <c r="HK337" s="284" t="s">
        <v>707</v>
      </c>
      <c r="HL337" s="284">
        <v>0</v>
      </c>
      <c r="HM337" s="284" t="e">
        <f t="shared" ref="HM337:HM343" si="193">+HL338</f>
        <v>#N/A</v>
      </c>
      <c r="HN337" s="284">
        <v>275</v>
      </c>
      <c r="HO337" s="1684"/>
      <c r="HP337" s="1684"/>
      <c r="HQ337" s="1684"/>
      <c r="HR337" s="1684"/>
      <c r="HS337" s="2275"/>
      <c r="HT337" s="2275"/>
      <c r="HU337" s="2250"/>
      <c r="HV337" s="2250"/>
      <c r="HW337" s="2250"/>
      <c r="HX337" s="2250"/>
      <c r="HY337" s="2250"/>
      <c r="HZ337" s="2250"/>
      <c r="IA337" s="2250"/>
      <c r="IB337" s="2250"/>
      <c r="IC337" s="2250"/>
      <c r="ID337" s="2250"/>
      <c r="IE337" s="2250"/>
      <c r="IF337" s="2250"/>
      <c r="IG337" s="2250"/>
      <c r="IH337" s="2250"/>
      <c r="II337" s="2250"/>
      <c r="IJ337" s="2250"/>
      <c r="IK337" s="2250"/>
      <c r="IL337" s="2250"/>
      <c r="IN337" s="277"/>
      <c r="IO337" s="277"/>
    </row>
    <row r="338" spans="1:249" ht="21.95" customHeight="1">
      <c r="A338" s="2275"/>
      <c r="B338" s="284">
        <v>275</v>
      </c>
      <c r="C338" s="284" t="e">
        <f>VLOOKUP(C335,B319:I321,2,0)</f>
        <v>#N/A</v>
      </c>
      <c r="D338" s="284" t="e">
        <f t="shared" ref="D338:D343" si="194">+C339</f>
        <v>#N/A</v>
      </c>
      <c r="E338" s="284">
        <v>300</v>
      </c>
      <c r="F338" s="1684"/>
      <c r="L338" s="284">
        <v>275</v>
      </c>
      <c r="M338" s="284" t="e">
        <f>VLOOKUP(M335,L319:S321,2,0)</f>
        <v>#N/A</v>
      </c>
      <c r="N338" s="284" t="e">
        <f t="shared" ref="N338:N343" si="195">+M339</f>
        <v>#N/A</v>
      </c>
      <c r="O338" s="284">
        <v>300</v>
      </c>
      <c r="P338" s="1684"/>
      <c r="Q338" s="1684"/>
      <c r="R338" s="1684"/>
      <c r="S338" s="1684"/>
      <c r="T338" s="1684"/>
      <c r="U338" s="1684"/>
      <c r="V338" s="284">
        <v>275</v>
      </c>
      <c r="W338" s="284" t="e">
        <f>VLOOKUP(W335,V319:AC321,2,0)</f>
        <v>#N/A</v>
      </c>
      <c r="X338" s="284" t="e">
        <f t="shared" ref="X338:X343" si="196">+W339</f>
        <v>#N/A</v>
      </c>
      <c r="Y338" s="284">
        <v>300</v>
      </c>
      <c r="Z338" s="1684"/>
      <c r="AA338" s="1684"/>
      <c r="AB338" s="1684"/>
      <c r="AC338" s="1684"/>
      <c r="AD338" s="1684"/>
      <c r="AE338" s="1684"/>
      <c r="AF338" s="284">
        <v>275</v>
      </c>
      <c r="AG338" s="284" t="e">
        <f>VLOOKUP(AG335,AF319:AM321,2,0)</f>
        <v>#N/A</v>
      </c>
      <c r="AH338" s="284" t="e">
        <f t="shared" ref="AH338:AH343" si="197">+AG339</f>
        <v>#N/A</v>
      </c>
      <c r="AI338" s="284">
        <v>300</v>
      </c>
      <c r="AJ338" s="1684"/>
      <c r="AK338" s="1684"/>
      <c r="AL338" s="1684"/>
      <c r="AM338" s="1684"/>
      <c r="AN338" s="2275"/>
      <c r="AO338" s="2275"/>
      <c r="AP338" s="2250"/>
      <c r="AQ338" s="2250"/>
      <c r="AR338" s="2250"/>
      <c r="AS338" s="2250"/>
      <c r="AT338" s="2250"/>
      <c r="AU338" s="2250"/>
      <c r="AV338" s="2250"/>
      <c r="AW338" s="2250"/>
      <c r="AX338" s="2250"/>
      <c r="AY338" s="2250"/>
      <c r="AZ338" s="2250"/>
      <c r="BA338" s="2250"/>
      <c r="BB338" s="2250"/>
      <c r="BC338" s="2250"/>
      <c r="BD338" s="2250"/>
      <c r="BE338" s="2250"/>
      <c r="BF338" s="2276"/>
      <c r="BG338" s="2276"/>
      <c r="BH338" s="2250"/>
      <c r="BI338" s="2275"/>
      <c r="BJ338" s="2275"/>
      <c r="BK338" s="284">
        <v>275</v>
      </c>
      <c r="BL338" s="284" t="e">
        <f>VLOOKUP(BL335,BK319:BR321,2,0)</f>
        <v>#N/A</v>
      </c>
      <c r="BM338" s="284" t="e">
        <f t="shared" ref="BM338:BM343" si="198">+BL339</f>
        <v>#N/A</v>
      </c>
      <c r="BN338" s="284">
        <v>300</v>
      </c>
      <c r="BO338" s="1684"/>
      <c r="BU338" s="284">
        <v>275</v>
      </c>
      <c r="BV338" s="284" t="e">
        <f>VLOOKUP(BV335,BU319:CB321,2,0)</f>
        <v>#N/A</v>
      </c>
      <c r="BW338" s="284" t="e">
        <f t="shared" ref="BW338:BW343" si="199">+BV339</f>
        <v>#N/A</v>
      </c>
      <c r="BX338" s="284">
        <v>300</v>
      </c>
      <c r="BY338" s="1684"/>
      <c r="BZ338" s="1684"/>
      <c r="CA338" s="1684"/>
      <c r="CB338" s="1684"/>
      <c r="CC338" s="1684"/>
      <c r="CD338" s="1684"/>
      <c r="CE338" s="284">
        <v>275</v>
      </c>
      <c r="CF338" s="284" t="e">
        <f>VLOOKUP(CF335,CE319:CL321,2,0)</f>
        <v>#N/A</v>
      </c>
      <c r="CG338" s="284" t="e">
        <f t="shared" ref="CG338:CG343" si="200">+CF339</f>
        <v>#N/A</v>
      </c>
      <c r="CH338" s="284">
        <v>300</v>
      </c>
      <c r="CI338" s="1684"/>
      <c r="CJ338" s="1684"/>
      <c r="CK338" s="1684"/>
      <c r="CL338" s="1684"/>
      <c r="CM338" s="1684"/>
      <c r="CN338" s="1684"/>
      <c r="CO338" s="284">
        <v>275</v>
      </c>
      <c r="CP338" s="284" t="e">
        <f>VLOOKUP(CP335,CO319:CV321,2,0)</f>
        <v>#N/A</v>
      </c>
      <c r="CQ338" s="284" t="e">
        <f t="shared" ref="CQ338:CQ343" si="201">+CP339</f>
        <v>#N/A</v>
      </c>
      <c r="CR338" s="284">
        <v>300</v>
      </c>
      <c r="CS338" s="1684"/>
      <c r="CT338" s="1684"/>
      <c r="CU338" s="1684"/>
      <c r="CV338" s="1684"/>
      <c r="CW338" s="2275"/>
      <c r="CX338" s="2275"/>
      <c r="CY338" s="2250"/>
      <c r="CZ338" s="2250"/>
      <c r="DA338" s="2250"/>
      <c r="DB338" s="2250"/>
      <c r="DC338" s="2250"/>
      <c r="DD338" s="2250"/>
      <c r="DE338" s="2250"/>
      <c r="DF338" s="2250"/>
      <c r="DG338" s="2250"/>
      <c r="DH338" s="2250"/>
      <c r="DI338" s="2250"/>
      <c r="DJ338" s="2250"/>
      <c r="DK338" s="2250"/>
      <c r="DL338" s="2250"/>
      <c r="DM338" s="2250"/>
      <c r="DN338" s="2250"/>
      <c r="DO338" s="2250"/>
      <c r="DP338" s="2250"/>
      <c r="DQ338" s="2277"/>
      <c r="DR338" s="2277"/>
      <c r="DS338" s="277"/>
      <c r="DW338" s="2275"/>
      <c r="DX338" s="284">
        <v>275</v>
      </c>
      <c r="DY338" s="284" t="e">
        <f>VLOOKUP(DY335,DX319:EE321,2,0)</f>
        <v>#N/A</v>
      </c>
      <c r="DZ338" s="284" t="e">
        <f t="shared" si="186"/>
        <v>#N/A</v>
      </c>
      <c r="EA338" s="284">
        <v>300</v>
      </c>
      <c r="EB338" s="1684"/>
      <c r="EH338" s="284">
        <v>275</v>
      </c>
      <c r="EI338" s="284" t="e">
        <f>VLOOKUP(EI335,EH319:EO321,2,0)</f>
        <v>#N/A</v>
      </c>
      <c r="EJ338" s="284" t="e">
        <f t="shared" si="187"/>
        <v>#N/A</v>
      </c>
      <c r="EK338" s="284">
        <v>300</v>
      </c>
      <c r="EL338" s="1684"/>
      <c r="EM338" s="1684"/>
      <c r="EN338" s="1684"/>
      <c r="EO338" s="1684"/>
      <c r="EP338" s="1684"/>
      <c r="EQ338" s="1684"/>
      <c r="ER338" s="284">
        <v>275</v>
      </c>
      <c r="ES338" s="284" t="e">
        <f>VLOOKUP(ES335,ER319:EY321,2,0)</f>
        <v>#N/A</v>
      </c>
      <c r="ET338" s="284" t="e">
        <f t="shared" si="188"/>
        <v>#N/A</v>
      </c>
      <c r="EU338" s="284">
        <v>300</v>
      </c>
      <c r="EV338" s="1684"/>
      <c r="EW338" s="1684"/>
      <c r="EX338" s="1684"/>
      <c r="EY338" s="1684"/>
      <c r="EZ338" s="1684"/>
      <c r="FA338" s="1684"/>
      <c r="FB338" s="284">
        <v>275</v>
      </c>
      <c r="FC338" s="284" t="e">
        <f>VLOOKUP(FC335,FB319:FI321,2,0)</f>
        <v>#N/A</v>
      </c>
      <c r="FD338" s="284" t="e">
        <f t="shared" si="189"/>
        <v>#N/A</v>
      </c>
      <c r="FE338" s="284">
        <v>300</v>
      </c>
      <c r="FF338" s="1684"/>
      <c r="FG338" s="1684"/>
      <c r="FH338" s="1684"/>
      <c r="FI338" s="1684"/>
      <c r="FJ338" s="2275"/>
      <c r="FK338" s="2275"/>
      <c r="FL338" s="2250"/>
      <c r="FM338" s="2250"/>
      <c r="FN338" s="2250"/>
      <c r="FO338" s="2250"/>
      <c r="FP338" s="2250"/>
      <c r="FQ338" s="2250"/>
      <c r="FR338" s="2250"/>
      <c r="FS338" s="2250"/>
      <c r="FT338" s="2250"/>
      <c r="FU338" s="2250"/>
      <c r="FV338" s="2250"/>
      <c r="FW338" s="2250"/>
      <c r="FX338" s="2250"/>
      <c r="FY338" s="2250"/>
      <c r="FZ338" s="2250"/>
      <c r="GA338" s="2250"/>
      <c r="GB338" s="2276"/>
      <c r="GC338" s="2276"/>
      <c r="GD338" s="2250"/>
      <c r="GE338" s="2275"/>
      <c r="GF338" s="2275"/>
      <c r="GG338" s="284">
        <v>275</v>
      </c>
      <c r="GH338" s="284" t="e">
        <f>VLOOKUP(GH335,GG319:GN321,2,0)</f>
        <v>#N/A</v>
      </c>
      <c r="GI338" s="284" t="e">
        <f t="shared" si="190"/>
        <v>#N/A</v>
      </c>
      <c r="GJ338" s="284">
        <v>300</v>
      </c>
      <c r="GK338" s="1684"/>
      <c r="GQ338" s="284">
        <v>275</v>
      </c>
      <c r="GR338" s="284" t="e">
        <f>VLOOKUP(GR335,GQ319:GX321,2,0)</f>
        <v>#N/A</v>
      </c>
      <c r="GS338" s="284" t="e">
        <f t="shared" si="191"/>
        <v>#N/A</v>
      </c>
      <c r="GT338" s="284">
        <v>300</v>
      </c>
      <c r="GU338" s="1684"/>
      <c r="GV338" s="1684"/>
      <c r="GW338" s="1684"/>
      <c r="GX338" s="1684"/>
      <c r="GY338" s="1684"/>
      <c r="GZ338" s="1684"/>
      <c r="HA338" s="284">
        <v>275</v>
      </c>
      <c r="HB338" s="284" t="e">
        <f>VLOOKUP(HB335,HA319:HH321,2,0)</f>
        <v>#N/A</v>
      </c>
      <c r="HC338" s="284" t="e">
        <f t="shared" si="192"/>
        <v>#N/A</v>
      </c>
      <c r="HD338" s="284">
        <v>300</v>
      </c>
      <c r="HE338" s="1684"/>
      <c r="HF338" s="1684"/>
      <c r="HG338" s="1684"/>
      <c r="HH338" s="1684"/>
      <c r="HI338" s="1684"/>
      <c r="HJ338" s="1684"/>
      <c r="HK338" s="284">
        <v>275</v>
      </c>
      <c r="HL338" s="284" t="e">
        <f>VLOOKUP(HL335,HK319:HR321,2,0)</f>
        <v>#N/A</v>
      </c>
      <c r="HM338" s="284" t="e">
        <f t="shared" si="193"/>
        <v>#N/A</v>
      </c>
      <c r="HN338" s="284">
        <v>300</v>
      </c>
      <c r="HO338" s="1684"/>
      <c r="HP338" s="1684"/>
      <c r="HQ338" s="1684"/>
      <c r="HR338" s="1684"/>
      <c r="HS338" s="2275"/>
      <c r="HT338" s="2275"/>
      <c r="HU338" s="2250"/>
      <c r="HV338" s="2250"/>
      <c r="HW338" s="2250"/>
      <c r="HX338" s="2250"/>
      <c r="HY338" s="2250"/>
      <c r="HZ338" s="2250"/>
      <c r="IA338" s="2250"/>
      <c r="IB338" s="2250"/>
      <c r="IC338" s="2250"/>
      <c r="ID338" s="2250"/>
      <c r="IE338" s="2250"/>
      <c r="IF338" s="2250"/>
      <c r="IG338" s="2250"/>
      <c r="IH338" s="2250"/>
      <c r="II338" s="2250"/>
      <c r="IJ338" s="2250"/>
      <c r="IK338" s="2250"/>
      <c r="IL338" s="2250"/>
      <c r="IN338" s="277"/>
      <c r="IO338" s="277"/>
    </row>
    <row r="339" spans="1:249" ht="21.95" customHeight="1">
      <c r="A339" s="2275"/>
      <c r="B339" s="284">
        <v>300</v>
      </c>
      <c r="C339" s="284" t="e">
        <f>VLOOKUP(C335,B319:I321,3,0)</f>
        <v>#N/A</v>
      </c>
      <c r="D339" s="284" t="e">
        <f t="shared" si="194"/>
        <v>#N/A</v>
      </c>
      <c r="E339" s="284">
        <v>350</v>
      </c>
      <c r="F339" s="1684"/>
      <c r="L339" s="284">
        <v>300</v>
      </c>
      <c r="M339" s="284" t="e">
        <f>VLOOKUP(M335,L319:S321,3,0)</f>
        <v>#N/A</v>
      </c>
      <c r="N339" s="284" t="e">
        <f t="shared" si="195"/>
        <v>#N/A</v>
      </c>
      <c r="O339" s="284">
        <v>350</v>
      </c>
      <c r="P339" s="1684"/>
      <c r="Q339" s="1684"/>
      <c r="R339" s="1684"/>
      <c r="S339" s="1684"/>
      <c r="T339" s="1684"/>
      <c r="U339" s="1684"/>
      <c r="V339" s="284">
        <v>300</v>
      </c>
      <c r="W339" s="284" t="e">
        <f>VLOOKUP(W335,V319:AC321,3,0)</f>
        <v>#N/A</v>
      </c>
      <c r="X339" s="284" t="e">
        <f t="shared" si="196"/>
        <v>#N/A</v>
      </c>
      <c r="Y339" s="284">
        <v>350</v>
      </c>
      <c r="Z339" s="1684"/>
      <c r="AA339" s="1684"/>
      <c r="AB339" s="1684"/>
      <c r="AC339" s="1684"/>
      <c r="AD339" s="1684"/>
      <c r="AE339" s="1684"/>
      <c r="AF339" s="284">
        <v>300</v>
      </c>
      <c r="AG339" s="284" t="e">
        <f>VLOOKUP(AG335,AF319:AM321,3,0)</f>
        <v>#N/A</v>
      </c>
      <c r="AH339" s="284" t="e">
        <f t="shared" si="197"/>
        <v>#N/A</v>
      </c>
      <c r="AI339" s="284">
        <v>350</v>
      </c>
      <c r="AJ339" s="1684"/>
      <c r="AK339" s="1684"/>
      <c r="AL339" s="1684"/>
      <c r="AM339" s="1684"/>
      <c r="AN339" s="2275"/>
      <c r="AO339" s="2275"/>
      <c r="AP339" s="2250"/>
      <c r="AQ339" s="2250"/>
      <c r="AR339" s="2250"/>
      <c r="AS339" s="2250"/>
      <c r="AT339" s="2250"/>
      <c r="AU339" s="2250"/>
      <c r="AV339" s="2250"/>
      <c r="AW339" s="2250"/>
      <c r="AX339" s="2250"/>
      <c r="AY339" s="2250"/>
      <c r="AZ339" s="2250"/>
      <c r="BA339" s="2250"/>
      <c r="BB339" s="2250"/>
      <c r="BC339" s="2250"/>
      <c r="BD339" s="2250"/>
      <c r="BE339" s="2250"/>
      <c r="BF339" s="2276"/>
      <c r="BG339" s="2276"/>
      <c r="BH339" s="2250"/>
      <c r="BI339" s="2275"/>
      <c r="BJ339" s="2275"/>
      <c r="BK339" s="284">
        <v>300</v>
      </c>
      <c r="BL339" s="284" t="e">
        <f>VLOOKUP(BL335,BK319:BR321,3,0)</f>
        <v>#N/A</v>
      </c>
      <c r="BM339" s="284" t="e">
        <f t="shared" si="198"/>
        <v>#N/A</v>
      </c>
      <c r="BN339" s="284">
        <v>350</v>
      </c>
      <c r="BO339" s="1684"/>
      <c r="BU339" s="284">
        <v>300</v>
      </c>
      <c r="BV339" s="284" t="e">
        <f>VLOOKUP(BV335,BU319:CB321,3,0)</f>
        <v>#N/A</v>
      </c>
      <c r="BW339" s="284" t="e">
        <f t="shared" si="199"/>
        <v>#N/A</v>
      </c>
      <c r="BX339" s="284">
        <v>350</v>
      </c>
      <c r="BY339" s="1684"/>
      <c r="BZ339" s="1684"/>
      <c r="CA339" s="1684"/>
      <c r="CB339" s="1684"/>
      <c r="CC339" s="1684"/>
      <c r="CD339" s="1684"/>
      <c r="CE339" s="284">
        <v>300</v>
      </c>
      <c r="CF339" s="284" t="e">
        <f>VLOOKUP(CF335,CE319:CL321,3,0)</f>
        <v>#N/A</v>
      </c>
      <c r="CG339" s="284" t="e">
        <f t="shared" si="200"/>
        <v>#N/A</v>
      </c>
      <c r="CH339" s="284">
        <v>350</v>
      </c>
      <c r="CI339" s="1684"/>
      <c r="CJ339" s="1684"/>
      <c r="CK339" s="1684"/>
      <c r="CL339" s="1684"/>
      <c r="CM339" s="1684"/>
      <c r="CN339" s="1684"/>
      <c r="CO339" s="284">
        <v>300</v>
      </c>
      <c r="CP339" s="284" t="e">
        <f>VLOOKUP(CP335,CO319:CV321,3,0)</f>
        <v>#N/A</v>
      </c>
      <c r="CQ339" s="284" t="e">
        <f t="shared" si="201"/>
        <v>#N/A</v>
      </c>
      <c r="CR339" s="284">
        <v>350</v>
      </c>
      <c r="CS339" s="1684"/>
      <c r="CT339" s="1684"/>
      <c r="CU339" s="1684"/>
      <c r="CV339" s="1684"/>
      <c r="CW339" s="2275"/>
      <c r="CX339" s="2275"/>
      <c r="CY339" s="2250"/>
      <c r="CZ339" s="2250"/>
      <c r="DA339" s="2250"/>
      <c r="DB339" s="2250"/>
      <c r="DC339" s="2250"/>
      <c r="DD339" s="2250"/>
      <c r="DE339" s="2250"/>
      <c r="DF339" s="2250"/>
      <c r="DG339" s="2250"/>
      <c r="DH339" s="2250"/>
      <c r="DI339" s="2250"/>
      <c r="DJ339" s="2250"/>
      <c r="DK339" s="2250"/>
      <c r="DL339" s="2250"/>
      <c r="DM339" s="2250"/>
      <c r="DN339" s="2250"/>
      <c r="DO339" s="2250"/>
      <c r="DP339" s="2250"/>
      <c r="DQ339" s="2277"/>
      <c r="DR339" s="2277"/>
      <c r="DS339" s="277"/>
      <c r="DW339" s="2275"/>
      <c r="DX339" s="284">
        <v>300</v>
      </c>
      <c r="DY339" s="284" t="e">
        <f>VLOOKUP(DY335,DX319:EE321,3,0)</f>
        <v>#N/A</v>
      </c>
      <c r="DZ339" s="284" t="e">
        <f t="shared" si="186"/>
        <v>#N/A</v>
      </c>
      <c r="EA339" s="284">
        <v>350</v>
      </c>
      <c r="EB339" s="1684"/>
      <c r="EH339" s="284">
        <v>300</v>
      </c>
      <c r="EI339" s="284" t="e">
        <f>VLOOKUP(EI335,EH319:EO321,3,0)</f>
        <v>#N/A</v>
      </c>
      <c r="EJ339" s="284" t="e">
        <f t="shared" si="187"/>
        <v>#N/A</v>
      </c>
      <c r="EK339" s="284">
        <v>350</v>
      </c>
      <c r="EL339" s="1684"/>
      <c r="EM339" s="1684"/>
      <c r="EN339" s="1684"/>
      <c r="EO339" s="1684"/>
      <c r="EP339" s="1684"/>
      <c r="EQ339" s="1684"/>
      <c r="ER339" s="284">
        <v>300</v>
      </c>
      <c r="ES339" s="284" t="e">
        <f>VLOOKUP(ES335,ER319:EY321,3,0)</f>
        <v>#N/A</v>
      </c>
      <c r="ET339" s="284" t="e">
        <f t="shared" si="188"/>
        <v>#N/A</v>
      </c>
      <c r="EU339" s="284">
        <v>350</v>
      </c>
      <c r="EV339" s="1684"/>
      <c r="EW339" s="1684"/>
      <c r="EX339" s="1684"/>
      <c r="EY339" s="1684"/>
      <c r="EZ339" s="1684"/>
      <c r="FA339" s="1684"/>
      <c r="FB339" s="284">
        <v>300</v>
      </c>
      <c r="FC339" s="284" t="e">
        <f>VLOOKUP(FC335,FB319:FI321,3,0)</f>
        <v>#N/A</v>
      </c>
      <c r="FD339" s="284" t="e">
        <f t="shared" si="189"/>
        <v>#N/A</v>
      </c>
      <c r="FE339" s="284">
        <v>350</v>
      </c>
      <c r="FF339" s="1684"/>
      <c r="FG339" s="1684"/>
      <c r="FH339" s="1684"/>
      <c r="FI339" s="1684"/>
      <c r="FJ339" s="2275"/>
      <c r="FK339" s="2275"/>
      <c r="FL339" s="2250"/>
      <c r="FM339" s="2250"/>
      <c r="FN339" s="2250"/>
      <c r="FO339" s="2250"/>
      <c r="FP339" s="2250"/>
      <c r="FQ339" s="2250"/>
      <c r="FR339" s="2250"/>
      <c r="FS339" s="2250"/>
      <c r="FT339" s="2250"/>
      <c r="FU339" s="2250"/>
      <c r="FV339" s="2250"/>
      <c r="FW339" s="2250"/>
      <c r="FX339" s="2250"/>
      <c r="FY339" s="2250"/>
      <c r="FZ339" s="2250"/>
      <c r="GA339" s="2250"/>
      <c r="GB339" s="2276"/>
      <c r="GC339" s="2276"/>
      <c r="GD339" s="2250"/>
      <c r="GE339" s="2275"/>
      <c r="GF339" s="2275"/>
      <c r="GG339" s="284">
        <v>300</v>
      </c>
      <c r="GH339" s="284" t="e">
        <f>VLOOKUP(GH335,GG319:GN321,3,0)</f>
        <v>#N/A</v>
      </c>
      <c r="GI339" s="284" t="e">
        <f t="shared" si="190"/>
        <v>#N/A</v>
      </c>
      <c r="GJ339" s="284">
        <v>350</v>
      </c>
      <c r="GK339" s="1684"/>
      <c r="GQ339" s="284">
        <v>300</v>
      </c>
      <c r="GR339" s="284" t="e">
        <f>VLOOKUP(GR335,GQ319:GX321,3,0)</f>
        <v>#N/A</v>
      </c>
      <c r="GS339" s="284" t="e">
        <f t="shared" si="191"/>
        <v>#N/A</v>
      </c>
      <c r="GT339" s="284">
        <v>350</v>
      </c>
      <c r="GU339" s="1684"/>
      <c r="GV339" s="1684"/>
      <c r="GW339" s="1684"/>
      <c r="GX339" s="1684"/>
      <c r="GY339" s="1684"/>
      <c r="GZ339" s="1684"/>
      <c r="HA339" s="284">
        <v>300</v>
      </c>
      <c r="HB339" s="284" t="e">
        <f>VLOOKUP(HB335,HA319:HH321,3,0)</f>
        <v>#N/A</v>
      </c>
      <c r="HC339" s="284" t="e">
        <f t="shared" si="192"/>
        <v>#N/A</v>
      </c>
      <c r="HD339" s="284">
        <v>350</v>
      </c>
      <c r="HE339" s="1684"/>
      <c r="HF339" s="1684"/>
      <c r="HG339" s="1684"/>
      <c r="HH339" s="1684"/>
      <c r="HI339" s="1684"/>
      <c r="HJ339" s="1684"/>
      <c r="HK339" s="284">
        <v>300</v>
      </c>
      <c r="HL339" s="284" t="e">
        <f>VLOOKUP(HL335,HK319:HR321,3,0)</f>
        <v>#N/A</v>
      </c>
      <c r="HM339" s="284" t="e">
        <f t="shared" si="193"/>
        <v>#N/A</v>
      </c>
      <c r="HN339" s="284">
        <v>350</v>
      </c>
      <c r="HO339" s="1684"/>
      <c r="HP339" s="1684"/>
      <c r="HQ339" s="1684"/>
      <c r="HR339" s="1684"/>
      <c r="HS339" s="2275"/>
      <c r="HT339" s="2275"/>
      <c r="HU339" s="2250"/>
      <c r="HV339" s="2250"/>
      <c r="HW339" s="2250"/>
      <c r="HX339" s="2250"/>
      <c r="HY339" s="2250"/>
      <c r="HZ339" s="2250"/>
      <c r="IA339" s="2250"/>
      <c r="IB339" s="2250"/>
      <c r="IC339" s="2250"/>
      <c r="ID339" s="2250"/>
      <c r="IE339" s="2250"/>
      <c r="IF339" s="2250"/>
      <c r="IG339" s="2250"/>
      <c r="IH339" s="2250"/>
      <c r="II339" s="2250"/>
      <c r="IJ339" s="2250"/>
      <c r="IK339" s="2250"/>
      <c r="IL339" s="2250"/>
      <c r="IN339" s="277"/>
      <c r="IO339" s="277"/>
    </row>
    <row r="340" spans="1:249" ht="21.95" customHeight="1">
      <c r="A340" s="2275"/>
      <c r="B340" s="284">
        <v>350</v>
      </c>
      <c r="C340" s="284" t="e">
        <f>VLOOKUP(C335,B319:I321,4,0)</f>
        <v>#N/A</v>
      </c>
      <c r="D340" s="284" t="e">
        <f t="shared" si="194"/>
        <v>#N/A</v>
      </c>
      <c r="E340" s="284">
        <v>400</v>
      </c>
      <c r="F340" s="1684"/>
      <c r="L340" s="284">
        <v>350</v>
      </c>
      <c r="M340" s="284" t="e">
        <f>VLOOKUP(M335,L319:S321,4,0)</f>
        <v>#N/A</v>
      </c>
      <c r="N340" s="284" t="e">
        <f t="shared" si="195"/>
        <v>#N/A</v>
      </c>
      <c r="O340" s="284">
        <v>400</v>
      </c>
      <c r="P340" s="1684"/>
      <c r="Q340" s="1684"/>
      <c r="R340" s="1684"/>
      <c r="S340" s="1684"/>
      <c r="T340" s="1684"/>
      <c r="U340" s="1684"/>
      <c r="V340" s="284">
        <v>350</v>
      </c>
      <c r="W340" s="284" t="e">
        <f>VLOOKUP(W335,V319:AC321,4,0)</f>
        <v>#N/A</v>
      </c>
      <c r="X340" s="284" t="e">
        <f t="shared" si="196"/>
        <v>#N/A</v>
      </c>
      <c r="Y340" s="284">
        <v>400</v>
      </c>
      <c r="Z340" s="1684"/>
      <c r="AA340" s="1684"/>
      <c r="AB340" s="1684"/>
      <c r="AC340" s="1684"/>
      <c r="AD340" s="1684"/>
      <c r="AE340" s="1684"/>
      <c r="AF340" s="284">
        <v>350</v>
      </c>
      <c r="AG340" s="284" t="e">
        <f>VLOOKUP(AG335,AF319:AM321,4,0)</f>
        <v>#N/A</v>
      </c>
      <c r="AH340" s="284" t="e">
        <f t="shared" si="197"/>
        <v>#N/A</v>
      </c>
      <c r="AI340" s="284">
        <v>400</v>
      </c>
      <c r="AJ340" s="1684"/>
      <c r="AK340" s="1684"/>
      <c r="AL340" s="1684"/>
      <c r="AM340" s="1684"/>
      <c r="AN340" s="2275"/>
      <c r="AO340" s="2275"/>
      <c r="AP340" s="2250"/>
      <c r="AQ340" s="2250"/>
      <c r="AR340" s="2250"/>
      <c r="AS340" s="2250"/>
      <c r="AT340" s="2250"/>
      <c r="AU340" s="2250"/>
      <c r="AV340" s="2250"/>
      <c r="AW340" s="2250"/>
      <c r="AX340" s="2250"/>
      <c r="AY340" s="2250"/>
      <c r="AZ340" s="2250"/>
      <c r="BA340" s="2250"/>
      <c r="BB340" s="2250"/>
      <c r="BC340" s="2250"/>
      <c r="BD340" s="2250"/>
      <c r="BE340" s="2250"/>
      <c r="BF340" s="2276"/>
      <c r="BG340" s="2276"/>
      <c r="BH340" s="2250"/>
      <c r="BI340" s="2275"/>
      <c r="BJ340" s="2275"/>
      <c r="BK340" s="284">
        <v>350</v>
      </c>
      <c r="BL340" s="284" t="e">
        <f>VLOOKUP(BL335,BK319:BR321,4,0)</f>
        <v>#N/A</v>
      </c>
      <c r="BM340" s="284" t="e">
        <f t="shared" si="198"/>
        <v>#N/A</v>
      </c>
      <c r="BN340" s="284">
        <v>400</v>
      </c>
      <c r="BO340" s="1684"/>
      <c r="BU340" s="284">
        <v>350</v>
      </c>
      <c r="BV340" s="284" t="e">
        <f>VLOOKUP(BV335,BU319:CB321,4,0)</f>
        <v>#N/A</v>
      </c>
      <c r="BW340" s="284" t="e">
        <f t="shared" si="199"/>
        <v>#N/A</v>
      </c>
      <c r="BX340" s="284">
        <v>400</v>
      </c>
      <c r="BY340" s="1684"/>
      <c r="BZ340" s="1684"/>
      <c r="CA340" s="1684"/>
      <c r="CB340" s="1684"/>
      <c r="CC340" s="1684"/>
      <c r="CD340" s="1684"/>
      <c r="CE340" s="284">
        <v>350</v>
      </c>
      <c r="CF340" s="284" t="e">
        <f>VLOOKUP(CF335,CE319:CL321,4,0)</f>
        <v>#N/A</v>
      </c>
      <c r="CG340" s="284" t="e">
        <f t="shared" si="200"/>
        <v>#N/A</v>
      </c>
      <c r="CH340" s="284">
        <v>400</v>
      </c>
      <c r="CI340" s="1684"/>
      <c r="CJ340" s="1684"/>
      <c r="CK340" s="1684"/>
      <c r="CL340" s="1684"/>
      <c r="CM340" s="1684"/>
      <c r="CN340" s="1684"/>
      <c r="CO340" s="284">
        <v>350</v>
      </c>
      <c r="CP340" s="284" t="e">
        <f>VLOOKUP(CP335,CO319:CV321,4,0)</f>
        <v>#N/A</v>
      </c>
      <c r="CQ340" s="284" t="e">
        <f t="shared" si="201"/>
        <v>#N/A</v>
      </c>
      <c r="CR340" s="284">
        <v>400</v>
      </c>
      <c r="CS340" s="1684"/>
      <c r="CT340" s="1684"/>
      <c r="CU340" s="1684"/>
      <c r="CV340" s="1684"/>
      <c r="CW340" s="2275"/>
      <c r="CX340" s="2275"/>
      <c r="CY340" s="2250"/>
      <c r="CZ340" s="2250"/>
      <c r="DA340" s="2250"/>
      <c r="DB340" s="2250"/>
      <c r="DC340" s="2250"/>
      <c r="DD340" s="2250"/>
      <c r="DE340" s="2250"/>
      <c r="DF340" s="2250"/>
      <c r="DG340" s="2250"/>
      <c r="DH340" s="2250"/>
      <c r="DI340" s="2250"/>
      <c r="DJ340" s="2250"/>
      <c r="DK340" s="2250"/>
      <c r="DL340" s="2250"/>
      <c r="DM340" s="2250"/>
      <c r="DN340" s="2250"/>
      <c r="DO340" s="2250"/>
      <c r="DP340" s="2250"/>
      <c r="DQ340" s="2277"/>
      <c r="DR340" s="2277"/>
      <c r="DS340" s="277"/>
      <c r="DW340" s="2275"/>
      <c r="DX340" s="284">
        <v>350</v>
      </c>
      <c r="DY340" s="284" t="e">
        <f>VLOOKUP(DY335,DX319:EE321,4,0)</f>
        <v>#N/A</v>
      </c>
      <c r="DZ340" s="284" t="e">
        <f t="shared" si="186"/>
        <v>#N/A</v>
      </c>
      <c r="EA340" s="284">
        <v>400</v>
      </c>
      <c r="EB340" s="1684"/>
      <c r="EH340" s="284">
        <v>350</v>
      </c>
      <c r="EI340" s="284" t="e">
        <f>VLOOKUP(EI335,EH319:EO321,4,0)</f>
        <v>#N/A</v>
      </c>
      <c r="EJ340" s="284" t="e">
        <f t="shared" si="187"/>
        <v>#N/A</v>
      </c>
      <c r="EK340" s="284">
        <v>400</v>
      </c>
      <c r="EL340" s="1684"/>
      <c r="EM340" s="1684"/>
      <c r="EN340" s="1684"/>
      <c r="EO340" s="1684"/>
      <c r="EP340" s="1684"/>
      <c r="EQ340" s="1684"/>
      <c r="ER340" s="284">
        <v>350</v>
      </c>
      <c r="ES340" s="284" t="e">
        <f>VLOOKUP(ES335,ER319:EY321,4,0)</f>
        <v>#N/A</v>
      </c>
      <c r="ET340" s="284" t="e">
        <f t="shared" si="188"/>
        <v>#N/A</v>
      </c>
      <c r="EU340" s="284">
        <v>400</v>
      </c>
      <c r="EV340" s="1684"/>
      <c r="EW340" s="1684"/>
      <c r="EX340" s="1684"/>
      <c r="EY340" s="1684"/>
      <c r="EZ340" s="1684"/>
      <c r="FA340" s="1684"/>
      <c r="FB340" s="284">
        <v>350</v>
      </c>
      <c r="FC340" s="284" t="e">
        <f>VLOOKUP(FC335,FB319:FI321,4,0)</f>
        <v>#N/A</v>
      </c>
      <c r="FD340" s="284" t="e">
        <f t="shared" si="189"/>
        <v>#N/A</v>
      </c>
      <c r="FE340" s="284">
        <v>400</v>
      </c>
      <c r="FF340" s="1684"/>
      <c r="FG340" s="1684"/>
      <c r="FH340" s="1684"/>
      <c r="FI340" s="1684"/>
      <c r="FJ340" s="2275"/>
      <c r="FK340" s="2275"/>
      <c r="FL340" s="2250"/>
      <c r="FM340" s="2250"/>
      <c r="FN340" s="2250"/>
      <c r="FO340" s="2250"/>
      <c r="FP340" s="2250"/>
      <c r="FQ340" s="2250"/>
      <c r="FR340" s="2250"/>
      <c r="FS340" s="2250"/>
      <c r="FT340" s="2250"/>
      <c r="FU340" s="2250"/>
      <c r="FV340" s="2250"/>
      <c r="FW340" s="2250"/>
      <c r="FX340" s="2250"/>
      <c r="FY340" s="2250"/>
      <c r="FZ340" s="2250"/>
      <c r="GA340" s="2250"/>
      <c r="GB340" s="2276"/>
      <c r="GC340" s="2276"/>
      <c r="GD340" s="2250"/>
      <c r="GE340" s="2275"/>
      <c r="GF340" s="2275"/>
      <c r="GG340" s="284">
        <v>350</v>
      </c>
      <c r="GH340" s="284" t="e">
        <f>VLOOKUP(GH335,GG319:GN321,4,0)</f>
        <v>#N/A</v>
      </c>
      <c r="GI340" s="284" t="e">
        <f t="shared" si="190"/>
        <v>#N/A</v>
      </c>
      <c r="GJ340" s="284">
        <v>400</v>
      </c>
      <c r="GK340" s="1684"/>
      <c r="GQ340" s="284">
        <v>350</v>
      </c>
      <c r="GR340" s="284" t="e">
        <f>VLOOKUP(GR335,GQ319:GX321,4,0)</f>
        <v>#N/A</v>
      </c>
      <c r="GS340" s="284" t="e">
        <f t="shared" si="191"/>
        <v>#N/A</v>
      </c>
      <c r="GT340" s="284">
        <v>400</v>
      </c>
      <c r="GU340" s="1684"/>
      <c r="GV340" s="1684"/>
      <c r="GW340" s="1684"/>
      <c r="GX340" s="1684"/>
      <c r="GY340" s="1684"/>
      <c r="GZ340" s="1684"/>
      <c r="HA340" s="284">
        <v>350</v>
      </c>
      <c r="HB340" s="284" t="e">
        <f>VLOOKUP(HB335,HA319:HH321,4,0)</f>
        <v>#N/A</v>
      </c>
      <c r="HC340" s="284" t="e">
        <f t="shared" si="192"/>
        <v>#N/A</v>
      </c>
      <c r="HD340" s="284">
        <v>400</v>
      </c>
      <c r="HE340" s="1684"/>
      <c r="HF340" s="1684"/>
      <c r="HG340" s="1684"/>
      <c r="HH340" s="1684"/>
      <c r="HI340" s="1684"/>
      <c r="HJ340" s="1684"/>
      <c r="HK340" s="284">
        <v>350</v>
      </c>
      <c r="HL340" s="284" t="e">
        <f>VLOOKUP(HL335,HK319:HR321,4,0)</f>
        <v>#N/A</v>
      </c>
      <c r="HM340" s="284" t="e">
        <f t="shared" si="193"/>
        <v>#N/A</v>
      </c>
      <c r="HN340" s="284">
        <v>400</v>
      </c>
      <c r="HO340" s="1684"/>
      <c r="HP340" s="1684"/>
      <c r="HQ340" s="1684"/>
      <c r="HR340" s="1684"/>
      <c r="HS340" s="2275"/>
      <c r="HT340" s="2275"/>
      <c r="HU340" s="2250"/>
      <c r="HV340" s="2250"/>
      <c r="HW340" s="2250"/>
      <c r="HX340" s="2250"/>
      <c r="HY340" s="2250"/>
      <c r="HZ340" s="2250"/>
      <c r="IA340" s="2250"/>
      <c r="IB340" s="2250"/>
      <c r="IC340" s="2250"/>
      <c r="ID340" s="2250"/>
      <c r="IE340" s="2250"/>
      <c r="IF340" s="2250"/>
      <c r="IG340" s="2250"/>
      <c r="IH340" s="2250"/>
      <c r="II340" s="2250"/>
      <c r="IJ340" s="2250"/>
      <c r="IK340" s="2250"/>
      <c r="IL340" s="2250"/>
      <c r="IN340" s="277"/>
      <c r="IO340" s="277"/>
    </row>
    <row r="341" spans="1:249" ht="21.95" customHeight="1">
      <c r="A341" s="2275"/>
      <c r="B341" s="284">
        <v>400</v>
      </c>
      <c r="C341" s="284" t="e">
        <f>VLOOKUP(C335,B319:I321,5,0)</f>
        <v>#N/A</v>
      </c>
      <c r="D341" s="284" t="e">
        <f t="shared" si="194"/>
        <v>#N/A</v>
      </c>
      <c r="E341" s="284">
        <v>450</v>
      </c>
      <c r="F341" s="1684"/>
      <c r="L341" s="284">
        <v>400</v>
      </c>
      <c r="M341" s="284" t="e">
        <f>VLOOKUP(M335,L319:S321,5,0)</f>
        <v>#N/A</v>
      </c>
      <c r="N341" s="284" t="e">
        <f t="shared" si="195"/>
        <v>#N/A</v>
      </c>
      <c r="O341" s="284">
        <v>450</v>
      </c>
      <c r="P341" s="1684"/>
      <c r="Q341" s="1684"/>
      <c r="R341" s="1684"/>
      <c r="S341" s="1684"/>
      <c r="T341" s="1684"/>
      <c r="U341" s="1684"/>
      <c r="V341" s="284">
        <v>400</v>
      </c>
      <c r="W341" s="284" t="e">
        <f>VLOOKUP(W335,V319:AC321,5,0)</f>
        <v>#N/A</v>
      </c>
      <c r="X341" s="284" t="e">
        <f t="shared" si="196"/>
        <v>#N/A</v>
      </c>
      <c r="Y341" s="284">
        <v>450</v>
      </c>
      <c r="Z341" s="1684"/>
      <c r="AA341" s="1684"/>
      <c r="AB341" s="1684"/>
      <c r="AC341" s="1684"/>
      <c r="AD341" s="1684"/>
      <c r="AE341" s="1684"/>
      <c r="AF341" s="284">
        <v>400</v>
      </c>
      <c r="AG341" s="284" t="e">
        <f>VLOOKUP(AG335,AF319:AM321,5,0)</f>
        <v>#N/A</v>
      </c>
      <c r="AH341" s="284" t="e">
        <f t="shared" si="197"/>
        <v>#N/A</v>
      </c>
      <c r="AI341" s="284">
        <v>450</v>
      </c>
      <c r="AJ341" s="1684"/>
      <c r="AK341" s="1684"/>
      <c r="AL341" s="1684"/>
      <c r="AM341" s="1684"/>
      <c r="AN341" s="2275"/>
      <c r="AO341" s="2275"/>
      <c r="AP341" s="2250"/>
      <c r="AQ341" s="2250"/>
      <c r="AR341" s="2250"/>
      <c r="AS341" s="2250"/>
      <c r="AT341" s="2250"/>
      <c r="AU341" s="2250"/>
      <c r="AV341" s="2250"/>
      <c r="AW341" s="2250"/>
      <c r="AX341" s="2250"/>
      <c r="AY341" s="2250"/>
      <c r="AZ341" s="2250"/>
      <c r="BA341" s="2250"/>
      <c r="BB341" s="2250"/>
      <c r="BC341" s="2250"/>
      <c r="BD341" s="2250"/>
      <c r="BE341" s="2250"/>
      <c r="BF341" s="2276"/>
      <c r="BG341" s="2276"/>
      <c r="BH341" s="2250"/>
      <c r="BI341" s="2275"/>
      <c r="BJ341" s="2275"/>
      <c r="BK341" s="284">
        <v>400</v>
      </c>
      <c r="BL341" s="284" t="e">
        <f>VLOOKUP(BL335,BK319:BR321,5,0)</f>
        <v>#N/A</v>
      </c>
      <c r="BM341" s="284" t="e">
        <f t="shared" si="198"/>
        <v>#N/A</v>
      </c>
      <c r="BN341" s="284">
        <v>450</v>
      </c>
      <c r="BO341" s="1684"/>
      <c r="BU341" s="284">
        <v>400</v>
      </c>
      <c r="BV341" s="284" t="e">
        <f>VLOOKUP(BV335,BU319:CB321,5,0)</f>
        <v>#N/A</v>
      </c>
      <c r="BW341" s="284" t="e">
        <f t="shared" si="199"/>
        <v>#N/A</v>
      </c>
      <c r="BX341" s="284">
        <v>450</v>
      </c>
      <c r="BY341" s="1684"/>
      <c r="BZ341" s="1684"/>
      <c r="CA341" s="1684"/>
      <c r="CB341" s="1684"/>
      <c r="CC341" s="1684"/>
      <c r="CD341" s="1684"/>
      <c r="CE341" s="284">
        <v>400</v>
      </c>
      <c r="CF341" s="284" t="e">
        <f>VLOOKUP(CF335,CE319:CL321,5,0)</f>
        <v>#N/A</v>
      </c>
      <c r="CG341" s="284" t="e">
        <f t="shared" si="200"/>
        <v>#N/A</v>
      </c>
      <c r="CH341" s="284">
        <v>450</v>
      </c>
      <c r="CI341" s="1684"/>
      <c r="CJ341" s="1684"/>
      <c r="CK341" s="1684"/>
      <c r="CL341" s="1684"/>
      <c r="CM341" s="1684"/>
      <c r="CN341" s="1684"/>
      <c r="CO341" s="284">
        <v>400</v>
      </c>
      <c r="CP341" s="284" t="e">
        <f>VLOOKUP(CP335,CO319:CV321,5,0)</f>
        <v>#N/A</v>
      </c>
      <c r="CQ341" s="284" t="e">
        <f t="shared" si="201"/>
        <v>#N/A</v>
      </c>
      <c r="CR341" s="284">
        <v>450</v>
      </c>
      <c r="CS341" s="1684"/>
      <c r="CT341" s="1684"/>
      <c r="CU341" s="1684"/>
      <c r="CV341" s="1684"/>
      <c r="CW341" s="2275"/>
      <c r="CX341" s="2275"/>
      <c r="CY341" s="2250"/>
      <c r="CZ341" s="2250"/>
      <c r="DA341" s="2250"/>
      <c r="DB341" s="2250"/>
      <c r="DC341" s="2250"/>
      <c r="DD341" s="2250"/>
      <c r="DE341" s="2250"/>
      <c r="DF341" s="2250"/>
      <c r="DG341" s="2250"/>
      <c r="DH341" s="2250"/>
      <c r="DI341" s="2250"/>
      <c r="DJ341" s="2250"/>
      <c r="DK341" s="2250"/>
      <c r="DL341" s="2250"/>
      <c r="DM341" s="2250"/>
      <c r="DN341" s="2250"/>
      <c r="DO341" s="2250"/>
      <c r="DP341" s="2250"/>
      <c r="DQ341" s="2277"/>
      <c r="DR341" s="2277"/>
      <c r="DS341" s="277"/>
      <c r="DW341" s="2275"/>
      <c r="DX341" s="284">
        <v>400</v>
      </c>
      <c r="DY341" s="284" t="e">
        <f>VLOOKUP(DY335,DX319:EE321,5,0)</f>
        <v>#N/A</v>
      </c>
      <c r="DZ341" s="284" t="e">
        <f t="shared" si="186"/>
        <v>#N/A</v>
      </c>
      <c r="EA341" s="284">
        <v>450</v>
      </c>
      <c r="EB341" s="1684"/>
      <c r="EH341" s="284">
        <v>400</v>
      </c>
      <c r="EI341" s="284" t="e">
        <f>VLOOKUP(EI335,EH319:EO321,5,0)</f>
        <v>#N/A</v>
      </c>
      <c r="EJ341" s="284" t="e">
        <f t="shared" si="187"/>
        <v>#N/A</v>
      </c>
      <c r="EK341" s="284">
        <v>450</v>
      </c>
      <c r="EL341" s="1684"/>
      <c r="EM341" s="1684"/>
      <c r="EN341" s="1684"/>
      <c r="EO341" s="1684"/>
      <c r="EP341" s="1684"/>
      <c r="EQ341" s="1684"/>
      <c r="ER341" s="284">
        <v>400</v>
      </c>
      <c r="ES341" s="284" t="e">
        <f>VLOOKUP(ES335,ER319:EY321,5,0)</f>
        <v>#N/A</v>
      </c>
      <c r="ET341" s="284" t="e">
        <f t="shared" si="188"/>
        <v>#N/A</v>
      </c>
      <c r="EU341" s="284">
        <v>450</v>
      </c>
      <c r="EV341" s="1684"/>
      <c r="EW341" s="1684"/>
      <c r="EX341" s="1684"/>
      <c r="EY341" s="1684"/>
      <c r="EZ341" s="1684"/>
      <c r="FA341" s="1684"/>
      <c r="FB341" s="284">
        <v>400</v>
      </c>
      <c r="FC341" s="284" t="e">
        <f>VLOOKUP(FC335,FB319:FI321,5,0)</f>
        <v>#N/A</v>
      </c>
      <c r="FD341" s="284" t="e">
        <f t="shared" si="189"/>
        <v>#N/A</v>
      </c>
      <c r="FE341" s="284">
        <v>450</v>
      </c>
      <c r="FF341" s="1684"/>
      <c r="FG341" s="1684"/>
      <c r="FH341" s="1684"/>
      <c r="FI341" s="1684"/>
      <c r="FJ341" s="2275"/>
      <c r="FK341" s="2275"/>
      <c r="FL341" s="2250"/>
      <c r="FM341" s="2250"/>
      <c r="FN341" s="2250"/>
      <c r="FO341" s="2250"/>
      <c r="FP341" s="2250"/>
      <c r="FQ341" s="2250"/>
      <c r="FR341" s="2250"/>
      <c r="FS341" s="2250"/>
      <c r="FT341" s="2250"/>
      <c r="FU341" s="2250"/>
      <c r="FV341" s="2250"/>
      <c r="FW341" s="2250"/>
      <c r="FX341" s="2250"/>
      <c r="FY341" s="2250"/>
      <c r="FZ341" s="2250"/>
      <c r="GA341" s="2250"/>
      <c r="GB341" s="2276"/>
      <c r="GC341" s="2276"/>
      <c r="GD341" s="2250"/>
      <c r="GE341" s="2275"/>
      <c r="GF341" s="2275"/>
      <c r="GG341" s="284">
        <v>400</v>
      </c>
      <c r="GH341" s="284" t="e">
        <f>VLOOKUP(GH335,GG319:GN321,5,0)</f>
        <v>#N/A</v>
      </c>
      <c r="GI341" s="284" t="e">
        <f t="shared" si="190"/>
        <v>#N/A</v>
      </c>
      <c r="GJ341" s="284">
        <v>450</v>
      </c>
      <c r="GK341" s="1684"/>
      <c r="GQ341" s="284">
        <v>400</v>
      </c>
      <c r="GR341" s="284" t="e">
        <f>VLOOKUP(GR335,GQ319:GX321,5,0)</f>
        <v>#N/A</v>
      </c>
      <c r="GS341" s="284" t="e">
        <f t="shared" si="191"/>
        <v>#N/A</v>
      </c>
      <c r="GT341" s="284">
        <v>450</v>
      </c>
      <c r="GU341" s="1684"/>
      <c r="GV341" s="1684"/>
      <c r="GW341" s="1684"/>
      <c r="GX341" s="1684"/>
      <c r="GY341" s="1684"/>
      <c r="GZ341" s="1684"/>
      <c r="HA341" s="284">
        <v>400</v>
      </c>
      <c r="HB341" s="284" t="e">
        <f>VLOOKUP(HB335,HA319:HH321,5,0)</f>
        <v>#N/A</v>
      </c>
      <c r="HC341" s="284" t="e">
        <f t="shared" si="192"/>
        <v>#N/A</v>
      </c>
      <c r="HD341" s="284">
        <v>450</v>
      </c>
      <c r="HE341" s="1684"/>
      <c r="HF341" s="1684"/>
      <c r="HG341" s="1684"/>
      <c r="HH341" s="1684"/>
      <c r="HI341" s="1684"/>
      <c r="HJ341" s="1684"/>
      <c r="HK341" s="284">
        <v>400</v>
      </c>
      <c r="HL341" s="284" t="e">
        <f>VLOOKUP(HL335,HK319:HR321,5,0)</f>
        <v>#N/A</v>
      </c>
      <c r="HM341" s="284" t="e">
        <f t="shared" si="193"/>
        <v>#N/A</v>
      </c>
      <c r="HN341" s="284">
        <v>450</v>
      </c>
      <c r="HO341" s="1684"/>
      <c r="HP341" s="1684"/>
      <c r="HQ341" s="1684"/>
      <c r="HR341" s="1684"/>
      <c r="HS341" s="2275"/>
      <c r="HT341" s="2275"/>
      <c r="HU341" s="2250"/>
      <c r="HV341" s="2250"/>
      <c r="HW341" s="2250"/>
      <c r="HX341" s="2250"/>
      <c r="HY341" s="2250"/>
      <c r="HZ341" s="2250"/>
      <c r="IA341" s="2250"/>
      <c r="IB341" s="2250"/>
      <c r="IC341" s="2250"/>
      <c r="ID341" s="2250"/>
      <c r="IE341" s="2250"/>
      <c r="IF341" s="2250"/>
      <c r="IG341" s="2250"/>
      <c r="IH341" s="2250"/>
      <c r="II341" s="2250"/>
      <c r="IJ341" s="2250"/>
      <c r="IK341" s="2250"/>
      <c r="IL341" s="2250"/>
      <c r="IN341" s="277"/>
      <c r="IO341" s="277"/>
    </row>
    <row r="342" spans="1:249" ht="21.95" customHeight="1">
      <c r="A342" s="2275"/>
      <c r="B342" s="284">
        <v>450</v>
      </c>
      <c r="C342" s="284" t="e">
        <f>VLOOKUP(C335,B319:I321,6,0)</f>
        <v>#N/A</v>
      </c>
      <c r="D342" s="284" t="e">
        <f t="shared" si="194"/>
        <v>#N/A</v>
      </c>
      <c r="E342" s="284">
        <v>500</v>
      </c>
      <c r="F342" s="1684"/>
      <c r="L342" s="284">
        <v>450</v>
      </c>
      <c r="M342" s="284" t="e">
        <f>VLOOKUP(M335,L319:S321,6,0)</f>
        <v>#N/A</v>
      </c>
      <c r="N342" s="284" t="e">
        <f t="shared" si="195"/>
        <v>#N/A</v>
      </c>
      <c r="O342" s="284">
        <v>500</v>
      </c>
      <c r="P342" s="1684"/>
      <c r="Q342" s="1684"/>
      <c r="R342" s="1684"/>
      <c r="S342" s="1684"/>
      <c r="T342" s="1684"/>
      <c r="U342" s="1684"/>
      <c r="V342" s="284">
        <v>450</v>
      </c>
      <c r="W342" s="284" t="e">
        <f>VLOOKUP(W335,V319:AC321,6,0)</f>
        <v>#N/A</v>
      </c>
      <c r="X342" s="284" t="e">
        <f t="shared" si="196"/>
        <v>#N/A</v>
      </c>
      <c r="Y342" s="284">
        <v>500</v>
      </c>
      <c r="Z342" s="1684"/>
      <c r="AA342" s="1684"/>
      <c r="AB342" s="1684"/>
      <c r="AC342" s="1684"/>
      <c r="AD342" s="1684"/>
      <c r="AE342" s="1684"/>
      <c r="AF342" s="284">
        <v>450</v>
      </c>
      <c r="AG342" s="284" t="e">
        <f>VLOOKUP(AG335,AF319:AM321,6,0)</f>
        <v>#N/A</v>
      </c>
      <c r="AH342" s="284" t="e">
        <f t="shared" si="197"/>
        <v>#N/A</v>
      </c>
      <c r="AI342" s="284">
        <v>500</v>
      </c>
      <c r="AJ342" s="1684"/>
      <c r="AK342" s="1684"/>
      <c r="AL342" s="1684"/>
      <c r="AM342" s="1684"/>
      <c r="AN342" s="2275"/>
      <c r="AO342" s="2275"/>
      <c r="AP342" s="2250"/>
      <c r="AQ342" s="2250"/>
      <c r="AR342" s="2250"/>
      <c r="AS342" s="2250"/>
      <c r="AT342" s="2250"/>
      <c r="AU342" s="2250"/>
      <c r="AV342" s="2250"/>
      <c r="AW342" s="2250"/>
      <c r="AX342" s="2250"/>
      <c r="AY342" s="2250"/>
      <c r="AZ342" s="2250"/>
      <c r="BA342" s="2250"/>
      <c r="BB342" s="2250"/>
      <c r="BC342" s="2250"/>
      <c r="BD342" s="2250"/>
      <c r="BE342" s="2250"/>
      <c r="BF342" s="2276"/>
      <c r="BG342" s="2276"/>
      <c r="BH342" s="2250"/>
      <c r="BI342" s="2275"/>
      <c r="BJ342" s="2275"/>
      <c r="BK342" s="284">
        <v>450</v>
      </c>
      <c r="BL342" s="284" t="e">
        <f>VLOOKUP(BL335,BK319:BR321,6,0)</f>
        <v>#N/A</v>
      </c>
      <c r="BM342" s="284" t="e">
        <f t="shared" si="198"/>
        <v>#N/A</v>
      </c>
      <c r="BN342" s="284">
        <v>500</v>
      </c>
      <c r="BO342" s="1684"/>
      <c r="BU342" s="284">
        <v>450</v>
      </c>
      <c r="BV342" s="284" t="e">
        <f>VLOOKUP(BV335,BU319:CB321,6,0)</f>
        <v>#N/A</v>
      </c>
      <c r="BW342" s="284" t="e">
        <f t="shared" si="199"/>
        <v>#N/A</v>
      </c>
      <c r="BX342" s="284">
        <v>500</v>
      </c>
      <c r="BY342" s="1684"/>
      <c r="BZ342" s="1684"/>
      <c r="CA342" s="1684"/>
      <c r="CB342" s="1684"/>
      <c r="CC342" s="1684"/>
      <c r="CD342" s="1684"/>
      <c r="CE342" s="284">
        <v>450</v>
      </c>
      <c r="CF342" s="284" t="e">
        <f>VLOOKUP(CF335,CE319:CL321,6,0)</f>
        <v>#N/A</v>
      </c>
      <c r="CG342" s="284" t="e">
        <f t="shared" si="200"/>
        <v>#N/A</v>
      </c>
      <c r="CH342" s="284">
        <v>500</v>
      </c>
      <c r="CI342" s="1684"/>
      <c r="CJ342" s="1684"/>
      <c r="CK342" s="1684"/>
      <c r="CL342" s="1684"/>
      <c r="CM342" s="1684"/>
      <c r="CN342" s="1684"/>
      <c r="CO342" s="284">
        <v>450</v>
      </c>
      <c r="CP342" s="284" t="e">
        <f>VLOOKUP(CP335,CO319:CV321,6,0)</f>
        <v>#N/A</v>
      </c>
      <c r="CQ342" s="284" t="e">
        <f t="shared" si="201"/>
        <v>#N/A</v>
      </c>
      <c r="CR342" s="284">
        <v>500</v>
      </c>
      <c r="CS342" s="1684"/>
      <c r="CT342" s="1684"/>
      <c r="CU342" s="1684"/>
      <c r="CV342" s="1684"/>
      <c r="CW342" s="2275"/>
      <c r="CX342" s="2275"/>
      <c r="CY342" s="2250"/>
      <c r="CZ342" s="2250"/>
      <c r="DA342" s="2250"/>
      <c r="DB342" s="2250"/>
      <c r="DC342" s="2250"/>
      <c r="DD342" s="2250"/>
      <c r="DE342" s="2250"/>
      <c r="DF342" s="2250"/>
      <c r="DG342" s="2250"/>
      <c r="DH342" s="2250"/>
      <c r="DI342" s="2250"/>
      <c r="DJ342" s="2250"/>
      <c r="DK342" s="2250"/>
      <c r="DL342" s="2250"/>
      <c r="DM342" s="2250"/>
      <c r="DN342" s="2250"/>
      <c r="DO342" s="2250"/>
      <c r="DP342" s="2250"/>
      <c r="DQ342" s="2277"/>
      <c r="DR342" s="2277"/>
      <c r="DS342" s="277"/>
      <c r="DW342" s="2275"/>
      <c r="DX342" s="284">
        <v>450</v>
      </c>
      <c r="DY342" s="284" t="e">
        <f>VLOOKUP(DY335,DX319:EE321,6,0)</f>
        <v>#N/A</v>
      </c>
      <c r="DZ342" s="284" t="e">
        <f t="shared" si="186"/>
        <v>#N/A</v>
      </c>
      <c r="EA342" s="284">
        <v>500</v>
      </c>
      <c r="EB342" s="1684"/>
      <c r="EH342" s="284">
        <v>450</v>
      </c>
      <c r="EI342" s="284" t="e">
        <f>VLOOKUP(EI335,EH319:EO321,6,0)</f>
        <v>#N/A</v>
      </c>
      <c r="EJ342" s="284" t="e">
        <f t="shared" si="187"/>
        <v>#N/A</v>
      </c>
      <c r="EK342" s="284">
        <v>500</v>
      </c>
      <c r="EL342" s="1684"/>
      <c r="EM342" s="1684"/>
      <c r="EN342" s="1684"/>
      <c r="EO342" s="1684"/>
      <c r="EP342" s="1684"/>
      <c r="EQ342" s="1684"/>
      <c r="ER342" s="284">
        <v>450</v>
      </c>
      <c r="ES342" s="284" t="e">
        <f>VLOOKUP(ES335,ER319:EY321,6,0)</f>
        <v>#N/A</v>
      </c>
      <c r="ET342" s="284" t="e">
        <f t="shared" si="188"/>
        <v>#N/A</v>
      </c>
      <c r="EU342" s="284">
        <v>500</v>
      </c>
      <c r="EV342" s="1684"/>
      <c r="EW342" s="1684"/>
      <c r="EX342" s="1684"/>
      <c r="EY342" s="1684"/>
      <c r="EZ342" s="1684"/>
      <c r="FA342" s="1684"/>
      <c r="FB342" s="284">
        <v>450</v>
      </c>
      <c r="FC342" s="284" t="e">
        <f>VLOOKUP(FC335,FB319:FI321,6,0)</f>
        <v>#N/A</v>
      </c>
      <c r="FD342" s="284" t="e">
        <f t="shared" si="189"/>
        <v>#N/A</v>
      </c>
      <c r="FE342" s="284">
        <v>500</v>
      </c>
      <c r="FF342" s="1684"/>
      <c r="FG342" s="1684"/>
      <c r="FH342" s="1684"/>
      <c r="FI342" s="1684"/>
      <c r="FJ342" s="2275"/>
      <c r="FK342" s="2275"/>
      <c r="FL342" s="2250"/>
      <c r="FM342" s="2250"/>
      <c r="FN342" s="2250"/>
      <c r="FO342" s="2250"/>
      <c r="FP342" s="2250"/>
      <c r="FQ342" s="2250"/>
      <c r="FR342" s="2250"/>
      <c r="FS342" s="2250"/>
      <c r="FT342" s="2250"/>
      <c r="FU342" s="2250"/>
      <c r="FV342" s="2250"/>
      <c r="FW342" s="2250"/>
      <c r="FX342" s="2250"/>
      <c r="FY342" s="2250"/>
      <c r="FZ342" s="2250"/>
      <c r="GA342" s="2250"/>
      <c r="GB342" s="2276"/>
      <c r="GC342" s="2276"/>
      <c r="GD342" s="2250"/>
      <c r="GE342" s="2275"/>
      <c r="GF342" s="2275"/>
      <c r="GG342" s="284">
        <v>450</v>
      </c>
      <c r="GH342" s="284" t="e">
        <f>VLOOKUP(GH335,GG319:GN321,6,0)</f>
        <v>#N/A</v>
      </c>
      <c r="GI342" s="284" t="e">
        <f t="shared" si="190"/>
        <v>#N/A</v>
      </c>
      <c r="GJ342" s="284">
        <v>500</v>
      </c>
      <c r="GK342" s="1684"/>
      <c r="GQ342" s="284">
        <v>450</v>
      </c>
      <c r="GR342" s="284" t="e">
        <f>VLOOKUP(GR335,GQ319:GX321,6,0)</f>
        <v>#N/A</v>
      </c>
      <c r="GS342" s="284" t="e">
        <f t="shared" si="191"/>
        <v>#N/A</v>
      </c>
      <c r="GT342" s="284">
        <v>500</v>
      </c>
      <c r="GU342" s="1684"/>
      <c r="GV342" s="1684"/>
      <c r="GW342" s="1684"/>
      <c r="GX342" s="1684"/>
      <c r="GY342" s="1684"/>
      <c r="GZ342" s="1684"/>
      <c r="HA342" s="284">
        <v>450</v>
      </c>
      <c r="HB342" s="284" t="e">
        <f>VLOOKUP(HB335,HA319:HH321,6,0)</f>
        <v>#N/A</v>
      </c>
      <c r="HC342" s="284" t="e">
        <f t="shared" si="192"/>
        <v>#N/A</v>
      </c>
      <c r="HD342" s="284">
        <v>500</v>
      </c>
      <c r="HE342" s="1684"/>
      <c r="HF342" s="1684"/>
      <c r="HG342" s="1684"/>
      <c r="HH342" s="1684"/>
      <c r="HI342" s="1684"/>
      <c r="HJ342" s="1684"/>
      <c r="HK342" s="284">
        <v>450</v>
      </c>
      <c r="HL342" s="284" t="e">
        <f>VLOOKUP(HL335,HK319:HR321,6,0)</f>
        <v>#N/A</v>
      </c>
      <c r="HM342" s="284" t="e">
        <f t="shared" si="193"/>
        <v>#N/A</v>
      </c>
      <c r="HN342" s="284">
        <v>500</v>
      </c>
      <c r="HO342" s="1684"/>
      <c r="HP342" s="1684"/>
      <c r="HQ342" s="1684"/>
      <c r="HR342" s="1684"/>
      <c r="HS342" s="2275"/>
      <c r="HT342" s="2275"/>
      <c r="HU342" s="2250"/>
      <c r="HV342" s="2250"/>
      <c r="HW342" s="2250"/>
      <c r="HX342" s="2250"/>
      <c r="HY342" s="2250"/>
      <c r="HZ342" s="2250"/>
      <c r="IA342" s="2250"/>
      <c r="IB342" s="2250"/>
      <c r="IC342" s="2250"/>
      <c r="ID342" s="2250"/>
      <c r="IE342" s="2250"/>
      <c r="IF342" s="2250"/>
      <c r="IG342" s="2250"/>
      <c r="IH342" s="2250"/>
      <c r="II342" s="2250"/>
      <c r="IJ342" s="2250"/>
      <c r="IK342" s="2250"/>
      <c r="IL342" s="2250"/>
      <c r="IN342" s="277"/>
      <c r="IO342" s="277"/>
    </row>
    <row r="343" spans="1:249" ht="21.95" customHeight="1">
      <c r="A343" s="2275"/>
      <c r="B343" s="284">
        <v>500</v>
      </c>
      <c r="C343" s="284" t="e">
        <f>VLOOKUP(C335,B319:I321,7,0)</f>
        <v>#N/A</v>
      </c>
      <c r="D343" s="284" t="e">
        <f t="shared" si="194"/>
        <v>#N/A</v>
      </c>
      <c r="E343" s="284">
        <v>600</v>
      </c>
      <c r="F343" s="1684"/>
      <c r="G343" s="1684"/>
      <c r="H343" s="1684"/>
      <c r="I343" s="1684"/>
      <c r="J343" s="2374"/>
      <c r="K343" s="1684"/>
      <c r="L343" s="284">
        <v>500</v>
      </c>
      <c r="M343" s="284" t="e">
        <f>VLOOKUP(M335,L319:S321,7,0)</f>
        <v>#N/A</v>
      </c>
      <c r="N343" s="284" t="e">
        <f t="shared" si="195"/>
        <v>#N/A</v>
      </c>
      <c r="O343" s="284">
        <v>600</v>
      </c>
      <c r="P343" s="1684"/>
      <c r="Q343" s="1684"/>
      <c r="R343" s="1684"/>
      <c r="S343" s="1684"/>
      <c r="T343" s="1684"/>
      <c r="U343" s="1684"/>
      <c r="V343" s="284">
        <v>500</v>
      </c>
      <c r="W343" s="284" t="e">
        <f>VLOOKUP(W335,V319:AC321,7,0)</f>
        <v>#N/A</v>
      </c>
      <c r="X343" s="284" t="e">
        <f t="shared" si="196"/>
        <v>#N/A</v>
      </c>
      <c r="Y343" s="284">
        <v>600</v>
      </c>
      <c r="Z343" s="1684"/>
      <c r="AA343" s="1684"/>
      <c r="AB343" s="1684"/>
      <c r="AC343" s="1684"/>
      <c r="AD343" s="1684"/>
      <c r="AE343" s="1684"/>
      <c r="AF343" s="284">
        <v>500</v>
      </c>
      <c r="AG343" s="284" t="e">
        <f>VLOOKUP(AG335,AF319:AM321,7,0)</f>
        <v>#N/A</v>
      </c>
      <c r="AH343" s="284" t="e">
        <f t="shared" si="197"/>
        <v>#N/A</v>
      </c>
      <c r="AI343" s="284">
        <v>600</v>
      </c>
      <c r="AJ343" s="1684"/>
      <c r="AK343" s="1684"/>
      <c r="AL343" s="1684"/>
      <c r="AM343" s="1684"/>
      <c r="AN343" s="2275"/>
      <c r="AO343" s="2275"/>
      <c r="AP343" s="2250"/>
      <c r="AQ343" s="2250"/>
      <c r="AR343" s="2250"/>
      <c r="AS343" s="2250"/>
      <c r="AT343" s="2250"/>
      <c r="AU343" s="2250"/>
      <c r="AV343" s="2250"/>
      <c r="AW343" s="2250"/>
      <c r="AX343" s="2250"/>
      <c r="AY343" s="2250"/>
      <c r="AZ343" s="2250"/>
      <c r="BA343" s="2250"/>
      <c r="BB343" s="2250"/>
      <c r="BC343" s="2250"/>
      <c r="BD343" s="2250"/>
      <c r="BE343" s="2250"/>
      <c r="BF343" s="2276"/>
      <c r="BG343" s="2276"/>
      <c r="BH343" s="2250"/>
      <c r="BI343" s="2275"/>
      <c r="BJ343" s="2275"/>
      <c r="BK343" s="284">
        <v>500</v>
      </c>
      <c r="BL343" s="284" t="e">
        <f>VLOOKUP(BL335,BK319:BR321,7,0)</f>
        <v>#N/A</v>
      </c>
      <c r="BM343" s="284" t="e">
        <f t="shared" si="198"/>
        <v>#N/A</v>
      </c>
      <c r="BN343" s="284">
        <v>600</v>
      </c>
      <c r="BO343" s="1684"/>
      <c r="BP343" s="1684"/>
      <c r="BQ343" s="1684"/>
      <c r="BR343" s="1684"/>
      <c r="BS343" s="2374"/>
      <c r="BT343" s="1684"/>
      <c r="BU343" s="284">
        <v>500</v>
      </c>
      <c r="BV343" s="284" t="e">
        <f>VLOOKUP(BV335,BU319:CB321,7,0)</f>
        <v>#N/A</v>
      </c>
      <c r="BW343" s="284" t="e">
        <f t="shared" si="199"/>
        <v>#N/A</v>
      </c>
      <c r="BX343" s="284">
        <v>600</v>
      </c>
      <c r="BY343" s="1684"/>
      <c r="BZ343" s="1684"/>
      <c r="CA343" s="1684"/>
      <c r="CB343" s="1684"/>
      <c r="CC343" s="1684"/>
      <c r="CD343" s="1684"/>
      <c r="CE343" s="284">
        <v>500</v>
      </c>
      <c r="CF343" s="284" t="e">
        <f>VLOOKUP(CF335,CE319:CL321,7,0)</f>
        <v>#N/A</v>
      </c>
      <c r="CG343" s="284" t="e">
        <f t="shared" si="200"/>
        <v>#N/A</v>
      </c>
      <c r="CH343" s="284">
        <v>600</v>
      </c>
      <c r="CI343" s="1684"/>
      <c r="CJ343" s="1684"/>
      <c r="CK343" s="1684"/>
      <c r="CL343" s="1684"/>
      <c r="CM343" s="1684"/>
      <c r="CN343" s="1684"/>
      <c r="CO343" s="284">
        <v>500</v>
      </c>
      <c r="CP343" s="284" t="e">
        <f>VLOOKUP(CP335,CO319:CV321,7,0)</f>
        <v>#N/A</v>
      </c>
      <c r="CQ343" s="284" t="e">
        <f t="shared" si="201"/>
        <v>#N/A</v>
      </c>
      <c r="CR343" s="284">
        <v>600</v>
      </c>
      <c r="CS343" s="1684"/>
      <c r="CT343" s="1684"/>
      <c r="CU343" s="1684"/>
      <c r="CV343" s="1684"/>
      <c r="CW343" s="2275"/>
      <c r="CX343" s="2275"/>
      <c r="CY343" s="2250"/>
      <c r="CZ343" s="2250"/>
      <c r="DA343" s="2250"/>
      <c r="DB343" s="2250"/>
      <c r="DC343" s="2250"/>
      <c r="DD343" s="2250"/>
      <c r="DE343" s="2250"/>
      <c r="DF343" s="2250"/>
      <c r="DG343" s="2250"/>
      <c r="DH343" s="2250"/>
      <c r="DI343" s="2250"/>
      <c r="DJ343" s="2250"/>
      <c r="DK343" s="2250"/>
      <c r="DL343" s="2250"/>
      <c r="DM343" s="2250"/>
      <c r="DN343" s="2250"/>
      <c r="DO343" s="2250"/>
      <c r="DP343" s="2250"/>
      <c r="DQ343" s="2277"/>
      <c r="DR343" s="2277"/>
      <c r="DS343" s="277"/>
      <c r="DW343" s="2275"/>
      <c r="DX343" s="284">
        <v>500</v>
      </c>
      <c r="DY343" s="284" t="e">
        <f>VLOOKUP(DY335,DX319:EE321,7,0)</f>
        <v>#N/A</v>
      </c>
      <c r="DZ343" s="284" t="e">
        <f t="shared" si="186"/>
        <v>#N/A</v>
      </c>
      <c r="EA343" s="284">
        <v>600</v>
      </c>
      <c r="EB343" s="1684"/>
      <c r="EC343" s="1684"/>
      <c r="ED343" s="1684"/>
      <c r="EE343" s="1684"/>
      <c r="EF343" s="2374"/>
      <c r="EG343" s="1684"/>
      <c r="EH343" s="284">
        <v>500</v>
      </c>
      <c r="EI343" s="284" t="e">
        <f>VLOOKUP(EI335,EH319:EO321,7,0)</f>
        <v>#N/A</v>
      </c>
      <c r="EJ343" s="284" t="e">
        <f t="shared" si="187"/>
        <v>#N/A</v>
      </c>
      <c r="EK343" s="284">
        <v>600</v>
      </c>
      <c r="EL343" s="1684"/>
      <c r="EM343" s="1684"/>
      <c r="EN343" s="1684"/>
      <c r="EO343" s="1684"/>
      <c r="EP343" s="1684"/>
      <c r="EQ343" s="1684"/>
      <c r="ER343" s="284">
        <v>500</v>
      </c>
      <c r="ES343" s="284" t="e">
        <f>VLOOKUP(ES335,ER319:EY321,7,0)</f>
        <v>#N/A</v>
      </c>
      <c r="ET343" s="284" t="e">
        <f t="shared" si="188"/>
        <v>#N/A</v>
      </c>
      <c r="EU343" s="284">
        <v>600</v>
      </c>
      <c r="EV343" s="1684"/>
      <c r="EW343" s="1684"/>
      <c r="EX343" s="1684"/>
      <c r="EY343" s="1684"/>
      <c r="EZ343" s="1684"/>
      <c r="FA343" s="1684"/>
      <c r="FB343" s="284">
        <v>500</v>
      </c>
      <c r="FC343" s="284" t="e">
        <f>VLOOKUP(FC335,FB319:FI321,7,0)</f>
        <v>#N/A</v>
      </c>
      <c r="FD343" s="284" t="e">
        <f t="shared" si="189"/>
        <v>#N/A</v>
      </c>
      <c r="FE343" s="284">
        <v>600</v>
      </c>
      <c r="FF343" s="1684"/>
      <c r="FG343" s="1684"/>
      <c r="FH343" s="1684"/>
      <c r="FI343" s="1684"/>
      <c r="FJ343" s="2275"/>
      <c r="FK343" s="2275"/>
      <c r="FL343" s="2250"/>
      <c r="FM343" s="2250"/>
      <c r="FN343" s="2250"/>
      <c r="FO343" s="2250"/>
      <c r="FP343" s="2250"/>
      <c r="FQ343" s="2250"/>
      <c r="FR343" s="2250"/>
      <c r="FS343" s="2250"/>
      <c r="FT343" s="2250"/>
      <c r="FU343" s="2250"/>
      <c r="FV343" s="2250"/>
      <c r="FW343" s="2250"/>
      <c r="FX343" s="2250"/>
      <c r="FY343" s="2250"/>
      <c r="FZ343" s="2250"/>
      <c r="GA343" s="2250"/>
      <c r="GB343" s="2276"/>
      <c r="GC343" s="2276"/>
      <c r="GD343" s="2250"/>
      <c r="GE343" s="2275"/>
      <c r="GF343" s="2275"/>
      <c r="GG343" s="284">
        <v>500</v>
      </c>
      <c r="GH343" s="284" t="e">
        <f>VLOOKUP(GH335,GG319:GN321,7,0)</f>
        <v>#N/A</v>
      </c>
      <c r="GI343" s="284" t="e">
        <f t="shared" si="190"/>
        <v>#N/A</v>
      </c>
      <c r="GJ343" s="284">
        <v>600</v>
      </c>
      <c r="GK343" s="1684"/>
      <c r="GL343" s="1684"/>
      <c r="GM343" s="1684"/>
      <c r="GN343" s="1684"/>
      <c r="GO343" s="2374"/>
      <c r="GP343" s="1684"/>
      <c r="GQ343" s="284">
        <v>500</v>
      </c>
      <c r="GR343" s="284" t="e">
        <f>VLOOKUP(GR335,GQ319:GX321,7,0)</f>
        <v>#N/A</v>
      </c>
      <c r="GS343" s="284" t="e">
        <f t="shared" si="191"/>
        <v>#N/A</v>
      </c>
      <c r="GT343" s="284">
        <v>600</v>
      </c>
      <c r="GU343" s="1684"/>
      <c r="GV343" s="1684"/>
      <c r="GW343" s="1684"/>
      <c r="GX343" s="1684"/>
      <c r="GY343" s="1684"/>
      <c r="GZ343" s="1684"/>
      <c r="HA343" s="284">
        <v>500</v>
      </c>
      <c r="HB343" s="284" t="e">
        <f>VLOOKUP(HB335,HA319:HH321,7,0)</f>
        <v>#N/A</v>
      </c>
      <c r="HC343" s="284" t="e">
        <f t="shared" si="192"/>
        <v>#N/A</v>
      </c>
      <c r="HD343" s="284">
        <v>600</v>
      </c>
      <c r="HE343" s="1684"/>
      <c r="HF343" s="1684"/>
      <c r="HG343" s="1684"/>
      <c r="HH343" s="1684"/>
      <c r="HI343" s="1684"/>
      <c r="HJ343" s="1684"/>
      <c r="HK343" s="284">
        <v>500</v>
      </c>
      <c r="HL343" s="284" t="e">
        <f>VLOOKUP(HL335,HK319:HR321,7,0)</f>
        <v>#N/A</v>
      </c>
      <c r="HM343" s="284" t="e">
        <f t="shared" si="193"/>
        <v>#N/A</v>
      </c>
      <c r="HN343" s="284">
        <v>600</v>
      </c>
      <c r="HO343" s="1684"/>
      <c r="HP343" s="1684"/>
      <c r="HQ343" s="1684"/>
      <c r="HR343" s="1684"/>
      <c r="HS343" s="2275"/>
      <c r="HT343" s="2275"/>
      <c r="HU343" s="2250"/>
      <c r="HV343" s="2250"/>
      <c r="HW343" s="2250"/>
      <c r="HX343" s="2250"/>
      <c r="HY343" s="2250"/>
      <c r="HZ343" s="2250"/>
      <c r="IA343" s="2250"/>
      <c r="IB343" s="2250"/>
      <c r="IC343" s="2250"/>
      <c r="ID343" s="2250"/>
      <c r="IE343" s="2250"/>
      <c r="IF343" s="2250"/>
      <c r="IG343" s="2250"/>
      <c r="IH343" s="2250"/>
      <c r="II343" s="2250"/>
      <c r="IJ343" s="2250"/>
      <c r="IK343" s="2250"/>
      <c r="IL343" s="2250"/>
      <c r="IN343" s="277"/>
      <c r="IO343" s="277"/>
    </row>
    <row r="344" spans="1:249" ht="21.95" customHeight="1">
      <c r="A344" s="2275"/>
      <c r="B344" s="284">
        <v>600</v>
      </c>
      <c r="C344" s="284" t="e">
        <f>VLOOKUP(C335,B319:I321,8,0)</f>
        <v>#N/A</v>
      </c>
      <c r="D344" s="284">
        <v>0</v>
      </c>
      <c r="E344" s="284"/>
      <c r="F344" s="1684"/>
      <c r="G344" s="1684"/>
      <c r="H344" s="1684"/>
      <c r="I344" s="1684"/>
      <c r="J344" s="2374"/>
      <c r="K344" s="1684"/>
      <c r="L344" s="284">
        <v>600</v>
      </c>
      <c r="M344" s="284" t="e">
        <f>VLOOKUP(M335,L319:S321,8,0)</f>
        <v>#N/A</v>
      </c>
      <c r="N344" s="284">
        <v>0</v>
      </c>
      <c r="O344" s="284"/>
      <c r="P344" s="1684"/>
      <c r="Q344" s="1684"/>
      <c r="R344" s="1684"/>
      <c r="S344" s="1684"/>
      <c r="T344" s="1684"/>
      <c r="U344" s="1684"/>
      <c r="V344" s="284">
        <v>600</v>
      </c>
      <c r="W344" s="284" t="e">
        <f>VLOOKUP(W335,V319:AC321,8,0)</f>
        <v>#N/A</v>
      </c>
      <c r="X344" s="284">
        <v>0</v>
      </c>
      <c r="Y344" s="284"/>
      <c r="Z344" s="1684"/>
      <c r="AA344" s="1684"/>
      <c r="AB344" s="1684"/>
      <c r="AC344" s="1684"/>
      <c r="AD344" s="1684"/>
      <c r="AE344" s="1684"/>
      <c r="AF344" s="284">
        <v>600</v>
      </c>
      <c r="AG344" s="284" t="e">
        <f>VLOOKUP(AG335,AF319:AM321,8,0)</f>
        <v>#N/A</v>
      </c>
      <c r="AH344" s="284">
        <v>0</v>
      </c>
      <c r="AI344" s="284"/>
      <c r="AJ344" s="1684"/>
      <c r="AK344" s="1684"/>
      <c r="AL344" s="1684"/>
      <c r="AM344" s="1684"/>
      <c r="AN344" s="2275"/>
      <c r="AO344" s="2275"/>
      <c r="AP344" s="2250"/>
      <c r="AQ344" s="2250"/>
      <c r="AR344" s="2250"/>
      <c r="AS344" s="2250"/>
      <c r="AT344" s="2250"/>
      <c r="AU344" s="2250"/>
      <c r="AV344" s="2250"/>
      <c r="AW344" s="2250"/>
      <c r="AX344" s="2250"/>
      <c r="AY344" s="2250"/>
      <c r="AZ344" s="2250"/>
      <c r="BA344" s="2250"/>
      <c r="BB344" s="2250"/>
      <c r="BC344" s="2250"/>
      <c r="BD344" s="2250"/>
      <c r="BE344" s="2250"/>
      <c r="BF344" s="2276"/>
      <c r="BG344" s="2276"/>
      <c r="BH344" s="2250"/>
      <c r="BI344" s="2275"/>
      <c r="BJ344" s="2275"/>
      <c r="BK344" s="284">
        <v>600</v>
      </c>
      <c r="BL344" s="284" t="e">
        <f>VLOOKUP(BL335,BK319:BR321,8,0)</f>
        <v>#N/A</v>
      </c>
      <c r="BM344" s="284">
        <v>0</v>
      </c>
      <c r="BN344" s="284"/>
      <c r="BO344" s="1684"/>
      <c r="BP344" s="1684"/>
      <c r="BQ344" s="1684"/>
      <c r="BR344" s="1684"/>
      <c r="BS344" s="2374"/>
      <c r="BT344" s="1684"/>
      <c r="BU344" s="284">
        <v>600</v>
      </c>
      <c r="BV344" s="284" t="e">
        <f>VLOOKUP(BV335,BU319:CB321,8,0)</f>
        <v>#N/A</v>
      </c>
      <c r="BW344" s="284">
        <v>0</v>
      </c>
      <c r="BX344" s="284"/>
      <c r="BY344" s="1684"/>
      <c r="BZ344" s="1684"/>
      <c r="CA344" s="1684"/>
      <c r="CB344" s="1684"/>
      <c r="CC344" s="1684"/>
      <c r="CD344" s="1684"/>
      <c r="CE344" s="284">
        <v>600</v>
      </c>
      <c r="CF344" s="284" t="e">
        <f>VLOOKUP(CF335,CE319:CL321,8,0)</f>
        <v>#N/A</v>
      </c>
      <c r="CG344" s="284">
        <v>0</v>
      </c>
      <c r="CH344" s="284"/>
      <c r="CI344" s="1684"/>
      <c r="CJ344" s="1684"/>
      <c r="CK344" s="1684"/>
      <c r="CL344" s="1684"/>
      <c r="CM344" s="1684"/>
      <c r="CN344" s="1684"/>
      <c r="CO344" s="284">
        <v>600</v>
      </c>
      <c r="CP344" s="284" t="e">
        <f>VLOOKUP(CP335,CO319:CV321,8,0)</f>
        <v>#N/A</v>
      </c>
      <c r="CQ344" s="284">
        <v>0</v>
      </c>
      <c r="CR344" s="284"/>
      <c r="CS344" s="1684"/>
      <c r="CT344" s="1684"/>
      <c r="CU344" s="1684"/>
      <c r="CV344" s="1684"/>
      <c r="CW344" s="2275"/>
      <c r="CX344" s="2275"/>
      <c r="CY344" s="2250"/>
      <c r="CZ344" s="2250"/>
      <c r="DA344" s="2250"/>
      <c r="DB344" s="2250"/>
      <c r="DC344" s="2250"/>
      <c r="DD344" s="2250"/>
      <c r="DE344" s="2250"/>
      <c r="DF344" s="2250"/>
      <c r="DG344" s="2250"/>
      <c r="DH344" s="2250"/>
      <c r="DI344" s="2250"/>
      <c r="DJ344" s="2250"/>
      <c r="DK344" s="2250"/>
      <c r="DL344" s="2250"/>
      <c r="DM344" s="2250"/>
      <c r="DN344" s="2250"/>
      <c r="DO344" s="2250"/>
      <c r="DP344" s="2250"/>
      <c r="DQ344" s="2277"/>
      <c r="DR344" s="2277"/>
      <c r="DS344" s="277"/>
      <c r="DW344" s="2275"/>
      <c r="DX344" s="284">
        <v>600</v>
      </c>
      <c r="DY344" s="284" t="e">
        <f>VLOOKUP(DY335,DX319:EE321,8,0)</f>
        <v>#N/A</v>
      </c>
      <c r="DZ344" s="284">
        <v>0</v>
      </c>
      <c r="EA344" s="284"/>
      <c r="EB344" s="1684"/>
      <c r="EC344" s="1684"/>
      <c r="ED344" s="1684"/>
      <c r="EE344" s="1684"/>
      <c r="EF344" s="2374"/>
      <c r="EG344" s="1684"/>
      <c r="EH344" s="284">
        <v>600</v>
      </c>
      <c r="EI344" s="284" t="e">
        <f>VLOOKUP(EI335,EH319:EO321,8,0)</f>
        <v>#N/A</v>
      </c>
      <c r="EJ344" s="284">
        <v>0</v>
      </c>
      <c r="EK344" s="284"/>
      <c r="EL344" s="1684"/>
      <c r="EM344" s="1684"/>
      <c r="EN344" s="1684"/>
      <c r="EO344" s="1684"/>
      <c r="EP344" s="1684"/>
      <c r="EQ344" s="1684"/>
      <c r="ER344" s="284">
        <v>600</v>
      </c>
      <c r="ES344" s="284" t="e">
        <f>VLOOKUP(ES335,ER319:EY321,8,0)</f>
        <v>#N/A</v>
      </c>
      <c r="ET344" s="284">
        <v>0</v>
      </c>
      <c r="EU344" s="284"/>
      <c r="EV344" s="1684"/>
      <c r="EW344" s="1684"/>
      <c r="EX344" s="1684"/>
      <c r="EY344" s="1684"/>
      <c r="EZ344" s="1684"/>
      <c r="FA344" s="1684"/>
      <c r="FB344" s="284">
        <v>600</v>
      </c>
      <c r="FC344" s="284" t="e">
        <f>VLOOKUP(FC335,FB319:FI321,8,0)</f>
        <v>#N/A</v>
      </c>
      <c r="FD344" s="284">
        <v>0</v>
      </c>
      <c r="FE344" s="284"/>
      <c r="FF344" s="1684"/>
      <c r="FG344" s="1684"/>
      <c r="FH344" s="1684"/>
      <c r="FI344" s="1684"/>
      <c r="FJ344" s="2275"/>
      <c r="FK344" s="2275"/>
      <c r="FL344" s="2250"/>
      <c r="FM344" s="2250"/>
      <c r="FN344" s="2250"/>
      <c r="FO344" s="2250"/>
      <c r="FP344" s="2250"/>
      <c r="FQ344" s="2250"/>
      <c r="FR344" s="2250"/>
      <c r="FS344" s="2250"/>
      <c r="FT344" s="2250"/>
      <c r="FU344" s="2250"/>
      <c r="FV344" s="2250"/>
      <c r="FW344" s="2250"/>
      <c r="FX344" s="2250"/>
      <c r="FY344" s="2250"/>
      <c r="FZ344" s="2250"/>
      <c r="GA344" s="2250"/>
      <c r="GB344" s="2276"/>
      <c r="GC344" s="2276"/>
      <c r="GD344" s="2250"/>
      <c r="GE344" s="2275"/>
      <c r="GF344" s="2275"/>
      <c r="GG344" s="284">
        <v>600</v>
      </c>
      <c r="GH344" s="284" t="e">
        <f>VLOOKUP(GH335,GG319:GN321,8,0)</f>
        <v>#N/A</v>
      </c>
      <c r="GI344" s="284">
        <v>0</v>
      </c>
      <c r="GJ344" s="284"/>
      <c r="GK344" s="1684"/>
      <c r="GL344" s="1684"/>
      <c r="GM344" s="1684"/>
      <c r="GN344" s="1684"/>
      <c r="GO344" s="2374"/>
      <c r="GP344" s="1684"/>
      <c r="GQ344" s="284">
        <v>600</v>
      </c>
      <c r="GR344" s="284" t="e">
        <f>VLOOKUP(GR335,GQ319:GX321,8,0)</f>
        <v>#N/A</v>
      </c>
      <c r="GS344" s="284">
        <v>0</v>
      </c>
      <c r="GT344" s="284"/>
      <c r="GU344" s="1684"/>
      <c r="GV344" s="1684"/>
      <c r="GW344" s="1684"/>
      <c r="GX344" s="1684"/>
      <c r="GY344" s="1684"/>
      <c r="GZ344" s="1684"/>
      <c r="HA344" s="284">
        <v>600</v>
      </c>
      <c r="HB344" s="284" t="e">
        <f>VLOOKUP(HB335,HA319:HH321,8,0)</f>
        <v>#N/A</v>
      </c>
      <c r="HC344" s="284">
        <v>0</v>
      </c>
      <c r="HD344" s="284"/>
      <c r="HE344" s="1684"/>
      <c r="HF344" s="1684"/>
      <c r="HG344" s="1684"/>
      <c r="HH344" s="1684"/>
      <c r="HI344" s="1684"/>
      <c r="HJ344" s="1684"/>
      <c r="HK344" s="284">
        <v>600</v>
      </c>
      <c r="HL344" s="284" t="e">
        <f>VLOOKUP(HL335,HK319:HR321,8,0)</f>
        <v>#N/A</v>
      </c>
      <c r="HM344" s="284">
        <v>0</v>
      </c>
      <c r="HN344" s="284"/>
      <c r="HO344" s="1684"/>
      <c r="HP344" s="1684"/>
      <c r="HQ344" s="1684"/>
      <c r="HR344" s="1684"/>
      <c r="HS344" s="2275"/>
      <c r="HT344" s="2275"/>
      <c r="HU344" s="2250"/>
      <c r="HV344" s="2250"/>
      <c r="HW344" s="2250"/>
      <c r="HX344" s="2250"/>
      <c r="HY344" s="2250"/>
      <c r="HZ344" s="2250"/>
      <c r="IA344" s="2250"/>
      <c r="IB344" s="2250"/>
      <c r="IC344" s="2250"/>
      <c r="ID344" s="2250"/>
      <c r="IE344" s="2250"/>
      <c r="IF344" s="2250"/>
      <c r="IG344" s="2250"/>
      <c r="IH344" s="2250"/>
      <c r="II344" s="2250"/>
      <c r="IJ344" s="2250"/>
      <c r="IK344" s="2250"/>
      <c r="IL344" s="2250"/>
      <c r="IN344" s="277"/>
      <c r="IO344" s="277"/>
    </row>
    <row r="345" spans="1:249" ht="21.95" customHeight="1">
      <c r="A345" s="2275"/>
      <c r="B345" s="284"/>
      <c r="C345" s="284"/>
      <c r="D345" s="284"/>
      <c r="E345" s="284"/>
      <c r="F345" s="1684"/>
      <c r="G345" s="1684"/>
      <c r="H345" s="1684"/>
      <c r="I345" s="1684"/>
      <c r="J345" s="2374"/>
      <c r="K345" s="1684"/>
      <c r="L345" s="284"/>
      <c r="M345" s="284"/>
      <c r="N345" s="284"/>
      <c r="O345" s="284"/>
      <c r="P345" s="1684"/>
      <c r="Q345" s="1684"/>
      <c r="R345" s="1684"/>
      <c r="S345" s="1684"/>
      <c r="T345" s="1684"/>
      <c r="U345" s="1684"/>
      <c r="V345" s="284"/>
      <c r="W345" s="284"/>
      <c r="X345" s="284"/>
      <c r="Y345" s="284"/>
      <c r="Z345" s="1684"/>
      <c r="AA345" s="1684"/>
      <c r="AB345" s="1684"/>
      <c r="AC345" s="1684"/>
      <c r="AD345" s="1684"/>
      <c r="AE345" s="1684"/>
      <c r="AF345" s="284"/>
      <c r="AG345" s="284"/>
      <c r="AH345" s="284"/>
      <c r="AI345" s="284"/>
      <c r="AJ345" s="1684"/>
      <c r="AK345" s="1684"/>
      <c r="AL345" s="1684"/>
      <c r="AM345" s="1684"/>
      <c r="AN345" s="2275"/>
      <c r="AO345" s="2275"/>
      <c r="AP345" s="2250"/>
      <c r="AQ345" s="2250"/>
      <c r="AR345" s="2250"/>
      <c r="AS345" s="2250"/>
      <c r="AT345" s="2250"/>
      <c r="AU345" s="2250"/>
      <c r="AV345" s="2250"/>
      <c r="AW345" s="2250"/>
      <c r="AX345" s="2250"/>
      <c r="AY345" s="2250"/>
      <c r="AZ345" s="2250"/>
      <c r="BA345" s="2250"/>
      <c r="BB345" s="2250"/>
      <c r="BC345" s="2250"/>
      <c r="BD345" s="2250"/>
      <c r="BE345" s="2250"/>
      <c r="BF345" s="2276"/>
      <c r="BG345" s="2276"/>
      <c r="BH345" s="2250"/>
      <c r="BI345" s="2275"/>
      <c r="BJ345" s="2275"/>
      <c r="BK345" s="284"/>
      <c r="BL345" s="284"/>
      <c r="BM345" s="284"/>
      <c r="BN345" s="284"/>
      <c r="BO345" s="1684"/>
      <c r="BP345" s="1684"/>
      <c r="BQ345" s="1684"/>
      <c r="BR345" s="1684"/>
      <c r="BS345" s="2374"/>
      <c r="BT345" s="1684"/>
      <c r="BU345" s="284"/>
      <c r="BV345" s="284"/>
      <c r="BW345" s="284"/>
      <c r="BX345" s="284"/>
      <c r="BY345" s="1684"/>
      <c r="BZ345" s="1684"/>
      <c r="CA345" s="1684"/>
      <c r="CB345" s="1684"/>
      <c r="CC345" s="1684"/>
      <c r="CD345" s="1684"/>
      <c r="CE345" s="284"/>
      <c r="CF345" s="284"/>
      <c r="CG345" s="284"/>
      <c r="CH345" s="284"/>
      <c r="CI345" s="1684"/>
      <c r="CJ345" s="1684"/>
      <c r="CK345" s="1684"/>
      <c r="CL345" s="1684"/>
      <c r="CM345" s="1684"/>
      <c r="CN345" s="1684"/>
      <c r="CO345" s="284"/>
      <c r="CP345" s="284"/>
      <c r="CQ345" s="284"/>
      <c r="CR345" s="284"/>
      <c r="CS345" s="1684"/>
      <c r="CT345" s="1684"/>
      <c r="CU345" s="1684"/>
      <c r="CV345" s="1684"/>
      <c r="CW345" s="2275"/>
      <c r="CX345" s="2275"/>
      <c r="CY345" s="2250"/>
      <c r="CZ345" s="2250"/>
      <c r="DA345" s="2250"/>
      <c r="DB345" s="2250"/>
      <c r="DC345" s="2250"/>
      <c r="DD345" s="2250"/>
      <c r="DE345" s="2250"/>
      <c r="DF345" s="2250"/>
      <c r="DG345" s="2250"/>
      <c r="DH345" s="2250"/>
      <c r="DI345" s="2250"/>
      <c r="DJ345" s="2250"/>
      <c r="DK345" s="2250"/>
      <c r="DL345" s="2250"/>
      <c r="DM345" s="2250"/>
      <c r="DN345" s="2250"/>
      <c r="DO345" s="2250"/>
      <c r="DP345" s="2250"/>
      <c r="DQ345" s="2277"/>
      <c r="DR345" s="2277"/>
      <c r="DS345" s="277"/>
      <c r="DW345" s="2275"/>
      <c r="DX345" s="284"/>
      <c r="DY345" s="284"/>
      <c r="DZ345" s="284"/>
      <c r="EA345" s="284"/>
      <c r="EB345" s="1684"/>
      <c r="EC345" s="1684"/>
      <c r="ED345" s="1684"/>
      <c r="EE345" s="1684"/>
      <c r="EF345" s="2374"/>
      <c r="EG345" s="1684"/>
      <c r="EH345" s="284"/>
      <c r="EI345" s="284"/>
      <c r="EJ345" s="284"/>
      <c r="EK345" s="284"/>
      <c r="EL345" s="1684"/>
      <c r="EM345" s="1684"/>
      <c r="EN345" s="1684"/>
      <c r="EO345" s="1684"/>
      <c r="EP345" s="1684"/>
      <c r="EQ345" s="1684"/>
      <c r="ER345" s="284"/>
      <c r="ES345" s="284"/>
      <c r="ET345" s="284"/>
      <c r="EU345" s="284"/>
      <c r="EV345" s="1684"/>
      <c r="EW345" s="1684"/>
      <c r="EX345" s="1684"/>
      <c r="EY345" s="1684"/>
      <c r="EZ345" s="1684"/>
      <c r="FA345" s="1684"/>
      <c r="FB345" s="284"/>
      <c r="FC345" s="284"/>
      <c r="FD345" s="284"/>
      <c r="FE345" s="284"/>
      <c r="FF345" s="1684"/>
      <c r="FG345" s="1684"/>
      <c r="FH345" s="1684"/>
      <c r="FI345" s="1684"/>
      <c r="FJ345" s="2275"/>
      <c r="FK345" s="2275"/>
      <c r="FL345" s="2250"/>
      <c r="FM345" s="2250"/>
      <c r="FN345" s="2250"/>
      <c r="FO345" s="2250"/>
      <c r="FP345" s="2250"/>
      <c r="FQ345" s="2250"/>
      <c r="FR345" s="2250"/>
      <c r="FS345" s="2250"/>
      <c r="FT345" s="2250"/>
      <c r="FU345" s="2250"/>
      <c r="FV345" s="2250"/>
      <c r="FW345" s="2250"/>
      <c r="FX345" s="2250"/>
      <c r="FY345" s="2250"/>
      <c r="FZ345" s="2250"/>
      <c r="GA345" s="2250"/>
      <c r="GB345" s="2276"/>
      <c r="GC345" s="2276"/>
      <c r="GD345" s="2250"/>
      <c r="GE345" s="2275"/>
      <c r="GF345" s="2275"/>
      <c r="GG345" s="284"/>
      <c r="GH345" s="284"/>
      <c r="GI345" s="284"/>
      <c r="GJ345" s="284"/>
      <c r="GK345" s="1684"/>
      <c r="GL345" s="1684"/>
      <c r="GM345" s="1684"/>
      <c r="GN345" s="1684"/>
      <c r="GO345" s="2374"/>
      <c r="GP345" s="1684"/>
      <c r="GQ345" s="284"/>
      <c r="GR345" s="284"/>
      <c r="GS345" s="284"/>
      <c r="GT345" s="284"/>
      <c r="GU345" s="1684"/>
      <c r="GV345" s="1684"/>
      <c r="GW345" s="1684"/>
      <c r="GX345" s="1684"/>
      <c r="GY345" s="1684"/>
      <c r="GZ345" s="1684"/>
      <c r="HA345" s="284"/>
      <c r="HB345" s="284"/>
      <c r="HC345" s="284"/>
      <c r="HD345" s="284"/>
      <c r="HE345" s="1684"/>
      <c r="HF345" s="1684"/>
      <c r="HG345" s="1684"/>
      <c r="HH345" s="1684"/>
      <c r="HI345" s="1684"/>
      <c r="HJ345" s="1684"/>
      <c r="HK345" s="284"/>
      <c r="HL345" s="284"/>
      <c r="HM345" s="284"/>
      <c r="HN345" s="284"/>
      <c r="HO345" s="1684"/>
      <c r="HP345" s="1684"/>
      <c r="HQ345" s="1684"/>
      <c r="HR345" s="1684"/>
      <c r="HS345" s="2275"/>
      <c r="HT345" s="2275"/>
      <c r="HU345" s="2250"/>
      <c r="HV345" s="2250"/>
      <c r="HW345" s="2250"/>
      <c r="HX345" s="2250"/>
      <c r="HY345" s="2250"/>
      <c r="HZ345" s="2250"/>
      <c r="IA345" s="2250"/>
      <c r="IB345" s="2250"/>
      <c r="IC345" s="2250"/>
      <c r="ID345" s="2250"/>
      <c r="IE345" s="2250"/>
      <c r="IF345" s="2250"/>
      <c r="IG345" s="2250"/>
      <c r="IH345" s="2250"/>
      <c r="II345" s="2250"/>
      <c r="IJ345" s="2250"/>
      <c r="IK345" s="2250"/>
      <c r="IL345" s="2250"/>
      <c r="IN345" s="277"/>
      <c r="IO345" s="277"/>
    </row>
    <row r="346" spans="1:249" ht="21.95" customHeight="1">
      <c r="A346" s="2275"/>
      <c r="B346" s="284"/>
      <c r="C346" s="284">
        <f>VLOOKUP(C334,C337:C344,1)</f>
        <v>0</v>
      </c>
      <c r="D346" s="284" t="e">
        <f>VLOOKUP(C346,C337:D344,2,0)</f>
        <v>#N/A</v>
      </c>
      <c r="E346" s="284"/>
      <c r="F346" s="1684"/>
      <c r="G346" s="1684"/>
      <c r="H346" s="1684"/>
      <c r="I346" s="1684"/>
      <c r="J346" s="2374"/>
      <c r="K346" s="1684"/>
      <c r="L346" s="284"/>
      <c r="M346" s="284">
        <f>VLOOKUP(M334,M337:M344,1)</f>
        <v>0</v>
      </c>
      <c r="N346" s="284" t="e">
        <f>VLOOKUP(M346,M337:N344,2,0)</f>
        <v>#N/A</v>
      </c>
      <c r="O346" s="284"/>
      <c r="P346" s="1684"/>
      <c r="Q346" s="1684"/>
      <c r="R346" s="1684"/>
      <c r="S346" s="1684"/>
      <c r="T346" s="1684"/>
      <c r="U346" s="1684"/>
      <c r="V346" s="284"/>
      <c r="W346" s="284">
        <f>VLOOKUP(W334,W337:W344,1)</f>
        <v>0</v>
      </c>
      <c r="X346" s="284" t="e">
        <f>VLOOKUP(W346,W337:X344,2,0)</f>
        <v>#N/A</v>
      </c>
      <c r="Y346" s="284"/>
      <c r="Z346" s="1684"/>
      <c r="AA346" s="1684"/>
      <c r="AB346" s="1684"/>
      <c r="AC346" s="1684"/>
      <c r="AD346" s="1684"/>
      <c r="AE346" s="1684"/>
      <c r="AF346" s="284"/>
      <c r="AG346" s="284">
        <f>VLOOKUP(AG334,AG337:AG344,1)</f>
        <v>0</v>
      </c>
      <c r="AH346" s="284" t="e">
        <f>VLOOKUP(AG346,AG337:AH344,2,0)</f>
        <v>#N/A</v>
      </c>
      <c r="AI346" s="284"/>
      <c r="AJ346" s="1684"/>
      <c r="AK346" s="1684"/>
      <c r="AL346" s="1684"/>
      <c r="AM346" s="1684"/>
      <c r="AN346" s="2275"/>
      <c r="AO346" s="2275"/>
      <c r="AP346" s="2250"/>
      <c r="AQ346" s="2250"/>
      <c r="AR346" s="2250"/>
      <c r="AS346" s="2250"/>
      <c r="AT346" s="2250"/>
      <c r="AU346" s="2250"/>
      <c r="AV346" s="2250"/>
      <c r="AW346" s="2250"/>
      <c r="AX346" s="2250"/>
      <c r="AY346" s="2250"/>
      <c r="AZ346" s="2250"/>
      <c r="BA346" s="2250"/>
      <c r="BB346" s="2250"/>
      <c r="BC346" s="2250"/>
      <c r="BD346" s="2250"/>
      <c r="BE346" s="2250"/>
      <c r="BF346" s="2276"/>
      <c r="BG346" s="2276"/>
      <c r="BH346" s="2250"/>
      <c r="BI346" s="2275"/>
      <c r="BJ346" s="2275"/>
      <c r="BK346" s="284"/>
      <c r="BL346" s="284">
        <f>VLOOKUP(BL334,BL337:BL344,1)</f>
        <v>0</v>
      </c>
      <c r="BM346" s="284" t="e">
        <f>VLOOKUP(BL346,BL337:BM344,2,0)</f>
        <v>#N/A</v>
      </c>
      <c r="BN346" s="284"/>
      <c r="BO346" s="1684"/>
      <c r="BP346" s="1684"/>
      <c r="BQ346" s="1684"/>
      <c r="BR346" s="1684"/>
      <c r="BS346" s="2374"/>
      <c r="BT346" s="1684"/>
      <c r="BU346" s="284"/>
      <c r="BV346" s="284">
        <f>VLOOKUP(BV334,BV337:BV344,1)</f>
        <v>0</v>
      </c>
      <c r="BW346" s="284" t="e">
        <f>VLOOKUP(BV346,BV337:BW344,2,0)</f>
        <v>#N/A</v>
      </c>
      <c r="BX346" s="284"/>
      <c r="BY346" s="1684"/>
      <c r="BZ346" s="1684"/>
      <c r="CA346" s="1684"/>
      <c r="CB346" s="1684"/>
      <c r="CC346" s="1684"/>
      <c r="CD346" s="1684"/>
      <c r="CE346" s="284"/>
      <c r="CF346" s="284">
        <f>VLOOKUP(CF334,CF337:CF344,1)</f>
        <v>0</v>
      </c>
      <c r="CG346" s="284" t="e">
        <f>VLOOKUP(CF346,CF337:CG344,2,0)</f>
        <v>#N/A</v>
      </c>
      <c r="CH346" s="284"/>
      <c r="CI346" s="1684"/>
      <c r="CJ346" s="1684"/>
      <c r="CK346" s="1684"/>
      <c r="CL346" s="1684"/>
      <c r="CM346" s="1684"/>
      <c r="CN346" s="1684"/>
      <c r="CO346" s="284"/>
      <c r="CP346" s="284">
        <f>VLOOKUP(CP334,CP337:CP344,1)</f>
        <v>0</v>
      </c>
      <c r="CQ346" s="284" t="e">
        <f>VLOOKUP(CP346,CP337:CQ344,2,0)</f>
        <v>#N/A</v>
      </c>
      <c r="CR346" s="284"/>
      <c r="CS346" s="1684"/>
      <c r="CT346" s="1684"/>
      <c r="CU346" s="1684"/>
      <c r="CV346" s="1684"/>
      <c r="CW346" s="2275"/>
      <c r="CX346" s="2275"/>
      <c r="CY346" s="2250"/>
      <c r="CZ346" s="2250"/>
      <c r="DA346" s="2250"/>
      <c r="DB346" s="2250"/>
      <c r="DC346" s="2250"/>
      <c r="DD346" s="2250"/>
      <c r="DE346" s="2250"/>
      <c r="DF346" s="2250"/>
      <c r="DG346" s="2250"/>
      <c r="DH346" s="2250"/>
      <c r="DI346" s="2250"/>
      <c r="DJ346" s="2250"/>
      <c r="DK346" s="2250"/>
      <c r="DL346" s="2250"/>
      <c r="DM346" s="2250"/>
      <c r="DN346" s="2250"/>
      <c r="DO346" s="2250"/>
      <c r="DP346" s="2250"/>
      <c r="DQ346" s="2277"/>
      <c r="DR346" s="2277"/>
      <c r="DS346" s="277"/>
      <c r="DW346" s="2275"/>
      <c r="DX346" s="284"/>
      <c r="DY346" s="284">
        <f>VLOOKUP(DY334,DY337:DY344,1)</f>
        <v>0</v>
      </c>
      <c r="DZ346" s="284" t="e">
        <f>VLOOKUP(DY346,DY337:DZ344,2,0)</f>
        <v>#N/A</v>
      </c>
      <c r="EA346" s="284"/>
      <c r="EB346" s="1684"/>
      <c r="EC346" s="1684"/>
      <c r="ED346" s="1684"/>
      <c r="EE346" s="1684"/>
      <c r="EF346" s="2374"/>
      <c r="EG346" s="1684"/>
      <c r="EH346" s="284"/>
      <c r="EI346" s="284">
        <f>VLOOKUP(EI334,EI337:EI344,1)</f>
        <v>0</v>
      </c>
      <c r="EJ346" s="284" t="e">
        <f>VLOOKUP(EI346,EI337:EJ344,2,0)</f>
        <v>#N/A</v>
      </c>
      <c r="EK346" s="284"/>
      <c r="EL346" s="1684"/>
      <c r="EM346" s="1684"/>
      <c r="EN346" s="1684"/>
      <c r="EO346" s="1684"/>
      <c r="EP346" s="1684"/>
      <c r="EQ346" s="1684"/>
      <c r="ER346" s="284"/>
      <c r="ES346" s="284">
        <f>VLOOKUP(ES334,ES337:ES344,1)</f>
        <v>0</v>
      </c>
      <c r="ET346" s="284" t="e">
        <f>VLOOKUP(ES346,ES337:ET344,2,0)</f>
        <v>#N/A</v>
      </c>
      <c r="EU346" s="284"/>
      <c r="EV346" s="1684"/>
      <c r="EW346" s="1684"/>
      <c r="EX346" s="1684"/>
      <c r="EY346" s="1684"/>
      <c r="EZ346" s="1684"/>
      <c r="FA346" s="1684"/>
      <c r="FB346" s="284"/>
      <c r="FC346" s="284">
        <f>VLOOKUP(FC334,FC337:FC344,1)</f>
        <v>0</v>
      </c>
      <c r="FD346" s="284" t="e">
        <f>VLOOKUP(FC346,FC337:FD344,2,0)</f>
        <v>#N/A</v>
      </c>
      <c r="FE346" s="284"/>
      <c r="FF346" s="1684"/>
      <c r="FG346" s="1684"/>
      <c r="FH346" s="1684"/>
      <c r="FI346" s="1684"/>
      <c r="FJ346" s="2275"/>
      <c r="FK346" s="2275"/>
      <c r="FL346" s="2250"/>
      <c r="FM346" s="2250"/>
      <c r="FN346" s="2250"/>
      <c r="FO346" s="2250"/>
      <c r="FP346" s="2250"/>
      <c r="FQ346" s="2250"/>
      <c r="FR346" s="2250"/>
      <c r="FS346" s="2250"/>
      <c r="FT346" s="2250"/>
      <c r="FU346" s="2250"/>
      <c r="FV346" s="2250"/>
      <c r="FW346" s="2250"/>
      <c r="FX346" s="2250"/>
      <c r="FY346" s="2250"/>
      <c r="FZ346" s="2250"/>
      <c r="GA346" s="2250"/>
      <c r="GB346" s="2276"/>
      <c r="GC346" s="2276"/>
      <c r="GD346" s="2250"/>
      <c r="GE346" s="2275"/>
      <c r="GF346" s="2275"/>
      <c r="GG346" s="284"/>
      <c r="GH346" s="284">
        <f>VLOOKUP(GH334,GH337:GH344,1)</f>
        <v>0</v>
      </c>
      <c r="GI346" s="284" t="e">
        <f>VLOOKUP(GH346,GH337:GI344,2,0)</f>
        <v>#N/A</v>
      </c>
      <c r="GJ346" s="284"/>
      <c r="GK346" s="1684"/>
      <c r="GL346" s="1684"/>
      <c r="GM346" s="1684"/>
      <c r="GN346" s="1684"/>
      <c r="GO346" s="2374"/>
      <c r="GP346" s="1684"/>
      <c r="GQ346" s="284"/>
      <c r="GR346" s="284">
        <f>VLOOKUP(GR334,GR337:GR344,1)</f>
        <v>0</v>
      </c>
      <c r="GS346" s="284" t="e">
        <f>VLOOKUP(GR346,GR337:GS344,2,0)</f>
        <v>#N/A</v>
      </c>
      <c r="GT346" s="284"/>
      <c r="GU346" s="1684"/>
      <c r="GV346" s="1684"/>
      <c r="GW346" s="1684"/>
      <c r="GX346" s="1684"/>
      <c r="GY346" s="1684"/>
      <c r="GZ346" s="1684"/>
      <c r="HA346" s="284"/>
      <c r="HB346" s="284">
        <f>VLOOKUP(HB334,HB337:HB344,1)</f>
        <v>0</v>
      </c>
      <c r="HC346" s="284" t="e">
        <f>VLOOKUP(HB346,HB337:HC344,2,0)</f>
        <v>#N/A</v>
      </c>
      <c r="HD346" s="284"/>
      <c r="HE346" s="1684"/>
      <c r="HF346" s="1684"/>
      <c r="HG346" s="1684"/>
      <c r="HH346" s="1684"/>
      <c r="HI346" s="1684"/>
      <c r="HJ346" s="1684"/>
      <c r="HK346" s="284"/>
      <c r="HL346" s="284">
        <f>VLOOKUP(HL334,HL337:HL344,1)</f>
        <v>0</v>
      </c>
      <c r="HM346" s="284" t="e">
        <f>VLOOKUP(HL346,HL337:HM344,2,0)</f>
        <v>#N/A</v>
      </c>
      <c r="HN346" s="284"/>
      <c r="HO346" s="1684"/>
      <c r="HP346" s="1684"/>
      <c r="HQ346" s="1684"/>
      <c r="HR346" s="1684"/>
      <c r="HS346" s="2275"/>
      <c r="HT346" s="2275"/>
      <c r="HU346" s="2250"/>
      <c r="HV346" s="2250"/>
      <c r="HW346" s="2250"/>
      <c r="HX346" s="2250"/>
      <c r="HY346" s="2250"/>
      <c r="HZ346" s="2250"/>
      <c r="IA346" s="2250"/>
      <c r="IB346" s="2250"/>
      <c r="IC346" s="2250"/>
      <c r="ID346" s="2250"/>
      <c r="IE346" s="2250"/>
      <c r="IF346" s="2250"/>
      <c r="IG346" s="2250"/>
      <c r="IH346" s="2250"/>
      <c r="II346" s="2250"/>
      <c r="IJ346" s="2250"/>
      <c r="IK346" s="2250"/>
      <c r="IL346" s="2250"/>
      <c r="IN346" s="277"/>
      <c r="IO346" s="277"/>
    </row>
    <row r="347" spans="1:249" ht="21.95" customHeight="1" thickBot="1">
      <c r="A347" s="2275"/>
      <c r="B347" s="284"/>
      <c r="C347" s="284">
        <f>IFERROR(VLOOKUP(C334,C337:C344,1,0),0)</f>
        <v>0</v>
      </c>
      <c r="D347" s="2322" t="e">
        <f>IF(C347&gt;0,C347,D346)</f>
        <v>#N/A</v>
      </c>
      <c r="E347" s="2322" t="e">
        <f>VLOOKUP(D347,D337:E344,2,0)</f>
        <v>#N/A</v>
      </c>
      <c r="F347" s="1684"/>
      <c r="G347" s="1684"/>
      <c r="H347" s="1684"/>
      <c r="I347" s="1684"/>
      <c r="J347" s="2374"/>
      <c r="K347" s="1684"/>
      <c r="L347" s="284"/>
      <c r="M347" s="284">
        <f>IFERROR(VLOOKUP(M334,M337:M344,1,0),0)</f>
        <v>0</v>
      </c>
      <c r="N347" s="2322" t="e">
        <f>IF(M347&gt;0,M347,N346)</f>
        <v>#N/A</v>
      </c>
      <c r="O347" s="2322" t="e">
        <f>VLOOKUP(N347,N337:O344,2,0)</f>
        <v>#N/A</v>
      </c>
      <c r="P347" s="1684"/>
      <c r="Q347" s="1684"/>
      <c r="R347" s="1684"/>
      <c r="S347" s="1684"/>
      <c r="T347" s="1684"/>
      <c r="U347" s="1684"/>
      <c r="V347" s="284"/>
      <c r="W347" s="284">
        <f>IFERROR(VLOOKUP(W334,W337:W344,1,0),0)</f>
        <v>0</v>
      </c>
      <c r="X347" s="2322" t="e">
        <f>IF(W347&gt;0,W347,X346)</f>
        <v>#N/A</v>
      </c>
      <c r="Y347" s="2322" t="e">
        <f>VLOOKUP(X347,X337:Y344,2,0)</f>
        <v>#N/A</v>
      </c>
      <c r="Z347" s="1684"/>
      <c r="AA347" s="1684"/>
      <c r="AB347" s="1684"/>
      <c r="AC347" s="1684"/>
      <c r="AD347" s="1684"/>
      <c r="AE347" s="1684"/>
      <c r="AF347" s="284"/>
      <c r="AG347" s="284">
        <f>IFERROR(VLOOKUP(AG334,AG337:AG344,1,0),0)</f>
        <v>0</v>
      </c>
      <c r="AH347" s="2322" t="e">
        <f>IF(AG347&gt;0,AG347,AH346)</f>
        <v>#N/A</v>
      </c>
      <c r="AI347" s="2322" t="e">
        <f>VLOOKUP(AH347,AH337:AI344,2,0)</f>
        <v>#N/A</v>
      </c>
      <c r="AJ347" s="1684"/>
      <c r="AK347" s="1684"/>
      <c r="AL347" s="1684"/>
      <c r="AM347" s="1684"/>
      <c r="AN347" s="2275"/>
      <c r="AO347" s="2275"/>
      <c r="AP347" s="2250"/>
      <c r="AQ347" s="2250"/>
      <c r="AR347" s="2250"/>
      <c r="AS347" s="2250"/>
      <c r="AT347" s="2250"/>
      <c r="AU347" s="2250"/>
      <c r="AV347" s="2250"/>
      <c r="AW347" s="2250"/>
      <c r="AX347" s="2250"/>
      <c r="AY347" s="2250"/>
      <c r="AZ347" s="2250"/>
      <c r="BA347" s="2250"/>
      <c r="BB347" s="2250"/>
      <c r="BC347" s="2250"/>
      <c r="BD347" s="2250"/>
      <c r="BE347" s="2250"/>
      <c r="BF347" s="2276"/>
      <c r="BG347" s="2276"/>
      <c r="BH347" s="2250"/>
      <c r="BI347" s="2275"/>
      <c r="BJ347" s="2275"/>
      <c r="BK347" s="284"/>
      <c r="BL347" s="284">
        <f>IFERROR(VLOOKUP(BL334,BL337:BL344,1,0),0)</f>
        <v>0</v>
      </c>
      <c r="BM347" s="2322" t="e">
        <f>IF(BL347&gt;0,BL347,BM346)</f>
        <v>#N/A</v>
      </c>
      <c r="BN347" s="2322" t="e">
        <f>VLOOKUP(BM347,BM337:BN344,2,0)</f>
        <v>#N/A</v>
      </c>
      <c r="BO347" s="1684"/>
      <c r="BP347" s="1684"/>
      <c r="BQ347" s="1684"/>
      <c r="BR347" s="1684"/>
      <c r="BS347" s="2374"/>
      <c r="BT347" s="1684"/>
      <c r="BU347" s="284"/>
      <c r="BV347" s="284">
        <f>IFERROR(VLOOKUP(BV334,BV337:BV344,1,0),0)</f>
        <v>0</v>
      </c>
      <c r="BW347" s="2322" t="e">
        <f>IF(BV347&gt;0,BV347,BW346)</f>
        <v>#N/A</v>
      </c>
      <c r="BX347" s="2322" t="e">
        <f>VLOOKUP(BW347,BW337:BX344,2,0)</f>
        <v>#N/A</v>
      </c>
      <c r="BY347" s="1684"/>
      <c r="BZ347" s="1684"/>
      <c r="CA347" s="1684"/>
      <c r="CB347" s="1684"/>
      <c r="CC347" s="1684"/>
      <c r="CD347" s="1684"/>
      <c r="CE347" s="284"/>
      <c r="CF347" s="284">
        <f>IFERROR(VLOOKUP(CF334,CF337:CF344,1,0),0)</f>
        <v>0</v>
      </c>
      <c r="CG347" s="2322" t="e">
        <f>IF(CF347&gt;0,CF347,CG346)</f>
        <v>#N/A</v>
      </c>
      <c r="CH347" s="2322" t="e">
        <f>VLOOKUP(CG347,CG337:CH344,2,0)</f>
        <v>#N/A</v>
      </c>
      <c r="CI347" s="1684"/>
      <c r="CJ347" s="1684"/>
      <c r="CK347" s="1684"/>
      <c r="CL347" s="1684"/>
      <c r="CM347" s="1684"/>
      <c r="CN347" s="1684"/>
      <c r="CO347" s="284"/>
      <c r="CP347" s="284">
        <f>IFERROR(VLOOKUP(CP334,CP337:CP344,1,0),0)</f>
        <v>0</v>
      </c>
      <c r="CQ347" s="2322" t="e">
        <f>IF(CP347&gt;0,CP347,CQ346)</f>
        <v>#N/A</v>
      </c>
      <c r="CR347" s="2322" t="e">
        <f>VLOOKUP(CQ347,CQ337:CR344,2,0)</f>
        <v>#N/A</v>
      </c>
      <c r="CS347" s="1684"/>
      <c r="CT347" s="1684"/>
      <c r="CU347" s="1684"/>
      <c r="CV347" s="1684"/>
      <c r="CW347" s="2275"/>
      <c r="CX347" s="2275"/>
      <c r="CY347" s="2250"/>
      <c r="CZ347" s="2250"/>
      <c r="DA347" s="2250"/>
      <c r="DB347" s="2250"/>
      <c r="DC347" s="2250"/>
      <c r="DD347" s="2250"/>
      <c r="DE347" s="2250"/>
      <c r="DF347" s="2250"/>
      <c r="DG347" s="2250"/>
      <c r="DH347" s="2250"/>
      <c r="DI347" s="2250"/>
      <c r="DJ347" s="2250"/>
      <c r="DK347" s="2250"/>
      <c r="DL347" s="2250"/>
      <c r="DM347" s="2250"/>
      <c r="DN347" s="2250"/>
      <c r="DO347" s="2250"/>
      <c r="DP347" s="2250"/>
      <c r="DQ347" s="2277"/>
      <c r="DR347" s="2277"/>
      <c r="DS347" s="277"/>
      <c r="DW347" s="2275"/>
      <c r="DX347" s="284"/>
      <c r="DY347" s="284">
        <f>IFERROR(VLOOKUP(DY334,DY337:DY344,1,0),0)</f>
        <v>0</v>
      </c>
      <c r="DZ347" s="2322" t="e">
        <f>IF(DY347&gt;0,DY347,DZ346)</f>
        <v>#N/A</v>
      </c>
      <c r="EA347" s="2322" t="e">
        <f>VLOOKUP(DZ347,DZ337:EA344,2,0)</f>
        <v>#N/A</v>
      </c>
      <c r="EB347" s="1684"/>
      <c r="EC347" s="1684"/>
      <c r="ED347" s="1684"/>
      <c r="EE347" s="1684"/>
      <c r="EF347" s="2374"/>
      <c r="EG347" s="1684"/>
      <c r="EH347" s="284"/>
      <c r="EI347" s="284">
        <f>IFERROR(VLOOKUP(EI334,EI337:EI344,1,0),0)</f>
        <v>0</v>
      </c>
      <c r="EJ347" s="2322" t="e">
        <f>IF(EI347&gt;0,EI347,EJ346)</f>
        <v>#N/A</v>
      </c>
      <c r="EK347" s="2322" t="e">
        <f>VLOOKUP(EJ347,EJ337:EK344,2,0)</f>
        <v>#N/A</v>
      </c>
      <c r="EL347" s="1684"/>
      <c r="EM347" s="1684"/>
      <c r="EN347" s="1684"/>
      <c r="EO347" s="1684"/>
      <c r="EP347" s="1684"/>
      <c r="EQ347" s="1684"/>
      <c r="ER347" s="284"/>
      <c r="ES347" s="284">
        <f>IFERROR(VLOOKUP(ES334,ES337:ES344,1,0),0)</f>
        <v>0</v>
      </c>
      <c r="ET347" s="2322" t="e">
        <f>IF(ES347&gt;0,ES347,ET346)</f>
        <v>#N/A</v>
      </c>
      <c r="EU347" s="2322" t="e">
        <f>VLOOKUP(ET347,ET337:EU344,2,0)</f>
        <v>#N/A</v>
      </c>
      <c r="EV347" s="1684"/>
      <c r="EW347" s="1684"/>
      <c r="EX347" s="1684"/>
      <c r="EY347" s="1684"/>
      <c r="EZ347" s="1684"/>
      <c r="FA347" s="1684"/>
      <c r="FB347" s="284"/>
      <c r="FC347" s="284">
        <f>IFERROR(VLOOKUP(FC334,FC337:FC344,1,0),0)</f>
        <v>0</v>
      </c>
      <c r="FD347" s="2322" t="e">
        <f>IF(FC347&gt;0,FC347,FD346)</f>
        <v>#N/A</v>
      </c>
      <c r="FE347" s="2322" t="e">
        <f>VLOOKUP(FD347,FD337:FE344,2,0)</f>
        <v>#N/A</v>
      </c>
      <c r="FF347" s="1684"/>
      <c r="FG347" s="1684"/>
      <c r="FH347" s="1684"/>
      <c r="FI347" s="1684"/>
      <c r="FJ347" s="2275"/>
      <c r="FK347" s="2275"/>
      <c r="FL347" s="2250"/>
      <c r="FM347" s="2250"/>
      <c r="FN347" s="2250"/>
      <c r="FO347" s="2250"/>
      <c r="FP347" s="2250"/>
      <c r="FQ347" s="2250"/>
      <c r="FR347" s="2250"/>
      <c r="FS347" s="2250"/>
      <c r="FT347" s="2250"/>
      <c r="FU347" s="2250"/>
      <c r="FV347" s="2250"/>
      <c r="FW347" s="2250"/>
      <c r="FX347" s="2250"/>
      <c r="FY347" s="2250"/>
      <c r="FZ347" s="2250"/>
      <c r="GA347" s="2250"/>
      <c r="GB347" s="2276"/>
      <c r="GC347" s="2276"/>
      <c r="GD347" s="2250"/>
      <c r="GE347" s="2275"/>
      <c r="GF347" s="2275"/>
      <c r="GG347" s="284"/>
      <c r="GH347" s="284">
        <f>IFERROR(VLOOKUP(GH334,GH337:GH344,1,0),0)</f>
        <v>0</v>
      </c>
      <c r="GI347" s="2322" t="e">
        <f>IF(GH347&gt;0,GH347,GI346)</f>
        <v>#N/A</v>
      </c>
      <c r="GJ347" s="2322" t="e">
        <f>VLOOKUP(GI347,GI337:GJ344,2,0)</f>
        <v>#N/A</v>
      </c>
      <c r="GK347" s="1684"/>
      <c r="GL347" s="1684"/>
      <c r="GM347" s="1684"/>
      <c r="GN347" s="1684"/>
      <c r="GO347" s="2374"/>
      <c r="GP347" s="1684"/>
      <c r="GQ347" s="284"/>
      <c r="GR347" s="284">
        <f>IFERROR(VLOOKUP(GR334,GR337:GR344,1,0),0)</f>
        <v>0</v>
      </c>
      <c r="GS347" s="2322" t="e">
        <f>IF(GR347&gt;0,GR347,GS346)</f>
        <v>#N/A</v>
      </c>
      <c r="GT347" s="2322" t="e">
        <f>VLOOKUP(GS347,GS337:GT344,2,0)</f>
        <v>#N/A</v>
      </c>
      <c r="GU347" s="1684"/>
      <c r="GV347" s="1684"/>
      <c r="GW347" s="1684"/>
      <c r="GX347" s="1684"/>
      <c r="GY347" s="1684"/>
      <c r="GZ347" s="1684"/>
      <c r="HA347" s="284"/>
      <c r="HB347" s="284">
        <f>IFERROR(VLOOKUP(HB334,HB337:HB344,1,0),0)</f>
        <v>0</v>
      </c>
      <c r="HC347" s="2322" t="e">
        <f>IF(HB347&gt;0,HB347,HC346)</f>
        <v>#N/A</v>
      </c>
      <c r="HD347" s="2322" t="e">
        <f>VLOOKUP(HC347,HC337:HD344,2,0)</f>
        <v>#N/A</v>
      </c>
      <c r="HE347" s="1684"/>
      <c r="HF347" s="1684"/>
      <c r="HG347" s="1684"/>
      <c r="HH347" s="1684"/>
      <c r="HI347" s="1684"/>
      <c r="HJ347" s="1684"/>
      <c r="HK347" s="284"/>
      <c r="HL347" s="284">
        <f>IFERROR(VLOOKUP(HL334,HL337:HL344,1,0),0)</f>
        <v>0</v>
      </c>
      <c r="HM347" s="2322" t="e">
        <f>IF(HL347&gt;0,HL347,HM346)</f>
        <v>#N/A</v>
      </c>
      <c r="HN347" s="2322" t="e">
        <f>VLOOKUP(HM347,HM337:HN344,2,0)</f>
        <v>#N/A</v>
      </c>
      <c r="HO347" s="1684"/>
      <c r="HP347" s="1684"/>
      <c r="HQ347" s="1684"/>
      <c r="HR347" s="1684"/>
      <c r="HS347" s="2275"/>
      <c r="HT347" s="2275"/>
      <c r="HU347" s="2250"/>
      <c r="HV347" s="2250"/>
      <c r="HW347" s="2250"/>
      <c r="HX347" s="2250"/>
      <c r="HY347" s="2250"/>
      <c r="HZ347" s="2250"/>
      <c r="IA347" s="2250"/>
      <c r="IB347" s="2250"/>
      <c r="IC347" s="2250"/>
      <c r="ID347" s="2250"/>
      <c r="IE347" s="2250"/>
      <c r="IF347" s="2250"/>
      <c r="IG347" s="2250"/>
      <c r="IH347" s="2250"/>
      <c r="II347" s="2250"/>
      <c r="IJ347" s="2250"/>
      <c r="IK347" s="2250"/>
      <c r="IL347" s="2250"/>
      <c r="IN347" s="277"/>
      <c r="IO347" s="277"/>
    </row>
    <row r="348" spans="1:249" ht="21.95" customHeight="1" thickBot="1">
      <c r="A348" s="2275"/>
      <c r="B348" s="2382" t="s">
        <v>714</v>
      </c>
      <c r="C348" s="2383"/>
      <c r="D348" s="2383" t="e">
        <f>D347</f>
        <v>#N/A</v>
      </c>
      <c r="E348" s="2384" t="e">
        <f>E347</f>
        <v>#N/A</v>
      </c>
      <c r="F348" s="1684"/>
      <c r="G348" s="1684"/>
      <c r="H348" s="1684"/>
      <c r="I348" s="1684"/>
      <c r="J348" s="2374"/>
      <c r="K348" s="1684"/>
      <c r="L348" s="2382" t="s">
        <v>714</v>
      </c>
      <c r="M348" s="2383"/>
      <c r="N348" s="2383" t="e">
        <f>N347</f>
        <v>#N/A</v>
      </c>
      <c r="O348" s="2384" t="e">
        <f>O347</f>
        <v>#N/A</v>
      </c>
      <c r="P348" s="1684"/>
      <c r="Q348" s="1684"/>
      <c r="R348" s="1684"/>
      <c r="S348" s="1684"/>
      <c r="T348" s="1684"/>
      <c r="U348" s="1684"/>
      <c r="V348" s="2382" t="s">
        <v>714</v>
      </c>
      <c r="W348" s="2383"/>
      <c r="X348" s="2383" t="e">
        <f>X347</f>
        <v>#N/A</v>
      </c>
      <c r="Y348" s="2384" t="e">
        <f>Y347</f>
        <v>#N/A</v>
      </c>
      <c r="Z348" s="1684"/>
      <c r="AA348" s="1684"/>
      <c r="AB348" s="1684"/>
      <c r="AC348" s="1684"/>
      <c r="AD348" s="1684"/>
      <c r="AE348" s="1684"/>
      <c r="AF348" s="2382" t="s">
        <v>714</v>
      </c>
      <c r="AG348" s="2383"/>
      <c r="AH348" s="2383" t="e">
        <f>AH347</f>
        <v>#N/A</v>
      </c>
      <c r="AI348" s="2384" t="e">
        <f>AI347</f>
        <v>#N/A</v>
      </c>
      <c r="AJ348" s="1684"/>
      <c r="AK348" s="1684"/>
      <c r="AL348" s="1684"/>
      <c r="AM348" s="1684"/>
      <c r="AN348" s="2275"/>
      <c r="AO348" s="2275"/>
      <c r="AP348" s="2250"/>
      <c r="AQ348" s="2250"/>
      <c r="AR348" s="2250"/>
      <c r="AS348" s="2250"/>
      <c r="AT348" s="2250"/>
      <c r="AU348" s="2250"/>
      <c r="AV348" s="2250"/>
      <c r="AW348" s="2250"/>
      <c r="AX348" s="2250"/>
      <c r="AY348" s="2250"/>
      <c r="AZ348" s="2250"/>
      <c r="BA348" s="2250"/>
      <c r="BB348" s="2250"/>
      <c r="BC348" s="2250"/>
      <c r="BD348" s="2250"/>
      <c r="BE348" s="2250"/>
      <c r="BF348" s="2276"/>
      <c r="BG348" s="2276"/>
      <c r="BH348" s="2250"/>
      <c r="BI348" s="2275"/>
      <c r="BJ348" s="2275"/>
      <c r="BK348" s="2382" t="s">
        <v>714</v>
      </c>
      <c r="BL348" s="2383"/>
      <c r="BM348" s="2383" t="e">
        <f>BM347</f>
        <v>#N/A</v>
      </c>
      <c r="BN348" s="2384" t="e">
        <f>BN347</f>
        <v>#N/A</v>
      </c>
      <c r="BO348" s="1684"/>
      <c r="BP348" s="1684"/>
      <c r="BQ348" s="1684"/>
      <c r="BR348" s="1684"/>
      <c r="BS348" s="2374"/>
      <c r="BT348" s="1684"/>
      <c r="BU348" s="2382" t="s">
        <v>714</v>
      </c>
      <c r="BV348" s="2383"/>
      <c r="BW348" s="2383" t="e">
        <f>BW347</f>
        <v>#N/A</v>
      </c>
      <c r="BX348" s="2384" t="e">
        <f>BX347</f>
        <v>#N/A</v>
      </c>
      <c r="BY348" s="1684"/>
      <c r="BZ348" s="1684"/>
      <c r="CA348" s="1684"/>
      <c r="CB348" s="1684"/>
      <c r="CC348" s="1684"/>
      <c r="CD348" s="1684"/>
      <c r="CE348" s="2382" t="s">
        <v>714</v>
      </c>
      <c r="CF348" s="2383"/>
      <c r="CG348" s="2383" t="e">
        <f>CG347</f>
        <v>#N/A</v>
      </c>
      <c r="CH348" s="2384" t="e">
        <f>CH347</f>
        <v>#N/A</v>
      </c>
      <c r="CI348" s="1684"/>
      <c r="CJ348" s="1684"/>
      <c r="CK348" s="1684"/>
      <c r="CL348" s="1684"/>
      <c r="CM348" s="1684"/>
      <c r="CN348" s="1684"/>
      <c r="CO348" s="2382" t="s">
        <v>714</v>
      </c>
      <c r="CP348" s="2383"/>
      <c r="CQ348" s="2383" t="e">
        <f>CQ347</f>
        <v>#N/A</v>
      </c>
      <c r="CR348" s="2384" t="e">
        <f>CR347</f>
        <v>#N/A</v>
      </c>
      <c r="CS348" s="1684"/>
      <c r="CT348" s="1684"/>
      <c r="CU348" s="1684"/>
      <c r="CV348" s="1684"/>
      <c r="CW348" s="2275"/>
      <c r="CX348" s="2275"/>
      <c r="CY348" s="2250"/>
      <c r="CZ348" s="2250"/>
      <c r="DA348" s="2250"/>
      <c r="DB348" s="2250"/>
      <c r="DC348" s="2250"/>
      <c r="DD348" s="2250"/>
      <c r="DE348" s="2250"/>
      <c r="DF348" s="2250"/>
      <c r="DG348" s="2250"/>
      <c r="DH348" s="2250"/>
      <c r="DI348" s="2250"/>
      <c r="DJ348" s="2250"/>
      <c r="DK348" s="2250"/>
      <c r="DL348" s="2250"/>
      <c r="DM348" s="2250"/>
      <c r="DN348" s="2250"/>
      <c r="DO348" s="2250"/>
      <c r="DP348" s="2250"/>
      <c r="DQ348" s="2277"/>
      <c r="DR348" s="2277"/>
      <c r="DS348" s="277"/>
      <c r="DW348" s="2275"/>
      <c r="DX348" s="2382" t="s">
        <v>714</v>
      </c>
      <c r="DY348" s="2383"/>
      <c r="DZ348" s="2383" t="e">
        <f>DZ347</f>
        <v>#N/A</v>
      </c>
      <c r="EA348" s="2384" t="e">
        <f>EA347</f>
        <v>#N/A</v>
      </c>
      <c r="EB348" s="1684"/>
      <c r="EC348" s="1684"/>
      <c r="ED348" s="1684"/>
      <c r="EE348" s="1684"/>
      <c r="EF348" s="2374"/>
      <c r="EG348" s="1684"/>
      <c r="EH348" s="2382" t="s">
        <v>714</v>
      </c>
      <c r="EI348" s="2383"/>
      <c r="EJ348" s="2383" t="e">
        <f>EJ347</f>
        <v>#N/A</v>
      </c>
      <c r="EK348" s="2384" t="e">
        <f>EK347</f>
        <v>#N/A</v>
      </c>
      <c r="EL348" s="1684"/>
      <c r="EM348" s="1684"/>
      <c r="EN348" s="1684"/>
      <c r="EO348" s="1684"/>
      <c r="EP348" s="1684"/>
      <c r="EQ348" s="1684"/>
      <c r="ER348" s="2382" t="s">
        <v>714</v>
      </c>
      <c r="ES348" s="2383"/>
      <c r="ET348" s="2383" t="e">
        <f>ET347</f>
        <v>#N/A</v>
      </c>
      <c r="EU348" s="2384" t="e">
        <f>EU347</f>
        <v>#N/A</v>
      </c>
      <c r="EV348" s="1684"/>
      <c r="EW348" s="1684"/>
      <c r="EX348" s="1684"/>
      <c r="EY348" s="1684"/>
      <c r="EZ348" s="1684"/>
      <c r="FA348" s="1684"/>
      <c r="FB348" s="2382" t="s">
        <v>714</v>
      </c>
      <c r="FC348" s="2383"/>
      <c r="FD348" s="2383" t="e">
        <f>FD347</f>
        <v>#N/A</v>
      </c>
      <c r="FE348" s="2384" t="e">
        <f>FE347</f>
        <v>#N/A</v>
      </c>
      <c r="FF348" s="1684"/>
      <c r="FG348" s="1684"/>
      <c r="FH348" s="1684"/>
      <c r="FI348" s="1684"/>
      <c r="FJ348" s="2275"/>
      <c r="FK348" s="2275"/>
      <c r="FL348" s="2250"/>
      <c r="FM348" s="2250"/>
      <c r="FN348" s="2250"/>
      <c r="FO348" s="2250"/>
      <c r="FP348" s="2250"/>
      <c r="FQ348" s="2250"/>
      <c r="FR348" s="2250"/>
      <c r="FS348" s="2250"/>
      <c r="FT348" s="2250"/>
      <c r="FU348" s="2250"/>
      <c r="FV348" s="2250"/>
      <c r="FW348" s="2250"/>
      <c r="FX348" s="2250"/>
      <c r="FY348" s="2250"/>
      <c r="FZ348" s="2250"/>
      <c r="GA348" s="2250"/>
      <c r="GB348" s="2276"/>
      <c r="GC348" s="2276"/>
      <c r="GD348" s="2250"/>
      <c r="GE348" s="2275"/>
      <c r="GF348" s="2275"/>
      <c r="GG348" s="2382" t="s">
        <v>714</v>
      </c>
      <c r="GH348" s="2383"/>
      <c r="GI348" s="2383" t="e">
        <f>GI347</f>
        <v>#N/A</v>
      </c>
      <c r="GJ348" s="2384" t="e">
        <f>GJ347</f>
        <v>#N/A</v>
      </c>
      <c r="GK348" s="1684"/>
      <c r="GL348" s="1684"/>
      <c r="GM348" s="1684"/>
      <c r="GN348" s="1684"/>
      <c r="GO348" s="2374"/>
      <c r="GP348" s="1684"/>
      <c r="GQ348" s="2382" t="s">
        <v>714</v>
      </c>
      <c r="GR348" s="2383"/>
      <c r="GS348" s="2383" t="e">
        <f>GS347</f>
        <v>#N/A</v>
      </c>
      <c r="GT348" s="2384" t="e">
        <f>GT347</f>
        <v>#N/A</v>
      </c>
      <c r="GU348" s="1684"/>
      <c r="GV348" s="1684"/>
      <c r="GW348" s="1684"/>
      <c r="GX348" s="1684"/>
      <c r="GY348" s="1684"/>
      <c r="GZ348" s="1684"/>
      <c r="HA348" s="2382" t="s">
        <v>714</v>
      </c>
      <c r="HB348" s="2383"/>
      <c r="HC348" s="2383" t="e">
        <f>HC347</f>
        <v>#N/A</v>
      </c>
      <c r="HD348" s="2384" t="e">
        <f>HD347</f>
        <v>#N/A</v>
      </c>
      <c r="HE348" s="1684"/>
      <c r="HF348" s="1684"/>
      <c r="HG348" s="1684"/>
      <c r="HH348" s="1684"/>
      <c r="HI348" s="1684"/>
      <c r="HJ348" s="1684"/>
      <c r="HK348" s="2382" t="s">
        <v>714</v>
      </c>
      <c r="HL348" s="2383"/>
      <c r="HM348" s="2383" t="e">
        <f>HM347</f>
        <v>#N/A</v>
      </c>
      <c r="HN348" s="2384" t="e">
        <f>HN347</f>
        <v>#N/A</v>
      </c>
      <c r="HO348" s="1684"/>
      <c r="HP348" s="1684"/>
      <c r="HQ348" s="1684"/>
      <c r="HR348" s="1684"/>
      <c r="HS348" s="2275"/>
      <c r="HT348" s="2275"/>
      <c r="HU348" s="2250"/>
      <c r="HV348" s="2250"/>
      <c r="HW348" s="2250"/>
      <c r="HX348" s="2250"/>
      <c r="HY348" s="2250"/>
      <c r="HZ348" s="2250"/>
      <c r="IA348" s="2250"/>
      <c r="IB348" s="2250"/>
      <c r="IC348" s="2250"/>
      <c r="ID348" s="2250"/>
      <c r="IE348" s="2250"/>
      <c r="IF348" s="2250"/>
      <c r="IG348" s="2250"/>
      <c r="IH348" s="2250"/>
      <c r="II348" s="2250"/>
      <c r="IJ348" s="2250"/>
      <c r="IK348" s="2250"/>
      <c r="IL348" s="2250"/>
      <c r="IN348" s="277"/>
      <c r="IO348" s="277"/>
    </row>
    <row r="349" spans="1:249" ht="21.95" customHeight="1">
      <c r="A349" s="2275"/>
      <c r="B349" s="1684"/>
      <c r="C349" s="1684"/>
      <c r="D349" s="1684"/>
      <c r="E349" s="1684"/>
      <c r="F349" s="1684"/>
      <c r="G349" s="1684"/>
      <c r="H349" s="1684"/>
      <c r="I349" s="1684"/>
      <c r="J349" s="2374"/>
      <c r="K349" s="1684"/>
      <c r="L349" s="1684"/>
      <c r="M349" s="1684"/>
      <c r="N349" s="1684"/>
      <c r="O349" s="1684"/>
      <c r="P349" s="1684"/>
      <c r="Q349" s="1684"/>
      <c r="R349" s="1684"/>
      <c r="S349" s="1684"/>
      <c r="T349" s="1684"/>
      <c r="U349" s="1684"/>
      <c r="V349" s="1684"/>
      <c r="W349" s="1684"/>
      <c r="X349" s="1684"/>
      <c r="Y349" s="1684"/>
      <c r="Z349" s="1684"/>
      <c r="AA349" s="1684"/>
      <c r="AB349" s="1684"/>
      <c r="AC349" s="1684"/>
      <c r="AD349" s="1684"/>
      <c r="AE349" s="1684"/>
      <c r="AF349" s="1684"/>
      <c r="AG349" s="1684"/>
      <c r="AH349" s="1684"/>
      <c r="AI349" s="1684"/>
      <c r="AJ349" s="1684"/>
      <c r="AK349" s="1684"/>
      <c r="AL349" s="1684"/>
      <c r="AM349" s="1684"/>
      <c r="AN349" s="2275"/>
      <c r="AO349" s="2275"/>
      <c r="AP349" s="2250"/>
      <c r="AQ349" s="2250"/>
      <c r="AR349" s="2250"/>
      <c r="AS349" s="2250"/>
      <c r="AT349" s="2250"/>
      <c r="AU349" s="2250"/>
      <c r="AV349" s="2250"/>
      <c r="AW349" s="2250"/>
      <c r="AX349" s="2250"/>
      <c r="AY349" s="2250"/>
      <c r="AZ349" s="2250"/>
      <c r="BA349" s="2250"/>
      <c r="BB349" s="2250"/>
      <c r="BC349" s="2250"/>
      <c r="BD349" s="2250"/>
      <c r="BE349" s="2250"/>
      <c r="BF349" s="2276"/>
      <c r="BG349" s="2276"/>
      <c r="BH349" s="2250"/>
      <c r="BI349" s="2275"/>
      <c r="BJ349" s="2275"/>
      <c r="BK349" s="1684"/>
      <c r="BL349" s="1684"/>
      <c r="BM349" s="1684"/>
      <c r="BN349" s="1684"/>
      <c r="BO349" s="1684"/>
      <c r="BP349" s="1684"/>
      <c r="BQ349" s="1684"/>
      <c r="BR349" s="1684"/>
      <c r="BS349" s="2374"/>
      <c r="BT349" s="1684"/>
      <c r="BU349" s="1684"/>
      <c r="BV349" s="1684"/>
      <c r="BW349" s="1684"/>
      <c r="BX349" s="1684"/>
      <c r="BY349" s="1684"/>
      <c r="BZ349" s="1684"/>
      <c r="CA349" s="1684"/>
      <c r="CB349" s="1684"/>
      <c r="CC349" s="1684"/>
      <c r="CD349" s="1684"/>
      <c r="CE349" s="1684"/>
      <c r="CF349" s="1684"/>
      <c r="CG349" s="1684"/>
      <c r="CH349" s="1684"/>
      <c r="CI349" s="1684"/>
      <c r="CJ349" s="1684"/>
      <c r="CK349" s="1684"/>
      <c r="CL349" s="1684"/>
      <c r="CM349" s="1684"/>
      <c r="CN349" s="1684"/>
      <c r="CO349" s="1684"/>
      <c r="CP349" s="1684"/>
      <c r="CQ349" s="1684"/>
      <c r="CR349" s="1684"/>
      <c r="CS349" s="1684"/>
      <c r="CT349" s="1684"/>
      <c r="CU349" s="1684"/>
      <c r="CV349" s="1684"/>
      <c r="CW349" s="2275"/>
      <c r="CX349" s="2275"/>
      <c r="CY349" s="2250"/>
      <c r="CZ349" s="2250"/>
      <c r="DA349" s="2250"/>
      <c r="DB349" s="2250"/>
      <c r="DC349" s="2250"/>
      <c r="DD349" s="2250"/>
      <c r="DE349" s="2250"/>
      <c r="DF349" s="2250"/>
      <c r="DG349" s="2250"/>
      <c r="DH349" s="2250"/>
      <c r="DI349" s="2250"/>
      <c r="DJ349" s="2250"/>
      <c r="DK349" s="2250"/>
      <c r="DL349" s="2250"/>
      <c r="DM349" s="2250"/>
      <c r="DN349" s="2250"/>
      <c r="DO349" s="2250"/>
      <c r="DP349" s="2250"/>
      <c r="DQ349" s="2277"/>
      <c r="DR349" s="2277"/>
      <c r="DS349" s="277"/>
      <c r="DW349" s="2275"/>
      <c r="DX349" s="1684"/>
      <c r="DY349" s="1684"/>
      <c r="DZ349" s="1684"/>
      <c r="EA349" s="1684"/>
      <c r="EB349" s="1684"/>
      <c r="EC349" s="1684"/>
      <c r="ED349" s="1684"/>
      <c r="EE349" s="1684"/>
      <c r="EF349" s="2374"/>
      <c r="EG349" s="1684"/>
      <c r="EH349" s="1684"/>
      <c r="EI349" s="1684"/>
      <c r="EJ349" s="1684"/>
      <c r="EK349" s="1684"/>
      <c r="EL349" s="1684"/>
      <c r="EM349" s="1684"/>
      <c r="EN349" s="1684"/>
      <c r="EO349" s="1684"/>
      <c r="EP349" s="1684"/>
      <c r="EQ349" s="1684"/>
      <c r="ER349" s="1684"/>
      <c r="ES349" s="1684"/>
      <c r="ET349" s="1684"/>
      <c r="EU349" s="1684"/>
      <c r="EV349" s="1684"/>
      <c r="EW349" s="1684"/>
      <c r="EX349" s="1684"/>
      <c r="EY349" s="1684"/>
      <c r="EZ349" s="1684"/>
      <c r="FA349" s="1684"/>
      <c r="FB349" s="1684"/>
      <c r="FC349" s="1684"/>
      <c r="FD349" s="1684"/>
      <c r="FE349" s="1684"/>
      <c r="FF349" s="1684"/>
      <c r="FG349" s="1684"/>
      <c r="FH349" s="1684"/>
      <c r="FI349" s="1684"/>
      <c r="FJ349" s="2275"/>
      <c r="FK349" s="2275"/>
      <c r="FL349" s="2250"/>
      <c r="FM349" s="2250"/>
      <c r="FN349" s="2250"/>
      <c r="FO349" s="2250"/>
      <c r="FP349" s="2250"/>
      <c r="FQ349" s="2250"/>
      <c r="FR349" s="2250"/>
      <c r="FS349" s="2250"/>
      <c r="FT349" s="2250"/>
      <c r="FU349" s="2250"/>
      <c r="FV349" s="2250"/>
      <c r="FW349" s="2250"/>
      <c r="FX349" s="2250"/>
      <c r="FY349" s="2250"/>
      <c r="FZ349" s="2250"/>
      <c r="GA349" s="2250"/>
      <c r="GB349" s="2276"/>
      <c r="GC349" s="2276"/>
      <c r="GD349" s="2250"/>
      <c r="GE349" s="2275"/>
      <c r="GF349" s="2275"/>
      <c r="GG349" s="1684"/>
      <c r="GH349" s="1684"/>
      <c r="GI349" s="1684"/>
      <c r="GJ349" s="1684"/>
      <c r="GK349" s="1684"/>
      <c r="GL349" s="1684"/>
      <c r="GM349" s="1684"/>
      <c r="GN349" s="1684"/>
      <c r="GO349" s="2374"/>
      <c r="GP349" s="1684"/>
      <c r="GQ349" s="1684"/>
      <c r="GR349" s="1684"/>
      <c r="GS349" s="1684"/>
      <c r="GT349" s="1684"/>
      <c r="GU349" s="1684"/>
      <c r="GV349" s="1684"/>
      <c r="GW349" s="1684"/>
      <c r="GX349" s="1684"/>
      <c r="GY349" s="1684"/>
      <c r="GZ349" s="1684"/>
      <c r="HA349" s="1684"/>
      <c r="HB349" s="1684"/>
      <c r="HC349" s="1684"/>
      <c r="HD349" s="1684"/>
      <c r="HE349" s="1684"/>
      <c r="HF349" s="1684"/>
      <c r="HG349" s="1684"/>
      <c r="HH349" s="1684"/>
      <c r="HI349" s="1684"/>
      <c r="HJ349" s="1684"/>
      <c r="HK349" s="1684"/>
      <c r="HL349" s="1684"/>
      <c r="HM349" s="1684"/>
      <c r="HN349" s="1684"/>
      <c r="HO349" s="1684"/>
      <c r="HP349" s="1684"/>
      <c r="HQ349" s="1684"/>
      <c r="HR349" s="1684"/>
      <c r="HS349" s="2275"/>
      <c r="HT349" s="2275"/>
      <c r="HU349" s="2250"/>
      <c r="HV349" s="2250"/>
      <c r="HW349" s="2250"/>
      <c r="HX349" s="2250"/>
      <c r="HY349" s="2250"/>
      <c r="HZ349" s="2250"/>
      <c r="IA349" s="2250"/>
      <c r="IB349" s="2250"/>
      <c r="IC349" s="2250"/>
      <c r="ID349" s="2250"/>
      <c r="IE349" s="2250"/>
      <c r="IF349" s="2250"/>
      <c r="IG349" s="2250"/>
      <c r="IH349" s="2250"/>
      <c r="II349" s="2250"/>
      <c r="IJ349" s="2250"/>
      <c r="IK349" s="2250"/>
      <c r="IL349" s="2250"/>
      <c r="IN349" s="277"/>
      <c r="IO349" s="277"/>
    </row>
    <row r="350" spans="1:249" ht="21.95" customHeight="1">
      <c r="A350" s="2275"/>
      <c r="B350" s="2275"/>
      <c r="C350" s="2275"/>
      <c r="D350" s="2275"/>
      <c r="E350" s="2275"/>
      <c r="F350" s="2275"/>
      <c r="G350" s="2275"/>
      <c r="H350" s="2275"/>
      <c r="I350" s="2275"/>
      <c r="J350" s="2275"/>
      <c r="K350" s="2275"/>
      <c r="L350" s="2275"/>
      <c r="M350" s="2275"/>
      <c r="N350" s="2275"/>
      <c r="O350" s="2275"/>
      <c r="P350" s="2275"/>
      <c r="Q350" s="2275"/>
      <c r="R350" s="2275"/>
      <c r="S350" s="2275"/>
      <c r="T350" s="2275"/>
      <c r="U350" s="2275"/>
      <c r="V350" s="2275"/>
      <c r="W350" s="2275"/>
      <c r="X350" s="2275"/>
      <c r="Y350" s="2275"/>
      <c r="Z350" s="2275"/>
      <c r="AA350" s="2275"/>
      <c r="AB350" s="2275"/>
      <c r="AC350" s="2275"/>
      <c r="AD350" s="2275"/>
      <c r="AE350" s="2275"/>
      <c r="AF350" s="2275"/>
      <c r="AG350" s="2275"/>
      <c r="AH350" s="2275"/>
      <c r="AI350" s="2275"/>
      <c r="AJ350" s="2275"/>
      <c r="AK350" s="2275"/>
      <c r="AL350" s="2275"/>
      <c r="AM350" s="2275"/>
      <c r="AN350" s="2275"/>
      <c r="AO350" s="2275"/>
      <c r="AP350" s="2250"/>
      <c r="AQ350" s="2250"/>
      <c r="AR350" s="2250"/>
      <c r="AS350" s="2250"/>
      <c r="AT350" s="2250"/>
      <c r="AU350" s="2250"/>
      <c r="AV350" s="2250"/>
      <c r="AW350" s="2250"/>
      <c r="AX350" s="2250"/>
      <c r="AY350" s="2250"/>
      <c r="AZ350" s="2250"/>
      <c r="BA350" s="2250"/>
      <c r="BB350" s="2250"/>
      <c r="BC350" s="2250"/>
      <c r="BD350" s="2250"/>
      <c r="BE350" s="2250"/>
      <c r="BF350" s="2276"/>
      <c r="BG350" s="2276"/>
      <c r="BH350" s="2250"/>
      <c r="BI350" s="2275"/>
      <c r="BJ350" s="2275"/>
      <c r="BK350" s="2275"/>
      <c r="BL350" s="2275"/>
      <c r="BM350" s="2275"/>
      <c r="BN350" s="2275"/>
      <c r="BO350" s="2275"/>
      <c r="BP350" s="2275"/>
      <c r="BQ350" s="2275"/>
      <c r="BR350" s="2275"/>
      <c r="BS350" s="2275"/>
      <c r="BT350" s="2275"/>
      <c r="BU350" s="2275"/>
      <c r="BV350" s="2275"/>
      <c r="BW350" s="2275"/>
      <c r="BX350" s="2275"/>
      <c r="BY350" s="2275"/>
      <c r="BZ350" s="2275"/>
      <c r="CA350" s="2275"/>
      <c r="CB350" s="2275"/>
      <c r="CC350" s="2275"/>
      <c r="CD350" s="2275"/>
      <c r="CE350" s="2275"/>
      <c r="CF350" s="2275"/>
      <c r="CG350" s="2275"/>
      <c r="CH350" s="2275"/>
      <c r="CI350" s="2275"/>
      <c r="CJ350" s="2275"/>
      <c r="CK350" s="2275"/>
      <c r="CL350" s="2275"/>
      <c r="CM350" s="2275"/>
      <c r="CN350" s="2275"/>
      <c r="CO350" s="2275"/>
      <c r="CP350" s="2275"/>
      <c r="CQ350" s="2275"/>
      <c r="CR350" s="2275"/>
      <c r="CS350" s="2275"/>
      <c r="CT350" s="2275"/>
      <c r="CU350" s="2275"/>
      <c r="CV350" s="2275"/>
      <c r="CW350" s="2275"/>
      <c r="CX350" s="2275"/>
      <c r="CY350" s="2250"/>
      <c r="CZ350" s="2250"/>
      <c r="DA350" s="2250"/>
      <c r="DB350" s="2250"/>
      <c r="DC350" s="2250"/>
      <c r="DD350" s="2250"/>
      <c r="DE350" s="2250"/>
      <c r="DF350" s="2250"/>
      <c r="DG350" s="2250"/>
      <c r="DH350" s="2250"/>
      <c r="DI350" s="2250"/>
      <c r="DJ350" s="2250"/>
      <c r="DK350" s="2250"/>
      <c r="DL350" s="2250"/>
      <c r="DM350" s="2250"/>
      <c r="DN350" s="2250"/>
      <c r="DO350" s="2250"/>
      <c r="DP350" s="2250"/>
      <c r="DQ350" s="2277"/>
      <c r="DR350" s="2277"/>
      <c r="DS350" s="277"/>
      <c r="DW350" s="2275"/>
      <c r="DX350" s="2275"/>
      <c r="DY350" s="2275"/>
      <c r="DZ350" s="2275"/>
      <c r="EA350" s="2275"/>
      <c r="EB350" s="2275"/>
      <c r="EC350" s="2275"/>
      <c r="ED350" s="2275"/>
      <c r="EE350" s="2275"/>
      <c r="EF350" s="2275"/>
      <c r="EG350" s="2275"/>
      <c r="EH350" s="2275"/>
      <c r="EI350" s="2275"/>
      <c r="EJ350" s="2275"/>
      <c r="EK350" s="2275"/>
      <c r="EL350" s="2275"/>
      <c r="EM350" s="2275"/>
      <c r="EN350" s="2275"/>
      <c r="EO350" s="2275"/>
      <c r="EP350" s="2275"/>
      <c r="EQ350" s="2275"/>
      <c r="ER350" s="2275"/>
      <c r="ES350" s="2275"/>
      <c r="ET350" s="2275"/>
      <c r="EU350" s="2275"/>
      <c r="EV350" s="2275"/>
      <c r="EW350" s="2275"/>
      <c r="EX350" s="2275"/>
      <c r="EY350" s="2275"/>
      <c r="EZ350" s="2275"/>
      <c r="FA350" s="2275"/>
      <c r="FB350" s="2275"/>
      <c r="FC350" s="2275"/>
      <c r="FD350" s="2275"/>
      <c r="FE350" s="2275"/>
      <c r="FF350" s="2275"/>
      <c r="FG350" s="2275"/>
      <c r="FH350" s="2275"/>
      <c r="FI350" s="2275"/>
      <c r="FJ350" s="2275"/>
      <c r="FK350" s="2275"/>
      <c r="FL350" s="2250"/>
      <c r="FM350" s="2250"/>
      <c r="FN350" s="2250"/>
      <c r="FO350" s="2250"/>
      <c r="FP350" s="2250"/>
      <c r="FQ350" s="2250"/>
      <c r="FR350" s="2250"/>
      <c r="FS350" s="2250"/>
      <c r="FT350" s="2250"/>
      <c r="FU350" s="2250"/>
      <c r="FV350" s="2250"/>
      <c r="FW350" s="2250"/>
      <c r="FX350" s="2250"/>
      <c r="FY350" s="2250"/>
      <c r="FZ350" s="2250"/>
      <c r="GA350" s="2250"/>
      <c r="GB350" s="2276"/>
      <c r="GC350" s="2276"/>
      <c r="GD350" s="2250"/>
      <c r="GE350" s="2275"/>
      <c r="GF350" s="2275"/>
      <c r="GG350" s="2275"/>
      <c r="GH350" s="2275"/>
      <c r="GI350" s="2275"/>
      <c r="GJ350" s="2275"/>
      <c r="GK350" s="2275"/>
      <c r="GL350" s="2275"/>
      <c r="GM350" s="2275"/>
      <c r="GN350" s="2275"/>
      <c r="GO350" s="2275"/>
      <c r="GP350" s="2275"/>
      <c r="GQ350" s="2275"/>
      <c r="GR350" s="2275"/>
      <c r="GS350" s="2275"/>
      <c r="GT350" s="2275"/>
      <c r="GU350" s="2275"/>
      <c r="GV350" s="2275"/>
      <c r="GW350" s="2275"/>
      <c r="GX350" s="2275"/>
      <c r="GY350" s="2275"/>
      <c r="GZ350" s="2275"/>
      <c r="HA350" s="2275"/>
      <c r="HB350" s="2275"/>
      <c r="HC350" s="2275"/>
      <c r="HD350" s="2275"/>
      <c r="HE350" s="2275"/>
      <c r="HF350" s="2275"/>
      <c r="HG350" s="2275"/>
      <c r="HH350" s="2275"/>
      <c r="HI350" s="2275"/>
      <c r="HJ350" s="2275"/>
      <c r="HK350" s="2275"/>
      <c r="HL350" s="2275"/>
      <c r="HM350" s="2275"/>
      <c r="HN350" s="2275"/>
      <c r="HO350" s="2275"/>
      <c r="HP350" s="2275"/>
      <c r="HQ350" s="2275"/>
      <c r="HR350" s="2275"/>
      <c r="HS350" s="2275"/>
      <c r="HT350" s="2275"/>
      <c r="HU350" s="2250"/>
      <c r="HV350" s="2250"/>
      <c r="HW350" s="2250"/>
      <c r="HX350" s="2250"/>
      <c r="HY350" s="2250"/>
      <c r="HZ350" s="2250"/>
      <c r="IA350" s="2250"/>
      <c r="IB350" s="2250"/>
      <c r="IC350" s="2250"/>
      <c r="ID350" s="2250"/>
      <c r="IE350" s="2250"/>
      <c r="IF350" s="2250"/>
      <c r="IG350" s="2250"/>
      <c r="IH350" s="2250"/>
      <c r="II350" s="2250"/>
      <c r="IJ350" s="2250"/>
      <c r="IK350" s="2250"/>
      <c r="IL350" s="2250"/>
      <c r="IN350" s="277"/>
      <c r="IO350" s="277"/>
    </row>
    <row r="351" spans="1:249" ht="21.95" customHeight="1">
      <c r="A351" s="2275"/>
      <c r="B351" s="2275"/>
      <c r="C351" s="2275"/>
      <c r="D351" s="2275"/>
      <c r="E351" s="2275"/>
      <c r="F351" s="2275"/>
      <c r="G351" s="2275"/>
      <c r="H351" s="2275"/>
      <c r="I351" s="2275"/>
      <c r="J351" s="2275"/>
      <c r="K351" s="2275"/>
      <c r="L351" s="2275"/>
      <c r="M351" s="2275"/>
      <c r="N351" s="2275"/>
      <c r="O351" s="2275"/>
      <c r="P351" s="2275"/>
      <c r="Q351" s="2275"/>
      <c r="R351" s="2275"/>
      <c r="S351" s="2275"/>
      <c r="T351" s="2275"/>
      <c r="U351" s="2275"/>
      <c r="V351" s="2275"/>
      <c r="W351" s="2275"/>
      <c r="X351" s="2275"/>
      <c r="Y351" s="2275"/>
      <c r="Z351" s="2275"/>
      <c r="AA351" s="2275"/>
      <c r="AB351" s="2275"/>
      <c r="AC351" s="2275"/>
      <c r="AD351" s="2275"/>
      <c r="AE351" s="2275"/>
      <c r="AF351" s="2275"/>
      <c r="AG351" s="2275"/>
      <c r="AH351" s="2275"/>
      <c r="AI351" s="2275"/>
      <c r="AJ351" s="2275"/>
      <c r="AK351" s="2275"/>
      <c r="AL351" s="2275"/>
      <c r="AM351" s="2275"/>
      <c r="AN351" s="2275"/>
      <c r="AO351" s="2275"/>
      <c r="AP351" s="2250"/>
      <c r="AQ351" s="2250"/>
      <c r="AR351" s="2250"/>
      <c r="AS351" s="2250"/>
      <c r="AT351" s="2250"/>
      <c r="AU351" s="2250"/>
      <c r="AV351" s="2250"/>
      <c r="AW351" s="2250"/>
      <c r="AX351" s="2250"/>
      <c r="AY351" s="2250"/>
      <c r="AZ351" s="2250"/>
      <c r="BA351" s="2250"/>
      <c r="BB351" s="2250"/>
      <c r="BC351" s="2250"/>
      <c r="BD351" s="2250"/>
      <c r="BE351" s="2250"/>
      <c r="BF351" s="2276"/>
      <c r="BG351" s="2276"/>
      <c r="BH351" s="2250"/>
      <c r="BI351" s="2275"/>
      <c r="BJ351" s="2275"/>
      <c r="BK351" s="2275"/>
      <c r="BL351" s="2275"/>
      <c r="BM351" s="2275"/>
      <c r="BN351" s="2275"/>
      <c r="BO351" s="2275"/>
      <c r="BP351" s="2275"/>
      <c r="BQ351" s="2275"/>
      <c r="BR351" s="2275"/>
      <c r="BS351" s="2275"/>
      <c r="BT351" s="2275"/>
      <c r="BU351" s="2275"/>
      <c r="BV351" s="2275"/>
      <c r="BW351" s="2275"/>
      <c r="BX351" s="2275"/>
      <c r="BY351" s="2275"/>
      <c r="BZ351" s="2275"/>
      <c r="CA351" s="2275"/>
      <c r="CB351" s="2275"/>
      <c r="CC351" s="2275"/>
      <c r="CD351" s="2275"/>
      <c r="CE351" s="2275"/>
      <c r="CF351" s="2275"/>
      <c r="CG351" s="2275"/>
      <c r="CH351" s="2275"/>
      <c r="CI351" s="2275"/>
      <c r="CJ351" s="2275"/>
      <c r="CK351" s="2275"/>
      <c r="CL351" s="2275"/>
      <c r="CM351" s="2275"/>
      <c r="CN351" s="2275"/>
      <c r="CO351" s="2275"/>
      <c r="CP351" s="2275"/>
      <c r="CQ351" s="2275"/>
      <c r="CR351" s="2275"/>
      <c r="CS351" s="2275"/>
      <c r="CT351" s="2275"/>
      <c r="CU351" s="2275"/>
      <c r="CV351" s="2275"/>
      <c r="CW351" s="2275"/>
      <c r="CX351" s="2275"/>
      <c r="CY351" s="2250"/>
      <c r="CZ351" s="2250"/>
      <c r="DA351" s="2250"/>
      <c r="DB351" s="2250"/>
      <c r="DC351" s="2250"/>
      <c r="DD351" s="2250"/>
      <c r="DE351" s="2250"/>
      <c r="DF351" s="2250"/>
      <c r="DG351" s="2250"/>
      <c r="DH351" s="2250"/>
      <c r="DI351" s="2250"/>
      <c r="DJ351" s="2250"/>
      <c r="DK351" s="2250"/>
      <c r="DL351" s="2250"/>
      <c r="DM351" s="2250"/>
      <c r="DN351" s="2250"/>
      <c r="DO351" s="2250"/>
      <c r="DP351" s="2250"/>
      <c r="DQ351" s="2277"/>
      <c r="DR351" s="2277"/>
      <c r="DS351" s="277"/>
      <c r="DW351" s="2275"/>
      <c r="DX351" s="2275"/>
      <c r="DY351" s="2275"/>
      <c r="DZ351" s="2275"/>
      <c r="EA351" s="2275"/>
      <c r="EB351" s="2275"/>
      <c r="EC351" s="2275"/>
      <c r="ED351" s="2275"/>
      <c r="EE351" s="2275"/>
      <c r="EF351" s="2275"/>
      <c r="EG351" s="2275"/>
      <c r="EH351" s="2275"/>
      <c r="EI351" s="2275"/>
      <c r="EJ351" s="2275"/>
      <c r="EK351" s="2275"/>
      <c r="EL351" s="2275"/>
      <c r="EM351" s="2275"/>
      <c r="EN351" s="2275"/>
      <c r="EO351" s="2275"/>
      <c r="EP351" s="2275"/>
      <c r="EQ351" s="2275"/>
      <c r="ER351" s="2275"/>
      <c r="ES351" s="2275"/>
      <c r="ET351" s="2275"/>
      <c r="EU351" s="2275"/>
      <c r="EV351" s="2275"/>
      <c r="EW351" s="2275"/>
      <c r="EX351" s="2275"/>
      <c r="EY351" s="2275"/>
      <c r="EZ351" s="2275"/>
      <c r="FA351" s="2275"/>
      <c r="FB351" s="2275"/>
      <c r="FC351" s="2275"/>
      <c r="FD351" s="2275"/>
      <c r="FE351" s="2275"/>
      <c r="FF351" s="2275"/>
      <c r="FG351" s="2275"/>
      <c r="FH351" s="2275"/>
      <c r="FI351" s="2275"/>
      <c r="FJ351" s="2275"/>
      <c r="FK351" s="2275"/>
      <c r="FL351" s="2250"/>
      <c r="FM351" s="2250"/>
      <c r="FN351" s="2250"/>
      <c r="FO351" s="2250"/>
      <c r="FP351" s="2250"/>
      <c r="FQ351" s="2250"/>
      <c r="FR351" s="2250"/>
      <c r="FS351" s="2250"/>
      <c r="FT351" s="2250"/>
      <c r="FU351" s="2250"/>
      <c r="FV351" s="2250"/>
      <c r="FW351" s="2250"/>
      <c r="FX351" s="2250"/>
      <c r="FY351" s="2250"/>
      <c r="FZ351" s="2250"/>
      <c r="GA351" s="2250"/>
      <c r="GB351" s="2276"/>
      <c r="GC351" s="2276"/>
      <c r="GD351" s="2250"/>
      <c r="GE351" s="2275"/>
      <c r="GF351" s="2275"/>
      <c r="GG351" s="2275"/>
      <c r="GH351" s="2275"/>
      <c r="GI351" s="2275"/>
      <c r="GJ351" s="2275"/>
      <c r="GK351" s="2275"/>
      <c r="GL351" s="2275"/>
      <c r="GM351" s="2275"/>
      <c r="GN351" s="2275"/>
      <c r="GO351" s="2275"/>
      <c r="GP351" s="2275"/>
      <c r="GQ351" s="2275"/>
      <c r="GR351" s="2275"/>
      <c r="GS351" s="2275"/>
      <c r="GT351" s="2275"/>
      <c r="GU351" s="2275"/>
      <c r="GV351" s="2275"/>
      <c r="GW351" s="2275"/>
      <c r="GX351" s="2275"/>
      <c r="GY351" s="2275"/>
      <c r="GZ351" s="2275"/>
      <c r="HA351" s="2275"/>
      <c r="HB351" s="2275"/>
      <c r="HC351" s="2275"/>
      <c r="HD351" s="2275"/>
      <c r="HE351" s="2275"/>
      <c r="HF351" s="2275"/>
      <c r="HG351" s="2275"/>
      <c r="HH351" s="2275"/>
      <c r="HI351" s="2275"/>
      <c r="HJ351" s="2275"/>
      <c r="HK351" s="2275"/>
      <c r="HL351" s="2275"/>
      <c r="HM351" s="2275"/>
      <c r="HN351" s="2275"/>
      <c r="HO351" s="2275"/>
      <c r="HP351" s="2275"/>
      <c r="HQ351" s="2275"/>
      <c r="HR351" s="2275"/>
      <c r="HS351" s="2275"/>
      <c r="HT351" s="2275"/>
      <c r="HU351" s="2250"/>
      <c r="HV351" s="2250"/>
      <c r="HW351" s="2250"/>
      <c r="HX351" s="2250"/>
      <c r="HY351" s="2250"/>
      <c r="HZ351" s="2250"/>
      <c r="IA351" s="2250"/>
      <c r="IB351" s="2250"/>
      <c r="IC351" s="2250"/>
      <c r="ID351" s="2250"/>
      <c r="IE351" s="2250"/>
      <c r="IF351" s="2250"/>
      <c r="IG351" s="2250"/>
      <c r="IH351" s="2250"/>
      <c r="II351" s="2250"/>
      <c r="IJ351" s="2250"/>
      <c r="IK351" s="2250"/>
      <c r="IL351" s="2250"/>
      <c r="IN351" s="277"/>
      <c r="IO351" s="277"/>
    </row>
    <row r="352" spans="1:249" ht="21.95" customHeight="1">
      <c r="A352" s="2275"/>
      <c r="B352" s="2275"/>
      <c r="C352" s="2275"/>
      <c r="D352" s="2275"/>
      <c r="E352" s="2275"/>
      <c r="F352" s="2275"/>
      <c r="G352" s="2275"/>
      <c r="H352" s="2275"/>
      <c r="I352" s="2275"/>
      <c r="J352" s="2275"/>
      <c r="K352" s="2275"/>
      <c r="L352" s="2275"/>
      <c r="M352" s="2275"/>
      <c r="N352" s="2275"/>
      <c r="O352" s="2275"/>
      <c r="P352" s="2275"/>
      <c r="Q352" s="2275"/>
      <c r="R352" s="2275"/>
      <c r="S352" s="2275"/>
      <c r="T352" s="2275"/>
      <c r="U352" s="2275"/>
      <c r="V352" s="2275"/>
      <c r="W352" s="2275"/>
      <c r="X352" s="2275"/>
      <c r="Y352" s="2275"/>
      <c r="Z352" s="2275"/>
      <c r="AA352" s="2275"/>
      <c r="AB352" s="2275"/>
      <c r="AC352" s="2275"/>
      <c r="AD352" s="2275"/>
      <c r="AE352" s="2275"/>
      <c r="AF352" s="2275"/>
      <c r="AG352" s="2275"/>
      <c r="AH352" s="2275"/>
      <c r="AI352" s="2275"/>
      <c r="AJ352" s="2275"/>
      <c r="AK352" s="2275"/>
      <c r="AL352" s="2275"/>
      <c r="AM352" s="2275"/>
      <c r="AN352" s="2275"/>
      <c r="AO352" s="2275"/>
      <c r="AP352" s="2250"/>
      <c r="AQ352" s="2250"/>
      <c r="AR352" s="2250"/>
      <c r="AS352" s="2250"/>
      <c r="AT352" s="2250"/>
      <c r="AU352" s="2250"/>
      <c r="AV352" s="2250"/>
      <c r="AW352" s="2250"/>
      <c r="AX352" s="2250"/>
      <c r="AY352" s="2250"/>
      <c r="AZ352" s="2250"/>
      <c r="BA352" s="2250"/>
      <c r="BB352" s="2250"/>
      <c r="BC352" s="2250"/>
      <c r="BD352" s="2250"/>
      <c r="BE352" s="2250"/>
      <c r="BF352" s="2276"/>
      <c r="BG352" s="2276"/>
      <c r="BH352" s="2250"/>
      <c r="BI352" s="2275"/>
      <c r="BJ352" s="2275"/>
      <c r="BK352" s="2275"/>
      <c r="BL352" s="2275"/>
      <c r="BM352" s="2275"/>
      <c r="BN352" s="2275"/>
      <c r="BO352" s="2275"/>
      <c r="BP352" s="2275"/>
      <c r="BQ352" s="2275"/>
      <c r="BR352" s="2275"/>
      <c r="BS352" s="2275"/>
      <c r="BT352" s="2275"/>
      <c r="BU352" s="2275"/>
      <c r="BV352" s="2275"/>
      <c r="BW352" s="2275"/>
      <c r="BX352" s="2275"/>
      <c r="BY352" s="2275"/>
      <c r="BZ352" s="2275"/>
      <c r="CA352" s="2275"/>
      <c r="CB352" s="2275"/>
      <c r="CC352" s="2275"/>
      <c r="CD352" s="2275"/>
      <c r="CE352" s="2275"/>
      <c r="CF352" s="2275"/>
      <c r="CG352" s="2275"/>
      <c r="CH352" s="2275"/>
      <c r="CI352" s="2275"/>
      <c r="CJ352" s="2275"/>
      <c r="CK352" s="2275"/>
      <c r="CL352" s="2275"/>
      <c r="CM352" s="2275"/>
      <c r="CN352" s="2275"/>
      <c r="CO352" s="2275"/>
      <c r="CP352" s="2275"/>
      <c r="CQ352" s="2275"/>
      <c r="CR352" s="2275"/>
      <c r="CS352" s="2275"/>
      <c r="CT352" s="2275"/>
      <c r="CU352" s="2275"/>
      <c r="CV352" s="2275"/>
      <c r="CW352" s="2275"/>
      <c r="CX352" s="2275"/>
      <c r="CY352" s="2250"/>
      <c r="CZ352" s="2250"/>
      <c r="DA352" s="2250"/>
      <c r="DB352" s="2250"/>
      <c r="DC352" s="2250"/>
      <c r="DD352" s="2250"/>
      <c r="DE352" s="2250"/>
      <c r="DF352" s="2250"/>
      <c r="DG352" s="2250"/>
      <c r="DH352" s="2250"/>
      <c r="DI352" s="2250"/>
      <c r="DJ352" s="2250"/>
      <c r="DK352" s="2250"/>
      <c r="DL352" s="2250"/>
      <c r="DM352" s="2250"/>
      <c r="DN352" s="2250"/>
      <c r="DO352" s="2250"/>
      <c r="DP352" s="2250"/>
      <c r="DQ352" s="2277"/>
      <c r="DR352" s="2277"/>
      <c r="DS352" s="277"/>
      <c r="DW352" s="2275"/>
      <c r="DX352" s="2275"/>
      <c r="DY352" s="2275"/>
      <c r="DZ352" s="2275"/>
      <c r="EA352" s="2275"/>
      <c r="EB352" s="2275"/>
      <c r="EC352" s="2275"/>
      <c r="ED352" s="2275"/>
      <c r="EE352" s="2275"/>
      <c r="EF352" s="2275"/>
      <c r="EG352" s="2275"/>
      <c r="EH352" s="2275"/>
      <c r="EI352" s="2275"/>
      <c r="EJ352" s="2275"/>
      <c r="EK352" s="2275"/>
      <c r="EL352" s="2275"/>
      <c r="EM352" s="2275"/>
      <c r="EN352" s="2275"/>
      <c r="EO352" s="2275"/>
      <c r="EP352" s="2275"/>
      <c r="EQ352" s="2275"/>
      <c r="ER352" s="2275"/>
      <c r="ES352" s="2275"/>
      <c r="ET352" s="2275"/>
      <c r="EU352" s="2275"/>
      <c r="EV352" s="2275"/>
      <c r="EW352" s="2275"/>
      <c r="EX352" s="2275"/>
      <c r="EY352" s="2275"/>
      <c r="EZ352" s="2275"/>
      <c r="FA352" s="2275"/>
      <c r="FB352" s="2275"/>
      <c r="FC352" s="2275"/>
      <c r="FD352" s="2275"/>
      <c r="FE352" s="2275"/>
      <c r="FF352" s="2275"/>
      <c r="FG352" s="2275"/>
      <c r="FH352" s="2275"/>
      <c r="FI352" s="2275"/>
      <c r="FJ352" s="2275"/>
      <c r="FK352" s="2275"/>
      <c r="FL352" s="2250"/>
      <c r="FM352" s="2250"/>
      <c r="FN352" s="2250"/>
      <c r="FO352" s="2250"/>
      <c r="FP352" s="2250"/>
      <c r="FQ352" s="2250"/>
      <c r="FR352" s="2250"/>
      <c r="FS352" s="2250"/>
      <c r="FT352" s="2250"/>
      <c r="FU352" s="2250"/>
      <c r="FV352" s="2250"/>
      <c r="FW352" s="2250"/>
      <c r="FX352" s="2250"/>
      <c r="FY352" s="2250"/>
      <c r="FZ352" s="2250"/>
      <c r="GA352" s="2250"/>
      <c r="GB352" s="2276"/>
      <c r="GC352" s="2276"/>
      <c r="GD352" s="2250"/>
      <c r="GE352" s="2275"/>
      <c r="GF352" s="2275"/>
      <c r="GG352" s="2275"/>
      <c r="GH352" s="2275"/>
      <c r="GI352" s="2275"/>
      <c r="GJ352" s="2275"/>
      <c r="GK352" s="2275"/>
      <c r="GL352" s="2275"/>
      <c r="GM352" s="2275"/>
      <c r="GN352" s="2275"/>
      <c r="GO352" s="2275"/>
      <c r="GP352" s="2275"/>
      <c r="GQ352" s="2275"/>
      <c r="GR352" s="2275"/>
      <c r="GS352" s="2275"/>
      <c r="GT352" s="2275"/>
      <c r="GU352" s="2275"/>
      <c r="GV352" s="2275"/>
      <c r="GW352" s="2275"/>
      <c r="GX352" s="2275"/>
      <c r="GY352" s="2275"/>
      <c r="GZ352" s="2275"/>
      <c r="HA352" s="2275"/>
      <c r="HB352" s="2275"/>
      <c r="HC352" s="2275"/>
      <c r="HD352" s="2275"/>
      <c r="HE352" s="2275"/>
      <c r="HF352" s="2275"/>
      <c r="HG352" s="2275"/>
      <c r="HH352" s="2275"/>
      <c r="HI352" s="2275"/>
      <c r="HJ352" s="2275"/>
      <c r="HK352" s="2275"/>
      <c r="HL352" s="2275"/>
      <c r="HM352" s="2275"/>
      <c r="HN352" s="2275"/>
      <c r="HO352" s="2275"/>
      <c r="HP352" s="2275"/>
      <c r="HQ352" s="2275"/>
      <c r="HR352" s="2275"/>
      <c r="HS352" s="2275"/>
      <c r="HT352" s="2275"/>
      <c r="HU352" s="2250"/>
      <c r="HV352" s="2250"/>
      <c r="HW352" s="2250"/>
      <c r="HX352" s="2250"/>
      <c r="HY352" s="2250"/>
      <c r="HZ352" s="2250"/>
      <c r="IA352" s="2250"/>
      <c r="IB352" s="2250"/>
      <c r="IC352" s="2250"/>
      <c r="ID352" s="2250"/>
      <c r="IE352" s="2250"/>
      <c r="IF352" s="2250"/>
      <c r="IG352" s="2250"/>
      <c r="IH352" s="2250"/>
      <c r="II352" s="2250"/>
      <c r="IJ352" s="2250"/>
      <c r="IK352" s="2250"/>
      <c r="IL352" s="2250"/>
      <c r="IN352" s="277"/>
      <c r="IO352" s="277"/>
    </row>
    <row r="353" spans="1:249" ht="21.95" customHeight="1" thickBot="1">
      <c r="A353" s="2275"/>
      <c r="B353" s="2275"/>
      <c r="C353" s="2275"/>
      <c r="D353" s="1684"/>
      <c r="E353" s="1684"/>
      <c r="F353" s="1684"/>
      <c r="G353" s="2374" t="e">
        <f>IF(H358="Right","Right",IF(H357="Right","Right",IF(H356="Right","Right",IF(H355="Right","Right","Wrong"))))</f>
        <v>#N/A</v>
      </c>
      <c r="H353" s="1684"/>
      <c r="I353" s="2275"/>
      <c r="J353" s="2275"/>
      <c r="K353" s="2275"/>
      <c r="L353" s="2275"/>
      <c r="M353" s="2275"/>
      <c r="N353" s="2275"/>
      <c r="O353" s="2275"/>
      <c r="P353" s="2275"/>
      <c r="Q353" s="2275"/>
      <c r="R353" s="2275"/>
      <c r="S353" s="2275"/>
      <c r="T353" s="2275"/>
      <c r="U353" s="2275"/>
      <c r="V353" s="2275"/>
      <c r="W353" s="2275"/>
      <c r="X353" s="2275"/>
      <c r="Y353" s="2275"/>
      <c r="Z353" s="2275"/>
      <c r="AA353" s="2275"/>
      <c r="AB353" s="2275"/>
      <c r="AC353" s="2275"/>
      <c r="AD353" s="2275"/>
      <c r="AE353" s="2275"/>
      <c r="AF353" s="2275"/>
      <c r="AG353" s="2275"/>
      <c r="AH353" s="2275"/>
      <c r="AI353" s="2275"/>
      <c r="AJ353" s="2275"/>
      <c r="AK353" s="2275"/>
      <c r="AL353" s="2275"/>
      <c r="AM353" s="2275"/>
      <c r="AN353" s="2275"/>
      <c r="AO353" s="2275"/>
      <c r="AP353" s="2250"/>
      <c r="AQ353" s="2250"/>
      <c r="AR353" s="2250"/>
      <c r="AS353" s="2250"/>
      <c r="AT353" s="2250"/>
      <c r="AU353" s="2250"/>
      <c r="AV353" s="2250"/>
      <c r="AW353" s="2250"/>
      <c r="AX353" s="2250"/>
      <c r="AY353" s="2250"/>
      <c r="AZ353" s="2250"/>
      <c r="BA353" s="2250"/>
      <c r="BB353" s="2250"/>
      <c r="BC353" s="2250"/>
      <c r="BD353" s="2250"/>
      <c r="BE353" s="2250"/>
      <c r="BF353" s="2276"/>
      <c r="BG353" s="2276"/>
      <c r="BH353" s="2250"/>
      <c r="BI353" s="2275"/>
      <c r="BJ353" s="2275"/>
      <c r="BK353" s="2275"/>
      <c r="BL353" s="2275"/>
      <c r="BM353" s="1684"/>
      <c r="BN353" s="1684"/>
      <c r="BO353" s="1684"/>
      <c r="BP353" s="2374" t="e">
        <f>IF(BQ358="Right","Right",IF(BQ357="Right","Right",IF(BQ356="Right","Right",IF(BQ355="Right","Right","Wrong"))))</f>
        <v>#N/A</v>
      </c>
      <c r="BQ353" s="1684"/>
      <c r="BR353" s="2275"/>
      <c r="BS353" s="2275"/>
      <c r="BT353" s="2275"/>
      <c r="BU353" s="2275"/>
      <c r="BV353" s="2275"/>
      <c r="BW353" s="2275"/>
      <c r="BX353" s="2275"/>
      <c r="BY353" s="2275"/>
      <c r="BZ353" s="2275"/>
      <c r="CA353" s="2275"/>
      <c r="CB353" s="2275"/>
      <c r="CC353" s="2275"/>
      <c r="CD353" s="2275"/>
      <c r="CE353" s="2275"/>
      <c r="CF353" s="2275"/>
      <c r="CG353" s="2275"/>
      <c r="CH353" s="2275"/>
      <c r="CI353" s="2275"/>
      <c r="CJ353" s="2275"/>
      <c r="CK353" s="2275"/>
      <c r="CL353" s="2275"/>
      <c r="CM353" s="2275"/>
      <c r="CN353" s="2275"/>
      <c r="CO353" s="2275"/>
      <c r="CP353" s="2275"/>
      <c r="CQ353" s="2275"/>
      <c r="CR353" s="2275"/>
      <c r="CS353" s="2275"/>
      <c r="CT353" s="2275"/>
      <c r="CU353" s="2275"/>
      <c r="CV353" s="2275"/>
      <c r="CW353" s="2275"/>
      <c r="CX353" s="2275"/>
      <c r="CY353" s="2250"/>
      <c r="CZ353" s="2250"/>
      <c r="DA353" s="2250"/>
      <c r="DB353" s="2250"/>
      <c r="DC353" s="2250"/>
      <c r="DD353" s="2250"/>
      <c r="DE353" s="2250"/>
      <c r="DF353" s="2250"/>
      <c r="DG353" s="2250"/>
      <c r="DH353" s="2250"/>
      <c r="DI353" s="2250"/>
      <c r="DJ353" s="2250"/>
      <c r="DK353" s="2250"/>
      <c r="DL353" s="2250"/>
      <c r="DM353" s="2250"/>
      <c r="DN353" s="2250"/>
      <c r="DO353" s="2250"/>
      <c r="DP353" s="2250"/>
      <c r="DQ353" s="2277"/>
      <c r="DR353" s="2277"/>
      <c r="DS353" s="277"/>
      <c r="DW353" s="2275"/>
      <c r="DX353" s="2275"/>
      <c r="DY353" s="2275"/>
      <c r="DZ353" s="1684"/>
      <c r="EA353" s="1684"/>
      <c r="EB353" s="1684"/>
      <c r="EC353" s="2374" t="e">
        <f>IF(ED358="Right","Right",IF(ED357="Right","Right",IF(ED356="Right","Right",IF(ED355="Right","Right","Wrong"))))</f>
        <v>#N/A</v>
      </c>
      <c r="ED353" s="1684"/>
      <c r="EE353" s="2275"/>
      <c r="EF353" s="2275"/>
      <c r="EG353" s="2275"/>
      <c r="EH353" s="2275"/>
      <c r="EI353" s="2275"/>
      <c r="EJ353" s="2275"/>
      <c r="EK353" s="2275"/>
      <c r="EL353" s="2275"/>
      <c r="EM353" s="2275"/>
      <c r="EN353" s="2275"/>
      <c r="EO353" s="2275"/>
      <c r="EP353" s="2275"/>
      <c r="EQ353" s="2275"/>
      <c r="ER353" s="2275"/>
      <c r="ES353" s="2275"/>
      <c r="ET353" s="2275"/>
      <c r="EU353" s="2275"/>
      <c r="EV353" s="2275"/>
      <c r="EW353" s="2275"/>
      <c r="EX353" s="2275"/>
      <c r="EY353" s="2275"/>
      <c r="EZ353" s="2275"/>
      <c r="FA353" s="2275"/>
      <c r="FB353" s="2275"/>
      <c r="FC353" s="2275"/>
      <c r="FD353" s="2275"/>
      <c r="FE353" s="2275"/>
      <c r="FF353" s="2275"/>
      <c r="FG353" s="2275"/>
      <c r="FH353" s="2275"/>
      <c r="FI353" s="2275"/>
      <c r="FJ353" s="2275"/>
      <c r="FK353" s="2275"/>
      <c r="FL353" s="2250"/>
      <c r="FM353" s="2250"/>
      <c r="FN353" s="2250"/>
      <c r="FO353" s="2250"/>
      <c r="FP353" s="2250"/>
      <c r="FQ353" s="2250"/>
      <c r="FR353" s="2250"/>
      <c r="FS353" s="2250"/>
      <c r="FT353" s="2250"/>
      <c r="FU353" s="2250"/>
      <c r="FV353" s="2250"/>
      <c r="FW353" s="2250"/>
      <c r="FX353" s="2250"/>
      <c r="FY353" s="2250"/>
      <c r="FZ353" s="2250"/>
      <c r="GA353" s="2250"/>
      <c r="GB353" s="2276"/>
      <c r="GC353" s="2276"/>
      <c r="GD353" s="2250"/>
      <c r="GE353" s="2275"/>
      <c r="GF353" s="2275"/>
      <c r="GG353" s="2275"/>
      <c r="GH353" s="2275"/>
      <c r="GI353" s="1684"/>
      <c r="GJ353" s="1684"/>
      <c r="GK353" s="1684"/>
      <c r="GL353" s="2374" t="e">
        <f>IF(GM358="Right","Right",IF(GM357="Right","Right",IF(GM356="Right","Right",IF(GM355="Right","Right","Wrong"))))</f>
        <v>#N/A</v>
      </c>
      <c r="GM353" s="1684"/>
      <c r="GN353" s="2275"/>
      <c r="GO353" s="2275"/>
      <c r="GP353" s="2275"/>
      <c r="GQ353" s="2275"/>
      <c r="GR353" s="2275"/>
      <c r="GS353" s="2275"/>
      <c r="GT353" s="2275"/>
      <c r="GU353" s="2275"/>
      <c r="GV353" s="2275"/>
      <c r="GW353" s="2275"/>
      <c r="GX353" s="2275"/>
      <c r="GY353" s="2275"/>
      <c r="GZ353" s="2275"/>
      <c r="HA353" s="2275"/>
      <c r="HB353" s="2275"/>
      <c r="HC353" s="2275"/>
      <c r="HD353" s="2275"/>
      <c r="HE353" s="2275"/>
      <c r="HF353" s="2275"/>
      <c r="HG353" s="2275"/>
      <c r="HH353" s="2275"/>
      <c r="HI353" s="2275"/>
      <c r="HJ353" s="2275"/>
      <c r="HK353" s="2275"/>
      <c r="HL353" s="2275"/>
      <c r="HM353" s="2275"/>
      <c r="HN353" s="2275"/>
      <c r="HO353" s="2275"/>
      <c r="HP353" s="2275"/>
      <c r="HQ353" s="2275"/>
      <c r="HR353" s="2275"/>
      <c r="HS353" s="2275"/>
      <c r="HT353" s="2275"/>
      <c r="HU353" s="2250"/>
      <c r="HV353" s="2250"/>
      <c r="HW353" s="2250"/>
      <c r="HX353" s="2250"/>
      <c r="HY353" s="2250"/>
      <c r="HZ353" s="2250"/>
      <c r="IA353" s="2250"/>
      <c r="IB353" s="2250"/>
      <c r="IC353" s="2250"/>
      <c r="ID353" s="2250"/>
      <c r="IE353" s="2250"/>
      <c r="IF353" s="2250"/>
      <c r="IG353" s="2250"/>
      <c r="IH353" s="2250"/>
      <c r="II353" s="2250"/>
      <c r="IJ353" s="2250"/>
      <c r="IK353" s="2250"/>
      <c r="IL353" s="2250"/>
      <c r="IN353" s="277"/>
      <c r="IO353" s="277"/>
    </row>
    <row r="354" spans="1:249" ht="21.95" customHeight="1" thickBot="1">
      <c r="A354" s="2275"/>
      <c r="B354" s="2275"/>
      <c r="C354" s="2275"/>
      <c r="D354" s="4703" t="s">
        <v>646</v>
      </c>
      <c r="E354" s="4704"/>
      <c r="F354" s="2296" t="s">
        <v>706</v>
      </c>
      <c r="G354" s="2297" t="s">
        <v>2185</v>
      </c>
      <c r="H354" s="1684"/>
      <c r="I354" s="2275"/>
      <c r="J354" s="2275"/>
      <c r="K354" s="2275"/>
      <c r="L354" s="2275"/>
      <c r="M354" s="2275"/>
      <c r="N354" s="2275"/>
      <c r="O354" s="2275"/>
      <c r="P354" s="2275"/>
      <c r="Q354" s="2275"/>
      <c r="R354" s="2275"/>
      <c r="S354" s="2275"/>
      <c r="T354" s="2275"/>
      <c r="U354" s="2275"/>
      <c r="V354" s="2275"/>
      <c r="W354" s="2275"/>
      <c r="X354" s="2275"/>
      <c r="Y354" s="2275"/>
      <c r="Z354" s="2275"/>
      <c r="AA354" s="2275"/>
      <c r="AB354" s="2275"/>
      <c r="AC354" s="2275"/>
      <c r="AD354" s="2275"/>
      <c r="AE354" s="2275"/>
      <c r="AF354" s="2275"/>
      <c r="AG354" s="2275"/>
      <c r="AH354" s="2275"/>
      <c r="AI354" s="2275"/>
      <c r="AJ354" s="2275"/>
      <c r="AK354" s="2275"/>
      <c r="AL354" s="2275"/>
      <c r="AM354" s="2275"/>
      <c r="AN354" s="2275"/>
      <c r="AO354" s="2275"/>
      <c r="AP354" s="2250"/>
      <c r="AQ354" s="2250"/>
      <c r="AR354" s="2250"/>
      <c r="AS354" s="2250"/>
      <c r="AT354" s="2250"/>
      <c r="AU354" s="2250"/>
      <c r="AV354" s="2250"/>
      <c r="AW354" s="2250"/>
      <c r="AX354" s="2250"/>
      <c r="AY354" s="2250"/>
      <c r="AZ354" s="2250"/>
      <c r="BA354" s="2250"/>
      <c r="BB354" s="2250"/>
      <c r="BC354" s="2250"/>
      <c r="BD354" s="2250"/>
      <c r="BE354" s="2250"/>
      <c r="BF354" s="2276"/>
      <c r="BG354" s="2276"/>
      <c r="BH354" s="2250"/>
      <c r="BI354" s="2275"/>
      <c r="BJ354" s="2275"/>
      <c r="BK354" s="2275"/>
      <c r="BL354" s="2275"/>
      <c r="BM354" s="4703" t="s">
        <v>646</v>
      </c>
      <c r="BN354" s="4704"/>
      <c r="BO354" s="2296" t="s">
        <v>706</v>
      </c>
      <c r="BP354" s="2297" t="s">
        <v>2185</v>
      </c>
      <c r="BQ354" s="1684"/>
      <c r="BR354" s="2275"/>
      <c r="BS354" s="2275"/>
      <c r="BT354" s="2275"/>
      <c r="BU354" s="2275"/>
      <c r="BV354" s="2275"/>
      <c r="BW354" s="2275"/>
      <c r="BX354" s="2275"/>
      <c r="BY354" s="2275"/>
      <c r="BZ354" s="2275"/>
      <c r="CA354" s="2275"/>
      <c r="CB354" s="2275"/>
      <c r="CC354" s="2275"/>
      <c r="CD354" s="2275"/>
      <c r="CE354" s="2275"/>
      <c r="CF354" s="2275"/>
      <c r="CG354" s="2275"/>
      <c r="CH354" s="2275"/>
      <c r="CI354" s="2275"/>
      <c r="CJ354" s="2275"/>
      <c r="CK354" s="2275"/>
      <c r="CL354" s="2275"/>
      <c r="CM354" s="2275"/>
      <c r="CN354" s="2275"/>
      <c r="CO354" s="2275"/>
      <c r="CP354" s="2275"/>
      <c r="CQ354" s="2275"/>
      <c r="CR354" s="2275"/>
      <c r="CS354" s="2275"/>
      <c r="CT354" s="2275"/>
      <c r="CU354" s="2275"/>
      <c r="CV354" s="2275"/>
      <c r="CW354" s="2275"/>
      <c r="CX354" s="2275"/>
      <c r="CY354" s="2250"/>
      <c r="CZ354" s="2250"/>
      <c r="DA354" s="2250"/>
      <c r="DB354" s="2250"/>
      <c r="DC354" s="2250"/>
      <c r="DD354" s="2250"/>
      <c r="DE354" s="2250"/>
      <c r="DF354" s="2250"/>
      <c r="DG354" s="2250"/>
      <c r="DH354" s="2250"/>
      <c r="DI354" s="2250"/>
      <c r="DJ354" s="2250"/>
      <c r="DK354" s="2250"/>
      <c r="DL354" s="2250"/>
      <c r="DM354" s="2250"/>
      <c r="DN354" s="2250"/>
      <c r="DO354" s="2250"/>
      <c r="DP354" s="2250"/>
      <c r="DQ354" s="2277"/>
      <c r="DR354" s="2277"/>
      <c r="DS354" s="277"/>
      <c r="DW354" s="2275"/>
      <c r="DX354" s="2275"/>
      <c r="DY354" s="2275"/>
      <c r="DZ354" s="4703" t="s">
        <v>646</v>
      </c>
      <c r="EA354" s="4704"/>
      <c r="EB354" s="2296" t="s">
        <v>706</v>
      </c>
      <c r="EC354" s="2297" t="s">
        <v>2185</v>
      </c>
      <c r="ED354" s="1684"/>
      <c r="EE354" s="2275"/>
      <c r="EF354" s="2275"/>
      <c r="EG354" s="2275"/>
      <c r="EH354" s="2275"/>
      <c r="EI354" s="2275"/>
      <c r="EJ354" s="2275"/>
      <c r="EK354" s="2275"/>
      <c r="EL354" s="2275"/>
      <c r="EM354" s="2275"/>
      <c r="EN354" s="2275"/>
      <c r="EO354" s="2275"/>
      <c r="EP354" s="2275"/>
      <c r="EQ354" s="2275"/>
      <c r="ER354" s="2275"/>
      <c r="ES354" s="2275"/>
      <c r="ET354" s="2275"/>
      <c r="EU354" s="2275"/>
      <c r="EV354" s="2275"/>
      <c r="EW354" s="2275"/>
      <c r="EX354" s="2275"/>
      <c r="EY354" s="2275"/>
      <c r="EZ354" s="2275"/>
      <c r="FA354" s="2275"/>
      <c r="FB354" s="2275"/>
      <c r="FC354" s="2275"/>
      <c r="FD354" s="2275"/>
      <c r="FE354" s="2275"/>
      <c r="FF354" s="2275"/>
      <c r="FG354" s="2275"/>
      <c r="FH354" s="2275"/>
      <c r="FI354" s="2275"/>
      <c r="FJ354" s="2275"/>
      <c r="FK354" s="2275"/>
      <c r="FL354" s="2250"/>
      <c r="FM354" s="2250"/>
      <c r="FN354" s="2250"/>
      <c r="FO354" s="2250"/>
      <c r="FP354" s="2250"/>
      <c r="FQ354" s="2250"/>
      <c r="FR354" s="2250"/>
      <c r="FS354" s="2250"/>
      <c r="FT354" s="2250"/>
      <c r="FU354" s="2250"/>
      <c r="FV354" s="2250"/>
      <c r="FW354" s="2250"/>
      <c r="FX354" s="2250"/>
      <c r="FY354" s="2250"/>
      <c r="FZ354" s="2250"/>
      <c r="GA354" s="2250"/>
      <c r="GB354" s="2276"/>
      <c r="GC354" s="2276"/>
      <c r="GD354" s="2250"/>
      <c r="GE354" s="2275"/>
      <c r="GF354" s="2275"/>
      <c r="GG354" s="2275"/>
      <c r="GH354" s="2275"/>
      <c r="GI354" s="4703" t="s">
        <v>646</v>
      </c>
      <c r="GJ354" s="4704"/>
      <c r="GK354" s="2296" t="s">
        <v>706</v>
      </c>
      <c r="GL354" s="2297" t="s">
        <v>2185</v>
      </c>
      <c r="GM354" s="1684"/>
      <c r="GN354" s="2275"/>
      <c r="GO354" s="2275"/>
      <c r="GP354" s="2275"/>
      <c r="GQ354" s="2275"/>
      <c r="GR354" s="2275"/>
      <c r="GS354" s="2275"/>
      <c r="GT354" s="2275"/>
      <c r="GU354" s="2275"/>
      <c r="GV354" s="2275"/>
      <c r="GW354" s="2275"/>
      <c r="GX354" s="2275"/>
      <c r="GY354" s="2275"/>
      <c r="GZ354" s="2275"/>
      <c r="HA354" s="2275"/>
      <c r="HB354" s="2275"/>
      <c r="HC354" s="2275"/>
      <c r="HD354" s="2275"/>
      <c r="HE354" s="2275"/>
      <c r="HF354" s="2275"/>
      <c r="HG354" s="2275"/>
      <c r="HH354" s="2275"/>
      <c r="HI354" s="2275"/>
      <c r="HJ354" s="2275"/>
      <c r="HK354" s="2275"/>
      <c r="HL354" s="2275"/>
      <c r="HM354" s="2275"/>
      <c r="HN354" s="2275"/>
      <c r="HO354" s="2275"/>
      <c r="HP354" s="2275"/>
      <c r="HQ354" s="2275"/>
      <c r="HR354" s="2275"/>
      <c r="HS354" s="2275"/>
      <c r="HT354" s="2275"/>
      <c r="HU354" s="2250"/>
      <c r="HV354" s="2250"/>
      <c r="HW354" s="2250"/>
      <c r="HX354" s="2250"/>
      <c r="HY354" s="2250"/>
      <c r="HZ354" s="2250"/>
      <c r="IA354" s="2250"/>
      <c r="IB354" s="2250"/>
      <c r="IC354" s="2250"/>
      <c r="ID354" s="2250"/>
      <c r="IE354" s="2250"/>
      <c r="IF354" s="2250"/>
      <c r="IG354" s="2250"/>
      <c r="IH354" s="2250"/>
      <c r="II354" s="2250"/>
      <c r="IJ354" s="2250"/>
      <c r="IK354" s="2250"/>
      <c r="IL354" s="2250"/>
      <c r="IN354" s="277"/>
      <c r="IO354" s="277"/>
    </row>
    <row r="355" spans="1:249" ht="21.95" customHeight="1">
      <c r="A355" s="2275"/>
      <c r="B355" s="2275"/>
      <c r="C355" s="2275"/>
      <c r="D355" s="4709" t="s">
        <v>732</v>
      </c>
      <c r="E355" s="4726"/>
      <c r="F355" s="2299" t="e">
        <f>D348</f>
        <v>#N/A</v>
      </c>
      <c r="G355" s="2300" t="e">
        <f>E348</f>
        <v>#N/A</v>
      </c>
      <c r="H355" s="1684" t="e">
        <f>E323</f>
        <v>#N/A</v>
      </c>
      <c r="I355" s="2275"/>
      <c r="J355" s="2275"/>
      <c r="K355" s="2275"/>
      <c r="L355" s="2275"/>
      <c r="M355" s="2275"/>
      <c r="N355" s="2275"/>
      <c r="O355" s="2275"/>
      <c r="P355" s="2275"/>
      <c r="Q355" s="2275"/>
      <c r="R355" s="2275"/>
      <c r="S355" s="2275"/>
      <c r="T355" s="2275"/>
      <c r="U355" s="2275"/>
      <c r="V355" s="2275"/>
      <c r="W355" s="2275"/>
      <c r="X355" s="2275"/>
      <c r="Y355" s="2275"/>
      <c r="Z355" s="2275"/>
      <c r="AA355" s="2275"/>
      <c r="AB355" s="2275"/>
      <c r="AC355" s="2275"/>
      <c r="AD355" s="2275"/>
      <c r="AE355" s="2275"/>
      <c r="AF355" s="2275"/>
      <c r="AG355" s="2275"/>
      <c r="AH355" s="2275"/>
      <c r="AI355" s="2275"/>
      <c r="AJ355" s="2275"/>
      <c r="AK355" s="2275"/>
      <c r="AL355" s="2275"/>
      <c r="AM355" s="2275"/>
      <c r="AN355" s="2275"/>
      <c r="AO355" s="2275"/>
      <c r="AP355" s="2250"/>
      <c r="AQ355" s="2250"/>
      <c r="AR355" s="2250"/>
      <c r="AS355" s="2250"/>
      <c r="AT355" s="2250"/>
      <c r="AU355" s="2250"/>
      <c r="AV355" s="2250"/>
      <c r="AW355" s="2250"/>
      <c r="AX355" s="2250"/>
      <c r="AY355" s="2250"/>
      <c r="AZ355" s="2250"/>
      <c r="BA355" s="2250"/>
      <c r="BB355" s="2250"/>
      <c r="BC355" s="2250"/>
      <c r="BD355" s="2250"/>
      <c r="BE355" s="2250"/>
      <c r="BF355" s="2276"/>
      <c r="BG355" s="2276"/>
      <c r="BH355" s="2250"/>
      <c r="BI355" s="2250"/>
      <c r="BJ355" s="2250"/>
      <c r="BK355" s="2275"/>
      <c r="BL355" s="2275"/>
      <c r="BM355" s="4709" t="s">
        <v>732</v>
      </c>
      <c r="BN355" s="4726"/>
      <c r="BO355" s="2299" t="e">
        <f>BM348</f>
        <v>#N/A</v>
      </c>
      <c r="BP355" s="2300" t="e">
        <f>BN348</f>
        <v>#N/A</v>
      </c>
      <c r="BQ355" s="1684" t="e">
        <f>BN323</f>
        <v>#N/A</v>
      </c>
      <c r="BR355" s="2275"/>
      <c r="BS355" s="2275"/>
      <c r="BT355" s="2275"/>
      <c r="BU355" s="2275"/>
      <c r="BV355" s="2275"/>
      <c r="BW355" s="2275"/>
      <c r="BX355" s="2275"/>
      <c r="BY355" s="2275"/>
      <c r="BZ355" s="2275"/>
      <c r="CA355" s="2275"/>
      <c r="CB355" s="2275"/>
      <c r="CC355" s="2275"/>
      <c r="CD355" s="2275"/>
      <c r="CE355" s="2275"/>
      <c r="CF355" s="2275"/>
      <c r="CG355" s="2275"/>
      <c r="CH355" s="2275"/>
      <c r="CI355" s="2275"/>
      <c r="CJ355" s="2275"/>
      <c r="CK355" s="2275"/>
      <c r="CL355" s="2275"/>
      <c r="CM355" s="2275"/>
      <c r="CN355" s="2275"/>
      <c r="CO355" s="2275"/>
      <c r="CP355" s="2275"/>
      <c r="CQ355" s="2275"/>
      <c r="CR355" s="2275"/>
      <c r="CS355" s="2275"/>
      <c r="CT355" s="2275"/>
      <c r="CU355" s="2275"/>
      <c r="CV355" s="2275"/>
      <c r="CW355" s="2275"/>
      <c r="CX355" s="2275"/>
      <c r="CY355" s="2250"/>
      <c r="CZ355" s="2250"/>
      <c r="DA355" s="2250"/>
      <c r="DB355" s="2250"/>
      <c r="DC355" s="2250"/>
      <c r="DD355" s="2250"/>
      <c r="DE355" s="2250"/>
      <c r="DF355" s="2250"/>
      <c r="DG355" s="2250"/>
      <c r="DH355" s="2250"/>
      <c r="DI355" s="2250"/>
      <c r="DJ355" s="2250"/>
      <c r="DK355" s="2250"/>
      <c r="DL355" s="2250"/>
      <c r="DM355" s="2250"/>
      <c r="DN355" s="2250"/>
      <c r="DO355" s="2250"/>
      <c r="DP355" s="2250"/>
      <c r="DQ355" s="2277"/>
      <c r="DR355" s="2277"/>
      <c r="DS355" s="277"/>
      <c r="DW355" s="2275"/>
      <c r="DX355" s="2275"/>
      <c r="DY355" s="2275"/>
      <c r="DZ355" s="4709" t="s">
        <v>732</v>
      </c>
      <c r="EA355" s="4726"/>
      <c r="EB355" s="2299" t="e">
        <f>DZ348</f>
        <v>#N/A</v>
      </c>
      <c r="EC355" s="2300" t="e">
        <f>EA348</f>
        <v>#N/A</v>
      </c>
      <c r="ED355" s="1684" t="e">
        <f>EA323</f>
        <v>#N/A</v>
      </c>
      <c r="EE355" s="2275"/>
      <c r="EF355" s="2275"/>
      <c r="EG355" s="2275"/>
      <c r="EH355" s="2275"/>
      <c r="EI355" s="2275"/>
      <c r="EJ355" s="2275"/>
      <c r="EK355" s="2275"/>
      <c r="EL355" s="2275"/>
      <c r="EM355" s="2275"/>
      <c r="EN355" s="2275"/>
      <c r="EO355" s="2275"/>
      <c r="EP355" s="2275"/>
      <c r="EQ355" s="2275"/>
      <c r="ER355" s="2275"/>
      <c r="ES355" s="2275"/>
      <c r="ET355" s="2275"/>
      <c r="EU355" s="2275"/>
      <c r="EV355" s="2275"/>
      <c r="EW355" s="2275"/>
      <c r="EX355" s="2275"/>
      <c r="EY355" s="2275"/>
      <c r="EZ355" s="2275"/>
      <c r="FA355" s="2275"/>
      <c r="FB355" s="2275"/>
      <c r="FC355" s="2275"/>
      <c r="FD355" s="2275"/>
      <c r="FE355" s="2275"/>
      <c r="FF355" s="2275"/>
      <c r="FG355" s="2275"/>
      <c r="FH355" s="2275"/>
      <c r="FI355" s="2275"/>
      <c r="FJ355" s="2275"/>
      <c r="FK355" s="2275"/>
      <c r="FL355" s="2250"/>
      <c r="FM355" s="2250"/>
      <c r="FN355" s="2250"/>
      <c r="FO355" s="2250"/>
      <c r="FP355" s="2250"/>
      <c r="FQ355" s="2250"/>
      <c r="FR355" s="2250"/>
      <c r="FS355" s="2250"/>
      <c r="FT355" s="2250"/>
      <c r="FU355" s="2250"/>
      <c r="FV355" s="2250"/>
      <c r="FW355" s="2250"/>
      <c r="FX355" s="2250"/>
      <c r="FY355" s="2250"/>
      <c r="FZ355" s="2250"/>
      <c r="GA355" s="2250"/>
      <c r="GB355" s="2276"/>
      <c r="GC355" s="2276"/>
      <c r="GD355" s="2250"/>
      <c r="GE355" s="2250"/>
      <c r="GF355" s="2250"/>
      <c r="GG355" s="2275"/>
      <c r="GH355" s="2275"/>
      <c r="GI355" s="4709" t="s">
        <v>732</v>
      </c>
      <c r="GJ355" s="4726"/>
      <c r="GK355" s="2299" t="e">
        <f>GI348</f>
        <v>#N/A</v>
      </c>
      <c r="GL355" s="2300" t="e">
        <f>GJ348</f>
        <v>#N/A</v>
      </c>
      <c r="GM355" s="1684" t="e">
        <f>GJ323</f>
        <v>#N/A</v>
      </c>
      <c r="GN355" s="2275"/>
      <c r="GO355" s="2275"/>
      <c r="GP355" s="2275"/>
      <c r="GQ355" s="2275"/>
      <c r="GR355" s="2275"/>
      <c r="GS355" s="2275"/>
      <c r="GT355" s="2275"/>
      <c r="GU355" s="2275"/>
      <c r="GV355" s="2275"/>
      <c r="GW355" s="2275"/>
      <c r="GX355" s="2275"/>
      <c r="GY355" s="2275"/>
      <c r="GZ355" s="2275"/>
      <c r="HA355" s="2275"/>
      <c r="HB355" s="2275"/>
      <c r="HC355" s="2275"/>
      <c r="HD355" s="2275"/>
      <c r="HE355" s="2275"/>
      <c r="HF355" s="2275"/>
      <c r="HG355" s="2275"/>
      <c r="HH355" s="2275"/>
      <c r="HI355" s="2275"/>
      <c r="HJ355" s="2275"/>
      <c r="HK355" s="2275"/>
      <c r="HL355" s="2275"/>
      <c r="HM355" s="2275"/>
      <c r="HN355" s="2275"/>
      <c r="HO355" s="2275"/>
      <c r="HP355" s="2275"/>
      <c r="HQ355" s="2275"/>
      <c r="HR355" s="2275"/>
      <c r="HS355" s="2275"/>
      <c r="HT355" s="2275"/>
      <c r="HU355" s="2250"/>
      <c r="HV355" s="2250"/>
      <c r="HW355" s="2250"/>
      <c r="HX355" s="2250"/>
      <c r="HY355" s="2250"/>
      <c r="HZ355" s="2250"/>
      <c r="IA355" s="2250"/>
      <c r="IB355" s="2250"/>
      <c r="IC355" s="2250"/>
      <c r="ID355" s="2250"/>
      <c r="IE355" s="2250"/>
      <c r="IF355" s="2250"/>
      <c r="IG355" s="2250"/>
      <c r="IH355" s="2250"/>
      <c r="II355" s="2250"/>
      <c r="IJ355" s="2250"/>
      <c r="IK355" s="2250"/>
      <c r="IL355" s="2250"/>
      <c r="IN355" s="277"/>
      <c r="IO355" s="277"/>
    </row>
    <row r="356" spans="1:249" ht="21.95" customHeight="1">
      <c r="A356" s="2275"/>
      <c r="B356" s="2275"/>
      <c r="C356" s="2275"/>
      <c r="D356" s="4701" t="s">
        <v>733</v>
      </c>
      <c r="E356" s="4724"/>
      <c r="F356" s="2306" t="e">
        <f>N348</f>
        <v>#N/A</v>
      </c>
      <c r="G356" s="2307" t="e">
        <f>O348</f>
        <v>#N/A</v>
      </c>
      <c r="H356" s="1684" t="e">
        <f>O323</f>
        <v>#N/A</v>
      </c>
      <c r="I356" s="2275"/>
      <c r="J356" s="2275"/>
      <c r="K356" s="2275"/>
      <c r="L356" s="2275"/>
      <c r="M356" s="2275"/>
      <c r="N356" s="2275"/>
      <c r="O356" s="2275"/>
      <c r="P356" s="2275"/>
      <c r="Q356" s="2275"/>
      <c r="R356" s="2275"/>
      <c r="S356" s="2275"/>
      <c r="T356" s="2275"/>
      <c r="U356" s="2275"/>
      <c r="V356" s="2275"/>
      <c r="W356" s="2275"/>
      <c r="X356" s="2275"/>
      <c r="Y356" s="2275"/>
      <c r="Z356" s="2275"/>
      <c r="AA356" s="2275"/>
      <c r="AB356" s="2275"/>
      <c r="AC356" s="2275"/>
      <c r="AD356" s="2275"/>
      <c r="AE356" s="2275"/>
      <c r="AF356" s="2275"/>
      <c r="AG356" s="2275"/>
      <c r="AH356" s="2275"/>
      <c r="AI356" s="2275"/>
      <c r="AJ356" s="2275"/>
      <c r="AK356" s="2275"/>
      <c r="AL356" s="2275"/>
      <c r="AM356" s="2275"/>
      <c r="AN356" s="2275"/>
      <c r="AO356" s="2275"/>
      <c r="AP356" s="2250"/>
      <c r="AQ356" s="2250"/>
      <c r="AR356" s="2250"/>
      <c r="AS356" s="2250"/>
      <c r="AT356" s="2250"/>
      <c r="AU356" s="2250"/>
      <c r="AV356" s="2250"/>
      <c r="AW356" s="2250"/>
      <c r="AX356" s="2250"/>
      <c r="AY356" s="2250"/>
      <c r="AZ356" s="2250"/>
      <c r="BA356" s="2250"/>
      <c r="BB356" s="2250"/>
      <c r="BC356" s="2250"/>
      <c r="BD356" s="2250"/>
      <c r="BE356" s="2250"/>
      <c r="BF356" s="2276"/>
      <c r="BG356" s="2276"/>
      <c r="BH356" s="2250"/>
      <c r="BI356" s="2250"/>
      <c r="BJ356" s="2250"/>
      <c r="BK356" s="2275"/>
      <c r="BL356" s="2275"/>
      <c r="BM356" s="4701" t="s">
        <v>733</v>
      </c>
      <c r="BN356" s="4724"/>
      <c r="BO356" s="2306" t="e">
        <f>BW348</f>
        <v>#N/A</v>
      </c>
      <c r="BP356" s="2307" t="e">
        <f>BX348</f>
        <v>#N/A</v>
      </c>
      <c r="BQ356" s="1684" t="e">
        <f>BX323</f>
        <v>#N/A</v>
      </c>
      <c r="BR356" s="2275"/>
      <c r="BS356" s="2275"/>
      <c r="BT356" s="2275"/>
      <c r="BU356" s="2275"/>
      <c r="BV356" s="2275"/>
      <c r="BW356" s="2275"/>
      <c r="BX356" s="2275"/>
      <c r="BY356" s="2275"/>
      <c r="BZ356" s="2275"/>
      <c r="CA356" s="2275"/>
      <c r="CB356" s="2275"/>
      <c r="CC356" s="2275"/>
      <c r="CD356" s="2275"/>
      <c r="CE356" s="2275"/>
      <c r="CF356" s="2275"/>
      <c r="CG356" s="2275"/>
      <c r="CH356" s="2275"/>
      <c r="CI356" s="2275"/>
      <c r="CJ356" s="2275"/>
      <c r="CK356" s="2275"/>
      <c r="CL356" s="2275"/>
      <c r="CM356" s="2275"/>
      <c r="CN356" s="2275"/>
      <c r="CO356" s="2275"/>
      <c r="CP356" s="2275"/>
      <c r="CQ356" s="2275"/>
      <c r="CR356" s="2275"/>
      <c r="CS356" s="2275"/>
      <c r="CT356" s="2275"/>
      <c r="CU356" s="2275"/>
      <c r="CV356" s="2275"/>
      <c r="CW356" s="2275"/>
      <c r="CX356" s="2275"/>
      <c r="CY356" s="2250"/>
      <c r="CZ356" s="2250"/>
      <c r="DA356" s="2250"/>
      <c r="DB356" s="2250"/>
      <c r="DC356" s="2250"/>
      <c r="DD356" s="2250"/>
      <c r="DE356" s="2250"/>
      <c r="DF356" s="2250"/>
      <c r="DG356" s="2250"/>
      <c r="DH356" s="2250"/>
      <c r="DI356" s="2250"/>
      <c r="DJ356" s="2250"/>
      <c r="DK356" s="2250"/>
      <c r="DL356" s="2250"/>
      <c r="DM356" s="2250"/>
      <c r="DN356" s="2250"/>
      <c r="DO356" s="2250"/>
      <c r="DP356" s="2250"/>
      <c r="DQ356" s="2277"/>
      <c r="DR356" s="2277"/>
      <c r="DS356" s="277"/>
      <c r="DW356" s="2275"/>
      <c r="DX356" s="2275"/>
      <c r="DY356" s="2275"/>
      <c r="DZ356" s="4701" t="s">
        <v>733</v>
      </c>
      <c r="EA356" s="4724"/>
      <c r="EB356" s="2306" t="e">
        <f>EJ348</f>
        <v>#N/A</v>
      </c>
      <c r="EC356" s="2307" t="e">
        <f>EK348</f>
        <v>#N/A</v>
      </c>
      <c r="ED356" s="1684" t="e">
        <f>EK323</f>
        <v>#N/A</v>
      </c>
      <c r="EE356" s="2275"/>
      <c r="EF356" s="2275"/>
      <c r="EG356" s="2275"/>
      <c r="EH356" s="2275"/>
      <c r="EI356" s="2275"/>
      <c r="EJ356" s="2275"/>
      <c r="EK356" s="2275"/>
      <c r="EL356" s="2275"/>
      <c r="EM356" s="2275"/>
      <c r="EN356" s="2275"/>
      <c r="EO356" s="2275"/>
      <c r="EP356" s="2275"/>
      <c r="EQ356" s="2275"/>
      <c r="ER356" s="2275"/>
      <c r="ES356" s="2275"/>
      <c r="ET356" s="2275"/>
      <c r="EU356" s="2275"/>
      <c r="EV356" s="2275"/>
      <c r="EW356" s="2275"/>
      <c r="EX356" s="2275"/>
      <c r="EY356" s="2275"/>
      <c r="EZ356" s="2275"/>
      <c r="FA356" s="2275"/>
      <c r="FB356" s="2275"/>
      <c r="FC356" s="2275"/>
      <c r="FD356" s="2275"/>
      <c r="FE356" s="2275"/>
      <c r="FF356" s="2275"/>
      <c r="FG356" s="2275"/>
      <c r="FH356" s="2275"/>
      <c r="FI356" s="2275"/>
      <c r="FJ356" s="2275"/>
      <c r="FK356" s="2275"/>
      <c r="FL356" s="2250"/>
      <c r="FM356" s="2250"/>
      <c r="FN356" s="2250"/>
      <c r="FO356" s="2250"/>
      <c r="FP356" s="2250"/>
      <c r="FQ356" s="2250"/>
      <c r="FR356" s="2250"/>
      <c r="FS356" s="2250"/>
      <c r="FT356" s="2250"/>
      <c r="FU356" s="2250"/>
      <c r="FV356" s="2250"/>
      <c r="FW356" s="2250"/>
      <c r="FX356" s="2250"/>
      <c r="FY356" s="2250"/>
      <c r="FZ356" s="2250"/>
      <c r="GA356" s="2250"/>
      <c r="GB356" s="2276"/>
      <c r="GC356" s="2276"/>
      <c r="GD356" s="2250"/>
      <c r="GE356" s="2250"/>
      <c r="GF356" s="2250"/>
      <c r="GG356" s="2275"/>
      <c r="GH356" s="2275"/>
      <c r="GI356" s="4701" t="s">
        <v>733</v>
      </c>
      <c r="GJ356" s="4724"/>
      <c r="GK356" s="2306" t="e">
        <f>GS348</f>
        <v>#N/A</v>
      </c>
      <c r="GL356" s="2307" t="e">
        <f>GT348</f>
        <v>#N/A</v>
      </c>
      <c r="GM356" s="1684" t="e">
        <f>GT323</f>
        <v>#N/A</v>
      </c>
      <c r="GN356" s="2275"/>
      <c r="GO356" s="2275"/>
      <c r="GP356" s="2275"/>
      <c r="GQ356" s="2275"/>
      <c r="GR356" s="2275"/>
      <c r="GS356" s="2275"/>
      <c r="GT356" s="2275"/>
      <c r="GU356" s="2275"/>
      <c r="GV356" s="2275"/>
      <c r="GW356" s="2275"/>
      <c r="GX356" s="2275"/>
      <c r="GY356" s="2275"/>
      <c r="GZ356" s="2275"/>
      <c r="HA356" s="2275"/>
      <c r="HB356" s="2275"/>
      <c r="HC356" s="2275"/>
      <c r="HD356" s="2275"/>
      <c r="HE356" s="2275"/>
      <c r="HF356" s="2275"/>
      <c r="HG356" s="2275"/>
      <c r="HH356" s="2275"/>
      <c r="HI356" s="2275"/>
      <c r="HJ356" s="2275"/>
      <c r="HK356" s="2275"/>
      <c r="HL356" s="2275"/>
      <c r="HM356" s="2275"/>
      <c r="HN356" s="2275"/>
      <c r="HO356" s="2275"/>
      <c r="HP356" s="2275"/>
      <c r="HQ356" s="2275"/>
      <c r="HR356" s="2275"/>
      <c r="HS356" s="2275"/>
      <c r="HT356" s="2275"/>
      <c r="HU356" s="2250"/>
      <c r="HV356" s="2250"/>
      <c r="HW356" s="2250"/>
      <c r="HX356" s="2250"/>
      <c r="HY356" s="2250"/>
      <c r="HZ356" s="2250"/>
      <c r="IA356" s="2250"/>
      <c r="IB356" s="2250"/>
      <c r="IC356" s="2250"/>
      <c r="ID356" s="2250"/>
      <c r="IE356" s="2250"/>
      <c r="IF356" s="2250"/>
      <c r="IG356" s="2250"/>
      <c r="IH356" s="2250"/>
      <c r="II356" s="2250"/>
      <c r="IJ356" s="2250"/>
      <c r="IK356" s="2250"/>
      <c r="IL356" s="2250"/>
      <c r="IN356" s="277"/>
      <c r="IO356" s="277"/>
    </row>
    <row r="357" spans="1:249" ht="21.95" customHeight="1">
      <c r="A357" s="2275"/>
      <c r="B357" s="2275"/>
      <c r="C357" s="2275"/>
      <c r="D357" s="4701" t="s">
        <v>734</v>
      </c>
      <c r="E357" s="4724"/>
      <c r="F357" s="2306" t="e">
        <f>X348</f>
        <v>#N/A</v>
      </c>
      <c r="G357" s="2307" t="e">
        <f>Y348</f>
        <v>#N/A</v>
      </c>
      <c r="H357" s="1684" t="e">
        <f>Y323</f>
        <v>#N/A</v>
      </c>
      <c r="I357" s="2275"/>
      <c r="J357" s="2275"/>
      <c r="K357" s="2275"/>
      <c r="L357" s="2275"/>
      <c r="M357" s="2275"/>
      <c r="N357" s="2275"/>
      <c r="O357" s="2275"/>
      <c r="P357" s="2275"/>
      <c r="Q357" s="2275"/>
      <c r="R357" s="2275"/>
      <c r="S357" s="2275"/>
      <c r="T357" s="2275"/>
      <c r="U357" s="2275"/>
      <c r="V357" s="2275"/>
      <c r="W357" s="2275"/>
      <c r="X357" s="2275"/>
      <c r="Y357" s="2275"/>
      <c r="Z357" s="2275"/>
      <c r="AA357" s="2275"/>
      <c r="AB357" s="2275"/>
      <c r="AC357" s="2275"/>
      <c r="AD357" s="2275"/>
      <c r="AE357" s="2275"/>
      <c r="AF357" s="2275"/>
      <c r="AG357" s="2275"/>
      <c r="AH357" s="2275"/>
      <c r="AI357" s="2275"/>
      <c r="AJ357" s="2275"/>
      <c r="AK357" s="2275"/>
      <c r="AL357" s="2275"/>
      <c r="AM357" s="2275"/>
      <c r="AN357" s="2275"/>
      <c r="AO357" s="2275"/>
      <c r="AP357" s="2250"/>
      <c r="AQ357" s="2250"/>
      <c r="AR357" s="2250"/>
      <c r="AS357" s="2250"/>
      <c r="AT357" s="2250"/>
      <c r="AU357" s="2250"/>
      <c r="AV357" s="2250"/>
      <c r="AW357" s="2250"/>
      <c r="AX357" s="2250"/>
      <c r="AY357" s="2250"/>
      <c r="AZ357" s="2250"/>
      <c r="BA357" s="2250"/>
      <c r="BB357" s="2250"/>
      <c r="BC357" s="2250"/>
      <c r="BD357" s="2250"/>
      <c r="BE357" s="2250"/>
      <c r="BF357" s="2276"/>
      <c r="BG357" s="2276"/>
      <c r="BH357" s="2250"/>
      <c r="BI357" s="2250"/>
      <c r="BJ357" s="2250"/>
      <c r="BK357" s="2275"/>
      <c r="BL357" s="2275"/>
      <c r="BM357" s="4701" t="s">
        <v>734</v>
      </c>
      <c r="BN357" s="4724"/>
      <c r="BO357" s="2306" t="e">
        <f>CG348</f>
        <v>#N/A</v>
      </c>
      <c r="BP357" s="2307" t="e">
        <f>CH348</f>
        <v>#N/A</v>
      </c>
      <c r="BQ357" s="1684" t="e">
        <f>CH323</f>
        <v>#N/A</v>
      </c>
      <c r="BR357" s="2275"/>
      <c r="BS357" s="2275"/>
      <c r="BT357" s="2275"/>
      <c r="BU357" s="2275"/>
      <c r="BV357" s="2275"/>
      <c r="BW357" s="2275"/>
      <c r="BX357" s="2275"/>
      <c r="BY357" s="2275"/>
      <c r="BZ357" s="2275"/>
      <c r="CA357" s="2275"/>
      <c r="CB357" s="2275"/>
      <c r="CC357" s="2275"/>
      <c r="CD357" s="2275"/>
      <c r="CE357" s="2275"/>
      <c r="CF357" s="2275"/>
      <c r="CG357" s="2275"/>
      <c r="CH357" s="2275"/>
      <c r="CI357" s="2275"/>
      <c r="CJ357" s="2275"/>
      <c r="CK357" s="2275"/>
      <c r="CL357" s="2275"/>
      <c r="CM357" s="2275"/>
      <c r="CN357" s="2275"/>
      <c r="CO357" s="2275"/>
      <c r="CP357" s="2275"/>
      <c r="CQ357" s="2275"/>
      <c r="CR357" s="2275"/>
      <c r="CS357" s="2275"/>
      <c r="CT357" s="2275"/>
      <c r="CU357" s="2275"/>
      <c r="CV357" s="2275"/>
      <c r="CW357" s="2275"/>
      <c r="CX357" s="2275"/>
      <c r="CY357" s="2250"/>
      <c r="CZ357" s="2250"/>
      <c r="DA357" s="2250"/>
      <c r="DB357" s="2250"/>
      <c r="DC357" s="2250"/>
      <c r="DD357" s="2250"/>
      <c r="DE357" s="2250"/>
      <c r="DF357" s="2250"/>
      <c r="DG357" s="2250"/>
      <c r="DH357" s="2250"/>
      <c r="DI357" s="2250"/>
      <c r="DJ357" s="2250"/>
      <c r="DK357" s="2250"/>
      <c r="DL357" s="2250"/>
      <c r="DM357" s="2250"/>
      <c r="DN357" s="2250"/>
      <c r="DO357" s="2250"/>
      <c r="DP357" s="2250"/>
      <c r="DQ357" s="2277"/>
      <c r="DR357" s="2277"/>
      <c r="DS357" s="277"/>
      <c r="DW357" s="2275"/>
      <c r="DX357" s="2275"/>
      <c r="DY357" s="2275"/>
      <c r="DZ357" s="4701" t="s">
        <v>734</v>
      </c>
      <c r="EA357" s="4724"/>
      <c r="EB357" s="2306" t="e">
        <f>ET348</f>
        <v>#N/A</v>
      </c>
      <c r="EC357" s="2307" t="e">
        <f>EU348</f>
        <v>#N/A</v>
      </c>
      <c r="ED357" s="1684" t="e">
        <f>EU323</f>
        <v>#N/A</v>
      </c>
      <c r="EE357" s="2275"/>
      <c r="EF357" s="2275"/>
      <c r="EG357" s="2275"/>
      <c r="EH357" s="2275"/>
      <c r="EI357" s="2275"/>
      <c r="EJ357" s="2275"/>
      <c r="EK357" s="2275"/>
      <c r="EL357" s="2275"/>
      <c r="EM357" s="2275"/>
      <c r="EN357" s="2275"/>
      <c r="EO357" s="2275"/>
      <c r="EP357" s="2275"/>
      <c r="EQ357" s="2275"/>
      <c r="ER357" s="2275"/>
      <c r="ES357" s="2275"/>
      <c r="ET357" s="2275"/>
      <c r="EU357" s="2275"/>
      <c r="EV357" s="2275"/>
      <c r="EW357" s="2275"/>
      <c r="EX357" s="2275"/>
      <c r="EY357" s="2275"/>
      <c r="EZ357" s="2275"/>
      <c r="FA357" s="2275"/>
      <c r="FB357" s="2275"/>
      <c r="FC357" s="2275"/>
      <c r="FD357" s="2275"/>
      <c r="FE357" s="2275"/>
      <c r="FF357" s="2275"/>
      <c r="FG357" s="2275"/>
      <c r="FH357" s="2275"/>
      <c r="FI357" s="2275"/>
      <c r="FJ357" s="2275"/>
      <c r="FK357" s="2275"/>
      <c r="FL357" s="2250"/>
      <c r="FM357" s="2250"/>
      <c r="FN357" s="2250"/>
      <c r="FO357" s="2250"/>
      <c r="FP357" s="2250"/>
      <c r="FQ357" s="2250"/>
      <c r="FR357" s="2250"/>
      <c r="FS357" s="2250"/>
      <c r="FT357" s="2250"/>
      <c r="FU357" s="2250"/>
      <c r="FV357" s="2250"/>
      <c r="FW357" s="2250"/>
      <c r="FX357" s="2250"/>
      <c r="FY357" s="2250"/>
      <c r="FZ357" s="2250"/>
      <c r="GA357" s="2250"/>
      <c r="GB357" s="2276"/>
      <c r="GC357" s="2276"/>
      <c r="GD357" s="2250"/>
      <c r="GE357" s="2250"/>
      <c r="GF357" s="2250"/>
      <c r="GG357" s="2275"/>
      <c r="GH357" s="2275"/>
      <c r="GI357" s="4701" t="s">
        <v>734</v>
      </c>
      <c r="GJ357" s="4724"/>
      <c r="GK357" s="2306" t="e">
        <f>HC348</f>
        <v>#N/A</v>
      </c>
      <c r="GL357" s="2307" t="e">
        <f>HD348</f>
        <v>#N/A</v>
      </c>
      <c r="GM357" s="1684" t="e">
        <f>HD323</f>
        <v>#N/A</v>
      </c>
      <c r="GN357" s="2275"/>
      <c r="GO357" s="2275"/>
      <c r="GP357" s="2275"/>
      <c r="GQ357" s="2275"/>
      <c r="GR357" s="2275"/>
      <c r="GS357" s="2275"/>
      <c r="GT357" s="2275"/>
      <c r="GU357" s="2275"/>
      <c r="GV357" s="2275"/>
      <c r="GW357" s="2275"/>
      <c r="GX357" s="2275"/>
      <c r="GY357" s="2275"/>
      <c r="GZ357" s="2275"/>
      <c r="HA357" s="2275"/>
      <c r="HB357" s="2275"/>
      <c r="HC357" s="2275"/>
      <c r="HD357" s="2275"/>
      <c r="HE357" s="2275"/>
      <c r="HF357" s="2275"/>
      <c r="HG357" s="2275"/>
      <c r="HH357" s="2275"/>
      <c r="HI357" s="2275"/>
      <c r="HJ357" s="2275"/>
      <c r="HK357" s="2275"/>
      <c r="HL357" s="2275"/>
      <c r="HM357" s="2275"/>
      <c r="HN357" s="2275"/>
      <c r="HO357" s="2275"/>
      <c r="HP357" s="2275"/>
      <c r="HQ357" s="2275"/>
      <c r="HR357" s="2275"/>
      <c r="HS357" s="2275"/>
      <c r="HT357" s="2275"/>
      <c r="HU357" s="2250"/>
      <c r="HV357" s="2250"/>
      <c r="HW357" s="2250"/>
      <c r="HX357" s="2250"/>
      <c r="HY357" s="2250"/>
      <c r="HZ357" s="2250"/>
      <c r="IA357" s="2250"/>
      <c r="IB357" s="2250"/>
      <c r="IC357" s="2250"/>
      <c r="ID357" s="2250"/>
      <c r="IE357" s="2250"/>
      <c r="IF357" s="2250"/>
      <c r="IG357" s="2250"/>
      <c r="IH357" s="2250"/>
      <c r="II357" s="2250"/>
      <c r="IJ357" s="2250"/>
      <c r="IK357" s="2250"/>
      <c r="IL357" s="2250"/>
      <c r="IN357" s="277"/>
      <c r="IO357" s="277"/>
    </row>
    <row r="358" spans="1:249" ht="21.95" customHeight="1" thickBot="1">
      <c r="A358" s="2275"/>
      <c r="B358" s="2275"/>
      <c r="C358" s="2275"/>
      <c r="D358" s="4699" t="s">
        <v>735</v>
      </c>
      <c r="E358" s="4725"/>
      <c r="F358" s="2318" t="e">
        <f>AH348</f>
        <v>#N/A</v>
      </c>
      <c r="G358" s="2319" t="e">
        <f>AI348</f>
        <v>#N/A</v>
      </c>
      <c r="H358" s="1684" t="e">
        <f>AI323</f>
        <v>#N/A</v>
      </c>
      <c r="I358" s="2275"/>
      <c r="J358" s="2275"/>
      <c r="K358" s="2275"/>
      <c r="L358" s="2275"/>
      <c r="M358" s="2275"/>
      <c r="N358" s="2275"/>
      <c r="O358" s="2275"/>
      <c r="P358" s="2275"/>
      <c r="Q358" s="2275"/>
      <c r="R358" s="2275"/>
      <c r="S358" s="2275"/>
      <c r="T358" s="2275"/>
      <c r="U358" s="2275"/>
      <c r="V358" s="2275"/>
      <c r="W358" s="2275"/>
      <c r="X358" s="2275"/>
      <c r="Y358" s="2275"/>
      <c r="Z358" s="2275"/>
      <c r="AA358" s="2275"/>
      <c r="AB358" s="2275"/>
      <c r="AC358" s="2275"/>
      <c r="AD358" s="2275"/>
      <c r="AE358" s="2275"/>
      <c r="AF358" s="2275"/>
      <c r="AG358" s="2275"/>
      <c r="AH358" s="2275"/>
      <c r="AI358" s="2275"/>
      <c r="AJ358" s="2275"/>
      <c r="AK358" s="2275"/>
      <c r="AL358" s="2275"/>
      <c r="AM358" s="2275"/>
      <c r="AN358" s="2275"/>
      <c r="AO358" s="2275"/>
      <c r="AP358" s="2250"/>
      <c r="AQ358" s="2250"/>
      <c r="AR358" s="2250"/>
      <c r="AS358" s="2250"/>
      <c r="AT358" s="2250"/>
      <c r="AU358" s="2250"/>
      <c r="AV358" s="2250"/>
      <c r="AW358" s="2250"/>
      <c r="AX358" s="2250"/>
      <c r="AY358" s="2250"/>
      <c r="AZ358" s="2250"/>
      <c r="BA358" s="2250"/>
      <c r="BB358" s="2250"/>
      <c r="BC358" s="2250"/>
      <c r="BD358" s="2250"/>
      <c r="BE358" s="2250"/>
      <c r="BF358" s="2276"/>
      <c r="BG358" s="2276"/>
      <c r="BH358" s="2250"/>
      <c r="BI358" s="2250"/>
      <c r="BJ358" s="2250"/>
      <c r="BK358" s="2275"/>
      <c r="BL358" s="2275"/>
      <c r="BM358" s="4699" t="s">
        <v>735</v>
      </c>
      <c r="BN358" s="4725"/>
      <c r="BO358" s="2318" t="e">
        <f>CQ348</f>
        <v>#N/A</v>
      </c>
      <c r="BP358" s="2319" t="e">
        <f>CR348</f>
        <v>#N/A</v>
      </c>
      <c r="BQ358" s="1684" t="e">
        <f>CR323</f>
        <v>#N/A</v>
      </c>
      <c r="BR358" s="2275"/>
      <c r="BS358" s="2275"/>
      <c r="BT358" s="2275"/>
      <c r="BU358" s="2275"/>
      <c r="BV358" s="2275"/>
      <c r="BW358" s="2275"/>
      <c r="BX358" s="2275"/>
      <c r="BY358" s="2275"/>
      <c r="BZ358" s="2275"/>
      <c r="CA358" s="2275"/>
      <c r="CB358" s="2275"/>
      <c r="CC358" s="2275"/>
      <c r="CD358" s="2275"/>
      <c r="CE358" s="2275"/>
      <c r="CF358" s="2275"/>
      <c r="CG358" s="2275"/>
      <c r="CH358" s="2275"/>
      <c r="CI358" s="2275"/>
      <c r="CJ358" s="2275"/>
      <c r="CK358" s="2275"/>
      <c r="CL358" s="2275"/>
      <c r="CM358" s="2275"/>
      <c r="CN358" s="2275"/>
      <c r="CO358" s="2275"/>
      <c r="CP358" s="2275"/>
      <c r="CQ358" s="2275"/>
      <c r="CR358" s="2275"/>
      <c r="CS358" s="2275"/>
      <c r="CT358" s="2275"/>
      <c r="CU358" s="2275"/>
      <c r="CV358" s="2275"/>
      <c r="CW358" s="2275"/>
      <c r="CX358" s="2275"/>
      <c r="CY358" s="2250"/>
      <c r="CZ358" s="2250"/>
      <c r="DA358" s="2250"/>
      <c r="DB358" s="2250"/>
      <c r="DC358" s="2250"/>
      <c r="DD358" s="2250"/>
      <c r="DE358" s="2250"/>
      <c r="DF358" s="2250"/>
      <c r="DG358" s="2250"/>
      <c r="DH358" s="2250"/>
      <c r="DI358" s="2250"/>
      <c r="DJ358" s="2250"/>
      <c r="DK358" s="2250"/>
      <c r="DL358" s="2250"/>
      <c r="DM358" s="2250"/>
      <c r="DN358" s="2250"/>
      <c r="DO358" s="2250"/>
      <c r="DP358" s="2250"/>
      <c r="DQ358" s="2277"/>
      <c r="DR358" s="2277"/>
      <c r="DS358" s="277"/>
      <c r="DW358" s="2275"/>
      <c r="DX358" s="2275"/>
      <c r="DY358" s="2275"/>
      <c r="DZ358" s="4699" t="s">
        <v>735</v>
      </c>
      <c r="EA358" s="4725"/>
      <c r="EB358" s="2318" t="e">
        <f>FD348</f>
        <v>#N/A</v>
      </c>
      <c r="EC358" s="2319" t="e">
        <f>FE348</f>
        <v>#N/A</v>
      </c>
      <c r="ED358" s="1684" t="e">
        <f>FE323</f>
        <v>#N/A</v>
      </c>
      <c r="EE358" s="2275"/>
      <c r="EF358" s="2275"/>
      <c r="EG358" s="2275"/>
      <c r="EH358" s="2275"/>
      <c r="EI358" s="2275"/>
      <c r="EJ358" s="2275"/>
      <c r="EK358" s="2275"/>
      <c r="EL358" s="2275"/>
      <c r="EM358" s="2275"/>
      <c r="EN358" s="2275"/>
      <c r="EO358" s="2275"/>
      <c r="EP358" s="2275"/>
      <c r="EQ358" s="2275"/>
      <c r="ER358" s="2275"/>
      <c r="ES358" s="2275"/>
      <c r="ET358" s="2275"/>
      <c r="EU358" s="2275"/>
      <c r="EV358" s="2275"/>
      <c r="EW358" s="2275"/>
      <c r="EX358" s="2275"/>
      <c r="EY358" s="2275"/>
      <c r="EZ358" s="2275"/>
      <c r="FA358" s="2275"/>
      <c r="FB358" s="2275"/>
      <c r="FC358" s="2275"/>
      <c r="FD358" s="2275"/>
      <c r="FE358" s="2275"/>
      <c r="FF358" s="2275"/>
      <c r="FG358" s="2275"/>
      <c r="FH358" s="2275"/>
      <c r="FI358" s="2275"/>
      <c r="FJ358" s="2275"/>
      <c r="FK358" s="2275"/>
      <c r="FL358" s="2250"/>
      <c r="FM358" s="2250"/>
      <c r="FN358" s="2250"/>
      <c r="FO358" s="2250"/>
      <c r="FP358" s="2250"/>
      <c r="FQ358" s="2250"/>
      <c r="FR358" s="2250"/>
      <c r="FS358" s="2250"/>
      <c r="FT358" s="2250"/>
      <c r="FU358" s="2250"/>
      <c r="FV358" s="2250"/>
      <c r="FW358" s="2250"/>
      <c r="FX358" s="2250"/>
      <c r="FY358" s="2250"/>
      <c r="FZ358" s="2250"/>
      <c r="GA358" s="2250"/>
      <c r="GB358" s="2276"/>
      <c r="GC358" s="2276"/>
      <c r="GD358" s="2250"/>
      <c r="GE358" s="2250"/>
      <c r="GF358" s="2250"/>
      <c r="GG358" s="2275"/>
      <c r="GH358" s="2275"/>
      <c r="GI358" s="4699" t="s">
        <v>735</v>
      </c>
      <c r="GJ358" s="4725"/>
      <c r="GK358" s="2318" t="e">
        <f>HM348</f>
        <v>#N/A</v>
      </c>
      <c r="GL358" s="2319" t="e">
        <f>HN348</f>
        <v>#N/A</v>
      </c>
      <c r="GM358" s="1684" t="e">
        <f>HN323</f>
        <v>#N/A</v>
      </c>
      <c r="GN358" s="2275"/>
      <c r="GO358" s="2275"/>
      <c r="GP358" s="2275"/>
      <c r="GQ358" s="2275"/>
      <c r="GR358" s="2275"/>
      <c r="GS358" s="2275"/>
      <c r="GT358" s="2275"/>
      <c r="GU358" s="2275"/>
      <c r="GV358" s="2275"/>
      <c r="GW358" s="2275"/>
      <c r="GX358" s="2275"/>
      <c r="GY358" s="2275"/>
      <c r="GZ358" s="2275"/>
      <c r="HA358" s="2275"/>
      <c r="HB358" s="2275"/>
      <c r="HC358" s="2275"/>
      <c r="HD358" s="2275"/>
      <c r="HE358" s="2275"/>
      <c r="HF358" s="2275"/>
      <c r="HG358" s="2275"/>
      <c r="HH358" s="2275"/>
      <c r="HI358" s="2275"/>
      <c r="HJ358" s="2275"/>
      <c r="HK358" s="2275"/>
      <c r="HL358" s="2275"/>
      <c r="HM358" s="2275"/>
      <c r="HN358" s="2275"/>
      <c r="HO358" s="2275"/>
      <c r="HP358" s="2275"/>
      <c r="HQ358" s="2275"/>
      <c r="HR358" s="2275"/>
      <c r="HS358" s="2275"/>
      <c r="HT358" s="2275"/>
      <c r="HU358" s="2250"/>
      <c r="HV358" s="2250"/>
      <c r="HW358" s="2250"/>
      <c r="HX358" s="2250"/>
      <c r="HY358" s="2250"/>
      <c r="HZ358" s="2250"/>
      <c r="IA358" s="2250"/>
      <c r="IB358" s="2250"/>
      <c r="IC358" s="2250"/>
      <c r="ID358" s="2250"/>
      <c r="IE358" s="2250"/>
      <c r="IF358" s="2250"/>
      <c r="IG358" s="2250"/>
      <c r="IH358" s="2250"/>
      <c r="II358" s="2250"/>
      <c r="IJ358" s="2250"/>
      <c r="IK358" s="2250"/>
      <c r="IL358" s="2250"/>
      <c r="IN358" s="277"/>
      <c r="IO358" s="277"/>
    </row>
    <row r="359" spans="1:249" ht="21.95" customHeight="1">
      <c r="A359" s="2275"/>
      <c r="B359" s="2275"/>
      <c r="C359" s="2275"/>
      <c r="D359" s="2275"/>
      <c r="E359" s="2275"/>
      <c r="F359" s="2275"/>
      <c r="G359" s="2275"/>
      <c r="H359" s="2275"/>
      <c r="I359" s="2275"/>
      <c r="J359" s="2275"/>
      <c r="K359" s="2275"/>
      <c r="L359" s="2275"/>
      <c r="M359" s="2275"/>
      <c r="N359" s="2275"/>
      <c r="O359" s="2275"/>
      <c r="P359" s="2275"/>
      <c r="Q359" s="2275"/>
      <c r="R359" s="2275"/>
      <c r="S359" s="2275"/>
      <c r="T359" s="2275"/>
      <c r="U359" s="2275"/>
      <c r="V359" s="2275"/>
      <c r="W359" s="2275"/>
      <c r="X359" s="2275"/>
      <c r="Y359" s="2275"/>
      <c r="Z359" s="2275"/>
      <c r="AA359" s="2275"/>
      <c r="AB359" s="2275"/>
      <c r="AC359" s="2275"/>
      <c r="AD359" s="2275"/>
      <c r="AE359" s="2275"/>
      <c r="AF359" s="2275"/>
      <c r="AG359" s="2275"/>
      <c r="AH359" s="2275"/>
      <c r="AI359" s="2275"/>
      <c r="AJ359" s="2275"/>
      <c r="AK359" s="2275"/>
      <c r="AL359" s="2275"/>
      <c r="AM359" s="2275"/>
      <c r="AN359" s="2275"/>
      <c r="AO359" s="2275"/>
      <c r="AP359" s="2250"/>
      <c r="AQ359" s="2250"/>
      <c r="AR359" s="2250"/>
      <c r="AS359" s="2250"/>
      <c r="AT359" s="2250"/>
      <c r="AU359" s="2250"/>
      <c r="AV359" s="2250"/>
      <c r="AW359" s="2250"/>
      <c r="AX359" s="2250"/>
      <c r="AY359" s="2250"/>
      <c r="AZ359" s="2250"/>
      <c r="BA359" s="2250"/>
      <c r="BB359" s="2250"/>
      <c r="BC359" s="2250"/>
      <c r="BD359" s="2250"/>
      <c r="BE359" s="2250"/>
      <c r="BF359" s="2276"/>
      <c r="BG359" s="2276"/>
      <c r="BH359" s="2250"/>
      <c r="BI359" s="2250"/>
      <c r="BJ359" s="2250"/>
      <c r="BK359" s="2275"/>
      <c r="BL359" s="2275"/>
      <c r="BM359" s="2275"/>
      <c r="BN359" s="2275"/>
      <c r="BO359" s="2275"/>
      <c r="BP359" s="2275"/>
      <c r="BQ359" s="2275"/>
      <c r="BR359" s="2275"/>
      <c r="BS359" s="2275"/>
      <c r="BT359" s="2275"/>
      <c r="BU359" s="2275"/>
      <c r="BV359" s="2275"/>
      <c r="BW359" s="2275"/>
      <c r="BX359" s="2275"/>
      <c r="BY359" s="2275"/>
      <c r="BZ359" s="2275"/>
      <c r="CA359" s="2275"/>
      <c r="CB359" s="2275"/>
      <c r="CC359" s="2275"/>
      <c r="CD359" s="2275"/>
      <c r="CE359" s="2275"/>
      <c r="CF359" s="2275"/>
      <c r="CG359" s="2275"/>
      <c r="CH359" s="2275"/>
      <c r="CI359" s="2275"/>
      <c r="CJ359" s="2275"/>
      <c r="CK359" s="2275"/>
      <c r="CL359" s="2275"/>
      <c r="CM359" s="2275"/>
      <c r="CN359" s="2275"/>
      <c r="CO359" s="2275"/>
      <c r="CP359" s="2275"/>
      <c r="CQ359" s="2275"/>
      <c r="CR359" s="2275"/>
      <c r="CS359" s="2275"/>
      <c r="CT359" s="2275"/>
      <c r="CU359" s="2275"/>
      <c r="CV359" s="2275"/>
      <c r="CW359" s="2275"/>
      <c r="CX359" s="2275"/>
      <c r="CY359" s="2250"/>
      <c r="CZ359" s="2250"/>
      <c r="DA359" s="2250"/>
      <c r="DB359" s="2250"/>
      <c r="DC359" s="2250"/>
      <c r="DD359" s="2250"/>
      <c r="DE359" s="2250"/>
      <c r="DF359" s="2250"/>
      <c r="DG359" s="2250"/>
      <c r="DH359" s="2250"/>
      <c r="DI359" s="2250"/>
      <c r="DJ359" s="2250"/>
      <c r="DK359" s="2250"/>
      <c r="DL359" s="2250"/>
      <c r="DM359" s="2250"/>
      <c r="DN359" s="2250"/>
      <c r="DO359" s="2250"/>
      <c r="DP359" s="2250"/>
      <c r="DQ359" s="2277"/>
      <c r="DR359" s="2277"/>
      <c r="DS359" s="277"/>
      <c r="DW359" s="2275"/>
      <c r="DX359" s="2275"/>
      <c r="DY359" s="2275"/>
      <c r="DZ359" s="2275"/>
      <c r="EA359" s="2275"/>
      <c r="EB359" s="2275"/>
      <c r="EC359" s="2275"/>
      <c r="ED359" s="2275"/>
      <c r="EE359" s="2275"/>
      <c r="EF359" s="2275"/>
      <c r="EG359" s="2275"/>
      <c r="EH359" s="2275"/>
      <c r="EI359" s="2275"/>
      <c r="EJ359" s="2275"/>
      <c r="EK359" s="2275"/>
      <c r="EL359" s="2275"/>
      <c r="EM359" s="2275"/>
      <c r="EN359" s="2275"/>
      <c r="EO359" s="2275"/>
      <c r="EP359" s="2275"/>
      <c r="EQ359" s="2275"/>
      <c r="ER359" s="2275"/>
      <c r="ES359" s="2275"/>
      <c r="ET359" s="2275"/>
      <c r="EU359" s="2275"/>
      <c r="EV359" s="2275"/>
      <c r="EW359" s="2275"/>
      <c r="EX359" s="2275"/>
      <c r="EY359" s="2275"/>
      <c r="EZ359" s="2275"/>
      <c r="FA359" s="2275"/>
      <c r="FB359" s="2275"/>
      <c r="FC359" s="2275"/>
      <c r="FD359" s="2275"/>
      <c r="FE359" s="2275"/>
      <c r="FF359" s="2275"/>
      <c r="FG359" s="2275"/>
      <c r="FH359" s="2275"/>
      <c r="FI359" s="2275"/>
      <c r="FJ359" s="2275"/>
      <c r="FK359" s="2275"/>
      <c r="FL359" s="2250"/>
      <c r="FM359" s="2250"/>
      <c r="FN359" s="2250"/>
      <c r="FO359" s="2250"/>
      <c r="FP359" s="2250"/>
      <c r="FQ359" s="2250"/>
      <c r="FR359" s="2250"/>
      <c r="FS359" s="2250"/>
      <c r="FT359" s="2250"/>
      <c r="FU359" s="2250"/>
      <c r="FV359" s="2250"/>
      <c r="FW359" s="2250"/>
      <c r="FX359" s="2250"/>
      <c r="FY359" s="2250"/>
      <c r="FZ359" s="2250"/>
      <c r="GA359" s="2250"/>
      <c r="GB359" s="2276"/>
      <c r="GC359" s="2276"/>
      <c r="GD359" s="2250"/>
      <c r="GE359" s="2250"/>
      <c r="GF359" s="2250"/>
      <c r="GG359" s="2275"/>
      <c r="GH359" s="2275"/>
      <c r="GI359" s="2275"/>
      <c r="GJ359" s="2275"/>
      <c r="GK359" s="2275"/>
      <c r="GL359" s="2275"/>
      <c r="GM359" s="2275"/>
      <c r="GN359" s="2275"/>
      <c r="GO359" s="2275"/>
      <c r="GP359" s="2275"/>
      <c r="GQ359" s="2275"/>
      <c r="GR359" s="2275"/>
      <c r="GS359" s="2275"/>
      <c r="GT359" s="2275"/>
      <c r="GU359" s="2275"/>
      <c r="GV359" s="2275"/>
      <c r="GW359" s="2275"/>
      <c r="GX359" s="2275"/>
      <c r="GY359" s="2275"/>
      <c r="GZ359" s="2275"/>
      <c r="HA359" s="2275"/>
      <c r="HB359" s="2275"/>
      <c r="HC359" s="2275"/>
      <c r="HD359" s="2275"/>
      <c r="HE359" s="2275"/>
      <c r="HF359" s="2275"/>
      <c r="HG359" s="2275"/>
      <c r="HH359" s="2275"/>
      <c r="HI359" s="2275"/>
      <c r="HJ359" s="2275"/>
      <c r="HK359" s="2275"/>
      <c r="HL359" s="2275"/>
      <c r="HM359" s="2275"/>
      <c r="HN359" s="2275"/>
      <c r="HO359" s="2275"/>
      <c r="HP359" s="2275"/>
      <c r="HQ359" s="2275"/>
      <c r="HR359" s="2275"/>
      <c r="HS359" s="2275"/>
      <c r="HT359" s="2275"/>
      <c r="HU359" s="2250"/>
      <c r="HV359" s="2250"/>
      <c r="HW359" s="2250"/>
      <c r="HX359" s="2250"/>
      <c r="HY359" s="2250"/>
      <c r="HZ359" s="2250"/>
      <c r="IA359" s="2250"/>
      <c r="IB359" s="2250"/>
      <c r="IC359" s="2250"/>
      <c r="ID359" s="2250"/>
      <c r="IE359" s="2250"/>
      <c r="IF359" s="2250"/>
      <c r="IG359" s="2250"/>
      <c r="IH359" s="2250"/>
      <c r="II359" s="2250"/>
      <c r="IJ359" s="2250"/>
      <c r="IK359" s="2250"/>
      <c r="IL359" s="2250"/>
      <c r="IN359" s="277"/>
      <c r="IO359" s="277"/>
    </row>
    <row r="360" spans="1:249" ht="21.95" customHeight="1">
      <c r="A360" s="2275"/>
      <c r="B360" s="2275"/>
      <c r="C360" s="2275"/>
      <c r="D360" s="2275"/>
      <c r="E360" s="2275"/>
      <c r="F360" s="2275"/>
      <c r="G360" s="2275"/>
      <c r="H360" s="2275"/>
      <c r="I360" s="2275"/>
      <c r="J360" s="2275"/>
      <c r="K360" s="2275"/>
      <c r="L360" s="2275"/>
      <c r="M360" s="2275"/>
      <c r="N360" s="2275"/>
      <c r="O360" s="2275"/>
      <c r="P360" s="2275"/>
      <c r="Q360" s="2275"/>
      <c r="R360" s="2275"/>
      <c r="S360" s="2275"/>
      <c r="T360" s="2275"/>
      <c r="U360" s="2275"/>
      <c r="V360" s="2275"/>
      <c r="W360" s="2275"/>
      <c r="X360" s="2275"/>
      <c r="Y360" s="2275"/>
      <c r="Z360" s="2275"/>
      <c r="AA360" s="2275"/>
      <c r="AB360" s="2275"/>
      <c r="AC360" s="2275"/>
      <c r="AD360" s="2275"/>
      <c r="AE360" s="2275"/>
      <c r="AF360" s="2275"/>
      <c r="AG360" s="2275"/>
      <c r="AH360" s="2275"/>
      <c r="AI360" s="2275"/>
      <c r="AJ360" s="2275"/>
      <c r="AK360" s="2275"/>
      <c r="AL360" s="2275"/>
      <c r="AM360" s="2275"/>
      <c r="AN360" s="2275"/>
      <c r="AO360" s="2275"/>
      <c r="AP360" s="2250"/>
      <c r="AQ360" s="2250"/>
      <c r="AR360" s="2250"/>
      <c r="AS360" s="2250"/>
      <c r="AT360" s="2250"/>
      <c r="AU360" s="2250"/>
      <c r="AV360" s="2250"/>
      <c r="AW360" s="2250"/>
      <c r="AX360" s="2250"/>
      <c r="AY360" s="2250"/>
      <c r="AZ360" s="2250"/>
      <c r="BA360" s="2250"/>
      <c r="BB360" s="2250"/>
      <c r="BC360" s="2250"/>
      <c r="BD360" s="2250"/>
      <c r="BE360" s="2250"/>
      <c r="BF360" s="2276"/>
      <c r="BG360" s="2276"/>
      <c r="BH360" s="2250"/>
      <c r="BI360" s="2250"/>
      <c r="BJ360" s="2250"/>
      <c r="BK360" s="2250"/>
      <c r="BL360" s="2250"/>
      <c r="BM360" s="2250"/>
      <c r="BN360" s="2250"/>
      <c r="BO360" s="2250"/>
      <c r="BP360" s="2250"/>
      <c r="BQ360" s="2250"/>
      <c r="BR360" s="2250"/>
      <c r="BS360" s="2250"/>
      <c r="BT360" s="2250"/>
      <c r="BU360" s="2250"/>
      <c r="BV360" s="2250"/>
      <c r="BW360" s="2250"/>
      <c r="BX360" s="2250"/>
      <c r="BY360" s="2250"/>
      <c r="BZ360" s="2250"/>
      <c r="CA360" s="2250"/>
      <c r="CB360" s="2250"/>
      <c r="CC360" s="2250"/>
      <c r="CD360" s="2250"/>
      <c r="CE360" s="2250"/>
      <c r="CF360" s="2250"/>
      <c r="CG360" s="2250"/>
      <c r="CH360" s="2250"/>
      <c r="CI360" s="2250"/>
      <c r="CJ360" s="2250"/>
      <c r="CK360" s="2250"/>
      <c r="CL360" s="2250"/>
      <c r="CM360" s="2250"/>
      <c r="CN360" s="2250"/>
      <c r="CO360" s="2250"/>
      <c r="CP360" s="2250"/>
      <c r="CQ360" s="2250"/>
      <c r="CR360" s="2250"/>
      <c r="CS360" s="2250"/>
      <c r="CT360" s="2250"/>
      <c r="CU360" s="2250"/>
      <c r="CV360" s="2250"/>
      <c r="CW360" s="2250"/>
      <c r="CX360" s="2250"/>
      <c r="CY360" s="2250"/>
      <c r="CZ360" s="2250"/>
      <c r="DA360" s="2250"/>
      <c r="DB360" s="2250"/>
      <c r="DC360" s="2250"/>
      <c r="DD360" s="2250"/>
      <c r="DE360" s="2250"/>
      <c r="DF360" s="2250"/>
      <c r="DG360" s="2250"/>
      <c r="DH360" s="2250"/>
      <c r="DI360" s="2250"/>
      <c r="DJ360" s="2250"/>
      <c r="DK360" s="2250"/>
      <c r="DL360" s="2250"/>
      <c r="DM360" s="2250"/>
      <c r="DN360" s="2250"/>
      <c r="DO360" s="2250"/>
      <c r="DP360" s="2250"/>
      <c r="DQ360" s="2277"/>
      <c r="DR360" s="2277"/>
      <c r="DS360" s="277"/>
      <c r="DW360" s="2275"/>
      <c r="DX360" s="2275"/>
      <c r="DY360" s="2275"/>
      <c r="DZ360" s="2275"/>
      <c r="EA360" s="2275"/>
      <c r="EB360" s="2275"/>
      <c r="EC360" s="2275"/>
      <c r="ED360" s="2275"/>
      <c r="EE360" s="2275"/>
      <c r="EF360" s="2275"/>
      <c r="EG360" s="2275"/>
      <c r="EH360" s="2275"/>
      <c r="EI360" s="2275"/>
      <c r="EJ360" s="2275"/>
      <c r="EK360" s="2275"/>
      <c r="EL360" s="2275"/>
      <c r="EM360" s="2275"/>
      <c r="EN360" s="2275"/>
      <c r="EO360" s="2275"/>
      <c r="EP360" s="2275"/>
      <c r="EQ360" s="2275"/>
      <c r="ER360" s="2275"/>
      <c r="ES360" s="2275"/>
      <c r="ET360" s="2275"/>
      <c r="EU360" s="2275"/>
      <c r="EV360" s="2275"/>
      <c r="EW360" s="2275"/>
      <c r="EX360" s="2275"/>
      <c r="EY360" s="2275"/>
      <c r="EZ360" s="2275"/>
      <c r="FA360" s="2275"/>
      <c r="FB360" s="2275"/>
      <c r="FC360" s="2275"/>
      <c r="FD360" s="2275"/>
      <c r="FE360" s="2275"/>
      <c r="FF360" s="2275"/>
      <c r="FG360" s="2275"/>
      <c r="FH360" s="2275"/>
      <c r="FI360" s="2275"/>
      <c r="FJ360" s="2275"/>
      <c r="FK360" s="2275"/>
      <c r="FL360" s="2250"/>
      <c r="FM360" s="2250"/>
      <c r="FN360" s="2250"/>
      <c r="FO360" s="2250"/>
      <c r="FP360" s="2250"/>
      <c r="FQ360" s="2250"/>
      <c r="FR360" s="2250"/>
      <c r="FS360" s="2250"/>
      <c r="FT360" s="2250"/>
      <c r="FU360" s="2250"/>
      <c r="FV360" s="2250"/>
      <c r="FW360" s="2250"/>
      <c r="FX360" s="2250"/>
      <c r="FY360" s="2250"/>
      <c r="FZ360" s="2250"/>
      <c r="GA360" s="2250"/>
      <c r="GB360" s="2276"/>
      <c r="GC360" s="2276"/>
      <c r="GD360" s="2250"/>
      <c r="GE360" s="2250"/>
      <c r="GF360" s="2250"/>
      <c r="GG360" s="2250"/>
      <c r="GH360" s="2250"/>
      <c r="GI360" s="2250"/>
      <c r="GJ360" s="2250"/>
      <c r="GK360" s="2250"/>
      <c r="GL360" s="2250"/>
      <c r="GM360" s="2250"/>
      <c r="GN360" s="2250"/>
      <c r="GO360" s="2250"/>
      <c r="GP360" s="2250"/>
      <c r="GQ360" s="2250"/>
      <c r="GR360" s="2250"/>
      <c r="GS360" s="2250"/>
      <c r="GT360" s="2250"/>
      <c r="GU360" s="2250"/>
      <c r="GV360" s="2250"/>
      <c r="GW360" s="2250"/>
      <c r="GX360" s="2250"/>
      <c r="GY360" s="2250"/>
      <c r="GZ360" s="2250"/>
      <c r="HA360" s="2250"/>
      <c r="HB360" s="2250"/>
      <c r="HC360" s="2250"/>
      <c r="HD360" s="2250"/>
      <c r="HE360" s="2250"/>
      <c r="HF360" s="2250"/>
      <c r="HG360" s="2250"/>
      <c r="HH360" s="2250"/>
      <c r="HI360" s="2250"/>
      <c r="HJ360" s="2250"/>
      <c r="HK360" s="2250"/>
      <c r="HL360" s="2250"/>
      <c r="HM360" s="2250"/>
      <c r="HN360" s="2250"/>
      <c r="HO360" s="2250"/>
      <c r="HP360" s="2250"/>
      <c r="HQ360" s="2250"/>
      <c r="HR360" s="2250"/>
      <c r="HS360" s="2250"/>
      <c r="HT360" s="2250"/>
      <c r="HU360" s="2250"/>
      <c r="HV360" s="2250"/>
      <c r="HW360" s="2250"/>
      <c r="HX360" s="2250"/>
      <c r="HY360" s="2250"/>
      <c r="HZ360" s="2250"/>
      <c r="IA360" s="2250"/>
      <c r="IB360" s="2250"/>
      <c r="IC360" s="2250"/>
      <c r="ID360" s="2250"/>
      <c r="IE360" s="2250"/>
      <c r="IF360" s="2250"/>
      <c r="IG360" s="2250"/>
      <c r="IH360" s="2250"/>
      <c r="II360" s="2250"/>
      <c r="IJ360" s="2250"/>
      <c r="IK360" s="2250"/>
      <c r="IL360" s="2250"/>
      <c r="IN360" s="277"/>
      <c r="IO360" s="277"/>
    </row>
    <row r="361" spans="1:249" ht="21.95" customHeight="1">
      <c r="A361" s="2275"/>
      <c r="B361" s="2275"/>
      <c r="C361" s="2275"/>
      <c r="D361" s="2275"/>
      <c r="E361" s="2275"/>
      <c r="F361" s="2275"/>
      <c r="G361" s="2275"/>
      <c r="H361" s="2275"/>
      <c r="I361" s="2275"/>
      <c r="J361" s="2275"/>
      <c r="K361" s="2275"/>
      <c r="L361" s="2275"/>
      <c r="M361" s="2275"/>
      <c r="N361" s="2275"/>
      <c r="O361" s="2275"/>
      <c r="P361" s="2275"/>
      <c r="Q361" s="2275"/>
      <c r="R361" s="2275"/>
      <c r="S361" s="2275"/>
      <c r="T361" s="2275"/>
      <c r="U361" s="2275"/>
      <c r="V361" s="2275"/>
      <c r="W361" s="2275"/>
      <c r="X361" s="2275"/>
      <c r="Y361" s="2275"/>
      <c r="Z361" s="2275"/>
      <c r="AA361" s="2275"/>
      <c r="AB361" s="2275"/>
      <c r="AC361" s="2275"/>
      <c r="AD361" s="2275"/>
      <c r="AE361" s="2275"/>
      <c r="AF361" s="2275"/>
      <c r="AG361" s="2275"/>
      <c r="AH361" s="2275"/>
      <c r="AI361" s="2275"/>
      <c r="AJ361" s="2275"/>
      <c r="AK361" s="2275"/>
      <c r="AL361" s="2275"/>
      <c r="AM361" s="2275"/>
      <c r="AN361" s="2275"/>
      <c r="AO361" s="2275"/>
      <c r="AP361" s="2250"/>
      <c r="AQ361" s="2250"/>
      <c r="AR361" s="2250"/>
      <c r="AS361" s="2250"/>
      <c r="AT361" s="2250"/>
      <c r="AU361" s="2250"/>
      <c r="AV361" s="2250"/>
      <c r="AW361" s="2250"/>
      <c r="AX361" s="2250"/>
      <c r="AY361" s="2250"/>
      <c r="AZ361" s="2250"/>
      <c r="BA361" s="2250"/>
      <c r="BB361" s="2250"/>
      <c r="BC361" s="2250"/>
      <c r="BD361" s="2250"/>
      <c r="BE361" s="2250"/>
      <c r="BF361" s="2276"/>
      <c r="BG361" s="2276"/>
      <c r="BH361" s="2250"/>
      <c r="BI361" s="2250"/>
      <c r="BJ361" s="2250"/>
      <c r="BK361" s="2250"/>
      <c r="BL361" s="2250"/>
      <c r="BM361" s="2250"/>
      <c r="BN361" s="2250"/>
      <c r="BO361" s="2250"/>
      <c r="BP361" s="2250"/>
      <c r="BQ361" s="2250"/>
      <c r="BR361" s="2250"/>
      <c r="BS361" s="2250"/>
      <c r="BT361" s="2250"/>
      <c r="BU361" s="2250"/>
      <c r="BV361" s="2250"/>
      <c r="BW361" s="2250"/>
      <c r="BX361" s="2250"/>
      <c r="BY361" s="2250"/>
      <c r="BZ361" s="2250"/>
      <c r="CA361" s="2250"/>
      <c r="CB361" s="2250"/>
      <c r="CC361" s="2250"/>
      <c r="CD361" s="2250"/>
      <c r="CE361" s="2250"/>
      <c r="CF361" s="2250"/>
      <c r="CG361" s="2250"/>
      <c r="CH361" s="2250"/>
      <c r="CI361" s="2250"/>
      <c r="CJ361" s="2250"/>
      <c r="CK361" s="2250"/>
      <c r="CL361" s="2250"/>
      <c r="CM361" s="2250"/>
      <c r="CN361" s="2250"/>
      <c r="CO361" s="2250"/>
      <c r="CP361" s="2250"/>
      <c r="CQ361" s="2250"/>
      <c r="CR361" s="2250"/>
      <c r="CS361" s="2250"/>
      <c r="CT361" s="2250"/>
      <c r="CU361" s="2250"/>
      <c r="CV361" s="2250"/>
      <c r="CW361" s="2250"/>
      <c r="CX361" s="2250"/>
      <c r="CY361" s="2250"/>
      <c r="CZ361" s="2250"/>
      <c r="DA361" s="2250"/>
      <c r="DB361" s="2250"/>
      <c r="DC361" s="2250"/>
      <c r="DD361" s="2250"/>
      <c r="DE361" s="2250"/>
      <c r="DF361" s="2250"/>
      <c r="DG361" s="2250"/>
      <c r="DH361" s="2250"/>
      <c r="DI361" s="2250"/>
      <c r="DJ361" s="2250"/>
      <c r="DK361" s="2250"/>
      <c r="DL361" s="2250"/>
      <c r="DM361" s="2250"/>
      <c r="DN361" s="2250"/>
      <c r="DO361" s="2250"/>
      <c r="DP361" s="2250"/>
      <c r="DQ361" s="2277"/>
      <c r="DR361" s="2277"/>
      <c r="DS361" s="277"/>
      <c r="DW361" s="2275"/>
      <c r="DX361" s="2275"/>
      <c r="DY361" s="2275"/>
      <c r="DZ361" s="2275"/>
      <c r="EA361" s="2275"/>
      <c r="EB361" s="2275"/>
      <c r="EC361" s="2275"/>
      <c r="ED361" s="2275"/>
      <c r="EE361" s="2275"/>
      <c r="EF361" s="2275"/>
      <c r="EG361" s="2275"/>
      <c r="EH361" s="2275"/>
      <c r="EI361" s="2275"/>
      <c r="EJ361" s="2275"/>
      <c r="EK361" s="2275"/>
      <c r="EL361" s="2275"/>
      <c r="EM361" s="2275"/>
      <c r="EN361" s="2275"/>
      <c r="EO361" s="2275"/>
      <c r="EP361" s="2275"/>
      <c r="EQ361" s="2275"/>
      <c r="ER361" s="2275"/>
      <c r="ES361" s="2275"/>
      <c r="ET361" s="2275"/>
      <c r="EU361" s="2275"/>
      <c r="EV361" s="2275"/>
      <c r="EW361" s="2275"/>
      <c r="EX361" s="2275"/>
      <c r="EY361" s="2275"/>
      <c r="EZ361" s="2275"/>
      <c r="FA361" s="2275"/>
      <c r="FB361" s="2275"/>
      <c r="FC361" s="2275"/>
      <c r="FD361" s="2275"/>
      <c r="FE361" s="2275"/>
      <c r="FF361" s="2275"/>
      <c r="FG361" s="2275"/>
      <c r="FH361" s="2275"/>
      <c r="FI361" s="2275"/>
      <c r="FJ361" s="2275"/>
      <c r="FK361" s="2275"/>
      <c r="FL361" s="2250"/>
      <c r="FM361" s="2250"/>
      <c r="FN361" s="2250"/>
      <c r="FO361" s="2250"/>
      <c r="FP361" s="2250"/>
      <c r="FQ361" s="2250"/>
      <c r="FR361" s="2250"/>
      <c r="FS361" s="2250"/>
      <c r="FT361" s="2250"/>
      <c r="FU361" s="2250"/>
      <c r="FV361" s="2250"/>
      <c r="FW361" s="2250"/>
      <c r="FX361" s="2250"/>
      <c r="FY361" s="2250"/>
      <c r="FZ361" s="2250"/>
      <c r="GA361" s="2250"/>
      <c r="GB361" s="2276"/>
      <c r="GC361" s="2276"/>
      <c r="GD361" s="2250"/>
      <c r="GE361" s="2250"/>
      <c r="GF361" s="2250"/>
      <c r="GG361" s="2250"/>
      <c r="GH361" s="2250"/>
      <c r="GI361" s="2250"/>
      <c r="GJ361" s="2250"/>
      <c r="GK361" s="2250"/>
      <c r="GL361" s="2250"/>
      <c r="GM361" s="2250"/>
      <c r="GN361" s="2250"/>
      <c r="GO361" s="2250"/>
      <c r="GP361" s="2250"/>
      <c r="GQ361" s="2250"/>
      <c r="GR361" s="2250"/>
      <c r="GS361" s="2250"/>
      <c r="GT361" s="2250"/>
      <c r="GU361" s="2250"/>
      <c r="GV361" s="2250"/>
      <c r="GW361" s="2250"/>
      <c r="GX361" s="2250"/>
      <c r="GY361" s="2250"/>
      <c r="GZ361" s="2250"/>
      <c r="HA361" s="2250"/>
      <c r="HB361" s="2250"/>
      <c r="HC361" s="2250"/>
      <c r="HD361" s="2250"/>
      <c r="HE361" s="2250"/>
      <c r="HF361" s="2250"/>
      <c r="HG361" s="2250"/>
      <c r="HH361" s="2250"/>
      <c r="HI361" s="2250"/>
      <c r="HJ361" s="2250"/>
      <c r="HK361" s="2250"/>
      <c r="HL361" s="2250"/>
      <c r="HM361" s="2250"/>
      <c r="HN361" s="2250"/>
      <c r="HO361" s="2250"/>
      <c r="HP361" s="2250"/>
      <c r="HQ361" s="2250"/>
      <c r="HR361" s="2250"/>
      <c r="HS361" s="2250"/>
      <c r="HT361" s="2250"/>
      <c r="HU361" s="2250"/>
      <c r="HV361" s="2250"/>
      <c r="HW361" s="2250"/>
      <c r="HX361" s="2250"/>
      <c r="HY361" s="2250"/>
      <c r="HZ361" s="2250"/>
      <c r="IA361" s="2250"/>
      <c r="IB361" s="2250"/>
      <c r="IC361" s="2250"/>
      <c r="ID361" s="2250"/>
      <c r="IE361" s="2250"/>
      <c r="IF361" s="2250"/>
      <c r="IG361" s="2250"/>
      <c r="IH361" s="2250"/>
      <c r="II361" s="2250"/>
      <c r="IJ361" s="2250"/>
      <c r="IK361" s="2250"/>
      <c r="IL361" s="2250"/>
      <c r="IN361" s="277"/>
      <c r="IO361" s="277"/>
    </row>
    <row r="362" spans="1:249" ht="21.95" customHeight="1">
      <c r="A362" s="2275"/>
      <c r="B362" s="2275"/>
      <c r="C362" s="2275"/>
      <c r="D362" s="2275"/>
      <c r="E362" s="2275"/>
      <c r="F362" s="2275"/>
      <c r="G362" s="2275"/>
      <c r="H362" s="2275"/>
      <c r="I362" s="2275"/>
      <c r="J362" s="2275"/>
      <c r="K362" s="2275"/>
      <c r="L362" s="2275"/>
      <c r="M362" s="2275"/>
      <c r="N362" s="2275"/>
      <c r="O362" s="2275"/>
      <c r="P362" s="2275"/>
      <c r="Q362" s="2275"/>
      <c r="R362" s="2275"/>
      <c r="S362" s="2275"/>
      <c r="T362" s="2275"/>
      <c r="U362" s="2275"/>
      <c r="V362" s="2275"/>
      <c r="W362" s="2275"/>
      <c r="X362" s="2275"/>
      <c r="Y362" s="2275"/>
      <c r="Z362" s="2275"/>
      <c r="AA362" s="2275"/>
      <c r="AB362" s="2275"/>
      <c r="AC362" s="2275"/>
      <c r="AD362" s="2275"/>
      <c r="AE362" s="2275"/>
      <c r="AF362" s="2275"/>
      <c r="AG362" s="2275"/>
      <c r="AH362" s="2275"/>
      <c r="AI362" s="2275"/>
      <c r="AJ362" s="2275"/>
      <c r="AK362" s="2275"/>
      <c r="AL362" s="2275"/>
      <c r="AM362" s="2275"/>
      <c r="AN362" s="2275"/>
      <c r="AO362" s="2275"/>
      <c r="AP362" s="2250"/>
      <c r="AQ362" s="2250"/>
      <c r="AR362" s="2250"/>
      <c r="AS362" s="2250"/>
      <c r="AT362" s="2250"/>
      <c r="AU362" s="2250"/>
      <c r="AV362" s="2250"/>
      <c r="AW362" s="2250"/>
      <c r="AX362" s="2250"/>
      <c r="AY362" s="2250"/>
      <c r="AZ362" s="2250"/>
      <c r="BA362" s="2250"/>
      <c r="BB362" s="2250"/>
      <c r="BC362" s="2250"/>
      <c r="BD362" s="2250"/>
      <c r="BE362" s="2250"/>
      <c r="BF362" s="2276"/>
      <c r="BG362" s="2276"/>
      <c r="BH362" s="2250"/>
      <c r="BI362" s="2250"/>
      <c r="BJ362" s="2250"/>
      <c r="BK362" s="2250"/>
      <c r="BL362" s="2250"/>
      <c r="BM362" s="2250"/>
      <c r="BN362" s="2250"/>
      <c r="BO362" s="2250"/>
      <c r="BP362" s="2250"/>
      <c r="BQ362" s="2250"/>
      <c r="BR362" s="2250"/>
      <c r="BS362" s="2250"/>
      <c r="BT362" s="2250"/>
      <c r="BU362" s="2250"/>
      <c r="BV362" s="2250"/>
      <c r="BW362" s="2250"/>
      <c r="BX362" s="2250"/>
      <c r="BY362" s="2250"/>
      <c r="BZ362" s="2250"/>
      <c r="CA362" s="2250"/>
      <c r="CB362" s="2250"/>
      <c r="CC362" s="2250"/>
      <c r="CD362" s="2250"/>
      <c r="CE362" s="2250"/>
      <c r="CF362" s="2250"/>
      <c r="CG362" s="2250"/>
      <c r="CH362" s="2250"/>
      <c r="CI362" s="2250"/>
      <c r="CJ362" s="2250"/>
      <c r="CK362" s="2250"/>
      <c r="CL362" s="2250"/>
      <c r="CM362" s="2250"/>
      <c r="CN362" s="2250"/>
      <c r="CO362" s="2250"/>
      <c r="CP362" s="2250"/>
      <c r="CQ362" s="2250"/>
      <c r="CR362" s="2250"/>
      <c r="CS362" s="2250"/>
      <c r="CT362" s="2250"/>
      <c r="CU362" s="2250"/>
      <c r="CV362" s="2250"/>
      <c r="CW362" s="2250"/>
      <c r="CX362" s="2250"/>
      <c r="CY362" s="2250"/>
      <c r="CZ362" s="2250"/>
      <c r="DA362" s="2250"/>
      <c r="DB362" s="2250"/>
      <c r="DC362" s="2250"/>
      <c r="DD362" s="2250"/>
      <c r="DE362" s="2250"/>
      <c r="DF362" s="2250"/>
      <c r="DG362" s="2250"/>
      <c r="DH362" s="2250"/>
      <c r="DI362" s="2250"/>
      <c r="DJ362" s="2250"/>
      <c r="DK362" s="2250"/>
      <c r="DL362" s="2250"/>
      <c r="DM362" s="2250"/>
      <c r="DN362" s="2250"/>
      <c r="DO362" s="2250"/>
      <c r="DP362" s="2250"/>
      <c r="DQ362" s="2277"/>
      <c r="DR362" s="2277"/>
      <c r="DS362" s="277"/>
      <c r="DW362" s="2275"/>
      <c r="DX362" s="2275"/>
      <c r="DY362" s="2275"/>
      <c r="DZ362" s="2275"/>
      <c r="EA362" s="2275"/>
      <c r="EB362" s="2275"/>
      <c r="EC362" s="2275"/>
      <c r="ED362" s="2275"/>
      <c r="EE362" s="2275"/>
      <c r="EF362" s="2275"/>
      <c r="EG362" s="2275"/>
      <c r="EH362" s="2275"/>
      <c r="EI362" s="2275"/>
      <c r="EJ362" s="2275"/>
      <c r="EK362" s="2275"/>
      <c r="EL362" s="2275"/>
      <c r="EM362" s="2275"/>
      <c r="EN362" s="2275"/>
      <c r="EO362" s="2275"/>
      <c r="EP362" s="2275"/>
      <c r="EQ362" s="2275"/>
      <c r="ER362" s="2275"/>
      <c r="ES362" s="2275"/>
      <c r="ET362" s="2275"/>
      <c r="EU362" s="2275"/>
      <c r="EV362" s="2275"/>
      <c r="EW362" s="2275"/>
      <c r="EX362" s="2275"/>
      <c r="EY362" s="2275"/>
      <c r="EZ362" s="2275"/>
      <c r="FA362" s="2275"/>
      <c r="FB362" s="2275"/>
      <c r="FC362" s="2275"/>
      <c r="FD362" s="2275"/>
      <c r="FE362" s="2275"/>
      <c r="FF362" s="2275"/>
      <c r="FG362" s="2275"/>
      <c r="FH362" s="2275"/>
      <c r="FI362" s="2275"/>
      <c r="FJ362" s="2275"/>
      <c r="FK362" s="2275"/>
      <c r="FL362" s="2250"/>
      <c r="FM362" s="2250"/>
      <c r="FN362" s="2250"/>
      <c r="FO362" s="2250"/>
      <c r="FP362" s="2250"/>
      <c r="FQ362" s="2250"/>
      <c r="FR362" s="2250"/>
      <c r="FS362" s="2250"/>
      <c r="FT362" s="2250"/>
      <c r="FU362" s="2250"/>
      <c r="FV362" s="2250"/>
      <c r="FW362" s="2250"/>
      <c r="FX362" s="2250"/>
      <c r="FY362" s="2250"/>
      <c r="FZ362" s="2250"/>
      <c r="GA362" s="2250"/>
      <c r="GB362" s="2276"/>
      <c r="GC362" s="2276"/>
      <c r="GD362" s="2250"/>
      <c r="GE362" s="2250"/>
      <c r="GF362" s="2250"/>
      <c r="GG362" s="2250"/>
      <c r="GH362" s="2250"/>
      <c r="GI362" s="2250"/>
      <c r="GJ362" s="2250"/>
      <c r="GK362" s="2250"/>
      <c r="GL362" s="2250"/>
      <c r="GM362" s="2250"/>
      <c r="GN362" s="2250"/>
      <c r="GO362" s="2250"/>
      <c r="GP362" s="2250"/>
      <c r="GQ362" s="2250"/>
      <c r="GR362" s="2250"/>
      <c r="GS362" s="2250"/>
      <c r="GT362" s="2250"/>
      <c r="GU362" s="2250"/>
      <c r="GV362" s="2250"/>
      <c r="GW362" s="2250"/>
      <c r="GX362" s="2250"/>
      <c r="GY362" s="2250"/>
      <c r="GZ362" s="2250"/>
      <c r="HA362" s="2250"/>
      <c r="HB362" s="2250"/>
      <c r="HC362" s="2250"/>
      <c r="HD362" s="2250"/>
      <c r="HE362" s="2250"/>
      <c r="HF362" s="2250"/>
      <c r="HG362" s="2250"/>
      <c r="HH362" s="2250"/>
      <c r="HI362" s="2250"/>
      <c r="HJ362" s="2250"/>
      <c r="HK362" s="2250"/>
      <c r="HL362" s="2250"/>
      <c r="HM362" s="2250"/>
      <c r="HN362" s="2250"/>
      <c r="HO362" s="2250"/>
      <c r="HP362" s="2250"/>
      <c r="HQ362" s="2250"/>
      <c r="HR362" s="2250"/>
      <c r="HS362" s="2250"/>
      <c r="HT362" s="2250"/>
      <c r="HU362" s="2250"/>
      <c r="HV362" s="2250"/>
      <c r="HW362" s="2250"/>
      <c r="HX362" s="2250"/>
      <c r="HY362" s="2250"/>
      <c r="HZ362" s="2250"/>
      <c r="IA362" s="2250"/>
      <c r="IB362" s="2250"/>
      <c r="IC362" s="2250"/>
      <c r="ID362" s="2250"/>
      <c r="IE362" s="2250"/>
      <c r="IF362" s="2250"/>
      <c r="IG362" s="2250"/>
      <c r="IH362" s="2250"/>
      <c r="II362" s="2250"/>
      <c r="IJ362" s="2250"/>
      <c r="IK362" s="2250"/>
      <c r="IL362" s="2250"/>
      <c r="IN362" s="277"/>
      <c r="IO362" s="277"/>
    </row>
    <row r="363" spans="1:249" s="2174" customFormat="1" ht="21.95" customHeight="1">
      <c r="A363" s="2349"/>
      <c r="B363" s="2349"/>
      <c r="C363" s="2349"/>
      <c r="D363" s="2349"/>
      <c r="E363" s="2349"/>
      <c r="F363" s="2349"/>
      <c r="G363" s="2349"/>
      <c r="H363" s="2349"/>
      <c r="I363" s="2349"/>
      <c r="J363" s="2349"/>
      <c r="K363" s="2349"/>
      <c r="L363" s="2349"/>
      <c r="M363" s="2349"/>
      <c r="N363" s="2349"/>
      <c r="O363" s="2349"/>
      <c r="P363" s="2349"/>
      <c r="Q363" s="2349"/>
      <c r="R363" s="2349"/>
      <c r="S363" s="2349"/>
      <c r="T363" s="2349"/>
      <c r="U363" s="2349"/>
      <c r="V363" s="2349"/>
      <c r="W363" s="2349"/>
      <c r="X363" s="2349"/>
      <c r="Y363" s="2349"/>
      <c r="Z363" s="2349"/>
      <c r="AA363" s="2349"/>
      <c r="AB363" s="2349"/>
      <c r="AC363" s="2349"/>
      <c r="AD363" s="2349"/>
      <c r="AE363" s="2349"/>
      <c r="AF363" s="2349"/>
      <c r="AG363" s="2349"/>
      <c r="AH363" s="2349"/>
      <c r="AI363" s="2349"/>
      <c r="AJ363" s="2349"/>
      <c r="AK363" s="2349"/>
      <c r="AL363" s="2349"/>
      <c r="AM363" s="2349"/>
      <c r="AN363" s="2349"/>
      <c r="AO363" s="2349"/>
      <c r="AP363" s="2349"/>
      <c r="AQ363" s="2349"/>
      <c r="AR363" s="2349"/>
      <c r="AS363" s="2349"/>
      <c r="AT363" s="2349"/>
      <c r="AU363" s="2349"/>
      <c r="AV363" s="2349"/>
      <c r="AW363" s="2349"/>
      <c r="AX363" s="2349"/>
      <c r="AY363" s="2349"/>
      <c r="AZ363" s="2349"/>
      <c r="BA363" s="2349"/>
      <c r="BB363" s="2349"/>
      <c r="BC363" s="2349"/>
      <c r="BD363" s="2349"/>
      <c r="BE363" s="2349"/>
      <c r="BF363" s="2349"/>
      <c r="BG363" s="2349"/>
      <c r="BH363" s="2349"/>
      <c r="BI363" s="2349"/>
      <c r="BJ363" s="2349"/>
      <c r="BK363" s="2349"/>
      <c r="BL363" s="2349"/>
      <c r="BM363" s="2349"/>
      <c r="BN363" s="2349"/>
      <c r="BO363" s="2349"/>
      <c r="BP363" s="2349"/>
      <c r="BQ363" s="2349"/>
      <c r="BR363" s="2349"/>
      <c r="BS363" s="2349"/>
      <c r="BT363" s="2349"/>
      <c r="BU363" s="2349"/>
      <c r="BV363" s="2349"/>
      <c r="BW363" s="2349"/>
      <c r="BX363" s="2349"/>
      <c r="BY363" s="2349"/>
      <c r="BZ363" s="2349"/>
      <c r="CA363" s="2349"/>
      <c r="CB363" s="2349"/>
      <c r="CC363" s="2349"/>
      <c r="CD363" s="2349"/>
      <c r="CE363" s="2349"/>
      <c r="CF363" s="2349"/>
      <c r="CG363" s="2349"/>
      <c r="CH363" s="2349"/>
      <c r="CI363" s="2349"/>
      <c r="CJ363" s="2349"/>
      <c r="CK363" s="2349"/>
      <c r="CL363" s="2349"/>
      <c r="CM363" s="2349"/>
      <c r="CN363" s="2349"/>
      <c r="CO363" s="2349"/>
      <c r="CP363" s="2349"/>
      <c r="CQ363" s="2349"/>
      <c r="CR363" s="2349"/>
      <c r="CS363" s="2349"/>
      <c r="CT363" s="2349"/>
      <c r="CU363" s="2349"/>
      <c r="CV363" s="2349"/>
      <c r="CW363" s="2349"/>
      <c r="CX363" s="2349"/>
      <c r="CY363" s="2349"/>
      <c r="CZ363" s="2349"/>
      <c r="DA363" s="2349"/>
      <c r="DB363" s="2349"/>
      <c r="DC363" s="2349"/>
      <c r="DD363" s="2349"/>
      <c r="DE363" s="2349"/>
      <c r="DF363" s="2349"/>
      <c r="DG363" s="2349"/>
      <c r="DH363" s="2349"/>
      <c r="DI363" s="2349"/>
      <c r="DJ363" s="2349"/>
      <c r="DK363" s="2349"/>
      <c r="DL363" s="2349"/>
      <c r="DM363" s="2349"/>
      <c r="DN363" s="2349"/>
      <c r="DO363" s="2349"/>
      <c r="DP363" s="2349"/>
      <c r="DQ363" s="2349"/>
      <c r="DR363" s="2349"/>
      <c r="DW363" s="2349"/>
      <c r="DX363" s="2349"/>
      <c r="DY363" s="2349"/>
      <c r="DZ363" s="2349"/>
      <c r="EA363" s="2349"/>
      <c r="EB363" s="2349"/>
      <c r="EC363" s="2349"/>
      <c r="ED363" s="2349"/>
      <c r="EE363" s="2349"/>
      <c r="EF363" s="2349"/>
      <c r="EG363" s="2349"/>
      <c r="EH363" s="2349"/>
      <c r="EI363" s="2349"/>
      <c r="EJ363" s="2349"/>
      <c r="EK363" s="2349"/>
      <c r="EL363" s="2349"/>
      <c r="EM363" s="2349"/>
      <c r="EN363" s="2349"/>
      <c r="EO363" s="2349"/>
      <c r="EP363" s="2349"/>
      <c r="EQ363" s="2349"/>
      <c r="ER363" s="2349"/>
      <c r="ES363" s="2349"/>
      <c r="ET363" s="2349"/>
      <c r="EU363" s="2349"/>
      <c r="EV363" s="2349"/>
      <c r="EW363" s="2349"/>
      <c r="EX363" s="2349"/>
      <c r="EY363" s="2349"/>
      <c r="EZ363" s="2349"/>
      <c r="FA363" s="2349"/>
      <c r="FB363" s="2349"/>
      <c r="FC363" s="2349"/>
      <c r="FD363" s="2349"/>
      <c r="FE363" s="2349"/>
      <c r="FF363" s="2349"/>
      <c r="FG363" s="2349"/>
      <c r="FH363" s="2349"/>
      <c r="FI363" s="2349"/>
      <c r="FJ363" s="2349"/>
      <c r="FK363" s="2349"/>
      <c r="FL363" s="2349"/>
      <c r="FM363" s="2349"/>
      <c r="FN363" s="2349"/>
      <c r="FO363" s="2349"/>
      <c r="FP363" s="2349"/>
      <c r="FQ363" s="2349"/>
      <c r="FR363" s="2349"/>
      <c r="FS363" s="2349"/>
      <c r="FT363" s="2349"/>
      <c r="FU363" s="2349"/>
      <c r="FV363" s="2349"/>
      <c r="FW363" s="2349"/>
      <c r="FX363" s="2349"/>
      <c r="FY363" s="2349"/>
      <c r="FZ363" s="2349"/>
      <c r="GA363" s="2349"/>
      <c r="GB363" s="2349"/>
      <c r="GC363" s="2349"/>
      <c r="GD363" s="2349"/>
      <c r="GE363" s="2349"/>
      <c r="GF363" s="2349"/>
      <c r="GG363" s="2349"/>
      <c r="GH363" s="2349"/>
      <c r="GI363" s="2349"/>
      <c r="GJ363" s="2349"/>
      <c r="GK363" s="2349"/>
      <c r="GL363" s="2349"/>
      <c r="GM363" s="2349"/>
      <c r="GN363" s="2349"/>
      <c r="GO363" s="2349"/>
      <c r="GP363" s="2349"/>
      <c r="GQ363" s="2349"/>
      <c r="GR363" s="2349"/>
      <c r="GS363" s="2349"/>
      <c r="GT363" s="2349"/>
      <c r="GU363" s="2349"/>
      <c r="GV363" s="2349"/>
      <c r="GW363" s="2349"/>
      <c r="GX363" s="2349"/>
      <c r="GY363" s="2349"/>
      <c r="GZ363" s="2349"/>
      <c r="HA363" s="2349"/>
      <c r="HB363" s="2349"/>
      <c r="HC363" s="2349"/>
      <c r="HD363" s="2349"/>
      <c r="HE363" s="2349"/>
      <c r="HF363" s="2349"/>
      <c r="HG363" s="2349"/>
      <c r="HH363" s="2349"/>
      <c r="HI363" s="2349"/>
      <c r="HJ363" s="2349"/>
      <c r="HK363" s="2349"/>
      <c r="HL363" s="2349"/>
      <c r="HM363" s="2349"/>
      <c r="HN363" s="2349"/>
      <c r="HO363" s="2349"/>
      <c r="HP363" s="2349"/>
      <c r="HQ363" s="2349"/>
      <c r="HR363" s="2349"/>
      <c r="HS363" s="2349"/>
      <c r="HT363" s="2349"/>
      <c r="HU363" s="2349"/>
      <c r="HV363" s="2349"/>
      <c r="HW363" s="2349"/>
      <c r="HX363" s="2349"/>
      <c r="HY363" s="2349"/>
      <c r="HZ363" s="2349"/>
      <c r="IA363" s="2349"/>
      <c r="IB363" s="2349"/>
      <c r="IC363" s="2349"/>
      <c r="ID363" s="2349"/>
      <c r="IE363" s="2349"/>
      <c r="IF363" s="2349"/>
      <c r="IG363" s="2349"/>
      <c r="IH363" s="2349"/>
      <c r="II363" s="2349"/>
      <c r="IJ363" s="2349"/>
      <c r="IK363" s="2349"/>
      <c r="IL363" s="2349"/>
    </row>
    <row r="364" spans="1:249" s="2174" customFormat="1" ht="21.95" customHeight="1">
      <c r="A364" s="2349"/>
      <c r="B364" s="2349"/>
      <c r="C364" s="2349"/>
      <c r="D364" s="2349"/>
      <c r="E364" s="2349"/>
      <c r="F364" s="2349"/>
      <c r="G364" s="2349"/>
      <c r="H364" s="2349"/>
      <c r="I364" s="2349"/>
      <c r="J364" s="2349"/>
      <c r="K364" s="2349"/>
      <c r="L364" s="2349"/>
      <c r="M364" s="2349"/>
      <c r="N364" s="2349"/>
      <c r="O364" s="2349"/>
      <c r="P364" s="2349"/>
      <c r="Q364" s="2349"/>
      <c r="R364" s="2349"/>
      <c r="S364" s="2349"/>
      <c r="T364" s="2349"/>
      <c r="U364" s="2349"/>
      <c r="V364" s="2349"/>
      <c r="W364" s="2349"/>
      <c r="X364" s="2349"/>
      <c r="Y364" s="2349"/>
      <c r="Z364" s="2349"/>
      <c r="AA364" s="2349"/>
      <c r="AB364" s="2349"/>
      <c r="AC364" s="2349"/>
      <c r="AD364" s="2349"/>
      <c r="AE364" s="2349"/>
      <c r="AF364" s="2349"/>
      <c r="AG364" s="2349"/>
      <c r="AH364" s="2349"/>
      <c r="AI364" s="2349"/>
      <c r="AJ364" s="2349"/>
      <c r="AK364" s="2349"/>
      <c r="AL364" s="2349"/>
      <c r="AM364" s="2349"/>
      <c r="AN364" s="2349"/>
      <c r="AO364" s="2349"/>
      <c r="AP364" s="2349"/>
      <c r="AQ364" s="2349"/>
      <c r="AR364" s="2349"/>
      <c r="AS364" s="2349"/>
      <c r="AT364" s="2349"/>
      <c r="AU364" s="2349"/>
      <c r="AV364" s="2349"/>
      <c r="AW364" s="2349"/>
      <c r="AX364" s="2349"/>
      <c r="AY364" s="2349"/>
      <c r="AZ364" s="2349"/>
      <c r="BA364" s="2349"/>
      <c r="BB364" s="2349"/>
      <c r="BC364" s="2349"/>
      <c r="BD364" s="2349"/>
      <c r="BE364" s="2349"/>
      <c r="BF364" s="2349"/>
      <c r="BG364" s="2349"/>
      <c r="BH364" s="2349"/>
      <c r="BI364" s="2349"/>
      <c r="BJ364" s="2349"/>
      <c r="BK364" s="2349"/>
      <c r="BL364" s="2349"/>
      <c r="BM364" s="2349"/>
      <c r="BN364" s="2349"/>
      <c r="BO364" s="2349"/>
      <c r="BP364" s="2349"/>
      <c r="BQ364" s="2349"/>
      <c r="BR364" s="2349"/>
      <c r="BS364" s="2349"/>
      <c r="BT364" s="2349"/>
      <c r="BU364" s="2349"/>
      <c r="BV364" s="2349"/>
      <c r="BW364" s="2349"/>
      <c r="BX364" s="2349"/>
      <c r="BY364" s="2349"/>
      <c r="BZ364" s="2349"/>
      <c r="CA364" s="2349"/>
      <c r="CB364" s="2349"/>
      <c r="CC364" s="2349"/>
      <c r="CD364" s="2349"/>
      <c r="CE364" s="2349"/>
      <c r="CF364" s="2349"/>
      <c r="CG364" s="2349"/>
      <c r="CH364" s="2349"/>
      <c r="CI364" s="2349"/>
      <c r="CJ364" s="2349"/>
      <c r="CK364" s="2349"/>
      <c r="CL364" s="2349"/>
      <c r="CM364" s="2349"/>
      <c r="CN364" s="2349"/>
      <c r="CO364" s="2349"/>
      <c r="CP364" s="2349"/>
      <c r="CQ364" s="2349"/>
      <c r="CR364" s="2349"/>
      <c r="CS364" s="2349"/>
      <c r="CT364" s="2349"/>
      <c r="CU364" s="2349"/>
      <c r="CV364" s="2349"/>
      <c r="CW364" s="2349"/>
      <c r="CX364" s="2349"/>
      <c r="CY364" s="2349"/>
      <c r="CZ364" s="2349"/>
      <c r="DA364" s="2349"/>
      <c r="DB364" s="2349"/>
      <c r="DC364" s="2349"/>
      <c r="DD364" s="2349"/>
      <c r="DE364" s="2349"/>
      <c r="DF364" s="2349"/>
      <c r="DG364" s="2349"/>
      <c r="DH364" s="2349"/>
      <c r="DI364" s="2349"/>
      <c r="DJ364" s="2349"/>
      <c r="DK364" s="2349"/>
      <c r="DL364" s="2349"/>
      <c r="DM364" s="2349"/>
      <c r="DN364" s="2349"/>
      <c r="DO364" s="2349"/>
      <c r="DP364" s="2349"/>
      <c r="DQ364" s="2349"/>
      <c r="DR364" s="2349"/>
      <c r="DW364" s="2349"/>
      <c r="DX364" s="2349"/>
      <c r="DY364" s="2349"/>
      <c r="DZ364" s="2349"/>
      <c r="EA364" s="2349"/>
      <c r="EB364" s="2349"/>
      <c r="EC364" s="2349"/>
      <c r="ED364" s="2349"/>
      <c r="EE364" s="2349"/>
      <c r="EF364" s="2349"/>
      <c r="EG364" s="2349"/>
      <c r="EH364" s="2349"/>
      <c r="EI364" s="2349"/>
      <c r="EJ364" s="2349"/>
      <c r="EK364" s="2349"/>
      <c r="EL364" s="2349"/>
      <c r="EM364" s="2349"/>
      <c r="EN364" s="2349"/>
      <c r="EO364" s="2349"/>
      <c r="EP364" s="2349"/>
      <c r="EQ364" s="2349"/>
      <c r="ER364" s="2349"/>
      <c r="ES364" s="2349"/>
      <c r="ET364" s="2349"/>
      <c r="EU364" s="2349"/>
      <c r="EV364" s="2349"/>
      <c r="EW364" s="2349"/>
      <c r="EX364" s="2349"/>
      <c r="EY364" s="2349"/>
      <c r="EZ364" s="2349"/>
      <c r="FA364" s="2349"/>
      <c r="FB364" s="2349"/>
      <c r="FC364" s="2349"/>
      <c r="FD364" s="2349"/>
      <c r="FE364" s="2349"/>
      <c r="FF364" s="2349"/>
      <c r="FG364" s="2349"/>
      <c r="FH364" s="2349"/>
      <c r="FI364" s="2349"/>
      <c r="FJ364" s="2349"/>
      <c r="FK364" s="2349"/>
      <c r="FL364" s="2349"/>
      <c r="FM364" s="2349"/>
      <c r="FN364" s="2349"/>
      <c r="FO364" s="2349"/>
      <c r="FP364" s="2349"/>
      <c r="FQ364" s="2349"/>
      <c r="FR364" s="2349"/>
      <c r="FS364" s="2349"/>
      <c r="FT364" s="2349"/>
      <c r="FU364" s="2349"/>
      <c r="FV364" s="2349"/>
      <c r="FW364" s="2349"/>
      <c r="FX364" s="2349"/>
      <c r="FY364" s="2349"/>
      <c r="FZ364" s="2349"/>
      <c r="GA364" s="2349"/>
      <c r="GB364" s="2349"/>
      <c r="GC364" s="2349"/>
      <c r="GD364" s="2349"/>
      <c r="GE364" s="2349"/>
      <c r="GF364" s="2349"/>
      <c r="GG364" s="2349"/>
      <c r="GH364" s="2349"/>
      <c r="GI364" s="2349"/>
      <c r="GJ364" s="2349"/>
      <c r="GK364" s="2349"/>
      <c r="GL364" s="2349"/>
      <c r="GM364" s="2349"/>
      <c r="GN364" s="2349"/>
      <c r="GO364" s="2349"/>
      <c r="GP364" s="2349"/>
      <c r="GQ364" s="2349"/>
      <c r="GR364" s="2349"/>
      <c r="GS364" s="2349"/>
      <c r="GT364" s="2349"/>
      <c r="GU364" s="2349"/>
      <c r="GV364" s="2349"/>
      <c r="GW364" s="2349"/>
      <c r="GX364" s="2349"/>
      <c r="GY364" s="2349"/>
      <c r="GZ364" s="2349"/>
      <c r="HA364" s="2349"/>
      <c r="HB364" s="2349"/>
      <c r="HC364" s="2349"/>
      <c r="HD364" s="2349"/>
      <c r="HE364" s="2349"/>
      <c r="HF364" s="2349"/>
      <c r="HG364" s="2349"/>
      <c r="HH364" s="2349"/>
      <c r="HI364" s="2349"/>
      <c r="HJ364" s="2349"/>
      <c r="HK364" s="2349"/>
      <c r="HL364" s="2349"/>
      <c r="HM364" s="2349"/>
      <c r="HN364" s="2349"/>
      <c r="HO364" s="2349"/>
      <c r="HP364" s="2349"/>
      <c r="HQ364" s="2349"/>
      <c r="HR364" s="2349"/>
      <c r="HS364" s="2349"/>
      <c r="HT364" s="2349"/>
      <c r="HU364" s="2349"/>
      <c r="HV364" s="2349"/>
      <c r="HW364" s="2349"/>
      <c r="HX364" s="2349"/>
      <c r="HY364" s="2349"/>
      <c r="HZ364" s="2349"/>
      <c r="IA364" s="2349"/>
      <c r="IB364" s="2349"/>
      <c r="IC364" s="2349"/>
      <c r="ID364" s="2349"/>
      <c r="IE364" s="2349"/>
      <c r="IF364" s="2349"/>
      <c r="IG364" s="2349"/>
      <c r="IH364" s="2349"/>
      <c r="II364" s="2349"/>
      <c r="IJ364" s="2349"/>
      <c r="IK364" s="2349"/>
      <c r="IL364" s="2349"/>
    </row>
    <row r="365" spans="1:249" ht="21.95" customHeight="1">
      <c r="A365" s="2275">
        <v>4137</v>
      </c>
      <c r="B365" s="2275">
        <v>4137</v>
      </c>
      <c r="C365" s="2275">
        <v>4137</v>
      </c>
      <c r="D365" s="2275">
        <v>4137</v>
      </c>
      <c r="E365" s="2275">
        <v>4137</v>
      </c>
      <c r="F365" s="2275">
        <v>4137</v>
      </c>
      <c r="G365" s="2275">
        <v>4137</v>
      </c>
      <c r="H365" s="2275">
        <v>4137</v>
      </c>
      <c r="I365" s="2275">
        <v>4137</v>
      </c>
      <c r="J365" s="2275">
        <v>4137</v>
      </c>
      <c r="K365" s="2275">
        <v>4137</v>
      </c>
      <c r="L365" s="2275">
        <v>4137</v>
      </c>
      <c r="M365" s="2275">
        <v>4137</v>
      </c>
      <c r="N365" s="2275">
        <v>4137</v>
      </c>
      <c r="O365" s="2275">
        <v>4137</v>
      </c>
      <c r="P365" s="2275">
        <v>4137</v>
      </c>
      <c r="Q365" s="2275">
        <v>4137</v>
      </c>
      <c r="R365" s="2275">
        <v>4137</v>
      </c>
      <c r="S365" s="2275">
        <v>4137</v>
      </c>
      <c r="T365" s="2275">
        <v>4137</v>
      </c>
      <c r="U365" s="2275">
        <v>4137</v>
      </c>
      <c r="V365" s="2275">
        <v>4137</v>
      </c>
      <c r="W365" s="2275">
        <v>4137</v>
      </c>
      <c r="X365" s="2275">
        <v>4137</v>
      </c>
      <c r="Y365" s="2275">
        <v>4137</v>
      </c>
      <c r="Z365" s="2275">
        <v>4137</v>
      </c>
      <c r="AA365" s="2275">
        <v>4137</v>
      </c>
      <c r="AB365" s="2275">
        <v>4137</v>
      </c>
      <c r="AC365" s="2275">
        <v>4137</v>
      </c>
      <c r="AD365" s="2275">
        <v>4137</v>
      </c>
      <c r="AE365" s="2275">
        <v>4137</v>
      </c>
      <c r="AF365" s="2275">
        <v>4137</v>
      </c>
      <c r="AG365" s="2275">
        <v>4137</v>
      </c>
      <c r="AH365" s="2275">
        <v>4137</v>
      </c>
      <c r="AI365" s="2275">
        <v>4137</v>
      </c>
      <c r="AJ365" s="2275">
        <v>4137</v>
      </c>
      <c r="AK365" s="2275">
        <v>4137</v>
      </c>
      <c r="AL365" s="2275">
        <v>4137</v>
      </c>
      <c r="AM365" s="2275">
        <v>4137</v>
      </c>
      <c r="AN365" s="2275">
        <v>4137</v>
      </c>
      <c r="AO365" s="2275">
        <v>4137</v>
      </c>
      <c r="AP365" s="2275">
        <v>4137</v>
      </c>
      <c r="AQ365" s="2275">
        <v>4137</v>
      </c>
      <c r="AR365" s="2275">
        <v>4137</v>
      </c>
      <c r="AS365" s="2275">
        <v>4137</v>
      </c>
      <c r="AT365" s="2275">
        <v>4137</v>
      </c>
      <c r="AU365" s="2275">
        <v>4137</v>
      </c>
      <c r="AV365" s="2275">
        <v>4137</v>
      </c>
      <c r="AW365" s="2275">
        <v>4137</v>
      </c>
      <c r="AX365" s="2275">
        <v>4137</v>
      </c>
      <c r="AY365" s="2275">
        <v>4137</v>
      </c>
      <c r="AZ365" s="2275">
        <v>4137</v>
      </c>
      <c r="BA365" s="2275">
        <v>4137</v>
      </c>
      <c r="BB365" s="2275">
        <v>4137</v>
      </c>
      <c r="BC365" s="2275">
        <v>4137</v>
      </c>
      <c r="BD365" s="2275">
        <v>4137</v>
      </c>
      <c r="BE365" s="2275">
        <v>4137</v>
      </c>
      <c r="BF365" s="2276"/>
      <c r="BG365" s="2276"/>
      <c r="BH365" s="2275">
        <v>4137</v>
      </c>
      <c r="BI365" s="2275">
        <v>4137</v>
      </c>
      <c r="BJ365" s="2275">
        <v>4137</v>
      </c>
      <c r="BK365" s="2275">
        <v>4137</v>
      </c>
      <c r="BL365" s="2275">
        <v>4137</v>
      </c>
      <c r="BM365" s="2275">
        <v>4137</v>
      </c>
      <c r="BN365" s="2275">
        <v>4137</v>
      </c>
      <c r="BO365" s="2275">
        <v>4137</v>
      </c>
      <c r="BP365" s="2275">
        <v>4137</v>
      </c>
      <c r="BQ365" s="2275">
        <v>4137</v>
      </c>
      <c r="BR365" s="2275">
        <v>4137</v>
      </c>
      <c r="BS365" s="2275">
        <v>4137</v>
      </c>
      <c r="BT365" s="2275">
        <v>4137</v>
      </c>
      <c r="BU365" s="2275">
        <v>4137</v>
      </c>
      <c r="BV365" s="2275">
        <v>4137</v>
      </c>
      <c r="BW365" s="2275">
        <v>4137</v>
      </c>
      <c r="BX365" s="2275">
        <v>4137</v>
      </c>
      <c r="BY365" s="2275">
        <v>4137</v>
      </c>
      <c r="BZ365" s="2275">
        <v>4137</v>
      </c>
      <c r="CA365" s="2275">
        <v>4137</v>
      </c>
      <c r="CB365" s="2275">
        <v>4137</v>
      </c>
      <c r="CC365" s="2275">
        <v>4137</v>
      </c>
      <c r="CD365" s="2275">
        <v>4137</v>
      </c>
      <c r="CE365" s="2275">
        <v>4137</v>
      </c>
      <c r="CF365" s="2275">
        <v>4137</v>
      </c>
      <c r="CG365" s="2275">
        <v>4137</v>
      </c>
      <c r="CH365" s="2275">
        <v>4137</v>
      </c>
      <c r="CI365" s="2275">
        <v>4137</v>
      </c>
      <c r="CJ365" s="2275">
        <v>4137</v>
      </c>
      <c r="CK365" s="2275">
        <v>4137</v>
      </c>
      <c r="CL365" s="2275">
        <v>4137</v>
      </c>
      <c r="CM365" s="2275">
        <v>4137</v>
      </c>
      <c r="CN365" s="2275">
        <v>4137</v>
      </c>
      <c r="CO365" s="2275">
        <v>4137</v>
      </c>
      <c r="CP365" s="2275">
        <v>4137</v>
      </c>
      <c r="CQ365" s="2275">
        <v>4137</v>
      </c>
      <c r="CR365" s="2275">
        <v>4137</v>
      </c>
      <c r="CS365" s="2275">
        <v>4137</v>
      </c>
      <c r="CT365" s="2275">
        <v>4137</v>
      </c>
      <c r="CU365" s="2275">
        <v>4137</v>
      </c>
      <c r="CV365" s="2275">
        <v>4137</v>
      </c>
      <c r="CW365" s="2275">
        <v>4137</v>
      </c>
      <c r="CX365" s="2275">
        <v>4137</v>
      </c>
      <c r="CY365" s="2275">
        <v>4137</v>
      </c>
      <c r="CZ365" s="2275">
        <v>4137</v>
      </c>
      <c r="DA365" s="2275">
        <v>4137</v>
      </c>
      <c r="DB365" s="2275">
        <v>4137</v>
      </c>
      <c r="DC365" s="2275">
        <v>4137</v>
      </c>
      <c r="DD365" s="2275">
        <v>4137</v>
      </c>
      <c r="DE365" s="2275">
        <v>4137</v>
      </c>
      <c r="DF365" s="2275">
        <v>4137</v>
      </c>
      <c r="DG365" s="2275">
        <v>4137</v>
      </c>
      <c r="DH365" s="2275">
        <v>4137</v>
      </c>
      <c r="DI365" s="2275">
        <v>4137</v>
      </c>
      <c r="DJ365" s="2275">
        <v>4137</v>
      </c>
      <c r="DK365" s="2275">
        <v>4137</v>
      </c>
      <c r="DL365" s="2275">
        <v>4137</v>
      </c>
      <c r="DM365" s="2275">
        <v>4137</v>
      </c>
      <c r="DN365" s="2275">
        <v>4137</v>
      </c>
      <c r="DO365" s="2275">
        <v>4137</v>
      </c>
      <c r="DP365" s="2275">
        <v>4137</v>
      </c>
      <c r="DQ365" s="2277"/>
      <c r="DR365" s="2277"/>
      <c r="DS365" s="277"/>
      <c r="DW365" s="2275">
        <v>4137</v>
      </c>
      <c r="DX365" s="2275">
        <v>4137</v>
      </c>
      <c r="DY365" s="2275">
        <v>4137</v>
      </c>
      <c r="DZ365" s="2275">
        <v>4137</v>
      </c>
      <c r="EA365" s="2275">
        <v>4137</v>
      </c>
      <c r="EB365" s="2275">
        <v>4137</v>
      </c>
      <c r="EC365" s="2275">
        <v>4137</v>
      </c>
      <c r="ED365" s="2275">
        <v>4137</v>
      </c>
      <c r="EE365" s="2275">
        <v>4137</v>
      </c>
      <c r="EF365" s="2275">
        <v>4137</v>
      </c>
      <c r="EG365" s="2275">
        <v>4137</v>
      </c>
      <c r="EH365" s="2275">
        <v>4137</v>
      </c>
      <c r="EI365" s="2275">
        <v>4137</v>
      </c>
      <c r="EJ365" s="2275">
        <v>4137</v>
      </c>
      <c r="EK365" s="2275">
        <v>4137</v>
      </c>
      <c r="EL365" s="2275">
        <v>4137</v>
      </c>
      <c r="EM365" s="2275">
        <v>4137</v>
      </c>
      <c r="EN365" s="2275">
        <v>4137</v>
      </c>
      <c r="EO365" s="2275">
        <v>4137</v>
      </c>
      <c r="EP365" s="2275">
        <v>4137</v>
      </c>
      <c r="EQ365" s="2275">
        <v>4137</v>
      </c>
      <c r="ER365" s="2275">
        <v>4137</v>
      </c>
      <c r="ES365" s="2275">
        <v>4137</v>
      </c>
      <c r="ET365" s="2275">
        <v>4137</v>
      </c>
      <c r="EU365" s="2275">
        <v>4137</v>
      </c>
      <c r="EV365" s="2275">
        <v>4137</v>
      </c>
      <c r="EW365" s="2275">
        <v>4137</v>
      </c>
      <c r="EX365" s="2275">
        <v>4137</v>
      </c>
      <c r="EY365" s="2275">
        <v>4137</v>
      </c>
      <c r="EZ365" s="2275">
        <v>4137</v>
      </c>
      <c r="FA365" s="2275">
        <v>4137</v>
      </c>
      <c r="FB365" s="2275">
        <v>4137</v>
      </c>
      <c r="FC365" s="2275">
        <v>4137</v>
      </c>
      <c r="FD365" s="2275">
        <v>4137</v>
      </c>
      <c r="FE365" s="2275">
        <v>4137</v>
      </c>
      <c r="FF365" s="2275">
        <v>4137</v>
      </c>
      <c r="FG365" s="2275">
        <v>4137</v>
      </c>
      <c r="FH365" s="2275">
        <v>4137</v>
      </c>
      <c r="FI365" s="2275">
        <v>4137</v>
      </c>
      <c r="FJ365" s="2275">
        <v>4137</v>
      </c>
      <c r="FK365" s="2275">
        <v>4137</v>
      </c>
      <c r="FL365" s="2275">
        <v>4137</v>
      </c>
      <c r="FM365" s="2275">
        <v>4137</v>
      </c>
      <c r="FN365" s="2275">
        <v>4137</v>
      </c>
      <c r="FO365" s="2275">
        <v>4137</v>
      </c>
      <c r="FP365" s="2275">
        <v>4137</v>
      </c>
      <c r="FQ365" s="2275">
        <v>4137</v>
      </c>
      <c r="FR365" s="2275">
        <v>4137</v>
      </c>
      <c r="FS365" s="2275">
        <v>4137</v>
      </c>
      <c r="FT365" s="2275">
        <v>4137</v>
      </c>
      <c r="FU365" s="2275">
        <v>4137</v>
      </c>
      <c r="FV365" s="2275">
        <v>4137</v>
      </c>
      <c r="FW365" s="2275">
        <v>4137</v>
      </c>
      <c r="FX365" s="2275">
        <v>4137</v>
      </c>
      <c r="FY365" s="2275">
        <v>4137</v>
      </c>
      <c r="FZ365" s="2275">
        <v>4137</v>
      </c>
      <c r="GA365" s="2275">
        <v>4137</v>
      </c>
      <c r="GB365" s="2276"/>
      <c r="GC365" s="2276"/>
      <c r="GD365" s="2275">
        <v>4137</v>
      </c>
      <c r="GE365" s="2275">
        <v>4137</v>
      </c>
      <c r="GF365" s="2275">
        <v>4137</v>
      </c>
      <c r="GG365" s="2275">
        <v>4137</v>
      </c>
      <c r="GH365" s="2275">
        <v>4137</v>
      </c>
      <c r="GI365" s="2275">
        <v>4137</v>
      </c>
      <c r="GJ365" s="2275">
        <v>4137</v>
      </c>
      <c r="GK365" s="2275">
        <v>4137</v>
      </c>
      <c r="GL365" s="2275">
        <v>4137</v>
      </c>
      <c r="GM365" s="2275">
        <v>4137</v>
      </c>
      <c r="GN365" s="2275">
        <v>4137</v>
      </c>
      <c r="GO365" s="2275">
        <v>4137</v>
      </c>
      <c r="GP365" s="2275">
        <v>4137</v>
      </c>
      <c r="GQ365" s="2275">
        <v>4137</v>
      </c>
      <c r="GR365" s="2275">
        <v>4137</v>
      </c>
      <c r="GS365" s="2275">
        <v>4137</v>
      </c>
      <c r="GT365" s="2275">
        <v>4137</v>
      </c>
      <c r="GU365" s="2275">
        <v>4137</v>
      </c>
      <c r="GV365" s="2275">
        <v>4137</v>
      </c>
      <c r="GW365" s="2275">
        <v>4137</v>
      </c>
      <c r="GX365" s="2275">
        <v>4137</v>
      </c>
      <c r="GY365" s="2275">
        <v>4137</v>
      </c>
      <c r="GZ365" s="2275">
        <v>4137</v>
      </c>
      <c r="HA365" s="2275">
        <v>4137</v>
      </c>
      <c r="HB365" s="2275">
        <v>4137</v>
      </c>
      <c r="HC365" s="2275">
        <v>4137</v>
      </c>
      <c r="HD365" s="2275">
        <v>4137</v>
      </c>
      <c r="HE365" s="2275">
        <v>4137</v>
      </c>
      <c r="HF365" s="2275">
        <v>4137</v>
      </c>
      <c r="HG365" s="2275">
        <v>4137</v>
      </c>
      <c r="HH365" s="2275">
        <v>4137</v>
      </c>
      <c r="HI365" s="2275">
        <v>4137</v>
      </c>
      <c r="HJ365" s="2275">
        <v>4137</v>
      </c>
      <c r="HK365" s="2275">
        <v>4137</v>
      </c>
      <c r="HL365" s="2275">
        <v>4137</v>
      </c>
      <c r="HM365" s="2275">
        <v>4137</v>
      </c>
      <c r="HN365" s="2275">
        <v>4137</v>
      </c>
      <c r="HO365" s="2275">
        <v>4137</v>
      </c>
      <c r="HP365" s="2275">
        <v>4137</v>
      </c>
      <c r="HQ365" s="2275">
        <v>4137</v>
      </c>
      <c r="HR365" s="2275">
        <v>4137</v>
      </c>
      <c r="HS365" s="2275">
        <v>4137</v>
      </c>
      <c r="HT365" s="2275">
        <v>4137</v>
      </c>
      <c r="HU365" s="2275">
        <v>4137</v>
      </c>
      <c r="HV365" s="2275">
        <v>4137</v>
      </c>
      <c r="HW365" s="2275">
        <v>4137</v>
      </c>
      <c r="HX365" s="2275">
        <v>4137</v>
      </c>
      <c r="HY365" s="2275">
        <v>4137</v>
      </c>
      <c r="HZ365" s="2275">
        <v>4137</v>
      </c>
      <c r="IA365" s="2275">
        <v>4137</v>
      </c>
      <c r="IB365" s="2275">
        <v>4137</v>
      </c>
      <c r="IC365" s="2275">
        <v>4137</v>
      </c>
      <c r="ID365" s="2275">
        <v>4137</v>
      </c>
      <c r="IE365" s="2275">
        <v>4137</v>
      </c>
      <c r="IF365" s="2275">
        <v>4137</v>
      </c>
      <c r="IG365" s="2275">
        <v>4137</v>
      </c>
      <c r="IH365" s="2275">
        <v>4137</v>
      </c>
      <c r="II365" s="2275">
        <v>4137</v>
      </c>
      <c r="IJ365" s="2275">
        <v>4137</v>
      </c>
      <c r="IK365" s="2275">
        <v>4137</v>
      </c>
      <c r="IL365" s="2275">
        <v>4137</v>
      </c>
      <c r="IN365" s="277"/>
      <c r="IO365" s="277"/>
    </row>
    <row r="366" spans="1:249" ht="21.95" customHeight="1">
      <c r="A366" s="2275"/>
      <c r="B366" s="2250"/>
      <c r="C366" s="2250"/>
      <c r="D366" s="2250"/>
      <c r="E366" s="2250"/>
      <c r="F366" s="2250"/>
      <c r="G366" s="2250"/>
      <c r="H366" s="2250"/>
      <c r="I366" s="2250"/>
      <c r="J366" s="2250"/>
      <c r="K366" s="2250"/>
      <c r="L366" s="2250"/>
      <c r="M366" s="2250"/>
      <c r="N366" s="2250"/>
      <c r="O366" s="2250"/>
      <c r="P366" s="2250"/>
      <c r="Q366" s="2250"/>
      <c r="R366" s="2250"/>
      <c r="S366" s="2250"/>
      <c r="T366" s="2250"/>
      <c r="U366" s="2250"/>
      <c r="V366" s="2250"/>
      <c r="W366" s="2250"/>
      <c r="X366" s="2250"/>
      <c r="Y366" s="2250"/>
      <c r="Z366" s="2250"/>
      <c r="AA366" s="2250"/>
      <c r="AB366" s="2250"/>
      <c r="AC366" s="2250"/>
      <c r="AD366" s="2250"/>
      <c r="AE366" s="2250"/>
      <c r="AF366" s="2250"/>
      <c r="AG366" s="2250"/>
      <c r="AH366" s="2250"/>
      <c r="AI366" s="2250"/>
      <c r="AJ366" s="2250"/>
      <c r="AK366" s="2250"/>
      <c r="AL366" s="2250"/>
      <c r="AM366" s="2250"/>
      <c r="AN366" s="2250"/>
      <c r="AO366" s="2250"/>
      <c r="AP366" s="2250"/>
      <c r="AQ366" s="2250"/>
      <c r="AR366" s="2250"/>
      <c r="AS366" s="2250"/>
      <c r="AT366" s="2250"/>
      <c r="AU366" s="2250"/>
      <c r="AV366" s="2250"/>
      <c r="AW366" s="2250"/>
      <c r="AX366" s="2250"/>
      <c r="AY366" s="2250"/>
      <c r="AZ366" s="2250"/>
      <c r="BA366" s="2250"/>
      <c r="BB366" s="2250"/>
      <c r="BC366" s="2250"/>
      <c r="BD366" s="2250"/>
      <c r="BE366" s="2250"/>
      <c r="BF366" s="2276"/>
      <c r="BG366" s="2276"/>
      <c r="BH366" s="2250"/>
      <c r="BI366" s="2250"/>
      <c r="BJ366" s="2250"/>
      <c r="BK366" s="2250"/>
      <c r="BL366" s="2250"/>
      <c r="BM366" s="2250"/>
      <c r="BN366" s="2250"/>
      <c r="BO366" s="2250"/>
      <c r="BP366" s="2250"/>
      <c r="BQ366" s="2250"/>
      <c r="BR366" s="2250"/>
      <c r="BS366" s="2250"/>
      <c r="BT366" s="2250"/>
      <c r="BU366" s="2250"/>
      <c r="BV366" s="2250"/>
      <c r="BW366" s="2250"/>
      <c r="BX366" s="2250"/>
      <c r="BY366" s="2250"/>
      <c r="BZ366" s="2250"/>
      <c r="CA366" s="2250"/>
      <c r="CB366" s="2250"/>
      <c r="CC366" s="2250"/>
      <c r="CD366" s="2250"/>
      <c r="CE366" s="2250"/>
      <c r="CF366" s="2250"/>
      <c r="CG366" s="2250"/>
      <c r="CH366" s="2250"/>
      <c r="CI366" s="2250"/>
      <c r="CJ366" s="2250"/>
      <c r="CK366" s="2250"/>
      <c r="CL366" s="2250"/>
      <c r="CM366" s="2250"/>
      <c r="CN366" s="2250"/>
      <c r="CO366" s="2250"/>
      <c r="CP366" s="2250"/>
      <c r="CQ366" s="2250"/>
      <c r="CR366" s="2250"/>
      <c r="CS366" s="2250"/>
      <c r="CT366" s="2250"/>
      <c r="CU366" s="2250"/>
      <c r="CV366" s="2250"/>
      <c r="CW366" s="2250"/>
      <c r="CX366" s="2250"/>
      <c r="CY366" s="2250"/>
      <c r="CZ366" s="2250"/>
      <c r="DA366" s="2250"/>
      <c r="DB366" s="2250"/>
      <c r="DC366" s="2250"/>
      <c r="DD366" s="2250"/>
      <c r="DE366" s="2250"/>
      <c r="DF366" s="2250"/>
      <c r="DG366" s="2250"/>
      <c r="DH366" s="2250"/>
      <c r="DI366" s="2250"/>
      <c r="DJ366" s="2250"/>
      <c r="DK366" s="2250"/>
      <c r="DL366" s="2250"/>
      <c r="DM366" s="2250"/>
      <c r="DN366" s="2250"/>
      <c r="DO366" s="2250"/>
      <c r="DP366" s="2250"/>
      <c r="DQ366" s="2277"/>
      <c r="DR366" s="2277"/>
      <c r="DS366" s="277"/>
      <c r="DW366" s="2275"/>
      <c r="DX366" s="2250"/>
      <c r="DY366" s="2250"/>
      <c r="DZ366" s="2250"/>
      <c r="EA366" s="2250"/>
      <c r="EB366" s="2250"/>
      <c r="EC366" s="2250"/>
      <c r="ED366" s="2250"/>
      <c r="EE366" s="2250"/>
      <c r="EF366" s="2250"/>
      <c r="EG366" s="2250"/>
      <c r="EH366" s="2250"/>
      <c r="EI366" s="2250"/>
      <c r="EJ366" s="2250"/>
      <c r="EK366" s="2250"/>
      <c r="EL366" s="2250"/>
      <c r="EM366" s="2250"/>
      <c r="EN366" s="2250"/>
      <c r="EO366" s="2250"/>
      <c r="EP366" s="2250"/>
      <c r="EQ366" s="2250"/>
      <c r="ER366" s="2250"/>
      <c r="ES366" s="2250"/>
      <c r="ET366" s="2250"/>
      <c r="EU366" s="2250"/>
      <c r="EV366" s="2250"/>
      <c r="EW366" s="2250"/>
      <c r="EX366" s="2250"/>
      <c r="EY366" s="2250"/>
      <c r="EZ366" s="2250"/>
      <c r="FA366" s="2250"/>
      <c r="FB366" s="2250"/>
      <c r="FC366" s="2250"/>
      <c r="FD366" s="2250"/>
      <c r="FE366" s="2250"/>
      <c r="FF366" s="2250"/>
      <c r="FG366" s="2250"/>
      <c r="FH366" s="2250"/>
      <c r="FI366" s="2250"/>
      <c r="FJ366" s="2250"/>
      <c r="FK366" s="2250"/>
      <c r="FL366" s="2250"/>
      <c r="FM366" s="2250"/>
      <c r="FN366" s="2250"/>
      <c r="FO366" s="2250"/>
      <c r="FP366" s="2250"/>
      <c r="FQ366" s="2250"/>
      <c r="FR366" s="2250"/>
      <c r="FS366" s="2250"/>
      <c r="FT366" s="2250"/>
      <c r="FU366" s="2250"/>
      <c r="FV366" s="2250"/>
      <c r="FW366" s="2250"/>
      <c r="FX366" s="2250"/>
      <c r="FY366" s="2250"/>
      <c r="FZ366" s="2250"/>
      <c r="GA366" s="2250"/>
      <c r="GB366" s="2276"/>
      <c r="GC366" s="2276"/>
      <c r="GD366" s="2250"/>
      <c r="GE366" s="2250"/>
      <c r="GF366" s="2250"/>
      <c r="GG366" s="2250"/>
      <c r="GH366" s="2250"/>
      <c r="GI366" s="2250"/>
      <c r="GJ366" s="2250"/>
      <c r="GK366" s="2250"/>
      <c r="GL366" s="2250"/>
      <c r="GM366" s="2250"/>
      <c r="GN366" s="2250"/>
      <c r="GO366" s="2250"/>
      <c r="GP366" s="2250"/>
      <c r="GQ366" s="2250"/>
      <c r="GR366" s="2250"/>
      <c r="GS366" s="2250"/>
      <c r="GT366" s="2250"/>
      <c r="GU366" s="2250"/>
      <c r="GV366" s="2250"/>
      <c r="GW366" s="2250"/>
      <c r="GX366" s="2250"/>
      <c r="GY366" s="2250"/>
      <c r="GZ366" s="2250"/>
      <c r="HA366" s="2250"/>
      <c r="HB366" s="2250"/>
      <c r="HC366" s="2250"/>
      <c r="HD366" s="2250"/>
      <c r="HE366" s="2250"/>
      <c r="HF366" s="2250"/>
      <c r="HG366" s="2250"/>
      <c r="HH366" s="2250"/>
      <c r="HI366" s="2250"/>
      <c r="HJ366" s="2250"/>
      <c r="HK366" s="2250"/>
      <c r="HL366" s="2250"/>
      <c r="HM366" s="2250"/>
      <c r="HN366" s="2250"/>
      <c r="HO366" s="2250"/>
      <c r="HP366" s="2250"/>
      <c r="HQ366" s="2250"/>
      <c r="HR366" s="2250"/>
      <c r="HS366" s="2250"/>
      <c r="HT366" s="2250"/>
      <c r="HU366" s="2250"/>
      <c r="HV366" s="2250"/>
      <c r="HW366" s="2250"/>
      <c r="HX366" s="2250"/>
      <c r="HY366" s="2250"/>
      <c r="HZ366" s="2250"/>
      <c r="IA366" s="2250"/>
      <c r="IB366" s="2250"/>
      <c r="IC366" s="2250"/>
      <c r="ID366" s="2250"/>
      <c r="IE366" s="2250"/>
      <c r="IF366" s="2250"/>
      <c r="IG366" s="2250"/>
      <c r="IH366" s="2250"/>
      <c r="II366" s="2250"/>
      <c r="IJ366" s="2250"/>
      <c r="IK366" s="2250"/>
      <c r="IL366" s="2250"/>
      <c r="IN366" s="277"/>
      <c r="IO366" s="277"/>
    </row>
    <row r="367" spans="1:249" ht="21.95" customHeight="1">
      <c r="A367" s="2275"/>
      <c r="B367" s="2250"/>
      <c r="C367" s="2250"/>
      <c r="D367" s="2250"/>
      <c r="E367" s="2250"/>
      <c r="F367" s="2250"/>
      <c r="G367" s="2250"/>
      <c r="H367" s="2250"/>
      <c r="I367" s="2250"/>
      <c r="J367" s="2250"/>
      <c r="K367" s="2250"/>
      <c r="L367" s="2250"/>
      <c r="M367" s="2250"/>
      <c r="N367" s="2250"/>
      <c r="O367" s="2250"/>
      <c r="P367" s="2250"/>
      <c r="Q367" s="2250"/>
      <c r="R367" s="2250"/>
      <c r="S367" s="2250"/>
      <c r="T367" s="2250"/>
      <c r="U367" s="2250"/>
      <c r="V367" s="2250"/>
      <c r="W367" s="2250"/>
      <c r="X367" s="2250"/>
      <c r="Y367" s="2250"/>
      <c r="Z367" s="2250"/>
      <c r="AA367" s="2250"/>
      <c r="AB367" s="2250"/>
      <c r="AC367" s="2250"/>
      <c r="AD367" s="2250"/>
      <c r="AE367" s="2250"/>
      <c r="AF367" s="2250"/>
      <c r="AG367" s="2250"/>
      <c r="AH367" s="2250"/>
      <c r="AI367" s="2250"/>
      <c r="AJ367" s="2250"/>
      <c r="AK367" s="2250"/>
      <c r="AL367" s="2250"/>
      <c r="AM367" s="2250"/>
      <c r="AN367" s="2250"/>
      <c r="AO367" s="2250"/>
      <c r="AP367" s="2250"/>
      <c r="AQ367" s="2250"/>
      <c r="AR367" s="2250"/>
      <c r="AS367" s="2250"/>
      <c r="AT367" s="2250"/>
      <c r="AU367" s="2250"/>
      <c r="AV367" s="2250"/>
      <c r="AW367" s="2250"/>
      <c r="AX367" s="2250"/>
      <c r="AY367" s="2250"/>
      <c r="AZ367" s="2250"/>
      <c r="BA367" s="2250"/>
      <c r="BB367" s="2250"/>
      <c r="BC367" s="2250"/>
      <c r="BD367" s="2250"/>
      <c r="BE367" s="2250"/>
      <c r="BF367" s="2276"/>
      <c r="BG367" s="2276"/>
      <c r="BH367" s="2250"/>
      <c r="BI367" s="2250"/>
      <c r="BJ367" s="2250"/>
      <c r="BK367" s="2250"/>
      <c r="BL367" s="2250"/>
      <c r="BM367" s="2250"/>
      <c r="BN367" s="2250"/>
      <c r="BO367" s="2250"/>
      <c r="BP367" s="2250"/>
      <c r="BQ367" s="2250"/>
      <c r="BR367" s="2250"/>
      <c r="BS367" s="2250"/>
      <c r="BT367" s="2250"/>
      <c r="BU367" s="2250"/>
      <c r="BV367" s="2250"/>
      <c r="BW367" s="2250"/>
      <c r="BX367" s="2250"/>
      <c r="BY367" s="2250"/>
      <c r="BZ367" s="2250"/>
      <c r="CA367" s="2250"/>
      <c r="CB367" s="2250"/>
      <c r="CC367" s="2250"/>
      <c r="CD367" s="2250"/>
      <c r="CE367" s="2250"/>
      <c r="CF367" s="2250"/>
      <c r="CG367" s="2250"/>
      <c r="CH367" s="2250"/>
      <c r="CI367" s="2250"/>
      <c r="CJ367" s="2250"/>
      <c r="CK367" s="2250"/>
      <c r="CL367" s="2250"/>
      <c r="CM367" s="2250"/>
      <c r="CN367" s="2250"/>
      <c r="CO367" s="2250"/>
      <c r="CP367" s="2250"/>
      <c r="CQ367" s="2250"/>
      <c r="CR367" s="2250"/>
      <c r="CS367" s="2250"/>
      <c r="CT367" s="2250"/>
      <c r="CU367" s="2250"/>
      <c r="CV367" s="2250"/>
      <c r="CW367" s="2250"/>
      <c r="CX367" s="2250"/>
      <c r="CY367" s="2250"/>
      <c r="CZ367" s="2250"/>
      <c r="DA367" s="2250"/>
      <c r="DB367" s="2250"/>
      <c r="DC367" s="2250"/>
      <c r="DD367" s="2250"/>
      <c r="DE367" s="2250"/>
      <c r="DF367" s="2250"/>
      <c r="DG367" s="2250"/>
      <c r="DH367" s="2250"/>
      <c r="DI367" s="2250"/>
      <c r="DJ367" s="2250"/>
      <c r="DK367" s="2250"/>
      <c r="DL367" s="2250"/>
      <c r="DM367" s="2250"/>
      <c r="DN367" s="2250"/>
      <c r="DO367" s="2250"/>
      <c r="DP367" s="2250"/>
      <c r="DQ367" s="2277"/>
      <c r="DR367" s="2277"/>
      <c r="DS367" s="277"/>
      <c r="DW367" s="2275"/>
      <c r="DX367" s="2250"/>
      <c r="DY367" s="2250"/>
      <c r="DZ367" s="2250"/>
      <c r="EA367" s="2250"/>
      <c r="EB367" s="2250"/>
      <c r="EC367" s="2250"/>
      <c r="ED367" s="2250"/>
      <c r="EE367" s="2250"/>
      <c r="EF367" s="2250"/>
      <c r="EG367" s="2250"/>
      <c r="EH367" s="2250"/>
      <c r="EI367" s="2250"/>
      <c r="EJ367" s="2250"/>
      <c r="EK367" s="2250"/>
      <c r="EL367" s="2250"/>
      <c r="EM367" s="2250"/>
      <c r="EN367" s="2250"/>
      <c r="EO367" s="2250"/>
      <c r="EP367" s="2250"/>
      <c r="EQ367" s="2250"/>
      <c r="ER367" s="2250"/>
      <c r="ES367" s="2250"/>
      <c r="ET367" s="2250"/>
      <c r="EU367" s="2250"/>
      <c r="EV367" s="2250"/>
      <c r="EW367" s="2250"/>
      <c r="EX367" s="2250"/>
      <c r="EY367" s="2250"/>
      <c r="EZ367" s="2250"/>
      <c r="FA367" s="2250"/>
      <c r="FB367" s="2250"/>
      <c r="FC367" s="2250"/>
      <c r="FD367" s="2250"/>
      <c r="FE367" s="2250"/>
      <c r="FF367" s="2250"/>
      <c r="FG367" s="2250"/>
      <c r="FH367" s="2250"/>
      <c r="FI367" s="2250"/>
      <c r="FJ367" s="2250"/>
      <c r="FK367" s="2250"/>
      <c r="FL367" s="2250"/>
      <c r="FM367" s="2250"/>
      <c r="FN367" s="2250"/>
      <c r="FO367" s="2250"/>
      <c r="FP367" s="2250"/>
      <c r="FQ367" s="2250"/>
      <c r="FR367" s="2250"/>
      <c r="FS367" s="2250"/>
      <c r="FT367" s="2250"/>
      <c r="FU367" s="2250"/>
      <c r="FV367" s="2250"/>
      <c r="FW367" s="2250"/>
      <c r="FX367" s="2250"/>
      <c r="FY367" s="2250"/>
      <c r="FZ367" s="2250"/>
      <c r="GA367" s="2250"/>
      <c r="GB367" s="2276"/>
      <c r="GC367" s="2276"/>
      <c r="GD367" s="2250"/>
      <c r="GE367" s="2250"/>
      <c r="GF367" s="2250"/>
      <c r="GG367" s="2250"/>
      <c r="GH367" s="2250"/>
      <c r="GI367" s="2250"/>
      <c r="GJ367" s="2250"/>
      <c r="GK367" s="2250"/>
      <c r="GL367" s="2250"/>
      <c r="GM367" s="2250"/>
      <c r="GN367" s="2250"/>
      <c r="GO367" s="2250"/>
      <c r="GP367" s="2250"/>
      <c r="GQ367" s="2250"/>
      <c r="GR367" s="2250"/>
      <c r="GS367" s="2250"/>
      <c r="GT367" s="2250"/>
      <c r="GU367" s="2250"/>
      <c r="GV367" s="2250"/>
      <c r="GW367" s="2250"/>
      <c r="GX367" s="2250"/>
      <c r="GY367" s="2250"/>
      <c r="GZ367" s="2250"/>
      <c r="HA367" s="2250"/>
      <c r="HB367" s="2250"/>
      <c r="HC367" s="2250"/>
      <c r="HD367" s="2250"/>
      <c r="HE367" s="2250"/>
      <c r="HF367" s="2250"/>
      <c r="HG367" s="2250"/>
      <c r="HH367" s="2250"/>
      <c r="HI367" s="2250"/>
      <c r="HJ367" s="2250"/>
      <c r="HK367" s="2250"/>
      <c r="HL367" s="2250"/>
      <c r="HM367" s="2250"/>
      <c r="HN367" s="2250"/>
      <c r="HO367" s="2250"/>
      <c r="HP367" s="2250"/>
      <c r="HQ367" s="2250"/>
      <c r="HR367" s="2250"/>
      <c r="HS367" s="2250"/>
      <c r="HT367" s="2250"/>
      <c r="HU367" s="2250"/>
      <c r="HV367" s="2250"/>
      <c r="HW367" s="2250"/>
      <c r="HX367" s="2250"/>
      <c r="HY367" s="2250"/>
      <c r="HZ367" s="2250"/>
      <c r="IA367" s="2250"/>
      <c r="IB367" s="2250"/>
      <c r="IC367" s="2250"/>
      <c r="ID367" s="2250"/>
      <c r="IE367" s="2250"/>
      <c r="IF367" s="2250"/>
      <c r="IG367" s="2250"/>
      <c r="IH367" s="2250"/>
      <c r="II367" s="2250"/>
      <c r="IJ367" s="2250"/>
      <c r="IK367" s="2250"/>
      <c r="IL367" s="2250"/>
      <c r="IN367" s="277"/>
      <c r="IO367" s="277"/>
    </row>
    <row r="368" spans="1:249" ht="21.95" customHeight="1">
      <c r="A368" s="2275"/>
      <c r="Q368" s="4706"/>
      <c r="R368" s="4706"/>
      <c r="S368" s="286"/>
      <c r="T368" s="286"/>
      <c r="AO368" s="286"/>
      <c r="BF368" s="2176"/>
      <c r="BG368" s="2176"/>
      <c r="BI368" s="286"/>
      <c r="BJ368" s="286"/>
      <c r="DO368" s="53"/>
      <c r="DP368" s="53"/>
      <c r="DQ368" s="2277"/>
      <c r="DR368" s="2277"/>
      <c r="DS368" s="277"/>
      <c r="DW368" s="2275"/>
      <c r="EM368" s="4706"/>
      <c r="EN368" s="4706"/>
      <c r="EO368" s="286"/>
      <c r="EP368" s="286"/>
      <c r="FK368" s="286"/>
      <c r="GB368" s="2176"/>
      <c r="GC368" s="2176"/>
      <c r="GE368" s="286"/>
      <c r="GF368" s="286"/>
      <c r="HK368" s="2380"/>
      <c r="IK368" s="53"/>
      <c r="IL368" s="53"/>
      <c r="IN368" s="277"/>
      <c r="IO368" s="277"/>
    </row>
    <row r="369" spans="1:249" ht="21.95" customHeight="1">
      <c r="A369" s="2275"/>
      <c r="Q369" s="4723"/>
      <c r="R369" s="4723"/>
      <c r="S369" s="286"/>
      <c r="T369" s="286"/>
      <c r="AO369" s="286"/>
      <c r="BF369" s="2176"/>
      <c r="BG369" s="2176"/>
      <c r="BI369" s="286"/>
      <c r="BJ369" s="286"/>
      <c r="DO369" s="53"/>
      <c r="DP369" s="53"/>
      <c r="DQ369" s="2277"/>
      <c r="DR369" s="2277"/>
      <c r="DS369" s="277"/>
      <c r="DW369" s="2275"/>
      <c r="EM369" s="4723"/>
      <c r="EN369" s="4723"/>
      <c r="EO369" s="286"/>
      <c r="EP369" s="286"/>
      <c r="FK369" s="286"/>
      <c r="GB369" s="2176"/>
      <c r="GC369" s="2176"/>
      <c r="GE369" s="286"/>
      <c r="GF369" s="286"/>
      <c r="HK369" s="2380"/>
      <c r="IK369" s="53"/>
      <c r="IL369" s="53"/>
      <c r="IN369" s="277"/>
      <c r="IO369" s="277"/>
    </row>
    <row r="370" spans="1:249" ht="21.95" customHeight="1">
      <c r="A370" s="2275"/>
      <c r="B370" s="2250"/>
      <c r="C370" s="2250"/>
      <c r="D370" s="2250"/>
      <c r="E370" s="2250"/>
      <c r="F370" s="2250"/>
      <c r="G370" s="2250"/>
      <c r="H370" s="2250"/>
      <c r="I370" s="2250"/>
      <c r="J370" s="2250"/>
      <c r="K370" s="2250"/>
      <c r="L370" s="2250"/>
      <c r="M370" s="2250"/>
      <c r="N370" s="2250"/>
      <c r="O370" s="2250"/>
      <c r="P370" s="2250"/>
      <c r="Q370" s="4723"/>
      <c r="R370" s="4723"/>
      <c r="S370" s="2250"/>
      <c r="T370" s="2250"/>
      <c r="U370" s="2250"/>
      <c r="V370" s="2250"/>
      <c r="AA370" s="2250"/>
      <c r="AB370" s="2250"/>
      <c r="AC370" s="2250"/>
      <c r="AD370" s="2250"/>
      <c r="AE370" s="2250"/>
      <c r="AF370" s="2250"/>
      <c r="AG370" s="2250"/>
      <c r="AH370" s="2250"/>
      <c r="AI370" s="2250"/>
      <c r="AJ370" s="2250"/>
      <c r="AK370" s="2250"/>
      <c r="AL370" s="2250"/>
      <c r="AM370" s="2250"/>
      <c r="AN370" s="2250"/>
      <c r="AO370" s="2250"/>
      <c r="AP370" s="2250"/>
      <c r="AQ370" s="2250"/>
      <c r="AR370" s="2250"/>
      <c r="AS370" s="2250"/>
      <c r="AT370" s="2250"/>
      <c r="AU370" s="2250"/>
      <c r="AV370" s="2250"/>
      <c r="AW370" s="2250"/>
      <c r="AX370" s="2250"/>
      <c r="AY370" s="2250"/>
      <c r="AZ370" s="2250"/>
      <c r="BA370" s="2250"/>
      <c r="BB370" s="2250"/>
      <c r="BC370" s="2250"/>
      <c r="BD370" s="2250"/>
      <c r="BE370" s="2250"/>
      <c r="BF370" s="2276"/>
      <c r="BG370" s="2276"/>
      <c r="BH370" s="2250"/>
      <c r="BI370" s="2250"/>
      <c r="BJ370" s="2250"/>
      <c r="BK370" s="2250"/>
      <c r="BL370" s="2250"/>
      <c r="BM370" s="2250"/>
      <c r="BN370" s="2250"/>
      <c r="BO370" s="2250"/>
      <c r="BP370" s="2250"/>
      <c r="BQ370" s="2250"/>
      <c r="BR370" s="2250"/>
      <c r="BS370" s="2250"/>
      <c r="BT370" s="2250"/>
      <c r="BU370" s="2250"/>
      <c r="BV370" s="2250"/>
      <c r="BW370" s="2250"/>
      <c r="BX370" s="2250"/>
      <c r="BY370" s="2250"/>
      <c r="BZ370" s="2250"/>
      <c r="CA370" s="2250"/>
      <c r="CB370" s="2250"/>
      <c r="CC370" s="2250"/>
      <c r="CD370" s="2250"/>
      <c r="CE370" s="2250"/>
      <c r="CF370" s="2250"/>
      <c r="CG370" s="2250"/>
      <c r="CH370" s="2250"/>
      <c r="CI370" s="2250"/>
      <c r="CJ370" s="2250"/>
      <c r="CK370" s="2250"/>
      <c r="CL370" s="2250"/>
      <c r="CM370" s="2250"/>
      <c r="CN370" s="2250"/>
      <c r="CO370" s="2250"/>
      <c r="CP370" s="2250"/>
      <c r="CQ370" s="2250"/>
      <c r="CR370" s="2250"/>
      <c r="CS370" s="2250"/>
      <c r="CT370" s="2250"/>
      <c r="CU370" s="2250"/>
      <c r="CV370" s="2250"/>
      <c r="CW370" s="2250"/>
      <c r="CX370" s="2250"/>
      <c r="CY370" s="2250"/>
      <c r="CZ370" s="2250"/>
      <c r="DA370" s="2250"/>
      <c r="DB370" s="2250"/>
      <c r="DC370" s="2250"/>
      <c r="DD370" s="2250"/>
      <c r="DE370" s="2250"/>
      <c r="DF370" s="2250"/>
      <c r="DG370" s="2250"/>
      <c r="DH370" s="2250"/>
      <c r="DI370" s="2250"/>
      <c r="DJ370" s="2250"/>
      <c r="DK370" s="2250"/>
      <c r="DL370" s="2250"/>
      <c r="DM370" s="2250"/>
      <c r="DN370" s="2250"/>
      <c r="DO370" s="53"/>
      <c r="DP370" s="53"/>
      <c r="DQ370" s="2277"/>
      <c r="DR370" s="2277"/>
      <c r="DS370" s="277"/>
      <c r="DW370" s="2275"/>
      <c r="DX370" s="2250"/>
      <c r="DY370" s="2250"/>
      <c r="DZ370" s="2250"/>
      <c r="EA370" s="2250"/>
      <c r="EB370" s="2250"/>
      <c r="EC370" s="2250"/>
      <c r="ED370" s="2250"/>
      <c r="EE370" s="2250"/>
      <c r="EF370" s="2250"/>
      <c r="EG370" s="2250"/>
      <c r="EH370" s="2250"/>
      <c r="EI370" s="2250"/>
      <c r="EJ370" s="2250"/>
      <c r="EK370" s="2250"/>
      <c r="EL370" s="2250"/>
      <c r="EM370" s="4723"/>
      <c r="EN370" s="4723"/>
      <c r="EO370" s="2250"/>
      <c r="EP370" s="2250"/>
      <c r="EQ370" s="2250"/>
      <c r="ER370" s="2250"/>
      <c r="EW370" s="2250"/>
      <c r="EX370" s="2250"/>
      <c r="EY370" s="2250"/>
      <c r="EZ370" s="2250"/>
      <c r="FA370" s="2250"/>
      <c r="FB370" s="2250"/>
      <c r="FC370" s="2250"/>
      <c r="FD370" s="2250"/>
      <c r="FE370" s="2250"/>
      <c r="FF370" s="2250"/>
      <c r="FG370" s="2250"/>
      <c r="FH370" s="2250"/>
      <c r="FI370" s="2250"/>
      <c r="FJ370" s="2250"/>
      <c r="FK370" s="2250"/>
      <c r="FL370" s="2250"/>
      <c r="FM370" s="2250"/>
      <c r="FN370" s="2250"/>
      <c r="FO370" s="2250"/>
      <c r="FP370" s="2250"/>
      <c r="FQ370" s="2250"/>
      <c r="FR370" s="2250"/>
      <c r="FS370" s="2250"/>
      <c r="FT370" s="2250"/>
      <c r="FU370" s="2250"/>
      <c r="FV370" s="2250"/>
      <c r="FW370" s="2250"/>
      <c r="FX370" s="2250"/>
      <c r="FY370" s="2250"/>
      <c r="FZ370" s="2250"/>
      <c r="GA370" s="2250"/>
      <c r="GB370" s="2276"/>
      <c r="GC370" s="2276"/>
      <c r="GD370" s="2250"/>
      <c r="GE370" s="2250"/>
      <c r="GF370" s="2250"/>
      <c r="GG370" s="2250"/>
      <c r="GH370" s="2250"/>
      <c r="GI370" s="2250"/>
      <c r="GJ370" s="2250"/>
      <c r="GK370" s="2250"/>
      <c r="GL370" s="2250"/>
      <c r="GM370" s="2250"/>
      <c r="GN370" s="2250"/>
      <c r="GO370" s="2250"/>
      <c r="GP370" s="2250"/>
      <c r="GQ370" s="2250"/>
      <c r="GR370" s="2250"/>
      <c r="GS370" s="2250"/>
      <c r="GT370" s="2250"/>
      <c r="GU370" s="2250"/>
      <c r="GV370" s="2250"/>
      <c r="GW370" s="2250"/>
      <c r="GX370" s="2250"/>
      <c r="GY370" s="2250"/>
      <c r="GZ370" s="2250"/>
      <c r="HA370" s="2250"/>
      <c r="HB370" s="2250"/>
      <c r="HC370" s="2250"/>
      <c r="HD370" s="2250"/>
      <c r="HE370" s="2250"/>
      <c r="HF370" s="2250"/>
      <c r="HG370" s="2250"/>
      <c r="HH370" s="2250"/>
      <c r="HI370" s="2250"/>
      <c r="HJ370" s="2250"/>
      <c r="HK370" s="2380"/>
      <c r="HL370" s="2250"/>
      <c r="HM370" s="2250"/>
      <c r="HN370" s="2250"/>
      <c r="HO370" s="2250"/>
      <c r="HP370" s="2250"/>
      <c r="HQ370" s="2250"/>
      <c r="HR370" s="2250"/>
      <c r="HS370" s="2250"/>
      <c r="HT370" s="2250"/>
      <c r="HU370" s="2250"/>
      <c r="HV370" s="2250"/>
      <c r="HW370" s="2250"/>
      <c r="HX370" s="2250"/>
      <c r="HY370" s="2250"/>
      <c r="HZ370" s="2250"/>
      <c r="IA370" s="2250"/>
      <c r="IB370" s="2250"/>
      <c r="IC370" s="2250"/>
      <c r="ID370" s="2250"/>
      <c r="IE370" s="2250"/>
      <c r="IF370" s="2250"/>
      <c r="IG370" s="2250"/>
      <c r="IH370" s="2250"/>
      <c r="II370" s="2250"/>
      <c r="IJ370" s="2250"/>
      <c r="IK370" s="53"/>
      <c r="IL370" s="53"/>
      <c r="IN370" s="277"/>
      <c r="IO370" s="277"/>
    </row>
    <row r="371" spans="1:249" ht="21.95" customHeight="1" thickBot="1">
      <c r="A371" s="2275"/>
      <c r="B371" s="2250"/>
      <c r="C371" s="2250"/>
      <c r="D371" s="2250"/>
      <c r="E371" s="2250"/>
      <c r="F371" s="2250"/>
      <c r="G371" s="2250"/>
      <c r="H371" s="2250"/>
      <c r="I371" s="2250"/>
      <c r="J371" s="2250"/>
      <c r="K371" s="2250"/>
      <c r="L371" s="2250"/>
      <c r="M371" s="2250"/>
      <c r="N371" s="2250"/>
      <c r="O371" s="2250"/>
      <c r="P371" s="2250"/>
      <c r="Q371" s="4723"/>
      <c r="R371" s="4723"/>
      <c r="S371" s="2250"/>
      <c r="T371" s="2250"/>
      <c r="U371" s="2250"/>
      <c r="V371" s="2250"/>
      <c r="W371" s="2250"/>
      <c r="X371" s="2250"/>
      <c r="Y371" s="2250"/>
      <c r="Z371" s="2250"/>
      <c r="AA371" s="2250"/>
      <c r="AB371" s="2250"/>
      <c r="AC371" s="2250"/>
      <c r="AD371" s="2250"/>
      <c r="AE371" s="2250"/>
      <c r="AF371" s="2250"/>
      <c r="AG371" s="2250"/>
      <c r="AH371" s="2250"/>
      <c r="AI371" s="2250"/>
      <c r="AJ371" s="2250"/>
      <c r="AK371" s="2250"/>
      <c r="AL371" s="2250"/>
      <c r="AM371" s="2250"/>
      <c r="AN371" s="2250"/>
      <c r="AO371" s="2250"/>
      <c r="AP371" s="2250"/>
      <c r="AQ371" s="2250"/>
      <c r="AR371" s="2250"/>
      <c r="AS371" s="2250"/>
      <c r="AT371" s="2250"/>
      <c r="AU371" s="2250"/>
      <c r="AV371" s="2250"/>
      <c r="AW371" s="2250"/>
      <c r="AX371" s="2250"/>
      <c r="AY371" s="2250"/>
      <c r="AZ371" s="2250"/>
      <c r="BA371" s="2250"/>
      <c r="BB371" s="2250"/>
      <c r="BC371" s="2250"/>
      <c r="BD371" s="2250"/>
      <c r="BE371" s="2250"/>
      <c r="BF371" s="2276"/>
      <c r="BG371" s="2276"/>
      <c r="BH371" s="2250"/>
      <c r="BI371" s="2275"/>
      <c r="BJ371" s="2250"/>
      <c r="BK371" s="2250"/>
      <c r="BL371" s="2250"/>
      <c r="BM371" s="2250"/>
      <c r="BN371" s="2250"/>
      <c r="BO371" s="2250"/>
      <c r="BP371" s="2250"/>
      <c r="BQ371" s="2250"/>
      <c r="BR371" s="2250"/>
      <c r="BS371" s="2250"/>
      <c r="BT371" s="2250"/>
      <c r="BU371" s="2250"/>
      <c r="BV371" s="2250"/>
      <c r="BW371" s="2250"/>
      <c r="BX371" s="2250"/>
      <c r="BY371" s="2250"/>
      <c r="BZ371" s="2250"/>
      <c r="CA371" s="2250"/>
      <c r="CB371" s="2250"/>
      <c r="CC371" s="2250"/>
      <c r="CD371" s="2250"/>
      <c r="CI371" s="2250"/>
      <c r="CJ371" s="2250"/>
      <c r="CK371" s="2250"/>
      <c r="CL371" s="2250"/>
      <c r="CM371" s="2250"/>
      <c r="CN371" s="2250"/>
      <c r="CO371" s="2250"/>
      <c r="CP371" s="2250"/>
      <c r="CQ371" s="2250"/>
      <c r="CR371" s="2250"/>
      <c r="CS371" s="2250"/>
      <c r="CT371" s="2250"/>
      <c r="CU371" s="2250"/>
      <c r="CV371" s="2250"/>
      <c r="CW371" s="2250"/>
      <c r="CX371" s="2250"/>
      <c r="CY371" s="2250"/>
      <c r="CZ371" s="2250"/>
      <c r="DA371" s="2250"/>
      <c r="DB371" s="2250"/>
      <c r="DC371" s="2250"/>
      <c r="DD371" s="2250"/>
      <c r="DE371" s="2250"/>
      <c r="DF371" s="2250"/>
      <c r="DG371" s="2250"/>
      <c r="DH371" s="2250"/>
      <c r="DI371" s="2250"/>
      <c r="DJ371" s="2250"/>
      <c r="DK371" s="2250"/>
      <c r="DL371" s="2250"/>
      <c r="DM371" s="2250"/>
      <c r="DN371" s="2250"/>
      <c r="DO371" s="53"/>
      <c r="DP371" s="53"/>
      <c r="DQ371" s="2277"/>
      <c r="DR371" s="2277"/>
      <c r="DS371" s="277"/>
      <c r="DW371" s="2275"/>
      <c r="DX371" s="2250"/>
      <c r="DY371" s="2250"/>
      <c r="DZ371" s="2250"/>
      <c r="EA371" s="2250"/>
      <c r="EB371" s="2250"/>
      <c r="EC371" s="2250"/>
      <c r="ED371" s="2250"/>
      <c r="EE371" s="2250"/>
      <c r="EF371" s="2250"/>
      <c r="EG371" s="2250"/>
      <c r="EH371" s="2250"/>
      <c r="EI371" s="2250"/>
      <c r="EJ371" s="2250"/>
      <c r="EK371" s="2250"/>
      <c r="EL371" s="2250"/>
      <c r="EM371" s="4723"/>
      <c r="EN371" s="4723"/>
      <c r="EO371" s="2250"/>
      <c r="EP371" s="2250"/>
      <c r="EQ371" s="2250"/>
      <c r="ER371" s="2250"/>
      <c r="ES371" s="2250"/>
      <c r="ET371" s="2250"/>
      <c r="EU371" s="2250"/>
      <c r="EV371" s="2250"/>
      <c r="EW371" s="2250"/>
      <c r="EX371" s="2250"/>
      <c r="EY371" s="2250"/>
      <c r="EZ371" s="2250"/>
      <c r="FA371" s="2250"/>
      <c r="FB371" s="2250"/>
      <c r="FC371" s="2250"/>
      <c r="FD371" s="2250"/>
      <c r="FE371" s="2250"/>
      <c r="FF371" s="2250"/>
      <c r="FG371" s="2250"/>
      <c r="FH371" s="2250"/>
      <c r="FI371" s="2250"/>
      <c r="FJ371" s="2250"/>
      <c r="FK371" s="2250"/>
      <c r="FL371" s="2250"/>
      <c r="FM371" s="2250"/>
      <c r="FN371" s="2250"/>
      <c r="FO371" s="2250"/>
      <c r="FP371" s="2250"/>
      <c r="FQ371" s="2250"/>
      <c r="FR371" s="2250"/>
      <c r="FS371" s="2250"/>
      <c r="FT371" s="2250"/>
      <c r="FU371" s="2250"/>
      <c r="FV371" s="2250"/>
      <c r="FW371" s="2250"/>
      <c r="FX371" s="2250"/>
      <c r="FY371" s="2250"/>
      <c r="FZ371" s="2250"/>
      <c r="GA371" s="2250"/>
      <c r="GB371" s="2276"/>
      <c r="GC371" s="2276"/>
      <c r="GD371" s="2250"/>
      <c r="GE371" s="2275"/>
      <c r="GF371" s="2250"/>
      <c r="GG371" s="2250"/>
      <c r="GH371" s="2250"/>
      <c r="GI371" s="2250"/>
      <c r="GJ371" s="2250"/>
      <c r="GK371" s="2250"/>
      <c r="GL371" s="2250"/>
      <c r="GM371" s="2250"/>
      <c r="GN371" s="2250"/>
      <c r="GO371" s="2250"/>
      <c r="GP371" s="2250"/>
      <c r="GQ371" s="2250"/>
      <c r="GR371" s="2250"/>
      <c r="GS371" s="2250"/>
      <c r="GT371" s="2250"/>
      <c r="GU371" s="2250"/>
      <c r="GV371" s="2250"/>
      <c r="GW371" s="2250"/>
      <c r="GX371" s="2250"/>
      <c r="GY371" s="2250"/>
      <c r="GZ371" s="2250"/>
      <c r="HE371" s="2250"/>
      <c r="HF371" s="2250"/>
      <c r="HG371" s="2250"/>
      <c r="HH371" s="2250"/>
      <c r="HI371" s="2250"/>
      <c r="HJ371" s="2250"/>
      <c r="HK371" s="2380"/>
      <c r="HL371" s="2250"/>
      <c r="HM371" s="2250"/>
      <c r="HN371" s="2250"/>
      <c r="HO371" s="2250"/>
      <c r="HP371" s="2250"/>
      <c r="HQ371" s="2250"/>
      <c r="HR371" s="2250"/>
      <c r="HS371" s="2250"/>
      <c r="HT371" s="2250"/>
      <c r="HU371" s="2250"/>
      <c r="HV371" s="2250"/>
      <c r="HW371" s="2250"/>
      <c r="HX371" s="2250"/>
      <c r="HY371" s="2250"/>
      <c r="HZ371" s="2250"/>
      <c r="IA371" s="2250"/>
      <c r="IB371" s="2250"/>
      <c r="IC371" s="2250"/>
      <c r="ID371" s="2250"/>
      <c r="IE371" s="2250"/>
      <c r="IF371" s="2250"/>
      <c r="IG371" s="2250"/>
      <c r="IH371" s="2250"/>
      <c r="II371" s="2250"/>
      <c r="IJ371" s="2250"/>
      <c r="IK371" s="53"/>
      <c r="IL371" s="53"/>
      <c r="IN371" s="277"/>
      <c r="IO371" s="277"/>
    </row>
    <row r="372" spans="1:249" ht="21.95" customHeight="1" thickBot="1">
      <c r="A372" s="2275"/>
      <c r="B372" s="2250"/>
      <c r="C372" s="2250"/>
      <c r="D372" s="2250"/>
      <c r="E372" s="2250"/>
      <c r="F372" s="2250"/>
      <c r="G372" s="2250"/>
      <c r="H372" s="2250"/>
      <c r="I372" s="2250"/>
      <c r="J372" s="2250"/>
      <c r="K372" s="2250"/>
      <c r="L372" s="2250"/>
      <c r="M372" s="2250"/>
      <c r="N372" s="2250"/>
      <c r="O372" s="2250"/>
      <c r="P372" s="2250"/>
      <c r="Q372" s="4723"/>
      <c r="R372" s="4723"/>
      <c r="S372" s="2250"/>
      <c r="T372" s="2250"/>
      <c r="V372" s="4682" t="s">
        <v>2266</v>
      </c>
      <c r="W372" s="4683"/>
      <c r="X372" s="4711">
        <f>+E375</f>
        <v>0.75631178540277322</v>
      </c>
      <c r="Y372" s="4712"/>
      <c r="Z372" s="2250"/>
      <c r="AA372" s="2250"/>
      <c r="AB372" s="2250"/>
      <c r="AC372" s="2250"/>
      <c r="AH372" s="2250"/>
      <c r="AI372" s="2250"/>
      <c r="AJ372" s="2250"/>
      <c r="AK372" s="2250"/>
      <c r="AL372" s="2279" t="s">
        <v>2233</v>
      </c>
      <c r="AM372" s="2280" t="s">
        <v>648</v>
      </c>
      <c r="AN372" s="2281" t="s">
        <v>706</v>
      </c>
      <c r="AO372" s="2282" t="s">
        <v>707</v>
      </c>
      <c r="AP372" s="2283" t="str">
        <f>IF(AP374="Right",IF(AP375="Right",IF(AP376="Right",IF(AP373="Right","Right","Wrong"),"Wrong"),"Wrong"),"Wrong")</f>
        <v>Right</v>
      </c>
      <c r="AQ372" s="2250"/>
      <c r="AR372" s="2284" t="str">
        <f>IF(AR374="Right",IF(AR375="Right",IF(AR376="Right",IF(AR373="Right","Right","Wrong"),"Wrong"),"Wrong"),"Wrong")</f>
        <v>Right</v>
      </c>
      <c r="AS372" s="2285" t="s">
        <v>648</v>
      </c>
      <c r="AT372" s="2281" t="s">
        <v>706</v>
      </c>
      <c r="AU372" s="2282" t="s">
        <v>707</v>
      </c>
      <c r="AV372" s="2286" t="str">
        <f>IF(AV374="Right",IF(AV375="Right",IF(AV376="Right",IF(AV373="Right","Right","Wrong"),"Wrong"),"Wrong"),"Wrong")</f>
        <v>Right</v>
      </c>
      <c r="AW372" s="2250"/>
      <c r="AX372" s="2287" t="str">
        <f>HYPERLINK("Z:\Marketing Common\Dhrumil\Selection\Elite_Gear_Box.pdf","Elite Gear Box")</f>
        <v>Elite Gear Box</v>
      </c>
      <c r="AY372" s="2250"/>
      <c r="AZ372" s="2250"/>
      <c r="BA372" s="2250"/>
      <c r="BB372" s="2250"/>
      <c r="BC372" s="2250"/>
      <c r="BD372" s="2250"/>
      <c r="BE372" s="2250"/>
      <c r="BF372" s="2276"/>
      <c r="BG372" s="2276"/>
      <c r="BH372" s="2250"/>
      <c r="BI372" s="2275"/>
      <c r="BJ372" s="2250"/>
      <c r="BK372" s="2250"/>
      <c r="BL372" s="2250"/>
      <c r="BM372" s="2250"/>
      <c r="BN372" s="2250"/>
      <c r="BO372" s="2250"/>
      <c r="BP372" s="2250"/>
      <c r="BQ372" s="2250"/>
      <c r="BR372" s="2250"/>
      <c r="BS372" s="2250"/>
      <c r="BT372" s="2250"/>
      <c r="BU372" s="2250"/>
      <c r="BV372" s="2250"/>
      <c r="BW372" s="2250"/>
      <c r="BX372" s="2250"/>
      <c r="BY372" s="2250"/>
      <c r="BZ372" s="2250"/>
      <c r="CA372" s="2250"/>
      <c r="CB372" s="2250"/>
      <c r="CC372" s="2250"/>
      <c r="CD372" s="4713" t="s">
        <v>2266</v>
      </c>
      <c r="CE372" s="4714"/>
      <c r="CF372" s="4715">
        <f>+E375</f>
        <v>0.75631178540277322</v>
      </c>
      <c r="CG372" s="4716"/>
      <c r="CI372" s="2250"/>
      <c r="CJ372" s="2250"/>
      <c r="CK372" s="2250"/>
      <c r="CP372" s="2250"/>
      <c r="CQ372" s="2250"/>
      <c r="CR372" s="2250"/>
      <c r="CS372" s="2250"/>
      <c r="CT372" s="2279" t="s">
        <v>2233</v>
      </c>
      <c r="CU372" s="2280" t="s">
        <v>648</v>
      </c>
      <c r="CV372" s="2281" t="s">
        <v>706</v>
      </c>
      <c r="CW372" s="2282" t="s">
        <v>707</v>
      </c>
      <c r="CX372" s="2283" t="str">
        <f>IF(CX374="Right",IF(CX375="Right",IF(CX376="Right",IF(CX373="Right","Right","Wrong"),"Wrong"),"Wrong"),"Wrong")</f>
        <v>Right</v>
      </c>
      <c r="CY372" s="2250"/>
      <c r="CZ372" s="2284" t="str">
        <f>IF(CZ374="Right",IF(CZ375="Right",IF(CZ376="Right",IF(CZ373="Right","Right","Wrong"),"Wrong"),"Wrong"),"Wrong")</f>
        <v>Right</v>
      </c>
      <c r="DA372" s="2285" t="s">
        <v>648</v>
      </c>
      <c r="DB372" s="2281" t="s">
        <v>706</v>
      </c>
      <c r="DC372" s="2282" t="s">
        <v>707</v>
      </c>
      <c r="DD372" s="2286" t="str">
        <f>IF(DD374="Right",IF(DD375="Right",IF(DD376="Right",IF(DD373="Right","Right","Wrong"),"Wrong"),"Wrong"),"Wrong")</f>
        <v>Right</v>
      </c>
      <c r="DE372" s="2250"/>
      <c r="DF372" s="2287" t="str">
        <f>HYPERLINK("Z:\Marketing Common\Dhrumil\Selection\Elite_Gear_Box.pdf","Elite Gear Box")</f>
        <v>Elite Gear Box</v>
      </c>
      <c r="DG372" s="2250"/>
      <c r="DH372" s="2250"/>
      <c r="DI372" s="2250"/>
      <c r="DJ372" s="2250"/>
      <c r="DK372" s="2250"/>
      <c r="DL372" s="2250"/>
      <c r="DM372" s="2250"/>
      <c r="DN372" s="2250"/>
      <c r="DO372" s="53"/>
      <c r="DP372" s="53"/>
      <c r="DQ372" s="2277"/>
      <c r="DR372" s="2277"/>
      <c r="DS372" s="277"/>
      <c r="DW372" s="2275"/>
      <c r="DX372" s="2250"/>
      <c r="DY372" s="2250"/>
      <c r="DZ372" s="2250"/>
      <c r="EA372" s="2250"/>
      <c r="EB372" s="2250"/>
      <c r="EC372" s="2250"/>
      <c r="ED372" s="2250"/>
      <c r="EE372" s="2250"/>
      <c r="EF372" s="2250"/>
      <c r="EG372" s="2250"/>
      <c r="EH372" s="2250"/>
      <c r="EI372" s="2250"/>
      <c r="EJ372" s="2250"/>
      <c r="EK372" s="2250"/>
      <c r="EL372" s="2250"/>
      <c r="EM372" s="4723"/>
      <c r="EN372" s="4723"/>
      <c r="EO372" s="2250"/>
      <c r="EP372" s="2250"/>
      <c r="ER372" s="4682" t="s">
        <v>2266</v>
      </c>
      <c r="ES372" s="4683"/>
      <c r="ET372" s="4711">
        <f>+EA375</f>
        <v>1.3354563802212776</v>
      </c>
      <c r="EU372" s="4712"/>
      <c r="EV372" s="2250"/>
      <c r="EW372" s="2250"/>
      <c r="EX372" s="2250"/>
      <c r="EY372" s="2250"/>
      <c r="FD372" s="2250"/>
      <c r="FE372" s="2250"/>
      <c r="FF372" s="2250"/>
      <c r="FG372" s="2250"/>
      <c r="FH372" s="2279" t="s">
        <v>2233</v>
      </c>
      <c r="FI372" s="2280" t="s">
        <v>648</v>
      </c>
      <c r="FJ372" s="2281" t="s">
        <v>706</v>
      </c>
      <c r="FK372" s="2282" t="s">
        <v>707</v>
      </c>
      <c r="FL372" s="2283" t="str">
        <f>IF(FL374="Right",IF(FL375="Right",IF(FL376="Right",IF(FL373="Right","Right","Wrong"),"Wrong"),"Wrong"),"Wrong")</f>
        <v>Right</v>
      </c>
      <c r="FM372" s="2250"/>
      <c r="FN372" s="2284" t="str">
        <f>IF(FN374="Right",IF(FN375="Right",IF(FN376="Right",IF(FN373="Right","Right","Wrong"),"Wrong"),"Wrong"),"Wrong")</f>
        <v>Right</v>
      </c>
      <c r="FO372" s="2285" t="s">
        <v>648</v>
      </c>
      <c r="FP372" s="2281" t="s">
        <v>706</v>
      </c>
      <c r="FQ372" s="2282" t="s">
        <v>707</v>
      </c>
      <c r="FR372" s="2286" t="str">
        <f>IF(FR374="Right",IF(FR375="Right",IF(FR376="Right",IF(FR373="Right","Right","Wrong"),"Wrong"),"Wrong"),"Wrong")</f>
        <v>Right</v>
      </c>
      <c r="FS372" s="2250"/>
      <c r="FT372" s="2287" t="str">
        <f>HYPERLINK("Z:\Marketing Common\Dhrumil\Selection\Elite_Gear_Box.pdf","Elite Gear Box")</f>
        <v>Elite Gear Box</v>
      </c>
      <c r="FU372" s="2250"/>
      <c r="FV372" s="2250"/>
      <c r="FW372" s="2250"/>
      <c r="FX372" s="2250"/>
      <c r="FY372" s="2250"/>
      <c r="FZ372" s="2250"/>
      <c r="GA372" s="2250"/>
      <c r="GB372" s="2276"/>
      <c r="GC372" s="2276"/>
      <c r="GD372" s="2250"/>
      <c r="GE372" s="2275"/>
      <c r="GF372" s="2250"/>
      <c r="GG372" s="2250"/>
      <c r="GH372" s="2250"/>
      <c r="GI372" s="2250"/>
      <c r="GJ372" s="2250"/>
      <c r="GK372" s="2250"/>
      <c r="GL372" s="2250"/>
      <c r="GM372" s="2250"/>
      <c r="GN372" s="2250"/>
      <c r="GO372" s="2250"/>
      <c r="GP372" s="2250"/>
      <c r="GQ372" s="2250"/>
      <c r="GR372" s="2250"/>
      <c r="GS372" s="2250"/>
      <c r="GT372" s="2250"/>
      <c r="GU372" s="2250"/>
      <c r="GV372" s="2250"/>
      <c r="GW372" s="2250"/>
      <c r="GX372" s="2250"/>
      <c r="GY372" s="2250"/>
      <c r="GZ372" s="4713" t="s">
        <v>2266</v>
      </c>
      <c r="HA372" s="4714"/>
      <c r="HB372" s="4715">
        <f>+EA375</f>
        <v>1.3354563802212776</v>
      </c>
      <c r="HC372" s="4716"/>
      <c r="HE372" s="2250"/>
      <c r="HF372" s="2250"/>
      <c r="HG372" s="2250"/>
      <c r="HL372" s="2250"/>
      <c r="HM372" s="2250"/>
      <c r="HN372" s="2250"/>
      <c r="HO372" s="2250"/>
      <c r="HP372" s="2279" t="s">
        <v>2233</v>
      </c>
      <c r="HQ372" s="2280" t="s">
        <v>648</v>
      </c>
      <c r="HR372" s="2281" t="s">
        <v>706</v>
      </c>
      <c r="HS372" s="2282" t="s">
        <v>707</v>
      </c>
      <c r="HT372" s="2283" t="str">
        <f>IF(HT374="Right",IF(HT375="Right",IF(HT376="Right",IF(HT373="Right","Right","Wrong"),"Wrong"),"Wrong"),"Wrong")</f>
        <v>Right</v>
      </c>
      <c r="HU372" s="2250"/>
      <c r="HV372" s="2284" t="str">
        <f>IF(HV374="Right",IF(HV375="Right",IF(HV376="Right",IF(HV373="Right","Right","Wrong"),"Wrong"),"Wrong"),"Wrong")</f>
        <v>Right</v>
      </c>
      <c r="HW372" s="2285" t="s">
        <v>648</v>
      </c>
      <c r="HX372" s="2281" t="s">
        <v>706</v>
      </c>
      <c r="HY372" s="2282" t="s">
        <v>707</v>
      </c>
      <c r="HZ372" s="2286" t="str">
        <f>IF(HZ374="Right",IF(HZ375="Right",IF(HZ376="Right",IF(HZ373="Right","Right","Wrong"),"Wrong"),"Wrong"),"Wrong")</f>
        <v>Right</v>
      </c>
      <c r="IA372" s="2250"/>
      <c r="IB372" s="2287" t="str">
        <f>HYPERLINK("Z:\Marketing Common\Dhrumil\Selection\Elite_Gear_Box.pdf","Elite Gear Box")</f>
        <v>Elite Gear Box</v>
      </c>
      <c r="IC372" s="2250"/>
      <c r="ID372" s="2250"/>
      <c r="IE372" s="2250"/>
      <c r="IF372" s="2250"/>
      <c r="IG372" s="2250"/>
      <c r="IH372" s="2250"/>
      <c r="II372" s="2250"/>
      <c r="IJ372" s="2250"/>
      <c r="IK372" s="53"/>
      <c r="IL372" s="53"/>
      <c r="IN372" s="277"/>
      <c r="IO372" s="277"/>
    </row>
    <row r="373" spans="1:249" ht="21.95" customHeight="1" thickBot="1">
      <c r="A373" s="2275"/>
      <c r="B373" s="2250"/>
      <c r="C373" s="2250"/>
      <c r="D373" s="2250"/>
      <c r="E373" s="2250"/>
      <c r="F373" s="2250"/>
      <c r="G373" s="2250"/>
      <c r="H373" s="2250"/>
      <c r="I373" s="2250"/>
      <c r="J373" s="2250"/>
      <c r="K373" s="2250"/>
      <c r="L373" s="2250"/>
      <c r="M373" s="2250"/>
      <c r="N373" s="2250"/>
      <c r="O373" s="2250"/>
      <c r="P373" s="2250"/>
      <c r="Q373" s="2250"/>
      <c r="R373" s="2250"/>
      <c r="S373" s="2250"/>
      <c r="T373" s="2250"/>
      <c r="V373" s="4694" t="s">
        <v>2267</v>
      </c>
      <c r="W373" s="4695"/>
      <c r="X373" s="4717">
        <f>BF416</f>
        <v>68.3</v>
      </c>
      <c r="Y373" s="4718"/>
      <c r="Z373" s="2250"/>
      <c r="AA373" s="2250"/>
      <c r="AB373" s="2250"/>
      <c r="AC373" s="2250"/>
      <c r="AH373" s="2250"/>
      <c r="AI373" s="2250"/>
      <c r="AJ373" s="2250"/>
      <c r="AK373" s="2250"/>
      <c r="AL373" s="2250"/>
      <c r="AM373" s="2288" t="s">
        <v>651</v>
      </c>
      <c r="AN373" s="2289">
        <f>D434</f>
        <v>0</v>
      </c>
      <c r="AO373" s="2290">
        <f>E434</f>
        <v>475</v>
      </c>
      <c r="AP373" s="2250" t="str">
        <f>IF(B444="Right",IF(B445="Right","Right","Wrong"),"Wrong")</f>
        <v>Right</v>
      </c>
      <c r="AQ373" s="2250"/>
      <c r="AR373" s="2251" t="str">
        <f>IF(AN373=AT373,IF(AN373=AN378,IF(AO373=AU373,IF(AO373=AO378,"Right","Wrong"),"Wrong")))</f>
        <v>Right</v>
      </c>
      <c r="AS373" s="2288" t="s">
        <v>651</v>
      </c>
      <c r="AT373" s="2289">
        <f>C473</f>
        <v>0</v>
      </c>
      <c r="AU373" s="2290">
        <f>+C474</f>
        <v>475</v>
      </c>
      <c r="AV373" s="2251" t="str">
        <f>IF(AN373=AT373,IF(AO373=AU373,IF(AN378=AT373,IF(AO378=AU373,"Right","Wrong"),"Wrong"),"Wrong"),"Wrong")</f>
        <v>Right</v>
      </c>
      <c r="AW373" s="2250"/>
      <c r="AX373" s="2250"/>
      <c r="AY373" s="2250"/>
      <c r="AZ373" s="2250"/>
      <c r="BA373" s="2250"/>
      <c r="BB373" s="2250"/>
      <c r="BC373" s="2250"/>
      <c r="BD373" s="2250"/>
      <c r="BE373" s="2250"/>
      <c r="BF373" s="2276"/>
      <c r="BG373" s="2276"/>
      <c r="BH373" s="2250"/>
      <c r="BI373" s="2275"/>
      <c r="BJ373" s="2250"/>
      <c r="BK373" s="2250"/>
      <c r="BL373" s="2250"/>
      <c r="BM373" s="2250"/>
      <c r="BN373" s="2250"/>
      <c r="BO373" s="2250"/>
      <c r="BP373" s="2250"/>
      <c r="BQ373" s="2250"/>
      <c r="BR373" s="2250"/>
      <c r="BS373" s="2250"/>
      <c r="BT373" s="2250"/>
      <c r="BU373" s="2250"/>
      <c r="BV373" s="2250"/>
      <c r="BW373" s="2250"/>
      <c r="BX373" s="2250"/>
      <c r="BY373" s="2250"/>
      <c r="BZ373" s="2250"/>
      <c r="CA373" s="2250"/>
      <c r="CB373" s="2250"/>
      <c r="CC373" s="2250"/>
      <c r="CD373" s="4719" t="s">
        <v>2267</v>
      </c>
      <c r="CE373" s="4720"/>
      <c r="CF373" s="4721">
        <f>BG416</f>
        <v>73.7</v>
      </c>
      <c r="CG373" s="4722"/>
      <c r="CI373" s="2250"/>
      <c r="CJ373" s="2250"/>
      <c r="CK373" s="2250"/>
      <c r="CP373" s="2250"/>
      <c r="CQ373" s="2250"/>
      <c r="CR373" s="2250"/>
      <c r="CS373" s="2250"/>
      <c r="CT373" s="2250"/>
      <c r="CU373" s="2288" t="s">
        <v>651</v>
      </c>
      <c r="CV373" s="2289">
        <f>BL434</f>
        <v>0</v>
      </c>
      <c r="CW373" s="2290">
        <f>BM434</f>
        <v>475</v>
      </c>
      <c r="CX373" s="2250" t="str">
        <f>IF(BJ444="Right",IF(BJ445="Right","Right","Wrong"),"Wrong")</f>
        <v>Right</v>
      </c>
      <c r="CY373" s="2250"/>
      <c r="CZ373" s="2251" t="str">
        <f>IF(CV373=DB373,IF(CV373=CV378,IF(CW373=DC373,IF(CW373=CW378,"Right","Wrong"),"Wrong")))</f>
        <v>Right</v>
      </c>
      <c r="DA373" s="2288" t="s">
        <v>651</v>
      </c>
      <c r="DB373" s="2289">
        <f>BK473</f>
        <v>0</v>
      </c>
      <c r="DC373" s="2290">
        <f>+BK474</f>
        <v>475</v>
      </c>
      <c r="DD373" s="2251" t="str">
        <f>IF(CV373=DB373,IF(CW373=DC373,IF(CV378=DB373,IF(CW378=DC373,"Right","Wrong"),"Wrong"),"Wrong"),"Wrong")</f>
        <v>Right</v>
      </c>
      <c r="DE373" s="2250"/>
      <c r="DF373" s="2250"/>
      <c r="DG373" s="2250"/>
      <c r="DH373" s="2250"/>
      <c r="DI373" s="2250"/>
      <c r="DJ373" s="2250"/>
      <c r="DK373" s="2250"/>
      <c r="DL373" s="2250"/>
      <c r="DM373" s="2250"/>
      <c r="DN373" s="2250"/>
      <c r="DO373" s="53"/>
      <c r="DP373" s="53"/>
      <c r="DQ373" s="2277"/>
      <c r="DR373" s="2277"/>
      <c r="DS373" s="277"/>
      <c r="DW373" s="2275"/>
      <c r="DX373" s="2250"/>
      <c r="DY373" s="2250"/>
      <c r="DZ373" s="2250"/>
      <c r="EA373" s="2250"/>
      <c r="EB373" s="2250"/>
      <c r="EC373" s="2250"/>
      <c r="ED373" s="2250"/>
      <c r="EE373" s="2250"/>
      <c r="EF373" s="2250"/>
      <c r="EG373" s="2250"/>
      <c r="EH373" s="2250"/>
      <c r="EI373" s="2250"/>
      <c r="EJ373" s="2250"/>
      <c r="EK373" s="2250"/>
      <c r="EL373" s="2250"/>
      <c r="EM373" s="2250"/>
      <c r="EN373" s="2250"/>
      <c r="EO373" s="2250"/>
      <c r="EP373" s="2250"/>
      <c r="ER373" s="4694" t="s">
        <v>2267</v>
      </c>
      <c r="ES373" s="4695"/>
      <c r="ET373" s="4717">
        <f>GB416</f>
        <v>43.9</v>
      </c>
      <c r="EU373" s="4718"/>
      <c r="EV373" s="2250"/>
      <c r="EW373" s="2250"/>
      <c r="EX373" s="2250"/>
      <c r="EY373" s="2250"/>
      <c r="FD373" s="2250"/>
      <c r="FE373" s="2250"/>
      <c r="FF373" s="2250"/>
      <c r="FG373" s="2250"/>
      <c r="FH373" s="2250"/>
      <c r="FI373" s="2288" t="s">
        <v>651</v>
      </c>
      <c r="FJ373" s="2289">
        <f>DZ434</f>
        <v>0</v>
      </c>
      <c r="FK373" s="2290">
        <f>EA434</f>
        <v>475</v>
      </c>
      <c r="FL373" s="2250" t="str">
        <f>IF(DX444="Right",IF(DX445="Right","Right","Wrong"),"Wrong")</f>
        <v>Right</v>
      </c>
      <c r="FM373" s="2250"/>
      <c r="FN373" s="2251" t="str">
        <f>IF(FJ373=FP373,IF(FJ373=FJ378,IF(FK373=FQ373,IF(FK373=FK378,"Right","Wrong"),"Wrong")))</f>
        <v>Right</v>
      </c>
      <c r="FO373" s="2288" t="s">
        <v>651</v>
      </c>
      <c r="FP373" s="2289">
        <f>DY473</f>
        <v>0</v>
      </c>
      <c r="FQ373" s="2290">
        <f>+DY474</f>
        <v>475</v>
      </c>
      <c r="FR373" s="2251" t="str">
        <f>IF(FJ373=FP373,IF(FK373=FQ373,IF(FJ378=FP373,IF(FK378=FQ373,"Right","Wrong"),"Wrong"),"Wrong"),"Wrong")</f>
        <v>Right</v>
      </c>
      <c r="FS373" s="2250"/>
      <c r="FT373" s="2250"/>
      <c r="FU373" s="2250"/>
      <c r="FV373" s="2250"/>
      <c r="FW373" s="2250"/>
      <c r="FX373" s="2250"/>
      <c r="FY373" s="2250"/>
      <c r="FZ373" s="2250"/>
      <c r="GA373" s="2250"/>
      <c r="GB373" s="2276"/>
      <c r="GC373" s="2276"/>
      <c r="GD373" s="2250"/>
      <c r="GE373" s="2275"/>
      <c r="GF373" s="2250"/>
      <c r="GG373" s="2250"/>
      <c r="GH373" s="2250"/>
      <c r="GI373" s="2250"/>
      <c r="GJ373" s="2250"/>
      <c r="GK373" s="2250"/>
      <c r="GL373" s="2250"/>
      <c r="GM373" s="2250"/>
      <c r="GN373" s="2250"/>
      <c r="GO373" s="2250"/>
      <c r="GP373" s="2250"/>
      <c r="GQ373" s="2250"/>
      <c r="GR373" s="2250"/>
      <c r="GS373" s="2250"/>
      <c r="GT373" s="2250"/>
      <c r="GU373" s="2250"/>
      <c r="GV373" s="2250"/>
      <c r="GW373" s="2250"/>
      <c r="GX373" s="2250"/>
      <c r="GY373" s="2250"/>
      <c r="GZ373" s="4719" t="s">
        <v>2267</v>
      </c>
      <c r="HA373" s="4720"/>
      <c r="HB373" s="4721">
        <f>GC416</f>
        <v>48.8</v>
      </c>
      <c r="HC373" s="4722"/>
      <c r="HE373" s="2250"/>
      <c r="HF373" s="2250"/>
      <c r="HG373" s="2250"/>
      <c r="HL373" s="2250"/>
      <c r="HM373" s="2250"/>
      <c r="HN373" s="2250"/>
      <c r="HO373" s="2250"/>
      <c r="HP373" s="2250"/>
      <c r="HQ373" s="2288" t="s">
        <v>651</v>
      </c>
      <c r="HR373" s="2289">
        <f>GH434</f>
        <v>0</v>
      </c>
      <c r="HS373" s="2290">
        <f>GI434</f>
        <v>475</v>
      </c>
      <c r="HT373" s="2250" t="str">
        <f>IF(GF444="Right",IF(GF445="Right","Right","Wrong"),"Wrong")</f>
        <v>Right</v>
      </c>
      <c r="HU373" s="2250"/>
      <c r="HV373" s="2251" t="str">
        <f>IF(HR373=HX373,IF(HR373=HR378,IF(HS373=HY373,IF(HS373=HS378,"Right","Wrong"),"Wrong")))</f>
        <v>Right</v>
      </c>
      <c r="HW373" s="2288" t="s">
        <v>651</v>
      </c>
      <c r="HX373" s="2289">
        <f>GG473</f>
        <v>0</v>
      </c>
      <c r="HY373" s="2290">
        <f>+GG474</f>
        <v>475</v>
      </c>
      <c r="HZ373" s="2251" t="str">
        <f>IF(HR373=HX373,IF(HS373=HY373,IF(HR378=HX373,IF(HS378=HY373,"Right","Wrong"),"Wrong"),"Wrong"),"Wrong")</f>
        <v>Right</v>
      </c>
      <c r="IA373" s="2250"/>
      <c r="IB373" s="2250"/>
      <c r="IC373" s="2250"/>
      <c r="ID373" s="2250"/>
      <c r="IE373" s="2250"/>
      <c r="IF373" s="2250"/>
      <c r="IG373" s="2250"/>
      <c r="IH373" s="2250"/>
      <c r="II373" s="2250"/>
      <c r="IJ373" s="2250"/>
      <c r="IK373" s="53"/>
      <c r="IL373" s="53"/>
      <c r="IN373" s="277"/>
      <c r="IO373" s="277"/>
    </row>
    <row r="374" spans="1:249" ht="21.95" customHeight="1" thickBot="1">
      <c r="A374" s="2275"/>
      <c r="B374" s="2250"/>
      <c r="C374" s="2250"/>
      <c r="D374" s="2250"/>
      <c r="E374" s="2250"/>
      <c r="F374" s="2250"/>
      <c r="G374" s="2250"/>
      <c r="H374" s="2250"/>
      <c r="I374" s="2250"/>
      <c r="J374" s="2250"/>
      <c r="K374" s="2250"/>
      <c r="L374" s="2250"/>
      <c r="M374" s="2250"/>
      <c r="N374" s="2250"/>
      <c r="O374" s="2250"/>
      <c r="P374" s="2250"/>
      <c r="Q374" s="2250"/>
      <c r="R374" s="2250"/>
      <c r="S374" s="2250"/>
      <c r="T374" s="2250"/>
      <c r="V374" s="4686"/>
      <c r="W374" s="4687"/>
      <c r="X374" s="4688"/>
      <c r="Y374" s="4689"/>
      <c r="AA374" s="1684"/>
      <c r="AB374" s="2250"/>
      <c r="AC374" s="2250"/>
      <c r="AH374" s="2250"/>
      <c r="AI374" s="2250"/>
      <c r="AJ374" s="2250"/>
      <c r="AK374" s="2250"/>
      <c r="AL374" s="2250"/>
      <c r="AM374" s="2291" t="s">
        <v>654</v>
      </c>
      <c r="AN374" s="2292">
        <f>R434</f>
        <v>6.81</v>
      </c>
      <c r="AO374" s="2293">
        <f>S434</f>
        <v>475</v>
      </c>
      <c r="AP374" s="2250" t="str">
        <f>IF(P444="Right",IF(P445="Right","Right","Wrong"),"Wrong")</f>
        <v>Right</v>
      </c>
      <c r="AQ374" s="2250"/>
      <c r="AR374" s="2251" t="str">
        <f>IF(AN374=AT374,IF(AN374=AN379,IF(AO374=AU374,IF(AO374=AO379,"Right","Wrong"),"Wrong"),"Wrong"),"Wrong")</f>
        <v>Right</v>
      </c>
      <c r="AS374" s="2291" t="s">
        <v>654</v>
      </c>
      <c r="AT374" s="2292">
        <f>C495</f>
        <v>6.81</v>
      </c>
      <c r="AU374" s="2293">
        <f>+C496</f>
        <v>475</v>
      </c>
      <c r="AV374" s="2251" t="str">
        <f>IF(AN374=AT374,IF(AO374=AU374,IF(AN379=AT374,IF(AO379=AU374,"Right","Wrong"),"Wrong"),"Wrong"),"Wrong")</f>
        <v>Right</v>
      </c>
      <c r="AW374" s="2250"/>
      <c r="AX374" s="2250"/>
      <c r="AY374" s="2250"/>
      <c r="AZ374" s="2250"/>
      <c r="BA374" s="2250"/>
      <c r="BB374" s="2250"/>
      <c r="BC374" s="2250"/>
      <c r="BD374" s="2250"/>
      <c r="BE374" s="2250"/>
      <c r="BF374" s="2276"/>
      <c r="BG374" s="2276"/>
      <c r="BH374" s="2250"/>
      <c r="BI374" s="2275"/>
      <c r="BJ374" s="2250"/>
      <c r="BK374" s="2250"/>
      <c r="BL374" s="2250"/>
      <c r="BM374" s="2250"/>
      <c r="BN374" s="2250"/>
      <c r="BO374" s="2250"/>
      <c r="BP374" s="2250"/>
      <c r="BQ374" s="2250"/>
      <c r="BR374" s="2250"/>
      <c r="BS374" s="2250"/>
      <c r="BT374" s="2250"/>
      <c r="BU374" s="2250"/>
      <c r="BV374" s="2250"/>
      <c r="BW374" s="2250"/>
      <c r="BX374" s="2250"/>
      <c r="BY374" s="2250"/>
      <c r="BZ374" s="2250"/>
      <c r="CA374" s="2250"/>
      <c r="CB374" s="2250"/>
      <c r="CC374" s="2250"/>
      <c r="CD374" s="2385"/>
      <c r="CE374" s="2386"/>
      <c r="CF374" s="2386"/>
      <c r="CG374" s="2387"/>
      <c r="CI374" s="2250"/>
      <c r="CJ374" s="2250"/>
      <c r="CK374" s="2250"/>
      <c r="CP374" s="2250"/>
      <c r="CQ374" s="2250"/>
      <c r="CR374" s="2250"/>
      <c r="CS374" s="2250"/>
      <c r="CT374" s="2250"/>
      <c r="CU374" s="2291" t="s">
        <v>654</v>
      </c>
      <c r="CV374" s="2292">
        <f>BZ434</f>
        <v>6.26</v>
      </c>
      <c r="CW374" s="2293">
        <f>CA434</f>
        <v>475</v>
      </c>
      <c r="CX374" s="2250" t="str">
        <f>IF(BX444="Right",IF(BX445="Right","Right","Wrong"),"Wrong")</f>
        <v>Right</v>
      </c>
      <c r="CY374" s="2250"/>
      <c r="CZ374" s="2251" t="str">
        <f>IF(CV374=DB374,IF(CV374=CV379,IF(CW374=DC374,IF(CW374=CW379,"Right","Wrong"),"Wrong"),"Wrong"),"Wrong")</f>
        <v>Right</v>
      </c>
      <c r="DA374" s="2291" t="s">
        <v>654</v>
      </c>
      <c r="DB374" s="2292">
        <f>BK495</f>
        <v>6.26</v>
      </c>
      <c r="DC374" s="2293">
        <f>+BK496</f>
        <v>475</v>
      </c>
      <c r="DD374" s="2251" t="str">
        <f>IF(CV374=DB374,IF(CW374=DC374,IF(CV379=DB374,IF(CW379=DC374,"Right","Wrong"),"Wrong"),"Wrong"),"Wrong")</f>
        <v>Right</v>
      </c>
      <c r="DE374" s="2250"/>
      <c r="DF374" s="2250"/>
      <c r="DG374" s="2250"/>
      <c r="DH374" s="2250"/>
      <c r="DI374" s="2250"/>
      <c r="DJ374" s="2250"/>
      <c r="DK374" s="2250"/>
      <c r="DL374" s="2250"/>
      <c r="DM374" s="2250"/>
      <c r="DN374" s="2250"/>
      <c r="DO374" s="53"/>
      <c r="DP374" s="53"/>
      <c r="DQ374" s="2277"/>
      <c r="DR374" s="2277"/>
      <c r="DS374" s="277"/>
      <c r="DW374" s="2275"/>
      <c r="DX374" s="2250"/>
      <c r="DY374" s="2250"/>
      <c r="DZ374" s="2250"/>
      <c r="EA374" s="2250"/>
      <c r="EB374" s="2250"/>
      <c r="EC374" s="2250"/>
      <c r="ED374" s="2250"/>
      <c r="EE374" s="2250"/>
      <c r="EF374" s="2250"/>
      <c r="EG374" s="2250"/>
      <c r="EH374" s="2250"/>
      <c r="EI374" s="2250"/>
      <c r="EJ374" s="2250"/>
      <c r="EK374" s="2250"/>
      <c r="EL374" s="2250"/>
      <c r="EM374" s="2250"/>
      <c r="EN374" s="2250"/>
      <c r="EO374" s="2250"/>
      <c r="EP374" s="2250"/>
      <c r="ER374" s="4686"/>
      <c r="ES374" s="4687"/>
      <c r="ET374" s="4688"/>
      <c r="EU374" s="4689"/>
      <c r="EW374" s="1684"/>
      <c r="EX374" s="2250"/>
      <c r="EY374" s="2250"/>
      <c r="FD374" s="2250"/>
      <c r="FE374" s="2250"/>
      <c r="FF374" s="2250"/>
      <c r="FG374" s="2250"/>
      <c r="FH374" s="2250"/>
      <c r="FI374" s="2291" t="s">
        <v>654</v>
      </c>
      <c r="FJ374" s="2292">
        <f>EN434</f>
        <v>9.8800000000000008</v>
      </c>
      <c r="FK374" s="2293">
        <f>EO434</f>
        <v>475</v>
      </c>
      <c r="FL374" s="2250" t="str">
        <f>IF(EL444="Right",IF(EL445="Right","Right","Wrong"),"Wrong")</f>
        <v>Right</v>
      </c>
      <c r="FM374" s="2250"/>
      <c r="FN374" s="2251" t="str">
        <f>IF(FJ374=FP374,IF(FJ374=FJ379,IF(FK374=FQ374,IF(FK374=FK379,"Right","Wrong"),"Wrong"),"Wrong"),"Wrong")</f>
        <v>Right</v>
      </c>
      <c r="FO374" s="2291" t="s">
        <v>654</v>
      </c>
      <c r="FP374" s="2292">
        <f>DY495</f>
        <v>9.8800000000000008</v>
      </c>
      <c r="FQ374" s="2293">
        <f>+DY496</f>
        <v>475</v>
      </c>
      <c r="FR374" s="2251" t="str">
        <f>IF(FJ374=FP374,IF(FK374=FQ374,IF(FJ379=FP374,IF(FK379=FQ374,"Right","Wrong"),"Wrong"),"Wrong"),"Wrong")</f>
        <v>Right</v>
      </c>
      <c r="FS374" s="2250"/>
      <c r="FT374" s="2250"/>
      <c r="FU374" s="2250"/>
      <c r="FV374" s="2250"/>
      <c r="FW374" s="2250"/>
      <c r="FX374" s="2250"/>
      <c r="FY374" s="2250"/>
      <c r="FZ374" s="2250"/>
      <c r="GA374" s="2250"/>
      <c r="GB374" s="2276"/>
      <c r="GC374" s="2276"/>
      <c r="GD374" s="2250"/>
      <c r="GE374" s="2275"/>
      <c r="GF374" s="2250"/>
      <c r="GG374" s="2250"/>
      <c r="GH374" s="2250"/>
      <c r="GI374" s="2250"/>
      <c r="GJ374" s="2250"/>
      <c r="GK374" s="2250"/>
      <c r="GL374" s="2250"/>
      <c r="GM374" s="2250"/>
      <c r="GN374" s="2250"/>
      <c r="GO374" s="2250"/>
      <c r="GP374" s="2250"/>
      <c r="GQ374" s="2250"/>
      <c r="GR374" s="2250"/>
      <c r="GS374" s="2250"/>
      <c r="GT374" s="2250"/>
      <c r="GU374" s="2250"/>
      <c r="GV374" s="2250"/>
      <c r="GW374" s="2250"/>
      <c r="GX374" s="2250"/>
      <c r="GY374" s="2250"/>
      <c r="GZ374" s="2385"/>
      <c r="HA374" s="2386"/>
      <c r="HB374" s="2386"/>
      <c r="HC374" s="2387"/>
      <c r="HE374" s="2250"/>
      <c r="HF374" s="2250"/>
      <c r="HG374" s="2250"/>
      <c r="HL374" s="2250"/>
      <c r="HM374" s="2250"/>
      <c r="HN374" s="2250"/>
      <c r="HO374" s="2250"/>
      <c r="HP374" s="2250"/>
      <c r="HQ374" s="2291" t="s">
        <v>654</v>
      </c>
      <c r="HR374" s="2292">
        <f>GV434</f>
        <v>9.08</v>
      </c>
      <c r="HS374" s="2293">
        <f>GW434</f>
        <v>475</v>
      </c>
      <c r="HT374" s="2250" t="str">
        <f>IF(GT444="Right",IF(GT445="Right","Right","Wrong"),"Wrong")</f>
        <v>Right</v>
      </c>
      <c r="HU374" s="2250"/>
      <c r="HV374" s="2251" t="str">
        <f>IF(HR374=HX374,IF(HR374=HR379,IF(HS374=HY374,IF(HS374=HS379,"Right","Wrong"),"Wrong"),"Wrong"),"Wrong")</f>
        <v>Right</v>
      </c>
      <c r="HW374" s="2291" t="s">
        <v>654</v>
      </c>
      <c r="HX374" s="2292">
        <f>GG495</f>
        <v>9.08</v>
      </c>
      <c r="HY374" s="2293">
        <f>+GG496</f>
        <v>475</v>
      </c>
      <c r="HZ374" s="2251" t="str">
        <f>IF(HR374=HX374,IF(HS374=HY374,IF(HR379=HX374,IF(HS379=HY374,"Right","Wrong"),"Wrong"),"Wrong"),"Wrong")</f>
        <v>Right</v>
      </c>
      <c r="IA374" s="2250"/>
      <c r="IB374" s="2250"/>
      <c r="IC374" s="2250"/>
      <c r="ID374" s="2250"/>
      <c r="IE374" s="2250"/>
      <c r="IF374" s="2250"/>
      <c r="IG374" s="2250"/>
      <c r="IH374" s="2250"/>
      <c r="II374" s="2250"/>
      <c r="IJ374" s="2250"/>
      <c r="IK374" s="53"/>
      <c r="IL374" s="53"/>
      <c r="IN374" s="277"/>
      <c r="IO374" s="277"/>
    </row>
    <row r="375" spans="1:249" ht="21.95" customHeight="1" thickBot="1">
      <c r="A375" s="2275"/>
      <c r="B375" s="2250"/>
      <c r="C375" s="2250"/>
      <c r="D375" s="2294" t="s">
        <v>2266</v>
      </c>
      <c r="E375" s="2295">
        <f>E4</f>
        <v>0.75631178540277322</v>
      </c>
      <c r="F375" s="2250"/>
      <c r="G375" s="2250"/>
      <c r="H375" s="2250"/>
      <c r="I375" s="2250"/>
      <c r="J375" s="2250"/>
      <c r="K375" s="2250"/>
      <c r="L375" s="2250"/>
      <c r="M375" s="2250"/>
      <c r="N375" s="2250"/>
      <c r="O375" s="2250"/>
      <c r="P375" s="2250"/>
      <c r="Q375" s="2250"/>
      <c r="R375" s="2250"/>
      <c r="S375" s="2278"/>
      <c r="T375" s="2278"/>
      <c r="V375" s="4703" t="s">
        <v>646</v>
      </c>
      <c r="W375" s="4704"/>
      <c r="X375" s="2296" t="s">
        <v>706</v>
      </c>
      <c r="Y375" s="2297" t="s">
        <v>2185</v>
      </c>
      <c r="AB375" s="2250"/>
      <c r="AC375" s="2388" t="s">
        <v>706</v>
      </c>
      <c r="AD375" s="2389" t="s">
        <v>2185</v>
      </c>
      <c r="AE375" s="1684"/>
      <c r="AF375" s="2296" t="s">
        <v>706</v>
      </c>
      <c r="AG375" s="2297" t="s">
        <v>2185</v>
      </c>
      <c r="AH375" s="2250"/>
      <c r="AI375" s="2298" t="str">
        <f>HYPERLINK("Z:\Marketing Common\Dhrumil\Selection\Elite_Gear_Box.pdf","Elite Gear Box")</f>
        <v>Elite Gear Box</v>
      </c>
      <c r="AJ375" s="2250"/>
      <c r="AK375" s="2250"/>
      <c r="AL375" s="2250"/>
      <c r="AM375" s="2291" t="s">
        <v>658</v>
      </c>
      <c r="AN375" s="2292">
        <f>AF434</f>
        <v>5.67</v>
      </c>
      <c r="AO375" s="2293">
        <f>AG434</f>
        <v>475</v>
      </c>
      <c r="AP375" s="2250" t="str">
        <f>IF(AD444="Right",IF(AD445="Right","Right","Wrong"),"Wrong")</f>
        <v>Right</v>
      </c>
      <c r="AQ375" s="2250"/>
      <c r="AR375" s="2251" t="str">
        <f>IF(AN375=AT375,IF(AN375=AN380,IF(AO375=AU375,IF(AO375=AO380,"Right","Wrong"),"Wrong"),"Wrong"),"Wrong")</f>
        <v>Right</v>
      </c>
      <c r="AS375" s="2291" t="s">
        <v>658</v>
      </c>
      <c r="AT375" s="2292">
        <f>C517</f>
        <v>5.67</v>
      </c>
      <c r="AU375" s="2293">
        <f>+C518</f>
        <v>475</v>
      </c>
      <c r="AV375" s="2251" t="str">
        <f>IF(AN375=AT375,IF(AO375=AU375,IF(AN380=AT375,IF(AO380=AU375,"Right","Wrong"),"Wrong"),"Wrong"),"Wrong")</f>
        <v>Right</v>
      </c>
      <c r="AW375" s="2250"/>
      <c r="AX375" s="2250"/>
      <c r="AY375" s="2250"/>
      <c r="AZ375" s="2250"/>
      <c r="BA375" s="2250"/>
      <c r="BB375" s="2250"/>
      <c r="BC375" s="2250"/>
      <c r="BD375" s="2250"/>
      <c r="BE375" s="2250"/>
      <c r="BF375" s="2276"/>
      <c r="BG375" s="2276"/>
      <c r="BH375" s="2250"/>
      <c r="BI375" s="2275"/>
      <c r="BJ375" s="2250"/>
      <c r="BK375" s="2250"/>
      <c r="BL375" s="2250"/>
      <c r="BM375" s="2250"/>
      <c r="BN375" s="2250"/>
      <c r="BO375" s="2250"/>
      <c r="BP375" s="2250"/>
      <c r="BQ375" s="2250"/>
      <c r="BR375" s="2250"/>
      <c r="BS375" s="2250"/>
      <c r="BT375" s="2250"/>
      <c r="BU375" s="2250"/>
      <c r="BV375" s="2250"/>
      <c r="BW375" s="2250"/>
      <c r="BX375" s="2250"/>
      <c r="BY375" s="2250"/>
      <c r="BZ375" s="2250"/>
      <c r="CA375" s="2250"/>
      <c r="CB375" s="2250"/>
      <c r="CC375" s="2250"/>
      <c r="CD375" s="4703" t="s">
        <v>646</v>
      </c>
      <c r="CE375" s="4705"/>
      <c r="CF375" s="2296" t="s">
        <v>706</v>
      </c>
      <c r="CG375" s="2297" t="s">
        <v>2185</v>
      </c>
      <c r="CI375" s="2250"/>
      <c r="CJ375" s="2250"/>
      <c r="CK375" s="2388" t="s">
        <v>706</v>
      </c>
      <c r="CL375" s="2389" t="s">
        <v>2185</v>
      </c>
      <c r="CM375" s="1684"/>
      <c r="CN375" s="2296" t="s">
        <v>706</v>
      </c>
      <c r="CO375" s="2297" t="s">
        <v>2185</v>
      </c>
      <c r="CP375" s="2250"/>
      <c r="CQ375" s="2298" t="str">
        <f>HYPERLINK("Z:\Marketing Common\Dhrumil\Selection\Elite_Gear_Box.pdf","Elite Gear Box")</f>
        <v>Elite Gear Box</v>
      </c>
      <c r="CR375" s="2250"/>
      <c r="CS375" s="2250"/>
      <c r="CT375" s="2250"/>
      <c r="CU375" s="2291" t="s">
        <v>658</v>
      </c>
      <c r="CV375" s="2292">
        <f>CN434</f>
        <v>5.2</v>
      </c>
      <c r="CW375" s="2293">
        <f>CO434</f>
        <v>475</v>
      </c>
      <c r="CX375" s="2250" t="str">
        <f>IF(CL444="Right",IF(CL445="Right","Right","Wrong"),"Wrong")</f>
        <v>Right</v>
      </c>
      <c r="CY375" s="2250"/>
      <c r="CZ375" s="2251" t="str">
        <f>IF(CV375=DB375,IF(CV375=CV380,IF(CW375=DC375,IF(CW375=CW380,"Right","Wrong"),"Wrong"),"Wrong"),"Wrong")</f>
        <v>Right</v>
      </c>
      <c r="DA375" s="2291" t="s">
        <v>658</v>
      </c>
      <c r="DB375" s="2292">
        <f>BK517</f>
        <v>5.2</v>
      </c>
      <c r="DC375" s="2293">
        <f>+BK518</f>
        <v>475</v>
      </c>
      <c r="DD375" s="2251" t="str">
        <f>IF(CV375=DB375,IF(CW375=DC375,IF(CV380=DB375,IF(CW380=DC375,"Right","Wrong"),"Wrong"),"Wrong"),"Wrong")</f>
        <v>Right</v>
      </c>
      <c r="DE375" s="2250"/>
      <c r="DF375" s="2250"/>
      <c r="DG375" s="2250"/>
      <c r="DH375" s="2250"/>
      <c r="DI375" s="2250"/>
      <c r="DJ375" s="2250"/>
      <c r="DK375" s="2250"/>
      <c r="DL375" s="2250"/>
      <c r="DM375" s="2250"/>
      <c r="DN375" s="2250"/>
      <c r="DO375" s="53"/>
      <c r="DP375" s="53"/>
      <c r="DQ375" s="2277"/>
      <c r="DR375" s="2277"/>
      <c r="DS375" s="277"/>
      <c r="DW375" s="2275"/>
      <c r="DX375" s="2250"/>
      <c r="DY375" s="2250"/>
      <c r="DZ375" s="2294" t="s">
        <v>2266</v>
      </c>
      <c r="EA375" s="2295">
        <f>EA4</f>
        <v>1.3354563802212776</v>
      </c>
      <c r="EB375" s="2250"/>
      <c r="EC375" s="2250"/>
      <c r="ED375" s="2250"/>
      <c r="EE375" s="2250"/>
      <c r="EF375" s="2250"/>
      <c r="EG375" s="2250"/>
      <c r="EH375" s="2250"/>
      <c r="EI375" s="2250"/>
      <c r="EJ375" s="2250"/>
      <c r="EK375" s="2250"/>
      <c r="EL375" s="2250"/>
      <c r="EM375" s="2250"/>
      <c r="EN375" s="2250"/>
      <c r="EO375" s="2278"/>
      <c r="EP375" s="2278"/>
      <c r="ER375" s="4703" t="s">
        <v>646</v>
      </c>
      <c r="ES375" s="4704"/>
      <c r="ET375" s="2296" t="s">
        <v>706</v>
      </c>
      <c r="EU375" s="2297" t="s">
        <v>2185</v>
      </c>
      <c r="EX375" s="2250"/>
      <c r="EY375" s="2388" t="s">
        <v>706</v>
      </c>
      <c r="EZ375" s="2389" t="s">
        <v>2185</v>
      </c>
      <c r="FA375" s="1684"/>
      <c r="FB375" s="2296" t="s">
        <v>706</v>
      </c>
      <c r="FC375" s="2297" t="s">
        <v>2185</v>
      </c>
      <c r="FD375" s="2250"/>
      <c r="FE375" s="2298" t="str">
        <f>HYPERLINK("Z:\Marketing Common\Dhrumil\Selection\Elite_Gear_Box.pdf","Elite Gear Box")</f>
        <v>Elite Gear Box</v>
      </c>
      <c r="FF375" s="2250"/>
      <c r="FG375" s="2250"/>
      <c r="FH375" s="2250"/>
      <c r="FI375" s="2291" t="s">
        <v>658</v>
      </c>
      <c r="FJ375" s="2292">
        <f>FB434</f>
        <v>8.1999999999999993</v>
      </c>
      <c r="FK375" s="2293">
        <f>FC434</f>
        <v>475</v>
      </c>
      <c r="FL375" s="2250" t="str">
        <f>IF(EZ444="Right",IF(EZ445="Right","Right","Wrong"),"Wrong")</f>
        <v>Right</v>
      </c>
      <c r="FM375" s="2250"/>
      <c r="FN375" s="2251" t="str">
        <f>IF(FJ375=FP375,IF(FJ375=FJ380,IF(FK375=FQ375,IF(FK375=FK380,"Right","Wrong"),"Wrong"),"Wrong"),"Wrong")</f>
        <v>Right</v>
      </c>
      <c r="FO375" s="2291" t="s">
        <v>658</v>
      </c>
      <c r="FP375" s="2292">
        <f>DY517</f>
        <v>8.1999999999999993</v>
      </c>
      <c r="FQ375" s="2293">
        <f>+DY518</f>
        <v>475</v>
      </c>
      <c r="FR375" s="2251" t="str">
        <f>IF(FJ375=FP375,IF(FK375=FQ375,IF(FJ380=FP375,IF(FK380=FQ375,"Right","Wrong"),"Wrong"),"Wrong"),"Wrong")</f>
        <v>Right</v>
      </c>
      <c r="FS375" s="2250"/>
      <c r="FT375" s="2250"/>
      <c r="FU375" s="2250"/>
      <c r="FV375" s="2250"/>
      <c r="FW375" s="2250"/>
      <c r="FX375" s="2250"/>
      <c r="FY375" s="2250"/>
      <c r="FZ375" s="2250"/>
      <c r="GA375" s="2250"/>
      <c r="GB375" s="2276"/>
      <c r="GC375" s="2276"/>
      <c r="GD375" s="2250"/>
      <c r="GE375" s="2275"/>
      <c r="GF375" s="2250"/>
      <c r="GG375" s="2250"/>
      <c r="GH375" s="2250"/>
      <c r="GI375" s="2250"/>
      <c r="GJ375" s="2250"/>
      <c r="GK375" s="2250"/>
      <c r="GL375" s="2250"/>
      <c r="GM375" s="2250"/>
      <c r="GN375" s="2250"/>
      <c r="GO375" s="2250"/>
      <c r="GP375" s="2250"/>
      <c r="GQ375" s="2250"/>
      <c r="GR375" s="2250"/>
      <c r="GS375" s="2250"/>
      <c r="GT375" s="2250"/>
      <c r="GU375" s="2250"/>
      <c r="GV375" s="2250"/>
      <c r="GW375" s="2250"/>
      <c r="GX375" s="2250"/>
      <c r="GY375" s="2250"/>
      <c r="GZ375" s="4703" t="s">
        <v>646</v>
      </c>
      <c r="HA375" s="4705"/>
      <c r="HB375" s="2296" t="s">
        <v>706</v>
      </c>
      <c r="HC375" s="2297" t="s">
        <v>2185</v>
      </c>
      <c r="HE375" s="2250"/>
      <c r="HF375" s="2250"/>
      <c r="HG375" s="2388" t="s">
        <v>706</v>
      </c>
      <c r="HH375" s="2389" t="s">
        <v>2185</v>
      </c>
      <c r="HI375" s="1684"/>
      <c r="HJ375" s="2296" t="s">
        <v>706</v>
      </c>
      <c r="HK375" s="2297" t="s">
        <v>2185</v>
      </c>
      <c r="HL375" s="2250"/>
      <c r="HM375" s="2298" t="str">
        <f>HYPERLINK("Z:\Marketing Common\Dhrumil\Selection\Elite_Gear_Box.pdf","Elite Gear Box")</f>
        <v>Elite Gear Box</v>
      </c>
      <c r="HN375" s="2250"/>
      <c r="HO375" s="2250"/>
      <c r="HP375" s="2250"/>
      <c r="HQ375" s="2291" t="s">
        <v>658</v>
      </c>
      <c r="HR375" s="2292">
        <f>HJ434</f>
        <v>7.53</v>
      </c>
      <c r="HS375" s="2293">
        <f>HK434</f>
        <v>475</v>
      </c>
      <c r="HT375" s="2250" t="str">
        <f>IF(HH444="Right",IF(HH445="Right","Right","Wrong"),"Wrong")</f>
        <v>Right</v>
      </c>
      <c r="HU375" s="2250"/>
      <c r="HV375" s="2251" t="str">
        <f>IF(HR375=HX375,IF(HR375=HR380,IF(HS375=HY375,IF(HS375=HS380,"Right","Wrong"),"Wrong"),"Wrong"),"Wrong")</f>
        <v>Right</v>
      </c>
      <c r="HW375" s="2291" t="s">
        <v>658</v>
      </c>
      <c r="HX375" s="2292">
        <f>GG517</f>
        <v>7.53</v>
      </c>
      <c r="HY375" s="2293">
        <f>+GG518</f>
        <v>475</v>
      </c>
      <c r="HZ375" s="2251" t="str">
        <f>IF(HR375=HX375,IF(HS375=HY375,IF(HR380=HX375,IF(HS380=HY375,"Right","Wrong"),"Wrong"),"Wrong"),"Wrong")</f>
        <v>Right</v>
      </c>
      <c r="IA375" s="2250"/>
      <c r="IB375" s="2250"/>
      <c r="IC375" s="2250"/>
      <c r="ID375" s="2250"/>
      <c r="IE375" s="2250"/>
      <c r="IF375" s="2250"/>
      <c r="IG375" s="2250"/>
      <c r="IH375" s="2250"/>
      <c r="II375" s="2250"/>
      <c r="IJ375" s="2250"/>
      <c r="IK375" s="53"/>
      <c r="IL375" s="53"/>
      <c r="IN375" s="277"/>
      <c r="IO375" s="277"/>
    </row>
    <row r="376" spans="1:249" ht="21.95" customHeight="1" thickBot="1">
      <c r="A376" s="2275"/>
      <c r="B376" s="2250"/>
      <c r="C376" s="2250"/>
      <c r="D376" s="2294" t="s">
        <v>2265</v>
      </c>
      <c r="E376" s="2295">
        <f>E5</f>
        <v>72.382464000000013</v>
      </c>
      <c r="F376" s="2250"/>
      <c r="G376" s="2250"/>
      <c r="H376" s="2250"/>
      <c r="I376" s="2250"/>
      <c r="J376" s="2250"/>
      <c r="K376" s="2250"/>
      <c r="L376" s="2250"/>
      <c r="M376" s="2250"/>
      <c r="N376" s="2250"/>
      <c r="O376" s="2250"/>
      <c r="P376" s="2250"/>
      <c r="Q376" s="2250"/>
      <c r="R376" s="2250"/>
      <c r="S376" s="4706"/>
      <c r="T376" s="4706"/>
      <c r="V376" s="4707" t="s">
        <v>732</v>
      </c>
      <c r="W376" s="4708"/>
      <c r="X376" s="284">
        <f>IF(X373&lt;24,AC376,AF376)</f>
        <v>0</v>
      </c>
      <c r="Y376" s="284" t="str">
        <f>IF(X373&lt;24,AD376,AG376)</f>
        <v>3AH475</v>
      </c>
      <c r="AB376" s="2250"/>
      <c r="AC376" s="2322">
        <f t="shared" ref="AC376:AC379" si="202">IFERROR(D592,0)</f>
        <v>0</v>
      </c>
      <c r="AD376" s="2322">
        <f>IFERROR("2AH"&amp;E592,0)</f>
        <v>0</v>
      </c>
      <c r="AE376" s="2364" t="e">
        <f>F592</f>
        <v>#N/A</v>
      </c>
      <c r="AF376" s="2299">
        <f>+AN373</f>
        <v>0</v>
      </c>
      <c r="AG376" s="2300" t="str">
        <f>+"3AH"&amp;AO373</f>
        <v>3AH475</v>
      </c>
      <c r="AH376" s="2250" t="str">
        <f>IF(AT378="Right",IF(AR373="Right","Right","Wrong"),"Wrong")</f>
        <v>Right</v>
      </c>
      <c r="AI376" s="2365" t="str">
        <f>IF(X373&lt;24,AE376,AH376)</f>
        <v>Right</v>
      </c>
      <c r="AJ376" s="2250"/>
      <c r="AK376" s="2250"/>
      <c r="AL376" s="2250"/>
      <c r="AM376" s="2301" t="s">
        <v>662</v>
      </c>
      <c r="AN376" s="2302">
        <f>AT434</f>
        <v>4.38</v>
      </c>
      <c r="AO376" s="2303">
        <f>AU434</f>
        <v>475</v>
      </c>
      <c r="AP376" s="2250" t="str">
        <f>IF(AR444="Right",IF(AR445="Right","Right","Wrong"),"Wrong")</f>
        <v>Right</v>
      </c>
      <c r="AQ376" s="2250"/>
      <c r="AR376" s="2251" t="str">
        <f>IF(AN376=AT376,IF(AN376=AN381,IF(AO376=AU376,IF(AO376=AO381,"Right","Wrong"),"Wrong"),"Wrong"),"Wrong")</f>
        <v>Right</v>
      </c>
      <c r="AS376" s="2304" t="s">
        <v>662</v>
      </c>
      <c r="AT376" s="2302">
        <f>C539</f>
        <v>4.38</v>
      </c>
      <c r="AU376" s="2305">
        <f>+C540</f>
        <v>475</v>
      </c>
      <c r="AV376" s="2251" t="str">
        <f>IF(AN376=AT376,IF(AO376=AU376,IF(AN381=AT376,IF(AO381=AU376,"Right","Wrong"),"Wrong"),"Wrong"),"Wrong")</f>
        <v>Right</v>
      </c>
      <c r="AW376" s="2250"/>
      <c r="AX376" s="2250"/>
      <c r="AY376" s="2250"/>
      <c r="AZ376" s="2250"/>
      <c r="BA376" s="2250"/>
      <c r="BB376" s="2250"/>
      <c r="BC376" s="2250"/>
      <c r="BD376" s="2250"/>
      <c r="BE376" s="2250"/>
      <c r="BF376" s="2276"/>
      <c r="BG376" s="2276"/>
      <c r="BH376" s="2250"/>
      <c r="BI376" s="2275"/>
      <c r="BJ376" s="2250"/>
      <c r="BK376" s="2250"/>
      <c r="BL376" s="2250"/>
      <c r="BM376" s="2250"/>
      <c r="BN376" s="2250"/>
      <c r="BO376" s="2250"/>
      <c r="BP376" s="2250"/>
      <c r="BQ376" s="2250"/>
      <c r="BR376" s="2250"/>
      <c r="BS376" s="2250"/>
      <c r="BT376" s="2250"/>
      <c r="BU376" s="2250"/>
      <c r="BV376" s="2250"/>
      <c r="BW376" s="2250"/>
      <c r="BX376" s="2250"/>
      <c r="BY376" s="2250"/>
      <c r="BZ376" s="2250"/>
      <c r="CA376" s="2250"/>
      <c r="CB376" s="2250"/>
      <c r="CC376" s="2250"/>
      <c r="CD376" s="4709" t="s">
        <v>732</v>
      </c>
      <c r="CE376" s="4710"/>
      <c r="CF376" s="284">
        <f>IF(CF373&lt;24,CK376,CN376)</f>
        <v>0</v>
      </c>
      <c r="CG376" s="284" t="str">
        <f>IF(CF373&lt;24,CL376,CO376)</f>
        <v>3AH475</v>
      </c>
      <c r="CI376" s="2250"/>
      <c r="CJ376" s="2250"/>
      <c r="CK376" s="2322">
        <f>IFERROR(BM595,0)</f>
        <v>0</v>
      </c>
      <c r="CL376" s="2322">
        <f>IFERROR("2AH"&amp;BN595,0)</f>
        <v>0</v>
      </c>
      <c r="CM376" s="2364" t="e">
        <f>BO595</f>
        <v>#N/A</v>
      </c>
      <c r="CN376" s="2299">
        <f>CV373</f>
        <v>0</v>
      </c>
      <c r="CO376" s="2300" t="str">
        <f>+"3AH"&amp;CW373</f>
        <v>3AH475</v>
      </c>
      <c r="CP376" s="2250" t="str">
        <f>IF(DB378="Right",IF(CZ373="Right","Right","Wrong"),"Wrong")</f>
        <v>Right</v>
      </c>
      <c r="CQ376" s="2365" t="str">
        <f>IF(CF373&lt;24,CM376,CP376)</f>
        <v>Right</v>
      </c>
      <c r="CR376" s="2250"/>
      <c r="CS376" s="2250"/>
      <c r="CT376" s="2250"/>
      <c r="CU376" s="2301" t="s">
        <v>662</v>
      </c>
      <c r="CV376" s="2302">
        <f>DB434</f>
        <v>4.08</v>
      </c>
      <c r="CW376" s="2303">
        <f>DC434</f>
        <v>475</v>
      </c>
      <c r="CX376" s="2250" t="str">
        <f>IF(CZ444="Right",IF(CZ445="Right","Right","Wrong"),"Wrong")</f>
        <v>Right</v>
      </c>
      <c r="CY376" s="2250"/>
      <c r="CZ376" s="2251" t="str">
        <f>IF(CV376=DB376,IF(CV376=CV381,IF(CW376=DC376,IF(CW376=CW381,"Right","Wrong"),"Wrong"),"Wrong"),"Wrong")</f>
        <v>Right</v>
      </c>
      <c r="DA376" s="2304" t="s">
        <v>662</v>
      </c>
      <c r="DB376" s="2302">
        <f>BK539</f>
        <v>4.08</v>
      </c>
      <c r="DC376" s="2305">
        <f>+BK540</f>
        <v>475</v>
      </c>
      <c r="DD376" s="2251" t="str">
        <f>IF(CV376=DB376,IF(CW376=DC376,IF(CV381=DB376,IF(CW381=DC376,"Right","Wrong"),"Wrong"),"Wrong"),"Wrong")</f>
        <v>Right</v>
      </c>
      <c r="DE376" s="2250"/>
      <c r="DF376" s="2250"/>
      <c r="DG376" s="2250"/>
      <c r="DH376" s="2250"/>
      <c r="DI376" s="2250"/>
      <c r="DJ376" s="2250"/>
      <c r="DK376" s="2250"/>
      <c r="DL376" s="2250"/>
      <c r="DM376" s="2250"/>
      <c r="DN376" s="2250"/>
      <c r="DO376" s="53"/>
      <c r="DP376" s="53"/>
      <c r="DQ376" s="2277"/>
      <c r="DR376" s="2277"/>
      <c r="DS376" s="277"/>
      <c r="DW376" s="2275"/>
      <c r="DX376" s="2250"/>
      <c r="DY376" s="2250"/>
      <c r="DZ376" s="2294" t="s">
        <v>2265</v>
      </c>
      <c r="EA376" s="2295">
        <f>EA5</f>
        <v>45.239040000000003</v>
      </c>
      <c r="EB376" s="2250"/>
      <c r="EC376" s="2250"/>
      <c r="ED376" s="2250"/>
      <c r="EE376" s="2250"/>
      <c r="EF376" s="2250"/>
      <c r="EG376" s="2250"/>
      <c r="EH376" s="2250"/>
      <c r="EI376" s="2250"/>
      <c r="EJ376" s="2250"/>
      <c r="EK376" s="2250"/>
      <c r="EL376" s="2250"/>
      <c r="EM376" s="2250"/>
      <c r="EN376" s="2250"/>
      <c r="EO376" s="4706"/>
      <c r="EP376" s="4706"/>
      <c r="ER376" s="4707" t="s">
        <v>732</v>
      </c>
      <c r="ES376" s="4708"/>
      <c r="ET376" s="284">
        <f>IF(ET373&lt;24,EY376,FB376)</f>
        <v>0</v>
      </c>
      <c r="EU376" s="284" t="str">
        <f>IF(ET373&lt;24,EZ376,FC376)</f>
        <v>3AH475</v>
      </c>
      <c r="EX376" s="2250"/>
      <c r="EY376" s="2322">
        <f>IFERROR(DZ592,0)</f>
        <v>0</v>
      </c>
      <c r="EZ376" s="2322">
        <f>IFERROR("2AH"&amp;EA592,0)</f>
        <v>0</v>
      </c>
      <c r="FA376" s="2364" t="e">
        <f>EB592</f>
        <v>#N/A</v>
      </c>
      <c r="FB376" s="2299">
        <f>+FJ373</f>
        <v>0</v>
      </c>
      <c r="FC376" s="2300" t="str">
        <f>+"3AH"&amp;FK373</f>
        <v>3AH475</v>
      </c>
      <c r="FD376" s="2250" t="str">
        <f>IF(FP378="Right",IF(FN373="Right","Right","Wrong"),"Wrong")</f>
        <v>Right</v>
      </c>
      <c r="FE376" s="2365" t="str">
        <f>IF(ET373&lt;24,FA376,FD376)</f>
        <v>Right</v>
      </c>
      <c r="FF376" s="2250"/>
      <c r="FG376" s="2250"/>
      <c r="FH376" s="2250"/>
      <c r="FI376" s="2301" t="s">
        <v>662</v>
      </c>
      <c r="FJ376" s="2302">
        <f>FP434</f>
        <v>6.77</v>
      </c>
      <c r="FK376" s="2303">
        <f>FQ434</f>
        <v>475</v>
      </c>
      <c r="FL376" s="2250" t="str">
        <f>IF(FN444="Right",IF(FN445="Right","Right","Wrong"),"Wrong")</f>
        <v>Right</v>
      </c>
      <c r="FM376" s="2250"/>
      <c r="FN376" s="2251" t="str">
        <f>IF(FJ376=FP376,IF(FJ376=FJ381,IF(FK376=FQ376,IF(FK376=FK381,"Right","Wrong"),"Wrong"),"Wrong"),"Wrong")</f>
        <v>Right</v>
      </c>
      <c r="FO376" s="2304" t="s">
        <v>662</v>
      </c>
      <c r="FP376" s="2302">
        <f>DY539</f>
        <v>6.77</v>
      </c>
      <c r="FQ376" s="2305">
        <f>+DY540</f>
        <v>475</v>
      </c>
      <c r="FR376" s="2251" t="str">
        <f>IF(FJ376=FP376,IF(FK376=FQ376,IF(FJ381=FP376,IF(FK381=FQ376,"Right","Wrong"),"Wrong"),"Wrong"),"Wrong")</f>
        <v>Right</v>
      </c>
      <c r="FS376" s="2250"/>
      <c r="FT376" s="2250"/>
      <c r="FU376" s="2250"/>
      <c r="FV376" s="2250"/>
      <c r="FW376" s="2250"/>
      <c r="FX376" s="2250"/>
      <c r="FY376" s="2250"/>
      <c r="FZ376" s="2250"/>
      <c r="GA376" s="2250"/>
      <c r="GB376" s="2276"/>
      <c r="GC376" s="2276"/>
      <c r="GD376" s="2250"/>
      <c r="GE376" s="2275"/>
      <c r="GF376" s="2250"/>
      <c r="GG376" s="2250"/>
      <c r="GH376" s="2250"/>
      <c r="GI376" s="2250"/>
      <c r="GJ376" s="2250"/>
      <c r="GK376" s="2250"/>
      <c r="GL376" s="2250"/>
      <c r="GM376" s="2250"/>
      <c r="GN376" s="2250"/>
      <c r="GO376" s="2250"/>
      <c r="GP376" s="2250"/>
      <c r="GQ376" s="2250"/>
      <c r="GR376" s="2250"/>
      <c r="GS376" s="2250"/>
      <c r="GT376" s="2250"/>
      <c r="GU376" s="2250"/>
      <c r="GV376" s="2250"/>
      <c r="GW376" s="2250"/>
      <c r="GX376" s="2250"/>
      <c r="GY376" s="2250"/>
      <c r="GZ376" s="4709" t="s">
        <v>732</v>
      </c>
      <c r="HA376" s="4710"/>
      <c r="HB376" s="284">
        <f>IF(HB373&lt;24,HG376,HJ376)</f>
        <v>0</v>
      </c>
      <c r="HC376" s="284" t="str">
        <f>IF(HB373&lt;24,HH376,HK376)</f>
        <v>3AH475</v>
      </c>
      <c r="HE376" s="2250"/>
      <c r="HF376" s="2250"/>
      <c r="HG376" s="2322">
        <f>IFERROR(GI595,0)</f>
        <v>0</v>
      </c>
      <c r="HH376" s="2322">
        <f>IFERROR("2AH"&amp;GJ595,0)</f>
        <v>0</v>
      </c>
      <c r="HI376" s="2364" t="e">
        <f>GK595</f>
        <v>#N/A</v>
      </c>
      <c r="HJ376" s="2299">
        <f>HR373</f>
        <v>0</v>
      </c>
      <c r="HK376" s="2300" t="str">
        <f>+"3AH"&amp;HS373</f>
        <v>3AH475</v>
      </c>
      <c r="HL376" s="2250" t="str">
        <f>IF(HX378="Right",IF(HV373="Right","Right","Wrong"),"Wrong")</f>
        <v>Right</v>
      </c>
      <c r="HM376" s="2365" t="str">
        <f>IF(HB373&lt;24,HI376,HL376)</f>
        <v>Right</v>
      </c>
      <c r="HN376" s="2250"/>
      <c r="HO376" s="2250"/>
      <c r="HP376" s="2250"/>
      <c r="HQ376" s="2301" t="s">
        <v>662</v>
      </c>
      <c r="HR376" s="2302">
        <f>HX434</f>
        <v>6</v>
      </c>
      <c r="HS376" s="2303">
        <f>HY434</f>
        <v>475</v>
      </c>
      <c r="HT376" s="2250" t="str">
        <f>IF(HV444="Right",IF(HV445="Right","Right","Wrong"),"Wrong")</f>
        <v>Right</v>
      </c>
      <c r="HU376" s="2250"/>
      <c r="HV376" s="2251" t="str">
        <f>IF(HR376=HX376,IF(HR376=HR381,IF(HS376=HY376,IF(HS376=HS381,"Right","Wrong"),"Wrong"),"Wrong"),"Wrong")</f>
        <v>Right</v>
      </c>
      <c r="HW376" s="2304" t="s">
        <v>662</v>
      </c>
      <c r="HX376" s="2302">
        <f>GG539</f>
        <v>6</v>
      </c>
      <c r="HY376" s="2305">
        <f>+GG540</f>
        <v>475</v>
      </c>
      <c r="HZ376" s="2251" t="str">
        <f>IF(HR376=HX376,IF(HS376=HY376,IF(HR381=HX376,IF(HS381=HY376,"Right","Wrong"),"Wrong"),"Wrong"),"Wrong")</f>
        <v>Right</v>
      </c>
      <c r="IA376" s="2250"/>
      <c r="IB376" s="2250"/>
      <c r="IC376" s="2250"/>
      <c r="ID376" s="2250"/>
      <c r="IE376" s="2250"/>
      <c r="IF376" s="2250"/>
      <c r="IG376" s="2250"/>
      <c r="IH376" s="2250"/>
      <c r="II376" s="2250"/>
      <c r="IJ376" s="2250"/>
      <c r="IK376" s="53"/>
      <c r="IL376" s="53"/>
      <c r="IN376" s="277"/>
      <c r="IO376" s="277"/>
    </row>
    <row r="377" spans="1:249" ht="21.95" customHeight="1" thickBot="1">
      <c r="A377" s="2275"/>
      <c r="B377" s="2250"/>
      <c r="C377" s="2250"/>
      <c r="D377" s="2250"/>
      <c r="E377" s="2250"/>
      <c r="F377" s="2250"/>
      <c r="G377" s="2250"/>
      <c r="H377" s="2250"/>
      <c r="I377" s="2250"/>
      <c r="J377" s="2250"/>
      <c r="K377" s="2250"/>
      <c r="L377" s="2250"/>
      <c r="M377" s="2250"/>
      <c r="N377" s="2250"/>
      <c r="O377" s="2250"/>
      <c r="P377" s="2250"/>
      <c r="Q377" s="2250"/>
      <c r="R377" s="2250"/>
      <c r="S377" s="4698"/>
      <c r="T377" s="4698"/>
      <c r="V377" s="4675" t="s">
        <v>733</v>
      </c>
      <c r="W377" s="4676"/>
      <c r="X377" s="284">
        <f>IF(X373&lt;24,AC377,AF377)</f>
        <v>6.81</v>
      </c>
      <c r="Y377" s="284" t="str">
        <f>IF(X373&lt;24,AD377,AG377)</f>
        <v>3AH475</v>
      </c>
      <c r="AB377" s="2250"/>
      <c r="AC377" s="2322">
        <f t="shared" si="202"/>
        <v>0</v>
      </c>
      <c r="AD377" s="2322">
        <f>IFERROR("2AH"&amp;E593,0)</f>
        <v>0</v>
      </c>
      <c r="AE377" s="2364" t="e">
        <f>F593</f>
        <v>#N/A</v>
      </c>
      <c r="AF377" s="2306">
        <f>+AN374</f>
        <v>6.81</v>
      </c>
      <c r="AG377" s="2300" t="str">
        <f t="shared" ref="AG377:AG378" si="203">+"3AH"&amp;AO374</f>
        <v>3AH475</v>
      </c>
      <c r="AH377" s="2250" t="str">
        <f>IF(AT379="Right",IF(AR374="Right","Right","Wrong"),"Wrong")</f>
        <v>Right</v>
      </c>
      <c r="AI377" s="2365" t="str">
        <f>IF(X373&lt;24,AE377,AH377)</f>
        <v>Right</v>
      </c>
      <c r="AJ377" s="2250"/>
      <c r="AK377" s="2250"/>
      <c r="AL377" s="2279" t="s">
        <v>2235</v>
      </c>
      <c r="AM377" s="2280" t="s">
        <v>648</v>
      </c>
      <c r="AN377" s="2281" t="s">
        <v>706</v>
      </c>
      <c r="AO377" s="2282" t="s">
        <v>707</v>
      </c>
      <c r="AP377" s="2308" t="str">
        <f>IF(AP379="Right",IF(AP380="Right",IF(AP381="Right",IF(AP378="Right","Right","Wrong"),"Wrong"),"Wrong"),"Wrong")</f>
        <v>Right</v>
      </c>
      <c r="AQ377" s="2250"/>
      <c r="AR377" s="2250"/>
      <c r="AS377" s="2250"/>
      <c r="AT377" s="2284" t="str">
        <f>IF(AT379="Right",IF(AT380="Right",IF(AT381="Right",IF(AT378="Right","Right","Wrong"),"Wrong"),"Wrong"),"Wrong")</f>
        <v>Right</v>
      </c>
      <c r="AU377" s="2250"/>
      <c r="AV377" s="2250"/>
      <c r="AW377" s="2250"/>
      <c r="AX377" s="2250"/>
      <c r="AY377" s="2250"/>
      <c r="AZ377" s="2250"/>
      <c r="BA377" s="2250"/>
      <c r="BB377" s="2250"/>
      <c r="BC377" s="2250"/>
      <c r="BD377" s="2250"/>
      <c r="BE377" s="2250"/>
      <c r="BF377" s="2276"/>
      <c r="BG377" s="2276"/>
      <c r="BH377" s="2250"/>
      <c r="BI377" s="2275"/>
      <c r="BJ377" s="2250"/>
      <c r="BK377" s="2250"/>
      <c r="BL377" s="2250"/>
      <c r="BM377" s="2250"/>
      <c r="BN377" s="2250"/>
      <c r="BO377" s="2250"/>
      <c r="BP377" s="2250"/>
      <c r="BQ377" s="2250"/>
      <c r="BR377" s="2250"/>
      <c r="BS377" s="2250"/>
      <c r="BT377" s="2250"/>
      <c r="BU377" s="2250"/>
      <c r="BV377" s="2250"/>
      <c r="BW377" s="2250"/>
      <c r="BX377" s="2250"/>
      <c r="BY377" s="2250"/>
      <c r="BZ377" s="2250"/>
      <c r="CA377" s="2250"/>
      <c r="CB377" s="2250"/>
      <c r="CC377" s="2250"/>
      <c r="CD377" s="4701" t="s">
        <v>733</v>
      </c>
      <c r="CE377" s="4702"/>
      <c r="CF377" s="284">
        <f>IF(CF373&lt;24,CK377,CN377)</f>
        <v>6.26</v>
      </c>
      <c r="CG377" s="284" t="str">
        <f>IF(CF373&lt;24,CL377,CO377)</f>
        <v>3AH475</v>
      </c>
      <c r="CI377" s="2250"/>
      <c r="CJ377" s="2250"/>
      <c r="CK377" s="2322">
        <f t="shared" ref="CK377:CK379" si="204">IFERROR(BM596,0)</f>
        <v>0</v>
      </c>
      <c r="CL377" s="2322">
        <f>IFERROR("2AH"&amp;BN596,0)</f>
        <v>0</v>
      </c>
      <c r="CM377" s="2364" t="e">
        <f t="shared" ref="CM377:CM379" si="205">BO596</f>
        <v>#N/A</v>
      </c>
      <c r="CN377" s="2306">
        <f t="shared" ref="CN377:CN379" si="206">+CV374</f>
        <v>6.26</v>
      </c>
      <c r="CO377" s="2300" t="str">
        <f t="shared" ref="CO377:CO378" si="207">+"3AH"&amp;CW374</f>
        <v>3AH475</v>
      </c>
      <c r="CP377" s="2250" t="str">
        <f>IF(DB379="Right",IF(CZ374="Right","Right","Wrong"),"Wrong")</f>
        <v>Right</v>
      </c>
      <c r="CQ377" s="2365" t="str">
        <f>IF(CF373&lt;24,CM377,CP377)</f>
        <v>Right</v>
      </c>
      <c r="CR377" s="2250"/>
      <c r="CS377" s="2250"/>
      <c r="CT377" s="2279" t="s">
        <v>2235</v>
      </c>
      <c r="CU377" s="2280" t="s">
        <v>648</v>
      </c>
      <c r="CV377" s="2281" t="s">
        <v>706</v>
      </c>
      <c r="CW377" s="2282" t="s">
        <v>707</v>
      </c>
      <c r="CX377" s="2308" t="str">
        <f>IF(CX379="Right",IF(CX380="Right",IF(CX381="Right",IF(CX378="Right","Right","Wrong"),"Wrong"),"Wrong"),"Wrong")</f>
        <v>Right</v>
      </c>
      <c r="CY377" s="2250"/>
      <c r="CZ377" s="2250"/>
      <c r="DA377" s="2250"/>
      <c r="DB377" s="2284" t="str">
        <f>IF(DB379="Right",IF(DB380="Right",IF(DB381="Right",IF(DB378="Right","Right","Wrong"),"Wrong"),"Wrong"),"Wrong")</f>
        <v>Right</v>
      </c>
      <c r="DC377" s="2250"/>
      <c r="DD377" s="2250"/>
      <c r="DE377" s="2250"/>
      <c r="DF377" s="2250"/>
      <c r="DG377" s="2250"/>
      <c r="DH377" s="2250"/>
      <c r="DI377" s="2250"/>
      <c r="DJ377" s="2250"/>
      <c r="DK377" s="2250"/>
      <c r="DL377" s="2250"/>
      <c r="DM377" s="2250"/>
      <c r="DN377" s="2250"/>
      <c r="DO377" s="53"/>
      <c r="DP377" s="53"/>
      <c r="DQ377" s="2277"/>
      <c r="DR377" s="2277"/>
      <c r="DS377" s="277"/>
      <c r="DW377" s="2275"/>
      <c r="DX377" s="2250"/>
      <c r="DY377" s="2250"/>
      <c r="DZ377" s="2250"/>
      <c r="EA377" s="2250"/>
      <c r="EB377" s="2250"/>
      <c r="EC377" s="2250"/>
      <c r="ED377" s="2250"/>
      <c r="EE377" s="2250"/>
      <c r="EF377" s="2250"/>
      <c r="EG377" s="2250"/>
      <c r="EH377" s="2250"/>
      <c r="EI377" s="2250"/>
      <c r="EJ377" s="2250"/>
      <c r="EK377" s="2250"/>
      <c r="EL377" s="2250"/>
      <c r="EM377" s="2250"/>
      <c r="EN377" s="2250"/>
      <c r="EO377" s="4698"/>
      <c r="EP377" s="4698"/>
      <c r="ER377" s="4675" t="s">
        <v>733</v>
      </c>
      <c r="ES377" s="4676"/>
      <c r="ET377" s="284">
        <f>IF(ET373&lt;24,EY377,FB377)</f>
        <v>9.8800000000000008</v>
      </c>
      <c r="EU377" s="284" t="str">
        <f>IF(ET373&lt;24,EZ377,FC377)</f>
        <v>3AH475</v>
      </c>
      <c r="EX377" s="2250"/>
      <c r="EY377" s="2322">
        <f>IFERROR(DZ593,0)</f>
        <v>0</v>
      </c>
      <c r="EZ377" s="2322">
        <f>IFERROR("2AH"&amp;EA593,0)</f>
        <v>0</v>
      </c>
      <c r="FA377" s="2364" t="e">
        <f>EB593</f>
        <v>#N/A</v>
      </c>
      <c r="FB377" s="2306">
        <f>+FJ374</f>
        <v>9.8800000000000008</v>
      </c>
      <c r="FC377" s="2300" t="str">
        <f>+"3AH"&amp;FK374</f>
        <v>3AH475</v>
      </c>
      <c r="FD377" s="2250" t="str">
        <f>IF(FP379="Right",IF(FN374="Right","Right","Wrong"),"Wrong")</f>
        <v>Right</v>
      </c>
      <c r="FE377" s="2365" t="str">
        <f>IF(ET373&lt;24,FA377,FD377)</f>
        <v>Right</v>
      </c>
      <c r="FF377" s="2250"/>
      <c r="FG377" s="2250"/>
      <c r="FH377" s="2279" t="s">
        <v>2235</v>
      </c>
      <c r="FI377" s="2280" t="s">
        <v>648</v>
      </c>
      <c r="FJ377" s="2281" t="s">
        <v>706</v>
      </c>
      <c r="FK377" s="2282" t="s">
        <v>707</v>
      </c>
      <c r="FL377" s="2308" t="str">
        <f>IF(FL379="Right",IF(FL380="Right",IF(FL381="Right",IF(FL378="Right","Right","Wrong"),"Wrong"),"Wrong"),"Wrong")</f>
        <v>Right</v>
      </c>
      <c r="FM377" s="2250"/>
      <c r="FN377" s="2250"/>
      <c r="FO377" s="2250"/>
      <c r="FP377" s="2284" t="str">
        <f>IF(FP379="Right",IF(FP380="Right",IF(FP381="Right",IF(FP378="Right","Right","Wrong"),"Wrong"),"Wrong"),"Wrong")</f>
        <v>Right</v>
      </c>
      <c r="FQ377" s="2250"/>
      <c r="FR377" s="2250"/>
      <c r="FS377" s="2250"/>
      <c r="FT377" s="2250"/>
      <c r="FU377" s="2250"/>
      <c r="FV377" s="2250"/>
      <c r="FW377" s="2250"/>
      <c r="FX377" s="2250"/>
      <c r="FY377" s="2250"/>
      <c r="FZ377" s="2250"/>
      <c r="GA377" s="2250"/>
      <c r="GB377" s="2276"/>
      <c r="GC377" s="2276"/>
      <c r="GD377" s="2250"/>
      <c r="GE377" s="2275"/>
      <c r="GF377" s="2250"/>
      <c r="GG377" s="2250"/>
      <c r="GH377" s="2250"/>
      <c r="GI377" s="2250"/>
      <c r="GJ377" s="2250"/>
      <c r="GK377" s="2250"/>
      <c r="GL377" s="2250"/>
      <c r="GM377" s="2250"/>
      <c r="GN377" s="2250"/>
      <c r="GO377" s="2250"/>
      <c r="GP377" s="2250"/>
      <c r="GQ377" s="2250"/>
      <c r="GR377" s="2250"/>
      <c r="GS377" s="2250"/>
      <c r="GT377" s="2250"/>
      <c r="GU377" s="2250"/>
      <c r="GV377" s="2250"/>
      <c r="GW377" s="2250"/>
      <c r="GX377" s="2250"/>
      <c r="GY377" s="2250"/>
      <c r="GZ377" s="4701" t="s">
        <v>733</v>
      </c>
      <c r="HA377" s="4702"/>
      <c r="HB377" s="284">
        <f>IF(HB373&lt;24,HG377,HJ377)</f>
        <v>9.08</v>
      </c>
      <c r="HC377" s="284" t="str">
        <f>IF(HB373&lt;24,HH377,HK377)</f>
        <v>3AH475</v>
      </c>
      <c r="HE377" s="2250"/>
      <c r="HF377" s="2250"/>
      <c r="HG377" s="2322">
        <f>IFERROR(GI596,0)</f>
        <v>0</v>
      </c>
      <c r="HH377" s="2322">
        <f>IFERROR("2AH"&amp;GJ596,0)</f>
        <v>0</v>
      </c>
      <c r="HI377" s="2364" t="e">
        <f>GK596</f>
        <v>#N/A</v>
      </c>
      <c r="HJ377" s="2306">
        <f>+HR374</f>
        <v>9.08</v>
      </c>
      <c r="HK377" s="2300" t="str">
        <f>+"3AH"&amp;HS374</f>
        <v>3AH475</v>
      </c>
      <c r="HL377" s="2250" t="str">
        <f>IF(HX379="Right",IF(HV374="Right","Right","Wrong"),"Wrong")</f>
        <v>Right</v>
      </c>
      <c r="HM377" s="2365" t="str">
        <f>IF(HB373&lt;24,HI377,HL377)</f>
        <v>Right</v>
      </c>
      <c r="HN377" s="2250"/>
      <c r="HO377" s="2250"/>
      <c r="HP377" s="2279" t="s">
        <v>2235</v>
      </c>
      <c r="HQ377" s="2280" t="s">
        <v>648</v>
      </c>
      <c r="HR377" s="2281" t="s">
        <v>706</v>
      </c>
      <c r="HS377" s="2282" t="s">
        <v>707</v>
      </c>
      <c r="HT377" s="2308" t="str">
        <f>IF(HT379="Right",IF(HT380="Right",IF(HT381="Right",IF(HT378="Right","Right","Wrong"),"Wrong"),"Wrong"),"Wrong")</f>
        <v>Right</v>
      </c>
      <c r="HU377" s="2250"/>
      <c r="HV377" s="2250"/>
      <c r="HW377" s="2250"/>
      <c r="HX377" s="2284" t="str">
        <f>IF(HX379="Right",IF(HX380="Right",IF(HX381="Right",IF(HX378="Right","Right","Wrong"),"Wrong"),"Wrong"),"Wrong")</f>
        <v>Right</v>
      </c>
      <c r="HY377" s="2250"/>
      <c r="HZ377" s="2250"/>
      <c r="IA377" s="2250"/>
      <c r="IB377" s="2250"/>
      <c r="IC377" s="2250"/>
      <c r="ID377" s="2250"/>
      <c r="IE377" s="2250"/>
      <c r="IF377" s="2250"/>
      <c r="IG377" s="2250"/>
      <c r="IH377" s="2250"/>
      <c r="II377" s="2250"/>
      <c r="IJ377" s="2250"/>
      <c r="IK377" s="53"/>
      <c r="IL377" s="53"/>
      <c r="IN377" s="277"/>
      <c r="IO377" s="277"/>
    </row>
    <row r="378" spans="1:249" ht="21.95" customHeight="1" thickBot="1">
      <c r="A378" s="2275"/>
      <c r="B378" s="2250"/>
      <c r="C378" s="2250"/>
      <c r="D378" s="2309" t="s">
        <v>646</v>
      </c>
      <c r="E378" s="2310" t="s">
        <v>2171</v>
      </c>
      <c r="F378" s="2311" t="s">
        <v>2172</v>
      </c>
      <c r="G378" s="2312" t="s">
        <v>2175</v>
      </c>
      <c r="H378" s="2313" t="s">
        <v>2176</v>
      </c>
      <c r="I378" s="2250"/>
      <c r="J378" s="2250"/>
      <c r="K378" s="2250"/>
      <c r="L378" s="2250"/>
      <c r="M378" s="2250"/>
      <c r="N378" s="2250"/>
      <c r="O378" s="2250"/>
      <c r="P378" s="2250"/>
      <c r="Q378" s="2250"/>
      <c r="R378" s="2250"/>
      <c r="S378" s="4698"/>
      <c r="T378" s="4698"/>
      <c r="U378" s="2250"/>
      <c r="V378" s="4675" t="s">
        <v>734</v>
      </c>
      <c r="W378" s="4676"/>
      <c r="X378" s="284">
        <f>IF(X373&lt;24,AC378,AF378)</f>
        <v>5.67</v>
      </c>
      <c r="Y378" s="284" t="str">
        <f>IF(X373&lt;24,AD378,AG378)</f>
        <v>3AH475</v>
      </c>
      <c r="AB378" s="2250"/>
      <c r="AC378" s="2322">
        <f t="shared" si="202"/>
        <v>0</v>
      </c>
      <c r="AD378" s="2322">
        <f>IFERROR("2AH"&amp;E594,0)</f>
        <v>0</v>
      </c>
      <c r="AE378" s="2364" t="e">
        <f>F594</f>
        <v>#N/A</v>
      </c>
      <c r="AF378" s="2306">
        <f t="shared" ref="AF378:AF379" si="208">+AN375</f>
        <v>5.67</v>
      </c>
      <c r="AG378" s="2300" t="str">
        <f t="shared" si="203"/>
        <v>3AH475</v>
      </c>
      <c r="AH378" s="2250" t="str">
        <f>IF(AT380="Right",IF(AR375="Right","Right","Wrong"),"Wrong")</f>
        <v>Right</v>
      </c>
      <c r="AI378" s="2365" t="str">
        <f>IF(X373&lt;24,AE378,AH378)</f>
        <v>Right</v>
      </c>
      <c r="AJ378" s="2250"/>
      <c r="AK378" s="2250"/>
      <c r="AL378" s="2250"/>
      <c r="AM378" s="2288" t="s">
        <v>651</v>
      </c>
      <c r="AN378" s="2289">
        <f>AH471</f>
        <v>0</v>
      </c>
      <c r="AO378" s="2290">
        <f>AI471</f>
        <v>475</v>
      </c>
      <c r="AP378" s="2275" t="str">
        <f>E471</f>
        <v>Right</v>
      </c>
      <c r="AQ378" s="2250"/>
      <c r="AR378" s="2250"/>
      <c r="AS378" s="2250"/>
      <c r="AT378" s="2314" t="str">
        <f>IF(AP373="Right",IF(AV373="Right",IF(AP378="Right","Right","Wrong"),"Wrong"),"Wrong")</f>
        <v>Right</v>
      </c>
      <c r="AU378" s="2250"/>
      <c r="AV378" s="2250"/>
      <c r="AW378" s="2250"/>
      <c r="AX378" s="2250"/>
      <c r="AY378" s="2250"/>
      <c r="AZ378" s="2250"/>
      <c r="BA378" s="2250"/>
      <c r="BB378" s="2278"/>
      <c r="BC378" s="2278"/>
      <c r="BD378" s="2278"/>
      <c r="BE378" s="2250"/>
      <c r="BF378" s="2276"/>
      <c r="BG378" s="2276"/>
      <c r="BH378" s="2250"/>
      <c r="BI378" s="2275"/>
      <c r="BJ378" s="2250"/>
      <c r="BK378" s="2250"/>
      <c r="BL378" s="2250"/>
      <c r="BM378" s="2250"/>
      <c r="BN378" s="2250"/>
      <c r="BO378" s="2250"/>
      <c r="BP378" s="2250"/>
      <c r="BQ378" s="2250"/>
      <c r="BR378" s="2250"/>
      <c r="BS378" s="2250"/>
      <c r="BT378" s="2250"/>
      <c r="BU378" s="2250"/>
      <c r="BV378" s="2250"/>
      <c r="BW378" s="2250"/>
      <c r="BX378" s="2250"/>
      <c r="BY378" s="2250"/>
      <c r="BZ378" s="2250"/>
      <c r="CA378" s="2250"/>
      <c r="CB378" s="2250"/>
      <c r="CC378" s="2250"/>
      <c r="CD378" s="4701" t="s">
        <v>734</v>
      </c>
      <c r="CE378" s="4702"/>
      <c r="CF378" s="284">
        <f>IF(CF373&lt;24,CK378,CN378)</f>
        <v>5.2</v>
      </c>
      <c r="CG378" s="284" t="str">
        <f>IF(CF373&lt;24,CL378,CO378)</f>
        <v>3AH475</v>
      </c>
      <c r="CI378" s="2250"/>
      <c r="CJ378" s="2250"/>
      <c r="CK378" s="2322">
        <f>IFERROR(BM597,0)</f>
        <v>0</v>
      </c>
      <c r="CL378" s="2322">
        <f t="shared" ref="CL378:CL379" si="209">IFERROR("2AH"&amp;BN597,0)</f>
        <v>0</v>
      </c>
      <c r="CM378" s="2364" t="e">
        <f t="shared" si="205"/>
        <v>#N/A</v>
      </c>
      <c r="CN378" s="2306">
        <f t="shared" si="206"/>
        <v>5.2</v>
      </c>
      <c r="CO378" s="2300" t="str">
        <f t="shared" si="207"/>
        <v>3AH475</v>
      </c>
      <c r="CP378" s="2250" t="str">
        <f>IF(DB380="Right",IF(CZ375="Right","Right","Wrong"),"Wrong")</f>
        <v>Right</v>
      </c>
      <c r="CQ378" s="2365" t="str">
        <f>IF(CF373&lt;24,CM378,CP378)</f>
        <v>Right</v>
      </c>
      <c r="CR378" s="2250"/>
      <c r="CS378" s="2250"/>
      <c r="CT378" s="2250"/>
      <c r="CU378" s="2288" t="s">
        <v>651</v>
      </c>
      <c r="CV378" s="2289">
        <f>CP471</f>
        <v>0</v>
      </c>
      <c r="CW378" s="2290">
        <f>CQ471</f>
        <v>475</v>
      </c>
      <c r="CX378" s="2275" t="str">
        <f>BM471</f>
        <v>Right</v>
      </c>
      <c r="CY378" s="2250"/>
      <c r="CZ378" s="2250"/>
      <c r="DA378" s="2250"/>
      <c r="DB378" s="2314" t="str">
        <f>IF(CX373="Right",IF(DD373="Right",IF(CX378="Right","Right","Wrong"),"Wrong"),"Wrong")</f>
        <v>Right</v>
      </c>
      <c r="DC378" s="2250"/>
      <c r="DD378" s="2250"/>
      <c r="DE378" s="2250"/>
      <c r="DF378" s="2250"/>
      <c r="DG378" s="2250"/>
      <c r="DH378" s="2250"/>
      <c r="DI378" s="2250"/>
      <c r="DJ378" s="2250"/>
      <c r="DK378" s="2250"/>
      <c r="DL378" s="2250"/>
      <c r="DM378" s="2250"/>
      <c r="DN378" s="2250"/>
      <c r="DO378" s="53"/>
      <c r="DP378" s="53"/>
      <c r="DQ378" s="2277"/>
      <c r="DR378" s="2277"/>
      <c r="DS378" s="277"/>
      <c r="DW378" s="2275"/>
      <c r="DX378" s="2250"/>
      <c r="DY378" s="2250"/>
      <c r="DZ378" s="2309" t="s">
        <v>646</v>
      </c>
      <c r="EA378" s="2310" t="s">
        <v>2171</v>
      </c>
      <c r="EB378" s="2311" t="s">
        <v>2172</v>
      </c>
      <c r="EC378" s="2312" t="s">
        <v>2175</v>
      </c>
      <c r="ED378" s="2313" t="s">
        <v>2176</v>
      </c>
      <c r="EE378" s="2250"/>
      <c r="EF378" s="2250"/>
      <c r="EG378" s="2250"/>
      <c r="EH378" s="2250"/>
      <c r="EI378" s="2250"/>
      <c r="EJ378" s="2250"/>
      <c r="EK378" s="2250"/>
      <c r="EL378" s="2250"/>
      <c r="EM378" s="2250"/>
      <c r="EN378" s="2250"/>
      <c r="EO378" s="4698"/>
      <c r="EP378" s="4698"/>
      <c r="EQ378" s="2250"/>
      <c r="ER378" s="4675" t="s">
        <v>734</v>
      </c>
      <c r="ES378" s="4676"/>
      <c r="ET378" s="284">
        <f>IF(ET373&lt;24,EY378,FB378)</f>
        <v>8.1999999999999993</v>
      </c>
      <c r="EU378" s="284" t="str">
        <f>IF(ET373&lt;24,EZ378,FC378)</f>
        <v>3AH475</v>
      </c>
      <c r="EX378" s="2250"/>
      <c r="EY378" s="2322">
        <f>IFERROR(DZ594,0)</f>
        <v>0</v>
      </c>
      <c r="EZ378" s="2322">
        <f>IFERROR("2AH"&amp;EA594,0)</f>
        <v>0</v>
      </c>
      <c r="FA378" s="2364" t="e">
        <f>EB594</f>
        <v>#N/A</v>
      </c>
      <c r="FB378" s="2306">
        <f>+FJ375</f>
        <v>8.1999999999999993</v>
      </c>
      <c r="FC378" s="2300" t="str">
        <f>+"3AH"&amp;FK375</f>
        <v>3AH475</v>
      </c>
      <c r="FD378" s="2250" t="str">
        <f>IF(FP380="Right",IF(FN375="Right","Right","Wrong"),"Wrong")</f>
        <v>Right</v>
      </c>
      <c r="FE378" s="2365" t="str">
        <f>IF(ET373&lt;24,FA378,FD378)</f>
        <v>Right</v>
      </c>
      <c r="FF378" s="2250"/>
      <c r="FG378" s="2250"/>
      <c r="FH378" s="2250"/>
      <c r="FI378" s="2288" t="s">
        <v>651</v>
      </c>
      <c r="FJ378" s="2289">
        <f>FD471</f>
        <v>0</v>
      </c>
      <c r="FK378" s="2290">
        <f>FE471</f>
        <v>475</v>
      </c>
      <c r="FL378" s="2275" t="str">
        <f>EA471</f>
        <v>Right</v>
      </c>
      <c r="FM378" s="2250"/>
      <c r="FN378" s="2250"/>
      <c r="FO378" s="2250"/>
      <c r="FP378" s="2314" t="str">
        <f>IF(FL373="Right",IF(FR373="Right",IF(FL378="Right","Right","Wrong"),"Wrong"),"Wrong")</f>
        <v>Right</v>
      </c>
      <c r="FQ378" s="2250"/>
      <c r="FR378" s="2250"/>
      <c r="FS378" s="2250"/>
      <c r="FT378" s="2250"/>
      <c r="FU378" s="2250"/>
      <c r="FV378" s="2250"/>
      <c r="FW378" s="2250"/>
      <c r="FX378" s="2278"/>
      <c r="FY378" s="2278"/>
      <c r="FZ378" s="2278"/>
      <c r="GA378" s="2250"/>
      <c r="GB378" s="2276"/>
      <c r="GC378" s="2276"/>
      <c r="GD378" s="2250"/>
      <c r="GE378" s="2275"/>
      <c r="GF378" s="2250"/>
      <c r="GG378" s="2250"/>
      <c r="GH378" s="2250"/>
      <c r="GI378" s="2250"/>
      <c r="GJ378" s="2250"/>
      <c r="GK378" s="2250"/>
      <c r="GL378" s="2250"/>
      <c r="GM378" s="2250"/>
      <c r="GN378" s="2250"/>
      <c r="GO378" s="2250"/>
      <c r="GP378" s="2250"/>
      <c r="GQ378" s="2250"/>
      <c r="GR378" s="2250"/>
      <c r="GS378" s="2250"/>
      <c r="GT378" s="2250"/>
      <c r="GU378" s="2250"/>
      <c r="GV378" s="2250"/>
      <c r="GW378" s="2250"/>
      <c r="GX378" s="2250"/>
      <c r="GY378" s="2250"/>
      <c r="GZ378" s="4701" t="s">
        <v>734</v>
      </c>
      <c r="HA378" s="4702"/>
      <c r="HB378" s="284">
        <f>IF(HB373&lt;24,HG378,HJ378)</f>
        <v>7.53</v>
      </c>
      <c r="HC378" s="284" t="str">
        <f>IF(HB373&lt;24,HH378,HK378)</f>
        <v>3AH475</v>
      </c>
      <c r="HE378" s="2250"/>
      <c r="HF378" s="2250"/>
      <c r="HG378" s="2322">
        <f>IFERROR(GI597,0)</f>
        <v>0</v>
      </c>
      <c r="HH378" s="2322">
        <f>IFERROR("2AH"&amp;GJ597,0)</f>
        <v>0</v>
      </c>
      <c r="HI378" s="2364" t="e">
        <f>GK597</f>
        <v>#N/A</v>
      </c>
      <c r="HJ378" s="2306">
        <f>+HR375</f>
        <v>7.53</v>
      </c>
      <c r="HK378" s="2300" t="str">
        <f>+"3AH"&amp;HS375</f>
        <v>3AH475</v>
      </c>
      <c r="HL378" s="2250" t="str">
        <f>IF(HX380="Right",IF(HV375="Right","Right","Wrong"),"Wrong")</f>
        <v>Right</v>
      </c>
      <c r="HM378" s="2365" t="str">
        <f>IF(HB373&lt;24,HI378,HL378)</f>
        <v>Right</v>
      </c>
      <c r="HN378" s="2250"/>
      <c r="HO378" s="2250"/>
      <c r="HP378" s="2250"/>
      <c r="HQ378" s="2288" t="s">
        <v>651</v>
      </c>
      <c r="HR378" s="2289">
        <f>HL471</f>
        <v>0</v>
      </c>
      <c r="HS378" s="2290">
        <f>HM471</f>
        <v>475</v>
      </c>
      <c r="HT378" s="2275" t="str">
        <f>GI471</f>
        <v>Right</v>
      </c>
      <c r="HU378" s="2250"/>
      <c r="HV378" s="2250"/>
      <c r="HW378" s="2250"/>
      <c r="HX378" s="2314" t="str">
        <f>IF(HT373="Right",IF(HZ373="Right",IF(HT378="Right","Right","Wrong"),"Wrong"),"Wrong")</f>
        <v>Right</v>
      </c>
      <c r="HY378" s="2250"/>
      <c r="HZ378" s="2250"/>
      <c r="IA378" s="2250"/>
      <c r="IB378" s="2250"/>
      <c r="IC378" s="2250"/>
      <c r="ID378" s="2250"/>
      <c r="IE378" s="2250"/>
      <c r="IF378" s="2250"/>
      <c r="IG378" s="2250"/>
      <c r="IH378" s="2250"/>
      <c r="II378" s="2250"/>
      <c r="IJ378" s="2250"/>
      <c r="IK378" s="53"/>
      <c r="IL378" s="53"/>
      <c r="IN378" s="277"/>
      <c r="IO378" s="277"/>
    </row>
    <row r="379" spans="1:249" ht="21.95" customHeight="1" thickBot="1">
      <c r="A379" s="2275"/>
      <c r="B379" s="2250"/>
      <c r="C379" s="2250"/>
      <c r="D379" s="2315" t="s">
        <v>732</v>
      </c>
      <c r="E379" s="2316">
        <f>X376</f>
        <v>0</v>
      </c>
      <c r="F379" s="2316" t="str">
        <f>Y376</f>
        <v>3AH475</v>
      </c>
      <c r="G379" s="2317">
        <f>CF376</f>
        <v>0</v>
      </c>
      <c r="H379" s="2317" t="str">
        <f>CG376</f>
        <v>3AH475</v>
      </c>
      <c r="I379" s="2250"/>
      <c r="J379" s="2250"/>
      <c r="K379" s="2250"/>
      <c r="L379" s="2250"/>
      <c r="M379" s="2250"/>
      <c r="N379" s="2250"/>
      <c r="O379" s="2250"/>
      <c r="P379" s="2250"/>
      <c r="Q379" s="2250"/>
      <c r="R379" s="2250"/>
      <c r="S379" s="4698"/>
      <c r="T379" s="4698"/>
      <c r="U379" s="2250"/>
      <c r="V379" s="4677" t="s">
        <v>735</v>
      </c>
      <c r="W379" s="4678"/>
      <c r="X379" s="284">
        <f>IF(X373&lt;24,AC379,AF379)</f>
        <v>4.38</v>
      </c>
      <c r="Y379" s="284" t="str">
        <f>IF(X373&lt;24,AD379,AG379)</f>
        <v>3AH475</v>
      </c>
      <c r="AB379" s="2250"/>
      <c r="AC379" s="2322">
        <f t="shared" si="202"/>
        <v>0</v>
      </c>
      <c r="AD379" s="2322">
        <f>IFERROR("2AH"&amp;E595,0)</f>
        <v>0</v>
      </c>
      <c r="AE379" s="2364" t="e">
        <f>F595</f>
        <v>#N/A</v>
      </c>
      <c r="AF379" s="2318">
        <f t="shared" si="208"/>
        <v>4.38</v>
      </c>
      <c r="AG379" s="2300" t="str">
        <f>+"3AH"&amp;AO376</f>
        <v>3AH475</v>
      </c>
      <c r="AH379" s="2250" t="str">
        <f>IF(AT381="Right",IF(AR376="Right","Right","Wrong"),"Wrong")</f>
        <v>Right</v>
      </c>
      <c r="AI379" s="2365" t="str">
        <f>IF(X373&lt;24,AE379,AH379)</f>
        <v>Right</v>
      </c>
      <c r="AJ379" s="2250"/>
      <c r="AK379" s="2250"/>
      <c r="AL379" s="2250"/>
      <c r="AM379" s="2291" t="s">
        <v>654</v>
      </c>
      <c r="AN379" s="2292">
        <f>AH493</f>
        <v>6.81</v>
      </c>
      <c r="AO379" s="2293">
        <f>AI493</f>
        <v>475</v>
      </c>
      <c r="AP379" s="2275" t="str">
        <f>E493</f>
        <v>Right</v>
      </c>
      <c r="AQ379" s="2250"/>
      <c r="AR379" s="2250"/>
      <c r="AS379" s="2250"/>
      <c r="AT379" s="2320" t="str">
        <f>IF(AP374="Right",IF(AV374="Right",IF(AP379="Right","Right","Wrong"),"Wrong"),"Wrong")</f>
        <v>Right</v>
      </c>
      <c r="AU379" s="2250"/>
      <c r="AV379" s="2250"/>
      <c r="AW379" s="2250"/>
      <c r="AX379" s="2250"/>
      <c r="AY379" s="2250"/>
      <c r="AZ379" s="2250"/>
      <c r="BA379" s="2250"/>
      <c r="BB379" s="2372"/>
      <c r="BC379" s="2372"/>
      <c r="BD379" s="2278"/>
      <c r="BE379" s="2250"/>
      <c r="BF379" s="2276"/>
      <c r="BG379" s="2276"/>
      <c r="BH379" s="2250"/>
      <c r="BI379" s="2275"/>
      <c r="BJ379" s="2250"/>
      <c r="BK379" s="2250"/>
      <c r="BL379" s="2250"/>
      <c r="BM379" s="2250"/>
      <c r="BN379" s="2250"/>
      <c r="BO379" s="2250"/>
      <c r="BP379" s="2250"/>
      <c r="BQ379" s="2250"/>
      <c r="BR379" s="2250"/>
      <c r="BS379" s="2250"/>
      <c r="BT379" s="2250"/>
      <c r="BU379" s="2250"/>
      <c r="BV379" s="2250"/>
      <c r="BW379" s="2250"/>
      <c r="BX379" s="2250"/>
      <c r="BY379" s="2250"/>
      <c r="BZ379" s="2250"/>
      <c r="CA379" s="2250"/>
      <c r="CB379" s="2250"/>
      <c r="CC379" s="2250"/>
      <c r="CD379" s="4699" t="s">
        <v>735</v>
      </c>
      <c r="CE379" s="4700"/>
      <c r="CF379" s="284">
        <f>IF(CF373&lt;24,CK379,CN379)</f>
        <v>4.08</v>
      </c>
      <c r="CG379" s="284" t="str">
        <f>IF(CF373&lt;24,CL379,CO379)</f>
        <v>3AH475</v>
      </c>
      <c r="CI379" s="2250"/>
      <c r="CJ379" s="2250"/>
      <c r="CK379" s="2322">
        <f t="shared" si="204"/>
        <v>0</v>
      </c>
      <c r="CL379" s="2322">
        <f t="shared" si="209"/>
        <v>0</v>
      </c>
      <c r="CM379" s="2364" t="e">
        <f t="shared" si="205"/>
        <v>#N/A</v>
      </c>
      <c r="CN379" s="2318">
        <f t="shared" si="206"/>
        <v>4.08</v>
      </c>
      <c r="CO379" s="2300" t="str">
        <f>+"3AH"&amp;CW376</f>
        <v>3AH475</v>
      </c>
      <c r="CP379" s="2250" t="str">
        <f>IF(DB381="Right",IF(CZ376="Right","Right","Wrong"),"Wrong")</f>
        <v>Right</v>
      </c>
      <c r="CQ379" s="2365" t="str">
        <f>IF(CF373&lt;24,CM379,CP379)</f>
        <v>Right</v>
      </c>
      <c r="CR379" s="2250"/>
      <c r="CS379" s="2250"/>
      <c r="CT379" s="2250"/>
      <c r="CU379" s="2291" t="s">
        <v>654</v>
      </c>
      <c r="CV379" s="2292">
        <f>CP493</f>
        <v>6.26</v>
      </c>
      <c r="CW379" s="2293">
        <f>CQ493</f>
        <v>475</v>
      </c>
      <c r="CX379" s="2275" t="str">
        <f>BM493</f>
        <v>Right</v>
      </c>
      <c r="CY379" s="2250"/>
      <c r="CZ379" s="2250"/>
      <c r="DA379" s="2250"/>
      <c r="DB379" s="2320" t="str">
        <f>IF(CX374="Right",IF(DD374="Right",IF(CX379="Right","Right","Wrong"),"Wrong"),"Wrong")</f>
        <v>Right</v>
      </c>
      <c r="DC379" s="2250"/>
      <c r="DD379" s="2250"/>
      <c r="DE379" s="2250"/>
      <c r="DF379" s="2250"/>
      <c r="DG379" s="2250"/>
      <c r="DH379" s="2250"/>
      <c r="DI379" s="2250"/>
      <c r="DJ379" s="2250"/>
      <c r="DK379" s="2250"/>
      <c r="DL379" s="2250"/>
      <c r="DM379" s="2250"/>
      <c r="DN379" s="2250"/>
      <c r="DO379" s="53"/>
      <c r="DP379" s="53"/>
      <c r="DQ379" s="2277"/>
      <c r="DR379" s="2277"/>
      <c r="DS379" s="277"/>
      <c r="DW379" s="2275"/>
      <c r="DX379" s="2250"/>
      <c r="DY379" s="2250"/>
      <c r="DZ379" s="2315" t="s">
        <v>732</v>
      </c>
      <c r="EA379" s="2316">
        <f t="shared" ref="EA379:EB382" si="210">ET376</f>
        <v>0</v>
      </c>
      <c r="EB379" s="2316" t="str">
        <f t="shared" si="210"/>
        <v>3AH475</v>
      </c>
      <c r="EC379" s="2317">
        <f t="shared" ref="EC379:ED382" si="211">HB376</f>
        <v>0</v>
      </c>
      <c r="ED379" s="2317" t="str">
        <f t="shared" si="211"/>
        <v>3AH475</v>
      </c>
      <c r="EE379" s="2250"/>
      <c r="EF379" s="2250"/>
      <c r="EG379" s="2250"/>
      <c r="EH379" s="2250"/>
      <c r="EI379" s="2250"/>
      <c r="EJ379" s="2250"/>
      <c r="EK379" s="2250"/>
      <c r="EL379" s="2250"/>
      <c r="EM379" s="2250"/>
      <c r="EN379" s="2250"/>
      <c r="EO379" s="4698"/>
      <c r="EP379" s="4698"/>
      <c r="EQ379" s="2250"/>
      <c r="ER379" s="4677" t="s">
        <v>735</v>
      </c>
      <c r="ES379" s="4678"/>
      <c r="ET379" s="284">
        <f>IF(ET373&lt;24,EY379,FB379)</f>
        <v>6.77</v>
      </c>
      <c r="EU379" s="284" t="str">
        <f>IF(ET373&lt;24,EZ379,FC379)</f>
        <v>3AH475</v>
      </c>
      <c r="EX379" s="2250"/>
      <c r="EY379" s="2322">
        <f>IFERROR(DZ595,0)</f>
        <v>0</v>
      </c>
      <c r="EZ379" s="2322">
        <f>IFERROR("2AH"&amp;EA595,0)</f>
        <v>0</v>
      </c>
      <c r="FA379" s="2364" t="e">
        <f>EB595</f>
        <v>#N/A</v>
      </c>
      <c r="FB379" s="2318">
        <f>+FJ376</f>
        <v>6.77</v>
      </c>
      <c r="FC379" s="2300" t="str">
        <f>+"3AH"&amp;FK376</f>
        <v>3AH475</v>
      </c>
      <c r="FD379" s="2250" t="str">
        <f>IF(FP381="Right",IF(FN376="Right","Right","Wrong"),"Wrong")</f>
        <v>Right</v>
      </c>
      <c r="FE379" s="2365" t="str">
        <f>IF(ET373&lt;24,FA379,FD379)</f>
        <v>Right</v>
      </c>
      <c r="FF379" s="2250"/>
      <c r="FG379" s="2250"/>
      <c r="FH379" s="2250"/>
      <c r="FI379" s="2291" t="s">
        <v>654</v>
      </c>
      <c r="FJ379" s="2292">
        <f>FD493</f>
        <v>9.8800000000000008</v>
      </c>
      <c r="FK379" s="2293">
        <f>FE493</f>
        <v>475</v>
      </c>
      <c r="FL379" s="2275" t="str">
        <f>EA493</f>
        <v>Right</v>
      </c>
      <c r="FM379" s="2250"/>
      <c r="FN379" s="2250"/>
      <c r="FO379" s="2250"/>
      <c r="FP379" s="2320" t="str">
        <f>IF(FL374="Right",IF(FR374="Right",IF(FL379="Right","Right","Wrong"),"Wrong"),"Wrong")</f>
        <v>Right</v>
      </c>
      <c r="FQ379" s="2250"/>
      <c r="FR379" s="2250"/>
      <c r="FS379" s="2250"/>
      <c r="FT379" s="2250"/>
      <c r="FU379" s="2250"/>
      <c r="FV379" s="2250"/>
      <c r="FW379" s="2250"/>
      <c r="FX379" s="2372"/>
      <c r="FY379" s="2372"/>
      <c r="FZ379" s="2278"/>
      <c r="GA379" s="2250"/>
      <c r="GB379" s="2276"/>
      <c r="GC379" s="2276"/>
      <c r="GD379" s="2250"/>
      <c r="GE379" s="2275"/>
      <c r="GF379" s="2250"/>
      <c r="GG379" s="2250"/>
      <c r="GH379" s="2250"/>
      <c r="GI379" s="2250"/>
      <c r="GJ379" s="2250"/>
      <c r="GK379" s="2250"/>
      <c r="GL379" s="2250"/>
      <c r="GM379" s="2250"/>
      <c r="GN379" s="2250"/>
      <c r="GO379" s="2250"/>
      <c r="GP379" s="2250"/>
      <c r="GQ379" s="2250"/>
      <c r="GR379" s="2250"/>
      <c r="GS379" s="2250"/>
      <c r="GT379" s="2250"/>
      <c r="GU379" s="2250"/>
      <c r="GV379" s="2250"/>
      <c r="GW379" s="2250"/>
      <c r="GX379" s="2250"/>
      <c r="GY379" s="2250"/>
      <c r="GZ379" s="4699" t="s">
        <v>735</v>
      </c>
      <c r="HA379" s="4700"/>
      <c r="HB379" s="284">
        <f>IF(HB373&lt;24,HG379,HJ379)</f>
        <v>6</v>
      </c>
      <c r="HC379" s="284" t="str">
        <f>IF(HB373&lt;24,HH379,HK379)</f>
        <v>3AH475</v>
      </c>
      <c r="HE379" s="2250"/>
      <c r="HF379" s="2250"/>
      <c r="HG379" s="2322">
        <f>IFERROR(GI598,0)</f>
        <v>0</v>
      </c>
      <c r="HH379" s="2322">
        <f>IFERROR("2AH"&amp;GJ598,0)</f>
        <v>0</v>
      </c>
      <c r="HI379" s="2364" t="e">
        <f>GK598</f>
        <v>#N/A</v>
      </c>
      <c r="HJ379" s="2318">
        <f>+HR376</f>
        <v>6</v>
      </c>
      <c r="HK379" s="2300" t="str">
        <f>+"3AH"&amp;HS376</f>
        <v>3AH475</v>
      </c>
      <c r="HL379" s="2250" t="str">
        <f>IF(HX381="Right",IF(HV376="Right","Right","Wrong"),"Wrong")</f>
        <v>Right</v>
      </c>
      <c r="HM379" s="2365" t="str">
        <f>IF(HB373&lt;24,HI379,HL379)</f>
        <v>Right</v>
      </c>
      <c r="HN379" s="2250"/>
      <c r="HO379" s="2250"/>
      <c r="HP379" s="2250"/>
      <c r="HQ379" s="2291" t="s">
        <v>654</v>
      </c>
      <c r="HR379" s="2292">
        <f>HL493</f>
        <v>9.08</v>
      </c>
      <c r="HS379" s="2293">
        <f>HM493</f>
        <v>475</v>
      </c>
      <c r="HT379" s="2275" t="str">
        <f>GI493</f>
        <v>Right</v>
      </c>
      <c r="HU379" s="2250"/>
      <c r="HV379" s="2250"/>
      <c r="HW379" s="2250"/>
      <c r="HX379" s="2320" t="str">
        <f>IF(HT374="Right",IF(HZ374="Right",IF(HT379="Right","Right","Wrong"),"Wrong"),"Wrong")</f>
        <v>Right</v>
      </c>
      <c r="HY379" s="2250"/>
      <c r="HZ379" s="2250"/>
      <c r="IA379" s="2250"/>
      <c r="IB379" s="2250"/>
      <c r="IC379" s="2250"/>
      <c r="ID379" s="2250"/>
      <c r="IE379" s="2250"/>
      <c r="IF379" s="2250"/>
      <c r="IG379" s="2250"/>
      <c r="IH379" s="2250"/>
      <c r="II379" s="2250"/>
      <c r="IJ379" s="2250"/>
      <c r="IK379" s="53"/>
      <c r="IL379" s="53"/>
      <c r="IN379" s="277"/>
      <c r="IO379" s="277"/>
    </row>
    <row r="380" spans="1:249" ht="21.95" customHeight="1" thickBot="1">
      <c r="A380" s="2275"/>
      <c r="B380" s="2250"/>
      <c r="C380" s="2250"/>
      <c r="D380" s="2321" t="s">
        <v>733</v>
      </c>
      <c r="E380" s="2316">
        <f t="shared" ref="E380:F380" si="212">X377</f>
        <v>6.81</v>
      </c>
      <c r="F380" s="2316" t="str">
        <f t="shared" si="212"/>
        <v>3AH475</v>
      </c>
      <c r="G380" s="2317">
        <f t="shared" ref="G380:H382" si="213">CF377</f>
        <v>6.26</v>
      </c>
      <c r="H380" s="2317" t="str">
        <f>CG377</f>
        <v>3AH475</v>
      </c>
      <c r="I380" s="2250"/>
      <c r="J380" s="2250"/>
      <c r="K380" s="2250"/>
      <c r="L380" s="2250"/>
      <c r="M380" s="2250"/>
      <c r="N380" s="2250"/>
      <c r="O380" s="2250"/>
      <c r="P380" s="2250"/>
      <c r="Q380" s="2250"/>
      <c r="R380" s="2250"/>
      <c r="S380" s="4698"/>
      <c r="T380" s="4698"/>
      <c r="U380" s="2250"/>
      <c r="V380" s="2250"/>
      <c r="W380" s="2250"/>
      <c r="X380" s="2251"/>
      <c r="Y380" s="284" t="str">
        <f>IF(X373&lt;24,AD380,AG380)</f>
        <v>Right</v>
      </c>
      <c r="AB380" s="2250"/>
      <c r="AC380" s="2250"/>
      <c r="AD380" s="2374" t="e">
        <f>IF(AE379="Right","Right",IF(AE378="Right","Right",IF(AE377="Right","Right",IF(AE376="Right","Right","Wrong"))))</f>
        <v>#N/A</v>
      </c>
      <c r="AE380" s="2250"/>
      <c r="AF380" s="2250"/>
      <c r="AG380" s="2370" t="str">
        <f>AM383</f>
        <v>Right</v>
      </c>
      <c r="AH380" s="2250"/>
      <c r="AI380" s="2250"/>
      <c r="AJ380" s="2250"/>
      <c r="AK380" s="2250"/>
      <c r="AL380" s="2250"/>
      <c r="AM380" s="2291" t="s">
        <v>658</v>
      </c>
      <c r="AN380" s="2292">
        <f>AH515</f>
        <v>5.67</v>
      </c>
      <c r="AO380" s="2293">
        <f>AI515</f>
        <v>475</v>
      </c>
      <c r="AP380" s="2275" t="str">
        <f>E515</f>
        <v>Right</v>
      </c>
      <c r="AQ380" s="2250"/>
      <c r="AR380" s="2250"/>
      <c r="AS380" s="2250"/>
      <c r="AT380" s="2320" t="str">
        <f>IF(AP375="Right",IF(AV375="Right",IF(AP380="Right","Right","Wrong"),"Wrong"),"Wrong")</f>
        <v>Right</v>
      </c>
      <c r="AU380" s="2250"/>
      <c r="AV380" s="2250"/>
      <c r="AW380" s="2250"/>
      <c r="AX380" s="2250"/>
      <c r="AY380" s="2250"/>
      <c r="AZ380" s="2250"/>
      <c r="BA380" s="2250"/>
      <c r="BB380" s="2372"/>
      <c r="BC380" s="2372"/>
      <c r="BD380" s="2278"/>
      <c r="BE380" s="2250"/>
      <c r="BF380" s="2276"/>
      <c r="BG380" s="2276"/>
      <c r="BH380" s="2250"/>
      <c r="BI380" s="2275"/>
      <c r="BJ380" s="2250"/>
      <c r="BK380" s="2250"/>
      <c r="BL380" s="2250"/>
      <c r="BM380" s="2250"/>
      <c r="BN380" s="2250"/>
      <c r="BO380" s="2250"/>
      <c r="BP380" s="2250"/>
      <c r="BQ380" s="2250"/>
      <c r="BR380" s="2250"/>
      <c r="BS380" s="2250"/>
      <c r="BT380" s="2250"/>
      <c r="BU380" s="2250"/>
      <c r="BV380" s="2250"/>
      <c r="BW380" s="2250"/>
      <c r="BX380" s="2250"/>
      <c r="BY380" s="2250"/>
      <c r="BZ380" s="2250"/>
      <c r="CA380" s="2250"/>
      <c r="CB380" s="2250"/>
      <c r="CC380" s="2250"/>
      <c r="CD380" s="2250"/>
      <c r="CE380" s="2250"/>
      <c r="CF380" s="2251"/>
      <c r="CG380" s="284" t="str">
        <f>IF(CF373&lt;24,CL380,CO380)</f>
        <v>Right</v>
      </c>
      <c r="CH380" s="2250"/>
      <c r="CI380" s="2250"/>
      <c r="CJ380" s="2250"/>
      <c r="CK380" s="2250"/>
      <c r="CL380" s="2374" t="e">
        <f>IF(CM379="Right","Right",IF(CM378="Right","Right",IF(CM377="Right","Right",IF(CM376="Right","Right","Wrong"))))</f>
        <v>#N/A</v>
      </c>
      <c r="CM380" s="2250"/>
      <c r="CN380" s="2250"/>
      <c r="CO380" s="2370" t="str">
        <f>CU383</f>
        <v>Right</v>
      </c>
      <c r="CP380" s="2250"/>
      <c r="CQ380" s="2250"/>
      <c r="CR380" s="2250"/>
      <c r="CS380" s="2250"/>
      <c r="CT380" s="2250"/>
      <c r="CU380" s="2291" t="s">
        <v>658</v>
      </c>
      <c r="CV380" s="2292">
        <f>CP515</f>
        <v>5.2</v>
      </c>
      <c r="CW380" s="2293">
        <f>CQ515</f>
        <v>475</v>
      </c>
      <c r="CX380" s="2275" t="str">
        <f>BM515</f>
        <v>Right</v>
      </c>
      <c r="CY380" s="2250"/>
      <c r="CZ380" s="2250"/>
      <c r="DA380" s="2250"/>
      <c r="DB380" s="2320" t="str">
        <f>IF(CX375="Right",IF(DD375="Right",IF(CX380="Right","Right","Wrong"),"Wrong"),"Wrong")</f>
        <v>Right</v>
      </c>
      <c r="DC380" s="2250"/>
      <c r="DD380" s="2250"/>
      <c r="DE380" s="2250"/>
      <c r="DF380" s="2250"/>
      <c r="DG380" s="2250"/>
      <c r="DH380" s="2250"/>
      <c r="DI380" s="2250"/>
      <c r="DJ380" s="2250"/>
      <c r="DK380" s="2250"/>
      <c r="DL380" s="2250"/>
      <c r="DM380" s="2250"/>
      <c r="DN380" s="2250"/>
      <c r="DO380" s="53"/>
      <c r="DP380" s="53"/>
      <c r="DQ380" s="2277"/>
      <c r="DR380" s="2277"/>
      <c r="DS380" s="277"/>
      <c r="DW380" s="2275"/>
      <c r="DX380" s="2250"/>
      <c r="DY380" s="2250"/>
      <c r="DZ380" s="2321" t="s">
        <v>733</v>
      </c>
      <c r="EA380" s="2316">
        <f t="shared" si="210"/>
        <v>9.8800000000000008</v>
      </c>
      <c r="EB380" s="2316" t="str">
        <f t="shared" si="210"/>
        <v>3AH475</v>
      </c>
      <c r="EC380" s="2317">
        <f t="shared" si="211"/>
        <v>9.08</v>
      </c>
      <c r="ED380" s="2317" t="str">
        <f t="shared" si="211"/>
        <v>3AH475</v>
      </c>
      <c r="EE380" s="2250"/>
      <c r="EF380" s="2250"/>
      <c r="EG380" s="2250"/>
      <c r="EH380" s="2250"/>
      <c r="EI380" s="2250"/>
      <c r="EJ380" s="2250"/>
      <c r="EK380" s="2250"/>
      <c r="EL380" s="2250"/>
      <c r="EM380" s="2250"/>
      <c r="EN380" s="2250"/>
      <c r="EO380" s="4698"/>
      <c r="EP380" s="4698"/>
      <c r="EQ380" s="2250"/>
      <c r="ER380" s="2250"/>
      <c r="ES380" s="2250"/>
      <c r="ET380" s="2251"/>
      <c r="EU380" s="284" t="str">
        <f>IF(ET373&lt;24,EZ380,FC380)</f>
        <v>Right</v>
      </c>
      <c r="EX380" s="2250"/>
      <c r="EY380" s="2250"/>
      <c r="EZ380" s="2374" t="e">
        <f>IF(FA379="Right","Right",IF(FA378="Right","Right",IF(FA377="Right","Right",IF(FA376="Right","Right","Wrong"))))</f>
        <v>#N/A</v>
      </c>
      <c r="FA380" s="2250"/>
      <c r="FB380" s="2250"/>
      <c r="FC380" s="2370" t="str">
        <f>FI383</f>
        <v>Right</v>
      </c>
      <c r="FD380" s="2250"/>
      <c r="FE380" s="2250"/>
      <c r="FF380" s="2250"/>
      <c r="FG380" s="2250"/>
      <c r="FH380" s="2250"/>
      <c r="FI380" s="2291" t="s">
        <v>658</v>
      </c>
      <c r="FJ380" s="2292">
        <f>FD515</f>
        <v>8.1999999999999993</v>
      </c>
      <c r="FK380" s="2293">
        <f>FE515</f>
        <v>475</v>
      </c>
      <c r="FL380" s="2275" t="str">
        <f>EA515</f>
        <v>Right</v>
      </c>
      <c r="FM380" s="2250"/>
      <c r="FN380" s="2250"/>
      <c r="FO380" s="2250"/>
      <c r="FP380" s="2320" t="str">
        <f>IF(FL375="Right",IF(FR375="Right",IF(FL380="Right","Right","Wrong"),"Wrong"),"Wrong")</f>
        <v>Right</v>
      </c>
      <c r="FQ380" s="2250"/>
      <c r="FR380" s="2250"/>
      <c r="FS380" s="2250"/>
      <c r="FT380" s="2250"/>
      <c r="FU380" s="2250"/>
      <c r="FV380" s="2250"/>
      <c r="FW380" s="2250"/>
      <c r="FX380" s="2372"/>
      <c r="FY380" s="2372"/>
      <c r="FZ380" s="2278"/>
      <c r="GA380" s="2250"/>
      <c r="GB380" s="2276"/>
      <c r="GC380" s="2276"/>
      <c r="GD380" s="2250"/>
      <c r="GE380" s="2275"/>
      <c r="GF380" s="2250"/>
      <c r="GG380" s="2250"/>
      <c r="GH380" s="2250"/>
      <c r="GI380" s="2250"/>
      <c r="GJ380" s="2250"/>
      <c r="GK380" s="2250"/>
      <c r="GL380" s="2250"/>
      <c r="GM380" s="2250"/>
      <c r="GN380" s="2250"/>
      <c r="GO380" s="2250"/>
      <c r="GP380" s="2250"/>
      <c r="GQ380" s="2250"/>
      <c r="GR380" s="2250"/>
      <c r="GS380" s="2250"/>
      <c r="GT380" s="2250"/>
      <c r="GU380" s="2250"/>
      <c r="GV380" s="2250"/>
      <c r="GW380" s="2250"/>
      <c r="GX380" s="2250"/>
      <c r="GY380" s="2250"/>
      <c r="GZ380" s="2250"/>
      <c r="HA380" s="2250"/>
      <c r="HB380" s="2251"/>
      <c r="HC380" s="284" t="str">
        <f>IF(HB373&lt;24,HH380,HK380)</f>
        <v>Right</v>
      </c>
      <c r="HD380" s="2250"/>
      <c r="HE380" s="2250"/>
      <c r="HF380" s="2250"/>
      <c r="HG380" s="2250"/>
      <c r="HH380" s="2374" t="e">
        <f>IF(HI379="Right","Right",IF(HI378="Right","Right",IF(HI377="Right","Right",IF(HI376="Right","Right","Wrong"))))</f>
        <v>#N/A</v>
      </c>
      <c r="HI380" s="2250"/>
      <c r="HJ380" s="2250"/>
      <c r="HK380" s="2370" t="str">
        <f>HQ383</f>
        <v>Right</v>
      </c>
      <c r="HL380" s="2250"/>
      <c r="HM380" s="2250"/>
      <c r="HN380" s="2250"/>
      <c r="HO380" s="2250"/>
      <c r="HP380" s="2250"/>
      <c r="HQ380" s="2291" t="s">
        <v>658</v>
      </c>
      <c r="HR380" s="2292">
        <f>HL515</f>
        <v>7.53</v>
      </c>
      <c r="HS380" s="2293">
        <f>HM515</f>
        <v>475</v>
      </c>
      <c r="HT380" s="2275" t="str">
        <f>GI515</f>
        <v>Right</v>
      </c>
      <c r="HU380" s="2250"/>
      <c r="HV380" s="2250"/>
      <c r="HW380" s="2250"/>
      <c r="HX380" s="2320" t="str">
        <f>IF(HT375="Right",IF(HZ375="Right",IF(HT380="Right","Right","Wrong"),"Wrong"),"Wrong")</f>
        <v>Right</v>
      </c>
      <c r="HY380" s="2250"/>
      <c r="HZ380" s="2250"/>
      <c r="IA380" s="2250"/>
      <c r="IB380" s="2250"/>
      <c r="IC380" s="2250"/>
      <c r="ID380" s="2250"/>
      <c r="IE380" s="2250"/>
      <c r="IF380" s="2250"/>
      <c r="IG380" s="2250"/>
      <c r="IH380" s="2250"/>
      <c r="II380" s="2250"/>
      <c r="IJ380" s="2250"/>
      <c r="IK380" s="53"/>
      <c r="IL380" s="53"/>
      <c r="IN380" s="277"/>
      <c r="IO380" s="277"/>
    </row>
    <row r="381" spans="1:249" ht="21.95" customHeight="1" thickBot="1">
      <c r="A381" s="2275"/>
      <c r="B381" s="2250"/>
      <c r="C381" s="2250"/>
      <c r="D381" s="2321" t="s">
        <v>734</v>
      </c>
      <c r="E381" s="2316">
        <f t="shared" ref="E381:F381" si="214">X378</f>
        <v>5.67</v>
      </c>
      <c r="F381" s="2316" t="str">
        <f t="shared" si="214"/>
        <v>3AH475</v>
      </c>
      <c r="G381" s="2317">
        <f t="shared" si="213"/>
        <v>5.2</v>
      </c>
      <c r="H381" s="2317" t="str">
        <f>CG378</f>
        <v>3AH475</v>
      </c>
      <c r="I381" s="2250"/>
      <c r="J381" s="2250"/>
      <c r="K381" s="2250"/>
      <c r="L381" s="2250"/>
      <c r="M381" s="2250"/>
      <c r="N381" s="2250"/>
      <c r="O381" s="2250"/>
      <c r="P381" s="2250"/>
      <c r="Q381" s="2250"/>
      <c r="R381" s="2250"/>
      <c r="S381" s="2278"/>
      <c r="T381" s="2278"/>
      <c r="U381" s="2250"/>
      <c r="V381" s="2250"/>
      <c r="W381" s="2250"/>
      <c r="X381" s="2250"/>
      <c r="Y381" s="2250"/>
      <c r="Z381" s="2250"/>
      <c r="AA381" s="2250"/>
      <c r="AB381" s="2250"/>
      <c r="AC381" s="2250"/>
      <c r="AD381" s="2250"/>
      <c r="AE381" s="2250"/>
      <c r="AF381" s="2250"/>
      <c r="AG381" s="2250"/>
      <c r="AH381" s="2250"/>
      <c r="AI381" s="2250"/>
      <c r="AJ381" s="2250"/>
      <c r="AK381" s="2250"/>
      <c r="AL381" s="2250"/>
      <c r="AM381" s="2304" t="s">
        <v>662</v>
      </c>
      <c r="AN381" s="2324">
        <f>AH537</f>
        <v>4.38</v>
      </c>
      <c r="AO381" s="2305">
        <f>AI537</f>
        <v>475</v>
      </c>
      <c r="AP381" s="2275" t="str">
        <f>E537</f>
        <v>Right</v>
      </c>
      <c r="AQ381" s="2250"/>
      <c r="AR381" s="2250"/>
      <c r="AS381" s="2250"/>
      <c r="AT381" s="2325" t="str">
        <f>IF(AP376="Right",IF(AV376="Right",IF(AP381="Right","Right","Wrong"),"Wrong"),"Wrong")</f>
        <v>Right</v>
      </c>
      <c r="AU381" s="2250"/>
      <c r="AV381" s="2250"/>
      <c r="AW381" s="2250"/>
      <c r="AX381" s="2250"/>
      <c r="AY381" s="2250"/>
      <c r="AZ381" s="2250"/>
      <c r="BA381" s="2250"/>
      <c r="BB381" s="2371"/>
      <c r="BC381" s="2372"/>
      <c r="BD381" s="2278"/>
      <c r="BE381" s="2250"/>
      <c r="BF381" s="2276"/>
      <c r="BG381" s="2276"/>
      <c r="BH381" s="2250"/>
      <c r="BI381" s="2275"/>
      <c r="BJ381" s="2250"/>
      <c r="BK381" s="2250"/>
      <c r="BL381" s="2250"/>
      <c r="BM381" s="2250"/>
      <c r="BN381" s="2250"/>
      <c r="BO381" s="2250"/>
      <c r="BP381" s="2250"/>
      <c r="BQ381" s="2250"/>
      <c r="BR381" s="2250"/>
      <c r="BS381" s="2250"/>
      <c r="BT381" s="2250"/>
      <c r="BU381" s="2250"/>
      <c r="BV381" s="2250"/>
      <c r="BW381" s="2250"/>
      <c r="BX381" s="2250"/>
      <c r="BY381" s="2250"/>
      <c r="BZ381" s="2250"/>
      <c r="CA381" s="2250"/>
      <c r="CB381" s="2250"/>
      <c r="CC381" s="2250"/>
      <c r="CD381" s="2250"/>
      <c r="CI381" s="2250"/>
      <c r="CJ381" s="2250"/>
      <c r="CK381" s="2250"/>
      <c r="CL381" s="2250"/>
      <c r="CM381" s="2250"/>
      <c r="CN381" s="2250"/>
      <c r="CO381" s="2250"/>
      <c r="CP381" s="2250"/>
      <c r="CQ381" s="2250"/>
      <c r="CR381" s="2250"/>
      <c r="CS381" s="2250"/>
      <c r="CT381" s="2250"/>
      <c r="CU381" s="2304" t="s">
        <v>662</v>
      </c>
      <c r="CV381" s="2324">
        <f>CP537</f>
        <v>4.08</v>
      </c>
      <c r="CW381" s="2305">
        <f>CQ537</f>
        <v>475</v>
      </c>
      <c r="CX381" s="2275" t="str">
        <f>BM537</f>
        <v>Right</v>
      </c>
      <c r="CY381" s="2250"/>
      <c r="CZ381" s="2250"/>
      <c r="DA381" s="2250"/>
      <c r="DB381" s="2325" t="str">
        <f>IF(CX376="Right",IF(DD376="Right",IF(CX381="Right","Right","Wrong"),"Wrong"),"Wrong")</f>
        <v>Right</v>
      </c>
      <c r="DC381" s="2250"/>
      <c r="DD381" s="2250"/>
      <c r="DE381" s="2250"/>
      <c r="DF381" s="2250"/>
      <c r="DG381" s="2250"/>
      <c r="DH381" s="2250"/>
      <c r="DI381" s="2250"/>
      <c r="DJ381" s="2250"/>
      <c r="DK381" s="2250"/>
      <c r="DL381" s="2250"/>
      <c r="DM381" s="2250"/>
      <c r="DN381" s="2250"/>
      <c r="DO381" s="53"/>
      <c r="DP381" s="53"/>
      <c r="DQ381" s="2277"/>
      <c r="DR381" s="2277"/>
      <c r="DS381" s="277"/>
      <c r="DW381" s="2275"/>
      <c r="DX381" s="2250"/>
      <c r="DY381" s="2250"/>
      <c r="DZ381" s="2321" t="s">
        <v>734</v>
      </c>
      <c r="EA381" s="2316">
        <f t="shared" si="210"/>
        <v>8.1999999999999993</v>
      </c>
      <c r="EB381" s="2316" t="str">
        <f t="shared" si="210"/>
        <v>3AH475</v>
      </c>
      <c r="EC381" s="2317">
        <f t="shared" si="211"/>
        <v>7.53</v>
      </c>
      <c r="ED381" s="2317" t="str">
        <f t="shared" si="211"/>
        <v>3AH475</v>
      </c>
      <c r="EE381" s="2250"/>
      <c r="EF381" s="2250"/>
      <c r="EG381" s="2250"/>
      <c r="EH381" s="2250"/>
      <c r="EI381" s="2250"/>
      <c r="EJ381" s="2250"/>
      <c r="EK381" s="2250"/>
      <c r="EL381" s="2250"/>
      <c r="EM381" s="2250"/>
      <c r="EN381" s="2250"/>
      <c r="EO381" s="2278"/>
      <c r="EP381" s="2278"/>
      <c r="EQ381" s="2250"/>
      <c r="ER381" s="2250"/>
      <c r="ES381" s="2250"/>
      <c r="ET381" s="2250"/>
      <c r="EU381" s="2250"/>
      <c r="EV381" s="2250"/>
      <c r="EW381" s="2250"/>
      <c r="EX381" s="2250"/>
      <c r="EY381" s="2250"/>
      <c r="EZ381" s="2250"/>
      <c r="FA381" s="2250"/>
      <c r="FB381" s="2250"/>
      <c r="FC381" s="2250"/>
      <c r="FD381" s="2250"/>
      <c r="FE381" s="2250"/>
      <c r="FF381" s="2250"/>
      <c r="FG381" s="2250"/>
      <c r="FH381" s="2250"/>
      <c r="FI381" s="2304" t="s">
        <v>662</v>
      </c>
      <c r="FJ381" s="2324">
        <f>FD537</f>
        <v>6.77</v>
      </c>
      <c r="FK381" s="2305">
        <f>FE537</f>
        <v>475</v>
      </c>
      <c r="FL381" s="2275" t="str">
        <f>EA537</f>
        <v>Right</v>
      </c>
      <c r="FM381" s="2250"/>
      <c r="FN381" s="2250"/>
      <c r="FO381" s="2250"/>
      <c r="FP381" s="2325" t="str">
        <f>IF(FL376="Right",IF(FR376="Right",IF(FL381="Right","Right","Wrong"),"Wrong"),"Wrong")</f>
        <v>Right</v>
      </c>
      <c r="FQ381" s="2250"/>
      <c r="FR381" s="2250"/>
      <c r="FS381" s="2250"/>
      <c r="FT381" s="2250"/>
      <c r="FU381" s="2250"/>
      <c r="FV381" s="2250"/>
      <c r="FW381" s="2250"/>
      <c r="FX381" s="2371"/>
      <c r="FY381" s="2372"/>
      <c r="FZ381" s="2278"/>
      <c r="GA381" s="2250"/>
      <c r="GB381" s="2276"/>
      <c r="GC381" s="2276"/>
      <c r="GD381" s="2250"/>
      <c r="GE381" s="2275"/>
      <c r="GF381" s="2250"/>
      <c r="GG381" s="2250"/>
      <c r="GH381" s="2250"/>
      <c r="GI381" s="2250"/>
      <c r="GJ381" s="2250"/>
      <c r="GK381" s="2250"/>
      <c r="GL381" s="2250"/>
      <c r="GM381" s="2250"/>
      <c r="GN381" s="2250"/>
      <c r="GO381" s="2250"/>
      <c r="GP381" s="2250"/>
      <c r="GQ381" s="2250"/>
      <c r="GR381" s="2250"/>
      <c r="GS381" s="2250"/>
      <c r="GT381" s="2250"/>
      <c r="GU381" s="2250"/>
      <c r="GV381" s="2250"/>
      <c r="GW381" s="2250"/>
      <c r="GX381" s="2250"/>
      <c r="GY381" s="2250"/>
      <c r="GZ381" s="2250"/>
      <c r="HE381" s="2250"/>
      <c r="HF381" s="2250"/>
      <c r="HG381" s="2250"/>
      <c r="HH381" s="2250"/>
      <c r="HI381" s="2250"/>
      <c r="HJ381" s="2250"/>
      <c r="HK381" s="2250"/>
      <c r="HL381" s="2250"/>
      <c r="HM381" s="2250"/>
      <c r="HN381" s="2250"/>
      <c r="HO381" s="2250"/>
      <c r="HP381" s="2250"/>
      <c r="HQ381" s="2304" t="s">
        <v>662</v>
      </c>
      <c r="HR381" s="2324">
        <f>HL537</f>
        <v>6</v>
      </c>
      <c r="HS381" s="2305">
        <f>HM537</f>
        <v>475</v>
      </c>
      <c r="HT381" s="2275" t="str">
        <f>GI537</f>
        <v>Right</v>
      </c>
      <c r="HU381" s="2250"/>
      <c r="HV381" s="2250"/>
      <c r="HW381" s="2250"/>
      <c r="HX381" s="2325" t="str">
        <f>IF(HT376="Right",IF(HZ376="Right",IF(HT381="Right","Right","Wrong"),"Wrong"),"Wrong")</f>
        <v>Right</v>
      </c>
      <c r="HY381" s="2250"/>
      <c r="HZ381" s="2250"/>
      <c r="IA381" s="2250"/>
      <c r="IB381" s="2250"/>
      <c r="IC381" s="2250"/>
      <c r="ID381" s="2250"/>
      <c r="IE381" s="2250"/>
      <c r="IF381" s="2250"/>
      <c r="IG381" s="2250"/>
      <c r="IH381" s="2250"/>
      <c r="II381" s="2250"/>
      <c r="IJ381" s="2250"/>
      <c r="IK381" s="53"/>
      <c r="IL381" s="53"/>
      <c r="IN381" s="277"/>
      <c r="IO381" s="277"/>
    </row>
    <row r="382" spans="1:249" ht="21.95" customHeight="1" thickBot="1">
      <c r="A382" s="2275"/>
      <c r="B382" s="2250"/>
      <c r="C382" s="2250"/>
      <c r="D382" s="2326" t="s">
        <v>735</v>
      </c>
      <c r="E382" s="2316">
        <f>X379</f>
        <v>4.38</v>
      </c>
      <c r="F382" s="2316" t="str">
        <f>Y379</f>
        <v>3AH475</v>
      </c>
      <c r="G382" s="2317">
        <f t="shared" si="213"/>
        <v>4.08</v>
      </c>
      <c r="H382" s="2317" t="str">
        <f t="shared" si="213"/>
        <v>3AH475</v>
      </c>
      <c r="I382" s="2250"/>
      <c r="J382" s="2250"/>
      <c r="K382" s="2250"/>
      <c r="L382" s="2250"/>
      <c r="M382" s="2250"/>
      <c r="N382" s="2250"/>
      <c r="O382" s="2250"/>
      <c r="P382" s="2250"/>
      <c r="Q382" s="2250"/>
      <c r="R382" s="2250"/>
      <c r="S382" s="2250"/>
      <c r="T382" s="2250"/>
      <c r="U382" s="2250"/>
      <c r="V382" s="2250"/>
      <c r="W382" s="2250"/>
      <c r="X382" s="2250"/>
      <c r="Y382" s="2250"/>
      <c r="Z382" s="2250"/>
      <c r="AA382" s="2250"/>
      <c r="AB382" s="2250"/>
      <c r="AC382" s="2250"/>
      <c r="AD382" s="2250"/>
      <c r="AE382" s="2250"/>
      <c r="AF382" s="2250"/>
      <c r="AG382" s="2329"/>
      <c r="AH382" s="2250"/>
      <c r="AI382" s="2250"/>
      <c r="AJ382" s="2250"/>
      <c r="AK382" s="2250"/>
      <c r="AL382" s="2250"/>
      <c r="AM382" s="2250"/>
      <c r="AN382" s="2250"/>
      <c r="AO382" s="2250"/>
      <c r="AP382" s="2250"/>
      <c r="AQ382" s="2250"/>
      <c r="AR382" s="2250"/>
      <c r="AS382" s="2250"/>
      <c r="AT382" s="2250"/>
      <c r="AU382" s="2250"/>
      <c r="AV382" s="2250"/>
      <c r="AW382" s="2250"/>
      <c r="AX382" s="2250"/>
      <c r="AY382" s="2250"/>
      <c r="AZ382" s="2250"/>
      <c r="BA382" s="2250"/>
      <c r="BB382" s="2278"/>
      <c r="BC382" s="2278"/>
      <c r="BD382" s="2278"/>
      <c r="BE382" s="2250"/>
      <c r="BF382" s="2390" t="s">
        <v>2662</v>
      </c>
      <c r="BG382" s="2390"/>
      <c r="BH382" s="2250"/>
      <c r="BI382" s="2275"/>
      <c r="BJ382" s="2250"/>
      <c r="BK382" s="2250"/>
      <c r="BL382" s="2250"/>
      <c r="BM382" s="2250"/>
      <c r="BN382" s="2250"/>
      <c r="BO382" s="2250"/>
      <c r="BP382" s="2250"/>
      <c r="BQ382" s="2250"/>
      <c r="BR382" s="2250"/>
      <c r="BS382" s="2250"/>
      <c r="BT382" s="2250"/>
      <c r="BU382" s="2250"/>
      <c r="BV382" s="2250"/>
      <c r="BW382" s="2250"/>
      <c r="BX382" s="2250"/>
      <c r="BY382" s="2250"/>
      <c r="BZ382" s="2250"/>
      <c r="CA382" s="2250"/>
      <c r="CB382" s="2250"/>
      <c r="CC382" s="2250"/>
      <c r="CD382" s="2250"/>
      <c r="CE382" s="2250"/>
      <c r="CF382" s="2250"/>
      <c r="CG382" s="2250"/>
      <c r="CH382" s="2250"/>
      <c r="CI382" s="2250"/>
      <c r="CJ382" s="2250"/>
      <c r="CK382" s="2250"/>
      <c r="CL382" s="2250"/>
      <c r="CM382" s="2250"/>
      <c r="CN382" s="2250"/>
      <c r="CO382" s="2329"/>
      <c r="CP382" s="2250"/>
      <c r="CQ382" s="2250"/>
      <c r="CR382" s="2250"/>
      <c r="CS382" s="2250"/>
      <c r="CT382" s="2250"/>
      <c r="CU382" s="2250"/>
      <c r="CV382" s="2250"/>
      <c r="CW382" s="2250"/>
      <c r="CX382" s="2250"/>
      <c r="CY382" s="2250"/>
      <c r="CZ382" s="2250"/>
      <c r="DA382" s="2250"/>
      <c r="DB382" s="2250"/>
      <c r="DC382" s="2250"/>
      <c r="DD382" s="2250"/>
      <c r="DE382" s="2250"/>
      <c r="DF382" s="2250"/>
      <c r="DG382" s="2250"/>
      <c r="DH382" s="2250"/>
      <c r="DI382" s="2250"/>
      <c r="DJ382" s="2250"/>
      <c r="DK382" s="2250"/>
      <c r="DL382" s="2250"/>
      <c r="DM382" s="2250"/>
      <c r="DN382" s="2250"/>
      <c r="DO382" s="53"/>
      <c r="DP382" s="53"/>
      <c r="DQ382" s="2277"/>
      <c r="DR382" s="2277"/>
      <c r="DS382" s="277"/>
      <c r="DW382" s="2275"/>
      <c r="DX382" s="2250"/>
      <c r="DY382" s="2250"/>
      <c r="DZ382" s="2326" t="s">
        <v>735</v>
      </c>
      <c r="EA382" s="2316">
        <f t="shared" si="210"/>
        <v>6.77</v>
      </c>
      <c r="EB382" s="2316" t="str">
        <f t="shared" si="210"/>
        <v>3AH475</v>
      </c>
      <c r="EC382" s="2317">
        <f t="shared" si="211"/>
        <v>6</v>
      </c>
      <c r="ED382" s="2317" t="str">
        <f t="shared" si="211"/>
        <v>3AH475</v>
      </c>
      <c r="EE382" s="2250"/>
      <c r="EF382" s="2250"/>
      <c r="EG382" s="2250"/>
      <c r="EH382" s="2250"/>
      <c r="EI382" s="2250"/>
      <c r="EJ382" s="2250"/>
      <c r="EK382" s="2250"/>
      <c r="EL382" s="2250"/>
      <c r="EM382" s="2250"/>
      <c r="EN382" s="2250"/>
      <c r="EO382" s="2250"/>
      <c r="EP382" s="2250"/>
      <c r="EQ382" s="2250"/>
      <c r="ER382" s="2250"/>
      <c r="ES382" s="2250"/>
      <c r="ET382" s="2250"/>
      <c r="EU382" s="2250"/>
      <c r="EV382" s="2250"/>
      <c r="EW382" s="2250"/>
      <c r="EX382" s="2250"/>
      <c r="EY382" s="2250"/>
      <c r="EZ382" s="2250"/>
      <c r="FA382" s="2250"/>
      <c r="FB382" s="2250"/>
      <c r="FC382" s="2329"/>
      <c r="FD382" s="2250"/>
      <c r="FE382" s="2250"/>
      <c r="FF382" s="2250"/>
      <c r="FG382" s="2250"/>
      <c r="FH382" s="2250"/>
      <c r="FI382" s="2250"/>
      <c r="FJ382" s="2250"/>
      <c r="FK382" s="2250"/>
      <c r="FL382" s="2250"/>
      <c r="FM382" s="2250"/>
      <c r="FN382" s="2250"/>
      <c r="FO382" s="2250"/>
      <c r="FP382" s="2250"/>
      <c r="FQ382" s="2250"/>
      <c r="FR382" s="2250"/>
      <c r="FS382" s="2250"/>
      <c r="FT382" s="2250"/>
      <c r="FU382" s="2250"/>
      <c r="FV382" s="2250"/>
      <c r="FW382" s="2250"/>
      <c r="FX382" s="2278"/>
      <c r="FY382" s="2278"/>
      <c r="FZ382" s="2278"/>
      <c r="GA382" s="2250"/>
      <c r="GB382" s="2390" t="s">
        <v>2662</v>
      </c>
      <c r="GC382" s="2390"/>
      <c r="GD382" s="2250"/>
      <c r="GE382" s="2275"/>
      <c r="GF382" s="2250"/>
      <c r="GG382" s="2250"/>
      <c r="GH382" s="2250"/>
      <c r="GI382" s="2250"/>
      <c r="GJ382" s="2250"/>
      <c r="GK382" s="2250"/>
      <c r="GL382" s="2250"/>
      <c r="GM382" s="2250"/>
      <c r="GN382" s="2250"/>
      <c r="GO382" s="2250"/>
      <c r="GP382" s="2250"/>
      <c r="GQ382" s="2250"/>
      <c r="GR382" s="2250"/>
      <c r="GS382" s="2250"/>
      <c r="GT382" s="2250"/>
      <c r="GU382" s="2250"/>
      <c r="GV382" s="2250"/>
      <c r="GW382" s="2250"/>
      <c r="GX382" s="2250"/>
      <c r="GY382" s="2250"/>
      <c r="GZ382" s="2250"/>
      <c r="HA382" s="2250"/>
      <c r="HB382" s="2250"/>
      <c r="HC382" s="2250"/>
      <c r="HD382" s="2250"/>
      <c r="HE382" s="2250"/>
      <c r="HF382" s="2250"/>
      <c r="HG382" s="2250"/>
      <c r="HH382" s="2250"/>
      <c r="HI382" s="2250"/>
      <c r="HJ382" s="2250"/>
      <c r="HK382" s="2329"/>
      <c r="HL382" s="2250"/>
      <c r="HM382" s="2250"/>
      <c r="HN382" s="2250"/>
      <c r="HO382" s="2250"/>
      <c r="HP382" s="2250"/>
      <c r="HQ382" s="2250"/>
      <c r="HR382" s="2250"/>
      <c r="HS382" s="2250"/>
      <c r="HT382" s="2250"/>
      <c r="HU382" s="2250"/>
      <c r="HV382" s="2250"/>
      <c r="HW382" s="2250"/>
      <c r="HX382" s="2250"/>
      <c r="HY382" s="2250"/>
      <c r="HZ382" s="2250"/>
      <c r="IA382" s="2250"/>
      <c r="IB382" s="2250"/>
      <c r="IC382" s="2250"/>
      <c r="ID382" s="2250"/>
      <c r="IE382" s="2250"/>
      <c r="IF382" s="2250"/>
      <c r="IG382" s="2250"/>
      <c r="IH382" s="2250"/>
      <c r="II382" s="2250"/>
      <c r="IJ382" s="2250"/>
      <c r="IK382" s="53"/>
      <c r="IL382" s="53"/>
      <c r="IN382" s="277"/>
      <c r="IO382" s="277"/>
    </row>
    <row r="383" spans="1:249" ht="21.95" customHeight="1" thickBot="1">
      <c r="A383" s="2275"/>
      <c r="B383" s="2250"/>
      <c r="C383" s="2250"/>
      <c r="D383" s="2250"/>
      <c r="E383" s="2250"/>
      <c r="F383" s="2330" t="str">
        <f>Y380</f>
        <v>Right</v>
      </c>
      <c r="G383" s="2250"/>
      <c r="H383" s="2330" t="str">
        <f>CG380</f>
        <v>Right</v>
      </c>
      <c r="I383" s="2250"/>
      <c r="J383" s="2250"/>
      <c r="K383" s="2250"/>
      <c r="L383" s="2250"/>
      <c r="M383" s="2250"/>
      <c r="N383" s="2250"/>
      <c r="O383" s="2250"/>
      <c r="P383" s="2250"/>
      <c r="Q383" s="2250"/>
      <c r="R383" s="2250"/>
      <c r="S383" s="2250"/>
      <c r="T383" s="2250"/>
      <c r="U383" s="2250"/>
      <c r="V383" s="2250"/>
      <c r="W383" s="2250"/>
      <c r="X383" s="2250"/>
      <c r="Y383" s="2250"/>
      <c r="Z383" s="2250"/>
      <c r="AA383" s="2250"/>
      <c r="AB383" s="2250"/>
      <c r="AC383" s="2250"/>
      <c r="AD383" s="2250"/>
      <c r="AE383" s="2250"/>
      <c r="AF383" s="2250"/>
      <c r="AG383" s="2250"/>
      <c r="AH383" s="2250"/>
      <c r="AI383" s="2250"/>
      <c r="AJ383" s="2250"/>
      <c r="AK383" s="2250"/>
      <c r="AL383" s="2250"/>
      <c r="AM383" s="2331" t="str">
        <f>IF(AN383="Right",IF(AO383="Right",IF(AP383="Right",IF(AQ383="Right","Right","Wrong"),"Wrong"),"Wrong"),"Wrong")</f>
        <v>Right</v>
      </c>
      <c r="AN383" s="2275" t="str">
        <f>IF(AN373=AT373,IF(AN374=AT374,IF(AN375=AT375,IF(AN376=AT376,IF(AN373=AN378,IF(AN374=AN379,IF(AN375=AN380,IF(AN376=AN381,"Right","Wrong"),"Wrong"),"Wrong"),"Wrong"),"Wrong"),"Wrong"),"Wrong"),"Wrong")</f>
        <v>Right</v>
      </c>
      <c r="AO383" s="2275" t="str">
        <f>IF(AO373=AU373,IF(AO374=AU374,IF(AO375=AU375,IF(AO376=AU376,IF(AO373=AO378,IF(AO374=AO379,IF(AO375=AO380,IF(AO376=AO381,"Right","Wrong"),"Wrong"),"Wrong"),"Wrong"),"Wrong"),"Wrong"),"Wrong"),"Wrong")</f>
        <v>Right</v>
      </c>
      <c r="AP383" s="2275" t="str">
        <f>IF(AP372="Right",IF(AP377="Right",IF(AV372="Right","Right","Wrong"),"Wrong"),"Wrong")</f>
        <v>Right</v>
      </c>
      <c r="AQ383" s="2250" t="str">
        <f>IF(AT377="Right",IF(AR372="Right","Right","Wrong"),"Wrong")</f>
        <v>Right</v>
      </c>
      <c r="AR383" s="2250"/>
      <c r="AS383" s="2250"/>
      <c r="AT383" s="2250"/>
      <c r="AU383" s="2250"/>
      <c r="AV383" s="2250"/>
      <c r="AW383" s="2250"/>
      <c r="AX383" s="2250"/>
      <c r="AY383" s="2250"/>
      <c r="AZ383" s="2250"/>
      <c r="BA383" s="2250"/>
      <c r="BB383" s="2250"/>
      <c r="BC383" s="2250"/>
      <c r="BD383" s="2250"/>
      <c r="BE383" s="2250"/>
      <c r="BF383" s="1201" t="s">
        <v>512</v>
      </c>
      <c r="BG383" s="1201" t="s">
        <v>682</v>
      </c>
      <c r="BH383" s="2250"/>
      <c r="BI383" s="2275"/>
      <c r="BJ383" s="2250"/>
      <c r="BK383" s="2250"/>
      <c r="BL383" s="2250"/>
      <c r="BM383" s="2250"/>
      <c r="BN383" s="2250"/>
      <c r="BO383" s="2250"/>
      <c r="BP383" s="2250"/>
      <c r="BQ383" s="2250"/>
      <c r="BR383" s="2250"/>
      <c r="BS383" s="2250"/>
      <c r="BT383" s="2250"/>
      <c r="BU383" s="2250"/>
      <c r="BV383" s="2250"/>
      <c r="BW383" s="2250"/>
      <c r="BX383" s="2250"/>
      <c r="BY383" s="2250"/>
      <c r="BZ383" s="2250"/>
      <c r="CA383" s="2250"/>
      <c r="CB383" s="2250"/>
      <c r="CC383" s="2250"/>
      <c r="CD383" s="2250"/>
      <c r="CE383" s="2250"/>
      <c r="CF383" s="2250"/>
      <c r="CG383" s="2250"/>
      <c r="CH383" s="2250"/>
      <c r="CI383" s="2250"/>
      <c r="CJ383" s="2250"/>
      <c r="CK383" s="2250"/>
      <c r="CL383" s="2250"/>
      <c r="CM383" s="2250"/>
      <c r="CN383" s="2250"/>
      <c r="CO383" s="2250"/>
      <c r="CP383" s="2250"/>
      <c r="CQ383" s="2250"/>
      <c r="CR383" s="2250"/>
      <c r="CS383" s="2250"/>
      <c r="CT383" s="2250"/>
      <c r="CU383" s="2331" t="str">
        <f>IF(CV383="Right",IF(CW383="Right",IF(CX383="Right",IF(CY383="Right","Right","Wrong"),"Wrong"),"Wrong"),"Wrong")</f>
        <v>Right</v>
      </c>
      <c r="CV383" s="2275" t="str">
        <f>IF(CV373=DB373,IF(CV374=DB374,IF(CV375=DB375,IF(CV376=DB376,IF(CV373=CV378,IF(CV374=CV379,IF(CV375=CV380,IF(CV376=CV381,"Right","Wrong"),"Wrong"),"Wrong"),"Wrong"),"Wrong"),"Wrong"),"Wrong"),"Wrong")</f>
        <v>Right</v>
      </c>
      <c r="CW383" s="2275" t="str">
        <f>IF(CW373=DC373,IF(CW374=DC374,IF(CW375=DC375,IF(CW376=DC376,IF(CW373=CW378,IF(CW374=CW379,IF(CW375=CW380,IF(CW376=CW381,"Right","Wrong"),"Wrong"),"Wrong"),"Wrong"),"Wrong"),"Wrong"),"Wrong"),"Wrong")</f>
        <v>Right</v>
      </c>
      <c r="CX383" s="2275" t="str">
        <f>IF(CX372="Right",IF(CX377="Right",IF(DD372="Right","Right","Wrong"),"Wrong"),"Wrong")</f>
        <v>Right</v>
      </c>
      <c r="CY383" s="2250" t="str">
        <f>IF(DB377="Right",IF(CZ372="Right","Right","Wrong"),"Wrong")</f>
        <v>Right</v>
      </c>
      <c r="CZ383" s="2250"/>
      <c r="DA383" s="2250"/>
      <c r="DB383" s="2250"/>
      <c r="DC383" s="2250"/>
      <c r="DD383" s="2250"/>
      <c r="DE383" s="2250"/>
      <c r="DF383" s="2250"/>
      <c r="DG383" s="2250"/>
      <c r="DH383" s="2250"/>
      <c r="DI383" s="2250"/>
      <c r="DJ383" s="2250"/>
      <c r="DK383" s="2250"/>
      <c r="DL383" s="2250"/>
      <c r="DM383" s="2250"/>
      <c r="DN383" s="2250"/>
      <c r="DO383" s="53"/>
      <c r="DP383" s="53"/>
      <c r="DQ383" s="2277"/>
      <c r="DR383" s="2277"/>
      <c r="DS383" s="277"/>
      <c r="DW383" s="2275"/>
      <c r="DX383" s="2250"/>
      <c r="DY383" s="2250"/>
      <c r="DZ383" s="2250"/>
      <c r="EA383" s="2250"/>
      <c r="EB383" s="2330" t="str">
        <f>EU380</f>
        <v>Right</v>
      </c>
      <c r="EC383" s="2250"/>
      <c r="ED383" s="2330" t="str">
        <f>HC380</f>
        <v>Right</v>
      </c>
      <c r="EE383" s="2250"/>
      <c r="EF383" s="2250"/>
      <c r="EG383" s="2250"/>
      <c r="EH383" s="2250"/>
      <c r="EI383" s="2250"/>
      <c r="EJ383" s="2250"/>
      <c r="EK383" s="2250"/>
      <c r="EL383" s="2250"/>
      <c r="EM383" s="2250"/>
      <c r="EN383" s="2250"/>
      <c r="EO383" s="2250"/>
      <c r="EP383" s="2250"/>
      <c r="EQ383" s="2250"/>
      <c r="ER383" s="2250"/>
      <c r="ES383" s="2250"/>
      <c r="ET383" s="2250"/>
      <c r="EU383" s="2250"/>
      <c r="EV383" s="2250"/>
      <c r="EW383" s="2250"/>
      <c r="EX383" s="2250"/>
      <c r="EY383" s="2250"/>
      <c r="EZ383" s="2250"/>
      <c r="FA383" s="2250"/>
      <c r="FB383" s="2250"/>
      <c r="FC383" s="2250"/>
      <c r="FD383" s="2250"/>
      <c r="FE383" s="2250"/>
      <c r="FF383" s="2250"/>
      <c r="FG383" s="2250"/>
      <c r="FH383" s="2250"/>
      <c r="FI383" s="2331" t="str">
        <f>IF(FJ383="Right",IF(FK383="Right",IF(FL383="Right",IF(FM383="Right","Right","Wrong"),"Wrong"),"Wrong"),"Wrong")</f>
        <v>Right</v>
      </c>
      <c r="FJ383" s="2275" t="str">
        <f>IF(FJ373=FP373,IF(FJ374=FP374,IF(FJ375=FP375,IF(FJ376=FP376,IF(FJ373=FJ378,IF(FJ374=FJ379,IF(FJ375=FJ380,IF(FJ376=FJ381,"Right","Wrong"),"Wrong"),"Wrong"),"Wrong"),"Wrong"),"Wrong"),"Wrong"),"Wrong")</f>
        <v>Right</v>
      </c>
      <c r="FK383" s="2275" t="str">
        <f>IF(FK373=FQ373,IF(FK374=FQ374,IF(FK375=FQ375,IF(FK376=FQ376,IF(FK373=FK378,IF(FK374=FK379,IF(FK375=FK380,IF(FK376=FK381,"Right","Wrong"),"Wrong"),"Wrong"),"Wrong"),"Wrong"),"Wrong"),"Wrong"),"Wrong")</f>
        <v>Right</v>
      </c>
      <c r="FL383" s="2275" t="str">
        <f>IF(FL372="Right",IF(FL377="Right",IF(FR372="Right","Right","Wrong"),"Wrong"),"Wrong")</f>
        <v>Right</v>
      </c>
      <c r="FM383" s="2250" t="str">
        <f>IF(FP377="Right",IF(FN372="Right","Right","Wrong"),"Wrong")</f>
        <v>Right</v>
      </c>
      <c r="FN383" s="2250"/>
      <c r="FO383" s="2250"/>
      <c r="FP383" s="2250"/>
      <c r="FQ383" s="2250"/>
      <c r="FR383" s="2250"/>
      <c r="FS383" s="2250"/>
      <c r="FT383" s="2250"/>
      <c r="FU383" s="2250"/>
      <c r="FV383" s="2250"/>
      <c r="FW383" s="2250"/>
      <c r="FX383" s="2250"/>
      <c r="FY383" s="2250"/>
      <c r="FZ383" s="2250"/>
      <c r="GA383" s="2250"/>
      <c r="GB383" s="1201" t="s">
        <v>512</v>
      </c>
      <c r="GC383" s="1201" t="s">
        <v>682</v>
      </c>
      <c r="GD383" s="2250"/>
      <c r="GE383" s="2275"/>
      <c r="GF383" s="2250"/>
      <c r="GG383" s="2250"/>
      <c r="GH383" s="2250"/>
      <c r="GI383" s="2250"/>
      <c r="GJ383" s="2250"/>
      <c r="GK383" s="2250"/>
      <c r="GL383" s="2250"/>
      <c r="GM383" s="2250"/>
      <c r="GN383" s="2250"/>
      <c r="GO383" s="2250"/>
      <c r="GP383" s="2250"/>
      <c r="GQ383" s="2250"/>
      <c r="GR383" s="2250"/>
      <c r="GS383" s="2250"/>
      <c r="GT383" s="2250"/>
      <c r="GU383" s="2250"/>
      <c r="GV383" s="2250"/>
      <c r="GW383" s="2250"/>
      <c r="GX383" s="2250"/>
      <c r="GY383" s="2250"/>
      <c r="GZ383" s="2250"/>
      <c r="HA383" s="2250"/>
      <c r="HB383" s="2250"/>
      <c r="HC383" s="2250"/>
      <c r="HD383" s="2250"/>
      <c r="HE383" s="2250"/>
      <c r="HF383" s="2250"/>
      <c r="HG383" s="2250"/>
      <c r="HH383" s="2250"/>
      <c r="HI383" s="2250"/>
      <c r="HJ383" s="2250"/>
      <c r="HK383" s="2250"/>
      <c r="HL383" s="2250"/>
      <c r="HM383" s="2250"/>
      <c r="HN383" s="2250"/>
      <c r="HO383" s="2250"/>
      <c r="HP383" s="2250"/>
      <c r="HQ383" s="2331" t="str">
        <f>IF(HR383="Right",IF(HS383="Right",IF(HT383="Right",IF(HU383="Right","Right","Wrong"),"Wrong"),"Wrong"),"Wrong")</f>
        <v>Right</v>
      </c>
      <c r="HR383" s="2275" t="str">
        <f>IF(HR373=HX373,IF(HR374=HX374,IF(HR375=HX375,IF(HR376=HX376,IF(HR373=HR378,IF(HR374=HR379,IF(HR375=HR380,IF(HR376=HR381,"Right","Wrong"),"Wrong"),"Wrong"),"Wrong"),"Wrong"),"Wrong"),"Wrong"),"Wrong")</f>
        <v>Right</v>
      </c>
      <c r="HS383" s="2275" t="str">
        <f>IF(HS373=HY373,IF(HS374=HY374,IF(HS375=HY375,IF(HS376=HY376,IF(HS373=HS378,IF(HS374=HS379,IF(HS375=HS380,IF(HS376=HS381,"Right","Wrong"),"Wrong"),"Wrong"),"Wrong"),"Wrong"),"Wrong"),"Wrong"),"Wrong")</f>
        <v>Right</v>
      </c>
      <c r="HT383" s="2275" t="str">
        <f>IF(HT372="Right",IF(HT377="Right",IF(HZ372="Right","Right","Wrong"),"Wrong"),"Wrong")</f>
        <v>Right</v>
      </c>
      <c r="HU383" s="2250" t="str">
        <f>IF(HX377="Right",IF(HV372="Right","Right","Wrong"),"Wrong")</f>
        <v>Right</v>
      </c>
      <c r="HV383" s="2250"/>
      <c r="HW383" s="2250"/>
      <c r="HX383" s="2250"/>
      <c r="HY383" s="2250"/>
      <c r="HZ383" s="2250"/>
      <c r="IA383" s="2250"/>
      <c r="IB383" s="2250"/>
      <c r="IC383" s="2250"/>
      <c r="ID383" s="2250"/>
      <c r="IE383" s="2250"/>
      <c r="IF383" s="2250"/>
      <c r="IG383" s="2250"/>
      <c r="IH383" s="2250"/>
      <c r="II383" s="2250"/>
      <c r="IJ383" s="2250"/>
      <c r="IK383" s="53"/>
      <c r="IL383" s="53"/>
      <c r="IN383" s="277"/>
      <c r="IO383" s="277"/>
    </row>
    <row r="384" spans="1:249" ht="21.95" customHeight="1">
      <c r="A384" s="2275"/>
      <c r="B384" s="2250"/>
      <c r="C384" s="2250"/>
      <c r="D384" s="2250"/>
      <c r="E384" s="2250"/>
      <c r="F384" s="2250"/>
      <c r="G384" s="2250"/>
      <c r="H384" s="2250"/>
      <c r="I384" s="2250"/>
      <c r="J384" s="2250"/>
      <c r="K384" s="2250"/>
      <c r="L384" s="2250"/>
      <c r="M384" s="2250"/>
      <c r="N384" s="2250"/>
      <c r="O384" s="2250"/>
      <c r="P384" s="2250"/>
      <c r="Q384" s="2250"/>
      <c r="R384" s="2250"/>
      <c r="S384" s="2250"/>
      <c r="T384" s="2250"/>
      <c r="U384" s="2250"/>
      <c r="V384" s="2250"/>
      <c r="W384" s="2250"/>
      <c r="X384" s="2250"/>
      <c r="Y384" s="2250"/>
      <c r="Z384" s="2250"/>
      <c r="AA384" s="2250"/>
      <c r="AB384" s="2250"/>
      <c r="AC384" s="2250"/>
      <c r="AD384" s="2250"/>
      <c r="AE384" s="2250"/>
      <c r="AF384" s="2250"/>
      <c r="AG384" s="2250"/>
      <c r="AH384" s="2250"/>
      <c r="AI384" s="2250"/>
      <c r="AJ384" s="2250"/>
      <c r="AK384" s="2250"/>
      <c r="AL384" s="2250"/>
      <c r="AM384" s="2250"/>
      <c r="AN384" s="2275"/>
      <c r="AO384" s="2275"/>
      <c r="AP384" s="2250"/>
      <c r="AQ384" s="2250"/>
      <c r="AR384" s="2250"/>
      <c r="AS384" s="2250"/>
      <c r="AT384" s="2250"/>
      <c r="AU384" s="2250"/>
      <c r="AV384" s="2250"/>
      <c r="AW384" s="2250"/>
      <c r="AX384" s="2250"/>
      <c r="AY384" s="2250"/>
      <c r="AZ384" s="2250"/>
      <c r="BA384" s="2250"/>
      <c r="BB384" s="2250"/>
      <c r="BC384" s="2250"/>
      <c r="BD384" s="2250"/>
      <c r="BE384" s="2250"/>
      <c r="BF384" s="1201"/>
      <c r="BG384" s="1302"/>
      <c r="BH384" s="2250"/>
      <c r="BI384" s="2275"/>
      <c r="BJ384" s="2250"/>
      <c r="BK384" s="2250"/>
      <c r="BL384" s="2250"/>
      <c r="BM384" s="2250"/>
      <c r="BN384" s="2250"/>
      <c r="BO384" s="2250"/>
      <c r="BP384" s="2250"/>
      <c r="BQ384" s="2250"/>
      <c r="BR384" s="2250"/>
      <c r="BS384" s="2250"/>
      <c r="BT384" s="2250"/>
      <c r="BU384" s="2250"/>
      <c r="BV384" s="2250"/>
      <c r="BW384" s="2250"/>
      <c r="BX384" s="2250"/>
      <c r="BY384" s="2250"/>
      <c r="BZ384" s="2250"/>
      <c r="CA384" s="2250"/>
      <c r="CB384" s="2250"/>
      <c r="CC384" s="2250"/>
      <c r="CD384" s="2250"/>
      <c r="CE384" s="2250"/>
      <c r="CF384" s="2250"/>
      <c r="CG384" s="2250"/>
      <c r="CH384" s="2250"/>
      <c r="CI384" s="2250"/>
      <c r="CJ384" s="2250"/>
      <c r="CK384" s="2250"/>
      <c r="CL384" s="2250"/>
      <c r="CM384" s="2250"/>
      <c r="CN384" s="2250"/>
      <c r="CO384" s="2250"/>
      <c r="CP384" s="2250"/>
      <c r="CQ384" s="2250"/>
      <c r="CR384" s="2250"/>
      <c r="CS384" s="2250"/>
      <c r="CT384" s="2250"/>
      <c r="CU384" s="2250"/>
      <c r="CV384" s="2275"/>
      <c r="CW384" s="2275"/>
      <c r="CX384" s="2250"/>
      <c r="CY384" s="2250"/>
      <c r="CZ384" s="2250"/>
      <c r="DA384" s="2250"/>
      <c r="DB384" s="2250"/>
      <c r="DC384" s="2250"/>
      <c r="DD384" s="2250"/>
      <c r="DE384" s="2250"/>
      <c r="DF384" s="2250"/>
      <c r="DG384" s="2250"/>
      <c r="DH384" s="2250"/>
      <c r="DI384" s="2250"/>
      <c r="DJ384" s="2250"/>
      <c r="DK384" s="2250"/>
      <c r="DL384" s="2250"/>
      <c r="DM384" s="2250"/>
      <c r="DN384" s="2250"/>
      <c r="DO384" s="53"/>
      <c r="DP384" s="53"/>
      <c r="DQ384" s="2277"/>
      <c r="DR384" s="2277"/>
      <c r="DS384" s="277"/>
      <c r="DW384" s="2275"/>
      <c r="DX384" s="2250"/>
      <c r="DY384" s="2250"/>
      <c r="DZ384" s="2250"/>
      <c r="EA384" s="2250"/>
      <c r="EB384" s="2250"/>
      <c r="EC384" s="2250"/>
      <c r="ED384" s="2250"/>
      <c r="EE384" s="2250"/>
      <c r="EF384" s="2250"/>
      <c r="EG384" s="2250"/>
      <c r="EH384" s="2250"/>
      <c r="EI384" s="2250"/>
      <c r="EJ384" s="2250"/>
      <c r="EK384" s="2250"/>
      <c r="EL384" s="2250"/>
      <c r="EM384" s="2250"/>
      <c r="EN384" s="2250"/>
      <c r="EO384" s="2250"/>
      <c r="EP384" s="2250"/>
      <c r="EQ384" s="2250"/>
      <c r="ER384" s="2250"/>
      <c r="ES384" s="2250"/>
      <c r="ET384" s="2250"/>
      <c r="EU384" s="2250"/>
      <c r="EV384" s="2250"/>
      <c r="EW384" s="2250"/>
      <c r="EX384" s="2250"/>
      <c r="EY384" s="2250"/>
      <c r="EZ384" s="2250"/>
      <c r="FA384" s="2250"/>
      <c r="FB384" s="2250"/>
      <c r="FC384" s="2250"/>
      <c r="FD384" s="2250"/>
      <c r="FE384" s="2250"/>
      <c r="FF384" s="2250"/>
      <c r="FG384" s="2250"/>
      <c r="FH384" s="2250"/>
      <c r="FI384" s="2250"/>
      <c r="FJ384" s="2275"/>
      <c r="FK384" s="2275"/>
      <c r="FL384" s="2250"/>
      <c r="FM384" s="2250"/>
      <c r="FN384" s="2250"/>
      <c r="FO384" s="2250"/>
      <c r="FP384" s="2250"/>
      <c r="FQ384" s="2250"/>
      <c r="FR384" s="2250"/>
      <c r="FS384" s="2250"/>
      <c r="FT384" s="2250"/>
      <c r="FU384" s="2250"/>
      <c r="FV384" s="2250"/>
      <c r="FW384" s="2250"/>
      <c r="FX384" s="2250"/>
      <c r="FY384" s="2250"/>
      <c r="FZ384" s="2250"/>
      <c r="GA384" s="2250"/>
      <c r="GB384" s="1201"/>
      <c r="GC384" s="1302"/>
      <c r="GD384" s="2250"/>
      <c r="GE384" s="2275"/>
      <c r="GF384" s="2250"/>
      <c r="GG384" s="2250"/>
      <c r="GH384" s="2250"/>
      <c r="GI384" s="2250"/>
      <c r="GJ384" s="2250"/>
      <c r="GK384" s="2250"/>
      <c r="GL384" s="2250"/>
      <c r="GM384" s="2250"/>
      <c r="GN384" s="2250"/>
      <c r="GO384" s="2250"/>
      <c r="GP384" s="2250"/>
      <c r="GQ384" s="2250"/>
      <c r="GR384" s="2250"/>
      <c r="GS384" s="2250"/>
      <c r="GT384" s="2250"/>
      <c r="GU384" s="2250"/>
      <c r="GV384" s="2250"/>
      <c r="GW384" s="2250"/>
      <c r="GX384" s="2250"/>
      <c r="GY384" s="2250"/>
      <c r="GZ384" s="2250"/>
      <c r="HA384" s="2250"/>
      <c r="HB384" s="2250"/>
      <c r="HC384" s="2250"/>
      <c r="HD384" s="2250"/>
      <c r="HE384" s="2250"/>
      <c r="HF384" s="2250"/>
      <c r="HG384" s="2250"/>
      <c r="HH384" s="2250"/>
      <c r="HI384" s="2250"/>
      <c r="HJ384" s="2250"/>
      <c r="HK384" s="2250"/>
      <c r="HL384" s="2250"/>
      <c r="HM384" s="2250"/>
      <c r="HN384" s="2250"/>
      <c r="HO384" s="2250"/>
      <c r="HP384" s="2250"/>
      <c r="HQ384" s="2250"/>
      <c r="HR384" s="2275"/>
      <c r="HS384" s="2275"/>
      <c r="HT384" s="2250"/>
      <c r="HU384" s="2250"/>
      <c r="HV384" s="2250"/>
      <c r="HW384" s="2250"/>
      <c r="HX384" s="2250"/>
      <c r="HY384" s="2250"/>
      <c r="HZ384" s="2250"/>
      <c r="IA384" s="2250"/>
      <c r="IB384" s="2250"/>
      <c r="IC384" s="2250"/>
      <c r="ID384" s="2250"/>
      <c r="IE384" s="2250"/>
      <c r="IF384" s="2250"/>
      <c r="IG384" s="2250"/>
      <c r="IH384" s="2250"/>
      <c r="II384" s="2250"/>
      <c r="IJ384" s="2250"/>
      <c r="IK384" s="53"/>
      <c r="IL384" s="53"/>
      <c r="IN384" s="277"/>
      <c r="IO384" s="277"/>
    </row>
    <row r="385" spans="1:249" ht="21.95" customHeight="1">
      <c r="A385" s="2275"/>
      <c r="B385" s="2250"/>
      <c r="C385" s="2250"/>
      <c r="D385" s="2250"/>
      <c r="E385" s="2250"/>
      <c r="F385" s="2250"/>
      <c r="G385" s="2250"/>
      <c r="H385" s="2250"/>
      <c r="I385" s="2250"/>
      <c r="J385" s="2250"/>
      <c r="K385" s="2250"/>
      <c r="L385" s="2332"/>
      <c r="M385" s="2250"/>
      <c r="N385" s="2250"/>
      <c r="O385" s="2250"/>
      <c r="P385" s="2250"/>
      <c r="Q385" s="2250"/>
      <c r="R385" s="2250"/>
      <c r="S385" s="2250"/>
      <c r="T385" s="2250"/>
      <c r="U385" s="2250"/>
      <c r="V385" s="2250"/>
      <c r="W385" s="2250"/>
      <c r="X385" s="2250"/>
      <c r="Y385" s="2250"/>
      <c r="Z385" s="2250"/>
      <c r="AA385" s="2250"/>
      <c r="AB385" s="2250"/>
      <c r="AC385" s="2250"/>
      <c r="AD385" s="2250"/>
      <c r="AE385" s="2250"/>
      <c r="AF385" s="2250"/>
      <c r="AG385" s="2250"/>
      <c r="AH385" s="2250"/>
      <c r="AI385" s="2250"/>
      <c r="AJ385" s="2250"/>
      <c r="AK385" s="2250"/>
      <c r="AL385" s="2250"/>
      <c r="AM385" s="2250"/>
      <c r="AN385" s="2250"/>
      <c r="AO385" s="2250"/>
      <c r="AP385" s="2250"/>
      <c r="AQ385" s="2250"/>
      <c r="AR385" s="2250"/>
      <c r="AS385" s="2250"/>
      <c r="AT385" s="2250"/>
      <c r="AU385" s="2250"/>
      <c r="AV385" s="2250"/>
      <c r="AW385" s="2250"/>
      <c r="AX385" s="2250"/>
      <c r="AY385" s="2250"/>
      <c r="AZ385" s="2250"/>
      <c r="BA385" s="2250"/>
      <c r="BB385" s="2250"/>
      <c r="BC385" s="2250"/>
      <c r="BD385" s="2250"/>
      <c r="BE385" s="2250"/>
      <c r="BF385" s="2186">
        <v>0</v>
      </c>
      <c r="BG385" s="2186">
        <v>15</v>
      </c>
      <c r="BH385" s="2250"/>
      <c r="BI385" s="2275"/>
      <c r="BJ385" s="2250"/>
      <c r="BK385" s="2250"/>
      <c r="BL385" s="2250"/>
      <c r="BM385" s="2250"/>
      <c r="BN385" s="2250"/>
      <c r="BO385" s="2250"/>
      <c r="BP385" s="2250"/>
      <c r="BQ385" s="2250"/>
      <c r="BR385" s="2250"/>
      <c r="BS385" s="2250"/>
      <c r="BT385" s="2250"/>
      <c r="BU385" s="2250"/>
      <c r="BV385" s="2250"/>
      <c r="BW385" s="2250"/>
      <c r="BX385" s="2250"/>
      <c r="BY385" s="2250"/>
      <c r="BZ385" s="2250"/>
      <c r="CA385" s="2250"/>
      <c r="CB385" s="2250"/>
      <c r="CC385" s="2250"/>
      <c r="CD385" s="2250"/>
      <c r="CE385" s="2250"/>
      <c r="CF385" s="2250"/>
      <c r="CG385" s="2250"/>
      <c r="CH385" s="2250"/>
      <c r="CI385" s="2250"/>
      <c r="CJ385" s="2250"/>
      <c r="CK385" s="2250"/>
      <c r="CL385" s="2250"/>
      <c r="CM385" s="2250"/>
      <c r="CN385" s="2250"/>
      <c r="CO385" s="2250"/>
      <c r="CP385" s="2250"/>
      <c r="CQ385" s="2250"/>
      <c r="CR385" s="2250"/>
      <c r="CS385" s="2250"/>
      <c r="CT385" s="2250"/>
      <c r="CU385" s="2250"/>
      <c r="CV385" s="2250"/>
      <c r="CW385" s="2250"/>
      <c r="CX385" s="2250"/>
      <c r="CY385" s="2250"/>
      <c r="CZ385" s="2250"/>
      <c r="DA385" s="2250"/>
      <c r="DB385" s="2250"/>
      <c r="DC385" s="2250"/>
      <c r="DD385" s="2250"/>
      <c r="DE385" s="2250"/>
      <c r="DF385" s="2250"/>
      <c r="DG385" s="2250"/>
      <c r="DH385" s="2250"/>
      <c r="DI385" s="2250"/>
      <c r="DJ385" s="2250"/>
      <c r="DK385" s="2250"/>
      <c r="DL385" s="2250"/>
      <c r="DM385" s="2250"/>
      <c r="DN385" s="2250"/>
      <c r="DO385" s="53"/>
      <c r="DP385" s="53"/>
      <c r="DQ385" s="2277"/>
      <c r="DR385" s="2277"/>
      <c r="DS385" s="277"/>
      <c r="DW385" s="2275"/>
      <c r="DX385" s="2250"/>
      <c r="DY385" s="2250"/>
      <c r="DZ385" s="2250"/>
      <c r="EA385" s="2250"/>
      <c r="EB385" s="2250"/>
      <c r="EC385" s="2250"/>
      <c r="ED385" s="2250"/>
      <c r="EE385" s="2250"/>
      <c r="EF385" s="2250"/>
      <c r="EG385" s="2250"/>
      <c r="EH385" s="2332"/>
      <c r="EI385" s="2250"/>
      <c r="EJ385" s="2250"/>
      <c r="EK385" s="2250"/>
      <c r="EL385" s="2250"/>
      <c r="EM385" s="2250"/>
      <c r="EN385" s="2250"/>
      <c r="EO385" s="2250"/>
      <c r="EP385" s="2250"/>
      <c r="EQ385" s="2250"/>
      <c r="ER385" s="2250"/>
      <c r="ES385" s="2250"/>
      <c r="ET385" s="2250"/>
      <c r="EU385" s="2250"/>
      <c r="EV385" s="2250"/>
      <c r="EW385" s="2250"/>
      <c r="EX385" s="2250"/>
      <c r="EY385" s="2250"/>
      <c r="EZ385" s="2250"/>
      <c r="FA385" s="2250"/>
      <c r="FB385" s="2250"/>
      <c r="FC385" s="2250"/>
      <c r="FD385" s="2250"/>
      <c r="FE385" s="2250"/>
      <c r="FF385" s="2250"/>
      <c r="FG385" s="2250"/>
      <c r="FH385" s="2250"/>
      <c r="FI385" s="2250"/>
      <c r="FJ385" s="2250"/>
      <c r="FK385" s="2250"/>
      <c r="FL385" s="2250"/>
      <c r="FM385" s="2250"/>
      <c r="FN385" s="2250"/>
      <c r="FO385" s="2250"/>
      <c r="FP385" s="2250"/>
      <c r="FQ385" s="2250"/>
      <c r="FR385" s="2250"/>
      <c r="FS385" s="2250"/>
      <c r="FT385" s="2250"/>
      <c r="FU385" s="2250"/>
      <c r="FV385" s="2250"/>
      <c r="FW385" s="2250"/>
      <c r="FX385" s="2250"/>
      <c r="FY385" s="2250"/>
      <c r="FZ385" s="2250"/>
      <c r="GA385" s="2250"/>
      <c r="GB385" s="2186">
        <v>0</v>
      </c>
      <c r="GC385" s="2186">
        <v>15</v>
      </c>
      <c r="GD385" s="2250"/>
      <c r="GE385" s="2275"/>
      <c r="GF385" s="2250"/>
      <c r="GG385" s="2250"/>
      <c r="GH385" s="2250"/>
      <c r="GI385" s="2250"/>
      <c r="GJ385" s="2250"/>
      <c r="GK385" s="2250"/>
      <c r="GL385" s="2250"/>
      <c r="GM385" s="2250"/>
      <c r="GN385" s="2250"/>
      <c r="GO385" s="2250"/>
      <c r="GP385" s="2250"/>
      <c r="GQ385" s="2250"/>
      <c r="GR385" s="2250"/>
      <c r="GS385" s="2250"/>
      <c r="GT385" s="2250"/>
      <c r="GU385" s="2250"/>
      <c r="GV385" s="2250"/>
      <c r="GW385" s="2250"/>
      <c r="GX385" s="2250"/>
      <c r="GY385" s="2250"/>
      <c r="GZ385" s="2250"/>
      <c r="HA385" s="2250"/>
      <c r="HB385" s="2250"/>
      <c r="HC385" s="2250"/>
      <c r="HD385" s="2250"/>
      <c r="HE385" s="2250"/>
      <c r="HF385" s="2250"/>
      <c r="HG385" s="2250"/>
      <c r="HH385" s="2250"/>
      <c r="HI385" s="2250"/>
      <c r="HJ385" s="2250"/>
      <c r="HK385" s="2250"/>
      <c r="HL385" s="2250"/>
      <c r="HM385" s="2250"/>
      <c r="HN385" s="2250"/>
      <c r="HO385" s="2250"/>
      <c r="HP385" s="2250"/>
      <c r="HQ385" s="2250"/>
      <c r="HR385" s="2250"/>
      <c r="HS385" s="2250"/>
      <c r="HT385" s="2250"/>
      <c r="HU385" s="2250"/>
      <c r="HV385" s="2250"/>
      <c r="HW385" s="2250"/>
      <c r="HX385" s="2250"/>
      <c r="HY385" s="2250"/>
      <c r="HZ385" s="2250"/>
      <c r="IA385" s="2250"/>
      <c r="IB385" s="2250"/>
      <c r="IC385" s="2250"/>
      <c r="ID385" s="2250"/>
      <c r="IE385" s="2250"/>
      <c r="IF385" s="2250"/>
      <c r="IG385" s="2250"/>
      <c r="IH385" s="2250"/>
      <c r="II385" s="2250"/>
      <c r="IJ385" s="2250"/>
      <c r="IK385" s="53"/>
      <c r="IL385" s="53"/>
      <c r="IN385" s="277"/>
      <c r="IO385" s="277"/>
    </row>
    <row r="386" spans="1:249" ht="21.95" customHeight="1">
      <c r="A386" s="2275"/>
      <c r="B386" s="2333" t="s">
        <v>731</v>
      </c>
      <c r="C386" s="4670" t="s">
        <v>732</v>
      </c>
      <c r="D386" s="4670"/>
      <c r="E386" s="2334"/>
      <c r="F386" s="4680"/>
      <c r="G386" s="4672"/>
      <c r="H386" s="4672"/>
      <c r="I386" s="4672"/>
      <c r="J386" s="4672"/>
      <c r="K386" s="4672"/>
      <c r="L386" s="2334"/>
      <c r="M386" s="2334"/>
      <c r="N386" s="2250"/>
      <c r="O386" s="2250"/>
      <c r="P386" s="2333" t="s">
        <v>731</v>
      </c>
      <c r="Q386" s="4670" t="s">
        <v>733</v>
      </c>
      <c r="R386" s="4670"/>
      <c r="S386" s="2334"/>
      <c r="T386" s="4672"/>
      <c r="U386" s="4672"/>
      <c r="V386" s="4672"/>
      <c r="W386" s="4672"/>
      <c r="X386" s="4672"/>
      <c r="Y386" s="4672"/>
      <c r="Z386" s="2334"/>
      <c r="AA386" s="2334"/>
      <c r="AB386" s="2250"/>
      <c r="AC386" s="2250"/>
      <c r="AD386" s="2334"/>
      <c r="AE386" s="4670" t="s">
        <v>734</v>
      </c>
      <c r="AF386" s="4670"/>
      <c r="AG386" s="2334"/>
      <c r="AH386" s="2334"/>
      <c r="AI386" s="2334"/>
      <c r="AJ386" s="2334"/>
      <c r="AK386" s="2334"/>
      <c r="AL386" s="2334"/>
      <c r="AM386" s="2334"/>
      <c r="AN386" s="2334"/>
      <c r="AO386" s="2334"/>
      <c r="AP386" s="2250"/>
      <c r="AQ386" s="2250"/>
      <c r="AR386" s="2335"/>
      <c r="AS386" s="4670" t="s">
        <v>735</v>
      </c>
      <c r="AT386" s="4670"/>
      <c r="AU386" s="2335"/>
      <c r="AV386" s="2335"/>
      <c r="AW386" s="2335"/>
      <c r="AX386" s="2335"/>
      <c r="AY386" s="2335"/>
      <c r="AZ386" s="2335"/>
      <c r="BA386" s="2335"/>
      <c r="BB386" s="2335"/>
      <c r="BC386" s="2335"/>
      <c r="BD386" s="2250"/>
      <c r="BE386" s="2250"/>
      <c r="BF386" s="2186">
        <v>15</v>
      </c>
      <c r="BG386" s="2186">
        <v>18.8</v>
      </c>
      <c r="BH386" s="2250"/>
      <c r="BI386" s="2275"/>
      <c r="BJ386" s="2333" t="s">
        <v>731</v>
      </c>
      <c r="BK386" s="4670" t="s">
        <v>732</v>
      </c>
      <c r="BL386" s="4670"/>
      <c r="BM386" s="2334"/>
      <c r="BN386" s="4680"/>
      <c r="BO386" s="4672"/>
      <c r="BP386" s="4672"/>
      <c r="BQ386" s="4672"/>
      <c r="BR386" s="4672"/>
      <c r="BS386" s="4672"/>
      <c r="BT386" s="2334"/>
      <c r="BU386" s="2334"/>
      <c r="BV386" s="2250"/>
      <c r="BW386" s="2250"/>
      <c r="BX386" s="2333" t="s">
        <v>731</v>
      </c>
      <c r="BY386" s="4670" t="s">
        <v>733</v>
      </c>
      <c r="BZ386" s="4670"/>
      <c r="CA386" s="2334"/>
      <c r="CB386" s="4672"/>
      <c r="CC386" s="4672"/>
      <c r="CD386" s="4672"/>
      <c r="CE386" s="4672"/>
      <c r="CF386" s="4672"/>
      <c r="CG386" s="4672"/>
      <c r="CH386" s="2334"/>
      <c r="CI386" s="2334"/>
      <c r="CJ386" s="2250"/>
      <c r="CK386" s="2250"/>
      <c r="CL386" s="2334"/>
      <c r="CM386" s="4670" t="s">
        <v>734</v>
      </c>
      <c r="CN386" s="4670"/>
      <c r="CO386" s="2334"/>
      <c r="CP386" s="2334"/>
      <c r="CQ386" s="2334"/>
      <c r="CR386" s="2334"/>
      <c r="CS386" s="2334"/>
      <c r="CT386" s="2334"/>
      <c r="CU386" s="2334"/>
      <c r="CV386" s="2334"/>
      <c r="CW386" s="2334"/>
      <c r="CX386" s="2250"/>
      <c r="CY386" s="2250"/>
      <c r="CZ386" s="2335"/>
      <c r="DA386" s="4670" t="s">
        <v>735</v>
      </c>
      <c r="DB386" s="4670"/>
      <c r="DC386" s="2335"/>
      <c r="DD386" s="2335"/>
      <c r="DE386" s="2335"/>
      <c r="DF386" s="2335"/>
      <c r="DG386" s="2335"/>
      <c r="DH386" s="2335"/>
      <c r="DI386" s="2335"/>
      <c r="DJ386" s="2335"/>
      <c r="DK386" s="2335"/>
      <c r="DL386" s="2250"/>
      <c r="DM386" s="2250"/>
      <c r="DN386" s="2250"/>
      <c r="DO386" s="53"/>
      <c r="DP386" s="53"/>
      <c r="DQ386" s="2277"/>
      <c r="DR386" s="2277"/>
      <c r="DS386" s="277"/>
      <c r="DW386" s="2275"/>
      <c r="DX386" s="2333" t="s">
        <v>731</v>
      </c>
      <c r="DY386" s="4670" t="s">
        <v>732</v>
      </c>
      <c r="DZ386" s="4670"/>
      <c r="EA386" s="2334"/>
      <c r="EB386" s="4680"/>
      <c r="EC386" s="4672"/>
      <c r="ED386" s="4672"/>
      <c r="EE386" s="4672"/>
      <c r="EF386" s="4672"/>
      <c r="EG386" s="4672"/>
      <c r="EH386" s="2334"/>
      <c r="EI386" s="2334"/>
      <c r="EJ386" s="2250"/>
      <c r="EK386" s="2250"/>
      <c r="EL386" s="2333" t="s">
        <v>731</v>
      </c>
      <c r="EM386" s="4670" t="s">
        <v>733</v>
      </c>
      <c r="EN386" s="4670"/>
      <c r="EO386" s="2334"/>
      <c r="EP386" s="4672"/>
      <c r="EQ386" s="4672"/>
      <c r="ER386" s="4672"/>
      <c r="ES386" s="4672"/>
      <c r="ET386" s="4672"/>
      <c r="EU386" s="4672"/>
      <c r="EV386" s="2334"/>
      <c r="EW386" s="2334"/>
      <c r="EX386" s="2250"/>
      <c r="EY386" s="2250"/>
      <c r="EZ386" s="2334"/>
      <c r="FA386" s="4670" t="s">
        <v>734</v>
      </c>
      <c r="FB386" s="4670"/>
      <c r="FC386" s="2334"/>
      <c r="FD386" s="2334"/>
      <c r="FE386" s="2334"/>
      <c r="FF386" s="2334"/>
      <c r="FG386" s="2334"/>
      <c r="FH386" s="2334"/>
      <c r="FI386" s="2334"/>
      <c r="FJ386" s="2334"/>
      <c r="FK386" s="2334"/>
      <c r="FL386" s="2250"/>
      <c r="FM386" s="2250"/>
      <c r="FN386" s="2335"/>
      <c r="FO386" s="4670" t="s">
        <v>735</v>
      </c>
      <c r="FP386" s="4670"/>
      <c r="FQ386" s="2335"/>
      <c r="FR386" s="2335"/>
      <c r="FS386" s="2335"/>
      <c r="FT386" s="2335"/>
      <c r="FU386" s="2335"/>
      <c r="FV386" s="2335"/>
      <c r="FW386" s="2335"/>
      <c r="FX386" s="2335"/>
      <c r="FY386" s="2335"/>
      <c r="FZ386" s="2250"/>
      <c r="GA386" s="2250"/>
      <c r="GB386" s="2186">
        <v>15</v>
      </c>
      <c r="GC386" s="2186">
        <v>18.8</v>
      </c>
      <c r="GD386" s="2250"/>
      <c r="GE386" s="2275"/>
      <c r="GF386" s="2333" t="s">
        <v>731</v>
      </c>
      <c r="GG386" s="4670" t="s">
        <v>732</v>
      </c>
      <c r="GH386" s="4670"/>
      <c r="GI386" s="2334"/>
      <c r="GJ386" s="4680"/>
      <c r="GK386" s="4672"/>
      <c r="GL386" s="4672"/>
      <c r="GM386" s="4672"/>
      <c r="GN386" s="4672"/>
      <c r="GO386" s="4672"/>
      <c r="GP386" s="2334"/>
      <c r="GQ386" s="2334"/>
      <c r="GR386" s="2250"/>
      <c r="GS386" s="2250"/>
      <c r="GT386" s="2333" t="s">
        <v>731</v>
      </c>
      <c r="GU386" s="4670" t="s">
        <v>733</v>
      </c>
      <c r="GV386" s="4670"/>
      <c r="GW386" s="2334"/>
      <c r="GX386" s="4672"/>
      <c r="GY386" s="4672"/>
      <c r="GZ386" s="4672"/>
      <c r="HA386" s="4672"/>
      <c r="HB386" s="4672"/>
      <c r="HC386" s="4672"/>
      <c r="HD386" s="2334"/>
      <c r="HE386" s="2334"/>
      <c r="HF386" s="2250"/>
      <c r="HG386" s="2250"/>
      <c r="HH386" s="2334"/>
      <c r="HI386" s="4670" t="s">
        <v>734</v>
      </c>
      <c r="HJ386" s="4670"/>
      <c r="HK386" s="2334"/>
      <c r="HL386" s="2334"/>
      <c r="HM386" s="2334"/>
      <c r="HN386" s="2334"/>
      <c r="HO386" s="2334"/>
      <c r="HP386" s="2334"/>
      <c r="HQ386" s="2334"/>
      <c r="HR386" s="2334"/>
      <c r="HS386" s="2334"/>
      <c r="HT386" s="2250"/>
      <c r="HU386" s="2250"/>
      <c r="HV386" s="2335"/>
      <c r="HW386" s="4670" t="s">
        <v>735</v>
      </c>
      <c r="HX386" s="4670"/>
      <c r="HY386" s="2335"/>
      <c r="HZ386" s="2335"/>
      <c r="IA386" s="2335"/>
      <c r="IB386" s="2335"/>
      <c r="IC386" s="2335"/>
      <c r="ID386" s="2335"/>
      <c r="IE386" s="2335"/>
      <c r="IF386" s="2335"/>
      <c r="IG386" s="2335"/>
      <c r="IH386" s="2250"/>
      <c r="II386" s="2250"/>
      <c r="IJ386" s="2250"/>
      <c r="IK386" s="53"/>
      <c r="IL386" s="53"/>
      <c r="IN386" s="277"/>
      <c r="IO386" s="277"/>
    </row>
    <row r="387" spans="1:249" ht="21.95" customHeight="1">
      <c r="A387" s="2275"/>
      <c r="B387" s="2333" t="s">
        <v>736</v>
      </c>
      <c r="C387" s="2333">
        <v>475</v>
      </c>
      <c r="D387" s="2333">
        <v>550</v>
      </c>
      <c r="E387" s="2333">
        <v>650</v>
      </c>
      <c r="F387" s="2333">
        <v>775</v>
      </c>
      <c r="G387" s="2333">
        <v>825</v>
      </c>
      <c r="H387" s="2333">
        <v>950</v>
      </c>
      <c r="I387" s="2333">
        <v>1100</v>
      </c>
      <c r="J387" s="2333">
        <v>1250</v>
      </c>
      <c r="K387" s="2333">
        <v>1450</v>
      </c>
      <c r="L387" s="2333">
        <v>1650</v>
      </c>
      <c r="M387" s="2333">
        <v>1650</v>
      </c>
      <c r="N387" s="2250"/>
      <c r="O387" s="2250"/>
      <c r="P387" s="2333" t="s">
        <v>736</v>
      </c>
      <c r="Q387" s="2333">
        <v>475</v>
      </c>
      <c r="R387" s="2333">
        <v>550</v>
      </c>
      <c r="S387" s="2333">
        <v>650</v>
      </c>
      <c r="T387" s="2333">
        <v>775</v>
      </c>
      <c r="U387" s="2333">
        <v>825</v>
      </c>
      <c r="V387" s="2333">
        <v>950</v>
      </c>
      <c r="W387" s="2333">
        <v>1100</v>
      </c>
      <c r="X387" s="2333">
        <v>1250</v>
      </c>
      <c r="Y387" s="2333">
        <v>1450</v>
      </c>
      <c r="Z387" s="2333">
        <v>1650</v>
      </c>
      <c r="AA387" s="2333"/>
      <c r="AB387" s="2250"/>
      <c r="AC387" s="2250"/>
      <c r="AD387" s="2333" t="s">
        <v>736</v>
      </c>
      <c r="AE387" s="2333">
        <v>475</v>
      </c>
      <c r="AF387" s="2333">
        <v>550</v>
      </c>
      <c r="AG387" s="2333">
        <v>650</v>
      </c>
      <c r="AH387" s="2333">
        <v>775</v>
      </c>
      <c r="AI387" s="2333">
        <v>825</v>
      </c>
      <c r="AJ387" s="2333">
        <v>950</v>
      </c>
      <c r="AK387" s="2333">
        <v>1100</v>
      </c>
      <c r="AL387" s="2333">
        <v>1250</v>
      </c>
      <c r="AM387" s="2333">
        <v>1450</v>
      </c>
      <c r="AN387" s="2333">
        <v>1650</v>
      </c>
      <c r="AO387" s="2333"/>
      <c r="AP387" s="2250"/>
      <c r="AQ387" s="2250"/>
      <c r="AR387" s="2333" t="s">
        <v>736</v>
      </c>
      <c r="AS387" s="2333">
        <v>475</v>
      </c>
      <c r="AT387" s="2333">
        <v>550</v>
      </c>
      <c r="AU387" s="2333">
        <v>650</v>
      </c>
      <c r="AV387" s="2333">
        <v>775</v>
      </c>
      <c r="AW387" s="2333">
        <v>825</v>
      </c>
      <c r="AX387" s="2333">
        <v>950</v>
      </c>
      <c r="AY387" s="2333">
        <v>1100</v>
      </c>
      <c r="AZ387" s="2333">
        <v>1250</v>
      </c>
      <c r="BA387" s="2333">
        <v>1450</v>
      </c>
      <c r="BB387" s="2333">
        <v>1650</v>
      </c>
      <c r="BC387" s="2333"/>
      <c r="BD387" s="2250"/>
      <c r="BE387" s="2250"/>
      <c r="BF387" s="2186">
        <v>18.8</v>
      </c>
      <c r="BG387" s="2186">
        <v>23.6</v>
      </c>
      <c r="BH387" s="2250"/>
      <c r="BI387" s="2275"/>
      <c r="BJ387" s="2333" t="s">
        <v>736</v>
      </c>
      <c r="BK387" s="2333">
        <v>475</v>
      </c>
      <c r="BL387" s="2333">
        <v>550</v>
      </c>
      <c r="BM387" s="2333">
        <v>650</v>
      </c>
      <c r="BN387" s="2333">
        <v>775</v>
      </c>
      <c r="BO387" s="2333">
        <v>825</v>
      </c>
      <c r="BP387" s="2333">
        <v>950</v>
      </c>
      <c r="BQ387" s="2333">
        <v>1100</v>
      </c>
      <c r="BR387" s="2333">
        <v>1250</v>
      </c>
      <c r="BS387" s="2333">
        <v>1450</v>
      </c>
      <c r="BT387" s="2333">
        <v>1650</v>
      </c>
      <c r="BU387" s="2333">
        <v>1650</v>
      </c>
      <c r="BV387" s="2250"/>
      <c r="BW387" s="2250"/>
      <c r="BX387" s="2333" t="s">
        <v>736</v>
      </c>
      <c r="BY387" s="2333">
        <v>475</v>
      </c>
      <c r="BZ387" s="2333">
        <v>550</v>
      </c>
      <c r="CA387" s="2333">
        <v>650</v>
      </c>
      <c r="CB387" s="2333">
        <v>775</v>
      </c>
      <c r="CC387" s="2333">
        <v>825</v>
      </c>
      <c r="CD387" s="2333">
        <v>950</v>
      </c>
      <c r="CE387" s="2333">
        <v>1100</v>
      </c>
      <c r="CF387" s="2333">
        <v>1250</v>
      </c>
      <c r="CG387" s="2333">
        <v>1450</v>
      </c>
      <c r="CH387" s="2333">
        <v>1650</v>
      </c>
      <c r="CI387" s="2333"/>
      <c r="CJ387" s="2250"/>
      <c r="CK387" s="2250"/>
      <c r="CL387" s="2333" t="s">
        <v>736</v>
      </c>
      <c r="CM387" s="2333">
        <v>475</v>
      </c>
      <c r="CN387" s="2333">
        <v>550</v>
      </c>
      <c r="CO387" s="2333">
        <v>650</v>
      </c>
      <c r="CP387" s="2333">
        <v>775</v>
      </c>
      <c r="CQ387" s="2333">
        <v>825</v>
      </c>
      <c r="CR387" s="2333">
        <v>950</v>
      </c>
      <c r="CS387" s="2333">
        <v>1100</v>
      </c>
      <c r="CT387" s="2333">
        <v>1250</v>
      </c>
      <c r="CU387" s="2333">
        <v>1450</v>
      </c>
      <c r="CV387" s="2333">
        <v>1650</v>
      </c>
      <c r="CW387" s="2333"/>
      <c r="CX387" s="2250"/>
      <c r="CY387" s="2250"/>
      <c r="CZ387" s="2333" t="s">
        <v>736</v>
      </c>
      <c r="DA387" s="2333">
        <v>475</v>
      </c>
      <c r="DB387" s="2333">
        <v>550</v>
      </c>
      <c r="DC387" s="2333">
        <v>650</v>
      </c>
      <c r="DD387" s="2333">
        <v>775</v>
      </c>
      <c r="DE387" s="2333">
        <v>825</v>
      </c>
      <c r="DF387" s="2333">
        <v>950</v>
      </c>
      <c r="DG387" s="2333">
        <v>1100</v>
      </c>
      <c r="DH387" s="2333">
        <v>1250</v>
      </c>
      <c r="DI387" s="2333">
        <v>1450</v>
      </c>
      <c r="DJ387" s="2333">
        <v>1650</v>
      </c>
      <c r="DK387" s="2333"/>
      <c r="DL387" s="2250"/>
      <c r="DM387" s="2250"/>
      <c r="DN387" s="2250"/>
      <c r="DO387" s="53"/>
      <c r="DP387" s="53"/>
      <c r="DQ387" s="2277"/>
      <c r="DR387" s="2277"/>
      <c r="DS387" s="277"/>
      <c r="DW387" s="2275"/>
      <c r="DX387" s="2333" t="s">
        <v>736</v>
      </c>
      <c r="DY387" s="2333">
        <v>475</v>
      </c>
      <c r="DZ387" s="2333">
        <v>550</v>
      </c>
      <c r="EA387" s="2333">
        <v>650</v>
      </c>
      <c r="EB387" s="2333">
        <v>775</v>
      </c>
      <c r="EC387" s="2333">
        <v>825</v>
      </c>
      <c r="ED387" s="2333">
        <v>950</v>
      </c>
      <c r="EE387" s="2333">
        <v>1100</v>
      </c>
      <c r="EF387" s="2333">
        <v>1250</v>
      </c>
      <c r="EG387" s="2333">
        <v>1450</v>
      </c>
      <c r="EH387" s="2333">
        <v>1650</v>
      </c>
      <c r="EI387" s="2333">
        <v>1650</v>
      </c>
      <c r="EJ387" s="2250"/>
      <c r="EK387" s="2250"/>
      <c r="EL387" s="2333" t="s">
        <v>736</v>
      </c>
      <c r="EM387" s="2333">
        <v>475</v>
      </c>
      <c r="EN387" s="2333">
        <v>550</v>
      </c>
      <c r="EO387" s="2333">
        <v>650</v>
      </c>
      <c r="EP387" s="2333">
        <v>775</v>
      </c>
      <c r="EQ387" s="2333">
        <v>825</v>
      </c>
      <c r="ER387" s="2333">
        <v>950</v>
      </c>
      <c r="ES387" s="2333">
        <v>1100</v>
      </c>
      <c r="ET387" s="2333">
        <v>1250</v>
      </c>
      <c r="EU387" s="2333">
        <v>1450</v>
      </c>
      <c r="EV387" s="2333">
        <v>1650</v>
      </c>
      <c r="EW387" s="2333"/>
      <c r="EX387" s="2250"/>
      <c r="EY387" s="2250"/>
      <c r="EZ387" s="2333" t="s">
        <v>736</v>
      </c>
      <c r="FA387" s="2333">
        <v>475</v>
      </c>
      <c r="FB387" s="2333">
        <v>550</v>
      </c>
      <c r="FC387" s="2333">
        <v>650</v>
      </c>
      <c r="FD387" s="2333">
        <v>775</v>
      </c>
      <c r="FE387" s="2333">
        <v>825</v>
      </c>
      <c r="FF387" s="2333">
        <v>950</v>
      </c>
      <c r="FG387" s="2333">
        <v>1100</v>
      </c>
      <c r="FH387" s="2333">
        <v>1250</v>
      </c>
      <c r="FI387" s="2333">
        <v>1450</v>
      </c>
      <c r="FJ387" s="2333">
        <v>1650</v>
      </c>
      <c r="FK387" s="2333"/>
      <c r="FL387" s="2250"/>
      <c r="FM387" s="2250"/>
      <c r="FN387" s="2333" t="s">
        <v>736</v>
      </c>
      <c r="FO387" s="2333">
        <v>475</v>
      </c>
      <c r="FP387" s="2333">
        <v>550</v>
      </c>
      <c r="FQ387" s="2333">
        <v>650</v>
      </c>
      <c r="FR387" s="2333">
        <v>775</v>
      </c>
      <c r="FS387" s="2333">
        <v>825</v>
      </c>
      <c r="FT387" s="2333">
        <v>950</v>
      </c>
      <c r="FU387" s="2333">
        <v>1100</v>
      </c>
      <c r="FV387" s="2333">
        <v>1250</v>
      </c>
      <c r="FW387" s="2333">
        <v>1450</v>
      </c>
      <c r="FX387" s="2333">
        <v>1650</v>
      </c>
      <c r="FY387" s="2333"/>
      <c r="FZ387" s="2250"/>
      <c r="GA387" s="2250"/>
      <c r="GB387" s="2186">
        <v>18.8</v>
      </c>
      <c r="GC387" s="2186">
        <v>23.6</v>
      </c>
      <c r="GD387" s="2250"/>
      <c r="GE387" s="2275"/>
      <c r="GF387" s="2333" t="s">
        <v>736</v>
      </c>
      <c r="GG387" s="2333">
        <v>475</v>
      </c>
      <c r="GH387" s="2333">
        <v>550</v>
      </c>
      <c r="GI387" s="2333">
        <v>650</v>
      </c>
      <c r="GJ387" s="2333">
        <v>775</v>
      </c>
      <c r="GK387" s="2333">
        <v>825</v>
      </c>
      <c r="GL387" s="2333">
        <v>950</v>
      </c>
      <c r="GM387" s="2333">
        <v>1100</v>
      </c>
      <c r="GN387" s="2333">
        <v>1250</v>
      </c>
      <c r="GO387" s="2333">
        <v>1450</v>
      </c>
      <c r="GP387" s="2333">
        <v>1650</v>
      </c>
      <c r="GQ387" s="2333">
        <v>1650</v>
      </c>
      <c r="GR387" s="2250"/>
      <c r="GS387" s="2250"/>
      <c r="GT387" s="2333" t="s">
        <v>736</v>
      </c>
      <c r="GU387" s="2333">
        <v>475</v>
      </c>
      <c r="GV387" s="2333">
        <v>550</v>
      </c>
      <c r="GW387" s="2333">
        <v>650</v>
      </c>
      <c r="GX387" s="2333">
        <v>775</v>
      </c>
      <c r="GY387" s="2333">
        <v>825</v>
      </c>
      <c r="GZ387" s="2333">
        <v>950</v>
      </c>
      <c r="HA387" s="2333">
        <v>1100</v>
      </c>
      <c r="HB387" s="2333">
        <v>1250</v>
      </c>
      <c r="HC387" s="2333">
        <v>1450</v>
      </c>
      <c r="HD387" s="2333">
        <v>1650</v>
      </c>
      <c r="HE387" s="2333"/>
      <c r="HF387" s="2250"/>
      <c r="HG387" s="2250"/>
      <c r="HH387" s="2333" t="s">
        <v>736</v>
      </c>
      <c r="HI387" s="2333">
        <v>475</v>
      </c>
      <c r="HJ387" s="2333">
        <v>550</v>
      </c>
      <c r="HK387" s="2333">
        <v>650</v>
      </c>
      <c r="HL387" s="2333">
        <v>775</v>
      </c>
      <c r="HM387" s="2333">
        <v>825</v>
      </c>
      <c r="HN387" s="2333">
        <v>950</v>
      </c>
      <c r="HO387" s="2333">
        <v>1100</v>
      </c>
      <c r="HP387" s="2333">
        <v>1250</v>
      </c>
      <c r="HQ387" s="2333">
        <v>1450</v>
      </c>
      <c r="HR387" s="2333">
        <v>1650</v>
      </c>
      <c r="HS387" s="2333"/>
      <c r="HT387" s="2250"/>
      <c r="HU387" s="2250"/>
      <c r="HV387" s="2333" t="s">
        <v>736</v>
      </c>
      <c r="HW387" s="2333">
        <v>475</v>
      </c>
      <c r="HX387" s="2333">
        <v>550</v>
      </c>
      <c r="HY387" s="2333">
        <v>650</v>
      </c>
      <c r="HZ387" s="2333">
        <v>775</v>
      </c>
      <c r="IA387" s="2333">
        <v>825</v>
      </c>
      <c r="IB387" s="2333">
        <v>950</v>
      </c>
      <c r="IC387" s="2333">
        <v>1100</v>
      </c>
      <c r="ID387" s="2333">
        <v>1250</v>
      </c>
      <c r="IE387" s="2333">
        <v>1450</v>
      </c>
      <c r="IF387" s="2333">
        <v>1650</v>
      </c>
      <c r="IG387" s="2333"/>
      <c r="IH387" s="2250"/>
      <c r="II387" s="2250"/>
      <c r="IJ387" s="2250"/>
      <c r="IK387" s="53"/>
      <c r="IL387" s="53"/>
      <c r="IN387" s="277"/>
      <c r="IO387" s="277"/>
    </row>
    <row r="388" spans="1:249" ht="21.95" customHeight="1">
      <c r="A388" s="2275"/>
      <c r="B388" s="2333">
        <v>223.8</v>
      </c>
      <c r="C388" s="2336">
        <v>0</v>
      </c>
      <c r="D388" s="2336">
        <v>0</v>
      </c>
      <c r="E388" s="2336">
        <v>0</v>
      </c>
      <c r="F388" s="2336">
        <v>0</v>
      </c>
      <c r="G388" s="2336">
        <v>0</v>
      </c>
      <c r="H388" s="2336">
        <v>0</v>
      </c>
      <c r="I388" s="2336">
        <v>0</v>
      </c>
      <c r="J388" s="2336">
        <v>0</v>
      </c>
      <c r="K388" s="2336">
        <v>0</v>
      </c>
      <c r="L388" s="2336">
        <v>0</v>
      </c>
      <c r="M388" s="2336">
        <v>0</v>
      </c>
      <c r="N388" s="2250"/>
      <c r="O388" s="2250"/>
      <c r="P388" s="2333">
        <v>223.8</v>
      </c>
      <c r="Q388" s="2336">
        <v>2.33</v>
      </c>
      <c r="R388" s="2336">
        <v>4.5999999999999996</v>
      </c>
      <c r="S388" s="2336">
        <v>7.73</v>
      </c>
      <c r="T388" s="2336">
        <v>11.9</v>
      </c>
      <c r="U388" s="2336">
        <v>17.36</v>
      </c>
      <c r="V388" s="2336">
        <v>24.11</v>
      </c>
      <c r="W388" s="2336">
        <v>32.39</v>
      </c>
      <c r="X388" s="2336">
        <v>47.55</v>
      </c>
      <c r="Y388" s="2336">
        <v>73.25</v>
      </c>
      <c r="Z388" s="2336">
        <v>106.44</v>
      </c>
      <c r="AA388" s="2336"/>
      <c r="AB388" s="2250"/>
      <c r="AC388" s="2250"/>
      <c r="AD388" s="2333">
        <v>223.8</v>
      </c>
      <c r="AE388" s="2336">
        <v>1.8</v>
      </c>
      <c r="AF388" s="2336">
        <v>3.33</v>
      </c>
      <c r="AG388" s="2336">
        <v>5.53</v>
      </c>
      <c r="AH388" s="2336">
        <v>8.5299999999999994</v>
      </c>
      <c r="AI388" s="2336">
        <v>12.4</v>
      </c>
      <c r="AJ388" s="2336">
        <v>17.2</v>
      </c>
      <c r="AK388" s="2336">
        <v>23.13</v>
      </c>
      <c r="AL388" s="2336">
        <v>33.93</v>
      </c>
      <c r="AM388" s="2336">
        <v>52.27</v>
      </c>
      <c r="AN388" s="2336">
        <v>93.33</v>
      </c>
      <c r="AO388" s="2336"/>
      <c r="AP388" s="2250"/>
      <c r="AQ388" s="2250"/>
      <c r="AR388" s="2333">
        <v>223.8</v>
      </c>
      <c r="AS388" s="2336">
        <v>1.38</v>
      </c>
      <c r="AT388" s="2336">
        <v>2.54</v>
      </c>
      <c r="AU388" s="2336">
        <v>4.2300000000000004</v>
      </c>
      <c r="AV388" s="2336">
        <v>6.46</v>
      </c>
      <c r="AW388" s="2336">
        <v>9.4600000000000009</v>
      </c>
      <c r="AX388" s="2336">
        <v>13.15</v>
      </c>
      <c r="AY388" s="2336">
        <v>17.62</v>
      </c>
      <c r="AZ388" s="2336">
        <v>25.92</v>
      </c>
      <c r="BA388" s="2336">
        <v>39.92</v>
      </c>
      <c r="BB388" s="2336">
        <v>58</v>
      </c>
      <c r="BC388" s="2336"/>
      <c r="BD388" s="2250"/>
      <c r="BE388" s="2250"/>
      <c r="BF388" s="2186">
        <v>23.6</v>
      </c>
      <c r="BG388" s="2186">
        <v>24.5</v>
      </c>
      <c r="BH388" s="2250"/>
      <c r="BI388" s="2275"/>
      <c r="BJ388" s="2333">
        <v>223.8</v>
      </c>
      <c r="BK388" s="2336">
        <v>0</v>
      </c>
      <c r="BL388" s="2336">
        <v>0</v>
      </c>
      <c r="BM388" s="2336">
        <v>0</v>
      </c>
      <c r="BN388" s="2336">
        <v>0</v>
      </c>
      <c r="BO388" s="2336">
        <v>0</v>
      </c>
      <c r="BP388" s="2336">
        <v>0</v>
      </c>
      <c r="BQ388" s="2336">
        <v>0</v>
      </c>
      <c r="BR388" s="2336">
        <v>0</v>
      </c>
      <c r="BS388" s="2336">
        <v>0</v>
      </c>
      <c r="BT388" s="2336">
        <v>0</v>
      </c>
      <c r="BU388" s="2336">
        <v>0</v>
      </c>
      <c r="BV388" s="2250"/>
      <c r="BW388" s="2250"/>
      <c r="BX388" s="2333">
        <v>223.8</v>
      </c>
      <c r="BY388" s="2336">
        <v>2.33</v>
      </c>
      <c r="BZ388" s="2336">
        <v>4.5999999999999996</v>
      </c>
      <c r="CA388" s="2336">
        <v>7.73</v>
      </c>
      <c r="CB388" s="2336">
        <v>11.9</v>
      </c>
      <c r="CC388" s="2336">
        <v>17.36</v>
      </c>
      <c r="CD388" s="2336">
        <v>24.11</v>
      </c>
      <c r="CE388" s="2336">
        <v>32.39</v>
      </c>
      <c r="CF388" s="2336">
        <v>47.55</v>
      </c>
      <c r="CG388" s="2336">
        <v>73.25</v>
      </c>
      <c r="CH388" s="2336">
        <v>106.44</v>
      </c>
      <c r="CI388" s="2336"/>
      <c r="CJ388" s="2250"/>
      <c r="CK388" s="2250"/>
      <c r="CL388" s="2333">
        <v>223.8</v>
      </c>
      <c r="CM388" s="2336">
        <v>1.8</v>
      </c>
      <c r="CN388" s="2336">
        <v>3.33</v>
      </c>
      <c r="CO388" s="2336">
        <v>5.53</v>
      </c>
      <c r="CP388" s="2336">
        <v>8.5299999999999994</v>
      </c>
      <c r="CQ388" s="2336">
        <v>12.4</v>
      </c>
      <c r="CR388" s="2336">
        <v>17.2</v>
      </c>
      <c r="CS388" s="2336">
        <v>23.13</v>
      </c>
      <c r="CT388" s="2336">
        <v>33.93</v>
      </c>
      <c r="CU388" s="2336">
        <v>52.27</v>
      </c>
      <c r="CV388" s="2336">
        <v>93.33</v>
      </c>
      <c r="CW388" s="2336"/>
      <c r="CX388" s="2250"/>
      <c r="CY388" s="2250"/>
      <c r="CZ388" s="2333">
        <v>223.8</v>
      </c>
      <c r="DA388" s="2336">
        <v>1.38</v>
      </c>
      <c r="DB388" s="2336">
        <v>2.54</v>
      </c>
      <c r="DC388" s="2336">
        <v>4.2300000000000004</v>
      </c>
      <c r="DD388" s="2336">
        <v>6.46</v>
      </c>
      <c r="DE388" s="2336">
        <v>9.4600000000000009</v>
      </c>
      <c r="DF388" s="2336">
        <v>13.15</v>
      </c>
      <c r="DG388" s="2336">
        <v>17.62</v>
      </c>
      <c r="DH388" s="2336">
        <v>25.92</v>
      </c>
      <c r="DI388" s="2336">
        <v>39.92</v>
      </c>
      <c r="DJ388" s="2336">
        <v>58</v>
      </c>
      <c r="DK388" s="2336"/>
      <c r="DL388" s="2250"/>
      <c r="DM388" s="2250"/>
      <c r="DN388" s="2250"/>
      <c r="DO388" s="53"/>
      <c r="DP388" s="53"/>
      <c r="DQ388" s="2277"/>
      <c r="DR388" s="2277"/>
      <c r="DS388" s="277"/>
      <c r="DW388" s="2275"/>
      <c r="DX388" s="2333">
        <v>223.8</v>
      </c>
      <c r="DY388" s="2336">
        <v>0</v>
      </c>
      <c r="DZ388" s="2336">
        <v>0</v>
      </c>
      <c r="EA388" s="2336">
        <v>0</v>
      </c>
      <c r="EB388" s="2336">
        <v>0</v>
      </c>
      <c r="EC388" s="2336">
        <v>0</v>
      </c>
      <c r="ED388" s="2336">
        <v>0</v>
      </c>
      <c r="EE388" s="2336">
        <v>0</v>
      </c>
      <c r="EF388" s="2336">
        <v>0</v>
      </c>
      <c r="EG388" s="2336">
        <v>0</v>
      </c>
      <c r="EH388" s="2336">
        <v>0</v>
      </c>
      <c r="EI388" s="2336">
        <v>0</v>
      </c>
      <c r="EJ388" s="2250"/>
      <c r="EK388" s="2250"/>
      <c r="EL388" s="2333">
        <v>223.8</v>
      </c>
      <c r="EM388" s="2336">
        <v>2.33</v>
      </c>
      <c r="EN388" s="2336">
        <v>4.5999999999999996</v>
      </c>
      <c r="EO388" s="2336">
        <v>7.73</v>
      </c>
      <c r="EP388" s="2336">
        <v>11.9</v>
      </c>
      <c r="EQ388" s="2336">
        <v>17.36</v>
      </c>
      <c r="ER388" s="2336">
        <v>24.11</v>
      </c>
      <c r="ES388" s="2336">
        <v>32.39</v>
      </c>
      <c r="ET388" s="2336">
        <v>47.55</v>
      </c>
      <c r="EU388" s="2336">
        <v>73.25</v>
      </c>
      <c r="EV388" s="2336">
        <v>106.44</v>
      </c>
      <c r="EW388" s="2336"/>
      <c r="EX388" s="2250"/>
      <c r="EY388" s="2250"/>
      <c r="EZ388" s="2333">
        <v>223.8</v>
      </c>
      <c r="FA388" s="2336">
        <v>1.8</v>
      </c>
      <c r="FB388" s="2336">
        <v>3.33</v>
      </c>
      <c r="FC388" s="2336">
        <v>5.53</v>
      </c>
      <c r="FD388" s="2336">
        <v>8.5299999999999994</v>
      </c>
      <c r="FE388" s="2336">
        <v>12.4</v>
      </c>
      <c r="FF388" s="2336">
        <v>17.2</v>
      </c>
      <c r="FG388" s="2336">
        <v>23.13</v>
      </c>
      <c r="FH388" s="2336">
        <v>33.93</v>
      </c>
      <c r="FI388" s="2336">
        <v>52.27</v>
      </c>
      <c r="FJ388" s="2336">
        <v>93.33</v>
      </c>
      <c r="FK388" s="2336"/>
      <c r="FL388" s="2250"/>
      <c r="FM388" s="2250"/>
      <c r="FN388" s="2333">
        <v>223.8</v>
      </c>
      <c r="FO388" s="2336">
        <v>1.38</v>
      </c>
      <c r="FP388" s="2336">
        <v>2.54</v>
      </c>
      <c r="FQ388" s="2336">
        <v>4.2300000000000004</v>
      </c>
      <c r="FR388" s="2336">
        <v>6.46</v>
      </c>
      <c r="FS388" s="2336">
        <v>9.4600000000000009</v>
      </c>
      <c r="FT388" s="2336">
        <v>13.15</v>
      </c>
      <c r="FU388" s="2336">
        <v>17.62</v>
      </c>
      <c r="FV388" s="2336">
        <v>25.92</v>
      </c>
      <c r="FW388" s="2336">
        <v>39.92</v>
      </c>
      <c r="FX388" s="2336">
        <v>58</v>
      </c>
      <c r="FY388" s="2336"/>
      <c r="FZ388" s="2250"/>
      <c r="GA388" s="2250"/>
      <c r="GB388" s="2186">
        <v>23.6</v>
      </c>
      <c r="GC388" s="2186">
        <v>24.5</v>
      </c>
      <c r="GD388" s="2250"/>
      <c r="GE388" s="2275"/>
      <c r="GF388" s="2333">
        <v>223.8</v>
      </c>
      <c r="GG388" s="2336">
        <v>0</v>
      </c>
      <c r="GH388" s="2336">
        <v>0</v>
      </c>
      <c r="GI388" s="2336">
        <v>0</v>
      </c>
      <c r="GJ388" s="2336">
        <v>0</v>
      </c>
      <c r="GK388" s="2336">
        <v>0</v>
      </c>
      <c r="GL388" s="2336">
        <v>0</v>
      </c>
      <c r="GM388" s="2336">
        <v>0</v>
      </c>
      <c r="GN388" s="2336">
        <v>0</v>
      </c>
      <c r="GO388" s="2336">
        <v>0</v>
      </c>
      <c r="GP388" s="2336">
        <v>0</v>
      </c>
      <c r="GQ388" s="2336">
        <v>0</v>
      </c>
      <c r="GR388" s="2250"/>
      <c r="GS388" s="2250"/>
      <c r="GT388" s="2333">
        <v>223.8</v>
      </c>
      <c r="GU388" s="2336">
        <v>2.33</v>
      </c>
      <c r="GV388" s="2336">
        <v>4.5999999999999996</v>
      </c>
      <c r="GW388" s="2336">
        <v>7.73</v>
      </c>
      <c r="GX388" s="2336">
        <v>11.9</v>
      </c>
      <c r="GY388" s="2336">
        <v>17.36</v>
      </c>
      <c r="GZ388" s="2336">
        <v>24.11</v>
      </c>
      <c r="HA388" s="2336">
        <v>32.39</v>
      </c>
      <c r="HB388" s="2336">
        <v>47.55</v>
      </c>
      <c r="HC388" s="2336">
        <v>73.25</v>
      </c>
      <c r="HD388" s="2336">
        <v>106.44</v>
      </c>
      <c r="HE388" s="2336"/>
      <c r="HF388" s="2250"/>
      <c r="HG388" s="2250"/>
      <c r="HH388" s="2333">
        <v>223.8</v>
      </c>
      <c r="HI388" s="2336">
        <v>1.8</v>
      </c>
      <c r="HJ388" s="2336">
        <v>3.33</v>
      </c>
      <c r="HK388" s="2336">
        <v>5.53</v>
      </c>
      <c r="HL388" s="2336">
        <v>8.5299999999999994</v>
      </c>
      <c r="HM388" s="2336">
        <v>12.4</v>
      </c>
      <c r="HN388" s="2336">
        <v>17.2</v>
      </c>
      <c r="HO388" s="2336">
        <v>23.13</v>
      </c>
      <c r="HP388" s="2336">
        <v>33.93</v>
      </c>
      <c r="HQ388" s="2336">
        <v>52.27</v>
      </c>
      <c r="HR388" s="2336">
        <v>93.33</v>
      </c>
      <c r="HS388" s="2336"/>
      <c r="HT388" s="2250"/>
      <c r="HU388" s="2250"/>
      <c r="HV388" s="2333">
        <v>223.8</v>
      </c>
      <c r="HW388" s="2336">
        <v>1.38</v>
      </c>
      <c r="HX388" s="2336">
        <v>2.54</v>
      </c>
      <c r="HY388" s="2336">
        <v>4.2300000000000004</v>
      </c>
      <c r="HZ388" s="2336">
        <v>6.46</v>
      </c>
      <c r="IA388" s="2336">
        <v>9.4600000000000009</v>
      </c>
      <c r="IB388" s="2336">
        <v>13.15</v>
      </c>
      <c r="IC388" s="2336">
        <v>17.62</v>
      </c>
      <c r="ID388" s="2336">
        <v>25.92</v>
      </c>
      <c r="IE388" s="2336">
        <v>39.92</v>
      </c>
      <c r="IF388" s="2336">
        <v>58</v>
      </c>
      <c r="IG388" s="2336"/>
      <c r="IH388" s="2250"/>
      <c r="II388" s="2250"/>
      <c r="IJ388" s="2250"/>
      <c r="IK388" s="53"/>
      <c r="IL388" s="53"/>
      <c r="IN388" s="277"/>
      <c r="IO388" s="277"/>
    </row>
    <row r="389" spans="1:249" ht="21.95" customHeight="1">
      <c r="A389" s="2275"/>
      <c r="B389" s="2333">
        <v>206.43</v>
      </c>
      <c r="C389" s="2336">
        <v>0</v>
      </c>
      <c r="D389" s="2336">
        <v>0</v>
      </c>
      <c r="E389" s="2336">
        <v>0</v>
      </c>
      <c r="F389" s="2336">
        <v>0</v>
      </c>
      <c r="G389" s="2336">
        <v>0</v>
      </c>
      <c r="H389" s="2336">
        <v>0</v>
      </c>
      <c r="I389" s="2336">
        <v>0</v>
      </c>
      <c r="J389" s="2336">
        <v>0</v>
      </c>
      <c r="K389" s="2336">
        <v>0</v>
      </c>
      <c r="L389" s="2336">
        <v>0</v>
      </c>
      <c r="M389" s="2336">
        <v>0</v>
      </c>
      <c r="N389" s="2250"/>
      <c r="O389" s="2250"/>
      <c r="P389" s="2333">
        <v>206.43</v>
      </c>
      <c r="Q389" s="2336">
        <v>2.58</v>
      </c>
      <c r="R389" s="2336">
        <v>4.97</v>
      </c>
      <c r="S389" s="2336">
        <v>8.59</v>
      </c>
      <c r="T389" s="2336">
        <v>13.44</v>
      </c>
      <c r="U389" s="2336">
        <v>19.02</v>
      </c>
      <c r="V389" s="2336">
        <v>27.18</v>
      </c>
      <c r="W389" s="2336">
        <v>36.5</v>
      </c>
      <c r="X389" s="2336">
        <v>53.62</v>
      </c>
      <c r="Y389" s="2336">
        <v>82.58</v>
      </c>
      <c r="Z389" s="2336">
        <v>120</v>
      </c>
      <c r="AA389" s="2336"/>
      <c r="AB389" s="2250"/>
      <c r="AC389" s="2250"/>
      <c r="AD389" s="2333">
        <v>206.43</v>
      </c>
      <c r="AE389" s="2336">
        <v>2</v>
      </c>
      <c r="AF389" s="2336">
        <v>3.73</v>
      </c>
      <c r="AG389" s="2336">
        <v>6.27</v>
      </c>
      <c r="AH389" s="2336">
        <v>9.6</v>
      </c>
      <c r="AI389" s="2336">
        <v>13.73</v>
      </c>
      <c r="AJ389" s="2336">
        <v>19.399999999999999</v>
      </c>
      <c r="AK389" s="2336">
        <v>26.07</v>
      </c>
      <c r="AL389" s="2336">
        <v>38.270000000000003</v>
      </c>
      <c r="AM389" s="2336">
        <v>58.93</v>
      </c>
      <c r="AN389" s="2336">
        <v>85.67</v>
      </c>
      <c r="AO389" s="2336"/>
      <c r="AP389" s="2250"/>
      <c r="AQ389" s="2250"/>
      <c r="AR389" s="2333">
        <v>206.43</v>
      </c>
      <c r="AS389" s="2336">
        <v>1.54</v>
      </c>
      <c r="AT389" s="2336">
        <v>2.85</v>
      </c>
      <c r="AU389" s="2336">
        <v>4.7699999999999996</v>
      </c>
      <c r="AV389" s="2336">
        <v>7.31</v>
      </c>
      <c r="AW389" s="2336">
        <v>10.38</v>
      </c>
      <c r="AX389" s="2336">
        <v>14.77</v>
      </c>
      <c r="AY389" s="2336">
        <v>19.850000000000001</v>
      </c>
      <c r="AZ389" s="2336">
        <v>29.23</v>
      </c>
      <c r="BA389" s="2336">
        <v>45</v>
      </c>
      <c r="BB389" s="2336">
        <v>65.38</v>
      </c>
      <c r="BC389" s="2336"/>
      <c r="BD389" s="2250"/>
      <c r="BE389" s="2250"/>
      <c r="BF389" s="1302">
        <v>24.5</v>
      </c>
      <c r="BG389" s="1302">
        <v>29.3</v>
      </c>
      <c r="BH389" s="2250"/>
      <c r="BI389" s="2275"/>
      <c r="BJ389" s="2333">
        <v>206.43</v>
      </c>
      <c r="BK389" s="2336">
        <v>0</v>
      </c>
      <c r="BL389" s="2336">
        <v>0</v>
      </c>
      <c r="BM389" s="2336">
        <v>0</v>
      </c>
      <c r="BN389" s="2336">
        <v>0</v>
      </c>
      <c r="BO389" s="2336">
        <v>0</v>
      </c>
      <c r="BP389" s="2336">
        <v>0</v>
      </c>
      <c r="BQ389" s="2336">
        <v>0</v>
      </c>
      <c r="BR389" s="2336">
        <v>0</v>
      </c>
      <c r="BS389" s="2336">
        <v>0</v>
      </c>
      <c r="BT389" s="2336">
        <v>0</v>
      </c>
      <c r="BU389" s="2336">
        <v>0</v>
      </c>
      <c r="BV389" s="2250"/>
      <c r="BW389" s="2250"/>
      <c r="BX389" s="2333">
        <v>206.43</v>
      </c>
      <c r="BY389" s="2336">
        <v>2.58</v>
      </c>
      <c r="BZ389" s="2336">
        <v>4.97</v>
      </c>
      <c r="CA389" s="2336">
        <v>8.59</v>
      </c>
      <c r="CB389" s="2336">
        <v>13.44</v>
      </c>
      <c r="CC389" s="2336">
        <v>19.02</v>
      </c>
      <c r="CD389" s="2336">
        <v>27.18</v>
      </c>
      <c r="CE389" s="2336">
        <v>36.5</v>
      </c>
      <c r="CF389" s="2336">
        <v>53.62</v>
      </c>
      <c r="CG389" s="2336">
        <v>82.58</v>
      </c>
      <c r="CH389" s="2336">
        <v>120</v>
      </c>
      <c r="CI389" s="2336"/>
      <c r="CJ389" s="2250"/>
      <c r="CK389" s="2250"/>
      <c r="CL389" s="2333">
        <v>206.43</v>
      </c>
      <c r="CM389" s="2336">
        <v>2</v>
      </c>
      <c r="CN389" s="2336">
        <v>3.73</v>
      </c>
      <c r="CO389" s="2336">
        <v>6.27</v>
      </c>
      <c r="CP389" s="2336">
        <v>9.6</v>
      </c>
      <c r="CQ389" s="2336">
        <v>13.73</v>
      </c>
      <c r="CR389" s="2336">
        <v>19.399999999999999</v>
      </c>
      <c r="CS389" s="2336">
        <v>26.07</v>
      </c>
      <c r="CT389" s="2336">
        <v>38.270000000000003</v>
      </c>
      <c r="CU389" s="2336">
        <v>58.93</v>
      </c>
      <c r="CV389" s="2336">
        <v>85.67</v>
      </c>
      <c r="CW389" s="2336"/>
      <c r="CX389" s="2250"/>
      <c r="CY389" s="2250"/>
      <c r="CZ389" s="2333">
        <v>206.43</v>
      </c>
      <c r="DA389" s="2336">
        <v>1.54</v>
      </c>
      <c r="DB389" s="2336">
        <v>2.85</v>
      </c>
      <c r="DC389" s="2336">
        <v>4.7699999999999996</v>
      </c>
      <c r="DD389" s="2336">
        <v>7.31</v>
      </c>
      <c r="DE389" s="2336">
        <v>10.38</v>
      </c>
      <c r="DF389" s="2336">
        <v>14.77</v>
      </c>
      <c r="DG389" s="2336">
        <v>19.850000000000001</v>
      </c>
      <c r="DH389" s="2336">
        <v>29.23</v>
      </c>
      <c r="DI389" s="2336">
        <v>45</v>
      </c>
      <c r="DJ389" s="2336">
        <v>65.38</v>
      </c>
      <c r="DK389" s="2336"/>
      <c r="DL389" s="2250"/>
      <c r="DM389" s="2250"/>
      <c r="DN389" s="2250"/>
      <c r="DO389" s="53"/>
      <c r="DP389" s="53"/>
      <c r="DQ389" s="2277"/>
      <c r="DR389" s="2277"/>
      <c r="DS389" s="277"/>
      <c r="DW389" s="2275"/>
      <c r="DX389" s="2333">
        <v>206.43</v>
      </c>
      <c r="DY389" s="2336">
        <v>0</v>
      </c>
      <c r="DZ389" s="2336">
        <v>0</v>
      </c>
      <c r="EA389" s="2336">
        <v>0</v>
      </c>
      <c r="EB389" s="2336">
        <v>0</v>
      </c>
      <c r="EC389" s="2336">
        <v>0</v>
      </c>
      <c r="ED389" s="2336">
        <v>0</v>
      </c>
      <c r="EE389" s="2336">
        <v>0</v>
      </c>
      <c r="EF389" s="2336">
        <v>0</v>
      </c>
      <c r="EG389" s="2336">
        <v>0</v>
      </c>
      <c r="EH389" s="2336">
        <v>0</v>
      </c>
      <c r="EI389" s="2336">
        <v>0</v>
      </c>
      <c r="EJ389" s="2250"/>
      <c r="EK389" s="2250"/>
      <c r="EL389" s="2333">
        <v>206.43</v>
      </c>
      <c r="EM389" s="2336">
        <v>2.58</v>
      </c>
      <c r="EN389" s="2336">
        <v>4.97</v>
      </c>
      <c r="EO389" s="2336">
        <v>8.59</v>
      </c>
      <c r="EP389" s="2336">
        <v>13.44</v>
      </c>
      <c r="EQ389" s="2336">
        <v>19.02</v>
      </c>
      <c r="ER389" s="2336">
        <v>27.18</v>
      </c>
      <c r="ES389" s="2336">
        <v>36.5</v>
      </c>
      <c r="ET389" s="2336">
        <v>53.62</v>
      </c>
      <c r="EU389" s="2336">
        <v>82.58</v>
      </c>
      <c r="EV389" s="2336">
        <v>120</v>
      </c>
      <c r="EW389" s="2336"/>
      <c r="EX389" s="2250"/>
      <c r="EY389" s="2250"/>
      <c r="EZ389" s="2333">
        <v>206.43</v>
      </c>
      <c r="FA389" s="2336">
        <v>2</v>
      </c>
      <c r="FB389" s="2336">
        <v>3.73</v>
      </c>
      <c r="FC389" s="2336">
        <v>6.27</v>
      </c>
      <c r="FD389" s="2336">
        <v>9.6</v>
      </c>
      <c r="FE389" s="2336">
        <v>13.73</v>
      </c>
      <c r="FF389" s="2336">
        <v>19.399999999999999</v>
      </c>
      <c r="FG389" s="2336">
        <v>26.07</v>
      </c>
      <c r="FH389" s="2336">
        <v>38.270000000000003</v>
      </c>
      <c r="FI389" s="2336">
        <v>58.93</v>
      </c>
      <c r="FJ389" s="2336">
        <v>85.67</v>
      </c>
      <c r="FK389" s="2336"/>
      <c r="FL389" s="2250"/>
      <c r="FM389" s="2250"/>
      <c r="FN389" s="2333">
        <v>206.43</v>
      </c>
      <c r="FO389" s="2336">
        <v>1.54</v>
      </c>
      <c r="FP389" s="2336">
        <v>2.85</v>
      </c>
      <c r="FQ389" s="2336">
        <v>4.7699999999999996</v>
      </c>
      <c r="FR389" s="2336">
        <v>7.31</v>
      </c>
      <c r="FS389" s="2336">
        <v>10.38</v>
      </c>
      <c r="FT389" s="2336">
        <v>14.77</v>
      </c>
      <c r="FU389" s="2336">
        <v>19.850000000000001</v>
      </c>
      <c r="FV389" s="2336">
        <v>29.23</v>
      </c>
      <c r="FW389" s="2336">
        <v>45</v>
      </c>
      <c r="FX389" s="2336">
        <v>65.38</v>
      </c>
      <c r="FY389" s="2336"/>
      <c r="FZ389" s="2250"/>
      <c r="GA389" s="2250"/>
      <c r="GB389" s="1302">
        <v>24.5</v>
      </c>
      <c r="GC389" s="1302">
        <v>29.3</v>
      </c>
      <c r="GD389" s="2250"/>
      <c r="GE389" s="2275"/>
      <c r="GF389" s="2333">
        <v>206.43</v>
      </c>
      <c r="GG389" s="2336">
        <v>0</v>
      </c>
      <c r="GH389" s="2336">
        <v>0</v>
      </c>
      <c r="GI389" s="2336">
        <v>0</v>
      </c>
      <c r="GJ389" s="2336">
        <v>0</v>
      </c>
      <c r="GK389" s="2336">
        <v>0</v>
      </c>
      <c r="GL389" s="2336">
        <v>0</v>
      </c>
      <c r="GM389" s="2336">
        <v>0</v>
      </c>
      <c r="GN389" s="2336">
        <v>0</v>
      </c>
      <c r="GO389" s="2336">
        <v>0</v>
      </c>
      <c r="GP389" s="2336">
        <v>0</v>
      </c>
      <c r="GQ389" s="2336">
        <v>0</v>
      </c>
      <c r="GR389" s="2250"/>
      <c r="GS389" s="2250"/>
      <c r="GT389" s="2333">
        <v>206.43</v>
      </c>
      <c r="GU389" s="2336">
        <v>2.58</v>
      </c>
      <c r="GV389" s="2336">
        <v>4.97</v>
      </c>
      <c r="GW389" s="2336">
        <v>8.59</v>
      </c>
      <c r="GX389" s="2336">
        <v>13.44</v>
      </c>
      <c r="GY389" s="2336">
        <v>19.02</v>
      </c>
      <c r="GZ389" s="2336">
        <v>27.18</v>
      </c>
      <c r="HA389" s="2336">
        <v>36.5</v>
      </c>
      <c r="HB389" s="2336">
        <v>53.62</v>
      </c>
      <c r="HC389" s="2336">
        <v>82.58</v>
      </c>
      <c r="HD389" s="2336">
        <v>120</v>
      </c>
      <c r="HE389" s="2336"/>
      <c r="HF389" s="2250"/>
      <c r="HG389" s="2250"/>
      <c r="HH389" s="2333">
        <v>206.43</v>
      </c>
      <c r="HI389" s="2336">
        <v>2</v>
      </c>
      <c r="HJ389" s="2336">
        <v>3.73</v>
      </c>
      <c r="HK389" s="2336">
        <v>6.27</v>
      </c>
      <c r="HL389" s="2336">
        <v>9.6</v>
      </c>
      <c r="HM389" s="2336">
        <v>13.73</v>
      </c>
      <c r="HN389" s="2336">
        <v>19.399999999999999</v>
      </c>
      <c r="HO389" s="2336">
        <v>26.07</v>
      </c>
      <c r="HP389" s="2336">
        <v>38.270000000000003</v>
      </c>
      <c r="HQ389" s="2336">
        <v>58.93</v>
      </c>
      <c r="HR389" s="2336">
        <v>85.67</v>
      </c>
      <c r="HS389" s="2336"/>
      <c r="HT389" s="2250"/>
      <c r="HU389" s="2250"/>
      <c r="HV389" s="2333">
        <v>206.43</v>
      </c>
      <c r="HW389" s="2336">
        <v>1.54</v>
      </c>
      <c r="HX389" s="2336">
        <v>2.85</v>
      </c>
      <c r="HY389" s="2336">
        <v>4.7699999999999996</v>
      </c>
      <c r="HZ389" s="2336">
        <v>7.31</v>
      </c>
      <c r="IA389" s="2336">
        <v>10.38</v>
      </c>
      <c r="IB389" s="2336">
        <v>14.77</v>
      </c>
      <c r="IC389" s="2336">
        <v>19.850000000000001</v>
      </c>
      <c r="ID389" s="2336">
        <v>29.23</v>
      </c>
      <c r="IE389" s="2336">
        <v>45</v>
      </c>
      <c r="IF389" s="2336">
        <v>65.38</v>
      </c>
      <c r="IG389" s="2336"/>
      <c r="IH389" s="2250"/>
      <c r="II389" s="2250"/>
      <c r="IJ389" s="2250"/>
      <c r="IK389" s="53"/>
      <c r="IL389" s="53"/>
      <c r="IN389" s="277"/>
      <c r="IO389" s="277"/>
    </row>
    <row r="390" spans="1:249" ht="21.95" customHeight="1">
      <c r="A390" s="2275"/>
      <c r="B390" s="2333">
        <v>190.4</v>
      </c>
      <c r="C390" s="2336">
        <v>0</v>
      </c>
      <c r="D390" s="2336">
        <v>0</v>
      </c>
      <c r="E390" s="2336">
        <v>0</v>
      </c>
      <c r="F390" s="2336">
        <v>0</v>
      </c>
      <c r="G390" s="2336">
        <v>0</v>
      </c>
      <c r="H390" s="2336">
        <v>0</v>
      </c>
      <c r="I390" s="2336">
        <v>0</v>
      </c>
      <c r="J390" s="2336">
        <v>0</v>
      </c>
      <c r="K390" s="2336">
        <v>0</v>
      </c>
      <c r="L390" s="2336">
        <v>0</v>
      </c>
      <c r="M390" s="2336">
        <v>0</v>
      </c>
      <c r="N390" s="2250"/>
      <c r="O390" s="2250"/>
      <c r="P390" s="2333">
        <v>190.4</v>
      </c>
      <c r="Q390" s="2336">
        <v>2.76</v>
      </c>
      <c r="R390" s="2336">
        <v>5.34</v>
      </c>
      <c r="S390" s="2336">
        <v>9.26</v>
      </c>
      <c r="T390" s="2336">
        <v>14.72</v>
      </c>
      <c r="U390" s="2336">
        <v>20.86</v>
      </c>
      <c r="V390" s="2336">
        <v>30.12</v>
      </c>
      <c r="W390" s="2336">
        <v>40.43</v>
      </c>
      <c r="X390" s="2336">
        <v>58.34</v>
      </c>
      <c r="Y390" s="2336">
        <v>91.47</v>
      </c>
      <c r="Z390" s="2336">
        <v>132.58000000000001</v>
      </c>
      <c r="AA390" s="2336"/>
      <c r="AB390" s="2250"/>
      <c r="AC390" s="2250"/>
      <c r="AD390" s="2333">
        <v>190.4</v>
      </c>
      <c r="AE390" s="2336">
        <v>2.2000000000000002</v>
      </c>
      <c r="AF390" s="2336">
        <v>4.13</v>
      </c>
      <c r="AG390" s="2336">
        <v>6.93</v>
      </c>
      <c r="AH390" s="2336">
        <v>10.6</v>
      </c>
      <c r="AI390" s="2336">
        <v>14.87</v>
      </c>
      <c r="AJ390" s="2336">
        <v>21.47</v>
      </c>
      <c r="AK390" s="2336">
        <v>28.87</v>
      </c>
      <c r="AL390" s="2336">
        <v>42.4</v>
      </c>
      <c r="AM390" s="2336">
        <v>65.27</v>
      </c>
      <c r="AN390" s="2336">
        <v>94.87</v>
      </c>
      <c r="AO390" s="2336"/>
      <c r="AP390" s="2250"/>
      <c r="AQ390" s="2250"/>
      <c r="AR390" s="2333">
        <v>190.4</v>
      </c>
      <c r="AS390" s="2336">
        <v>1.69</v>
      </c>
      <c r="AT390" s="2336">
        <v>3.15</v>
      </c>
      <c r="AU390" s="2336">
        <v>5.23</v>
      </c>
      <c r="AV390" s="2336">
        <v>8.08</v>
      </c>
      <c r="AW390" s="2336">
        <v>11.31</v>
      </c>
      <c r="AX390" s="2336">
        <v>16.38</v>
      </c>
      <c r="AY390" s="2336">
        <v>22</v>
      </c>
      <c r="AZ390" s="2336">
        <v>32.31</v>
      </c>
      <c r="BA390" s="2336">
        <v>49.77</v>
      </c>
      <c r="BB390" s="2336">
        <v>72.150000000000006</v>
      </c>
      <c r="BC390" s="2336"/>
      <c r="BD390" s="2250"/>
      <c r="BE390" s="2250"/>
      <c r="BF390" s="1302">
        <v>29.3</v>
      </c>
      <c r="BG390" s="1302">
        <v>34.200000000000003</v>
      </c>
      <c r="BH390" s="2250"/>
      <c r="BI390" s="2275"/>
      <c r="BJ390" s="2333">
        <v>190.4</v>
      </c>
      <c r="BK390" s="2336">
        <v>0</v>
      </c>
      <c r="BL390" s="2336">
        <v>0</v>
      </c>
      <c r="BM390" s="2336">
        <v>0</v>
      </c>
      <c r="BN390" s="2336">
        <v>0</v>
      </c>
      <c r="BO390" s="2336">
        <v>0</v>
      </c>
      <c r="BP390" s="2336">
        <v>0</v>
      </c>
      <c r="BQ390" s="2336">
        <v>0</v>
      </c>
      <c r="BR390" s="2336">
        <v>0</v>
      </c>
      <c r="BS390" s="2336">
        <v>0</v>
      </c>
      <c r="BT390" s="2336">
        <v>0</v>
      </c>
      <c r="BU390" s="2336">
        <v>0</v>
      </c>
      <c r="BV390" s="2250"/>
      <c r="BW390" s="2250"/>
      <c r="BX390" s="2333">
        <v>190.4</v>
      </c>
      <c r="BY390" s="2336">
        <v>2.76</v>
      </c>
      <c r="BZ390" s="2336">
        <v>5.34</v>
      </c>
      <c r="CA390" s="2336">
        <v>9.26</v>
      </c>
      <c r="CB390" s="2336">
        <v>14.72</v>
      </c>
      <c r="CC390" s="2336">
        <v>20.86</v>
      </c>
      <c r="CD390" s="2336">
        <v>30.12</v>
      </c>
      <c r="CE390" s="2336">
        <v>40.43</v>
      </c>
      <c r="CF390" s="2336">
        <v>58.34</v>
      </c>
      <c r="CG390" s="2336">
        <v>91.47</v>
      </c>
      <c r="CH390" s="2336">
        <v>132.58000000000001</v>
      </c>
      <c r="CI390" s="2336"/>
      <c r="CJ390" s="2250"/>
      <c r="CK390" s="2250"/>
      <c r="CL390" s="2333">
        <v>190.4</v>
      </c>
      <c r="CM390" s="2336">
        <v>2.2000000000000002</v>
      </c>
      <c r="CN390" s="2336">
        <v>4.13</v>
      </c>
      <c r="CO390" s="2336">
        <v>6.93</v>
      </c>
      <c r="CP390" s="2336">
        <v>10.6</v>
      </c>
      <c r="CQ390" s="2336">
        <v>14.87</v>
      </c>
      <c r="CR390" s="2336">
        <v>21.47</v>
      </c>
      <c r="CS390" s="2336">
        <v>28.87</v>
      </c>
      <c r="CT390" s="2336">
        <v>42.4</v>
      </c>
      <c r="CU390" s="2336">
        <v>65.27</v>
      </c>
      <c r="CV390" s="2336">
        <v>94.87</v>
      </c>
      <c r="CW390" s="2336"/>
      <c r="CX390" s="2250"/>
      <c r="CY390" s="2250"/>
      <c r="CZ390" s="2333">
        <v>190.4</v>
      </c>
      <c r="DA390" s="2336">
        <v>1.69</v>
      </c>
      <c r="DB390" s="2336">
        <v>3.15</v>
      </c>
      <c r="DC390" s="2336">
        <v>5.23</v>
      </c>
      <c r="DD390" s="2336">
        <v>8.08</v>
      </c>
      <c r="DE390" s="2336">
        <v>11.31</v>
      </c>
      <c r="DF390" s="2336">
        <v>16.38</v>
      </c>
      <c r="DG390" s="2336">
        <v>22</v>
      </c>
      <c r="DH390" s="2336">
        <v>32.31</v>
      </c>
      <c r="DI390" s="2336">
        <v>49.77</v>
      </c>
      <c r="DJ390" s="2336">
        <v>72.150000000000006</v>
      </c>
      <c r="DK390" s="2336"/>
      <c r="DL390" s="2250"/>
      <c r="DM390" s="2250"/>
      <c r="DN390" s="2250"/>
      <c r="DO390" s="53"/>
      <c r="DP390" s="53"/>
      <c r="DQ390" s="2277"/>
      <c r="DR390" s="2277"/>
      <c r="DS390" s="277"/>
      <c r="DW390" s="2275"/>
      <c r="DX390" s="2333">
        <v>190.4</v>
      </c>
      <c r="DY390" s="2336">
        <v>0</v>
      </c>
      <c r="DZ390" s="2336">
        <v>0</v>
      </c>
      <c r="EA390" s="2336">
        <v>0</v>
      </c>
      <c r="EB390" s="2336">
        <v>0</v>
      </c>
      <c r="EC390" s="2336">
        <v>0</v>
      </c>
      <c r="ED390" s="2336">
        <v>0</v>
      </c>
      <c r="EE390" s="2336">
        <v>0</v>
      </c>
      <c r="EF390" s="2336">
        <v>0</v>
      </c>
      <c r="EG390" s="2336">
        <v>0</v>
      </c>
      <c r="EH390" s="2336">
        <v>0</v>
      </c>
      <c r="EI390" s="2336">
        <v>0</v>
      </c>
      <c r="EJ390" s="2250"/>
      <c r="EK390" s="2250"/>
      <c r="EL390" s="2333">
        <v>190.4</v>
      </c>
      <c r="EM390" s="2336">
        <v>2.76</v>
      </c>
      <c r="EN390" s="2336">
        <v>5.34</v>
      </c>
      <c r="EO390" s="2336">
        <v>9.26</v>
      </c>
      <c r="EP390" s="2336">
        <v>14.72</v>
      </c>
      <c r="EQ390" s="2336">
        <v>20.86</v>
      </c>
      <c r="ER390" s="2336">
        <v>30.12</v>
      </c>
      <c r="ES390" s="2336">
        <v>40.43</v>
      </c>
      <c r="ET390" s="2336">
        <v>58.34</v>
      </c>
      <c r="EU390" s="2336">
        <v>91.47</v>
      </c>
      <c r="EV390" s="2336">
        <v>132.58000000000001</v>
      </c>
      <c r="EW390" s="2336"/>
      <c r="EX390" s="2250"/>
      <c r="EY390" s="2250"/>
      <c r="EZ390" s="2333">
        <v>190.4</v>
      </c>
      <c r="FA390" s="2336">
        <v>2.2000000000000002</v>
      </c>
      <c r="FB390" s="2336">
        <v>4.13</v>
      </c>
      <c r="FC390" s="2336">
        <v>6.93</v>
      </c>
      <c r="FD390" s="2336">
        <v>10.6</v>
      </c>
      <c r="FE390" s="2336">
        <v>14.87</v>
      </c>
      <c r="FF390" s="2336">
        <v>21.47</v>
      </c>
      <c r="FG390" s="2336">
        <v>28.87</v>
      </c>
      <c r="FH390" s="2336">
        <v>42.4</v>
      </c>
      <c r="FI390" s="2336">
        <v>65.27</v>
      </c>
      <c r="FJ390" s="2336">
        <v>94.87</v>
      </c>
      <c r="FK390" s="2336"/>
      <c r="FL390" s="2250"/>
      <c r="FM390" s="2250"/>
      <c r="FN390" s="2333">
        <v>190.4</v>
      </c>
      <c r="FO390" s="2336">
        <v>1.69</v>
      </c>
      <c r="FP390" s="2336">
        <v>3.15</v>
      </c>
      <c r="FQ390" s="2336">
        <v>5.23</v>
      </c>
      <c r="FR390" s="2336">
        <v>8.08</v>
      </c>
      <c r="FS390" s="2336">
        <v>11.31</v>
      </c>
      <c r="FT390" s="2336">
        <v>16.38</v>
      </c>
      <c r="FU390" s="2336">
        <v>22</v>
      </c>
      <c r="FV390" s="2336">
        <v>32.31</v>
      </c>
      <c r="FW390" s="2336">
        <v>49.77</v>
      </c>
      <c r="FX390" s="2336">
        <v>72.150000000000006</v>
      </c>
      <c r="FY390" s="2336"/>
      <c r="FZ390" s="2250"/>
      <c r="GA390" s="2250"/>
      <c r="GB390" s="1302">
        <v>29.3</v>
      </c>
      <c r="GC390" s="1302">
        <v>34.200000000000003</v>
      </c>
      <c r="GD390" s="2250"/>
      <c r="GE390" s="2275"/>
      <c r="GF390" s="2333">
        <v>190.4</v>
      </c>
      <c r="GG390" s="2336">
        <v>0</v>
      </c>
      <c r="GH390" s="2336">
        <v>0</v>
      </c>
      <c r="GI390" s="2336">
        <v>0</v>
      </c>
      <c r="GJ390" s="2336">
        <v>0</v>
      </c>
      <c r="GK390" s="2336">
        <v>0</v>
      </c>
      <c r="GL390" s="2336">
        <v>0</v>
      </c>
      <c r="GM390" s="2336">
        <v>0</v>
      </c>
      <c r="GN390" s="2336">
        <v>0</v>
      </c>
      <c r="GO390" s="2336">
        <v>0</v>
      </c>
      <c r="GP390" s="2336">
        <v>0</v>
      </c>
      <c r="GQ390" s="2336">
        <v>0</v>
      </c>
      <c r="GR390" s="2250"/>
      <c r="GS390" s="2250"/>
      <c r="GT390" s="2333">
        <v>190.4</v>
      </c>
      <c r="GU390" s="2336">
        <v>2.76</v>
      </c>
      <c r="GV390" s="2336">
        <v>5.34</v>
      </c>
      <c r="GW390" s="2336">
        <v>9.26</v>
      </c>
      <c r="GX390" s="2336">
        <v>14.72</v>
      </c>
      <c r="GY390" s="2336">
        <v>20.86</v>
      </c>
      <c r="GZ390" s="2336">
        <v>30.12</v>
      </c>
      <c r="HA390" s="2336">
        <v>40.43</v>
      </c>
      <c r="HB390" s="2336">
        <v>58.34</v>
      </c>
      <c r="HC390" s="2336">
        <v>91.47</v>
      </c>
      <c r="HD390" s="2336">
        <v>132.58000000000001</v>
      </c>
      <c r="HE390" s="2336"/>
      <c r="HF390" s="2250"/>
      <c r="HG390" s="2250"/>
      <c r="HH390" s="2333">
        <v>190.4</v>
      </c>
      <c r="HI390" s="2336">
        <v>2.2000000000000002</v>
      </c>
      <c r="HJ390" s="2336">
        <v>4.13</v>
      </c>
      <c r="HK390" s="2336">
        <v>6.93</v>
      </c>
      <c r="HL390" s="2336">
        <v>10.6</v>
      </c>
      <c r="HM390" s="2336">
        <v>14.87</v>
      </c>
      <c r="HN390" s="2336">
        <v>21.47</v>
      </c>
      <c r="HO390" s="2336">
        <v>28.87</v>
      </c>
      <c r="HP390" s="2336">
        <v>42.4</v>
      </c>
      <c r="HQ390" s="2336">
        <v>65.27</v>
      </c>
      <c r="HR390" s="2336">
        <v>94.87</v>
      </c>
      <c r="HS390" s="2336"/>
      <c r="HT390" s="2250"/>
      <c r="HU390" s="2250"/>
      <c r="HV390" s="2333">
        <v>190.4</v>
      </c>
      <c r="HW390" s="2336">
        <v>1.69</v>
      </c>
      <c r="HX390" s="2336">
        <v>3.15</v>
      </c>
      <c r="HY390" s="2336">
        <v>5.23</v>
      </c>
      <c r="HZ390" s="2336">
        <v>8.08</v>
      </c>
      <c r="IA390" s="2336">
        <v>11.31</v>
      </c>
      <c r="IB390" s="2336">
        <v>16.38</v>
      </c>
      <c r="IC390" s="2336">
        <v>22</v>
      </c>
      <c r="ID390" s="2336">
        <v>32.31</v>
      </c>
      <c r="IE390" s="2336">
        <v>49.77</v>
      </c>
      <c r="IF390" s="2336">
        <v>72.150000000000006</v>
      </c>
      <c r="IG390" s="2336"/>
      <c r="IH390" s="2250"/>
      <c r="II390" s="2250"/>
      <c r="IJ390" s="2250"/>
      <c r="IK390" s="53"/>
      <c r="IL390" s="53"/>
      <c r="IN390" s="277"/>
      <c r="IO390" s="277"/>
    </row>
    <row r="391" spans="1:249" ht="21.95" customHeight="1">
      <c r="A391" s="2275"/>
      <c r="B391" s="2333">
        <v>177.81</v>
      </c>
      <c r="C391" s="2336">
        <v>0</v>
      </c>
      <c r="D391" s="2336">
        <v>0</v>
      </c>
      <c r="E391" s="2336">
        <v>0</v>
      </c>
      <c r="F391" s="2336">
        <v>0</v>
      </c>
      <c r="G391" s="2336">
        <v>0</v>
      </c>
      <c r="H391" s="2336">
        <v>0</v>
      </c>
      <c r="I391" s="2336">
        <v>0</v>
      </c>
      <c r="J391" s="2336">
        <v>0</v>
      </c>
      <c r="K391" s="2336">
        <v>0</v>
      </c>
      <c r="L391" s="2336">
        <v>0</v>
      </c>
      <c r="M391" s="2336">
        <v>0</v>
      </c>
      <c r="N391" s="2250"/>
      <c r="O391" s="2250"/>
      <c r="P391" s="2333">
        <v>177.81</v>
      </c>
      <c r="Q391" s="2336">
        <v>2.94</v>
      </c>
      <c r="R391" s="2336">
        <v>5.77</v>
      </c>
      <c r="S391" s="2336">
        <v>9.94</v>
      </c>
      <c r="T391" s="2336">
        <v>15.83</v>
      </c>
      <c r="U391" s="2336">
        <v>20.86</v>
      </c>
      <c r="V391" s="2336">
        <v>31.72</v>
      </c>
      <c r="W391" s="2336">
        <v>47.85</v>
      </c>
      <c r="X391" s="2336">
        <v>62.58</v>
      </c>
      <c r="Y391" s="2336">
        <v>98.71</v>
      </c>
      <c r="Z391" s="2336">
        <v>132.58000000000001</v>
      </c>
      <c r="AA391" s="2336"/>
      <c r="AB391" s="2250"/>
      <c r="AC391" s="2250"/>
      <c r="AD391" s="2333">
        <v>177.81</v>
      </c>
      <c r="AE391" s="2336">
        <v>2.4</v>
      </c>
      <c r="AF391" s="2336">
        <v>4.5999999999999996</v>
      </c>
      <c r="AG391" s="2336">
        <v>7.33</v>
      </c>
      <c r="AH391" s="2336">
        <v>11.8</v>
      </c>
      <c r="AI391" s="2336">
        <v>14.93</v>
      </c>
      <c r="AJ391" s="2336">
        <v>22.93</v>
      </c>
      <c r="AK391" s="2336">
        <v>32</v>
      </c>
      <c r="AL391" s="2336">
        <v>46.93</v>
      </c>
      <c r="AM391" s="2336">
        <v>71.33</v>
      </c>
      <c r="AN391" s="2336">
        <v>95.8</v>
      </c>
      <c r="AO391" s="2336"/>
      <c r="AP391" s="2250"/>
      <c r="AQ391" s="2250"/>
      <c r="AR391" s="2333">
        <v>177.81</v>
      </c>
      <c r="AS391" s="2336">
        <v>1.85</v>
      </c>
      <c r="AT391" s="2336">
        <v>3.54</v>
      </c>
      <c r="AU391" s="2336">
        <v>5.54</v>
      </c>
      <c r="AV391" s="2336">
        <v>9</v>
      </c>
      <c r="AW391" s="2336">
        <v>11.38</v>
      </c>
      <c r="AX391" s="2336">
        <v>17.309999999999999</v>
      </c>
      <c r="AY391" s="2336">
        <v>24.38</v>
      </c>
      <c r="AZ391" s="2336">
        <v>35.85</v>
      </c>
      <c r="BA391" s="2336">
        <v>53.77</v>
      </c>
      <c r="BB391" s="2336">
        <v>72.150000000000006</v>
      </c>
      <c r="BC391" s="2336"/>
      <c r="BD391" s="2250"/>
      <c r="BE391" s="2250"/>
      <c r="BF391" s="1302">
        <v>34.200000000000003</v>
      </c>
      <c r="BG391" s="1302">
        <v>38.799999999999997</v>
      </c>
      <c r="BH391" s="2250"/>
      <c r="BI391" s="2275"/>
      <c r="BJ391" s="2333">
        <v>177.81</v>
      </c>
      <c r="BK391" s="2336">
        <v>0</v>
      </c>
      <c r="BL391" s="2336">
        <v>0</v>
      </c>
      <c r="BM391" s="2336">
        <v>0</v>
      </c>
      <c r="BN391" s="2336">
        <v>0</v>
      </c>
      <c r="BO391" s="2336">
        <v>0</v>
      </c>
      <c r="BP391" s="2336">
        <v>0</v>
      </c>
      <c r="BQ391" s="2336">
        <v>0</v>
      </c>
      <c r="BR391" s="2336">
        <v>0</v>
      </c>
      <c r="BS391" s="2336">
        <v>0</v>
      </c>
      <c r="BT391" s="2336">
        <v>0</v>
      </c>
      <c r="BU391" s="2336">
        <v>0</v>
      </c>
      <c r="BV391" s="2250"/>
      <c r="BW391" s="2250"/>
      <c r="BX391" s="2333">
        <v>177.81</v>
      </c>
      <c r="BY391" s="2336">
        <v>2.94</v>
      </c>
      <c r="BZ391" s="2336">
        <v>5.77</v>
      </c>
      <c r="CA391" s="2336">
        <v>9.94</v>
      </c>
      <c r="CB391" s="2336">
        <v>15.83</v>
      </c>
      <c r="CC391" s="2336">
        <v>20.86</v>
      </c>
      <c r="CD391" s="2336">
        <v>31.72</v>
      </c>
      <c r="CE391" s="2336">
        <v>47.85</v>
      </c>
      <c r="CF391" s="2336">
        <v>62.58</v>
      </c>
      <c r="CG391" s="2336">
        <v>98.71</v>
      </c>
      <c r="CH391" s="2336">
        <v>132.58000000000001</v>
      </c>
      <c r="CI391" s="2336"/>
      <c r="CJ391" s="2250"/>
      <c r="CK391" s="2250"/>
      <c r="CL391" s="2333">
        <v>177.81</v>
      </c>
      <c r="CM391" s="2336">
        <v>2.4</v>
      </c>
      <c r="CN391" s="2336">
        <v>4.5999999999999996</v>
      </c>
      <c r="CO391" s="2336">
        <v>7.33</v>
      </c>
      <c r="CP391" s="2336">
        <v>11.8</v>
      </c>
      <c r="CQ391" s="2336">
        <v>14.93</v>
      </c>
      <c r="CR391" s="2336">
        <v>22.93</v>
      </c>
      <c r="CS391" s="2336">
        <v>32</v>
      </c>
      <c r="CT391" s="2336">
        <v>46.93</v>
      </c>
      <c r="CU391" s="2336">
        <v>71.33</v>
      </c>
      <c r="CV391" s="2336">
        <v>95.8</v>
      </c>
      <c r="CW391" s="2336"/>
      <c r="CX391" s="2250"/>
      <c r="CY391" s="2250"/>
      <c r="CZ391" s="2333">
        <v>177.81</v>
      </c>
      <c r="DA391" s="2336">
        <v>1.85</v>
      </c>
      <c r="DB391" s="2336">
        <v>3.54</v>
      </c>
      <c r="DC391" s="2336">
        <v>5.54</v>
      </c>
      <c r="DD391" s="2336">
        <v>9</v>
      </c>
      <c r="DE391" s="2336">
        <v>11.38</v>
      </c>
      <c r="DF391" s="2336">
        <v>17.309999999999999</v>
      </c>
      <c r="DG391" s="2336">
        <v>24.38</v>
      </c>
      <c r="DH391" s="2336">
        <v>35.85</v>
      </c>
      <c r="DI391" s="2336">
        <v>53.77</v>
      </c>
      <c r="DJ391" s="2336">
        <v>72.150000000000006</v>
      </c>
      <c r="DK391" s="2336"/>
      <c r="DL391" s="2250"/>
      <c r="DM391" s="2250"/>
      <c r="DN391" s="2250"/>
      <c r="DO391" s="53"/>
      <c r="DP391" s="53"/>
      <c r="DQ391" s="2277"/>
      <c r="DR391" s="2277"/>
      <c r="DS391" s="277"/>
      <c r="DW391" s="2275"/>
      <c r="DX391" s="2333">
        <v>177.81</v>
      </c>
      <c r="DY391" s="2336">
        <v>0</v>
      </c>
      <c r="DZ391" s="2336">
        <v>0</v>
      </c>
      <c r="EA391" s="2336">
        <v>0</v>
      </c>
      <c r="EB391" s="2336">
        <v>0</v>
      </c>
      <c r="EC391" s="2336">
        <v>0</v>
      </c>
      <c r="ED391" s="2336">
        <v>0</v>
      </c>
      <c r="EE391" s="2336">
        <v>0</v>
      </c>
      <c r="EF391" s="2336">
        <v>0</v>
      </c>
      <c r="EG391" s="2336">
        <v>0</v>
      </c>
      <c r="EH391" s="2336">
        <v>0</v>
      </c>
      <c r="EI391" s="2336">
        <v>0</v>
      </c>
      <c r="EJ391" s="2250"/>
      <c r="EK391" s="2250"/>
      <c r="EL391" s="2333">
        <v>177.81</v>
      </c>
      <c r="EM391" s="2336">
        <v>2.94</v>
      </c>
      <c r="EN391" s="2336">
        <v>5.77</v>
      </c>
      <c r="EO391" s="2336">
        <v>9.94</v>
      </c>
      <c r="EP391" s="2336">
        <v>15.83</v>
      </c>
      <c r="EQ391" s="2336">
        <v>20.86</v>
      </c>
      <c r="ER391" s="2336">
        <v>31.72</v>
      </c>
      <c r="ES391" s="2336">
        <v>47.85</v>
      </c>
      <c r="ET391" s="2336">
        <v>62.58</v>
      </c>
      <c r="EU391" s="2336">
        <v>98.71</v>
      </c>
      <c r="EV391" s="2336">
        <v>132.58000000000001</v>
      </c>
      <c r="EW391" s="2336"/>
      <c r="EX391" s="2250"/>
      <c r="EY391" s="2250"/>
      <c r="EZ391" s="2333">
        <v>177.81</v>
      </c>
      <c r="FA391" s="2336">
        <v>2.4</v>
      </c>
      <c r="FB391" s="2336">
        <v>4.5999999999999996</v>
      </c>
      <c r="FC391" s="2336">
        <v>7.33</v>
      </c>
      <c r="FD391" s="2336">
        <v>11.8</v>
      </c>
      <c r="FE391" s="2336">
        <v>14.93</v>
      </c>
      <c r="FF391" s="2336">
        <v>22.93</v>
      </c>
      <c r="FG391" s="2336">
        <v>32</v>
      </c>
      <c r="FH391" s="2336">
        <v>46.93</v>
      </c>
      <c r="FI391" s="2336">
        <v>71.33</v>
      </c>
      <c r="FJ391" s="2336">
        <v>95.8</v>
      </c>
      <c r="FK391" s="2336"/>
      <c r="FL391" s="2250"/>
      <c r="FM391" s="2250"/>
      <c r="FN391" s="2333">
        <v>177.81</v>
      </c>
      <c r="FO391" s="2336">
        <v>1.85</v>
      </c>
      <c r="FP391" s="2336">
        <v>3.54</v>
      </c>
      <c r="FQ391" s="2336">
        <v>5.54</v>
      </c>
      <c r="FR391" s="2336">
        <v>9</v>
      </c>
      <c r="FS391" s="2336">
        <v>11.38</v>
      </c>
      <c r="FT391" s="2336">
        <v>17.309999999999999</v>
      </c>
      <c r="FU391" s="2336">
        <v>24.38</v>
      </c>
      <c r="FV391" s="2336">
        <v>35.85</v>
      </c>
      <c r="FW391" s="2336">
        <v>53.77</v>
      </c>
      <c r="FX391" s="2336">
        <v>72.150000000000006</v>
      </c>
      <c r="FY391" s="2336"/>
      <c r="FZ391" s="2250"/>
      <c r="GA391" s="2250"/>
      <c r="GB391" s="1302">
        <v>34.200000000000003</v>
      </c>
      <c r="GC391" s="1302">
        <v>38.799999999999997</v>
      </c>
      <c r="GD391" s="2250"/>
      <c r="GE391" s="2275"/>
      <c r="GF391" s="2333">
        <v>177.81</v>
      </c>
      <c r="GG391" s="2336">
        <v>0</v>
      </c>
      <c r="GH391" s="2336">
        <v>0</v>
      </c>
      <c r="GI391" s="2336">
        <v>0</v>
      </c>
      <c r="GJ391" s="2336">
        <v>0</v>
      </c>
      <c r="GK391" s="2336">
        <v>0</v>
      </c>
      <c r="GL391" s="2336">
        <v>0</v>
      </c>
      <c r="GM391" s="2336">
        <v>0</v>
      </c>
      <c r="GN391" s="2336">
        <v>0</v>
      </c>
      <c r="GO391" s="2336">
        <v>0</v>
      </c>
      <c r="GP391" s="2336">
        <v>0</v>
      </c>
      <c r="GQ391" s="2336">
        <v>0</v>
      </c>
      <c r="GR391" s="2250"/>
      <c r="GS391" s="2250"/>
      <c r="GT391" s="2333">
        <v>177.81</v>
      </c>
      <c r="GU391" s="2336">
        <v>2.94</v>
      </c>
      <c r="GV391" s="2336">
        <v>5.77</v>
      </c>
      <c r="GW391" s="2336">
        <v>9.94</v>
      </c>
      <c r="GX391" s="2336">
        <v>15.83</v>
      </c>
      <c r="GY391" s="2336">
        <v>20.86</v>
      </c>
      <c r="GZ391" s="2336">
        <v>31.72</v>
      </c>
      <c r="HA391" s="2336">
        <v>47.85</v>
      </c>
      <c r="HB391" s="2336">
        <v>62.58</v>
      </c>
      <c r="HC391" s="2336">
        <v>98.71</v>
      </c>
      <c r="HD391" s="2336">
        <v>132.58000000000001</v>
      </c>
      <c r="HE391" s="2336"/>
      <c r="HF391" s="2250"/>
      <c r="HG391" s="2250"/>
      <c r="HH391" s="2333">
        <v>177.81</v>
      </c>
      <c r="HI391" s="2336">
        <v>2.4</v>
      </c>
      <c r="HJ391" s="2336">
        <v>4.5999999999999996</v>
      </c>
      <c r="HK391" s="2336">
        <v>7.33</v>
      </c>
      <c r="HL391" s="2336">
        <v>11.8</v>
      </c>
      <c r="HM391" s="2336">
        <v>14.93</v>
      </c>
      <c r="HN391" s="2336">
        <v>22.93</v>
      </c>
      <c r="HO391" s="2336">
        <v>32</v>
      </c>
      <c r="HP391" s="2336">
        <v>46.93</v>
      </c>
      <c r="HQ391" s="2336">
        <v>71.33</v>
      </c>
      <c r="HR391" s="2336">
        <v>95.8</v>
      </c>
      <c r="HS391" s="2336"/>
      <c r="HT391" s="2250"/>
      <c r="HU391" s="2250"/>
      <c r="HV391" s="2333">
        <v>177.81</v>
      </c>
      <c r="HW391" s="2336">
        <v>1.85</v>
      </c>
      <c r="HX391" s="2336">
        <v>3.54</v>
      </c>
      <c r="HY391" s="2336">
        <v>5.54</v>
      </c>
      <c r="HZ391" s="2336">
        <v>9</v>
      </c>
      <c r="IA391" s="2336">
        <v>11.38</v>
      </c>
      <c r="IB391" s="2336">
        <v>17.309999999999999</v>
      </c>
      <c r="IC391" s="2336">
        <v>24.38</v>
      </c>
      <c r="ID391" s="2336">
        <v>35.85</v>
      </c>
      <c r="IE391" s="2336">
        <v>53.77</v>
      </c>
      <c r="IF391" s="2336">
        <v>72.150000000000006</v>
      </c>
      <c r="IG391" s="2336"/>
      <c r="IH391" s="2250"/>
      <c r="II391" s="2250"/>
      <c r="IJ391" s="2250"/>
      <c r="IK391" s="53"/>
      <c r="IL391" s="53"/>
      <c r="IN391" s="277"/>
      <c r="IO391" s="277"/>
    </row>
    <row r="392" spans="1:249" ht="21.95" customHeight="1">
      <c r="B392" s="2333">
        <v>165.9</v>
      </c>
      <c r="C392" s="2336">
        <v>0</v>
      </c>
      <c r="D392" s="2336">
        <v>0</v>
      </c>
      <c r="E392" s="2336">
        <v>0</v>
      </c>
      <c r="F392" s="2336">
        <v>0</v>
      </c>
      <c r="G392" s="2336">
        <v>0</v>
      </c>
      <c r="H392" s="2336">
        <v>0</v>
      </c>
      <c r="I392" s="2336">
        <v>0</v>
      </c>
      <c r="J392" s="2336">
        <v>0</v>
      </c>
      <c r="K392" s="2336">
        <v>0</v>
      </c>
      <c r="L392" s="2336">
        <v>0</v>
      </c>
      <c r="M392" s="2336">
        <v>0</v>
      </c>
      <c r="N392" s="2250"/>
      <c r="O392" s="2250"/>
      <c r="P392" s="2333">
        <v>165.9</v>
      </c>
      <c r="Q392" s="2336">
        <v>3.13</v>
      </c>
      <c r="R392" s="2336">
        <v>6.13</v>
      </c>
      <c r="S392" s="2336">
        <v>10.18</v>
      </c>
      <c r="T392" s="2336">
        <v>16.809999999999999</v>
      </c>
      <c r="U392" s="2336">
        <v>23.19</v>
      </c>
      <c r="V392" s="2336">
        <v>31.72</v>
      </c>
      <c r="W392" s="2336">
        <v>48.71</v>
      </c>
      <c r="X392" s="2336">
        <v>66.5</v>
      </c>
      <c r="Y392" s="2336">
        <v>98.71</v>
      </c>
      <c r="Z392" s="2336">
        <v>139.75</v>
      </c>
      <c r="AA392" s="2336"/>
      <c r="AB392" s="2250"/>
      <c r="AC392" s="2250"/>
      <c r="AD392" s="2333">
        <v>165.9</v>
      </c>
      <c r="AE392" s="2336">
        <v>2.6</v>
      </c>
      <c r="AF392" s="2336">
        <v>5</v>
      </c>
      <c r="AG392" s="2336">
        <v>7.33</v>
      </c>
      <c r="AH392" s="2336">
        <v>12.93</v>
      </c>
      <c r="AI392" s="2336">
        <v>16.600000000000001</v>
      </c>
      <c r="AJ392" s="2336">
        <v>22.93</v>
      </c>
      <c r="AK392" s="2336">
        <v>34.93</v>
      </c>
      <c r="AL392" s="2336">
        <v>51.27</v>
      </c>
      <c r="AM392" s="2336">
        <v>71.33</v>
      </c>
      <c r="AN392" s="2336">
        <v>100.67</v>
      </c>
      <c r="AO392" s="2336"/>
      <c r="AP392" s="2250"/>
      <c r="AQ392" s="2250"/>
      <c r="AR392" s="2333">
        <v>165.9</v>
      </c>
      <c r="AS392" s="2336">
        <v>2.08</v>
      </c>
      <c r="AT392" s="2336">
        <v>3.85</v>
      </c>
      <c r="AU392" s="2336">
        <v>5.54</v>
      </c>
      <c r="AV392" s="2336">
        <v>9.85</v>
      </c>
      <c r="AW392" s="2336">
        <v>12.62</v>
      </c>
      <c r="AX392" s="2336">
        <v>17.309999999999999</v>
      </c>
      <c r="AY392" s="2336">
        <v>26.62</v>
      </c>
      <c r="AZ392" s="2336">
        <v>38.619999999999997</v>
      </c>
      <c r="BA392" s="2336">
        <v>53.77</v>
      </c>
      <c r="BB392" s="2336">
        <v>76.150000000000006</v>
      </c>
      <c r="BC392" s="2336"/>
      <c r="BD392" s="2250"/>
      <c r="BE392" s="2250"/>
      <c r="BF392" s="1302">
        <v>38.799999999999997</v>
      </c>
      <c r="BG392" s="1302">
        <v>43.9</v>
      </c>
      <c r="BH392" s="2250"/>
      <c r="BI392" s="2275"/>
      <c r="BJ392" s="2333">
        <v>165.9</v>
      </c>
      <c r="BK392" s="2336">
        <v>0</v>
      </c>
      <c r="BL392" s="2336">
        <v>0</v>
      </c>
      <c r="BM392" s="2336">
        <v>0</v>
      </c>
      <c r="BN392" s="2336">
        <v>0</v>
      </c>
      <c r="BO392" s="2336">
        <v>0</v>
      </c>
      <c r="BP392" s="2336">
        <v>0</v>
      </c>
      <c r="BQ392" s="2336">
        <v>0</v>
      </c>
      <c r="BR392" s="2336">
        <v>0</v>
      </c>
      <c r="BS392" s="2336">
        <v>0</v>
      </c>
      <c r="BT392" s="2336">
        <v>0</v>
      </c>
      <c r="BU392" s="2336">
        <v>0</v>
      </c>
      <c r="BV392" s="2250"/>
      <c r="BW392" s="2250"/>
      <c r="BX392" s="2333">
        <v>165.9</v>
      </c>
      <c r="BY392" s="2336">
        <v>3.13</v>
      </c>
      <c r="BZ392" s="2336">
        <v>6.13</v>
      </c>
      <c r="CA392" s="2336">
        <v>10.18</v>
      </c>
      <c r="CB392" s="2336">
        <v>16.809999999999999</v>
      </c>
      <c r="CC392" s="2336">
        <v>23.19</v>
      </c>
      <c r="CD392" s="2336">
        <v>31.72</v>
      </c>
      <c r="CE392" s="2336">
        <v>48.71</v>
      </c>
      <c r="CF392" s="2336">
        <v>66.5</v>
      </c>
      <c r="CG392" s="2336">
        <v>98.71</v>
      </c>
      <c r="CH392" s="2336">
        <v>139.75</v>
      </c>
      <c r="CI392" s="2336"/>
      <c r="CJ392" s="2250"/>
      <c r="CK392" s="2250"/>
      <c r="CL392" s="2333">
        <v>165.9</v>
      </c>
      <c r="CM392" s="2336">
        <v>2.6</v>
      </c>
      <c r="CN392" s="2336">
        <v>5</v>
      </c>
      <c r="CO392" s="2336">
        <v>7.33</v>
      </c>
      <c r="CP392" s="2336">
        <v>12.93</v>
      </c>
      <c r="CQ392" s="2336">
        <v>16.600000000000001</v>
      </c>
      <c r="CR392" s="2336">
        <v>22.93</v>
      </c>
      <c r="CS392" s="2336">
        <v>34.93</v>
      </c>
      <c r="CT392" s="2336">
        <v>51.27</v>
      </c>
      <c r="CU392" s="2336">
        <v>71.33</v>
      </c>
      <c r="CV392" s="2336">
        <v>100.67</v>
      </c>
      <c r="CW392" s="2336"/>
      <c r="CX392" s="2250"/>
      <c r="CY392" s="2250"/>
      <c r="CZ392" s="2333">
        <v>165.9</v>
      </c>
      <c r="DA392" s="2336">
        <v>2.08</v>
      </c>
      <c r="DB392" s="2336">
        <v>3.85</v>
      </c>
      <c r="DC392" s="2336">
        <v>5.54</v>
      </c>
      <c r="DD392" s="2336">
        <v>9.85</v>
      </c>
      <c r="DE392" s="2336">
        <v>12.62</v>
      </c>
      <c r="DF392" s="2336">
        <v>17.309999999999999</v>
      </c>
      <c r="DG392" s="2336">
        <v>26.62</v>
      </c>
      <c r="DH392" s="2336">
        <v>38.619999999999997</v>
      </c>
      <c r="DI392" s="2336">
        <v>53.77</v>
      </c>
      <c r="DJ392" s="2336">
        <v>76.150000000000006</v>
      </c>
      <c r="DK392" s="2336"/>
      <c r="DL392" s="2250"/>
      <c r="DM392" s="2250"/>
      <c r="DN392" s="2250"/>
      <c r="DO392" s="53"/>
      <c r="DP392" s="53"/>
      <c r="DS392" s="277"/>
      <c r="DW392" s="1"/>
      <c r="DX392" s="2333">
        <v>165.9</v>
      </c>
      <c r="DY392" s="2336">
        <v>0</v>
      </c>
      <c r="DZ392" s="2336">
        <v>0</v>
      </c>
      <c r="EA392" s="2336">
        <v>0</v>
      </c>
      <c r="EB392" s="2336">
        <v>0</v>
      </c>
      <c r="EC392" s="2336">
        <v>0</v>
      </c>
      <c r="ED392" s="2336">
        <v>0</v>
      </c>
      <c r="EE392" s="2336">
        <v>0</v>
      </c>
      <c r="EF392" s="2336">
        <v>0</v>
      </c>
      <c r="EG392" s="2336">
        <v>0</v>
      </c>
      <c r="EH392" s="2336">
        <v>0</v>
      </c>
      <c r="EI392" s="2336">
        <v>0</v>
      </c>
      <c r="EJ392" s="2250"/>
      <c r="EK392" s="2250"/>
      <c r="EL392" s="2333">
        <v>165.9</v>
      </c>
      <c r="EM392" s="2336">
        <v>3.13</v>
      </c>
      <c r="EN392" s="2336">
        <v>6.13</v>
      </c>
      <c r="EO392" s="2336">
        <v>10.18</v>
      </c>
      <c r="EP392" s="2336">
        <v>16.809999999999999</v>
      </c>
      <c r="EQ392" s="2336">
        <v>23.19</v>
      </c>
      <c r="ER392" s="2336">
        <v>31.72</v>
      </c>
      <c r="ES392" s="2336">
        <v>48.71</v>
      </c>
      <c r="ET392" s="2336">
        <v>66.5</v>
      </c>
      <c r="EU392" s="2336">
        <v>98.71</v>
      </c>
      <c r="EV392" s="2336">
        <v>139.75</v>
      </c>
      <c r="EW392" s="2336"/>
      <c r="EX392" s="2250"/>
      <c r="EY392" s="2250"/>
      <c r="EZ392" s="2333">
        <v>165.9</v>
      </c>
      <c r="FA392" s="2336">
        <v>2.6</v>
      </c>
      <c r="FB392" s="2336">
        <v>5</v>
      </c>
      <c r="FC392" s="2336">
        <v>7.33</v>
      </c>
      <c r="FD392" s="2336">
        <v>12.93</v>
      </c>
      <c r="FE392" s="2336">
        <v>16.600000000000001</v>
      </c>
      <c r="FF392" s="2336">
        <v>22.93</v>
      </c>
      <c r="FG392" s="2336">
        <v>34.93</v>
      </c>
      <c r="FH392" s="2336">
        <v>51.27</v>
      </c>
      <c r="FI392" s="2336">
        <v>71.33</v>
      </c>
      <c r="FJ392" s="2336">
        <v>100.67</v>
      </c>
      <c r="FK392" s="2336"/>
      <c r="FL392" s="2250"/>
      <c r="FM392" s="2250"/>
      <c r="FN392" s="2333">
        <v>165.9</v>
      </c>
      <c r="FO392" s="2336">
        <v>2.08</v>
      </c>
      <c r="FP392" s="2336">
        <v>3.85</v>
      </c>
      <c r="FQ392" s="2336">
        <v>5.54</v>
      </c>
      <c r="FR392" s="2336">
        <v>9.85</v>
      </c>
      <c r="FS392" s="2336">
        <v>12.62</v>
      </c>
      <c r="FT392" s="2336">
        <v>17.309999999999999</v>
      </c>
      <c r="FU392" s="2336">
        <v>26.62</v>
      </c>
      <c r="FV392" s="2336">
        <v>38.619999999999997</v>
      </c>
      <c r="FW392" s="2336">
        <v>53.77</v>
      </c>
      <c r="FX392" s="2336">
        <v>76.150000000000006</v>
      </c>
      <c r="FY392" s="2336"/>
      <c r="FZ392" s="2250"/>
      <c r="GA392" s="2250"/>
      <c r="GB392" s="1302">
        <v>38.799999999999997</v>
      </c>
      <c r="GC392" s="1302">
        <v>43.9</v>
      </c>
      <c r="GD392" s="2250"/>
      <c r="GE392" s="2275"/>
      <c r="GF392" s="2333">
        <v>165.9</v>
      </c>
      <c r="GG392" s="2336">
        <v>0</v>
      </c>
      <c r="GH392" s="2336">
        <v>0</v>
      </c>
      <c r="GI392" s="2336">
        <v>0</v>
      </c>
      <c r="GJ392" s="2336">
        <v>0</v>
      </c>
      <c r="GK392" s="2336">
        <v>0</v>
      </c>
      <c r="GL392" s="2336">
        <v>0</v>
      </c>
      <c r="GM392" s="2336">
        <v>0</v>
      </c>
      <c r="GN392" s="2336">
        <v>0</v>
      </c>
      <c r="GO392" s="2336">
        <v>0</v>
      </c>
      <c r="GP392" s="2336">
        <v>0</v>
      </c>
      <c r="GQ392" s="2336">
        <v>0</v>
      </c>
      <c r="GR392" s="2250"/>
      <c r="GS392" s="2250"/>
      <c r="GT392" s="2333">
        <v>165.9</v>
      </c>
      <c r="GU392" s="2336">
        <v>3.13</v>
      </c>
      <c r="GV392" s="2336">
        <v>6.13</v>
      </c>
      <c r="GW392" s="2336">
        <v>10.18</v>
      </c>
      <c r="GX392" s="2336">
        <v>16.809999999999999</v>
      </c>
      <c r="GY392" s="2336">
        <v>23.19</v>
      </c>
      <c r="GZ392" s="2336">
        <v>31.72</v>
      </c>
      <c r="HA392" s="2336">
        <v>48.71</v>
      </c>
      <c r="HB392" s="2336">
        <v>66.5</v>
      </c>
      <c r="HC392" s="2336">
        <v>98.71</v>
      </c>
      <c r="HD392" s="2336">
        <v>139.75</v>
      </c>
      <c r="HE392" s="2336"/>
      <c r="HF392" s="2250"/>
      <c r="HG392" s="2250"/>
      <c r="HH392" s="2333">
        <v>165.9</v>
      </c>
      <c r="HI392" s="2336">
        <v>2.6</v>
      </c>
      <c r="HJ392" s="2336">
        <v>5</v>
      </c>
      <c r="HK392" s="2336">
        <v>7.33</v>
      </c>
      <c r="HL392" s="2336">
        <v>12.93</v>
      </c>
      <c r="HM392" s="2336">
        <v>16.600000000000001</v>
      </c>
      <c r="HN392" s="2336">
        <v>22.93</v>
      </c>
      <c r="HO392" s="2336">
        <v>34.93</v>
      </c>
      <c r="HP392" s="2336">
        <v>51.27</v>
      </c>
      <c r="HQ392" s="2336">
        <v>71.33</v>
      </c>
      <c r="HR392" s="2336">
        <v>100.67</v>
      </c>
      <c r="HS392" s="2336"/>
      <c r="HT392" s="2250"/>
      <c r="HU392" s="2250"/>
      <c r="HV392" s="2333">
        <v>165.9</v>
      </c>
      <c r="HW392" s="2336">
        <v>2.08</v>
      </c>
      <c r="HX392" s="2336">
        <v>3.85</v>
      </c>
      <c r="HY392" s="2336">
        <v>5.54</v>
      </c>
      <c r="HZ392" s="2336">
        <v>9.85</v>
      </c>
      <c r="IA392" s="2336">
        <v>12.62</v>
      </c>
      <c r="IB392" s="2336">
        <v>17.309999999999999</v>
      </c>
      <c r="IC392" s="2336">
        <v>26.62</v>
      </c>
      <c r="ID392" s="2336">
        <v>38.619999999999997</v>
      </c>
      <c r="IE392" s="2336">
        <v>53.77</v>
      </c>
      <c r="IF392" s="2336">
        <v>76.150000000000006</v>
      </c>
      <c r="IG392" s="2336"/>
      <c r="IH392" s="2250"/>
      <c r="II392" s="2250"/>
      <c r="IJ392" s="2250"/>
      <c r="IK392" s="53"/>
      <c r="IL392" s="53"/>
      <c r="IN392" s="277"/>
      <c r="IO392" s="277"/>
    </row>
    <row r="393" spans="1:249" ht="21.95" customHeight="1">
      <c r="B393" s="2333">
        <v>162.68</v>
      </c>
      <c r="C393" s="2336">
        <v>0</v>
      </c>
      <c r="D393" s="2336">
        <v>0</v>
      </c>
      <c r="E393" s="2336">
        <v>0</v>
      </c>
      <c r="F393" s="2336">
        <v>0</v>
      </c>
      <c r="G393" s="2336">
        <v>0</v>
      </c>
      <c r="H393" s="2336">
        <v>0</v>
      </c>
      <c r="I393" s="2336">
        <v>0</v>
      </c>
      <c r="J393" s="2336">
        <v>0</v>
      </c>
      <c r="K393" s="2336">
        <v>0</v>
      </c>
      <c r="L393" s="2336">
        <v>0</v>
      </c>
      <c r="M393" s="2336">
        <v>0</v>
      </c>
      <c r="N393" s="2250"/>
      <c r="O393" s="2250"/>
      <c r="P393" s="2333">
        <v>162.68</v>
      </c>
      <c r="Q393" s="2336">
        <v>3.19</v>
      </c>
      <c r="R393" s="2336">
        <v>6.2</v>
      </c>
      <c r="S393" s="2336">
        <v>10.74</v>
      </c>
      <c r="T393" s="2336">
        <v>16.93</v>
      </c>
      <c r="U393" s="2336">
        <v>23.62</v>
      </c>
      <c r="V393" s="2336">
        <v>34.29</v>
      </c>
      <c r="W393" s="2336">
        <v>46.01</v>
      </c>
      <c r="X393" s="2336">
        <v>67.55</v>
      </c>
      <c r="Y393" s="2336">
        <v>104.11</v>
      </c>
      <c r="Z393" s="2336">
        <v>151.29</v>
      </c>
      <c r="AA393" s="2336"/>
      <c r="AB393" s="2250"/>
      <c r="AC393" s="2250"/>
      <c r="AD393" s="2333">
        <v>162.68</v>
      </c>
      <c r="AE393" s="2336">
        <v>2.5299999999999998</v>
      </c>
      <c r="AF393" s="2336">
        <v>4.7300000000000004</v>
      </c>
      <c r="AG393" s="2336">
        <v>7.87</v>
      </c>
      <c r="AH393" s="2336">
        <v>12.13</v>
      </c>
      <c r="AI393" s="2336">
        <v>16.93</v>
      </c>
      <c r="AJ393" s="2336">
        <v>24.53</v>
      </c>
      <c r="AK393" s="2336">
        <v>32.93</v>
      </c>
      <c r="AL393" s="2336">
        <v>48.33</v>
      </c>
      <c r="AM393" s="2336">
        <v>74.400000000000006</v>
      </c>
      <c r="AN393" s="2336">
        <v>108.2</v>
      </c>
      <c r="AO393" s="2336"/>
      <c r="AP393" s="2250"/>
      <c r="AQ393" s="2250"/>
      <c r="AR393" s="2333">
        <v>162.68</v>
      </c>
      <c r="AS393" s="2336">
        <v>1.92</v>
      </c>
      <c r="AT393" s="2336">
        <v>3.62</v>
      </c>
      <c r="AU393" s="2336">
        <v>6</v>
      </c>
      <c r="AV393" s="2336">
        <v>9.23</v>
      </c>
      <c r="AW393" s="2336">
        <v>12.92</v>
      </c>
      <c r="AX393" s="2336">
        <v>18.62</v>
      </c>
      <c r="AY393" s="2336">
        <v>25.08</v>
      </c>
      <c r="AZ393" s="2336">
        <v>36.770000000000003</v>
      </c>
      <c r="BA393" s="2336">
        <v>56.62</v>
      </c>
      <c r="BB393" s="2336">
        <v>82.31</v>
      </c>
      <c r="BC393" s="2336"/>
      <c r="BD393" s="2250"/>
      <c r="BE393" s="2250"/>
      <c r="BF393" s="1302">
        <v>43.9</v>
      </c>
      <c r="BG393" s="1302">
        <v>48.8</v>
      </c>
      <c r="BH393" s="2250"/>
      <c r="BI393" s="2275"/>
      <c r="BJ393" s="2333">
        <v>162.68</v>
      </c>
      <c r="BK393" s="2336">
        <v>0</v>
      </c>
      <c r="BL393" s="2336">
        <v>0</v>
      </c>
      <c r="BM393" s="2336">
        <v>0</v>
      </c>
      <c r="BN393" s="2336">
        <v>0</v>
      </c>
      <c r="BO393" s="2336">
        <v>0</v>
      </c>
      <c r="BP393" s="2336">
        <v>0</v>
      </c>
      <c r="BQ393" s="2336">
        <v>0</v>
      </c>
      <c r="BR393" s="2336">
        <v>0</v>
      </c>
      <c r="BS393" s="2336">
        <v>0</v>
      </c>
      <c r="BT393" s="2336">
        <v>0</v>
      </c>
      <c r="BU393" s="2336">
        <v>0</v>
      </c>
      <c r="BV393" s="2250"/>
      <c r="BW393" s="2250"/>
      <c r="BX393" s="2333">
        <v>162.68</v>
      </c>
      <c r="BY393" s="2336">
        <v>3.19</v>
      </c>
      <c r="BZ393" s="2336">
        <v>6.2</v>
      </c>
      <c r="CA393" s="2336">
        <v>10.74</v>
      </c>
      <c r="CB393" s="2336">
        <v>16.93</v>
      </c>
      <c r="CC393" s="2336">
        <v>23.62</v>
      </c>
      <c r="CD393" s="2336">
        <v>34.29</v>
      </c>
      <c r="CE393" s="2336">
        <v>46.01</v>
      </c>
      <c r="CF393" s="2336">
        <v>67.55</v>
      </c>
      <c r="CG393" s="2336">
        <v>104.11</v>
      </c>
      <c r="CH393" s="2336">
        <v>151.29</v>
      </c>
      <c r="CI393" s="2336"/>
      <c r="CJ393" s="2250"/>
      <c r="CK393" s="2250"/>
      <c r="CL393" s="2333">
        <v>162.68</v>
      </c>
      <c r="CM393" s="2336">
        <v>2.5299999999999998</v>
      </c>
      <c r="CN393" s="2336">
        <v>4.7300000000000004</v>
      </c>
      <c r="CO393" s="2336">
        <v>7.87</v>
      </c>
      <c r="CP393" s="2336">
        <v>12.13</v>
      </c>
      <c r="CQ393" s="2336">
        <v>16.93</v>
      </c>
      <c r="CR393" s="2336">
        <v>24.53</v>
      </c>
      <c r="CS393" s="2336">
        <v>32.93</v>
      </c>
      <c r="CT393" s="2336">
        <v>48.33</v>
      </c>
      <c r="CU393" s="2336">
        <v>74.400000000000006</v>
      </c>
      <c r="CV393" s="2336">
        <v>108.2</v>
      </c>
      <c r="CW393" s="2336"/>
      <c r="CX393" s="2250"/>
      <c r="CY393" s="2250"/>
      <c r="CZ393" s="2333">
        <v>162.68</v>
      </c>
      <c r="DA393" s="2336">
        <v>1.92</v>
      </c>
      <c r="DB393" s="2336">
        <v>3.62</v>
      </c>
      <c r="DC393" s="2336">
        <v>6</v>
      </c>
      <c r="DD393" s="2336">
        <v>9.23</v>
      </c>
      <c r="DE393" s="2336">
        <v>12.92</v>
      </c>
      <c r="DF393" s="2336">
        <v>18.62</v>
      </c>
      <c r="DG393" s="2336">
        <v>25.08</v>
      </c>
      <c r="DH393" s="2336">
        <v>36.770000000000003</v>
      </c>
      <c r="DI393" s="2336">
        <v>56.62</v>
      </c>
      <c r="DJ393" s="2336">
        <v>82.31</v>
      </c>
      <c r="DK393" s="2336"/>
      <c r="DL393" s="2250"/>
      <c r="DM393" s="2250"/>
      <c r="DN393" s="2250"/>
      <c r="DO393" s="53"/>
      <c r="DP393" s="53"/>
      <c r="DS393" s="277"/>
      <c r="DW393" s="1"/>
      <c r="DX393" s="2333">
        <v>162.68</v>
      </c>
      <c r="DY393" s="2336">
        <v>0</v>
      </c>
      <c r="DZ393" s="2336">
        <v>0</v>
      </c>
      <c r="EA393" s="2336">
        <v>0</v>
      </c>
      <c r="EB393" s="2336">
        <v>0</v>
      </c>
      <c r="EC393" s="2336">
        <v>0</v>
      </c>
      <c r="ED393" s="2336">
        <v>0</v>
      </c>
      <c r="EE393" s="2336">
        <v>0</v>
      </c>
      <c r="EF393" s="2336">
        <v>0</v>
      </c>
      <c r="EG393" s="2336">
        <v>0</v>
      </c>
      <c r="EH393" s="2336">
        <v>0</v>
      </c>
      <c r="EI393" s="2336">
        <v>0</v>
      </c>
      <c r="EJ393" s="2250"/>
      <c r="EK393" s="2250"/>
      <c r="EL393" s="2333">
        <v>162.68</v>
      </c>
      <c r="EM393" s="2336">
        <v>3.19</v>
      </c>
      <c r="EN393" s="2336">
        <v>6.2</v>
      </c>
      <c r="EO393" s="2336">
        <v>10.74</v>
      </c>
      <c r="EP393" s="2336">
        <v>16.93</v>
      </c>
      <c r="EQ393" s="2336">
        <v>23.62</v>
      </c>
      <c r="ER393" s="2336">
        <v>34.29</v>
      </c>
      <c r="ES393" s="2336">
        <v>46.01</v>
      </c>
      <c r="ET393" s="2336">
        <v>67.55</v>
      </c>
      <c r="EU393" s="2336">
        <v>104.11</v>
      </c>
      <c r="EV393" s="2336">
        <v>151.29</v>
      </c>
      <c r="EW393" s="2336"/>
      <c r="EX393" s="2250"/>
      <c r="EY393" s="2250"/>
      <c r="EZ393" s="2333">
        <v>162.68</v>
      </c>
      <c r="FA393" s="2336">
        <v>2.5299999999999998</v>
      </c>
      <c r="FB393" s="2336">
        <v>4.7300000000000004</v>
      </c>
      <c r="FC393" s="2336">
        <v>7.87</v>
      </c>
      <c r="FD393" s="2336">
        <v>12.13</v>
      </c>
      <c r="FE393" s="2336">
        <v>16.93</v>
      </c>
      <c r="FF393" s="2336">
        <v>24.53</v>
      </c>
      <c r="FG393" s="2336">
        <v>32.93</v>
      </c>
      <c r="FH393" s="2336">
        <v>48.33</v>
      </c>
      <c r="FI393" s="2336">
        <v>74.400000000000006</v>
      </c>
      <c r="FJ393" s="2336">
        <v>108.2</v>
      </c>
      <c r="FK393" s="2336"/>
      <c r="FL393" s="2250"/>
      <c r="FM393" s="2250"/>
      <c r="FN393" s="2333">
        <v>162.68</v>
      </c>
      <c r="FO393" s="2336">
        <v>1.92</v>
      </c>
      <c r="FP393" s="2336">
        <v>3.62</v>
      </c>
      <c r="FQ393" s="2336">
        <v>6</v>
      </c>
      <c r="FR393" s="2336">
        <v>9.23</v>
      </c>
      <c r="FS393" s="2336">
        <v>12.92</v>
      </c>
      <c r="FT393" s="2336">
        <v>18.62</v>
      </c>
      <c r="FU393" s="2336">
        <v>25.08</v>
      </c>
      <c r="FV393" s="2336">
        <v>36.770000000000003</v>
      </c>
      <c r="FW393" s="2336">
        <v>56.62</v>
      </c>
      <c r="FX393" s="2336">
        <v>82.31</v>
      </c>
      <c r="FY393" s="2336"/>
      <c r="FZ393" s="2250"/>
      <c r="GA393" s="2250"/>
      <c r="GB393" s="1302">
        <v>43.9</v>
      </c>
      <c r="GC393" s="1302">
        <v>48.8</v>
      </c>
      <c r="GD393" s="2250"/>
      <c r="GE393" s="2275"/>
      <c r="GF393" s="2333">
        <v>162.68</v>
      </c>
      <c r="GG393" s="2336">
        <v>0</v>
      </c>
      <c r="GH393" s="2336">
        <v>0</v>
      </c>
      <c r="GI393" s="2336">
        <v>0</v>
      </c>
      <c r="GJ393" s="2336">
        <v>0</v>
      </c>
      <c r="GK393" s="2336">
        <v>0</v>
      </c>
      <c r="GL393" s="2336">
        <v>0</v>
      </c>
      <c r="GM393" s="2336">
        <v>0</v>
      </c>
      <c r="GN393" s="2336">
        <v>0</v>
      </c>
      <c r="GO393" s="2336">
        <v>0</v>
      </c>
      <c r="GP393" s="2336">
        <v>0</v>
      </c>
      <c r="GQ393" s="2336">
        <v>0</v>
      </c>
      <c r="GR393" s="2250"/>
      <c r="GS393" s="2250"/>
      <c r="GT393" s="2333">
        <v>162.68</v>
      </c>
      <c r="GU393" s="2336">
        <v>3.19</v>
      </c>
      <c r="GV393" s="2336">
        <v>6.2</v>
      </c>
      <c r="GW393" s="2336">
        <v>10.74</v>
      </c>
      <c r="GX393" s="2336">
        <v>16.93</v>
      </c>
      <c r="GY393" s="2336">
        <v>23.62</v>
      </c>
      <c r="GZ393" s="2336">
        <v>34.29</v>
      </c>
      <c r="HA393" s="2336">
        <v>46.01</v>
      </c>
      <c r="HB393" s="2336">
        <v>67.55</v>
      </c>
      <c r="HC393" s="2336">
        <v>104.11</v>
      </c>
      <c r="HD393" s="2336">
        <v>151.29</v>
      </c>
      <c r="HE393" s="2336"/>
      <c r="HF393" s="2250"/>
      <c r="HG393" s="2250"/>
      <c r="HH393" s="2333">
        <v>162.68</v>
      </c>
      <c r="HI393" s="2336">
        <v>2.5299999999999998</v>
      </c>
      <c r="HJ393" s="2336">
        <v>4.7300000000000004</v>
      </c>
      <c r="HK393" s="2336">
        <v>7.87</v>
      </c>
      <c r="HL393" s="2336">
        <v>12.13</v>
      </c>
      <c r="HM393" s="2336">
        <v>16.93</v>
      </c>
      <c r="HN393" s="2336">
        <v>24.53</v>
      </c>
      <c r="HO393" s="2336">
        <v>32.93</v>
      </c>
      <c r="HP393" s="2336">
        <v>48.33</v>
      </c>
      <c r="HQ393" s="2336">
        <v>74.400000000000006</v>
      </c>
      <c r="HR393" s="2336">
        <v>108.2</v>
      </c>
      <c r="HS393" s="2336"/>
      <c r="HT393" s="2250"/>
      <c r="HU393" s="2250"/>
      <c r="HV393" s="2333">
        <v>162.68</v>
      </c>
      <c r="HW393" s="2336">
        <v>1.92</v>
      </c>
      <c r="HX393" s="2336">
        <v>3.62</v>
      </c>
      <c r="HY393" s="2336">
        <v>6</v>
      </c>
      <c r="HZ393" s="2336">
        <v>9.23</v>
      </c>
      <c r="IA393" s="2336">
        <v>12.92</v>
      </c>
      <c r="IB393" s="2336">
        <v>18.62</v>
      </c>
      <c r="IC393" s="2336">
        <v>25.08</v>
      </c>
      <c r="ID393" s="2336">
        <v>36.770000000000003</v>
      </c>
      <c r="IE393" s="2336">
        <v>56.62</v>
      </c>
      <c r="IF393" s="2336">
        <v>82.31</v>
      </c>
      <c r="IG393" s="2336"/>
      <c r="IH393" s="2250"/>
      <c r="II393" s="2250"/>
      <c r="IJ393" s="2250"/>
      <c r="IK393" s="53"/>
      <c r="IL393" s="53"/>
      <c r="IN393" s="277"/>
      <c r="IO393" s="277"/>
    </row>
    <row r="394" spans="1:249" ht="21.95" customHeight="1">
      <c r="B394" s="2333">
        <v>151.30000000000001</v>
      </c>
      <c r="C394" s="2336">
        <v>0</v>
      </c>
      <c r="D394" s="2336">
        <v>0</v>
      </c>
      <c r="E394" s="2336">
        <v>0</v>
      </c>
      <c r="F394" s="2336">
        <v>0</v>
      </c>
      <c r="G394" s="2336">
        <v>0</v>
      </c>
      <c r="H394" s="2336">
        <v>0</v>
      </c>
      <c r="I394" s="2336">
        <v>0</v>
      </c>
      <c r="J394" s="2336">
        <v>0</v>
      </c>
      <c r="K394" s="2336">
        <v>0</v>
      </c>
      <c r="L394" s="2336">
        <v>0</v>
      </c>
      <c r="M394" s="2336">
        <v>0</v>
      </c>
      <c r="N394" s="2250"/>
      <c r="O394" s="2250"/>
      <c r="P394" s="2333">
        <v>151.30000000000001</v>
      </c>
      <c r="Q394" s="2336">
        <v>3.44</v>
      </c>
      <c r="R394" s="2336">
        <v>6.69</v>
      </c>
      <c r="S394" s="2336">
        <v>11.53</v>
      </c>
      <c r="T394" s="2336">
        <v>18.28</v>
      </c>
      <c r="U394" s="2336">
        <v>26.01</v>
      </c>
      <c r="V394" s="2336">
        <v>37.979999999999997</v>
      </c>
      <c r="W394" s="2336">
        <v>50.98</v>
      </c>
      <c r="X394" s="2336">
        <v>72.33</v>
      </c>
      <c r="Y394" s="2336">
        <v>114.91</v>
      </c>
      <c r="Z394" s="2336">
        <v>158.9</v>
      </c>
      <c r="AA394" s="2336"/>
      <c r="AB394" s="2250"/>
      <c r="AC394" s="2250"/>
      <c r="AD394" s="2333">
        <v>151.30000000000001</v>
      </c>
      <c r="AE394" s="2336">
        <v>2.8</v>
      </c>
      <c r="AF394" s="2336">
        <v>5.27</v>
      </c>
      <c r="AG394" s="2336">
        <v>8.73</v>
      </c>
      <c r="AH394" s="2336">
        <v>13.4</v>
      </c>
      <c r="AI394" s="2336">
        <v>18.670000000000002</v>
      </c>
      <c r="AJ394" s="2336">
        <v>27.13</v>
      </c>
      <c r="AK394" s="2336">
        <v>36.47</v>
      </c>
      <c r="AL394" s="2336">
        <v>53.53</v>
      </c>
      <c r="AM394" s="2336">
        <v>82.4</v>
      </c>
      <c r="AN394" s="2336">
        <v>115.13</v>
      </c>
      <c r="AO394" s="2336"/>
      <c r="AP394" s="2250"/>
      <c r="AQ394" s="2250"/>
      <c r="AR394" s="2333">
        <v>151.30000000000001</v>
      </c>
      <c r="AS394" s="2336">
        <v>2.15</v>
      </c>
      <c r="AT394" s="2336">
        <v>4</v>
      </c>
      <c r="AU394" s="2336">
        <v>6.62</v>
      </c>
      <c r="AV394" s="2336">
        <v>10.23</v>
      </c>
      <c r="AW394" s="2336">
        <v>14.15</v>
      </c>
      <c r="AX394" s="2336">
        <v>20.62</v>
      </c>
      <c r="AY394" s="2336">
        <v>27.77</v>
      </c>
      <c r="AZ394" s="2336">
        <v>40.770000000000003</v>
      </c>
      <c r="BA394" s="2336">
        <v>62.77</v>
      </c>
      <c r="BB394" s="2336">
        <v>86.77</v>
      </c>
      <c r="BC394" s="2336"/>
      <c r="BD394" s="2250"/>
      <c r="BE394" s="2250"/>
      <c r="BF394" s="1302">
        <v>48.8</v>
      </c>
      <c r="BG394" s="1302">
        <v>53.7</v>
      </c>
      <c r="BH394" s="2250"/>
      <c r="BI394" s="2275"/>
      <c r="BJ394" s="2333">
        <v>151.30000000000001</v>
      </c>
      <c r="BK394" s="2336">
        <v>0</v>
      </c>
      <c r="BL394" s="2336">
        <v>0</v>
      </c>
      <c r="BM394" s="2336">
        <v>0</v>
      </c>
      <c r="BN394" s="2336">
        <v>0</v>
      </c>
      <c r="BO394" s="2336">
        <v>0</v>
      </c>
      <c r="BP394" s="2336">
        <v>0</v>
      </c>
      <c r="BQ394" s="2336">
        <v>0</v>
      </c>
      <c r="BR394" s="2336">
        <v>0</v>
      </c>
      <c r="BS394" s="2336">
        <v>0</v>
      </c>
      <c r="BT394" s="2336">
        <v>0</v>
      </c>
      <c r="BU394" s="2336">
        <v>0</v>
      </c>
      <c r="BV394" s="2250"/>
      <c r="BW394" s="2250"/>
      <c r="BX394" s="2333">
        <v>151.30000000000001</v>
      </c>
      <c r="BY394" s="2336">
        <v>3.44</v>
      </c>
      <c r="BZ394" s="2336">
        <v>6.69</v>
      </c>
      <c r="CA394" s="2336">
        <v>11.53</v>
      </c>
      <c r="CB394" s="2336">
        <v>18.28</v>
      </c>
      <c r="CC394" s="2336">
        <v>26.01</v>
      </c>
      <c r="CD394" s="2336">
        <v>37.979999999999997</v>
      </c>
      <c r="CE394" s="2336">
        <v>50.98</v>
      </c>
      <c r="CF394" s="2336">
        <v>72.33</v>
      </c>
      <c r="CG394" s="2336">
        <v>114.91</v>
      </c>
      <c r="CH394" s="2336">
        <v>158.9</v>
      </c>
      <c r="CI394" s="2336"/>
      <c r="CJ394" s="2250"/>
      <c r="CK394" s="2250"/>
      <c r="CL394" s="2333">
        <v>151.30000000000001</v>
      </c>
      <c r="CM394" s="2336">
        <v>2.8</v>
      </c>
      <c r="CN394" s="2336">
        <v>5.27</v>
      </c>
      <c r="CO394" s="2336">
        <v>8.73</v>
      </c>
      <c r="CP394" s="2336">
        <v>13.4</v>
      </c>
      <c r="CQ394" s="2336">
        <v>18.670000000000002</v>
      </c>
      <c r="CR394" s="2336">
        <v>27.13</v>
      </c>
      <c r="CS394" s="2336">
        <v>36.47</v>
      </c>
      <c r="CT394" s="2336">
        <v>53.53</v>
      </c>
      <c r="CU394" s="2336">
        <v>82.4</v>
      </c>
      <c r="CV394" s="2336">
        <v>115.13</v>
      </c>
      <c r="CW394" s="2336"/>
      <c r="CX394" s="2250"/>
      <c r="CY394" s="2250"/>
      <c r="CZ394" s="2333">
        <v>151.30000000000001</v>
      </c>
      <c r="DA394" s="2336">
        <v>2.15</v>
      </c>
      <c r="DB394" s="2336">
        <v>4</v>
      </c>
      <c r="DC394" s="2336">
        <v>6.62</v>
      </c>
      <c r="DD394" s="2336">
        <v>10.23</v>
      </c>
      <c r="DE394" s="2336">
        <v>14.15</v>
      </c>
      <c r="DF394" s="2336">
        <v>20.62</v>
      </c>
      <c r="DG394" s="2336">
        <v>27.77</v>
      </c>
      <c r="DH394" s="2336">
        <v>40.770000000000003</v>
      </c>
      <c r="DI394" s="2336">
        <v>62.77</v>
      </c>
      <c r="DJ394" s="2336">
        <v>86.77</v>
      </c>
      <c r="DK394" s="2336"/>
      <c r="DL394" s="2250"/>
      <c r="DM394" s="2250"/>
      <c r="DN394" s="2250"/>
      <c r="DO394" s="53"/>
      <c r="DP394" s="53"/>
      <c r="DS394" s="277"/>
      <c r="DW394" s="1"/>
      <c r="DX394" s="2333">
        <v>151.30000000000001</v>
      </c>
      <c r="DY394" s="2336">
        <v>0</v>
      </c>
      <c r="DZ394" s="2336">
        <v>0</v>
      </c>
      <c r="EA394" s="2336">
        <v>0</v>
      </c>
      <c r="EB394" s="2336">
        <v>0</v>
      </c>
      <c r="EC394" s="2336">
        <v>0</v>
      </c>
      <c r="ED394" s="2336">
        <v>0</v>
      </c>
      <c r="EE394" s="2336">
        <v>0</v>
      </c>
      <c r="EF394" s="2336">
        <v>0</v>
      </c>
      <c r="EG394" s="2336">
        <v>0</v>
      </c>
      <c r="EH394" s="2336">
        <v>0</v>
      </c>
      <c r="EI394" s="2336">
        <v>0</v>
      </c>
      <c r="EJ394" s="2250"/>
      <c r="EK394" s="2250"/>
      <c r="EL394" s="2333">
        <v>151.30000000000001</v>
      </c>
      <c r="EM394" s="2336">
        <v>3.44</v>
      </c>
      <c r="EN394" s="2336">
        <v>6.69</v>
      </c>
      <c r="EO394" s="2336">
        <v>11.53</v>
      </c>
      <c r="EP394" s="2336">
        <v>18.28</v>
      </c>
      <c r="EQ394" s="2336">
        <v>26.01</v>
      </c>
      <c r="ER394" s="2336">
        <v>37.979999999999997</v>
      </c>
      <c r="ES394" s="2336">
        <v>50.98</v>
      </c>
      <c r="ET394" s="2336">
        <v>72.33</v>
      </c>
      <c r="EU394" s="2336">
        <v>114.91</v>
      </c>
      <c r="EV394" s="2336">
        <v>158.9</v>
      </c>
      <c r="EW394" s="2336"/>
      <c r="EX394" s="2250"/>
      <c r="EY394" s="2250"/>
      <c r="EZ394" s="2333">
        <v>151.30000000000001</v>
      </c>
      <c r="FA394" s="2336">
        <v>2.8</v>
      </c>
      <c r="FB394" s="2336">
        <v>5.27</v>
      </c>
      <c r="FC394" s="2336">
        <v>8.73</v>
      </c>
      <c r="FD394" s="2336">
        <v>13.4</v>
      </c>
      <c r="FE394" s="2336">
        <v>18.670000000000002</v>
      </c>
      <c r="FF394" s="2336">
        <v>27.13</v>
      </c>
      <c r="FG394" s="2336">
        <v>36.47</v>
      </c>
      <c r="FH394" s="2336">
        <v>53.53</v>
      </c>
      <c r="FI394" s="2336">
        <v>82.4</v>
      </c>
      <c r="FJ394" s="2336">
        <v>115.13</v>
      </c>
      <c r="FK394" s="2336"/>
      <c r="FL394" s="2250"/>
      <c r="FM394" s="2250"/>
      <c r="FN394" s="2333">
        <v>151.30000000000001</v>
      </c>
      <c r="FO394" s="2336">
        <v>2.15</v>
      </c>
      <c r="FP394" s="2336">
        <v>4</v>
      </c>
      <c r="FQ394" s="2336">
        <v>6.62</v>
      </c>
      <c r="FR394" s="2336">
        <v>10.23</v>
      </c>
      <c r="FS394" s="2336">
        <v>14.15</v>
      </c>
      <c r="FT394" s="2336">
        <v>20.62</v>
      </c>
      <c r="FU394" s="2336">
        <v>27.77</v>
      </c>
      <c r="FV394" s="2336">
        <v>40.770000000000003</v>
      </c>
      <c r="FW394" s="2336">
        <v>62.77</v>
      </c>
      <c r="FX394" s="2336">
        <v>86.77</v>
      </c>
      <c r="FY394" s="2336"/>
      <c r="FZ394" s="2250"/>
      <c r="GA394" s="2250"/>
      <c r="GB394" s="1302">
        <v>48.8</v>
      </c>
      <c r="GC394" s="1302">
        <v>53.7</v>
      </c>
      <c r="GD394" s="2250"/>
      <c r="GE394" s="2275"/>
      <c r="GF394" s="2333">
        <v>151.30000000000001</v>
      </c>
      <c r="GG394" s="2336">
        <v>0</v>
      </c>
      <c r="GH394" s="2336">
        <v>0</v>
      </c>
      <c r="GI394" s="2336">
        <v>0</v>
      </c>
      <c r="GJ394" s="2336">
        <v>0</v>
      </c>
      <c r="GK394" s="2336">
        <v>0</v>
      </c>
      <c r="GL394" s="2336">
        <v>0</v>
      </c>
      <c r="GM394" s="2336">
        <v>0</v>
      </c>
      <c r="GN394" s="2336">
        <v>0</v>
      </c>
      <c r="GO394" s="2336">
        <v>0</v>
      </c>
      <c r="GP394" s="2336">
        <v>0</v>
      </c>
      <c r="GQ394" s="2336">
        <v>0</v>
      </c>
      <c r="GR394" s="2250"/>
      <c r="GS394" s="2250"/>
      <c r="GT394" s="2333">
        <v>151.30000000000001</v>
      </c>
      <c r="GU394" s="2336">
        <v>3.44</v>
      </c>
      <c r="GV394" s="2336">
        <v>6.69</v>
      </c>
      <c r="GW394" s="2336">
        <v>11.53</v>
      </c>
      <c r="GX394" s="2336">
        <v>18.28</v>
      </c>
      <c r="GY394" s="2336">
        <v>26.01</v>
      </c>
      <c r="GZ394" s="2336">
        <v>37.979999999999997</v>
      </c>
      <c r="HA394" s="2336">
        <v>50.98</v>
      </c>
      <c r="HB394" s="2336">
        <v>72.33</v>
      </c>
      <c r="HC394" s="2336">
        <v>114.91</v>
      </c>
      <c r="HD394" s="2336">
        <v>158.9</v>
      </c>
      <c r="HE394" s="2336"/>
      <c r="HF394" s="2250"/>
      <c r="HG394" s="2250"/>
      <c r="HH394" s="2333">
        <v>151.30000000000001</v>
      </c>
      <c r="HI394" s="2336">
        <v>2.8</v>
      </c>
      <c r="HJ394" s="2336">
        <v>5.27</v>
      </c>
      <c r="HK394" s="2336">
        <v>8.73</v>
      </c>
      <c r="HL394" s="2336">
        <v>13.4</v>
      </c>
      <c r="HM394" s="2336">
        <v>18.670000000000002</v>
      </c>
      <c r="HN394" s="2336">
        <v>27.13</v>
      </c>
      <c r="HO394" s="2336">
        <v>36.47</v>
      </c>
      <c r="HP394" s="2336">
        <v>53.53</v>
      </c>
      <c r="HQ394" s="2336">
        <v>82.4</v>
      </c>
      <c r="HR394" s="2336">
        <v>115.13</v>
      </c>
      <c r="HS394" s="2336"/>
      <c r="HT394" s="2250"/>
      <c r="HU394" s="2250"/>
      <c r="HV394" s="2333">
        <v>151.30000000000001</v>
      </c>
      <c r="HW394" s="2336">
        <v>2.15</v>
      </c>
      <c r="HX394" s="2336">
        <v>4</v>
      </c>
      <c r="HY394" s="2336">
        <v>6.62</v>
      </c>
      <c r="HZ394" s="2336">
        <v>10.23</v>
      </c>
      <c r="IA394" s="2336">
        <v>14.15</v>
      </c>
      <c r="IB394" s="2336">
        <v>20.62</v>
      </c>
      <c r="IC394" s="2336">
        <v>27.77</v>
      </c>
      <c r="ID394" s="2336">
        <v>40.770000000000003</v>
      </c>
      <c r="IE394" s="2336">
        <v>62.77</v>
      </c>
      <c r="IF394" s="2336">
        <v>86.77</v>
      </c>
      <c r="IG394" s="2336"/>
      <c r="IH394" s="2250"/>
      <c r="II394" s="2250"/>
      <c r="IJ394" s="2250"/>
      <c r="IK394" s="53"/>
      <c r="IL394" s="53"/>
      <c r="IN394" s="277"/>
      <c r="IO394" s="277"/>
    </row>
    <row r="395" spans="1:249" ht="21.95" customHeight="1">
      <c r="B395" s="2333">
        <v>140.1</v>
      </c>
      <c r="C395" s="2336">
        <v>0</v>
      </c>
      <c r="D395" s="2336">
        <v>0</v>
      </c>
      <c r="E395" s="2336">
        <v>0</v>
      </c>
      <c r="F395" s="2336">
        <v>0</v>
      </c>
      <c r="G395" s="2336">
        <v>0</v>
      </c>
      <c r="H395" s="2336">
        <v>0</v>
      </c>
      <c r="I395" s="2336">
        <v>0</v>
      </c>
      <c r="J395" s="2336">
        <v>0</v>
      </c>
      <c r="K395" s="2336">
        <v>0</v>
      </c>
      <c r="L395" s="2336">
        <v>0</v>
      </c>
      <c r="M395" s="2336">
        <v>0</v>
      </c>
      <c r="N395" s="2250"/>
      <c r="O395" s="2250"/>
      <c r="P395" s="2333">
        <v>140.1</v>
      </c>
      <c r="Q395" s="2336">
        <v>3.62</v>
      </c>
      <c r="R395" s="2336">
        <v>7.12</v>
      </c>
      <c r="S395" s="2336">
        <v>12.33</v>
      </c>
      <c r="T395" s="2336">
        <v>19.57</v>
      </c>
      <c r="U395" s="2336">
        <v>27.73</v>
      </c>
      <c r="V395" s="2336">
        <v>40.31</v>
      </c>
      <c r="W395" s="2336">
        <v>55.89</v>
      </c>
      <c r="X395" s="2336">
        <v>77.42</v>
      </c>
      <c r="Y395" s="2336">
        <v>122.52</v>
      </c>
      <c r="Z395" s="2336">
        <v>176.01</v>
      </c>
      <c r="AA395" s="2336"/>
      <c r="AB395" s="2250"/>
      <c r="AC395" s="2250"/>
      <c r="AD395" s="2333">
        <v>140.1</v>
      </c>
      <c r="AE395" s="2336">
        <v>3</v>
      </c>
      <c r="AF395" s="2336">
        <v>5.6</v>
      </c>
      <c r="AG395" s="2336">
        <v>9.27</v>
      </c>
      <c r="AH395" s="2336">
        <v>14.27</v>
      </c>
      <c r="AI395" s="2336">
        <v>19.93</v>
      </c>
      <c r="AJ395" s="2336">
        <v>28.87</v>
      </c>
      <c r="AK395" s="2336">
        <v>39.93</v>
      </c>
      <c r="AL395" s="2336">
        <v>57</v>
      </c>
      <c r="AM395" s="2336">
        <v>87.8</v>
      </c>
      <c r="AN395" s="2336">
        <v>127.6</v>
      </c>
      <c r="AO395" s="2336"/>
      <c r="AP395" s="2250"/>
      <c r="AQ395" s="2250"/>
      <c r="AR395" s="2333">
        <v>140.1</v>
      </c>
      <c r="AS395" s="2336">
        <v>2.31</v>
      </c>
      <c r="AT395" s="2336">
        <v>4.2300000000000004</v>
      </c>
      <c r="AU395" s="2336">
        <v>7.08</v>
      </c>
      <c r="AV395" s="2336">
        <v>10.85</v>
      </c>
      <c r="AW395" s="2336">
        <v>15.15</v>
      </c>
      <c r="AX395" s="2336">
        <v>22</v>
      </c>
      <c r="AY395" s="2336">
        <v>30.38</v>
      </c>
      <c r="AZ395" s="2336">
        <v>43.38</v>
      </c>
      <c r="BA395" s="2336">
        <v>66.77</v>
      </c>
      <c r="BB395" s="2336">
        <v>96.15</v>
      </c>
      <c r="BC395" s="2336"/>
      <c r="BD395" s="2250"/>
      <c r="BE395" s="2250"/>
      <c r="BF395" s="1302">
        <v>53.7</v>
      </c>
      <c r="BG395" s="1302">
        <v>58.1</v>
      </c>
      <c r="BH395" s="2250"/>
      <c r="BI395" s="2275"/>
      <c r="BJ395" s="2333">
        <v>140.1</v>
      </c>
      <c r="BK395" s="2336">
        <v>0</v>
      </c>
      <c r="BL395" s="2336">
        <v>0</v>
      </c>
      <c r="BM395" s="2336">
        <v>0</v>
      </c>
      <c r="BN395" s="2336">
        <v>0</v>
      </c>
      <c r="BO395" s="2336">
        <v>0</v>
      </c>
      <c r="BP395" s="2336">
        <v>0</v>
      </c>
      <c r="BQ395" s="2336">
        <v>0</v>
      </c>
      <c r="BR395" s="2336">
        <v>0</v>
      </c>
      <c r="BS395" s="2336">
        <v>0</v>
      </c>
      <c r="BT395" s="2336">
        <v>0</v>
      </c>
      <c r="BU395" s="2336">
        <v>0</v>
      </c>
      <c r="BV395" s="2250"/>
      <c r="BW395" s="2250"/>
      <c r="BX395" s="2333">
        <v>140.1</v>
      </c>
      <c r="BY395" s="2336">
        <v>3.62</v>
      </c>
      <c r="BZ395" s="2336">
        <v>7.12</v>
      </c>
      <c r="CA395" s="2336">
        <v>12.33</v>
      </c>
      <c r="CB395" s="2336">
        <v>19.57</v>
      </c>
      <c r="CC395" s="2336">
        <v>27.73</v>
      </c>
      <c r="CD395" s="2336">
        <v>40.31</v>
      </c>
      <c r="CE395" s="2336">
        <v>55.89</v>
      </c>
      <c r="CF395" s="2336">
        <v>77.42</v>
      </c>
      <c r="CG395" s="2336">
        <v>122.52</v>
      </c>
      <c r="CH395" s="2336">
        <v>176.01</v>
      </c>
      <c r="CI395" s="2336"/>
      <c r="CJ395" s="2250"/>
      <c r="CK395" s="2250"/>
      <c r="CL395" s="2333">
        <v>140.1</v>
      </c>
      <c r="CM395" s="2336">
        <v>3</v>
      </c>
      <c r="CN395" s="2336">
        <v>5.6</v>
      </c>
      <c r="CO395" s="2336">
        <v>9.27</v>
      </c>
      <c r="CP395" s="2336">
        <v>14.27</v>
      </c>
      <c r="CQ395" s="2336">
        <v>19.93</v>
      </c>
      <c r="CR395" s="2336">
        <v>28.87</v>
      </c>
      <c r="CS395" s="2336">
        <v>39.93</v>
      </c>
      <c r="CT395" s="2336">
        <v>57</v>
      </c>
      <c r="CU395" s="2336">
        <v>87.8</v>
      </c>
      <c r="CV395" s="2336">
        <v>127.6</v>
      </c>
      <c r="CW395" s="2336"/>
      <c r="CX395" s="2250"/>
      <c r="CY395" s="2250"/>
      <c r="CZ395" s="2333">
        <v>140.1</v>
      </c>
      <c r="DA395" s="2336">
        <v>2.31</v>
      </c>
      <c r="DB395" s="2336">
        <v>4.2300000000000004</v>
      </c>
      <c r="DC395" s="2336">
        <v>7.08</v>
      </c>
      <c r="DD395" s="2336">
        <v>10.85</v>
      </c>
      <c r="DE395" s="2336">
        <v>15.15</v>
      </c>
      <c r="DF395" s="2336">
        <v>22</v>
      </c>
      <c r="DG395" s="2336">
        <v>30.38</v>
      </c>
      <c r="DH395" s="2336">
        <v>43.38</v>
      </c>
      <c r="DI395" s="2336">
        <v>66.77</v>
      </c>
      <c r="DJ395" s="2336">
        <v>96.15</v>
      </c>
      <c r="DK395" s="2336"/>
      <c r="DL395" s="2250"/>
      <c r="DM395" s="2250"/>
      <c r="DN395" s="2250"/>
      <c r="DO395" s="53"/>
      <c r="DP395" s="53"/>
      <c r="DS395" s="277"/>
      <c r="DW395" s="1"/>
      <c r="DX395" s="2333">
        <v>140.1</v>
      </c>
      <c r="DY395" s="2336">
        <v>0</v>
      </c>
      <c r="DZ395" s="2336">
        <v>0</v>
      </c>
      <c r="EA395" s="2336">
        <v>0</v>
      </c>
      <c r="EB395" s="2336">
        <v>0</v>
      </c>
      <c r="EC395" s="2336">
        <v>0</v>
      </c>
      <c r="ED395" s="2336">
        <v>0</v>
      </c>
      <c r="EE395" s="2336">
        <v>0</v>
      </c>
      <c r="EF395" s="2336">
        <v>0</v>
      </c>
      <c r="EG395" s="2336">
        <v>0</v>
      </c>
      <c r="EH395" s="2336">
        <v>0</v>
      </c>
      <c r="EI395" s="2336">
        <v>0</v>
      </c>
      <c r="EJ395" s="2250"/>
      <c r="EK395" s="2250"/>
      <c r="EL395" s="2333">
        <v>140.1</v>
      </c>
      <c r="EM395" s="2336">
        <v>3.62</v>
      </c>
      <c r="EN395" s="2336">
        <v>7.12</v>
      </c>
      <c r="EO395" s="2336">
        <v>12.33</v>
      </c>
      <c r="EP395" s="2336">
        <v>19.57</v>
      </c>
      <c r="EQ395" s="2336">
        <v>27.73</v>
      </c>
      <c r="ER395" s="2336">
        <v>40.31</v>
      </c>
      <c r="ES395" s="2336">
        <v>55.89</v>
      </c>
      <c r="ET395" s="2336">
        <v>77.42</v>
      </c>
      <c r="EU395" s="2336">
        <v>122.52</v>
      </c>
      <c r="EV395" s="2336">
        <v>176.01</v>
      </c>
      <c r="EW395" s="2336"/>
      <c r="EX395" s="2250"/>
      <c r="EY395" s="2250"/>
      <c r="EZ395" s="2333">
        <v>140.1</v>
      </c>
      <c r="FA395" s="2336">
        <v>3</v>
      </c>
      <c r="FB395" s="2336">
        <v>5.6</v>
      </c>
      <c r="FC395" s="2336">
        <v>9.27</v>
      </c>
      <c r="FD395" s="2336">
        <v>14.27</v>
      </c>
      <c r="FE395" s="2336">
        <v>19.93</v>
      </c>
      <c r="FF395" s="2336">
        <v>28.87</v>
      </c>
      <c r="FG395" s="2336">
        <v>39.93</v>
      </c>
      <c r="FH395" s="2336">
        <v>57</v>
      </c>
      <c r="FI395" s="2336">
        <v>87.8</v>
      </c>
      <c r="FJ395" s="2336">
        <v>127.6</v>
      </c>
      <c r="FK395" s="2336"/>
      <c r="FL395" s="2250"/>
      <c r="FM395" s="2250"/>
      <c r="FN395" s="2333">
        <v>140.1</v>
      </c>
      <c r="FO395" s="2336">
        <v>2.31</v>
      </c>
      <c r="FP395" s="2336">
        <v>4.2300000000000004</v>
      </c>
      <c r="FQ395" s="2336">
        <v>7.08</v>
      </c>
      <c r="FR395" s="2336">
        <v>10.85</v>
      </c>
      <c r="FS395" s="2336">
        <v>15.15</v>
      </c>
      <c r="FT395" s="2336">
        <v>22</v>
      </c>
      <c r="FU395" s="2336">
        <v>30.38</v>
      </c>
      <c r="FV395" s="2336">
        <v>43.38</v>
      </c>
      <c r="FW395" s="2336">
        <v>66.77</v>
      </c>
      <c r="FX395" s="2336">
        <v>96.15</v>
      </c>
      <c r="FY395" s="2336"/>
      <c r="FZ395" s="2250"/>
      <c r="GA395" s="2250"/>
      <c r="GB395" s="1302">
        <v>53.7</v>
      </c>
      <c r="GC395" s="1302">
        <v>58.1</v>
      </c>
      <c r="GD395" s="2250"/>
      <c r="GE395" s="2275"/>
      <c r="GF395" s="2333">
        <v>140.1</v>
      </c>
      <c r="GG395" s="2336">
        <v>0</v>
      </c>
      <c r="GH395" s="2336">
        <v>0</v>
      </c>
      <c r="GI395" s="2336">
        <v>0</v>
      </c>
      <c r="GJ395" s="2336">
        <v>0</v>
      </c>
      <c r="GK395" s="2336">
        <v>0</v>
      </c>
      <c r="GL395" s="2336">
        <v>0</v>
      </c>
      <c r="GM395" s="2336">
        <v>0</v>
      </c>
      <c r="GN395" s="2336">
        <v>0</v>
      </c>
      <c r="GO395" s="2336">
        <v>0</v>
      </c>
      <c r="GP395" s="2336">
        <v>0</v>
      </c>
      <c r="GQ395" s="2336">
        <v>0</v>
      </c>
      <c r="GR395" s="2250"/>
      <c r="GS395" s="2250"/>
      <c r="GT395" s="2333">
        <v>140.1</v>
      </c>
      <c r="GU395" s="2336">
        <v>3.62</v>
      </c>
      <c r="GV395" s="2336">
        <v>7.12</v>
      </c>
      <c r="GW395" s="2336">
        <v>12.33</v>
      </c>
      <c r="GX395" s="2336">
        <v>19.57</v>
      </c>
      <c r="GY395" s="2336">
        <v>27.73</v>
      </c>
      <c r="GZ395" s="2336">
        <v>40.31</v>
      </c>
      <c r="HA395" s="2336">
        <v>55.89</v>
      </c>
      <c r="HB395" s="2336">
        <v>77.42</v>
      </c>
      <c r="HC395" s="2336">
        <v>122.52</v>
      </c>
      <c r="HD395" s="2336">
        <v>176.01</v>
      </c>
      <c r="HE395" s="2336"/>
      <c r="HF395" s="2250"/>
      <c r="HG395" s="2250"/>
      <c r="HH395" s="2333">
        <v>140.1</v>
      </c>
      <c r="HI395" s="2336">
        <v>3</v>
      </c>
      <c r="HJ395" s="2336">
        <v>5.6</v>
      </c>
      <c r="HK395" s="2336">
        <v>9.27</v>
      </c>
      <c r="HL395" s="2336">
        <v>14.27</v>
      </c>
      <c r="HM395" s="2336">
        <v>19.93</v>
      </c>
      <c r="HN395" s="2336">
        <v>28.87</v>
      </c>
      <c r="HO395" s="2336">
        <v>39.93</v>
      </c>
      <c r="HP395" s="2336">
        <v>57</v>
      </c>
      <c r="HQ395" s="2336">
        <v>87.8</v>
      </c>
      <c r="HR395" s="2336">
        <v>127.6</v>
      </c>
      <c r="HS395" s="2336"/>
      <c r="HT395" s="2250"/>
      <c r="HU395" s="2250"/>
      <c r="HV395" s="2333">
        <v>140.1</v>
      </c>
      <c r="HW395" s="2336">
        <v>2.31</v>
      </c>
      <c r="HX395" s="2336">
        <v>4.2300000000000004</v>
      </c>
      <c r="HY395" s="2336">
        <v>7.08</v>
      </c>
      <c r="HZ395" s="2336">
        <v>10.85</v>
      </c>
      <c r="IA395" s="2336">
        <v>15.15</v>
      </c>
      <c r="IB395" s="2336">
        <v>22</v>
      </c>
      <c r="IC395" s="2336">
        <v>30.38</v>
      </c>
      <c r="ID395" s="2336">
        <v>43.38</v>
      </c>
      <c r="IE395" s="2336">
        <v>66.77</v>
      </c>
      <c r="IF395" s="2336">
        <v>96.15</v>
      </c>
      <c r="IG395" s="2336"/>
      <c r="IH395" s="2250"/>
      <c r="II395" s="2250"/>
      <c r="IJ395" s="2250"/>
      <c r="IK395" s="53"/>
      <c r="IL395" s="53"/>
      <c r="IN395" s="277"/>
      <c r="IO395" s="277"/>
    </row>
    <row r="396" spans="1:249" ht="21.95" customHeight="1">
      <c r="B396" s="2333">
        <v>129.80000000000001</v>
      </c>
      <c r="C396" s="2336">
        <v>0</v>
      </c>
      <c r="D396" s="2336">
        <v>0</v>
      </c>
      <c r="E396" s="2336">
        <v>0</v>
      </c>
      <c r="F396" s="2336">
        <v>0</v>
      </c>
      <c r="G396" s="2336">
        <v>0</v>
      </c>
      <c r="H396" s="2336">
        <v>0</v>
      </c>
      <c r="I396" s="2336">
        <v>0</v>
      </c>
      <c r="J396" s="2336">
        <v>0</v>
      </c>
      <c r="K396" s="2336">
        <v>0</v>
      </c>
      <c r="L396" s="2336">
        <v>0</v>
      </c>
      <c r="M396" s="2336">
        <v>0</v>
      </c>
      <c r="N396" s="2250"/>
      <c r="O396" s="2250"/>
      <c r="P396" s="2333">
        <v>129.80000000000001</v>
      </c>
      <c r="Q396" s="2336">
        <v>3.93</v>
      </c>
      <c r="R396" s="2336">
        <v>7.55</v>
      </c>
      <c r="S396" s="2336">
        <v>13.07</v>
      </c>
      <c r="T396" s="2336">
        <v>20.74</v>
      </c>
      <c r="U396" s="2336">
        <v>29.39</v>
      </c>
      <c r="V396" s="2336">
        <v>42.82</v>
      </c>
      <c r="W396" s="2336">
        <v>59.39</v>
      </c>
      <c r="X396" s="2336">
        <v>82.15</v>
      </c>
      <c r="Y396" s="2336">
        <v>130.43</v>
      </c>
      <c r="Z396" s="2336">
        <v>186.38</v>
      </c>
      <c r="AA396" s="2336"/>
      <c r="AB396" s="2250"/>
      <c r="AC396" s="2250"/>
      <c r="AD396" s="2333">
        <v>129.80000000000001</v>
      </c>
      <c r="AE396" s="2336">
        <v>3.2</v>
      </c>
      <c r="AF396" s="2336">
        <v>6.13</v>
      </c>
      <c r="AG396" s="2336">
        <v>9.8000000000000007</v>
      </c>
      <c r="AH396" s="2336">
        <v>15.67</v>
      </c>
      <c r="AI396" s="2336">
        <v>21.2</v>
      </c>
      <c r="AJ396" s="2336">
        <v>30.8</v>
      </c>
      <c r="AK396" s="2336">
        <v>42.53</v>
      </c>
      <c r="AL396" s="2336">
        <v>62.53</v>
      </c>
      <c r="AM396" s="2336">
        <v>95</v>
      </c>
      <c r="AN396" s="2336">
        <v>135.6</v>
      </c>
      <c r="AO396" s="2336"/>
      <c r="AP396" s="2250"/>
      <c r="AQ396" s="2250"/>
      <c r="AR396" s="2333">
        <v>129.80000000000001</v>
      </c>
      <c r="AS396" s="2336">
        <v>2.38</v>
      </c>
      <c r="AT396" s="2336">
        <v>4.62</v>
      </c>
      <c r="AU396" s="2336">
        <v>7.38</v>
      </c>
      <c r="AV396" s="2336">
        <v>11.92</v>
      </c>
      <c r="AW396" s="2336">
        <v>16.079999999999998</v>
      </c>
      <c r="AX396" s="2336">
        <v>23.38</v>
      </c>
      <c r="AY396" s="2336">
        <v>32.380000000000003</v>
      </c>
      <c r="AZ396" s="2336">
        <v>47.54</v>
      </c>
      <c r="BA396" s="2336">
        <v>71.62</v>
      </c>
      <c r="BB396" s="2336">
        <v>102.15</v>
      </c>
      <c r="BC396" s="2336"/>
      <c r="BD396" s="2250"/>
      <c r="BE396" s="2250"/>
      <c r="BF396" s="1302">
        <v>58.1</v>
      </c>
      <c r="BG396" s="1302">
        <v>63.4</v>
      </c>
      <c r="BH396" s="2250"/>
      <c r="BI396" s="2275"/>
      <c r="BJ396" s="2333">
        <v>129.80000000000001</v>
      </c>
      <c r="BK396" s="2336">
        <v>0</v>
      </c>
      <c r="BL396" s="2336">
        <v>0</v>
      </c>
      <c r="BM396" s="2336">
        <v>0</v>
      </c>
      <c r="BN396" s="2336">
        <v>0</v>
      </c>
      <c r="BO396" s="2336">
        <v>0</v>
      </c>
      <c r="BP396" s="2336">
        <v>0</v>
      </c>
      <c r="BQ396" s="2336">
        <v>0</v>
      </c>
      <c r="BR396" s="2336">
        <v>0</v>
      </c>
      <c r="BS396" s="2336">
        <v>0</v>
      </c>
      <c r="BT396" s="2336">
        <v>0</v>
      </c>
      <c r="BU396" s="2336">
        <v>0</v>
      </c>
      <c r="BV396" s="2250"/>
      <c r="BW396" s="2250"/>
      <c r="BX396" s="2333">
        <v>129.80000000000001</v>
      </c>
      <c r="BY396" s="2336">
        <v>3.93</v>
      </c>
      <c r="BZ396" s="2336">
        <v>7.55</v>
      </c>
      <c r="CA396" s="2336">
        <v>13.07</v>
      </c>
      <c r="CB396" s="2336">
        <v>20.74</v>
      </c>
      <c r="CC396" s="2336">
        <v>29.39</v>
      </c>
      <c r="CD396" s="2336">
        <v>42.82</v>
      </c>
      <c r="CE396" s="2336">
        <v>59.39</v>
      </c>
      <c r="CF396" s="2336">
        <v>82.15</v>
      </c>
      <c r="CG396" s="2336">
        <v>130.43</v>
      </c>
      <c r="CH396" s="2336">
        <v>186.38</v>
      </c>
      <c r="CI396" s="2336"/>
      <c r="CJ396" s="2250"/>
      <c r="CK396" s="2250"/>
      <c r="CL396" s="2333">
        <v>129.80000000000001</v>
      </c>
      <c r="CM396" s="2336">
        <v>3.2</v>
      </c>
      <c r="CN396" s="2336">
        <v>6.13</v>
      </c>
      <c r="CO396" s="2336">
        <v>9.8000000000000007</v>
      </c>
      <c r="CP396" s="2336">
        <v>15.67</v>
      </c>
      <c r="CQ396" s="2336">
        <v>21.2</v>
      </c>
      <c r="CR396" s="2336">
        <v>30.8</v>
      </c>
      <c r="CS396" s="2336">
        <v>42.53</v>
      </c>
      <c r="CT396" s="2336">
        <v>62.53</v>
      </c>
      <c r="CU396" s="2336">
        <v>95</v>
      </c>
      <c r="CV396" s="2336">
        <v>135.6</v>
      </c>
      <c r="CW396" s="2336"/>
      <c r="CX396" s="2250"/>
      <c r="CY396" s="2250"/>
      <c r="CZ396" s="2333">
        <v>129.80000000000001</v>
      </c>
      <c r="DA396" s="2336">
        <v>2.38</v>
      </c>
      <c r="DB396" s="2336">
        <v>4.62</v>
      </c>
      <c r="DC396" s="2336">
        <v>7.38</v>
      </c>
      <c r="DD396" s="2336">
        <v>11.92</v>
      </c>
      <c r="DE396" s="2336">
        <v>16.079999999999998</v>
      </c>
      <c r="DF396" s="2336">
        <v>23.38</v>
      </c>
      <c r="DG396" s="2336">
        <v>32.380000000000003</v>
      </c>
      <c r="DH396" s="2336">
        <v>47.54</v>
      </c>
      <c r="DI396" s="2336">
        <v>71.62</v>
      </c>
      <c r="DJ396" s="2336">
        <v>102.15</v>
      </c>
      <c r="DK396" s="2336"/>
      <c r="DL396" s="2250"/>
      <c r="DM396" s="2250"/>
      <c r="DN396" s="2250"/>
      <c r="DO396" s="53"/>
      <c r="DP396" s="53"/>
      <c r="DS396" s="277"/>
      <c r="DW396" s="1"/>
      <c r="DX396" s="2333">
        <v>129.80000000000001</v>
      </c>
      <c r="DY396" s="2336">
        <v>0</v>
      </c>
      <c r="DZ396" s="2336">
        <v>0</v>
      </c>
      <c r="EA396" s="2336">
        <v>0</v>
      </c>
      <c r="EB396" s="2336">
        <v>0</v>
      </c>
      <c r="EC396" s="2336">
        <v>0</v>
      </c>
      <c r="ED396" s="2336">
        <v>0</v>
      </c>
      <c r="EE396" s="2336">
        <v>0</v>
      </c>
      <c r="EF396" s="2336">
        <v>0</v>
      </c>
      <c r="EG396" s="2336">
        <v>0</v>
      </c>
      <c r="EH396" s="2336">
        <v>0</v>
      </c>
      <c r="EI396" s="2336">
        <v>0</v>
      </c>
      <c r="EJ396" s="2250"/>
      <c r="EK396" s="2250"/>
      <c r="EL396" s="2333">
        <v>129.80000000000001</v>
      </c>
      <c r="EM396" s="2336">
        <v>3.93</v>
      </c>
      <c r="EN396" s="2336">
        <v>7.55</v>
      </c>
      <c r="EO396" s="2336">
        <v>13.07</v>
      </c>
      <c r="EP396" s="2336">
        <v>20.74</v>
      </c>
      <c r="EQ396" s="2336">
        <v>29.39</v>
      </c>
      <c r="ER396" s="2336">
        <v>42.82</v>
      </c>
      <c r="ES396" s="2336">
        <v>59.39</v>
      </c>
      <c r="ET396" s="2336">
        <v>82.15</v>
      </c>
      <c r="EU396" s="2336">
        <v>130.43</v>
      </c>
      <c r="EV396" s="2336">
        <v>186.38</v>
      </c>
      <c r="EW396" s="2336"/>
      <c r="EX396" s="2250"/>
      <c r="EY396" s="2250"/>
      <c r="EZ396" s="2333">
        <v>129.80000000000001</v>
      </c>
      <c r="FA396" s="2336">
        <v>3.2</v>
      </c>
      <c r="FB396" s="2336">
        <v>6.13</v>
      </c>
      <c r="FC396" s="2336">
        <v>9.8000000000000007</v>
      </c>
      <c r="FD396" s="2336">
        <v>15.67</v>
      </c>
      <c r="FE396" s="2336">
        <v>21.2</v>
      </c>
      <c r="FF396" s="2336">
        <v>30.8</v>
      </c>
      <c r="FG396" s="2336">
        <v>42.53</v>
      </c>
      <c r="FH396" s="2336">
        <v>62.53</v>
      </c>
      <c r="FI396" s="2336">
        <v>95</v>
      </c>
      <c r="FJ396" s="2336">
        <v>135.6</v>
      </c>
      <c r="FK396" s="2336"/>
      <c r="FL396" s="2250"/>
      <c r="FM396" s="2250"/>
      <c r="FN396" s="2333">
        <v>129.80000000000001</v>
      </c>
      <c r="FO396" s="2336">
        <v>2.38</v>
      </c>
      <c r="FP396" s="2336">
        <v>4.62</v>
      </c>
      <c r="FQ396" s="2336">
        <v>7.38</v>
      </c>
      <c r="FR396" s="2336">
        <v>11.92</v>
      </c>
      <c r="FS396" s="2336">
        <v>16.079999999999998</v>
      </c>
      <c r="FT396" s="2336">
        <v>23.38</v>
      </c>
      <c r="FU396" s="2336">
        <v>32.380000000000003</v>
      </c>
      <c r="FV396" s="2336">
        <v>47.54</v>
      </c>
      <c r="FW396" s="2336">
        <v>71.62</v>
      </c>
      <c r="FX396" s="2336">
        <v>102.15</v>
      </c>
      <c r="FY396" s="2336"/>
      <c r="FZ396" s="2250"/>
      <c r="GA396" s="2250"/>
      <c r="GB396" s="1302">
        <v>58.1</v>
      </c>
      <c r="GC396" s="1302">
        <v>63.4</v>
      </c>
      <c r="GD396" s="2250"/>
      <c r="GE396" s="2275"/>
      <c r="GF396" s="2333">
        <v>129.80000000000001</v>
      </c>
      <c r="GG396" s="2336">
        <v>0</v>
      </c>
      <c r="GH396" s="2336">
        <v>0</v>
      </c>
      <c r="GI396" s="2336">
        <v>0</v>
      </c>
      <c r="GJ396" s="2336">
        <v>0</v>
      </c>
      <c r="GK396" s="2336">
        <v>0</v>
      </c>
      <c r="GL396" s="2336">
        <v>0</v>
      </c>
      <c r="GM396" s="2336">
        <v>0</v>
      </c>
      <c r="GN396" s="2336">
        <v>0</v>
      </c>
      <c r="GO396" s="2336">
        <v>0</v>
      </c>
      <c r="GP396" s="2336">
        <v>0</v>
      </c>
      <c r="GQ396" s="2336">
        <v>0</v>
      </c>
      <c r="GR396" s="2250"/>
      <c r="GS396" s="2250"/>
      <c r="GT396" s="2333">
        <v>129.80000000000001</v>
      </c>
      <c r="GU396" s="2336">
        <v>3.93</v>
      </c>
      <c r="GV396" s="2336">
        <v>7.55</v>
      </c>
      <c r="GW396" s="2336">
        <v>13.07</v>
      </c>
      <c r="GX396" s="2336">
        <v>20.74</v>
      </c>
      <c r="GY396" s="2336">
        <v>29.39</v>
      </c>
      <c r="GZ396" s="2336">
        <v>42.82</v>
      </c>
      <c r="HA396" s="2336">
        <v>59.39</v>
      </c>
      <c r="HB396" s="2336">
        <v>82.15</v>
      </c>
      <c r="HC396" s="2336">
        <v>130.43</v>
      </c>
      <c r="HD396" s="2336">
        <v>186.38</v>
      </c>
      <c r="HE396" s="2336"/>
      <c r="HF396" s="2250"/>
      <c r="HG396" s="2250"/>
      <c r="HH396" s="2333">
        <v>129.80000000000001</v>
      </c>
      <c r="HI396" s="2336">
        <v>3.2</v>
      </c>
      <c r="HJ396" s="2336">
        <v>6.13</v>
      </c>
      <c r="HK396" s="2336">
        <v>9.8000000000000007</v>
      </c>
      <c r="HL396" s="2336">
        <v>15.67</v>
      </c>
      <c r="HM396" s="2336">
        <v>21.2</v>
      </c>
      <c r="HN396" s="2336">
        <v>30.8</v>
      </c>
      <c r="HO396" s="2336">
        <v>42.53</v>
      </c>
      <c r="HP396" s="2336">
        <v>62.53</v>
      </c>
      <c r="HQ396" s="2336">
        <v>95</v>
      </c>
      <c r="HR396" s="2336">
        <v>135.6</v>
      </c>
      <c r="HS396" s="2336"/>
      <c r="HT396" s="2250"/>
      <c r="HU396" s="2250"/>
      <c r="HV396" s="2333">
        <v>129.80000000000001</v>
      </c>
      <c r="HW396" s="2336">
        <v>2.38</v>
      </c>
      <c r="HX396" s="2336">
        <v>4.62</v>
      </c>
      <c r="HY396" s="2336">
        <v>7.38</v>
      </c>
      <c r="HZ396" s="2336">
        <v>11.92</v>
      </c>
      <c r="IA396" s="2336">
        <v>16.079999999999998</v>
      </c>
      <c r="IB396" s="2336">
        <v>23.38</v>
      </c>
      <c r="IC396" s="2336">
        <v>32.380000000000003</v>
      </c>
      <c r="ID396" s="2336">
        <v>47.54</v>
      </c>
      <c r="IE396" s="2336">
        <v>71.62</v>
      </c>
      <c r="IF396" s="2336">
        <v>102.15</v>
      </c>
      <c r="IG396" s="2336"/>
      <c r="IH396" s="2250"/>
      <c r="II396" s="2250"/>
      <c r="IJ396" s="2250"/>
      <c r="IK396" s="53"/>
      <c r="IL396" s="53"/>
      <c r="IN396" s="277"/>
      <c r="IO396" s="277"/>
    </row>
    <row r="397" spans="1:249" ht="21.95" customHeight="1">
      <c r="B397" s="2333">
        <v>120.7</v>
      </c>
      <c r="C397" s="2336">
        <v>0</v>
      </c>
      <c r="D397" s="2336">
        <v>0</v>
      </c>
      <c r="E397" s="2336">
        <v>0</v>
      </c>
      <c r="F397" s="2336">
        <v>0</v>
      </c>
      <c r="G397" s="2336">
        <v>0</v>
      </c>
      <c r="H397" s="2336">
        <v>0</v>
      </c>
      <c r="I397" s="2336">
        <v>0</v>
      </c>
      <c r="J397" s="2336">
        <v>0</v>
      </c>
      <c r="K397" s="2336">
        <v>0</v>
      </c>
      <c r="L397" s="2336">
        <v>0</v>
      </c>
      <c r="M397" s="2336">
        <v>0</v>
      </c>
      <c r="N397" s="2250"/>
      <c r="O397" s="2250"/>
      <c r="P397" s="2333">
        <v>120.7</v>
      </c>
      <c r="Q397" s="2336">
        <v>4.1100000000000003</v>
      </c>
      <c r="R397" s="2336">
        <v>8.0399999999999991</v>
      </c>
      <c r="S397" s="2336">
        <v>13.93</v>
      </c>
      <c r="T397" s="2336">
        <v>22.09</v>
      </c>
      <c r="U397" s="2336">
        <v>30.98</v>
      </c>
      <c r="V397" s="2336">
        <v>46.63</v>
      </c>
      <c r="W397" s="2336">
        <v>62.88</v>
      </c>
      <c r="X397" s="2336">
        <v>87.48</v>
      </c>
      <c r="Y397" s="2336">
        <v>138.9</v>
      </c>
      <c r="Z397" s="2336">
        <v>199.69</v>
      </c>
      <c r="AA397" s="2336"/>
      <c r="AB397" s="2250"/>
      <c r="AC397" s="2250"/>
      <c r="AD397" s="2333">
        <v>120.7</v>
      </c>
      <c r="AE397" s="2336">
        <v>3.4</v>
      </c>
      <c r="AF397" s="2336">
        <v>6.47</v>
      </c>
      <c r="AG397" s="2336">
        <v>10.8</v>
      </c>
      <c r="AH397" s="2336">
        <v>16.670000000000002</v>
      </c>
      <c r="AI397" s="2336">
        <v>22.47</v>
      </c>
      <c r="AJ397" s="2336">
        <v>33.67</v>
      </c>
      <c r="AK397" s="2336">
        <v>45.2</v>
      </c>
      <c r="AL397" s="2336">
        <v>63.73</v>
      </c>
      <c r="AM397" s="2336">
        <v>102.2</v>
      </c>
      <c r="AN397" s="2336">
        <v>144.07</v>
      </c>
      <c r="AO397" s="2336"/>
      <c r="AP397" s="2250"/>
      <c r="AQ397" s="2250"/>
      <c r="AR397" s="2333">
        <v>120.7</v>
      </c>
      <c r="AS397" s="2337">
        <v>2.62</v>
      </c>
      <c r="AT397" s="2337">
        <v>4.92</v>
      </c>
      <c r="AU397" s="2337">
        <v>8.15</v>
      </c>
      <c r="AV397" s="2337">
        <v>12.69</v>
      </c>
      <c r="AW397" s="2337">
        <v>17.079999999999998</v>
      </c>
      <c r="AX397" s="2337">
        <v>25.46</v>
      </c>
      <c r="AY397" s="2337">
        <v>34.380000000000003</v>
      </c>
      <c r="AZ397" s="2337">
        <v>48</v>
      </c>
      <c r="BA397" s="2337">
        <v>77.69</v>
      </c>
      <c r="BB397" s="2337">
        <v>109.54</v>
      </c>
      <c r="BC397" s="2337"/>
      <c r="BD397" s="2250"/>
      <c r="BE397" s="2250"/>
      <c r="BF397" s="1302">
        <v>63.4</v>
      </c>
      <c r="BG397" s="1302">
        <v>68.3</v>
      </c>
      <c r="BH397" s="2250"/>
      <c r="BI397" s="2275"/>
      <c r="BJ397" s="2333">
        <v>120.7</v>
      </c>
      <c r="BK397" s="2336">
        <v>0</v>
      </c>
      <c r="BL397" s="2336">
        <v>0</v>
      </c>
      <c r="BM397" s="2336">
        <v>0</v>
      </c>
      <c r="BN397" s="2336">
        <v>0</v>
      </c>
      <c r="BO397" s="2336">
        <v>0</v>
      </c>
      <c r="BP397" s="2336">
        <v>0</v>
      </c>
      <c r="BQ397" s="2336">
        <v>0</v>
      </c>
      <c r="BR397" s="2336">
        <v>0</v>
      </c>
      <c r="BS397" s="2336">
        <v>0</v>
      </c>
      <c r="BT397" s="2336">
        <v>0</v>
      </c>
      <c r="BU397" s="2336">
        <v>0</v>
      </c>
      <c r="BV397" s="2250"/>
      <c r="BW397" s="2250"/>
      <c r="BX397" s="2333">
        <v>120.7</v>
      </c>
      <c r="BY397" s="2336">
        <v>4.1100000000000003</v>
      </c>
      <c r="BZ397" s="2336">
        <v>8.0399999999999991</v>
      </c>
      <c r="CA397" s="2336">
        <v>13.93</v>
      </c>
      <c r="CB397" s="2336">
        <v>22.09</v>
      </c>
      <c r="CC397" s="2336">
        <v>30.98</v>
      </c>
      <c r="CD397" s="2336">
        <v>46.63</v>
      </c>
      <c r="CE397" s="2336">
        <v>62.88</v>
      </c>
      <c r="CF397" s="2336">
        <v>87.48</v>
      </c>
      <c r="CG397" s="2336">
        <v>138.9</v>
      </c>
      <c r="CH397" s="2336">
        <v>199.69</v>
      </c>
      <c r="CI397" s="2336"/>
      <c r="CJ397" s="2250"/>
      <c r="CK397" s="2250"/>
      <c r="CL397" s="2333">
        <v>120.7</v>
      </c>
      <c r="CM397" s="2336">
        <v>3.4</v>
      </c>
      <c r="CN397" s="2336">
        <v>6.47</v>
      </c>
      <c r="CO397" s="2336">
        <v>10.8</v>
      </c>
      <c r="CP397" s="2336">
        <v>16.670000000000002</v>
      </c>
      <c r="CQ397" s="2336">
        <v>22.47</v>
      </c>
      <c r="CR397" s="2336">
        <v>33.67</v>
      </c>
      <c r="CS397" s="2336">
        <v>45.2</v>
      </c>
      <c r="CT397" s="2336">
        <v>63.73</v>
      </c>
      <c r="CU397" s="2336">
        <v>102.2</v>
      </c>
      <c r="CV397" s="2336">
        <v>144.07</v>
      </c>
      <c r="CW397" s="2336"/>
      <c r="CX397" s="2250"/>
      <c r="CY397" s="2250"/>
      <c r="CZ397" s="2333">
        <v>120.7</v>
      </c>
      <c r="DA397" s="2337">
        <v>2.62</v>
      </c>
      <c r="DB397" s="2337">
        <v>4.92</v>
      </c>
      <c r="DC397" s="2337">
        <v>8.15</v>
      </c>
      <c r="DD397" s="2337">
        <v>12.69</v>
      </c>
      <c r="DE397" s="2337">
        <v>17.079999999999998</v>
      </c>
      <c r="DF397" s="2337">
        <v>25.46</v>
      </c>
      <c r="DG397" s="2337">
        <v>34.380000000000003</v>
      </c>
      <c r="DH397" s="2337">
        <v>48</v>
      </c>
      <c r="DI397" s="2337">
        <v>77.69</v>
      </c>
      <c r="DJ397" s="2337">
        <v>109.54</v>
      </c>
      <c r="DK397" s="2337"/>
      <c r="DL397" s="2250"/>
      <c r="DM397" s="2250"/>
      <c r="DN397" s="2250"/>
      <c r="DO397" s="53"/>
      <c r="DP397" s="53"/>
      <c r="DS397" s="277"/>
      <c r="DW397" s="1"/>
      <c r="DX397" s="2333">
        <v>120.7</v>
      </c>
      <c r="DY397" s="2336">
        <v>0</v>
      </c>
      <c r="DZ397" s="2336">
        <v>0</v>
      </c>
      <c r="EA397" s="2336">
        <v>0</v>
      </c>
      <c r="EB397" s="2336">
        <v>0</v>
      </c>
      <c r="EC397" s="2336">
        <v>0</v>
      </c>
      <c r="ED397" s="2336">
        <v>0</v>
      </c>
      <c r="EE397" s="2336">
        <v>0</v>
      </c>
      <c r="EF397" s="2336">
        <v>0</v>
      </c>
      <c r="EG397" s="2336">
        <v>0</v>
      </c>
      <c r="EH397" s="2336">
        <v>0</v>
      </c>
      <c r="EI397" s="2336">
        <v>0</v>
      </c>
      <c r="EJ397" s="2250"/>
      <c r="EK397" s="2250"/>
      <c r="EL397" s="2333">
        <v>120.7</v>
      </c>
      <c r="EM397" s="2336">
        <v>4.1100000000000003</v>
      </c>
      <c r="EN397" s="2336">
        <v>8.0399999999999991</v>
      </c>
      <c r="EO397" s="2336">
        <v>13.93</v>
      </c>
      <c r="EP397" s="2336">
        <v>22.09</v>
      </c>
      <c r="EQ397" s="2336">
        <v>30.98</v>
      </c>
      <c r="ER397" s="2336">
        <v>46.63</v>
      </c>
      <c r="ES397" s="2336">
        <v>62.88</v>
      </c>
      <c r="ET397" s="2336">
        <v>87.48</v>
      </c>
      <c r="EU397" s="2336">
        <v>138.9</v>
      </c>
      <c r="EV397" s="2336">
        <v>199.69</v>
      </c>
      <c r="EW397" s="2336"/>
      <c r="EX397" s="2250"/>
      <c r="EY397" s="2250"/>
      <c r="EZ397" s="2333">
        <v>120.7</v>
      </c>
      <c r="FA397" s="2336">
        <v>3.4</v>
      </c>
      <c r="FB397" s="2336">
        <v>6.47</v>
      </c>
      <c r="FC397" s="2336">
        <v>10.8</v>
      </c>
      <c r="FD397" s="2336">
        <v>16.670000000000002</v>
      </c>
      <c r="FE397" s="2336">
        <v>22.47</v>
      </c>
      <c r="FF397" s="2336">
        <v>33.67</v>
      </c>
      <c r="FG397" s="2336">
        <v>45.2</v>
      </c>
      <c r="FH397" s="2336">
        <v>63.73</v>
      </c>
      <c r="FI397" s="2336">
        <v>102.2</v>
      </c>
      <c r="FJ397" s="2336">
        <v>144.07</v>
      </c>
      <c r="FK397" s="2336"/>
      <c r="FL397" s="2250"/>
      <c r="FM397" s="2250"/>
      <c r="FN397" s="2333">
        <v>120.7</v>
      </c>
      <c r="FO397" s="2337">
        <v>2.62</v>
      </c>
      <c r="FP397" s="2337">
        <v>4.92</v>
      </c>
      <c r="FQ397" s="2337">
        <v>8.15</v>
      </c>
      <c r="FR397" s="2337">
        <v>12.69</v>
      </c>
      <c r="FS397" s="2337">
        <v>17.079999999999998</v>
      </c>
      <c r="FT397" s="2337">
        <v>25.46</v>
      </c>
      <c r="FU397" s="2337">
        <v>34.380000000000003</v>
      </c>
      <c r="FV397" s="2337">
        <v>48</v>
      </c>
      <c r="FW397" s="2337">
        <v>77.69</v>
      </c>
      <c r="FX397" s="2337">
        <v>109.54</v>
      </c>
      <c r="FY397" s="2337"/>
      <c r="FZ397" s="2250"/>
      <c r="GA397" s="2250"/>
      <c r="GB397" s="1302">
        <v>63.4</v>
      </c>
      <c r="GC397" s="1302">
        <v>68.3</v>
      </c>
      <c r="GD397" s="2250"/>
      <c r="GE397" s="2275"/>
      <c r="GF397" s="2333">
        <v>120.7</v>
      </c>
      <c r="GG397" s="2336">
        <v>0</v>
      </c>
      <c r="GH397" s="2336">
        <v>0</v>
      </c>
      <c r="GI397" s="2336">
        <v>0</v>
      </c>
      <c r="GJ397" s="2336">
        <v>0</v>
      </c>
      <c r="GK397" s="2336">
        <v>0</v>
      </c>
      <c r="GL397" s="2336">
        <v>0</v>
      </c>
      <c r="GM397" s="2336">
        <v>0</v>
      </c>
      <c r="GN397" s="2336">
        <v>0</v>
      </c>
      <c r="GO397" s="2336">
        <v>0</v>
      </c>
      <c r="GP397" s="2336">
        <v>0</v>
      </c>
      <c r="GQ397" s="2336">
        <v>0</v>
      </c>
      <c r="GR397" s="2250"/>
      <c r="GS397" s="2250"/>
      <c r="GT397" s="2333">
        <v>120.7</v>
      </c>
      <c r="GU397" s="2336">
        <v>4.1100000000000003</v>
      </c>
      <c r="GV397" s="2336">
        <v>8.0399999999999991</v>
      </c>
      <c r="GW397" s="2336">
        <v>13.93</v>
      </c>
      <c r="GX397" s="2336">
        <v>22.09</v>
      </c>
      <c r="GY397" s="2336">
        <v>30.98</v>
      </c>
      <c r="GZ397" s="2336">
        <v>46.63</v>
      </c>
      <c r="HA397" s="2336">
        <v>62.88</v>
      </c>
      <c r="HB397" s="2336">
        <v>87.48</v>
      </c>
      <c r="HC397" s="2336">
        <v>138.9</v>
      </c>
      <c r="HD397" s="2336">
        <v>199.69</v>
      </c>
      <c r="HE397" s="2336"/>
      <c r="HF397" s="2250"/>
      <c r="HG397" s="2250"/>
      <c r="HH397" s="2333">
        <v>120.7</v>
      </c>
      <c r="HI397" s="2336">
        <v>3.4</v>
      </c>
      <c r="HJ397" s="2336">
        <v>6.47</v>
      </c>
      <c r="HK397" s="2336">
        <v>10.8</v>
      </c>
      <c r="HL397" s="2336">
        <v>16.670000000000002</v>
      </c>
      <c r="HM397" s="2336">
        <v>22.47</v>
      </c>
      <c r="HN397" s="2336">
        <v>33.67</v>
      </c>
      <c r="HO397" s="2336">
        <v>45.2</v>
      </c>
      <c r="HP397" s="2336">
        <v>63.73</v>
      </c>
      <c r="HQ397" s="2336">
        <v>102.2</v>
      </c>
      <c r="HR397" s="2336">
        <v>144.07</v>
      </c>
      <c r="HS397" s="2336"/>
      <c r="HT397" s="2250"/>
      <c r="HU397" s="2250"/>
      <c r="HV397" s="2333">
        <v>120.7</v>
      </c>
      <c r="HW397" s="2337">
        <v>2.62</v>
      </c>
      <c r="HX397" s="2337">
        <v>4.92</v>
      </c>
      <c r="HY397" s="2337">
        <v>8.15</v>
      </c>
      <c r="HZ397" s="2337">
        <v>12.69</v>
      </c>
      <c r="IA397" s="2337">
        <v>17.079999999999998</v>
      </c>
      <c r="IB397" s="2337">
        <v>25.46</v>
      </c>
      <c r="IC397" s="2337">
        <v>34.380000000000003</v>
      </c>
      <c r="ID397" s="2337">
        <v>48</v>
      </c>
      <c r="IE397" s="2337">
        <v>77.69</v>
      </c>
      <c r="IF397" s="2337">
        <v>109.54</v>
      </c>
      <c r="IG397" s="2337"/>
      <c r="IH397" s="2250"/>
      <c r="II397" s="2250"/>
      <c r="IJ397" s="2250"/>
      <c r="IK397" s="53"/>
      <c r="IL397" s="53"/>
      <c r="IN397" s="277"/>
      <c r="IO397" s="277"/>
    </row>
    <row r="398" spans="1:249" ht="21.95" customHeight="1">
      <c r="B398" s="2333">
        <v>107.9</v>
      </c>
      <c r="C398" s="2336">
        <v>0</v>
      </c>
      <c r="D398" s="2336">
        <v>0</v>
      </c>
      <c r="E398" s="2336">
        <v>0</v>
      </c>
      <c r="F398" s="2336">
        <v>0</v>
      </c>
      <c r="G398" s="2336">
        <v>0</v>
      </c>
      <c r="H398" s="2336">
        <v>0</v>
      </c>
      <c r="I398" s="2336">
        <v>0</v>
      </c>
      <c r="J398" s="2336">
        <v>0</v>
      </c>
      <c r="K398" s="2336">
        <v>0</v>
      </c>
      <c r="L398" s="2336">
        <v>0</v>
      </c>
      <c r="M398" s="2336">
        <v>0</v>
      </c>
      <c r="N398" s="2250"/>
      <c r="O398" s="2250"/>
      <c r="P398" s="2333">
        <v>107.9</v>
      </c>
      <c r="Q398" s="2336">
        <v>4.54</v>
      </c>
      <c r="R398" s="2336">
        <v>8.9</v>
      </c>
      <c r="S398" s="2336">
        <v>15.4</v>
      </c>
      <c r="T398" s="2336">
        <v>24.42</v>
      </c>
      <c r="U398" s="2336">
        <v>32.880000000000003</v>
      </c>
      <c r="V398" s="2336">
        <v>47.42</v>
      </c>
      <c r="W398" s="2336">
        <v>71.099999999999994</v>
      </c>
      <c r="X398" s="2336">
        <v>96.75</v>
      </c>
      <c r="Y398" s="2336">
        <v>144.11000000000001</v>
      </c>
      <c r="Z398" s="2336">
        <v>209.45</v>
      </c>
      <c r="AA398" s="2336"/>
      <c r="AB398" s="2250"/>
      <c r="AC398" s="2250"/>
      <c r="AD398" s="2333">
        <v>107.9</v>
      </c>
      <c r="AE398" s="2336">
        <v>3.73</v>
      </c>
      <c r="AF398" s="2336">
        <v>7.33</v>
      </c>
      <c r="AG398" s="2336">
        <v>11.87</v>
      </c>
      <c r="AH398" s="2336">
        <v>19.73</v>
      </c>
      <c r="AI398" s="2336">
        <v>23.93</v>
      </c>
      <c r="AJ398" s="2336">
        <v>34.47</v>
      </c>
      <c r="AK398" s="2336">
        <v>53.47</v>
      </c>
      <c r="AL398" s="2336">
        <v>70.599999999999994</v>
      </c>
      <c r="AM398" s="2336">
        <v>104.6</v>
      </c>
      <c r="AN398" s="2336">
        <v>152.07</v>
      </c>
      <c r="AO398" s="2336"/>
      <c r="AP398" s="2250"/>
      <c r="AQ398" s="2250"/>
      <c r="AR398" s="2333">
        <v>107.9</v>
      </c>
      <c r="AS398" s="2337">
        <v>3.15</v>
      </c>
      <c r="AT398" s="2337">
        <v>5.77</v>
      </c>
      <c r="AU398" s="2337">
        <v>9.08</v>
      </c>
      <c r="AV398" s="2337">
        <v>15</v>
      </c>
      <c r="AW398" s="2337">
        <v>18</v>
      </c>
      <c r="AX398" s="2337">
        <v>26</v>
      </c>
      <c r="AY398" s="2337">
        <v>40.31</v>
      </c>
      <c r="AZ398" s="2337">
        <v>55.15</v>
      </c>
      <c r="BA398" s="2337">
        <v>79</v>
      </c>
      <c r="BB398" s="2337">
        <v>114.85</v>
      </c>
      <c r="BC398" s="2337"/>
      <c r="BD398" s="2250"/>
      <c r="BE398" s="2250"/>
      <c r="BF398" s="1302">
        <v>68.3</v>
      </c>
      <c r="BG398" s="1302">
        <v>73.7</v>
      </c>
      <c r="BH398" s="2250"/>
      <c r="BI398" s="2275"/>
      <c r="BJ398" s="2333">
        <v>107.9</v>
      </c>
      <c r="BK398" s="2336">
        <v>0</v>
      </c>
      <c r="BL398" s="2336">
        <v>0</v>
      </c>
      <c r="BM398" s="2336">
        <v>0</v>
      </c>
      <c r="BN398" s="2336">
        <v>0</v>
      </c>
      <c r="BO398" s="2336">
        <v>0</v>
      </c>
      <c r="BP398" s="2336">
        <v>0</v>
      </c>
      <c r="BQ398" s="2336">
        <v>0</v>
      </c>
      <c r="BR398" s="2336">
        <v>0</v>
      </c>
      <c r="BS398" s="2336">
        <v>0</v>
      </c>
      <c r="BT398" s="2336">
        <v>0</v>
      </c>
      <c r="BU398" s="2336">
        <v>0</v>
      </c>
      <c r="BV398" s="2250"/>
      <c r="BW398" s="2250"/>
      <c r="BX398" s="2333">
        <v>107.9</v>
      </c>
      <c r="BY398" s="2336">
        <v>4.54</v>
      </c>
      <c r="BZ398" s="2336">
        <v>8.9</v>
      </c>
      <c r="CA398" s="2336">
        <v>15.4</v>
      </c>
      <c r="CB398" s="2336">
        <v>24.42</v>
      </c>
      <c r="CC398" s="2336">
        <v>32.880000000000003</v>
      </c>
      <c r="CD398" s="2336">
        <v>47.42</v>
      </c>
      <c r="CE398" s="2336">
        <v>71.099999999999994</v>
      </c>
      <c r="CF398" s="2336">
        <v>96.75</v>
      </c>
      <c r="CG398" s="2336">
        <v>144.11000000000001</v>
      </c>
      <c r="CH398" s="2336">
        <v>209.45</v>
      </c>
      <c r="CI398" s="2336"/>
      <c r="CJ398" s="2250"/>
      <c r="CK398" s="2250"/>
      <c r="CL398" s="2333">
        <v>107.9</v>
      </c>
      <c r="CM398" s="2336">
        <v>3.73</v>
      </c>
      <c r="CN398" s="2336">
        <v>7.33</v>
      </c>
      <c r="CO398" s="2336">
        <v>11.87</v>
      </c>
      <c r="CP398" s="2336">
        <v>19.73</v>
      </c>
      <c r="CQ398" s="2336">
        <v>23.93</v>
      </c>
      <c r="CR398" s="2336">
        <v>34.47</v>
      </c>
      <c r="CS398" s="2336">
        <v>53.47</v>
      </c>
      <c r="CT398" s="2336">
        <v>70.599999999999994</v>
      </c>
      <c r="CU398" s="2336">
        <v>104.6</v>
      </c>
      <c r="CV398" s="2336">
        <v>152.07</v>
      </c>
      <c r="CW398" s="2336"/>
      <c r="CX398" s="2250"/>
      <c r="CY398" s="2250"/>
      <c r="CZ398" s="2333">
        <v>107.9</v>
      </c>
      <c r="DA398" s="2337">
        <v>3.15</v>
      </c>
      <c r="DB398" s="2337">
        <v>5.77</v>
      </c>
      <c r="DC398" s="2337">
        <v>9.08</v>
      </c>
      <c r="DD398" s="2337">
        <v>15</v>
      </c>
      <c r="DE398" s="2337">
        <v>18</v>
      </c>
      <c r="DF398" s="2337">
        <v>26</v>
      </c>
      <c r="DG398" s="2337">
        <v>40.31</v>
      </c>
      <c r="DH398" s="2337">
        <v>55.15</v>
      </c>
      <c r="DI398" s="2337">
        <v>79</v>
      </c>
      <c r="DJ398" s="2337">
        <v>114.85</v>
      </c>
      <c r="DK398" s="2337"/>
      <c r="DL398" s="2250"/>
      <c r="DM398" s="2250"/>
      <c r="DN398" s="2250"/>
      <c r="DO398" s="53"/>
      <c r="DP398" s="53"/>
      <c r="DS398" s="277"/>
      <c r="DW398" s="1"/>
      <c r="DX398" s="2333">
        <v>107.9</v>
      </c>
      <c r="DY398" s="2336">
        <v>0</v>
      </c>
      <c r="DZ398" s="2336">
        <v>0</v>
      </c>
      <c r="EA398" s="2336">
        <v>0</v>
      </c>
      <c r="EB398" s="2336">
        <v>0</v>
      </c>
      <c r="EC398" s="2336">
        <v>0</v>
      </c>
      <c r="ED398" s="2336">
        <v>0</v>
      </c>
      <c r="EE398" s="2336">
        <v>0</v>
      </c>
      <c r="EF398" s="2336">
        <v>0</v>
      </c>
      <c r="EG398" s="2336">
        <v>0</v>
      </c>
      <c r="EH398" s="2336">
        <v>0</v>
      </c>
      <c r="EI398" s="2336">
        <v>0</v>
      </c>
      <c r="EJ398" s="2250"/>
      <c r="EK398" s="2250"/>
      <c r="EL398" s="2333">
        <v>107.9</v>
      </c>
      <c r="EM398" s="2336">
        <v>4.54</v>
      </c>
      <c r="EN398" s="2336">
        <v>8.9</v>
      </c>
      <c r="EO398" s="2336">
        <v>15.4</v>
      </c>
      <c r="EP398" s="2336">
        <v>24.42</v>
      </c>
      <c r="EQ398" s="2336">
        <v>32.880000000000003</v>
      </c>
      <c r="ER398" s="2336">
        <v>47.42</v>
      </c>
      <c r="ES398" s="2336">
        <v>71.099999999999994</v>
      </c>
      <c r="ET398" s="2336">
        <v>96.75</v>
      </c>
      <c r="EU398" s="2336">
        <v>144.11000000000001</v>
      </c>
      <c r="EV398" s="2336">
        <v>209.45</v>
      </c>
      <c r="EW398" s="2336"/>
      <c r="EX398" s="2250"/>
      <c r="EY398" s="2250"/>
      <c r="EZ398" s="2333">
        <v>107.9</v>
      </c>
      <c r="FA398" s="2336">
        <v>3.73</v>
      </c>
      <c r="FB398" s="2336">
        <v>7.33</v>
      </c>
      <c r="FC398" s="2336">
        <v>11.87</v>
      </c>
      <c r="FD398" s="2336">
        <v>19.73</v>
      </c>
      <c r="FE398" s="2336">
        <v>23.93</v>
      </c>
      <c r="FF398" s="2336">
        <v>34.47</v>
      </c>
      <c r="FG398" s="2336">
        <v>53.47</v>
      </c>
      <c r="FH398" s="2336">
        <v>70.599999999999994</v>
      </c>
      <c r="FI398" s="2336">
        <v>104.6</v>
      </c>
      <c r="FJ398" s="2336">
        <v>152.07</v>
      </c>
      <c r="FK398" s="2336"/>
      <c r="FL398" s="2250"/>
      <c r="FM398" s="2250"/>
      <c r="FN398" s="2333">
        <v>107.9</v>
      </c>
      <c r="FO398" s="2337">
        <v>3.15</v>
      </c>
      <c r="FP398" s="2337">
        <v>5.77</v>
      </c>
      <c r="FQ398" s="2337">
        <v>9.08</v>
      </c>
      <c r="FR398" s="2337">
        <v>15</v>
      </c>
      <c r="FS398" s="2337">
        <v>18</v>
      </c>
      <c r="FT398" s="2337">
        <v>26</v>
      </c>
      <c r="FU398" s="2337">
        <v>40.31</v>
      </c>
      <c r="FV398" s="2337">
        <v>55.15</v>
      </c>
      <c r="FW398" s="2337">
        <v>79</v>
      </c>
      <c r="FX398" s="2337">
        <v>114.85</v>
      </c>
      <c r="FY398" s="2337"/>
      <c r="FZ398" s="2250"/>
      <c r="GA398" s="2250"/>
      <c r="GB398" s="1302">
        <v>68.3</v>
      </c>
      <c r="GC398" s="1302">
        <v>73.7</v>
      </c>
      <c r="GD398" s="2250"/>
      <c r="GE398" s="2275"/>
      <c r="GF398" s="2333">
        <v>107.9</v>
      </c>
      <c r="GG398" s="2336">
        <v>0</v>
      </c>
      <c r="GH398" s="2336">
        <v>0</v>
      </c>
      <c r="GI398" s="2336">
        <v>0</v>
      </c>
      <c r="GJ398" s="2336">
        <v>0</v>
      </c>
      <c r="GK398" s="2336">
        <v>0</v>
      </c>
      <c r="GL398" s="2336">
        <v>0</v>
      </c>
      <c r="GM398" s="2336">
        <v>0</v>
      </c>
      <c r="GN398" s="2336">
        <v>0</v>
      </c>
      <c r="GO398" s="2336">
        <v>0</v>
      </c>
      <c r="GP398" s="2336">
        <v>0</v>
      </c>
      <c r="GQ398" s="2336">
        <v>0</v>
      </c>
      <c r="GR398" s="2250"/>
      <c r="GS398" s="2250"/>
      <c r="GT398" s="2333">
        <v>107.9</v>
      </c>
      <c r="GU398" s="2336">
        <v>4.54</v>
      </c>
      <c r="GV398" s="2336">
        <v>8.9</v>
      </c>
      <c r="GW398" s="2336">
        <v>15.4</v>
      </c>
      <c r="GX398" s="2336">
        <v>24.42</v>
      </c>
      <c r="GY398" s="2336">
        <v>32.880000000000003</v>
      </c>
      <c r="GZ398" s="2336">
        <v>47.42</v>
      </c>
      <c r="HA398" s="2336">
        <v>71.099999999999994</v>
      </c>
      <c r="HB398" s="2336">
        <v>96.75</v>
      </c>
      <c r="HC398" s="2336">
        <v>144.11000000000001</v>
      </c>
      <c r="HD398" s="2336">
        <v>209.45</v>
      </c>
      <c r="HE398" s="2336"/>
      <c r="HF398" s="2250"/>
      <c r="HG398" s="2250"/>
      <c r="HH398" s="2333">
        <v>107.9</v>
      </c>
      <c r="HI398" s="2336">
        <v>3.73</v>
      </c>
      <c r="HJ398" s="2336">
        <v>7.33</v>
      </c>
      <c r="HK398" s="2336">
        <v>11.87</v>
      </c>
      <c r="HL398" s="2336">
        <v>19.73</v>
      </c>
      <c r="HM398" s="2336">
        <v>23.93</v>
      </c>
      <c r="HN398" s="2336">
        <v>34.47</v>
      </c>
      <c r="HO398" s="2336">
        <v>53.47</v>
      </c>
      <c r="HP398" s="2336">
        <v>70.599999999999994</v>
      </c>
      <c r="HQ398" s="2336">
        <v>104.6</v>
      </c>
      <c r="HR398" s="2336">
        <v>152.07</v>
      </c>
      <c r="HS398" s="2336"/>
      <c r="HT398" s="2250"/>
      <c r="HU398" s="2250"/>
      <c r="HV398" s="2333">
        <v>107.9</v>
      </c>
      <c r="HW398" s="2337">
        <v>3.15</v>
      </c>
      <c r="HX398" s="2337">
        <v>5.77</v>
      </c>
      <c r="HY398" s="2337">
        <v>9.08</v>
      </c>
      <c r="HZ398" s="2337">
        <v>15</v>
      </c>
      <c r="IA398" s="2337">
        <v>18</v>
      </c>
      <c r="IB398" s="2337">
        <v>26</v>
      </c>
      <c r="IC398" s="2337">
        <v>40.31</v>
      </c>
      <c r="ID398" s="2337">
        <v>55.15</v>
      </c>
      <c r="IE398" s="2337">
        <v>79</v>
      </c>
      <c r="IF398" s="2337">
        <v>114.85</v>
      </c>
      <c r="IG398" s="2337"/>
      <c r="IH398" s="2250"/>
      <c r="II398" s="2250"/>
      <c r="IJ398" s="2250"/>
      <c r="IK398" s="53"/>
      <c r="IL398" s="53"/>
      <c r="IN398" s="277"/>
      <c r="IO398" s="277"/>
    </row>
    <row r="399" spans="1:249" ht="21.95" customHeight="1">
      <c r="B399" s="2333">
        <v>97.1</v>
      </c>
      <c r="C399" s="2336">
        <v>0</v>
      </c>
      <c r="D399" s="2336">
        <v>0</v>
      </c>
      <c r="E399" s="2336">
        <v>0</v>
      </c>
      <c r="F399" s="2336">
        <v>0</v>
      </c>
      <c r="G399" s="2336">
        <v>0</v>
      </c>
      <c r="H399" s="2336">
        <v>0</v>
      </c>
      <c r="I399" s="2336">
        <v>0</v>
      </c>
      <c r="J399" s="2336">
        <v>0</v>
      </c>
      <c r="K399" s="2336">
        <v>0</v>
      </c>
      <c r="L399" s="2336">
        <v>0</v>
      </c>
      <c r="M399" s="2336">
        <v>0</v>
      </c>
      <c r="N399" s="2250"/>
      <c r="O399" s="2250"/>
      <c r="P399" s="2333">
        <v>97.1</v>
      </c>
      <c r="Q399" s="2336">
        <v>4.97</v>
      </c>
      <c r="R399" s="2336">
        <v>9.51</v>
      </c>
      <c r="S399" s="2336">
        <v>16.690000000000001</v>
      </c>
      <c r="T399" s="2336">
        <v>26.26</v>
      </c>
      <c r="U399" s="2336">
        <v>36.93</v>
      </c>
      <c r="V399" s="2336">
        <v>55.52</v>
      </c>
      <c r="W399" s="2336">
        <v>76.069999999999993</v>
      </c>
      <c r="X399" s="2336">
        <v>104.48</v>
      </c>
      <c r="Y399" s="2336">
        <v>163.31</v>
      </c>
      <c r="Z399" s="2336">
        <v>243.74</v>
      </c>
      <c r="AA399" s="2336"/>
      <c r="AB399" s="2250"/>
      <c r="AC399" s="2250"/>
      <c r="AD399" s="2333">
        <v>97.1</v>
      </c>
      <c r="AE399" s="2336">
        <v>4</v>
      </c>
      <c r="AF399" s="2336">
        <v>7.87</v>
      </c>
      <c r="AG399" s="2336">
        <v>12.93</v>
      </c>
      <c r="AH399" s="2336">
        <v>21.2</v>
      </c>
      <c r="AI399" s="2336">
        <v>26.87</v>
      </c>
      <c r="AJ399" s="2336">
        <v>40.270000000000003</v>
      </c>
      <c r="AK399" s="2336">
        <v>57.07</v>
      </c>
      <c r="AL399" s="2336">
        <v>82.13</v>
      </c>
      <c r="AM399" s="2336">
        <v>118.67</v>
      </c>
      <c r="AN399" s="2336">
        <v>176.73</v>
      </c>
      <c r="AO399" s="2336"/>
      <c r="AP399" s="2250"/>
      <c r="AQ399" s="2250"/>
      <c r="AR399" s="2333">
        <v>97.1</v>
      </c>
      <c r="AS399" s="2337">
        <v>3.08</v>
      </c>
      <c r="AT399" s="2337">
        <v>6.15</v>
      </c>
      <c r="AU399" s="2337">
        <v>9.77</v>
      </c>
      <c r="AV399" s="2337">
        <v>16.149999999999999</v>
      </c>
      <c r="AW399" s="2337">
        <v>20.149999999999999</v>
      </c>
      <c r="AX399" s="2337">
        <v>30.46</v>
      </c>
      <c r="AY399" s="2337">
        <v>43</v>
      </c>
      <c r="AZ399" s="2337">
        <v>61.62</v>
      </c>
      <c r="BA399" s="2337">
        <v>89.46</v>
      </c>
      <c r="BB399" s="2337">
        <v>133.91999999999999</v>
      </c>
      <c r="BC399" s="2337"/>
      <c r="BD399" s="2250"/>
      <c r="BE399" s="2250"/>
      <c r="BF399" s="1302">
        <v>73.7</v>
      </c>
      <c r="BG399" s="1302">
        <v>78.2</v>
      </c>
      <c r="BH399" s="2250"/>
      <c r="BI399" s="2275"/>
      <c r="BJ399" s="2333">
        <v>97.1</v>
      </c>
      <c r="BK399" s="2336">
        <v>0</v>
      </c>
      <c r="BL399" s="2336">
        <v>0</v>
      </c>
      <c r="BM399" s="2336">
        <v>0</v>
      </c>
      <c r="BN399" s="2336">
        <v>0</v>
      </c>
      <c r="BO399" s="2336">
        <v>0</v>
      </c>
      <c r="BP399" s="2336">
        <v>0</v>
      </c>
      <c r="BQ399" s="2336">
        <v>0</v>
      </c>
      <c r="BR399" s="2336">
        <v>0</v>
      </c>
      <c r="BS399" s="2336">
        <v>0</v>
      </c>
      <c r="BT399" s="2336">
        <v>0</v>
      </c>
      <c r="BU399" s="2336">
        <v>0</v>
      </c>
      <c r="BV399" s="2250"/>
      <c r="BW399" s="2250"/>
      <c r="BX399" s="2333">
        <v>97.1</v>
      </c>
      <c r="BY399" s="2336">
        <v>4.97</v>
      </c>
      <c r="BZ399" s="2336">
        <v>9.51</v>
      </c>
      <c r="CA399" s="2336">
        <v>16.690000000000001</v>
      </c>
      <c r="CB399" s="2336">
        <v>26.26</v>
      </c>
      <c r="CC399" s="2336">
        <v>36.93</v>
      </c>
      <c r="CD399" s="2336">
        <v>55.52</v>
      </c>
      <c r="CE399" s="2336">
        <v>76.069999999999993</v>
      </c>
      <c r="CF399" s="2336">
        <v>104.48</v>
      </c>
      <c r="CG399" s="2336">
        <v>163.31</v>
      </c>
      <c r="CH399" s="2336">
        <v>243.74</v>
      </c>
      <c r="CI399" s="2336"/>
      <c r="CJ399" s="2250"/>
      <c r="CK399" s="2250"/>
      <c r="CL399" s="2333">
        <v>97.1</v>
      </c>
      <c r="CM399" s="2336">
        <v>4</v>
      </c>
      <c r="CN399" s="2336">
        <v>7.87</v>
      </c>
      <c r="CO399" s="2336">
        <v>12.93</v>
      </c>
      <c r="CP399" s="2336">
        <v>21.2</v>
      </c>
      <c r="CQ399" s="2336">
        <v>26.87</v>
      </c>
      <c r="CR399" s="2336">
        <v>40.270000000000003</v>
      </c>
      <c r="CS399" s="2336">
        <v>57.07</v>
      </c>
      <c r="CT399" s="2336">
        <v>82.13</v>
      </c>
      <c r="CU399" s="2336">
        <v>118.67</v>
      </c>
      <c r="CV399" s="2336">
        <v>176.73</v>
      </c>
      <c r="CW399" s="2336"/>
      <c r="CX399" s="2250"/>
      <c r="CY399" s="2250"/>
      <c r="CZ399" s="2333">
        <v>97.1</v>
      </c>
      <c r="DA399" s="2337">
        <v>3.08</v>
      </c>
      <c r="DB399" s="2337">
        <v>6.15</v>
      </c>
      <c r="DC399" s="2337">
        <v>9.77</v>
      </c>
      <c r="DD399" s="2337">
        <v>16.149999999999999</v>
      </c>
      <c r="DE399" s="2337">
        <v>20.149999999999999</v>
      </c>
      <c r="DF399" s="2337">
        <v>30.46</v>
      </c>
      <c r="DG399" s="2337">
        <v>43</v>
      </c>
      <c r="DH399" s="2337">
        <v>61.62</v>
      </c>
      <c r="DI399" s="2337">
        <v>89.46</v>
      </c>
      <c r="DJ399" s="2337">
        <v>133.91999999999999</v>
      </c>
      <c r="DK399" s="2337"/>
      <c r="DL399" s="2250"/>
      <c r="DM399" s="2250"/>
      <c r="DN399" s="2250"/>
      <c r="DO399" s="53"/>
      <c r="DP399" s="53"/>
      <c r="DS399" s="277"/>
      <c r="DW399" s="1"/>
      <c r="DX399" s="2333">
        <v>97.1</v>
      </c>
      <c r="DY399" s="2336">
        <v>0</v>
      </c>
      <c r="DZ399" s="2336">
        <v>0</v>
      </c>
      <c r="EA399" s="2336">
        <v>0</v>
      </c>
      <c r="EB399" s="2336">
        <v>0</v>
      </c>
      <c r="EC399" s="2336">
        <v>0</v>
      </c>
      <c r="ED399" s="2336">
        <v>0</v>
      </c>
      <c r="EE399" s="2336">
        <v>0</v>
      </c>
      <c r="EF399" s="2336">
        <v>0</v>
      </c>
      <c r="EG399" s="2336">
        <v>0</v>
      </c>
      <c r="EH399" s="2336">
        <v>0</v>
      </c>
      <c r="EI399" s="2336">
        <v>0</v>
      </c>
      <c r="EJ399" s="2250"/>
      <c r="EK399" s="2250"/>
      <c r="EL399" s="2333">
        <v>97.1</v>
      </c>
      <c r="EM399" s="2336">
        <v>4.97</v>
      </c>
      <c r="EN399" s="2336">
        <v>9.51</v>
      </c>
      <c r="EO399" s="2336">
        <v>16.690000000000001</v>
      </c>
      <c r="EP399" s="2336">
        <v>26.26</v>
      </c>
      <c r="EQ399" s="2336">
        <v>36.93</v>
      </c>
      <c r="ER399" s="2336">
        <v>55.52</v>
      </c>
      <c r="ES399" s="2336">
        <v>76.069999999999993</v>
      </c>
      <c r="ET399" s="2336">
        <v>104.48</v>
      </c>
      <c r="EU399" s="2336">
        <v>163.31</v>
      </c>
      <c r="EV399" s="2336">
        <v>243.74</v>
      </c>
      <c r="EW399" s="2336"/>
      <c r="EX399" s="2250"/>
      <c r="EY399" s="2250"/>
      <c r="EZ399" s="2333">
        <v>97.1</v>
      </c>
      <c r="FA399" s="2336">
        <v>4</v>
      </c>
      <c r="FB399" s="2336">
        <v>7.87</v>
      </c>
      <c r="FC399" s="2336">
        <v>12.93</v>
      </c>
      <c r="FD399" s="2336">
        <v>21.2</v>
      </c>
      <c r="FE399" s="2336">
        <v>26.87</v>
      </c>
      <c r="FF399" s="2336">
        <v>40.270000000000003</v>
      </c>
      <c r="FG399" s="2336">
        <v>57.07</v>
      </c>
      <c r="FH399" s="2336">
        <v>82.13</v>
      </c>
      <c r="FI399" s="2336">
        <v>118.67</v>
      </c>
      <c r="FJ399" s="2336">
        <v>176.73</v>
      </c>
      <c r="FK399" s="2336"/>
      <c r="FL399" s="2250"/>
      <c r="FM399" s="2250"/>
      <c r="FN399" s="2333">
        <v>97.1</v>
      </c>
      <c r="FO399" s="2337">
        <v>3.08</v>
      </c>
      <c r="FP399" s="2337">
        <v>6.15</v>
      </c>
      <c r="FQ399" s="2337">
        <v>9.77</v>
      </c>
      <c r="FR399" s="2337">
        <v>16.149999999999999</v>
      </c>
      <c r="FS399" s="2337">
        <v>20.149999999999999</v>
      </c>
      <c r="FT399" s="2337">
        <v>30.46</v>
      </c>
      <c r="FU399" s="2337">
        <v>43</v>
      </c>
      <c r="FV399" s="2337">
        <v>61.62</v>
      </c>
      <c r="FW399" s="2337">
        <v>89.46</v>
      </c>
      <c r="FX399" s="2337">
        <v>133.91999999999999</v>
      </c>
      <c r="FY399" s="2337"/>
      <c r="FZ399" s="2250"/>
      <c r="GA399" s="2250"/>
      <c r="GB399" s="1302">
        <v>73.7</v>
      </c>
      <c r="GC399" s="1302">
        <v>78.2</v>
      </c>
      <c r="GD399" s="2250"/>
      <c r="GE399" s="2275"/>
      <c r="GF399" s="2333">
        <v>97.1</v>
      </c>
      <c r="GG399" s="2336">
        <v>0</v>
      </c>
      <c r="GH399" s="2336">
        <v>0</v>
      </c>
      <c r="GI399" s="2336">
        <v>0</v>
      </c>
      <c r="GJ399" s="2336">
        <v>0</v>
      </c>
      <c r="GK399" s="2336">
        <v>0</v>
      </c>
      <c r="GL399" s="2336">
        <v>0</v>
      </c>
      <c r="GM399" s="2336">
        <v>0</v>
      </c>
      <c r="GN399" s="2336">
        <v>0</v>
      </c>
      <c r="GO399" s="2336">
        <v>0</v>
      </c>
      <c r="GP399" s="2336">
        <v>0</v>
      </c>
      <c r="GQ399" s="2336">
        <v>0</v>
      </c>
      <c r="GR399" s="2250"/>
      <c r="GS399" s="2250"/>
      <c r="GT399" s="2333">
        <v>97.1</v>
      </c>
      <c r="GU399" s="2336">
        <v>4.97</v>
      </c>
      <c r="GV399" s="2336">
        <v>9.51</v>
      </c>
      <c r="GW399" s="2336">
        <v>16.690000000000001</v>
      </c>
      <c r="GX399" s="2336">
        <v>26.26</v>
      </c>
      <c r="GY399" s="2336">
        <v>36.93</v>
      </c>
      <c r="GZ399" s="2336">
        <v>55.52</v>
      </c>
      <c r="HA399" s="2336">
        <v>76.069999999999993</v>
      </c>
      <c r="HB399" s="2336">
        <v>104.48</v>
      </c>
      <c r="HC399" s="2336">
        <v>163.31</v>
      </c>
      <c r="HD399" s="2336">
        <v>243.74</v>
      </c>
      <c r="HE399" s="2336"/>
      <c r="HF399" s="2250"/>
      <c r="HG399" s="2250"/>
      <c r="HH399" s="2333">
        <v>97.1</v>
      </c>
      <c r="HI399" s="2336">
        <v>4</v>
      </c>
      <c r="HJ399" s="2336">
        <v>7.87</v>
      </c>
      <c r="HK399" s="2336">
        <v>12.93</v>
      </c>
      <c r="HL399" s="2336">
        <v>21.2</v>
      </c>
      <c r="HM399" s="2336">
        <v>26.87</v>
      </c>
      <c r="HN399" s="2336">
        <v>40.270000000000003</v>
      </c>
      <c r="HO399" s="2336">
        <v>57.07</v>
      </c>
      <c r="HP399" s="2336">
        <v>82.13</v>
      </c>
      <c r="HQ399" s="2336">
        <v>118.67</v>
      </c>
      <c r="HR399" s="2336">
        <v>176.73</v>
      </c>
      <c r="HS399" s="2336"/>
      <c r="HT399" s="2250"/>
      <c r="HU399" s="2250"/>
      <c r="HV399" s="2333">
        <v>97.1</v>
      </c>
      <c r="HW399" s="2337">
        <v>3.08</v>
      </c>
      <c r="HX399" s="2337">
        <v>6.15</v>
      </c>
      <c r="HY399" s="2337">
        <v>9.77</v>
      </c>
      <c r="HZ399" s="2337">
        <v>16.149999999999999</v>
      </c>
      <c r="IA399" s="2337">
        <v>20.149999999999999</v>
      </c>
      <c r="IB399" s="2337">
        <v>30.46</v>
      </c>
      <c r="IC399" s="2337">
        <v>43</v>
      </c>
      <c r="ID399" s="2337">
        <v>61.62</v>
      </c>
      <c r="IE399" s="2337">
        <v>89.46</v>
      </c>
      <c r="IF399" s="2337">
        <v>133.91999999999999</v>
      </c>
      <c r="IG399" s="2337"/>
      <c r="IH399" s="2250"/>
      <c r="II399" s="2250"/>
      <c r="IJ399" s="2250"/>
      <c r="IK399" s="53"/>
      <c r="IL399" s="53"/>
      <c r="IN399" s="277"/>
      <c r="IO399" s="277"/>
    </row>
    <row r="400" spans="1:249" ht="21.95" customHeight="1">
      <c r="B400" s="2333">
        <v>92.9</v>
      </c>
      <c r="C400" s="2336">
        <v>0</v>
      </c>
      <c r="D400" s="2336">
        <v>0</v>
      </c>
      <c r="E400" s="2336">
        <v>0</v>
      </c>
      <c r="F400" s="2336">
        <v>0</v>
      </c>
      <c r="G400" s="2336">
        <v>0</v>
      </c>
      <c r="H400" s="2336">
        <v>0</v>
      </c>
      <c r="I400" s="2336">
        <v>0</v>
      </c>
      <c r="J400" s="2336">
        <v>0</v>
      </c>
      <c r="K400" s="2336">
        <v>0</v>
      </c>
      <c r="L400" s="2336">
        <v>0</v>
      </c>
      <c r="M400" s="2336">
        <v>0</v>
      </c>
      <c r="N400" s="2250"/>
      <c r="O400" s="2250"/>
      <c r="P400" s="2333">
        <v>92.9</v>
      </c>
      <c r="Q400" s="2336">
        <v>5.15</v>
      </c>
      <c r="R400" s="2336">
        <v>10.06</v>
      </c>
      <c r="S400" s="2336">
        <v>17.239999999999998</v>
      </c>
      <c r="T400" s="2336">
        <v>27.55</v>
      </c>
      <c r="U400" s="2336">
        <v>38.770000000000003</v>
      </c>
      <c r="V400" s="2336">
        <v>56.13</v>
      </c>
      <c r="W400" s="2336">
        <v>80.31</v>
      </c>
      <c r="X400" s="2336">
        <v>109.14</v>
      </c>
      <c r="Y400" s="2336">
        <v>170.43</v>
      </c>
      <c r="Z400" s="2336">
        <v>247.73</v>
      </c>
      <c r="AA400" s="2336"/>
      <c r="AB400" s="2250"/>
      <c r="AC400" s="2250"/>
      <c r="AD400" s="2333">
        <v>92.9</v>
      </c>
      <c r="AE400" s="2336">
        <v>4.2</v>
      </c>
      <c r="AF400" s="2336">
        <v>8.27</v>
      </c>
      <c r="AG400" s="2336">
        <v>14</v>
      </c>
      <c r="AH400" s="2336">
        <v>22.2</v>
      </c>
      <c r="AI400" s="2336">
        <v>28.2</v>
      </c>
      <c r="AJ400" s="2336">
        <v>40.799999999999997</v>
      </c>
      <c r="AK400" s="2336">
        <v>60.33</v>
      </c>
      <c r="AL400" s="2336">
        <v>82.93</v>
      </c>
      <c r="AM400" s="2336">
        <v>123.93</v>
      </c>
      <c r="AN400" s="2336">
        <v>180.2</v>
      </c>
      <c r="AO400" s="2336"/>
      <c r="AP400" s="2250"/>
      <c r="AQ400" s="2250"/>
      <c r="AR400" s="2333">
        <v>92.9</v>
      </c>
      <c r="AS400" s="2337">
        <v>3.38</v>
      </c>
      <c r="AT400" s="2337">
        <v>6.62</v>
      </c>
      <c r="AU400" s="2337">
        <v>10.62</v>
      </c>
      <c r="AV400" s="2337">
        <v>16.920000000000002</v>
      </c>
      <c r="AW400" s="2337">
        <v>21.08</v>
      </c>
      <c r="AX400" s="2337">
        <v>30.62</v>
      </c>
      <c r="AY400" s="2337">
        <v>45.85</v>
      </c>
      <c r="AZ400" s="2337">
        <v>62.23</v>
      </c>
      <c r="BA400" s="2337">
        <v>93.08</v>
      </c>
      <c r="BB400" s="2337">
        <v>135.31</v>
      </c>
      <c r="BC400" s="2337"/>
      <c r="BD400" s="2250"/>
      <c r="BE400" s="2250"/>
      <c r="BF400" s="1302">
        <v>78.2</v>
      </c>
      <c r="BG400" s="1302">
        <v>83.3</v>
      </c>
      <c r="BH400" s="2250"/>
      <c r="BI400" s="2275"/>
      <c r="BJ400" s="2333">
        <v>92.9</v>
      </c>
      <c r="BK400" s="2336">
        <v>0</v>
      </c>
      <c r="BL400" s="2336">
        <v>0</v>
      </c>
      <c r="BM400" s="2336">
        <v>0</v>
      </c>
      <c r="BN400" s="2336">
        <v>0</v>
      </c>
      <c r="BO400" s="2336">
        <v>0</v>
      </c>
      <c r="BP400" s="2336">
        <v>0</v>
      </c>
      <c r="BQ400" s="2336">
        <v>0</v>
      </c>
      <c r="BR400" s="2336">
        <v>0</v>
      </c>
      <c r="BS400" s="2336">
        <v>0</v>
      </c>
      <c r="BT400" s="2336">
        <v>0</v>
      </c>
      <c r="BU400" s="2336">
        <v>0</v>
      </c>
      <c r="BV400" s="2250"/>
      <c r="BW400" s="2250"/>
      <c r="BX400" s="2333">
        <v>92.9</v>
      </c>
      <c r="BY400" s="2336">
        <v>5.15</v>
      </c>
      <c r="BZ400" s="2336">
        <v>10.06</v>
      </c>
      <c r="CA400" s="2336">
        <v>17.239999999999998</v>
      </c>
      <c r="CB400" s="2336">
        <v>27.55</v>
      </c>
      <c r="CC400" s="2336">
        <v>38.770000000000003</v>
      </c>
      <c r="CD400" s="2336">
        <v>56.13</v>
      </c>
      <c r="CE400" s="2336">
        <v>80.31</v>
      </c>
      <c r="CF400" s="2336">
        <v>109.14</v>
      </c>
      <c r="CG400" s="2336">
        <v>170.43</v>
      </c>
      <c r="CH400" s="2336">
        <v>247.73</v>
      </c>
      <c r="CI400" s="2336"/>
      <c r="CJ400" s="2250"/>
      <c r="CK400" s="2250"/>
      <c r="CL400" s="2333">
        <v>92.9</v>
      </c>
      <c r="CM400" s="2336">
        <v>4.2</v>
      </c>
      <c r="CN400" s="2336">
        <v>8.27</v>
      </c>
      <c r="CO400" s="2336">
        <v>14</v>
      </c>
      <c r="CP400" s="2336">
        <v>22.2</v>
      </c>
      <c r="CQ400" s="2336">
        <v>28.2</v>
      </c>
      <c r="CR400" s="2336">
        <v>40.799999999999997</v>
      </c>
      <c r="CS400" s="2336">
        <v>60.33</v>
      </c>
      <c r="CT400" s="2336">
        <v>82.93</v>
      </c>
      <c r="CU400" s="2336">
        <v>123.93</v>
      </c>
      <c r="CV400" s="2336">
        <v>180.2</v>
      </c>
      <c r="CW400" s="2336"/>
      <c r="CX400" s="2250"/>
      <c r="CY400" s="2250"/>
      <c r="CZ400" s="2333">
        <v>92.9</v>
      </c>
      <c r="DA400" s="2337">
        <v>3.38</v>
      </c>
      <c r="DB400" s="2337">
        <v>6.62</v>
      </c>
      <c r="DC400" s="2337">
        <v>10.62</v>
      </c>
      <c r="DD400" s="2337">
        <v>16.920000000000002</v>
      </c>
      <c r="DE400" s="2337">
        <v>21.08</v>
      </c>
      <c r="DF400" s="2337">
        <v>30.62</v>
      </c>
      <c r="DG400" s="2337">
        <v>45.85</v>
      </c>
      <c r="DH400" s="2337">
        <v>62.23</v>
      </c>
      <c r="DI400" s="2337">
        <v>93.08</v>
      </c>
      <c r="DJ400" s="2337">
        <v>135.31</v>
      </c>
      <c r="DK400" s="2337"/>
      <c r="DL400" s="2250"/>
      <c r="DM400" s="2250"/>
      <c r="DN400" s="2250"/>
      <c r="DO400" s="53"/>
      <c r="DP400" s="53"/>
      <c r="DS400" s="277"/>
      <c r="DW400" s="1"/>
      <c r="DX400" s="2333">
        <v>92.9</v>
      </c>
      <c r="DY400" s="2336">
        <v>0</v>
      </c>
      <c r="DZ400" s="2336">
        <v>0</v>
      </c>
      <c r="EA400" s="2336">
        <v>0</v>
      </c>
      <c r="EB400" s="2336">
        <v>0</v>
      </c>
      <c r="EC400" s="2336">
        <v>0</v>
      </c>
      <c r="ED400" s="2336">
        <v>0</v>
      </c>
      <c r="EE400" s="2336">
        <v>0</v>
      </c>
      <c r="EF400" s="2336">
        <v>0</v>
      </c>
      <c r="EG400" s="2336">
        <v>0</v>
      </c>
      <c r="EH400" s="2336">
        <v>0</v>
      </c>
      <c r="EI400" s="2336">
        <v>0</v>
      </c>
      <c r="EJ400" s="2250"/>
      <c r="EK400" s="2250"/>
      <c r="EL400" s="2333">
        <v>92.9</v>
      </c>
      <c r="EM400" s="2336">
        <v>5.15</v>
      </c>
      <c r="EN400" s="2336">
        <v>10.06</v>
      </c>
      <c r="EO400" s="2336">
        <v>17.239999999999998</v>
      </c>
      <c r="EP400" s="2336">
        <v>27.55</v>
      </c>
      <c r="EQ400" s="2336">
        <v>38.770000000000003</v>
      </c>
      <c r="ER400" s="2336">
        <v>56.13</v>
      </c>
      <c r="ES400" s="2336">
        <v>80.31</v>
      </c>
      <c r="ET400" s="2336">
        <v>109.14</v>
      </c>
      <c r="EU400" s="2336">
        <v>170.43</v>
      </c>
      <c r="EV400" s="2336">
        <v>247.73</v>
      </c>
      <c r="EW400" s="2336"/>
      <c r="EX400" s="2250"/>
      <c r="EY400" s="2250"/>
      <c r="EZ400" s="2333">
        <v>92.9</v>
      </c>
      <c r="FA400" s="2336">
        <v>4.2</v>
      </c>
      <c r="FB400" s="2336">
        <v>8.27</v>
      </c>
      <c r="FC400" s="2336">
        <v>14</v>
      </c>
      <c r="FD400" s="2336">
        <v>22.2</v>
      </c>
      <c r="FE400" s="2336">
        <v>28.2</v>
      </c>
      <c r="FF400" s="2336">
        <v>40.799999999999997</v>
      </c>
      <c r="FG400" s="2336">
        <v>60.33</v>
      </c>
      <c r="FH400" s="2336">
        <v>82.93</v>
      </c>
      <c r="FI400" s="2336">
        <v>123.93</v>
      </c>
      <c r="FJ400" s="2336">
        <v>180.2</v>
      </c>
      <c r="FK400" s="2336"/>
      <c r="FL400" s="2250"/>
      <c r="FM400" s="2250"/>
      <c r="FN400" s="2333">
        <v>92.9</v>
      </c>
      <c r="FO400" s="2337">
        <v>3.38</v>
      </c>
      <c r="FP400" s="2337">
        <v>6.62</v>
      </c>
      <c r="FQ400" s="2337">
        <v>10.62</v>
      </c>
      <c r="FR400" s="2337">
        <v>16.920000000000002</v>
      </c>
      <c r="FS400" s="2337">
        <v>21.08</v>
      </c>
      <c r="FT400" s="2337">
        <v>30.62</v>
      </c>
      <c r="FU400" s="2337">
        <v>45.85</v>
      </c>
      <c r="FV400" s="2337">
        <v>62.23</v>
      </c>
      <c r="FW400" s="2337">
        <v>93.08</v>
      </c>
      <c r="FX400" s="2337">
        <v>135.31</v>
      </c>
      <c r="FY400" s="2337"/>
      <c r="FZ400" s="2250"/>
      <c r="GA400" s="2250"/>
      <c r="GB400" s="1302">
        <v>78.2</v>
      </c>
      <c r="GC400" s="1302">
        <v>83.3</v>
      </c>
      <c r="GD400" s="2250"/>
      <c r="GE400" s="2275"/>
      <c r="GF400" s="2333">
        <v>92.9</v>
      </c>
      <c r="GG400" s="2336">
        <v>0</v>
      </c>
      <c r="GH400" s="2336">
        <v>0</v>
      </c>
      <c r="GI400" s="2336">
        <v>0</v>
      </c>
      <c r="GJ400" s="2336">
        <v>0</v>
      </c>
      <c r="GK400" s="2336">
        <v>0</v>
      </c>
      <c r="GL400" s="2336">
        <v>0</v>
      </c>
      <c r="GM400" s="2336">
        <v>0</v>
      </c>
      <c r="GN400" s="2336">
        <v>0</v>
      </c>
      <c r="GO400" s="2336">
        <v>0</v>
      </c>
      <c r="GP400" s="2336">
        <v>0</v>
      </c>
      <c r="GQ400" s="2336">
        <v>0</v>
      </c>
      <c r="GR400" s="2250"/>
      <c r="GS400" s="2250"/>
      <c r="GT400" s="2333">
        <v>92.9</v>
      </c>
      <c r="GU400" s="2336">
        <v>5.15</v>
      </c>
      <c r="GV400" s="2336">
        <v>10.06</v>
      </c>
      <c r="GW400" s="2336">
        <v>17.239999999999998</v>
      </c>
      <c r="GX400" s="2336">
        <v>27.55</v>
      </c>
      <c r="GY400" s="2336">
        <v>38.770000000000003</v>
      </c>
      <c r="GZ400" s="2336">
        <v>56.13</v>
      </c>
      <c r="HA400" s="2336">
        <v>80.31</v>
      </c>
      <c r="HB400" s="2336">
        <v>109.14</v>
      </c>
      <c r="HC400" s="2336">
        <v>170.43</v>
      </c>
      <c r="HD400" s="2336">
        <v>247.73</v>
      </c>
      <c r="HE400" s="2336"/>
      <c r="HF400" s="2250"/>
      <c r="HG400" s="2250"/>
      <c r="HH400" s="2333">
        <v>92.9</v>
      </c>
      <c r="HI400" s="2336">
        <v>4.2</v>
      </c>
      <c r="HJ400" s="2336">
        <v>8.27</v>
      </c>
      <c r="HK400" s="2336">
        <v>14</v>
      </c>
      <c r="HL400" s="2336">
        <v>22.2</v>
      </c>
      <c r="HM400" s="2336">
        <v>28.2</v>
      </c>
      <c r="HN400" s="2336">
        <v>40.799999999999997</v>
      </c>
      <c r="HO400" s="2336">
        <v>60.33</v>
      </c>
      <c r="HP400" s="2336">
        <v>82.93</v>
      </c>
      <c r="HQ400" s="2336">
        <v>123.93</v>
      </c>
      <c r="HR400" s="2336">
        <v>180.2</v>
      </c>
      <c r="HS400" s="2336"/>
      <c r="HT400" s="2250"/>
      <c r="HU400" s="2250"/>
      <c r="HV400" s="2333">
        <v>92.9</v>
      </c>
      <c r="HW400" s="2337">
        <v>3.38</v>
      </c>
      <c r="HX400" s="2337">
        <v>6.62</v>
      </c>
      <c r="HY400" s="2337">
        <v>10.62</v>
      </c>
      <c r="HZ400" s="2337">
        <v>16.920000000000002</v>
      </c>
      <c r="IA400" s="2337">
        <v>21.08</v>
      </c>
      <c r="IB400" s="2337">
        <v>30.62</v>
      </c>
      <c r="IC400" s="2337">
        <v>45.85</v>
      </c>
      <c r="ID400" s="2337">
        <v>62.23</v>
      </c>
      <c r="IE400" s="2337">
        <v>93.08</v>
      </c>
      <c r="IF400" s="2337">
        <v>135.31</v>
      </c>
      <c r="IG400" s="2337"/>
      <c r="IH400" s="2250"/>
      <c r="II400" s="2250"/>
      <c r="IJ400" s="2250"/>
      <c r="IK400" s="53"/>
      <c r="IL400" s="53"/>
      <c r="IN400" s="277"/>
      <c r="IO400" s="277"/>
    </row>
    <row r="401" spans="2:249" ht="21.95" customHeight="1">
      <c r="B401" s="2333">
        <v>88.2</v>
      </c>
      <c r="C401" s="2336">
        <v>0</v>
      </c>
      <c r="D401" s="2336">
        <v>0</v>
      </c>
      <c r="E401" s="2336">
        <v>0</v>
      </c>
      <c r="F401" s="2336">
        <v>0</v>
      </c>
      <c r="G401" s="2336">
        <v>0</v>
      </c>
      <c r="H401" s="2336">
        <v>0</v>
      </c>
      <c r="I401" s="2336">
        <v>0</v>
      </c>
      <c r="J401" s="2336">
        <v>0</v>
      </c>
      <c r="K401" s="2336">
        <v>0</v>
      </c>
      <c r="L401" s="2336">
        <v>0</v>
      </c>
      <c r="M401" s="2336">
        <v>0</v>
      </c>
      <c r="N401" s="2250"/>
      <c r="O401" s="2250"/>
      <c r="P401" s="2333">
        <v>88.2</v>
      </c>
      <c r="Q401" s="2336">
        <v>5.4</v>
      </c>
      <c r="R401" s="2336">
        <v>10.55</v>
      </c>
      <c r="S401" s="2336">
        <v>18.22</v>
      </c>
      <c r="T401" s="2336">
        <v>28.96</v>
      </c>
      <c r="U401" s="2336">
        <v>39.26</v>
      </c>
      <c r="V401" s="2336">
        <v>56.26</v>
      </c>
      <c r="W401" s="2336">
        <v>81.41</v>
      </c>
      <c r="X401" s="2336">
        <v>114.66</v>
      </c>
      <c r="Y401" s="2336">
        <v>176.38</v>
      </c>
      <c r="Z401" s="2336">
        <v>265.14999999999998</v>
      </c>
      <c r="AA401" s="2336"/>
      <c r="AB401" s="2250"/>
      <c r="AC401" s="2250"/>
      <c r="AD401" s="2333">
        <v>88.2</v>
      </c>
      <c r="AE401" s="2336">
        <v>4.47</v>
      </c>
      <c r="AF401" s="2336">
        <v>8.4700000000000006</v>
      </c>
      <c r="AG401" s="2336">
        <v>14.13</v>
      </c>
      <c r="AH401" s="2336">
        <v>21.8</v>
      </c>
      <c r="AI401" s="2336">
        <v>28.53</v>
      </c>
      <c r="AJ401" s="2336">
        <v>41</v>
      </c>
      <c r="AK401" s="2336">
        <v>59.2</v>
      </c>
      <c r="AL401" s="2336">
        <v>86.93</v>
      </c>
      <c r="AM401" s="2336">
        <v>128.4</v>
      </c>
      <c r="AN401" s="2336">
        <v>188.6</v>
      </c>
      <c r="AO401" s="2336"/>
      <c r="AP401" s="2250"/>
      <c r="AQ401" s="2250"/>
      <c r="AR401" s="2333">
        <v>88.2</v>
      </c>
      <c r="AS401" s="2337">
        <v>3.38</v>
      </c>
      <c r="AT401" s="2337">
        <v>6.38</v>
      </c>
      <c r="AU401" s="2337">
        <v>10.62</v>
      </c>
      <c r="AV401" s="2337">
        <v>16.38</v>
      </c>
      <c r="AW401" s="2337">
        <v>21.54</v>
      </c>
      <c r="AX401" s="2337">
        <v>30.85</v>
      </c>
      <c r="AY401" s="2337">
        <v>44.54</v>
      </c>
      <c r="AZ401" s="2337">
        <v>65.38</v>
      </c>
      <c r="BA401" s="2337">
        <v>96.15</v>
      </c>
      <c r="BB401" s="2337">
        <v>142.15</v>
      </c>
      <c r="BC401" s="2337"/>
      <c r="BD401" s="2250"/>
      <c r="BE401" s="2250"/>
      <c r="BF401" s="1302">
        <v>83.3</v>
      </c>
      <c r="BG401" s="1302">
        <v>88.2</v>
      </c>
      <c r="BH401" s="2250"/>
      <c r="BI401" s="2275"/>
      <c r="BJ401" s="2333">
        <v>88.2</v>
      </c>
      <c r="BK401" s="2336">
        <v>0</v>
      </c>
      <c r="BL401" s="2336">
        <v>0</v>
      </c>
      <c r="BM401" s="2336">
        <v>0</v>
      </c>
      <c r="BN401" s="2336">
        <v>0</v>
      </c>
      <c r="BO401" s="2336">
        <v>0</v>
      </c>
      <c r="BP401" s="2336">
        <v>0</v>
      </c>
      <c r="BQ401" s="2336">
        <v>0</v>
      </c>
      <c r="BR401" s="2336">
        <v>0</v>
      </c>
      <c r="BS401" s="2336">
        <v>0</v>
      </c>
      <c r="BT401" s="2336">
        <v>0</v>
      </c>
      <c r="BU401" s="2336">
        <v>0</v>
      </c>
      <c r="BV401" s="2250"/>
      <c r="BW401" s="2250"/>
      <c r="BX401" s="2333">
        <v>88.2</v>
      </c>
      <c r="BY401" s="2336">
        <v>5.4</v>
      </c>
      <c r="BZ401" s="2336">
        <v>10.55</v>
      </c>
      <c r="CA401" s="2336">
        <v>18.22</v>
      </c>
      <c r="CB401" s="2336">
        <v>28.96</v>
      </c>
      <c r="CC401" s="2336">
        <v>39.26</v>
      </c>
      <c r="CD401" s="2336">
        <v>56.26</v>
      </c>
      <c r="CE401" s="2336">
        <v>81.41</v>
      </c>
      <c r="CF401" s="2336">
        <v>114.66</v>
      </c>
      <c r="CG401" s="2336">
        <v>176.38</v>
      </c>
      <c r="CH401" s="2336">
        <v>265.14999999999998</v>
      </c>
      <c r="CI401" s="2336"/>
      <c r="CJ401" s="2250"/>
      <c r="CK401" s="2250"/>
      <c r="CL401" s="2333">
        <v>88.2</v>
      </c>
      <c r="CM401" s="2336">
        <v>4.47</v>
      </c>
      <c r="CN401" s="2336">
        <v>8.4700000000000006</v>
      </c>
      <c r="CO401" s="2336">
        <v>14.13</v>
      </c>
      <c r="CP401" s="2336">
        <v>21.8</v>
      </c>
      <c r="CQ401" s="2336">
        <v>28.53</v>
      </c>
      <c r="CR401" s="2336">
        <v>41</v>
      </c>
      <c r="CS401" s="2336">
        <v>59.2</v>
      </c>
      <c r="CT401" s="2336">
        <v>86.93</v>
      </c>
      <c r="CU401" s="2336">
        <v>128.4</v>
      </c>
      <c r="CV401" s="2336">
        <v>188.6</v>
      </c>
      <c r="CW401" s="2336"/>
      <c r="CX401" s="2250"/>
      <c r="CY401" s="2250"/>
      <c r="CZ401" s="2333">
        <v>88.2</v>
      </c>
      <c r="DA401" s="2337">
        <v>3.38</v>
      </c>
      <c r="DB401" s="2337">
        <v>6.38</v>
      </c>
      <c r="DC401" s="2337">
        <v>10.62</v>
      </c>
      <c r="DD401" s="2337">
        <v>16.38</v>
      </c>
      <c r="DE401" s="2337">
        <v>21.54</v>
      </c>
      <c r="DF401" s="2337">
        <v>30.85</v>
      </c>
      <c r="DG401" s="2337">
        <v>44.54</v>
      </c>
      <c r="DH401" s="2337">
        <v>65.38</v>
      </c>
      <c r="DI401" s="2337">
        <v>96.15</v>
      </c>
      <c r="DJ401" s="2337">
        <v>142.15</v>
      </c>
      <c r="DK401" s="2337"/>
      <c r="DL401" s="2250"/>
      <c r="DM401" s="2250"/>
      <c r="DN401" s="2250"/>
      <c r="DO401" s="53"/>
      <c r="DP401" s="53"/>
      <c r="DS401" s="277"/>
      <c r="DW401" s="1"/>
      <c r="DX401" s="2333">
        <v>88.2</v>
      </c>
      <c r="DY401" s="2336">
        <v>0</v>
      </c>
      <c r="DZ401" s="2336">
        <v>0</v>
      </c>
      <c r="EA401" s="2336">
        <v>0</v>
      </c>
      <c r="EB401" s="2336">
        <v>0</v>
      </c>
      <c r="EC401" s="2336">
        <v>0</v>
      </c>
      <c r="ED401" s="2336">
        <v>0</v>
      </c>
      <c r="EE401" s="2336">
        <v>0</v>
      </c>
      <c r="EF401" s="2336">
        <v>0</v>
      </c>
      <c r="EG401" s="2336">
        <v>0</v>
      </c>
      <c r="EH401" s="2336">
        <v>0</v>
      </c>
      <c r="EI401" s="2336">
        <v>0</v>
      </c>
      <c r="EJ401" s="2250"/>
      <c r="EK401" s="2250"/>
      <c r="EL401" s="2333">
        <v>88.2</v>
      </c>
      <c r="EM401" s="2336">
        <v>5.4</v>
      </c>
      <c r="EN401" s="2336">
        <v>10.55</v>
      </c>
      <c r="EO401" s="2336">
        <v>18.22</v>
      </c>
      <c r="EP401" s="2336">
        <v>28.96</v>
      </c>
      <c r="EQ401" s="2336">
        <v>39.26</v>
      </c>
      <c r="ER401" s="2336">
        <v>56.26</v>
      </c>
      <c r="ES401" s="2336">
        <v>81.41</v>
      </c>
      <c r="ET401" s="2336">
        <v>114.66</v>
      </c>
      <c r="EU401" s="2336">
        <v>176.38</v>
      </c>
      <c r="EV401" s="2336">
        <v>265.14999999999998</v>
      </c>
      <c r="EW401" s="2336"/>
      <c r="EX401" s="2250"/>
      <c r="EY401" s="2250"/>
      <c r="EZ401" s="2333">
        <v>88.2</v>
      </c>
      <c r="FA401" s="2336">
        <v>4.47</v>
      </c>
      <c r="FB401" s="2336">
        <v>8.4700000000000006</v>
      </c>
      <c r="FC401" s="2336">
        <v>14.13</v>
      </c>
      <c r="FD401" s="2336">
        <v>21.8</v>
      </c>
      <c r="FE401" s="2336">
        <v>28.53</v>
      </c>
      <c r="FF401" s="2336">
        <v>41</v>
      </c>
      <c r="FG401" s="2336">
        <v>59.2</v>
      </c>
      <c r="FH401" s="2336">
        <v>86.93</v>
      </c>
      <c r="FI401" s="2336">
        <v>128.4</v>
      </c>
      <c r="FJ401" s="2336">
        <v>188.6</v>
      </c>
      <c r="FK401" s="2336"/>
      <c r="FL401" s="2250"/>
      <c r="FM401" s="2250"/>
      <c r="FN401" s="2333">
        <v>88.2</v>
      </c>
      <c r="FO401" s="2337">
        <v>3.38</v>
      </c>
      <c r="FP401" s="2337">
        <v>6.38</v>
      </c>
      <c r="FQ401" s="2337">
        <v>10.62</v>
      </c>
      <c r="FR401" s="2337">
        <v>16.38</v>
      </c>
      <c r="FS401" s="2337">
        <v>21.54</v>
      </c>
      <c r="FT401" s="2337">
        <v>30.85</v>
      </c>
      <c r="FU401" s="2337">
        <v>44.54</v>
      </c>
      <c r="FV401" s="2337">
        <v>65.38</v>
      </c>
      <c r="FW401" s="2337">
        <v>96.15</v>
      </c>
      <c r="FX401" s="2337">
        <v>142.15</v>
      </c>
      <c r="FY401" s="2337"/>
      <c r="FZ401" s="2250"/>
      <c r="GA401" s="2250"/>
      <c r="GB401" s="1302">
        <v>83.3</v>
      </c>
      <c r="GC401" s="1302">
        <v>88.2</v>
      </c>
      <c r="GD401" s="2250"/>
      <c r="GE401" s="2275"/>
      <c r="GF401" s="2333">
        <v>88.2</v>
      </c>
      <c r="GG401" s="2336">
        <v>0</v>
      </c>
      <c r="GH401" s="2336">
        <v>0</v>
      </c>
      <c r="GI401" s="2336">
        <v>0</v>
      </c>
      <c r="GJ401" s="2336">
        <v>0</v>
      </c>
      <c r="GK401" s="2336">
        <v>0</v>
      </c>
      <c r="GL401" s="2336">
        <v>0</v>
      </c>
      <c r="GM401" s="2336">
        <v>0</v>
      </c>
      <c r="GN401" s="2336">
        <v>0</v>
      </c>
      <c r="GO401" s="2336">
        <v>0</v>
      </c>
      <c r="GP401" s="2336">
        <v>0</v>
      </c>
      <c r="GQ401" s="2336">
        <v>0</v>
      </c>
      <c r="GR401" s="2250"/>
      <c r="GS401" s="2250"/>
      <c r="GT401" s="2333">
        <v>88.2</v>
      </c>
      <c r="GU401" s="2336">
        <v>5.4</v>
      </c>
      <c r="GV401" s="2336">
        <v>10.55</v>
      </c>
      <c r="GW401" s="2336">
        <v>18.22</v>
      </c>
      <c r="GX401" s="2336">
        <v>28.96</v>
      </c>
      <c r="GY401" s="2336">
        <v>39.26</v>
      </c>
      <c r="GZ401" s="2336">
        <v>56.26</v>
      </c>
      <c r="HA401" s="2336">
        <v>81.41</v>
      </c>
      <c r="HB401" s="2336">
        <v>114.66</v>
      </c>
      <c r="HC401" s="2336">
        <v>176.38</v>
      </c>
      <c r="HD401" s="2336">
        <v>265.14999999999998</v>
      </c>
      <c r="HE401" s="2336"/>
      <c r="HF401" s="2250"/>
      <c r="HG401" s="2250"/>
      <c r="HH401" s="2333">
        <v>88.2</v>
      </c>
      <c r="HI401" s="2336">
        <v>4.47</v>
      </c>
      <c r="HJ401" s="2336">
        <v>8.4700000000000006</v>
      </c>
      <c r="HK401" s="2336">
        <v>14.13</v>
      </c>
      <c r="HL401" s="2336">
        <v>21.8</v>
      </c>
      <c r="HM401" s="2336">
        <v>28.53</v>
      </c>
      <c r="HN401" s="2336">
        <v>41</v>
      </c>
      <c r="HO401" s="2336">
        <v>59.2</v>
      </c>
      <c r="HP401" s="2336">
        <v>86.93</v>
      </c>
      <c r="HQ401" s="2336">
        <v>128.4</v>
      </c>
      <c r="HR401" s="2336">
        <v>188.6</v>
      </c>
      <c r="HS401" s="2336"/>
      <c r="HT401" s="2250"/>
      <c r="HU401" s="2250"/>
      <c r="HV401" s="2333">
        <v>88.2</v>
      </c>
      <c r="HW401" s="2337">
        <v>3.38</v>
      </c>
      <c r="HX401" s="2337">
        <v>6.38</v>
      </c>
      <c r="HY401" s="2337">
        <v>10.62</v>
      </c>
      <c r="HZ401" s="2337">
        <v>16.38</v>
      </c>
      <c r="IA401" s="2337">
        <v>21.54</v>
      </c>
      <c r="IB401" s="2337">
        <v>30.85</v>
      </c>
      <c r="IC401" s="2337">
        <v>44.54</v>
      </c>
      <c r="ID401" s="2337">
        <v>65.38</v>
      </c>
      <c r="IE401" s="2337">
        <v>96.15</v>
      </c>
      <c r="IF401" s="2337">
        <v>142.15</v>
      </c>
      <c r="IG401" s="2337"/>
      <c r="IH401" s="2250"/>
      <c r="II401" s="2250"/>
      <c r="IJ401" s="2250"/>
      <c r="IK401" s="53"/>
      <c r="IL401" s="53"/>
      <c r="IN401" s="277"/>
      <c r="IO401" s="277"/>
    </row>
    <row r="402" spans="2:249" ht="21.95" customHeight="1">
      <c r="B402" s="2333">
        <v>83.3</v>
      </c>
      <c r="C402" s="2336">
        <v>0</v>
      </c>
      <c r="D402" s="2336">
        <v>0</v>
      </c>
      <c r="E402" s="2336">
        <v>0</v>
      </c>
      <c r="F402" s="2336">
        <v>0</v>
      </c>
      <c r="G402" s="2336">
        <v>0</v>
      </c>
      <c r="H402" s="2336">
        <v>0</v>
      </c>
      <c r="I402" s="2336">
        <v>0</v>
      </c>
      <c r="J402" s="2336">
        <v>0</v>
      </c>
      <c r="K402" s="2336">
        <v>0</v>
      </c>
      <c r="L402" s="2336">
        <v>0</v>
      </c>
      <c r="M402" s="2336">
        <v>0</v>
      </c>
      <c r="N402" s="2250"/>
      <c r="O402" s="2250"/>
      <c r="P402" s="2333">
        <v>83.3</v>
      </c>
      <c r="Q402" s="2336">
        <v>5.58</v>
      </c>
      <c r="R402" s="2336">
        <v>10.86</v>
      </c>
      <c r="S402" s="2336">
        <v>19.2</v>
      </c>
      <c r="T402" s="2336">
        <v>29.82</v>
      </c>
      <c r="U402" s="2336">
        <v>40.799999999999997</v>
      </c>
      <c r="V402" s="2336">
        <v>59.08</v>
      </c>
      <c r="W402" s="2336">
        <v>86.93</v>
      </c>
      <c r="X402" s="2336">
        <v>120.74</v>
      </c>
      <c r="Y402" s="2336">
        <v>184.91</v>
      </c>
      <c r="Z402" s="2336">
        <v>274.91000000000003</v>
      </c>
      <c r="AA402" s="2336"/>
      <c r="AB402" s="2250"/>
      <c r="AC402" s="2250"/>
      <c r="AD402" s="2333">
        <v>83.3</v>
      </c>
      <c r="AE402" s="2336">
        <v>4.5999999999999996</v>
      </c>
      <c r="AF402" s="2336">
        <v>8.93</v>
      </c>
      <c r="AG402" s="2336">
        <v>14.87</v>
      </c>
      <c r="AH402" s="2336">
        <v>23.33</v>
      </c>
      <c r="AI402" s="2336">
        <v>29.47</v>
      </c>
      <c r="AJ402" s="2336">
        <v>42.93</v>
      </c>
      <c r="AK402" s="2336">
        <v>63.4</v>
      </c>
      <c r="AL402" s="2336">
        <v>91.47</v>
      </c>
      <c r="AM402" s="2336">
        <v>134.33000000000001</v>
      </c>
      <c r="AN402" s="2336">
        <v>200.47</v>
      </c>
      <c r="AO402" s="2336"/>
      <c r="AP402" s="2250"/>
      <c r="AQ402" s="2250"/>
      <c r="AR402" s="2333">
        <v>83.3</v>
      </c>
      <c r="AS402" s="2337">
        <v>3.69</v>
      </c>
      <c r="AT402" s="2337">
        <v>6.85</v>
      </c>
      <c r="AU402" s="2337">
        <v>11.15</v>
      </c>
      <c r="AV402" s="2337">
        <v>17.62</v>
      </c>
      <c r="AW402" s="2337">
        <v>22.15</v>
      </c>
      <c r="AX402" s="2337">
        <v>32.46</v>
      </c>
      <c r="AY402" s="2337">
        <v>47.77</v>
      </c>
      <c r="AZ402" s="2337">
        <v>68.459999999999994</v>
      </c>
      <c r="BA402" s="2337">
        <v>100.62</v>
      </c>
      <c r="BB402" s="2337">
        <v>112.23</v>
      </c>
      <c r="BC402" s="2337"/>
      <c r="BD402" s="2250"/>
      <c r="BE402" s="2250"/>
      <c r="BF402" s="1302">
        <v>88.2</v>
      </c>
      <c r="BG402" s="1302">
        <v>92.9</v>
      </c>
      <c r="BH402" s="2250"/>
      <c r="BI402" s="2275"/>
      <c r="BJ402" s="2333">
        <v>83.3</v>
      </c>
      <c r="BK402" s="2336">
        <v>0</v>
      </c>
      <c r="BL402" s="2336">
        <v>0</v>
      </c>
      <c r="BM402" s="2336">
        <v>0</v>
      </c>
      <c r="BN402" s="2336">
        <v>0</v>
      </c>
      <c r="BO402" s="2336">
        <v>0</v>
      </c>
      <c r="BP402" s="2336">
        <v>0</v>
      </c>
      <c r="BQ402" s="2336">
        <v>0</v>
      </c>
      <c r="BR402" s="2336">
        <v>0</v>
      </c>
      <c r="BS402" s="2336">
        <v>0</v>
      </c>
      <c r="BT402" s="2336">
        <v>0</v>
      </c>
      <c r="BU402" s="2336">
        <v>0</v>
      </c>
      <c r="BV402" s="2250"/>
      <c r="BW402" s="2250"/>
      <c r="BX402" s="2333">
        <v>83.3</v>
      </c>
      <c r="BY402" s="2336">
        <v>5.58</v>
      </c>
      <c r="BZ402" s="2336">
        <v>10.86</v>
      </c>
      <c r="CA402" s="2336">
        <v>19.2</v>
      </c>
      <c r="CB402" s="2336">
        <v>29.82</v>
      </c>
      <c r="CC402" s="2336">
        <v>40.799999999999997</v>
      </c>
      <c r="CD402" s="2336">
        <v>59.08</v>
      </c>
      <c r="CE402" s="2336">
        <v>86.93</v>
      </c>
      <c r="CF402" s="2336">
        <v>120.74</v>
      </c>
      <c r="CG402" s="2336">
        <v>184.91</v>
      </c>
      <c r="CH402" s="2336">
        <v>274.91000000000003</v>
      </c>
      <c r="CI402" s="2336"/>
      <c r="CJ402" s="2250"/>
      <c r="CK402" s="2250"/>
      <c r="CL402" s="2333">
        <v>83.3</v>
      </c>
      <c r="CM402" s="2336">
        <v>4.5999999999999996</v>
      </c>
      <c r="CN402" s="2336">
        <v>8.93</v>
      </c>
      <c r="CO402" s="2336">
        <v>14.87</v>
      </c>
      <c r="CP402" s="2336">
        <v>23.33</v>
      </c>
      <c r="CQ402" s="2336">
        <v>29.47</v>
      </c>
      <c r="CR402" s="2336">
        <v>42.93</v>
      </c>
      <c r="CS402" s="2336">
        <v>63.4</v>
      </c>
      <c r="CT402" s="2336">
        <v>91.47</v>
      </c>
      <c r="CU402" s="2336">
        <v>134.33000000000001</v>
      </c>
      <c r="CV402" s="2336">
        <v>200.47</v>
      </c>
      <c r="CW402" s="2336"/>
      <c r="CX402" s="2250"/>
      <c r="CY402" s="2250"/>
      <c r="CZ402" s="2333">
        <v>83.3</v>
      </c>
      <c r="DA402" s="2337">
        <v>3.69</v>
      </c>
      <c r="DB402" s="2337">
        <v>6.85</v>
      </c>
      <c r="DC402" s="2337">
        <v>11.15</v>
      </c>
      <c r="DD402" s="2337">
        <v>17.62</v>
      </c>
      <c r="DE402" s="2337">
        <v>22.15</v>
      </c>
      <c r="DF402" s="2337">
        <v>32.46</v>
      </c>
      <c r="DG402" s="2337">
        <v>47.77</v>
      </c>
      <c r="DH402" s="2337">
        <v>68.459999999999994</v>
      </c>
      <c r="DI402" s="2337">
        <v>100.62</v>
      </c>
      <c r="DJ402" s="2337">
        <v>112.23</v>
      </c>
      <c r="DK402" s="2337"/>
      <c r="DL402" s="2250"/>
      <c r="DM402" s="2250"/>
      <c r="DN402" s="2250"/>
      <c r="DO402" s="53"/>
      <c r="DP402" s="53"/>
      <c r="DS402" s="277"/>
      <c r="DW402" s="1"/>
      <c r="DX402" s="2333">
        <v>83.3</v>
      </c>
      <c r="DY402" s="2336">
        <v>0</v>
      </c>
      <c r="DZ402" s="2336">
        <v>0</v>
      </c>
      <c r="EA402" s="2336">
        <v>0</v>
      </c>
      <c r="EB402" s="2336">
        <v>0</v>
      </c>
      <c r="EC402" s="2336">
        <v>0</v>
      </c>
      <c r="ED402" s="2336">
        <v>0</v>
      </c>
      <c r="EE402" s="2336">
        <v>0</v>
      </c>
      <c r="EF402" s="2336">
        <v>0</v>
      </c>
      <c r="EG402" s="2336">
        <v>0</v>
      </c>
      <c r="EH402" s="2336">
        <v>0</v>
      </c>
      <c r="EI402" s="2336">
        <v>0</v>
      </c>
      <c r="EJ402" s="2250"/>
      <c r="EK402" s="2250"/>
      <c r="EL402" s="2333">
        <v>83.3</v>
      </c>
      <c r="EM402" s="2336">
        <v>5.58</v>
      </c>
      <c r="EN402" s="2336">
        <v>10.86</v>
      </c>
      <c r="EO402" s="2336">
        <v>19.2</v>
      </c>
      <c r="EP402" s="2336">
        <v>29.82</v>
      </c>
      <c r="EQ402" s="2336">
        <v>40.799999999999997</v>
      </c>
      <c r="ER402" s="2336">
        <v>59.08</v>
      </c>
      <c r="ES402" s="2336">
        <v>86.93</v>
      </c>
      <c r="ET402" s="2336">
        <v>120.74</v>
      </c>
      <c r="EU402" s="2336">
        <v>184.91</v>
      </c>
      <c r="EV402" s="2336">
        <v>274.91000000000003</v>
      </c>
      <c r="EW402" s="2336"/>
      <c r="EX402" s="2250"/>
      <c r="EY402" s="2250"/>
      <c r="EZ402" s="2333">
        <v>83.3</v>
      </c>
      <c r="FA402" s="2336">
        <v>4.5999999999999996</v>
      </c>
      <c r="FB402" s="2336">
        <v>8.93</v>
      </c>
      <c r="FC402" s="2336">
        <v>14.87</v>
      </c>
      <c r="FD402" s="2336">
        <v>23.33</v>
      </c>
      <c r="FE402" s="2336">
        <v>29.47</v>
      </c>
      <c r="FF402" s="2336">
        <v>42.93</v>
      </c>
      <c r="FG402" s="2336">
        <v>63.4</v>
      </c>
      <c r="FH402" s="2336">
        <v>91.47</v>
      </c>
      <c r="FI402" s="2336">
        <v>134.33000000000001</v>
      </c>
      <c r="FJ402" s="2336">
        <v>200.47</v>
      </c>
      <c r="FK402" s="2336"/>
      <c r="FL402" s="2250"/>
      <c r="FM402" s="2250"/>
      <c r="FN402" s="2333">
        <v>83.3</v>
      </c>
      <c r="FO402" s="2337">
        <v>3.69</v>
      </c>
      <c r="FP402" s="2337">
        <v>6.85</v>
      </c>
      <c r="FQ402" s="2337">
        <v>11.15</v>
      </c>
      <c r="FR402" s="2337">
        <v>17.62</v>
      </c>
      <c r="FS402" s="2337">
        <v>22.15</v>
      </c>
      <c r="FT402" s="2337">
        <v>32.46</v>
      </c>
      <c r="FU402" s="2337">
        <v>47.77</v>
      </c>
      <c r="FV402" s="2337">
        <v>68.459999999999994</v>
      </c>
      <c r="FW402" s="2337">
        <v>100.62</v>
      </c>
      <c r="FX402" s="2337">
        <v>112.23</v>
      </c>
      <c r="FY402" s="2337"/>
      <c r="FZ402" s="2250"/>
      <c r="GA402" s="2250"/>
      <c r="GB402" s="1302">
        <v>88.2</v>
      </c>
      <c r="GC402" s="1302">
        <v>92.9</v>
      </c>
      <c r="GD402" s="2250"/>
      <c r="GE402" s="2275"/>
      <c r="GF402" s="2333">
        <v>83.3</v>
      </c>
      <c r="GG402" s="2336">
        <v>0</v>
      </c>
      <c r="GH402" s="2336">
        <v>0</v>
      </c>
      <c r="GI402" s="2336">
        <v>0</v>
      </c>
      <c r="GJ402" s="2336">
        <v>0</v>
      </c>
      <c r="GK402" s="2336">
        <v>0</v>
      </c>
      <c r="GL402" s="2336">
        <v>0</v>
      </c>
      <c r="GM402" s="2336">
        <v>0</v>
      </c>
      <c r="GN402" s="2336">
        <v>0</v>
      </c>
      <c r="GO402" s="2336">
        <v>0</v>
      </c>
      <c r="GP402" s="2336">
        <v>0</v>
      </c>
      <c r="GQ402" s="2336">
        <v>0</v>
      </c>
      <c r="GR402" s="2250"/>
      <c r="GS402" s="2250"/>
      <c r="GT402" s="2333">
        <v>83.3</v>
      </c>
      <c r="GU402" s="2336">
        <v>5.58</v>
      </c>
      <c r="GV402" s="2336">
        <v>10.86</v>
      </c>
      <c r="GW402" s="2336">
        <v>19.2</v>
      </c>
      <c r="GX402" s="2336">
        <v>29.82</v>
      </c>
      <c r="GY402" s="2336">
        <v>40.799999999999997</v>
      </c>
      <c r="GZ402" s="2336">
        <v>59.08</v>
      </c>
      <c r="HA402" s="2336">
        <v>86.93</v>
      </c>
      <c r="HB402" s="2336">
        <v>120.74</v>
      </c>
      <c r="HC402" s="2336">
        <v>184.91</v>
      </c>
      <c r="HD402" s="2336">
        <v>274.91000000000003</v>
      </c>
      <c r="HE402" s="2336"/>
      <c r="HF402" s="2250"/>
      <c r="HG402" s="2250"/>
      <c r="HH402" s="2333">
        <v>83.3</v>
      </c>
      <c r="HI402" s="2336">
        <v>4.5999999999999996</v>
      </c>
      <c r="HJ402" s="2336">
        <v>8.93</v>
      </c>
      <c r="HK402" s="2336">
        <v>14.87</v>
      </c>
      <c r="HL402" s="2336">
        <v>23.33</v>
      </c>
      <c r="HM402" s="2336">
        <v>29.47</v>
      </c>
      <c r="HN402" s="2336">
        <v>42.93</v>
      </c>
      <c r="HO402" s="2336">
        <v>63.4</v>
      </c>
      <c r="HP402" s="2336">
        <v>91.47</v>
      </c>
      <c r="HQ402" s="2336">
        <v>134.33000000000001</v>
      </c>
      <c r="HR402" s="2336">
        <v>200.47</v>
      </c>
      <c r="HS402" s="2336"/>
      <c r="HT402" s="2250"/>
      <c r="HU402" s="2250"/>
      <c r="HV402" s="2333">
        <v>83.3</v>
      </c>
      <c r="HW402" s="2337">
        <v>3.69</v>
      </c>
      <c r="HX402" s="2337">
        <v>6.85</v>
      </c>
      <c r="HY402" s="2337">
        <v>11.15</v>
      </c>
      <c r="HZ402" s="2337">
        <v>17.62</v>
      </c>
      <c r="IA402" s="2337">
        <v>22.15</v>
      </c>
      <c r="IB402" s="2337">
        <v>32.46</v>
      </c>
      <c r="IC402" s="2337">
        <v>47.77</v>
      </c>
      <c r="ID402" s="2337">
        <v>68.459999999999994</v>
      </c>
      <c r="IE402" s="2337">
        <v>100.62</v>
      </c>
      <c r="IF402" s="2337">
        <v>112.23</v>
      </c>
      <c r="IG402" s="2337"/>
      <c r="IH402" s="2250"/>
      <c r="II402" s="2250"/>
      <c r="IJ402" s="2250"/>
      <c r="IK402" s="53"/>
      <c r="IL402" s="53"/>
      <c r="IN402" s="277"/>
      <c r="IO402" s="277"/>
    </row>
    <row r="403" spans="2:249" ht="21.95" customHeight="1">
      <c r="B403" s="2333">
        <v>78.2</v>
      </c>
      <c r="C403" s="2336">
        <v>0</v>
      </c>
      <c r="D403" s="2336">
        <v>0</v>
      </c>
      <c r="E403" s="2336">
        <v>0</v>
      </c>
      <c r="F403" s="2336">
        <v>0</v>
      </c>
      <c r="G403" s="2336">
        <v>0</v>
      </c>
      <c r="H403" s="2336">
        <v>0</v>
      </c>
      <c r="I403" s="2336">
        <v>0</v>
      </c>
      <c r="J403" s="2336">
        <v>0</v>
      </c>
      <c r="K403" s="2336">
        <v>0</v>
      </c>
      <c r="L403" s="2336">
        <v>0</v>
      </c>
      <c r="M403" s="2336">
        <v>0</v>
      </c>
      <c r="N403" s="2250"/>
      <c r="O403" s="2250"/>
      <c r="P403" s="2333">
        <v>78.2</v>
      </c>
      <c r="Q403" s="2336">
        <v>5.89</v>
      </c>
      <c r="R403" s="2336">
        <v>11.53</v>
      </c>
      <c r="S403" s="2336">
        <v>19.82</v>
      </c>
      <c r="T403" s="2336">
        <v>31.53</v>
      </c>
      <c r="U403" s="2336">
        <v>44.66</v>
      </c>
      <c r="V403" s="2336">
        <v>64.48</v>
      </c>
      <c r="W403" s="2336">
        <v>92.27</v>
      </c>
      <c r="X403" s="2336">
        <v>124.72</v>
      </c>
      <c r="Y403" s="2336">
        <v>199.08</v>
      </c>
      <c r="Z403" s="2336">
        <v>291.41000000000003</v>
      </c>
      <c r="AA403" s="2336"/>
      <c r="AB403" s="2250"/>
      <c r="AC403" s="2250"/>
      <c r="AD403" s="2333">
        <v>78.2</v>
      </c>
      <c r="AE403" s="2336">
        <v>4.87</v>
      </c>
      <c r="AF403" s="2336">
        <v>9.5299999999999994</v>
      </c>
      <c r="AG403" s="2336">
        <v>16</v>
      </c>
      <c r="AH403" s="2336">
        <v>25.4</v>
      </c>
      <c r="AI403" s="2336">
        <v>32.270000000000003</v>
      </c>
      <c r="AJ403" s="2336">
        <v>47.2</v>
      </c>
      <c r="AK403" s="2336">
        <v>67.2</v>
      </c>
      <c r="AL403" s="2336">
        <v>98.27</v>
      </c>
      <c r="AM403" s="2336">
        <v>146.93</v>
      </c>
      <c r="AN403" s="2336">
        <v>211.93</v>
      </c>
      <c r="AO403" s="2336"/>
      <c r="AP403" s="2250"/>
      <c r="AQ403" s="2250"/>
      <c r="AR403" s="2333">
        <v>78.2</v>
      </c>
      <c r="AS403" s="2337">
        <v>3.85</v>
      </c>
      <c r="AT403" s="2337">
        <v>7.23</v>
      </c>
      <c r="AU403" s="2337">
        <v>12</v>
      </c>
      <c r="AV403" s="2337">
        <v>19.149999999999999</v>
      </c>
      <c r="AW403" s="2337">
        <v>24.31</v>
      </c>
      <c r="AX403" s="2337">
        <v>35.380000000000003</v>
      </c>
      <c r="AY403" s="2337">
        <v>50.38</v>
      </c>
      <c r="AZ403" s="2337">
        <v>73.69</v>
      </c>
      <c r="BA403" s="2337">
        <v>110.23</v>
      </c>
      <c r="BB403" s="2337">
        <v>158.69</v>
      </c>
      <c r="BC403" s="2337"/>
      <c r="BD403" s="2250"/>
      <c r="BE403" s="2250"/>
      <c r="BF403" s="1302">
        <v>92.9</v>
      </c>
      <c r="BG403" s="1302">
        <v>97.1</v>
      </c>
      <c r="BH403" s="2250"/>
      <c r="BI403" s="2275"/>
      <c r="BJ403" s="2333">
        <v>78.2</v>
      </c>
      <c r="BK403" s="2336">
        <v>0</v>
      </c>
      <c r="BL403" s="2336">
        <v>0</v>
      </c>
      <c r="BM403" s="2336">
        <v>0</v>
      </c>
      <c r="BN403" s="2336">
        <v>0</v>
      </c>
      <c r="BO403" s="2336">
        <v>0</v>
      </c>
      <c r="BP403" s="2336">
        <v>0</v>
      </c>
      <c r="BQ403" s="2336">
        <v>0</v>
      </c>
      <c r="BR403" s="2336">
        <v>0</v>
      </c>
      <c r="BS403" s="2336">
        <v>0</v>
      </c>
      <c r="BT403" s="2336">
        <v>0</v>
      </c>
      <c r="BU403" s="2336">
        <v>0</v>
      </c>
      <c r="BV403" s="2250"/>
      <c r="BW403" s="2250"/>
      <c r="BX403" s="2333">
        <v>78.2</v>
      </c>
      <c r="BY403" s="2336">
        <v>5.89</v>
      </c>
      <c r="BZ403" s="2336">
        <v>11.53</v>
      </c>
      <c r="CA403" s="2336">
        <v>19.82</v>
      </c>
      <c r="CB403" s="2336">
        <v>31.53</v>
      </c>
      <c r="CC403" s="2336">
        <v>44.66</v>
      </c>
      <c r="CD403" s="2336">
        <v>64.48</v>
      </c>
      <c r="CE403" s="2336">
        <v>92.27</v>
      </c>
      <c r="CF403" s="2336">
        <v>124.72</v>
      </c>
      <c r="CG403" s="2336">
        <v>199.08</v>
      </c>
      <c r="CH403" s="2336">
        <v>291.41000000000003</v>
      </c>
      <c r="CI403" s="2336"/>
      <c r="CJ403" s="2250"/>
      <c r="CK403" s="2250"/>
      <c r="CL403" s="2333">
        <v>78.2</v>
      </c>
      <c r="CM403" s="2336">
        <v>4.87</v>
      </c>
      <c r="CN403" s="2336">
        <v>9.5299999999999994</v>
      </c>
      <c r="CO403" s="2336">
        <v>16</v>
      </c>
      <c r="CP403" s="2336">
        <v>25.4</v>
      </c>
      <c r="CQ403" s="2336">
        <v>32.270000000000003</v>
      </c>
      <c r="CR403" s="2336">
        <v>47.2</v>
      </c>
      <c r="CS403" s="2336">
        <v>67.2</v>
      </c>
      <c r="CT403" s="2336">
        <v>98.27</v>
      </c>
      <c r="CU403" s="2336">
        <v>146.93</v>
      </c>
      <c r="CV403" s="2336">
        <v>211.93</v>
      </c>
      <c r="CW403" s="2336"/>
      <c r="CX403" s="2250"/>
      <c r="CY403" s="2250"/>
      <c r="CZ403" s="2333">
        <v>78.2</v>
      </c>
      <c r="DA403" s="2337">
        <v>3.85</v>
      </c>
      <c r="DB403" s="2337">
        <v>7.23</v>
      </c>
      <c r="DC403" s="2337">
        <v>12</v>
      </c>
      <c r="DD403" s="2337">
        <v>19.149999999999999</v>
      </c>
      <c r="DE403" s="2337">
        <v>24.31</v>
      </c>
      <c r="DF403" s="2337">
        <v>35.380000000000003</v>
      </c>
      <c r="DG403" s="2337">
        <v>50.38</v>
      </c>
      <c r="DH403" s="2337">
        <v>73.69</v>
      </c>
      <c r="DI403" s="2337">
        <v>110.23</v>
      </c>
      <c r="DJ403" s="2337">
        <v>158.69</v>
      </c>
      <c r="DK403" s="2337"/>
      <c r="DL403" s="2250"/>
      <c r="DM403" s="2250"/>
      <c r="DN403" s="2250"/>
      <c r="DO403" s="53"/>
      <c r="DP403" s="53"/>
      <c r="DS403" s="277"/>
      <c r="DW403" s="1"/>
      <c r="DX403" s="2333">
        <v>78.2</v>
      </c>
      <c r="DY403" s="2336">
        <v>0</v>
      </c>
      <c r="DZ403" s="2336">
        <v>0</v>
      </c>
      <c r="EA403" s="2336">
        <v>0</v>
      </c>
      <c r="EB403" s="2336">
        <v>0</v>
      </c>
      <c r="EC403" s="2336">
        <v>0</v>
      </c>
      <c r="ED403" s="2336">
        <v>0</v>
      </c>
      <c r="EE403" s="2336">
        <v>0</v>
      </c>
      <c r="EF403" s="2336">
        <v>0</v>
      </c>
      <c r="EG403" s="2336">
        <v>0</v>
      </c>
      <c r="EH403" s="2336">
        <v>0</v>
      </c>
      <c r="EI403" s="2336">
        <v>0</v>
      </c>
      <c r="EJ403" s="2250"/>
      <c r="EK403" s="2250"/>
      <c r="EL403" s="2333">
        <v>78.2</v>
      </c>
      <c r="EM403" s="2336">
        <v>5.89</v>
      </c>
      <c r="EN403" s="2336">
        <v>11.53</v>
      </c>
      <c r="EO403" s="2336">
        <v>19.82</v>
      </c>
      <c r="EP403" s="2336">
        <v>31.53</v>
      </c>
      <c r="EQ403" s="2336">
        <v>44.66</v>
      </c>
      <c r="ER403" s="2336">
        <v>64.48</v>
      </c>
      <c r="ES403" s="2336">
        <v>92.27</v>
      </c>
      <c r="ET403" s="2336">
        <v>124.72</v>
      </c>
      <c r="EU403" s="2336">
        <v>199.08</v>
      </c>
      <c r="EV403" s="2336">
        <v>291.41000000000003</v>
      </c>
      <c r="EW403" s="2336"/>
      <c r="EX403" s="2250"/>
      <c r="EY403" s="2250"/>
      <c r="EZ403" s="2333">
        <v>78.2</v>
      </c>
      <c r="FA403" s="2336">
        <v>4.87</v>
      </c>
      <c r="FB403" s="2336">
        <v>9.5299999999999994</v>
      </c>
      <c r="FC403" s="2336">
        <v>16</v>
      </c>
      <c r="FD403" s="2336">
        <v>25.4</v>
      </c>
      <c r="FE403" s="2336">
        <v>32.270000000000003</v>
      </c>
      <c r="FF403" s="2336">
        <v>47.2</v>
      </c>
      <c r="FG403" s="2336">
        <v>67.2</v>
      </c>
      <c r="FH403" s="2336">
        <v>98.27</v>
      </c>
      <c r="FI403" s="2336">
        <v>146.93</v>
      </c>
      <c r="FJ403" s="2336">
        <v>211.93</v>
      </c>
      <c r="FK403" s="2336"/>
      <c r="FL403" s="2250"/>
      <c r="FM403" s="2250"/>
      <c r="FN403" s="2333">
        <v>78.2</v>
      </c>
      <c r="FO403" s="2337">
        <v>3.85</v>
      </c>
      <c r="FP403" s="2337">
        <v>7.23</v>
      </c>
      <c r="FQ403" s="2337">
        <v>12</v>
      </c>
      <c r="FR403" s="2337">
        <v>19.149999999999999</v>
      </c>
      <c r="FS403" s="2337">
        <v>24.31</v>
      </c>
      <c r="FT403" s="2337">
        <v>35.380000000000003</v>
      </c>
      <c r="FU403" s="2337">
        <v>50.38</v>
      </c>
      <c r="FV403" s="2337">
        <v>73.69</v>
      </c>
      <c r="FW403" s="2337">
        <v>110.23</v>
      </c>
      <c r="FX403" s="2337">
        <v>158.69</v>
      </c>
      <c r="FY403" s="2337"/>
      <c r="FZ403" s="2250"/>
      <c r="GA403" s="2250"/>
      <c r="GB403" s="1302">
        <v>92.9</v>
      </c>
      <c r="GC403" s="1302">
        <v>97.1</v>
      </c>
      <c r="GD403" s="2250"/>
      <c r="GE403" s="2275"/>
      <c r="GF403" s="2333">
        <v>78.2</v>
      </c>
      <c r="GG403" s="2336">
        <v>0</v>
      </c>
      <c r="GH403" s="2336">
        <v>0</v>
      </c>
      <c r="GI403" s="2336">
        <v>0</v>
      </c>
      <c r="GJ403" s="2336">
        <v>0</v>
      </c>
      <c r="GK403" s="2336">
        <v>0</v>
      </c>
      <c r="GL403" s="2336">
        <v>0</v>
      </c>
      <c r="GM403" s="2336">
        <v>0</v>
      </c>
      <c r="GN403" s="2336">
        <v>0</v>
      </c>
      <c r="GO403" s="2336">
        <v>0</v>
      </c>
      <c r="GP403" s="2336">
        <v>0</v>
      </c>
      <c r="GQ403" s="2336">
        <v>0</v>
      </c>
      <c r="GR403" s="2250"/>
      <c r="GS403" s="2250"/>
      <c r="GT403" s="2333">
        <v>78.2</v>
      </c>
      <c r="GU403" s="2336">
        <v>5.89</v>
      </c>
      <c r="GV403" s="2336">
        <v>11.53</v>
      </c>
      <c r="GW403" s="2336">
        <v>19.82</v>
      </c>
      <c r="GX403" s="2336">
        <v>31.53</v>
      </c>
      <c r="GY403" s="2336">
        <v>44.66</v>
      </c>
      <c r="GZ403" s="2336">
        <v>64.48</v>
      </c>
      <c r="HA403" s="2336">
        <v>92.27</v>
      </c>
      <c r="HB403" s="2336">
        <v>124.72</v>
      </c>
      <c r="HC403" s="2336">
        <v>199.08</v>
      </c>
      <c r="HD403" s="2336">
        <v>291.41000000000003</v>
      </c>
      <c r="HE403" s="2336"/>
      <c r="HF403" s="2250"/>
      <c r="HG403" s="2250"/>
      <c r="HH403" s="2333">
        <v>78.2</v>
      </c>
      <c r="HI403" s="2336">
        <v>4.87</v>
      </c>
      <c r="HJ403" s="2336">
        <v>9.5299999999999994</v>
      </c>
      <c r="HK403" s="2336">
        <v>16</v>
      </c>
      <c r="HL403" s="2336">
        <v>25.4</v>
      </c>
      <c r="HM403" s="2336">
        <v>32.270000000000003</v>
      </c>
      <c r="HN403" s="2336">
        <v>47.2</v>
      </c>
      <c r="HO403" s="2336">
        <v>67.2</v>
      </c>
      <c r="HP403" s="2336">
        <v>98.27</v>
      </c>
      <c r="HQ403" s="2336">
        <v>146.93</v>
      </c>
      <c r="HR403" s="2336">
        <v>211.93</v>
      </c>
      <c r="HS403" s="2336"/>
      <c r="HT403" s="2250"/>
      <c r="HU403" s="2250"/>
      <c r="HV403" s="2333">
        <v>78.2</v>
      </c>
      <c r="HW403" s="2337">
        <v>3.85</v>
      </c>
      <c r="HX403" s="2337">
        <v>7.23</v>
      </c>
      <c r="HY403" s="2337">
        <v>12</v>
      </c>
      <c r="HZ403" s="2337">
        <v>19.149999999999999</v>
      </c>
      <c r="IA403" s="2337">
        <v>24.31</v>
      </c>
      <c r="IB403" s="2337">
        <v>35.380000000000003</v>
      </c>
      <c r="IC403" s="2337">
        <v>50.38</v>
      </c>
      <c r="ID403" s="2337">
        <v>73.69</v>
      </c>
      <c r="IE403" s="2337">
        <v>110.23</v>
      </c>
      <c r="IF403" s="2337">
        <v>158.69</v>
      </c>
      <c r="IG403" s="2337"/>
      <c r="IH403" s="2250"/>
      <c r="II403" s="2250"/>
      <c r="IJ403" s="2250"/>
      <c r="IK403" s="53"/>
      <c r="IL403" s="53"/>
      <c r="IN403" s="277"/>
      <c r="IO403" s="277"/>
    </row>
    <row r="404" spans="2:249" ht="21.95" customHeight="1">
      <c r="B404" s="2333">
        <v>73.7</v>
      </c>
      <c r="C404" s="2336">
        <v>0</v>
      </c>
      <c r="D404" s="2336">
        <v>0</v>
      </c>
      <c r="E404" s="2336">
        <v>0</v>
      </c>
      <c r="F404" s="2336">
        <v>0</v>
      </c>
      <c r="G404" s="2336">
        <v>0</v>
      </c>
      <c r="H404" s="2336">
        <v>0</v>
      </c>
      <c r="I404" s="2336">
        <v>0</v>
      </c>
      <c r="J404" s="2336">
        <v>0</v>
      </c>
      <c r="K404" s="2336">
        <v>0</v>
      </c>
      <c r="L404" s="2336">
        <v>0</v>
      </c>
      <c r="M404" s="2336">
        <v>0</v>
      </c>
      <c r="N404" s="2250"/>
      <c r="O404" s="2250"/>
      <c r="P404" s="2333">
        <v>73.7</v>
      </c>
      <c r="Q404" s="2336">
        <v>6.26</v>
      </c>
      <c r="R404" s="2336">
        <v>12.39</v>
      </c>
      <c r="S404" s="2336">
        <v>21.1</v>
      </c>
      <c r="T404" s="2336">
        <v>33.5</v>
      </c>
      <c r="U404" s="2336">
        <v>44.91</v>
      </c>
      <c r="V404" s="2336">
        <v>69.39</v>
      </c>
      <c r="W404" s="2336">
        <v>97.61</v>
      </c>
      <c r="X404" s="2336">
        <v>132.69999999999999</v>
      </c>
      <c r="Y404" s="2336">
        <v>211.23</v>
      </c>
      <c r="Z404" s="2336">
        <v>307.36</v>
      </c>
      <c r="AA404" s="2336"/>
      <c r="AB404" s="2250"/>
      <c r="AC404" s="2250"/>
      <c r="AD404" s="2333">
        <v>73.7</v>
      </c>
      <c r="AE404" s="2336">
        <v>5.2</v>
      </c>
      <c r="AF404" s="2336">
        <v>10.130000000000001</v>
      </c>
      <c r="AG404" s="2336">
        <v>16.93</v>
      </c>
      <c r="AH404" s="2336">
        <v>26.93</v>
      </c>
      <c r="AI404" s="2336">
        <v>32.4</v>
      </c>
      <c r="AJ404" s="2336">
        <v>50.47</v>
      </c>
      <c r="AK404" s="2336">
        <v>73.069999999999993</v>
      </c>
      <c r="AL404" s="2336">
        <v>102.67</v>
      </c>
      <c r="AM404" s="2336">
        <v>157.4</v>
      </c>
      <c r="AN404" s="2336">
        <v>222.87</v>
      </c>
      <c r="AO404" s="2336"/>
      <c r="AP404" s="2250"/>
      <c r="AQ404" s="2250"/>
      <c r="AR404" s="2333">
        <v>73.7</v>
      </c>
      <c r="AS404" s="2337">
        <v>4.08</v>
      </c>
      <c r="AT404" s="2337">
        <v>7.62</v>
      </c>
      <c r="AU404" s="2337">
        <v>12.69</v>
      </c>
      <c r="AV404" s="2337">
        <v>20.149999999999999</v>
      </c>
      <c r="AW404" s="2337">
        <v>24.54</v>
      </c>
      <c r="AX404" s="2337">
        <v>37.85</v>
      </c>
      <c r="AY404" s="2337">
        <v>54.77</v>
      </c>
      <c r="AZ404" s="2337">
        <v>77.31</v>
      </c>
      <c r="BA404" s="2337">
        <v>118.46</v>
      </c>
      <c r="BB404" s="2337">
        <v>167.15</v>
      </c>
      <c r="BC404" s="2337"/>
      <c r="BD404" s="2250"/>
      <c r="BE404" s="2250"/>
      <c r="BF404" s="1302">
        <v>97.1</v>
      </c>
      <c r="BG404" s="1302">
        <v>107.9</v>
      </c>
      <c r="BH404" s="2250"/>
      <c r="BI404" s="2275"/>
      <c r="BJ404" s="2333">
        <v>73.7</v>
      </c>
      <c r="BK404" s="2336">
        <v>0</v>
      </c>
      <c r="BL404" s="2336">
        <v>0</v>
      </c>
      <c r="BM404" s="2336">
        <v>0</v>
      </c>
      <c r="BN404" s="2336">
        <v>0</v>
      </c>
      <c r="BO404" s="2336">
        <v>0</v>
      </c>
      <c r="BP404" s="2336">
        <v>0</v>
      </c>
      <c r="BQ404" s="2336">
        <v>0</v>
      </c>
      <c r="BR404" s="2336">
        <v>0</v>
      </c>
      <c r="BS404" s="2336">
        <v>0</v>
      </c>
      <c r="BT404" s="2336">
        <v>0</v>
      </c>
      <c r="BU404" s="2336">
        <v>0</v>
      </c>
      <c r="BV404" s="2250"/>
      <c r="BW404" s="2250"/>
      <c r="BX404" s="2333">
        <v>73.7</v>
      </c>
      <c r="BY404" s="2336">
        <v>6.26</v>
      </c>
      <c r="BZ404" s="2336">
        <v>12.39</v>
      </c>
      <c r="CA404" s="2336">
        <v>21.1</v>
      </c>
      <c r="CB404" s="2336">
        <v>33.5</v>
      </c>
      <c r="CC404" s="2336">
        <v>44.91</v>
      </c>
      <c r="CD404" s="2336">
        <v>69.39</v>
      </c>
      <c r="CE404" s="2336">
        <v>97.61</v>
      </c>
      <c r="CF404" s="2336">
        <v>132.69999999999999</v>
      </c>
      <c r="CG404" s="2336">
        <v>211.23</v>
      </c>
      <c r="CH404" s="2336">
        <v>307.36</v>
      </c>
      <c r="CI404" s="2336"/>
      <c r="CJ404" s="2250"/>
      <c r="CK404" s="2250"/>
      <c r="CL404" s="2333">
        <v>73.7</v>
      </c>
      <c r="CM404" s="2336">
        <v>5.2</v>
      </c>
      <c r="CN404" s="2336">
        <v>10.130000000000001</v>
      </c>
      <c r="CO404" s="2336">
        <v>16.93</v>
      </c>
      <c r="CP404" s="2336">
        <v>26.93</v>
      </c>
      <c r="CQ404" s="2336">
        <v>32.4</v>
      </c>
      <c r="CR404" s="2336">
        <v>50.47</v>
      </c>
      <c r="CS404" s="2336">
        <v>73.069999999999993</v>
      </c>
      <c r="CT404" s="2336">
        <v>102.67</v>
      </c>
      <c r="CU404" s="2336">
        <v>157.4</v>
      </c>
      <c r="CV404" s="2336">
        <v>222.87</v>
      </c>
      <c r="CW404" s="2336"/>
      <c r="CX404" s="2250"/>
      <c r="CY404" s="2250"/>
      <c r="CZ404" s="2333">
        <v>73.7</v>
      </c>
      <c r="DA404" s="2337">
        <v>4.08</v>
      </c>
      <c r="DB404" s="2337">
        <v>7.62</v>
      </c>
      <c r="DC404" s="2337">
        <v>12.69</v>
      </c>
      <c r="DD404" s="2337">
        <v>20.149999999999999</v>
      </c>
      <c r="DE404" s="2337">
        <v>24.54</v>
      </c>
      <c r="DF404" s="2337">
        <v>37.85</v>
      </c>
      <c r="DG404" s="2337">
        <v>54.77</v>
      </c>
      <c r="DH404" s="2337">
        <v>77.31</v>
      </c>
      <c r="DI404" s="2337">
        <v>118.46</v>
      </c>
      <c r="DJ404" s="2337">
        <v>167.15</v>
      </c>
      <c r="DK404" s="2337"/>
      <c r="DL404" s="2250"/>
      <c r="DM404" s="2250"/>
      <c r="DN404" s="2250"/>
      <c r="DO404" s="53"/>
      <c r="DP404" s="53"/>
      <c r="DS404" s="277"/>
      <c r="DW404" s="1"/>
      <c r="DX404" s="2333">
        <v>73.7</v>
      </c>
      <c r="DY404" s="2336">
        <v>0</v>
      </c>
      <c r="DZ404" s="2336">
        <v>0</v>
      </c>
      <c r="EA404" s="2336">
        <v>0</v>
      </c>
      <c r="EB404" s="2336">
        <v>0</v>
      </c>
      <c r="EC404" s="2336">
        <v>0</v>
      </c>
      <c r="ED404" s="2336">
        <v>0</v>
      </c>
      <c r="EE404" s="2336">
        <v>0</v>
      </c>
      <c r="EF404" s="2336">
        <v>0</v>
      </c>
      <c r="EG404" s="2336">
        <v>0</v>
      </c>
      <c r="EH404" s="2336">
        <v>0</v>
      </c>
      <c r="EI404" s="2336">
        <v>0</v>
      </c>
      <c r="EJ404" s="2250"/>
      <c r="EK404" s="2250"/>
      <c r="EL404" s="2333">
        <v>73.7</v>
      </c>
      <c r="EM404" s="2336">
        <v>6.26</v>
      </c>
      <c r="EN404" s="2336">
        <v>12.39</v>
      </c>
      <c r="EO404" s="2336">
        <v>21.1</v>
      </c>
      <c r="EP404" s="2336">
        <v>33.5</v>
      </c>
      <c r="EQ404" s="2336">
        <v>44.91</v>
      </c>
      <c r="ER404" s="2336">
        <v>69.39</v>
      </c>
      <c r="ES404" s="2336">
        <v>97.61</v>
      </c>
      <c r="ET404" s="2336">
        <v>132.69999999999999</v>
      </c>
      <c r="EU404" s="2336">
        <v>211.23</v>
      </c>
      <c r="EV404" s="2336">
        <v>307.36</v>
      </c>
      <c r="EW404" s="2336"/>
      <c r="EX404" s="2250"/>
      <c r="EY404" s="2250"/>
      <c r="EZ404" s="2333">
        <v>73.7</v>
      </c>
      <c r="FA404" s="2336">
        <v>5.2</v>
      </c>
      <c r="FB404" s="2336">
        <v>10.130000000000001</v>
      </c>
      <c r="FC404" s="2336">
        <v>16.93</v>
      </c>
      <c r="FD404" s="2336">
        <v>26.93</v>
      </c>
      <c r="FE404" s="2336">
        <v>32.4</v>
      </c>
      <c r="FF404" s="2336">
        <v>50.47</v>
      </c>
      <c r="FG404" s="2336">
        <v>73.069999999999993</v>
      </c>
      <c r="FH404" s="2336">
        <v>102.67</v>
      </c>
      <c r="FI404" s="2336">
        <v>157.4</v>
      </c>
      <c r="FJ404" s="2336">
        <v>222.87</v>
      </c>
      <c r="FK404" s="2336"/>
      <c r="FL404" s="2250"/>
      <c r="FM404" s="2250"/>
      <c r="FN404" s="2333">
        <v>73.7</v>
      </c>
      <c r="FO404" s="2337">
        <v>4.08</v>
      </c>
      <c r="FP404" s="2337">
        <v>7.62</v>
      </c>
      <c r="FQ404" s="2337">
        <v>12.69</v>
      </c>
      <c r="FR404" s="2337">
        <v>20.149999999999999</v>
      </c>
      <c r="FS404" s="2337">
        <v>24.54</v>
      </c>
      <c r="FT404" s="2337">
        <v>37.85</v>
      </c>
      <c r="FU404" s="2337">
        <v>54.77</v>
      </c>
      <c r="FV404" s="2337">
        <v>77.31</v>
      </c>
      <c r="FW404" s="2337">
        <v>118.46</v>
      </c>
      <c r="FX404" s="2337">
        <v>167.15</v>
      </c>
      <c r="FY404" s="2337"/>
      <c r="FZ404" s="2250"/>
      <c r="GA404" s="2250"/>
      <c r="GB404" s="1302">
        <v>97.1</v>
      </c>
      <c r="GC404" s="1302">
        <v>107.9</v>
      </c>
      <c r="GD404" s="2250"/>
      <c r="GE404" s="2275"/>
      <c r="GF404" s="2333">
        <v>73.7</v>
      </c>
      <c r="GG404" s="2336">
        <v>0</v>
      </c>
      <c r="GH404" s="2336">
        <v>0</v>
      </c>
      <c r="GI404" s="2336">
        <v>0</v>
      </c>
      <c r="GJ404" s="2336">
        <v>0</v>
      </c>
      <c r="GK404" s="2336">
        <v>0</v>
      </c>
      <c r="GL404" s="2336">
        <v>0</v>
      </c>
      <c r="GM404" s="2336">
        <v>0</v>
      </c>
      <c r="GN404" s="2336">
        <v>0</v>
      </c>
      <c r="GO404" s="2336">
        <v>0</v>
      </c>
      <c r="GP404" s="2336">
        <v>0</v>
      </c>
      <c r="GQ404" s="2336">
        <v>0</v>
      </c>
      <c r="GR404" s="2250"/>
      <c r="GS404" s="2250"/>
      <c r="GT404" s="2333">
        <v>73.7</v>
      </c>
      <c r="GU404" s="2336">
        <v>6.26</v>
      </c>
      <c r="GV404" s="2336">
        <v>12.39</v>
      </c>
      <c r="GW404" s="2336">
        <v>21.1</v>
      </c>
      <c r="GX404" s="2336">
        <v>33.5</v>
      </c>
      <c r="GY404" s="2336">
        <v>44.91</v>
      </c>
      <c r="GZ404" s="2336">
        <v>69.39</v>
      </c>
      <c r="HA404" s="2336">
        <v>97.61</v>
      </c>
      <c r="HB404" s="2336">
        <v>132.69999999999999</v>
      </c>
      <c r="HC404" s="2336">
        <v>211.23</v>
      </c>
      <c r="HD404" s="2336">
        <v>307.36</v>
      </c>
      <c r="HE404" s="2336"/>
      <c r="HF404" s="2250"/>
      <c r="HG404" s="2250"/>
      <c r="HH404" s="2333">
        <v>73.7</v>
      </c>
      <c r="HI404" s="2336">
        <v>5.2</v>
      </c>
      <c r="HJ404" s="2336">
        <v>10.130000000000001</v>
      </c>
      <c r="HK404" s="2336">
        <v>16.93</v>
      </c>
      <c r="HL404" s="2336">
        <v>26.93</v>
      </c>
      <c r="HM404" s="2336">
        <v>32.4</v>
      </c>
      <c r="HN404" s="2336">
        <v>50.47</v>
      </c>
      <c r="HO404" s="2336">
        <v>73.069999999999993</v>
      </c>
      <c r="HP404" s="2336">
        <v>102.67</v>
      </c>
      <c r="HQ404" s="2336">
        <v>157.4</v>
      </c>
      <c r="HR404" s="2336">
        <v>222.87</v>
      </c>
      <c r="HS404" s="2336"/>
      <c r="HT404" s="2250"/>
      <c r="HU404" s="2250"/>
      <c r="HV404" s="2333">
        <v>73.7</v>
      </c>
      <c r="HW404" s="2337">
        <v>4.08</v>
      </c>
      <c r="HX404" s="2337">
        <v>7.62</v>
      </c>
      <c r="HY404" s="2337">
        <v>12.69</v>
      </c>
      <c r="HZ404" s="2337">
        <v>20.149999999999999</v>
      </c>
      <c r="IA404" s="2337">
        <v>24.54</v>
      </c>
      <c r="IB404" s="2337">
        <v>37.85</v>
      </c>
      <c r="IC404" s="2337">
        <v>54.77</v>
      </c>
      <c r="ID404" s="2337">
        <v>77.31</v>
      </c>
      <c r="IE404" s="2337">
        <v>118.46</v>
      </c>
      <c r="IF404" s="2337">
        <v>167.15</v>
      </c>
      <c r="IG404" s="2337"/>
      <c r="IH404" s="2250"/>
      <c r="II404" s="2250"/>
      <c r="IJ404" s="2250"/>
      <c r="IK404" s="53"/>
      <c r="IL404" s="53"/>
      <c r="IN404" s="277"/>
      <c r="IO404" s="277"/>
    </row>
    <row r="405" spans="2:249" ht="21.95" customHeight="1">
      <c r="B405" s="2333">
        <v>68.3</v>
      </c>
      <c r="C405" s="2336">
        <v>0</v>
      </c>
      <c r="D405" s="2336">
        <v>0</v>
      </c>
      <c r="E405" s="2336">
        <v>0</v>
      </c>
      <c r="F405" s="2336">
        <v>0</v>
      </c>
      <c r="G405" s="2336">
        <v>0</v>
      </c>
      <c r="H405" s="2336">
        <v>0</v>
      </c>
      <c r="I405" s="2336">
        <v>0</v>
      </c>
      <c r="J405" s="2336">
        <v>0</v>
      </c>
      <c r="K405" s="2336">
        <v>0</v>
      </c>
      <c r="L405" s="2336">
        <v>0</v>
      </c>
      <c r="M405" s="2336">
        <v>0</v>
      </c>
      <c r="N405" s="2250"/>
      <c r="O405" s="2250"/>
      <c r="P405" s="2333">
        <v>68.3</v>
      </c>
      <c r="Q405" s="2336">
        <v>6.81</v>
      </c>
      <c r="R405" s="2336">
        <v>13.25</v>
      </c>
      <c r="S405" s="2336">
        <v>22.39</v>
      </c>
      <c r="T405" s="2336">
        <v>36.32</v>
      </c>
      <c r="U405" s="2336">
        <v>49.69</v>
      </c>
      <c r="V405" s="2336">
        <v>73.010000000000005</v>
      </c>
      <c r="W405" s="2336">
        <v>105.28</v>
      </c>
      <c r="X405" s="2336">
        <v>143.93</v>
      </c>
      <c r="Y405" s="2336">
        <v>223.44</v>
      </c>
      <c r="Z405" s="2336">
        <v>322.88</v>
      </c>
      <c r="AA405" s="2336"/>
      <c r="AB405" s="2250"/>
      <c r="AC405" s="2250"/>
      <c r="AD405" s="2333">
        <v>68.3</v>
      </c>
      <c r="AE405" s="2336">
        <v>5.67</v>
      </c>
      <c r="AF405" s="2336">
        <v>10.93</v>
      </c>
      <c r="AG405" s="2336">
        <v>18.670000000000002</v>
      </c>
      <c r="AH405" s="2336">
        <v>28.07</v>
      </c>
      <c r="AI405" s="2336">
        <v>35.869999999999997</v>
      </c>
      <c r="AJ405" s="2336">
        <v>52.93</v>
      </c>
      <c r="AK405" s="2336">
        <v>76.27</v>
      </c>
      <c r="AL405" s="2336">
        <v>111.27</v>
      </c>
      <c r="AM405" s="2336">
        <v>169</v>
      </c>
      <c r="AN405" s="2336">
        <v>236.53</v>
      </c>
      <c r="AO405" s="2336"/>
      <c r="AP405" s="2250"/>
      <c r="AQ405" s="2250"/>
      <c r="AR405" s="2333">
        <v>68.3</v>
      </c>
      <c r="AS405" s="2337">
        <v>4.38</v>
      </c>
      <c r="AT405" s="2337">
        <v>8.23</v>
      </c>
      <c r="AU405" s="2337">
        <v>13.38</v>
      </c>
      <c r="AV405" s="2337">
        <v>21.08</v>
      </c>
      <c r="AW405" s="2337">
        <v>27.15</v>
      </c>
      <c r="AX405" s="2337">
        <v>39.770000000000003</v>
      </c>
      <c r="AY405" s="2337">
        <v>57.23</v>
      </c>
      <c r="AZ405" s="2337">
        <v>84.08</v>
      </c>
      <c r="BA405" s="2337">
        <v>126.77</v>
      </c>
      <c r="BB405" s="2337">
        <v>177.38</v>
      </c>
      <c r="BC405" s="2337"/>
      <c r="BD405" s="2250"/>
      <c r="BE405" s="2250"/>
      <c r="BF405" s="1302">
        <v>107.9</v>
      </c>
      <c r="BG405" s="1302">
        <v>120.7</v>
      </c>
      <c r="BH405" s="2250"/>
      <c r="BI405" s="2275"/>
      <c r="BJ405" s="2333">
        <v>68.3</v>
      </c>
      <c r="BK405" s="2336">
        <v>0</v>
      </c>
      <c r="BL405" s="2336">
        <v>0</v>
      </c>
      <c r="BM405" s="2336">
        <v>0</v>
      </c>
      <c r="BN405" s="2336">
        <v>0</v>
      </c>
      <c r="BO405" s="2336">
        <v>0</v>
      </c>
      <c r="BP405" s="2336">
        <v>0</v>
      </c>
      <c r="BQ405" s="2336">
        <v>0</v>
      </c>
      <c r="BR405" s="2336">
        <v>0</v>
      </c>
      <c r="BS405" s="2336">
        <v>0</v>
      </c>
      <c r="BT405" s="2336">
        <v>0</v>
      </c>
      <c r="BU405" s="2336">
        <v>0</v>
      </c>
      <c r="BV405" s="2250"/>
      <c r="BW405" s="2250"/>
      <c r="BX405" s="2333">
        <v>68.3</v>
      </c>
      <c r="BY405" s="2336">
        <v>6.81</v>
      </c>
      <c r="BZ405" s="2336">
        <v>13.25</v>
      </c>
      <c r="CA405" s="2336">
        <v>22.39</v>
      </c>
      <c r="CB405" s="2336">
        <v>36.32</v>
      </c>
      <c r="CC405" s="2336">
        <v>49.69</v>
      </c>
      <c r="CD405" s="2336">
        <v>73.010000000000005</v>
      </c>
      <c r="CE405" s="2336">
        <v>105.28</v>
      </c>
      <c r="CF405" s="2336">
        <v>143.93</v>
      </c>
      <c r="CG405" s="2336">
        <v>223.44</v>
      </c>
      <c r="CH405" s="2336">
        <v>322.88</v>
      </c>
      <c r="CI405" s="2336"/>
      <c r="CJ405" s="2250"/>
      <c r="CK405" s="2250"/>
      <c r="CL405" s="2333">
        <v>68.3</v>
      </c>
      <c r="CM405" s="2336">
        <v>5.67</v>
      </c>
      <c r="CN405" s="2336">
        <v>10.93</v>
      </c>
      <c r="CO405" s="2336">
        <v>18.670000000000002</v>
      </c>
      <c r="CP405" s="2336">
        <v>28.07</v>
      </c>
      <c r="CQ405" s="2336">
        <v>35.869999999999997</v>
      </c>
      <c r="CR405" s="2336">
        <v>52.93</v>
      </c>
      <c r="CS405" s="2336">
        <v>76.27</v>
      </c>
      <c r="CT405" s="2336">
        <v>111.27</v>
      </c>
      <c r="CU405" s="2336">
        <v>169</v>
      </c>
      <c r="CV405" s="2336">
        <v>236.53</v>
      </c>
      <c r="CW405" s="2336"/>
      <c r="CX405" s="2250"/>
      <c r="CY405" s="2250"/>
      <c r="CZ405" s="2333">
        <v>68.3</v>
      </c>
      <c r="DA405" s="2337">
        <v>4.38</v>
      </c>
      <c r="DB405" s="2337">
        <v>8.23</v>
      </c>
      <c r="DC405" s="2337">
        <v>13.38</v>
      </c>
      <c r="DD405" s="2337">
        <v>21.08</v>
      </c>
      <c r="DE405" s="2337">
        <v>27.15</v>
      </c>
      <c r="DF405" s="2337">
        <v>39.770000000000003</v>
      </c>
      <c r="DG405" s="2337">
        <v>57.23</v>
      </c>
      <c r="DH405" s="2337">
        <v>84.08</v>
      </c>
      <c r="DI405" s="2337">
        <v>126.77</v>
      </c>
      <c r="DJ405" s="2337">
        <v>177.38</v>
      </c>
      <c r="DK405" s="2337"/>
      <c r="DL405" s="2250"/>
      <c r="DM405" s="2250"/>
      <c r="DN405" s="2250"/>
      <c r="DO405" s="53"/>
      <c r="DP405" s="53"/>
      <c r="DS405" s="277"/>
      <c r="DW405" s="1"/>
      <c r="DX405" s="2333">
        <v>68.3</v>
      </c>
      <c r="DY405" s="2336">
        <v>0</v>
      </c>
      <c r="DZ405" s="2336">
        <v>0</v>
      </c>
      <c r="EA405" s="2336">
        <v>0</v>
      </c>
      <c r="EB405" s="2336">
        <v>0</v>
      </c>
      <c r="EC405" s="2336">
        <v>0</v>
      </c>
      <c r="ED405" s="2336">
        <v>0</v>
      </c>
      <c r="EE405" s="2336">
        <v>0</v>
      </c>
      <c r="EF405" s="2336">
        <v>0</v>
      </c>
      <c r="EG405" s="2336">
        <v>0</v>
      </c>
      <c r="EH405" s="2336">
        <v>0</v>
      </c>
      <c r="EI405" s="2336">
        <v>0</v>
      </c>
      <c r="EJ405" s="2250"/>
      <c r="EK405" s="2250"/>
      <c r="EL405" s="2333">
        <v>68.3</v>
      </c>
      <c r="EM405" s="2336">
        <v>6.81</v>
      </c>
      <c r="EN405" s="2336">
        <v>13.25</v>
      </c>
      <c r="EO405" s="2336">
        <v>22.39</v>
      </c>
      <c r="EP405" s="2336">
        <v>36.32</v>
      </c>
      <c r="EQ405" s="2336">
        <v>49.69</v>
      </c>
      <c r="ER405" s="2336">
        <v>73.010000000000005</v>
      </c>
      <c r="ES405" s="2336">
        <v>105.28</v>
      </c>
      <c r="ET405" s="2336">
        <v>143.93</v>
      </c>
      <c r="EU405" s="2336">
        <v>223.44</v>
      </c>
      <c r="EV405" s="2336">
        <v>322.88</v>
      </c>
      <c r="EW405" s="2336"/>
      <c r="EX405" s="2250"/>
      <c r="EY405" s="2250"/>
      <c r="EZ405" s="2333">
        <v>68.3</v>
      </c>
      <c r="FA405" s="2336">
        <v>5.67</v>
      </c>
      <c r="FB405" s="2336">
        <v>10.93</v>
      </c>
      <c r="FC405" s="2336">
        <v>18.670000000000002</v>
      </c>
      <c r="FD405" s="2336">
        <v>28.07</v>
      </c>
      <c r="FE405" s="2336">
        <v>35.869999999999997</v>
      </c>
      <c r="FF405" s="2336">
        <v>52.93</v>
      </c>
      <c r="FG405" s="2336">
        <v>76.27</v>
      </c>
      <c r="FH405" s="2336">
        <v>111.27</v>
      </c>
      <c r="FI405" s="2336">
        <v>169</v>
      </c>
      <c r="FJ405" s="2336">
        <v>236.53</v>
      </c>
      <c r="FK405" s="2336"/>
      <c r="FL405" s="2250"/>
      <c r="FM405" s="2250"/>
      <c r="FN405" s="2333">
        <v>68.3</v>
      </c>
      <c r="FO405" s="2337">
        <v>4.38</v>
      </c>
      <c r="FP405" s="2337">
        <v>8.23</v>
      </c>
      <c r="FQ405" s="2337">
        <v>13.38</v>
      </c>
      <c r="FR405" s="2337">
        <v>21.08</v>
      </c>
      <c r="FS405" s="2337">
        <v>27.15</v>
      </c>
      <c r="FT405" s="2337">
        <v>39.770000000000003</v>
      </c>
      <c r="FU405" s="2337">
        <v>57.23</v>
      </c>
      <c r="FV405" s="2337">
        <v>84.08</v>
      </c>
      <c r="FW405" s="2337">
        <v>126.77</v>
      </c>
      <c r="FX405" s="2337">
        <v>177.38</v>
      </c>
      <c r="FY405" s="2337"/>
      <c r="FZ405" s="2250"/>
      <c r="GA405" s="2250"/>
      <c r="GB405" s="1302">
        <v>107.9</v>
      </c>
      <c r="GC405" s="1302">
        <v>120.7</v>
      </c>
      <c r="GD405" s="2250"/>
      <c r="GE405" s="2275"/>
      <c r="GF405" s="2333">
        <v>68.3</v>
      </c>
      <c r="GG405" s="2336">
        <v>0</v>
      </c>
      <c r="GH405" s="2336">
        <v>0</v>
      </c>
      <c r="GI405" s="2336">
        <v>0</v>
      </c>
      <c r="GJ405" s="2336">
        <v>0</v>
      </c>
      <c r="GK405" s="2336">
        <v>0</v>
      </c>
      <c r="GL405" s="2336">
        <v>0</v>
      </c>
      <c r="GM405" s="2336">
        <v>0</v>
      </c>
      <c r="GN405" s="2336">
        <v>0</v>
      </c>
      <c r="GO405" s="2336">
        <v>0</v>
      </c>
      <c r="GP405" s="2336">
        <v>0</v>
      </c>
      <c r="GQ405" s="2336">
        <v>0</v>
      </c>
      <c r="GR405" s="2250"/>
      <c r="GS405" s="2250"/>
      <c r="GT405" s="2333">
        <v>68.3</v>
      </c>
      <c r="GU405" s="2336">
        <v>6.81</v>
      </c>
      <c r="GV405" s="2336">
        <v>13.25</v>
      </c>
      <c r="GW405" s="2336">
        <v>22.39</v>
      </c>
      <c r="GX405" s="2336">
        <v>36.32</v>
      </c>
      <c r="GY405" s="2336">
        <v>49.69</v>
      </c>
      <c r="GZ405" s="2336">
        <v>73.010000000000005</v>
      </c>
      <c r="HA405" s="2336">
        <v>105.28</v>
      </c>
      <c r="HB405" s="2336">
        <v>143.93</v>
      </c>
      <c r="HC405" s="2336">
        <v>223.44</v>
      </c>
      <c r="HD405" s="2336">
        <v>322.88</v>
      </c>
      <c r="HE405" s="2336"/>
      <c r="HF405" s="2250"/>
      <c r="HG405" s="2250"/>
      <c r="HH405" s="2333">
        <v>68.3</v>
      </c>
      <c r="HI405" s="2336">
        <v>5.67</v>
      </c>
      <c r="HJ405" s="2336">
        <v>10.93</v>
      </c>
      <c r="HK405" s="2336">
        <v>18.670000000000002</v>
      </c>
      <c r="HL405" s="2336">
        <v>28.07</v>
      </c>
      <c r="HM405" s="2336">
        <v>35.869999999999997</v>
      </c>
      <c r="HN405" s="2336">
        <v>52.93</v>
      </c>
      <c r="HO405" s="2336">
        <v>76.27</v>
      </c>
      <c r="HP405" s="2336">
        <v>111.27</v>
      </c>
      <c r="HQ405" s="2336">
        <v>169</v>
      </c>
      <c r="HR405" s="2336">
        <v>236.53</v>
      </c>
      <c r="HS405" s="2336"/>
      <c r="HT405" s="2250"/>
      <c r="HU405" s="2250"/>
      <c r="HV405" s="2333">
        <v>68.3</v>
      </c>
      <c r="HW405" s="2337">
        <v>4.38</v>
      </c>
      <c r="HX405" s="2337">
        <v>8.23</v>
      </c>
      <c r="HY405" s="2337">
        <v>13.38</v>
      </c>
      <c r="HZ405" s="2337">
        <v>21.08</v>
      </c>
      <c r="IA405" s="2337">
        <v>27.15</v>
      </c>
      <c r="IB405" s="2337">
        <v>39.770000000000003</v>
      </c>
      <c r="IC405" s="2337">
        <v>57.23</v>
      </c>
      <c r="ID405" s="2337">
        <v>84.08</v>
      </c>
      <c r="IE405" s="2337">
        <v>126.77</v>
      </c>
      <c r="IF405" s="2337">
        <v>177.38</v>
      </c>
      <c r="IG405" s="2337"/>
      <c r="IH405" s="2250"/>
      <c r="II405" s="2250"/>
      <c r="IJ405" s="2250"/>
      <c r="IK405" s="53"/>
      <c r="IL405" s="53"/>
      <c r="IN405" s="277"/>
      <c r="IO405" s="277"/>
    </row>
    <row r="406" spans="2:249" ht="21.95" customHeight="1">
      <c r="B406" s="2333">
        <v>63.4</v>
      </c>
      <c r="C406" s="2336">
        <v>0</v>
      </c>
      <c r="D406" s="2336">
        <v>0</v>
      </c>
      <c r="E406" s="2336">
        <v>0</v>
      </c>
      <c r="F406" s="2336">
        <v>0</v>
      </c>
      <c r="G406" s="2336">
        <v>0</v>
      </c>
      <c r="H406" s="2336">
        <v>0</v>
      </c>
      <c r="I406" s="2336">
        <v>0</v>
      </c>
      <c r="J406" s="2336">
        <v>0</v>
      </c>
      <c r="K406" s="2336">
        <v>0</v>
      </c>
      <c r="L406" s="2336">
        <v>0</v>
      </c>
      <c r="M406" s="2336">
        <v>0</v>
      </c>
      <c r="N406" s="2250"/>
      <c r="O406" s="2250"/>
      <c r="P406" s="2333">
        <v>63.4</v>
      </c>
      <c r="Q406" s="2336">
        <v>7.24</v>
      </c>
      <c r="R406" s="2336">
        <v>14.11</v>
      </c>
      <c r="S406" s="2336">
        <v>24.11</v>
      </c>
      <c r="T406" s="2336">
        <v>38.71</v>
      </c>
      <c r="U406" s="2336">
        <v>52.58</v>
      </c>
      <c r="V406" s="2336">
        <v>75.95</v>
      </c>
      <c r="W406" s="2336">
        <v>111.66</v>
      </c>
      <c r="X406" s="2336">
        <v>153.31</v>
      </c>
      <c r="Y406" s="2336">
        <v>236.32</v>
      </c>
      <c r="Z406" s="2336">
        <v>338.1</v>
      </c>
      <c r="AA406" s="2336"/>
      <c r="AB406" s="2250"/>
      <c r="AC406" s="2250"/>
      <c r="AD406" s="2333">
        <v>63.4</v>
      </c>
      <c r="AE406" s="2336">
        <v>6</v>
      </c>
      <c r="AF406" s="2336">
        <v>11.6</v>
      </c>
      <c r="AG406" s="2336">
        <v>17.670000000000002</v>
      </c>
      <c r="AH406" s="2336">
        <v>29.73</v>
      </c>
      <c r="AI406" s="2336">
        <v>37.869999999999997</v>
      </c>
      <c r="AJ406" s="2336">
        <v>55.07</v>
      </c>
      <c r="AK406" s="2336">
        <v>80.67</v>
      </c>
      <c r="AL406" s="2336">
        <v>118.47</v>
      </c>
      <c r="AM406" s="2336">
        <v>171.33</v>
      </c>
      <c r="AN406" s="2336">
        <v>243.93</v>
      </c>
      <c r="AO406" s="2336"/>
      <c r="AP406" s="2250"/>
      <c r="AQ406" s="2250"/>
      <c r="AR406" s="2333">
        <v>63.4</v>
      </c>
      <c r="AS406" s="2337">
        <v>4.6900000000000004</v>
      </c>
      <c r="AT406" s="2337">
        <v>8.69</v>
      </c>
      <c r="AU406" s="2337">
        <v>14.08</v>
      </c>
      <c r="AV406" s="2337">
        <v>22.38</v>
      </c>
      <c r="AW406" s="2337">
        <v>28.77</v>
      </c>
      <c r="AX406" s="2337">
        <v>41.77</v>
      </c>
      <c r="AY406" s="2337">
        <v>60.69</v>
      </c>
      <c r="AZ406" s="2337">
        <v>89.15</v>
      </c>
      <c r="BA406" s="2337">
        <v>129.91999999999999</v>
      </c>
      <c r="BB406" s="2337">
        <v>184.69</v>
      </c>
      <c r="BC406" s="2337"/>
      <c r="BD406" s="2250"/>
      <c r="BE406" s="2250"/>
      <c r="BF406" s="1302">
        <v>120.7</v>
      </c>
      <c r="BG406" s="1302">
        <v>129.80000000000001</v>
      </c>
      <c r="BH406" s="2250"/>
      <c r="BI406" s="2275"/>
      <c r="BJ406" s="2333">
        <v>63.4</v>
      </c>
      <c r="BK406" s="2336">
        <v>0</v>
      </c>
      <c r="BL406" s="2336">
        <v>0</v>
      </c>
      <c r="BM406" s="2336">
        <v>0</v>
      </c>
      <c r="BN406" s="2336">
        <v>0</v>
      </c>
      <c r="BO406" s="2336">
        <v>0</v>
      </c>
      <c r="BP406" s="2336">
        <v>0</v>
      </c>
      <c r="BQ406" s="2336">
        <v>0</v>
      </c>
      <c r="BR406" s="2336">
        <v>0</v>
      </c>
      <c r="BS406" s="2336">
        <v>0</v>
      </c>
      <c r="BT406" s="2336">
        <v>0</v>
      </c>
      <c r="BU406" s="2336">
        <v>0</v>
      </c>
      <c r="BV406" s="2250"/>
      <c r="BW406" s="2250"/>
      <c r="BX406" s="2333">
        <v>63.4</v>
      </c>
      <c r="BY406" s="2336">
        <v>7.24</v>
      </c>
      <c r="BZ406" s="2336">
        <v>14.11</v>
      </c>
      <c r="CA406" s="2336">
        <v>24.11</v>
      </c>
      <c r="CB406" s="2336">
        <v>38.71</v>
      </c>
      <c r="CC406" s="2336">
        <v>52.58</v>
      </c>
      <c r="CD406" s="2336">
        <v>75.95</v>
      </c>
      <c r="CE406" s="2336">
        <v>111.66</v>
      </c>
      <c r="CF406" s="2336">
        <v>153.31</v>
      </c>
      <c r="CG406" s="2336">
        <v>236.32</v>
      </c>
      <c r="CH406" s="2336">
        <v>338.1</v>
      </c>
      <c r="CI406" s="2336"/>
      <c r="CJ406" s="2250"/>
      <c r="CK406" s="2250"/>
      <c r="CL406" s="2333">
        <v>63.4</v>
      </c>
      <c r="CM406" s="2336">
        <v>6</v>
      </c>
      <c r="CN406" s="2336">
        <v>11.6</v>
      </c>
      <c r="CO406" s="2336">
        <v>17.670000000000002</v>
      </c>
      <c r="CP406" s="2336">
        <v>29.73</v>
      </c>
      <c r="CQ406" s="2336">
        <v>37.869999999999997</v>
      </c>
      <c r="CR406" s="2336">
        <v>55.07</v>
      </c>
      <c r="CS406" s="2336">
        <v>80.67</v>
      </c>
      <c r="CT406" s="2336">
        <v>118.47</v>
      </c>
      <c r="CU406" s="2336">
        <v>171.33</v>
      </c>
      <c r="CV406" s="2336">
        <v>243.93</v>
      </c>
      <c r="CW406" s="2336"/>
      <c r="CX406" s="2250"/>
      <c r="CY406" s="2250"/>
      <c r="CZ406" s="2333">
        <v>63.4</v>
      </c>
      <c r="DA406" s="2337">
        <v>4.6900000000000004</v>
      </c>
      <c r="DB406" s="2337">
        <v>8.69</v>
      </c>
      <c r="DC406" s="2337">
        <v>14.08</v>
      </c>
      <c r="DD406" s="2337">
        <v>22.38</v>
      </c>
      <c r="DE406" s="2337">
        <v>28.77</v>
      </c>
      <c r="DF406" s="2337">
        <v>41.77</v>
      </c>
      <c r="DG406" s="2337">
        <v>60.69</v>
      </c>
      <c r="DH406" s="2337">
        <v>89.15</v>
      </c>
      <c r="DI406" s="2337">
        <v>129.91999999999999</v>
      </c>
      <c r="DJ406" s="2337">
        <v>184.69</v>
      </c>
      <c r="DK406" s="2337"/>
      <c r="DL406" s="2250"/>
      <c r="DM406" s="2250"/>
      <c r="DN406" s="2250"/>
      <c r="DO406" s="53"/>
      <c r="DP406" s="53"/>
      <c r="DS406" s="277"/>
      <c r="DW406" s="1"/>
      <c r="DX406" s="2333">
        <v>63.4</v>
      </c>
      <c r="DY406" s="2336">
        <v>0</v>
      </c>
      <c r="DZ406" s="2336">
        <v>0</v>
      </c>
      <c r="EA406" s="2336">
        <v>0</v>
      </c>
      <c r="EB406" s="2336">
        <v>0</v>
      </c>
      <c r="EC406" s="2336">
        <v>0</v>
      </c>
      <c r="ED406" s="2336">
        <v>0</v>
      </c>
      <c r="EE406" s="2336">
        <v>0</v>
      </c>
      <c r="EF406" s="2336">
        <v>0</v>
      </c>
      <c r="EG406" s="2336">
        <v>0</v>
      </c>
      <c r="EH406" s="2336">
        <v>0</v>
      </c>
      <c r="EI406" s="2336">
        <v>0</v>
      </c>
      <c r="EJ406" s="2250"/>
      <c r="EK406" s="2250"/>
      <c r="EL406" s="2333">
        <v>63.4</v>
      </c>
      <c r="EM406" s="2336">
        <v>7.24</v>
      </c>
      <c r="EN406" s="2336">
        <v>14.11</v>
      </c>
      <c r="EO406" s="2336">
        <v>24.11</v>
      </c>
      <c r="EP406" s="2336">
        <v>38.71</v>
      </c>
      <c r="EQ406" s="2336">
        <v>52.58</v>
      </c>
      <c r="ER406" s="2336">
        <v>75.95</v>
      </c>
      <c r="ES406" s="2336">
        <v>111.66</v>
      </c>
      <c r="ET406" s="2336">
        <v>153.31</v>
      </c>
      <c r="EU406" s="2336">
        <v>236.32</v>
      </c>
      <c r="EV406" s="2336">
        <v>338.1</v>
      </c>
      <c r="EW406" s="2336"/>
      <c r="EX406" s="2250"/>
      <c r="EY406" s="2250"/>
      <c r="EZ406" s="2333">
        <v>63.4</v>
      </c>
      <c r="FA406" s="2336">
        <v>6</v>
      </c>
      <c r="FB406" s="2336">
        <v>11.6</v>
      </c>
      <c r="FC406" s="2336">
        <v>17.670000000000002</v>
      </c>
      <c r="FD406" s="2336">
        <v>29.73</v>
      </c>
      <c r="FE406" s="2336">
        <v>37.869999999999997</v>
      </c>
      <c r="FF406" s="2336">
        <v>55.07</v>
      </c>
      <c r="FG406" s="2336">
        <v>80.67</v>
      </c>
      <c r="FH406" s="2336">
        <v>118.47</v>
      </c>
      <c r="FI406" s="2336">
        <v>171.33</v>
      </c>
      <c r="FJ406" s="2336">
        <v>243.93</v>
      </c>
      <c r="FK406" s="2336"/>
      <c r="FL406" s="2250"/>
      <c r="FM406" s="2250"/>
      <c r="FN406" s="2333">
        <v>63.4</v>
      </c>
      <c r="FO406" s="2337">
        <v>4.6900000000000004</v>
      </c>
      <c r="FP406" s="2337">
        <v>8.69</v>
      </c>
      <c r="FQ406" s="2337">
        <v>14.08</v>
      </c>
      <c r="FR406" s="2337">
        <v>22.38</v>
      </c>
      <c r="FS406" s="2337">
        <v>28.77</v>
      </c>
      <c r="FT406" s="2337">
        <v>41.77</v>
      </c>
      <c r="FU406" s="2337">
        <v>60.69</v>
      </c>
      <c r="FV406" s="2337">
        <v>89.15</v>
      </c>
      <c r="FW406" s="2337">
        <v>129.91999999999999</v>
      </c>
      <c r="FX406" s="2337">
        <v>184.69</v>
      </c>
      <c r="FY406" s="2337"/>
      <c r="FZ406" s="2250"/>
      <c r="GA406" s="2250"/>
      <c r="GB406" s="1302">
        <v>120.7</v>
      </c>
      <c r="GC406" s="1302">
        <v>129.80000000000001</v>
      </c>
      <c r="GD406" s="2250"/>
      <c r="GE406" s="2275"/>
      <c r="GF406" s="2333">
        <v>63.4</v>
      </c>
      <c r="GG406" s="2336">
        <v>0</v>
      </c>
      <c r="GH406" s="2336">
        <v>0</v>
      </c>
      <c r="GI406" s="2336">
        <v>0</v>
      </c>
      <c r="GJ406" s="2336">
        <v>0</v>
      </c>
      <c r="GK406" s="2336">
        <v>0</v>
      </c>
      <c r="GL406" s="2336">
        <v>0</v>
      </c>
      <c r="GM406" s="2336">
        <v>0</v>
      </c>
      <c r="GN406" s="2336">
        <v>0</v>
      </c>
      <c r="GO406" s="2336">
        <v>0</v>
      </c>
      <c r="GP406" s="2336">
        <v>0</v>
      </c>
      <c r="GQ406" s="2336">
        <v>0</v>
      </c>
      <c r="GR406" s="2250"/>
      <c r="GS406" s="2250"/>
      <c r="GT406" s="2333">
        <v>63.4</v>
      </c>
      <c r="GU406" s="2336">
        <v>7.24</v>
      </c>
      <c r="GV406" s="2336">
        <v>14.11</v>
      </c>
      <c r="GW406" s="2336">
        <v>24.11</v>
      </c>
      <c r="GX406" s="2336">
        <v>38.71</v>
      </c>
      <c r="GY406" s="2336">
        <v>52.58</v>
      </c>
      <c r="GZ406" s="2336">
        <v>75.95</v>
      </c>
      <c r="HA406" s="2336">
        <v>111.66</v>
      </c>
      <c r="HB406" s="2336">
        <v>153.31</v>
      </c>
      <c r="HC406" s="2336">
        <v>236.32</v>
      </c>
      <c r="HD406" s="2336">
        <v>338.1</v>
      </c>
      <c r="HE406" s="2336"/>
      <c r="HF406" s="2250"/>
      <c r="HG406" s="2250"/>
      <c r="HH406" s="2333">
        <v>63.4</v>
      </c>
      <c r="HI406" s="2336">
        <v>6</v>
      </c>
      <c r="HJ406" s="2336">
        <v>11.6</v>
      </c>
      <c r="HK406" s="2336">
        <v>17.670000000000002</v>
      </c>
      <c r="HL406" s="2336">
        <v>29.73</v>
      </c>
      <c r="HM406" s="2336">
        <v>37.869999999999997</v>
      </c>
      <c r="HN406" s="2336">
        <v>55.07</v>
      </c>
      <c r="HO406" s="2336">
        <v>80.67</v>
      </c>
      <c r="HP406" s="2336">
        <v>118.47</v>
      </c>
      <c r="HQ406" s="2336">
        <v>171.33</v>
      </c>
      <c r="HR406" s="2336">
        <v>243.93</v>
      </c>
      <c r="HS406" s="2336"/>
      <c r="HT406" s="2250"/>
      <c r="HU406" s="2250"/>
      <c r="HV406" s="2333">
        <v>63.4</v>
      </c>
      <c r="HW406" s="2337">
        <v>4.6900000000000004</v>
      </c>
      <c r="HX406" s="2337">
        <v>8.69</v>
      </c>
      <c r="HY406" s="2337">
        <v>14.08</v>
      </c>
      <c r="HZ406" s="2337">
        <v>22.38</v>
      </c>
      <c r="IA406" s="2337">
        <v>28.77</v>
      </c>
      <c r="IB406" s="2337">
        <v>41.77</v>
      </c>
      <c r="IC406" s="2337">
        <v>60.69</v>
      </c>
      <c r="ID406" s="2337">
        <v>89.15</v>
      </c>
      <c r="IE406" s="2337">
        <v>129.91999999999999</v>
      </c>
      <c r="IF406" s="2337">
        <v>184.69</v>
      </c>
      <c r="IG406" s="2337"/>
      <c r="IH406" s="2250"/>
      <c r="II406" s="2250"/>
      <c r="IJ406" s="2250"/>
      <c r="IK406" s="53"/>
      <c r="IL406" s="53"/>
      <c r="IN406" s="277"/>
      <c r="IO406" s="277"/>
    </row>
    <row r="407" spans="2:249" ht="21.95" customHeight="1">
      <c r="B407" s="2333">
        <v>58.1</v>
      </c>
      <c r="C407" s="2336">
        <v>0</v>
      </c>
      <c r="D407" s="2336">
        <v>0</v>
      </c>
      <c r="E407" s="2336">
        <v>0</v>
      </c>
      <c r="F407" s="2336">
        <v>0</v>
      </c>
      <c r="G407" s="2336">
        <v>0</v>
      </c>
      <c r="H407" s="2336">
        <v>0</v>
      </c>
      <c r="I407" s="2336">
        <v>0</v>
      </c>
      <c r="J407" s="2336">
        <v>0</v>
      </c>
      <c r="K407" s="2336">
        <v>0</v>
      </c>
      <c r="L407" s="2336">
        <v>0</v>
      </c>
      <c r="M407" s="2336">
        <v>0</v>
      </c>
      <c r="N407" s="2250"/>
      <c r="O407" s="2250"/>
      <c r="P407" s="2333">
        <v>58.1</v>
      </c>
      <c r="Q407" s="2336">
        <v>7.67</v>
      </c>
      <c r="R407" s="2336">
        <v>15.21</v>
      </c>
      <c r="S407" s="2336">
        <v>26.13</v>
      </c>
      <c r="T407" s="2336">
        <v>41.41</v>
      </c>
      <c r="U407" s="2336">
        <v>55.34</v>
      </c>
      <c r="V407" s="2336">
        <v>83.56</v>
      </c>
      <c r="W407" s="2336">
        <v>121.66</v>
      </c>
      <c r="X407" s="2336">
        <v>156.63</v>
      </c>
      <c r="Y407" s="2336">
        <v>261.17</v>
      </c>
      <c r="Z407" s="2336">
        <v>372.94</v>
      </c>
      <c r="AA407" s="2336"/>
      <c r="AB407" s="2250"/>
      <c r="AC407" s="2250"/>
      <c r="AD407" s="2333">
        <v>58.1</v>
      </c>
      <c r="AE407" s="2336">
        <v>6.4</v>
      </c>
      <c r="AF407" s="2336">
        <v>12.67</v>
      </c>
      <c r="AG407" s="2336">
        <v>20.53</v>
      </c>
      <c r="AH407" s="2336">
        <v>32.67</v>
      </c>
      <c r="AI407" s="2336">
        <v>39.869999999999997</v>
      </c>
      <c r="AJ407" s="2336">
        <v>60.53</v>
      </c>
      <c r="AK407" s="2336">
        <v>89.27</v>
      </c>
      <c r="AL407" s="2336">
        <v>127.73</v>
      </c>
      <c r="AM407" s="2336">
        <v>194</v>
      </c>
      <c r="AN407" s="2336">
        <v>269.07</v>
      </c>
      <c r="AO407" s="2336"/>
      <c r="AP407" s="2250"/>
      <c r="AQ407" s="2250"/>
      <c r="AR407" s="2333">
        <v>58.1</v>
      </c>
      <c r="AS407" s="2337">
        <v>5.31</v>
      </c>
      <c r="AT407" s="2337">
        <v>9.85</v>
      </c>
      <c r="AU407" s="2337">
        <v>15.54</v>
      </c>
      <c r="AV407" s="2337">
        <v>24.62</v>
      </c>
      <c r="AW407" s="2337">
        <v>30.46</v>
      </c>
      <c r="AX407" s="2337">
        <v>45.85</v>
      </c>
      <c r="AY407" s="2337">
        <v>67.23</v>
      </c>
      <c r="AZ407" s="2337">
        <v>96.15</v>
      </c>
      <c r="BA407" s="2337">
        <v>146.69</v>
      </c>
      <c r="BB407" s="2337">
        <v>203.77</v>
      </c>
      <c r="BC407" s="2337"/>
      <c r="BD407" s="2250"/>
      <c r="BE407" s="2250"/>
      <c r="BF407" s="1302">
        <v>129.80000000000001</v>
      </c>
      <c r="BG407" s="1302">
        <v>140.1</v>
      </c>
      <c r="BH407" s="2250"/>
      <c r="BI407" s="2275"/>
      <c r="BJ407" s="2333">
        <v>58.1</v>
      </c>
      <c r="BK407" s="2336">
        <v>0</v>
      </c>
      <c r="BL407" s="2336">
        <v>0</v>
      </c>
      <c r="BM407" s="2336">
        <v>0</v>
      </c>
      <c r="BN407" s="2336">
        <v>0</v>
      </c>
      <c r="BO407" s="2336">
        <v>0</v>
      </c>
      <c r="BP407" s="2336">
        <v>0</v>
      </c>
      <c r="BQ407" s="2336">
        <v>0</v>
      </c>
      <c r="BR407" s="2336">
        <v>0</v>
      </c>
      <c r="BS407" s="2336">
        <v>0</v>
      </c>
      <c r="BT407" s="2336">
        <v>0</v>
      </c>
      <c r="BU407" s="2336">
        <v>0</v>
      </c>
      <c r="BV407" s="2250"/>
      <c r="BW407" s="2250"/>
      <c r="BX407" s="2333">
        <v>58.1</v>
      </c>
      <c r="BY407" s="2336">
        <v>7.67</v>
      </c>
      <c r="BZ407" s="2336">
        <v>15.21</v>
      </c>
      <c r="CA407" s="2336">
        <v>26.13</v>
      </c>
      <c r="CB407" s="2336">
        <v>41.41</v>
      </c>
      <c r="CC407" s="2336">
        <v>55.34</v>
      </c>
      <c r="CD407" s="2336">
        <v>83.56</v>
      </c>
      <c r="CE407" s="2336">
        <v>121.66</v>
      </c>
      <c r="CF407" s="2336">
        <v>156.63</v>
      </c>
      <c r="CG407" s="2336">
        <v>261.17</v>
      </c>
      <c r="CH407" s="2336">
        <v>372.94</v>
      </c>
      <c r="CI407" s="2336"/>
      <c r="CJ407" s="2250"/>
      <c r="CK407" s="2250"/>
      <c r="CL407" s="2333">
        <v>58.1</v>
      </c>
      <c r="CM407" s="2336">
        <v>6.4</v>
      </c>
      <c r="CN407" s="2336">
        <v>12.67</v>
      </c>
      <c r="CO407" s="2336">
        <v>20.53</v>
      </c>
      <c r="CP407" s="2336">
        <v>32.67</v>
      </c>
      <c r="CQ407" s="2336">
        <v>39.869999999999997</v>
      </c>
      <c r="CR407" s="2336">
        <v>60.53</v>
      </c>
      <c r="CS407" s="2336">
        <v>89.27</v>
      </c>
      <c r="CT407" s="2336">
        <v>127.73</v>
      </c>
      <c r="CU407" s="2336">
        <v>194</v>
      </c>
      <c r="CV407" s="2336">
        <v>269.07</v>
      </c>
      <c r="CW407" s="2336"/>
      <c r="CX407" s="2250"/>
      <c r="CY407" s="2250"/>
      <c r="CZ407" s="2333">
        <v>58.1</v>
      </c>
      <c r="DA407" s="2337">
        <v>5.31</v>
      </c>
      <c r="DB407" s="2337">
        <v>9.85</v>
      </c>
      <c r="DC407" s="2337">
        <v>15.54</v>
      </c>
      <c r="DD407" s="2337">
        <v>24.62</v>
      </c>
      <c r="DE407" s="2337">
        <v>30.46</v>
      </c>
      <c r="DF407" s="2337">
        <v>45.85</v>
      </c>
      <c r="DG407" s="2337">
        <v>67.23</v>
      </c>
      <c r="DH407" s="2337">
        <v>96.15</v>
      </c>
      <c r="DI407" s="2337">
        <v>146.69</v>
      </c>
      <c r="DJ407" s="2337">
        <v>203.77</v>
      </c>
      <c r="DK407" s="2337"/>
      <c r="DL407" s="2250"/>
      <c r="DM407" s="2250"/>
      <c r="DN407" s="2250"/>
      <c r="DO407" s="53"/>
      <c r="DP407" s="53"/>
      <c r="DS407" s="277"/>
      <c r="DW407" s="1"/>
      <c r="DX407" s="2333">
        <v>58.1</v>
      </c>
      <c r="DY407" s="2336">
        <v>0</v>
      </c>
      <c r="DZ407" s="2336">
        <v>0</v>
      </c>
      <c r="EA407" s="2336">
        <v>0</v>
      </c>
      <c r="EB407" s="2336">
        <v>0</v>
      </c>
      <c r="EC407" s="2336">
        <v>0</v>
      </c>
      <c r="ED407" s="2336">
        <v>0</v>
      </c>
      <c r="EE407" s="2336">
        <v>0</v>
      </c>
      <c r="EF407" s="2336">
        <v>0</v>
      </c>
      <c r="EG407" s="2336">
        <v>0</v>
      </c>
      <c r="EH407" s="2336">
        <v>0</v>
      </c>
      <c r="EI407" s="2336">
        <v>0</v>
      </c>
      <c r="EJ407" s="2250"/>
      <c r="EK407" s="2250"/>
      <c r="EL407" s="2333">
        <v>58.1</v>
      </c>
      <c r="EM407" s="2336">
        <v>7.67</v>
      </c>
      <c r="EN407" s="2336">
        <v>15.21</v>
      </c>
      <c r="EO407" s="2336">
        <v>26.13</v>
      </c>
      <c r="EP407" s="2336">
        <v>41.41</v>
      </c>
      <c r="EQ407" s="2336">
        <v>55.34</v>
      </c>
      <c r="ER407" s="2336">
        <v>83.56</v>
      </c>
      <c r="ES407" s="2336">
        <v>121.66</v>
      </c>
      <c r="ET407" s="2336">
        <v>156.63</v>
      </c>
      <c r="EU407" s="2336">
        <v>261.17</v>
      </c>
      <c r="EV407" s="2336">
        <v>372.94</v>
      </c>
      <c r="EW407" s="2336"/>
      <c r="EX407" s="2250"/>
      <c r="EY407" s="2250"/>
      <c r="EZ407" s="2333">
        <v>58.1</v>
      </c>
      <c r="FA407" s="2336">
        <v>6.4</v>
      </c>
      <c r="FB407" s="2336">
        <v>12.67</v>
      </c>
      <c r="FC407" s="2336">
        <v>20.53</v>
      </c>
      <c r="FD407" s="2336">
        <v>32.67</v>
      </c>
      <c r="FE407" s="2336">
        <v>39.869999999999997</v>
      </c>
      <c r="FF407" s="2336">
        <v>60.53</v>
      </c>
      <c r="FG407" s="2336">
        <v>89.27</v>
      </c>
      <c r="FH407" s="2336">
        <v>127.73</v>
      </c>
      <c r="FI407" s="2336">
        <v>194</v>
      </c>
      <c r="FJ407" s="2336">
        <v>269.07</v>
      </c>
      <c r="FK407" s="2336"/>
      <c r="FL407" s="2250"/>
      <c r="FM407" s="2250"/>
      <c r="FN407" s="2333">
        <v>58.1</v>
      </c>
      <c r="FO407" s="2337">
        <v>5.31</v>
      </c>
      <c r="FP407" s="2337">
        <v>9.85</v>
      </c>
      <c r="FQ407" s="2337">
        <v>15.54</v>
      </c>
      <c r="FR407" s="2337">
        <v>24.62</v>
      </c>
      <c r="FS407" s="2337">
        <v>30.46</v>
      </c>
      <c r="FT407" s="2337">
        <v>45.85</v>
      </c>
      <c r="FU407" s="2337">
        <v>67.23</v>
      </c>
      <c r="FV407" s="2337">
        <v>96.15</v>
      </c>
      <c r="FW407" s="2337">
        <v>146.69</v>
      </c>
      <c r="FX407" s="2337">
        <v>203.77</v>
      </c>
      <c r="FY407" s="2337"/>
      <c r="FZ407" s="2250"/>
      <c r="GA407" s="2250"/>
      <c r="GB407" s="1302">
        <v>129.80000000000001</v>
      </c>
      <c r="GC407" s="1302">
        <v>140.1</v>
      </c>
      <c r="GD407" s="2250"/>
      <c r="GE407" s="2275"/>
      <c r="GF407" s="2333">
        <v>58.1</v>
      </c>
      <c r="GG407" s="2336">
        <v>0</v>
      </c>
      <c r="GH407" s="2336">
        <v>0</v>
      </c>
      <c r="GI407" s="2336">
        <v>0</v>
      </c>
      <c r="GJ407" s="2336">
        <v>0</v>
      </c>
      <c r="GK407" s="2336">
        <v>0</v>
      </c>
      <c r="GL407" s="2336">
        <v>0</v>
      </c>
      <c r="GM407" s="2336">
        <v>0</v>
      </c>
      <c r="GN407" s="2336">
        <v>0</v>
      </c>
      <c r="GO407" s="2336">
        <v>0</v>
      </c>
      <c r="GP407" s="2336">
        <v>0</v>
      </c>
      <c r="GQ407" s="2336">
        <v>0</v>
      </c>
      <c r="GR407" s="2250"/>
      <c r="GS407" s="2250"/>
      <c r="GT407" s="2333">
        <v>58.1</v>
      </c>
      <c r="GU407" s="2336">
        <v>7.67</v>
      </c>
      <c r="GV407" s="2336">
        <v>15.21</v>
      </c>
      <c r="GW407" s="2336">
        <v>26.13</v>
      </c>
      <c r="GX407" s="2336">
        <v>41.41</v>
      </c>
      <c r="GY407" s="2336">
        <v>55.34</v>
      </c>
      <c r="GZ407" s="2336">
        <v>83.56</v>
      </c>
      <c r="HA407" s="2336">
        <v>121.66</v>
      </c>
      <c r="HB407" s="2336">
        <v>156.63</v>
      </c>
      <c r="HC407" s="2336">
        <v>261.17</v>
      </c>
      <c r="HD407" s="2336">
        <v>372.94</v>
      </c>
      <c r="HE407" s="2336"/>
      <c r="HF407" s="2250"/>
      <c r="HG407" s="2250"/>
      <c r="HH407" s="2333">
        <v>58.1</v>
      </c>
      <c r="HI407" s="2336">
        <v>6.4</v>
      </c>
      <c r="HJ407" s="2336">
        <v>12.67</v>
      </c>
      <c r="HK407" s="2336">
        <v>20.53</v>
      </c>
      <c r="HL407" s="2336">
        <v>32.67</v>
      </c>
      <c r="HM407" s="2336">
        <v>39.869999999999997</v>
      </c>
      <c r="HN407" s="2336">
        <v>60.53</v>
      </c>
      <c r="HO407" s="2336">
        <v>89.27</v>
      </c>
      <c r="HP407" s="2336">
        <v>127.73</v>
      </c>
      <c r="HQ407" s="2336">
        <v>194</v>
      </c>
      <c r="HR407" s="2336">
        <v>269.07</v>
      </c>
      <c r="HS407" s="2336"/>
      <c r="HT407" s="2250"/>
      <c r="HU407" s="2250"/>
      <c r="HV407" s="2333">
        <v>58.1</v>
      </c>
      <c r="HW407" s="2337">
        <v>5.31</v>
      </c>
      <c r="HX407" s="2337">
        <v>9.85</v>
      </c>
      <c r="HY407" s="2337">
        <v>15.54</v>
      </c>
      <c r="HZ407" s="2337">
        <v>24.62</v>
      </c>
      <c r="IA407" s="2337">
        <v>30.46</v>
      </c>
      <c r="IB407" s="2337">
        <v>45.85</v>
      </c>
      <c r="IC407" s="2337">
        <v>67.23</v>
      </c>
      <c r="ID407" s="2337">
        <v>96.15</v>
      </c>
      <c r="IE407" s="2337">
        <v>146.69</v>
      </c>
      <c r="IF407" s="2337">
        <v>203.77</v>
      </c>
      <c r="IG407" s="2337"/>
      <c r="IH407" s="2250"/>
      <c r="II407" s="2250"/>
      <c r="IJ407" s="2250"/>
      <c r="IK407" s="53"/>
      <c r="IL407" s="53"/>
      <c r="IN407" s="277"/>
      <c r="IO407" s="277"/>
    </row>
    <row r="408" spans="2:249" ht="21.95" customHeight="1">
      <c r="B408" s="2333">
        <v>53.7</v>
      </c>
      <c r="C408" s="2336">
        <v>0</v>
      </c>
      <c r="D408" s="2336">
        <v>0</v>
      </c>
      <c r="E408" s="2336">
        <v>0</v>
      </c>
      <c r="F408" s="2336">
        <v>0</v>
      </c>
      <c r="G408" s="2336">
        <v>0</v>
      </c>
      <c r="H408" s="2336">
        <v>0</v>
      </c>
      <c r="I408" s="2336">
        <v>0</v>
      </c>
      <c r="J408" s="2336">
        <v>0</v>
      </c>
      <c r="K408" s="2336">
        <v>0</v>
      </c>
      <c r="L408" s="2336">
        <v>0</v>
      </c>
      <c r="M408" s="2336">
        <v>0</v>
      </c>
      <c r="N408" s="2250"/>
      <c r="O408" s="2250"/>
      <c r="P408" s="2333">
        <v>53.7</v>
      </c>
      <c r="Q408" s="2336">
        <v>8.2200000000000006</v>
      </c>
      <c r="R408" s="2336">
        <v>16.260000000000002</v>
      </c>
      <c r="S408" s="2336">
        <v>28.16</v>
      </c>
      <c r="T408" s="2336">
        <v>44.17</v>
      </c>
      <c r="U408" s="2336">
        <v>59.88</v>
      </c>
      <c r="V408" s="2336">
        <v>90</v>
      </c>
      <c r="W408" s="2336">
        <v>128.77000000000001</v>
      </c>
      <c r="X408" s="2336">
        <v>163.19</v>
      </c>
      <c r="Y408" s="2336">
        <v>274.48</v>
      </c>
      <c r="Z408" s="2336">
        <v>406.99</v>
      </c>
      <c r="AA408" s="2336"/>
      <c r="AB408" s="2250"/>
      <c r="AC408" s="2250"/>
      <c r="AD408" s="2333">
        <v>53.7</v>
      </c>
      <c r="AE408" s="2336">
        <v>6.87</v>
      </c>
      <c r="AF408" s="2336">
        <v>13.07</v>
      </c>
      <c r="AG408" s="2336">
        <v>20.87</v>
      </c>
      <c r="AH408" s="2336">
        <v>34.6</v>
      </c>
      <c r="AI408" s="2336">
        <v>43.47</v>
      </c>
      <c r="AJ408" s="2336">
        <v>64.87</v>
      </c>
      <c r="AK408" s="2336">
        <v>93.87</v>
      </c>
      <c r="AL408" s="2336">
        <v>135.07</v>
      </c>
      <c r="AM408" s="2336">
        <v>202.8</v>
      </c>
      <c r="AN408" s="2336">
        <v>296.39999999999998</v>
      </c>
      <c r="AO408" s="2336"/>
      <c r="AP408" s="2250"/>
      <c r="AQ408" s="2250"/>
      <c r="AR408" s="2333">
        <v>53.7</v>
      </c>
      <c r="AS408" s="2337">
        <v>5.46</v>
      </c>
      <c r="AT408" s="2337">
        <v>9.92</v>
      </c>
      <c r="AU408" s="2337">
        <v>15.85</v>
      </c>
      <c r="AV408" s="2337">
        <v>26.08</v>
      </c>
      <c r="AW408" s="2337">
        <v>33</v>
      </c>
      <c r="AX408" s="2337">
        <v>49.31</v>
      </c>
      <c r="AY408" s="2337">
        <v>70.849999999999994</v>
      </c>
      <c r="AZ408" s="2337">
        <v>102.46</v>
      </c>
      <c r="BA408" s="2337">
        <v>153.54</v>
      </c>
      <c r="BB408" s="2337">
        <v>223.08</v>
      </c>
      <c r="BC408" s="2337"/>
      <c r="BD408" s="2250"/>
      <c r="BE408" s="2250"/>
      <c r="BF408" s="1302">
        <v>140.1</v>
      </c>
      <c r="BG408" s="1302">
        <v>151.30000000000001</v>
      </c>
      <c r="BH408" s="2250"/>
      <c r="BI408" s="2275"/>
      <c r="BJ408" s="2333">
        <v>53.7</v>
      </c>
      <c r="BK408" s="2336">
        <v>0</v>
      </c>
      <c r="BL408" s="2336">
        <v>0</v>
      </c>
      <c r="BM408" s="2336">
        <v>0</v>
      </c>
      <c r="BN408" s="2336">
        <v>0</v>
      </c>
      <c r="BO408" s="2336">
        <v>0</v>
      </c>
      <c r="BP408" s="2336">
        <v>0</v>
      </c>
      <c r="BQ408" s="2336">
        <v>0</v>
      </c>
      <c r="BR408" s="2336">
        <v>0</v>
      </c>
      <c r="BS408" s="2336">
        <v>0</v>
      </c>
      <c r="BT408" s="2336">
        <v>0</v>
      </c>
      <c r="BU408" s="2336">
        <v>0</v>
      </c>
      <c r="BV408" s="2250"/>
      <c r="BW408" s="2250"/>
      <c r="BX408" s="2333">
        <v>53.7</v>
      </c>
      <c r="BY408" s="2336">
        <v>8.2200000000000006</v>
      </c>
      <c r="BZ408" s="2336">
        <v>16.260000000000002</v>
      </c>
      <c r="CA408" s="2336">
        <v>28.16</v>
      </c>
      <c r="CB408" s="2336">
        <v>44.17</v>
      </c>
      <c r="CC408" s="2336">
        <v>59.88</v>
      </c>
      <c r="CD408" s="2336">
        <v>90</v>
      </c>
      <c r="CE408" s="2336">
        <v>128.77000000000001</v>
      </c>
      <c r="CF408" s="2336">
        <v>163.19</v>
      </c>
      <c r="CG408" s="2336">
        <v>274.48</v>
      </c>
      <c r="CH408" s="2336">
        <v>406.99</v>
      </c>
      <c r="CI408" s="2336"/>
      <c r="CJ408" s="2250"/>
      <c r="CK408" s="2250"/>
      <c r="CL408" s="2333">
        <v>53.7</v>
      </c>
      <c r="CM408" s="2336">
        <v>6.87</v>
      </c>
      <c r="CN408" s="2336">
        <v>13.07</v>
      </c>
      <c r="CO408" s="2336">
        <v>20.87</v>
      </c>
      <c r="CP408" s="2336">
        <v>34.6</v>
      </c>
      <c r="CQ408" s="2336">
        <v>43.47</v>
      </c>
      <c r="CR408" s="2336">
        <v>64.87</v>
      </c>
      <c r="CS408" s="2336">
        <v>93.87</v>
      </c>
      <c r="CT408" s="2336">
        <v>135.07</v>
      </c>
      <c r="CU408" s="2336">
        <v>202.8</v>
      </c>
      <c r="CV408" s="2336">
        <v>296.39999999999998</v>
      </c>
      <c r="CW408" s="2336"/>
      <c r="CX408" s="2250"/>
      <c r="CY408" s="2250"/>
      <c r="CZ408" s="2333">
        <v>53.7</v>
      </c>
      <c r="DA408" s="2337">
        <v>5.46</v>
      </c>
      <c r="DB408" s="2337">
        <v>9.92</v>
      </c>
      <c r="DC408" s="2337">
        <v>15.85</v>
      </c>
      <c r="DD408" s="2337">
        <v>26.08</v>
      </c>
      <c r="DE408" s="2337">
        <v>33</v>
      </c>
      <c r="DF408" s="2337">
        <v>49.31</v>
      </c>
      <c r="DG408" s="2337">
        <v>70.849999999999994</v>
      </c>
      <c r="DH408" s="2337">
        <v>102.46</v>
      </c>
      <c r="DI408" s="2337">
        <v>153.54</v>
      </c>
      <c r="DJ408" s="2337">
        <v>223.08</v>
      </c>
      <c r="DK408" s="2337"/>
      <c r="DL408" s="2250"/>
      <c r="DM408" s="2250"/>
      <c r="DN408" s="2250"/>
      <c r="DO408" s="53"/>
      <c r="DP408" s="53"/>
      <c r="DS408" s="277"/>
      <c r="DW408" s="1"/>
      <c r="DX408" s="2333">
        <v>53.7</v>
      </c>
      <c r="DY408" s="2336">
        <v>0</v>
      </c>
      <c r="DZ408" s="2336">
        <v>0</v>
      </c>
      <c r="EA408" s="2336">
        <v>0</v>
      </c>
      <c r="EB408" s="2336">
        <v>0</v>
      </c>
      <c r="EC408" s="2336">
        <v>0</v>
      </c>
      <c r="ED408" s="2336">
        <v>0</v>
      </c>
      <c r="EE408" s="2336">
        <v>0</v>
      </c>
      <c r="EF408" s="2336">
        <v>0</v>
      </c>
      <c r="EG408" s="2336">
        <v>0</v>
      </c>
      <c r="EH408" s="2336">
        <v>0</v>
      </c>
      <c r="EI408" s="2336">
        <v>0</v>
      </c>
      <c r="EJ408" s="2250"/>
      <c r="EK408" s="2250"/>
      <c r="EL408" s="2333">
        <v>53.7</v>
      </c>
      <c r="EM408" s="2336">
        <v>8.2200000000000006</v>
      </c>
      <c r="EN408" s="2336">
        <v>16.260000000000002</v>
      </c>
      <c r="EO408" s="2336">
        <v>28.16</v>
      </c>
      <c r="EP408" s="2336">
        <v>44.17</v>
      </c>
      <c r="EQ408" s="2336">
        <v>59.88</v>
      </c>
      <c r="ER408" s="2336">
        <v>90</v>
      </c>
      <c r="ES408" s="2336">
        <v>128.77000000000001</v>
      </c>
      <c r="ET408" s="2336">
        <v>163.19</v>
      </c>
      <c r="EU408" s="2336">
        <v>274.48</v>
      </c>
      <c r="EV408" s="2336">
        <v>406.99</v>
      </c>
      <c r="EW408" s="2336"/>
      <c r="EX408" s="2250"/>
      <c r="EY408" s="2250"/>
      <c r="EZ408" s="2333">
        <v>53.7</v>
      </c>
      <c r="FA408" s="2336">
        <v>6.87</v>
      </c>
      <c r="FB408" s="2336">
        <v>13.07</v>
      </c>
      <c r="FC408" s="2336">
        <v>20.87</v>
      </c>
      <c r="FD408" s="2336">
        <v>34.6</v>
      </c>
      <c r="FE408" s="2336">
        <v>43.47</v>
      </c>
      <c r="FF408" s="2336">
        <v>64.87</v>
      </c>
      <c r="FG408" s="2336">
        <v>93.87</v>
      </c>
      <c r="FH408" s="2336">
        <v>135.07</v>
      </c>
      <c r="FI408" s="2336">
        <v>202.8</v>
      </c>
      <c r="FJ408" s="2336">
        <v>296.39999999999998</v>
      </c>
      <c r="FK408" s="2336"/>
      <c r="FL408" s="2250"/>
      <c r="FM408" s="2250"/>
      <c r="FN408" s="2333">
        <v>53.7</v>
      </c>
      <c r="FO408" s="2337">
        <v>5.46</v>
      </c>
      <c r="FP408" s="2337">
        <v>9.92</v>
      </c>
      <c r="FQ408" s="2337">
        <v>15.85</v>
      </c>
      <c r="FR408" s="2337">
        <v>26.08</v>
      </c>
      <c r="FS408" s="2337">
        <v>33</v>
      </c>
      <c r="FT408" s="2337">
        <v>49.31</v>
      </c>
      <c r="FU408" s="2337">
        <v>70.849999999999994</v>
      </c>
      <c r="FV408" s="2337">
        <v>102.46</v>
      </c>
      <c r="FW408" s="2337">
        <v>153.54</v>
      </c>
      <c r="FX408" s="2337">
        <v>223.08</v>
      </c>
      <c r="FY408" s="2337"/>
      <c r="FZ408" s="2250"/>
      <c r="GA408" s="2250"/>
      <c r="GB408" s="1302">
        <v>140.1</v>
      </c>
      <c r="GC408" s="1302">
        <v>151.30000000000001</v>
      </c>
      <c r="GD408" s="2250"/>
      <c r="GE408" s="2275"/>
      <c r="GF408" s="2333">
        <v>53.7</v>
      </c>
      <c r="GG408" s="2336">
        <v>0</v>
      </c>
      <c r="GH408" s="2336">
        <v>0</v>
      </c>
      <c r="GI408" s="2336">
        <v>0</v>
      </c>
      <c r="GJ408" s="2336">
        <v>0</v>
      </c>
      <c r="GK408" s="2336">
        <v>0</v>
      </c>
      <c r="GL408" s="2336">
        <v>0</v>
      </c>
      <c r="GM408" s="2336">
        <v>0</v>
      </c>
      <c r="GN408" s="2336">
        <v>0</v>
      </c>
      <c r="GO408" s="2336">
        <v>0</v>
      </c>
      <c r="GP408" s="2336">
        <v>0</v>
      </c>
      <c r="GQ408" s="2336">
        <v>0</v>
      </c>
      <c r="GR408" s="2250"/>
      <c r="GS408" s="2250"/>
      <c r="GT408" s="2333">
        <v>53.7</v>
      </c>
      <c r="GU408" s="2336">
        <v>8.2200000000000006</v>
      </c>
      <c r="GV408" s="2336">
        <v>16.260000000000002</v>
      </c>
      <c r="GW408" s="2336">
        <v>28.16</v>
      </c>
      <c r="GX408" s="2336">
        <v>44.17</v>
      </c>
      <c r="GY408" s="2336">
        <v>59.88</v>
      </c>
      <c r="GZ408" s="2336">
        <v>90</v>
      </c>
      <c r="HA408" s="2336">
        <v>128.77000000000001</v>
      </c>
      <c r="HB408" s="2336">
        <v>163.19</v>
      </c>
      <c r="HC408" s="2336">
        <v>274.48</v>
      </c>
      <c r="HD408" s="2336">
        <v>406.99</v>
      </c>
      <c r="HE408" s="2336"/>
      <c r="HF408" s="2250"/>
      <c r="HG408" s="2250"/>
      <c r="HH408" s="2333">
        <v>53.7</v>
      </c>
      <c r="HI408" s="2336">
        <v>6.87</v>
      </c>
      <c r="HJ408" s="2336">
        <v>13.07</v>
      </c>
      <c r="HK408" s="2336">
        <v>20.87</v>
      </c>
      <c r="HL408" s="2336">
        <v>34.6</v>
      </c>
      <c r="HM408" s="2336">
        <v>43.47</v>
      </c>
      <c r="HN408" s="2336">
        <v>64.87</v>
      </c>
      <c r="HO408" s="2336">
        <v>93.87</v>
      </c>
      <c r="HP408" s="2336">
        <v>135.07</v>
      </c>
      <c r="HQ408" s="2336">
        <v>202.8</v>
      </c>
      <c r="HR408" s="2336">
        <v>296.39999999999998</v>
      </c>
      <c r="HS408" s="2336"/>
      <c r="HT408" s="2250"/>
      <c r="HU408" s="2250"/>
      <c r="HV408" s="2333">
        <v>53.7</v>
      </c>
      <c r="HW408" s="2337">
        <v>5.46</v>
      </c>
      <c r="HX408" s="2337">
        <v>9.92</v>
      </c>
      <c r="HY408" s="2337">
        <v>15.85</v>
      </c>
      <c r="HZ408" s="2337">
        <v>26.08</v>
      </c>
      <c r="IA408" s="2337">
        <v>33</v>
      </c>
      <c r="IB408" s="2337">
        <v>49.31</v>
      </c>
      <c r="IC408" s="2337">
        <v>70.849999999999994</v>
      </c>
      <c r="ID408" s="2337">
        <v>102.46</v>
      </c>
      <c r="IE408" s="2337">
        <v>153.54</v>
      </c>
      <c r="IF408" s="2337">
        <v>223.08</v>
      </c>
      <c r="IG408" s="2337"/>
      <c r="IH408" s="2250"/>
      <c r="II408" s="2250"/>
      <c r="IJ408" s="2250"/>
      <c r="IK408" s="53"/>
      <c r="IL408" s="53"/>
      <c r="IN408" s="277"/>
      <c r="IO408" s="277"/>
    </row>
    <row r="409" spans="2:249" ht="21.95" customHeight="1">
      <c r="B409" s="2333">
        <v>48.8</v>
      </c>
      <c r="C409" s="2336">
        <v>0</v>
      </c>
      <c r="D409" s="2336">
        <v>0</v>
      </c>
      <c r="E409" s="2336">
        <v>0</v>
      </c>
      <c r="F409" s="2336">
        <v>0</v>
      </c>
      <c r="G409" s="2336">
        <v>0</v>
      </c>
      <c r="H409" s="2336">
        <v>0</v>
      </c>
      <c r="I409" s="2336">
        <v>0</v>
      </c>
      <c r="J409" s="2336">
        <v>0</v>
      </c>
      <c r="K409" s="2336">
        <v>0</v>
      </c>
      <c r="L409" s="2336">
        <v>0</v>
      </c>
      <c r="M409" s="2336">
        <v>0</v>
      </c>
      <c r="N409" s="2250"/>
      <c r="O409" s="2250"/>
      <c r="P409" s="2333">
        <v>48.8</v>
      </c>
      <c r="Q409" s="2336">
        <v>9.08</v>
      </c>
      <c r="R409" s="2336">
        <v>17.79</v>
      </c>
      <c r="S409" s="2336">
        <v>30.18</v>
      </c>
      <c r="T409" s="2336">
        <v>48.77</v>
      </c>
      <c r="U409" s="2336">
        <v>64.72</v>
      </c>
      <c r="V409" s="2336">
        <v>97.3</v>
      </c>
      <c r="W409" s="2336">
        <v>141.84</v>
      </c>
      <c r="X409" s="2336">
        <v>183.13</v>
      </c>
      <c r="Y409" s="2336">
        <v>301.52999999999997</v>
      </c>
      <c r="Z409" s="2336">
        <v>447.79</v>
      </c>
      <c r="AA409" s="2336"/>
      <c r="AB409" s="2250"/>
      <c r="AC409" s="2250"/>
      <c r="AD409" s="2333">
        <v>48.8</v>
      </c>
      <c r="AE409" s="2336">
        <v>7.53</v>
      </c>
      <c r="AF409" s="2336">
        <v>14.67</v>
      </c>
      <c r="AG409" s="2336">
        <v>23.53</v>
      </c>
      <c r="AH409" s="2336">
        <v>37.67</v>
      </c>
      <c r="AI409" s="2336">
        <v>47.13</v>
      </c>
      <c r="AJ409" s="2336">
        <v>70.33</v>
      </c>
      <c r="AK409" s="2336">
        <v>102.27</v>
      </c>
      <c r="AL409" s="2336">
        <v>141.07</v>
      </c>
      <c r="AM409" s="2336">
        <v>219.53</v>
      </c>
      <c r="AN409" s="2336">
        <v>323.33</v>
      </c>
      <c r="AO409" s="2336"/>
      <c r="AP409" s="2250"/>
      <c r="AQ409" s="2250"/>
      <c r="AR409" s="2333">
        <v>48.8</v>
      </c>
      <c r="AS409" s="2337">
        <v>6</v>
      </c>
      <c r="AT409" s="2337">
        <v>11.15</v>
      </c>
      <c r="AU409" s="2337">
        <v>17.920000000000002</v>
      </c>
      <c r="AV409" s="2337">
        <v>28.62</v>
      </c>
      <c r="AW409" s="2337">
        <v>35.69</v>
      </c>
      <c r="AX409" s="2337">
        <v>53.54</v>
      </c>
      <c r="AY409" s="2337">
        <v>77.69</v>
      </c>
      <c r="AZ409" s="2337">
        <v>107.31</v>
      </c>
      <c r="BA409" s="2337">
        <v>167.23</v>
      </c>
      <c r="BB409" s="2337">
        <v>246.23</v>
      </c>
      <c r="BC409" s="2337"/>
      <c r="BD409" s="2250"/>
      <c r="BE409" s="2250"/>
      <c r="BF409" s="1302">
        <v>151.30000000000001</v>
      </c>
      <c r="BG409" s="1302">
        <v>162.68</v>
      </c>
      <c r="BH409" s="2250"/>
      <c r="BI409" s="2275"/>
      <c r="BJ409" s="2333">
        <v>48.8</v>
      </c>
      <c r="BK409" s="2336">
        <v>0</v>
      </c>
      <c r="BL409" s="2336">
        <v>0</v>
      </c>
      <c r="BM409" s="2336">
        <v>0</v>
      </c>
      <c r="BN409" s="2336">
        <v>0</v>
      </c>
      <c r="BO409" s="2336">
        <v>0</v>
      </c>
      <c r="BP409" s="2336">
        <v>0</v>
      </c>
      <c r="BQ409" s="2336">
        <v>0</v>
      </c>
      <c r="BR409" s="2336">
        <v>0</v>
      </c>
      <c r="BS409" s="2336">
        <v>0</v>
      </c>
      <c r="BT409" s="2336">
        <v>0</v>
      </c>
      <c r="BU409" s="2336">
        <v>0</v>
      </c>
      <c r="BV409" s="2250"/>
      <c r="BW409" s="2250"/>
      <c r="BX409" s="2333">
        <v>48.8</v>
      </c>
      <c r="BY409" s="2336">
        <v>9.08</v>
      </c>
      <c r="BZ409" s="2336">
        <v>17.79</v>
      </c>
      <c r="CA409" s="2336">
        <v>30.18</v>
      </c>
      <c r="CB409" s="2336">
        <v>48.77</v>
      </c>
      <c r="CC409" s="2336">
        <v>64.72</v>
      </c>
      <c r="CD409" s="2336">
        <v>97.3</v>
      </c>
      <c r="CE409" s="2336">
        <v>141.84</v>
      </c>
      <c r="CF409" s="2336">
        <v>183.13</v>
      </c>
      <c r="CG409" s="2336">
        <v>301.52999999999997</v>
      </c>
      <c r="CH409" s="2336">
        <v>447.79</v>
      </c>
      <c r="CI409" s="2336"/>
      <c r="CJ409" s="2250"/>
      <c r="CK409" s="2250"/>
      <c r="CL409" s="2333">
        <v>48.8</v>
      </c>
      <c r="CM409" s="2336">
        <v>7.53</v>
      </c>
      <c r="CN409" s="2336">
        <v>14.67</v>
      </c>
      <c r="CO409" s="2336">
        <v>23.53</v>
      </c>
      <c r="CP409" s="2336">
        <v>37.67</v>
      </c>
      <c r="CQ409" s="2336">
        <v>47.13</v>
      </c>
      <c r="CR409" s="2336">
        <v>70.33</v>
      </c>
      <c r="CS409" s="2336">
        <v>102.27</v>
      </c>
      <c r="CT409" s="2336">
        <v>141.07</v>
      </c>
      <c r="CU409" s="2336">
        <v>219.53</v>
      </c>
      <c r="CV409" s="2336">
        <v>323.33</v>
      </c>
      <c r="CW409" s="2336"/>
      <c r="CX409" s="2250"/>
      <c r="CY409" s="2250"/>
      <c r="CZ409" s="2333">
        <v>48.8</v>
      </c>
      <c r="DA409" s="2337">
        <v>6</v>
      </c>
      <c r="DB409" s="2337">
        <v>11.15</v>
      </c>
      <c r="DC409" s="2337">
        <v>17.920000000000002</v>
      </c>
      <c r="DD409" s="2337">
        <v>28.62</v>
      </c>
      <c r="DE409" s="2337">
        <v>35.69</v>
      </c>
      <c r="DF409" s="2337">
        <v>53.54</v>
      </c>
      <c r="DG409" s="2337">
        <v>77.69</v>
      </c>
      <c r="DH409" s="2337">
        <v>107.31</v>
      </c>
      <c r="DI409" s="2337">
        <v>167.23</v>
      </c>
      <c r="DJ409" s="2337">
        <v>246.23</v>
      </c>
      <c r="DK409" s="2337"/>
      <c r="DL409" s="2250"/>
      <c r="DM409" s="2250"/>
      <c r="DN409" s="2250"/>
      <c r="DO409" s="53"/>
      <c r="DP409" s="53"/>
      <c r="DS409" s="277"/>
      <c r="DW409" s="1"/>
      <c r="DX409" s="2333">
        <v>48.8</v>
      </c>
      <c r="DY409" s="2336">
        <v>0</v>
      </c>
      <c r="DZ409" s="2336">
        <v>0</v>
      </c>
      <c r="EA409" s="2336">
        <v>0</v>
      </c>
      <c r="EB409" s="2336">
        <v>0</v>
      </c>
      <c r="EC409" s="2336">
        <v>0</v>
      </c>
      <c r="ED409" s="2336">
        <v>0</v>
      </c>
      <c r="EE409" s="2336">
        <v>0</v>
      </c>
      <c r="EF409" s="2336">
        <v>0</v>
      </c>
      <c r="EG409" s="2336">
        <v>0</v>
      </c>
      <c r="EH409" s="2336">
        <v>0</v>
      </c>
      <c r="EI409" s="2336">
        <v>0</v>
      </c>
      <c r="EJ409" s="2250"/>
      <c r="EK409" s="2250"/>
      <c r="EL409" s="2333">
        <v>48.8</v>
      </c>
      <c r="EM409" s="2336">
        <v>9.08</v>
      </c>
      <c r="EN409" s="2336">
        <v>17.79</v>
      </c>
      <c r="EO409" s="2336">
        <v>30.18</v>
      </c>
      <c r="EP409" s="2336">
        <v>48.77</v>
      </c>
      <c r="EQ409" s="2336">
        <v>64.72</v>
      </c>
      <c r="ER409" s="2336">
        <v>97.3</v>
      </c>
      <c r="ES409" s="2336">
        <v>141.84</v>
      </c>
      <c r="ET409" s="2336">
        <v>183.13</v>
      </c>
      <c r="EU409" s="2336">
        <v>301.52999999999997</v>
      </c>
      <c r="EV409" s="2336">
        <v>447.79</v>
      </c>
      <c r="EW409" s="2336"/>
      <c r="EX409" s="2250"/>
      <c r="EY409" s="2250"/>
      <c r="EZ409" s="2333">
        <v>48.8</v>
      </c>
      <c r="FA409" s="2336">
        <v>7.53</v>
      </c>
      <c r="FB409" s="2336">
        <v>14.67</v>
      </c>
      <c r="FC409" s="2336">
        <v>23.53</v>
      </c>
      <c r="FD409" s="2336">
        <v>37.67</v>
      </c>
      <c r="FE409" s="2336">
        <v>47.13</v>
      </c>
      <c r="FF409" s="2336">
        <v>70.33</v>
      </c>
      <c r="FG409" s="2336">
        <v>102.27</v>
      </c>
      <c r="FH409" s="2336">
        <v>141.07</v>
      </c>
      <c r="FI409" s="2336">
        <v>219.53</v>
      </c>
      <c r="FJ409" s="2336">
        <v>323.33</v>
      </c>
      <c r="FK409" s="2336"/>
      <c r="FL409" s="2250"/>
      <c r="FM409" s="2250"/>
      <c r="FN409" s="2333">
        <v>48.8</v>
      </c>
      <c r="FO409" s="2337">
        <v>6</v>
      </c>
      <c r="FP409" s="2337">
        <v>11.15</v>
      </c>
      <c r="FQ409" s="2337">
        <v>17.920000000000002</v>
      </c>
      <c r="FR409" s="2337">
        <v>28.62</v>
      </c>
      <c r="FS409" s="2337">
        <v>35.69</v>
      </c>
      <c r="FT409" s="2337">
        <v>53.54</v>
      </c>
      <c r="FU409" s="2337">
        <v>77.69</v>
      </c>
      <c r="FV409" s="2337">
        <v>107.31</v>
      </c>
      <c r="FW409" s="2337">
        <v>167.23</v>
      </c>
      <c r="FX409" s="2337">
        <v>246.23</v>
      </c>
      <c r="FY409" s="2337"/>
      <c r="FZ409" s="2250"/>
      <c r="GA409" s="2250"/>
      <c r="GB409" s="1302">
        <v>151.30000000000001</v>
      </c>
      <c r="GC409" s="1302">
        <v>162.68</v>
      </c>
      <c r="GD409" s="2250"/>
      <c r="GE409" s="2275"/>
      <c r="GF409" s="2333">
        <v>48.8</v>
      </c>
      <c r="GG409" s="2336">
        <v>0</v>
      </c>
      <c r="GH409" s="2336">
        <v>0</v>
      </c>
      <c r="GI409" s="2336">
        <v>0</v>
      </c>
      <c r="GJ409" s="2336">
        <v>0</v>
      </c>
      <c r="GK409" s="2336">
        <v>0</v>
      </c>
      <c r="GL409" s="2336">
        <v>0</v>
      </c>
      <c r="GM409" s="2336">
        <v>0</v>
      </c>
      <c r="GN409" s="2336">
        <v>0</v>
      </c>
      <c r="GO409" s="2336">
        <v>0</v>
      </c>
      <c r="GP409" s="2336">
        <v>0</v>
      </c>
      <c r="GQ409" s="2336">
        <v>0</v>
      </c>
      <c r="GR409" s="2250"/>
      <c r="GS409" s="2250"/>
      <c r="GT409" s="2333">
        <v>48.8</v>
      </c>
      <c r="GU409" s="2336">
        <v>9.08</v>
      </c>
      <c r="GV409" s="2336">
        <v>17.79</v>
      </c>
      <c r="GW409" s="2336">
        <v>30.18</v>
      </c>
      <c r="GX409" s="2336">
        <v>48.77</v>
      </c>
      <c r="GY409" s="2336">
        <v>64.72</v>
      </c>
      <c r="GZ409" s="2336">
        <v>97.3</v>
      </c>
      <c r="HA409" s="2336">
        <v>141.84</v>
      </c>
      <c r="HB409" s="2336">
        <v>183.13</v>
      </c>
      <c r="HC409" s="2336">
        <v>301.52999999999997</v>
      </c>
      <c r="HD409" s="2336">
        <v>447.79</v>
      </c>
      <c r="HE409" s="2336"/>
      <c r="HF409" s="2250"/>
      <c r="HG409" s="2250"/>
      <c r="HH409" s="2333">
        <v>48.8</v>
      </c>
      <c r="HI409" s="2336">
        <v>7.53</v>
      </c>
      <c r="HJ409" s="2336">
        <v>14.67</v>
      </c>
      <c r="HK409" s="2336">
        <v>23.53</v>
      </c>
      <c r="HL409" s="2336">
        <v>37.67</v>
      </c>
      <c r="HM409" s="2336">
        <v>47.13</v>
      </c>
      <c r="HN409" s="2336">
        <v>70.33</v>
      </c>
      <c r="HO409" s="2336">
        <v>102.27</v>
      </c>
      <c r="HP409" s="2336">
        <v>141.07</v>
      </c>
      <c r="HQ409" s="2336">
        <v>219.53</v>
      </c>
      <c r="HR409" s="2336">
        <v>323.33</v>
      </c>
      <c r="HS409" s="2336"/>
      <c r="HT409" s="2250"/>
      <c r="HU409" s="2250"/>
      <c r="HV409" s="2333">
        <v>48.8</v>
      </c>
      <c r="HW409" s="2337">
        <v>6</v>
      </c>
      <c r="HX409" s="2337">
        <v>11.15</v>
      </c>
      <c r="HY409" s="2337">
        <v>17.920000000000002</v>
      </c>
      <c r="HZ409" s="2337">
        <v>28.62</v>
      </c>
      <c r="IA409" s="2337">
        <v>35.69</v>
      </c>
      <c r="IB409" s="2337">
        <v>53.54</v>
      </c>
      <c r="IC409" s="2337">
        <v>77.69</v>
      </c>
      <c r="ID409" s="2337">
        <v>107.31</v>
      </c>
      <c r="IE409" s="2337">
        <v>167.23</v>
      </c>
      <c r="IF409" s="2337">
        <v>246.23</v>
      </c>
      <c r="IG409" s="2337"/>
      <c r="IH409" s="2250"/>
      <c r="II409" s="2250"/>
      <c r="IJ409" s="2250"/>
      <c r="IK409" s="53"/>
      <c r="IL409" s="53"/>
      <c r="IN409" s="277"/>
      <c r="IO409" s="277"/>
    </row>
    <row r="410" spans="2:249" ht="21.95" customHeight="1">
      <c r="B410" s="2333">
        <v>43.9</v>
      </c>
      <c r="C410" s="2336">
        <v>0</v>
      </c>
      <c r="D410" s="2336">
        <v>0</v>
      </c>
      <c r="E410" s="2336">
        <v>0</v>
      </c>
      <c r="F410" s="2336">
        <v>0</v>
      </c>
      <c r="G410" s="2336">
        <v>0</v>
      </c>
      <c r="H410" s="2336">
        <v>0</v>
      </c>
      <c r="I410" s="2336">
        <v>0</v>
      </c>
      <c r="J410" s="2336">
        <v>0</v>
      </c>
      <c r="K410" s="2336">
        <v>0</v>
      </c>
      <c r="L410" s="2336">
        <v>0</v>
      </c>
      <c r="M410" s="2336">
        <v>0</v>
      </c>
      <c r="N410" s="2250"/>
      <c r="O410" s="2250"/>
      <c r="P410" s="2333">
        <v>43.9</v>
      </c>
      <c r="Q410" s="2336">
        <v>9.8800000000000008</v>
      </c>
      <c r="R410" s="2336">
        <v>19.329999999999998</v>
      </c>
      <c r="S410" s="2336">
        <v>32.82</v>
      </c>
      <c r="T410" s="2336">
        <v>53.31</v>
      </c>
      <c r="U410" s="2336">
        <v>71.099999999999994</v>
      </c>
      <c r="V410" s="2336">
        <v>105.15</v>
      </c>
      <c r="W410" s="2336">
        <v>154.29</v>
      </c>
      <c r="X410" s="2336">
        <v>209.26</v>
      </c>
      <c r="Y410" s="2336">
        <v>327.55</v>
      </c>
      <c r="Z410" s="2336">
        <v>485.34</v>
      </c>
      <c r="AA410" s="2336"/>
      <c r="AB410" s="2250"/>
      <c r="AC410" s="2250"/>
      <c r="AD410" s="2333">
        <v>43.9</v>
      </c>
      <c r="AE410" s="2336">
        <v>8.1999999999999993</v>
      </c>
      <c r="AF410" s="2336">
        <v>15.33</v>
      </c>
      <c r="AG410" s="2336">
        <v>25.8</v>
      </c>
      <c r="AH410" s="2336">
        <v>41.73</v>
      </c>
      <c r="AI410" s="2336">
        <v>53.07</v>
      </c>
      <c r="AJ410" s="2336">
        <v>76.47</v>
      </c>
      <c r="AK410" s="2336">
        <v>111.87</v>
      </c>
      <c r="AL410" s="2336">
        <v>156.53</v>
      </c>
      <c r="AM410" s="2336">
        <v>239.07</v>
      </c>
      <c r="AN410" s="2336">
        <v>354.6</v>
      </c>
      <c r="AO410" s="2336"/>
      <c r="AP410" s="2250"/>
      <c r="AQ410" s="2250"/>
      <c r="AR410" s="2333">
        <v>43.9</v>
      </c>
      <c r="AS410" s="2337">
        <v>6.77</v>
      </c>
      <c r="AT410" s="2337">
        <v>11.69</v>
      </c>
      <c r="AU410" s="2337">
        <v>19.62</v>
      </c>
      <c r="AV410" s="2337">
        <v>31.77</v>
      </c>
      <c r="AW410" s="2337">
        <v>40.15</v>
      </c>
      <c r="AX410" s="2337">
        <v>58</v>
      </c>
      <c r="AY410" s="2337">
        <v>85.15</v>
      </c>
      <c r="AZ410" s="2337">
        <v>119.08</v>
      </c>
      <c r="BA410" s="2337">
        <v>181.92</v>
      </c>
      <c r="BB410" s="2337">
        <v>269.69</v>
      </c>
      <c r="BC410" s="2337"/>
      <c r="BD410" s="2250"/>
      <c r="BE410" s="2250"/>
      <c r="BF410" s="1302">
        <v>162.68</v>
      </c>
      <c r="BG410" s="1302">
        <v>165.9</v>
      </c>
      <c r="BH410" s="2250"/>
      <c r="BI410" s="2275"/>
      <c r="BJ410" s="2333">
        <v>43.9</v>
      </c>
      <c r="BK410" s="2336">
        <v>0</v>
      </c>
      <c r="BL410" s="2336">
        <v>0</v>
      </c>
      <c r="BM410" s="2336">
        <v>0</v>
      </c>
      <c r="BN410" s="2336">
        <v>0</v>
      </c>
      <c r="BO410" s="2336">
        <v>0</v>
      </c>
      <c r="BP410" s="2336">
        <v>0</v>
      </c>
      <c r="BQ410" s="2336">
        <v>0</v>
      </c>
      <c r="BR410" s="2336">
        <v>0</v>
      </c>
      <c r="BS410" s="2336">
        <v>0</v>
      </c>
      <c r="BT410" s="2336">
        <v>0</v>
      </c>
      <c r="BU410" s="2336">
        <v>0</v>
      </c>
      <c r="BV410" s="2250"/>
      <c r="BW410" s="2250"/>
      <c r="BX410" s="2333">
        <v>43.9</v>
      </c>
      <c r="BY410" s="2336">
        <v>9.8800000000000008</v>
      </c>
      <c r="BZ410" s="2336">
        <v>19.329999999999998</v>
      </c>
      <c r="CA410" s="2336">
        <v>32.82</v>
      </c>
      <c r="CB410" s="2336">
        <v>53.31</v>
      </c>
      <c r="CC410" s="2336">
        <v>71.099999999999994</v>
      </c>
      <c r="CD410" s="2336">
        <v>105.15</v>
      </c>
      <c r="CE410" s="2336">
        <v>154.29</v>
      </c>
      <c r="CF410" s="2336">
        <v>209.26</v>
      </c>
      <c r="CG410" s="2336">
        <v>327.55</v>
      </c>
      <c r="CH410" s="2336">
        <v>485.34</v>
      </c>
      <c r="CI410" s="2336"/>
      <c r="CJ410" s="2250"/>
      <c r="CK410" s="2250"/>
      <c r="CL410" s="2333">
        <v>43.9</v>
      </c>
      <c r="CM410" s="2336">
        <v>8.1999999999999993</v>
      </c>
      <c r="CN410" s="2336">
        <v>15.33</v>
      </c>
      <c r="CO410" s="2336">
        <v>25.8</v>
      </c>
      <c r="CP410" s="2336">
        <v>41.73</v>
      </c>
      <c r="CQ410" s="2336">
        <v>53.07</v>
      </c>
      <c r="CR410" s="2336">
        <v>76.47</v>
      </c>
      <c r="CS410" s="2336">
        <v>111.87</v>
      </c>
      <c r="CT410" s="2336">
        <v>156.53</v>
      </c>
      <c r="CU410" s="2336">
        <v>239.07</v>
      </c>
      <c r="CV410" s="2336">
        <v>354.6</v>
      </c>
      <c r="CW410" s="2336"/>
      <c r="CX410" s="2250"/>
      <c r="CY410" s="2250"/>
      <c r="CZ410" s="2333">
        <v>43.9</v>
      </c>
      <c r="DA410" s="2337">
        <v>6.77</v>
      </c>
      <c r="DB410" s="2337">
        <v>11.69</v>
      </c>
      <c r="DC410" s="2337">
        <v>19.62</v>
      </c>
      <c r="DD410" s="2337">
        <v>31.77</v>
      </c>
      <c r="DE410" s="2337">
        <v>40.15</v>
      </c>
      <c r="DF410" s="2337">
        <v>58</v>
      </c>
      <c r="DG410" s="2337">
        <v>85.15</v>
      </c>
      <c r="DH410" s="2337">
        <v>119.08</v>
      </c>
      <c r="DI410" s="2337">
        <v>181.92</v>
      </c>
      <c r="DJ410" s="2337">
        <v>269.69</v>
      </c>
      <c r="DK410" s="2337"/>
      <c r="DL410" s="2250"/>
      <c r="DM410" s="2250"/>
      <c r="DN410" s="2250"/>
      <c r="DO410" s="53"/>
      <c r="DP410" s="53"/>
      <c r="DS410" s="277"/>
      <c r="DW410" s="1"/>
      <c r="DX410" s="2333">
        <v>43.9</v>
      </c>
      <c r="DY410" s="2336">
        <v>0</v>
      </c>
      <c r="DZ410" s="2336">
        <v>0</v>
      </c>
      <c r="EA410" s="2336">
        <v>0</v>
      </c>
      <c r="EB410" s="2336">
        <v>0</v>
      </c>
      <c r="EC410" s="2336">
        <v>0</v>
      </c>
      <c r="ED410" s="2336">
        <v>0</v>
      </c>
      <c r="EE410" s="2336">
        <v>0</v>
      </c>
      <c r="EF410" s="2336">
        <v>0</v>
      </c>
      <c r="EG410" s="2336">
        <v>0</v>
      </c>
      <c r="EH410" s="2336">
        <v>0</v>
      </c>
      <c r="EI410" s="2336">
        <v>0</v>
      </c>
      <c r="EJ410" s="2250"/>
      <c r="EK410" s="2250"/>
      <c r="EL410" s="2333">
        <v>43.9</v>
      </c>
      <c r="EM410" s="2336">
        <v>9.8800000000000008</v>
      </c>
      <c r="EN410" s="2336">
        <v>19.329999999999998</v>
      </c>
      <c r="EO410" s="2336">
        <v>32.82</v>
      </c>
      <c r="EP410" s="2336">
        <v>53.31</v>
      </c>
      <c r="EQ410" s="2336">
        <v>71.099999999999994</v>
      </c>
      <c r="ER410" s="2336">
        <v>105.15</v>
      </c>
      <c r="ES410" s="2336">
        <v>154.29</v>
      </c>
      <c r="ET410" s="2336">
        <v>209.26</v>
      </c>
      <c r="EU410" s="2336">
        <v>327.55</v>
      </c>
      <c r="EV410" s="2336">
        <v>485.34</v>
      </c>
      <c r="EW410" s="2336"/>
      <c r="EX410" s="2250"/>
      <c r="EY410" s="2250"/>
      <c r="EZ410" s="2333">
        <v>43.9</v>
      </c>
      <c r="FA410" s="2336">
        <v>8.1999999999999993</v>
      </c>
      <c r="FB410" s="2336">
        <v>15.33</v>
      </c>
      <c r="FC410" s="2336">
        <v>25.8</v>
      </c>
      <c r="FD410" s="2336">
        <v>41.73</v>
      </c>
      <c r="FE410" s="2336">
        <v>53.07</v>
      </c>
      <c r="FF410" s="2336">
        <v>76.47</v>
      </c>
      <c r="FG410" s="2336">
        <v>111.87</v>
      </c>
      <c r="FH410" s="2336">
        <v>156.53</v>
      </c>
      <c r="FI410" s="2336">
        <v>239.07</v>
      </c>
      <c r="FJ410" s="2336">
        <v>354.6</v>
      </c>
      <c r="FK410" s="2336"/>
      <c r="FL410" s="2250"/>
      <c r="FM410" s="2250"/>
      <c r="FN410" s="2333">
        <v>43.9</v>
      </c>
      <c r="FO410" s="2337">
        <v>6.77</v>
      </c>
      <c r="FP410" s="2337">
        <v>11.69</v>
      </c>
      <c r="FQ410" s="2337">
        <v>19.62</v>
      </c>
      <c r="FR410" s="2337">
        <v>31.77</v>
      </c>
      <c r="FS410" s="2337">
        <v>40.15</v>
      </c>
      <c r="FT410" s="2337">
        <v>58</v>
      </c>
      <c r="FU410" s="2337">
        <v>85.15</v>
      </c>
      <c r="FV410" s="2337">
        <v>119.08</v>
      </c>
      <c r="FW410" s="2337">
        <v>181.92</v>
      </c>
      <c r="FX410" s="2337">
        <v>269.69</v>
      </c>
      <c r="FY410" s="2337"/>
      <c r="FZ410" s="2250"/>
      <c r="GA410" s="2250"/>
      <c r="GB410" s="1302">
        <v>162.68</v>
      </c>
      <c r="GC410" s="1302">
        <v>165.9</v>
      </c>
      <c r="GD410" s="2250"/>
      <c r="GE410" s="2275"/>
      <c r="GF410" s="2333">
        <v>43.9</v>
      </c>
      <c r="GG410" s="2336">
        <v>0</v>
      </c>
      <c r="GH410" s="2336">
        <v>0</v>
      </c>
      <c r="GI410" s="2336">
        <v>0</v>
      </c>
      <c r="GJ410" s="2336">
        <v>0</v>
      </c>
      <c r="GK410" s="2336">
        <v>0</v>
      </c>
      <c r="GL410" s="2336">
        <v>0</v>
      </c>
      <c r="GM410" s="2336">
        <v>0</v>
      </c>
      <c r="GN410" s="2336">
        <v>0</v>
      </c>
      <c r="GO410" s="2336">
        <v>0</v>
      </c>
      <c r="GP410" s="2336">
        <v>0</v>
      </c>
      <c r="GQ410" s="2336">
        <v>0</v>
      </c>
      <c r="GR410" s="2250"/>
      <c r="GS410" s="2250"/>
      <c r="GT410" s="2333">
        <v>43.9</v>
      </c>
      <c r="GU410" s="2336">
        <v>9.8800000000000008</v>
      </c>
      <c r="GV410" s="2336">
        <v>19.329999999999998</v>
      </c>
      <c r="GW410" s="2336">
        <v>32.82</v>
      </c>
      <c r="GX410" s="2336">
        <v>53.31</v>
      </c>
      <c r="GY410" s="2336">
        <v>71.099999999999994</v>
      </c>
      <c r="GZ410" s="2336">
        <v>105.15</v>
      </c>
      <c r="HA410" s="2336">
        <v>154.29</v>
      </c>
      <c r="HB410" s="2336">
        <v>209.26</v>
      </c>
      <c r="HC410" s="2336">
        <v>327.55</v>
      </c>
      <c r="HD410" s="2336">
        <v>485.34</v>
      </c>
      <c r="HE410" s="2336"/>
      <c r="HF410" s="2250"/>
      <c r="HG410" s="2250"/>
      <c r="HH410" s="2333">
        <v>43.9</v>
      </c>
      <c r="HI410" s="2336">
        <v>8.1999999999999993</v>
      </c>
      <c r="HJ410" s="2336">
        <v>15.33</v>
      </c>
      <c r="HK410" s="2336">
        <v>25.8</v>
      </c>
      <c r="HL410" s="2336">
        <v>41.73</v>
      </c>
      <c r="HM410" s="2336">
        <v>53.07</v>
      </c>
      <c r="HN410" s="2336">
        <v>76.47</v>
      </c>
      <c r="HO410" s="2336">
        <v>111.87</v>
      </c>
      <c r="HP410" s="2336">
        <v>156.53</v>
      </c>
      <c r="HQ410" s="2336">
        <v>239.07</v>
      </c>
      <c r="HR410" s="2336">
        <v>354.6</v>
      </c>
      <c r="HS410" s="2336"/>
      <c r="HT410" s="2250"/>
      <c r="HU410" s="2250"/>
      <c r="HV410" s="2333">
        <v>43.9</v>
      </c>
      <c r="HW410" s="2337">
        <v>6.77</v>
      </c>
      <c r="HX410" s="2337">
        <v>11.69</v>
      </c>
      <c r="HY410" s="2337">
        <v>19.62</v>
      </c>
      <c r="HZ410" s="2337">
        <v>31.77</v>
      </c>
      <c r="IA410" s="2337">
        <v>40.15</v>
      </c>
      <c r="IB410" s="2337">
        <v>58</v>
      </c>
      <c r="IC410" s="2337">
        <v>85.15</v>
      </c>
      <c r="ID410" s="2337">
        <v>119.08</v>
      </c>
      <c r="IE410" s="2337">
        <v>181.92</v>
      </c>
      <c r="IF410" s="2337">
        <v>269.69</v>
      </c>
      <c r="IG410" s="2337"/>
      <c r="IH410" s="2250"/>
      <c r="II410" s="2250"/>
      <c r="IJ410" s="2250"/>
      <c r="IK410" s="53"/>
      <c r="IL410" s="53"/>
      <c r="IN410" s="277"/>
      <c r="IO410" s="277"/>
    </row>
    <row r="411" spans="2:249" ht="21.95" customHeight="1">
      <c r="B411" s="2333">
        <v>38.799999999999997</v>
      </c>
      <c r="C411" s="2336">
        <v>0</v>
      </c>
      <c r="D411" s="2336">
        <v>0</v>
      </c>
      <c r="E411" s="2336">
        <v>0</v>
      </c>
      <c r="F411" s="2336">
        <v>0</v>
      </c>
      <c r="G411" s="2336">
        <v>0</v>
      </c>
      <c r="H411" s="2336">
        <v>0</v>
      </c>
      <c r="I411" s="2336">
        <v>0</v>
      </c>
      <c r="J411" s="2336">
        <v>0</v>
      </c>
      <c r="K411" s="2336">
        <v>0</v>
      </c>
      <c r="L411" s="2336">
        <v>0</v>
      </c>
      <c r="M411" s="2336">
        <v>0</v>
      </c>
      <c r="N411" s="2250"/>
      <c r="O411" s="2250"/>
      <c r="P411" s="2333">
        <v>38.799999999999997</v>
      </c>
      <c r="Q411" s="2336">
        <v>11.1</v>
      </c>
      <c r="R411" s="2336">
        <v>21.53</v>
      </c>
      <c r="S411" s="2336">
        <v>36.01</v>
      </c>
      <c r="T411" s="2336">
        <v>59.08</v>
      </c>
      <c r="U411" s="2336">
        <v>72.7</v>
      </c>
      <c r="V411" s="2336">
        <v>115.71</v>
      </c>
      <c r="W411" s="2336">
        <v>172.33</v>
      </c>
      <c r="X411" s="2336">
        <v>230.67</v>
      </c>
      <c r="Y411" s="2336">
        <v>340.43</v>
      </c>
      <c r="Z411" s="2336">
        <v>520.17999999999995</v>
      </c>
      <c r="AA411" s="2336"/>
      <c r="AB411" s="2250"/>
      <c r="AC411" s="2250"/>
      <c r="AD411" s="2333">
        <v>38.799999999999997</v>
      </c>
      <c r="AE411" s="2336">
        <v>9.1999999999999993</v>
      </c>
      <c r="AF411" s="2336">
        <v>17.87</v>
      </c>
      <c r="AG411" s="2336">
        <v>28.53</v>
      </c>
      <c r="AH411" s="2336">
        <v>46</v>
      </c>
      <c r="AI411" s="2336">
        <v>58.8</v>
      </c>
      <c r="AJ411" s="2336">
        <v>84.07</v>
      </c>
      <c r="AK411" s="2336">
        <v>124.93</v>
      </c>
      <c r="AL411" s="2336">
        <v>172.07</v>
      </c>
      <c r="AM411" s="2336">
        <v>246.33</v>
      </c>
      <c r="AN411" s="2336">
        <v>385.13</v>
      </c>
      <c r="AO411" s="2336"/>
      <c r="AP411" s="2250"/>
      <c r="AQ411" s="2250"/>
      <c r="AR411" s="2333">
        <v>38.799999999999997</v>
      </c>
      <c r="AS411" s="2337">
        <v>7.54</v>
      </c>
      <c r="AT411" s="2337">
        <v>13.62</v>
      </c>
      <c r="AU411" s="2337">
        <v>21.62</v>
      </c>
      <c r="AV411" s="2337">
        <v>35</v>
      </c>
      <c r="AW411" s="2337">
        <v>44.62</v>
      </c>
      <c r="AX411" s="2337">
        <v>63.69</v>
      </c>
      <c r="AY411" s="2337">
        <v>101.92</v>
      </c>
      <c r="AZ411" s="2337">
        <v>129.15</v>
      </c>
      <c r="BA411" s="2337">
        <v>186.85</v>
      </c>
      <c r="BB411" s="2337">
        <v>293.31</v>
      </c>
      <c r="BC411" s="2337"/>
      <c r="BD411" s="2250"/>
      <c r="BE411" s="2250"/>
      <c r="BF411" s="1302">
        <v>165.9</v>
      </c>
      <c r="BG411" s="1302">
        <v>177.81</v>
      </c>
      <c r="BH411" s="2250"/>
      <c r="BI411" s="2275"/>
      <c r="BJ411" s="2333">
        <v>38.799999999999997</v>
      </c>
      <c r="BK411" s="2336">
        <v>0</v>
      </c>
      <c r="BL411" s="2336">
        <v>0</v>
      </c>
      <c r="BM411" s="2336">
        <v>0</v>
      </c>
      <c r="BN411" s="2336">
        <v>0</v>
      </c>
      <c r="BO411" s="2336">
        <v>0</v>
      </c>
      <c r="BP411" s="2336">
        <v>0</v>
      </c>
      <c r="BQ411" s="2336">
        <v>0</v>
      </c>
      <c r="BR411" s="2336">
        <v>0</v>
      </c>
      <c r="BS411" s="2336">
        <v>0</v>
      </c>
      <c r="BT411" s="2336">
        <v>0</v>
      </c>
      <c r="BU411" s="2336">
        <v>0</v>
      </c>
      <c r="BV411" s="2250"/>
      <c r="BW411" s="2250"/>
      <c r="BX411" s="2333">
        <v>38.799999999999997</v>
      </c>
      <c r="BY411" s="2336">
        <v>11.1</v>
      </c>
      <c r="BZ411" s="2336">
        <v>21.53</v>
      </c>
      <c r="CA411" s="2336">
        <v>36.01</v>
      </c>
      <c r="CB411" s="2336">
        <v>59.08</v>
      </c>
      <c r="CC411" s="2336">
        <v>72.7</v>
      </c>
      <c r="CD411" s="2336">
        <v>115.71</v>
      </c>
      <c r="CE411" s="2336">
        <v>172.33</v>
      </c>
      <c r="CF411" s="2336">
        <v>230.67</v>
      </c>
      <c r="CG411" s="2336">
        <v>340.43</v>
      </c>
      <c r="CH411" s="2336">
        <v>520.17999999999995</v>
      </c>
      <c r="CI411" s="2336"/>
      <c r="CJ411" s="2250"/>
      <c r="CK411" s="2250"/>
      <c r="CL411" s="2333">
        <v>38.799999999999997</v>
      </c>
      <c r="CM411" s="2336">
        <v>9.1999999999999993</v>
      </c>
      <c r="CN411" s="2336">
        <v>17.87</v>
      </c>
      <c r="CO411" s="2336">
        <v>28.53</v>
      </c>
      <c r="CP411" s="2336">
        <v>46</v>
      </c>
      <c r="CQ411" s="2336">
        <v>58.8</v>
      </c>
      <c r="CR411" s="2336">
        <v>84.07</v>
      </c>
      <c r="CS411" s="2336">
        <v>124.93</v>
      </c>
      <c r="CT411" s="2336">
        <v>172.07</v>
      </c>
      <c r="CU411" s="2336">
        <v>246.33</v>
      </c>
      <c r="CV411" s="2336">
        <v>385.13</v>
      </c>
      <c r="CW411" s="2336"/>
      <c r="CX411" s="2250"/>
      <c r="CY411" s="2250"/>
      <c r="CZ411" s="2333">
        <v>38.799999999999997</v>
      </c>
      <c r="DA411" s="2337">
        <v>7.54</v>
      </c>
      <c r="DB411" s="2337">
        <v>13.62</v>
      </c>
      <c r="DC411" s="2337">
        <v>21.62</v>
      </c>
      <c r="DD411" s="2337">
        <v>35</v>
      </c>
      <c r="DE411" s="2337">
        <v>44.62</v>
      </c>
      <c r="DF411" s="2337">
        <v>63.69</v>
      </c>
      <c r="DG411" s="2337">
        <v>101.92</v>
      </c>
      <c r="DH411" s="2337">
        <v>129.15</v>
      </c>
      <c r="DI411" s="2337">
        <v>186.85</v>
      </c>
      <c r="DJ411" s="2337">
        <v>293.31</v>
      </c>
      <c r="DK411" s="2337"/>
      <c r="DL411" s="2250"/>
      <c r="DM411" s="2250"/>
      <c r="DN411" s="2250"/>
      <c r="DO411" s="53"/>
      <c r="DP411" s="53"/>
      <c r="DS411" s="277"/>
      <c r="DW411" s="1"/>
      <c r="DX411" s="2333">
        <v>38.799999999999997</v>
      </c>
      <c r="DY411" s="2336">
        <v>0</v>
      </c>
      <c r="DZ411" s="2336">
        <v>0</v>
      </c>
      <c r="EA411" s="2336">
        <v>0</v>
      </c>
      <c r="EB411" s="2336">
        <v>0</v>
      </c>
      <c r="EC411" s="2336">
        <v>0</v>
      </c>
      <c r="ED411" s="2336">
        <v>0</v>
      </c>
      <c r="EE411" s="2336">
        <v>0</v>
      </c>
      <c r="EF411" s="2336">
        <v>0</v>
      </c>
      <c r="EG411" s="2336">
        <v>0</v>
      </c>
      <c r="EH411" s="2336">
        <v>0</v>
      </c>
      <c r="EI411" s="2336">
        <v>0</v>
      </c>
      <c r="EJ411" s="2250"/>
      <c r="EK411" s="2250"/>
      <c r="EL411" s="2333">
        <v>38.799999999999997</v>
      </c>
      <c r="EM411" s="2336">
        <v>11.1</v>
      </c>
      <c r="EN411" s="2336">
        <v>21.53</v>
      </c>
      <c r="EO411" s="2336">
        <v>36.01</v>
      </c>
      <c r="EP411" s="2336">
        <v>59.08</v>
      </c>
      <c r="EQ411" s="2336">
        <v>72.7</v>
      </c>
      <c r="ER411" s="2336">
        <v>115.71</v>
      </c>
      <c r="ES411" s="2336">
        <v>172.33</v>
      </c>
      <c r="ET411" s="2336">
        <v>230.67</v>
      </c>
      <c r="EU411" s="2336">
        <v>340.43</v>
      </c>
      <c r="EV411" s="2336">
        <v>520.17999999999995</v>
      </c>
      <c r="EW411" s="2336"/>
      <c r="EX411" s="2250"/>
      <c r="EY411" s="2250"/>
      <c r="EZ411" s="2333">
        <v>38.799999999999997</v>
      </c>
      <c r="FA411" s="2336">
        <v>9.1999999999999993</v>
      </c>
      <c r="FB411" s="2336">
        <v>17.87</v>
      </c>
      <c r="FC411" s="2336">
        <v>28.53</v>
      </c>
      <c r="FD411" s="2336">
        <v>46</v>
      </c>
      <c r="FE411" s="2336">
        <v>58.8</v>
      </c>
      <c r="FF411" s="2336">
        <v>84.07</v>
      </c>
      <c r="FG411" s="2336">
        <v>124.93</v>
      </c>
      <c r="FH411" s="2336">
        <v>172.07</v>
      </c>
      <c r="FI411" s="2336">
        <v>246.33</v>
      </c>
      <c r="FJ411" s="2336">
        <v>385.13</v>
      </c>
      <c r="FK411" s="2336"/>
      <c r="FL411" s="2250"/>
      <c r="FM411" s="2250"/>
      <c r="FN411" s="2333">
        <v>38.799999999999997</v>
      </c>
      <c r="FO411" s="2337">
        <v>7.54</v>
      </c>
      <c r="FP411" s="2337">
        <v>13.62</v>
      </c>
      <c r="FQ411" s="2337">
        <v>21.62</v>
      </c>
      <c r="FR411" s="2337">
        <v>35</v>
      </c>
      <c r="FS411" s="2337">
        <v>44.62</v>
      </c>
      <c r="FT411" s="2337">
        <v>63.69</v>
      </c>
      <c r="FU411" s="2337">
        <v>101.92</v>
      </c>
      <c r="FV411" s="2337">
        <v>129.15</v>
      </c>
      <c r="FW411" s="2337">
        <v>186.85</v>
      </c>
      <c r="FX411" s="2337">
        <v>293.31</v>
      </c>
      <c r="FY411" s="2337"/>
      <c r="FZ411" s="2250"/>
      <c r="GA411" s="2250"/>
      <c r="GB411" s="1302">
        <v>165.9</v>
      </c>
      <c r="GC411" s="1302">
        <v>177.81</v>
      </c>
      <c r="GD411" s="2250"/>
      <c r="GE411" s="2275"/>
      <c r="GF411" s="2333">
        <v>38.799999999999997</v>
      </c>
      <c r="GG411" s="2336">
        <v>0</v>
      </c>
      <c r="GH411" s="2336">
        <v>0</v>
      </c>
      <c r="GI411" s="2336">
        <v>0</v>
      </c>
      <c r="GJ411" s="2336">
        <v>0</v>
      </c>
      <c r="GK411" s="2336">
        <v>0</v>
      </c>
      <c r="GL411" s="2336">
        <v>0</v>
      </c>
      <c r="GM411" s="2336">
        <v>0</v>
      </c>
      <c r="GN411" s="2336">
        <v>0</v>
      </c>
      <c r="GO411" s="2336">
        <v>0</v>
      </c>
      <c r="GP411" s="2336">
        <v>0</v>
      </c>
      <c r="GQ411" s="2336">
        <v>0</v>
      </c>
      <c r="GR411" s="2250"/>
      <c r="GS411" s="2250"/>
      <c r="GT411" s="2333">
        <v>38.799999999999997</v>
      </c>
      <c r="GU411" s="2336">
        <v>11.1</v>
      </c>
      <c r="GV411" s="2336">
        <v>21.53</v>
      </c>
      <c r="GW411" s="2336">
        <v>36.01</v>
      </c>
      <c r="GX411" s="2336">
        <v>59.08</v>
      </c>
      <c r="GY411" s="2336">
        <v>72.7</v>
      </c>
      <c r="GZ411" s="2336">
        <v>115.71</v>
      </c>
      <c r="HA411" s="2336">
        <v>172.33</v>
      </c>
      <c r="HB411" s="2336">
        <v>230.67</v>
      </c>
      <c r="HC411" s="2336">
        <v>340.43</v>
      </c>
      <c r="HD411" s="2336">
        <v>520.17999999999995</v>
      </c>
      <c r="HE411" s="2336"/>
      <c r="HF411" s="2250"/>
      <c r="HG411" s="2250"/>
      <c r="HH411" s="2333">
        <v>38.799999999999997</v>
      </c>
      <c r="HI411" s="2336">
        <v>9.1999999999999993</v>
      </c>
      <c r="HJ411" s="2336">
        <v>17.87</v>
      </c>
      <c r="HK411" s="2336">
        <v>28.53</v>
      </c>
      <c r="HL411" s="2336">
        <v>46</v>
      </c>
      <c r="HM411" s="2336">
        <v>58.8</v>
      </c>
      <c r="HN411" s="2336">
        <v>84.07</v>
      </c>
      <c r="HO411" s="2336">
        <v>124.93</v>
      </c>
      <c r="HP411" s="2336">
        <v>172.07</v>
      </c>
      <c r="HQ411" s="2336">
        <v>246.33</v>
      </c>
      <c r="HR411" s="2336">
        <v>385.13</v>
      </c>
      <c r="HS411" s="2336"/>
      <c r="HT411" s="2250"/>
      <c r="HU411" s="2250"/>
      <c r="HV411" s="2333">
        <v>38.799999999999997</v>
      </c>
      <c r="HW411" s="2337">
        <v>7.54</v>
      </c>
      <c r="HX411" s="2337">
        <v>13.62</v>
      </c>
      <c r="HY411" s="2337">
        <v>21.62</v>
      </c>
      <c r="HZ411" s="2337">
        <v>35</v>
      </c>
      <c r="IA411" s="2337">
        <v>44.62</v>
      </c>
      <c r="IB411" s="2337">
        <v>63.69</v>
      </c>
      <c r="IC411" s="2337">
        <v>101.92</v>
      </c>
      <c r="ID411" s="2337">
        <v>129.15</v>
      </c>
      <c r="IE411" s="2337">
        <v>186.85</v>
      </c>
      <c r="IF411" s="2337">
        <v>293.31</v>
      </c>
      <c r="IG411" s="2337"/>
      <c r="IH411" s="2250"/>
      <c r="II411" s="2250"/>
      <c r="IJ411" s="2250"/>
      <c r="IK411" s="53"/>
      <c r="IL411" s="53"/>
      <c r="IN411" s="277"/>
      <c r="IO411" s="277"/>
    </row>
    <row r="412" spans="2:249" ht="21.95" customHeight="1">
      <c r="B412" s="2333">
        <v>34.200000000000003</v>
      </c>
      <c r="C412" s="2336">
        <v>0</v>
      </c>
      <c r="D412" s="2336">
        <v>0</v>
      </c>
      <c r="E412" s="2336">
        <v>0</v>
      </c>
      <c r="F412" s="2336">
        <v>0</v>
      </c>
      <c r="G412" s="2336">
        <v>0</v>
      </c>
      <c r="H412" s="2336">
        <v>0</v>
      </c>
      <c r="I412" s="2336">
        <v>0</v>
      </c>
      <c r="J412" s="2336">
        <v>0</v>
      </c>
      <c r="K412" s="2336">
        <v>0</v>
      </c>
      <c r="L412" s="2336">
        <v>0</v>
      </c>
      <c r="M412" s="2336">
        <v>0</v>
      </c>
      <c r="N412" s="2250"/>
      <c r="O412" s="2250"/>
      <c r="P412" s="2333">
        <v>34.200000000000003</v>
      </c>
      <c r="Q412" s="2336">
        <v>12.45</v>
      </c>
      <c r="R412" s="2336">
        <v>24.05</v>
      </c>
      <c r="S412" s="2336">
        <v>40.369999999999997</v>
      </c>
      <c r="T412" s="2336">
        <v>66.319999999999993</v>
      </c>
      <c r="U412" s="2336">
        <v>79.510000000000005</v>
      </c>
      <c r="V412" s="2336">
        <v>121.6</v>
      </c>
      <c r="W412" s="2336">
        <v>189.08</v>
      </c>
      <c r="X412" s="2336">
        <v>237.48</v>
      </c>
      <c r="Y412" s="2336">
        <v>400.12</v>
      </c>
      <c r="Z412" s="2336">
        <v>581.47</v>
      </c>
      <c r="AA412" s="2336"/>
      <c r="AB412" s="2250"/>
      <c r="AC412" s="2250"/>
      <c r="AD412" s="2333">
        <v>34.200000000000003</v>
      </c>
      <c r="AE412" s="2336">
        <v>10.33</v>
      </c>
      <c r="AF412" s="2336">
        <v>18.93</v>
      </c>
      <c r="AG412" s="2336">
        <v>31.73</v>
      </c>
      <c r="AH412" s="2336">
        <v>51.53</v>
      </c>
      <c r="AI412" s="2336">
        <v>65.27</v>
      </c>
      <c r="AJ412" s="2336">
        <v>93.47</v>
      </c>
      <c r="AK412" s="2336">
        <v>137.33000000000001</v>
      </c>
      <c r="AL412" s="2336">
        <v>193.33</v>
      </c>
      <c r="AM412" s="2336">
        <v>290.2</v>
      </c>
      <c r="AN412" s="2336">
        <v>429.27</v>
      </c>
      <c r="AO412" s="2336"/>
      <c r="AP412" s="2250"/>
      <c r="AQ412" s="2250"/>
      <c r="AR412" s="2333">
        <v>34.200000000000003</v>
      </c>
      <c r="AS412" s="2337">
        <v>8</v>
      </c>
      <c r="AT412" s="2337">
        <v>14.31</v>
      </c>
      <c r="AU412" s="2337">
        <v>24.08</v>
      </c>
      <c r="AV412" s="2337">
        <v>39</v>
      </c>
      <c r="AW412" s="2337">
        <v>49.85</v>
      </c>
      <c r="AX412" s="2337">
        <v>70.08</v>
      </c>
      <c r="AY412" s="2337">
        <v>104</v>
      </c>
      <c r="AZ412" s="2337">
        <v>146.62</v>
      </c>
      <c r="BA412" s="2337">
        <v>218.15</v>
      </c>
      <c r="BB412" s="2337">
        <v>329.92</v>
      </c>
      <c r="BC412" s="2337"/>
      <c r="BD412" s="2250"/>
      <c r="BE412" s="2250"/>
      <c r="BF412" s="1302">
        <v>177.81</v>
      </c>
      <c r="BG412" s="1302">
        <v>190.4</v>
      </c>
      <c r="BH412" s="2250"/>
      <c r="BI412" s="2275"/>
      <c r="BJ412" s="2333">
        <v>34.200000000000003</v>
      </c>
      <c r="BK412" s="2336">
        <v>0</v>
      </c>
      <c r="BL412" s="2336">
        <v>0</v>
      </c>
      <c r="BM412" s="2336">
        <v>0</v>
      </c>
      <c r="BN412" s="2336">
        <v>0</v>
      </c>
      <c r="BO412" s="2336">
        <v>0</v>
      </c>
      <c r="BP412" s="2336">
        <v>0</v>
      </c>
      <c r="BQ412" s="2336">
        <v>0</v>
      </c>
      <c r="BR412" s="2336">
        <v>0</v>
      </c>
      <c r="BS412" s="2336">
        <v>0</v>
      </c>
      <c r="BT412" s="2336">
        <v>0</v>
      </c>
      <c r="BU412" s="2336">
        <v>0</v>
      </c>
      <c r="BV412" s="2250"/>
      <c r="BW412" s="2250"/>
      <c r="BX412" s="2333">
        <v>34.200000000000003</v>
      </c>
      <c r="BY412" s="2336">
        <v>12.45</v>
      </c>
      <c r="BZ412" s="2336">
        <v>24.05</v>
      </c>
      <c r="CA412" s="2336">
        <v>40.369999999999997</v>
      </c>
      <c r="CB412" s="2336">
        <v>66.319999999999993</v>
      </c>
      <c r="CC412" s="2336">
        <v>79.510000000000005</v>
      </c>
      <c r="CD412" s="2336">
        <v>121.6</v>
      </c>
      <c r="CE412" s="2336">
        <v>189.08</v>
      </c>
      <c r="CF412" s="2336">
        <v>237.48</v>
      </c>
      <c r="CG412" s="2336">
        <v>400.12</v>
      </c>
      <c r="CH412" s="2336">
        <v>581.47</v>
      </c>
      <c r="CI412" s="2336"/>
      <c r="CJ412" s="2250"/>
      <c r="CK412" s="2250"/>
      <c r="CL412" s="2333">
        <v>34.200000000000003</v>
      </c>
      <c r="CM412" s="2336">
        <v>10.33</v>
      </c>
      <c r="CN412" s="2336">
        <v>18.93</v>
      </c>
      <c r="CO412" s="2336">
        <v>31.73</v>
      </c>
      <c r="CP412" s="2336">
        <v>51.53</v>
      </c>
      <c r="CQ412" s="2336">
        <v>65.27</v>
      </c>
      <c r="CR412" s="2336">
        <v>93.47</v>
      </c>
      <c r="CS412" s="2336">
        <v>137.33000000000001</v>
      </c>
      <c r="CT412" s="2336">
        <v>193.33</v>
      </c>
      <c r="CU412" s="2336">
        <v>290.2</v>
      </c>
      <c r="CV412" s="2336">
        <v>429.27</v>
      </c>
      <c r="CW412" s="2336"/>
      <c r="CX412" s="2250"/>
      <c r="CY412" s="2250"/>
      <c r="CZ412" s="2333">
        <v>34.200000000000003</v>
      </c>
      <c r="DA412" s="2337">
        <v>8</v>
      </c>
      <c r="DB412" s="2337">
        <v>14.31</v>
      </c>
      <c r="DC412" s="2337">
        <v>24.08</v>
      </c>
      <c r="DD412" s="2337">
        <v>39</v>
      </c>
      <c r="DE412" s="2337">
        <v>49.85</v>
      </c>
      <c r="DF412" s="2337">
        <v>70.08</v>
      </c>
      <c r="DG412" s="2337">
        <v>104</v>
      </c>
      <c r="DH412" s="2337">
        <v>146.62</v>
      </c>
      <c r="DI412" s="2337">
        <v>218.15</v>
      </c>
      <c r="DJ412" s="2337">
        <v>329.92</v>
      </c>
      <c r="DK412" s="2337"/>
      <c r="DL412" s="2250"/>
      <c r="DM412" s="2250"/>
      <c r="DN412" s="2250"/>
      <c r="DO412" s="53"/>
      <c r="DP412" s="53"/>
      <c r="DS412" s="277"/>
      <c r="DW412" s="1"/>
      <c r="DX412" s="2333">
        <v>34.200000000000003</v>
      </c>
      <c r="DY412" s="2336">
        <v>0</v>
      </c>
      <c r="DZ412" s="2336">
        <v>0</v>
      </c>
      <c r="EA412" s="2336">
        <v>0</v>
      </c>
      <c r="EB412" s="2336">
        <v>0</v>
      </c>
      <c r="EC412" s="2336">
        <v>0</v>
      </c>
      <c r="ED412" s="2336">
        <v>0</v>
      </c>
      <c r="EE412" s="2336">
        <v>0</v>
      </c>
      <c r="EF412" s="2336">
        <v>0</v>
      </c>
      <c r="EG412" s="2336">
        <v>0</v>
      </c>
      <c r="EH412" s="2336">
        <v>0</v>
      </c>
      <c r="EI412" s="2336">
        <v>0</v>
      </c>
      <c r="EJ412" s="2250"/>
      <c r="EK412" s="2250"/>
      <c r="EL412" s="2333">
        <v>34.200000000000003</v>
      </c>
      <c r="EM412" s="2336">
        <v>12.45</v>
      </c>
      <c r="EN412" s="2336">
        <v>24.05</v>
      </c>
      <c r="EO412" s="2336">
        <v>40.369999999999997</v>
      </c>
      <c r="EP412" s="2336">
        <v>66.319999999999993</v>
      </c>
      <c r="EQ412" s="2336">
        <v>79.510000000000005</v>
      </c>
      <c r="ER412" s="2336">
        <v>121.6</v>
      </c>
      <c r="ES412" s="2336">
        <v>189.08</v>
      </c>
      <c r="ET412" s="2336">
        <v>237.48</v>
      </c>
      <c r="EU412" s="2336">
        <v>400.12</v>
      </c>
      <c r="EV412" s="2336">
        <v>581.47</v>
      </c>
      <c r="EW412" s="2336"/>
      <c r="EX412" s="2250"/>
      <c r="EY412" s="2250"/>
      <c r="EZ412" s="2333">
        <v>34.200000000000003</v>
      </c>
      <c r="FA412" s="2336">
        <v>10.33</v>
      </c>
      <c r="FB412" s="2336">
        <v>18.93</v>
      </c>
      <c r="FC412" s="2336">
        <v>31.73</v>
      </c>
      <c r="FD412" s="2336">
        <v>51.53</v>
      </c>
      <c r="FE412" s="2336">
        <v>65.27</v>
      </c>
      <c r="FF412" s="2336">
        <v>93.47</v>
      </c>
      <c r="FG412" s="2336">
        <v>137.33000000000001</v>
      </c>
      <c r="FH412" s="2336">
        <v>193.33</v>
      </c>
      <c r="FI412" s="2336">
        <v>290.2</v>
      </c>
      <c r="FJ412" s="2336">
        <v>429.27</v>
      </c>
      <c r="FK412" s="2336"/>
      <c r="FL412" s="2250"/>
      <c r="FM412" s="2250"/>
      <c r="FN412" s="2333">
        <v>34.200000000000003</v>
      </c>
      <c r="FO412" s="2337">
        <v>8</v>
      </c>
      <c r="FP412" s="2337">
        <v>14.31</v>
      </c>
      <c r="FQ412" s="2337">
        <v>24.08</v>
      </c>
      <c r="FR412" s="2337">
        <v>39</v>
      </c>
      <c r="FS412" s="2337">
        <v>49.85</v>
      </c>
      <c r="FT412" s="2337">
        <v>70.08</v>
      </c>
      <c r="FU412" s="2337">
        <v>104</v>
      </c>
      <c r="FV412" s="2337">
        <v>146.62</v>
      </c>
      <c r="FW412" s="2337">
        <v>218.15</v>
      </c>
      <c r="FX412" s="2337">
        <v>329.92</v>
      </c>
      <c r="FY412" s="2337"/>
      <c r="FZ412" s="2250"/>
      <c r="GA412" s="2250"/>
      <c r="GB412" s="1302">
        <v>177.81</v>
      </c>
      <c r="GC412" s="1302">
        <v>190.4</v>
      </c>
      <c r="GD412" s="2250"/>
      <c r="GE412" s="2275"/>
      <c r="GF412" s="2333">
        <v>34.200000000000003</v>
      </c>
      <c r="GG412" s="2336">
        <v>0</v>
      </c>
      <c r="GH412" s="2336">
        <v>0</v>
      </c>
      <c r="GI412" s="2336">
        <v>0</v>
      </c>
      <c r="GJ412" s="2336">
        <v>0</v>
      </c>
      <c r="GK412" s="2336">
        <v>0</v>
      </c>
      <c r="GL412" s="2336">
        <v>0</v>
      </c>
      <c r="GM412" s="2336">
        <v>0</v>
      </c>
      <c r="GN412" s="2336">
        <v>0</v>
      </c>
      <c r="GO412" s="2336">
        <v>0</v>
      </c>
      <c r="GP412" s="2336">
        <v>0</v>
      </c>
      <c r="GQ412" s="2336">
        <v>0</v>
      </c>
      <c r="GR412" s="2250"/>
      <c r="GS412" s="2250"/>
      <c r="GT412" s="2333">
        <v>34.200000000000003</v>
      </c>
      <c r="GU412" s="2336">
        <v>12.45</v>
      </c>
      <c r="GV412" s="2336">
        <v>24.05</v>
      </c>
      <c r="GW412" s="2336">
        <v>40.369999999999997</v>
      </c>
      <c r="GX412" s="2336">
        <v>66.319999999999993</v>
      </c>
      <c r="GY412" s="2336">
        <v>79.510000000000005</v>
      </c>
      <c r="GZ412" s="2336">
        <v>121.6</v>
      </c>
      <c r="HA412" s="2336">
        <v>189.08</v>
      </c>
      <c r="HB412" s="2336">
        <v>237.48</v>
      </c>
      <c r="HC412" s="2336">
        <v>400.12</v>
      </c>
      <c r="HD412" s="2336">
        <v>581.47</v>
      </c>
      <c r="HE412" s="2336"/>
      <c r="HF412" s="2250"/>
      <c r="HG412" s="2250"/>
      <c r="HH412" s="2333">
        <v>34.200000000000003</v>
      </c>
      <c r="HI412" s="2336">
        <v>10.33</v>
      </c>
      <c r="HJ412" s="2336">
        <v>18.93</v>
      </c>
      <c r="HK412" s="2336">
        <v>31.73</v>
      </c>
      <c r="HL412" s="2336">
        <v>51.53</v>
      </c>
      <c r="HM412" s="2336">
        <v>65.27</v>
      </c>
      <c r="HN412" s="2336">
        <v>93.47</v>
      </c>
      <c r="HO412" s="2336">
        <v>137.33000000000001</v>
      </c>
      <c r="HP412" s="2336">
        <v>193.33</v>
      </c>
      <c r="HQ412" s="2336">
        <v>290.2</v>
      </c>
      <c r="HR412" s="2336">
        <v>429.27</v>
      </c>
      <c r="HS412" s="2336"/>
      <c r="HT412" s="2250"/>
      <c r="HU412" s="2250"/>
      <c r="HV412" s="2333">
        <v>34.200000000000003</v>
      </c>
      <c r="HW412" s="2337">
        <v>8</v>
      </c>
      <c r="HX412" s="2337">
        <v>14.31</v>
      </c>
      <c r="HY412" s="2337">
        <v>24.08</v>
      </c>
      <c r="HZ412" s="2337">
        <v>39</v>
      </c>
      <c r="IA412" s="2337">
        <v>49.85</v>
      </c>
      <c r="IB412" s="2337">
        <v>70.08</v>
      </c>
      <c r="IC412" s="2337">
        <v>104</v>
      </c>
      <c r="ID412" s="2337">
        <v>146.62</v>
      </c>
      <c r="IE412" s="2337">
        <v>218.15</v>
      </c>
      <c r="IF412" s="2337">
        <v>329.92</v>
      </c>
      <c r="IG412" s="2337"/>
      <c r="IH412" s="2250"/>
      <c r="II412" s="2250"/>
      <c r="IJ412" s="2250"/>
      <c r="IK412" s="53"/>
      <c r="IL412" s="53"/>
      <c r="IN412" s="277"/>
      <c r="IO412" s="277"/>
    </row>
    <row r="413" spans="2:249" ht="21.95" customHeight="1">
      <c r="B413" s="2333">
        <v>29.3</v>
      </c>
      <c r="C413" s="2336">
        <v>0</v>
      </c>
      <c r="D413" s="2336">
        <v>0</v>
      </c>
      <c r="E413" s="2336">
        <v>0</v>
      </c>
      <c r="F413" s="2336">
        <v>0</v>
      </c>
      <c r="G413" s="2336">
        <v>0</v>
      </c>
      <c r="H413" s="2336">
        <v>0</v>
      </c>
      <c r="I413" s="2336">
        <v>0</v>
      </c>
      <c r="J413" s="2336">
        <v>0</v>
      </c>
      <c r="K413" s="2336">
        <v>0</v>
      </c>
      <c r="L413" s="2336">
        <v>0</v>
      </c>
      <c r="M413" s="2336">
        <v>0</v>
      </c>
      <c r="N413" s="2250"/>
      <c r="O413" s="2250"/>
      <c r="P413" s="2333">
        <v>29.3</v>
      </c>
      <c r="Q413" s="2336">
        <v>14.17</v>
      </c>
      <c r="R413" s="2336">
        <v>26.87</v>
      </c>
      <c r="S413" s="2336">
        <v>47.36</v>
      </c>
      <c r="T413" s="2336">
        <v>75.89</v>
      </c>
      <c r="U413" s="2336">
        <v>81.47</v>
      </c>
      <c r="V413" s="2336">
        <v>121.6</v>
      </c>
      <c r="W413" s="2336">
        <v>220</v>
      </c>
      <c r="X413" s="2336">
        <v>237.48</v>
      </c>
      <c r="Y413" s="2336">
        <v>410.37</v>
      </c>
      <c r="Z413" s="2336">
        <v>643.99</v>
      </c>
      <c r="AA413" s="2336"/>
      <c r="AB413" s="2250"/>
      <c r="AC413" s="2250"/>
      <c r="AD413" s="2333">
        <v>29.3</v>
      </c>
      <c r="AE413" s="2336">
        <v>11.8</v>
      </c>
      <c r="AF413" s="2336">
        <v>21.67</v>
      </c>
      <c r="AG413" s="2336">
        <v>34.130000000000003</v>
      </c>
      <c r="AH413" s="2336">
        <v>58.47</v>
      </c>
      <c r="AI413" s="2336">
        <v>66.67</v>
      </c>
      <c r="AJ413" s="2336">
        <v>99.47</v>
      </c>
      <c r="AK413" s="2336">
        <v>158.72999999999999</v>
      </c>
      <c r="AL413" s="2336">
        <v>194.33</v>
      </c>
      <c r="AM413" s="2336">
        <v>320.60000000000002</v>
      </c>
      <c r="AN413" s="2336">
        <v>468.2</v>
      </c>
      <c r="AO413" s="2336"/>
      <c r="AP413" s="2250"/>
      <c r="AQ413" s="2250"/>
      <c r="AR413" s="2333">
        <v>29.3</v>
      </c>
      <c r="AS413" s="2337">
        <v>9.23</v>
      </c>
      <c r="AT413" s="2337">
        <v>16.46</v>
      </c>
      <c r="AU413" s="2337">
        <v>25.85</v>
      </c>
      <c r="AV413" s="2337">
        <v>44.38</v>
      </c>
      <c r="AW413" s="2337">
        <v>54.15</v>
      </c>
      <c r="AX413" s="2337">
        <v>77.23</v>
      </c>
      <c r="AY413" s="2337">
        <v>120.54</v>
      </c>
      <c r="AZ413" s="2337">
        <v>168.31</v>
      </c>
      <c r="BA413" s="2337">
        <v>240.46</v>
      </c>
      <c r="BB413" s="2337">
        <v>351.08</v>
      </c>
      <c r="BC413" s="2337"/>
      <c r="BD413" s="2250"/>
      <c r="BE413" s="2250"/>
      <c r="BF413" s="1302">
        <v>190.4</v>
      </c>
      <c r="BG413" s="1302">
        <v>206.43</v>
      </c>
      <c r="BH413" s="2250"/>
      <c r="BI413" s="2275"/>
      <c r="BJ413" s="2333">
        <v>29.3</v>
      </c>
      <c r="BK413" s="2336">
        <v>0</v>
      </c>
      <c r="BL413" s="2336">
        <v>0</v>
      </c>
      <c r="BM413" s="2336">
        <v>0</v>
      </c>
      <c r="BN413" s="2336">
        <v>0</v>
      </c>
      <c r="BO413" s="2336">
        <v>0</v>
      </c>
      <c r="BP413" s="2336">
        <v>0</v>
      </c>
      <c r="BQ413" s="2336">
        <v>0</v>
      </c>
      <c r="BR413" s="2336">
        <v>0</v>
      </c>
      <c r="BS413" s="2336">
        <v>0</v>
      </c>
      <c r="BT413" s="2336">
        <v>0</v>
      </c>
      <c r="BU413" s="2336">
        <v>0</v>
      </c>
      <c r="BV413" s="2250"/>
      <c r="BW413" s="2250"/>
      <c r="BX413" s="2333">
        <v>29.3</v>
      </c>
      <c r="BY413" s="2336">
        <v>14.17</v>
      </c>
      <c r="BZ413" s="2336">
        <v>26.87</v>
      </c>
      <c r="CA413" s="2336">
        <v>47.36</v>
      </c>
      <c r="CB413" s="2336">
        <v>75.89</v>
      </c>
      <c r="CC413" s="2336">
        <v>81.47</v>
      </c>
      <c r="CD413" s="2336">
        <v>121.6</v>
      </c>
      <c r="CE413" s="2336">
        <v>220</v>
      </c>
      <c r="CF413" s="2336">
        <v>237.48</v>
      </c>
      <c r="CG413" s="2336">
        <v>410.37</v>
      </c>
      <c r="CH413" s="2336">
        <v>643.99</v>
      </c>
      <c r="CI413" s="2336"/>
      <c r="CJ413" s="2250"/>
      <c r="CK413" s="2250"/>
      <c r="CL413" s="2333">
        <v>29.3</v>
      </c>
      <c r="CM413" s="2336">
        <v>11.8</v>
      </c>
      <c r="CN413" s="2336">
        <v>21.67</v>
      </c>
      <c r="CO413" s="2336">
        <v>34.130000000000003</v>
      </c>
      <c r="CP413" s="2336">
        <v>58.47</v>
      </c>
      <c r="CQ413" s="2336">
        <v>66.67</v>
      </c>
      <c r="CR413" s="2336">
        <v>99.47</v>
      </c>
      <c r="CS413" s="2336">
        <v>158.72999999999999</v>
      </c>
      <c r="CT413" s="2336">
        <v>194.33</v>
      </c>
      <c r="CU413" s="2336">
        <v>320.60000000000002</v>
      </c>
      <c r="CV413" s="2336">
        <v>468.2</v>
      </c>
      <c r="CW413" s="2336"/>
      <c r="CX413" s="2250"/>
      <c r="CY413" s="2250"/>
      <c r="CZ413" s="2333">
        <v>29.3</v>
      </c>
      <c r="DA413" s="2337">
        <v>9.23</v>
      </c>
      <c r="DB413" s="2337">
        <v>16.46</v>
      </c>
      <c r="DC413" s="2337">
        <v>25.85</v>
      </c>
      <c r="DD413" s="2337">
        <v>44.38</v>
      </c>
      <c r="DE413" s="2337">
        <v>54.15</v>
      </c>
      <c r="DF413" s="2337">
        <v>77.23</v>
      </c>
      <c r="DG413" s="2337">
        <v>120.54</v>
      </c>
      <c r="DH413" s="2337">
        <v>168.31</v>
      </c>
      <c r="DI413" s="2337">
        <v>240.46</v>
      </c>
      <c r="DJ413" s="2337">
        <v>351.08</v>
      </c>
      <c r="DK413" s="2337"/>
      <c r="DL413" s="2250"/>
      <c r="DM413" s="2250"/>
      <c r="DN413" s="2250"/>
      <c r="DO413" s="53"/>
      <c r="DP413" s="53"/>
      <c r="DS413" s="277"/>
      <c r="DW413" s="1"/>
      <c r="DX413" s="2333">
        <v>29.3</v>
      </c>
      <c r="DY413" s="2336">
        <v>0</v>
      </c>
      <c r="DZ413" s="2336">
        <v>0</v>
      </c>
      <c r="EA413" s="2336">
        <v>0</v>
      </c>
      <c r="EB413" s="2336">
        <v>0</v>
      </c>
      <c r="EC413" s="2336">
        <v>0</v>
      </c>
      <c r="ED413" s="2336">
        <v>0</v>
      </c>
      <c r="EE413" s="2336">
        <v>0</v>
      </c>
      <c r="EF413" s="2336">
        <v>0</v>
      </c>
      <c r="EG413" s="2336">
        <v>0</v>
      </c>
      <c r="EH413" s="2336">
        <v>0</v>
      </c>
      <c r="EI413" s="2336">
        <v>0</v>
      </c>
      <c r="EJ413" s="2250"/>
      <c r="EK413" s="2250"/>
      <c r="EL413" s="2333">
        <v>29.3</v>
      </c>
      <c r="EM413" s="2336">
        <v>14.17</v>
      </c>
      <c r="EN413" s="2336">
        <v>26.87</v>
      </c>
      <c r="EO413" s="2336">
        <v>47.36</v>
      </c>
      <c r="EP413" s="2336">
        <v>75.89</v>
      </c>
      <c r="EQ413" s="2336">
        <v>81.47</v>
      </c>
      <c r="ER413" s="2336">
        <v>121.6</v>
      </c>
      <c r="ES413" s="2336">
        <v>220</v>
      </c>
      <c r="ET413" s="2336">
        <v>237.48</v>
      </c>
      <c r="EU413" s="2336">
        <v>410.37</v>
      </c>
      <c r="EV413" s="2336">
        <v>643.99</v>
      </c>
      <c r="EW413" s="2336"/>
      <c r="EX413" s="2250"/>
      <c r="EY413" s="2250"/>
      <c r="EZ413" s="2333">
        <v>29.3</v>
      </c>
      <c r="FA413" s="2336">
        <v>11.8</v>
      </c>
      <c r="FB413" s="2336">
        <v>21.67</v>
      </c>
      <c r="FC413" s="2336">
        <v>34.130000000000003</v>
      </c>
      <c r="FD413" s="2336">
        <v>58.47</v>
      </c>
      <c r="FE413" s="2336">
        <v>66.67</v>
      </c>
      <c r="FF413" s="2336">
        <v>99.47</v>
      </c>
      <c r="FG413" s="2336">
        <v>158.72999999999999</v>
      </c>
      <c r="FH413" s="2336">
        <v>194.33</v>
      </c>
      <c r="FI413" s="2336">
        <v>320.60000000000002</v>
      </c>
      <c r="FJ413" s="2336">
        <v>468.2</v>
      </c>
      <c r="FK413" s="2336"/>
      <c r="FL413" s="2250"/>
      <c r="FM413" s="2250"/>
      <c r="FN413" s="2333">
        <v>29.3</v>
      </c>
      <c r="FO413" s="2337">
        <v>9.23</v>
      </c>
      <c r="FP413" s="2337">
        <v>16.46</v>
      </c>
      <c r="FQ413" s="2337">
        <v>25.85</v>
      </c>
      <c r="FR413" s="2337">
        <v>44.38</v>
      </c>
      <c r="FS413" s="2337">
        <v>54.15</v>
      </c>
      <c r="FT413" s="2337">
        <v>77.23</v>
      </c>
      <c r="FU413" s="2337">
        <v>120.54</v>
      </c>
      <c r="FV413" s="2337">
        <v>168.31</v>
      </c>
      <c r="FW413" s="2337">
        <v>240.46</v>
      </c>
      <c r="FX413" s="2337">
        <v>351.08</v>
      </c>
      <c r="FY413" s="2337"/>
      <c r="FZ413" s="2250"/>
      <c r="GA413" s="2250"/>
      <c r="GB413" s="1302">
        <v>190.4</v>
      </c>
      <c r="GC413" s="1302">
        <v>206.43</v>
      </c>
      <c r="GD413" s="2250"/>
      <c r="GE413" s="2275"/>
      <c r="GF413" s="2333">
        <v>29.3</v>
      </c>
      <c r="GG413" s="2336">
        <v>0</v>
      </c>
      <c r="GH413" s="2336">
        <v>0</v>
      </c>
      <c r="GI413" s="2336">
        <v>0</v>
      </c>
      <c r="GJ413" s="2336">
        <v>0</v>
      </c>
      <c r="GK413" s="2336">
        <v>0</v>
      </c>
      <c r="GL413" s="2336">
        <v>0</v>
      </c>
      <c r="GM413" s="2336">
        <v>0</v>
      </c>
      <c r="GN413" s="2336">
        <v>0</v>
      </c>
      <c r="GO413" s="2336">
        <v>0</v>
      </c>
      <c r="GP413" s="2336">
        <v>0</v>
      </c>
      <c r="GQ413" s="2336">
        <v>0</v>
      </c>
      <c r="GR413" s="2250"/>
      <c r="GS413" s="2250"/>
      <c r="GT413" s="2333">
        <v>29.3</v>
      </c>
      <c r="GU413" s="2336">
        <v>14.17</v>
      </c>
      <c r="GV413" s="2336">
        <v>26.87</v>
      </c>
      <c r="GW413" s="2336">
        <v>47.36</v>
      </c>
      <c r="GX413" s="2336">
        <v>75.89</v>
      </c>
      <c r="GY413" s="2336">
        <v>81.47</v>
      </c>
      <c r="GZ413" s="2336">
        <v>121.6</v>
      </c>
      <c r="HA413" s="2336">
        <v>220</v>
      </c>
      <c r="HB413" s="2336">
        <v>237.48</v>
      </c>
      <c r="HC413" s="2336">
        <v>410.37</v>
      </c>
      <c r="HD413" s="2336">
        <v>643.99</v>
      </c>
      <c r="HE413" s="2336"/>
      <c r="HF413" s="2250"/>
      <c r="HG413" s="2250"/>
      <c r="HH413" s="2333">
        <v>29.3</v>
      </c>
      <c r="HI413" s="2336">
        <v>11.8</v>
      </c>
      <c r="HJ413" s="2336">
        <v>21.67</v>
      </c>
      <c r="HK413" s="2336">
        <v>34.130000000000003</v>
      </c>
      <c r="HL413" s="2336">
        <v>58.47</v>
      </c>
      <c r="HM413" s="2336">
        <v>66.67</v>
      </c>
      <c r="HN413" s="2336">
        <v>99.47</v>
      </c>
      <c r="HO413" s="2336">
        <v>158.72999999999999</v>
      </c>
      <c r="HP413" s="2336">
        <v>194.33</v>
      </c>
      <c r="HQ413" s="2336">
        <v>320.60000000000002</v>
      </c>
      <c r="HR413" s="2336">
        <v>468.2</v>
      </c>
      <c r="HS413" s="2336"/>
      <c r="HT413" s="2250"/>
      <c r="HU413" s="2250"/>
      <c r="HV413" s="2333">
        <v>29.3</v>
      </c>
      <c r="HW413" s="2337">
        <v>9.23</v>
      </c>
      <c r="HX413" s="2337">
        <v>16.46</v>
      </c>
      <c r="HY413" s="2337">
        <v>25.85</v>
      </c>
      <c r="HZ413" s="2337">
        <v>44.38</v>
      </c>
      <c r="IA413" s="2337">
        <v>54.15</v>
      </c>
      <c r="IB413" s="2337">
        <v>77.23</v>
      </c>
      <c r="IC413" s="2337">
        <v>120.54</v>
      </c>
      <c r="ID413" s="2337">
        <v>168.31</v>
      </c>
      <c r="IE413" s="2337">
        <v>240.46</v>
      </c>
      <c r="IF413" s="2337">
        <v>351.08</v>
      </c>
      <c r="IG413" s="2337"/>
      <c r="IH413" s="2250"/>
      <c r="II413" s="2250"/>
      <c r="IJ413" s="2250"/>
      <c r="IK413" s="53"/>
      <c r="IL413" s="53"/>
      <c r="IN413" s="277"/>
      <c r="IO413" s="277"/>
    </row>
    <row r="414" spans="2:249" ht="21.95" customHeight="1">
      <c r="B414" s="2333">
        <v>24.5</v>
      </c>
      <c r="C414" s="2336">
        <v>0</v>
      </c>
      <c r="D414" s="2336">
        <v>0</v>
      </c>
      <c r="E414" s="2336">
        <v>0</v>
      </c>
      <c r="F414" s="2336">
        <v>0</v>
      </c>
      <c r="G414" s="2336">
        <v>0</v>
      </c>
      <c r="H414" s="2336">
        <v>0</v>
      </c>
      <c r="I414" s="2336">
        <v>0</v>
      </c>
      <c r="J414" s="2336">
        <v>0</v>
      </c>
      <c r="K414" s="2336">
        <v>0</v>
      </c>
      <c r="L414" s="2336">
        <v>0</v>
      </c>
      <c r="M414" s="2336">
        <v>0</v>
      </c>
      <c r="N414" s="2250"/>
      <c r="O414" s="2250"/>
      <c r="P414" s="2333">
        <v>24.5</v>
      </c>
      <c r="Q414" s="2336">
        <v>16.559999999999999</v>
      </c>
      <c r="R414" s="2336">
        <v>29.69</v>
      </c>
      <c r="S414" s="2336">
        <v>20.61</v>
      </c>
      <c r="T414" s="2336">
        <v>81.47</v>
      </c>
      <c r="U414" s="2336">
        <v>81.47</v>
      </c>
      <c r="V414" s="2336">
        <v>121.6</v>
      </c>
      <c r="W414" s="2336">
        <v>237.48</v>
      </c>
      <c r="X414" s="2336">
        <v>237.48</v>
      </c>
      <c r="Y414" s="2336">
        <v>410.37</v>
      </c>
      <c r="Z414" s="2336">
        <v>651.6</v>
      </c>
      <c r="AA414" s="2336"/>
      <c r="AB414" s="2250"/>
      <c r="AC414" s="2250"/>
      <c r="AD414" s="2333">
        <v>24.5</v>
      </c>
      <c r="AE414" s="2336">
        <v>13.8</v>
      </c>
      <c r="AF414" s="2336">
        <v>24.27</v>
      </c>
      <c r="AG414" s="2336">
        <v>40.47</v>
      </c>
      <c r="AH414" s="2336">
        <v>66.13</v>
      </c>
      <c r="AI414" s="2336">
        <v>66.67</v>
      </c>
      <c r="AJ414" s="2336">
        <v>99.47</v>
      </c>
      <c r="AK414" s="2336">
        <v>179.47</v>
      </c>
      <c r="AL414" s="2336">
        <v>194.33</v>
      </c>
      <c r="AM414" s="2336">
        <v>335.8</v>
      </c>
      <c r="AN414" s="2336">
        <v>533.27</v>
      </c>
      <c r="AO414" s="2336"/>
      <c r="AP414" s="2250"/>
      <c r="AQ414" s="2250"/>
      <c r="AR414" s="2333">
        <v>24.5</v>
      </c>
      <c r="AS414" s="2337">
        <v>11</v>
      </c>
      <c r="AT414" s="2337">
        <v>19.54</v>
      </c>
      <c r="AU414" s="2337">
        <v>30.46</v>
      </c>
      <c r="AV414" s="2337">
        <v>50.08</v>
      </c>
      <c r="AW414" s="2337">
        <v>61.08</v>
      </c>
      <c r="AX414" s="2337">
        <v>91.15</v>
      </c>
      <c r="AY414" s="2337">
        <v>136</v>
      </c>
      <c r="AZ414" s="2337">
        <v>177.46</v>
      </c>
      <c r="BA414" s="2337">
        <v>295.69</v>
      </c>
      <c r="BB414" s="2337">
        <v>418.92</v>
      </c>
      <c r="BC414" s="2337"/>
      <c r="BD414" s="2250"/>
      <c r="BE414" s="2250"/>
      <c r="BF414" s="1302">
        <v>206.43</v>
      </c>
      <c r="BG414" s="1302">
        <v>223.8</v>
      </c>
      <c r="BH414" s="2250"/>
      <c r="BI414" s="2275"/>
      <c r="BJ414" s="2333">
        <v>24.5</v>
      </c>
      <c r="BK414" s="2336">
        <v>0</v>
      </c>
      <c r="BL414" s="2336">
        <v>0</v>
      </c>
      <c r="BM414" s="2336">
        <v>0</v>
      </c>
      <c r="BN414" s="2336">
        <v>0</v>
      </c>
      <c r="BO414" s="2336">
        <v>0</v>
      </c>
      <c r="BP414" s="2336">
        <v>0</v>
      </c>
      <c r="BQ414" s="2336">
        <v>0</v>
      </c>
      <c r="BR414" s="2336">
        <v>0</v>
      </c>
      <c r="BS414" s="2336">
        <v>0</v>
      </c>
      <c r="BT414" s="2336">
        <v>0</v>
      </c>
      <c r="BU414" s="2336">
        <v>0</v>
      </c>
      <c r="BV414" s="2250"/>
      <c r="BW414" s="2250"/>
      <c r="BX414" s="2333">
        <v>24.5</v>
      </c>
      <c r="BY414" s="2336">
        <v>16.559999999999999</v>
      </c>
      <c r="BZ414" s="2336">
        <v>29.69</v>
      </c>
      <c r="CA414" s="2336">
        <v>20.61</v>
      </c>
      <c r="CB414" s="2336">
        <v>81.47</v>
      </c>
      <c r="CC414" s="2336">
        <v>81.47</v>
      </c>
      <c r="CD414" s="2336">
        <v>121.6</v>
      </c>
      <c r="CE414" s="2336">
        <v>237.48</v>
      </c>
      <c r="CF414" s="2336">
        <v>237.48</v>
      </c>
      <c r="CG414" s="2336">
        <v>410.37</v>
      </c>
      <c r="CH414" s="2336">
        <v>651.6</v>
      </c>
      <c r="CI414" s="2336"/>
      <c r="CJ414" s="2250"/>
      <c r="CK414" s="2250"/>
      <c r="CL414" s="2333">
        <v>24.5</v>
      </c>
      <c r="CM414" s="2336">
        <v>13.8</v>
      </c>
      <c r="CN414" s="2336">
        <v>24.27</v>
      </c>
      <c r="CO414" s="2336">
        <v>40.47</v>
      </c>
      <c r="CP414" s="2336">
        <v>66.13</v>
      </c>
      <c r="CQ414" s="2336">
        <v>66.67</v>
      </c>
      <c r="CR414" s="2336">
        <v>99.47</v>
      </c>
      <c r="CS414" s="2336">
        <v>179.47</v>
      </c>
      <c r="CT414" s="2336">
        <v>194.33</v>
      </c>
      <c r="CU414" s="2336">
        <v>335.8</v>
      </c>
      <c r="CV414" s="2336">
        <v>533.27</v>
      </c>
      <c r="CW414" s="2336"/>
      <c r="CX414" s="2250"/>
      <c r="CY414" s="2250"/>
      <c r="CZ414" s="2333">
        <v>24.5</v>
      </c>
      <c r="DA414" s="2337">
        <v>11</v>
      </c>
      <c r="DB414" s="2337">
        <v>19.54</v>
      </c>
      <c r="DC414" s="2337">
        <v>30.46</v>
      </c>
      <c r="DD414" s="2337">
        <v>50.08</v>
      </c>
      <c r="DE414" s="2337">
        <v>61.08</v>
      </c>
      <c r="DF414" s="2337">
        <v>91.15</v>
      </c>
      <c r="DG414" s="2337">
        <v>136</v>
      </c>
      <c r="DH414" s="2337">
        <v>177.46</v>
      </c>
      <c r="DI414" s="2337">
        <v>295.69</v>
      </c>
      <c r="DJ414" s="2337">
        <v>418.92</v>
      </c>
      <c r="DK414" s="2337"/>
      <c r="DL414" s="2250"/>
      <c r="DM414" s="2250"/>
      <c r="DN414" s="2250"/>
      <c r="DO414" s="53"/>
      <c r="DP414" s="53"/>
      <c r="DS414" s="277"/>
      <c r="DW414" s="1"/>
      <c r="DX414" s="2333">
        <v>24.5</v>
      </c>
      <c r="DY414" s="2336">
        <v>0</v>
      </c>
      <c r="DZ414" s="2336">
        <v>0</v>
      </c>
      <c r="EA414" s="2336">
        <v>0</v>
      </c>
      <c r="EB414" s="2336">
        <v>0</v>
      </c>
      <c r="EC414" s="2336">
        <v>0</v>
      </c>
      <c r="ED414" s="2336">
        <v>0</v>
      </c>
      <c r="EE414" s="2336">
        <v>0</v>
      </c>
      <c r="EF414" s="2336">
        <v>0</v>
      </c>
      <c r="EG414" s="2336">
        <v>0</v>
      </c>
      <c r="EH414" s="2336">
        <v>0</v>
      </c>
      <c r="EI414" s="2336">
        <v>0</v>
      </c>
      <c r="EJ414" s="2250"/>
      <c r="EK414" s="2250"/>
      <c r="EL414" s="2333">
        <v>24.5</v>
      </c>
      <c r="EM414" s="2336">
        <v>16.559999999999999</v>
      </c>
      <c r="EN414" s="2336">
        <v>29.69</v>
      </c>
      <c r="EO414" s="2336">
        <v>20.61</v>
      </c>
      <c r="EP414" s="2336">
        <v>81.47</v>
      </c>
      <c r="EQ414" s="2336">
        <v>81.47</v>
      </c>
      <c r="ER414" s="2336">
        <v>121.6</v>
      </c>
      <c r="ES414" s="2336">
        <v>237.48</v>
      </c>
      <c r="ET414" s="2336">
        <v>237.48</v>
      </c>
      <c r="EU414" s="2336">
        <v>410.37</v>
      </c>
      <c r="EV414" s="2336">
        <v>651.6</v>
      </c>
      <c r="EW414" s="2336"/>
      <c r="EX414" s="2250"/>
      <c r="EY414" s="2250"/>
      <c r="EZ414" s="2333">
        <v>24.5</v>
      </c>
      <c r="FA414" s="2336">
        <v>13.8</v>
      </c>
      <c r="FB414" s="2336">
        <v>24.27</v>
      </c>
      <c r="FC414" s="2336">
        <v>40.47</v>
      </c>
      <c r="FD414" s="2336">
        <v>66.13</v>
      </c>
      <c r="FE414" s="2336">
        <v>66.67</v>
      </c>
      <c r="FF414" s="2336">
        <v>99.47</v>
      </c>
      <c r="FG414" s="2336">
        <v>179.47</v>
      </c>
      <c r="FH414" s="2336">
        <v>194.33</v>
      </c>
      <c r="FI414" s="2336">
        <v>335.8</v>
      </c>
      <c r="FJ414" s="2336">
        <v>533.27</v>
      </c>
      <c r="FK414" s="2336"/>
      <c r="FL414" s="2250"/>
      <c r="FM414" s="2250"/>
      <c r="FN414" s="2333">
        <v>24.5</v>
      </c>
      <c r="FO414" s="2337">
        <v>11</v>
      </c>
      <c r="FP414" s="2337">
        <v>19.54</v>
      </c>
      <c r="FQ414" s="2337">
        <v>30.46</v>
      </c>
      <c r="FR414" s="2337">
        <v>50.08</v>
      </c>
      <c r="FS414" s="2337">
        <v>61.08</v>
      </c>
      <c r="FT414" s="2337">
        <v>91.15</v>
      </c>
      <c r="FU414" s="2337">
        <v>136</v>
      </c>
      <c r="FV414" s="2337">
        <v>177.46</v>
      </c>
      <c r="FW414" s="2337">
        <v>295.69</v>
      </c>
      <c r="FX414" s="2337">
        <v>418.92</v>
      </c>
      <c r="FY414" s="2337"/>
      <c r="FZ414" s="2250"/>
      <c r="GA414" s="2250"/>
      <c r="GB414" s="1302">
        <v>206.43</v>
      </c>
      <c r="GC414" s="1302">
        <v>223.8</v>
      </c>
      <c r="GD414" s="2250"/>
      <c r="GE414" s="2275"/>
      <c r="GF414" s="2333">
        <v>24.5</v>
      </c>
      <c r="GG414" s="2336">
        <v>0</v>
      </c>
      <c r="GH414" s="2336">
        <v>0</v>
      </c>
      <c r="GI414" s="2336">
        <v>0</v>
      </c>
      <c r="GJ414" s="2336">
        <v>0</v>
      </c>
      <c r="GK414" s="2336">
        <v>0</v>
      </c>
      <c r="GL414" s="2336">
        <v>0</v>
      </c>
      <c r="GM414" s="2336">
        <v>0</v>
      </c>
      <c r="GN414" s="2336">
        <v>0</v>
      </c>
      <c r="GO414" s="2336">
        <v>0</v>
      </c>
      <c r="GP414" s="2336">
        <v>0</v>
      </c>
      <c r="GQ414" s="2336">
        <v>0</v>
      </c>
      <c r="GR414" s="2250"/>
      <c r="GS414" s="2250"/>
      <c r="GT414" s="2333">
        <v>24.5</v>
      </c>
      <c r="GU414" s="2336">
        <v>16.559999999999999</v>
      </c>
      <c r="GV414" s="2336">
        <v>29.69</v>
      </c>
      <c r="GW414" s="2336">
        <v>20.61</v>
      </c>
      <c r="GX414" s="2336">
        <v>81.47</v>
      </c>
      <c r="GY414" s="2336">
        <v>81.47</v>
      </c>
      <c r="GZ414" s="2336">
        <v>121.6</v>
      </c>
      <c r="HA414" s="2336">
        <v>237.48</v>
      </c>
      <c r="HB414" s="2336">
        <v>237.48</v>
      </c>
      <c r="HC414" s="2336">
        <v>410.37</v>
      </c>
      <c r="HD414" s="2336">
        <v>651.6</v>
      </c>
      <c r="HE414" s="2336"/>
      <c r="HF414" s="2250"/>
      <c r="HG414" s="2250"/>
      <c r="HH414" s="2333">
        <v>24.5</v>
      </c>
      <c r="HI414" s="2336">
        <v>13.8</v>
      </c>
      <c r="HJ414" s="2336">
        <v>24.27</v>
      </c>
      <c r="HK414" s="2336">
        <v>40.47</v>
      </c>
      <c r="HL414" s="2336">
        <v>66.13</v>
      </c>
      <c r="HM414" s="2336">
        <v>66.67</v>
      </c>
      <c r="HN414" s="2336">
        <v>99.47</v>
      </c>
      <c r="HO414" s="2336">
        <v>179.47</v>
      </c>
      <c r="HP414" s="2336">
        <v>194.33</v>
      </c>
      <c r="HQ414" s="2336">
        <v>335.8</v>
      </c>
      <c r="HR414" s="2336">
        <v>533.27</v>
      </c>
      <c r="HS414" s="2336"/>
      <c r="HT414" s="2250"/>
      <c r="HU414" s="2250"/>
      <c r="HV414" s="2333">
        <v>24.5</v>
      </c>
      <c r="HW414" s="2337">
        <v>11</v>
      </c>
      <c r="HX414" s="2337">
        <v>19.54</v>
      </c>
      <c r="HY414" s="2337">
        <v>30.46</v>
      </c>
      <c r="HZ414" s="2337">
        <v>50.08</v>
      </c>
      <c r="IA414" s="2337">
        <v>61.08</v>
      </c>
      <c r="IB414" s="2337">
        <v>91.15</v>
      </c>
      <c r="IC414" s="2337">
        <v>136</v>
      </c>
      <c r="ID414" s="2337">
        <v>177.46</v>
      </c>
      <c r="IE414" s="2337">
        <v>295.69</v>
      </c>
      <c r="IF414" s="2337">
        <v>418.92</v>
      </c>
      <c r="IG414" s="2337"/>
      <c r="IH414" s="2250"/>
      <c r="II414" s="2250"/>
      <c r="IJ414" s="2250"/>
      <c r="IK414" s="53"/>
      <c r="IL414" s="53"/>
      <c r="IN414" s="277"/>
      <c r="IO414" s="277"/>
    </row>
    <row r="415" spans="2:249" ht="21.95" customHeight="1" thickBot="1">
      <c r="B415" s="2250"/>
      <c r="C415" s="2250"/>
      <c r="D415" s="2250"/>
      <c r="E415" s="2250"/>
      <c r="F415" s="2250"/>
      <c r="G415" s="2250"/>
      <c r="H415" s="2250"/>
      <c r="I415" s="2250"/>
      <c r="J415" s="2250"/>
      <c r="K415" s="2250"/>
      <c r="L415" s="2250"/>
      <c r="M415" s="2250"/>
      <c r="N415" s="2250"/>
      <c r="O415" s="2250"/>
      <c r="P415" s="2250"/>
      <c r="Q415" s="2250"/>
      <c r="R415" s="2250"/>
      <c r="S415" s="2250"/>
      <c r="T415" s="2250"/>
      <c r="U415" s="2250"/>
      <c r="V415" s="2250"/>
      <c r="W415" s="2250"/>
      <c r="X415" s="2250"/>
      <c r="Y415" s="2250"/>
      <c r="Z415" s="2250"/>
      <c r="AA415" s="2250"/>
      <c r="AB415" s="2250"/>
      <c r="AC415" s="2250"/>
      <c r="AD415" s="2250"/>
      <c r="AE415" s="2250"/>
      <c r="AF415" s="2250"/>
      <c r="AG415" s="2250"/>
      <c r="AH415" s="2250"/>
      <c r="AI415" s="2250"/>
      <c r="AJ415" s="2250"/>
      <c r="AK415" s="2250"/>
      <c r="AL415" s="2250"/>
      <c r="AM415" s="2250"/>
      <c r="AN415" s="2250"/>
      <c r="AO415" s="2250"/>
      <c r="AP415" s="2250"/>
      <c r="AQ415" s="2250"/>
      <c r="AR415" s="2250"/>
      <c r="AS415" s="2250"/>
      <c r="AT415" s="2250"/>
      <c r="AU415" s="2250"/>
      <c r="AV415" s="2250"/>
      <c r="AW415" s="2250"/>
      <c r="AX415" s="2250"/>
      <c r="AY415" s="2250"/>
      <c r="AZ415" s="2250"/>
      <c r="BA415" s="2250"/>
      <c r="BB415" s="2250"/>
      <c r="BC415" s="2250"/>
      <c r="BD415" s="2250"/>
      <c r="BE415" s="2250"/>
      <c r="BF415" s="1311">
        <f>+BG414</f>
        <v>223.8</v>
      </c>
      <c r="BG415" s="1311">
        <f>+BG414</f>
        <v>223.8</v>
      </c>
      <c r="BH415" s="2250"/>
      <c r="BI415" s="2275"/>
      <c r="BJ415" s="2250"/>
      <c r="BK415" s="2250"/>
      <c r="BL415" s="2250"/>
      <c r="BM415" s="2250"/>
      <c r="BN415" s="2250"/>
      <c r="BO415" s="2250"/>
      <c r="BP415" s="2250"/>
      <c r="BQ415" s="2250"/>
      <c r="BR415" s="2250"/>
      <c r="BS415" s="2250"/>
      <c r="BT415" s="2250"/>
      <c r="BU415" s="2250"/>
      <c r="BV415" s="2250"/>
      <c r="BW415" s="2250"/>
      <c r="BX415" s="2250"/>
      <c r="BY415" s="2250"/>
      <c r="BZ415" s="2250"/>
      <c r="CA415" s="2250"/>
      <c r="CB415" s="2250"/>
      <c r="CC415" s="2250"/>
      <c r="CD415" s="2250"/>
      <c r="CE415" s="2250"/>
      <c r="CF415" s="2250"/>
      <c r="CG415" s="2250"/>
      <c r="CH415" s="2250"/>
      <c r="CI415" s="2250"/>
      <c r="CJ415" s="2250"/>
      <c r="CK415" s="2250"/>
      <c r="CL415" s="2250"/>
      <c r="CM415" s="2250"/>
      <c r="CN415" s="2250"/>
      <c r="CO415" s="2250"/>
      <c r="CP415" s="2250"/>
      <c r="CQ415" s="2250"/>
      <c r="CR415" s="2250"/>
      <c r="CS415" s="2250"/>
      <c r="CT415" s="2250"/>
      <c r="CU415" s="2250"/>
      <c r="CV415" s="2250"/>
      <c r="CW415" s="2250"/>
      <c r="CX415" s="2250"/>
      <c r="CY415" s="2250"/>
      <c r="CZ415" s="2250"/>
      <c r="DA415" s="2250"/>
      <c r="DB415" s="2250"/>
      <c r="DC415" s="2250"/>
      <c r="DD415" s="2250"/>
      <c r="DE415" s="2250"/>
      <c r="DF415" s="2250"/>
      <c r="DG415" s="2250"/>
      <c r="DH415" s="2250"/>
      <c r="DI415" s="2250"/>
      <c r="DJ415" s="2250"/>
      <c r="DK415" s="2250"/>
      <c r="DL415" s="2250"/>
      <c r="DM415" s="2250"/>
      <c r="DN415" s="2250"/>
      <c r="DO415" s="53"/>
      <c r="DP415" s="53"/>
      <c r="DS415" s="277"/>
      <c r="DW415" s="1"/>
      <c r="DX415" s="2250"/>
      <c r="DY415" s="2250"/>
      <c r="DZ415" s="2250"/>
      <c r="EA415" s="2250"/>
      <c r="EB415" s="2250"/>
      <c r="EC415" s="2250"/>
      <c r="ED415" s="2250"/>
      <c r="EE415" s="2250"/>
      <c r="EF415" s="2250"/>
      <c r="EG415" s="2250"/>
      <c r="EH415" s="2250"/>
      <c r="EI415" s="2250"/>
      <c r="EJ415" s="2250"/>
      <c r="EK415" s="2250"/>
      <c r="EL415" s="2250"/>
      <c r="EM415" s="2250"/>
      <c r="EN415" s="2250"/>
      <c r="EO415" s="2250"/>
      <c r="EP415" s="2250"/>
      <c r="EQ415" s="2250"/>
      <c r="ER415" s="2250"/>
      <c r="ES415" s="2250"/>
      <c r="ET415" s="2250"/>
      <c r="EU415" s="2250"/>
      <c r="EV415" s="2250"/>
      <c r="EW415" s="2250"/>
      <c r="EX415" s="2250"/>
      <c r="EY415" s="2250"/>
      <c r="EZ415" s="2250"/>
      <c r="FA415" s="2250"/>
      <c r="FB415" s="2250"/>
      <c r="FC415" s="2250"/>
      <c r="FD415" s="2250"/>
      <c r="FE415" s="2250"/>
      <c r="FF415" s="2250"/>
      <c r="FG415" s="2250"/>
      <c r="FH415" s="2250"/>
      <c r="FI415" s="2250"/>
      <c r="FJ415" s="2250"/>
      <c r="FK415" s="2250"/>
      <c r="FL415" s="2250"/>
      <c r="FM415" s="2250"/>
      <c r="FN415" s="2250"/>
      <c r="FO415" s="2250"/>
      <c r="FP415" s="2250"/>
      <c r="FQ415" s="2250"/>
      <c r="FR415" s="2250"/>
      <c r="FS415" s="2250"/>
      <c r="FT415" s="2250"/>
      <c r="FU415" s="2250"/>
      <c r="FV415" s="2250"/>
      <c r="FW415" s="2250"/>
      <c r="FX415" s="2250"/>
      <c r="FY415" s="2250"/>
      <c r="FZ415" s="2250"/>
      <c r="GA415" s="2250"/>
      <c r="GB415" s="1311">
        <f>+GC414</f>
        <v>223.8</v>
      </c>
      <c r="GC415" s="1311">
        <f>+GC414</f>
        <v>223.8</v>
      </c>
      <c r="GD415" s="2250"/>
      <c r="GE415" s="2275"/>
      <c r="GF415" s="2250"/>
      <c r="GG415" s="2250"/>
      <c r="GH415" s="2250"/>
      <c r="GI415" s="2250"/>
      <c r="GJ415" s="2250"/>
      <c r="GK415" s="2250"/>
      <c r="GL415" s="2250"/>
      <c r="GM415" s="2250"/>
      <c r="GN415" s="2250"/>
      <c r="GO415" s="2250"/>
      <c r="GP415" s="2250"/>
      <c r="GQ415" s="2250"/>
      <c r="GR415" s="2250"/>
      <c r="GS415" s="2250"/>
      <c r="GT415" s="2250"/>
      <c r="GU415" s="2250"/>
      <c r="GV415" s="2250"/>
      <c r="GW415" s="2250"/>
      <c r="GX415" s="2250"/>
      <c r="GY415" s="2250"/>
      <c r="GZ415" s="2250"/>
      <c r="HA415" s="2250"/>
      <c r="HB415" s="2250"/>
      <c r="HC415" s="2250"/>
      <c r="HD415" s="2250"/>
      <c r="HE415" s="2250"/>
      <c r="HF415" s="2250"/>
      <c r="HG415" s="2250"/>
      <c r="HH415" s="2250"/>
      <c r="HI415" s="2250"/>
      <c r="HJ415" s="2250"/>
      <c r="HK415" s="2250"/>
      <c r="HL415" s="2250"/>
      <c r="HM415" s="2250"/>
      <c r="HN415" s="2250"/>
      <c r="HO415" s="2250"/>
      <c r="HP415" s="2250"/>
      <c r="HQ415" s="2250"/>
      <c r="HR415" s="2250"/>
      <c r="HS415" s="2250"/>
      <c r="HT415" s="2250"/>
      <c r="HU415" s="2250"/>
      <c r="HV415" s="2250"/>
      <c r="HW415" s="2250"/>
      <c r="HX415" s="2250"/>
      <c r="HY415" s="2250"/>
      <c r="HZ415" s="2250"/>
      <c r="IA415" s="2250"/>
      <c r="IB415" s="2250"/>
      <c r="IC415" s="2250"/>
      <c r="ID415" s="2250"/>
      <c r="IE415" s="2250"/>
      <c r="IF415" s="2250"/>
      <c r="IG415" s="2250"/>
      <c r="IH415" s="2250"/>
      <c r="II415" s="2250"/>
      <c r="IJ415" s="2250"/>
      <c r="IK415" s="53"/>
      <c r="IL415" s="53"/>
      <c r="IN415" s="277"/>
      <c r="IO415" s="277"/>
    </row>
    <row r="416" spans="2:249" ht="21.95" customHeight="1" thickBot="1">
      <c r="B416" s="284" t="s">
        <v>682</v>
      </c>
      <c r="C416" s="284">
        <f>X373</f>
        <v>68.3</v>
      </c>
      <c r="D416" s="2250"/>
      <c r="E416" s="2250"/>
      <c r="F416" s="2250"/>
      <c r="G416" s="2250"/>
      <c r="H416" s="2250"/>
      <c r="I416" s="2250"/>
      <c r="J416" s="2250"/>
      <c r="K416" s="2250"/>
      <c r="L416" s="2250"/>
      <c r="M416" s="2250"/>
      <c r="N416" s="2250"/>
      <c r="O416" s="2250"/>
      <c r="P416" s="284" t="s">
        <v>682</v>
      </c>
      <c r="Q416" s="284">
        <f>C416</f>
        <v>68.3</v>
      </c>
      <c r="R416" s="2250"/>
      <c r="S416" s="2250"/>
      <c r="T416" s="2250"/>
      <c r="U416" s="2250"/>
      <c r="V416" s="2250"/>
      <c r="W416" s="2250"/>
      <c r="X416" s="2250"/>
      <c r="Y416" s="2250"/>
      <c r="Z416" s="2250"/>
      <c r="AA416" s="2250"/>
      <c r="AB416" s="2250"/>
      <c r="AC416" s="2250"/>
      <c r="AD416" s="284" t="s">
        <v>682</v>
      </c>
      <c r="AE416" s="284">
        <f>C416</f>
        <v>68.3</v>
      </c>
      <c r="AF416" s="2250"/>
      <c r="AG416" s="2250"/>
      <c r="AH416" s="2250"/>
      <c r="AI416" s="2250"/>
      <c r="AJ416" s="2250"/>
      <c r="AK416" s="2250"/>
      <c r="AL416" s="2250"/>
      <c r="AM416" s="2250"/>
      <c r="AN416" s="2250"/>
      <c r="AO416" s="2250"/>
      <c r="AP416" s="2250"/>
      <c r="AQ416" s="2250"/>
      <c r="AR416" s="284" t="s">
        <v>682</v>
      </c>
      <c r="AS416" s="284">
        <f>C416</f>
        <v>68.3</v>
      </c>
      <c r="AT416" s="2250"/>
      <c r="AU416" s="2250"/>
      <c r="AV416" s="2250"/>
      <c r="AW416" s="2250"/>
      <c r="AX416" s="2250"/>
      <c r="AY416" s="2250"/>
      <c r="AZ416" s="2250"/>
      <c r="BA416" s="2250"/>
      <c r="BB416" s="2250"/>
      <c r="BC416" s="2250"/>
      <c r="BD416" s="2250"/>
      <c r="BE416" s="2250"/>
      <c r="BF416" s="2339">
        <f>VLOOKUP(E376,BF385:BF415,1)</f>
        <v>68.3</v>
      </c>
      <c r="BG416" s="2340">
        <f>VLOOKUP(BF416,BF385:BG415,2,0)</f>
        <v>73.7</v>
      </c>
      <c r="BH416" s="2250"/>
      <c r="BI416" s="2275"/>
      <c r="BJ416" s="284" t="s">
        <v>682</v>
      </c>
      <c r="BK416" s="284">
        <f>CF373</f>
        <v>73.7</v>
      </c>
      <c r="BL416" s="2250"/>
      <c r="BM416" s="2250"/>
      <c r="BN416" s="2250"/>
      <c r="BO416" s="2250"/>
      <c r="BP416" s="2250"/>
      <c r="BQ416" s="2250"/>
      <c r="BR416" s="2250"/>
      <c r="BS416" s="2250"/>
      <c r="BT416" s="2250"/>
      <c r="BU416" s="2250"/>
      <c r="BV416" s="2250"/>
      <c r="BW416" s="2250"/>
      <c r="BX416" s="284" t="s">
        <v>682</v>
      </c>
      <c r="BY416" s="284">
        <f>BK416</f>
        <v>73.7</v>
      </c>
      <c r="BZ416" s="2250"/>
      <c r="CA416" s="2250"/>
      <c r="CB416" s="2250"/>
      <c r="CC416" s="2250"/>
      <c r="CD416" s="2250"/>
      <c r="CE416" s="2250"/>
      <c r="CF416" s="2250"/>
      <c r="CG416" s="2250"/>
      <c r="CH416" s="2250"/>
      <c r="CI416" s="2250"/>
      <c r="CJ416" s="2250"/>
      <c r="CK416" s="2250"/>
      <c r="CL416" s="284" t="s">
        <v>682</v>
      </c>
      <c r="CM416" s="284">
        <f>BK416</f>
        <v>73.7</v>
      </c>
      <c r="CN416" s="2250"/>
      <c r="CO416" s="2250"/>
      <c r="CP416" s="2250"/>
      <c r="CQ416" s="2250"/>
      <c r="CR416" s="2250"/>
      <c r="CS416" s="2250"/>
      <c r="CT416" s="2250"/>
      <c r="CU416" s="2250"/>
      <c r="CV416" s="2250"/>
      <c r="CW416" s="2250"/>
      <c r="CX416" s="2250"/>
      <c r="CY416" s="2250"/>
      <c r="CZ416" s="284" t="s">
        <v>682</v>
      </c>
      <c r="DA416" s="284">
        <f>BK416</f>
        <v>73.7</v>
      </c>
      <c r="DB416" s="2250"/>
      <c r="DC416" s="2250"/>
      <c r="DD416" s="2250"/>
      <c r="DE416" s="2250"/>
      <c r="DF416" s="2250"/>
      <c r="DG416" s="2250"/>
      <c r="DH416" s="2250"/>
      <c r="DI416" s="2250"/>
      <c r="DJ416" s="2250"/>
      <c r="DK416" s="2250"/>
      <c r="DL416" s="2250"/>
      <c r="DM416" s="2250"/>
      <c r="DN416" s="2250"/>
      <c r="DO416" s="53"/>
      <c r="DP416" s="53"/>
      <c r="DS416" s="277"/>
      <c r="DW416" s="1"/>
      <c r="DX416" s="284" t="s">
        <v>682</v>
      </c>
      <c r="DY416" s="284">
        <f>ET373</f>
        <v>43.9</v>
      </c>
      <c r="DZ416" s="2250"/>
      <c r="EA416" s="2250"/>
      <c r="EB416" s="2250"/>
      <c r="EC416" s="2250"/>
      <c r="ED416" s="2250"/>
      <c r="EE416" s="2250"/>
      <c r="EF416" s="2250"/>
      <c r="EG416" s="2250"/>
      <c r="EH416" s="2250"/>
      <c r="EI416" s="2250"/>
      <c r="EJ416" s="2250"/>
      <c r="EK416" s="2250"/>
      <c r="EL416" s="284" t="s">
        <v>682</v>
      </c>
      <c r="EM416" s="284">
        <f>DY416</f>
        <v>43.9</v>
      </c>
      <c r="EN416" s="2250"/>
      <c r="EO416" s="2250"/>
      <c r="EP416" s="2250"/>
      <c r="EQ416" s="2250"/>
      <c r="ER416" s="2250"/>
      <c r="ES416" s="2250"/>
      <c r="ET416" s="2250"/>
      <c r="EU416" s="2250"/>
      <c r="EV416" s="2250"/>
      <c r="EW416" s="2250"/>
      <c r="EX416" s="2250"/>
      <c r="EY416" s="2250"/>
      <c r="EZ416" s="284" t="s">
        <v>682</v>
      </c>
      <c r="FA416" s="284">
        <f>DY416</f>
        <v>43.9</v>
      </c>
      <c r="FB416" s="2250"/>
      <c r="FC416" s="2250"/>
      <c r="FD416" s="2250"/>
      <c r="FE416" s="2250"/>
      <c r="FF416" s="2250"/>
      <c r="FG416" s="2250"/>
      <c r="FH416" s="2250"/>
      <c r="FI416" s="2250"/>
      <c r="FJ416" s="2250"/>
      <c r="FK416" s="2250"/>
      <c r="FL416" s="2250"/>
      <c r="FM416" s="2250"/>
      <c r="FN416" s="284" t="s">
        <v>682</v>
      </c>
      <c r="FO416" s="284">
        <f>DY416</f>
        <v>43.9</v>
      </c>
      <c r="FP416" s="2250"/>
      <c r="FQ416" s="2250"/>
      <c r="FR416" s="2250"/>
      <c r="FS416" s="2250"/>
      <c r="FT416" s="2250"/>
      <c r="FU416" s="2250"/>
      <c r="FV416" s="2250"/>
      <c r="FW416" s="2250"/>
      <c r="FX416" s="2250"/>
      <c r="FY416" s="2250"/>
      <c r="FZ416" s="2250"/>
      <c r="GA416" s="2250"/>
      <c r="GB416" s="2339">
        <f>VLOOKUP(EA376,GB385:GB415,1)</f>
        <v>43.9</v>
      </c>
      <c r="GC416" s="2340">
        <f>VLOOKUP(GB416,GB385:GC415,2,0)</f>
        <v>48.8</v>
      </c>
      <c r="GD416" s="2250"/>
      <c r="GE416" s="2275"/>
      <c r="GF416" s="284" t="s">
        <v>682</v>
      </c>
      <c r="GG416" s="284">
        <f>HB373</f>
        <v>48.8</v>
      </c>
      <c r="GH416" s="2250"/>
      <c r="GI416" s="2250"/>
      <c r="GJ416" s="2250"/>
      <c r="GK416" s="2250"/>
      <c r="GL416" s="2250"/>
      <c r="GM416" s="2250"/>
      <c r="GN416" s="2250"/>
      <c r="GO416" s="2250"/>
      <c r="GP416" s="2250"/>
      <c r="GQ416" s="2250"/>
      <c r="GR416" s="2250"/>
      <c r="GS416" s="2250"/>
      <c r="GT416" s="284" t="s">
        <v>682</v>
      </c>
      <c r="GU416" s="284">
        <f>GG416</f>
        <v>48.8</v>
      </c>
      <c r="GV416" s="2250"/>
      <c r="GW416" s="2250"/>
      <c r="GX416" s="2250"/>
      <c r="GY416" s="2250"/>
      <c r="GZ416" s="2250"/>
      <c r="HA416" s="2250"/>
      <c r="HB416" s="2250"/>
      <c r="HC416" s="2250"/>
      <c r="HD416" s="2250"/>
      <c r="HE416" s="2250"/>
      <c r="HF416" s="2250"/>
      <c r="HG416" s="2250"/>
      <c r="HH416" s="284" t="s">
        <v>682</v>
      </c>
      <c r="HI416" s="284">
        <f>GG416</f>
        <v>48.8</v>
      </c>
      <c r="HJ416" s="2250"/>
      <c r="HK416" s="2250"/>
      <c r="HL416" s="2250"/>
      <c r="HM416" s="2250"/>
      <c r="HN416" s="2250"/>
      <c r="HO416" s="2250"/>
      <c r="HP416" s="2250"/>
      <c r="HQ416" s="2250"/>
      <c r="HR416" s="2250"/>
      <c r="HS416" s="2250"/>
      <c r="HT416" s="2250"/>
      <c r="HU416" s="2250"/>
      <c r="HV416" s="284" t="s">
        <v>682</v>
      </c>
      <c r="HW416" s="284">
        <f>GG416</f>
        <v>48.8</v>
      </c>
      <c r="HX416" s="2250"/>
      <c r="HY416" s="2250"/>
      <c r="HZ416" s="2250"/>
      <c r="IA416" s="2250"/>
      <c r="IB416" s="2250"/>
      <c r="IC416" s="2250"/>
      <c r="ID416" s="2250"/>
      <c r="IE416" s="2250"/>
      <c r="IF416" s="2250"/>
      <c r="IG416" s="2250"/>
      <c r="IH416" s="2250"/>
      <c r="II416" s="2250"/>
      <c r="IJ416" s="2250"/>
      <c r="IK416" s="53"/>
      <c r="IL416" s="53"/>
      <c r="IN416" s="277"/>
      <c r="IO416" s="277"/>
    </row>
    <row r="417" spans="2:249" ht="21.95" customHeight="1">
      <c r="B417" s="284" t="s">
        <v>737</v>
      </c>
      <c r="C417" s="284">
        <f>X372</f>
        <v>0.75631178540277322</v>
      </c>
      <c r="D417" s="2250"/>
      <c r="E417" s="2250"/>
      <c r="F417" s="2250"/>
      <c r="G417" s="2250"/>
      <c r="H417" s="2250"/>
      <c r="I417" s="2250"/>
      <c r="J417" s="2250"/>
      <c r="K417" s="2250"/>
      <c r="L417" s="2250"/>
      <c r="M417" s="2250"/>
      <c r="N417" s="2250"/>
      <c r="O417" s="2250"/>
      <c r="P417" s="284" t="s">
        <v>737</v>
      </c>
      <c r="Q417" s="284">
        <f>C417</f>
        <v>0.75631178540277322</v>
      </c>
      <c r="R417" s="2250"/>
      <c r="S417" s="2250"/>
      <c r="T417" s="2250"/>
      <c r="U417" s="2250"/>
      <c r="V417" s="2250"/>
      <c r="W417" s="2250"/>
      <c r="X417" s="2250"/>
      <c r="Y417" s="2250"/>
      <c r="Z417" s="2250"/>
      <c r="AA417" s="2250"/>
      <c r="AB417" s="2250"/>
      <c r="AC417" s="2250"/>
      <c r="AD417" s="284" t="s">
        <v>737</v>
      </c>
      <c r="AE417" s="284">
        <f>C417</f>
        <v>0.75631178540277322</v>
      </c>
      <c r="AF417" s="2250"/>
      <c r="AG417" s="2250"/>
      <c r="AH417" s="2250"/>
      <c r="AI417" s="2250"/>
      <c r="AJ417" s="2250"/>
      <c r="AK417" s="2250"/>
      <c r="AL417" s="2250"/>
      <c r="AM417" s="2250"/>
      <c r="AN417" s="2250"/>
      <c r="AO417" s="2250"/>
      <c r="AP417" s="2250"/>
      <c r="AQ417" s="2250"/>
      <c r="AR417" s="284" t="s">
        <v>737</v>
      </c>
      <c r="AS417" s="284">
        <f>C417</f>
        <v>0.75631178540277322</v>
      </c>
      <c r="AT417" s="2250"/>
      <c r="AU417" s="2250"/>
      <c r="AV417" s="2250"/>
      <c r="AW417" s="2250"/>
      <c r="AX417" s="2250"/>
      <c r="AY417" s="2250"/>
      <c r="AZ417" s="2250"/>
      <c r="BA417" s="2250"/>
      <c r="BB417" s="2250"/>
      <c r="BC417" s="2250"/>
      <c r="BD417" s="2250"/>
      <c r="BE417" s="2250"/>
      <c r="BF417" s="2276"/>
      <c r="BG417" s="2276"/>
      <c r="BH417" s="2250"/>
      <c r="BI417" s="2275"/>
      <c r="BJ417" s="284" t="s">
        <v>737</v>
      </c>
      <c r="BK417" s="284">
        <f>CF372</f>
        <v>0.75631178540277322</v>
      </c>
      <c r="BL417" s="2250"/>
      <c r="BM417" s="2250"/>
      <c r="BN417" s="2250"/>
      <c r="BO417" s="2250"/>
      <c r="BP417" s="2250"/>
      <c r="BQ417" s="2250"/>
      <c r="BR417" s="2250"/>
      <c r="BS417" s="2250"/>
      <c r="BT417" s="2250"/>
      <c r="BU417" s="2250"/>
      <c r="BV417" s="2250"/>
      <c r="BW417" s="2250"/>
      <c r="BX417" s="284" t="s">
        <v>737</v>
      </c>
      <c r="BY417" s="284">
        <f>BK417</f>
        <v>0.75631178540277322</v>
      </c>
      <c r="BZ417" s="2250"/>
      <c r="CA417" s="2250"/>
      <c r="CB417" s="2250"/>
      <c r="CC417" s="2250"/>
      <c r="CD417" s="2250"/>
      <c r="CE417" s="2250"/>
      <c r="CF417" s="2250"/>
      <c r="CG417" s="2250"/>
      <c r="CH417" s="2250"/>
      <c r="CI417" s="2250"/>
      <c r="CJ417" s="2250"/>
      <c r="CK417" s="2250"/>
      <c r="CL417" s="284" t="s">
        <v>737</v>
      </c>
      <c r="CM417" s="284">
        <f>BK417</f>
        <v>0.75631178540277322</v>
      </c>
      <c r="CN417" s="2250"/>
      <c r="CO417" s="2250"/>
      <c r="CP417" s="2250"/>
      <c r="CQ417" s="2250"/>
      <c r="CR417" s="2250"/>
      <c r="CS417" s="2250"/>
      <c r="CT417" s="2250"/>
      <c r="CU417" s="2250"/>
      <c r="CV417" s="2250"/>
      <c r="CW417" s="2250"/>
      <c r="CX417" s="2250"/>
      <c r="CY417" s="2250"/>
      <c r="CZ417" s="284" t="s">
        <v>737</v>
      </c>
      <c r="DA417" s="284">
        <f>BK417</f>
        <v>0.75631178540277322</v>
      </c>
      <c r="DB417" s="2250"/>
      <c r="DC417" s="2250"/>
      <c r="DD417" s="2250"/>
      <c r="DE417" s="2250"/>
      <c r="DF417" s="2250"/>
      <c r="DG417" s="2250"/>
      <c r="DH417" s="2250"/>
      <c r="DI417" s="2250"/>
      <c r="DJ417" s="2250"/>
      <c r="DK417" s="2250"/>
      <c r="DL417" s="2250"/>
      <c r="DM417" s="2250"/>
      <c r="DN417" s="2250"/>
      <c r="DO417" s="53"/>
      <c r="DP417" s="53"/>
      <c r="DS417" s="277"/>
      <c r="DW417" s="1"/>
      <c r="DX417" s="284" t="s">
        <v>737</v>
      </c>
      <c r="DY417" s="284">
        <f>ET372</f>
        <v>1.3354563802212776</v>
      </c>
      <c r="DZ417" s="2250"/>
      <c r="EA417" s="2250"/>
      <c r="EB417" s="2250"/>
      <c r="EC417" s="2250"/>
      <c r="ED417" s="2250"/>
      <c r="EE417" s="2250"/>
      <c r="EF417" s="2250"/>
      <c r="EG417" s="2250"/>
      <c r="EH417" s="2250"/>
      <c r="EI417" s="2250"/>
      <c r="EJ417" s="2250"/>
      <c r="EK417" s="2250"/>
      <c r="EL417" s="284" t="s">
        <v>737</v>
      </c>
      <c r="EM417" s="284">
        <f>DY417</f>
        <v>1.3354563802212776</v>
      </c>
      <c r="EN417" s="2250"/>
      <c r="EO417" s="2250"/>
      <c r="EP417" s="2250"/>
      <c r="EQ417" s="2250"/>
      <c r="ER417" s="2250"/>
      <c r="ES417" s="2250"/>
      <c r="ET417" s="2250"/>
      <c r="EU417" s="2250"/>
      <c r="EV417" s="2250"/>
      <c r="EW417" s="2250"/>
      <c r="EX417" s="2250"/>
      <c r="EY417" s="2250"/>
      <c r="EZ417" s="284" t="s">
        <v>737</v>
      </c>
      <c r="FA417" s="284">
        <f>DY417</f>
        <v>1.3354563802212776</v>
      </c>
      <c r="FB417" s="2250"/>
      <c r="FC417" s="2250"/>
      <c r="FD417" s="2250"/>
      <c r="FE417" s="2250"/>
      <c r="FF417" s="2250"/>
      <c r="FG417" s="2250"/>
      <c r="FH417" s="2250"/>
      <c r="FI417" s="2250"/>
      <c r="FJ417" s="2250"/>
      <c r="FK417" s="2250"/>
      <c r="FL417" s="2250"/>
      <c r="FM417" s="2250"/>
      <c r="FN417" s="284" t="s">
        <v>737</v>
      </c>
      <c r="FO417" s="284">
        <f>DY417</f>
        <v>1.3354563802212776</v>
      </c>
      <c r="FP417" s="2250"/>
      <c r="FQ417" s="2250"/>
      <c r="FR417" s="2250"/>
      <c r="FS417" s="2250"/>
      <c r="FT417" s="2250"/>
      <c r="FU417" s="2250"/>
      <c r="FV417" s="2250"/>
      <c r="FW417" s="2250"/>
      <c r="FX417" s="2250"/>
      <c r="FY417" s="2250"/>
      <c r="FZ417" s="2250"/>
      <c r="GA417" s="2250"/>
      <c r="GB417" s="2276"/>
      <c r="GC417" s="2276"/>
      <c r="GD417" s="2250"/>
      <c r="GE417" s="2275"/>
      <c r="GF417" s="284" t="s">
        <v>737</v>
      </c>
      <c r="GG417" s="284">
        <f>HB372</f>
        <v>1.3354563802212776</v>
      </c>
      <c r="GH417" s="2250"/>
      <c r="GI417" s="2250"/>
      <c r="GJ417" s="2250"/>
      <c r="GK417" s="2250"/>
      <c r="GL417" s="2250"/>
      <c r="GM417" s="2250"/>
      <c r="GN417" s="2250"/>
      <c r="GO417" s="2250"/>
      <c r="GP417" s="2250"/>
      <c r="GQ417" s="2250"/>
      <c r="GR417" s="2250"/>
      <c r="GS417" s="2250"/>
      <c r="GT417" s="284" t="s">
        <v>737</v>
      </c>
      <c r="GU417" s="284">
        <f>GG417</f>
        <v>1.3354563802212776</v>
      </c>
      <c r="GV417" s="2250"/>
      <c r="GW417" s="2250"/>
      <c r="GX417" s="2250"/>
      <c r="GY417" s="2250"/>
      <c r="GZ417" s="2250"/>
      <c r="HA417" s="2250"/>
      <c r="HB417" s="2250"/>
      <c r="HC417" s="2250"/>
      <c r="HD417" s="2250"/>
      <c r="HE417" s="2250"/>
      <c r="HF417" s="2250"/>
      <c r="HG417" s="2250"/>
      <c r="HH417" s="284" t="s">
        <v>737</v>
      </c>
      <c r="HI417" s="284">
        <f>GG417</f>
        <v>1.3354563802212776</v>
      </c>
      <c r="HJ417" s="2250"/>
      <c r="HK417" s="2250"/>
      <c r="HL417" s="2250"/>
      <c r="HM417" s="2250"/>
      <c r="HN417" s="2250"/>
      <c r="HO417" s="2250"/>
      <c r="HP417" s="2250"/>
      <c r="HQ417" s="2250"/>
      <c r="HR417" s="2250"/>
      <c r="HS417" s="2250"/>
      <c r="HT417" s="2250"/>
      <c r="HU417" s="2250"/>
      <c r="HV417" s="284" t="s">
        <v>737</v>
      </c>
      <c r="HW417" s="284">
        <f>GG417</f>
        <v>1.3354563802212776</v>
      </c>
      <c r="HX417" s="2250"/>
      <c r="HY417" s="2250"/>
      <c r="HZ417" s="2250"/>
      <c r="IA417" s="2250"/>
      <c r="IB417" s="2250"/>
      <c r="IC417" s="2250"/>
      <c r="ID417" s="2250"/>
      <c r="IE417" s="2250"/>
      <c r="IF417" s="2250"/>
      <c r="IG417" s="2250"/>
      <c r="IH417" s="2250"/>
      <c r="II417" s="2250"/>
      <c r="IJ417" s="2250"/>
      <c r="IK417" s="53"/>
      <c r="IL417" s="53"/>
      <c r="IN417" s="277"/>
      <c r="IO417" s="277"/>
    </row>
    <row r="418" spans="2:249" ht="21.95" customHeight="1">
      <c r="B418" s="2250"/>
      <c r="C418" s="2250"/>
      <c r="D418" s="2250"/>
      <c r="E418" s="284" t="s">
        <v>707</v>
      </c>
      <c r="F418" s="2250"/>
      <c r="G418" s="2250"/>
      <c r="H418" s="2250"/>
      <c r="I418" s="2250"/>
      <c r="J418" s="2250"/>
      <c r="K418" s="2250"/>
      <c r="L418" s="2250"/>
      <c r="M418" s="2250"/>
      <c r="N418" s="2250"/>
      <c r="O418" s="2250"/>
      <c r="P418" s="2250"/>
      <c r="Q418" s="2250"/>
      <c r="R418" s="2250"/>
      <c r="S418" s="284" t="s">
        <v>707</v>
      </c>
      <c r="T418" s="2250"/>
      <c r="U418" s="2250"/>
      <c r="V418" s="2250"/>
      <c r="W418" s="2250"/>
      <c r="X418" s="2250"/>
      <c r="Y418" s="2250"/>
      <c r="Z418" s="2250"/>
      <c r="AA418" s="2250"/>
      <c r="AB418" s="2250"/>
      <c r="AC418" s="2250"/>
      <c r="AD418" s="2250"/>
      <c r="AE418" s="2250"/>
      <c r="AF418" s="2250"/>
      <c r="AG418" s="284" t="s">
        <v>707</v>
      </c>
      <c r="AH418" s="2250"/>
      <c r="AI418" s="2250"/>
      <c r="AJ418" s="2250"/>
      <c r="AK418" s="2250"/>
      <c r="AL418" s="2250"/>
      <c r="AM418" s="2250"/>
      <c r="AN418" s="2250"/>
      <c r="AO418" s="2250"/>
      <c r="AP418" s="2250"/>
      <c r="AQ418" s="2250"/>
      <c r="AR418" s="2250"/>
      <c r="AS418" s="2250"/>
      <c r="AT418" s="2250"/>
      <c r="AU418" s="284" t="s">
        <v>707</v>
      </c>
      <c r="AV418" s="2250"/>
      <c r="AW418" s="2250"/>
      <c r="AX418" s="2250"/>
      <c r="AY418" s="2250"/>
      <c r="AZ418" s="2250"/>
      <c r="BA418" s="2250"/>
      <c r="BB418" s="2250"/>
      <c r="BC418" s="2250"/>
      <c r="BD418" s="2250"/>
      <c r="BE418" s="2250"/>
      <c r="BF418" s="2276"/>
      <c r="BG418" s="2276"/>
      <c r="BH418" s="2250"/>
      <c r="BI418" s="2275"/>
      <c r="BJ418" s="2250"/>
      <c r="BK418" s="2250"/>
      <c r="BL418" s="2250"/>
      <c r="BM418" s="284" t="s">
        <v>707</v>
      </c>
      <c r="BN418" s="2250"/>
      <c r="BO418" s="2250"/>
      <c r="BP418" s="2250"/>
      <c r="BQ418" s="2250"/>
      <c r="BR418" s="2250"/>
      <c r="BS418" s="2250"/>
      <c r="BT418" s="2250"/>
      <c r="BU418" s="2250"/>
      <c r="BV418" s="2250"/>
      <c r="BW418" s="2250"/>
      <c r="BX418" s="2250"/>
      <c r="BY418" s="2250"/>
      <c r="BZ418" s="2250"/>
      <c r="CA418" s="284" t="s">
        <v>707</v>
      </c>
      <c r="CB418" s="2250"/>
      <c r="CC418" s="2250"/>
      <c r="CD418" s="2250"/>
      <c r="CE418" s="2250"/>
      <c r="CF418" s="2250"/>
      <c r="CG418" s="2250"/>
      <c r="CH418" s="2250"/>
      <c r="CI418" s="2250"/>
      <c r="CJ418" s="2250"/>
      <c r="CK418" s="2250"/>
      <c r="CL418" s="2250"/>
      <c r="CM418" s="2250"/>
      <c r="CN418" s="2250"/>
      <c r="CO418" s="284" t="s">
        <v>707</v>
      </c>
      <c r="CP418" s="2250"/>
      <c r="CQ418" s="2250"/>
      <c r="CR418" s="2250"/>
      <c r="CS418" s="2250"/>
      <c r="CT418" s="2250"/>
      <c r="CU418" s="2250"/>
      <c r="CV418" s="2250"/>
      <c r="CW418" s="2250"/>
      <c r="CX418" s="2250"/>
      <c r="CY418" s="2250"/>
      <c r="CZ418" s="2250"/>
      <c r="DA418" s="2250"/>
      <c r="DB418" s="2250"/>
      <c r="DC418" s="284" t="s">
        <v>707</v>
      </c>
      <c r="DD418" s="2250"/>
      <c r="DE418" s="2250"/>
      <c r="DF418" s="2250"/>
      <c r="DG418" s="2250"/>
      <c r="DH418" s="2250"/>
      <c r="DI418" s="2250"/>
      <c r="DJ418" s="2250"/>
      <c r="DK418" s="2250"/>
      <c r="DL418" s="2250"/>
      <c r="DM418" s="2250"/>
      <c r="DN418" s="2250"/>
      <c r="DO418" s="53"/>
      <c r="DP418" s="53"/>
      <c r="DS418" s="277"/>
      <c r="DW418" s="1"/>
      <c r="DX418" s="2250"/>
      <c r="DY418" s="2250"/>
      <c r="DZ418" s="2250"/>
      <c r="EA418" s="284" t="s">
        <v>707</v>
      </c>
      <c r="EB418" s="2250"/>
      <c r="EC418" s="2250"/>
      <c r="ED418" s="2250"/>
      <c r="EE418" s="2250"/>
      <c r="EF418" s="2250"/>
      <c r="EG418" s="2250"/>
      <c r="EH418" s="2250"/>
      <c r="EI418" s="2250"/>
      <c r="EJ418" s="2250"/>
      <c r="EK418" s="2250"/>
      <c r="EL418" s="2250"/>
      <c r="EM418" s="2250"/>
      <c r="EN418" s="2250"/>
      <c r="EO418" s="284" t="s">
        <v>707</v>
      </c>
      <c r="EP418" s="2250"/>
      <c r="EQ418" s="2250"/>
      <c r="ER418" s="2250"/>
      <c r="ES418" s="2250"/>
      <c r="ET418" s="2250"/>
      <c r="EU418" s="2250"/>
      <c r="EV418" s="2250"/>
      <c r="EW418" s="2250"/>
      <c r="EX418" s="2250"/>
      <c r="EY418" s="2250"/>
      <c r="EZ418" s="2250"/>
      <c r="FA418" s="2250"/>
      <c r="FB418" s="2250"/>
      <c r="FC418" s="284" t="s">
        <v>707</v>
      </c>
      <c r="FD418" s="2250"/>
      <c r="FE418" s="2250"/>
      <c r="FF418" s="2250"/>
      <c r="FG418" s="2250"/>
      <c r="FH418" s="2250"/>
      <c r="FI418" s="2250"/>
      <c r="FJ418" s="2250"/>
      <c r="FK418" s="2250"/>
      <c r="FL418" s="2250"/>
      <c r="FM418" s="2250"/>
      <c r="FN418" s="2250"/>
      <c r="FO418" s="2250"/>
      <c r="FP418" s="2250"/>
      <c r="FQ418" s="284" t="s">
        <v>707</v>
      </c>
      <c r="FR418" s="2250"/>
      <c r="FS418" s="2250"/>
      <c r="FT418" s="2250"/>
      <c r="FU418" s="2250"/>
      <c r="FV418" s="2250"/>
      <c r="FW418" s="2250"/>
      <c r="FX418" s="2250"/>
      <c r="FY418" s="2250"/>
      <c r="FZ418" s="2250"/>
      <c r="GA418" s="2250"/>
      <c r="GB418" s="2276"/>
      <c r="GC418" s="2276"/>
      <c r="GD418" s="2250"/>
      <c r="GE418" s="2275"/>
      <c r="GF418" s="2250"/>
      <c r="GG418" s="2250"/>
      <c r="GH418" s="2250"/>
      <c r="GI418" s="284" t="s">
        <v>707</v>
      </c>
      <c r="GJ418" s="2250"/>
      <c r="GK418" s="2250"/>
      <c r="GL418" s="2250"/>
      <c r="GM418" s="2250"/>
      <c r="GN418" s="2250"/>
      <c r="GO418" s="2250"/>
      <c r="GP418" s="2250"/>
      <c r="GQ418" s="2250"/>
      <c r="GR418" s="2250"/>
      <c r="GS418" s="2250"/>
      <c r="GT418" s="2250"/>
      <c r="GU418" s="2250"/>
      <c r="GV418" s="2250"/>
      <c r="GW418" s="284" t="s">
        <v>707</v>
      </c>
      <c r="GX418" s="2250"/>
      <c r="GY418" s="2250"/>
      <c r="GZ418" s="2250"/>
      <c r="HA418" s="2250"/>
      <c r="HB418" s="2250"/>
      <c r="HC418" s="2250"/>
      <c r="HD418" s="2250"/>
      <c r="HE418" s="2250"/>
      <c r="HF418" s="2250"/>
      <c r="HG418" s="2250"/>
      <c r="HH418" s="2250"/>
      <c r="HI418" s="2250"/>
      <c r="HJ418" s="2250"/>
      <c r="HK418" s="284" t="s">
        <v>707</v>
      </c>
      <c r="HL418" s="2250"/>
      <c r="HM418" s="2250"/>
      <c r="HN418" s="2250"/>
      <c r="HO418" s="2250"/>
      <c r="HP418" s="2250"/>
      <c r="HQ418" s="2250"/>
      <c r="HR418" s="2250"/>
      <c r="HS418" s="2250"/>
      <c r="HT418" s="2250"/>
      <c r="HU418" s="2250"/>
      <c r="HV418" s="2250"/>
      <c r="HW418" s="2250"/>
      <c r="HX418" s="2250"/>
      <c r="HY418" s="284" t="s">
        <v>707</v>
      </c>
      <c r="HZ418" s="2250"/>
      <c r="IA418" s="2250"/>
      <c r="IB418" s="2250"/>
      <c r="IC418" s="2250"/>
      <c r="ID418" s="2250"/>
      <c r="IE418" s="2250"/>
      <c r="IF418" s="2250"/>
      <c r="IG418" s="2250"/>
      <c r="IH418" s="2250"/>
      <c r="II418" s="2250"/>
      <c r="IJ418" s="2250"/>
      <c r="IK418" s="53"/>
      <c r="IL418" s="53"/>
      <c r="IN418" s="277"/>
      <c r="IO418" s="277"/>
    </row>
    <row r="419" spans="2:249" ht="21.95" customHeight="1">
      <c r="B419" s="284" t="s">
        <v>707</v>
      </c>
      <c r="C419" s="284">
        <v>0</v>
      </c>
      <c r="D419" s="284">
        <f t="shared" ref="D419:D430" si="215">+C420</f>
        <v>0</v>
      </c>
      <c r="E419" s="284">
        <v>475</v>
      </c>
      <c r="F419" s="2250"/>
      <c r="G419" s="2250"/>
      <c r="H419" s="2250"/>
      <c r="I419" s="2250"/>
      <c r="J419" s="2250"/>
      <c r="K419" s="2250"/>
      <c r="L419" s="2250"/>
      <c r="M419" s="2250"/>
      <c r="N419" s="2250"/>
      <c r="O419" s="2250"/>
      <c r="P419" s="284" t="s">
        <v>707</v>
      </c>
      <c r="Q419" s="284">
        <v>0</v>
      </c>
      <c r="R419" s="284">
        <f t="shared" ref="R419:R430" si="216">+Q420</f>
        <v>6.81</v>
      </c>
      <c r="S419" s="284">
        <v>475</v>
      </c>
      <c r="T419" s="2250"/>
      <c r="U419" s="2250"/>
      <c r="V419" s="2250"/>
      <c r="W419" s="2250"/>
      <c r="X419" s="2250"/>
      <c r="Y419" s="2250"/>
      <c r="Z419" s="2250"/>
      <c r="AA419" s="2250"/>
      <c r="AB419" s="2250"/>
      <c r="AC419" s="2250"/>
      <c r="AD419" s="284" t="s">
        <v>707</v>
      </c>
      <c r="AE419" s="284">
        <v>0</v>
      </c>
      <c r="AF419" s="284">
        <f t="shared" ref="AF419:AF429" si="217">+AE420</f>
        <v>5.67</v>
      </c>
      <c r="AG419" s="284">
        <v>475</v>
      </c>
      <c r="AH419" s="2250"/>
      <c r="AI419" s="2250"/>
      <c r="AJ419" s="2250"/>
      <c r="AK419" s="2250"/>
      <c r="AL419" s="2250"/>
      <c r="AM419" s="2250"/>
      <c r="AN419" s="2250"/>
      <c r="AO419" s="2250"/>
      <c r="AP419" s="2250"/>
      <c r="AQ419" s="2250"/>
      <c r="AR419" s="284" t="s">
        <v>707</v>
      </c>
      <c r="AS419" s="284">
        <v>0</v>
      </c>
      <c r="AT419" s="284">
        <f t="shared" ref="AT419:AT429" si="218">+AS420</f>
        <v>4.38</v>
      </c>
      <c r="AU419" s="284">
        <v>475</v>
      </c>
      <c r="AV419" s="2250"/>
      <c r="AW419" s="2250"/>
      <c r="AX419" s="2250"/>
      <c r="AY419" s="2250"/>
      <c r="AZ419" s="2250"/>
      <c r="BA419" s="2250"/>
      <c r="BB419" s="2250"/>
      <c r="BC419" s="2250"/>
      <c r="BD419" s="2250"/>
      <c r="BE419" s="2250"/>
      <c r="BF419" s="2276"/>
      <c r="BG419" s="2276"/>
      <c r="BH419" s="2250"/>
      <c r="BI419" s="2275"/>
      <c r="BJ419" s="284" t="s">
        <v>707</v>
      </c>
      <c r="BK419" s="284">
        <v>0</v>
      </c>
      <c r="BL419" s="284">
        <f t="shared" ref="BL419:BL429" si="219">+BK420</f>
        <v>0</v>
      </c>
      <c r="BM419" s="284">
        <v>475</v>
      </c>
      <c r="BN419" s="2250"/>
      <c r="BO419" s="2250"/>
      <c r="BP419" s="2250"/>
      <c r="BQ419" s="2250"/>
      <c r="BR419" s="2250"/>
      <c r="BS419" s="2250"/>
      <c r="BT419" s="2250"/>
      <c r="BU419" s="2250"/>
      <c r="BV419" s="2250"/>
      <c r="BW419" s="2250"/>
      <c r="BX419" s="284" t="s">
        <v>707</v>
      </c>
      <c r="BY419" s="284">
        <v>0</v>
      </c>
      <c r="BZ419" s="284">
        <f t="shared" ref="BZ419:BZ429" si="220">+BY420</f>
        <v>6.26</v>
      </c>
      <c r="CA419" s="284">
        <v>475</v>
      </c>
      <c r="CB419" s="2250"/>
      <c r="CC419" s="2250"/>
      <c r="CD419" s="2250"/>
      <c r="CE419" s="2250"/>
      <c r="CF419" s="2250"/>
      <c r="CG419" s="2250"/>
      <c r="CH419" s="2250"/>
      <c r="CI419" s="2250"/>
      <c r="CJ419" s="2250"/>
      <c r="CK419" s="2250"/>
      <c r="CL419" s="284" t="s">
        <v>707</v>
      </c>
      <c r="CM419" s="284">
        <v>0</v>
      </c>
      <c r="CN419" s="284">
        <f t="shared" ref="CN419:CN429" si="221">+CM420</f>
        <v>5.2</v>
      </c>
      <c r="CO419" s="284">
        <v>475</v>
      </c>
      <c r="CP419" s="2250"/>
      <c r="CQ419" s="2250"/>
      <c r="CR419" s="2250"/>
      <c r="CS419" s="2250"/>
      <c r="CT419" s="2250"/>
      <c r="CU419" s="2250"/>
      <c r="CV419" s="2250"/>
      <c r="CW419" s="2250"/>
      <c r="CX419" s="2250"/>
      <c r="CY419" s="2250"/>
      <c r="CZ419" s="284" t="s">
        <v>707</v>
      </c>
      <c r="DA419" s="284">
        <v>0</v>
      </c>
      <c r="DB419" s="284">
        <f t="shared" ref="DB419:DB429" si="222">+DA420</f>
        <v>4.08</v>
      </c>
      <c r="DC419" s="284">
        <v>475</v>
      </c>
      <c r="DD419" s="2250"/>
      <c r="DE419" s="2250"/>
      <c r="DF419" s="2250"/>
      <c r="DG419" s="2250"/>
      <c r="DH419" s="2250"/>
      <c r="DI419" s="2250"/>
      <c r="DJ419" s="2250"/>
      <c r="DK419" s="2250"/>
      <c r="DL419" s="2250"/>
      <c r="DM419" s="2250"/>
      <c r="DN419" s="2250"/>
      <c r="DO419" s="53"/>
      <c r="DP419" s="53"/>
      <c r="DS419" s="277"/>
      <c r="DW419" s="1"/>
      <c r="DX419" s="284" t="s">
        <v>707</v>
      </c>
      <c r="DY419" s="284">
        <v>0</v>
      </c>
      <c r="DZ419" s="284">
        <f t="shared" ref="DZ419:DZ430" si="223">+DY420</f>
        <v>0</v>
      </c>
      <c r="EA419" s="284">
        <v>475</v>
      </c>
      <c r="EB419" s="2250"/>
      <c r="EC419" s="2250"/>
      <c r="ED419" s="2250"/>
      <c r="EE419" s="2250"/>
      <c r="EF419" s="2250"/>
      <c r="EG419" s="2250"/>
      <c r="EH419" s="2250"/>
      <c r="EI419" s="2250"/>
      <c r="EJ419" s="2250"/>
      <c r="EK419" s="2250"/>
      <c r="EL419" s="284" t="s">
        <v>707</v>
      </c>
      <c r="EM419" s="284">
        <v>0</v>
      </c>
      <c r="EN419" s="284">
        <f t="shared" ref="EN419:EN430" si="224">+EM420</f>
        <v>9.8800000000000008</v>
      </c>
      <c r="EO419" s="284">
        <v>475</v>
      </c>
      <c r="EP419" s="2250"/>
      <c r="EQ419" s="2250"/>
      <c r="ER419" s="2250"/>
      <c r="ES419" s="2250"/>
      <c r="ET419" s="2250"/>
      <c r="EU419" s="2250"/>
      <c r="EV419" s="2250"/>
      <c r="EW419" s="2250"/>
      <c r="EX419" s="2250"/>
      <c r="EY419" s="2250"/>
      <c r="EZ419" s="284" t="s">
        <v>707</v>
      </c>
      <c r="FA419" s="284">
        <v>0</v>
      </c>
      <c r="FB419" s="284">
        <f t="shared" ref="FB419:FB430" si="225">+FA420</f>
        <v>8.1999999999999993</v>
      </c>
      <c r="FC419" s="284">
        <v>475</v>
      </c>
      <c r="FD419" s="2250"/>
      <c r="FE419" s="2250"/>
      <c r="FF419" s="2250"/>
      <c r="FG419" s="2250"/>
      <c r="FH419" s="2250"/>
      <c r="FI419" s="2250"/>
      <c r="FJ419" s="2250"/>
      <c r="FK419" s="2250"/>
      <c r="FL419" s="2250"/>
      <c r="FM419" s="2250"/>
      <c r="FN419" s="284" t="s">
        <v>707</v>
      </c>
      <c r="FO419" s="284">
        <v>0</v>
      </c>
      <c r="FP419" s="284">
        <f t="shared" ref="FP419:FP430" si="226">+FO420</f>
        <v>6.77</v>
      </c>
      <c r="FQ419" s="284">
        <v>475</v>
      </c>
      <c r="FR419" s="2250"/>
      <c r="FS419" s="2250"/>
      <c r="FT419" s="2250"/>
      <c r="FU419" s="2250"/>
      <c r="FV419" s="2250"/>
      <c r="FW419" s="2250"/>
      <c r="FX419" s="2250"/>
      <c r="FY419" s="2250"/>
      <c r="FZ419" s="2250"/>
      <c r="GA419" s="2250"/>
      <c r="GB419" s="2276"/>
      <c r="GC419" s="2276"/>
      <c r="GD419" s="2250"/>
      <c r="GE419" s="2275"/>
      <c r="GF419" s="284" t="s">
        <v>707</v>
      </c>
      <c r="GG419" s="284">
        <v>0</v>
      </c>
      <c r="GH419" s="284">
        <f t="shared" ref="GH419:GH430" si="227">+GG420</f>
        <v>0</v>
      </c>
      <c r="GI419" s="284">
        <v>475</v>
      </c>
      <c r="GJ419" s="2250"/>
      <c r="GK419" s="2250"/>
      <c r="GL419" s="2250"/>
      <c r="GM419" s="2250"/>
      <c r="GN419" s="2250"/>
      <c r="GO419" s="2250"/>
      <c r="GP419" s="2250"/>
      <c r="GQ419" s="2250"/>
      <c r="GR419" s="2250"/>
      <c r="GS419" s="2250"/>
      <c r="GT419" s="284" t="s">
        <v>707</v>
      </c>
      <c r="GU419" s="284">
        <v>0</v>
      </c>
      <c r="GV419" s="284">
        <f t="shared" ref="GV419:GV430" si="228">+GU420</f>
        <v>9.08</v>
      </c>
      <c r="GW419" s="284">
        <v>475</v>
      </c>
      <c r="GX419" s="2250"/>
      <c r="GY419" s="2250"/>
      <c r="GZ419" s="2250"/>
      <c r="HA419" s="2250"/>
      <c r="HB419" s="2250"/>
      <c r="HC419" s="2250"/>
      <c r="HD419" s="2250"/>
      <c r="HE419" s="2250"/>
      <c r="HF419" s="2250"/>
      <c r="HG419" s="2250"/>
      <c r="HH419" s="284" t="s">
        <v>707</v>
      </c>
      <c r="HI419" s="284">
        <v>0</v>
      </c>
      <c r="HJ419" s="284">
        <f t="shared" ref="HJ419:HJ430" si="229">+HI420</f>
        <v>7.53</v>
      </c>
      <c r="HK419" s="284">
        <v>475</v>
      </c>
      <c r="HL419" s="2250"/>
      <c r="HM419" s="2250"/>
      <c r="HN419" s="2250"/>
      <c r="HO419" s="2250"/>
      <c r="HP419" s="2250"/>
      <c r="HQ419" s="2250"/>
      <c r="HR419" s="2250"/>
      <c r="HS419" s="2250"/>
      <c r="HT419" s="2250"/>
      <c r="HU419" s="2250"/>
      <c r="HV419" s="284" t="s">
        <v>707</v>
      </c>
      <c r="HW419" s="284">
        <v>0</v>
      </c>
      <c r="HX419" s="284">
        <f t="shared" ref="HX419:HX430" si="230">+HW420</f>
        <v>6</v>
      </c>
      <c r="HY419" s="284">
        <v>475</v>
      </c>
      <c r="HZ419" s="2250"/>
      <c r="IA419" s="2250"/>
      <c r="IB419" s="2250"/>
      <c r="IC419" s="2250"/>
      <c r="ID419" s="2250"/>
      <c r="IE419" s="2250"/>
      <c r="IF419" s="2250"/>
      <c r="IG419" s="2250"/>
      <c r="IH419" s="2250"/>
      <c r="II419" s="2250"/>
      <c r="IJ419" s="2250"/>
      <c r="IK419" s="53"/>
      <c r="IL419" s="53"/>
      <c r="IN419" s="277"/>
      <c r="IO419" s="277"/>
    </row>
    <row r="420" spans="2:249" ht="21.95" customHeight="1">
      <c r="B420" s="284">
        <v>475</v>
      </c>
      <c r="C420" s="284">
        <f>VLOOKUP(C416,B388:M414,2,0)</f>
        <v>0</v>
      </c>
      <c r="D420" s="284">
        <f t="shared" si="215"/>
        <v>0</v>
      </c>
      <c r="E420" s="284">
        <v>550</v>
      </c>
      <c r="F420" s="2250"/>
      <c r="G420" s="2250"/>
      <c r="H420" s="2250"/>
      <c r="I420" s="2250"/>
      <c r="J420" s="2250"/>
      <c r="K420" s="2250"/>
      <c r="L420" s="2250"/>
      <c r="M420" s="2250"/>
      <c r="N420" s="2250"/>
      <c r="O420" s="2250"/>
      <c r="P420" s="284">
        <v>475</v>
      </c>
      <c r="Q420" s="284">
        <f>VLOOKUP(Q416,P388:AA414,2,0)</f>
        <v>6.81</v>
      </c>
      <c r="R420" s="284">
        <f t="shared" si="216"/>
        <v>13.25</v>
      </c>
      <c r="S420" s="284">
        <v>550</v>
      </c>
      <c r="T420" s="2250"/>
      <c r="U420" s="2250"/>
      <c r="V420" s="2250"/>
      <c r="W420" s="2250"/>
      <c r="X420" s="2250"/>
      <c r="Y420" s="2250"/>
      <c r="Z420" s="2250"/>
      <c r="AA420" s="2250"/>
      <c r="AB420" s="2250"/>
      <c r="AC420" s="2250"/>
      <c r="AD420" s="284">
        <v>475</v>
      </c>
      <c r="AE420" s="284">
        <f>VLOOKUP(AE416,AD388:AO414,2,0)</f>
        <v>5.67</v>
      </c>
      <c r="AF420" s="284">
        <f t="shared" si="217"/>
        <v>10.93</v>
      </c>
      <c r="AG420" s="284">
        <v>550</v>
      </c>
      <c r="AH420" s="2250"/>
      <c r="AI420" s="2250"/>
      <c r="AJ420" s="2250"/>
      <c r="AK420" s="2250"/>
      <c r="AL420" s="2250"/>
      <c r="AM420" s="2250"/>
      <c r="AN420" s="2250"/>
      <c r="AO420" s="2250"/>
      <c r="AP420" s="2250"/>
      <c r="AQ420" s="2250"/>
      <c r="AR420" s="284">
        <v>475</v>
      </c>
      <c r="AS420" s="284">
        <f>VLOOKUP(AS416,AR388:BC414,2,0)</f>
        <v>4.38</v>
      </c>
      <c r="AT420" s="284">
        <f t="shared" si="218"/>
        <v>8.23</v>
      </c>
      <c r="AU420" s="284">
        <v>550</v>
      </c>
      <c r="AV420" s="2250"/>
      <c r="AW420" s="2250"/>
      <c r="AX420" s="2250"/>
      <c r="AY420" s="2250"/>
      <c r="AZ420" s="2250"/>
      <c r="BA420" s="2250"/>
      <c r="BB420" s="2250"/>
      <c r="BC420" s="2250"/>
      <c r="BD420" s="2250"/>
      <c r="BE420" s="2250"/>
      <c r="BF420" s="2276"/>
      <c r="BG420" s="2276"/>
      <c r="BH420" s="2250"/>
      <c r="BI420" s="2275"/>
      <c r="BJ420" s="284">
        <v>475</v>
      </c>
      <c r="BK420" s="284">
        <f>VLOOKUP(BK416,BJ388:BU414,2,0)</f>
        <v>0</v>
      </c>
      <c r="BL420" s="284">
        <f t="shared" si="219"/>
        <v>0</v>
      </c>
      <c r="BM420" s="284">
        <v>550</v>
      </c>
      <c r="BN420" s="2250"/>
      <c r="BO420" s="2250"/>
      <c r="BP420" s="2250"/>
      <c r="BQ420" s="2250"/>
      <c r="BR420" s="2250"/>
      <c r="BS420" s="2250"/>
      <c r="BT420" s="2250"/>
      <c r="BU420" s="2250"/>
      <c r="BV420" s="2250"/>
      <c r="BW420" s="2250"/>
      <c r="BX420" s="284">
        <v>475</v>
      </c>
      <c r="BY420" s="284">
        <f>VLOOKUP(BY416,BX388:CI414,2,0)</f>
        <v>6.26</v>
      </c>
      <c r="BZ420" s="284">
        <f t="shared" si="220"/>
        <v>12.39</v>
      </c>
      <c r="CA420" s="284">
        <v>550</v>
      </c>
      <c r="CB420" s="2250"/>
      <c r="CC420" s="2250"/>
      <c r="CD420" s="2250"/>
      <c r="CE420" s="2250"/>
      <c r="CF420" s="2250"/>
      <c r="CG420" s="2250"/>
      <c r="CH420" s="2250"/>
      <c r="CI420" s="2250"/>
      <c r="CJ420" s="2250"/>
      <c r="CK420" s="2250"/>
      <c r="CL420" s="284">
        <v>475</v>
      </c>
      <c r="CM420" s="284">
        <f>VLOOKUP(CM416,CL388:CW414,2,0)</f>
        <v>5.2</v>
      </c>
      <c r="CN420" s="284">
        <f t="shared" si="221"/>
        <v>10.130000000000001</v>
      </c>
      <c r="CO420" s="284">
        <v>550</v>
      </c>
      <c r="CP420" s="2250"/>
      <c r="CQ420" s="2250"/>
      <c r="CR420" s="2250"/>
      <c r="CS420" s="2250"/>
      <c r="CT420" s="2250"/>
      <c r="CU420" s="2250"/>
      <c r="CV420" s="2250"/>
      <c r="CW420" s="2250"/>
      <c r="CX420" s="2250"/>
      <c r="CY420" s="2250"/>
      <c r="CZ420" s="284">
        <v>475</v>
      </c>
      <c r="DA420" s="284">
        <f>VLOOKUP(DA416,CZ388:DK414,2,0)</f>
        <v>4.08</v>
      </c>
      <c r="DB420" s="284">
        <f t="shared" si="222"/>
        <v>7.62</v>
      </c>
      <c r="DC420" s="284">
        <v>550</v>
      </c>
      <c r="DD420" s="2250"/>
      <c r="DE420" s="2250"/>
      <c r="DF420" s="2250"/>
      <c r="DG420" s="2250"/>
      <c r="DH420" s="2250"/>
      <c r="DI420" s="2250"/>
      <c r="DJ420" s="2250"/>
      <c r="DK420" s="2250"/>
      <c r="DL420" s="2250"/>
      <c r="DM420" s="2250"/>
      <c r="DN420" s="2250"/>
      <c r="DO420" s="53"/>
      <c r="DP420" s="53"/>
      <c r="DS420" s="277"/>
      <c r="DW420" s="1"/>
      <c r="DX420" s="284">
        <v>475</v>
      </c>
      <c r="DY420" s="284">
        <f>VLOOKUP(DY416,DX388:EI414,2,0)</f>
        <v>0</v>
      </c>
      <c r="DZ420" s="284">
        <f t="shared" si="223"/>
        <v>0</v>
      </c>
      <c r="EA420" s="284">
        <v>550</v>
      </c>
      <c r="EB420" s="2250"/>
      <c r="EC420" s="2250"/>
      <c r="ED420" s="2250"/>
      <c r="EE420" s="2250"/>
      <c r="EF420" s="2250"/>
      <c r="EG420" s="2250"/>
      <c r="EH420" s="2250"/>
      <c r="EI420" s="2250"/>
      <c r="EJ420" s="2250"/>
      <c r="EK420" s="2250"/>
      <c r="EL420" s="284">
        <v>475</v>
      </c>
      <c r="EM420" s="284">
        <f>VLOOKUP(EM416,EL388:EW414,2,0)</f>
        <v>9.8800000000000008</v>
      </c>
      <c r="EN420" s="284">
        <f t="shared" si="224"/>
        <v>19.329999999999998</v>
      </c>
      <c r="EO420" s="284">
        <v>550</v>
      </c>
      <c r="EP420" s="2250"/>
      <c r="EQ420" s="2250"/>
      <c r="ER420" s="2250"/>
      <c r="ES420" s="2250"/>
      <c r="ET420" s="2250"/>
      <c r="EU420" s="2250"/>
      <c r="EV420" s="2250"/>
      <c r="EW420" s="2250"/>
      <c r="EX420" s="2250"/>
      <c r="EY420" s="2250"/>
      <c r="EZ420" s="284">
        <v>475</v>
      </c>
      <c r="FA420" s="284">
        <f>VLOOKUP(FA416,EZ388:FK414,2,0)</f>
        <v>8.1999999999999993</v>
      </c>
      <c r="FB420" s="284">
        <f t="shared" si="225"/>
        <v>15.33</v>
      </c>
      <c r="FC420" s="284">
        <v>550</v>
      </c>
      <c r="FD420" s="2250"/>
      <c r="FE420" s="2250"/>
      <c r="FF420" s="2250"/>
      <c r="FG420" s="2250"/>
      <c r="FH420" s="2250"/>
      <c r="FI420" s="2250"/>
      <c r="FJ420" s="2250"/>
      <c r="FK420" s="2250"/>
      <c r="FL420" s="2250"/>
      <c r="FM420" s="2250"/>
      <c r="FN420" s="284">
        <v>475</v>
      </c>
      <c r="FO420" s="284">
        <f>VLOOKUP(FO416,FN388:FY414,2,0)</f>
        <v>6.77</v>
      </c>
      <c r="FP420" s="284">
        <f t="shared" si="226"/>
        <v>11.69</v>
      </c>
      <c r="FQ420" s="284">
        <v>550</v>
      </c>
      <c r="FR420" s="2250"/>
      <c r="FS420" s="2250"/>
      <c r="FT420" s="2250"/>
      <c r="FU420" s="2250"/>
      <c r="FV420" s="2250"/>
      <c r="FW420" s="2250"/>
      <c r="FX420" s="2250"/>
      <c r="FY420" s="2250"/>
      <c r="FZ420" s="2250"/>
      <c r="GA420" s="2250"/>
      <c r="GB420" s="2276"/>
      <c r="GC420" s="2276"/>
      <c r="GD420" s="2250"/>
      <c r="GE420" s="2275"/>
      <c r="GF420" s="284">
        <v>475</v>
      </c>
      <c r="GG420" s="284">
        <f>VLOOKUP(GG416,GF388:GQ414,2,0)</f>
        <v>0</v>
      </c>
      <c r="GH420" s="284">
        <f t="shared" si="227"/>
        <v>0</v>
      </c>
      <c r="GI420" s="284">
        <v>550</v>
      </c>
      <c r="GJ420" s="2250"/>
      <c r="GK420" s="2250"/>
      <c r="GL420" s="2250"/>
      <c r="GM420" s="2250"/>
      <c r="GN420" s="2250"/>
      <c r="GO420" s="2250"/>
      <c r="GP420" s="2250"/>
      <c r="GQ420" s="2250"/>
      <c r="GR420" s="2250"/>
      <c r="GS420" s="2250"/>
      <c r="GT420" s="284">
        <v>475</v>
      </c>
      <c r="GU420" s="284">
        <f>VLOOKUP(GU416,GT388:HE414,2,0)</f>
        <v>9.08</v>
      </c>
      <c r="GV420" s="284">
        <f t="shared" si="228"/>
        <v>17.79</v>
      </c>
      <c r="GW420" s="284">
        <v>550</v>
      </c>
      <c r="GX420" s="2250"/>
      <c r="GY420" s="2250"/>
      <c r="GZ420" s="2250"/>
      <c r="HA420" s="2250"/>
      <c r="HB420" s="2250"/>
      <c r="HC420" s="2250"/>
      <c r="HD420" s="2250"/>
      <c r="HE420" s="2250"/>
      <c r="HF420" s="2250"/>
      <c r="HG420" s="2250"/>
      <c r="HH420" s="284">
        <v>475</v>
      </c>
      <c r="HI420" s="284">
        <f>VLOOKUP(HI416,HH388:HS414,2,0)</f>
        <v>7.53</v>
      </c>
      <c r="HJ420" s="284">
        <f t="shared" si="229"/>
        <v>14.67</v>
      </c>
      <c r="HK420" s="284">
        <v>550</v>
      </c>
      <c r="HL420" s="2250"/>
      <c r="HM420" s="2250"/>
      <c r="HN420" s="2250"/>
      <c r="HO420" s="2250"/>
      <c r="HP420" s="2250"/>
      <c r="HQ420" s="2250"/>
      <c r="HR420" s="2250"/>
      <c r="HS420" s="2250"/>
      <c r="HT420" s="2250"/>
      <c r="HU420" s="2250"/>
      <c r="HV420" s="284">
        <v>475</v>
      </c>
      <c r="HW420" s="284">
        <f>VLOOKUP(HW416,HV388:IG414,2,0)</f>
        <v>6</v>
      </c>
      <c r="HX420" s="284">
        <f t="shared" si="230"/>
        <v>11.15</v>
      </c>
      <c r="HY420" s="284">
        <v>550</v>
      </c>
      <c r="HZ420" s="2250"/>
      <c r="IA420" s="2250"/>
      <c r="IB420" s="2250"/>
      <c r="IC420" s="2250"/>
      <c r="ID420" s="2250"/>
      <c r="IE420" s="2250"/>
      <c r="IF420" s="2250"/>
      <c r="IG420" s="2250"/>
      <c r="IH420" s="2250"/>
      <c r="II420" s="2250"/>
      <c r="IJ420" s="2250"/>
      <c r="IK420" s="53"/>
      <c r="IL420" s="53"/>
      <c r="IN420" s="277"/>
      <c r="IO420" s="277"/>
    </row>
    <row r="421" spans="2:249" ht="21.95" customHeight="1">
      <c r="B421" s="284">
        <v>550</v>
      </c>
      <c r="C421" s="284">
        <f>VLOOKUP(C416,B388:M414,3,0)</f>
        <v>0</v>
      </c>
      <c r="D421" s="284">
        <f t="shared" si="215"/>
        <v>0</v>
      </c>
      <c r="E421" s="284">
        <v>650</v>
      </c>
      <c r="F421" s="2250"/>
      <c r="G421" s="2250"/>
      <c r="H421" s="2250"/>
      <c r="I421" s="2250"/>
      <c r="J421" s="2250"/>
      <c r="K421" s="2250"/>
      <c r="L421" s="2250"/>
      <c r="M421" s="2250"/>
      <c r="N421" s="2250"/>
      <c r="O421" s="2250"/>
      <c r="P421" s="284">
        <v>550</v>
      </c>
      <c r="Q421" s="284">
        <f>VLOOKUP(Q416,P388:AA414,3,0)</f>
        <v>13.25</v>
      </c>
      <c r="R421" s="284">
        <f t="shared" si="216"/>
        <v>22.39</v>
      </c>
      <c r="S421" s="284">
        <v>650</v>
      </c>
      <c r="T421" s="2250"/>
      <c r="U421" s="2250"/>
      <c r="V421" s="2250"/>
      <c r="W421" s="2250"/>
      <c r="X421" s="2250"/>
      <c r="Y421" s="2250"/>
      <c r="Z421" s="2250"/>
      <c r="AA421" s="2250"/>
      <c r="AB421" s="2250"/>
      <c r="AC421" s="2250"/>
      <c r="AD421" s="284">
        <v>550</v>
      </c>
      <c r="AE421" s="284">
        <f>VLOOKUP(AE416,AD388:AO414,3,0)</f>
        <v>10.93</v>
      </c>
      <c r="AF421" s="284">
        <f t="shared" si="217"/>
        <v>18.670000000000002</v>
      </c>
      <c r="AG421" s="284">
        <v>650</v>
      </c>
      <c r="AH421" s="2250"/>
      <c r="AI421" s="2250"/>
      <c r="AJ421" s="2250"/>
      <c r="AK421" s="2250"/>
      <c r="AL421" s="2250"/>
      <c r="AM421" s="2250"/>
      <c r="AN421" s="2250"/>
      <c r="AO421" s="2250"/>
      <c r="AP421" s="2250"/>
      <c r="AQ421" s="2250"/>
      <c r="AR421" s="284">
        <v>550</v>
      </c>
      <c r="AS421" s="284">
        <f>VLOOKUP(AS416,AR388:BC414,3,0)</f>
        <v>8.23</v>
      </c>
      <c r="AT421" s="284">
        <f t="shared" si="218"/>
        <v>13.38</v>
      </c>
      <c r="AU421" s="284">
        <v>650</v>
      </c>
      <c r="AV421" s="2250"/>
      <c r="AW421" s="2250"/>
      <c r="AX421" s="2250"/>
      <c r="AY421" s="2250"/>
      <c r="AZ421" s="2250"/>
      <c r="BA421" s="2250"/>
      <c r="BB421" s="2250"/>
      <c r="BC421" s="2250"/>
      <c r="BD421" s="2250"/>
      <c r="BE421" s="2250"/>
      <c r="BF421" s="2276"/>
      <c r="BG421" s="2276"/>
      <c r="BH421" s="2250"/>
      <c r="BI421" s="2275"/>
      <c r="BJ421" s="284">
        <v>550</v>
      </c>
      <c r="BK421" s="284">
        <f>VLOOKUP(BK416,BJ388:BU414,3,0)</f>
        <v>0</v>
      </c>
      <c r="BL421" s="284">
        <f t="shared" si="219"/>
        <v>0</v>
      </c>
      <c r="BM421" s="284">
        <v>650</v>
      </c>
      <c r="BN421" s="2250"/>
      <c r="BO421" s="2250"/>
      <c r="BP421" s="2250"/>
      <c r="BQ421" s="2250"/>
      <c r="BR421" s="2250"/>
      <c r="BS421" s="2250"/>
      <c r="BT421" s="2250"/>
      <c r="BU421" s="2250"/>
      <c r="BV421" s="2250"/>
      <c r="BW421" s="2250"/>
      <c r="BX421" s="284">
        <v>550</v>
      </c>
      <c r="BY421" s="284">
        <f>VLOOKUP(BY416,BX388:CI414,3,0)</f>
        <v>12.39</v>
      </c>
      <c r="BZ421" s="284">
        <f t="shared" si="220"/>
        <v>21.1</v>
      </c>
      <c r="CA421" s="284">
        <v>650</v>
      </c>
      <c r="CB421" s="2250"/>
      <c r="CC421" s="2250"/>
      <c r="CD421" s="2250"/>
      <c r="CE421" s="2250"/>
      <c r="CF421" s="2250"/>
      <c r="CG421" s="2250"/>
      <c r="CH421" s="2250"/>
      <c r="CI421" s="2250"/>
      <c r="CJ421" s="2250"/>
      <c r="CK421" s="2250"/>
      <c r="CL421" s="284">
        <v>550</v>
      </c>
      <c r="CM421" s="284">
        <f>VLOOKUP(CM416,CL388:CW414,3,0)</f>
        <v>10.130000000000001</v>
      </c>
      <c r="CN421" s="284">
        <f t="shared" si="221"/>
        <v>16.93</v>
      </c>
      <c r="CO421" s="284">
        <v>650</v>
      </c>
      <c r="CP421" s="2250"/>
      <c r="CQ421" s="2250"/>
      <c r="CR421" s="2250"/>
      <c r="CS421" s="2250"/>
      <c r="CT421" s="2250"/>
      <c r="CU421" s="2250"/>
      <c r="CV421" s="2250"/>
      <c r="CW421" s="2250"/>
      <c r="CX421" s="2250"/>
      <c r="CY421" s="2250"/>
      <c r="CZ421" s="284">
        <v>550</v>
      </c>
      <c r="DA421" s="284">
        <f>VLOOKUP(DA416,CZ388:DK414,3,0)</f>
        <v>7.62</v>
      </c>
      <c r="DB421" s="284">
        <f t="shared" si="222"/>
        <v>12.69</v>
      </c>
      <c r="DC421" s="284">
        <v>650</v>
      </c>
      <c r="DD421" s="2250"/>
      <c r="DE421" s="2250"/>
      <c r="DF421" s="2250"/>
      <c r="DG421" s="2250"/>
      <c r="DH421" s="2250"/>
      <c r="DI421" s="2250"/>
      <c r="DJ421" s="2250"/>
      <c r="DK421" s="2250"/>
      <c r="DL421" s="2250"/>
      <c r="DM421" s="2250"/>
      <c r="DN421" s="2250"/>
      <c r="DO421" s="53"/>
      <c r="DP421" s="53"/>
      <c r="DS421" s="277"/>
      <c r="DW421" s="1"/>
      <c r="DX421" s="284">
        <v>550</v>
      </c>
      <c r="DY421" s="284">
        <f>VLOOKUP(DY416,DX388:EI414,3,0)</f>
        <v>0</v>
      </c>
      <c r="DZ421" s="284">
        <f t="shared" si="223"/>
        <v>0</v>
      </c>
      <c r="EA421" s="284">
        <v>650</v>
      </c>
      <c r="EB421" s="2250"/>
      <c r="EC421" s="2250"/>
      <c r="ED421" s="2250"/>
      <c r="EE421" s="2250"/>
      <c r="EF421" s="2250"/>
      <c r="EG421" s="2250"/>
      <c r="EH421" s="2250"/>
      <c r="EI421" s="2250"/>
      <c r="EJ421" s="2250"/>
      <c r="EK421" s="2250"/>
      <c r="EL421" s="284">
        <v>550</v>
      </c>
      <c r="EM421" s="284">
        <f>VLOOKUP(EM416,EL388:EW414,3,0)</f>
        <v>19.329999999999998</v>
      </c>
      <c r="EN421" s="284">
        <f t="shared" si="224"/>
        <v>32.82</v>
      </c>
      <c r="EO421" s="284">
        <v>650</v>
      </c>
      <c r="EP421" s="2250"/>
      <c r="EQ421" s="2250"/>
      <c r="ER421" s="2250"/>
      <c r="ES421" s="2250"/>
      <c r="ET421" s="2250"/>
      <c r="EU421" s="2250"/>
      <c r="EV421" s="2250"/>
      <c r="EW421" s="2250"/>
      <c r="EX421" s="2250"/>
      <c r="EY421" s="2250"/>
      <c r="EZ421" s="284">
        <v>550</v>
      </c>
      <c r="FA421" s="284">
        <f>VLOOKUP(FA416,EZ388:FK414,3,0)</f>
        <v>15.33</v>
      </c>
      <c r="FB421" s="284">
        <f t="shared" si="225"/>
        <v>25.8</v>
      </c>
      <c r="FC421" s="284">
        <v>650</v>
      </c>
      <c r="FD421" s="2250"/>
      <c r="FE421" s="2250"/>
      <c r="FF421" s="2250"/>
      <c r="FG421" s="2250"/>
      <c r="FH421" s="2250"/>
      <c r="FI421" s="2250"/>
      <c r="FJ421" s="2250"/>
      <c r="FK421" s="2250"/>
      <c r="FL421" s="2250"/>
      <c r="FM421" s="2250"/>
      <c r="FN421" s="284">
        <v>550</v>
      </c>
      <c r="FO421" s="284">
        <f>VLOOKUP(FO416,FN388:FY414,3,0)</f>
        <v>11.69</v>
      </c>
      <c r="FP421" s="284">
        <f t="shared" si="226"/>
        <v>19.62</v>
      </c>
      <c r="FQ421" s="284">
        <v>650</v>
      </c>
      <c r="FR421" s="2250"/>
      <c r="FS421" s="2250"/>
      <c r="FT421" s="2250"/>
      <c r="FU421" s="2250"/>
      <c r="FV421" s="2250"/>
      <c r="FW421" s="2250"/>
      <c r="FX421" s="2250"/>
      <c r="FY421" s="2250"/>
      <c r="FZ421" s="2250"/>
      <c r="GA421" s="2250"/>
      <c r="GB421" s="2276"/>
      <c r="GC421" s="2276"/>
      <c r="GD421" s="2250"/>
      <c r="GE421" s="2275"/>
      <c r="GF421" s="284">
        <v>550</v>
      </c>
      <c r="GG421" s="284">
        <f>VLOOKUP(GG416,GF388:GQ414,3,0)</f>
        <v>0</v>
      </c>
      <c r="GH421" s="284">
        <f t="shared" si="227"/>
        <v>0</v>
      </c>
      <c r="GI421" s="284">
        <v>650</v>
      </c>
      <c r="GJ421" s="2250"/>
      <c r="GK421" s="2250"/>
      <c r="GL421" s="2250"/>
      <c r="GM421" s="2250"/>
      <c r="GN421" s="2250"/>
      <c r="GO421" s="2250"/>
      <c r="GP421" s="2250"/>
      <c r="GQ421" s="2250"/>
      <c r="GR421" s="2250"/>
      <c r="GS421" s="2250"/>
      <c r="GT421" s="284">
        <v>550</v>
      </c>
      <c r="GU421" s="284">
        <f>VLOOKUP(GU416,GT388:HE414,3,0)</f>
        <v>17.79</v>
      </c>
      <c r="GV421" s="284">
        <f t="shared" si="228"/>
        <v>30.18</v>
      </c>
      <c r="GW421" s="284">
        <v>650</v>
      </c>
      <c r="GX421" s="2250"/>
      <c r="GY421" s="2250"/>
      <c r="GZ421" s="2250"/>
      <c r="HA421" s="2250"/>
      <c r="HB421" s="2250"/>
      <c r="HC421" s="2250"/>
      <c r="HD421" s="2250"/>
      <c r="HE421" s="2250"/>
      <c r="HF421" s="2250"/>
      <c r="HG421" s="2250"/>
      <c r="HH421" s="284">
        <v>550</v>
      </c>
      <c r="HI421" s="284">
        <f>VLOOKUP(HI416,HH388:HS414,3,0)</f>
        <v>14.67</v>
      </c>
      <c r="HJ421" s="284">
        <f t="shared" si="229"/>
        <v>23.53</v>
      </c>
      <c r="HK421" s="284">
        <v>650</v>
      </c>
      <c r="HL421" s="2250"/>
      <c r="HM421" s="2250"/>
      <c r="HN421" s="2250"/>
      <c r="HO421" s="2250"/>
      <c r="HP421" s="2250"/>
      <c r="HQ421" s="2250"/>
      <c r="HR421" s="2250"/>
      <c r="HS421" s="2250"/>
      <c r="HT421" s="2250"/>
      <c r="HU421" s="2250"/>
      <c r="HV421" s="284">
        <v>550</v>
      </c>
      <c r="HW421" s="284">
        <f>VLOOKUP(HW416,HV388:IG414,3,0)</f>
        <v>11.15</v>
      </c>
      <c r="HX421" s="284">
        <f t="shared" si="230"/>
        <v>17.920000000000002</v>
      </c>
      <c r="HY421" s="284">
        <v>650</v>
      </c>
      <c r="HZ421" s="2250"/>
      <c r="IA421" s="2250"/>
      <c r="IB421" s="2250"/>
      <c r="IC421" s="2250"/>
      <c r="ID421" s="2250"/>
      <c r="IE421" s="2250"/>
      <c r="IF421" s="2250"/>
      <c r="IG421" s="2250"/>
      <c r="IH421" s="2250"/>
      <c r="II421" s="2250"/>
      <c r="IJ421" s="2250"/>
      <c r="IK421" s="53"/>
      <c r="IL421" s="53"/>
      <c r="IN421" s="277"/>
      <c r="IO421" s="277"/>
    </row>
    <row r="422" spans="2:249" ht="21.95" customHeight="1">
      <c r="B422" s="284">
        <v>650</v>
      </c>
      <c r="C422" s="284">
        <f>VLOOKUP(C416,B388:M414,4,0)</f>
        <v>0</v>
      </c>
      <c r="D422" s="284">
        <f t="shared" si="215"/>
        <v>0</v>
      </c>
      <c r="E422" s="284">
        <v>775</v>
      </c>
      <c r="F422" s="2250"/>
      <c r="G422" s="2250"/>
      <c r="H422" s="2250"/>
      <c r="I422" s="2250"/>
      <c r="J422" s="2250"/>
      <c r="K422" s="2250"/>
      <c r="L422" s="2250"/>
      <c r="M422" s="2250"/>
      <c r="N422" s="2250"/>
      <c r="O422" s="2250"/>
      <c r="P422" s="284">
        <v>650</v>
      </c>
      <c r="Q422" s="284">
        <f>VLOOKUP(Q416,P388:AA414,4,0)</f>
        <v>22.39</v>
      </c>
      <c r="R422" s="284">
        <f t="shared" si="216"/>
        <v>36.32</v>
      </c>
      <c r="S422" s="284">
        <v>775</v>
      </c>
      <c r="T422" s="2250"/>
      <c r="U422" s="2250"/>
      <c r="V422" s="2250"/>
      <c r="W422" s="2250"/>
      <c r="X422" s="2250"/>
      <c r="Y422" s="2250"/>
      <c r="Z422" s="2250"/>
      <c r="AA422" s="2250"/>
      <c r="AB422" s="2250"/>
      <c r="AC422" s="2250"/>
      <c r="AD422" s="284">
        <v>650</v>
      </c>
      <c r="AE422" s="284">
        <f>VLOOKUP(AE416,AD388:AO414,4,0)</f>
        <v>18.670000000000002</v>
      </c>
      <c r="AF422" s="284">
        <f t="shared" si="217"/>
        <v>28.07</v>
      </c>
      <c r="AG422" s="284">
        <v>775</v>
      </c>
      <c r="AH422" s="2250"/>
      <c r="AI422" s="2250"/>
      <c r="AJ422" s="2250"/>
      <c r="AK422" s="2250"/>
      <c r="AL422" s="2250"/>
      <c r="AM422" s="2250"/>
      <c r="AN422" s="2250"/>
      <c r="AO422" s="2250"/>
      <c r="AP422" s="2250"/>
      <c r="AQ422" s="2250"/>
      <c r="AR422" s="284">
        <v>650</v>
      </c>
      <c r="AS422" s="284">
        <f>VLOOKUP(AS416,AR388:BC414,4,0)</f>
        <v>13.38</v>
      </c>
      <c r="AT422" s="284">
        <f t="shared" si="218"/>
        <v>21.08</v>
      </c>
      <c r="AU422" s="284">
        <v>775</v>
      </c>
      <c r="AV422" s="2250"/>
      <c r="AW422" s="2250"/>
      <c r="AX422" s="2250"/>
      <c r="AY422" s="2250"/>
      <c r="AZ422" s="2250"/>
      <c r="BA422" s="2250"/>
      <c r="BB422" s="2250"/>
      <c r="BC422" s="2250"/>
      <c r="BD422" s="2250"/>
      <c r="BE422" s="2250"/>
      <c r="BF422" s="2276"/>
      <c r="BG422" s="2276"/>
      <c r="BH422" s="2250"/>
      <c r="BI422" s="2275"/>
      <c r="BJ422" s="284">
        <v>650</v>
      </c>
      <c r="BK422" s="284">
        <f>VLOOKUP(BK416,BJ388:BU414,4,0)</f>
        <v>0</v>
      </c>
      <c r="BL422" s="284">
        <f t="shared" si="219"/>
        <v>0</v>
      </c>
      <c r="BM422" s="284">
        <v>775</v>
      </c>
      <c r="BN422" s="2250"/>
      <c r="BO422" s="2250"/>
      <c r="BP422" s="2250"/>
      <c r="BQ422" s="2250"/>
      <c r="BR422" s="2250"/>
      <c r="BS422" s="2250"/>
      <c r="BT422" s="2250"/>
      <c r="BU422" s="2250"/>
      <c r="BV422" s="2250"/>
      <c r="BW422" s="2250"/>
      <c r="BX422" s="284">
        <v>650</v>
      </c>
      <c r="BY422" s="284">
        <f>VLOOKUP(BY416,BX388:CI414,4,0)</f>
        <v>21.1</v>
      </c>
      <c r="BZ422" s="284">
        <f t="shared" si="220"/>
        <v>33.5</v>
      </c>
      <c r="CA422" s="284">
        <v>775</v>
      </c>
      <c r="CB422" s="2250"/>
      <c r="CC422" s="2250"/>
      <c r="CD422" s="2250"/>
      <c r="CE422" s="2250"/>
      <c r="CF422" s="2250"/>
      <c r="CG422" s="2250"/>
      <c r="CH422" s="2250"/>
      <c r="CI422" s="2250"/>
      <c r="CJ422" s="2250"/>
      <c r="CK422" s="2250"/>
      <c r="CL422" s="284">
        <v>650</v>
      </c>
      <c r="CM422" s="284">
        <f>VLOOKUP(CM416,CL388:CW414,4,0)</f>
        <v>16.93</v>
      </c>
      <c r="CN422" s="284">
        <f t="shared" si="221"/>
        <v>26.93</v>
      </c>
      <c r="CO422" s="284">
        <v>775</v>
      </c>
      <c r="CP422" s="2250"/>
      <c r="CQ422" s="2250"/>
      <c r="CR422" s="2250"/>
      <c r="CS422" s="2250"/>
      <c r="CT422" s="2250"/>
      <c r="CU422" s="2250"/>
      <c r="CV422" s="2250"/>
      <c r="CW422" s="2250"/>
      <c r="CX422" s="2250"/>
      <c r="CY422" s="2250"/>
      <c r="CZ422" s="284">
        <v>650</v>
      </c>
      <c r="DA422" s="284">
        <f>VLOOKUP(DA416,CZ388:DK414,4,0)</f>
        <v>12.69</v>
      </c>
      <c r="DB422" s="284">
        <f t="shared" si="222"/>
        <v>20.149999999999999</v>
      </c>
      <c r="DC422" s="284">
        <v>775</v>
      </c>
      <c r="DD422" s="2250"/>
      <c r="DE422" s="2250"/>
      <c r="DF422" s="2250"/>
      <c r="DG422" s="2250"/>
      <c r="DH422" s="2250"/>
      <c r="DI422" s="2250"/>
      <c r="DJ422" s="2250"/>
      <c r="DK422" s="2250"/>
      <c r="DL422" s="2250"/>
      <c r="DM422" s="2250"/>
      <c r="DN422" s="2250"/>
      <c r="DO422" s="53"/>
      <c r="DP422" s="53"/>
      <c r="DS422" s="277"/>
      <c r="DW422" s="1"/>
      <c r="DX422" s="284">
        <v>650</v>
      </c>
      <c r="DY422" s="284">
        <f>VLOOKUP(DY416,DX388:EI414,4,0)</f>
        <v>0</v>
      </c>
      <c r="DZ422" s="284">
        <f t="shared" si="223"/>
        <v>0</v>
      </c>
      <c r="EA422" s="284">
        <v>775</v>
      </c>
      <c r="EB422" s="2250"/>
      <c r="EC422" s="2250"/>
      <c r="ED422" s="2250"/>
      <c r="EE422" s="2250"/>
      <c r="EF422" s="2250"/>
      <c r="EG422" s="2250"/>
      <c r="EH422" s="2250"/>
      <c r="EI422" s="2250"/>
      <c r="EJ422" s="2250"/>
      <c r="EK422" s="2250"/>
      <c r="EL422" s="284">
        <v>650</v>
      </c>
      <c r="EM422" s="284">
        <f>VLOOKUP(EM416,EL388:EW414,4,0)</f>
        <v>32.82</v>
      </c>
      <c r="EN422" s="284">
        <f t="shared" si="224"/>
        <v>53.31</v>
      </c>
      <c r="EO422" s="284">
        <v>775</v>
      </c>
      <c r="EP422" s="2250"/>
      <c r="EQ422" s="2250"/>
      <c r="ER422" s="2250"/>
      <c r="ES422" s="2250"/>
      <c r="ET422" s="2250"/>
      <c r="EU422" s="2250"/>
      <c r="EV422" s="2250"/>
      <c r="EW422" s="2250"/>
      <c r="EX422" s="2250"/>
      <c r="EY422" s="2250"/>
      <c r="EZ422" s="284">
        <v>650</v>
      </c>
      <c r="FA422" s="284">
        <f>VLOOKUP(FA416,EZ388:FK414,4,0)</f>
        <v>25.8</v>
      </c>
      <c r="FB422" s="284">
        <f t="shared" si="225"/>
        <v>41.73</v>
      </c>
      <c r="FC422" s="284">
        <v>775</v>
      </c>
      <c r="FD422" s="2250"/>
      <c r="FE422" s="2250"/>
      <c r="FF422" s="2250"/>
      <c r="FG422" s="2250"/>
      <c r="FH422" s="2250"/>
      <c r="FI422" s="2250"/>
      <c r="FJ422" s="2250"/>
      <c r="FK422" s="2250"/>
      <c r="FL422" s="2250"/>
      <c r="FM422" s="2250"/>
      <c r="FN422" s="284">
        <v>650</v>
      </c>
      <c r="FO422" s="284">
        <f>VLOOKUP(FO416,FN388:FY414,4,0)</f>
        <v>19.62</v>
      </c>
      <c r="FP422" s="284">
        <f t="shared" si="226"/>
        <v>31.77</v>
      </c>
      <c r="FQ422" s="284">
        <v>775</v>
      </c>
      <c r="FR422" s="2250"/>
      <c r="FS422" s="2250"/>
      <c r="FT422" s="2250"/>
      <c r="FU422" s="2250"/>
      <c r="FV422" s="2250"/>
      <c r="FW422" s="2250"/>
      <c r="FX422" s="2250"/>
      <c r="FY422" s="2250"/>
      <c r="FZ422" s="2250"/>
      <c r="GA422" s="2250"/>
      <c r="GB422" s="2276"/>
      <c r="GC422" s="2276"/>
      <c r="GD422" s="2250"/>
      <c r="GE422" s="2275"/>
      <c r="GF422" s="284">
        <v>650</v>
      </c>
      <c r="GG422" s="284">
        <f>VLOOKUP(GG416,GF388:GQ414,4,0)</f>
        <v>0</v>
      </c>
      <c r="GH422" s="284">
        <f t="shared" si="227"/>
        <v>0</v>
      </c>
      <c r="GI422" s="284">
        <v>775</v>
      </c>
      <c r="GJ422" s="2250"/>
      <c r="GK422" s="2250"/>
      <c r="GL422" s="2250"/>
      <c r="GM422" s="2250"/>
      <c r="GN422" s="2250"/>
      <c r="GO422" s="2250"/>
      <c r="GP422" s="2250"/>
      <c r="GQ422" s="2250"/>
      <c r="GR422" s="2250"/>
      <c r="GS422" s="2250"/>
      <c r="GT422" s="284">
        <v>650</v>
      </c>
      <c r="GU422" s="284">
        <f>VLOOKUP(GU416,GT388:HE414,4,0)</f>
        <v>30.18</v>
      </c>
      <c r="GV422" s="284">
        <f t="shared" si="228"/>
        <v>48.77</v>
      </c>
      <c r="GW422" s="284">
        <v>775</v>
      </c>
      <c r="GX422" s="2250"/>
      <c r="GY422" s="2250"/>
      <c r="GZ422" s="2250"/>
      <c r="HA422" s="2250"/>
      <c r="HB422" s="2250"/>
      <c r="HC422" s="2250"/>
      <c r="HD422" s="2250"/>
      <c r="HE422" s="2250"/>
      <c r="HF422" s="2250"/>
      <c r="HG422" s="2250"/>
      <c r="HH422" s="284">
        <v>650</v>
      </c>
      <c r="HI422" s="284">
        <f>VLOOKUP(HI416,HH388:HS414,4,0)</f>
        <v>23.53</v>
      </c>
      <c r="HJ422" s="284">
        <f t="shared" si="229"/>
        <v>37.67</v>
      </c>
      <c r="HK422" s="284">
        <v>775</v>
      </c>
      <c r="HL422" s="2250"/>
      <c r="HM422" s="2250"/>
      <c r="HN422" s="2250"/>
      <c r="HO422" s="2250"/>
      <c r="HP422" s="2250"/>
      <c r="HQ422" s="2250"/>
      <c r="HR422" s="2250"/>
      <c r="HS422" s="2250"/>
      <c r="HT422" s="2250"/>
      <c r="HU422" s="2250"/>
      <c r="HV422" s="284">
        <v>650</v>
      </c>
      <c r="HW422" s="284">
        <f>VLOOKUP(HW416,HV388:IG414,4,0)</f>
        <v>17.920000000000002</v>
      </c>
      <c r="HX422" s="284">
        <f t="shared" si="230"/>
        <v>28.62</v>
      </c>
      <c r="HY422" s="284">
        <v>775</v>
      </c>
      <c r="HZ422" s="2250"/>
      <c r="IA422" s="2250"/>
      <c r="IB422" s="2250"/>
      <c r="IC422" s="2250"/>
      <c r="ID422" s="2250"/>
      <c r="IE422" s="2250"/>
      <c r="IF422" s="2250"/>
      <c r="IG422" s="2250"/>
      <c r="IH422" s="2250"/>
      <c r="II422" s="2250"/>
      <c r="IJ422" s="2250"/>
      <c r="IK422" s="53"/>
      <c r="IL422" s="53"/>
      <c r="IN422" s="277"/>
      <c r="IO422" s="277"/>
    </row>
    <row r="423" spans="2:249" ht="21.95" customHeight="1">
      <c r="B423" s="284">
        <v>775</v>
      </c>
      <c r="C423" s="284">
        <f>VLOOKUP(C416,B388:M414,5,0)</f>
        <v>0</v>
      </c>
      <c r="D423" s="284">
        <f t="shared" si="215"/>
        <v>0</v>
      </c>
      <c r="E423" s="284">
        <v>825</v>
      </c>
      <c r="F423" s="2250"/>
      <c r="G423" s="2250"/>
      <c r="H423" s="2250"/>
      <c r="I423" s="2250"/>
      <c r="J423" s="2250"/>
      <c r="K423" s="2250"/>
      <c r="L423" s="2250"/>
      <c r="M423" s="2250"/>
      <c r="N423" s="2250"/>
      <c r="O423" s="2250"/>
      <c r="P423" s="284">
        <v>775</v>
      </c>
      <c r="Q423" s="284">
        <f>VLOOKUP(Q416,P388:AA414,5,0)</f>
        <v>36.32</v>
      </c>
      <c r="R423" s="284">
        <f t="shared" si="216"/>
        <v>49.69</v>
      </c>
      <c r="S423" s="284">
        <v>825</v>
      </c>
      <c r="T423" s="2250"/>
      <c r="U423" s="2250"/>
      <c r="V423" s="2250"/>
      <c r="W423" s="2250"/>
      <c r="X423" s="2250"/>
      <c r="Y423" s="2250"/>
      <c r="Z423" s="2250"/>
      <c r="AA423" s="2250"/>
      <c r="AB423" s="2250"/>
      <c r="AC423" s="2250"/>
      <c r="AD423" s="284">
        <v>775</v>
      </c>
      <c r="AE423" s="284">
        <f>VLOOKUP(AE416,AD388:AO414,5,0)</f>
        <v>28.07</v>
      </c>
      <c r="AF423" s="284">
        <f t="shared" si="217"/>
        <v>35.869999999999997</v>
      </c>
      <c r="AG423" s="284">
        <v>825</v>
      </c>
      <c r="AH423" s="2250"/>
      <c r="AI423" s="2250"/>
      <c r="AJ423" s="2250"/>
      <c r="AK423" s="2250"/>
      <c r="AL423" s="2250"/>
      <c r="AM423" s="2250"/>
      <c r="AN423" s="2250"/>
      <c r="AO423" s="2250"/>
      <c r="AP423" s="2250"/>
      <c r="AQ423" s="2250"/>
      <c r="AR423" s="284">
        <v>775</v>
      </c>
      <c r="AS423" s="284">
        <f>VLOOKUP(AS416,AR388:BC414,5,0)</f>
        <v>21.08</v>
      </c>
      <c r="AT423" s="284">
        <f t="shared" si="218"/>
        <v>27.15</v>
      </c>
      <c r="AU423" s="284">
        <v>825</v>
      </c>
      <c r="AV423" s="2250"/>
      <c r="AW423" s="2250"/>
      <c r="AX423" s="2250"/>
      <c r="AY423" s="2250"/>
      <c r="AZ423" s="2250"/>
      <c r="BA423" s="2250"/>
      <c r="BB423" s="2250"/>
      <c r="BC423" s="2250"/>
      <c r="BD423" s="2250"/>
      <c r="BE423" s="2250"/>
      <c r="BF423" s="2276"/>
      <c r="BG423" s="2276"/>
      <c r="BH423" s="2250"/>
      <c r="BI423" s="2275"/>
      <c r="BJ423" s="284">
        <v>775</v>
      </c>
      <c r="BK423" s="284">
        <f>VLOOKUP(BK416,BJ388:BU414,5,0)</f>
        <v>0</v>
      </c>
      <c r="BL423" s="284">
        <f t="shared" si="219"/>
        <v>0</v>
      </c>
      <c r="BM423" s="284">
        <v>825</v>
      </c>
      <c r="BN423" s="2250"/>
      <c r="BO423" s="2250"/>
      <c r="BP423" s="2250"/>
      <c r="BQ423" s="2250"/>
      <c r="BR423" s="2250"/>
      <c r="BS423" s="2250"/>
      <c r="BT423" s="2250"/>
      <c r="BU423" s="2250"/>
      <c r="BV423" s="2250"/>
      <c r="BW423" s="2250"/>
      <c r="BX423" s="284">
        <v>775</v>
      </c>
      <c r="BY423" s="284">
        <f>VLOOKUP(BY416,BX388:CI414,5,0)</f>
        <v>33.5</v>
      </c>
      <c r="BZ423" s="284">
        <f t="shared" si="220"/>
        <v>44.91</v>
      </c>
      <c r="CA423" s="284">
        <v>825</v>
      </c>
      <c r="CB423" s="2250"/>
      <c r="CC423" s="2250"/>
      <c r="CD423" s="2250"/>
      <c r="CE423" s="2250"/>
      <c r="CF423" s="2250"/>
      <c r="CG423" s="2250"/>
      <c r="CH423" s="2250"/>
      <c r="CI423" s="2250"/>
      <c r="CJ423" s="2250"/>
      <c r="CK423" s="2250"/>
      <c r="CL423" s="284">
        <v>775</v>
      </c>
      <c r="CM423" s="284">
        <f>VLOOKUP(CM416,CL388:CW414,5,0)</f>
        <v>26.93</v>
      </c>
      <c r="CN423" s="284">
        <f t="shared" si="221"/>
        <v>32.4</v>
      </c>
      <c r="CO423" s="284">
        <v>825</v>
      </c>
      <c r="CP423" s="2250"/>
      <c r="CQ423" s="2250"/>
      <c r="CR423" s="2250"/>
      <c r="CS423" s="2250"/>
      <c r="CT423" s="2250"/>
      <c r="CU423" s="2250"/>
      <c r="CV423" s="2250"/>
      <c r="CW423" s="2250"/>
      <c r="CX423" s="2250"/>
      <c r="CY423" s="2250"/>
      <c r="CZ423" s="284">
        <v>775</v>
      </c>
      <c r="DA423" s="284">
        <f>VLOOKUP(DA416,CZ388:DK414,5,0)</f>
        <v>20.149999999999999</v>
      </c>
      <c r="DB423" s="284">
        <f t="shared" si="222"/>
        <v>24.54</v>
      </c>
      <c r="DC423" s="284">
        <v>825</v>
      </c>
      <c r="DD423" s="2250"/>
      <c r="DE423" s="2250"/>
      <c r="DF423" s="2250"/>
      <c r="DG423" s="2250"/>
      <c r="DH423" s="2250"/>
      <c r="DI423" s="2250"/>
      <c r="DJ423" s="2250"/>
      <c r="DK423" s="2250"/>
      <c r="DL423" s="2250"/>
      <c r="DM423" s="2250"/>
      <c r="DN423" s="2250"/>
      <c r="DO423" s="53"/>
      <c r="DP423" s="53"/>
      <c r="DS423" s="277"/>
      <c r="DW423" s="1"/>
      <c r="DX423" s="284">
        <v>775</v>
      </c>
      <c r="DY423" s="284">
        <f>VLOOKUP(DY416,DX388:EI414,5,0)</f>
        <v>0</v>
      </c>
      <c r="DZ423" s="284">
        <f t="shared" si="223"/>
        <v>0</v>
      </c>
      <c r="EA423" s="284">
        <v>825</v>
      </c>
      <c r="EB423" s="2250"/>
      <c r="EC423" s="2250"/>
      <c r="ED423" s="2250"/>
      <c r="EE423" s="2250"/>
      <c r="EF423" s="2250"/>
      <c r="EG423" s="2250"/>
      <c r="EH423" s="2250"/>
      <c r="EI423" s="2250"/>
      <c r="EJ423" s="2250"/>
      <c r="EK423" s="2250"/>
      <c r="EL423" s="284">
        <v>775</v>
      </c>
      <c r="EM423" s="284">
        <f>VLOOKUP(EM416,EL388:EW414,5,0)</f>
        <v>53.31</v>
      </c>
      <c r="EN423" s="284">
        <f t="shared" si="224"/>
        <v>71.099999999999994</v>
      </c>
      <c r="EO423" s="284">
        <v>825</v>
      </c>
      <c r="EP423" s="2250"/>
      <c r="EQ423" s="2250"/>
      <c r="ER423" s="2250"/>
      <c r="ES423" s="2250"/>
      <c r="ET423" s="2250"/>
      <c r="EU423" s="2250"/>
      <c r="EV423" s="2250"/>
      <c r="EW423" s="2250"/>
      <c r="EX423" s="2250"/>
      <c r="EY423" s="2250"/>
      <c r="EZ423" s="284">
        <v>775</v>
      </c>
      <c r="FA423" s="284">
        <f>VLOOKUP(FA416,EZ388:FK414,5,0)</f>
        <v>41.73</v>
      </c>
      <c r="FB423" s="284">
        <f t="shared" si="225"/>
        <v>53.07</v>
      </c>
      <c r="FC423" s="284">
        <v>825</v>
      </c>
      <c r="FD423" s="2250"/>
      <c r="FE423" s="2250"/>
      <c r="FF423" s="2250"/>
      <c r="FG423" s="2250"/>
      <c r="FH423" s="2250"/>
      <c r="FI423" s="2250"/>
      <c r="FJ423" s="2250"/>
      <c r="FK423" s="2250"/>
      <c r="FL423" s="2250"/>
      <c r="FM423" s="2250"/>
      <c r="FN423" s="284">
        <v>775</v>
      </c>
      <c r="FO423" s="284">
        <f>VLOOKUP(FO416,FN388:FY414,5,0)</f>
        <v>31.77</v>
      </c>
      <c r="FP423" s="284">
        <f t="shared" si="226"/>
        <v>40.15</v>
      </c>
      <c r="FQ423" s="284">
        <v>825</v>
      </c>
      <c r="FR423" s="2250"/>
      <c r="FS423" s="2250"/>
      <c r="FT423" s="2250"/>
      <c r="FU423" s="2250"/>
      <c r="FV423" s="2250"/>
      <c r="FW423" s="2250"/>
      <c r="FX423" s="2250"/>
      <c r="FY423" s="2250"/>
      <c r="FZ423" s="2250"/>
      <c r="GA423" s="2250"/>
      <c r="GB423" s="2276"/>
      <c r="GC423" s="2276"/>
      <c r="GD423" s="2250"/>
      <c r="GE423" s="2275"/>
      <c r="GF423" s="284">
        <v>775</v>
      </c>
      <c r="GG423" s="284">
        <f>VLOOKUP(GG416,GF388:GQ414,5,0)</f>
        <v>0</v>
      </c>
      <c r="GH423" s="284">
        <f t="shared" si="227"/>
        <v>0</v>
      </c>
      <c r="GI423" s="284">
        <v>825</v>
      </c>
      <c r="GJ423" s="2250"/>
      <c r="GK423" s="2250"/>
      <c r="GL423" s="2250"/>
      <c r="GM423" s="2250"/>
      <c r="GN423" s="2250"/>
      <c r="GO423" s="2250"/>
      <c r="GP423" s="2250"/>
      <c r="GQ423" s="2250"/>
      <c r="GR423" s="2250"/>
      <c r="GS423" s="2250"/>
      <c r="GT423" s="284">
        <v>775</v>
      </c>
      <c r="GU423" s="284">
        <f>VLOOKUP(GU416,GT388:HE414,5,0)</f>
        <v>48.77</v>
      </c>
      <c r="GV423" s="284">
        <f t="shared" si="228"/>
        <v>64.72</v>
      </c>
      <c r="GW423" s="284">
        <v>825</v>
      </c>
      <c r="GX423" s="2250"/>
      <c r="GY423" s="2250"/>
      <c r="GZ423" s="2250"/>
      <c r="HA423" s="2250"/>
      <c r="HB423" s="2250"/>
      <c r="HC423" s="2250"/>
      <c r="HD423" s="2250"/>
      <c r="HE423" s="2250"/>
      <c r="HF423" s="2250"/>
      <c r="HG423" s="2250"/>
      <c r="HH423" s="284">
        <v>775</v>
      </c>
      <c r="HI423" s="284">
        <f>VLOOKUP(HI416,HH388:HS414,5,0)</f>
        <v>37.67</v>
      </c>
      <c r="HJ423" s="284">
        <f t="shared" si="229"/>
        <v>47.13</v>
      </c>
      <c r="HK423" s="284">
        <v>825</v>
      </c>
      <c r="HL423" s="2250"/>
      <c r="HM423" s="2250"/>
      <c r="HN423" s="2250"/>
      <c r="HO423" s="2250"/>
      <c r="HP423" s="2250"/>
      <c r="HQ423" s="2250"/>
      <c r="HR423" s="2250"/>
      <c r="HS423" s="2250"/>
      <c r="HT423" s="2250"/>
      <c r="HU423" s="2250"/>
      <c r="HV423" s="284">
        <v>775</v>
      </c>
      <c r="HW423" s="284">
        <f>VLOOKUP(HW416,HV388:IG414,5,0)</f>
        <v>28.62</v>
      </c>
      <c r="HX423" s="284">
        <f t="shared" si="230"/>
        <v>35.69</v>
      </c>
      <c r="HY423" s="284">
        <v>825</v>
      </c>
      <c r="HZ423" s="2250"/>
      <c r="IA423" s="2250"/>
      <c r="IB423" s="2250"/>
      <c r="IC423" s="2250"/>
      <c r="ID423" s="2250"/>
      <c r="IE423" s="2250"/>
      <c r="IF423" s="2250"/>
      <c r="IG423" s="2250"/>
      <c r="IH423" s="2250"/>
      <c r="II423" s="2250"/>
      <c r="IJ423" s="2250"/>
      <c r="IK423" s="53"/>
      <c r="IL423" s="53"/>
      <c r="IN423" s="277"/>
      <c r="IO423" s="277"/>
    </row>
    <row r="424" spans="2:249" ht="21.95" customHeight="1">
      <c r="B424" s="284">
        <v>825</v>
      </c>
      <c r="C424" s="284">
        <f>VLOOKUP(C416,B388:M414,6,0)</f>
        <v>0</v>
      </c>
      <c r="D424" s="284">
        <f t="shared" si="215"/>
        <v>0</v>
      </c>
      <c r="E424" s="284">
        <v>950</v>
      </c>
      <c r="F424" s="2250"/>
      <c r="G424" s="2250"/>
      <c r="H424" s="2250"/>
      <c r="I424" s="2250"/>
      <c r="J424" s="2250"/>
      <c r="K424" s="2250"/>
      <c r="L424" s="2250"/>
      <c r="M424" s="2250"/>
      <c r="N424" s="2250"/>
      <c r="O424" s="2250"/>
      <c r="P424" s="284">
        <v>825</v>
      </c>
      <c r="Q424" s="284">
        <f>VLOOKUP(Q416,P388:AA414,6,0)</f>
        <v>49.69</v>
      </c>
      <c r="R424" s="284">
        <f t="shared" si="216"/>
        <v>73.010000000000005</v>
      </c>
      <c r="S424" s="284">
        <v>950</v>
      </c>
      <c r="T424" s="2250"/>
      <c r="U424" s="2250"/>
      <c r="V424" s="2250"/>
      <c r="W424" s="2250"/>
      <c r="X424" s="2250"/>
      <c r="Y424" s="2250"/>
      <c r="Z424" s="2250"/>
      <c r="AA424" s="2250"/>
      <c r="AB424" s="2250"/>
      <c r="AC424" s="2250"/>
      <c r="AD424" s="284">
        <v>825</v>
      </c>
      <c r="AE424" s="284">
        <f>VLOOKUP(AE416,AD388:AO414,6,0)</f>
        <v>35.869999999999997</v>
      </c>
      <c r="AF424" s="284">
        <f t="shared" si="217"/>
        <v>52.93</v>
      </c>
      <c r="AG424" s="284">
        <v>950</v>
      </c>
      <c r="AH424" s="2250"/>
      <c r="AI424" s="2250"/>
      <c r="AJ424" s="2250"/>
      <c r="AK424" s="2250"/>
      <c r="AL424" s="2250"/>
      <c r="AM424" s="2250"/>
      <c r="AN424" s="2250"/>
      <c r="AO424" s="2250"/>
      <c r="AP424" s="2250"/>
      <c r="AQ424" s="2250"/>
      <c r="AR424" s="284">
        <v>825</v>
      </c>
      <c r="AS424" s="284">
        <f>VLOOKUP(AS416,AR388:BC414,6,0)</f>
        <v>27.15</v>
      </c>
      <c r="AT424" s="284">
        <f t="shared" si="218"/>
        <v>39.770000000000003</v>
      </c>
      <c r="AU424" s="284">
        <v>950</v>
      </c>
      <c r="AV424" s="2250"/>
      <c r="AW424" s="2250"/>
      <c r="AX424" s="2250"/>
      <c r="AY424" s="2250"/>
      <c r="AZ424" s="2250"/>
      <c r="BA424" s="2250"/>
      <c r="BB424" s="2250"/>
      <c r="BC424" s="2250"/>
      <c r="BD424" s="2250"/>
      <c r="BE424" s="2250"/>
      <c r="BF424" s="2276"/>
      <c r="BG424" s="2276"/>
      <c r="BH424" s="2250"/>
      <c r="BI424" s="2275"/>
      <c r="BJ424" s="284">
        <v>825</v>
      </c>
      <c r="BK424" s="284">
        <f>VLOOKUP(BK416,BJ388:BU414,6,0)</f>
        <v>0</v>
      </c>
      <c r="BL424" s="284">
        <f t="shared" si="219"/>
        <v>0</v>
      </c>
      <c r="BM424" s="284">
        <v>950</v>
      </c>
      <c r="BN424" s="2250"/>
      <c r="BO424" s="2250"/>
      <c r="BP424" s="2250"/>
      <c r="BQ424" s="2250"/>
      <c r="BR424" s="2250"/>
      <c r="BS424" s="2250"/>
      <c r="BT424" s="2250"/>
      <c r="BU424" s="2250"/>
      <c r="BV424" s="2250"/>
      <c r="BW424" s="2250"/>
      <c r="BX424" s="284">
        <v>825</v>
      </c>
      <c r="BY424" s="284">
        <f>VLOOKUP(BY416,BX388:CI414,6,0)</f>
        <v>44.91</v>
      </c>
      <c r="BZ424" s="284">
        <f t="shared" si="220"/>
        <v>69.39</v>
      </c>
      <c r="CA424" s="284">
        <v>950</v>
      </c>
      <c r="CB424" s="2250"/>
      <c r="CC424" s="2250"/>
      <c r="CD424" s="2250"/>
      <c r="CE424" s="2250"/>
      <c r="CF424" s="2250"/>
      <c r="CG424" s="2250"/>
      <c r="CH424" s="2250"/>
      <c r="CI424" s="2250"/>
      <c r="CJ424" s="2250"/>
      <c r="CK424" s="2250"/>
      <c r="CL424" s="284">
        <v>825</v>
      </c>
      <c r="CM424" s="284">
        <f>VLOOKUP(CM416,CL388:CW414,6,0)</f>
        <v>32.4</v>
      </c>
      <c r="CN424" s="284">
        <f t="shared" si="221"/>
        <v>50.47</v>
      </c>
      <c r="CO424" s="284">
        <v>950</v>
      </c>
      <c r="CP424" s="2250"/>
      <c r="CQ424" s="2250"/>
      <c r="CR424" s="2250"/>
      <c r="CS424" s="2250"/>
      <c r="CT424" s="2250"/>
      <c r="CU424" s="2250"/>
      <c r="CV424" s="2250"/>
      <c r="CW424" s="2250"/>
      <c r="CX424" s="2250"/>
      <c r="CY424" s="2250"/>
      <c r="CZ424" s="284">
        <v>825</v>
      </c>
      <c r="DA424" s="284">
        <f>VLOOKUP(DA416,CZ388:DK414,6,0)</f>
        <v>24.54</v>
      </c>
      <c r="DB424" s="284">
        <f t="shared" si="222"/>
        <v>37.85</v>
      </c>
      <c r="DC424" s="284">
        <v>950</v>
      </c>
      <c r="DD424" s="2250"/>
      <c r="DE424" s="2250"/>
      <c r="DF424" s="2250"/>
      <c r="DG424" s="2250"/>
      <c r="DH424" s="2250"/>
      <c r="DI424" s="2250"/>
      <c r="DJ424" s="2250"/>
      <c r="DK424" s="2250"/>
      <c r="DL424" s="2250"/>
      <c r="DM424" s="2250"/>
      <c r="DN424" s="2250"/>
      <c r="DO424" s="53"/>
      <c r="DP424" s="53"/>
      <c r="DS424" s="277"/>
      <c r="DW424" s="1"/>
      <c r="DX424" s="284">
        <v>825</v>
      </c>
      <c r="DY424" s="284">
        <f>VLOOKUP(DY416,DX388:EI414,6,0)</f>
        <v>0</v>
      </c>
      <c r="DZ424" s="284">
        <f t="shared" si="223"/>
        <v>0</v>
      </c>
      <c r="EA424" s="284">
        <v>950</v>
      </c>
      <c r="EB424" s="2250"/>
      <c r="EC424" s="2250"/>
      <c r="ED424" s="2250"/>
      <c r="EE424" s="2250"/>
      <c r="EF424" s="2250"/>
      <c r="EG424" s="2250"/>
      <c r="EH424" s="2250"/>
      <c r="EI424" s="2250"/>
      <c r="EJ424" s="2250"/>
      <c r="EK424" s="2250"/>
      <c r="EL424" s="284">
        <v>825</v>
      </c>
      <c r="EM424" s="284">
        <f>VLOOKUP(EM416,EL388:EW414,6,0)</f>
        <v>71.099999999999994</v>
      </c>
      <c r="EN424" s="284">
        <f t="shared" si="224"/>
        <v>105.15</v>
      </c>
      <c r="EO424" s="284">
        <v>950</v>
      </c>
      <c r="EP424" s="2250"/>
      <c r="EQ424" s="2250"/>
      <c r="ER424" s="2250"/>
      <c r="ES424" s="2250"/>
      <c r="ET424" s="2250"/>
      <c r="EU424" s="2250"/>
      <c r="EV424" s="2250"/>
      <c r="EW424" s="2250"/>
      <c r="EX424" s="2250"/>
      <c r="EY424" s="2250"/>
      <c r="EZ424" s="284">
        <v>825</v>
      </c>
      <c r="FA424" s="284">
        <f>VLOOKUP(FA416,EZ388:FK414,6,0)</f>
        <v>53.07</v>
      </c>
      <c r="FB424" s="284">
        <f t="shared" si="225"/>
        <v>76.47</v>
      </c>
      <c r="FC424" s="284">
        <v>950</v>
      </c>
      <c r="FD424" s="2250"/>
      <c r="FE424" s="2250"/>
      <c r="FF424" s="2250"/>
      <c r="FG424" s="2250"/>
      <c r="FH424" s="2250"/>
      <c r="FI424" s="2250"/>
      <c r="FJ424" s="2250"/>
      <c r="FK424" s="2250"/>
      <c r="FL424" s="2250"/>
      <c r="FM424" s="2250"/>
      <c r="FN424" s="284">
        <v>825</v>
      </c>
      <c r="FO424" s="284">
        <f>VLOOKUP(FO416,FN388:FY414,6,0)</f>
        <v>40.15</v>
      </c>
      <c r="FP424" s="284">
        <f t="shared" si="226"/>
        <v>58</v>
      </c>
      <c r="FQ424" s="284">
        <v>950</v>
      </c>
      <c r="FR424" s="2250"/>
      <c r="FS424" s="2250"/>
      <c r="FT424" s="2250"/>
      <c r="FU424" s="2250"/>
      <c r="FV424" s="2250"/>
      <c r="FW424" s="2250"/>
      <c r="FX424" s="2250"/>
      <c r="FY424" s="2250"/>
      <c r="FZ424" s="2250"/>
      <c r="GA424" s="2250"/>
      <c r="GB424" s="2276"/>
      <c r="GC424" s="2276"/>
      <c r="GD424" s="2250"/>
      <c r="GE424" s="2275"/>
      <c r="GF424" s="284">
        <v>825</v>
      </c>
      <c r="GG424" s="284">
        <f>VLOOKUP(GG416,GF388:GQ414,6,0)</f>
        <v>0</v>
      </c>
      <c r="GH424" s="284">
        <f t="shared" si="227"/>
        <v>0</v>
      </c>
      <c r="GI424" s="284">
        <v>950</v>
      </c>
      <c r="GJ424" s="2250"/>
      <c r="GK424" s="2250"/>
      <c r="GL424" s="2250"/>
      <c r="GM424" s="2250"/>
      <c r="GN424" s="2250"/>
      <c r="GO424" s="2250"/>
      <c r="GP424" s="2250"/>
      <c r="GQ424" s="2250"/>
      <c r="GR424" s="2250"/>
      <c r="GS424" s="2250"/>
      <c r="GT424" s="284">
        <v>825</v>
      </c>
      <c r="GU424" s="284">
        <f>VLOOKUP(GU416,GT388:HE414,6,0)</f>
        <v>64.72</v>
      </c>
      <c r="GV424" s="284">
        <f t="shared" si="228"/>
        <v>97.3</v>
      </c>
      <c r="GW424" s="284">
        <v>950</v>
      </c>
      <c r="GX424" s="2250"/>
      <c r="GY424" s="2250"/>
      <c r="GZ424" s="2250"/>
      <c r="HA424" s="2250"/>
      <c r="HB424" s="2250"/>
      <c r="HC424" s="2250"/>
      <c r="HD424" s="2250"/>
      <c r="HE424" s="2250"/>
      <c r="HF424" s="2250"/>
      <c r="HG424" s="2250"/>
      <c r="HH424" s="284">
        <v>825</v>
      </c>
      <c r="HI424" s="284">
        <f>VLOOKUP(HI416,HH388:HS414,6,0)</f>
        <v>47.13</v>
      </c>
      <c r="HJ424" s="284">
        <f t="shared" si="229"/>
        <v>70.33</v>
      </c>
      <c r="HK424" s="284">
        <v>950</v>
      </c>
      <c r="HL424" s="2250"/>
      <c r="HM424" s="2250"/>
      <c r="HN424" s="2250"/>
      <c r="HO424" s="2250"/>
      <c r="HP424" s="2250"/>
      <c r="HQ424" s="2250"/>
      <c r="HR424" s="2250"/>
      <c r="HS424" s="2250"/>
      <c r="HT424" s="2250"/>
      <c r="HU424" s="2250"/>
      <c r="HV424" s="284">
        <v>825</v>
      </c>
      <c r="HW424" s="284">
        <f>VLOOKUP(HW416,HV388:IG414,6,0)</f>
        <v>35.69</v>
      </c>
      <c r="HX424" s="284">
        <f t="shared" si="230"/>
        <v>53.54</v>
      </c>
      <c r="HY424" s="284">
        <v>950</v>
      </c>
      <c r="HZ424" s="2250"/>
      <c r="IA424" s="2250"/>
      <c r="IB424" s="2250"/>
      <c r="IC424" s="2250"/>
      <c r="ID424" s="2250"/>
      <c r="IE424" s="2250"/>
      <c r="IF424" s="2250"/>
      <c r="IG424" s="2250"/>
      <c r="IH424" s="2250"/>
      <c r="II424" s="2250"/>
      <c r="IJ424" s="2250"/>
      <c r="IK424" s="53"/>
      <c r="IL424" s="53"/>
      <c r="IN424" s="277"/>
      <c r="IO424" s="277"/>
    </row>
    <row r="425" spans="2:249" ht="21.95" customHeight="1">
      <c r="B425" s="284">
        <v>950</v>
      </c>
      <c r="C425" s="284">
        <f>VLOOKUP(C416,B388:M414,7,0)</f>
        <v>0</v>
      </c>
      <c r="D425" s="284">
        <f t="shared" si="215"/>
        <v>0</v>
      </c>
      <c r="E425" s="284">
        <v>1100</v>
      </c>
      <c r="F425" s="2250"/>
      <c r="G425" s="2250"/>
      <c r="H425" s="2250"/>
      <c r="I425" s="2250"/>
      <c r="J425" s="2250"/>
      <c r="K425" s="2250"/>
      <c r="L425" s="2250"/>
      <c r="M425" s="2250"/>
      <c r="N425" s="2250"/>
      <c r="O425" s="2250"/>
      <c r="P425" s="284">
        <v>950</v>
      </c>
      <c r="Q425" s="284">
        <f>VLOOKUP(Q416,P388:AA414,7,0)</f>
        <v>73.010000000000005</v>
      </c>
      <c r="R425" s="284">
        <f t="shared" si="216"/>
        <v>105.28</v>
      </c>
      <c r="S425" s="284">
        <v>1100</v>
      </c>
      <c r="T425" s="2250"/>
      <c r="U425" s="2250"/>
      <c r="V425" s="2250"/>
      <c r="W425" s="2250"/>
      <c r="X425" s="2250"/>
      <c r="Y425" s="2250"/>
      <c r="Z425" s="2250"/>
      <c r="AA425" s="2250"/>
      <c r="AB425" s="2250"/>
      <c r="AC425" s="2250"/>
      <c r="AD425" s="284">
        <v>950</v>
      </c>
      <c r="AE425" s="284">
        <f>VLOOKUP(AE416,AD388:AO414,7,0)</f>
        <v>52.93</v>
      </c>
      <c r="AF425" s="284">
        <f t="shared" si="217"/>
        <v>76.27</v>
      </c>
      <c r="AG425" s="284">
        <v>1100</v>
      </c>
      <c r="AH425" s="2250"/>
      <c r="AI425" s="2250"/>
      <c r="AJ425" s="2250"/>
      <c r="AK425" s="2250"/>
      <c r="AL425" s="2250"/>
      <c r="AM425" s="2250"/>
      <c r="AN425" s="2250"/>
      <c r="AO425" s="2250"/>
      <c r="AP425" s="2250"/>
      <c r="AQ425" s="2250"/>
      <c r="AR425" s="284">
        <v>950</v>
      </c>
      <c r="AS425" s="284">
        <f>VLOOKUP(AS416,AR388:BC414,7,0)</f>
        <v>39.770000000000003</v>
      </c>
      <c r="AT425" s="284">
        <f t="shared" si="218"/>
        <v>57.23</v>
      </c>
      <c r="AU425" s="284">
        <v>1100</v>
      </c>
      <c r="AV425" s="2250"/>
      <c r="AW425" s="2250"/>
      <c r="AX425" s="2250"/>
      <c r="AY425" s="2250"/>
      <c r="AZ425" s="2250"/>
      <c r="BA425" s="2250"/>
      <c r="BB425" s="2250"/>
      <c r="BC425" s="2250"/>
      <c r="BD425" s="2250"/>
      <c r="BE425" s="2250"/>
      <c r="BF425" s="2276"/>
      <c r="BG425" s="2276"/>
      <c r="BH425" s="2250"/>
      <c r="BI425" s="2275"/>
      <c r="BJ425" s="284">
        <v>950</v>
      </c>
      <c r="BK425" s="284">
        <f>VLOOKUP(BK416,BJ388:BU414,7,0)</f>
        <v>0</v>
      </c>
      <c r="BL425" s="284">
        <f t="shared" si="219"/>
        <v>0</v>
      </c>
      <c r="BM425" s="284">
        <v>1100</v>
      </c>
      <c r="BN425" s="2250"/>
      <c r="BO425" s="2250"/>
      <c r="BP425" s="2250"/>
      <c r="BQ425" s="2250"/>
      <c r="BR425" s="2250"/>
      <c r="BS425" s="2250"/>
      <c r="BT425" s="2250"/>
      <c r="BU425" s="2250"/>
      <c r="BV425" s="2250"/>
      <c r="BW425" s="2250"/>
      <c r="BX425" s="284">
        <v>950</v>
      </c>
      <c r="BY425" s="284">
        <f>VLOOKUP(BY416,BX388:CI414,7,0)</f>
        <v>69.39</v>
      </c>
      <c r="BZ425" s="284">
        <f t="shared" si="220"/>
        <v>97.61</v>
      </c>
      <c r="CA425" s="284">
        <v>1100</v>
      </c>
      <c r="CB425" s="2250"/>
      <c r="CC425" s="2250"/>
      <c r="CD425" s="2250"/>
      <c r="CE425" s="2250"/>
      <c r="CF425" s="2250"/>
      <c r="CG425" s="2250"/>
      <c r="CH425" s="2250"/>
      <c r="CI425" s="2250"/>
      <c r="CJ425" s="2250"/>
      <c r="CK425" s="2250"/>
      <c r="CL425" s="284">
        <v>950</v>
      </c>
      <c r="CM425" s="284">
        <f>VLOOKUP(CM416,CL388:CW414,7,0)</f>
        <v>50.47</v>
      </c>
      <c r="CN425" s="284">
        <f t="shared" si="221"/>
        <v>73.069999999999993</v>
      </c>
      <c r="CO425" s="284">
        <v>1100</v>
      </c>
      <c r="CP425" s="2250"/>
      <c r="CQ425" s="2250"/>
      <c r="CR425" s="2250"/>
      <c r="CS425" s="2250"/>
      <c r="CT425" s="2250"/>
      <c r="CU425" s="2250"/>
      <c r="CV425" s="2250"/>
      <c r="CW425" s="2250"/>
      <c r="CX425" s="2250"/>
      <c r="CY425" s="2250"/>
      <c r="CZ425" s="284">
        <v>950</v>
      </c>
      <c r="DA425" s="284">
        <f>VLOOKUP(DA416,CZ388:DK414,7,0)</f>
        <v>37.85</v>
      </c>
      <c r="DB425" s="284">
        <f t="shared" si="222"/>
        <v>54.77</v>
      </c>
      <c r="DC425" s="284">
        <v>1100</v>
      </c>
      <c r="DD425" s="2250"/>
      <c r="DE425" s="2250"/>
      <c r="DF425" s="2250"/>
      <c r="DG425" s="2250"/>
      <c r="DH425" s="2250"/>
      <c r="DI425" s="2250"/>
      <c r="DJ425" s="2250"/>
      <c r="DK425" s="2250"/>
      <c r="DL425" s="2250"/>
      <c r="DM425" s="2250"/>
      <c r="DN425" s="2250"/>
      <c r="DO425" s="53"/>
      <c r="DP425" s="53"/>
      <c r="DS425" s="277"/>
      <c r="DW425" s="1"/>
      <c r="DX425" s="284">
        <v>950</v>
      </c>
      <c r="DY425" s="284">
        <f>VLOOKUP(DY416,DX388:EI414,7,0)</f>
        <v>0</v>
      </c>
      <c r="DZ425" s="284">
        <f t="shared" si="223"/>
        <v>0</v>
      </c>
      <c r="EA425" s="284">
        <v>1100</v>
      </c>
      <c r="EB425" s="2250"/>
      <c r="EC425" s="2250"/>
      <c r="ED425" s="2250"/>
      <c r="EE425" s="2250"/>
      <c r="EF425" s="2250"/>
      <c r="EG425" s="2250"/>
      <c r="EH425" s="2250"/>
      <c r="EI425" s="2250"/>
      <c r="EJ425" s="2250"/>
      <c r="EK425" s="2250"/>
      <c r="EL425" s="284">
        <v>950</v>
      </c>
      <c r="EM425" s="284">
        <f>VLOOKUP(EM416,EL388:EW414,7,0)</f>
        <v>105.15</v>
      </c>
      <c r="EN425" s="284">
        <f t="shared" si="224"/>
        <v>154.29</v>
      </c>
      <c r="EO425" s="284">
        <v>1100</v>
      </c>
      <c r="EP425" s="2250"/>
      <c r="EQ425" s="2250"/>
      <c r="ER425" s="2250"/>
      <c r="ES425" s="2250"/>
      <c r="ET425" s="2250"/>
      <c r="EU425" s="2250"/>
      <c r="EV425" s="2250"/>
      <c r="EW425" s="2250"/>
      <c r="EX425" s="2250"/>
      <c r="EY425" s="2250"/>
      <c r="EZ425" s="284">
        <v>950</v>
      </c>
      <c r="FA425" s="284">
        <f>VLOOKUP(FA416,EZ388:FK414,7,0)</f>
        <v>76.47</v>
      </c>
      <c r="FB425" s="284">
        <f t="shared" si="225"/>
        <v>111.87</v>
      </c>
      <c r="FC425" s="284">
        <v>1100</v>
      </c>
      <c r="FD425" s="2250"/>
      <c r="FE425" s="2250"/>
      <c r="FF425" s="2250"/>
      <c r="FG425" s="2250"/>
      <c r="FH425" s="2250"/>
      <c r="FI425" s="2250"/>
      <c r="FJ425" s="2250"/>
      <c r="FK425" s="2250"/>
      <c r="FL425" s="2250"/>
      <c r="FM425" s="2250"/>
      <c r="FN425" s="284">
        <v>950</v>
      </c>
      <c r="FO425" s="284">
        <f>VLOOKUP(FO416,FN388:FY414,7,0)</f>
        <v>58</v>
      </c>
      <c r="FP425" s="284">
        <f t="shared" si="226"/>
        <v>85.15</v>
      </c>
      <c r="FQ425" s="284">
        <v>1100</v>
      </c>
      <c r="FR425" s="2250"/>
      <c r="FS425" s="2250"/>
      <c r="FT425" s="2250"/>
      <c r="FU425" s="2250"/>
      <c r="FV425" s="2250"/>
      <c r="FW425" s="2250"/>
      <c r="FX425" s="2250"/>
      <c r="FY425" s="2250"/>
      <c r="FZ425" s="2250"/>
      <c r="GA425" s="2250"/>
      <c r="GB425" s="2276"/>
      <c r="GC425" s="2276"/>
      <c r="GD425" s="2250"/>
      <c r="GE425" s="2275"/>
      <c r="GF425" s="284">
        <v>950</v>
      </c>
      <c r="GG425" s="284">
        <f>VLOOKUP(GG416,GF388:GQ414,7,0)</f>
        <v>0</v>
      </c>
      <c r="GH425" s="284">
        <f t="shared" si="227"/>
        <v>0</v>
      </c>
      <c r="GI425" s="284">
        <v>1100</v>
      </c>
      <c r="GJ425" s="2250"/>
      <c r="GK425" s="2250"/>
      <c r="GL425" s="2250"/>
      <c r="GM425" s="2250"/>
      <c r="GN425" s="2250"/>
      <c r="GO425" s="2250"/>
      <c r="GP425" s="2250"/>
      <c r="GQ425" s="2250"/>
      <c r="GR425" s="2250"/>
      <c r="GS425" s="2250"/>
      <c r="GT425" s="284">
        <v>950</v>
      </c>
      <c r="GU425" s="284">
        <f>VLOOKUP(GU416,GT388:HE414,7,0)</f>
        <v>97.3</v>
      </c>
      <c r="GV425" s="284">
        <f t="shared" si="228"/>
        <v>141.84</v>
      </c>
      <c r="GW425" s="284">
        <v>1100</v>
      </c>
      <c r="GX425" s="2250"/>
      <c r="GY425" s="2250"/>
      <c r="GZ425" s="2250"/>
      <c r="HA425" s="2250"/>
      <c r="HB425" s="2250"/>
      <c r="HC425" s="2250"/>
      <c r="HD425" s="2250"/>
      <c r="HE425" s="2250"/>
      <c r="HF425" s="2250"/>
      <c r="HG425" s="2250"/>
      <c r="HH425" s="284">
        <v>950</v>
      </c>
      <c r="HI425" s="284">
        <f>VLOOKUP(HI416,HH388:HS414,7,0)</f>
        <v>70.33</v>
      </c>
      <c r="HJ425" s="284">
        <f t="shared" si="229"/>
        <v>102.27</v>
      </c>
      <c r="HK425" s="284">
        <v>1100</v>
      </c>
      <c r="HL425" s="2250"/>
      <c r="HM425" s="2250"/>
      <c r="HN425" s="2250"/>
      <c r="HO425" s="2250"/>
      <c r="HP425" s="2250"/>
      <c r="HQ425" s="2250"/>
      <c r="HR425" s="2250"/>
      <c r="HS425" s="2250"/>
      <c r="HT425" s="2250"/>
      <c r="HU425" s="2250"/>
      <c r="HV425" s="284">
        <v>950</v>
      </c>
      <c r="HW425" s="284">
        <f>VLOOKUP(HW416,HV388:IG414,7,0)</f>
        <v>53.54</v>
      </c>
      <c r="HX425" s="284">
        <f t="shared" si="230"/>
        <v>77.69</v>
      </c>
      <c r="HY425" s="284">
        <v>1100</v>
      </c>
      <c r="HZ425" s="2250"/>
      <c r="IA425" s="2250"/>
      <c r="IB425" s="2250"/>
      <c r="IC425" s="2250"/>
      <c r="ID425" s="2250"/>
      <c r="IE425" s="2250"/>
      <c r="IF425" s="2250"/>
      <c r="IG425" s="2250"/>
      <c r="IH425" s="2250"/>
      <c r="II425" s="2250"/>
      <c r="IJ425" s="2250"/>
      <c r="IK425" s="53"/>
      <c r="IL425" s="53"/>
      <c r="IN425" s="277"/>
      <c r="IO425" s="277"/>
    </row>
    <row r="426" spans="2:249" ht="21.95" customHeight="1">
      <c r="B426" s="284">
        <v>1100</v>
      </c>
      <c r="C426" s="284">
        <f>VLOOKUP(C416,B388:M414,8,0)</f>
        <v>0</v>
      </c>
      <c r="D426" s="284">
        <f t="shared" si="215"/>
        <v>0</v>
      </c>
      <c r="E426" s="284">
        <v>1250</v>
      </c>
      <c r="F426" s="2250"/>
      <c r="G426" s="2250"/>
      <c r="H426" s="2250"/>
      <c r="I426" s="2250"/>
      <c r="J426" s="2250"/>
      <c r="K426" s="2250"/>
      <c r="L426" s="2250"/>
      <c r="M426" s="2250"/>
      <c r="N426" s="2250"/>
      <c r="O426" s="2250"/>
      <c r="P426" s="284">
        <v>1100</v>
      </c>
      <c r="Q426" s="284">
        <f>VLOOKUP(Q416,P388:AA414,8,0)</f>
        <v>105.28</v>
      </c>
      <c r="R426" s="284">
        <f t="shared" si="216"/>
        <v>143.93</v>
      </c>
      <c r="S426" s="284">
        <v>1250</v>
      </c>
      <c r="T426" s="2250"/>
      <c r="U426" s="2250"/>
      <c r="V426" s="2250"/>
      <c r="W426" s="2250"/>
      <c r="X426" s="2250"/>
      <c r="Y426" s="2250"/>
      <c r="Z426" s="2250"/>
      <c r="AA426" s="2250"/>
      <c r="AB426" s="2250"/>
      <c r="AC426" s="2250"/>
      <c r="AD426" s="284">
        <v>1100</v>
      </c>
      <c r="AE426" s="284">
        <f>VLOOKUP(AE416,AD388:AO414,8,0)</f>
        <v>76.27</v>
      </c>
      <c r="AF426" s="284">
        <f t="shared" si="217"/>
        <v>111.27</v>
      </c>
      <c r="AG426" s="284">
        <v>1250</v>
      </c>
      <c r="AH426" s="2250"/>
      <c r="AI426" s="2250"/>
      <c r="AJ426" s="2250"/>
      <c r="AK426" s="2250"/>
      <c r="AL426" s="2250"/>
      <c r="AM426" s="2250"/>
      <c r="AN426" s="2250"/>
      <c r="AO426" s="2250"/>
      <c r="AP426" s="2250"/>
      <c r="AQ426" s="2250"/>
      <c r="AR426" s="284">
        <v>1100</v>
      </c>
      <c r="AS426" s="284">
        <f>VLOOKUP(AS416,AR388:BC414,8,0)</f>
        <v>57.23</v>
      </c>
      <c r="AT426" s="284">
        <f t="shared" si="218"/>
        <v>84.08</v>
      </c>
      <c r="AU426" s="284">
        <v>1250</v>
      </c>
      <c r="AV426" s="2250"/>
      <c r="AW426" s="2250"/>
      <c r="AX426" s="2250"/>
      <c r="AY426" s="2250"/>
      <c r="AZ426" s="2250"/>
      <c r="BA426" s="2250"/>
      <c r="BB426" s="2250"/>
      <c r="BC426" s="2250"/>
      <c r="BD426" s="2250"/>
      <c r="BE426" s="2250"/>
      <c r="BF426" s="2276"/>
      <c r="BG426" s="2276"/>
      <c r="BH426" s="2250"/>
      <c r="BI426" s="2275"/>
      <c r="BJ426" s="284">
        <v>1100</v>
      </c>
      <c r="BK426" s="284">
        <f>VLOOKUP(BK416,BJ388:BU414,8,0)</f>
        <v>0</v>
      </c>
      <c r="BL426" s="284">
        <f t="shared" si="219"/>
        <v>0</v>
      </c>
      <c r="BM426" s="284">
        <v>1250</v>
      </c>
      <c r="BN426" s="2250"/>
      <c r="BO426" s="2250"/>
      <c r="BP426" s="2250"/>
      <c r="BQ426" s="2250"/>
      <c r="BR426" s="2250"/>
      <c r="BS426" s="2250"/>
      <c r="BT426" s="2250"/>
      <c r="BU426" s="2250"/>
      <c r="BV426" s="2250"/>
      <c r="BW426" s="2250"/>
      <c r="BX426" s="284">
        <v>1100</v>
      </c>
      <c r="BY426" s="284">
        <f>VLOOKUP(BY416,BX388:CI414,8,0)</f>
        <v>97.61</v>
      </c>
      <c r="BZ426" s="284">
        <f t="shared" si="220"/>
        <v>132.69999999999999</v>
      </c>
      <c r="CA426" s="284">
        <v>1250</v>
      </c>
      <c r="CB426" s="2250"/>
      <c r="CC426" s="2250"/>
      <c r="CD426" s="2250"/>
      <c r="CE426" s="2250"/>
      <c r="CF426" s="2250"/>
      <c r="CG426" s="2250"/>
      <c r="CH426" s="2250"/>
      <c r="CI426" s="2250"/>
      <c r="CJ426" s="2250"/>
      <c r="CK426" s="2250"/>
      <c r="CL426" s="284">
        <v>1100</v>
      </c>
      <c r="CM426" s="284">
        <f>VLOOKUP(CM416,CL388:CW414,8,0)</f>
        <v>73.069999999999993</v>
      </c>
      <c r="CN426" s="284">
        <f t="shared" si="221"/>
        <v>102.67</v>
      </c>
      <c r="CO426" s="284">
        <v>1250</v>
      </c>
      <c r="CP426" s="2250"/>
      <c r="CQ426" s="2250"/>
      <c r="CR426" s="2250"/>
      <c r="CS426" s="2250"/>
      <c r="CT426" s="2250"/>
      <c r="CU426" s="2250"/>
      <c r="CV426" s="2250"/>
      <c r="CW426" s="2250"/>
      <c r="CX426" s="2250"/>
      <c r="CY426" s="2250"/>
      <c r="CZ426" s="284">
        <v>1100</v>
      </c>
      <c r="DA426" s="284">
        <f>VLOOKUP(DA416,CZ388:DK414,8,0)</f>
        <v>54.77</v>
      </c>
      <c r="DB426" s="284">
        <f t="shared" si="222"/>
        <v>77.31</v>
      </c>
      <c r="DC426" s="284">
        <v>1250</v>
      </c>
      <c r="DD426" s="2250"/>
      <c r="DE426" s="2250"/>
      <c r="DF426" s="2250"/>
      <c r="DG426" s="2250"/>
      <c r="DH426" s="2250"/>
      <c r="DI426" s="2250"/>
      <c r="DJ426" s="2250"/>
      <c r="DK426" s="2250"/>
      <c r="DL426" s="2250"/>
      <c r="DM426" s="2250"/>
      <c r="DN426" s="2250"/>
      <c r="DO426" s="53"/>
      <c r="DP426" s="53"/>
      <c r="DS426" s="277"/>
      <c r="DW426" s="1"/>
      <c r="DX426" s="284">
        <v>1100</v>
      </c>
      <c r="DY426" s="284">
        <f>VLOOKUP(DY416,DX388:EI414,8,0)</f>
        <v>0</v>
      </c>
      <c r="DZ426" s="284">
        <f t="shared" si="223"/>
        <v>0</v>
      </c>
      <c r="EA426" s="284">
        <v>1250</v>
      </c>
      <c r="EB426" s="2250"/>
      <c r="EC426" s="2250"/>
      <c r="ED426" s="2250"/>
      <c r="EE426" s="2250"/>
      <c r="EF426" s="2250"/>
      <c r="EG426" s="2250"/>
      <c r="EH426" s="2250"/>
      <c r="EI426" s="2250"/>
      <c r="EJ426" s="2250"/>
      <c r="EK426" s="2250"/>
      <c r="EL426" s="284">
        <v>1100</v>
      </c>
      <c r="EM426" s="284">
        <f>VLOOKUP(EM416,EL388:EW414,8,0)</f>
        <v>154.29</v>
      </c>
      <c r="EN426" s="284">
        <f t="shared" si="224"/>
        <v>209.26</v>
      </c>
      <c r="EO426" s="284">
        <v>1250</v>
      </c>
      <c r="EP426" s="2250"/>
      <c r="EQ426" s="2250"/>
      <c r="ER426" s="2250"/>
      <c r="ES426" s="2250"/>
      <c r="ET426" s="2250"/>
      <c r="EU426" s="2250"/>
      <c r="EV426" s="2250"/>
      <c r="EW426" s="2250"/>
      <c r="EX426" s="2250"/>
      <c r="EY426" s="2250"/>
      <c r="EZ426" s="284">
        <v>1100</v>
      </c>
      <c r="FA426" s="284">
        <f>VLOOKUP(FA416,EZ388:FK414,8,0)</f>
        <v>111.87</v>
      </c>
      <c r="FB426" s="284">
        <f t="shared" si="225"/>
        <v>156.53</v>
      </c>
      <c r="FC426" s="284">
        <v>1250</v>
      </c>
      <c r="FD426" s="2250"/>
      <c r="FE426" s="2250"/>
      <c r="FF426" s="2250"/>
      <c r="FG426" s="2250"/>
      <c r="FH426" s="2250"/>
      <c r="FI426" s="2250"/>
      <c r="FJ426" s="2250"/>
      <c r="FK426" s="2250"/>
      <c r="FL426" s="2250"/>
      <c r="FM426" s="2250"/>
      <c r="FN426" s="284">
        <v>1100</v>
      </c>
      <c r="FO426" s="284">
        <f>VLOOKUP(FO416,FN388:FY414,8,0)</f>
        <v>85.15</v>
      </c>
      <c r="FP426" s="284">
        <f t="shared" si="226"/>
        <v>119.08</v>
      </c>
      <c r="FQ426" s="284">
        <v>1250</v>
      </c>
      <c r="FR426" s="2250"/>
      <c r="FS426" s="2250"/>
      <c r="FT426" s="2250"/>
      <c r="FU426" s="2250"/>
      <c r="FV426" s="2250"/>
      <c r="FW426" s="2250"/>
      <c r="FX426" s="2250"/>
      <c r="FY426" s="2250"/>
      <c r="FZ426" s="2250"/>
      <c r="GA426" s="2250"/>
      <c r="GB426" s="2276"/>
      <c r="GC426" s="2276"/>
      <c r="GD426" s="2250"/>
      <c r="GE426" s="2275"/>
      <c r="GF426" s="284">
        <v>1100</v>
      </c>
      <c r="GG426" s="284">
        <f>VLOOKUP(GG416,GF388:GQ414,8,0)</f>
        <v>0</v>
      </c>
      <c r="GH426" s="284">
        <f t="shared" si="227"/>
        <v>0</v>
      </c>
      <c r="GI426" s="284">
        <v>1250</v>
      </c>
      <c r="GJ426" s="2250"/>
      <c r="GK426" s="2250"/>
      <c r="GL426" s="2250"/>
      <c r="GM426" s="2250"/>
      <c r="GN426" s="2250"/>
      <c r="GO426" s="2250"/>
      <c r="GP426" s="2250"/>
      <c r="GQ426" s="2250"/>
      <c r="GR426" s="2250"/>
      <c r="GS426" s="2250"/>
      <c r="GT426" s="284">
        <v>1100</v>
      </c>
      <c r="GU426" s="284">
        <f>VLOOKUP(GU416,GT388:HE414,8,0)</f>
        <v>141.84</v>
      </c>
      <c r="GV426" s="284">
        <f t="shared" si="228"/>
        <v>183.13</v>
      </c>
      <c r="GW426" s="284">
        <v>1250</v>
      </c>
      <c r="GX426" s="2250"/>
      <c r="GY426" s="2250"/>
      <c r="GZ426" s="2250"/>
      <c r="HA426" s="2250"/>
      <c r="HB426" s="2250"/>
      <c r="HC426" s="2250"/>
      <c r="HD426" s="2250"/>
      <c r="HE426" s="2250"/>
      <c r="HF426" s="2250"/>
      <c r="HG426" s="2250"/>
      <c r="HH426" s="284">
        <v>1100</v>
      </c>
      <c r="HI426" s="284">
        <f>VLOOKUP(HI416,HH388:HS414,8,0)</f>
        <v>102.27</v>
      </c>
      <c r="HJ426" s="284">
        <f t="shared" si="229"/>
        <v>141.07</v>
      </c>
      <c r="HK426" s="284">
        <v>1250</v>
      </c>
      <c r="HL426" s="2250"/>
      <c r="HM426" s="2250"/>
      <c r="HN426" s="2250"/>
      <c r="HO426" s="2250"/>
      <c r="HP426" s="2250"/>
      <c r="HQ426" s="2250"/>
      <c r="HR426" s="2250"/>
      <c r="HS426" s="2250"/>
      <c r="HT426" s="2250"/>
      <c r="HU426" s="2250"/>
      <c r="HV426" s="284">
        <v>1100</v>
      </c>
      <c r="HW426" s="284">
        <f>VLOOKUP(HW416,HV388:IG414,8,0)</f>
        <v>77.69</v>
      </c>
      <c r="HX426" s="284">
        <f t="shared" si="230"/>
        <v>107.31</v>
      </c>
      <c r="HY426" s="284">
        <v>1250</v>
      </c>
      <c r="HZ426" s="2250"/>
      <c r="IA426" s="2250"/>
      <c r="IB426" s="2250"/>
      <c r="IC426" s="2250"/>
      <c r="ID426" s="2250"/>
      <c r="IE426" s="2250"/>
      <c r="IF426" s="2250"/>
      <c r="IG426" s="2250"/>
      <c r="IH426" s="2250"/>
      <c r="II426" s="2250"/>
      <c r="IJ426" s="2250"/>
      <c r="IK426" s="53"/>
      <c r="IL426" s="53"/>
      <c r="IN426" s="277"/>
      <c r="IO426" s="277"/>
    </row>
    <row r="427" spans="2:249" ht="21.95" customHeight="1">
      <c r="B427" s="284">
        <v>1250</v>
      </c>
      <c r="C427" s="284">
        <f>VLOOKUP(C416,B388:M414,9,0)</f>
        <v>0</v>
      </c>
      <c r="D427" s="284">
        <f t="shared" si="215"/>
        <v>0</v>
      </c>
      <c r="E427" s="284">
        <v>1450</v>
      </c>
      <c r="F427" s="2250"/>
      <c r="G427" s="2250"/>
      <c r="H427" s="2250"/>
      <c r="I427" s="2250"/>
      <c r="J427" s="2250"/>
      <c r="K427" s="2250"/>
      <c r="L427" s="2250"/>
      <c r="M427" s="2250"/>
      <c r="N427" s="2250"/>
      <c r="O427" s="2250"/>
      <c r="P427" s="284">
        <v>1250</v>
      </c>
      <c r="Q427" s="284">
        <f>VLOOKUP(Q416,P388:AA414,9,0)</f>
        <v>143.93</v>
      </c>
      <c r="R427" s="284">
        <f t="shared" si="216"/>
        <v>223.44</v>
      </c>
      <c r="S427" s="284">
        <v>1450</v>
      </c>
      <c r="T427" s="2250"/>
      <c r="U427" s="2250"/>
      <c r="V427" s="2250"/>
      <c r="W427" s="2250"/>
      <c r="X427" s="2250"/>
      <c r="Y427" s="2250"/>
      <c r="Z427" s="2250"/>
      <c r="AA427" s="2250"/>
      <c r="AB427" s="2250"/>
      <c r="AC427" s="2250"/>
      <c r="AD427" s="284">
        <v>1250</v>
      </c>
      <c r="AE427" s="284">
        <f>VLOOKUP(AE416,AD388:AO414,9,0)</f>
        <v>111.27</v>
      </c>
      <c r="AF427" s="284">
        <f t="shared" si="217"/>
        <v>169</v>
      </c>
      <c r="AG427" s="284">
        <v>1450</v>
      </c>
      <c r="AH427" s="2250"/>
      <c r="AI427" s="2250"/>
      <c r="AJ427" s="2250"/>
      <c r="AK427" s="2250"/>
      <c r="AL427" s="2250"/>
      <c r="AM427" s="2250"/>
      <c r="AN427" s="2250"/>
      <c r="AO427" s="2250"/>
      <c r="AP427" s="2250"/>
      <c r="AQ427" s="2250"/>
      <c r="AR427" s="284">
        <v>1250</v>
      </c>
      <c r="AS427" s="284">
        <f>VLOOKUP(AS416,AR388:BC414,9,0)</f>
        <v>84.08</v>
      </c>
      <c r="AT427" s="284">
        <f t="shared" si="218"/>
        <v>126.77</v>
      </c>
      <c r="AU427" s="284">
        <v>1450</v>
      </c>
      <c r="AV427" s="2250"/>
      <c r="AW427" s="2250"/>
      <c r="AX427" s="2250"/>
      <c r="AY427" s="2250"/>
      <c r="AZ427" s="2250"/>
      <c r="BA427" s="2250"/>
      <c r="BB427" s="2250"/>
      <c r="BC427" s="2250"/>
      <c r="BD427" s="2250"/>
      <c r="BE427" s="2250"/>
      <c r="BF427" s="2276"/>
      <c r="BG427" s="2276"/>
      <c r="BH427" s="2250"/>
      <c r="BI427" s="2275"/>
      <c r="BJ427" s="284">
        <v>1250</v>
      </c>
      <c r="BK427" s="284">
        <f>VLOOKUP(BK416,BJ388:BU414,9,0)</f>
        <v>0</v>
      </c>
      <c r="BL427" s="284">
        <f t="shared" si="219"/>
        <v>0</v>
      </c>
      <c r="BM427" s="284">
        <v>1450</v>
      </c>
      <c r="BN427" s="2250"/>
      <c r="BO427" s="2250"/>
      <c r="BP427" s="2250"/>
      <c r="BQ427" s="2250"/>
      <c r="BR427" s="2250"/>
      <c r="BS427" s="2250"/>
      <c r="BT427" s="2250"/>
      <c r="BU427" s="2250"/>
      <c r="BV427" s="2250"/>
      <c r="BW427" s="2250"/>
      <c r="BX427" s="284">
        <v>1250</v>
      </c>
      <c r="BY427" s="284">
        <f>VLOOKUP(BY416,BX388:CI414,9,0)</f>
        <v>132.69999999999999</v>
      </c>
      <c r="BZ427" s="284">
        <f t="shared" si="220"/>
        <v>211.23</v>
      </c>
      <c r="CA427" s="284">
        <v>1450</v>
      </c>
      <c r="CB427" s="2250"/>
      <c r="CC427" s="2250"/>
      <c r="CD427" s="2250"/>
      <c r="CE427" s="2250"/>
      <c r="CF427" s="2250"/>
      <c r="CG427" s="2250"/>
      <c r="CH427" s="2250"/>
      <c r="CI427" s="2250"/>
      <c r="CJ427" s="2250"/>
      <c r="CK427" s="2250"/>
      <c r="CL427" s="284">
        <v>1250</v>
      </c>
      <c r="CM427" s="284">
        <f>VLOOKUP(CM416,CL388:CW414,9,0)</f>
        <v>102.67</v>
      </c>
      <c r="CN427" s="284">
        <f t="shared" si="221"/>
        <v>157.4</v>
      </c>
      <c r="CO427" s="284">
        <v>1450</v>
      </c>
      <c r="CP427" s="2250"/>
      <c r="CQ427" s="2250"/>
      <c r="CR427" s="2250"/>
      <c r="CS427" s="2250"/>
      <c r="CT427" s="2250"/>
      <c r="CU427" s="2250"/>
      <c r="CV427" s="2250"/>
      <c r="CW427" s="2250"/>
      <c r="CX427" s="2250"/>
      <c r="CY427" s="2250"/>
      <c r="CZ427" s="284">
        <v>1250</v>
      </c>
      <c r="DA427" s="284">
        <f>VLOOKUP(DA416,CZ388:DK414,9,0)</f>
        <v>77.31</v>
      </c>
      <c r="DB427" s="284">
        <f t="shared" si="222"/>
        <v>118.46</v>
      </c>
      <c r="DC427" s="284">
        <v>1450</v>
      </c>
      <c r="DD427" s="2250"/>
      <c r="DE427" s="2250"/>
      <c r="DF427" s="2250"/>
      <c r="DG427" s="2250"/>
      <c r="DH427" s="2250"/>
      <c r="DI427" s="2250"/>
      <c r="DJ427" s="2250"/>
      <c r="DK427" s="2250"/>
      <c r="DL427" s="2250"/>
      <c r="DM427" s="2250"/>
      <c r="DN427" s="2250"/>
      <c r="DO427" s="53"/>
      <c r="DP427" s="53"/>
      <c r="DS427" s="277"/>
      <c r="DW427" s="1"/>
      <c r="DX427" s="284">
        <v>1250</v>
      </c>
      <c r="DY427" s="284">
        <f>VLOOKUP(DY416,DX388:EI414,9,0)</f>
        <v>0</v>
      </c>
      <c r="DZ427" s="284">
        <f t="shared" si="223"/>
        <v>0</v>
      </c>
      <c r="EA427" s="284">
        <v>1450</v>
      </c>
      <c r="EB427" s="2250"/>
      <c r="EC427" s="2250"/>
      <c r="ED427" s="2250"/>
      <c r="EE427" s="2250"/>
      <c r="EF427" s="2250"/>
      <c r="EG427" s="2250"/>
      <c r="EH427" s="2250"/>
      <c r="EI427" s="2250"/>
      <c r="EJ427" s="2250"/>
      <c r="EK427" s="2250"/>
      <c r="EL427" s="284">
        <v>1250</v>
      </c>
      <c r="EM427" s="284">
        <f>VLOOKUP(EM416,EL388:EW414,9,0)</f>
        <v>209.26</v>
      </c>
      <c r="EN427" s="284">
        <f t="shared" si="224"/>
        <v>327.55</v>
      </c>
      <c r="EO427" s="284">
        <v>1450</v>
      </c>
      <c r="EP427" s="2250"/>
      <c r="EQ427" s="2250"/>
      <c r="ER427" s="2250"/>
      <c r="ES427" s="2250"/>
      <c r="ET427" s="2250"/>
      <c r="EU427" s="2250"/>
      <c r="EV427" s="2250"/>
      <c r="EW427" s="2250"/>
      <c r="EX427" s="2250"/>
      <c r="EY427" s="2250"/>
      <c r="EZ427" s="284">
        <v>1250</v>
      </c>
      <c r="FA427" s="284">
        <f>VLOOKUP(FA416,EZ388:FK414,9,0)</f>
        <v>156.53</v>
      </c>
      <c r="FB427" s="284">
        <f t="shared" si="225"/>
        <v>239.07</v>
      </c>
      <c r="FC427" s="284">
        <v>1450</v>
      </c>
      <c r="FD427" s="2250"/>
      <c r="FE427" s="2250"/>
      <c r="FF427" s="2250"/>
      <c r="FG427" s="2250"/>
      <c r="FH427" s="2250"/>
      <c r="FI427" s="2250"/>
      <c r="FJ427" s="2250"/>
      <c r="FK427" s="2250"/>
      <c r="FL427" s="2250"/>
      <c r="FM427" s="2250"/>
      <c r="FN427" s="284">
        <v>1250</v>
      </c>
      <c r="FO427" s="284">
        <f>VLOOKUP(FO416,FN388:FY414,9,0)</f>
        <v>119.08</v>
      </c>
      <c r="FP427" s="284">
        <f t="shared" si="226"/>
        <v>181.92</v>
      </c>
      <c r="FQ427" s="284">
        <v>1450</v>
      </c>
      <c r="FR427" s="2250"/>
      <c r="FS427" s="2250"/>
      <c r="FT427" s="2250"/>
      <c r="FU427" s="2250"/>
      <c r="FV427" s="2250"/>
      <c r="FW427" s="2250"/>
      <c r="FX427" s="2250"/>
      <c r="FY427" s="2250"/>
      <c r="FZ427" s="2250"/>
      <c r="GA427" s="2250"/>
      <c r="GB427" s="2276"/>
      <c r="GC427" s="2276"/>
      <c r="GD427" s="2250"/>
      <c r="GE427" s="2275"/>
      <c r="GF427" s="284">
        <v>1250</v>
      </c>
      <c r="GG427" s="284">
        <f>VLOOKUP(GG416,GF388:GQ414,9,0)</f>
        <v>0</v>
      </c>
      <c r="GH427" s="284">
        <f t="shared" si="227"/>
        <v>0</v>
      </c>
      <c r="GI427" s="284">
        <v>1450</v>
      </c>
      <c r="GJ427" s="2250"/>
      <c r="GK427" s="2250"/>
      <c r="GL427" s="2250"/>
      <c r="GM427" s="2250"/>
      <c r="GN427" s="2250"/>
      <c r="GO427" s="2250"/>
      <c r="GP427" s="2250"/>
      <c r="GQ427" s="2250"/>
      <c r="GR427" s="2250"/>
      <c r="GS427" s="2250"/>
      <c r="GT427" s="284">
        <v>1250</v>
      </c>
      <c r="GU427" s="284">
        <f>VLOOKUP(GU416,GT388:HE414,9,0)</f>
        <v>183.13</v>
      </c>
      <c r="GV427" s="284">
        <f t="shared" si="228"/>
        <v>301.52999999999997</v>
      </c>
      <c r="GW427" s="284">
        <v>1450</v>
      </c>
      <c r="GX427" s="2250"/>
      <c r="GY427" s="2250"/>
      <c r="GZ427" s="2250"/>
      <c r="HA427" s="2250"/>
      <c r="HB427" s="2250"/>
      <c r="HC427" s="2250"/>
      <c r="HD427" s="2250"/>
      <c r="HE427" s="2250"/>
      <c r="HF427" s="2250"/>
      <c r="HG427" s="2250"/>
      <c r="HH427" s="284">
        <v>1250</v>
      </c>
      <c r="HI427" s="284">
        <f>VLOOKUP(HI416,HH388:HS414,9,0)</f>
        <v>141.07</v>
      </c>
      <c r="HJ427" s="284">
        <f t="shared" si="229"/>
        <v>219.53</v>
      </c>
      <c r="HK427" s="284">
        <v>1450</v>
      </c>
      <c r="HL427" s="2250"/>
      <c r="HM427" s="2250"/>
      <c r="HN427" s="2250"/>
      <c r="HO427" s="2250"/>
      <c r="HP427" s="2250"/>
      <c r="HQ427" s="2250"/>
      <c r="HR427" s="2250"/>
      <c r="HS427" s="2250"/>
      <c r="HT427" s="2250"/>
      <c r="HU427" s="2250"/>
      <c r="HV427" s="284">
        <v>1250</v>
      </c>
      <c r="HW427" s="284">
        <f>VLOOKUP(HW416,HV388:IG414,9,0)</f>
        <v>107.31</v>
      </c>
      <c r="HX427" s="284">
        <f t="shared" si="230"/>
        <v>167.23</v>
      </c>
      <c r="HY427" s="284">
        <v>1450</v>
      </c>
      <c r="HZ427" s="2250"/>
      <c r="IA427" s="2250"/>
      <c r="IB427" s="2250"/>
      <c r="IC427" s="2250"/>
      <c r="ID427" s="2250"/>
      <c r="IE427" s="2250"/>
      <c r="IF427" s="2250"/>
      <c r="IG427" s="2250"/>
      <c r="IH427" s="2250"/>
      <c r="II427" s="2250"/>
      <c r="IJ427" s="2250"/>
      <c r="IK427" s="53"/>
      <c r="IL427" s="53"/>
      <c r="IN427" s="277"/>
      <c r="IO427" s="277"/>
    </row>
    <row r="428" spans="2:249" ht="21.95" customHeight="1">
      <c r="B428" s="284">
        <v>1450</v>
      </c>
      <c r="C428" s="284">
        <f>VLOOKUP(C416,B388:M414,10,0)</f>
        <v>0</v>
      </c>
      <c r="D428" s="284">
        <f t="shared" si="215"/>
        <v>0</v>
      </c>
      <c r="E428" s="284">
        <v>1650</v>
      </c>
      <c r="F428" s="2250"/>
      <c r="G428" s="2250"/>
      <c r="H428" s="2250"/>
      <c r="I428" s="2250"/>
      <c r="J428" s="2250"/>
      <c r="K428" s="2250"/>
      <c r="L428" s="2250"/>
      <c r="M428" s="2250"/>
      <c r="N428" s="2250"/>
      <c r="O428" s="2250"/>
      <c r="P428" s="284">
        <v>1450</v>
      </c>
      <c r="Q428" s="284">
        <f>VLOOKUP(Q416,P388:AA414,10,0)</f>
        <v>223.44</v>
      </c>
      <c r="R428" s="284">
        <f t="shared" si="216"/>
        <v>322.88</v>
      </c>
      <c r="S428" s="284">
        <v>1650</v>
      </c>
      <c r="T428" s="2250"/>
      <c r="U428" s="2250"/>
      <c r="V428" s="2250"/>
      <c r="W428" s="2250"/>
      <c r="X428" s="2250"/>
      <c r="Y428" s="2250"/>
      <c r="Z428" s="2250"/>
      <c r="AA428" s="2250"/>
      <c r="AB428" s="2250"/>
      <c r="AC428" s="2250"/>
      <c r="AD428" s="284">
        <v>1450</v>
      </c>
      <c r="AE428" s="284">
        <f>VLOOKUP(AE416,AD388:AO414,10,0)</f>
        <v>169</v>
      </c>
      <c r="AF428" s="284">
        <f t="shared" si="217"/>
        <v>236.53</v>
      </c>
      <c r="AG428" s="284">
        <v>1650</v>
      </c>
      <c r="AH428" s="2250"/>
      <c r="AI428" s="2250"/>
      <c r="AJ428" s="2250"/>
      <c r="AK428" s="2250"/>
      <c r="AL428" s="2250"/>
      <c r="AM428" s="2250"/>
      <c r="AN428" s="2250"/>
      <c r="AO428" s="2250"/>
      <c r="AP428" s="2250"/>
      <c r="AQ428" s="2250"/>
      <c r="AR428" s="284">
        <v>1450</v>
      </c>
      <c r="AS428" s="284">
        <f>VLOOKUP(AS416,AR388:BC414,10,0)</f>
        <v>126.77</v>
      </c>
      <c r="AT428" s="284">
        <f t="shared" si="218"/>
        <v>177.38</v>
      </c>
      <c r="AU428" s="284">
        <v>1650</v>
      </c>
      <c r="AV428" s="2250"/>
      <c r="AW428" s="2250"/>
      <c r="AX428" s="2250"/>
      <c r="AY428" s="2250"/>
      <c r="AZ428" s="2250"/>
      <c r="BA428" s="2250"/>
      <c r="BB428" s="2250"/>
      <c r="BC428" s="2250"/>
      <c r="BD428" s="2250"/>
      <c r="BE428" s="2250"/>
      <c r="BF428" s="2276"/>
      <c r="BG428" s="2276"/>
      <c r="BH428" s="2250"/>
      <c r="BI428" s="2275"/>
      <c r="BJ428" s="284">
        <v>1450</v>
      </c>
      <c r="BK428" s="284">
        <f>VLOOKUP(BK416,BJ388:BU414,10,0)</f>
        <v>0</v>
      </c>
      <c r="BL428" s="284">
        <f t="shared" si="219"/>
        <v>0</v>
      </c>
      <c r="BM428" s="284">
        <v>1650</v>
      </c>
      <c r="BN428" s="2250"/>
      <c r="BO428" s="2250"/>
      <c r="BP428" s="2250"/>
      <c r="BQ428" s="2250"/>
      <c r="BR428" s="2250"/>
      <c r="BS428" s="2250"/>
      <c r="BT428" s="2250"/>
      <c r="BU428" s="2250"/>
      <c r="BV428" s="2250"/>
      <c r="BW428" s="2250"/>
      <c r="BX428" s="284">
        <v>1450</v>
      </c>
      <c r="BY428" s="284">
        <f>VLOOKUP(BY416,BX388:CI414,10,0)</f>
        <v>211.23</v>
      </c>
      <c r="BZ428" s="284">
        <f t="shared" si="220"/>
        <v>307.36</v>
      </c>
      <c r="CA428" s="284">
        <v>1650</v>
      </c>
      <c r="CB428" s="2250"/>
      <c r="CC428" s="2250"/>
      <c r="CD428" s="2250"/>
      <c r="CE428" s="2250"/>
      <c r="CF428" s="2250"/>
      <c r="CG428" s="2250"/>
      <c r="CH428" s="2250"/>
      <c r="CI428" s="2250"/>
      <c r="CJ428" s="2250"/>
      <c r="CK428" s="2250"/>
      <c r="CL428" s="284">
        <v>1450</v>
      </c>
      <c r="CM428" s="284">
        <f>VLOOKUP(CM416,CL388:CW414,10,0)</f>
        <v>157.4</v>
      </c>
      <c r="CN428" s="284">
        <f t="shared" si="221"/>
        <v>222.87</v>
      </c>
      <c r="CO428" s="284">
        <v>1650</v>
      </c>
      <c r="CP428" s="2250"/>
      <c r="CQ428" s="2250"/>
      <c r="CR428" s="2250"/>
      <c r="CS428" s="2250"/>
      <c r="CT428" s="2250"/>
      <c r="CU428" s="2250"/>
      <c r="CV428" s="2250"/>
      <c r="CW428" s="2250"/>
      <c r="CX428" s="2250"/>
      <c r="CY428" s="2250"/>
      <c r="CZ428" s="284">
        <v>1450</v>
      </c>
      <c r="DA428" s="284">
        <f>VLOOKUP(DA416,CZ388:DK414,10,0)</f>
        <v>118.46</v>
      </c>
      <c r="DB428" s="284">
        <f t="shared" si="222"/>
        <v>167.15</v>
      </c>
      <c r="DC428" s="284">
        <v>1650</v>
      </c>
      <c r="DD428" s="2250"/>
      <c r="DE428" s="2250"/>
      <c r="DF428" s="2250"/>
      <c r="DG428" s="2250"/>
      <c r="DH428" s="2250"/>
      <c r="DI428" s="2250"/>
      <c r="DJ428" s="2250"/>
      <c r="DK428" s="2250"/>
      <c r="DL428" s="2250"/>
      <c r="DM428" s="2250"/>
      <c r="DN428" s="2250"/>
      <c r="DO428" s="53"/>
      <c r="DP428" s="53"/>
      <c r="DS428" s="277"/>
      <c r="DW428" s="1"/>
      <c r="DX428" s="284">
        <v>1450</v>
      </c>
      <c r="DY428" s="284">
        <f>VLOOKUP(DY416,DX388:EI414,10,0)</f>
        <v>0</v>
      </c>
      <c r="DZ428" s="284">
        <f t="shared" si="223"/>
        <v>0</v>
      </c>
      <c r="EA428" s="284">
        <v>1650</v>
      </c>
      <c r="EB428" s="2250"/>
      <c r="EC428" s="2250"/>
      <c r="ED428" s="2250"/>
      <c r="EE428" s="2250"/>
      <c r="EF428" s="2250"/>
      <c r="EG428" s="2250"/>
      <c r="EH428" s="2250"/>
      <c r="EI428" s="2250"/>
      <c r="EJ428" s="2250"/>
      <c r="EK428" s="2250"/>
      <c r="EL428" s="284">
        <v>1450</v>
      </c>
      <c r="EM428" s="284">
        <f>VLOOKUP(EM416,EL388:EW414,10,0)</f>
        <v>327.55</v>
      </c>
      <c r="EN428" s="284">
        <f t="shared" si="224"/>
        <v>485.34</v>
      </c>
      <c r="EO428" s="284">
        <v>1650</v>
      </c>
      <c r="EP428" s="2250"/>
      <c r="EQ428" s="2250"/>
      <c r="ER428" s="2250"/>
      <c r="ES428" s="2250"/>
      <c r="ET428" s="2250"/>
      <c r="EU428" s="2250"/>
      <c r="EV428" s="2250"/>
      <c r="EW428" s="2250"/>
      <c r="EX428" s="2250"/>
      <c r="EY428" s="2250"/>
      <c r="EZ428" s="284">
        <v>1450</v>
      </c>
      <c r="FA428" s="284">
        <f>VLOOKUP(FA416,EZ388:FK414,10,0)</f>
        <v>239.07</v>
      </c>
      <c r="FB428" s="284">
        <f t="shared" si="225"/>
        <v>354.6</v>
      </c>
      <c r="FC428" s="284">
        <v>1650</v>
      </c>
      <c r="FD428" s="2250"/>
      <c r="FE428" s="2250"/>
      <c r="FF428" s="2250"/>
      <c r="FG428" s="2250"/>
      <c r="FH428" s="2250"/>
      <c r="FI428" s="2250"/>
      <c r="FJ428" s="2250"/>
      <c r="FK428" s="2250"/>
      <c r="FL428" s="2250"/>
      <c r="FM428" s="2250"/>
      <c r="FN428" s="284">
        <v>1450</v>
      </c>
      <c r="FO428" s="284">
        <f>VLOOKUP(FO416,FN388:FY414,10,0)</f>
        <v>181.92</v>
      </c>
      <c r="FP428" s="284">
        <f t="shared" si="226"/>
        <v>269.69</v>
      </c>
      <c r="FQ428" s="284">
        <v>1650</v>
      </c>
      <c r="FR428" s="2250"/>
      <c r="FS428" s="2250"/>
      <c r="FT428" s="2250"/>
      <c r="FU428" s="2250"/>
      <c r="FV428" s="2250"/>
      <c r="FW428" s="2250"/>
      <c r="FX428" s="2250"/>
      <c r="FY428" s="2250"/>
      <c r="FZ428" s="2250"/>
      <c r="GA428" s="2250"/>
      <c r="GB428" s="2276"/>
      <c r="GC428" s="2276"/>
      <c r="GD428" s="2250"/>
      <c r="GE428" s="2275"/>
      <c r="GF428" s="284">
        <v>1450</v>
      </c>
      <c r="GG428" s="284">
        <f>VLOOKUP(GG416,GF388:GQ414,10,0)</f>
        <v>0</v>
      </c>
      <c r="GH428" s="284">
        <f t="shared" si="227"/>
        <v>0</v>
      </c>
      <c r="GI428" s="284">
        <v>1650</v>
      </c>
      <c r="GJ428" s="2250"/>
      <c r="GK428" s="2250"/>
      <c r="GL428" s="2250"/>
      <c r="GM428" s="2250"/>
      <c r="GN428" s="2250"/>
      <c r="GO428" s="2250"/>
      <c r="GP428" s="2250"/>
      <c r="GQ428" s="2250"/>
      <c r="GR428" s="2250"/>
      <c r="GS428" s="2250"/>
      <c r="GT428" s="284">
        <v>1450</v>
      </c>
      <c r="GU428" s="284">
        <f>VLOOKUP(GU416,GT388:HE414,10,0)</f>
        <v>301.52999999999997</v>
      </c>
      <c r="GV428" s="284">
        <f t="shared" si="228"/>
        <v>447.79</v>
      </c>
      <c r="GW428" s="284">
        <v>1650</v>
      </c>
      <c r="GX428" s="2250"/>
      <c r="GY428" s="2250"/>
      <c r="GZ428" s="2250"/>
      <c r="HA428" s="2250"/>
      <c r="HB428" s="2250"/>
      <c r="HC428" s="2250"/>
      <c r="HD428" s="2250"/>
      <c r="HE428" s="2250"/>
      <c r="HF428" s="2250"/>
      <c r="HG428" s="2250"/>
      <c r="HH428" s="284">
        <v>1450</v>
      </c>
      <c r="HI428" s="284">
        <f>VLOOKUP(HI416,HH388:HS414,10,0)</f>
        <v>219.53</v>
      </c>
      <c r="HJ428" s="284">
        <f t="shared" si="229"/>
        <v>323.33</v>
      </c>
      <c r="HK428" s="284">
        <v>1650</v>
      </c>
      <c r="HL428" s="2250"/>
      <c r="HM428" s="2250"/>
      <c r="HN428" s="2250"/>
      <c r="HO428" s="2250"/>
      <c r="HP428" s="2250"/>
      <c r="HQ428" s="2250"/>
      <c r="HR428" s="2250"/>
      <c r="HS428" s="2250"/>
      <c r="HT428" s="2250"/>
      <c r="HU428" s="2250"/>
      <c r="HV428" s="284">
        <v>1450</v>
      </c>
      <c r="HW428" s="284">
        <f>VLOOKUP(HW416,HV388:IG414,10,0)</f>
        <v>167.23</v>
      </c>
      <c r="HX428" s="284">
        <f t="shared" si="230"/>
        <v>246.23</v>
      </c>
      <c r="HY428" s="284">
        <v>1650</v>
      </c>
      <c r="HZ428" s="2250"/>
      <c r="IA428" s="2250"/>
      <c r="IB428" s="2250"/>
      <c r="IC428" s="2250"/>
      <c r="ID428" s="2250"/>
      <c r="IE428" s="2250"/>
      <c r="IF428" s="2250"/>
      <c r="IG428" s="2250"/>
      <c r="IH428" s="2250"/>
      <c r="II428" s="2250"/>
      <c r="IJ428" s="2250"/>
      <c r="IK428" s="53"/>
      <c r="IL428" s="53"/>
      <c r="IN428" s="277"/>
      <c r="IO428" s="277"/>
    </row>
    <row r="429" spans="2:249" ht="21.95" customHeight="1">
      <c r="B429" s="284">
        <v>1650</v>
      </c>
      <c r="C429" s="284">
        <f>VLOOKUP(C416,B388:M414,11,0)</f>
        <v>0</v>
      </c>
      <c r="D429" s="284">
        <f t="shared" si="215"/>
        <v>0</v>
      </c>
      <c r="E429" s="284">
        <v>1650</v>
      </c>
      <c r="F429" s="2250"/>
      <c r="G429" s="2250"/>
      <c r="H429" s="2250"/>
      <c r="I429" s="2250"/>
      <c r="J429" s="2250"/>
      <c r="K429" s="2250"/>
      <c r="L429" s="2250"/>
      <c r="M429" s="2250"/>
      <c r="N429" s="2250"/>
      <c r="O429" s="2250"/>
      <c r="P429" s="284">
        <v>1650</v>
      </c>
      <c r="Q429" s="284">
        <f>VLOOKUP(Q416,P388:AA414,11,0)</f>
        <v>322.88</v>
      </c>
      <c r="R429" s="284">
        <f t="shared" si="216"/>
        <v>0</v>
      </c>
      <c r="S429" s="284"/>
      <c r="T429" s="2250"/>
      <c r="U429" s="2250"/>
      <c r="V429" s="2250"/>
      <c r="W429" s="2250"/>
      <c r="X429" s="2250"/>
      <c r="Y429" s="2250"/>
      <c r="Z429" s="2250"/>
      <c r="AA429" s="2250"/>
      <c r="AB429" s="2250"/>
      <c r="AC429" s="2250"/>
      <c r="AD429" s="284">
        <v>1650</v>
      </c>
      <c r="AE429" s="284">
        <f>VLOOKUP(AE416,AD388:AO414,11,0)</f>
        <v>236.53</v>
      </c>
      <c r="AF429" s="284">
        <f t="shared" si="217"/>
        <v>0</v>
      </c>
      <c r="AG429" s="284"/>
      <c r="AH429" s="2250"/>
      <c r="AI429" s="2250"/>
      <c r="AJ429" s="2250"/>
      <c r="AK429" s="2250"/>
      <c r="AL429" s="2250"/>
      <c r="AM429" s="2250"/>
      <c r="AN429" s="2250"/>
      <c r="AO429" s="2250"/>
      <c r="AP429" s="2250"/>
      <c r="AQ429" s="2250"/>
      <c r="AR429" s="284">
        <v>1650</v>
      </c>
      <c r="AS429" s="284">
        <f>VLOOKUP(AS416,AR388:BC414,11,0)</f>
        <v>177.38</v>
      </c>
      <c r="AT429" s="284">
        <f t="shared" si="218"/>
        <v>0</v>
      </c>
      <c r="AU429" s="284"/>
      <c r="AV429" s="2250"/>
      <c r="AW429" s="2250"/>
      <c r="AX429" s="2250"/>
      <c r="AY429" s="2250"/>
      <c r="AZ429" s="2250"/>
      <c r="BA429" s="2250"/>
      <c r="BB429" s="2250"/>
      <c r="BC429" s="2250"/>
      <c r="BD429" s="2250"/>
      <c r="BE429" s="2250"/>
      <c r="BF429" s="2276"/>
      <c r="BG429" s="2276"/>
      <c r="BH429" s="2250"/>
      <c r="BI429" s="2275"/>
      <c r="BJ429" s="284">
        <v>1650</v>
      </c>
      <c r="BK429" s="284">
        <f>VLOOKUP(BK416,BJ388:BU414,11,0)</f>
        <v>0</v>
      </c>
      <c r="BL429" s="284">
        <f t="shared" si="219"/>
        <v>0</v>
      </c>
      <c r="BM429" s="284"/>
      <c r="BN429" s="2250"/>
      <c r="BO429" s="2250"/>
      <c r="BP429" s="2250"/>
      <c r="BQ429" s="2250"/>
      <c r="BR429" s="2250"/>
      <c r="BS429" s="2250"/>
      <c r="BT429" s="2250"/>
      <c r="BU429" s="2250"/>
      <c r="BV429" s="2250"/>
      <c r="BW429" s="2250"/>
      <c r="BX429" s="284">
        <v>1650</v>
      </c>
      <c r="BY429" s="284">
        <f>VLOOKUP(BY416,BX388:CI414,11,0)</f>
        <v>307.36</v>
      </c>
      <c r="BZ429" s="284">
        <f t="shared" si="220"/>
        <v>0</v>
      </c>
      <c r="CA429" s="284"/>
      <c r="CB429" s="2250"/>
      <c r="CC429" s="2250"/>
      <c r="CD429" s="2250"/>
      <c r="CE429" s="2250"/>
      <c r="CF429" s="2250"/>
      <c r="CG429" s="2250"/>
      <c r="CH429" s="2250"/>
      <c r="CI429" s="2250"/>
      <c r="CJ429" s="2250"/>
      <c r="CK429" s="2250"/>
      <c r="CL429" s="284">
        <v>1650</v>
      </c>
      <c r="CM429" s="284">
        <f>VLOOKUP(CM416,CL388:CW414,11,0)</f>
        <v>222.87</v>
      </c>
      <c r="CN429" s="284">
        <f t="shared" si="221"/>
        <v>0</v>
      </c>
      <c r="CO429" s="284"/>
      <c r="CP429" s="2250"/>
      <c r="CQ429" s="2250"/>
      <c r="CR429" s="2250"/>
      <c r="CS429" s="2250"/>
      <c r="CT429" s="2250"/>
      <c r="CU429" s="2250"/>
      <c r="CV429" s="2250"/>
      <c r="CW429" s="2250"/>
      <c r="CX429" s="2250"/>
      <c r="CY429" s="2250"/>
      <c r="CZ429" s="284">
        <v>1650</v>
      </c>
      <c r="DA429" s="284">
        <f>VLOOKUP(DA416,CZ388:DK414,11,0)</f>
        <v>167.15</v>
      </c>
      <c r="DB429" s="284">
        <f t="shared" si="222"/>
        <v>0</v>
      </c>
      <c r="DC429" s="284"/>
      <c r="DD429" s="2250"/>
      <c r="DE429" s="2250"/>
      <c r="DF429" s="2250"/>
      <c r="DG429" s="2250"/>
      <c r="DH429" s="2250"/>
      <c r="DI429" s="2250"/>
      <c r="DJ429" s="2250"/>
      <c r="DK429" s="2250"/>
      <c r="DL429" s="2250"/>
      <c r="DM429" s="2250"/>
      <c r="DN429" s="2250"/>
      <c r="DO429" s="53"/>
      <c r="DP429" s="53"/>
      <c r="DS429" s="277"/>
      <c r="DW429" s="1"/>
      <c r="DX429" s="284">
        <v>1650</v>
      </c>
      <c r="DY429" s="284">
        <f>VLOOKUP(DY416,DX388:EI414,11,0)</f>
        <v>0</v>
      </c>
      <c r="DZ429" s="284">
        <f t="shared" si="223"/>
        <v>0</v>
      </c>
      <c r="EA429" s="284">
        <v>1650</v>
      </c>
      <c r="EB429" s="2250"/>
      <c r="EC429" s="2250"/>
      <c r="ED429" s="2250"/>
      <c r="EE429" s="2250"/>
      <c r="EF429" s="2250"/>
      <c r="EG429" s="2250"/>
      <c r="EH429" s="2250"/>
      <c r="EI429" s="2250"/>
      <c r="EJ429" s="2250"/>
      <c r="EK429" s="2250"/>
      <c r="EL429" s="284">
        <v>1650</v>
      </c>
      <c r="EM429" s="284">
        <f>VLOOKUP(EM416,EL388:EW414,11,0)</f>
        <v>485.34</v>
      </c>
      <c r="EN429" s="284">
        <f t="shared" si="224"/>
        <v>0</v>
      </c>
      <c r="EO429" s="284"/>
      <c r="EP429" s="2250"/>
      <c r="EQ429" s="2250"/>
      <c r="ER429" s="2250"/>
      <c r="ES429" s="2250"/>
      <c r="ET429" s="2250"/>
      <c r="EU429" s="2250"/>
      <c r="EV429" s="2250"/>
      <c r="EW429" s="2250"/>
      <c r="EX429" s="2250"/>
      <c r="EY429" s="2250"/>
      <c r="EZ429" s="284">
        <v>1650</v>
      </c>
      <c r="FA429" s="284">
        <f>VLOOKUP(FA416,EZ388:FK414,11,0)</f>
        <v>354.6</v>
      </c>
      <c r="FB429" s="284">
        <f t="shared" si="225"/>
        <v>0</v>
      </c>
      <c r="FC429" s="284"/>
      <c r="FD429" s="2250"/>
      <c r="FE429" s="2250"/>
      <c r="FF429" s="2250"/>
      <c r="FG429" s="2250"/>
      <c r="FH429" s="2250"/>
      <c r="FI429" s="2250"/>
      <c r="FJ429" s="2250"/>
      <c r="FK429" s="2250"/>
      <c r="FL429" s="2250"/>
      <c r="FM429" s="2250"/>
      <c r="FN429" s="284">
        <v>1650</v>
      </c>
      <c r="FO429" s="284">
        <f>VLOOKUP(FO416,FN388:FY414,11,0)</f>
        <v>269.69</v>
      </c>
      <c r="FP429" s="284">
        <f t="shared" si="226"/>
        <v>0</v>
      </c>
      <c r="FQ429" s="284"/>
      <c r="FR429" s="2250"/>
      <c r="FS429" s="2250"/>
      <c r="FT429" s="2250"/>
      <c r="FU429" s="2250"/>
      <c r="FV429" s="2250"/>
      <c r="FW429" s="2250"/>
      <c r="FX429" s="2250"/>
      <c r="FY429" s="2250"/>
      <c r="FZ429" s="2250"/>
      <c r="GA429" s="2250"/>
      <c r="GB429" s="2276"/>
      <c r="GC429" s="2276"/>
      <c r="GD429" s="2250"/>
      <c r="GE429" s="2275"/>
      <c r="GF429" s="284">
        <v>1650</v>
      </c>
      <c r="GG429" s="284">
        <f>VLOOKUP(GG416,GF388:GQ414,11,0)</f>
        <v>0</v>
      </c>
      <c r="GH429" s="284">
        <f t="shared" si="227"/>
        <v>0</v>
      </c>
      <c r="GI429" s="284"/>
      <c r="GJ429" s="2250"/>
      <c r="GK429" s="2250"/>
      <c r="GL429" s="2250"/>
      <c r="GM429" s="2250"/>
      <c r="GN429" s="2250"/>
      <c r="GO429" s="2250"/>
      <c r="GP429" s="2250"/>
      <c r="GQ429" s="2250"/>
      <c r="GR429" s="2250"/>
      <c r="GS429" s="2250"/>
      <c r="GT429" s="284">
        <v>1650</v>
      </c>
      <c r="GU429" s="284">
        <f>VLOOKUP(GU416,GT388:HE414,11,0)</f>
        <v>447.79</v>
      </c>
      <c r="GV429" s="284">
        <f t="shared" si="228"/>
        <v>0</v>
      </c>
      <c r="GW429" s="284"/>
      <c r="GX429" s="2250"/>
      <c r="GY429" s="2250"/>
      <c r="GZ429" s="2250"/>
      <c r="HA429" s="2250"/>
      <c r="HB429" s="2250"/>
      <c r="HC429" s="2250"/>
      <c r="HD429" s="2250"/>
      <c r="HE429" s="2250"/>
      <c r="HF429" s="2250"/>
      <c r="HG429" s="2250"/>
      <c r="HH429" s="284">
        <v>1650</v>
      </c>
      <c r="HI429" s="284">
        <f>VLOOKUP(HI416,HH388:HS414,11,0)</f>
        <v>323.33</v>
      </c>
      <c r="HJ429" s="284">
        <f t="shared" si="229"/>
        <v>0</v>
      </c>
      <c r="HK429" s="284"/>
      <c r="HL429" s="2250"/>
      <c r="HM429" s="2250"/>
      <c r="HN429" s="2250"/>
      <c r="HO429" s="2250"/>
      <c r="HP429" s="2250"/>
      <c r="HQ429" s="2250"/>
      <c r="HR429" s="2250"/>
      <c r="HS429" s="2250"/>
      <c r="HT429" s="2250"/>
      <c r="HU429" s="2250"/>
      <c r="HV429" s="284">
        <v>1650</v>
      </c>
      <c r="HW429" s="284">
        <f>VLOOKUP(HW416,HV388:IG414,11,0)</f>
        <v>246.23</v>
      </c>
      <c r="HX429" s="284">
        <f t="shared" si="230"/>
        <v>0</v>
      </c>
      <c r="HY429" s="284"/>
      <c r="HZ429" s="2250"/>
      <c r="IA429" s="2250"/>
      <c r="IB429" s="2250"/>
      <c r="IC429" s="2250"/>
      <c r="ID429" s="2250"/>
      <c r="IE429" s="2250"/>
      <c r="IF429" s="2250"/>
      <c r="IG429" s="2250"/>
      <c r="IH429" s="2250"/>
      <c r="II429" s="2250"/>
      <c r="IJ429" s="2250"/>
      <c r="IK429" s="53"/>
      <c r="IL429" s="53"/>
      <c r="IN429" s="277"/>
      <c r="IO429" s="277"/>
    </row>
    <row r="430" spans="2:249" ht="21.95" customHeight="1">
      <c r="B430" s="284">
        <v>1650</v>
      </c>
      <c r="C430" s="284">
        <f>VLOOKUP(C416,B388:M414,12,0)</f>
        <v>0</v>
      </c>
      <c r="D430" s="284">
        <f t="shared" si="215"/>
        <v>0</v>
      </c>
      <c r="E430" s="2250"/>
      <c r="F430" s="2250"/>
      <c r="G430" s="2250"/>
      <c r="H430" s="2250"/>
      <c r="I430" s="2250"/>
      <c r="J430" s="2250"/>
      <c r="K430" s="2250"/>
      <c r="L430" s="2250"/>
      <c r="M430" s="2250"/>
      <c r="N430" s="2250"/>
      <c r="O430" s="2250"/>
      <c r="P430" s="284"/>
      <c r="Q430" s="284">
        <f>VLOOKUP(Q416,P388:AA414,12,0)</f>
        <v>0</v>
      </c>
      <c r="R430" s="284">
        <f t="shared" si="216"/>
        <v>0</v>
      </c>
      <c r="S430" s="2250"/>
      <c r="T430" s="2250"/>
      <c r="U430" s="2250"/>
      <c r="V430" s="2250"/>
      <c r="W430" s="2250"/>
      <c r="X430" s="2250"/>
      <c r="Y430" s="2250"/>
      <c r="Z430" s="2250"/>
      <c r="AA430" s="2250"/>
      <c r="AB430" s="2250"/>
      <c r="AC430" s="2250"/>
      <c r="AD430" s="284">
        <v>1650</v>
      </c>
      <c r="AE430" s="284">
        <f>VLOOKUP(AE416,AD388:AO414,12,0)</f>
        <v>0</v>
      </c>
      <c r="AF430" s="284">
        <f t="shared" ref="AF430" si="231">+AE431</f>
        <v>0</v>
      </c>
      <c r="AG430" s="2250"/>
      <c r="AH430" s="2250"/>
      <c r="AI430" s="2250"/>
      <c r="AJ430" s="2250"/>
      <c r="AK430" s="2250"/>
      <c r="AL430" s="2250"/>
      <c r="AM430" s="2250"/>
      <c r="AN430" s="2250"/>
      <c r="AO430" s="2250"/>
      <c r="AP430" s="2250"/>
      <c r="AQ430" s="2250"/>
      <c r="AR430" s="284">
        <v>1650</v>
      </c>
      <c r="AS430" s="284">
        <f>VLOOKUP(AS416,AR388:BC414,12,0)</f>
        <v>0</v>
      </c>
      <c r="AT430" s="284">
        <f t="shared" ref="AT430" si="232">+AS431</f>
        <v>0</v>
      </c>
      <c r="AU430" s="2250"/>
      <c r="AV430" s="2250"/>
      <c r="AW430" s="2250"/>
      <c r="AX430" s="2250"/>
      <c r="AY430" s="2250"/>
      <c r="AZ430" s="2250"/>
      <c r="BA430" s="2250"/>
      <c r="BB430" s="2250"/>
      <c r="BC430" s="2250"/>
      <c r="BD430" s="2250"/>
      <c r="BE430" s="2250"/>
      <c r="BF430" s="2276"/>
      <c r="BG430" s="2276"/>
      <c r="BH430" s="2250"/>
      <c r="BI430" s="2275"/>
      <c r="BJ430" s="284">
        <v>1650</v>
      </c>
      <c r="BK430" s="284">
        <f>VLOOKUP(BK416,BJ388:BU414,12,0)</f>
        <v>0</v>
      </c>
      <c r="BL430" s="284">
        <f t="shared" ref="BL430" si="233">+BK431</f>
        <v>0</v>
      </c>
      <c r="BM430" s="2250"/>
      <c r="BN430" s="2250"/>
      <c r="BO430" s="2250"/>
      <c r="BP430" s="2250"/>
      <c r="BQ430" s="2250"/>
      <c r="BR430" s="2250"/>
      <c r="BS430" s="2250"/>
      <c r="BT430" s="2250"/>
      <c r="BU430" s="2250"/>
      <c r="BV430" s="2250"/>
      <c r="BW430" s="2250"/>
      <c r="BX430" s="284">
        <v>1650</v>
      </c>
      <c r="BY430" s="284">
        <f>VLOOKUP(BY416,BX388:CI414,12,0)</f>
        <v>0</v>
      </c>
      <c r="BZ430" s="284">
        <f t="shared" ref="BZ430" si="234">+BY431</f>
        <v>0</v>
      </c>
      <c r="CA430" s="2250"/>
      <c r="CB430" s="2250"/>
      <c r="CC430" s="2250"/>
      <c r="CD430" s="2250"/>
      <c r="CE430" s="2250"/>
      <c r="CF430" s="2250"/>
      <c r="CG430" s="2250"/>
      <c r="CH430" s="2250"/>
      <c r="CI430" s="2250"/>
      <c r="CJ430" s="2250"/>
      <c r="CK430" s="2250"/>
      <c r="CL430" s="284">
        <v>1650</v>
      </c>
      <c r="CM430" s="284">
        <f>VLOOKUP(CM416,CL388:CW414,12,0)</f>
        <v>0</v>
      </c>
      <c r="CN430" s="284">
        <f t="shared" ref="CN430" si="235">+CM431</f>
        <v>0</v>
      </c>
      <c r="CO430" s="2250"/>
      <c r="CP430" s="2250"/>
      <c r="CQ430" s="2250"/>
      <c r="CR430" s="2250"/>
      <c r="CS430" s="2250"/>
      <c r="CT430" s="2250"/>
      <c r="CU430" s="2250"/>
      <c r="CV430" s="2250"/>
      <c r="CW430" s="2250"/>
      <c r="CX430" s="2250"/>
      <c r="CY430" s="2250"/>
      <c r="CZ430" s="284">
        <v>1650</v>
      </c>
      <c r="DA430" s="284">
        <f>VLOOKUP(DA416,CZ388:DK414,12,0)</f>
        <v>0</v>
      </c>
      <c r="DB430" s="284">
        <f t="shared" ref="DB430" si="236">+DA431</f>
        <v>0</v>
      </c>
      <c r="DC430" s="2250"/>
      <c r="DD430" s="2250"/>
      <c r="DE430" s="2250"/>
      <c r="DF430" s="2250"/>
      <c r="DG430" s="2250"/>
      <c r="DH430" s="2250"/>
      <c r="DI430" s="2250"/>
      <c r="DJ430" s="2250"/>
      <c r="DK430" s="2250"/>
      <c r="DL430" s="2250"/>
      <c r="DM430" s="2250"/>
      <c r="DN430" s="2250"/>
      <c r="DO430" s="53"/>
      <c r="DP430" s="53"/>
      <c r="DS430" s="277"/>
      <c r="DW430" s="1"/>
      <c r="DX430" s="284">
        <v>1650</v>
      </c>
      <c r="DY430" s="284">
        <f>VLOOKUP(DY416,DX388:EI414,12,0)</f>
        <v>0</v>
      </c>
      <c r="DZ430" s="284">
        <f t="shared" si="223"/>
        <v>0</v>
      </c>
      <c r="EA430" s="2250"/>
      <c r="EB430" s="2250"/>
      <c r="EC430" s="2250"/>
      <c r="ED430" s="2250"/>
      <c r="EE430" s="2250"/>
      <c r="EF430" s="2250"/>
      <c r="EG430" s="2250"/>
      <c r="EH430" s="2250"/>
      <c r="EI430" s="2250"/>
      <c r="EJ430" s="2250"/>
      <c r="EK430" s="2250"/>
      <c r="EL430" s="284"/>
      <c r="EM430" s="284">
        <f>VLOOKUP(EM416,EL388:EW414,12,0)</f>
        <v>0</v>
      </c>
      <c r="EN430" s="284">
        <f t="shared" si="224"/>
        <v>0</v>
      </c>
      <c r="EO430" s="2250"/>
      <c r="EP430" s="2250"/>
      <c r="EQ430" s="2250"/>
      <c r="ER430" s="2250"/>
      <c r="ES430" s="2250"/>
      <c r="ET430" s="2250"/>
      <c r="EU430" s="2250"/>
      <c r="EV430" s="2250"/>
      <c r="EW430" s="2250"/>
      <c r="EX430" s="2250"/>
      <c r="EY430" s="2250"/>
      <c r="EZ430" s="284">
        <v>1650</v>
      </c>
      <c r="FA430" s="284">
        <f>VLOOKUP(FA416,EZ388:FK414,12,0)</f>
        <v>0</v>
      </c>
      <c r="FB430" s="284">
        <f t="shared" si="225"/>
        <v>0</v>
      </c>
      <c r="FC430" s="2250"/>
      <c r="FD430" s="2250"/>
      <c r="FE430" s="2250"/>
      <c r="FF430" s="2250"/>
      <c r="FG430" s="2250"/>
      <c r="FH430" s="2250"/>
      <c r="FI430" s="2250"/>
      <c r="FJ430" s="2250"/>
      <c r="FK430" s="2250"/>
      <c r="FL430" s="2250"/>
      <c r="FM430" s="2250"/>
      <c r="FN430" s="284">
        <v>1650</v>
      </c>
      <c r="FO430" s="284">
        <f>VLOOKUP(FO416,FN388:FY414,12,0)</f>
        <v>0</v>
      </c>
      <c r="FP430" s="284">
        <f t="shared" si="226"/>
        <v>0</v>
      </c>
      <c r="FQ430" s="2250"/>
      <c r="FR430" s="2250"/>
      <c r="FS430" s="2250"/>
      <c r="FT430" s="2250"/>
      <c r="FU430" s="2250"/>
      <c r="FV430" s="2250"/>
      <c r="FW430" s="2250"/>
      <c r="FX430" s="2250"/>
      <c r="FY430" s="2250"/>
      <c r="FZ430" s="2250"/>
      <c r="GA430" s="2250"/>
      <c r="GB430" s="2276"/>
      <c r="GC430" s="2276"/>
      <c r="GD430" s="2250"/>
      <c r="GE430" s="2275"/>
      <c r="GF430" s="284">
        <v>1650</v>
      </c>
      <c r="GG430" s="284">
        <f>VLOOKUP(GG416,GF388:GQ414,12,0)</f>
        <v>0</v>
      </c>
      <c r="GH430" s="284">
        <f t="shared" si="227"/>
        <v>0</v>
      </c>
      <c r="GI430" s="2250"/>
      <c r="GJ430" s="2250"/>
      <c r="GK430" s="2250"/>
      <c r="GL430" s="2250"/>
      <c r="GM430" s="2250"/>
      <c r="GN430" s="2250"/>
      <c r="GO430" s="2250"/>
      <c r="GP430" s="2250"/>
      <c r="GQ430" s="2250"/>
      <c r="GR430" s="2250"/>
      <c r="GS430" s="2250"/>
      <c r="GT430" s="284">
        <v>1650</v>
      </c>
      <c r="GU430" s="284">
        <f>VLOOKUP(GU416,GT388:HE414,12,0)</f>
        <v>0</v>
      </c>
      <c r="GV430" s="284">
        <f t="shared" si="228"/>
        <v>0</v>
      </c>
      <c r="GW430" s="2250"/>
      <c r="GX430" s="2250"/>
      <c r="GY430" s="2250"/>
      <c r="GZ430" s="2250"/>
      <c r="HA430" s="2250"/>
      <c r="HB430" s="2250"/>
      <c r="HC430" s="2250"/>
      <c r="HD430" s="2250"/>
      <c r="HE430" s="2250"/>
      <c r="HF430" s="2250"/>
      <c r="HG430" s="2250"/>
      <c r="HH430" s="284">
        <v>1650</v>
      </c>
      <c r="HI430" s="284">
        <f>VLOOKUP(HI416,HH388:HS414,12,0)</f>
        <v>0</v>
      </c>
      <c r="HJ430" s="284">
        <f t="shared" si="229"/>
        <v>0</v>
      </c>
      <c r="HK430" s="2250"/>
      <c r="HL430" s="2250"/>
      <c r="HM430" s="2250"/>
      <c r="HN430" s="2250"/>
      <c r="HO430" s="2250"/>
      <c r="HP430" s="2250"/>
      <c r="HQ430" s="2250"/>
      <c r="HR430" s="2250"/>
      <c r="HS430" s="2250"/>
      <c r="HT430" s="2250"/>
      <c r="HU430" s="2250"/>
      <c r="HV430" s="284">
        <v>1650</v>
      </c>
      <c r="HW430" s="284">
        <f>VLOOKUP(HW416,HV388:IG414,12,0)</f>
        <v>0</v>
      </c>
      <c r="HX430" s="284">
        <f t="shared" si="230"/>
        <v>0</v>
      </c>
      <c r="HY430" s="2250"/>
      <c r="HZ430" s="2250"/>
      <c r="IA430" s="2250"/>
      <c r="IB430" s="2250"/>
      <c r="IC430" s="2250"/>
      <c r="ID430" s="2250"/>
      <c r="IE430" s="2250"/>
      <c r="IF430" s="2250"/>
      <c r="IG430" s="2250"/>
      <c r="IH430" s="2250"/>
      <c r="II430" s="2250"/>
      <c r="IJ430" s="2250"/>
      <c r="IK430" s="53"/>
      <c r="IL430" s="53"/>
      <c r="IN430" s="277"/>
      <c r="IO430" s="277"/>
    </row>
    <row r="431" spans="2:249" ht="21.95" customHeight="1">
      <c r="B431" s="284"/>
      <c r="C431" s="284"/>
      <c r="D431" s="284"/>
      <c r="E431" s="284"/>
      <c r="F431" s="2250"/>
      <c r="G431" s="2250"/>
      <c r="H431" s="2250"/>
      <c r="I431" s="2250"/>
      <c r="J431" s="2250"/>
      <c r="K431" s="2250"/>
      <c r="L431" s="2250"/>
      <c r="M431" s="2250"/>
      <c r="N431" s="2250"/>
      <c r="O431" s="2250"/>
      <c r="P431" s="284"/>
      <c r="Q431" s="284"/>
      <c r="R431" s="284"/>
      <c r="S431" s="284"/>
      <c r="T431" s="2250"/>
      <c r="U431" s="2250"/>
      <c r="V431" s="2250"/>
      <c r="W431" s="2250"/>
      <c r="X431" s="2250"/>
      <c r="Y431" s="2250"/>
      <c r="Z431" s="2250"/>
      <c r="AA431" s="2250"/>
      <c r="AB431" s="2250"/>
      <c r="AC431" s="2250"/>
      <c r="AD431" s="284"/>
      <c r="AE431" s="284"/>
      <c r="AF431" s="284"/>
      <c r="AG431" s="284"/>
      <c r="AH431" s="2250"/>
      <c r="AI431" s="2250"/>
      <c r="AJ431" s="2250"/>
      <c r="AK431" s="2250"/>
      <c r="AL431" s="2250"/>
      <c r="AM431" s="2250"/>
      <c r="AN431" s="2250"/>
      <c r="AO431" s="2250"/>
      <c r="AP431" s="2250"/>
      <c r="AQ431" s="2250"/>
      <c r="AR431" s="284"/>
      <c r="AS431" s="284"/>
      <c r="AT431" s="284"/>
      <c r="AU431" s="284"/>
      <c r="AV431" s="2250"/>
      <c r="AW431" s="2250"/>
      <c r="AX431" s="2250"/>
      <c r="AY431" s="2250"/>
      <c r="AZ431" s="2250"/>
      <c r="BA431" s="2250"/>
      <c r="BB431" s="2250"/>
      <c r="BC431" s="2250"/>
      <c r="BD431" s="2250"/>
      <c r="BE431" s="2250"/>
      <c r="BF431" s="2276"/>
      <c r="BG431" s="2276"/>
      <c r="BH431" s="2250"/>
      <c r="BI431" s="2275"/>
      <c r="BJ431" s="284"/>
      <c r="BK431" s="284"/>
      <c r="BL431" s="284"/>
      <c r="BM431" s="284"/>
      <c r="BN431" s="2250"/>
      <c r="BO431" s="2250"/>
      <c r="BP431" s="2250"/>
      <c r="BQ431" s="2250"/>
      <c r="BR431" s="2250"/>
      <c r="BS431" s="2250"/>
      <c r="BT431" s="2250"/>
      <c r="BU431" s="2250"/>
      <c r="BV431" s="2250"/>
      <c r="BW431" s="2250"/>
      <c r="BX431" s="284"/>
      <c r="BY431" s="284"/>
      <c r="BZ431" s="284"/>
      <c r="CA431" s="284"/>
      <c r="CB431" s="2250"/>
      <c r="CC431" s="2250"/>
      <c r="CD431" s="2250"/>
      <c r="CE431" s="2250"/>
      <c r="CF431" s="2250"/>
      <c r="CG431" s="2250"/>
      <c r="CH431" s="2250"/>
      <c r="CI431" s="2250"/>
      <c r="CJ431" s="2250"/>
      <c r="CK431" s="2250"/>
      <c r="CL431" s="284"/>
      <c r="CM431" s="284"/>
      <c r="CN431" s="284"/>
      <c r="CO431" s="284"/>
      <c r="CP431" s="2250"/>
      <c r="CQ431" s="2250"/>
      <c r="CR431" s="2250"/>
      <c r="CS431" s="2250"/>
      <c r="CT431" s="2250"/>
      <c r="CU431" s="2250"/>
      <c r="CV431" s="2250"/>
      <c r="CW431" s="2250"/>
      <c r="CX431" s="2250"/>
      <c r="CY431" s="2250"/>
      <c r="CZ431" s="284"/>
      <c r="DA431" s="284"/>
      <c r="DB431" s="284"/>
      <c r="DC431" s="284"/>
      <c r="DD431" s="2250"/>
      <c r="DE431" s="2250"/>
      <c r="DF431" s="2250"/>
      <c r="DG431" s="2250"/>
      <c r="DH431" s="2250"/>
      <c r="DI431" s="2250"/>
      <c r="DJ431" s="2250"/>
      <c r="DK431" s="2250"/>
      <c r="DL431" s="2250"/>
      <c r="DM431" s="2250"/>
      <c r="DN431" s="2250"/>
      <c r="DO431" s="53"/>
      <c r="DP431" s="53"/>
      <c r="DS431" s="277"/>
      <c r="DW431" s="1"/>
      <c r="DX431" s="284"/>
      <c r="DY431" s="284"/>
      <c r="DZ431" s="284"/>
      <c r="EA431" s="284"/>
      <c r="EB431" s="2250"/>
      <c r="EC431" s="2250"/>
      <c r="ED431" s="2250"/>
      <c r="EE431" s="2250"/>
      <c r="EF431" s="2250"/>
      <c r="EG431" s="2250"/>
      <c r="EH431" s="2250"/>
      <c r="EI431" s="2250"/>
      <c r="EJ431" s="2250"/>
      <c r="EK431" s="2250"/>
      <c r="EL431" s="284"/>
      <c r="EM431" s="284"/>
      <c r="EN431" s="284"/>
      <c r="EO431" s="284"/>
      <c r="EP431" s="2250"/>
      <c r="EQ431" s="2250"/>
      <c r="ER431" s="2250"/>
      <c r="ES431" s="2250"/>
      <c r="ET431" s="2250"/>
      <c r="EU431" s="2250"/>
      <c r="EV431" s="2250"/>
      <c r="EW431" s="2250"/>
      <c r="EX431" s="2250"/>
      <c r="EY431" s="2250"/>
      <c r="EZ431" s="284"/>
      <c r="FA431" s="284"/>
      <c r="FB431" s="284"/>
      <c r="FC431" s="284"/>
      <c r="FD431" s="2250"/>
      <c r="FE431" s="2250"/>
      <c r="FF431" s="2250"/>
      <c r="FG431" s="2250"/>
      <c r="FH431" s="2250"/>
      <c r="FI431" s="2250"/>
      <c r="FJ431" s="2250"/>
      <c r="FK431" s="2250"/>
      <c r="FL431" s="2250"/>
      <c r="FM431" s="2250"/>
      <c r="FN431" s="284"/>
      <c r="FO431" s="284"/>
      <c r="FP431" s="284"/>
      <c r="FQ431" s="284"/>
      <c r="FR431" s="2250"/>
      <c r="FS431" s="2250"/>
      <c r="FT431" s="2250"/>
      <c r="FU431" s="2250"/>
      <c r="FV431" s="2250"/>
      <c r="FW431" s="2250"/>
      <c r="FX431" s="2250"/>
      <c r="FY431" s="2250"/>
      <c r="FZ431" s="2250"/>
      <c r="GA431" s="2250"/>
      <c r="GB431" s="2276"/>
      <c r="GC431" s="2276"/>
      <c r="GD431" s="2250"/>
      <c r="GE431" s="2275"/>
      <c r="GF431" s="284"/>
      <c r="GG431" s="284"/>
      <c r="GH431" s="284"/>
      <c r="GI431" s="284"/>
      <c r="GJ431" s="2250"/>
      <c r="GK431" s="2250"/>
      <c r="GL431" s="2250"/>
      <c r="GM431" s="2250"/>
      <c r="GN431" s="2250"/>
      <c r="GO431" s="2250"/>
      <c r="GP431" s="2250"/>
      <c r="GQ431" s="2250"/>
      <c r="GR431" s="2250"/>
      <c r="GS431" s="2250"/>
      <c r="GT431" s="284"/>
      <c r="GU431" s="284"/>
      <c r="GV431" s="284"/>
      <c r="GW431" s="284"/>
      <c r="GX431" s="2250"/>
      <c r="GY431" s="2250"/>
      <c r="GZ431" s="2250"/>
      <c r="HA431" s="2250"/>
      <c r="HB431" s="2250"/>
      <c r="HC431" s="2250"/>
      <c r="HD431" s="2250"/>
      <c r="HE431" s="2250"/>
      <c r="HF431" s="2250"/>
      <c r="HG431" s="2250"/>
      <c r="HH431" s="284"/>
      <c r="HI431" s="284"/>
      <c r="HJ431" s="284"/>
      <c r="HK431" s="284"/>
      <c r="HL431" s="2250"/>
      <c r="HM431" s="2250"/>
      <c r="HN431" s="2250"/>
      <c r="HO431" s="2250"/>
      <c r="HP431" s="2250"/>
      <c r="HQ431" s="2250"/>
      <c r="HR431" s="2250"/>
      <c r="HS431" s="2250"/>
      <c r="HT431" s="2250"/>
      <c r="HU431" s="2250"/>
      <c r="HV431" s="284"/>
      <c r="HW431" s="284"/>
      <c r="HX431" s="284"/>
      <c r="HY431" s="284"/>
      <c r="HZ431" s="2250"/>
      <c r="IA431" s="2250"/>
      <c r="IB431" s="2250"/>
      <c r="IC431" s="2250"/>
      <c r="ID431" s="2250"/>
      <c r="IE431" s="2250"/>
      <c r="IF431" s="2250"/>
      <c r="IG431" s="2250"/>
      <c r="IH431" s="2250"/>
      <c r="II431" s="2250"/>
      <c r="IJ431" s="2250"/>
      <c r="IK431" s="53"/>
      <c r="IL431" s="53"/>
      <c r="IN431" s="277"/>
      <c r="IO431" s="277"/>
    </row>
    <row r="432" spans="2:249" ht="21.95" customHeight="1">
      <c r="B432" s="284"/>
      <c r="C432" s="284">
        <f>VLOOKUP(C417,C419:C430,1)</f>
        <v>0</v>
      </c>
      <c r="D432" s="284">
        <f>VLOOKUP(C432,C419:D430,2,0)</f>
        <v>0</v>
      </c>
      <c r="E432" s="284"/>
      <c r="F432" s="2250"/>
      <c r="G432" s="2250"/>
      <c r="H432" s="2250"/>
      <c r="I432" s="2250"/>
      <c r="J432" s="2250"/>
      <c r="K432" s="2250"/>
      <c r="L432" s="2250"/>
      <c r="M432" s="2250"/>
      <c r="N432" s="2250"/>
      <c r="O432" s="2250"/>
      <c r="P432" s="284"/>
      <c r="Q432" s="284">
        <f>VLOOKUP(Q417,Q419:Q430,1)</f>
        <v>0</v>
      </c>
      <c r="R432" s="284">
        <f>VLOOKUP(Q432,Q419:R430,2,0)</f>
        <v>6.81</v>
      </c>
      <c r="S432" s="284"/>
      <c r="T432" s="2250"/>
      <c r="U432" s="2250"/>
      <c r="V432" s="2250"/>
      <c r="W432" s="2250"/>
      <c r="X432" s="2250"/>
      <c r="Y432" s="2250"/>
      <c r="Z432" s="2250"/>
      <c r="AA432" s="2250"/>
      <c r="AB432" s="2250"/>
      <c r="AC432" s="2250"/>
      <c r="AD432" s="284"/>
      <c r="AE432" s="284">
        <f>VLOOKUP(AE417,AE419:AE430,1)</f>
        <v>0</v>
      </c>
      <c r="AF432" s="284">
        <f>VLOOKUP(AE432,AE419:AF430,2,0)</f>
        <v>5.67</v>
      </c>
      <c r="AG432" s="284"/>
      <c r="AH432" s="2250"/>
      <c r="AI432" s="2250"/>
      <c r="AJ432" s="2250"/>
      <c r="AK432" s="2250"/>
      <c r="AL432" s="2250"/>
      <c r="AM432" s="2250"/>
      <c r="AN432" s="2250"/>
      <c r="AO432" s="2250"/>
      <c r="AP432" s="2250"/>
      <c r="AQ432" s="2250"/>
      <c r="AR432" s="284"/>
      <c r="AS432" s="284">
        <f>VLOOKUP(AS417,AS419:AS430,1)</f>
        <v>0</v>
      </c>
      <c r="AT432" s="284">
        <f>VLOOKUP(AS432,AS419:AT430,2,0)</f>
        <v>4.38</v>
      </c>
      <c r="AU432" s="284"/>
      <c r="AV432" s="2250"/>
      <c r="AW432" s="2250"/>
      <c r="AX432" s="2250"/>
      <c r="AY432" s="2250"/>
      <c r="AZ432" s="2250"/>
      <c r="BA432" s="2250"/>
      <c r="BB432" s="2250"/>
      <c r="BC432" s="2250"/>
      <c r="BD432" s="2250"/>
      <c r="BE432" s="2250"/>
      <c r="BF432" s="2276"/>
      <c r="BG432" s="2276"/>
      <c r="BH432" s="2250"/>
      <c r="BI432" s="2275"/>
      <c r="BJ432" s="284"/>
      <c r="BK432" s="284">
        <f>VLOOKUP(BK417,BK419:BK430,1)</f>
        <v>0</v>
      </c>
      <c r="BL432" s="284">
        <f>VLOOKUP(BK432,BK419:BL430,2,0)</f>
        <v>0</v>
      </c>
      <c r="BM432" s="284"/>
      <c r="BN432" s="2250"/>
      <c r="BO432" s="2250"/>
      <c r="BP432" s="2250"/>
      <c r="BQ432" s="2250"/>
      <c r="BR432" s="2250"/>
      <c r="BS432" s="2250"/>
      <c r="BT432" s="2250"/>
      <c r="BU432" s="2250"/>
      <c r="BV432" s="2250"/>
      <c r="BW432" s="2250"/>
      <c r="BX432" s="284"/>
      <c r="BY432" s="284">
        <f>VLOOKUP(BY417,BY419:BY430,1)</f>
        <v>0</v>
      </c>
      <c r="BZ432" s="284">
        <f>VLOOKUP(BY432,BY419:BZ430,2,0)</f>
        <v>6.26</v>
      </c>
      <c r="CA432" s="284"/>
      <c r="CB432" s="2250"/>
      <c r="CC432" s="2250"/>
      <c r="CD432" s="2250"/>
      <c r="CE432" s="2250"/>
      <c r="CF432" s="2250"/>
      <c r="CG432" s="2250"/>
      <c r="CH432" s="2250"/>
      <c r="CI432" s="2250"/>
      <c r="CJ432" s="2250"/>
      <c r="CK432" s="2250"/>
      <c r="CL432" s="284"/>
      <c r="CM432" s="284">
        <f>VLOOKUP(CM417,CM419:CM430,1)</f>
        <v>0</v>
      </c>
      <c r="CN432" s="284">
        <f>VLOOKUP(CM432,CM419:CN430,2,0)</f>
        <v>5.2</v>
      </c>
      <c r="CO432" s="284"/>
      <c r="CP432" s="2250"/>
      <c r="CQ432" s="2250"/>
      <c r="CR432" s="2250"/>
      <c r="CS432" s="2250"/>
      <c r="CT432" s="2250"/>
      <c r="CU432" s="2250"/>
      <c r="CV432" s="2250"/>
      <c r="CW432" s="2250"/>
      <c r="CX432" s="2250"/>
      <c r="CY432" s="2250"/>
      <c r="CZ432" s="284"/>
      <c r="DA432" s="284">
        <f>VLOOKUP(DA417,DA419:DA430,1)</f>
        <v>0</v>
      </c>
      <c r="DB432" s="284">
        <f>VLOOKUP(DA432,DA419:DB430,2,0)</f>
        <v>4.08</v>
      </c>
      <c r="DC432" s="284"/>
      <c r="DD432" s="2250"/>
      <c r="DE432" s="2250"/>
      <c r="DF432" s="2250"/>
      <c r="DG432" s="2250"/>
      <c r="DH432" s="2250"/>
      <c r="DI432" s="2250"/>
      <c r="DJ432" s="2250"/>
      <c r="DK432" s="2250"/>
      <c r="DL432" s="2250"/>
      <c r="DM432" s="2250"/>
      <c r="DN432" s="2250"/>
      <c r="DO432" s="53"/>
      <c r="DP432" s="53"/>
      <c r="DS432" s="277"/>
      <c r="DW432" s="1"/>
      <c r="DX432" s="284"/>
      <c r="DY432" s="284">
        <f>VLOOKUP(DY417,DY419:DY430,1)</f>
        <v>0</v>
      </c>
      <c r="DZ432" s="284">
        <f>VLOOKUP(DY432,DY419:DZ430,2,0)</f>
        <v>0</v>
      </c>
      <c r="EA432" s="284"/>
      <c r="EB432" s="2250"/>
      <c r="EC432" s="2250"/>
      <c r="ED432" s="2250"/>
      <c r="EE432" s="2250"/>
      <c r="EF432" s="2250"/>
      <c r="EG432" s="2250"/>
      <c r="EH432" s="2250"/>
      <c r="EI432" s="2250"/>
      <c r="EJ432" s="2250"/>
      <c r="EK432" s="2250"/>
      <c r="EL432" s="284"/>
      <c r="EM432" s="284">
        <f>VLOOKUP(EM417,EM419:EM430,1)</f>
        <v>0</v>
      </c>
      <c r="EN432" s="284">
        <f>VLOOKUP(EM432,EM419:EN430,2,0)</f>
        <v>9.8800000000000008</v>
      </c>
      <c r="EO432" s="284"/>
      <c r="EP432" s="2250"/>
      <c r="EQ432" s="2250"/>
      <c r="ER432" s="2250"/>
      <c r="ES432" s="2250"/>
      <c r="ET432" s="2250"/>
      <c r="EU432" s="2250"/>
      <c r="EV432" s="2250"/>
      <c r="EW432" s="2250"/>
      <c r="EX432" s="2250"/>
      <c r="EY432" s="2250"/>
      <c r="EZ432" s="284"/>
      <c r="FA432" s="284">
        <f>VLOOKUP(FA417,FA419:FA430,1)</f>
        <v>0</v>
      </c>
      <c r="FB432" s="284">
        <f>VLOOKUP(FA432,FA419:FB430,2,0)</f>
        <v>8.1999999999999993</v>
      </c>
      <c r="FC432" s="284"/>
      <c r="FD432" s="2250"/>
      <c r="FE432" s="2250"/>
      <c r="FF432" s="2250"/>
      <c r="FG432" s="2250"/>
      <c r="FH432" s="2250"/>
      <c r="FI432" s="2250"/>
      <c r="FJ432" s="2250"/>
      <c r="FK432" s="2250"/>
      <c r="FL432" s="2250"/>
      <c r="FM432" s="2250"/>
      <c r="FN432" s="284"/>
      <c r="FO432" s="284">
        <f>VLOOKUP(FO417,FO419:FO430,1)</f>
        <v>0</v>
      </c>
      <c r="FP432" s="284">
        <f>VLOOKUP(FO432,FO419:FP430,2,0)</f>
        <v>6.77</v>
      </c>
      <c r="FQ432" s="284"/>
      <c r="FR432" s="2250"/>
      <c r="FS432" s="2250"/>
      <c r="FT432" s="2250"/>
      <c r="FU432" s="2250"/>
      <c r="FV432" s="2250"/>
      <c r="FW432" s="2250"/>
      <c r="FX432" s="2250"/>
      <c r="FY432" s="2250"/>
      <c r="FZ432" s="2250"/>
      <c r="GA432" s="2250"/>
      <c r="GB432" s="2276"/>
      <c r="GC432" s="2276"/>
      <c r="GD432" s="2250"/>
      <c r="GE432" s="2275"/>
      <c r="GF432" s="284"/>
      <c r="GG432" s="284">
        <f>VLOOKUP(GG417,GG419:GG430,1)</f>
        <v>0</v>
      </c>
      <c r="GH432" s="284">
        <f>VLOOKUP(GG432,GG419:GH430,2,0)</f>
        <v>0</v>
      </c>
      <c r="GI432" s="284"/>
      <c r="GJ432" s="2250"/>
      <c r="GK432" s="2250"/>
      <c r="GL432" s="2250"/>
      <c r="GM432" s="2250"/>
      <c r="GN432" s="2250"/>
      <c r="GO432" s="2250"/>
      <c r="GP432" s="2250"/>
      <c r="GQ432" s="2250"/>
      <c r="GR432" s="2250"/>
      <c r="GS432" s="2250"/>
      <c r="GT432" s="284"/>
      <c r="GU432" s="284">
        <f>VLOOKUP(GU417,GU419:GU430,1)</f>
        <v>0</v>
      </c>
      <c r="GV432" s="284">
        <f>VLOOKUP(GU432,GU419:GV430,2,0)</f>
        <v>9.08</v>
      </c>
      <c r="GW432" s="284"/>
      <c r="GX432" s="2250"/>
      <c r="GY432" s="2250"/>
      <c r="GZ432" s="2250"/>
      <c r="HA432" s="2250"/>
      <c r="HB432" s="2250"/>
      <c r="HC432" s="2250"/>
      <c r="HD432" s="2250"/>
      <c r="HE432" s="2250"/>
      <c r="HF432" s="2250"/>
      <c r="HG432" s="2250"/>
      <c r="HH432" s="284"/>
      <c r="HI432" s="284">
        <f>VLOOKUP(HI417,HI419:HI430,1)</f>
        <v>0</v>
      </c>
      <c r="HJ432" s="284">
        <f>VLOOKUP(HI432,HI419:HJ430,2,0)</f>
        <v>7.53</v>
      </c>
      <c r="HK432" s="284"/>
      <c r="HL432" s="2250"/>
      <c r="HM432" s="2250"/>
      <c r="HN432" s="2250"/>
      <c r="HO432" s="2250"/>
      <c r="HP432" s="2250"/>
      <c r="HQ432" s="2250"/>
      <c r="HR432" s="2250"/>
      <c r="HS432" s="2250"/>
      <c r="HT432" s="2250"/>
      <c r="HU432" s="2250"/>
      <c r="HV432" s="284"/>
      <c r="HW432" s="284">
        <f>VLOOKUP(HW417,HW419:HW430,1)</f>
        <v>0</v>
      </c>
      <c r="HX432" s="284">
        <f>VLOOKUP(HW432,HW419:HX430,2,0)</f>
        <v>6</v>
      </c>
      <c r="HY432" s="284"/>
      <c r="HZ432" s="2250"/>
      <c r="IA432" s="2250"/>
      <c r="IB432" s="2250"/>
      <c r="IC432" s="2250"/>
      <c r="ID432" s="2250"/>
      <c r="IE432" s="2250"/>
      <c r="IF432" s="2250"/>
      <c r="IG432" s="2250"/>
      <c r="IH432" s="2250"/>
      <c r="II432" s="2250"/>
      <c r="IJ432" s="2250"/>
      <c r="IK432" s="53"/>
      <c r="IL432" s="53"/>
      <c r="IN432" s="277"/>
      <c r="IO432" s="277"/>
    </row>
    <row r="433" spans="2:249" ht="21.95" customHeight="1" thickBot="1">
      <c r="B433" s="284"/>
      <c r="C433" s="284">
        <f>IFERROR(VLOOKUP(C417,C419:C430,1,0),0)</f>
        <v>0</v>
      </c>
      <c r="D433" s="2322">
        <f>IF(C433&gt;0,C433,D432)</f>
        <v>0</v>
      </c>
      <c r="E433" s="2322">
        <f>VLOOKUP(D433,D419:E430,2,0)</f>
        <v>475</v>
      </c>
      <c r="F433" s="2250"/>
      <c r="G433" s="2250"/>
      <c r="H433" s="2250"/>
      <c r="I433" s="2250"/>
      <c r="J433" s="2250"/>
      <c r="K433" s="2250"/>
      <c r="L433" s="2250"/>
      <c r="M433" s="2250"/>
      <c r="N433" s="2250"/>
      <c r="O433" s="2250"/>
      <c r="P433" s="284"/>
      <c r="Q433" s="284">
        <f>IFERROR(VLOOKUP(Q417,Q419:Q430,1,0),0)</f>
        <v>0</v>
      </c>
      <c r="R433" s="2322">
        <f>IF(Q433&gt;0,Q433,R432)</f>
        <v>6.81</v>
      </c>
      <c r="S433" s="2322">
        <f>VLOOKUP(R433,R419:S430,2,0)</f>
        <v>475</v>
      </c>
      <c r="T433" s="2250"/>
      <c r="U433" s="2250"/>
      <c r="V433" s="2250"/>
      <c r="W433" s="2250"/>
      <c r="X433" s="2250"/>
      <c r="Y433" s="2250"/>
      <c r="Z433" s="2250"/>
      <c r="AA433" s="2250"/>
      <c r="AB433" s="2250"/>
      <c r="AC433" s="2250"/>
      <c r="AD433" s="284"/>
      <c r="AE433" s="284">
        <f>IFERROR(VLOOKUP(AE417,AE419:AE430,1,0),0)</f>
        <v>0</v>
      </c>
      <c r="AF433" s="2322">
        <f>IF(AE433&gt;0,AE433,AF432)</f>
        <v>5.67</v>
      </c>
      <c r="AG433" s="2322">
        <f>VLOOKUP(AF433,AF419:AG430,2,0)</f>
        <v>475</v>
      </c>
      <c r="AH433" s="2250"/>
      <c r="AI433" s="2250"/>
      <c r="AJ433" s="2250"/>
      <c r="AK433" s="2250"/>
      <c r="AL433" s="2250"/>
      <c r="AM433" s="2250"/>
      <c r="AN433" s="2250"/>
      <c r="AO433" s="2250"/>
      <c r="AP433" s="2250"/>
      <c r="AQ433" s="2250"/>
      <c r="AR433" s="284"/>
      <c r="AS433" s="284">
        <f>IFERROR(VLOOKUP(AS417,AS419:AS430,1,0),0)</f>
        <v>0</v>
      </c>
      <c r="AT433" s="2322">
        <f>IF(AS433&gt;0,AS433,AT432)</f>
        <v>4.38</v>
      </c>
      <c r="AU433" s="2322">
        <f>VLOOKUP(AT433,AT419:AU430,2,0)</f>
        <v>475</v>
      </c>
      <c r="AV433" s="2250"/>
      <c r="AW433" s="2250"/>
      <c r="AX433" s="2250"/>
      <c r="AY433" s="2250"/>
      <c r="AZ433" s="2250"/>
      <c r="BA433" s="2250"/>
      <c r="BB433" s="2250"/>
      <c r="BC433" s="2250"/>
      <c r="BD433" s="2250"/>
      <c r="BE433" s="2250"/>
      <c r="BF433" s="2276"/>
      <c r="BG433" s="2276"/>
      <c r="BH433" s="2250"/>
      <c r="BI433" s="2275"/>
      <c r="BJ433" s="284"/>
      <c r="BK433" s="284">
        <f>IFERROR(VLOOKUP(BK417,BK419:BK430,1,0),0)</f>
        <v>0</v>
      </c>
      <c r="BL433" s="2322">
        <f>IF(BK433&gt;0,BK433,BL432)</f>
        <v>0</v>
      </c>
      <c r="BM433" s="2322">
        <f>VLOOKUP(BL433,BL419:BM430,2,0)</f>
        <v>475</v>
      </c>
      <c r="BN433" s="2250"/>
      <c r="BO433" s="2250"/>
      <c r="BP433" s="2250"/>
      <c r="BQ433" s="2250"/>
      <c r="BR433" s="2250"/>
      <c r="BS433" s="2250"/>
      <c r="BT433" s="2250"/>
      <c r="BU433" s="2250"/>
      <c r="BV433" s="2250"/>
      <c r="BW433" s="2250"/>
      <c r="BX433" s="284"/>
      <c r="BY433" s="284">
        <f>IFERROR(VLOOKUP(BY417,BY419:BY430,1,0),0)</f>
        <v>0</v>
      </c>
      <c r="BZ433" s="2322">
        <f>IF(BY433&gt;0,BY433,BZ432)</f>
        <v>6.26</v>
      </c>
      <c r="CA433" s="2322">
        <f>VLOOKUP(BZ433,BZ419:CA430,2,0)</f>
        <v>475</v>
      </c>
      <c r="CB433" s="2250"/>
      <c r="CC433" s="2250"/>
      <c r="CD433" s="2250"/>
      <c r="CE433" s="2250"/>
      <c r="CF433" s="2250"/>
      <c r="CG433" s="2250"/>
      <c r="CH433" s="2250"/>
      <c r="CI433" s="2250"/>
      <c r="CJ433" s="2250"/>
      <c r="CK433" s="2250"/>
      <c r="CL433" s="284"/>
      <c r="CM433" s="284">
        <f>IFERROR(VLOOKUP(CM417,CM419:CM430,1,0),0)</f>
        <v>0</v>
      </c>
      <c r="CN433" s="2322">
        <f>IF(CM433&gt;0,CM433,CN432)</f>
        <v>5.2</v>
      </c>
      <c r="CO433" s="2322">
        <f>VLOOKUP(CN433,CN419:CO430,2,0)</f>
        <v>475</v>
      </c>
      <c r="CP433" s="2250"/>
      <c r="CQ433" s="2250"/>
      <c r="CR433" s="2250"/>
      <c r="CS433" s="2250"/>
      <c r="CT433" s="2250"/>
      <c r="CU433" s="2250"/>
      <c r="CV433" s="2250"/>
      <c r="CW433" s="2250"/>
      <c r="CX433" s="2250"/>
      <c r="CY433" s="2250"/>
      <c r="CZ433" s="284"/>
      <c r="DA433" s="284">
        <f>IFERROR(VLOOKUP(DA417,DA419:DA430,1,0),0)</f>
        <v>0</v>
      </c>
      <c r="DB433" s="2322">
        <f>IF(DA433&gt;0,DA433,DB432)</f>
        <v>4.08</v>
      </c>
      <c r="DC433" s="2322">
        <f>VLOOKUP(DB433,DB419:DC430,2,0)</f>
        <v>475</v>
      </c>
      <c r="DD433" s="2250"/>
      <c r="DE433" s="2250"/>
      <c r="DF433" s="2250"/>
      <c r="DG433" s="2250"/>
      <c r="DH433" s="2250"/>
      <c r="DI433" s="2250"/>
      <c r="DJ433" s="2250"/>
      <c r="DK433" s="2250"/>
      <c r="DL433" s="2250"/>
      <c r="DM433" s="2250"/>
      <c r="DN433" s="2250"/>
      <c r="DO433" s="53"/>
      <c r="DP433" s="53"/>
      <c r="DS433" s="277"/>
      <c r="DW433" s="1"/>
      <c r="DX433" s="284"/>
      <c r="DY433" s="284">
        <f>IFERROR(VLOOKUP(DY417,DY419:DY430,1,0),0)</f>
        <v>0</v>
      </c>
      <c r="DZ433" s="2322">
        <f>IF(DY433&gt;0,DY433,DZ432)</f>
        <v>0</v>
      </c>
      <c r="EA433" s="2322">
        <f>VLOOKUP(DZ433,DZ419:EA430,2,0)</f>
        <v>475</v>
      </c>
      <c r="EB433" s="2250"/>
      <c r="EC433" s="2250"/>
      <c r="ED433" s="2250"/>
      <c r="EE433" s="2250"/>
      <c r="EF433" s="2250"/>
      <c r="EG433" s="2250"/>
      <c r="EH433" s="2250"/>
      <c r="EI433" s="2250"/>
      <c r="EJ433" s="2250"/>
      <c r="EK433" s="2250"/>
      <c r="EL433" s="284"/>
      <c r="EM433" s="284">
        <f>IFERROR(VLOOKUP(EM417,EM419:EM430,1,0),0)</f>
        <v>0</v>
      </c>
      <c r="EN433" s="2322">
        <f>IF(EM433&gt;0,EM433,EN432)</f>
        <v>9.8800000000000008</v>
      </c>
      <c r="EO433" s="2322">
        <f>VLOOKUP(EN433,EN419:EO430,2,0)</f>
        <v>475</v>
      </c>
      <c r="EP433" s="2250"/>
      <c r="EQ433" s="2250"/>
      <c r="ER433" s="2250"/>
      <c r="ES433" s="2250"/>
      <c r="ET433" s="2250"/>
      <c r="EU433" s="2250"/>
      <c r="EV433" s="2250"/>
      <c r="EW433" s="2250"/>
      <c r="EX433" s="2250"/>
      <c r="EY433" s="2250"/>
      <c r="EZ433" s="284"/>
      <c r="FA433" s="284">
        <f>IFERROR(VLOOKUP(FA417,FA419:FA430,1,0),0)</f>
        <v>0</v>
      </c>
      <c r="FB433" s="2322">
        <f>IF(FA433&gt;0,FA433,FB432)</f>
        <v>8.1999999999999993</v>
      </c>
      <c r="FC433" s="2322">
        <f>VLOOKUP(FB433,FB419:FC430,2,0)</f>
        <v>475</v>
      </c>
      <c r="FD433" s="2250"/>
      <c r="FE433" s="2250"/>
      <c r="FF433" s="2250"/>
      <c r="FG433" s="2250"/>
      <c r="FH433" s="2250"/>
      <c r="FI433" s="2250"/>
      <c r="FJ433" s="2250"/>
      <c r="FK433" s="2250"/>
      <c r="FL433" s="2250"/>
      <c r="FM433" s="2250"/>
      <c r="FN433" s="284"/>
      <c r="FO433" s="284">
        <f>IFERROR(VLOOKUP(FO417,FO419:FO430,1,0),0)</f>
        <v>0</v>
      </c>
      <c r="FP433" s="2322">
        <f>IF(FO433&gt;0,FO433,FP432)</f>
        <v>6.77</v>
      </c>
      <c r="FQ433" s="2322">
        <f>VLOOKUP(FP433,FP419:FQ430,2,0)</f>
        <v>475</v>
      </c>
      <c r="FR433" s="2250"/>
      <c r="FS433" s="2250"/>
      <c r="FT433" s="2250"/>
      <c r="FU433" s="2250"/>
      <c r="FV433" s="2250"/>
      <c r="FW433" s="2250"/>
      <c r="FX433" s="2250"/>
      <c r="FY433" s="2250"/>
      <c r="FZ433" s="2250"/>
      <c r="GA433" s="2250"/>
      <c r="GB433" s="2276"/>
      <c r="GC433" s="2276"/>
      <c r="GD433" s="2250"/>
      <c r="GE433" s="2275"/>
      <c r="GF433" s="284"/>
      <c r="GG433" s="284">
        <f>IFERROR(VLOOKUP(GG417,GG419:GG430,1,0),0)</f>
        <v>0</v>
      </c>
      <c r="GH433" s="2322">
        <f>IF(GG433&gt;0,GG433,GH432)</f>
        <v>0</v>
      </c>
      <c r="GI433" s="2322">
        <f>VLOOKUP(GH433,GH419:GI430,2,0)</f>
        <v>475</v>
      </c>
      <c r="GJ433" s="2250"/>
      <c r="GK433" s="2250"/>
      <c r="GL433" s="2250"/>
      <c r="GM433" s="2250"/>
      <c r="GN433" s="2250"/>
      <c r="GO433" s="2250"/>
      <c r="GP433" s="2250"/>
      <c r="GQ433" s="2250"/>
      <c r="GR433" s="2250"/>
      <c r="GS433" s="2250"/>
      <c r="GT433" s="284"/>
      <c r="GU433" s="284">
        <f>IFERROR(VLOOKUP(GU417,GU419:GU430,1,0),0)</f>
        <v>0</v>
      </c>
      <c r="GV433" s="2322">
        <f>IF(GU433&gt;0,GU433,GV432)</f>
        <v>9.08</v>
      </c>
      <c r="GW433" s="2322">
        <f>VLOOKUP(GV433,GV419:GW430,2,0)</f>
        <v>475</v>
      </c>
      <c r="GX433" s="2250"/>
      <c r="GY433" s="2250"/>
      <c r="GZ433" s="2250"/>
      <c r="HA433" s="2250"/>
      <c r="HB433" s="2250"/>
      <c r="HC433" s="2250"/>
      <c r="HD433" s="2250"/>
      <c r="HE433" s="2250"/>
      <c r="HF433" s="2250"/>
      <c r="HG433" s="2250"/>
      <c r="HH433" s="284"/>
      <c r="HI433" s="284">
        <f>IFERROR(VLOOKUP(HI417,HI419:HI430,1,0),0)</f>
        <v>0</v>
      </c>
      <c r="HJ433" s="2322">
        <f>IF(HI433&gt;0,HI433,HJ432)</f>
        <v>7.53</v>
      </c>
      <c r="HK433" s="2322">
        <f>VLOOKUP(HJ433,HJ419:HK430,2,0)</f>
        <v>475</v>
      </c>
      <c r="HL433" s="2250"/>
      <c r="HM433" s="2250"/>
      <c r="HN433" s="2250"/>
      <c r="HO433" s="2250"/>
      <c r="HP433" s="2250"/>
      <c r="HQ433" s="2250"/>
      <c r="HR433" s="2250"/>
      <c r="HS433" s="2250"/>
      <c r="HT433" s="2250"/>
      <c r="HU433" s="2250"/>
      <c r="HV433" s="284"/>
      <c r="HW433" s="284">
        <f>IFERROR(VLOOKUP(HW417,HW419:HW430,1,0),0)</f>
        <v>0</v>
      </c>
      <c r="HX433" s="2322">
        <f>IF(HW433&gt;0,HW433,HX432)</f>
        <v>6</v>
      </c>
      <c r="HY433" s="2322">
        <f>VLOOKUP(HX433,HX419:HY430,2,0)</f>
        <v>475</v>
      </c>
      <c r="HZ433" s="2250"/>
      <c r="IA433" s="2250"/>
      <c r="IB433" s="2250"/>
      <c r="IC433" s="2250"/>
      <c r="ID433" s="2250"/>
      <c r="IE433" s="2250"/>
      <c r="IF433" s="2250"/>
      <c r="IG433" s="2250"/>
      <c r="IH433" s="2250"/>
      <c r="II433" s="2250"/>
      <c r="IJ433" s="2250"/>
      <c r="IK433" s="53"/>
      <c r="IL433" s="53"/>
      <c r="IN433" s="277"/>
      <c r="IO433" s="277"/>
    </row>
    <row r="434" spans="2:249" ht="21.95" customHeight="1" thickBot="1">
      <c r="B434" s="2279" t="s">
        <v>714</v>
      </c>
      <c r="C434" s="2341"/>
      <c r="D434" s="2341">
        <f>D433</f>
        <v>0</v>
      </c>
      <c r="E434" s="2283">
        <f>E433</f>
        <v>475</v>
      </c>
      <c r="F434" s="2250"/>
      <c r="G434" s="2250"/>
      <c r="H434" s="2250"/>
      <c r="I434" s="2250"/>
      <c r="J434" s="2250"/>
      <c r="K434" s="2250"/>
      <c r="L434" s="2250"/>
      <c r="M434" s="2250"/>
      <c r="N434" s="2250"/>
      <c r="O434" s="2250"/>
      <c r="P434" s="2279" t="s">
        <v>714</v>
      </c>
      <c r="Q434" s="2341"/>
      <c r="R434" s="2341">
        <f>R433</f>
        <v>6.81</v>
      </c>
      <c r="S434" s="2283">
        <f>S433</f>
        <v>475</v>
      </c>
      <c r="T434" s="2250"/>
      <c r="U434" s="2250"/>
      <c r="V434" s="2250"/>
      <c r="W434" s="2250"/>
      <c r="X434" s="2250"/>
      <c r="Y434" s="2250"/>
      <c r="Z434" s="2250"/>
      <c r="AA434" s="2250"/>
      <c r="AB434" s="2250"/>
      <c r="AC434" s="2250"/>
      <c r="AD434" s="2279" t="s">
        <v>714</v>
      </c>
      <c r="AE434" s="2341"/>
      <c r="AF434" s="2341">
        <f>AF433</f>
        <v>5.67</v>
      </c>
      <c r="AG434" s="2283">
        <f>AG433</f>
        <v>475</v>
      </c>
      <c r="AH434" s="2250"/>
      <c r="AI434" s="2250"/>
      <c r="AJ434" s="2250"/>
      <c r="AK434" s="2250"/>
      <c r="AL434" s="2250"/>
      <c r="AM434" s="2250"/>
      <c r="AN434" s="2250"/>
      <c r="AO434" s="2250"/>
      <c r="AP434" s="2250"/>
      <c r="AQ434" s="2250"/>
      <c r="AR434" s="2279" t="s">
        <v>714</v>
      </c>
      <c r="AS434" s="2341"/>
      <c r="AT434" s="2341">
        <f>AT433</f>
        <v>4.38</v>
      </c>
      <c r="AU434" s="2283">
        <f>AU433</f>
        <v>475</v>
      </c>
      <c r="AV434" s="2250"/>
      <c r="AW434" s="2250"/>
      <c r="AX434" s="2250"/>
      <c r="AY434" s="2250"/>
      <c r="AZ434" s="2250"/>
      <c r="BA434" s="2250"/>
      <c r="BB434" s="2250"/>
      <c r="BC434" s="2250"/>
      <c r="BD434" s="2275"/>
      <c r="BE434" s="2275"/>
      <c r="BF434" s="2276"/>
      <c r="BG434" s="2276"/>
      <c r="BH434" s="2250"/>
      <c r="BI434" s="2275"/>
      <c r="BJ434" s="2279" t="s">
        <v>714</v>
      </c>
      <c r="BK434" s="2341"/>
      <c r="BL434" s="2341">
        <f>BL433</f>
        <v>0</v>
      </c>
      <c r="BM434" s="2283">
        <f>BM433</f>
        <v>475</v>
      </c>
      <c r="BN434" s="2250"/>
      <c r="BO434" s="2250"/>
      <c r="BP434" s="2250"/>
      <c r="BQ434" s="2250"/>
      <c r="BR434" s="2250"/>
      <c r="BS434" s="2250"/>
      <c r="BT434" s="2250"/>
      <c r="BU434" s="2250"/>
      <c r="BV434" s="2250"/>
      <c r="BW434" s="2250"/>
      <c r="BX434" s="2279" t="s">
        <v>714</v>
      </c>
      <c r="BY434" s="2341"/>
      <c r="BZ434" s="2341">
        <f>BZ433</f>
        <v>6.26</v>
      </c>
      <c r="CA434" s="2283">
        <f>CA433</f>
        <v>475</v>
      </c>
      <c r="CB434" s="2250"/>
      <c r="CC434" s="2250"/>
      <c r="CD434" s="2250"/>
      <c r="CE434" s="2250"/>
      <c r="CF434" s="2250"/>
      <c r="CG434" s="2250"/>
      <c r="CH434" s="2250"/>
      <c r="CI434" s="2250"/>
      <c r="CJ434" s="2250"/>
      <c r="CK434" s="2250"/>
      <c r="CL434" s="2279" t="s">
        <v>714</v>
      </c>
      <c r="CM434" s="2341"/>
      <c r="CN434" s="2341">
        <f>CN433</f>
        <v>5.2</v>
      </c>
      <c r="CO434" s="2283">
        <f>CO433</f>
        <v>475</v>
      </c>
      <c r="CP434" s="2250"/>
      <c r="CQ434" s="2250"/>
      <c r="CR434" s="2250"/>
      <c r="CS434" s="2250"/>
      <c r="CT434" s="2250"/>
      <c r="CU434" s="2250"/>
      <c r="CV434" s="2250"/>
      <c r="CW434" s="2250"/>
      <c r="CX434" s="2250"/>
      <c r="CY434" s="2250"/>
      <c r="CZ434" s="2279" t="s">
        <v>714</v>
      </c>
      <c r="DA434" s="2341"/>
      <c r="DB434" s="2341">
        <f>DB433</f>
        <v>4.08</v>
      </c>
      <c r="DC434" s="2283">
        <f>DC433</f>
        <v>475</v>
      </c>
      <c r="DD434" s="2250"/>
      <c r="DE434" s="2250"/>
      <c r="DF434" s="2250"/>
      <c r="DG434" s="2250"/>
      <c r="DH434" s="2250"/>
      <c r="DI434" s="2250"/>
      <c r="DJ434" s="2250"/>
      <c r="DK434" s="2250"/>
      <c r="DL434" s="2275"/>
      <c r="DM434" s="2275"/>
      <c r="DN434" s="2275"/>
      <c r="DO434" s="53"/>
      <c r="DP434" s="53"/>
      <c r="DS434" s="277"/>
      <c r="DW434" s="1"/>
      <c r="DX434" s="2279" t="s">
        <v>714</v>
      </c>
      <c r="DY434" s="2341"/>
      <c r="DZ434" s="2341">
        <f>DZ433</f>
        <v>0</v>
      </c>
      <c r="EA434" s="2283">
        <f>EA433</f>
        <v>475</v>
      </c>
      <c r="EB434" s="2250"/>
      <c r="EC434" s="2250"/>
      <c r="ED434" s="2250"/>
      <c r="EE434" s="2250"/>
      <c r="EF434" s="2250"/>
      <c r="EG434" s="2250"/>
      <c r="EH434" s="2250"/>
      <c r="EI434" s="2250"/>
      <c r="EJ434" s="2250"/>
      <c r="EK434" s="2250"/>
      <c r="EL434" s="2279" t="s">
        <v>714</v>
      </c>
      <c r="EM434" s="2341"/>
      <c r="EN434" s="2341">
        <f>EN433</f>
        <v>9.8800000000000008</v>
      </c>
      <c r="EO434" s="2283">
        <f>EO433</f>
        <v>475</v>
      </c>
      <c r="EP434" s="2250"/>
      <c r="EQ434" s="2250"/>
      <c r="ER434" s="2250"/>
      <c r="ES434" s="2250"/>
      <c r="ET434" s="2250"/>
      <c r="EU434" s="2250"/>
      <c r="EV434" s="2250"/>
      <c r="EW434" s="2250"/>
      <c r="EX434" s="2250"/>
      <c r="EY434" s="2250"/>
      <c r="EZ434" s="2279" t="s">
        <v>714</v>
      </c>
      <c r="FA434" s="2341"/>
      <c r="FB434" s="2341">
        <f>FB433</f>
        <v>8.1999999999999993</v>
      </c>
      <c r="FC434" s="2283">
        <f>FC433</f>
        <v>475</v>
      </c>
      <c r="FD434" s="2250"/>
      <c r="FE434" s="2250"/>
      <c r="FF434" s="2250"/>
      <c r="FG434" s="2250"/>
      <c r="FH434" s="2250"/>
      <c r="FI434" s="2250"/>
      <c r="FJ434" s="2250"/>
      <c r="FK434" s="2250"/>
      <c r="FL434" s="2250"/>
      <c r="FM434" s="2250"/>
      <c r="FN434" s="2279" t="s">
        <v>714</v>
      </c>
      <c r="FO434" s="2341"/>
      <c r="FP434" s="2341">
        <f>FP433</f>
        <v>6.77</v>
      </c>
      <c r="FQ434" s="2283">
        <f>FQ433</f>
        <v>475</v>
      </c>
      <c r="FR434" s="2250"/>
      <c r="FS434" s="2250"/>
      <c r="FT434" s="2250"/>
      <c r="FU434" s="2250"/>
      <c r="FV434" s="2250"/>
      <c r="FW434" s="2250"/>
      <c r="FX434" s="2250"/>
      <c r="FY434" s="2250"/>
      <c r="FZ434" s="2275"/>
      <c r="GA434" s="2275"/>
      <c r="GB434" s="2276"/>
      <c r="GC434" s="2276"/>
      <c r="GD434" s="2250"/>
      <c r="GE434" s="2275"/>
      <c r="GF434" s="2279" t="s">
        <v>714</v>
      </c>
      <c r="GG434" s="2341"/>
      <c r="GH434" s="2341">
        <f>GH433</f>
        <v>0</v>
      </c>
      <c r="GI434" s="2283">
        <f>GI433</f>
        <v>475</v>
      </c>
      <c r="GJ434" s="2250"/>
      <c r="GK434" s="2250"/>
      <c r="GL434" s="2250"/>
      <c r="GM434" s="2250"/>
      <c r="GN434" s="2250"/>
      <c r="GO434" s="2250"/>
      <c r="GP434" s="2250"/>
      <c r="GQ434" s="2250"/>
      <c r="GR434" s="2250"/>
      <c r="GS434" s="2250"/>
      <c r="GT434" s="2279" t="s">
        <v>714</v>
      </c>
      <c r="GU434" s="2341"/>
      <c r="GV434" s="2341">
        <f>GV433</f>
        <v>9.08</v>
      </c>
      <c r="GW434" s="2283">
        <f>GW433</f>
        <v>475</v>
      </c>
      <c r="GX434" s="2250"/>
      <c r="GY434" s="2250"/>
      <c r="GZ434" s="2250"/>
      <c r="HA434" s="2250"/>
      <c r="HB434" s="2250"/>
      <c r="HC434" s="2250"/>
      <c r="HD434" s="2250"/>
      <c r="HE434" s="2250"/>
      <c r="HF434" s="2250"/>
      <c r="HG434" s="2250"/>
      <c r="HH434" s="2279" t="s">
        <v>714</v>
      </c>
      <c r="HI434" s="2341"/>
      <c r="HJ434" s="2341">
        <f>HJ433</f>
        <v>7.53</v>
      </c>
      <c r="HK434" s="2283">
        <f>HK433</f>
        <v>475</v>
      </c>
      <c r="HL434" s="2250"/>
      <c r="HM434" s="2250"/>
      <c r="HN434" s="2250"/>
      <c r="HO434" s="2250"/>
      <c r="HP434" s="2250"/>
      <c r="HQ434" s="2250"/>
      <c r="HR434" s="2250"/>
      <c r="HS434" s="2250"/>
      <c r="HT434" s="2250"/>
      <c r="HU434" s="2250"/>
      <c r="HV434" s="2279" t="s">
        <v>714</v>
      </c>
      <c r="HW434" s="2341"/>
      <c r="HX434" s="2341">
        <f>HX433</f>
        <v>6</v>
      </c>
      <c r="HY434" s="2283">
        <f>HY433</f>
        <v>475</v>
      </c>
      <c r="HZ434" s="2250"/>
      <c r="IA434" s="2250"/>
      <c r="IB434" s="2250"/>
      <c r="IC434" s="2250"/>
      <c r="ID434" s="2250"/>
      <c r="IE434" s="2250"/>
      <c r="IF434" s="2250"/>
      <c r="IG434" s="2250"/>
      <c r="IH434" s="2275"/>
      <c r="II434" s="2275"/>
      <c r="IJ434" s="2275"/>
      <c r="IK434" s="53"/>
      <c r="IL434" s="53"/>
      <c r="IN434" s="277"/>
      <c r="IO434" s="277"/>
    </row>
    <row r="435" spans="2:249" ht="21.95" customHeight="1">
      <c r="B435" s="2250"/>
      <c r="C435" s="2250"/>
      <c r="D435" s="2250"/>
      <c r="E435" s="2250"/>
      <c r="F435" s="2250"/>
      <c r="G435" s="2250"/>
      <c r="H435" s="2250"/>
      <c r="I435" s="2250"/>
      <c r="J435" s="2250"/>
      <c r="K435" s="2250"/>
      <c r="L435" s="2250"/>
      <c r="M435" s="2250"/>
      <c r="N435" s="2250"/>
      <c r="O435" s="2250"/>
      <c r="P435" s="2250"/>
      <c r="Q435" s="2250"/>
      <c r="R435" s="2250"/>
      <c r="S435" s="2250"/>
      <c r="T435" s="2250"/>
      <c r="U435" s="2250"/>
      <c r="V435" s="2250"/>
      <c r="W435" s="2250"/>
      <c r="X435" s="2250"/>
      <c r="Y435" s="2250"/>
      <c r="Z435" s="2250"/>
      <c r="AA435" s="2250"/>
      <c r="AB435" s="2250"/>
      <c r="AC435" s="2250"/>
      <c r="AD435" s="2250"/>
      <c r="AE435" s="2250"/>
      <c r="AF435" s="2250"/>
      <c r="AG435" s="2250"/>
      <c r="AH435" s="2250"/>
      <c r="AI435" s="2250"/>
      <c r="AJ435" s="2250"/>
      <c r="AK435" s="2250"/>
      <c r="AL435" s="2250"/>
      <c r="AM435" s="2250"/>
      <c r="AN435" s="2250"/>
      <c r="AO435" s="2250"/>
      <c r="AP435" s="2250"/>
      <c r="AQ435" s="2250"/>
      <c r="AR435" s="2250"/>
      <c r="AS435" s="2250"/>
      <c r="AT435" s="2250"/>
      <c r="AU435" s="2250"/>
      <c r="AV435" s="2250"/>
      <c r="AW435" s="2250"/>
      <c r="AX435" s="2250"/>
      <c r="AY435" s="2250"/>
      <c r="AZ435" s="2250"/>
      <c r="BA435" s="2250"/>
      <c r="BB435" s="2250"/>
      <c r="BC435" s="2250"/>
      <c r="BD435" s="2275"/>
      <c r="BE435" s="2275"/>
      <c r="BF435" s="2276"/>
      <c r="BG435" s="2276"/>
      <c r="BH435" s="2250"/>
      <c r="BI435" s="2275"/>
      <c r="BJ435" s="2250"/>
      <c r="BK435" s="2250"/>
      <c r="BL435" s="2250"/>
      <c r="BM435" s="2250"/>
      <c r="BN435" s="2250"/>
      <c r="BO435" s="2250"/>
      <c r="BP435" s="2250"/>
      <c r="BQ435" s="2250"/>
      <c r="BR435" s="2250"/>
      <c r="BS435" s="2250"/>
      <c r="BT435" s="2250"/>
      <c r="BU435" s="2250"/>
      <c r="BV435" s="2250"/>
      <c r="BW435" s="2250"/>
      <c r="BX435" s="2250"/>
      <c r="BY435" s="2250"/>
      <c r="BZ435" s="2250"/>
      <c r="CA435" s="2250"/>
      <c r="CB435" s="2250"/>
      <c r="CC435" s="2250"/>
      <c r="CD435" s="2250"/>
      <c r="CE435" s="2250"/>
      <c r="CF435" s="2250"/>
      <c r="CG435" s="2250"/>
      <c r="CH435" s="2250"/>
      <c r="CI435" s="2250"/>
      <c r="CJ435" s="2250"/>
      <c r="CK435" s="2250"/>
      <c r="CL435" s="2250"/>
      <c r="CM435" s="2250"/>
      <c r="CN435" s="2250"/>
      <c r="CO435" s="2250"/>
      <c r="CP435" s="2250"/>
      <c r="CQ435" s="2250"/>
      <c r="CR435" s="2250"/>
      <c r="CS435" s="2250"/>
      <c r="CT435" s="2250"/>
      <c r="CU435" s="2250"/>
      <c r="CV435" s="2250"/>
      <c r="CW435" s="2250"/>
      <c r="CX435" s="2250"/>
      <c r="CY435" s="2250"/>
      <c r="CZ435" s="2250"/>
      <c r="DA435" s="2250"/>
      <c r="DB435" s="2250"/>
      <c r="DC435" s="2250"/>
      <c r="DD435" s="2250"/>
      <c r="DE435" s="2250"/>
      <c r="DF435" s="2250"/>
      <c r="DG435" s="2250"/>
      <c r="DH435" s="2250"/>
      <c r="DI435" s="2250"/>
      <c r="DJ435" s="2250"/>
      <c r="DK435" s="2250"/>
      <c r="DL435" s="2275"/>
      <c r="DM435" s="2275"/>
      <c r="DN435" s="2275"/>
      <c r="DO435" s="53"/>
      <c r="DP435" s="53"/>
      <c r="DS435" s="277"/>
      <c r="DW435" s="1"/>
      <c r="DX435" s="2250"/>
      <c r="DY435" s="2250"/>
      <c r="DZ435" s="2250"/>
      <c r="EA435" s="2250"/>
      <c r="EB435" s="2250"/>
      <c r="EC435" s="2250"/>
      <c r="ED435" s="2250"/>
      <c r="EE435" s="2250"/>
      <c r="EF435" s="2250"/>
      <c r="EG435" s="2250"/>
      <c r="EH435" s="2250"/>
      <c r="EI435" s="2250"/>
      <c r="EJ435" s="2250"/>
      <c r="EK435" s="2250"/>
      <c r="EL435" s="2250"/>
      <c r="EM435" s="2250"/>
      <c r="EN435" s="2250"/>
      <c r="EO435" s="2250"/>
      <c r="EP435" s="2250"/>
      <c r="EQ435" s="2250"/>
      <c r="ER435" s="2250"/>
      <c r="ES435" s="2250"/>
      <c r="ET435" s="2250"/>
      <c r="EU435" s="2250"/>
      <c r="EV435" s="2250"/>
      <c r="EW435" s="2250"/>
      <c r="EX435" s="2250"/>
      <c r="EY435" s="2250"/>
      <c r="EZ435" s="2250"/>
      <c r="FA435" s="2250"/>
      <c r="FB435" s="2250"/>
      <c r="FC435" s="2250"/>
      <c r="FD435" s="2250"/>
      <c r="FE435" s="2250"/>
      <c r="FF435" s="2250"/>
      <c r="FG435" s="2250"/>
      <c r="FH435" s="2250"/>
      <c r="FI435" s="2250"/>
      <c r="FJ435" s="2250"/>
      <c r="FK435" s="2250"/>
      <c r="FL435" s="2250"/>
      <c r="FM435" s="2250"/>
      <c r="FN435" s="2250"/>
      <c r="FO435" s="2250"/>
      <c r="FP435" s="2250"/>
      <c r="FQ435" s="2250"/>
      <c r="FR435" s="2250"/>
      <c r="FS435" s="2250"/>
      <c r="FT435" s="2250"/>
      <c r="FU435" s="2250"/>
      <c r="FV435" s="2250"/>
      <c r="FW435" s="2250"/>
      <c r="FX435" s="2250"/>
      <c r="FY435" s="2250"/>
      <c r="FZ435" s="2275"/>
      <c r="GA435" s="2275"/>
      <c r="GB435" s="2276"/>
      <c r="GC435" s="2276"/>
      <c r="GD435" s="2250"/>
      <c r="GE435" s="2275"/>
      <c r="GF435" s="2250"/>
      <c r="GG435" s="2250"/>
      <c r="GH435" s="2250"/>
      <c r="GI435" s="2250"/>
      <c r="GJ435" s="2250"/>
      <c r="GK435" s="2250"/>
      <c r="GL435" s="2250"/>
      <c r="GM435" s="2250"/>
      <c r="GN435" s="2250"/>
      <c r="GO435" s="2250"/>
      <c r="GP435" s="2250"/>
      <c r="GQ435" s="2250"/>
      <c r="GR435" s="2250"/>
      <c r="GS435" s="2250"/>
      <c r="GT435" s="2250"/>
      <c r="GU435" s="2250"/>
      <c r="GV435" s="2250"/>
      <c r="GW435" s="2250"/>
      <c r="GX435" s="2250"/>
      <c r="GY435" s="2250"/>
      <c r="GZ435" s="2250"/>
      <c r="HA435" s="2250"/>
      <c r="HB435" s="2250"/>
      <c r="HC435" s="2250"/>
      <c r="HD435" s="2250"/>
      <c r="HE435" s="2250"/>
      <c r="HF435" s="2250"/>
      <c r="HG435" s="2250"/>
      <c r="HH435" s="2250"/>
      <c r="HI435" s="2250"/>
      <c r="HJ435" s="2250"/>
      <c r="HK435" s="2250"/>
      <c r="HL435" s="2250"/>
      <c r="HM435" s="2250"/>
      <c r="HN435" s="2250"/>
      <c r="HO435" s="2250"/>
      <c r="HP435" s="2250"/>
      <c r="HQ435" s="2250"/>
      <c r="HR435" s="2250"/>
      <c r="HS435" s="2250"/>
      <c r="HT435" s="2250"/>
      <c r="HU435" s="2250"/>
      <c r="HV435" s="2250"/>
      <c r="HW435" s="2250"/>
      <c r="HX435" s="2250"/>
      <c r="HY435" s="2250"/>
      <c r="HZ435" s="2250"/>
      <c r="IA435" s="2250"/>
      <c r="IB435" s="2250"/>
      <c r="IC435" s="2250"/>
      <c r="ID435" s="2250"/>
      <c r="IE435" s="2250"/>
      <c r="IF435" s="2250"/>
      <c r="IG435" s="2250"/>
      <c r="IH435" s="2275"/>
      <c r="II435" s="2275"/>
      <c r="IJ435" s="2275"/>
      <c r="IK435" s="53"/>
      <c r="IL435" s="53"/>
      <c r="IN435" s="277"/>
      <c r="IO435" s="277"/>
    </row>
    <row r="436" spans="2:249" ht="21.95" customHeight="1">
      <c r="B436" s="2292" t="s">
        <v>736</v>
      </c>
      <c r="C436" s="2292">
        <v>400</v>
      </c>
      <c r="D436" s="2292">
        <v>475</v>
      </c>
      <c r="E436" s="2292">
        <v>550</v>
      </c>
      <c r="F436" s="2292">
        <v>650</v>
      </c>
      <c r="G436" s="2292">
        <v>775</v>
      </c>
      <c r="H436" s="2292">
        <v>825</v>
      </c>
      <c r="I436" s="2292">
        <v>950</v>
      </c>
      <c r="J436" s="2292">
        <v>1100</v>
      </c>
      <c r="K436" s="2292">
        <v>1250</v>
      </c>
      <c r="L436" s="2292">
        <v>1450</v>
      </c>
      <c r="M436" s="2292">
        <v>1650</v>
      </c>
      <c r="N436" s="2275"/>
      <c r="O436" s="2275"/>
      <c r="P436" s="2292" t="s">
        <v>736</v>
      </c>
      <c r="Q436" s="2292">
        <v>400</v>
      </c>
      <c r="R436" s="2292">
        <v>475</v>
      </c>
      <c r="S436" s="2292">
        <v>550</v>
      </c>
      <c r="T436" s="2292">
        <v>650</v>
      </c>
      <c r="U436" s="2292">
        <v>775</v>
      </c>
      <c r="V436" s="2292">
        <v>825</v>
      </c>
      <c r="W436" s="2292">
        <v>950</v>
      </c>
      <c r="X436" s="2292">
        <v>1100</v>
      </c>
      <c r="Y436" s="2292">
        <v>1250</v>
      </c>
      <c r="Z436" s="2292">
        <v>1450</v>
      </c>
      <c r="AA436" s="2292">
        <v>1650</v>
      </c>
      <c r="AB436" s="2275"/>
      <c r="AC436" s="2275"/>
      <c r="AD436" s="2292" t="s">
        <v>736</v>
      </c>
      <c r="AE436" s="2292">
        <v>400</v>
      </c>
      <c r="AF436" s="2292">
        <v>475</v>
      </c>
      <c r="AG436" s="2292">
        <v>550</v>
      </c>
      <c r="AH436" s="2292">
        <v>650</v>
      </c>
      <c r="AI436" s="2292">
        <v>775</v>
      </c>
      <c r="AJ436" s="2292">
        <v>825</v>
      </c>
      <c r="AK436" s="2292">
        <v>950</v>
      </c>
      <c r="AL436" s="2292">
        <v>1100</v>
      </c>
      <c r="AM436" s="2292">
        <v>1250</v>
      </c>
      <c r="AN436" s="2292">
        <v>1450</v>
      </c>
      <c r="AO436" s="2292">
        <v>1650</v>
      </c>
      <c r="AP436" s="2275"/>
      <c r="AQ436" s="2275"/>
      <c r="AR436" s="2292" t="s">
        <v>736</v>
      </c>
      <c r="AS436" s="2292">
        <v>400</v>
      </c>
      <c r="AT436" s="2292">
        <v>475</v>
      </c>
      <c r="AU436" s="2292">
        <v>550</v>
      </c>
      <c r="AV436" s="2292">
        <v>650</v>
      </c>
      <c r="AW436" s="2292">
        <v>775</v>
      </c>
      <c r="AX436" s="2292">
        <v>825</v>
      </c>
      <c r="AY436" s="2292">
        <v>950</v>
      </c>
      <c r="AZ436" s="2292">
        <v>1100</v>
      </c>
      <c r="BA436" s="2292">
        <v>1250</v>
      </c>
      <c r="BB436" s="2292">
        <v>1450</v>
      </c>
      <c r="BC436" s="2292">
        <v>1650</v>
      </c>
      <c r="BD436" s="2275"/>
      <c r="BE436" s="2275"/>
      <c r="BF436" s="2276"/>
      <c r="BG436" s="2276"/>
      <c r="BH436" s="2250"/>
      <c r="BI436" s="2275"/>
      <c r="BJ436" s="2292" t="s">
        <v>736</v>
      </c>
      <c r="BK436" s="2292">
        <v>400</v>
      </c>
      <c r="BL436" s="2292">
        <v>475</v>
      </c>
      <c r="BM436" s="2292">
        <v>550</v>
      </c>
      <c r="BN436" s="2292">
        <v>650</v>
      </c>
      <c r="BO436" s="2292">
        <v>775</v>
      </c>
      <c r="BP436" s="2292">
        <v>825</v>
      </c>
      <c r="BQ436" s="2292">
        <v>950</v>
      </c>
      <c r="BR436" s="2292">
        <v>1100</v>
      </c>
      <c r="BS436" s="2292">
        <v>1250</v>
      </c>
      <c r="BT436" s="2292">
        <v>1450</v>
      </c>
      <c r="BU436" s="2292">
        <v>1650</v>
      </c>
      <c r="BV436" s="2275"/>
      <c r="BW436" s="2275"/>
      <c r="BX436" s="2292" t="s">
        <v>736</v>
      </c>
      <c r="BY436" s="2292">
        <v>400</v>
      </c>
      <c r="BZ436" s="2292">
        <v>475</v>
      </c>
      <c r="CA436" s="2292">
        <v>550</v>
      </c>
      <c r="CB436" s="2292">
        <v>650</v>
      </c>
      <c r="CC436" s="2292">
        <v>775</v>
      </c>
      <c r="CD436" s="2292">
        <v>825</v>
      </c>
      <c r="CE436" s="2292">
        <v>950</v>
      </c>
      <c r="CF436" s="2292">
        <v>1100</v>
      </c>
      <c r="CG436" s="2292">
        <v>1250</v>
      </c>
      <c r="CH436" s="2292">
        <v>1450</v>
      </c>
      <c r="CI436" s="2292">
        <v>1650</v>
      </c>
      <c r="CJ436" s="2275"/>
      <c r="CK436" s="2275"/>
      <c r="CL436" s="2292" t="s">
        <v>736</v>
      </c>
      <c r="CM436" s="2292">
        <v>400</v>
      </c>
      <c r="CN436" s="2292">
        <v>475</v>
      </c>
      <c r="CO436" s="2292">
        <v>550</v>
      </c>
      <c r="CP436" s="2292">
        <v>650</v>
      </c>
      <c r="CQ436" s="2292">
        <v>775</v>
      </c>
      <c r="CR436" s="2292">
        <v>825</v>
      </c>
      <c r="CS436" s="2292">
        <v>950</v>
      </c>
      <c r="CT436" s="2292">
        <v>1100</v>
      </c>
      <c r="CU436" s="2292">
        <v>1250</v>
      </c>
      <c r="CV436" s="2292">
        <v>1450</v>
      </c>
      <c r="CW436" s="2292">
        <v>1650</v>
      </c>
      <c r="CX436" s="2275"/>
      <c r="CY436" s="2275"/>
      <c r="CZ436" s="2292" t="s">
        <v>736</v>
      </c>
      <c r="DA436" s="2292">
        <v>400</v>
      </c>
      <c r="DB436" s="2292">
        <v>475</v>
      </c>
      <c r="DC436" s="2292">
        <v>550</v>
      </c>
      <c r="DD436" s="2292">
        <v>650</v>
      </c>
      <c r="DE436" s="2292">
        <v>775</v>
      </c>
      <c r="DF436" s="2292">
        <v>825</v>
      </c>
      <c r="DG436" s="2292">
        <v>950</v>
      </c>
      <c r="DH436" s="2292">
        <v>1100</v>
      </c>
      <c r="DI436" s="2292">
        <v>1250</v>
      </c>
      <c r="DJ436" s="2292">
        <v>1450</v>
      </c>
      <c r="DK436" s="2292">
        <v>1650</v>
      </c>
      <c r="DL436" s="2275"/>
      <c r="DM436" s="2275"/>
      <c r="DN436" s="2275"/>
      <c r="DO436" s="53"/>
      <c r="DP436" s="53"/>
      <c r="DS436" s="277"/>
      <c r="DW436" s="1"/>
      <c r="DX436" s="2292" t="s">
        <v>736</v>
      </c>
      <c r="DY436" s="2292">
        <v>400</v>
      </c>
      <c r="DZ436" s="2292">
        <v>475</v>
      </c>
      <c r="EA436" s="2292">
        <v>550</v>
      </c>
      <c r="EB436" s="2292">
        <v>650</v>
      </c>
      <c r="EC436" s="2292">
        <v>775</v>
      </c>
      <c r="ED436" s="2292">
        <v>825</v>
      </c>
      <c r="EE436" s="2292">
        <v>950</v>
      </c>
      <c r="EF436" s="2292">
        <v>1100</v>
      </c>
      <c r="EG436" s="2292">
        <v>1250</v>
      </c>
      <c r="EH436" s="2292">
        <v>1450</v>
      </c>
      <c r="EI436" s="2292">
        <v>1650</v>
      </c>
      <c r="EJ436" s="2275"/>
      <c r="EK436" s="2275"/>
      <c r="EL436" s="2292" t="s">
        <v>736</v>
      </c>
      <c r="EM436" s="2292">
        <v>400</v>
      </c>
      <c r="EN436" s="2292">
        <v>475</v>
      </c>
      <c r="EO436" s="2292">
        <v>550</v>
      </c>
      <c r="EP436" s="2292">
        <v>650</v>
      </c>
      <c r="EQ436" s="2292">
        <v>775</v>
      </c>
      <c r="ER436" s="2292">
        <v>825</v>
      </c>
      <c r="ES436" s="2292">
        <v>950</v>
      </c>
      <c r="ET436" s="2292">
        <v>1100</v>
      </c>
      <c r="EU436" s="2292">
        <v>1250</v>
      </c>
      <c r="EV436" s="2292">
        <v>1450</v>
      </c>
      <c r="EW436" s="2292">
        <v>1650</v>
      </c>
      <c r="EX436" s="2275"/>
      <c r="EY436" s="2275"/>
      <c r="EZ436" s="2292" t="s">
        <v>736</v>
      </c>
      <c r="FA436" s="2292">
        <v>400</v>
      </c>
      <c r="FB436" s="2292">
        <v>475</v>
      </c>
      <c r="FC436" s="2292">
        <v>550</v>
      </c>
      <c r="FD436" s="2292">
        <v>650</v>
      </c>
      <c r="FE436" s="2292">
        <v>775</v>
      </c>
      <c r="FF436" s="2292">
        <v>825</v>
      </c>
      <c r="FG436" s="2292">
        <v>950</v>
      </c>
      <c r="FH436" s="2292">
        <v>1100</v>
      </c>
      <c r="FI436" s="2292">
        <v>1250</v>
      </c>
      <c r="FJ436" s="2292">
        <v>1450</v>
      </c>
      <c r="FK436" s="2292">
        <v>1650</v>
      </c>
      <c r="FL436" s="2275"/>
      <c r="FM436" s="2275"/>
      <c r="FN436" s="2292" t="s">
        <v>736</v>
      </c>
      <c r="FO436" s="2292">
        <v>400</v>
      </c>
      <c r="FP436" s="2292">
        <v>475</v>
      </c>
      <c r="FQ436" s="2292">
        <v>550</v>
      </c>
      <c r="FR436" s="2292">
        <v>650</v>
      </c>
      <c r="FS436" s="2292">
        <v>775</v>
      </c>
      <c r="FT436" s="2292">
        <v>825</v>
      </c>
      <c r="FU436" s="2292">
        <v>950</v>
      </c>
      <c r="FV436" s="2292">
        <v>1100</v>
      </c>
      <c r="FW436" s="2292">
        <v>1250</v>
      </c>
      <c r="FX436" s="2292">
        <v>1450</v>
      </c>
      <c r="FY436" s="2292">
        <v>1650</v>
      </c>
      <c r="FZ436" s="2275"/>
      <c r="GA436" s="2275"/>
      <c r="GB436" s="2276"/>
      <c r="GC436" s="2276"/>
      <c r="GD436" s="2250"/>
      <c r="GE436" s="2275"/>
      <c r="GF436" s="2292" t="s">
        <v>736</v>
      </c>
      <c r="GG436" s="2292">
        <v>400</v>
      </c>
      <c r="GH436" s="2292">
        <v>475</v>
      </c>
      <c r="GI436" s="2292">
        <v>550</v>
      </c>
      <c r="GJ436" s="2292">
        <v>650</v>
      </c>
      <c r="GK436" s="2292">
        <v>775</v>
      </c>
      <c r="GL436" s="2292">
        <v>825</v>
      </c>
      <c r="GM436" s="2292">
        <v>950</v>
      </c>
      <c r="GN436" s="2292">
        <v>1100</v>
      </c>
      <c r="GO436" s="2292">
        <v>1250</v>
      </c>
      <c r="GP436" s="2292">
        <v>1450</v>
      </c>
      <c r="GQ436" s="2292">
        <v>1650</v>
      </c>
      <c r="GR436" s="2275"/>
      <c r="GS436" s="2275"/>
      <c r="GT436" s="2292" t="s">
        <v>736</v>
      </c>
      <c r="GU436" s="2292">
        <v>400</v>
      </c>
      <c r="GV436" s="2292">
        <v>475</v>
      </c>
      <c r="GW436" s="2292">
        <v>550</v>
      </c>
      <c r="GX436" s="2292">
        <v>650</v>
      </c>
      <c r="GY436" s="2292">
        <v>775</v>
      </c>
      <c r="GZ436" s="2292">
        <v>825</v>
      </c>
      <c r="HA436" s="2292">
        <v>950</v>
      </c>
      <c r="HB436" s="2292">
        <v>1100</v>
      </c>
      <c r="HC436" s="2292">
        <v>1250</v>
      </c>
      <c r="HD436" s="2292">
        <v>1450</v>
      </c>
      <c r="HE436" s="2292">
        <v>1650</v>
      </c>
      <c r="HF436" s="2275"/>
      <c r="HG436" s="2275"/>
      <c r="HH436" s="2292" t="s">
        <v>736</v>
      </c>
      <c r="HI436" s="2292">
        <v>400</v>
      </c>
      <c r="HJ436" s="2292">
        <v>475</v>
      </c>
      <c r="HK436" s="2292">
        <v>550</v>
      </c>
      <c r="HL436" s="2292">
        <v>650</v>
      </c>
      <c r="HM436" s="2292">
        <v>775</v>
      </c>
      <c r="HN436" s="2292">
        <v>825</v>
      </c>
      <c r="HO436" s="2292">
        <v>950</v>
      </c>
      <c r="HP436" s="2292">
        <v>1100</v>
      </c>
      <c r="HQ436" s="2292">
        <v>1250</v>
      </c>
      <c r="HR436" s="2292">
        <v>1450</v>
      </c>
      <c r="HS436" s="2292">
        <v>1650</v>
      </c>
      <c r="HT436" s="2275"/>
      <c r="HU436" s="2275"/>
      <c r="HV436" s="2292" t="s">
        <v>736</v>
      </c>
      <c r="HW436" s="2292">
        <v>400</v>
      </c>
      <c r="HX436" s="2292">
        <v>475</v>
      </c>
      <c r="HY436" s="2292">
        <v>550</v>
      </c>
      <c r="HZ436" s="2292">
        <v>650</v>
      </c>
      <c r="IA436" s="2292">
        <v>775</v>
      </c>
      <c r="IB436" s="2292">
        <v>825</v>
      </c>
      <c r="IC436" s="2292">
        <v>950</v>
      </c>
      <c r="ID436" s="2292">
        <v>1100</v>
      </c>
      <c r="IE436" s="2292">
        <v>1250</v>
      </c>
      <c r="IF436" s="2292">
        <v>1450</v>
      </c>
      <c r="IG436" s="2292">
        <v>1650</v>
      </c>
      <c r="IH436" s="2275"/>
      <c r="II436" s="2275"/>
      <c r="IJ436" s="2275"/>
      <c r="IK436" s="53"/>
      <c r="IL436" s="53"/>
      <c r="IN436" s="277"/>
      <c r="IO436" s="277"/>
    </row>
    <row r="437" spans="2:249" ht="21.95" customHeight="1">
      <c r="B437" s="2292">
        <f>C416</f>
        <v>68.3</v>
      </c>
      <c r="C437" s="2292">
        <f>VLOOKUP(B437,B388:M414,2,0)</f>
        <v>0</v>
      </c>
      <c r="D437" s="2292">
        <f>VLOOKUP(B437,B388:M414,3,0)</f>
        <v>0</v>
      </c>
      <c r="E437" s="2292">
        <f>VLOOKUP(B437,B388:M414,4,0)</f>
        <v>0</v>
      </c>
      <c r="F437" s="2292">
        <f>VLOOKUP(B437,B388:M414,5,0)</f>
        <v>0</v>
      </c>
      <c r="G437" s="2292">
        <f>VLOOKUP(B437,B388:M414,6,0)</f>
        <v>0</v>
      </c>
      <c r="H437" s="2292">
        <f>VLOOKUP(B437,B388:M414,7,0)</f>
        <v>0</v>
      </c>
      <c r="I437" s="2292">
        <f>VLOOKUP(B437,B388:M414,8,0)</f>
        <v>0</v>
      </c>
      <c r="J437" s="2292">
        <f>VLOOKUP(B437,B388:M414,9,0)</f>
        <v>0</v>
      </c>
      <c r="K437" s="2292">
        <f>VLOOKUP(B437,B388:M414,10,0)</f>
        <v>0</v>
      </c>
      <c r="L437" s="2292">
        <f>VLOOKUP(B437,B388:M414,11,0)</f>
        <v>0</v>
      </c>
      <c r="M437" s="2292">
        <f>VLOOKUP(B437,B388:M414,12,0)</f>
        <v>0</v>
      </c>
      <c r="N437" s="2275"/>
      <c r="O437" s="2275"/>
      <c r="P437" s="2292">
        <f>Q416</f>
        <v>68.3</v>
      </c>
      <c r="Q437" s="2292">
        <f>VLOOKUP(P437,P388:AA414,2,0)</f>
        <v>6.81</v>
      </c>
      <c r="R437" s="2292">
        <f>VLOOKUP(P437,P388:AA414,3,0)</f>
        <v>13.25</v>
      </c>
      <c r="S437" s="2292">
        <f>VLOOKUP(P437,P388:AA414,4,0)</f>
        <v>22.39</v>
      </c>
      <c r="T437" s="2292">
        <f>VLOOKUP(P437,P388:AA414,5,0)</f>
        <v>36.32</v>
      </c>
      <c r="U437" s="2292">
        <f>VLOOKUP(P437,P388:AA414,6,0)</f>
        <v>49.69</v>
      </c>
      <c r="V437" s="2292">
        <f>VLOOKUP(P437,P388:AA414,7,0)</f>
        <v>73.010000000000005</v>
      </c>
      <c r="W437" s="2292">
        <f>VLOOKUP(P437,P388:AA414,8,0)</f>
        <v>105.28</v>
      </c>
      <c r="X437" s="2292">
        <f>VLOOKUP(P437,P388:AA414,9,0)</f>
        <v>143.93</v>
      </c>
      <c r="Y437" s="2292">
        <f>VLOOKUP(P437,P388:AA414,10,0)</f>
        <v>223.44</v>
      </c>
      <c r="Z437" s="2292">
        <f>VLOOKUP(P437,P388:AA414,11,0)</f>
        <v>322.88</v>
      </c>
      <c r="AA437" s="2292">
        <f>VLOOKUP(P437,P388:AA414,12,0)</f>
        <v>0</v>
      </c>
      <c r="AB437" s="2275"/>
      <c r="AC437" s="2275"/>
      <c r="AD437" s="2292">
        <f>AE416</f>
        <v>68.3</v>
      </c>
      <c r="AE437" s="2292">
        <f>VLOOKUP(AD437,AD388:AO414,2,0)</f>
        <v>5.67</v>
      </c>
      <c r="AF437" s="2292">
        <f>VLOOKUP(AD437,AD388:AO414,3,0)</f>
        <v>10.93</v>
      </c>
      <c r="AG437" s="2292">
        <f>VLOOKUP(AD437,AD388:AO414,4,0)</f>
        <v>18.670000000000002</v>
      </c>
      <c r="AH437" s="2292">
        <f>VLOOKUP(AD437,AD388:AO414,5,0)</f>
        <v>28.07</v>
      </c>
      <c r="AI437" s="2292">
        <f>VLOOKUP(AD437,AD388:AO414,6,0)</f>
        <v>35.869999999999997</v>
      </c>
      <c r="AJ437" s="2292">
        <f>VLOOKUP(AD437,AD388:AO414,7,0)</f>
        <v>52.93</v>
      </c>
      <c r="AK437" s="2292">
        <f>VLOOKUP(AD437,AD388:AO414,8,0)</f>
        <v>76.27</v>
      </c>
      <c r="AL437" s="2292">
        <f>VLOOKUP(AD437,AD388:AO414,9,0)</f>
        <v>111.27</v>
      </c>
      <c r="AM437" s="2292">
        <f>VLOOKUP(AD437,AD388:AO414,10,0)</f>
        <v>169</v>
      </c>
      <c r="AN437" s="2292">
        <f>VLOOKUP(AD437,AD388:AO414,11,0)</f>
        <v>236.53</v>
      </c>
      <c r="AO437" s="2292">
        <f>VLOOKUP(AD437,AD388:AO414,12,0)</f>
        <v>0</v>
      </c>
      <c r="AP437" s="2275"/>
      <c r="AQ437" s="2275"/>
      <c r="AR437" s="2292">
        <f>AS416</f>
        <v>68.3</v>
      </c>
      <c r="AS437" s="2292">
        <f>VLOOKUP(AR437,AR388:BC414,2,0)</f>
        <v>4.38</v>
      </c>
      <c r="AT437" s="2292">
        <f>VLOOKUP(AR437,AR388:BC414,3,0)</f>
        <v>8.23</v>
      </c>
      <c r="AU437" s="2292">
        <f>VLOOKUP(AR437,AR388:BC414,4,0)</f>
        <v>13.38</v>
      </c>
      <c r="AV437" s="2292">
        <f>VLOOKUP(AR437,AR388:BC414,5,0)</f>
        <v>21.08</v>
      </c>
      <c r="AW437" s="2292">
        <f>VLOOKUP(AR437,AR388:BC414,6,0)</f>
        <v>27.15</v>
      </c>
      <c r="AX437" s="2292">
        <f>VLOOKUP(AR437,AR388:BC414,7,0)</f>
        <v>39.770000000000003</v>
      </c>
      <c r="AY437" s="2292">
        <f>VLOOKUP(AR437,AR388:BC414,8,0)</f>
        <v>57.23</v>
      </c>
      <c r="AZ437" s="2292">
        <f>VLOOKUP(AR437,AR388:BC414,9,0)</f>
        <v>84.08</v>
      </c>
      <c r="BA437" s="2292">
        <f>VLOOKUP(AR437,AR388:BC414,10,0)</f>
        <v>126.77</v>
      </c>
      <c r="BB437" s="2292">
        <f>VLOOKUP(AR437,AR388:BC414,11,0)</f>
        <v>177.38</v>
      </c>
      <c r="BC437" s="2292">
        <f>VLOOKUP(AR437,AR388:BC414,12,0)</f>
        <v>0</v>
      </c>
      <c r="BD437" s="2275"/>
      <c r="BE437" s="2275"/>
      <c r="BF437" s="2276"/>
      <c r="BG437" s="2276"/>
      <c r="BH437" s="2250"/>
      <c r="BI437" s="2275"/>
      <c r="BJ437" s="2292">
        <f>BK416</f>
        <v>73.7</v>
      </c>
      <c r="BK437" s="2292">
        <f>VLOOKUP(BJ437,BJ388:BU414,2,0)</f>
        <v>0</v>
      </c>
      <c r="BL437" s="2292">
        <f>VLOOKUP(BJ437,BJ388:BU414,3,0)</f>
        <v>0</v>
      </c>
      <c r="BM437" s="2292">
        <f>VLOOKUP(BJ437,BJ388:BU414,4,0)</f>
        <v>0</v>
      </c>
      <c r="BN437" s="2292">
        <f>VLOOKUP(BJ437,BJ388:BU414,5,0)</f>
        <v>0</v>
      </c>
      <c r="BO437" s="2292">
        <f>VLOOKUP(BJ437,BJ388:BU414,6,0)</f>
        <v>0</v>
      </c>
      <c r="BP437" s="2292">
        <f>VLOOKUP(BJ437,BJ388:BU414,7,0)</f>
        <v>0</v>
      </c>
      <c r="BQ437" s="2292">
        <f>VLOOKUP(BJ437,BJ388:BU414,8,0)</f>
        <v>0</v>
      </c>
      <c r="BR437" s="2292">
        <f>VLOOKUP(BJ437,BJ388:BU414,9,0)</f>
        <v>0</v>
      </c>
      <c r="BS437" s="2292">
        <f>VLOOKUP(BJ437,BJ388:BU414,10,0)</f>
        <v>0</v>
      </c>
      <c r="BT437" s="2292">
        <f>VLOOKUP(BJ437,BJ388:BU414,11,0)</f>
        <v>0</v>
      </c>
      <c r="BU437" s="2292">
        <f>VLOOKUP(BJ437,BJ388:BU414,12,0)</f>
        <v>0</v>
      </c>
      <c r="BV437" s="2275"/>
      <c r="BW437" s="2275"/>
      <c r="BX437" s="2292">
        <f>BY416</f>
        <v>73.7</v>
      </c>
      <c r="BY437" s="2292">
        <f>VLOOKUP(BX437,BX388:CI414,2,0)</f>
        <v>6.26</v>
      </c>
      <c r="BZ437" s="2292">
        <f>VLOOKUP(BX437,BX388:CI414,3,0)</f>
        <v>12.39</v>
      </c>
      <c r="CA437" s="2292">
        <f>VLOOKUP(BX437,BX388:CI414,4,0)</f>
        <v>21.1</v>
      </c>
      <c r="CB437" s="2292">
        <f>VLOOKUP(BX437,BX388:CI414,5,0)</f>
        <v>33.5</v>
      </c>
      <c r="CC437" s="2292">
        <f>VLOOKUP(BX437,BX388:CI414,6,0)</f>
        <v>44.91</v>
      </c>
      <c r="CD437" s="2292">
        <f>VLOOKUP(BX437,BX388:CI414,7,0)</f>
        <v>69.39</v>
      </c>
      <c r="CE437" s="2292">
        <f>VLOOKUP(BX437,BX388:CI414,8,0)</f>
        <v>97.61</v>
      </c>
      <c r="CF437" s="2292">
        <f>VLOOKUP(BX437,BX388:CI414,9,0)</f>
        <v>132.69999999999999</v>
      </c>
      <c r="CG437" s="2292">
        <f>VLOOKUP(BX437,BX388:CI414,10,0)</f>
        <v>211.23</v>
      </c>
      <c r="CH437" s="2292">
        <f>VLOOKUP(BX437,BX388:CI414,11,0)</f>
        <v>307.36</v>
      </c>
      <c r="CI437" s="2292">
        <f>VLOOKUP(BX437,BX388:CI414,12,0)</f>
        <v>0</v>
      </c>
      <c r="CJ437" s="2275"/>
      <c r="CK437" s="2275"/>
      <c r="CL437" s="2292">
        <f>CM416</f>
        <v>73.7</v>
      </c>
      <c r="CM437" s="2292">
        <f>VLOOKUP(CL437,CL388:CW414,2,0)</f>
        <v>5.2</v>
      </c>
      <c r="CN437" s="2292">
        <f>VLOOKUP(CL437,CL388:CW414,3,0)</f>
        <v>10.130000000000001</v>
      </c>
      <c r="CO437" s="2292">
        <f>VLOOKUP(CL437,CL388:CW414,4,0)</f>
        <v>16.93</v>
      </c>
      <c r="CP437" s="2292">
        <f>VLOOKUP(CL437,CL388:CW414,5,0)</f>
        <v>26.93</v>
      </c>
      <c r="CQ437" s="2292">
        <f>VLOOKUP(CL437,CL388:CW414,6,0)</f>
        <v>32.4</v>
      </c>
      <c r="CR437" s="2292">
        <f>VLOOKUP(CL437,CL388:CW414,7,0)</f>
        <v>50.47</v>
      </c>
      <c r="CS437" s="2292">
        <f>VLOOKUP(CL437,CL388:CW414,8,0)</f>
        <v>73.069999999999993</v>
      </c>
      <c r="CT437" s="2292">
        <f>VLOOKUP(CL437,CL388:CW414,9,0)</f>
        <v>102.67</v>
      </c>
      <c r="CU437" s="2292">
        <f>VLOOKUP(CL437,CL388:CW414,10,0)</f>
        <v>157.4</v>
      </c>
      <c r="CV437" s="2292">
        <f>VLOOKUP(CL437,CL388:CW414,11,0)</f>
        <v>222.87</v>
      </c>
      <c r="CW437" s="2292">
        <f>VLOOKUP(CL437,CL388:CW414,12,0)</f>
        <v>0</v>
      </c>
      <c r="CX437" s="2275"/>
      <c r="CY437" s="2275"/>
      <c r="CZ437" s="2292">
        <f>DA416</f>
        <v>73.7</v>
      </c>
      <c r="DA437" s="2292">
        <f>VLOOKUP(CZ437,CZ388:DK414,2,0)</f>
        <v>4.08</v>
      </c>
      <c r="DB437" s="2292">
        <f>VLOOKUP(CZ437,CZ388:DK414,3,0)</f>
        <v>7.62</v>
      </c>
      <c r="DC437" s="2292">
        <f>VLOOKUP(CZ437,CZ388:DK414,4,0)</f>
        <v>12.69</v>
      </c>
      <c r="DD437" s="2292">
        <f>VLOOKUP(CZ437,CZ388:DK414,5,0)</f>
        <v>20.149999999999999</v>
      </c>
      <c r="DE437" s="2292">
        <f>VLOOKUP(CZ437,CZ388:DK414,6,0)</f>
        <v>24.54</v>
      </c>
      <c r="DF437" s="2292">
        <f>VLOOKUP(CZ437,CZ388:DK414,7,0)</f>
        <v>37.85</v>
      </c>
      <c r="DG437" s="2292">
        <f>VLOOKUP(CZ437,CZ388:DK414,8,0)</f>
        <v>54.77</v>
      </c>
      <c r="DH437" s="2292">
        <f>VLOOKUP(CZ437,CZ388:DK414,9,0)</f>
        <v>77.31</v>
      </c>
      <c r="DI437" s="2292">
        <f>VLOOKUP(CZ437,CZ388:DK414,10,0)</f>
        <v>118.46</v>
      </c>
      <c r="DJ437" s="2292">
        <f>VLOOKUP(CZ437,CZ388:DK414,11,0)</f>
        <v>167.15</v>
      </c>
      <c r="DK437" s="2292">
        <f>VLOOKUP(CZ437,CZ388:DK414,12,0)</f>
        <v>0</v>
      </c>
      <c r="DL437" s="2275"/>
      <c r="DM437" s="2275"/>
      <c r="DN437" s="2275"/>
      <c r="DO437" s="53"/>
      <c r="DP437" s="53"/>
      <c r="DS437" s="277"/>
      <c r="DW437" s="1"/>
      <c r="DX437" s="2292">
        <f>DY416</f>
        <v>43.9</v>
      </c>
      <c r="DY437" s="2292">
        <f>VLOOKUP(DX437,DX388:EI414,2,0)</f>
        <v>0</v>
      </c>
      <c r="DZ437" s="2292">
        <f>VLOOKUP(DX437,DX388:EI414,3,0)</f>
        <v>0</v>
      </c>
      <c r="EA437" s="2292">
        <f>VLOOKUP(DX437,DX388:EI414,4,0)</f>
        <v>0</v>
      </c>
      <c r="EB437" s="2292">
        <f>VLOOKUP(DX437,DX388:EI414,5,0)</f>
        <v>0</v>
      </c>
      <c r="EC437" s="2292">
        <f>VLOOKUP(DX437,DX388:EI414,6,0)</f>
        <v>0</v>
      </c>
      <c r="ED437" s="2292">
        <f>VLOOKUP(DX437,DX388:EI414,7,0)</f>
        <v>0</v>
      </c>
      <c r="EE437" s="2292">
        <f>VLOOKUP(DX437,DX388:EI414,8,0)</f>
        <v>0</v>
      </c>
      <c r="EF437" s="2292">
        <f>VLOOKUP(DX437,DX388:EI414,9,0)</f>
        <v>0</v>
      </c>
      <c r="EG437" s="2292">
        <f>VLOOKUP(DX437,DX388:EI414,10,0)</f>
        <v>0</v>
      </c>
      <c r="EH437" s="2292">
        <f>VLOOKUP(DX437,DX388:EI414,11,0)</f>
        <v>0</v>
      </c>
      <c r="EI437" s="2292">
        <f>VLOOKUP(DX437,DX388:EI414,12,0)</f>
        <v>0</v>
      </c>
      <c r="EJ437" s="2275"/>
      <c r="EK437" s="2275"/>
      <c r="EL437" s="2292">
        <f>EM416</f>
        <v>43.9</v>
      </c>
      <c r="EM437" s="2292">
        <f>VLOOKUP(EL437,EL388:EW414,2,0)</f>
        <v>9.8800000000000008</v>
      </c>
      <c r="EN437" s="2292">
        <f>VLOOKUP(EL437,EL388:EW414,3,0)</f>
        <v>19.329999999999998</v>
      </c>
      <c r="EO437" s="2292">
        <f>VLOOKUP(EL437,EL388:EW414,4,0)</f>
        <v>32.82</v>
      </c>
      <c r="EP437" s="2292">
        <f>VLOOKUP(EL437,EL388:EW414,5,0)</f>
        <v>53.31</v>
      </c>
      <c r="EQ437" s="2292">
        <f>VLOOKUP(EL437,EL388:EW414,6,0)</f>
        <v>71.099999999999994</v>
      </c>
      <c r="ER437" s="2292">
        <f>VLOOKUP(EL437,EL388:EW414,7,0)</f>
        <v>105.15</v>
      </c>
      <c r="ES437" s="2292">
        <f>VLOOKUP(EL437,EL388:EW414,8,0)</f>
        <v>154.29</v>
      </c>
      <c r="ET437" s="2292">
        <f>VLOOKUP(EL437,EL388:EW414,9,0)</f>
        <v>209.26</v>
      </c>
      <c r="EU437" s="2292">
        <f>VLOOKUP(EL437,EL388:EW414,10,0)</f>
        <v>327.55</v>
      </c>
      <c r="EV437" s="2292">
        <f>VLOOKUP(EL437,EL388:EW414,11,0)</f>
        <v>485.34</v>
      </c>
      <c r="EW437" s="2292">
        <f>VLOOKUP(EL437,EL388:EW414,12,0)</f>
        <v>0</v>
      </c>
      <c r="EX437" s="2275"/>
      <c r="EY437" s="2275"/>
      <c r="EZ437" s="2292">
        <f>FA416</f>
        <v>43.9</v>
      </c>
      <c r="FA437" s="2292">
        <f>VLOOKUP(EZ437,EZ388:FK414,2,0)</f>
        <v>8.1999999999999993</v>
      </c>
      <c r="FB437" s="2292">
        <f>VLOOKUP(EZ437,EZ388:FK414,3,0)</f>
        <v>15.33</v>
      </c>
      <c r="FC437" s="2292">
        <f>VLOOKUP(EZ437,EZ388:FK414,4,0)</f>
        <v>25.8</v>
      </c>
      <c r="FD437" s="2292">
        <f>VLOOKUP(EZ437,EZ388:FK414,5,0)</f>
        <v>41.73</v>
      </c>
      <c r="FE437" s="2292">
        <f>VLOOKUP(EZ437,EZ388:FK414,6,0)</f>
        <v>53.07</v>
      </c>
      <c r="FF437" s="2292">
        <f>VLOOKUP(EZ437,EZ388:FK414,7,0)</f>
        <v>76.47</v>
      </c>
      <c r="FG437" s="2292">
        <f>VLOOKUP(EZ437,EZ388:FK414,8,0)</f>
        <v>111.87</v>
      </c>
      <c r="FH437" s="2292">
        <f>VLOOKUP(EZ437,EZ388:FK414,9,0)</f>
        <v>156.53</v>
      </c>
      <c r="FI437" s="2292">
        <f>VLOOKUP(EZ437,EZ388:FK414,10,0)</f>
        <v>239.07</v>
      </c>
      <c r="FJ437" s="2292">
        <f>VLOOKUP(EZ437,EZ388:FK414,11,0)</f>
        <v>354.6</v>
      </c>
      <c r="FK437" s="2292">
        <f>VLOOKUP(EZ437,EZ388:FK414,12,0)</f>
        <v>0</v>
      </c>
      <c r="FL437" s="2275"/>
      <c r="FM437" s="2275"/>
      <c r="FN437" s="2292">
        <f>FO416</f>
        <v>43.9</v>
      </c>
      <c r="FO437" s="2292">
        <f>VLOOKUP(FN437,FN388:FY414,2,0)</f>
        <v>6.77</v>
      </c>
      <c r="FP437" s="2292">
        <f>VLOOKUP(FN437,FN388:FY414,3,0)</f>
        <v>11.69</v>
      </c>
      <c r="FQ437" s="2292">
        <f>VLOOKUP(FN437,FN388:FY414,4,0)</f>
        <v>19.62</v>
      </c>
      <c r="FR437" s="2292">
        <f>VLOOKUP(FN437,FN388:FY414,5,0)</f>
        <v>31.77</v>
      </c>
      <c r="FS437" s="2292">
        <f>VLOOKUP(FN437,FN388:FY414,6,0)</f>
        <v>40.15</v>
      </c>
      <c r="FT437" s="2292">
        <f>VLOOKUP(FN437,FN388:FY414,7,0)</f>
        <v>58</v>
      </c>
      <c r="FU437" s="2292">
        <f>VLOOKUP(FN437,FN388:FY414,8,0)</f>
        <v>85.15</v>
      </c>
      <c r="FV437" s="2292">
        <f>VLOOKUP(FN437,FN388:FY414,9,0)</f>
        <v>119.08</v>
      </c>
      <c r="FW437" s="2292">
        <f>VLOOKUP(FN437,FN388:FY414,10,0)</f>
        <v>181.92</v>
      </c>
      <c r="FX437" s="2292">
        <f>VLOOKUP(FN437,FN388:FY414,11,0)</f>
        <v>269.69</v>
      </c>
      <c r="FY437" s="2292">
        <f>VLOOKUP(FN437,FN388:FY414,12,0)</f>
        <v>0</v>
      </c>
      <c r="FZ437" s="2275"/>
      <c r="GA437" s="2275"/>
      <c r="GB437" s="2276"/>
      <c r="GC437" s="2276"/>
      <c r="GD437" s="2250"/>
      <c r="GE437" s="2275"/>
      <c r="GF437" s="2292">
        <f>GG416</f>
        <v>48.8</v>
      </c>
      <c r="GG437" s="2292">
        <f>VLOOKUP(GF437,GF388:GQ414,2,0)</f>
        <v>0</v>
      </c>
      <c r="GH437" s="2292">
        <f>VLOOKUP(GF437,GF388:GQ414,3,0)</f>
        <v>0</v>
      </c>
      <c r="GI437" s="2292">
        <f>VLOOKUP(GF437,GF388:GQ414,4,0)</f>
        <v>0</v>
      </c>
      <c r="GJ437" s="2292">
        <f>VLOOKUP(GF437,GF388:GQ414,5,0)</f>
        <v>0</v>
      </c>
      <c r="GK437" s="2292">
        <f>VLOOKUP(GF437,GF388:GQ414,6,0)</f>
        <v>0</v>
      </c>
      <c r="GL437" s="2292">
        <f>VLOOKUP(GF437,GF388:GQ414,7,0)</f>
        <v>0</v>
      </c>
      <c r="GM437" s="2292">
        <f>VLOOKUP(GF437,GF388:GQ414,8,0)</f>
        <v>0</v>
      </c>
      <c r="GN437" s="2292">
        <f>VLOOKUP(GF437,GF388:GQ414,9,0)</f>
        <v>0</v>
      </c>
      <c r="GO437" s="2292">
        <f>VLOOKUP(GF437,GF388:GQ414,10,0)</f>
        <v>0</v>
      </c>
      <c r="GP437" s="2292">
        <f>VLOOKUP(GF437,GF388:GQ414,11,0)</f>
        <v>0</v>
      </c>
      <c r="GQ437" s="2292">
        <f>VLOOKUP(GF437,GF388:GQ414,12,0)</f>
        <v>0</v>
      </c>
      <c r="GR437" s="2275"/>
      <c r="GS437" s="2275"/>
      <c r="GT437" s="2292">
        <f>GU416</f>
        <v>48.8</v>
      </c>
      <c r="GU437" s="2292">
        <f>VLOOKUP(GT437,GT388:HE414,2,0)</f>
        <v>9.08</v>
      </c>
      <c r="GV437" s="2292">
        <f>VLOOKUP(GT437,GT388:HE414,3,0)</f>
        <v>17.79</v>
      </c>
      <c r="GW437" s="2292">
        <f>VLOOKUP(GT437,GT388:HE414,4,0)</f>
        <v>30.18</v>
      </c>
      <c r="GX437" s="2292">
        <f>VLOOKUP(GT437,GT388:HE414,5,0)</f>
        <v>48.77</v>
      </c>
      <c r="GY437" s="2292">
        <f>VLOOKUP(GT437,GT388:HE414,6,0)</f>
        <v>64.72</v>
      </c>
      <c r="GZ437" s="2292">
        <f>VLOOKUP(GT437,GT388:HE414,7,0)</f>
        <v>97.3</v>
      </c>
      <c r="HA437" s="2292">
        <f>VLOOKUP(GT437,GT388:HE414,8,0)</f>
        <v>141.84</v>
      </c>
      <c r="HB437" s="2292">
        <f>VLOOKUP(GT437,GT388:HE414,9,0)</f>
        <v>183.13</v>
      </c>
      <c r="HC437" s="2292">
        <f>VLOOKUP(GT437,GT388:HE414,10,0)</f>
        <v>301.52999999999997</v>
      </c>
      <c r="HD437" s="2292">
        <f>VLOOKUP(GT437,GT388:HE414,11,0)</f>
        <v>447.79</v>
      </c>
      <c r="HE437" s="2292">
        <f>VLOOKUP(GT437,GT388:HE414,12,0)</f>
        <v>0</v>
      </c>
      <c r="HF437" s="2275"/>
      <c r="HG437" s="2275"/>
      <c r="HH437" s="2292">
        <f>HI416</f>
        <v>48.8</v>
      </c>
      <c r="HI437" s="2292">
        <f>VLOOKUP(HH437,HH388:HS414,2,0)</f>
        <v>7.53</v>
      </c>
      <c r="HJ437" s="2292">
        <f>VLOOKUP(HH437,HH388:HS414,3,0)</f>
        <v>14.67</v>
      </c>
      <c r="HK437" s="2292">
        <f>VLOOKUP(HH437,HH388:HS414,4,0)</f>
        <v>23.53</v>
      </c>
      <c r="HL437" s="2292">
        <f>VLOOKUP(HH437,HH388:HS414,5,0)</f>
        <v>37.67</v>
      </c>
      <c r="HM437" s="2292">
        <f>VLOOKUP(HH437,HH388:HS414,6,0)</f>
        <v>47.13</v>
      </c>
      <c r="HN437" s="2292">
        <f>VLOOKUP(HH437,HH388:HS414,7,0)</f>
        <v>70.33</v>
      </c>
      <c r="HO437" s="2292">
        <f>VLOOKUP(HH437,HH388:HS414,8,0)</f>
        <v>102.27</v>
      </c>
      <c r="HP437" s="2292">
        <f>VLOOKUP(HH437,HH388:HS414,9,0)</f>
        <v>141.07</v>
      </c>
      <c r="HQ437" s="2292">
        <f>VLOOKUP(HH437,HH388:HS414,10,0)</f>
        <v>219.53</v>
      </c>
      <c r="HR437" s="2292">
        <f>VLOOKUP(HH437,HH388:HS414,11,0)</f>
        <v>323.33</v>
      </c>
      <c r="HS437" s="2292">
        <f>VLOOKUP(HH437,HH388:HS414,12,0)</f>
        <v>0</v>
      </c>
      <c r="HT437" s="2275"/>
      <c r="HU437" s="2275"/>
      <c r="HV437" s="2292">
        <f>HW416</f>
        <v>48.8</v>
      </c>
      <c r="HW437" s="2292">
        <f>VLOOKUP(HV437,HV388:IG414,2,0)</f>
        <v>6</v>
      </c>
      <c r="HX437" s="2292">
        <f>VLOOKUP(HV437,HV388:IG414,3,0)</f>
        <v>11.15</v>
      </c>
      <c r="HY437" s="2292">
        <f>VLOOKUP(HV437,HV388:IG414,4,0)</f>
        <v>17.920000000000002</v>
      </c>
      <c r="HZ437" s="2292">
        <f>VLOOKUP(HV437,HV388:IG414,5,0)</f>
        <v>28.62</v>
      </c>
      <c r="IA437" s="2292">
        <f>VLOOKUP(HV437,HV388:IG414,6,0)</f>
        <v>35.69</v>
      </c>
      <c r="IB437" s="2292">
        <f>VLOOKUP(HV437,HV388:IG414,7,0)</f>
        <v>53.54</v>
      </c>
      <c r="IC437" s="2292">
        <f>VLOOKUP(HV437,HV388:IG414,8,0)</f>
        <v>77.69</v>
      </c>
      <c r="ID437" s="2292">
        <f>VLOOKUP(HV437,HV388:IG414,9,0)</f>
        <v>107.31</v>
      </c>
      <c r="IE437" s="2292">
        <f>VLOOKUP(HV437,HV388:IG414,10,0)</f>
        <v>167.23</v>
      </c>
      <c r="IF437" s="2292">
        <f>VLOOKUP(HV437,HV388:IG414,11,0)</f>
        <v>246.23</v>
      </c>
      <c r="IG437" s="2292">
        <f>VLOOKUP(HV437,HV388:IG414,12,0)</f>
        <v>0</v>
      </c>
      <c r="IH437" s="2275"/>
      <c r="II437" s="2275"/>
      <c r="IJ437" s="2275"/>
      <c r="IK437" s="53"/>
      <c r="IL437" s="53"/>
      <c r="IN437" s="277"/>
      <c r="IO437" s="277"/>
    </row>
    <row r="438" spans="2:249" ht="21.95" customHeight="1">
      <c r="B438" s="2275"/>
      <c r="C438" s="2275"/>
      <c r="D438" s="2275"/>
      <c r="E438" s="2275"/>
      <c r="F438" s="2275"/>
      <c r="G438" s="2275"/>
      <c r="H438" s="2275"/>
      <c r="I438" s="2275"/>
      <c r="J438" s="2275"/>
      <c r="K438" s="2275"/>
      <c r="L438" s="2275"/>
      <c r="M438" s="2275"/>
      <c r="N438" s="2275"/>
      <c r="O438" s="2275"/>
      <c r="P438" s="2275"/>
      <c r="Q438" s="2275"/>
      <c r="R438" s="2275"/>
      <c r="S438" s="2275"/>
      <c r="T438" s="2275"/>
      <c r="U438" s="2275"/>
      <c r="V438" s="2275"/>
      <c r="W438" s="2275"/>
      <c r="X438" s="2275"/>
      <c r="Y438" s="2275"/>
      <c r="Z438" s="2275"/>
      <c r="AA438" s="2275"/>
      <c r="AB438" s="2275"/>
      <c r="AC438" s="2275"/>
      <c r="AD438" s="2275"/>
      <c r="AE438" s="2275"/>
      <c r="AF438" s="2275"/>
      <c r="AG438" s="2275"/>
      <c r="AH438" s="2275"/>
      <c r="AI438" s="2275"/>
      <c r="AJ438" s="2275"/>
      <c r="AK438" s="2275"/>
      <c r="AL438" s="2275"/>
      <c r="AM438" s="2275"/>
      <c r="AN438" s="2275"/>
      <c r="AO438" s="2275"/>
      <c r="AP438" s="2275"/>
      <c r="AQ438" s="2275"/>
      <c r="AR438" s="2275"/>
      <c r="AS438" s="2275"/>
      <c r="AT438" s="2275"/>
      <c r="AU438" s="2275"/>
      <c r="AV438" s="2275"/>
      <c r="AW438" s="2275"/>
      <c r="AX438" s="2275"/>
      <c r="AY438" s="2275"/>
      <c r="AZ438" s="2275"/>
      <c r="BA438" s="2275"/>
      <c r="BB438" s="2275"/>
      <c r="BC438" s="2275"/>
      <c r="BD438" s="2275"/>
      <c r="BE438" s="2275"/>
      <c r="BF438" s="2276"/>
      <c r="BG438" s="2276"/>
      <c r="BH438" s="2250"/>
      <c r="BI438" s="2275"/>
      <c r="BJ438" s="2275"/>
      <c r="BK438" s="2275"/>
      <c r="BL438" s="2275"/>
      <c r="BM438" s="2275"/>
      <c r="BN438" s="2275"/>
      <c r="BO438" s="2275"/>
      <c r="BP438" s="2275"/>
      <c r="BQ438" s="2275"/>
      <c r="BR438" s="2275"/>
      <c r="BS438" s="2275"/>
      <c r="BT438" s="2275"/>
      <c r="BU438" s="2275"/>
      <c r="BV438" s="2275"/>
      <c r="BW438" s="2275"/>
      <c r="BX438" s="2275"/>
      <c r="BY438" s="2275"/>
      <c r="BZ438" s="2275"/>
      <c r="CA438" s="2275"/>
      <c r="CB438" s="2275"/>
      <c r="CC438" s="2275"/>
      <c r="CD438" s="2275"/>
      <c r="CE438" s="2275"/>
      <c r="CF438" s="2275"/>
      <c r="CG438" s="2275"/>
      <c r="CH438" s="2275"/>
      <c r="CI438" s="2275"/>
      <c r="CJ438" s="2275"/>
      <c r="CK438" s="2275"/>
      <c r="CL438" s="2275"/>
      <c r="CM438" s="2275"/>
      <c r="CN438" s="2275"/>
      <c r="CO438" s="2275"/>
      <c r="CP438" s="2275"/>
      <c r="CQ438" s="2275"/>
      <c r="CR438" s="2275"/>
      <c r="CS438" s="2275"/>
      <c r="CT438" s="2275"/>
      <c r="CU438" s="2275"/>
      <c r="CV438" s="2275"/>
      <c r="CW438" s="2275"/>
      <c r="CX438" s="2275"/>
      <c r="CY438" s="2275"/>
      <c r="CZ438" s="2275"/>
      <c r="DA438" s="2275"/>
      <c r="DB438" s="2275"/>
      <c r="DC438" s="2275"/>
      <c r="DD438" s="2275"/>
      <c r="DE438" s="2275"/>
      <c r="DF438" s="2275"/>
      <c r="DG438" s="2275"/>
      <c r="DH438" s="2275"/>
      <c r="DI438" s="2275"/>
      <c r="DJ438" s="2275"/>
      <c r="DK438" s="2275"/>
      <c r="DL438" s="2275"/>
      <c r="DM438" s="2275"/>
      <c r="DN438" s="2275"/>
      <c r="DO438" s="53"/>
      <c r="DP438" s="53"/>
      <c r="DS438" s="277"/>
      <c r="DW438" s="1"/>
      <c r="DX438" s="2275"/>
      <c r="DY438" s="2275"/>
      <c r="DZ438" s="2275"/>
      <c r="EA438" s="2275"/>
      <c r="EB438" s="2275"/>
      <c r="EC438" s="2275"/>
      <c r="ED438" s="2275"/>
      <c r="EE438" s="2275"/>
      <c r="EF438" s="2275"/>
      <c r="EG438" s="2275"/>
      <c r="EH438" s="2275"/>
      <c r="EI438" s="2275"/>
      <c r="EJ438" s="2275"/>
      <c r="EK438" s="2275"/>
      <c r="EL438" s="2275"/>
      <c r="EM438" s="2275"/>
      <c r="EN438" s="2275"/>
      <c r="EO438" s="2275"/>
      <c r="EP438" s="2275"/>
      <c r="EQ438" s="2275"/>
      <c r="ER438" s="2275"/>
      <c r="ES438" s="2275"/>
      <c r="ET438" s="2275"/>
      <c r="EU438" s="2275"/>
      <c r="EV438" s="2275"/>
      <c r="EW438" s="2275"/>
      <c r="EX438" s="2275"/>
      <c r="EY438" s="2275"/>
      <c r="EZ438" s="2275"/>
      <c r="FA438" s="2275"/>
      <c r="FB438" s="2275"/>
      <c r="FC438" s="2275"/>
      <c r="FD438" s="2275"/>
      <c r="FE438" s="2275"/>
      <c r="FF438" s="2275"/>
      <c r="FG438" s="2275"/>
      <c r="FH438" s="2275"/>
      <c r="FI438" s="2275"/>
      <c r="FJ438" s="2275"/>
      <c r="FK438" s="2275"/>
      <c r="FL438" s="2275"/>
      <c r="FM438" s="2275"/>
      <c r="FN438" s="2275"/>
      <c r="FO438" s="2275"/>
      <c r="FP438" s="2275"/>
      <c r="FQ438" s="2275"/>
      <c r="FR438" s="2275"/>
      <c r="FS438" s="2275"/>
      <c r="FT438" s="2275"/>
      <c r="FU438" s="2275"/>
      <c r="FV438" s="2275"/>
      <c r="FW438" s="2275"/>
      <c r="FX438" s="2275"/>
      <c r="FY438" s="2275"/>
      <c r="FZ438" s="2275"/>
      <c r="GA438" s="2275"/>
      <c r="GB438" s="2276"/>
      <c r="GC438" s="2276"/>
      <c r="GD438" s="2250"/>
      <c r="GE438" s="2275"/>
      <c r="GF438" s="2275"/>
      <c r="GG438" s="2275"/>
      <c r="GH438" s="2275"/>
      <c r="GI438" s="2275"/>
      <c r="GJ438" s="2275"/>
      <c r="GK438" s="2275"/>
      <c r="GL438" s="2275"/>
      <c r="GM438" s="2275"/>
      <c r="GN438" s="2275"/>
      <c r="GO438" s="2275"/>
      <c r="GP438" s="2275"/>
      <c r="GQ438" s="2275"/>
      <c r="GR438" s="2275"/>
      <c r="GS438" s="2275"/>
      <c r="GT438" s="2275"/>
      <c r="GU438" s="2275"/>
      <c r="GV438" s="2275"/>
      <c r="GW438" s="2275"/>
      <c r="GX438" s="2275"/>
      <c r="GY438" s="2275"/>
      <c r="GZ438" s="2275"/>
      <c r="HA438" s="2275"/>
      <c r="HB438" s="2275"/>
      <c r="HC438" s="2275"/>
      <c r="HD438" s="2275"/>
      <c r="HE438" s="2275"/>
      <c r="HF438" s="2275"/>
      <c r="HG438" s="2275"/>
      <c r="HH438" s="2275"/>
      <c r="HI438" s="2275"/>
      <c r="HJ438" s="2275"/>
      <c r="HK438" s="2275"/>
      <c r="HL438" s="2275"/>
      <c r="HM438" s="2275"/>
      <c r="HN438" s="2275"/>
      <c r="HO438" s="2275"/>
      <c r="HP438" s="2275"/>
      <c r="HQ438" s="2275"/>
      <c r="HR438" s="2275"/>
      <c r="HS438" s="2275"/>
      <c r="HT438" s="2275"/>
      <c r="HU438" s="2275"/>
      <c r="HV438" s="2275"/>
      <c r="HW438" s="2275"/>
      <c r="HX438" s="2275"/>
      <c r="HY438" s="2275"/>
      <c r="HZ438" s="2275"/>
      <c r="IA438" s="2275"/>
      <c r="IB438" s="2275"/>
      <c r="IC438" s="2275"/>
      <c r="ID438" s="2275"/>
      <c r="IE438" s="2275"/>
      <c r="IF438" s="2275"/>
      <c r="IG438" s="2275"/>
      <c r="IH438" s="2275"/>
      <c r="II438" s="2275"/>
      <c r="IJ438" s="2275"/>
      <c r="IK438" s="53"/>
      <c r="IL438" s="53"/>
      <c r="IN438" s="277"/>
      <c r="IO438" s="277"/>
    </row>
    <row r="439" spans="2:249" ht="21.95" customHeight="1">
      <c r="B439" s="2292">
        <v>0</v>
      </c>
      <c r="C439" s="2292">
        <f t="shared" ref="C439:M439" si="237">C437</f>
        <v>0</v>
      </c>
      <c r="D439" s="2292">
        <f t="shared" si="237"/>
        <v>0</v>
      </c>
      <c r="E439" s="2292">
        <f t="shared" si="237"/>
        <v>0</v>
      </c>
      <c r="F439" s="2292">
        <f t="shared" si="237"/>
        <v>0</v>
      </c>
      <c r="G439" s="2292">
        <f t="shared" si="237"/>
        <v>0</v>
      </c>
      <c r="H439" s="2292">
        <f t="shared" si="237"/>
        <v>0</v>
      </c>
      <c r="I439" s="2292">
        <f t="shared" si="237"/>
        <v>0</v>
      </c>
      <c r="J439" s="2292">
        <f t="shared" si="237"/>
        <v>0</v>
      </c>
      <c r="K439" s="2292">
        <f t="shared" si="237"/>
        <v>0</v>
      </c>
      <c r="L439" s="2292">
        <f t="shared" si="237"/>
        <v>0</v>
      </c>
      <c r="M439" s="2292">
        <f t="shared" si="237"/>
        <v>0</v>
      </c>
      <c r="N439" s="2275"/>
      <c r="O439" s="2275"/>
      <c r="P439" s="2292">
        <v>0</v>
      </c>
      <c r="Q439" s="2292">
        <f t="shared" ref="Q439:AA439" si="238">Q437</f>
        <v>6.81</v>
      </c>
      <c r="R439" s="2292">
        <f t="shared" si="238"/>
        <v>13.25</v>
      </c>
      <c r="S439" s="2292">
        <f t="shared" si="238"/>
        <v>22.39</v>
      </c>
      <c r="T439" s="2292">
        <f t="shared" si="238"/>
        <v>36.32</v>
      </c>
      <c r="U439" s="2292">
        <f t="shared" si="238"/>
        <v>49.69</v>
      </c>
      <c r="V439" s="2292">
        <f t="shared" si="238"/>
        <v>73.010000000000005</v>
      </c>
      <c r="W439" s="2292">
        <f t="shared" si="238"/>
        <v>105.28</v>
      </c>
      <c r="X439" s="2292">
        <f t="shared" si="238"/>
        <v>143.93</v>
      </c>
      <c r="Y439" s="2292">
        <f t="shared" si="238"/>
        <v>223.44</v>
      </c>
      <c r="Z439" s="2292">
        <f t="shared" si="238"/>
        <v>322.88</v>
      </c>
      <c r="AA439" s="2292">
        <f t="shared" si="238"/>
        <v>0</v>
      </c>
      <c r="AB439" s="2275"/>
      <c r="AC439" s="2275"/>
      <c r="AD439" s="2292">
        <v>0</v>
      </c>
      <c r="AE439" s="2292">
        <f t="shared" ref="AE439:AO439" si="239">AE437</f>
        <v>5.67</v>
      </c>
      <c r="AF439" s="2292">
        <f t="shared" si="239"/>
        <v>10.93</v>
      </c>
      <c r="AG439" s="2292">
        <f t="shared" si="239"/>
        <v>18.670000000000002</v>
      </c>
      <c r="AH439" s="2292">
        <f t="shared" si="239"/>
        <v>28.07</v>
      </c>
      <c r="AI439" s="2292">
        <f t="shared" si="239"/>
        <v>35.869999999999997</v>
      </c>
      <c r="AJ439" s="2292">
        <f t="shared" si="239"/>
        <v>52.93</v>
      </c>
      <c r="AK439" s="2292">
        <f t="shared" si="239"/>
        <v>76.27</v>
      </c>
      <c r="AL439" s="2292">
        <f t="shared" si="239"/>
        <v>111.27</v>
      </c>
      <c r="AM439" s="2292">
        <f t="shared" si="239"/>
        <v>169</v>
      </c>
      <c r="AN439" s="2292">
        <f t="shared" si="239"/>
        <v>236.53</v>
      </c>
      <c r="AO439" s="2292">
        <f t="shared" si="239"/>
        <v>0</v>
      </c>
      <c r="AP439" s="2275"/>
      <c r="AQ439" s="2275"/>
      <c r="AR439" s="2292">
        <v>0</v>
      </c>
      <c r="AS439" s="2292">
        <f t="shared" ref="AS439:BC439" si="240">AS437</f>
        <v>4.38</v>
      </c>
      <c r="AT439" s="2292">
        <f t="shared" si="240"/>
        <v>8.23</v>
      </c>
      <c r="AU439" s="2292">
        <f t="shared" si="240"/>
        <v>13.38</v>
      </c>
      <c r="AV439" s="2292">
        <f t="shared" si="240"/>
        <v>21.08</v>
      </c>
      <c r="AW439" s="2292">
        <f t="shared" si="240"/>
        <v>27.15</v>
      </c>
      <c r="AX439" s="2292">
        <f t="shared" si="240"/>
        <v>39.770000000000003</v>
      </c>
      <c r="AY439" s="2292">
        <f t="shared" si="240"/>
        <v>57.23</v>
      </c>
      <c r="AZ439" s="2292">
        <f t="shared" si="240"/>
        <v>84.08</v>
      </c>
      <c r="BA439" s="2292">
        <f t="shared" si="240"/>
        <v>126.77</v>
      </c>
      <c r="BB439" s="2292">
        <f t="shared" si="240"/>
        <v>177.38</v>
      </c>
      <c r="BC439" s="2292">
        <f t="shared" si="240"/>
        <v>0</v>
      </c>
      <c r="BD439" s="2275"/>
      <c r="BE439" s="2275"/>
      <c r="BF439" s="2276"/>
      <c r="BG439" s="2276"/>
      <c r="BH439" s="2250"/>
      <c r="BI439" s="2275"/>
      <c r="BJ439" s="2292">
        <v>0</v>
      </c>
      <c r="BK439" s="2292">
        <f t="shared" ref="BK439:BU439" si="241">BK437</f>
        <v>0</v>
      </c>
      <c r="BL439" s="2292">
        <f t="shared" si="241"/>
        <v>0</v>
      </c>
      <c r="BM439" s="2292">
        <f t="shared" si="241"/>
        <v>0</v>
      </c>
      <c r="BN439" s="2292">
        <f t="shared" si="241"/>
        <v>0</v>
      </c>
      <c r="BO439" s="2292">
        <f t="shared" si="241"/>
        <v>0</v>
      </c>
      <c r="BP439" s="2292">
        <f t="shared" si="241"/>
        <v>0</v>
      </c>
      <c r="BQ439" s="2292">
        <f t="shared" si="241"/>
        <v>0</v>
      </c>
      <c r="BR439" s="2292">
        <f t="shared" si="241"/>
        <v>0</v>
      </c>
      <c r="BS439" s="2292">
        <f t="shared" si="241"/>
        <v>0</v>
      </c>
      <c r="BT439" s="2292">
        <f t="shared" si="241"/>
        <v>0</v>
      </c>
      <c r="BU439" s="2292">
        <f t="shared" si="241"/>
        <v>0</v>
      </c>
      <c r="BV439" s="2275"/>
      <c r="BW439" s="2275"/>
      <c r="BX439" s="2292">
        <v>0</v>
      </c>
      <c r="BY439" s="2292">
        <f t="shared" ref="BY439:CI439" si="242">BY437</f>
        <v>6.26</v>
      </c>
      <c r="BZ439" s="2292">
        <f t="shared" si="242"/>
        <v>12.39</v>
      </c>
      <c r="CA439" s="2292">
        <f t="shared" si="242"/>
        <v>21.1</v>
      </c>
      <c r="CB439" s="2292">
        <f t="shared" si="242"/>
        <v>33.5</v>
      </c>
      <c r="CC439" s="2292">
        <f t="shared" si="242"/>
        <v>44.91</v>
      </c>
      <c r="CD439" s="2292">
        <f t="shared" si="242"/>
        <v>69.39</v>
      </c>
      <c r="CE439" s="2292">
        <f t="shared" si="242"/>
        <v>97.61</v>
      </c>
      <c r="CF439" s="2292">
        <f t="shared" si="242"/>
        <v>132.69999999999999</v>
      </c>
      <c r="CG439" s="2292">
        <f t="shared" si="242"/>
        <v>211.23</v>
      </c>
      <c r="CH439" s="2292">
        <f t="shared" si="242"/>
        <v>307.36</v>
      </c>
      <c r="CI439" s="2292">
        <f t="shared" si="242"/>
        <v>0</v>
      </c>
      <c r="CJ439" s="2275"/>
      <c r="CK439" s="2275"/>
      <c r="CL439" s="2292">
        <v>0</v>
      </c>
      <c r="CM439" s="2292">
        <f t="shared" ref="CM439:CW439" si="243">CM437</f>
        <v>5.2</v>
      </c>
      <c r="CN439" s="2292">
        <f t="shared" si="243"/>
        <v>10.130000000000001</v>
      </c>
      <c r="CO439" s="2292">
        <f t="shared" si="243"/>
        <v>16.93</v>
      </c>
      <c r="CP439" s="2292">
        <f t="shared" si="243"/>
        <v>26.93</v>
      </c>
      <c r="CQ439" s="2292">
        <f t="shared" si="243"/>
        <v>32.4</v>
      </c>
      <c r="CR439" s="2292">
        <f t="shared" si="243"/>
        <v>50.47</v>
      </c>
      <c r="CS439" s="2292">
        <f t="shared" si="243"/>
        <v>73.069999999999993</v>
      </c>
      <c r="CT439" s="2292">
        <f t="shared" si="243"/>
        <v>102.67</v>
      </c>
      <c r="CU439" s="2292">
        <f t="shared" si="243"/>
        <v>157.4</v>
      </c>
      <c r="CV439" s="2292">
        <f t="shared" si="243"/>
        <v>222.87</v>
      </c>
      <c r="CW439" s="2292">
        <f t="shared" si="243"/>
        <v>0</v>
      </c>
      <c r="CX439" s="2275"/>
      <c r="CY439" s="2275"/>
      <c r="CZ439" s="2292">
        <v>0</v>
      </c>
      <c r="DA439" s="2292">
        <f t="shared" ref="DA439:DK439" si="244">DA437</f>
        <v>4.08</v>
      </c>
      <c r="DB439" s="2292">
        <f t="shared" si="244"/>
        <v>7.62</v>
      </c>
      <c r="DC439" s="2292">
        <f t="shared" si="244"/>
        <v>12.69</v>
      </c>
      <c r="DD439" s="2292">
        <f t="shared" si="244"/>
        <v>20.149999999999999</v>
      </c>
      <c r="DE439" s="2292">
        <f t="shared" si="244"/>
        <v>24.54</v>
      </c>
      <c r="DF439" s="2292">
        <f t="shared" si="244"/>
        <v>37.85</v>
      </c>
      <c r="DG439" s="2292">
        <f t="shared" si="244"/>
        <v>54.77</v>
      </c>
      <c r="DH439" s="2292">
        <f t="shared" si="244"/>
        <v>77.31</v>
      </c>
      <c r="DI439" s="2292">
        <f t="shared" si="244"/>
        <v>118.46</v>
      </c>
      <c r="DJ439" s="2292">
        <f t="shared" si="244"/>
        <v>167.15</v>
      </c>
      <c r="DK439" s="2292">
        <f t="shared" si="244"/>
        <v>0</v>
      </c>
      <c r="DL439" s="2275"/>
      <c r="DM439" s="2275"/>
      <c r="DN439" s="2275"/>
      <c r="DO439" s="53"/>
      <c r="DP439" s="53"/>
      <c r="DS439" s="277"/>
      <c r="DW439" s="1"/>
      <c r="DX439" s="2292">
        <v>0</v>
      </c>
      <c r="DY439" s="2292">
        <f t="shared" ref="DY439:EI439" si="245">DY437</f>
        <v>0</v>
      </c>
      <c r="DZ439" s="2292">
        <f t="shared" si="245"/>
        <v>0</v>
      </c>
      <c r="EA439" s="2292">
        <f t="shared" si="245"/>
        <v>0</v>
      </c>
      <c r="EB439" s="2292">
        <f t="shared" si="245"/>
        <v>0</v>
      </c>
      <c r="EC439" s="2292">
        <f t="shared" si="245"/>
        <v>0</v>
      </c>
      <c r="ED439" s="2292">
        <f t="shared" si="245"/>
        <v>0</v>
      </c>
      <c r="EE439" s="2292">
        <f t="shared" si="245"/>
        <v>0</v>
      </c>
      <c r="EF439" s="2292">
        <f t="shared" si="245"/>
        <v>0</v>
      </c>
      <c r="EG439" s="2292">
        <f t="shared" si="245"/>
        <v>0</v>
      </c>
      <c r="EH439" s="2292">
        <f t="shared" si="245"/>
        <v>0</v>
      </c>
      <c r="EI439" s="2292">
        <f t="shared" si="245"/>
        <v>0</v>
      </c>
      <c r="EJ439" s="2275"/>
      <c r="EK439" s="2275"/>
      <c r="EL439" s="2292">
        <v>0</v>
      </c>
      <c r="EM439" s="2292">
        <f t="shared" ref="EM439:EW439" si="246">EM437</f>
        <v>9.8800000000000008</v>
      </c>
      <c r="EN439" s="2292">
        <f t="shared" si="246"/>
        <v>19.329999999999998</v>
      </c>
      <c r="EO439" s="2292">
        <f t="shared" si="246"/>
        <v>32.82</v>
      </c>
      <c r="EP439" s="2292">
        <f t="shared" si="246"/>
        <v>53.31</v>
      </c>
      <c r="EQ439" s="2292">
        <f t="shared" si="246"/>
        <v>71.099999999999994</v>
      </c>
      <c r="ER439" s="2292">
        <f t="shared" si="246"/>
        <v>105.15</v>
      </c>
      <c r="ES439" s="2292">
        <f t="shared" si="246"/>
        <v>154.29</v>
      </c>
      <c r="ET439" s="2292">
        <f t="shared" si="246"/>
        <v>209.26</v>
      </c>
      <c r="EU439" s="2292">
        <f t="shared" si="246"/>
        <v>327.55</v>
      </c>
      <c r="EV439" s="2292">
        <f t="shared" si="246"/>
        <v>485.34</v>
      </c>
      <c r="EW439" s="2292">
        <f t="shared" si="246"/>
        <v>0</v>
      </c>
      <c r="EX439" s="2275"/>
      <c r="EY439" s="2275"/>
      <c r="EZ439" s="2292">
        <v>0</v>
      </c>
      <c r="FA439" s="2292">
        <f t="shared" ref="FA439:FK439" si="247">FA437</f>
        <v>8.1999999999999993</v>
      </c>
      <c r="FB439" s="2292">
        <f t="shared" si="247"/>
        <v>15.33</v>
      </c>
      <c r="FC439" s="2292">
        <f t="shared" si="247"/>
        <v>25.8</v>
      </c>
      <c r="FD439" s="2292">
        <f t="shared" si="247"/>
        <v>41.73</v>
      </c>
      <c r="FE439" s="2292">
        <f t="shared" si="247"/>
        <v>53.07</v>
      </c>
      <c r="FF439" s="2292">
        <f t="shared" si="247"/>
        <v>76.47</v>
      </c>
      <c r="FG439" s="2292">
        <f t="shared" si="247"/>
        <v>111.87</v>
      </c>
      <c r="FH439" s="2292">
        <f t="shared" si="247"/>
        <v>156.53</v>
      </c>
      <c r="FI439" s="2292">
        <f t="shared" si="247"/>
        <v>239.07</v>
      </c>
      <c r="FJ439" s="2292">
        <f t="shared" si="247"/>
        <v>354.6</v>
      </c>
      <c r="FK439" s="2292">
        <f t="shared" si="247"/>
        <v>0</v>
      </c>
      <c r="FL439" s="2275"/>
      <c r="FM439" s="2275"/>
      <c r="FN439" s="2292">
        <v>0</v>
      </c>
      <c r="FO439" s="2292">
        <f t="shared" ref="FO439:FY439" si="248">FO437</f>
        <v>6.77</v>
      </c>
      <c r="FP439" s="2292">
        <f t="shared" si="248"/>
        <v>11.69</v>
      </c>
      <c r="FQ439" s="2292">
        <f t="shared" si="248"/>
        <v>19.62</v>
      </c>
      <c r="FR439" s="2292">
        <f t="shared" si="248"/>
        <v>31.77</v>
      </c>
      <c r="FS439" s="2292">
        <f t="shared" si="248"/>
        <v>40.15</v>
      </c>
      <c r="FT439" s="2292">
        <f t="shared" si="248"/>
        <v>58</v>
      </c>
      <c r="FU439" s="2292">
        <f t="shared" si="248"/>
        <v>85.15</v>
      </c>
      <c r="FV439" s="2292">
        <f t="shared" si="248"/>
        <v>119.08</v>
      </c>
      <c r="FW439" s="2292">
        <f t="shared" si="248"/>
        <v>181.92</v>
      </c>
      <c r="FX439" s="2292">
        <f t="shared" si="248"/>
        <v>269.69</v>
      </c>
      <c r="FY439" s="2292">
        <f t="shared" si="248"/>
        <v>0</v>
      </c>
      <c r="FZ439" s="2275"/>
      <c r="GA439" s="2275"/>
      <c r="GB439" s="2276"/>
      <c r="GC439" s="2276"/>
      <c r="GD439" s="2250"/>
      <c r="GE439" s="2275"/>
      <c r="GF439" s="2292">
        <v>0</v>
      </c>
      <c r="GG439" s="2292">
        <f t="shared" ref="GG439:GQ439" si="249">GG437</f>
        <v>0</v>
      </c>
      <c r="GH439" s="2292">
        <f t="shared" si="249"/>
        <v>0</v>
      </c>
      <c r="GI439" s="2292">
        <f t="shared" si="249"/>
        <v>0</v>
      </c>
      <c r="GJ439" s="2292">
        <f t="shared" si="249"/>
        <v>0</v>
      </c>
      <c r="GK439" s="2292">
        <f t="shared" si="249"/>
        <v>0</v>
      </c>
      <c r="GL439" s="2292">
        <f t="shared" si="249"/>
        <v>0</v>
      </c>
      <c r="GM439" s="2292">
        <f t="shared" si="249"/>
        <v>0</v>
      </c>
      <c r="GN439" s="2292">
        <f t="shared" si="249"/>
        <v>0</v>
      </c>
      <c r="GO439" s="2292">
        <f t="shared" si="249"/>
        <v>0</v>
      </c>
      <c r="GP439" s="2292">
        <f t="shared" si="249"/>
        <v>0</v>
      </c>
      <c r="GQ439" s="2292">
        <f t="shared" si="249"/>
        <v>0</v>
      </c>
      <c r="GR439" s="2275"/>
      <c r="GS439" s="2275"/>
      <c r="GT439" s="2292">
        <v>0</v>
      </c>
      <c r="GU439" s="2292">
        <f t="shared" ref="GU439:HE439" si="250">GU437</f>
        <v>9.08</v>
      </c>
      <c r="GV439" s="2292">
        <f t="shared" si="250"/>
        <v>17.79</v>
      </c>
      <c r="GW439" s="2292">
        <f t="shared" si="250"/>
        <v>30.18</v>
      </c>
      <c r="GX439" s="2292">
        <f t="shared" si="250"/>
        <v>48.77</v>
      </c>
      <c r="GY439" s="2292">
        <f t="shared" si="250"/>
        <v>64.72</v>
      </c>
      <c r="GZ439" s="2292">
        <f t="shared" si="250"/>
        <v>97.3</v>
      </c>
      <c r="HA439" s="2292">
        <f t="shared" si="250"/>
        <v>141.84</v>
      </c>
      <c r="HB439" s="2292">
        <f t="shared" si="250"/>
        <v>183.13</v>
      </c>
      <c r="HC439" s="2292">
        <f t="shared" si="250"/>
        <v>301.52999999999997</v>
      </c>
      <c r="HD439" s="2292">
        <f t="shared" si="250"/>
        <v>447.79</v>
      </c>
      <c r="HE439" s="2292">
        <f t="shared" si="250"/>
        <v>0</v>
      </c>
      <c r="HF439" s="2275"/>
      <c r="HG439" s="2275"/>
      <c r="HH439" s="2292">
        <v>0</v>
      </c>
      <c r="HI439" s="2292">
        <f t="shared" ref="HI439:HS439" si="251">HI437</f>
        <v>7.53</v>
      </c>
      <c r="HJ439" s="2292">
        <f t="shared" si="251"/>
        <v>14.67</v>
      </c>
      <c r="HK439" s="2292">
        <f t="shared" si="251"/>
        <v>23.53</v>
      </c>
      <c r="HL439" s="2292">
        <f t="shared" si="251"/>
        <v>37.67</v>
      </c>
      <c r="HM439" s="2292">
        <f t="shared" si="251"/>
        <v>47.13</v>
      </c>
      <c r="HN439" s="2292">
        <f t="shared" si="251"/>
        <v>70.33</v>
      </c>
      <c r="HO439" s="2292">
        <f t="shared" si="251"/>
        <v>102.27</v>
      </c>
      <c r="HP439" s="2292">
        <f t="shared" si="251"/>
        <v>141.07</v>
      </c>
      <c r="HQ439" s="2292">
        <f t="shared" si="251"/>
        <v>219.53</v>
      </c>
      <c r="HR439" s="2292">
        <f t="shared" si="251"/>
        <v>323.33</v>
      </c>
      <c r="HS439" s="2292">
        <f t="shared" si="251"/>
        <v>0</v>
      </c>
      <c r="HT439" s="2275"/>
      <c r="HU439" s="2275"/>
      <c r="HV439" s="2292">
        <v>0</v>
      </c>
      <c r="HW439" s="2292">
        <f t="shared" ref="HW439:IG439" si="252">HW437</f>
        <v>6</v>
      </c>
      <c r="HX439" s="2292">
        <f t="shared" si="252"/>
        <v>11.15</v>
      </c>
      <c r="HY439" s="2292">
        <f t="shared" si="252"/>
        <v>17.920000000000002</v>
      </c>
      <c r="HZ439" s="2292">
        <f t="shared" si="252"/>
        <v>28.62</v>
      </c>
      <c r="IA439" s="2292">
        <f t="shared" si="252"/>
        <v>35.69</v>
      </c>
      <c r="IB439" s="2292">
        <f t="shared" si="252"/>
        <v>53.54</v>
      </c>
      <c r="IC439" s="2292">
        <f t="shared" si="252"/>
        <v>77.69</v>
      </c>
      <c r="ID439" s="2292">
        <f t="shared" si="252"/>
        <v>107.31</v>
      </c>
      <c r="IE439" s="2292">
        <f t="shared" si="252"/>
        <v>167.23</v>
      </c>
      <c r="IF439" s="2292">
        <f t="shared" si="252"/>
        <v>246.23</v>
      </c>
      <c r="IG439" s="2292">
        <f t="shared" si="252"/>
        <v>0</v>
      </c>
      <c r="IH439" s="2275"/>
      <c r="II439" s="2275"/>
      <c r="IJ439" s="2275"/>
      <c r="IK439" s="53"/>
      <c r="IL439" s="53"/>
      <c r="IN439" s="277"/>
      <c r="IO439" s="277"/>
    </row>
    <row r="440" spans="2:249" ht="21.95" customHeight="1">
      <c r="B440" s="2292">
        <f t="shared" ref="B440:L440" si="253">C439</f>
        <v>0</v>
      </c>
      <c r="C440" s="2292">
        <f t="shared" si="253"/>
        <v>0</v>
      </c>
      <c r="D440" s="2292">
        <f t="shared" si="253"/>
        <v>0</v>
      </c>
      <c r="E440" s="2292">
        <f t="shared" si="253"/>
        <v>0</v>
      </c>
      <c r="F440" s="2292">
        <f t="shared" si="253"/>
        <v>0</v>
      </c>
      <c r="G440" s="2292">
        <f t="shared" si="253"/>
        <v>0</v>
      </c>
      <c r="H440" s="2292">
        <f t="shared" si="253"/>
        <v>0</v>
      </c>
      <c r="I440" s="2292">
        <f t="shared" si="253"/>
        <v>0</v>
      </c>
      <c r="J440" s="2292">
        <f t="shared" si="253"/>
        <v>0</v>
      </c>
      <c r="K440" s="2292">
        <f t="shared" si="253"/>
        <v>0</v>
      </c>
      <c r="L440" s="2292">
        <f t="shared" si="253"/>
        <v>0</v>
      </c>
      <c r="M440" s="2292">
        <f>+L440</f>
        <v>0</v>
      </c>
      <c r="N440" s="2275"/>
      <c r="O440" s="2275"/>
      <c r="P440" s="2292">
        <f t="shared" ref="P440:Z440" si="254">Q439</f>
        <v>6.81</v>
      </c>
      <c r="Q440" s="2292">
        <f t="shared" si="254"/>
        <v>13.25</v>
      </c>
      <c r="R440" s="2292">
        <f t="shared" si="254"/>
        <v>22.39</v>
      </c>
      <c r="S440" s="2292">
        <f t="shared" si="254"/>
        <v>36.32</v>
      </c>
      <c r="T440" s="2292">
        <f t="shared" si="254"/>
        <v>49.69</v>
      </c>
      <c r="U440" s="2292">
        <f t="shared" si="254"/>
        <v>73.010000000000005</v>
      </c>
      <c r="V440" s="2292">
        <f t="shared" si="254"/>
        <v>105.28</v>
      </c>
      <c r="W440" s="2292">
        <f t="shared" si="254"/>
        <v>143.93</v>
      </c>
      <c r="X440" s="2292">
        <f t="shared" si="254"/>
        <v>223.44</v>
      </c>
      <c r="Y440" s="2292">
        <f t="shared" si="254"/>
        <v>322.88</v>
      </c>
      <c r="Z440" s="2292">
        <f t="shared" si="254"/>
        <v>0</v>
      </c>
      <c r="AA440" s="2292">
        <f>+Z440</f>
        <v>0</v>
      </c>
      <c r="AB440" s="2275"/>
      <c r="AC440" s="2275"/>
      <c r="AD440" s="2292">
        <f t="shared" ref="AD440:AN440" si="255">AE439</f>
        <v>5.67</v>
      </c>
      <c r="AE440" s="2292">
        <f t="shared" si="255"/>
        <v>10.93</v>
      </c>
      <c r="AF440" s="2292">
        <f t="shared" si="255"/>
        <v>18.670000000000002</v>
      </c>
      <c r="AG440" s="2292">
        <f t="shared" si="255"/>
        <v>28.07</v>
      </c>
      <c r="AH440" s="2292">
        <f t="shared" si="255"/>
        <v>35.869999999999997</v>
      </c>
      <c r="AI440" s="2292">
        <f t="shared" si="255"/>
        <v>52.93</v>
      </c>
      <c r="AJ440" s="2292">
        <f t="shared" si="255"/>
        <v>76.27</v>
      </c>
      <c r="AK440" s="2292">
        <f t="shared" si="255"/>
        <v>111.27</v>
      </c>
      <c r="AL440" s="2292">
        <f t="shared" si="255"/>
        <v>169</v>
      </c>
      <c r="AM440" s="2292">
        <f t="shared" si="255"/>
        <v>236.53</v>
      </c>
      <c r="AN440" s="2292">
        <f t="shared" si="255"/>
        <v>0</v>
      </c>
      <c r="AO440" s="2292">
        <f>+AN440</f>
        <v>0</v>
      </c>
      <c r="AP440" s="2275"/>
      <c r="AQ440" s="2275"/>
      <c r="AR440" s="2292">
        <f t="shared" ref="AR440:BB440" si="256">AS439</f>
        <v>4.38</v>
      </c>
      <c r="AS440" s="2292">
        <f t="shared" si="256"/>
        <v>8.23</v>
      </c>
      <c r="AT440" s="2292">
        <f t="shared" si="256"/>
        <v>13.38</v>
      </c>
      <c r="AU440" s="2292">
        <f t="shared" si="256"/>
        <v>21.08</v>
      </c>
      <c r="AV440" s="2292">
        <f t="shared" si="256"/>
        <v>27.15</v>
      </c>
      <c r="AW440" s="2292">
        <f t="shared" si="256"/>
        <v>39.770000000000003</v>
      </c>
      <c r="AX440" s="2292">
        <f t="shared" si="256"/>
        <v>57.23</v>
      </c>
      <c r="AY440" s="2292">
        <f t="shared" si="256"/>
        <v>84.08</v>
      </c>
      <c r="AZ440" s="2292">
        <f t="shared" si="256"/>
        <v>126.77</v>
      </c>
      <c r="BA440" s="2292">
        <f t="shared" si="256"/>
        <v>177.38</v>
      </c>
      <c r="BB440" s="2292">
        <f t="shared" si="256"/>
        <v>0</v>
      </c>
      <c r="BC440" s="2292">
        <f>+BB440</f>
        <v>0</v>
      </c>
      <c r="BD440" s="2275"/>
      <c r="BE440" s="2275"/>
      <c r="BF440" s="2276"/>
      <c r="BG440" s="2276"/>
      <c r="BH440" s="2250"/>
      <c r="BI440" s="2275"/>
      <c r="BJ440" s="2292">
        <f t="shared" ref="BJ440:BT440" si="257">BK439</f>
        <v>0</v>
      </c>
      <c r="BK440" s="2292">
        <f t="shared" si="257"/>
        <v>0</v>
      </c>
      <c r="BL440" s="2292">
        <f t="shared" si="257"/>
        <v>0</v>
      </c>
      <c r="BM440" s="2292">
        <f t="shared" si="257"/>
        <v>0</v>
      </c>
      <c r="BN440" s="2292">
        <f t="shared" si="257"/>
        <v>0</v>
      </c>
      <c r="BO440" s="2292">
        <f t="shared" si="257"/>
        <v>0</v>
      </c>
      <c r="BP440" s="2292">
        <f t="shared" si="257"/>
        <v>0</v>
      </c>
      <c r="BQ440" s="2292">
        <f t="shared" si="257"/>
        <v>0</v>
      </c>
      <c r="BR440" s="2292">
        <f t="shared" si="257"/>
        <v>0</v>
      </c>
      <c r="BS440" s="2292">
        <f t="shared" si="257"/>
        <v>0</v>
      </c>
      <c r="BT440" s="2292">
        <f t="shared" si="257"/>
        <v>0</v>
      </c>
      <c r="BU440" s="2292">
        <f>+BT440</f>
        <v>0</v>
      </c>
      <c r="BV440" s="2275"/>
      <c r="BW440" s="2275"/>
      <c r="BX440" s="2292">
        <f t="shared" ref="BX440:CH440" si="258">BY439</f>
        <v>6.26</v>
      </c>
      <c r="BY440" s="2292">
        <f t="shared" si="258"/>
        <v>12.39</v>
      </c>
      <c r="BZ440" s="2292">
        <f t="shared" si="258"/>
        <v>21.1</v>
      </c>
      <c r="CA440" s="2292">
        <f t="shared" si="258"/>
        <v>33.5</v>
      </c>
      <c r="CB440" s="2292">
        <f t="shared" si="258"/>
        <v>44.91</v>
      </c>
      <c r="CC440" s="2292">
        <f t="shared" si="258"/>
        <v>69.39</v>
      </c>
      <c r="CD440" s="2292">
        <f t="shared" si="258"/>
        <v>97.61</v>
      </c>
      <c r="CE440" s="2292">
        <f t="shared" si="258"/>
        <v>132.69999999999999</v>
      </c>
      <c r="CF440" s="2292">
        <f t="shared" si="258"/>
        <v>211.23</v>
      </c>
      <c r="CG440" s="2292">
        <f t="shared" si="258"/>
        <v>307.36</v>
      </c>
      <c r="CH440" s="2292">
        <f t="shared" si="258"/>
        <v>0</v>
      </c>
      <c r="CI440" s="2292">
        <f>+CH440</f>
        <v>0</v>
      </c>
      <c r="CJ440" s="2275"/>
      <c r="CK440" s="2275"/>
      <c r="CL440" s="2292">
        <f t="shared" ref="CL440:CV440" si="259">CM439</f>
        <v>5.2</v>
      </c>
      <c r="CM440" s="2292">
        <f t="shared" si="259"/>
        <v>10.130000000000001</v>
      </c>
      <c r="CN440" s="2292">
        <f t="shared" si="259"/>
        <v>16.93</v>
      </c>
      <c r="CO440" s="2292">
        <f t="shared" si="259"/>
        <v>26.93</v>
      </c>
      <c r="CP440" s="2292">
        <f t="shared" si="259"/>
        <v>32.4</v>
      </c>
      <c r="CQ440" s="2292">
        <f t="shared" si="259"/>
        <v>50.47</v>
      </c>
      <c r="CR440" s="2292">
        <f t="shared" si="259"/>
        <v>73.069999999999993</v>
      </c>
      <c r="CS440" s="2292">
        <f t="shared" si="259"/>
        <v>102.67</v>
      </c>
      <c r="CT440" s="2292">
        <f t="shared" si="259"/>
        <v>157.4</v>
      </c>
      <c r="CU440" s="2292">
        <f t="shared" si="259"/>
        <v>222.87</v>
      </c>
      <c r="CV440" s="2292">
        <f t="shared" si="259"/>
        <v>0</v>
      </c>
      <c r="CW440" s="2292">
        <f>+CV440</f>
        <v>0</v>
      </c>
      <c r="CX440" s="2275"/>
      <c r="CY440" s="2275"/>
      <c r="CZ440" s="2292">
        <f t="shared" ref="CZ440:DJ440" si="260">DA439</f>
        <v>4.08</v>
      </c>
      <c r="DA440" s="2292">
        <f t="shared" si="260"/>
        <v>7.62</v>
      </c>
      <c r="DB440" s="2292">
        <f t="shared" si="260"/>
        <v>12.69</v>
      </c>
      <c r="DC440" s="2292">
        <f t="shared" si="260"/>
        <v>20.149999999999999</v>
      </c>
      <c r="DD440" s="2292">
        <f t="shared" si="260"/>
        <v>24.54</v>
      </c>
      <c r="DE440" s="2292">
        <f t="shared" si="260"/>
        <v>37.85</v>
      </c>
      <c r="DF440" s="2292">
        <f t="shared" si="260"/>
        <v>54.77</v>
      </c>
      <c r="DG440" s="2292">
        <f t="shared" si="260"/>
        <v>77.31</v>
      </c>
      <c r="DH440" s="2292">
        <f t="shared" si="260"/>
        <v>118.46</v>
      </c>
      <c r="DI440" s="2292">
        <f t="shared" si="260"/>
        <v>167.15</v>
      </c>
      <c r="DJ440" s="2292">
        <f t="shared" si="260"/>
        <v>0</v>
      </c>
      <c r="DK440" s="2292">
        <f>+DJ440</f>
        <v>0</v>
      </c>
      <c r="DL440" s="2275"/>
      <c r="DM440" s="2275"/>
      <c r="DN440" s="2275"/>
      <c r="DO440" s="53"/>
      <c r="DP440" s="53"/>
      <c r="DS440" s="277"/>
      <c r="DW440" s="1"/>
      <c r="DX440" s="2292">
        <f t="shared" ref="DX440:EH440" si="261">DY439</f>
        <v>0</v>
      </c>
      <c r="DY440" s="2292">
        <f t="shared" si="261"/>
        <v>0</v>
      </c>
      <c r="DZ440" s="2292">
        <f t="shared" si="261"/>
        <v>0</v>
      </c>
      <c r="EA440" s="2292">
        <f t="shared" si="261"/>
        <v>0</v>
      </c>
      <c r="EB440" s="2292">
        <f t="shared" si="261"/>
        <v>0</v>
      </c>
      <c r="EC440" s="2292">
        <f t="shared" si="261"/>
        <v>0</v>
      </c>
      <c r="ED440" s="2292">
        <f t="shared" si="261"/>
        <v>0</v>
      </c>
      <c r="EE440" s="2292">
        <f t="shared" si="261"/>
        <v>0</v>
      </c>
      <c r="EF440" s="2292">
        <f t="shared" si="261"/>
        <v>0</v>
      </c>
      <c r="EG440" s="2292">
        <f t="shared" si="261"/>
        <v>0</v>
      </c>
      <c r="EH440" s="2292">
        <f t="shared" si="261"/>
        <v>0</v>
      </c>
      <c r="EI440" s="2292">
        <f>+EH440</f>
        <v>0</v>
      </c>
      <c r="EJ440" s="2275"/>
      <c r="EK440" s="2275"/>
      <c r="EL440" s="2292">
        <f t="shared" ref="EL440:EV440" si="262">EM439</f>
        <v>9.8800000000000008</v>
      </c>
      <c r="EM440" s="2292">
        <f t="shared" si="262"/>
        <v>19.329999999999998</v>
      </c>
      <c r="EN440" s="2292">
        <f t="shared" si="262"/>
        <v>32.82</v>
      </c>
      <c r="EO440" s="2292">
        <f t="shared" si="262"/>
        <v>53.31</v>
      </c>
      <c r="EP440" s="2292">
        <f t="shared" si="262"/>
        <v>71.099999999999994</v>
      </c>
      <c r="EQ440" s="2292">
        <f t="shared" si="262"/>
        <v>105.15</v>
      </c>
      <c r="ER440" s="2292">
        <f t="shared" si="262"/>
        <v>154.29</v>
      </c>
      <c r="ES440" s="2292">
        <f t="shared" si="262"/>
        <v>209.26</v>
      </c>
      <c r="ET440" s="2292">
        <f t="shared" si="262"/>
        <v>327.55</v>
      </c>
      <c r="EU440" s="2292">
        <f t="shared" si="262"/>
        <v>485.34</v>
      </c>
      <c r="EV440" s="2292">
        <f t="shared" si="262"/>
        <v>0</v>
      </c>
      <c r="EW440" s="2292">
        <f>+EV440</f>
        <v>0</v>
      </c>
      <c r="EX440" s="2275"/>
      <c r="EY440" s="2275"/>
      <c r="EZ440" s="2292">
        <f t="shared" ref="EZ440:FJ440" si="263">FA439</f>
        <v>8.1999999999999993</v>
      </c>
      <c r="FA440" s="2292">
        <f t="shared" si="263"/>
        <v>15.33</v>
      </c>
      <c r="FB440" s="2292">
        <f t="shared" si="263"/>
        <v>25.8</v>
      </c>
      <c r="FC440" s="2292">
        <f t="shared" si="263"/>
        <v>41.73</v>
      </c>
      <c r="FD440" s="2292">
        <f t="shared" si="263"/>
        <v>53.07</v>
      </c>
      <c r="FE440" s="2292">
        <f t="shared" si="263"/>
        <v>76.47</v>
      </c>
      <c r="FF440" s="2292">
        <f t="shared" si="263"/>
        <v>111.87</v>
      </c>
      <c r="FG440" s="2292">
        <f t="shared" si="263"/>
        <v>156.53</v>
      </c>
      <c r="FH440" s="2292">
        <f t="shared" si="263"/>
        <v>239.07</v>
      </c>
      <c r="FI440" s="2292">
        <f t="shared" si="263"/>
        <v>354.6</v>
      </c>
      <c r="FJ440" s="2292">
        <f t="shared" si="263"/>
        <v>0</v>
      </c>
      <c r="FK440" s="2292">
        <f>+FJ440</f>
        <v>0</v>
      </c>
      <c r="FL440" s="2275"/>
      <c r="FM440" s="2275"/>
      <c r="FN440" s="2292">
        <f t="shared" ref="FN440:FX440" si="264">FO439</f>
        <v>6.77</v>
      </c>
      <c r="FO440" s="2292">
        <f t="shared" si="264"/>
        <v>11.69</v>
      </c>
      <c r="FP440" s="2292">
        <f t="shared" si="264"/>
        <v>19.62</v>
      </c>
      <c r="FQ440" s="2292">
        <f t="shared" si="264"/>
        <v>31.77</v>
      </c>
      <c r="FR440" s="2292">
        <f t="shared" si="264"/>
        <v>40.15</v>
      </c>
      <c r="FS440" s="2292">
        <f t="shared" si="264"/>
        <v>58</v>
      </c>
      <c r="FT440" s="2292">
        <f t="shared" si="264"/>
        <v>85.15</v>
      </c>
      <c r="FU440" s="2292">
        <f t="shared" si="264"/>
        <v>119.08</v>
      </c>
      <c r="FV440" s="2292">
        <f t="shared" si="264"/>
        <v>181.92</v>
      </c>
      <c r="FW440" s="2292">
        <f t="shared" si="264"/>
        <v>269.69</v>
      </c>
      <c r="FX440" s="2292">
        <f t="shared" si="264"/>
        <v>0</v>
      </c>
      <c r="FY440" s="2292">
        <f>+FX440</f>
        <v>0</v>
      </c>
      <c r="FZ440" s="2275"/>
      <c r="GA440" s="2275"/>
      <c r="GB440" s="2276"/>
      <c r="GC440" s="2276"/>
      <c r="GD440" s="2250"/>
      <c r="GE440" s="2275"/>
      <c r="GF440" s="2292">
        <f t="shared" ref="GF440:GP440" si="265">GG439</f>
        <v>0</v>
      </c>
      <c r="GG440" s="2292">
        <f t="shared" si="265"/>
        <v>0</v>
      </c>
      <c r="GH440" s="2292">
        <f t="shared" si="265"/>
        <v>0</v>
      </c>
      <c r="GI440" s="2292">
        <f t="shared" si="265"/>
        <v>0</v>
      </c>
      <c r="GJ440" s="2292">
        <f t="shared" si="265"/>
        <v>0</v>
      </c>
      <c r="GK440" s="2292">
        <f t="shared" si="265"/>
        <v>0</v>
      </c>
      <c r="GL440" s="2292">
        <f t="shared" si="265"/>
        <v>0</v>
      </c>
      <c r="GM440" s="2292">
        <f t="shared" si="265"/>
        <v>0</v>
      </c>
      <c r="GN440" s="2292">
        <f t="shared" si="265"/>
        <v>0</v>
      </c>
      <c r="GO440" s="2292">
        <f t="shared" si="265"/>
        <v>0</v>
      </c>
      <c r="GP440" s="2292">
        <f t="shared" si="265"/>
        <v>0</v>
      </c>
      <c r="GQ440" s="2292">
        <f>+GP440</f>
        <v>0</v>
      </c>
      <c r="GR440" s="2275"/>
      <c r="GS440" s="2275"/>
      <c r="GT440" s="2292">
        <f t="shared" ref="GT440:HD440" si="266">GU439</f>
        <v>9.08</v>
      </c>
      <c r="GU440" s="2292">
        <f t="shared" si="266"/>
        <v>17.79</v>
      </c>
      <c r="GV440" s="2292">
        <f t="shared" si="266"/>
        <v>30.18</v>
      </c>
      <c r="GW440" s="2292">
        <f t="shared" si="266"/>
        <v>48.77</v>
      </c>
      <c r="GX440" s="2292">
        <f t="shared" si="266"/>
        <v>64.72</v>
      </c>
      <c r="GY440" s="2292">
        <f t="shared" si="266"/>
        <v>97.3</v>
      </c>
      <c r="GZ440" s="2292">
        <f t="shared" si="266"/>
        <v>141.84</v>
      </c>
      <c r="HA440" s="2292">
        <f t="shared" si="266"/>
        <v>183.13</v>
      </c>
      <c r="HB440" s="2292">
        <f t="shared" si="266"/>
        <v>301.52999999999997</v>
      </c>
      <c r="HC440" s="2292">
        <f t="shared" si="266"/>
        <v>447.79</v>
      </c>
      <c r="HD440" s="2292">
        <f t="shared" si="266"/>
        <v>0</v>
      </c>
      <c r="HE440" s="2292">
        <f>+HD440</f>
        <v>0</v>
      </c>
      <c r="HF440" s="2275"/>
      <c r="HG440" s="2275"/>
      <c r="HH440" s="2292">
        <f t="shared" ref="HH440:HR440" si="267">HI439</f>
        <v>7.53</v>
      </c>
      <c r="HI440" s="2292">
        <f t="shared" si="267"/>
        <v>14.67</v>
      </c>
      <c r="HJ440" s="2292">
        <f t="shared" si="267"/>
        <v>23.53</v>
      </c>
      <c r="HK440" s="2292">
        <f t="shared" si="267"/>
        <v>37.67</v>
      </c>
      <c r="HL440" s="2292">
        <f t="shared" si="267"/>
        <v>47.13</v>
      </c>
      <c r="HM440" s="2292">
        <f t="shared" si="267"/>
        <v>70.33</v>
      </c>
      <c r="HN440" s="2292">
        <f t="shared" si="267"/>
        <v>102.27</v>
      </c>
      <c r="HO440" s="2292">
        <f t="shared" si="267"/>
        <v>141.07</v>
      </c>
      <c r="HP440" s="2292">
        <f t="shared" si="267"/>
        <v>219.53</v>
      </c>
      <c r="HQ440" s="2292">
        <f t="shared" si="267"/>
        <v>323.33</v>
      </c>
      <c r="HR440" s="2292">
        <f t="shared" si="267"/>
        <v>0</v>
      </c>
      <c r="HS440" s="2292">
        <f>+HR440</f>
        <v>0</v>
      </c>
      <c r="HT440" s="2275"/>
      <c r="HU440" s="2275"/>
      <c r="HV440" s="2292">
        <f t="shared" ref="HV440:IF440" si="268">HW439</f>
        <v>6</v>
      </c>
      <c r="HW440" s="2292">
        <f t="shared" si="268"/>
        <v>11.15</v>
      </c>
      <c r="HX440" s="2292">
        <f t="shared" si="268"/>
        <v>17.920000000000002</v>
      </c>
      <c r="HY440" s="2292">
        <f t="shared" si="268"/>
        <v>28.62</v>
      </c>
      <c r="HZ440" s="2292">
        <f t="shared" si="268"/>
        <v>35.69</v>
      </c>
      <c r="IA440" s="2292">
        <f t="shared" si="268"/>
        <v>53.54</v>
      </c>
      <c r="IB440" s="2292">
        <f t="shared" si="268"/>
        <v>77.69</v>
      </c>
      <c r="IC440" s="2292">
        <f t="shared" si="268"/>
        <v>107.31</v>
      </c>
      <c r="ID440" s="2292">
        <f t="shared" si="268"/>
        <v>167.23</v>
      </c>
      <c r="IE440" s="2292">
        <f t="shared" si="268"/>
        <v>246.23</v>
      </c>
      <c r="IF440" s="2292">
        <f t="shared" si="268"/>
        <v>0</v>
      </c>
      <c r="IG440" s="2292">
        <f>+IF440</f>
        <v>0</v>
      </c>
      <c r="IH440" s="2275"/>
      <c r="II440" s="2275"/>
      <c r="IJ440" s="2275"/>
      <c r="IK440" s="53"/>
      <c r="IL440" s="53"/>
      <c r="IN440" s="277"/>
      <c r="IO440" s="277"/>
    </row>
    <row r="441" spans="2:249" ht="21.95" customHeight="1">
      <c r="B441" s="2292">
        <v>475</v>
      </c>
      <c r="C441" s="2292">
        <v>550</v>
      </c>
      <c r="D441" s="2292">
        <v>650</v>
      </c>
      <c r="E441" s="2292">
        <v>775</v>
      </c>
      <c r="F441" s="2292">
        <v>825</v>
      </c>
      <c r="G441" s="2292">
        <v>950</v>
      </c>
      <c r="H441" s="2292">
        <v>1100</v>
      </c>
      <c r="I441" s="2292">
        <v>1250</v>
      </c>
      <c r="J441" s="2292">
        <v>1450</v>
      </c>
      <c r="K441" s="2292">
        <v>1650</v>
      </c>
      <c r="L441" s="2292">
        <v>1650</v>
      </c>
      <c r="M441" s="2275"/>
      <c r="N441" s="2275"/>
      <c r="O441" s="2275"/>
      <c r="P441" s="2292">
        <v>475</v>
      </c>
      <c r="Q441" s="2292">
        <v>550</v>
      </c>
      <c r="R441" s="2292">
        <v>650</v>
      </c>
      <c r="S441" s="2292">
        <v>775</v>
      </c>
      <c r="T441" s="2292">
        <v>825</v>
      </c>
      <c r="U441" s="2292">
        <v>950</v>
      </c>
      <c r="V441" s="2292">
        <v>1100</v>
      </c>
      <c r="W441" s="2292">
        <v>1250</v>
      </c>
      <c r="X441" s="2292">
        <v>1450</v>
      </c>
      <c r="Y441" s="2292">
        <v>1650</v>
      </c>
      <c r="Z441" s="2292">
        <v>1650</v>
      </c>
      <c r="AA441" s="2275"/>
      <c r="AB441" s="2275"/>
      <c r="AC441" s="2275"/>
      <c r="AD441" s="2292">
        <v>475</v>
      </c>
      <c r="AE441" s="2292">
        <v>550</v>
      </c>
      <c r="AF441" s="2292">
        <v>650</v>
      </c>
      <c r="AG441" s="2292">
        <v>775</v>
      </c>
      <c r="AH441" s="2292">
        <v>825</v>
      </c>
      <c r="AI441" s="2292">
        <v>950</v>
      </c>
      <c r="AJ441" s="2292">
        <v>1100</v>
      </c>
      <c r="AK441" s="2292">
        <v>1250</v>
      </c>
      <c r="AL441" s="2292">
        <v>1450</v>
      </c>
      <c r="AM441" s="2292">
        <v>1650</v>
      </c>
      <c r="AN441" s="2292">
        <v>1650</v>
      </c>
      <c r="AO441" s="2275"/>
      <c r="AP441" s="2275"/>
      <c r="AQ441" s="2275"/>
      <c r="AR441" s="2292">
        <v>475</v>
      </c>
      <c r="AS441" s="2292">
        <v>550</v>
      </c>
      <c r="AT441" s="2292">
        <v>650</v>
      </c>
      <c r="AU441" s="2292">
        <v>775</v>
      </c>
      <c r="AV441" s="2292">
        <v>825</v>
      </c>
      <c r="AW441" s="2292">
        <v>950</v>
      </c>
      <c r="AX441" s="2292">
        <v>1100</v>
      </c>
      <c r="AY441" s="2292">
        <v>1250</v>
      </c>
      <c r="AZ441" s="2292">
        <v>1450</v>
      </c>
      <c r="BA441" s="2292">
        <v>1650</v>
      </c>
      <c r="BB441" s="2292">
        <v>1650</v>
      </c>
      <c r="BC441" s="2275"/>
      <c r="BD441" s="2275"/>
      <c r="BE441" s="2275"/>
      <c r="BF441" s="2276"/>
      <c r="BG441" s="2276"/>
      <c r="BH441" s="2250"/>
      <c r="BI441" s="2275"/>
      <c r="BJ441" s="2292">
        <v>475</v>
      </c>
      <c r="BK441" s="2292">
        <v>550</v>
      </c>
      <c r="BL441" s="2292">
        <v>650</v>
      </c>
      <c r="BM441" s="2292">
        <v>775</v>
      </c>
      <c r="BN441" s="2292">
        <v>825</v>
      </c>
      <c r="BO441" s="2292">
        <v>950</v>
      </c>
      <c r="BP441" s="2292">
        <v>1100</v>
      </c>
      <c r="BQ441" s="2292">
        <v>1250</v>
      </c>
      <c r="BR441" s="2292">
        <v>1450</v>
      </c>
      <c r="BS441" s="2292">
        <v>1650</v>
      </c>
      <c r="BT441" s="2292">
        <v>1650</v>
      </c>
      <c r="BU441" s="2275"/>
      <c r="BV441" s="2275"/>
      <c r="BW441" s="2275"/>
      <c r="BX441" s="2292">
        <v>475</v>
      </c>
      <c r="BY441" s="2292">
        <v>550</v>
      </c>
      <c r="BZ441" s="2292">
        <v>650</v>
      </c>
      <c r="CA441" s="2292">
        <v>775</v>
      </c>
      <c r="CB441" s="2292">
        <v>825</v>
      </c>
      <c r="CC441" s="2292">
        <v>950</v>
      </c>
      <c r="CD441" s="2292">
        <v>1100</v>
      </c>
      <c r="CE441" s="2292">
        <v>1250</v>
      </c>
      <c r="CF441" s="2292">
        <v>1450</v>
      </c>
      <c r="CG441" s="2292">
        <v>1650</v>
      </c>
      <c r="CH441" s="2292">
        <v>1650</v>
      </c>
      <c r="CI441" s="2275"/>
      <c r="CJ441" s="2275"/>
      <c r="CK441" s="2275"/>
      <c r="CL441" s="2292">
        <v>475</v>
      </c>
      <c r="CM441" s="2292">
        <v>550</v>
      </c>
      <c r="CN441" s="2292">
        <v>650</v>
      </c>
      <c r="CO441" s="2292">
        <v>775</v>
      </c>
      <c r="CP441" s="2292">
        <v>825</v>
      </c>
      <c r="CQ441" s="2292">
        <v>950</v>
      </c>
      <c r="CR441" s="2292">
        <v>1100</v>
      </c>
      <c r="CS441" s="2292">
        <v>1250</v>
      </c>
      <c r="CT441" s="2292">
        <v>1450</v>
      </c>
      <c r="CU441" s="2292">
        <v>1650</v>
      </c>
      <c r="CV441" s="2292">
        <v>1650</v>
      </c>
      <c r="CW441" s="2275"/>
      <c r="CX441" s="2275"/>
      <c r="CY441" s="2275"/>
      <c r="CZ441" s="2292">
        <v>475</v>
      </c>
      <c r="DA441" s="2292">
        <v>550</v>
      </c>
      <c r="DB441" s="2292">
        <v>650</v>
      </c>
      <c r="DC441" s="2292">
        <v>775</v>
      </c>
      <c r="DD441" s="2292">
        <v>825</v>
      </c>
      <c r="DE441" s="2292">
        <v>950</v>
      </c>
      <c r="DF441" s="2292">
        <v>1100</v>
      </c>
      <c r="DG441" s="2292">
        <v>1250</v>
      </c>
      <c r="DH441" s="2292">
        <v>1450</v>
      </c>
      <c r="DI441" s="2292">
        <v>1650</v>
      </c>
      <c r="DJ441" s="2292">
        <v>1650</v>
      </c>
      <c r="DK441" s="2275"/>
      <c r="DL441" s="2275"/>
      <c r="DM441" s="2275"/>
      <c r="DN441" s="2275"/>
      <c r="DO441" s="53"/>
      <c r="DP441" s="53"/>
      <c r="DS441" s="277"/>
      <c r="DW441" s="1"/>
      <c r="DX441" s="2292">
        <v>475</v>
      </c>
      <c r="DY441" s="2292">
        <v>550</v>
      </c>
      <c r="DZ441" s="2292">
        <v>650</v>
      </c>
      <c r="EA441" s="2292">
        <v>775</v>
      </c>
      <c r="EB441" s="2292">
        <v>825</v>
      </c>
      <c r="EC441" s="2292">
        <v>950</v>
      </c>
      <c r="ED441" s="2292">
        <v>1100</v>
      </c>
      <c r="EE441" s="2292">
        <v>1250</v>
      </c>
      <c r="EF441" s="2292">
        <v>1450</v>
      </c>
      <c r="EG441" s="2292">
        <v>1650</v>
      </c>
      <c r="EH441" s="2292">
        <v>1650</v>
      </c>
      <c r="EI441" s="2275"/>
      <c r="EJ441" s="2275"/>
      <c r="EK441" s="2275"/>
      <c r="EL441" s="2292">
        <v>475</v>
      </c>
      <c r="EM441" s="2292">
        <v>550</v>
      </c>
      <c r="EN441" s="2292">
        <v>650</v>
      </c>
      <c r="EO441" s="2292">
        <v>775</v>
      </c>
      <c r="EP441" s="2292">
        <v>825</v>
      </c>
      <c r="EQ441" s="2292">
        <v>950</v>
      </c>
      <c r="ER441" s="2292">
        <v>1100</v>
      </c>
      <c r="ES441" s="2292">
        <v>1250</v>
      </c>
      <c r="ET441" s="2292">
        <v>1450</v>
      </c>
      <c r="EU441" s="2292">
        <v>1650</v>
      </c>
      <c r="EV441" s="2292">
        <v>1650</v>
      </c>
      <c r="EW441" s="2275"/>
      <c r="EX441" s="2275"/>
      <c r="EY441" s="2275"/>
      <c r="EZ441" s="2292">
        <v>475</v>
      </c>
      <c r="FA441" s="2292">
        <v>550</v>
      </c>
      <c r="FB441" s="2292">
        <v>650</v>
      </c>
      <c r="FC441" s="2292">
        <v>775</v>
      </c>
      <c r="FD441" s="2292">
        <v>825</v>
      </c>
      <c r="FE441" s="2292">
        <v>950</v>
      </c>
      <c r="FF441" s="2292">
        <v>1100</v>
      </c>
      <c r="FG441" s="2292">
        <v>1250</v>
      </c>
      <c r="FH441" s="2292">
        <v>1450</v>
      </c>
      <c r="FI441" s="2292">
        <v>1650</v>
      </c>
      <c r="FJ441" s="2292">
        <v>1650</v>
      </c>
      <c r="FK441" s="2275"/>
      <c r="FL441" s="2275"/>
      <c r="FM441" s="2275"/>
      <c r="FN441" s="2292">
        <v>475</v>
      </c>
      <c r="FO441" s="2292">
        <v>550</v>
      </c>
      <c r="FP441" s="2292">
        <v>650</v>
      </c>
      <c r="FQ441" s="2292">
        <v>775</v>
      </c>
      <c r="FR441" s="2292">
        <v>825</v>
      </c>
      <c r="FS441" s="2292">
        <v>950</v>
      </c>
      <c r="FT441" s="2292">
        <v>1100</v>
      </c>
      <c r="FU441" s="2292">
        <v>1250</v>
      </c>
      <c r="FV441" s="2292">
        <v>1450</v>
      </c>
      <c r="FW441" s="2292">
        <v>1650</v>
      </c>
      <c r="FX441" s="2292">
        <v>1650</v>
      </c>
      <c r="FY441" s="2275"/>
      <c r="FZ441" s="2275"/>
      <c r="GA441" s="2275"/>
      <c r="GB441" s="2276"/>
      <c r="GC441" s="2276"/>
      <c r="GD441" s="2250"/>
      <c r="GE441" s="2275"/>
      <c r="GF441" s="2292">
        <v>475</v>
      </c>
      <c r="GG441" s="2292">
        <v>550</v>
      </c>
      <c r="GH441" s="2292">
        <v>650</v>
      </c>
      <c r="GI441" s="2292">
        <v>775</v>
      </c>
      <c r="GJ441" s="2292">
        <v>825</v>
      </c>
      <c r="GK441" s="2292">
        <v>950</v>
      </c>
      <c r="GL441" s="2292">
        <v>1100</v>
      </c>
      <c r="GM441" s="2292">
        <v>1250</v>
      </c>
      <c r="GN441" s="2292">
        <v>1450</v>
      </c>
      <c r="GO441" s="2292">
        <v>1650</v>
      </c>
      <c r="GP441" s="2292">
        <v>1650</v>
      </c>
      <c r="GQ441" s="2275"/>
      <c r="GR441" s="2275"/>
      <c r="GS441" s="2275"/>
      <c r="GT441" s="2292">
        <v>475</v>
      </c>
      <c r="GU441" s="2292">
        <v>550</v>
      </c>
      <c r="GV441" s="2292">
        <v>650</v>
      </c>
      <c r="GW441" s="2292">
        <v>775</v>
      </c>
      <c r="GX441" s="2292">
        <v>825</v>
      </c>
      <c r="GY441" s="2292">
        <v>950</v>
      </c>
      <c r="GZ441" s="2292">
        <v>1100</v>
      </c>
      <c r="HA441" s="2292">
        <v>1250</v>
      </c>
      <c r="HB441" s="2292">
        <v>1450</v>
      </c>
      <c r="HC441" s="2292">
        <v>1650</v>
      </c>
      <c r="HD441" s="2292">
        <v>1650</v>
      </c>
      <c r="HE441" s="2275"/>
      <c r="HF441" s="2275"/>
      <c r="HG441" s="2275"/>
      <c r="HH441" s="2292">
        <v>475</v>
      </c>
      <c r="HI441" s="2292">
        <v>550</v>
      </c>
      <c r="HJ441" s="2292">
        <v>650</v>
      </c>
      <c r="HK441" s="2292">
        <v>775</v>
      </c>
      <c r="HL441" s="2292">
        <v>825</v>
      </c>
      <c r="HM441" s="2292">
        <v>950</v>
      </c>
      <c r="HN441" s="2292">
        <v>1100</v>
      </c>
      <c r="HO441" s="2292">
        <v>1250</v>
      </c>
      <c r="HP441" s="2292">
        <v>1450</v>
      </c>
      <c r="HQ441" s="2292">
        <v>1650</v>
      </c>
      <c r="HR441" s="2292">
        <v>1650</v>
      </c>
      <c r="HS441" s="2275"/>
      <c r="HT441" s="2275"/>
      <c r="HU441" s="2275"/>
      <c r="HV441" s="2292">
        <v>475</v>
      </c>
      <c r="HW441" s="2292">
        <v>550</v>
      </c>
      <c r="HX441" s="2292">
        <v>650</v>
      </c>
      <c r="HY441" s="2292">
        <v>775</v>
      </c>
      <c r="HZ441" s="2292">
        <v>825</v>
      </c>
      <c r="IA441" s="2292">
        <v>950</v>
      </c>
      <c r="IB441" s="2292">
        <v>1100</v>
      </c>
      <c r="IC441" s="2292">
        <v>1250</v>
      </c>
      <c r="ID441" s="2292">
        <v>1450</v>
      </c>
      <c r="IE441" s="2292">
        <v>1650</v>
      </c>
      <c r="IF441" s="2292">
        <v>1650</v>
      </c>
      <c r="IG441" s="2275"/>
      <c r="IH441" s="2275"/>
      <c r="II441" s="2275"/>
      <c r="IJ441" s="2275"/>
      <c r="IK441" s="53"/>
      <c r="IL441" s="53"/>
      <c r="IN441" s="277"/>
      <c r="IO441" s="277"/>
    </row>
    <row r="442" spans="2:249" ht="21.95" customHeight="1">
      <c r="B442" s="2342">
        <f>HLOOKUP(C417,B439:M439,1)</f>
        <v>0</v>
      </c>
      <c r="C442" s="2342">
        <f>HLOOKUP(B442,B439:M440,2,0)</f>
        <v>0</v>
      </c>
      <c r="D442" s="2275"/>
      <c r="E442" s="2275"/>
      <c r="F442" s="2275"/>
      <c r="G442" s="2275"/>
      <c r="H442" s="2275"/>
      <c r="I442" s="2275"/>
      <c r="J442" s="2275"/>
      <c r="K442" s="2275"/>
      <c r="L442" s="2275"/>
      <c r="M442" s="2275"/>
      <c r="N442" s="2275"/>
      <c r="O442" s="2275"/>
      <c r="P442" s="2342">
        <f>HLOOKUP(Q417,P439:AA439,1)</f>
        <v>0</v>
      </c>
      <c r="Q442" s="2342">
        <f>HLOOKUP(P442,P439:AA440,2,0)</f>
        <v>6.81</v>
      </c>
      <c r="R442" s="2275"/>
      <c r="S442" s="2275"/>
      <c r="T442" s="2275"/>
      <c r="U442" s="2275"/>
      <c r="V442" s="2275"/>
      <c r="W442" s="2275"/>
      <c r="X442" s="2275"/>
      <c r="Y442" s="2275"/>
      <c r="Z442" s="2275"/>
      <c r="AA442" s="2275"/>
      <c r="AB442" s="2275"/>
      <c r="AC442" s="2275"/>
      <c r="AD442" s="2342">
        <f>HLOOKUP(AE417,AD439:AO439,1)</f>
        <v>0</v>
      </c>
      <c r="AE442" s="2342">
        <f>HLOOKUP(AD442,AD439:AO440,2,0)</f>
        <v>5.67</v>
      </c>
      <c r="AF442" s="2275"/>
      <c r="AG442" s="2275"/>
      <c r="AH442" s="2275"/>
      <c r="AI442" s="2275"/>
      <c r="AJ442" s="2275"/>
      <c r="AK442" s="2275"/>
      <c r="AL442" s="2275"/>
      <c r="AM442" s="2275"/>
      <c r="AN442" s="2275"/>
      <c r="AO442" s="2275"/>
      <c r="AP442" s="2275"/>
      <c r="AQ442" s="2275"/>
      <c r="AR442" s="2342">
        <f>HLOOKUP(AS417,AR439:BC439,1)</f>
        <v>0</v>
      </c>
      <c r="AS442" s="2342">
        <f>HLOOKUP(AR442,AR439:BC440,2,0)</f>
        <v>4.38</v>
      </c>
      <c r="AT442" s="2275"/>
      <c r="AU442" s="2275"/>
      <c r="AV442" s="2275"/>
      <c r="AW442" s="2275"/>
      <c r="AX442" s="2275"/>
      <c r="AY442" s="2275"/>
      <c r="AZ442" s="2275"/>
      <c r="BA442" s="2275"/>
      <c r="BB442" s="2275"/>
      <c r="BC442" s="2275"/>
      <c r="BD442" s="2275"/>
      <c r="BE442" s="2275"/>
      <c r="BF442" s="2276"/>
      <c r="BG442" s="2276"/>
      <c r="BH442" s="2250"/>
      <c r="BI442" s="2275"/>
      <c r="BJ442" s="2342">
        <f>HLOOKUP(BK417,BJ439:BU439,1)</f>
        <v>0</v>
      </c>
      <c r="BK442" s="2342">
        <f>HLOOKUP(BJ442,BJ439:BU440,2,0)</f>
        <v>0</v>
      </c>
      <c r="BL442" s="2275"/>
      <c r="BM442" s="2275"/>
      <c r="BN442" s="2275"/>
      <c r="BO442" s="2275"/>
      <c r="BP442" s="2275"/>
      <c r="BQ442" s="2275"/>
      <c r="BR442" s="2275"/>
      <c r="BS442" s="2275"/>
      <c r="BT442" s="2275"/>
      <c r="BU442" s="2275"/>
      <c r="BV442" s="2275"/>
      <c r="BW442" s="2275"/>
      <c r="BX442" s="2342">
        <f>HLOOKUP(BY417,BX439:CI439,1)</f>
        <v>0</v>
      </c>
      <c r="BY442" s="2342">
        <f>HLOOKUP(BX442,BX439:CI440,2,0)</f>
        <v>6.26</v>
      </c>
      <c r="BZ442" s="2275"/>
      <c r="CA442" s="2275"/>
      <c r="CB442" s="2275"/>
      <c r="CC442" s="2275"/>
      <c r="CD442" s="2275"/>
      <c r="CE442" s="2275"/>
      <c r="CF442" s="2275"/>
      <c r="CG442" s="2275"/>
      <c r="CH442" s="2275"/>
      <c r="CI442" s="2275"/>
      <c r="CJ442" s="2275"/>
      <c r="CK442" s="2275"/>
      <c r="CL442" s="2342">
        <f>HLOOKUP(CM417,CL439:CW439,1)</f>
        <v>0</v>
      </c>
      <c r="CM442" s="2342">
        <f>HLOOKUP(CL442,CL439:CW440,2,0)</f>
        <v>5.2</v>
      </c>
      <c r="CN442" s="2275"/>
      <c r="CO442" s="2275"/>
      <c r="CP442" s="2275"/>
      <c r="CQ442" s="2275"/>
      <c r="CR442" s="2275"/>
      <c r="CS442" s="2275"/>
      <c r="CT442" s="2275"/>
      <c r="CU442" s="2275"/>
      <c r="CV442" s="2275"/>
      <c r="CW442" s="2275"/>
      <c r="CX442" s="2275"/>
      <c r="CY442" s="2275"/>
      <c r="CZ442" s="2342">
        <f>HLOOKUP(DA417,CZ439:DK439,1)</f>
        <v>0</v>
      </c>
      <c r="DA442" s="2342">
        <f>HLOOKUP(CZ442,CZ439:DK440,2,0)</f>
        <v>4.08</v>
      </c>
      <c r="DB442" s="2275"/>
      <c r="DC442" s="2275"/>
      <c r="DD442" s="2275"/>
      <c r="DE442" s="2275"/>
      <c r="DF442" s="2275"/>
      <c r="DG442" s="2275"/>
      <c r="DH442" s="2275"/>
      <c r="DI442" s="2275"/>
      <c r="DJ442" s="2275"/>
      <c r="DK442" s="2275"/>
      <c r="DL442" s="2275"/>
      <c r="DM442" s="2275"/>
      <c r="DN442" s="2275"/>
      <c r="DO442" s="53"/>
      <c r="DP442" s="53"/>
      <c r="DS442" s="277"/>
      <c r="DW442" s="1"/>
      <c r="DX442" s="2342">
        <f>HLOOKUP(DY417,DX439:EI439,1)</f>
        <v>0</v>
      </c>
      <c r="DY442" s="2342">
        <f>HLOOKUP(DX442,DX439:EI440,2,0)</f>
        <v>0</v>
      </c>
      <c r="DZ442" s="2275"/>
      <c r="EA442" s="2275"/>
      <c r="EB442" s="2275"/>
      <c r="EC442" s="2275"/>
      <c r="ED442" s="2275"/>
      <c r="EE442" s="2275"/>
      <c r="EF442" s="2275"/>
      <c r="EG442" s="2275"/>
      <c r="EH442" s="2275"/>
      <c r="EI442" s="2275"/>
      <c r="EJ442" s="2275"/>
      <c r="EK442" s="2275"/>
      <c r="EL442" s="2342">
        <f>HLOOKUP(EM417,EL439:EW439,1)</f>
        <v>0</v>
      </c>
      <c r="EM442" s="2342">
        <f>HLOOKUP(EL442,EL439:EW440,2,0)</f>
        <v>9.8800000000000008</v>
      </c>
      <c r="EN442" s="2275"/>
      <c r="EO442" s="2275"/>
      <c r="EP442" s="2275"/>
      <c r="EQ442" s="2275"/>
      <c r="ER442" s="2275"/>
      <c r="ES442" s="2275"/>
      <c r="ET442" s="2275"/>
      <c r="EU442" s="2275"/>
      <c r="EV442" s="2275"/>
      <c r="EW442" s="2275"/>
      <c r="EX442" s="2275"/>
      <c r="EY442" s="2275"/>
      <c r="EZ442" s="2342">
        <f>HLOOKUP(FA417,EZ439:FK439,1)</f>
        <v>0</v>
      </c>
      <c r="FA442" s="2342">
        <f>HLOOKUP(EZ442,EZ439:FK440,2,0)</f>
        <v>8.1999999999999993</v>
      </c>
      <c r="FB442" s="2275"/>
      <c r="FC442" s="2275"/>
      <c r="FD442" s="2275"/>
      <c r="FE442" s="2275"/>
      <c r="FF442" s="2275"/>
      <c r="FG442" s="2275"/>
      <c r="FH442" s="2275"/>
      <c r="FI442" s="2275"/>
      <c r="FJ442" s="2275"/>
      <c r="FK442" s="2275"/>
      <c r="FL442" s="2275"/>
      <c r="FM442" s="2275"/>
      <c r="FN442" s="2342">
        <f>HLOOKUP(FO417,FN439:FY439,1)</f>
        <v>0</v>
      </c>
      <c r="FO442" s="2342">
        <f>HLOOKUP(FN442,FN439:FY440,2,0)</f>
        <v>6.77</v>
      </c>
      <c r="FP442" s="2275"/>
      <c r="FQ442" s="2275"/>
      <c r="FR442" s="2275"/>
      <c r="FS442" s="2275"/>
      <c r="FT442" s="2275"/>
      <c r="FU442" s="2275"/>
      <c r="FV442" s="2275"/>
      <c r="FW442" s="2275"/>
      <c r="FX442" s="2275"/>
      <c r="FY442" s="2275"/>
      <c r="FZ442" s="2275"/>
      <c r="GA442" s="2275"/>
      <c r="GB442" s="2276"/>
      <c r="GC442" s="2276"/>
      <c r="GD442" s="2250"/>
      <c r="GE442" s="2275"/>
      <c r="GF442" s="2342">
        <f>HLOOKUP(GG417,GF439:GQ439,1)</f>
        <v>0</v>
      </c>
      <c r="GG442" s="2342">
        <f>HLOOKUP(GF442,GF439:GQ440,2,0)</f>
        <v>0</v>
      </c>
      <c r="GH442" s="2275"/>
      <c r="GI442" s="2275"/>
      <c r="GJ442" s="2275"/>
      <c r="GK442" s="2275"/>
      <c r="GL442" s="2275"/>
      <c r="GM442" s="2275"/>
      <c r="GN442" s="2275"/>
      <c r="GO442" s="2275"/>
      <c r="GP442" s="2275"/>
      <c r="GQ442" s="2275"/>
      <c r="GR442" s="2275"/>
      <c r="GS442" s="2275"/>
      <c r="GT442" s="2342">
        <f>HLOOKUP(GU417,GT439:HE439,1)</f>
        <v>0</v>
      </c>
      <c r="GU442" s="2342">
        <f>HLOOKUP(GT442,GT439:HE440,2,0)</f>
        <v>9.08</v>
      </c>
      <c r="GV442" s="2275"/>
      <c r="GW442" s="2275"/>
      <c r="GX442" s="2275"/>
      <c r="GY442" s="2275"/>
      <c r="GZ442" s="2275"/>
      <c r="HA442" s="2275"/>
      <c r="HB442" s="2275"/>
      <c r="HC442" s="2275"/>
      <c r="HD442" s="2275"/>
      <c r="HE442" s="2275"/>
      <c r="HF442" s="2275"/>
      <c r="HG442" s="2275"/>
      <c r="HH442" s="2342">
        <f>HLOOKUP(HI417,HH439:HS439,1)</f>
        <v>0</v>
      </c>
      <c r="HI442" s="2342">
        <f>HLOOKUP(HH442,HH439:HS440,2,0)</f>
        <v>7.53</v>
      </c>
      <c r="HJ442" s="2275"/>
      <c r="HK442" s="2275"/>
      <c r="HL442" s="2275"/>
      <c r="HM442" s="2275"/>
      <c r="HN442" s="2275"/>
      <c r="HO442" s="2275"/>
      <c r="HP442" s="2275"/>
      <c r="HQ442" s="2275"/>
      <c r="HR442" s="2275"/>
      <c r="HS442" s="2275"/>
      <c r="HT442" s="2275"/>
      <c r="HU442" s="2275"/>
      <c r="HV442" s="2342">
        <f>HLOOKUP(HW417,HV439:IG439,1)</f>
        <v>0</v>
      </c>
      <c r="HW442" s="2342">
        <f>HLOOKUP(HV442,HV439:IG440,2,0)</f>
        <v>6</v>
      </c>
      <c r="HX442" s="2275"/>
      <c r="HY442" s="2275"/>
      <c r="HZ442" s="2275"/>
      <c r="IA442" s="2275"/>
      <c r="IB442" s="2275"/>
      <c r="IC442" s="2275"/>
      <c r="ID442" s="2275"/>
      <c r="IE442" s="2275"/>
      <c r="IF442" s="2275"/>
      <c r="IG442" s="2275"/>
      <c r="IH442" s="2275"/>
      <c r="II442" s="2275"/>
      <c r="IJ442" s="2275"/>
      <c r="IK442" s="53"/>
      <c r="IL442" s="53"/>
      <c r="IN442" s="277"/>
      <c r="IO442" s="277"/>
    </row>
    <row r="443" spans="2:249" ht="21.95" customHeight="1">
      <c r="B443" s="2342">
        <f>IFERROR(HLOOKUP(C417,B439:M439,1,0),0)</f>
        <v>0</v>
      </c>
      <c r="C443" s="2342">
        <f>IF(B443&gt;0,B443,C442)</f>
        <v>0</v>
      </c>
      <c r="D443" s="2275"/>
      <c r="E443" s="2275"/>
      <c r="F443" s="2275"/>
      <c r="G443" s="2275"/>
      <c r="H443" s="2275"/>
      <c r="I443" s="2275"/>
      <c r="J443" s="2275"/>
      <c r="K443" s="2275"/>
      <c r="L443" s="2275"/>
      <c r="M443" s="2275"/>
      <c r="N443" s="2275"/>
      <c r="O443" s="2275"/>
      <c r="P443" s="2342">
        <f>IFERROR(HLOOKUP(Q417,P439:AA439,1,0),0)</f>
        <v>0</v>
      </c>
      <c r="Q443" s="2342">
        <f>IF(P443&gt;0,P443,Q442)</f>
        <v>6.81</v>
      </c>
      <c r="R443" s="2275"/>
      <c r="S443" s="2275"/>
      <c r="T443" s="2275"/>
      <c r="U443" s="2275"/>
      <c r="V443" s="2275"/>
      <c r="W443" s="2275"/>
      <c r="X443" s="2275"/>
      <c r="Y443" s="2275"/>
      <c r="Z443" s="2275"/>
      <c r="AA443" s="2275"/>
      <c r="AB443" s="2275"/>
      <c r="AC443" s="2275"/>
      <c r="AD443" s="2342">
        <f>IFERROR(HLOOKUP(AE417,AD439:AO439,1,0),0)</f>
        <v>0</v>
      </c>
      <c r="AE443" s="2342">
        <f>IF(AD443&gt;0,AD443,AE442)</f>
        <v>5.67</v>
      </c>
      <c r="AF443" s="2275"/>
      <c r="AG443" s="2275"/>
      <c r="AH443" s="2275"/>
      <c r="AI443" s="2275"/>
      <c r="AJ443" s="2275"/>
      <c r="AK443" s="2275"/>
      <c r="AL443" s="2275"/>
      <c r="AM443" s="2275"/>
      <c r="AN443" s="2275"/>
      <c r="AO443" s="2275"/>
      <c r="AP443" s="2275"/>
      <c r="AQ443" s="2275"/>
      <c r="AR443" s="2342">
        <f>IFERROR(HLOOKUP(AS417,AR439:BC439,1,0),0)</f>
        <v>0</v>
      </c>
      <c r="AS443" s="2342">
        <f>IF(AR443&gt;0,AR443,AS442)</f>
        <v>4.38</v>
      </c>
      <c r="AT443" s="2275"/>
      <c r="AU443" s="2275"/>
      <c r="AV443" s="2275"/>
      <c r="AW443" s="2275"/>
      <c r="AX443" s="2275"/>
      <c r="AY443" s="2275"/>
      <c r="AZ443" s="2275"/>
      <c r="BA443" s="2275"/>
      <c r="BB443" s="2275"/>
      <c r="BC443" s="2275"/>
      <c r="BD443" s="2275"/>
      <c r="BE443" s="2275"/>
      <c r="BF443" s="2276"/>
      <c r="BG443" s="2276"/>
      <c r="BH443" s="2250"/>
      <c r="BI443" s="2275"/>
      <c r="BJ443" s="2342">
        <f>IFERROR(HLOOKUP(BK417,BJ439:BU439,1,0),0)</f>
        <v>0</v>
      </c>
      <c r="BK443" s="2342">
        <f>IF(BJ443&gt;0,BJ443,BK442)</f>
        <v>0</v>
      </c>
      <c r="BL443" s="2275"/>
      <c r="BM443" s="2275"/>
      <c r="BN443" s="2275"/>
      <c r="BO443" s="2275"/>
      <c r="BP443" s="2275"/>
      <c r="BQ443" s="2275"/>
      <c r="BR443" s="2275"/>
      <c r="BS443" s="2275"/>
      <c r="BT443" s="2275"/>
      <c r="BU443" s="2275"/>
      <c r="BV443" s="2275"/>
      <c r="BW443" s="2275"/>
      <c r="BX443" s="2342">
        <f>IFERROR(HLOOKUP(BY417,BX439:CI439,1,0),0)</f>
        <v>0</v>
      </c>
      <c r="BY443" s="2342">
        <f>IF(BX443&gt;0,BX443,BY442)</f>
        <v>6.26</v>
      </c>
      <c r="BZ443" s="2275"/>
      <c r="CA443" s="2275"/>
      <c r="CB443" s="2275"/>
      <c r="CC443" s="2275"/>
      <c r="CD443" s="2275"/>
      <c r="CE443" s="2275"/>
      <c r="CF443" s="2275"/>
      <c r="CG443" s="2275"/>
      <c r="CH443" s="2275"/>
      <c r="CI443" s="2275"/>
      <c r="CJ443" s="2275"/>
      <c r="CK443" s="2275"/>
      <c r="CL443" s="2342">
        <f>IFERROR(HLOOKUP(CM417,CL439:CW439,1,0),0)</f>
        <v>0</v>
      </c>
      <c r="CM443" s="2342">
        <f>IF(CL443&gt;0,CL443,CM442)</f>
        <v>5.2</v>
      </c>
      <c r="CN443" s="2275"/>
      <c r="CO443" s="2275"/>
      <c r="CP443" s="2275"/>
      <c r="CQ443" s="2275"/>
      <c r="CR443" s="2275"/>
      <c r="CS443" s="2275"/>
      <c r="CT443" s="2275"/>
      <c r="CU443" s="2275"/>
      <c r="CV443" s="2275"/>
      <c r="CW443" s="2275"/>
      <c r="CX443" s="2275"/>
      <c r="CY443" s="2275"/>
      <c r="CZ443" s="2342">
        <f>IFERROR(HLOOKUP(DA417,CZ439:DK439,1,0),0)</f>
        <v>0</v>
      </c>
      <c r="DA443" s="2342">
        <f>IF(CZ443&gt;0,CZ443,DA442)</f>
        <v>4.08</v>
      </c>
      <c r="DB443" s="2275"/>
      <c r="DC443" s="2275"/>
      <c r="DD443" s="2275"/>
      <c r="DE443" s="2275"/>
      <c r="DF443" s="2275"/>
      <c r="DG443" s="2275"/>
      <c r="DH443" s="2275"/>
      <c r="DI443" s="2275"/>
      <c r="DJ443" s="2275"/>
      <c r="DK443" s="2275"/>
      <c r="DL443" s="2275"/>
      <c r="DM443" s="2275"/>
      <c r="DN443" s="2275"/>
      <c r="DO443" s="53"/>
      <c r="DP443" s="53"/>
      <c r="DS443" s="277"/>
      <c r="DW443" s="1"/>
      <c r="DX443" s="2342">
        <f>IFERROR(HLOOKUP(DY417,DX439:EI439,1,0),0)</f>
        <v>0</v>
      </c>
      <c r="DY443" s="2342">
        <f>IF(DX443&gt;0,DX443,DY442)</f>
        <v>0</v>
      </c>
      <c r="DZ443" s="2275"/>
      <c r="EA443" s="2275"/>
      <c r="EB443" s="2275"/>
      <c r="EC443" s="2275"/>
      <c r="ED443" s="2275"/>
      <c r="EE443" s="2275"/>
      <c r="EF443" s="2275"/>
      <c r="EG443" s="2275"/>
      <c r="EH443" s="2275"/>
      <c r="EI443" s="2275"/>
      <c r="EJ443" s="2275"/>
      <c r="EK443" s="2275"/>
      <c r="EL443" s="2342">
        <f>IFERROR(HLOOKUP(EM417,EL439:EW439,1,0),0)</f>
        <v>0</v>
      </c>
      <c r="EM443" s="2342">
        <f>IF(EL443&gt;0,EL443,EM442)</f>
        <v>9.8800000000000008</v>
      </c>
      <c r="EN443" s="2275"/>
      <c r="EO443" s="2275"/>
      <c r="EP443" s="2275"/>
      <c r="EQ443" s="2275"/>
      <c r="ER443" s="2275"/>
      <c r="ES443" s="2275"/>
      <c r="ET443" s="2275"/>
      <c r="EU443" s="2275"/>
      <c r="EV443" s="2275"/>
      <c r="EW443" s="2275"/>
      <c r="EX443" s="2275"/>
      <c r="EY443" s="2275"/>
      <c r="EZ443" s="2342">
        <f>IFERROR(HLOOKUP(FA417,EZ439:FK439,1,0),0)</f>
        <v>0</v>
      </c>
      <c r="FA443" s="2342">
        <f>IF(EZ443&gt;0,EZ443,FA442)</f>
        <v>8.1999999999999993</v>
      </c>
      <c r="FB443" s="2275"/>
      <c r="FC443" s="2275"/>
      <c r="FD443" s="2275"/>
      <c r="FE443" s="2275"/>
      <c r="FF443" s="2275"/>
      <c r="FG443" s="2275"/>
      <c r="FH443" s="2275"/>
      <c r="FI443" s="2275"/>
      <c r="FJ443" s="2275"/>
      <c r="FK443" s="2275"/>
      <c r="FL443" s="2275"/>
      <c r="FM443" s="2275"/>
      <c r="FN443" s="2342">
        <f>IFERROR(HLOOKUP(FO417,FN439:FY439,1,0),0)</f>
        <v>0</v>
      </c>
      <c r="FO443" s="2342">
        <f>IF(FN443&gt;0,FN443,FO442)</f>
        <v>6.77</v>
      </c>
      <c r="FP443" s="2275"/>
      <c r="FQ443" s="2275"/>
      <c r="FR443" s="2275"/>
      <c r="FS443" s="2275"/>
      <c r="FT443" s="2275"/>
      <c r="FU443" s="2275"/>
      <c r="FV443" s="2275"/>
      <c r="FW443" s="2275"/>
      <c r="FX443" s="2275"/>
      <c r="FY443" s="2275"/>
      <c r="FZ443" s="2275"/>
      <c r="GA443" s="2275"/>
      <c r="GB443" s="2276"/>
      <c r="GC443" s="2276"/>
      <c r="GD443" s="2250"/>
      <c r="GE443" s="2275"/>
      <c r="GF443" s="2342">
        <f>IFERROR(HLOOKUP(GG417,GF439:GQ439,1,0),0)</f>
        <v>0</v>
      </c>
      <c r="GG443" s="2342">
        <f>IF(GF443&gt;0,GF443,GG442)</f>
        <v>0</v>
      </c>
      <c r="GH443" s="2275"/>
      <c r="GI443" s="2275"/>
      <c r="GJ443" s="2275"/>
      <c r="GK443" s="2275"/>
      <c r="GL443" s="2275"/>
      <c r="GM443" s="2275"/>
      <c r="GN443" s="2275"/>
      <c r="GO443" s="2275"/>
      <c r="GP443" s="2275"/>
      <c r="GQ443" s="2275"/>
      <c r="GR443" s="2275"/>
      <c r="GS443" s="2275"/>
      <c r="GT443" s="2342">
        <f>IFERROR(HLOOKUP(GU417,GT439:HE439,1,0),0)</f>
        <v>0</v>
      </c>
      <c r="GU443" s="2342">
        <f>IF(GT443&gt;0,GT443,GU442)</f>
        <v>9.08</v>
      </c>
      <c r="GV443" s="2275"/>
      <c r="GW443" s="2275"/>
      <c r="GX443" s="2275"/>
      <c r="GY443" s="2275"/>
      <c r="GZ443" s="2275"/>
      <c r="HA443" s="2275"/>
      <c r="HB443" s="2275"/>
      <c r="HC443" s="2275"/>
      <c r="HD443" s="2275"/>
      <c r="HE443" s="2275"/>
      <c r="HF443" s="2275"/>
      <c r="HG443" s="2275"/>
      <c r="HH443" s="2342">
        <f>IFERROR(HLOOKUP(HI417,HH439:HS439,1,0),0)</f>
        <v>0</v>
      </c>
      <c r="HI443" s="2342">
        <f>IF(HH443&gt;0,HH443,HI442)</f>
        <v>7.53</v>
      </c>
      <c r="HJ443" s="2275"/>
      <c r="HK443" s="2275"/>
      <c r="HL443" s="2275"/>
      <c r="HM443" s="2275"/>
      <c r="HN443" s="2275"/>
      <c r="HO443" s="2275"/>
      <c r="HP443" s="2275"/>
      <c r="HQ443" s="2275"/>
      <c r="HR443" s="2275"/>
      <c r="HS443" s="2275"/>
      <c r="HT443" s="2275"/>
      <c r="HU443" s="2275"/>
      <c r="HV443" s="2342">
        <f>IFERROR(HLOOKUP(HW417,HV439:IG439,1,0),0)</f>
        <v>0</v>
      </c>
      <c r="HW443" s="2342">
        <f>IF(HV443&gt;0,HV443,HW442)</f>
        <v>6</v>
      </c>
      <c r="HX443" s="2275"/>
      <c r="HY443" s="2275"/>
      <c r="HZ443" s="2275"/>
      <c r="IA443" s="2275"/>
      <c r="IB443" s="2275"/>
      <c r="IC443" s="2275"/>
      <c r="ID443" s="2275"/>
      <c r="IE443" s="2275"/>
      <c r="IF443" s="2275"/>
      <c r="IG443" s="2275"/>
      <c r="IH443" s="2275"/>
      <c r="II443" s="2275"/>
      <c r="IJ443" s="2275"/>
      <c r="IK443" s="53"/>
      <c r="IL443" s="53"/>
      <c r="IN443" s="277"/>
      <c r="IO443" s="277"/>
    </row>
    <row r="444" spans="2:249" ht="21.95" customHeight="1">
      <c r="B444" s="2342" t="str">
        <f>IF(C444=E434,"Right","Wrong")</f>
        <v>Right</v>
      </c>
      <c r="C444" s="2342">
        <f>HLOOKUP(C443,B440:L441,2,0)</f>
        <v>475</v>
      </c>
      <c r="D444" s="2275"/>
      <c r="E444" s="2275"/>
      <c r="F444" s="2275"/>
      <c r="G444" s="2275"/>
      <c r="H444" s="2275"/>
      <c r="I444" s="2275"/>
      <c r="J444" s="2275"/>
      <c r="K444" s="2275"/>
      <c r="L444" s="2275"/>
      <c r="M444" s="2275"/>
      <c r="N444" s="2275"/>
      <c r="O444" s="2275"/>
      <c r="P444" s="2342" t="str">
        <f>IF(Q444=S434,"Right","Wrong")</f>
        <v>Right</v>
      </c>
      <c r="Q444" s="2342">
        <f>HLOOKUP(Q443,P440:Z441,2,0)</f>
        <v>475</v>
      </c>
      <c r="R444" s="2275"/>
      <c r="S444" s="2275"/>
      <c r="T444" s="2275"/>
      <c r="U444" s="2275"/>
      <c r="V444" s="2275"/>
      <c r="W444" s="2275"/>
      <c r="X444" s="2275"/>
      <c r="Y444" s="2275"/>
      <c r="Z444" s="2275"/>
      <c r="AA444" s="2275"/>
      <c r="AB444" s="2275"/>
      <c r="AC444" s="2275"/>
      <c r="AD444" s="2342" t="str">
        <f>IF(AE444=AG434,"Right","Wrong")</f>
        <v>Right</v>
      </c>
      <c r="AE444" s="2342">
        <f>HLOOKUP(AE443,AD440:AN441,2,0)</f>
        <v>475</v>
      </c>
      <c r="AF444" s="2275"/>
      <c r="AG444" s="2275"/>
      <c r="AH444" s="2275"/>
      <c r="AI444" s="2275"/>
      <c r="AJ444" s="2275"/>
      <c r="AK444" s="2275"/>
      <c r="AL444" s="2275"/>
      <c r="AM444" s="2275"/>
      <c r="AN444" s="2275"/>
      <c r="AO444" s="2275"/>
      <c r="AP444" s="2275"/>
      <c r="AQ444" s="2275"/>
      <c r="AR444" s="2342" t="str">
        <f>IF(AS444=AU434,"Right","Wrong")</f>
        <v>Right</v>
      </c>
      <c r="AS444" s="2342">
        <f>HLOOKUP(AS443,AR440:BB441,2,0)</f>
        <v>475</v>
      </c>
      <c r="AT444" s="2275"/>
      <c r="AU444" s="2275"/>
      <c r="AV444" s="2275"/>
      <c r="AW444" s="2275"/>
      <c r="AX444" s="2275"/>
      <c r="AY444" s="2275"/>
      <c r="AZ444" s="2275"/>
      <c r="BA444" s="2275"/>
      <c r="BB444" s="2275"/>
      <c r="BC444" s="2275"/>
      <c r="BD444" s="2275"/>
      <c r="BE444" s="2275"/>
      <c r="BF444" s="2276"/>
      <c r="BG444" s="2276"/>
      <c r="BH444" s="2250"/>
      <c r="BI444" s="2275"/>
      <c r="BJ444" s="2342" t="str">
        <f>IF(BK444=BM434,"Right","Wrong")</f>
        <v>Right</v>
      </c>
      <c r="BK444" s="2342">
        <f>HLOOKUP(BK443,BJ440:BT441,2,0)</f>
        <v>475</v>
      </c>
      <c r="BL444" s="2275"/>
      <c r="BM444" s="2275"/>
      <c r="BN444" s="2275"/>
      <c r="BO444" s="2275"/>
      <c r="BP444" s="2275"/>
      <c r="BQ444" s="2275"/>
      <c r="BR444" s="2275"/>
      <c r="BS444" s="2275"/>
      <c r="BT444" s="2275"/>
      <c r="BU444" s="2275"/>
      <c r="BV444" s="2275"/>
      <c r="BW444" s="2275"/>
      <c r="BX444" s="2342" t="str">
        <f>IF(BY444=CA434,"Right","Wrong")</f>
        <v>Right</v>
      </c>
      <c r="BY444" s="2342">
        <f>HLOOKUP(BY443,BX440:CH441,2,0)</f>
        <v>475</v>
      </c>
      <c r="BZ444" s="2275"/>
      <c r="CA444" s="2275"/>
      <c r="CB444" s="2275"/>
      <c r="CC444" s="2275"/>
      <c r="CD444" s="2275"/>
      <c r="CE444" s="2275"/>
      <c r="CF444" s="2275"/>
      <c r="CG444" s="2275"/>
      <c r="CH444" s="2275"/>
      <c r="CI444" s="2275"/>
      <c r="CJ444" s="2275"/>
      <c r="CK444" s="2275"/>
      <c r="CL444" s="2342" t="str">
        <f>IF(CM444=CO434,"Right","Wrong")</f>
        <v>Right</v>
      </c>
      <c r="CM444" s="2342">
        <f>HLOOKUP(CM443,CL440:CV441,2,0)</f>
        <v>475</v>
      </c>
      <c r="CN444" s="2275"/>
      <c r="CO444" s="2275"/>
      <c r="CP444" s="2275"/>
      <c r="CQ444" s="2275"/>
      <c r="CR444" s="2275"/>
      <c r="CS444" s="2275"/>
      <c r="CT444" s="2275"/>
      <c r="CU444" s="2275"/>
      <c r="CV444" s="2275"/>
      <c r="CW444" s="2275"/>
      <c r="CX444" s="2275"/>
      <c r="CY444" s="2275"/>
      <c r="CZ444" s="2342" t="str">
        <f>IF(DA444=DC434,"Right","Wrong")</f>
        <v>Right</v>
      </c>
      <c r="DA444" s="2342">
        <f>HLOOKUP(DA443,CZ440:DJ441,2,0)</f>
        <v>475</v>
      </c>
      <c r="DB444" s="2275"/>
      <c r="DC444" s="2275"/>
      <c r="DD444" s="2275"/>
      <c r="DE444" s="2275"/>
      <c r="DF444" s="2275"/>
      <c r="DG444" s="2275"/>
      <c r="DH444" s="2275"/>
      <c r="DI444" s="2275"/>
      <c r="DJ444" s="2275"/>
      <c r="DK444" s="2275"/>
      <c r="DL444" s="2275"/>
      <c r="DM444" s="2275"/>
      <c r="DN444" s="2275"/>
      <c r="DO444" s="53"/>
      <c r="DP444" s="53"/>
      <c r="DS444" s="277"/>
      <c r="DW444" s="1"/>
      <c r="DX444" s="2342" t="str">
        <f>IF(DY444=EA434,"Right","Wrong")</f>
        <v>Right</v>
      </c>
      <c r="DY444" s="2342">
        <f>HLOOKUP(DY443,DX440:EH441,2,0)</f>
        <v>475</v>
      </c>
      <c r="DZ444" s="2275"/>
      <c r="EA444" s="2275"/>
      <c r="EB444" s="2275"/>
      <c r="EC444" s="2275"/>
      <c r="ED444" s="2275"/>
      <c r="EE444" s="2275"/>
      <c r="EF444" s="2275"/>
      <c r="EG444" s="2275"/>
      <c r="EH444" s="2275"/>
      <c r="EI444" s="2275"/>
      <c r="EJ444" s="2275"/>
      <c r="EK444" s="2275"/>
      <c r="EL444" s="2342" t="str">
        <f>IF(EM444=EO434,"Right","Wrong")</f>
        <v>Right</v>
      </c>
      <c r="EM444" s="2342">
        <f>HLOOKUP(EM443,EL440:EV441,2,0)</f>
        <v>475</v>
      </c>
      <c r="EN444" s="2275"/>
      <c r="EO444" s="2275"/>
      <c r="EP444" s="2275"/>
      <c r="EQ444" s="2275"/>
      <c r="ER444" s="2275"/>
      <c r="ES444" s="2275"/>
      <c r="ET444" s="2275"/>
      <c r="EU444" s="2275"/>
      <c r="EV444" s="2275"/>
      <c r="EW444" s="2275"/>
      <c r="EX444" s="2275"/>
      <c r="EY444" s="2275"/>
      <c r="EZ444" s="2342" t="str">
        <f>IF(FA444=FC434,"Right","Wrong")</f>
        <v>Right</v>
      </c>
      <c r="FA444" s="2342">
        <f>HLOOKUP(FA443,EZ440:FJ441,2,0)</f>
        <v>475</v>
      </c>
      <c r="FB444" s="2275"/>
      <c r="FC444" s="2275"/>
      <c r="FD444" s="2275"/>
      <c r="FE444" s="2275"/>
      <c r="FF444" s="2275"/>
      <c r="FG444" s="2275"/>
      <c r="FH444" s="2275"/>
      <c r="FI444" s="2275"/>
      <c r="FJ444" s="2275"/>
      <c r="FK444" s="2275"/>
      <c r="FL444" s="2275"/>
      <c r="FM444" s="2275"/>
      <c r="FN444" s="2342" t="str">
        <f>IF(FO444=FQ434,"Right","Wrong")</f>
        <v>Right</v>
      </c>
      <c r="FO444" s="2342">
        <f>HLOOKUP(FO443,FN440:FX441,2,0)</f>
        <v>475</v>
      </c>
      <c r="FP444" s="2275"/>
      <c r="FQ444" s="2275"/>
      <c r="FR444" s="2275"/>
      <c r="FS444" s="2275"/>
      <c r="FT444" s="2275"/>
      <c r="FU444" s="2275"/>
      <c r="FV444" s="2275"/>
      <c r="FW444" s="2275"/>
      <c r="FX444" s="2275"/>
      <c r="FY444" s="2275"/>
      <c r="FZ444" s="2275"/>
      <c r="GA444" s="2275"/>
      <c r="GB444" s="2276"/>
      <c r="GC444" s="2276"/>
      <c r="GD444" s="2250"/>
      <c r="GE444" s="2275"/>
      <c r="GF444" s="2342" t="str">
        <f>IF(GG444=GI434,"Right","Wrong")</f>
        <v>Right</v>
      </c>
      <c r="GG444" s="2342">
        <f>HLOOKUP(GG443,GF440:GP441,2,0)</f>
        <v>475</v>
      </c>
      <c r="GH444" s="2275"/>
      <c r="GI444" s="2275"/>
      <c r="GJ444" s="2275"/>
      <c r="GK444" s="2275"/>
      <c r="GL444" s="2275"/>
      <c r="GM444" s="2275"/>
      <c r="GN444" s="2275"/>
      <c r="GO444" s="2275"/>
      <c r="GP444" s="2275"/>
      <c r="GQ444" s="2275"/>
      <c r="GR444" s="2275"/>
      <c r="GS444" s="2275"/>
      <c r="GT444" s="2342" t="str">
        <f>IF(GU444=GW434,"Right","Wrong")</f>
        <v>Right</v>
      </c>
      <c r="GU444" s="2342">
        <f>HLOOKUP(GU443,GT440:HD441,2,0)</f>
        <v>475</v>
      </c>
      <c r="GV444" s="2275"/>
      <c r="GW444" s="2275"/>
      <c r="GX444" s="2275"/>
      <c r="GY444" s="2275"/>
      <c r="GZ444" s="2275"/>
      <c r="HA444" s="2275"/>
      <c r="HB444" s="2275"/>
      <c r="HC444" s="2275"/>
      <c r="HD444" s="2275"/>
      <c r="HE444" s="2275"/>
      <c r="HF444" s="2275"/>
      <c r="HG444" s="2275"/>
      <c r="HH444" s="2342" t="str">
        <f>IF(HI444=HK434,"Right","Wrong")</f>
        <v>Right</v>
      </c>
      <c r="HI444" s="2342">
        <f>HLOOKUP(HI443,HH440:HR441,2,0)</f>
        <v>475</v>
      </c>
      <c r="HJ444" s="2275"/>
      <c r="HK444" s="2275"/>
      <c r="HL444" s="2275"/>
      <c r="HM444" s="2275"/>
      <c r="HN444" s="2275"/>
      <c r="HO444" s="2275"/>
      <c r="HP444" s="2275"/>
      <c r="HQ444" s="2275"/>
      <c r="HR444" s="2275"/>
      <c r="HS444" s="2275"/>
      <c r="HT444" s="2275"/>
      <c r="HU444" s="2275"/>
      <c r="HV444" s="2342" t="str">
        <f>IF(HW444=HY434,"Right","Wrong")</f>
        <v>Right</v>
      </c>
      <c r="HW444" s="2342">
        <f>HLOOKUP(HW443,HV440:IF441,2,0)</f>
        <v>475</v>
      </c>
      <c r="HX444" s="2275"/>
      <c r="HY444" s="2275"/>
      <c r="HZ444" s="2275"/>
      <c r="IA444" s="2275"/>
      <c r="IB444" s="2275"/>
      <c r="IC444" s="2275"/>
      <c r="ID444" s="2275"/>
      <c r="IE444" s="2275"/>
      <c r="IF444" s="2275"/>
      <c r="IG444" s="2275"/>
      <c r="IH444" s="2275"/>
      <c r="II444" s="2275"/>
      <c r="IJ444" s="2275"/>
      <c r="IK444" s="53"/>
      <c r="IL444" s="53"/>
      <c r="IN444" s="277"/>
      <c r="IO444" s="277"/>
    </row>
    <row r="445" spans="2:249" ht="21.95" customHeight="1">
      <c r="B445" s="2331" t="str">
        <f>IF(C443=D434,"Right","Wrong")</f>
        <v>Right</v>
      </c>
      <c r="C445" s="2275"/>
      <c r="D445" s="2275"/>
      <c r="E445" s="2275"/>
      <c r="F445" s="2275"/>
      <c r="G445" s="2275"/>
      <c r="H445" s="2275"/>
      <c r="I445" s="2275"/>
      <c r="J445" s="2275"/>
      <c r="K445" s="2275"/>
      <c r="L445" s="2275"/>
      <c r="M445" s="2275"/>
      <c r="N445" s="2275"/>
      <c r="O445" s="2275"/>
      <c r="P445" s="2331" t="str">
        <f>IF(Q443=R434,"Right","Wrong")</f>
        <v>Right</v>
      </c>
      <c r="Q445" s="2275"/>
      <c r="R445" s="2275"/>
      <c r="S445" s="2275"/>
      <c r="T445" s="2275"/>
      <c r="U445" s="2275"/>
      <c r="V445" s="2275"/>
      <c r="W445" s="2275"/>
      <c r="X445" s="2275"/>
      <c r="Y445" s="2275"/>
      <c r="Z445" s="2275"/>
      <c r="AA445" s="2275"/>
      <c r="AB445" s="2275"/>
      <c r="AC445" s="2275"/>
      <c r="AD445" s="2331" t="str">
        <f>IF(AE443=AF434,"Right","Wrong")</f>
        <v>Right</v>
      </c>
      <c r="AE445" s="2275"/>
      <c r="AF445" s="2275"/>
      <c r="AG445" s="2275"/>
      <c r="AH445" s="2275"/>
      <c r="AI445" s="2275"/>
      <c r="AJ445" s="2275"/>
      <c r="AK445" s="2275"/>
      <c r="AL445" s="2275"/>
      <c r="AM445" s="2275"/>
      <c r="AN445" s="2275"/>
      <c r="AO445" s="2275"/>
      <c r="AP445" s="2275"/>
      <c r="AQ445" s="2275"/>
      <c r="AR445" s="2331" t="str">
        <f>IF(AS443=AT434,"Right","Wrong")</f>
        <v>Right</v>
      </c>
      <c r="AS445" s="2275"/>
      <c r="AT445" s="2275"/>
      <c r="AU445" s="2275"/>
      <c r="AV445" s="2275"/>
      <c r="AW445" s="2275"/>
      <c r="AX445" s="2275"/>
      <c r="AY445" s="2275"/>
      <c r="AZ445" s="2275"/>
      <c r="BA445" s="2275"/>
      <c r="BB445" s="2275"/>
      <c r="BC445" s="2275"/>
      <c r="BD445" s="2275"/>
      <c r="BE445" s="2275"/>
      <c r="BF445" s="2276"/>
      <c r="BG445" s="2276"/>
      <c r="BH445" s="2250"/>
      <c r="BI445" s="2275"/>
      <c r="BJ445" s="2331" t="str">
        <f>IF(BK443=BL434,"Right","Wrong")</f>
        <v>Right</v>
      </c>
      <c r="BK445" s="2275"/>
      <c r="BL445" s="2275"/>
      <c r="BM445" s="2275"/>
      <c r="BN445" s="2275"/>
      <c r="BO445" s="2275"/>
      <c r="BP445" s="2275"/>
      <c r="BQ445" s="2275"/>
      <c r="BR445" s="2275"/>
      <c r="BS445" s="2275"/>
      <c r="BT445" s="2275"/>
      <c r="BU445" s="2275"/>
      <c r="BV445" s="2275"/>
      <c r="BW445" s="2275"/>
      <c r="BX445" s="2331" t="str">
        <f>IF(BY443=BZ434,"Right","Wrong")</f>
        <v>Right</v>
      </c>
      <c r="BY445" s="2275"/>
      <c r="BZ445" s="2275"/>
      <c r="CA445" s="2275"/>
      <c r="CB445" s="2275"/>
      <c r="CC445" s="2275"/>
      <c r="CD445" s="2275"/>
      <c r="CE445" s="2275"/>
      <c r="CF445" s="2275"/>
      <c r="CG445" s="2275"/>
      <c r="CH445" s="2275"/>
      <c r="CI445" s="2275"/>
      <c r="CJ445" s="2275"/>
      <c r="CK445" s="2275"/>
      <c r="CL445" s="2331" t="str">
        <f>IF(CM443=CN434,"Right","Wrong")</f>
        <v>Right</v>
      </c>
      <c r="CM445" s="2275"/>
      <c r="CN445" s="2275"/>
      <c r="CO445" s="2275"/>
      <c r="CP445" s="2275"/>
      <c r="CQ445" s="2275"/>
      <c r="CR445" s="2275"/>
      <c r="CS445" s="2275"/>
      <c r="CT445" s="2275"/>
      <c r="CU445" s="2275"/>
      <c r="CV445" s="2275"/>
      <c r="CW445" s="2275"/>
      <c r="CX445" s="2275"/>
      <c r="CY445" s="2275"/>
      <c r="CZ445" s="2331" t="str">
        <f>IF(DA443=DB434,"Right","Wrong")</f>
        <v>Right</v>
      </c>
      <c r="DA445" s="2275"/>
      <c r="DB445" s="2275"/>
      <c r="DC445" s="2275"/>
      <c r="DD445" s="2275"/>
      <c r="DE445" s="2275"/>
      <c r="DF445" s="2275"/>
      <c r="DG445" s="2275"/>
      <c r="DH445" s="2275"/>
      <c r="DI445" s="2275"/>
      <c r="DJ445" s="2275"/>
      <c r="DK445" s="2275"/>
      <c r="DL445" s="2275"/>
      <c r="DM445" s="2275"/>
      <c r="DN445" s="2275"/>
      <c r="DO445" s="53"/>
      <c r="DP445" s="53"/>
      <c r="DS445" s="277"/>
      <c r="DW445" s="1"/>
      <c r="DX445" s="2331" t="str">
        <f>IF(DY443=DZ434,"Right","Wrong")</f>
        <v>Right</v>
      </c>
      <c r="DY445" s="2275"/>
      <c r="DZ445" s="2275"/>
      <c r="EA445" s="2275"/>
      <c r="EB445" s="2275"/>
      <c r="EC445" s="2275"/>
      <c r="ED445" s="2275"/>
      <c r="EE445" s="2275"/>
      <c r="EF445" s="2275"/>
      <c r="EG445" s="2275"/>
      <c r="EH445" s="2275"/>
      <c r="EI445" s="2275"/>
      <c r="EJ445" s="2275"/>
      <c r="EK445" s="2275"/>
      <c r="EL445" s="2331" t="str">
        <f>IF(EM443=EN434,"Right","Wrong")</f>
        <v>Right</v>
      </c>
      <c r="EM445" s="2275"/>
      <c r="EN445" s="2275"/>
      <c r="EO445" s="2275"/>
      <c r="EP445" s="2275"/>
      <c r="EQ445" s="2275"/>
      <c r="ER445" s="2275"/>
      <c r="ES445" s="2275"/>
      <c r="ET445" s="2275"/>
      <c r="EU445" s="2275"/>
      <c r="EV445" s="2275"/>
      <c r="EW445" s="2275"/>
      <c r="EX445" s="2275"/>
      <c r="EY445" s="2275"/>
      <c r="EZ445" s="2331" t="str">
        <f>IF(FA443=FB434,"Right","Wrong")</f>
        <v>Right</v>
      </c>
      <c r="FA445" s="2275"/>
      <c r="FB445" s="2275"/>
      <c r="FC445" s="2275"/>
      <c r="FD445" s="2275"/>
      <c r="FE445" s="2275"/>
      <c r="FF445" s="2275"/>
      <c r="FG445" s="2275"/>
      <c r="FH445" s="2275"/>
      <c r="FI445" s="2275"/>
      <c r="FJ445" s="2275"/>
      <c r="FK445" s="2275"/>
      <c r="FL445" s="2275"/>
      <c r="FM445" s="2275"/>
      <c r="FN445" s="2331" t="str">
        <f>IF(FO443=FP434,"Right","Wrong")</f>
        <v>Right</v>
      </c>
      <c r="FO445" s="2275"/>
      <c r="FP445" s="2275"/>
      <c r="FQ445" s="2275"/>
      <c r="FR445" s="2275"/>
      <c r="FS445" s="2275"/>
      <c r="FT445" s="2275"/>
      <c r="FU445" s="2275"/>
      <c r="FV445" s="2275"/>
      <c r="FW445" s="2275"/>
      <c r="FX445" s="2275"/>
      <c r="FY445" s="2275"/>
      <c r="FZ445" s="2275"/>
      <c r="GA445" s="2275"/>
      <c r="GB445" s="2276"/>
      <c r="GC445" s="2276"/>
      <c r="GD445" s="2250"/>
      <c r="GE445" s="2275"/>
      <c r="GF445" s="2331" t="str">
        <f>IF(GG443=GH434,"Right","Wrong")</f>
        <v>Right</v>
      </c>
      <c r="GG445" s="2275"/>
      <c r="GH445" s="2275"/>
      <c r="GI445" s="2275"/>
      <c r="GJ445" s="2275"/>
      <c r="GK445" s="2275"/>
      <c r="GL445" s="2275"/>
      <c r="GM445" s="2275"/>
      <c r="GN445" s="2275"/>
      <c r="GO445" s="2275"/>
      <c r="GP445" s="2275"/>
      <c r="GQ445" s="2275"/>
      <c r="GR445" s="2275"/>
      <c r="GS445" s="2275"/>
      <c r="GT445" s="2331" t="str">
        <f>IF(GU443=GV434,"Right","Wrong")</f>
        <v>Right</v>
      </c>
      <c r="GU445" s="2275"/>
      <c r="GV445" s="2275"/>
      <c r="GW445" s="2275"/>
      <c r="GX445" s="2275"/>
      <c r="GY445" s="2275"/>
      <c r="GZ445" s="2275"/>
      <c r="HA445" s="2275"/>
      <c r="HB445" s="2275"/>
      <c r="HC445" s="2275"/>
      <c r="HD445" s="2275"/>
      <c r="HE445" s="2275"/>
      <c r="HF445" s="2275"/>
      <c r="HG445" s="2275"/>
      <c r="HH445" s="2331" t="str">
        <f>IF(HI443=HJ434,"Right","Wrong")</f>
        <v>Right</v>
      </c>
      <c r="HI445" s="2275"/>
      <c r="HJ445" s="2275"/>
      <c r="HK445" s="2275"/>
      <c r="HL445" s="2275"/>
      <c r="HM445" s="2275"/>
      <c r="HN445" s="2275"/>
      <c r="HO445" s="2275"/>
      <c r="HP445" s="2275"/>
      <c r="HQ445" s="2275"/>
      <c r="HR445" s="2275"/>
      <c r="HS445" s="2275"/>
      <c r="HT445" s="2275"/>
      <c r="HU445" s="2275"/>
      <c r="HV445" s="2331" t="str">
        <f>IF(HW443=HX434,"Right","Wrong")</f>
        <v>Right</v>
      </c>
      <c r="HW445" s="2275"/>
      <c r="HX445" s="2275"/>
      <c r="HY445" s="2275"/>
      <c r="HZ445" s="2275"/>
      <c r="IA445" s="2275"/>
      <c r="IB445" s="2275"/>
      <c r="IC445" s="2275"/>
      <c r="ID445" s="2275"/>
      <c r="IE445" s="2275"/>
      <c r="IF445" s="2275"/>
      <c r="IG445" s="2275"/>
      <c r="IH445" s="2275"/>
      <c r="II445" s="2275"/>
      <c r="IJ445" s="2275"/>
      <c r="IK445" s="53"/>
      <c r="IL445" s="53"/>
      <c r="IN445" s="277"/>
      <c r="IO445" s="277"/>
    </row>
    <row r="446" spans="2:249" ht="21.95" customHeight="1">
      <c r="B446" s="2275"/>
      <c r="C446" s="2275"/>
      <c r="D446" s="2275"/>
      <c r="E446" s="2275"/>
      <c r="F446" s="2275"/>
      <c r="G446" s="2275"/>
      <c r="H446" s="2250"/>
      <c r="I446" s="2250"/>
      <c r="J446" s="2250"/>
      <c r="K446" s="2250"/>
      <c r="L446" s="2275"/>
      <c r="M446" s="2275"/>
      <c r="N446" s="2275"/>
      <c r="O446" s="2275"/>
      <c r="P446" s="2275"/>
      <c r="Q446" s="2275"/>
      <c r="R446" s="2275"/>
      <c r="S446" s="2275"/>
      <c r="T446" s="2275"/>
      <c r="U446" s="2275"/>
      <c r="V446" s="2275"/>
      <c r="W446" s="2275"/>
      <c r="X446" s="2275"/>
      <c r="Y446" s="2275"/>
      <c r="Z446" s="2275"/>
      <c r="AA446" s="2275"/>
      <c r="AB446" s="2275"/>
      <c r="AC446" s="2275"/>
      <c r="AD446" s="2275"/>
      <c r="AE446" s="2275"/>
      <c r="AF446" s="2275"/>
      <c r="AG446" s="2275"/>
      <c r="AH446" s="2275"/>
      <c r="AI446" s="2275"/>
      <c r="AJ446" s="2275"/>
      <c r="AK446" s="2275"/>
      <c r="AL446" s="2275"/>
      <c r="AM446" s="2275"/>
      <c r="AN446" s="2275"/>
      <c r="AO446" s="2275"/>
      <c r="AP446" s="2275"/>
      <c r="AQ446" s="2275"/>
      <c r="AR446" s="2275"/>
      <c r="AS446" s="2275"/>
      <c r="AT446" s="2275"/>
      <c r="AU446" s="2275"/>
      <c r="AV446" s="2275"/>
      <c r="AW446" s="2275"/>
      <c r="AX446" s="2275"/>
      <c r="AY446" s="2275"/>
      <c r="AZ446" s="2275"/>
      <c r="BA446" s="2275"/>
      <c r="BB446" s="2275"/>
      <c r="BC446" s="2275"/>
      <c r="BD446" s="2275"/>
      <c r="BE446" s="2275"/>
      <c r="BF446" s="2276"/>
      <c r="BG446" s="2276"/>
      <c r="BH446" s="2250"/>
      <c r="BI446" s="2275"/>
      <c r="BJ446" s="2275"/>
      <c r="BK446" s="2275"/>
      <c r="BL446" s="2275"/>
      <c r="BM446" s="2275"/>
      <c r="BN446" s="2275"/>
      <c r="BO446" s="2275"/>
      <c r="BP446" s="2250"/>
      <c r="BQ446" s="2250"/>
      <c r="BR446" s="2250"/>
      <c r="BS446" s="2250"/>
      <c r="BT446" s="2275"/>
      <c r="BU446" s="2275"/>
      <c r="BV446" s="2275"/>
      <c r="BW446" s="2275"/>
      <c r="BX446" s="2275"/>
      <c r="BY446" s="2275"/>
      <c r="BZ446" s="2275"/>
      <c r="CA446" s="2275"/>
      <c r="CB446" s="2275"/>
      <c r="CC446" s="2275"/>
      <c r="CD446" s="2275"/>
      <c r="CE446" s="2275"/>
      <c r="CF446" s="2275"/>
      <c r="CG446" s="2275"/>
      <c r="CH446" s="2275"/>
      <c r="CI446" s="2275"/>
      <c r="CJ446" s="2275"/>
      <c r="CK446" s="2275"/>
      <c r="CL446" s="2275"/>
      <c r="CM446" s="2275"/>
      <c r="CN446" s="2275"/>
      <c r="CO446" s="2275"/>
      <c r="CP446" s="2275"/>
      <c r="CQ446" s="2275"/>
      <c r="CR446" s="2275"/>
      <c r="CS446" s="2275"/>
      <c r="CT446" s="2275"/>
      <c r="CU446" s="2275"/>
      <c r="CV446" s="2275"/>
      <c r="CW446" s="2275"/>
      <c r="CX446" s="2275"/>
      <c r="CY446" s="2275"/>
      <c r="CZ446" s="2275"/>
      <c r="DA446" s="2275"/>
      <c r="DB446" s="2275"/>
      <c r="DC446" s="2275"/>
      <c r="DD446" s="2275"/>
      <c r="DE446" s="2275"/>
      <c r="DF446" s="2275"/>
      <c r="DG446" s="2275"/>
      <c r="DH446" s="2275"/>
      <c r="DI446" s="2275"/>
      <c r="DJ446" s="2275"/>
      <c r="DK446" s="2275"/>
      <c r="DL446" s="2275"/>
      <c r="DM446" s="2275"/>
      <c r="DN446" s="2275"/>
      <c r="DO446" s="53"/>
      <c r="DP446" s="53"/>
      <c r="DS446" s="277"/>
      <c r="DW446" s="1"/>
      <c r="DX446" s="2275"/>
      <c r="DY446" s="2275"/>
      <c r="DZ446" s="2275"/>
      <c r="EA446" s="2275"/>
      <c r="EB446" s="2275"/>
      <c r="EC446" s="2275"/>
      <c r="ED446" s="2250"/>
      <c r="EE446" s="2250"/>
      <c r="EF446" s="2250"/>
      <c r="EG446" s="2250"/>
      <c r="EH446" s="2275"/>
      <c r="EI446" s="2275"/>
      <c r="EJ446" s="2275"/>
      <c r="EK446" s="2275"/>
      <c r="EL446" s="2275"/>
      <c r="EM446" s="2275"/>
      <c r="EN446" s="2275"/>
      <c r="EO446" s="2275"/>
      <c r="EP446" s="2275"/>
      <c r="EQ446" s="2275"/>
      <c r="ER446" s="2275"/>
      <c r="ES446" s="2275"/>
      <c r="ET446" s="2275"/>
      <c r="EU446" s="2275"/>
      <c r="EV446" s="2275"/>
      <c r="EW446" s="2275"/>
      <c r="EX446" s="2275"/>
      <c r="EY446" s="2275"/>
      <c r="EZ446" s="2275"/>
      <c r="FA446" s="2275"/>
      <c r="FB446" s="2275"/>
      <c r="FC446" s="2275"/>
      <c r="FD446" s="2275"/>
      <c r="FE446" s="2275"/>
      <c r="FF446" s="2275"/>
      <c r="FG446" s="2275"/>
      <c r="FH446" s="2275"/>
      <c r="FI446" s="2275"/>
      <c r="FJ446" s="2275"/>
      <c r="FK446" s="2275"/>
      <c r="FL446" s="2275"/>
      <c r="FM446" s="2275"/>
      <c r="FN446" s="2275"/>
      <c r="FO446" s="2275"/>
      <c r="FP446" s="2275"/>
      <c r="FQ446" s="2275"/>
      <c r="FR446" s="2275"/>
      <c r="FS446" s="2275"/>
      <c r="FT446" s="2275"/>
      <c r="FU446" s="2275"/>
      <c r="FV446" s="2275"/>
      <c r="FW446" s="2275"/>
      <c r="FX446" s="2275"/>
      <c r="FY446" s="2275"/>
      <c r="FZ446" s="2275"/>
      <c r="GA446" s="2275"/>
      <c r="GB446" s="2276"/>
      <c r="GC446" s="2276"/>
      <c r="GD446" s="2250"/>
      <c r="GE446" s="2275"/>
      <c r="GF446" s="2275"/>
      <c r="GG446" s="2275"/>
      <c r="GH446" s="2275"/>
      <c r="GI446" s="2275"/>
      <c r="GJ446" s="2275"/>
      <c r="GK446" s="2275"/>
      <c r="GL446" s="2250"/>
      <c r="GM446" s="2250"/>
      <c r="GN446" s="2250"/>
      <c r="GO446" s="2250"/>
      <c r="GP446" s="2275"/>
      <c r="GQ446" s="2275"/>
      <c r="GR446" s="2275"/>
      <c r="GS446" s="2275"/>
      <c r="GT446" s="2275"/>
      <c r="GU446" s="2275"/>
      <c r="GV446" s="2275"/>
      <c r="GW446" s="2275"/>
      <c r="GX446" s="2275"/>
      <c r="GY446" s="2275"/>
      <c r="GZ446" s="2275"/>
      <c r="HA446" s="2275"/>
      <c r="HB446" s="2275"/>
      <c r="HC446" s="2275"/>
      <c r="HD446" s="2275"/>
      <c r="HE446" s="2275"/>
      <c r="HF446" s="2275"/>
      <c r="HG446" s="2275"/>
      <c r="HH446" s="2275"/>
      <c r="HI446" s="2275"/>
      <c r="HJ446" s="2275"/>
      <c r="HK446" s="2275"/>
      <c r="HL446" s="2275"/>
      <c r="HM446" s="2275"/>
      <c r="HN446" s="2275"/>
      <c r="HO446" s="2275"/>
      <c r="HP446" s="2275"/>
      <c r="HQ446" s="2275"/>
      <c r="HR446" s="2275"/>
      <c r="HS446" s="2275"/>
      <c r="HT446" s="2275"/>
      <c r="HU446" s="2275"/>
      <c r="HV446" s="2275"/>
      <c r="HW446" s="2275"/>
      <c r="HX446" s="2275"/>
      <c r="HY446" s="2275"/>
      <c r="HZ446" s="2275"/>
      <c r="IA446" s="2275"/>
      <c r="IB446" s="2275"/>
      <c r="IC446" s="2275"/>
      <c r="ID446" s="2275"/>
      <c r="IE446" s="2275"/>
      <c r="IF446" s="2275"/>
      <c r="IG446" s="2275"/>
      <c r="IH446" s="2275"/>
      <c r="II446" s="2275"/>
      <c r="IJ446" s="2275"/>
      <c r="IK446" s="53"/>
      <c r="IL446" s="53"/>
      <c r="IN446" s="277"/>
      <c r="IO446" s="277"/>
    </row>
    <row r="447" spans="2:249" ht="21.95" customHeight="1">
      <c r="B447" s="2275"/>
      <c r="C447" s="2275"/>
      <c r="D447" s="2275"/>
      <c r="E447" s="2275"/>
      <c r="F447" s="2275"/>
      <c r="G447" s="2275"/>
      <c r="H447" s="2275"/>
      <c r="I447" s="2275"/>
      <c r="J447" s="2275"/>
      <c r="K447" s="2275"/>
      <c r="L447" s="2275"/>
      <c r="M447" s="2275"/>
      <c r="N447" s="2275"/>
      <c r="O447" s="2275"/>
      <c r="P447" s="2275"/>
      <c r="Q447" s="2275"/>
      <c r="R447" s="2275"/>
      <c r="S447" s="2275"/>
      <c r="T447" s="2275"/>
      <c r="U447" s="2275"/>
      <c r="V447" s="2275"/>
      <c r="W447" s="2275"/>
      <c r="X447" s="2275"/>
      <c r="Y447" s="2275"/>
      <c r="Z447" s="2275"/>
      <c r="AA447" s="2275"/>
      <c r="AB447" s="2275"/>
      <c r="AC447" s="2275"/>
      <c r="AD447" s="2275"/>
      <c r="AE447" s="2275"/>
      <c r="AF447" s="2275"/>
      <c r="AG447" s="2275"/>
      <c r="AH447" s="2275"/>
      <c r="AI447" s="2275"/>
      <c r="AJ447" s="2275"/>
      <c r="AK447" s="2275"/>
      <c r="AL447" s="2275"/>
      <c r="AM447" s="2275"/>
      <c r="AN447" s="2275"/>
      <c r="AO447" s="2275"/>
      <c r="AP447" s="2275"/>
      <c r="AQ447" s="2275"/>
      <c r="AR447" s="2275"/>
      <c r="AS447" s="2275"/>
      <c r="AT447" s="2275"/>
      <c r="AU447" s="2275"/>
      <c r="AV447" s="2275"/>
      <c r="AW447" s="2275"/>
      <c r="AX447" s="2275"/>
      <c r="AY447" s="2275"/>
      <c r="AZ447" s="2275"/>
      <c r="BA447" s="2275"/>
      <c r="BB447" s="2275"/>
      <c r="BC447" s="2275"/>
      <c r="BD447" s="2275"/>
      <c r="BE447" s="2275"/>
      <c r="BF447" s="2276"/>
      <c r="BG447" s="2276"/>
      <c r="BH447" s="2250"/>
      <c r="BI447" s="2275"/>
      <c r="BJ447" s="2275"/>
      <c r="BK447" s="2275"/>
      <c r="BL447" s="2275"/>
      <c r="BM447" s="2275"/>
      <c r="BN447" s="2275"/>
      <c r="BO447" s="2275"/>
      <c r="BP447" s="2275"/>
      <c r="BQ447" s="2275"/>
      <c r="BR447" s="2275"/>
      <c r="BS447" s="2275"/>
      <c r="BT447" s="2275"/>
      <c r="BU447" s="2275"/>
      <c r="BV447" s="2275"/>
      <c r="BW447" s="2275"/>
      <c r="BX447" s="2275"/>
      <c r="BY447" s="2275"/>
      <c r="BZ447" s="2275"/>
      <c r="CA447" s="2275"/>
      <c r="CB447" s="2275"/>
      <c r="CC447" s="2275"/>
      <c r="CD447" s="2275"/>
      <c r="CE447" s="2275"/>
      <c r="CF447" s="2275"/>
      <c r="CG447" s="2275"/>
      <c r="CH447" s="2275"/>
      <c r="CI447" s="2275"/>
      <c r="CJ447" s="2275"/>
      <c r="CK447" s="2275"/>
      <c r="CL447" s="2275"/>
      <c r="CM447" s="2275"/>
      <c r="CN447" s="2275"/>
      <c r="CO447" s="2275"/>
      <c r="CP447" s="2275"/>
      <c r="CQ447" s="2275"/>
      <c r="CR447" s="2275"/>
      <c r="CS447" s="2275"/>
      <c r="CT447" s="2275"/>
      <c r="CU447" s="2275"/>
      <c r="CV447" s="2275"/>
      <c r="CW447" s="2275"/>
      <c r="CX447" s="2275"/>
      <c r="CY447" s="2275"/>
      <c r="CZ447" s="2275"/>
      <c r="DA447" s="2275"/>
      <c r="DB447" s="2275"/>
      <c r="DC447" s="2275"/>
      <c r="DD447" s="2275"/>
      <c r="DE447" s="2275"/>
      <c r="DF447" s="2275"/>
      <c r="DG447" s="2275"/>
      <c r="DH447" s="2275"/>
      <c r="DI447" s="2275"/>
      <c r="DJ447" s="2275"/>
      <c r="DK447" s="2275"/>
      <c r="DL447" s="2275"/>
      <c r="DM447" s="2275"/>
      <c r="DN447" s="2275"/>
      <c r="DO447" s="53"/>
      <c r="DP447" s="53"/>
      <c r="DS447" s="277"/>
      <c r="DW447" s="1"/>
      <c r="DX447" s="2275"/>
      <c r="DY447" s="2275"/>
      <c r="DZ447" s="2275"/>
      <c r="EA447" s="2275"/>
      <c r="EB447" s="2275"/>
      <c r="EC447" s="2275"/>
      <c r="ED447" s="2275"/>
      <c r="EE447" s="2275"/>
      <c r="EF447" s="2275"/>
      <c r="EG447" s="2275"/>
      <c r="EH447" s="2275"/>
      <c r="EI447" s="2275"/>
      <c r="EJ447" s="2275"/>
      <c r="EK447" s="2275"/>
      <c r="EL447" s="2275"/>
      <c r="EM447" s="2275"/>
      <c r="EN447" s="2275"/>
      <c r="EO447" s="2275"/>
      <c r="EP447" s="2275"/>
      <c r="EQ447" s="2275"/>
      <c r="ER447" s="2275"/>
      <c r="ES447" s="2275"/>
      <c r="ET447" s="2275"/>
      <c r="EU447" s="2275"/>
      <c r="EV447" s="2275"/>
      <c r="EW447" s="2275"/>
      <c r="EX447" s="2275"/>
      <c r="EY447" s="2275"/>
      <c r="EZ447" s="2275"/>
      <c r="FA447" s="2275"/>
      <c r="FB447" s="2275"/>
      <c r="FC447" s="2275"/>
      <c r="FD447" s="2275"/>
      <c r="FE447" s="2275"/>
      <c r="FF447" s="2275"/>
      <c r="FG447" s="2275"/>
      <c r="FH447" s="2275"/>
      <c r="FI447" s="2275"/>
      <c r="FJ447" s="2275"/>
      <c r="FK447" s="2275"/>
      <c r="FL447" s="2275"/>
      <c r="FM447" s="2275"/>
      <c r="FN447" s="2275"/>
      <c r="FO447" s="2275"/>
      <c r="FP447" s="2275"/>
      <c r="FQ447" s="2275"/>
      <c r="FR447" s="2275"/>
      <c r="FS447" s="2275"/>
      <c r="FT447" s="2275"/>
      <c r="FU447" s="2275"/>
      <c r="FV447" s="2275"/>
      <c r="FW447" s="2275"/>
      <c r="FX447" s="2275"/>
      <c r="FY447" s="2275"/>
      <c r="FZ447" s="2275"/>
      <c r="GA447" s="2275"/>
      <c r="GB447" s="2276"/>
      <c r="GC447" s="2276"/>
      <c r="GD447" s="2250"/>
      <c r="GE447" s="2275"/>
      <c r="GF447" s="2275"/>
      <c r="GG447" s="2275"/>
      <c r="GH447" s="2275"/>
      <c r="GI447" s="2275"/>
      <c r="GJ447" s="2275"/>
      <c r="GK447" s="2275"/>
      <c r="GL447" s="2275"/>
      <c r="GM447" s="2275"/>
      <c r="GN447" s="2275"/>
      <c r="GO447" s="2275"/>
      <c r="GP447" s="2275"/>
      <c r="GQ447" s="2275"/>
      <c r="GR447" s="2275"/>
      <c r="GS447" s="2275"/>
      <c r="GT447" s="2275"/>
      <c r="GU447" s="2275"/>
      <c r="GV447" s="2275"/>
      <c r="GW447" s="2275"/>
      <c r="GX447" s="2275"/>
      <c r="GY447" s="2275"/>
      <c r="GZ447" s="2275"/>
      <c r="HA447" s="2275"/>
      <c r="HB447" s="2275"/>
      <c r="HC447" s="2275"/>
      <c r="HD447" s="2275"/>
      <c r="HE447" s="2275"/>
      <c r="HF447" s="2275"/>
      <c r="HG447" s="2275"/>
      <c r="HH447" s="2275"/>
      <c r="HI447" s="2275"/>
      <c r="HJ447" s="2275"/>
      <c r="HK447" s="2275"/>
      <c r="HL447" s="2275"/>
      <c r="HM447" s="2275"/>
      <c r="HN447" s="2275"/>
      <c r="HO447" s="2275"/>
      <c r="HP447" s="2275"/>
      <c r="HQ447" s="2275"/>
      <c r="HR447" s="2275"/>
      <c r="HS447" s="2275"/>
      <c r="HT447" s="2275"/>
      <c r="HU447" s="2275"/>
      <c r="HV447" s="2275"/>
      <c r="HW447" s="2275"/>
      <c r="HX447" s="2275"/>
      <c r="HY447" s="2275"/>
      <c r="HZ447" s="2275"/>
      <c r="IA447" s="2275"/>
      <c r="IB447" s="2275"/>
      <c r="IC447" s="2275"/>
      <c r="ID447" s="2275"/>
      <c r="IE447" s="2275"/>
      <c r="IF447" s="2275"/>
      <c r="IG447" s="2275"/>
      <c r="IH447" s="2275"/>
      <c r="II447" s="2275"/>
      <c r="IJ447" s="2275"/>
      <c r="IK447" s="53"/>
      <c r="IL447" s="53"/>
      <c r="IN447" s="277"/>
      <c r="IO447" s="277"/>
    </row>
    <row r="448" spans="2:249" ht="21.95" customHeight="1">
      <c r="B448" s="2275"/>
      <c r="C448" s="2275"/>
      <c r="D448" s="2275"/>
      <c r="E448" s="2275"/>
      <c r="F448" s="2275"/>
      <c r="G448" s="2275"/>
      <c r="H448" s="2250"/>
      <c r="I448" s="2250"/>
      <c r="J448" s="2250"/>
      <c r="K448" s="2250"/>
      <c r="L448" s="2275"/>
      <c r="M448" s="2275"/>
      <c r="N448" s="2275"/>
      <c r="O448" s="2275"/>
      <c r="P448" s="2275"/>
      <c r="Q448" s="2275"/>
      <c r="R448" s="2275"/>
      <c r="S448" s="2275"/>
      <c r="T448" s="2275"/>
      <c r="U448" s="2275"/>
      <c r="V448" s="2275"/>
      <c r="W448" s="2275"/>
      <c r="X448" s="2275"/>
      <c r="Y448" s="2275"/>
      <c r="Z448" s="2275"/>
      <c r="AA448" s="2275"/>
      <c r="AB448" s="2275"/>
      <c r="AC448" s="2275"/>
      <c r="AD448" s="2275"/>
      <c r="AE448" s="2275"/>
      <c r="AF448" s="2275"/>
      <c r="AG448" s="2275"/>
      <c r="AH448" s="2275"/>
      <c r="AI448" s="2275"/>
      <c r="AJ448" s="2275"/>
      <c r="AK448" s="2275"/>
      <c r="AL448" s="2275"/>
      <c r="AM448" s="2275"/>
      <c r="AN448" s="2275"/>
      <c r="AO448" s="2275"/>
      <c r="AP448" s="2275"/>
      <c r="AQ448" s="2275"/>
      <c r="AR448" s="2275"/>
      <c r="AS448" s="2275"/>
      <c r="AT448" s="2275"/>
      <c r="AU448" s="2275"/>
      <c r="AV448" s="2275"/>
      <c r="AW448" s="2275"/>
      <c r="AX448" s="2275"/>
      <c r="AY448" s="2275"/>
      <c r="AZ448" s="2275"/>
      <c r="BA448" s="2275"/>
      <c r="BB448" s="2275"/>
      <c r="BC448" s="2275"/>
      <c r="BD448" s="2275"/>
      <c r="BE448" s="2275"/>
      <c r="BF448" s="2276"/>
      <c r="BG448" s="2276"/>
      <c r="BH448" s="2250"/>
      <c r="BI448" s="2275"/>
      <c r="BJ448" s="2275"/>
      <c r="BK448" s="2275"/>
      <c r="BL448" s="2275"/>
      <c r="BM448" s="2275"/>
      <c r="BN448" s="2275"/>
      <c r="BO448" s="2275"/>
      <c r="BP448" s="2250"/>
      <c r="BQ448" s="2250"/>
      <c r="BR448" s="2250"/>
      <c r="BS448" s="2250"/>
      <c r="BT448" s="2275"/>
      <c r="BU448" s="2275"/>
      <c r="BV448" s="2275"/>
      <c r="BW448" s="2275"/>
      <c r="BX448" s="2275"/>
      <c r="BY448" s="2275"/>
      <c r="BZ448" s="2275"/>
      <c r="CA448" s="2275"/>
      <c r="CB448" s="2275"/>
      <c r="CC448" s="2275"/>
      <c r="CD448" s="2275"/>
      <c r="CE448" s="2275"/>
      <c r="CF448" s="2275"/>
      <c r="CG448" s="2275"/>
      <c r="CH448" s="2275"/>
      <c r="CI448" s="2275"/>
      <c r="CJ448" s="2275"/>
      <c r="CK448" s="2275"/>
      <c r="CL448" s="2275"/>
      <c r="CM448" s="2275"/>
      <c r="CN448" s="2275"/>
      <c r="CO448" s="2275"/>
      <c r="CP448" s="2275"/>
      <c r="CQ448" s="2275"/>
      <c r="CR448" s="2275"/>
      <c r="CS448" s="2275"/>
      <c r="CT448" s="2275"/>
      <c r="CU448" s="2275"/>
      <c r="CV448" s="2275"/>
      <c r="CW448" s="2275"/>
      <c r="CX448" s="2275"/>
      <c r="CY448" s="2275"/>
      <c r="CZ448" s="2275"/>
      <c r="DA448" s="2275"/>
      <c r="DB448" s="2275"/>
      <c r="DC448" s="2275"/>
      <c r="DD448" s="2275"/>
      <c r="DE448" s="2275"/>
      <c r="DF448" s="2275"/>
      <c r="DG448" s="2275"/>
      <c r="DH448" s="2275"/>
      <c r="DI448" s="2275"/>
      <c r="DJ448" s="2275"/>
      <c r="DK448" s="2275"/>
      <c r="DL448" s="2275"/>
      <c r="DM448" s="2275"/>
      <c r="DN448" s="2275"/>
      <c r="DO448" s="53"/>
      <c r="DP448" s="53"/>
      <c r="DS448" s="277"/>
      <c r="DW448" s="1"/>
      <c r="DX448" s="2275"/>
      <c r="DY448" s="2275"/>
      <c r="DZ448" s="2275"/>
      <c r="EA448" s="2275"/>
      <c r="EB448" s="2275"/>
      <c r="EC448" s="2275"/>
      <c r="ED448" s="2250"/>
      <c r="EE448" s="2250"/>
      <c r="EF448" s="2250"/>
      <c r="EG448" s="2250"/>
      <c r="EH448" s="2275"/>
      <c r="EI448" s="2275"/>
      <c r="EJ448" s="2275"/>
      <c r="EK448" s="2275"/>
      <c r="EL448" s="2275"/>
      <c r="EM448" s="2275"/>
      <c r="EN448" s="2275"/>
      <c r="EO448" s="2275"/>
      <c r="EP448" s="2275"/>
      <c r="EQ448" s="2275"/>
      <c r="ER448" s="2275"/>
      <c r="ES448" s="2275"/>
      <c r="ET448" s="2275"/>
      <c r="EU448" s="2275"/>
      <c r="EV448" s="2275"/>
      <c r="EW448" s="2275"/>
      <c r="EX448" s="2275"/>
      <c r="EY448" s="2275"/>
      <c r="EZ448" s="2275"/>
      <c r="FA448" s="2275"/>
      <c r="FB448" s="2275"/>
      <c r="FC448" s="2275"/>
      <c r="FD448" s="2275"/>
      <c r="FE448" s="2275"/>
      <c r="FF448" s="2275"/>
      <c r="FG448" s="2275"/>
      <c r="FH448" s="2275"/>
      <c r="FI448" s="2275"/>
      <c r="FJ448" s="2275"/>
      <c r="FK448" s="2275"/>
      <c r="FL448" s="2275"/>
      <c r="FM448" s="2275"/>
      <c r="FN448" s="2275"/>
      <c r="FO448" s="2275"/>
      <c r="FP448" s="2275"/>
      <c r="FQ448" s="2275"/>
      <c r="FR448" s="2275"/>
      <c r="FS448" s="2275"/>
      <c r="FT448" s="2275"/>
      <c r="FU448" s="2275"/>
      <c r="FV448" s="2275"/>
      <c r="FW448" s="2275"/>
      <c r="FX448" s="2275"/>
      <c r="FY448" s="2275"/>
      <c r="FZ448" s="2275"/>
      <c r="GA448" s="2275"/>
      <c r="GB448" s="2276"/>
      <c r="GC448" s="2276"/>
      <c r="GD448" s="2250"/>
      <c r="GE448" s="2275"/>
      <c r="GF448" s="2275"/>
      <c r="GG448" s="2275"/>
      <c r="GH448" s="2275"/>
      <c r="GI448" s="2275"/>
      <c r="GJ448" s="2275"/>
      <c r="GK448" s="2275"/>
      <c r="GL448" s="2250"/>
      <c r="GM448" s="2250"/>
      <c r="GN448" s="2250"/>
      <c r="GO448" s="2250"/>
      <c r="GP448" s="2275"/>
      <c r="GQ448" s="2275"/>
      <c r="GR448" s="2275"/>
      <c r="GS448" s="2275"/>
      <c r="GT448" s="2275"/>
      <c r="GU448" s="2275"/>
      <c r="GV448" s="2275"/>
      <c r="GW448" s="2275"/>
      <c r="GX448" s="2275"/>
      <c r="GY448" s="2275"/>
      <c r="GZ448" s="2275"/>
      <c r="HA448" s="2275"/>
      <c r="HB448" s="2275"/>
      <c r="HC448" s="2275"/>
      <c r="HD448" s="2275"/>
      <c r="HE448" s="2275"/>
      <c r="HF448" s="2275"/>
      <c r="HG448" s="2275"/>
      <c r="HH448" s="2275"/>
      <c r="HI448" s="2275"/>
      <c r="HJ448" s="2275"/>
      <c r="HK448" s="2275"/>
      <c r="HL448" s="2275"/>
      <c r="HM448" s="2275"/>
      <c r="HN448" s="2275"/>
      <c r="HO448" s="2275"/>
      <c r="HP448" s="2275"/>
      <c r="HQ448" s="2275"/>
      <c r="HR448" s="2275"/>
      <c r="HS448" s="2275"/>
      <c r="HT448" s="2275"/>
      <c r="HU448" s="2275"/>
      <c r="HV448" s="2275"/>
      <c r="HW448" s="2275"/>
      <c r="HX448" s="2275"/>
      <c r="HY448" s="2275"/>
      <c r="HZ448" s="2275"/>
      <c r="IA448" s="2275"/>
      <c r="IB448" s="2275"/>
      <c r="IC448" s="2275"/>
      <c r="ID448" s="2275"/>
      <c r="IE448" s="2275"/>
      <c r="IF448" s="2275"/>
      <c r="IG448" s="2275"/>
      <c r="IH448" s="2275"/>
      <c r="II448" s="2275"/>
      <c r="IJ448" s="2275"/>
      <c r="IK448" s="53"/>
      <c r="IL448" s="53"/>
      <c r="IN448" s="277"/>
      <c r="IO448" s="277"/>
    </row>
    <row r="449" spans="2:249" ht="21.95" customHeight="1">
      <c r="B449" s="2343"/>
      <c r="C449" s="2343"/>
      <c r="D449" s="2343"/>
      <c r="E449" s="2343"/>
      <c r="F449" s="2343"/>
      <c r="G449" s="2343"/>
      <c r="H449" s="2343"/>
      <c r="I449" s="2343"/>
      <c r="J449" s="2343"/>
      <c r="K449" s="2343"/>
      <c r="L449" s="2343"/>
      <c r="M449" s="2343"/>
      <c r="N449" s="2343"/>
      <c r="O449" s="2343"/>
      <c r="P449" s="2343"/>
      <c r="Q449" s="2343"/>
      <c r="R449" s="2343"/>
      <c r="S449" s="2343"/>
      <c r="T449" s="2343"/>
      <c r="U449" s="2343"/>
      <c r="V449" s="2343"/>
      <c r="W449" s="2343"/>
      <c r="X449" s="2343"/>
      <c r="Y449" s="2343"/>
      <c r="Z449" s="2343"/>
      <c r="AA449" s="2343"/>
      <c r="AB449" s="2343"/>
      <c r="AC449" s="2343"/>
      <c r="AD449" s="2343"/>
      <c r="AE449" s="2343"/>
      <c r="AF449" s="2343"/>
      <c r="AG449" s="2343"/>
      <c r="AH449" s="2343"/>
      <c r="AI449" s="2343"/>
      <c r="AJ449" s="2343"/>
      <c r="AK449" s="2343"/>
      <c r="AL449" s="2343"/>
      <c r="AM449" s="2343"/>
      <c r="AN449" s="2343"/>
      <c r="AO449" s="2343"/>
      <c r="AP449" s="2343"/>
      <c r="AQ449" s="2343"/>
      <c r="AR449" s="2343"/>
      <c r="AS449" s="2343"/>
      <c r="AT449" s="2343"/>
      <c r="AU449" s="2343"/>
      <c r="AV449" s="2343"/>
      <c r="AW449" s="2343"/>
      <c r="AX449" s="2343"/>
      <c r="AY449" s="2343"/>
      <c r="AZ449" s="2343"/>
      <c r="BA449" s="2343"/>
      <c r="BB449" s="2343"/>
      <c r="BC449" s="2343"/>
      <c r="BD449" s="2343"/>
      <c r="BE449" s="2343"/>
      <c r="BF449" s="2343"/>
      <c r="BG449" s="2343"/>
      <c r="BH449" s="2343"/>
      <c r="BI449" s="2343"/>
      <c r="BJ449" s="2343"/>
      <c r="BK449" s="2343"/>
      <c r="BL449" s="2343"/>
      <c r="BM449" s="2343"/>
      <c r="BN449" s="2343"/>
      <c r="BO449" s="2343"/>
      <c r="BP449" s="2343"/>
      <c r="BQ449" s="2343"/>
      <c r="BR449" s="2343"/>
      <c r="BS449" s="2343"/>
      <c r="BT449" s="2343"/>
      <c r="BU449" s="2343"/>
      <c r="BV449" s="2343"/>
      <c r="BW449" s="2343"/>
      <c r="BX449" s="2343"/>
      <c r="BY449" s="2343"/>
      <c r="BZ449" s="2343"/>
      <c r="CA449" s="2343"/>
      <c r="CB449" s="2343"/>
      <c r="CC449" s="2343"/>
      <c r="CD449" s="2343"/>
      <c r="CE449" s="2343"/>
      <c r="CF449" s="2343"/>
      <c r="CG449" s="2343"/>
      <c r="CH449" s="2343"/>
      <c r="CI449" s="2343"/>
      <c r="CJ449" s="2343"/>
      <c r="CK449" s="2343"/>
      <c r="CL449" s="2343"/>
      <c r="CM449" s="2343"/>
      <c r="CN449" s="2343"/>
      <c r="CO449" s="2343"/>
      <c r="CP449" s="2343"/>
      <c r="CQ449" s="2343"/>
      <c r="CR449" s="2343"/>
      <c r="CS449" s="2343"/>
      <c r="CT449" s="2343"/>
      <c r="CU449" s="2343"/>
      <c r="CV449" s="2343"/>
      <c r="CW449" s="2343"/>
      <c r="CX449" s="2343"/>
      <c r="CY449" s="2343"/>
      <c r="CZ449" s="2343"/>
      <c r="DA449" s="2343"/>
      <c r="DB449" s="2343"/>
      <c r="DC449" s="2343"/>
      <c r="DD449" s="2343"/>
      <c r="DE449" s="2343"/>
      <c r="DF449" s="2343"/>
      <c r="DG449" s="2343"/>
      <c r="DH449" s="2343"/>
      <c r="DI449" s="2343"/>
      <c r="DJ449" s="2343"/>
      <c r="DK449" s="2343"/>
      <c r="DL449" s="2343"/>
      <c r="DM449" s="2343"/>
      <c r="DN449" s="2343"/>
      <c r="DO449" s="53"/>
      <c r="DP449" s="53"/>
      <c r="DS449" s="277"/>
      <c r="DW449" s="1"/>
      <c r="DX449" s="2343"/>
      <c r="DY449" s="2343"/>
      <c r="DZ449" s="2343"/>
      <c r="EA449" s="2343"/>
      <c r="EB449" s="2343"/>
      <c r="EC449" s="2343"/>
      <c r="ED449" s="2343"/>
      <c r="EE449" s="2343"/>
      <c r="EF449" s="2343"/>
      <c r="EG449" s="2343"/>
      <c r="EH449" s="2343"/>
      <c r="EI449" s="2343"/>
      <c r="EJ449" s="2343"/>
      <c r="EK449" s="2343"/>
      <c r="EL449" s="2343"/>
      <c r="EM449" s="2343"/>
      <c r="EN449" s="2343"/>
      <c r="EO449" s="2343"/>
      <c r="EP449" s="2343"/>
      <c r="EQ449" s="2343"/>
      <c r="ER449" s="2343"/>
      <c r="ES449" s="2343"/>
      <c r="ET449" s="2343"/>
      <c r="EU449" s="2343"/>
      <c r="EV449" s="2343"/>
      <c r="EW449" s="2343"/>
      <c r="EX449" s="2343"/>
      <c r="EY449" s="2343"/>
      <c r="EZ449" s="2343"/>
      <c r="FA449" s="2343"/>
      <c r="FB449" s="2343"/>
      <c r="FC449" s="2343"/>
      <c r="FD449" s="2343"/>
      <c r="FE449" s="2343"/>
      <c r="FF449" s="2343"/>
      <c r="FG449" s="2343"/>
      <c r="FH449" s="2343"/>
      <c r="FI449" s="2343"/>
      <c r="FJ449" s="2343"/>
      <c r="FK449" s="2343"/>
      <c r="FL449" s="2343"/>
      <c r="FM449" s="2343"/>
      <c r="FN449" s="2343"/>
      <c r="FO449" s="2343"/>
      <c r="FP449" s="2343"/>
      <c r="FQ449" s="2343"/>
      <c r="FR449" s="2343"/>
      <c r="FS449" s="2343"/>
      <c r="FT449" s="2343"/>
      <c r="FU449" s="2343"/>
      <c r="FV449" s="2343"/>
      <c r="FW449" s="2343"/>
      <c r="FX449" s="2343"/>
      <c r="FY449" s="2343"/>
      <c r="FZ449" s="2343"/>
      <c r="GA449" s="2343"/>
      <c r="GB449" s="2343"/>
      <c r="GC449" s="2343"/>
      <c r="GD449" s="2343"/>
      <c r="GE449" s="2343"/>
      <c r="GF449" s="2343"/>
      <c r="GG449" s="2343"/>
      <c r="GH449" s="2343"/>
      <c r="GI449" s="2343"/>
      <c r="GJ449" s="2343"/>
      <c r="GK449" s="2343"/>
      <c r="GL449" s="2343"/>
      <c r="GM449" s="2343"/>
      <c r="GN449" s="2343"/>
      <c r="GO449" s="2343"/>
      <c r="GP449" s="2343"/>
      <c r="GQ449" s="2343"/>
      <c r="GR449" s="2343"/>
      <c r="GS449" s="2343"/>
      <c r="GT449" s="2343"/>
      <c r="GU449" s="2343"/>
      <c r="GV449" s="2343"/>
      <c r="GW449" s="2343"/>
      <c r="GX449" s="2343"/>
      <c r="GY449" s="2343"/>
      <c r="GZ449" s="2343"/>
      <c r="HA449" s="2343"/>
      <c r="HB449" s="2343"/>
      <c r="HC449" s="2343"/>
      <c r="HD449" s="2343"/>
      <c r="HE449" s="2343"/>
      <c r="HF449" s="2343"/>
      <c r="HG449" s="2343"/>
      <c r="HH449" s="2343"/>
      <c r="HI449" s="2343"/>
      <c r="HJ449" s="2343"/>
      <c r="HK449" s="2343"/>
      <c r="HL449" s="2343"/>
      <c r="HM449" s="2343"/>
      <c r="HN449" s="2343"/>
      <c r="HO449" s="2343"/>
      <c r="HP449" s="2343"/>
      <c r="HQ449" s="2343"/>
      <c r="HR449" s="2343"/>
      <c r="HS449" s="2343"/>
      <c r="HT449" s="2343"/>
      <c r="HU449" s="2343"/>
      <c r="HV449" s="2343"/>
      <c r="HW449" s="2343"/>
      <c r="HX449" s="2343"/>
      <c r="HY449" s="2343"/>
      <c r="HZ449" s="2343"/>
      <c r="IA449" s="2343"/>
      <c r="IB449" s="2343"/>
      <c r="IC449" s="2343"/>
      <c r="ID449" s="2343"/>
      <c r="IE449" s="2343"/>
      <c r="IF449" s="2343"/>
      <c r="IG449" s="2343"/>
      <c r="IH449" s="2343"/>
      <c r="II449" s="2343"/>
      <c r="IJ449" s="2343"/>
      <c r="IK449" s="53"/>
      <c r="IL449" s="53"/>
      <c r="IN449" s="277"/>
      <c r="IO449" s="277"/>
    </row>
    <row r="450" spans="2:249" ht="21.95" customHeight="1">
      <c r="B450" s="2275"/>
      <c r="C450" s="2275"/>
      <c r="D450" s="2275"/>
      <c r="E450" s="2275"/>
      <c r="F450" s="2275"/>
      <c r="G450" s="2275"/>
      <c r="H450" s="2250"/>
      <c r="I450" s="2250"/>
      <c r="J450" s="2250"/>
      <c r="K450" s="2250"/>
      <c r="L450" s="2275"/>
      <c r="M450" s="2275"/>
      <c r="N450" s="2275"/>
      <c r="O450" s="2275"/>
      <c r="P450" s="2275"/>
      <c r="Q450" s="2275"/>
      <c r="R450" s="2275"/>
      <c r="S450" s="2275"/>
      <c r="T450" s="2275"/>
      <c r="U450" s="2275"/>
      <c r="V450" s="2275"/>
      <c r="W450" s="2275"/>
      <c r="X450" s="2275"/>
      <c r="Y450" s="2275"/>
      <c r="Z450" s="2275"/>
      <c r="AA450" s="2275"/>
      <c r="AB450" s="2275"/>
      <c r="AC450" s="2275"/>
      <c r="AD450" s="2275"/>
      <c r="AE450" s="2275"/>
      <c r="AF450" s="2275"/>
      <c r="AG450" s="2275"/>
      <c r="AH450" s="2275"/>
      <c r="AI450" s="2275"/>
      <c r="AJ450" s="2275"/>
      <c r="AK450" s="2275"/>
      <c r="AL450" s="2275"/>
      <c r="AM450" s="2275"/>
      <c r="AN450" s="2275"/>
      <c r="AO450" s="2275"/>
      <c r="AP450" s="2250"/>
      <c r="AQ450" s="2250"/>
      <c r="AR450" s="2250"/>
      <c r="AS450" s="2250"/>
      <c r="AT450" s="2250"/>
      <c r="AU450" s="2250"/>
      <c r="AV450" s="2250"/>
      <c r="AW450" s="2250"/>
      <c r="AX450" s="2250"/>
      <c r="AY450" s="2250"/>
      <c r="AZ450" s="2250"/>
      <c r="BA450" s="2250"/>
      <c r="BB450" s="2250"/>
      <c r="BC450" s="2250"/>
      <c r="BD450" s="2250"/>
      <c r="BE450" s="2250"/>
      <c r="BF450" s="2276"/>
      <c r="BG450" s="2276"/>
      <c r="BH450" s="2250"/>
      <c r="BI450" s="2275"/>
      <c r="BJ450" s="2275"/>
      <c r="BK450" s="2275"/>
      <c r="BL450" s="2275"/>
      <c r="BM450" s="2275"/>
      <c r="BN450" s="2275"/>
      <c r="BO450" s="2275"/>
      <c r="BP450" s="2250"/>
      <c r="BQ450" s="2250"/>
      <c r="BR450" s="2250"/>
      <c r="BS450" s="2250"/>
      <c r="BT450" s="2275"/>
      <c r="BU450" s="2275"/>
      <c r="BV450" s="2275"/>
      <c r="BW450" s="2275"/>
      <c r="BX450" s="2275"/>
      <c r="BY450" s="2275"/>
      <c r="BZ450" s="2275"/>
      <c r="CA450" s="2275"/>
      <c r="CB450" s="2275"/>
      <c r="CC450" s="2275"/>
      <c r="CD450" s="2275"/>
      <c r="CE450" s="2275"/>
      <c r="CF450" s="2275"/>
      <c r="CG450" s="2275"/>
      <c r="CH450" s="2275"/>
      <c r="CI450" s="2275"/>
      <c r="CJ450" s="2275"/>
      <c r="CK450" s="2275"/>
      <c r="CL450" s="2275"/>
      <c r="CM450" s="2275"/>
      <c r="CN450" s="2275"/>
      <c r="CO450" s="2275"/>
      <c r="CP450" s="2275"/>
      <c r="CQ450" s="2275"/>
      <c r="CR450" s="2275"/>
      <c r="CS450" s="2275"/>
      <c r="CT450" s="2275"/>
      <c r="CU450" s="2275"/>
      <c r="CV450" s="2275"/>
      <c r="CW450" s="2275"/>
      <c r="CX450" s="2250"/>
      <c r="CY450" s="2250"/>
      <c r="CZ450" s="2250"/>
      <c r="DA450" s="2250"/>
      <c r="DB450" s="2250"/>
      <c r="DC450" s="2250"/>
      <c r="DD450" s="2250"/>
      <c r="DE450" s="2250"/>
      <c r="DF450" s="2250"/>
      <c r="DG450" s="2250"/>
      <c r="DH450" s="2250"/>
      <c r="DI450" s="2250"/>
      <c r="DJ450" s="2250"/>
      <c r="DK450" s="2250"/>
      <c r="DL450" s="2250"/>
      <c r="DM450" s="2250"/>
      <c r="DN450" s="2250"/>
      <c r="DO450" s="53"/>
      <c r="DP450" s="53"/>
      <c r="DS450" s="277"/>
      <c r="DW450" s="1"/>
      <c r="DX450" s="2275"/>
      <c r="DY450" s="2275"/>
      <c r="DZ450" s="2275"/>
      <c r="EA450" s="2275"/>
      <c r="EB450" s="2275"/>
      <c r="EC450" s="2275"/>
      <c r="ED450" s="2250"/>
      <c r="EE450" s="2250"/>
      <c r="EF450" s="2250"/>
      <c r="EG450" s="2250"/>
      <c r="EH450" s="2275"/>
      <c r="EI450" s="2275"/>
      <c r="EJ450" s="2275"/>
      <c r="EK450" s="2275"/>
      <c r="EL450" s="2275"/>
      <c r="EM450" s="2275"/>
      <c r="EN450" s="2275"/>
      <c r="EO450" s="2275"/>
      <c r="EP450" s="2275"/>
      <c r="EQ450" s="2275"/>
      <c r="ER450" s="2275"/>
      <c r="ES450" s="2275"/>
      <c r="ET450" s="2275"/>
      <c r="EU450" s="2275"/>
      <c r="EV450" s="2275"/>
      <c r="EW450" s="2275"/>
      <c r="EX450" s="2275"/>
      <c r="EY450" s="2275"/>
      <c r="EZ450" s="2275"/>
      <c r="FA450" s="2275"/>
      <c r="FB450" s="2275"/>
      <c r="FC450" s="2275"/>
      <c r="FD450" s="2275"/>
      <c r="FE450" s="2275"/>
      <c r="FF450" s="2275"/>
      <c r="FG450" s="2275"/>
      <c r="FH450" s="2275"/>
      <c r="FI450" s="2275"/>
      <c r="FJ450" s="2275"/>
      <c r="FK450" s="2275"/>
      <c r="FL450" s="2250"/>
      <c r="FM450" s="2250"/>
      <c r="FN450" s="2250"/>
      <c r="FO450" s="2250"/>
      <c r="FP450" s="2250"/>
      <c r="FQ450" s="2250"/>
      <c r="FR450" s="2250"/>
      <c r="FS450" s="2250"/>
      <c r="FT450" s="2250"/>
      <c r="FU450" s="2250"/>
      <c r="FV450" s="2250"/>
      <c r="FW450" s="2250"/>
      <c r="FX450" s="2250"/>
      <c r="FY450" s="2250"/>
      <c r="FZ450" s="2250"/>
      <c r="GA450" s="2250"/>
      <c r="GB450" s="2276"/>
      <c r="GC450" s="2276"/>
      <c r="GD450" s="2250"/>
      <c r="GE450" s="2275"/>
      <c r="GF450" s="2275"/>
      <c r="GG450" s="2275"/>
      <c r="GH450" s="2275"/>
      <c r="GI450" s="2275"/>
      <c r="GJ450" s="2275"/>
      <c r="GK450" s="2275"/>
      <c r="GL450" s="2250"/>
      <c r="GM450" s="2250"/>
      <c r="GN450" s="2250"/>
      <c r="GO450" s="2250"/>
      <c r="GP450" s="2275"/>
      <c r="GQ450" s="2275"/>
      <c r="GR450" s="2275"/>
      <c r="GS450" s="2275"/>
      <c r="GT450" s="2275"/>
      <c r="GU450" s="2275"/>
      <c r="GV450" s="2275"/>
      <c r="GW450" s="2275"/>
      <c r="GX450" s="2275"/>
      <c r="GY450" s="2275"/>
      <c r="GZ450" s="2275"/>
      <c r="HA450" s="2275"/>
      <c r="HB450" s="2275"/>
      <c r="HC450" s="2275"/>
      <c r="HD450" s="2275"/>
      <c r="HE450" s="2275"/>
      <c r="HF450" s="2275"/>
      <c r="HG450" s="2275"/>
      <c r="HH450" s="2275"/>
      <c r="HI450" s="2275"/>
      <c r="HJ450" s="2275"/>
      <c r="HK450" s="2275"/>
      <c r="HL450" s="2275"/>
      <c r="HM450" s="2275"/>
      <c r="HN450" s="2275"/>
      <c r="HO450" s="2275"/>
      <c r="HP450" s="2275"/>
      <c r="HQ450" s="2275"/>
      <c r="HR450" s="2275"/>
      <c r="HS450" s="2275"/>
      <c r="HT450" s="2250"/>
      <c r="HU450" s="2250"/>
      <c r="HV450" s="2250"/>
      <c r="HW450" s="2250"/>
      <c r="HX450" s="2250"/>
      <c r="HY450" s="2250"/>
      <c r="HZ450" s="2250"/>
      <c r="IA450" s="2250"/>
      <c r="IB450" s="2250"/>
      <c r="IC450" s="2250"/>
      <c r="ID450" s="2250"/>
      <c r="IE450" s="2250"/>
      <c r="IF450" s="2250"/>
      <c r="IG450" s="2250"/>
      <c r="IH450" s="2250"/>
      <c r="II450" s="2250"/>
      <c r="IJ450" s="2250"/>
      <c r="IK450" s="53"/>
      <c r="IL450" s="53"/>
      <c r="IN450" s="277"/>
      <c r="IO450" s="277"/>
    </row>
    <row r="451" spans="2:249" ht="21.95" customHeight="1">
      <c r="B451" s="2275"/>
      <c r="C451" s="2275"/>
      <c r="D451" s="2275"/>
      <c r="E451" s="2275"/>
      <c r="F451" s="2275"/>
      <c r="G451" s="2275"/>
      <c r="H451" s="2250"/>
      <c r="I451" s="2250"/>
      <c r="J451" s="2250"/>
      <c r="K451" s="2250"/>
      <c r="L451" s="2275"/>
      <c r="M451" s="2275"/>
      <c r="N451" s="2275"/>
      <c r="O451" s="2275"/>
      <c r="P451" s="2275"/>
      <c r="Q451" s="2275"/>
      <c r="R451" s="2275"/>
      <c r="S451" s="2275"/>
      <c r="T451" s="2275"/>
      <c r="U451" s="2275"/>
      <c r="V451" s="2275"/>
      <c r="W451" s="2275"/>
      <c r="X451" s="2275"/>
      <c r="Y451" s="2275"/>
      <c r="Z451" s="2275"/>
      <c r="AA451" s="2275"/>
      <c r="AB451" s="2275"/>
      <c r="AC451" s="2275"/>
      <c r="AD451" s="2275"/>
      <c r="AE451" s="2275"/>
      <c r="AF451" s="2275"/>
      <c r="AG451" s="2275"/>
      <c r="AH451" s="2275"/>
      <c r="AI451" s="2275"/>
      <c r="AJ451" s="2275"/>
      <c r="AK451" s="2275"/>
      <c r="AL451" s="2275"/>
      <c r="AM451" s="2275"/>
      <c r="AN451" s="2275"/>
      <c r="AO451" s="2275"/>
      <c r="AP451" s="2250"/>
      <c r="AQ451" s="2250"/>
      <c r="AR451" s="2250"/>
      <c r="AS451" s="2250"/>
      <c r="AT451" s="2250"/>
      <c r="AU451" s="2250"/>
      <c r="AV451" s="2250"/>
      <c r="AW451" s="2250"/>
      <c r="AX451" s="2250"/>
      <c r="AY451" s="2250"/>
      <c r="AZ451" s="2250"/>
      <c r="BA451" s="2250"/>
      <c r="BB451" s="2250"/>
      <c r="BC451" s="2250"/>
      <c r="BD451" s="2250"/>
      <c r="BE451" s="2250"/>
      <c r="BF451" s="2276"/>
      <c r="BG451" s="2276"/>
      <c r="BH451" s="2250"/>
      <c r="BI451" s="2275"/>
      <c r="BJ451" s="2275"/>
      <c r="BK451" s="2275"/>
      <c r="BL451" s="2275"/>
      <c r="BM451" s="2275"/>
      <c r="BN451" s="2275"/>
      <c r="BO451" s="2275"/>
      <c r="BP451" s="2250"/>
      <c r="BQ451" s="2250"/>
      <c r="BR451" s="2250"/>
      <c r="BS451" s="2250"/>
      <c r="BT451" s="2275"/>
      <c r="BU451" s="2275"/>
      <c r="BV451" s="2275"/>
      <c r="BW451" s="2275"/>
      <c r="BX451" s="2275"/>
      <c r="BY451" s="2275"/>
      <c r="BZ451" s="2275"/>
      <c r="CA451" s="2275"/>
      <c r="CB451" s="2275"/>
      <c r="CC451" s="2275"/>
      <c r="CD451" s="2275"/>
      <c r="CE451" s="2275"/>
      <c r="CF451" s="2275"/>
      <c r="CG451" s="2275"/>
      <c r="CH451" s="2275"/>
      <c r="CI451" s="2275"/>
      <c r="CJ451" s="2275"/>
      <c r="CK451" s="2275"/>
      <c r="CL451" s="2275"/>
      <c r="CM451" s="2275"/>
      <c r="CN451" s="2275"/>
      <c r="CO451" s="2275"/>
      <c r="CP451" s="2275"/>
      <c r="CQ451" s="2275"/>
      <c r="CR451" s="2275"/>
      <c r="CS451" s="2275"/>
      <c r="CT451" s="2275"/>
      <c r="CU451" s="2275"/>
      <c r="CV451" s="2275"/>
      <c r="CW451" s="2275"/>
      <c r="CX451" s="2250"/>
      <c r="CY451" s="2250"/>
      <c r="CZ451" s="2250"/>
      <c r="DA451" s="2250"/>
      <c r="DB451" s="2250"/>
      <c r="DC451" s="2250"/>
      <c r="DD451" s="2250"/>
      <c r="DE451" s="2250"/>
      <c r="DF451" s="2250"/>
      <c r="DG451" s="2250"/>
      <c r="DH451" s="2250"/>
      <c r="DI451" s="2250"/>
      <c r="DJ451" s="2250"/>
      <c r="DK451" s="2250"/>
      <c r="DL451" s="2250"/>
      <c r="DM451" s="2250"/>
      <c r="DN451" s="2250"/>
      <c r="DO451" s="53"/>
      <c r="DP451" s="53"/>
      <c r="DS451" s="277"/>
      <c r="DW451" s="1"/>
      <c r="DX451" s="2275"/>
      <c r="DY451" s="2275"/>
      <c r="DZ451" s="2275"/>
      <c r="EA451" s="2275"/>
      <c r="EB451" s="2275"/>
      <c r="EC451" s="2275"/>
      <c r="ED451" s="2250"/>
      <c r="EE451" s="2250"/>
      <c r="EF451" s="2250"/>
      <c r="EG451" s="2250"/>
      <c r="EH451" s="2275"/>
      <c r="EI451" s="2275"/>
      <c r="EJ451" s="2275"/>
      <c r="EK451" s="2275"/>
      <c r="EL451" s="2275"/>
      <c r="EM451" s="2275"/>
      <c r="EN451" s="2275"/>
      <c r="EO451" s="2275"/>
      <c r="EP451" s="2275"/>
      <c r="EQ451" s="2275"/>
      <c r="ER451" s="2275"/>
      <c r="ES451" s="2275"/>
      <c r="ET451" s="2275"/>
      <c r="EU451" s="2275"/>
      <c r="EV451" s="2275"/>
      <c r="EW451" s="2275"/>
      <c r="EX451" s="2275"/>
      <c r="EY451" s="2275"/>
      <c r="EZ451" s="2275"/>
      <c r="FA451" s="2275"/>
      <c r="FB451" s="2275"/>
      <c r="FC451" s="2275"/>
      <c r="FD451" s="2275"/>
      <c r="FE451" s="2275"/>
      <c r="FF451" s="2275"/>
      <c r="FG451" s="2275"/>
      <c r="FH451" s="2275"/>
      <c r="FI451" s="2275"/>
      <c r="FJ451" s="2275"/>
      <c r="FK451" s="2275"/>
      <c r="FL451" s="2250"/>
      <c r="FM451" s="2250"/>
      <c r="FN451" s="2250"/>
      <c r="FO451" s="2250"/>
      <c r="FP451" s="2250"/>
      <c r="FQ451" s="2250"/>
      <c r="FR451" s="2250"/>
      <c r="FS451" s="2250"/>
      <c r="FT451" s="2250"/>
      <c r="FU451" s="2250"/>
      <c r="FV451" s="2250"/>
      <c r="FW451" s="2250"/>
      <c r="FX451" s="2250"/>
      <c r="FY451" s="2250"/>
      <c r="FZ451" s="2250"/>
      <c r="GA451" s="2250"/>
      <c r="GB451" s="2276"/>
      <c r="GC451" s="2276"/>
      <c r="GD451" s="2250"/>
      <c r="GE451" s="2275"/>
      <c r="GF451" s="2275"/>
      <c r="GG451" s="2275"/>
      <c r="GH451" s="2275"/>
      <c r="GI451" s="2275"/>
      <c r="GJ451" s="2275"/>
      <c r="GK451" s="2275"/>
      <c r="GL451" s="2250"/>
      <c r="GM451" s="2250"/>
      <c r="GN451" s="2250"/>
      <c r="GO451" s="2250"/>
      <c r="GP451" s="2275"/>
      <c r="GQ451" s="2275"/>
      <c r="GR451" s="2275"/>
      <c r="GS451" s="2275"/>
      <c r="GT451" s="2275"/>
      <c r="GU451" s="2275"/>
      <c r="GV451" s="2275"/>
      <c r="GW451" s="2275"/>
      <c r="GX451" s="2275"/>
      <c r="GY451" s="2275"/>
      <c r="GZ451" s="2275"/>
      <c r="HA451" s="2275"/>
      <c r="HB451" s="2275"/>
      <c r="HC451" s="2275"/>
      <c r="HD451" s="2275"/>
      <c r="HE451" s="2275"/>
      <c r="HF451" s="2275"/>
      <c r="HG451" s="2275"/>
      <c r="HH451" s="2275"/>
      <c r="HI451" s="2275"/>
      <c r="HJ451" s="2275"/>
      <c r="HK451" s="2275"/>
      <c r="HL451" s="2275"/>
      <c r="HM451" s="2275"/>
      <c r="HN451" s="2275"/>
      <c r="HO451" s="2275"/>
      <c r="HP451" s="2275"/>
      <c r="HQ451" s="2275"/>
      <c r="HR451" s="2275"/>
      <c r="HS451" s="2275"/>
      <c r="HT451" s="2250"/>
      <c r="HU451" s="2250"/>
      <c r="HV451" s="2250"/>
      <c r="HW451" s="2250"/>
      <c r="HX451" s="2250"/>
      <c r="HY451" s="2250"/>
      <c r="HZ451" s="2250"/>
      <c r="IA451" s="2250"/>
      <c r="IB451" s="2250"/>
      <c r="IC451" s="2250"/>
      <c r="ID451" s="2250"/>
      <c r="IE451" s="2250"/>
      <c r="IF451" s="2250"/>
      <c r="IG451" s="2250"/>
      <c r="IH451" s="2250"/>
      <c r="II451" s="2250"/>
      <c r="IJ451" s="2250"/>
      <c r="IK451" s="53"/>
      <c r="IL451" s="53"/>
      <c r="IN451" s="277"/>
      <c r="IO451" s="277"/>
    </row>
    <row r="452" spans="2:249" ht="21.95" customHeight="1">
      <c r="B452" s="2275"/>
      <c r="C452" s="2275"/>
      <c r="D452" s="2275"/>
      <c r="E452" s="2275"/>
      <c r="F452" s="2275"/>
      <c r="G452" s="2275"/>
      <c r="H452" s="2250"/>
      <c r="I452" s="2250"/>
      <c r="J452" s="2250"/>
      <c r="K452" s="2250"/>
      <c r="L452" s="2275"/>
      <c r="M452" s="2275"/>
      <c r="N452" s="2275"/>
      <c r="O452" s="2275"/>
      <c r="P452" s="2275"/>
      <c r="Q452" s="2275"/>
      <c r="R452" s="2275"/>
      <c r="S452" s="2275"/>
      <c r="T452" s="2275"/>
      <c r="U452" s="2275"/>
      <c r="V452" s="2275"/>
      <c r="W452" s="2275"/>
      <c r="X452" s="2275"/>
      <c r="Y452" s="2275"/>
      <c r="Z452" s="2275"/>
      <c r="AA452" s="2275"/>
      <c r="AB452" s="2275"/>
      <c r="AC452" s="2275"/>
      <c r="AD452" s="2275"/>
      <c r="AE452" s="2275"/>
      <c r="AF452" s="2275"/>
      <c r="AG452" s="2275"/>
      <c r="AH452" s="2275"/>
      <c r="AI452" s="2275"/>
      <c r="AJ452" s="2275"/>
      <c r="AK452" s="2275"/>
      <c r="AL452" s="2275"/>
      <c r="AM452" s="2275"/>
      <c r="AN452" s="2275"/>
      <c r="AO452" s="2275"/>
      <c r="AP452" s="2250"/>
      <c r="AQ452" s="2250"/>
      <c r="AR452" s="2250"/>
      <c r="AS452" s="2250"/>
      <c r="AT452" s="2250"/>
      <c r="AU452" s="2250"/>
      <c r="AV452" s="2250"/>
      <c r="AW452" s="2250"/>
      <c r="AX452" s="2250"/>
      <c r="AY452" s="2250"/>
      <c r="AZ452" s="2250"/>
      <c r="BA452" s="2250"/>
      <c r="BB452" s="2250"/>
      <c r="BC452" s="2250"/>
      <c r="BD452" s="2250"/>
      <c r="BE452" s="2250"/>
      <c r="BF452" s="2276"/>
      <c r="BG452" s="2276"/>
      <c r="BH452" s="2250"/>
      <c r="BI452" s="2275"/>
      <c r="BJ452" s="2275"/>
      <c r="BK452" s="2275"/>
      <c r="BL452" s="2275"/>
      <c r="BM452" s="2275"/>
      <c r="BN452" s="2275"/>
      <c r="BO452" s="2275"/>
      <c r="BP452" s="2250"/>
      <c r="BQ452" s="2250"/>
      <c r="BR452" s="2250"/>
      <c r="BS452" s="2250"/>
      <c r="BT452" s="2275"/>
      <c r="BU452" s="2275"/>
      <c r="BV452" s="2275"/>
      <c r="BW452" s="2275"/>
      <c r="BX452" s="2275"/>
      <c r="BY452" s="2275"/>
      <c r="BZ452" s="2275"/>
      <c r="CA452" s="2275"/>
      <c r="CB452" s="2275"/>
      <c r="CC452" s="2275"/>
      <c r="CD452" s="2275"/>
      <c r="CE452" s="2275"/>
      <c r="CF452" s="2275"/>
      <c r="CG452" s="2275"/>
      <c r="CH452" s="2275"/>
      <c r="CI452" s="2275"/>
      <c r="CJ452" s="2275"/>
      <c r="CK452" s="2275"/>
      <c r="CL452" s="2275"/>
      <c r="CM452" s="2275"/>
      <c r="CN452" s="2275"/>
      <c r="CO452" s="2275"/>
      <c r="CP452" s="2275"/>
      <c r="CQ452" s="2275"/>
      <c r="CR452" s="2275"/>
      <c r="CS452" s="2275"/>
      <c r="CT452" s="2275"/>
      <c r="CU452" s="2275"/>
      <c r="CV452" s="2275"/>
      <c r="CW452" s="2275"/>
      <c r="CX452" s="2250"/>
      <c r="CY452" s="2250"/>
      <c r="CZ452" s="2250"/>
      <c r="DA452" s="2250"/>
      <c r="DB452" s="2250"/>
      <c r="DC452" s="2250"/>
      <c r="DD452" s="2250"/>
      <c r="DE452" s="2250"/>
      <c r="DF452" s="2250"/>
      <c r="DG452" s="2250"/>
      <c r="DH452" s="2250"/>
      <c r="DI452" s="2250"/>
      <c r="DJ452" s="2250"/>
      <c r="DK452" s="2250"/>
      <c r="DL452" s="2250"/>
      <c r="DM452" s="2250"/>
      <c r="DN452" s="2250"/>
      <c r="DO452" s="53"/>
      <c r="DP452" s="53"/>
      <c r="DS452" s="277"/>
      <c r="DW452" s="1"/>
      <c r="DX452" s="2275"/>
      <c r="DY452" s="2275"/>
      <c r="DZ452" s="2275"/>
      <c r="EA452" s="2275"/>
      <c r="EB452" s="2275"/>
      <c r="EC452" s="2275"/>
      <c r="ED452" s="2250"/>
      <c r="EE452" s="2250"/>
      <c r="EF452" s="2250"/>
      <c r="EG452" s="2250"/>
      <c r="EH452" s="2275"/>
      <c r="EI452" s="2275"/>
      <c r="EJ452" s="2275"/>
      <c r="EK452" s="2275"/>
      <c r="EL452" s="2275"/>
      <c r="EM452" s="2275"/>
      <c r="EN452" s="2275"/>
      <c r="EO452" s="2275"/>
      <c r="EP452" s="2275"/>
      <c r="EQ452" s="2275"/>
      <c r="ER452" s="2275"/>
      <c r="ES452" s="2275"/>
      <c r="ET452" s="2275"/>
      <c r="EU452" s="2275"/>
      <c r="EV452" s="2275"/>
      <c r="EW452" s="2275"/>
      <c r="EX452" s="2275"/>
      <c r="EY452" s="2275"/>
      <c r="EZ452" s="2275"/>
      <c r="FA452" s="2275"/>
      <c r="FB452" s="2275"/>
      <c r="FC452" s="2275"/>
      <c r="FD452" s="2275"/>
      <c r="FE452" s="2275"/>
      <c r="FF452" s="2275"/>
      <c r="FG452" s="2275"/>
      <c r="FH452" s="2275"/>
      <c r="FI452" s="2275"/>
      <c r="FJ452" s="2275"/>
      <c r="FK452" s="2275"/>
      <c r="FL452" s="2250"/>
      <c r="FM452" s="2250"/>
      <c r="FN452" s="2250"/>
      <c r="FO452" s="2250"/>
      <c r="FP452" s="2250"/>
      <c r="FQ452" s="2250"/>
      <c r="FR452" s="2250"/>
      <c r="FS452" s="2250"/>
      <c r="FT452" s="2250"/>
      <c r="FU452" s="2250"/>
      <c r="FV452" s="2250"/>
      <c r="FW452" s="2250"/>
      <c r="FX452" s="2250"/>
      <c r="FY452" s="2250"/>
      <c r="FZ452" s="2250"/>
      <c r="GA452" s="2250"/>
      <c r="GB452" s="2276"/>
      <c r="GC452" s="2276"/>
      <c r="GD452" s="2250"/>
      <c r="GE452" s="2275"/>
      <c r="GF452" s="2275"/>
      <c r="GG452" s="2275"/>
      <c r="GH452" s="2275"/>
      <c r="GI452" s="2275"/>
      <c r="GJ452" s="2275"/>
      <c r="GK452" s="2275"/>
      <c r="GL452" s="2250"/>
      <c r="GM452" s="2250"/>
      <c r="GN452" s="2250"/>
      <c r="GO452" s="2250"/>
      <c r="GP452" s="2275"/>
      <c r="GQ452" s="2275"/>
      <c r="GR452" s="2275"/>
      <c r="GS452" s="2275"/>
      <c r="GT452" s="2275"/>
      <c r="GU452" s="2275"/>
      <c r="GV452" s="2275"/>
      <c r="GW452" s="2275"/>
      <c r="GX452" s="2275"/>
      <c r="GY452" s="2275"/>
      <c r="GZ452" s="2275"/>
      <c r="HA452" s="2275"/>
      <c r="HB452" s="2275"/>
      <c r="HC452" s="2275"/>
      <c r="HD452" s="2275"/>
      <c r="HE452" s="2275"/>
      <c r="HF452" s="2275"/>
      <c r="HG452" s="2275"/>
      <c r="HH452" s="2275"/>
      <c r="HI452" s="2275"/>
      <c r="HJ452" s="2275"/>
      <c r="HK452" s="2275"/>
      <c r="HL452" s="2275"/>
      <c r="HM452" s="2275"/>
      <c r="HN452" s="2275"/>
      <c r="HO452" s="2275"/>
      <c r="HP452" s="2275"/>
      <c r="HQ452" s="2275"/>
      <c r="HR452" s="2275"/>
      <c r="HS452" s="2275"/>
      <c r="HT452" s="2250"/>
      <c r="HU452" s="2250"/>
      <c r="HV452" s="2250"/>
      <c r="HW452" s="2250"/>
      <c r="HX452" s="2250"/>
      <c r="HY452" s="2250"/>
      <c r="HZ452" s="2250"/>
      <c r="IA452" s="2250"/>
      <c r="IB452" s="2250"/>
      <c r="IC452" s="2250"/>
      <c r="ID452" s="2250"/>
      <c r="IE452" s="2250"/>
      <c r="IF452" s="2250"/>
      <c r="IG452" s="2250"/>
      <c r="IH452" s="2250"/>
      <c r="II452" s="2250"/>
      <c r="IJ452" s="2250"/>
      <c r="IK452" s="53"/>
      <c r="IL452" s="53"/>
      <c r="IN452" s="277"/>
      <c r="IO452" s="277"/>
    </row>
    <row r="453" spans="2:249" ht="21.95" customHeight="1">
      <c r="B453" s="2275"/>
      <c r="C453" s="2275"/>
      <c r="D453" s="2275"/>
      <c r="E453" s="2275"/>
      <c r="F453" s="2275"/>
      <c r="G453" s="2275"/>
      <c r="H453" s="2275"/>
      <c r="I453" s="2275"/>
      <c r="J453" s="2275"/>
      <c r="K453" s="2275"/>
      <c r="L453" s="2275"/>
      <c r="M453" s="2275"/>
      <c r="N453" s="2275"/>
      <c r="O453" s="2275"/>
      <c r="P453" s="2275"/>
      <c r="Q453" s="2275"/>
      <c r="R453" s="2275"/>
      <c r="S453" s="2275"/>
      <c r="T453" s="2275"/>
      <c r="U453" s="2275"/>
      <c r="V453" s="2275"/>
      <c r="W453" s="2275"/>
      <c r="X453" s="2275"/>
      <c r="Y453" s="2275"/>
      <c r="Z453" s="2275"/>
      <c r="AA453" s="2275"/>
      <c r="AB453" s="2275"/>
      <c r="AC453" s="2275"/>
      <c r="AD453" s="2275"/>
      <c r="AE453" s="2275"/>
      <c r="AF453" s="2275"/>
      <c r="AG453" s="2275"/>
      <c r="AH453" s="2275"/>
      <c r="AI453" s="2275"/>
      <c r="AJ453" s="2275"/>
      <c r="AK453" s="2275"/>
      <c r="AL453" s="2275"/>
      <c r="AM453" s="2275"/>
      <c r="AN453" s="2275"/>
      <c r="AO453" s="2275"/>
      <c r="AP453" s="2250"/>
      <c r="AQ453" s="2250"/>
      <c r="AR453" s="2250"/>
      <c r="AS453" s="2250"/>
      <c r="AT453" s="2250"/>
      <c r="AU453" s="2250"/>
      <c r="AV453" s="2250"/>
      <c r="AW453" s="2250"/>
      <c r="AX453" s="2250"/>
      <c r="AY453" s="2250"/>
      <c r="AZ453" s="2250"/>
      <c r="BA453" s="2250"/>
      <c r="BB453" s="2250"/>
      <c r="BC453" s="2250"/>
      <c r="BD453" s="2250"/>
      <c r="BE453" s="2250"/>
      <c r="BF453" s="2276"/>
      <c r="BG453" s="2276"/>
      <c r="BH453" s="2250"/>
      <c r="BI453" s="2275"/>
      <c r="BJ453" s="2275"/>
      <c r="BK453" s="2275"/>
      <c r="BL453" s="2275"/>
      <c r="BM453" s="2275"/>
      <c r="BN453" s="2275"/>
      <c r="BO453" s="2275"/>
      <c r="BP453" s="2275"/>
      <c r="BQ453" s="2275"/>
      <c r="BR453" s="2275"/>
      <c r="BS453" s="2275"/>
      <c r="BT453" s="2275"/>
      <c r="BU453" s="2275"/>
      <c r="BV453" s="2275"/>
      <c r="BW453" s="2275"/>
      <c r="BX453" s="2275"/>
      <c r="BY453" s="2275"/>
      <c r="BZ453" s="2275"/>
      <c r="CA453" s="2275"/>
      <c r="CB453" s="2275"/>
      <c r="CC453" s="2275"/>
      <c r="CD453" s="2275"/>
      <c r="CE453" s="2275"/>
      <c r="CF453" s="2275"/>
      <c r="CG453" s="2275"/>
      <c r="CH453" s="2275"/>
      <c r="CI453" s="2275"/>
      <c r="CJ453" s="2275"/>
      <c r="CK453" s="2275"/>
      <c r="CL453" s="2275"/>
      <c r="CM453" s="2275"/>
      <c r="CN453" s="2275"/>
      <c r="CO453" s="2275"/>
      <c r="CP453" s="2275"/>
      <c r="CQ453" s="2275"/>
      <c r="CR453" s="2275"/>
      <c r="CS453" s="2275"/>
      <c r="CT453" s="2275"/>
      <c r="CU453" s="2275"/>
      <c r="CV453" s="2275"/>
      <c r="CW453" s="2275"/>
      <c r="CX453" s="2250"/>
      <c r="CY453" s="2250"/>
      <c r="CZ453" s="2250"/>
      <c r="DA453" s="2250"/>
      <c r="DB453" s="2250"/>
      <c r="DC453" s="2250"/>
      <c r="DD453" s="2250"/>
      <c r="DE453" s="2250"/>
      <c r="DF453" s="2250"/>
      <c r="DG453" s="2250"/>
      <c r="DH453" s="2250"/>
      <c r="DI453" s="2250"/>
      <c r="DJ453" s="2250"/>
      <c r="DK453" s="2250"/>
      <c r="DL453" s="2250"/>
      <c r="DM453" s="2250"/>
      <c r="DN453" s="2250"/>
      <c r="DO453" s="53"/>
      <c r="DP453" s="53"/>
      <c r="DS453" s="277"/>
      <c r="DW453" s="1"/>
      <c r="DX453" s="2275"/>
      <c r="DY453" s="2275"/>
      <c r="DZ453" s="2275"/>
      <c r="EA453" s="2275"/>
      <c r="EB453" s="2275"/>
      <c r="EC453" s="2275"/>
      <c r="ED453" s="2275"/>
      <c r="EE453" s="2275"/>
      <c r="EF453" s="2275"/>
      <c r="EG453" s="2275"/>
      <c r="EH453" s="2275"/>
      <c r="EI453" s="2275"/>
      <c r="EJ453" s="2275"/>
      <c r="EK453" s="2275"/>
      <c r="EL453" s="2275"/>
      <c r="EM453" s="2275"/>
      <c r="EN453" s="2275"/>
      <c r="EO453" s="2275"/>
      <c r="EP453" s="2275"/>
      <c r="EQ453" s="2275"/>
      <c r="ER453" s="2275"/>
      <c r="ES453" s="2275"/>
      <c r="ET453" s="2275"/>
      <c r="EU453" s="2275"/>
      <c r="EV453" s="2275"/>
      <c r="EW453" s="2275"/>
      <c r="EX453" s="2275"/>
      <c r="EY453" s="2275"/>
      <c r="EZ453" s="2275"/>
      <c r="FA453" s="2275"/>
      <c r="FB453" s="2275"/>
      <c r="FC453" s="2275"/>
      <c r="FD453" s="2275"/>
      <c r="FE453" s="2275"/>
      <c r="FF453" s="2275"/>
      <c r="FG453" s="2275"/>
      <c r="FH453" s="2275"/>
      <c r="FI453" s="2275"/>
      <c r="FJ453" s="2275"/>
      <c r="FK453" s="2275"/>
      <c r="FL453" s="2250"/>
      <c r="FM453" s="2250"/>
      <c r="FN453" s="2250"/>
      <c r="FO453" s="2250"/>
      <c r="FP453" s="2250"/>
      <c r="FQ453" s="2250"/>
      <c r="FR453" s="2250"/>
      <c r="FS453" s="2250"/>
      <c r="FT453" s="2250"/>
      <c r="FU453" s="2250"/>
      <c r="FV453" s="2250"/>
      <c r="FW453" s="2250"/>
      <c r="FX453" s="2250"/>
      <c r="FY453" s="2250"/>
      <c r="FZ453" s="2250"/>
      <c r="GA453" s="2250"/>
      <c r="GB453" s="2276"/>
      <c r="GC453" s="2276"/>
      <c r="GD453" s="2250"/>
      <c r="GE453" s="2275"/>
      <c r="GF453" s="2275"/>
      <c r="GG453" s="2275"/>
      <c r="GH453" s="2275"/>
      <c r="GI453" s="2275"/>
      <c r="GJ453" s="2275"/>
      <c r="GK453" s="2275"/>
      <c r="GL453" s="2275"/>
      <c r="GM453" s="2275"/>
      <c r="GN453" s="2275"/>
      <c r="GO453" s="2275"/>
      <c r="GP453" s="2275"/>
      <c r="GQ453" s="2275"/>
      <c r="GR453" s="2275"/>
      <c r="GS453" s="2275"/>
      <c r="GT453" s="2275"/>
      <c r="GU453" s="2275"/>
      <c r="GV453" s="2275"/>
      <c r="GW453" s="2275"/>
      <c r="GX453" s="2275"/>
      <c r="GY453" s="2275"/>
      <c r="GZ453" s="2275"/>
      <c r="HA453" s="2275"/>
      <c r="HB453" s="2275"/>
      <c r="HC453" s="2275"/>
      <c r="HD453" s="2275"/>
      <c r="HE453" s="2275"/>
      <c r="HF453" s="2275"/>
      <c r="HG453" s="2275"/>
      <c r="HH453" s="2275"/>
      <c r="HI453" s="2275"/>
      <c r="HJ453" s="2275"/>
      <c r="HK453" s="2275"/>
      <c r="HL453" s="2275"/>
      <c r="HM453" s="2275"/>
      <c r="HN453" s="2275"/>
      <c r="HO453" s="2275"/>
      <c r="HP453" s="2275"/>
      <c r="HQ453" s="2275"/>
      <c r="HR453" s="2275"/>
      <c r="HS453" s="2275"/>
      <c r="HT453" s="2250"/>
      <c r="HU453" s="2250"/>
      <c r="HV453" s="2250"/>
      <c r="HW453" s="2250"/>
      <c r="HX453" s="2250"/>
      <c r="HY453" s="2250"/>
      <c r="HZ453" s="2250"/>
      <c r="IA453" s="2250"/>
      <c r="IB453" s="2250"/>
      <c r="IC453" s="2250"/>
      <c r="ID453" s="2250"/>
      <c r="IE453" s="2250"/>
      <c r="IF453" s="2250"/>
      <c r="IG453" s="2250"/>
      <c r="IH453" s="2250"/>
      <c r="II453" s="2250"/>
      <c r="IJ453" s="2250"/>
      <c r="IK453" s="53"/>
      <c r="IL453" s="53"/>
      <c r="IN453" s="277"/>
      <c r="IO453" s="277"/>
    </row>
    <row r="454" spans="2:249" ht="21.95" customHeight="1">
      <c r="B454" s="2275"/>
      <c r="C454" s="2275"/>
      <c r="D454" s="2275"/>
      <c r="E454" s="2275"/>
      <c r="F454" s="2275"/>
      <c r="G454" s="2275"/>
      <c r="H454" s="2275"/>
      <c r="I454" s="2275"/>
      <c r="J454" s="2275"/>
      <c r="K454" s="2275"/>
      <c r="L454" s="2275"/>
      <c r="M454" s="2275"/>
      <c r="N454" s="2275"/>
      <c r="O454" s="2275"/>
      <c r="P454" s="2275"/>
      <c r="Q454" s="2275"/>
      <c r="R454" s="2275"/>
      <c r="S454" s="2275"/>
      <c r="T454" s="2275"/>
      <c r="U454" s="2275"/>
      <c r="V454" s="2275"/>
      <c r="W454" s="2275"/>
      <c r="X454" s="2275"/>
      <c r="Y454" s="2275"/>
      <c r="Z454" s="2275"/>
      <c r="AA454" s="2275"/>
      <c r="AB454" s="2275"/>
      <c r="AC454" s="2275"/>
      <c r="AD454" s="2275" t="s">
        <v>2236</v>
      </c>
      <c r="AE454" s="2275"/>
      <c r="AF454" s="2275" t="s">
        <v>655</v>
      </c>
      <c r="AG454" s="2275">
        <f>X373</f>
        <v>68.3</v>
      </c>
      <c r="AH454" s="2275"/>
      <c r="AI454" s="2275"/>
      <c r="AJ454" s="2275"/>
      <c r="AK454" s="2275"/>
      <c r="AL454" s="2275"/>
      <c r="AM454" s="2275"/>
      <c r="AN454" s="2275"/>
      <c r="AO454" s="2275"/>
      <c r="AP454" s="2250"/>
      <c r="AQ454" s="2250"/>
      <c r="AR454" s="2250"/>
      <c r="AS454" s="2250"/>
      <c r="AT454" s="2250"/>
      <c r="AU454" s="2250"/>
      <c r="AV454" s="2250"/>
      <c r="AW454" s="2250"/>
      <c r="AX454" s="2250"/>
      <c r="AY454" s="2250"/>
      <c r="AZ454" s="2250"/>
      <c r="BA454" s="2250"/>
      <c r="BB454" s="2250"/>
      <c r="BC454" s="2250"/>
      <c r="BD454" s="2250"/>
      <c r="BE454" s="2250"/>
      <c r="BF454" s="2276"/>
      <c r="BG454" s="2276"/>
      <c r="BH454" s="2250"/>
      <c r="BI454" s="2275"/>
      <c r="BJ454" s="2275"/>
      <c r="BK454" s="2275"/>
      <c r="BL454" s="2275"/>
      <c r="BM454" s="2275"/>
      <c r="BN454" s="2275"/>
      <c r="BO454" s="2275"/>
      <c r="BP454" s="2275"/>
      <c r="BQ454" s="2275"/>
      <c r="BR454" s="2275"/>
      <c r="BS454" s="2275"/>
      <c r="BT454" s="2275"/>
      <c r="BU454" s="2275"/>
      <c r="BV454" s="2275"/>
      <c r="BW454" s="2275"/>
      <c r="BX454" s="2275"/>
      <c r="BY454" s="2275"/>
      <c r="BZ454" s="2275"/>
      <c r="CA454" s="2275"/>
      <c r="CB454" s="2275"/>
      <c r="CC454" s="2275"/>
      <c r="CD454" s="2275"/>
      <c r="CE454" s="2275"/>
      <c r="CF454" s="2275"/>
      <c r="CG454" s="2275"/>
      <c r="CH454" s="2275"/>
      <c r="CI454" s="2275"/>
      <c r="CJ454" s="2275"/>
      <c r="CK454" s="2275"/>
      <c r="CL454" s="2275" t="s">
        <v>2236</v>
      </c>
      <c r="CM454" s="2275"/>
      <c r="CN454" s="2275" t="s">
        <v>655</v>
      </c>
      <c r="CO454" s="2275">
        <f>CF373</f>
        <v>73.7</v>
      </c>
      <c r="CP454" s="2275"/>
      <c r="CQ454" s="2275"/>
      <c r="CR454" s="2275"/>
      <c r="CS454" s="2275"/>
      <c r="CT454" s="2275"/>
      <c r="CU454" s="2275"/>
      <c r="CV454" s="2275"/>
      <c r="CW454" s="2275"/>
      <c r="CX454" s="2250"/>
      <c r="CY454" s="2250"/>
      <c r="CZ454" s="2250"/>
      <c r="DA454" s="2250"/>
      <c r="DB454" s="2250"/>
      <c r="DC454" s="2250"/>
      <c r="DD454" s="2250"/>
      <c r="DE454" s="2250"/>
      <c r="DF454" s="2250"/>
      <c r="DG454" s="2250"/>
      <c r="DH454" s="2250"/>
      <c r="DI454" s="2250"/>
      <c r="DJ454" s="2250"/>
      <c r="DK454" s="2250"/>
      <c r="DL454" s="2250"/>
      <c r="DM454" s="2250"/>
      <c r="DN454" s="2250"/>
      <c r="DO454" s="53"/>
      <c r="DP454" s="53"/>
      <c r="DS454" s="277"/>
      <c r="DW454" s="1"/>
      <c r="DX454" s="2275"/>
      <c r="DY454" s="2275"/>
      <c r="DZ454" s="2275"/>
      <c r="EA454" s="2275"/>
      <c r="EB454" s="2275"/>
      <c r="EC454" s="2275"/>
      <c r="ED454" s="2275"/>
      <c r="EE454" s="2275"/>
      <c r="EF454" s="2275"/>
      <c r="EG454" s="2275"/>
      <c r="EH454" s="2275"/>
      <c r="EI454" s="2275"/>
      <c r="EJ454" s="2275"/>
      <c r="EK454" s="2275"/>
      <c r="EL454" s="2275"/>
      <c r="EM454" s="2275"/>
      <c r="EN454" s="2275"/>
      <c r="EO454" s="2275"/>
      <c r="EP454" s="2275"/>
      <c r="EQ454" s="2275"/>
      <c r="ER454" s="2275"/>
      <c r="ES454" s="2275"/>
      <c r="ET454" s="2275"/>
      <c r="EU454" s="2275"/>
      <c r="EV454" s="2275"/>
      <c r="EW454" s="2275"/>
      <c r="EX454" s="2275"/>
      <c r="EY454" s="2275"/>
      <c r="EZ454" s="2275" t="s">
        <v>2236</v>
      </c>
      <c r="FA454" s="2275"/>
      <c r="FB454" s="2275" t="s">
        <v>655</v>
      </c>
      <c r="FC454" s="2275">
        <f>ET373</f>
        <v>43.9</v>
      </c>
      <c r="FD454" s="2275"/>
      <c r="FE454" s="2275"/>
      <c r="FF454" s="2275"/>
      <c r="FG454" s="2275"/>
      <c r="FH454" s="2275"/>
      <c r="FI454" s="2275"/>
      <c r="FJ454" s="2275"/>
      <c r="FK454" s="2275"/>
      <c r="FL454" s="2250"/>
      <c r="FM454" s="2250"/>
      <c r="FN454" s="2250"/>
      <c r="FO454" s="2250"/>
      <c r="FP454" s="2250"/>
      <c r="FQ454" s="2250"/>
      <c r="FR454" s="2250"/>
      <c r="FS454" s="2250"/>
      <c r="FT454" s="2250"/>
      <c r="FU454" s="2250"/>
      <c r="FV454" s="2250"/>
      <c r="FW454" s="2250"/>
      <c r="FX454" s="2250"/>
      <c r="FY454" s="2250"/>
      <c r="FZ454" s="2250"/>
      <c r="GA454" s="2250"/>
      <c r="GB454" s="2276"/>
      <c r="GC454" s="2276"/>
      <c r="GD454" s="2250"/>
      <c r="GE454" s="2275"/>
      <c r="GF454" s="2275"/>
      <c r="GG454" s="2275"/>
      <c r="GH454" s="2275"/>
      <c r="GI454" s="2275"/>
      <c r="GJ454" s="2275"/>
      <c r="GK454" s="2275"/>
      <c r="GL454" s="2275"/>
      <c r="GM454" s="2275"/>
      <c r="GN454" s="2275"/>
      <c r="GO454" s="2275"/>
      <c r="GP454" s="2275"/>
      <c r="GQ454" s="2275"/>
      <c r="GR454" s="2275"/>
      <c r="GS454" s="2275"/>
      <c r="GT454" s="2275"/>
      <c r="GU454" s="2275"/>
      <c r="GV454" s="2275"/>
      <c r="GW454" s="2275"/>
      <c r="GX454" s="2275"/>
      <c r="GY454" s="2275"/>
      <c r="GZ454" s="2275"/>
      <c r="HA454" s="2275"/>
      <c r="HB454" s="2275"/>
      <c r="HC454" s="2275"/>
      <c r="HD454" s="2275"/>
      <c r="HE454" s="2275"/>
      <c r="HF454" s="2275"/>
      <c r="HG454" s="2275"/>
      <c r="HH454" s="2275" t="s">
        <v>2236</v>
      </c>
      <c r="HI454" s="2275"/>
      <c r="HJ454" s="2275" t="s">
        <v>655</v>
      </c>
      <c r="HK454" s="2275">
        <f>HB373</f>
        <v>48.8</v>
      </c>
      <c r="HL454" s="2275"/>
      <c r="HM454" s="2275"/>
      <c r="HN454" s="2275"/>
      <c r="HO454" s="2275"/>
      <c r="HP454" s="2275"/>
      <c r="HQ454" s="2275"/>
      <c r="HR454" s="2275"/>
      <c r="HS454" s="2275"/>
      <c r="HT454" s="2250"/>
      <c r="HU454" s="2250"/>
      <c r="HV454" s="2250"/>
      <c r="HW454" s="2250"/>
      <c r="HX454" s="2250"/>
      <c r="HY454" s="2250"/>
      <c r="HZ454" s="2250"/>
      <c r="IA454" s="2250"/>
      <c r="IB454" s="2250"/>
      <c r="IC454" s="2250"/>
      <c r="ID454" s="2250"/>
      <c r="IE454" s="2250"/>
      <c r="IF454" s="2250"/>
      <c r="IG454" s="2250"/>
      <c r="IH454" s="2250"/>
      <c r="II454" s="2250"/>
      <c r="IJ454" s="2250"/>
      <c r="IK454" s="53"/>
      <c r="IL454" s="53"/>
      <c r="IN454" s="277"/>
      <c r="IO454" s="277"/>
    </row>
    <row r="455" spans="2:249" ht="21.95" customHeight="1">
      <c r="B455" s="2333" t="s">
        <v>731</v>
      </c>
      <c r="C455" s="2333" t="s">
        <v>736</v>
      </c>
      <c r="D455" s="2333">
        <v>223.8</v>
      </c>
      <c r="E455" s="2333">
        <v>206.43</v>
      </c>
      <c r="F455" s="2333">
        <v>190.4</v>
      </c>
      <c r="G455" s="2333">
        <v>177.81</v>
      </c>
      <c r="H455" s="2333">
        <v>165.9</v>
      </c>
      <c r="I455" s="2333">
        <v>162.68</v>
      </c>
      <c r="J455" s="2333">
        <v>151.30000000000001</v>
      </c>
      <c r="K455" s="2333">
        <v>140.1</v>
      </c>
      <c r="L455" s="2333">
        <v>129.80000000000001</v>
      </c>
      <c r="M455" s="2333">
        <v>120.7</v>
      </c>
      <c r="N455" s="2333">
        <v>107.9</v>
      </c>
      <c r="O455" s="2333">
        <v>97.1</v>
      </c>
      <c r="P455" s="2333">
        <v>92.9</v>
      </c>
      <c r="Q455" s="2333">
        <v>88.2</v>
      </c>
      <c r="R455" s="2333">
        <v>83.3</v>
      </c>
      <c r="S455" s="2333">
        <v>78.2</v>
      </c>
      <c r="T455" s="2333">
        <v>73.7</v>
      </c>
      <c r="U455" s="2333">
        <v>68.3</v>
      </c>
      <c r="V455" s="2333">
        <v>63.4</v>
      </c>
      <c r="W455" s="2333">
        <v>58.1</v>
      </c>
      <c r="X455" s="2333">
        <v>53.7</v>
      </c>
      <c r="Y455" s="2333">
        <v>48.8</v>
      </c>
      <c r="Z455" s="2333">
        <v>43.9</v>
      </c>
      <c r="AA455" s="2333">
        <v>38.799999999999997</v>
      </c>
      <c r="AB455" s="2333">
        <v>34.200000000000003</v>
      </c>
      <c r="AC455" s="2333">
        <v>29.3</v>
      </c>
      <c r="AD455" s="2333">
        <v>24.5</v>
      </c>
      <c r="AE455" s="2333" t="s">
        <v>736</v>
      </c>
      <c r="AF455" s="2275" t="s">
        <v>738</v>
      </c>
      <c r="AG455" s="2275">
        <f>+X372</f>
        <v>0.75631178540277322</v>
      </c>
      <c r="AH455" s="2275"/>
      <c r="AI455" s="2275"/>
      <c r="AJ455" s="2275"/>
      <c r="AK455" s="2275"/>
      <c r="AL455" s="2275"/>
      <c r="AM455" s="2275"/>
      <c r="AN455" s="2275"/>
      <c r="AO455" s="2275"/>
      <c r="AP455" s="2250"/>
      <c r="AQ455" s="2250"/>
      <c r="AR455" s="2250"/>
      <c r="AS455" s="2250"/>
      <c r="AT455" s="2250"/>
      <c r="AU455" s="2250"/>
      <c r="AV455" s="2250"/>
      <c r="AW455" s="2250"/>
      <c r="AX455" s="2250"/>
      <c r="AY455" s="2250"/>
      <c r="AZ455" s="2250"/>
      <c r="BA455" s="2250"/>
      <c r="BB455" s="2250"/>
      <c r="BC455" s="2250"/>
      <c r="BD455" s="2250"/>
      <c r="BE455" s="2250"/>
      <c r="BF455" s="2276"/>
      <c r="BG455" s="2276"/>
      <c r="BH455" s="2250"/>
      <c r="BI455" s="2275"/>
      <c r="BJ455" s="2333" t="s">
        <v>731</v>
      </c>
      <c r="BK455" s="2333" t="s">
        <v>736</v>
      </c>
      <c r="BL455" s="2333">
        <v>223.8</v>
      </c>
      <c r="BM455" s="2333">
        <v>206.43</v>
      </c>
      <c r="BN455" s="2333">
        <v>190.4</v>
      </c>
      <c r="BO455" s="2333">
        <v>177.81</v>
      </c>
      <c r="BP455" s="2333">
        <v>165.9</v>
      </c>
      <c r="BQ455" s="2333">
        <v>162.68</v>
      </c>
      <c r="BR455" s="2333">
        <v>151.30000000000001</v>
      </c>
      <c r="BS455" s="2333">
        <v>140.1</v>
      </c>
      <c r="BT455" s="2333">
        <v>129.80000000000001</v>
      </c>
      <c r="BU455" s="2333">
        <v>120.7</v>
      </c>
      <c r="BV455" s="2333">
        <v>107.9</v>
      </c>
      <c r="BW455" s="2333">
        <v>97.1</v>
      </c>
      <c r="BX455" s="2333">
        <v>92.9</v>
      </c>
      <c r="BY455" s="2333">
        <v>88.2</v>
      </c>
      <c r="BZ455" s="2333">
        <v>83.3</v>
      </c>
      <c r="CA455" s="2333">
        <v>78.2</v>
      </c>
      <c r="CB455" s="2333">
        <v>73.7</v>
      </c>
      <c r="CC455" s="2333">
        <v>68.3</v>
      </c>
      <c r="CD455" s="2333">
        <v>63.4</v>
      </c>
      <c r="CE455" s="2333">
        <v>58.1</v>
      </c>
      <c r="CF455" s="2333">
        <v>53.7</v>
      </c>
      <c r="CG455" s="2333">
        <v>48.8</v>
      </c>
      <c r="CH455" s="2333">
        <v>43.9</v>
      </c>
      <c r="CI455" s="2333">
        <v>38.799999999999997</v>
      </c>
      <c r="CJ455" s="2333">
        <v>34.200000000000003</v>
      </c>
      <c r="CK455" s="2333">
        <v>29.3</v>
      </c>
      <c r="CL455" s="2333">
        <v>24.5</v>
      </c>
      <c r="CM455" s="2333" t="s">
        <v>736</v>
      </c>
      <c r="CN455" s="2275" t="s">
        <v>738</v>
      </c>
      <c r="CO455" s="2275">
        <f>+CF372</f>
        <v>0.75631178540277322</v>
      </c>
      <c r="CP455" s="2275"/>
      <c r="CQ455" s="2275"/>
      <c r="CR455" s="2275"/>
      <c r="CS455" s="2275"/>
      <c r="CT455" s="2275"/>
      <c r="CU455" s="2275"/>
      <c r="CV455" s="2275"/>
      <c r="CW455" s="2275"/>
      <c r="CX455" s="2250"/>
      <c r="CY455" s="2250"/>
      <c r="CZ455" s="2250"/>
      <c r="DA455" s="2250"/>
      <c r="DB455" s="2250"/>
      <c r="DC455" s="2250"/>
      <c r="DD455" s="2250"/>
      <c r="DE455" s="2250"/>
      <c r="DF455" s="2250"/>
      <c r="DG455" s="2250"/>
      <c r="DH455" s="2250"/>
      <c r="DI455" s="2250"/>
      <c r="DJ455" s="2250"/>
      <c r="DK455" s="2250"/>
      <c r="DL455" s="2250"/>
      <c r="DM455" s="2250"/>
      <c r="DN455" s="2250"/>
      <c r="DO455" s="53"/>
      <c r="DP455" s="53"/>
      <c r="DS455" s="277"/>
      <c r="DW455" s="1"/>
      <c r="DX455" s="2333" t="s">
        <v>731</v>
      </c>
      <c r="DY455" s="2333" t="s">
        <v>736</v>
      </c>
      <c r="DZ455" s="2333">
        <v>223.8</v>
      </c>
      <c r="EA455" s="2333">
        <v>206.43</v>
      </c>
      <c r="EB455" s="2333">
        <v>190.4</v>
      </c>
      <c r="EC455" s="2333">
        <v>177.81</v>
      </c>
      <c r="ED455" s="2333">
        <v>165.9</v>
      </c>
      <c r="EE455" s="2333">
        <v>162.68</v>
      </c>
      <c r="EF455" s="2333">
        <v>151.30000000000001</v>
      </c>
      <c r="EG455" s="2333">
        <v>140.1</v>
      </c>
      <c r="EH455" s="2333">
        <v>129.80000000000001</v>
      </c>
      <c r="EI455" s="2333">
        <v>120.7</v>
      </c>
      <c r="EJ455" s="2333">
        <v>107.9</v>
      </c>
      <c r="EK455" s="2333">
        <v>97.1</v>
      </c>
      <c r="EL455" s="2333">
        <v>92.9</v>
      </c>
      <c r="EM455" s="2333">
        <v>88.2</v>
      </c>
      <c r="EN455" s="2333">
        <v>83.3</v>
      </c>
      <c r="EO455" s="2333">
        <v>78.2</v>
      </c>
      <c r="EP455" s="2333">
        <v>73.7</v>
      </c>
      <c r="EQ455" s="2333">
        <v>68.3</v>
      </c>
      <c r="ER455" s="2333">
        <v>63.4</v>
      </c>
      <c r="ES455" s="2333">
        <v>58.1</v>
      </c>
      <c r="ET455" s="2333">
        <v>53.7</v>
      </c>
      <c r="EU455" s="2333">
        <v>48.8</v>
      </c>
      <c r="EV455" s="2333">
        <v>43.9</v>
      </c>
      <c r="EW455" s="2333">
        <v>38.799999999999997</v>
      </c>
      <c r="EX455" s="2333">
        <v>34.200000000000003</v>
      </c>
      <c r="EY455" s="2333">
        <v>29.3</v>
      </c>
      <c r="EZ455" s="2333">
        <v>24.5</v>
      </c>
      <c r="FA455" s="2333" t="s">
        <v>736</v>
      </c>
      <c r="FB455" s="2275" t="s">
        <v>738</v>
      </c>
      <c r="FC455" s="2275">
        <f>+ET372</f>
        <v>1.3354563802212776</v>
      </c>
      <c r="FD455" s="2275"/>
      <c r="FE455" s="2275"/>
      <c r="FF455" s="2275"/>
      <c r="FG455" s="2275"/>
      <c r="FH455" s="2275"/>
      <c r="FI455" s="2275"/>
      <c r="FJ455" s="2275"/>
      <c r="FK455" s="2275"/>
      <c r="FL455" s="2250"/>
      <c r="FM455" s="2250"/>
      <c r="FN455" s="2250"/>
      <c r="FO455" s="2250"/>
      <c r="FP455" s="2250"/>
      <c r="FQ455" s="2250"/>
      <c r="FR455" s="2250"/>
      <c r="FS455" s="2250"/>
      <c r="FT455" s="2250"/>
      <c r="FU455" s="2250"/>
      <c r="FV455" s="2250"/>
      <c r="FW455" s="2250"/>
      <c r="FX455" s="2250"/>
      <c r="FY455" s="2250"/>
      <c r="FZ455" s="2250"/>
      <c r="GA455" s="2250"/>
      <c r="GB455" s="2276"/>
      <c r="GC455" s="2276"/>
      <c r="GD455" s="2250"/>
      <c r="GE455" s="2275"/>
      <c r="GF455" s="2333" t="s">
        <v>731</v>
      </c>
      <c r="GG455" s="2333" t="s">
        <v>736</v>
      </c>
      <c r="GH455" s="2333">
        <v>223.8</v>
      </c>
      <c r="GI455" s="2333">
        <v>206.43</v>
      </c>
      <c r="GJ455" s="2333">
        <v>190.4</v>
      </c>
      <c r="GK455" s="2333">
        <v>177.81</v>
      </c>
      <c r="GL455" s="2333">
        <v>165.9</v>
      </c>
      <c r="GM455" s="2333">
        <v>162.68</v>
      </c>
      <c r="GN455" s="2333">
        <v>151.30000000000001</v>
      </c>
      <c r="GO455" s="2333">
        <v>140.1</v>
      </c>
      <c r="GP455" s="2333">
        <v>129.80000000000001</v>
      </c>
      <c r="GQ455" s="2333">
        <v>120.7</v>
      </c>
      <c r="GR455" s="2333">
        <v>107.9</v>
      </c>
      <c r="GS455" s="2333">
        <v>97.1</v>
      </c>
      <c r="GT455" s="2333">
        <v>92.9</v>
      </c>
      <c r="GU455" s="2333">
        <v>88.2</v>
      </c>
      <c r="GV455" s="2333">
        <v>83.3</v>
      </c>
      <c r="GW455" s="2333">
        <v>78.2</v>
      </c>
      <c r="GX455" s="2333">
        <v>73.7</v>
      </c>
      <c r="GY455" s="2333">
        <v>68.3</v>
      </c>
      <c r="GZ455" s="2333">
        <v>63.4</v>
      </c>
      <c r="HA455" s="2333">
        <v>58.1</v>
      </c>
      <c r="HB455" s="2333">
        <v>53.7</v>
      </c>
      <c r="HC455" s="2333">
        <v>48.8</v>
      </c>
      <c r="HD455" s="2333">
        <v>43.9</v>
      </c>
      <c r="HE455" s="2333">
        <v>38.799999999999997</v>
      </c>
      <c r="HF455" s="2333">
        <v>34.200000000000003</v>
      </c>
      <c r="HG455" s="2333">
        <v>29.3</v>
      </c>
      <c r="HH455" s="2333">
        <v>24.5</v>
      </c>
      <c r="HI455" s="2333" t="s">
        <v>736</v>
      </c>
      <c r="HJ455" s="2275" t="s">
        <v>738</v>
      </c>
      <c r="HK455" s="2275">
        <f>+HB372</f>
        <v>1.3354563802212776</v>
      </c>
      <c r="HL455" s="2275"/>
      <c r="HM455" s="2275"/>
      <c r="HN455" s="2275"/>
      <c r="HO455" s="2275"/>
      <c r="HP455" s="2275"/>
      <c r="HQ455" s="2275"/>
      <c r="HR455" s="2275"/>
      <c r="HS455" s="2275"/>
      <c r="HT455" s="2250"/>
      <c r="HU455" s="2250"/>
      <c r="HV455" s="2250"/>
      <c r="HW455" s="2250"/>
      <c r="HX455" s="2250"/>
      <c r="HY455" s="2250"/>
      <c r="HZ455" s="2250"/>
      <c r="IA455" s="2250"/>
      <c r="IB455" s="2250"/>
      <c r="IC455" s="2250"/>
      <c r="ID455" s="2250"/>
      <c r="IE455" s="2250"/>
      <c r="IF455" s="2250"/>
      <c r="IG455" s="2250"/>
      <c r="IH455" s="2250"/>
      <c r="II455" s="2250"/>
      <c r="IJ455" s="2250"/>
      <c r="IK455" s="53"/>
      <c r="IL455" s="53"/>
      <c r="IN455" s="277"/>
      <c r="IO455" s="277"/>
    </row>
    <row r="456" spans="2:249" ht="21.95" customHeight="1">
      <c r="B456" s="2333"/>
      <c r="C456" s="2333"/>
      <c r="D456" s="2344"/>
      <c r="E456" s="2344"/>
      <c r="F456" s="2344"/>
      <c r="G456" s="2344"/>
      <c r="H456" s="2344"/>
      <c r="I456" s="2344"/>
      <c r="J456" s="2344"/>
      <c r="K456" s="2344"/>
      <c r="L456" s="2344"/>
      <c r="M456" s="2344"/>
      <c r="N456" s="2344"/>
      <c r="O456" s="2344"/>
      <c r="P456" s="2344"/>
      <c r="Q456" s="2344"/>
      <c r="R456" s="2344"/>
      <c r="S456" s="2344"/>
      <c r="T456" s="2344"/>
      <c r="U456" s="2344"/>
      <c r="V456" s="2344"/>
      <c r="W456" s="2344"/>
      <c r="X456" s="2344"/>
      <c r="Y456" s="2344"/>
      <c r="Z456" s="2344"/>
      <c r="AA456" s="2344"/>
      <c r="AB456" s="2344"/>
      <c r="AC456" s="2344"/>
      <c r="AD456" s="2344"/>
      <c r="AE456" s="2333"/>
      <c r="AF456" s="2275" t="s">
        <v>682</v>
      </c>
      <c r="AG456" s="2275">
        <f>HLOOKUP(AG454,D455:AD467,1,0)</f>
        <v>68.3</v>
      </c>
      <c r="AH456" s="2275" t="s">
        <v>706</v>
      </c>
      <c r="AI456" s="2275" t="s">
        <v>682</v>
      </c>
      <c r="AJ456" s="2275"/>
      <c r="AK456" s="2275"/>
      <c r="AL456" s="2275"/>
      <c r="AM456" s="2275"/>
      <c r="AN456" s="2275"/>
      <c r="AO456" s="2275"/>
      <c r="AP456" s="2250"/>
      <c r="AQ456" s="2250"/>
      <c r="AR456" s="2250"/>
      <c r="AS456" s="2250"/>
      <c r="AT456" s="2250"/>
      <c r="AU456" s="2250"/>
      <c r="AV456" s="2250"/>
      <c r="AW456" s="2250"/>
      <c r="AX456" s="2250"/>
      <c r="AY456" s="2250"/>
      <c r="AZ456" s="2250"/>
      <c r="BA456" s="2250"/>
      <c r="BB456" s="2250"/>
      <c r="BC456" s="2250"/>
      <c r="BD456" s="2250"/>
      <c r="BE456" s="2250"/>
      <c r="BF456" s="2276"/>
      <c r="BG456" s="2276"/>
      <c r="BH456" s="2250"/>
      <c r="BI456" s="2275"/>
      <c r="BJ456" s="2333"/>
      <c r="BK456" s="2333"/>
      <c r="BL456" s="2344">
        <v>0</v>
      </c>
      <c r="BM456" s="2344">
        <v>0</v>
      </c>
      <c r="BN456" s="2344">
        <v>0</v>
      </c>
      <c r="BO456" s="2344">
        <v>0</v>
      </c>
      <c r="BP456" s="2344">
        <v>0</v>
      </c>
      <c r="BQ456" s="2344">
        <v>0</v>
      </c>
      <c r="BR456" s="2344">
        <v>0</v>
      </c>
      <c r="BS456" s="2344">
        <v>0</v>
      </c>
      <c r="BT456" s="2344">
        <v>0</v>
      </c>
      <c r="BU456" s="2344">
        <v>0</v>
      </c>
      <c r="BV456" s="2344">
        <v>0</v>
      </c>
      <c r="BW456" s="2344">
        <v>0</v>
      </c>
      <c r="BX456" s="2344">
        <v>0</v>
      </c>
      <c r="BY456" s="2344">
        <v>0</v>
      </c>
      <c r="BZ456" s="2344">
        <v>0</v>
      </c>
      <c r="CA456" s="2344">
        <v>0</v>
      </c>
      <c r="CB456" s="2344">
        <v>0</v>
      </c>
      <c r="CC456" s="2344">
        <v>0</v>
      </c>
      <c r="CD456" s="2344">
        <v>0</v>
      </c>
      <c r="CE456" s="2344">
        <v>0</v>
      </c>
      <c r="CF456" s="2344">
        <v>0</v>
      </c>
      <c r="CG456" s="2344">
        <v>0</v>
      </c>
      <c r="CH456" s="2344">
        <v>0</v>
      </c>
      <c r="CI456" s="2344">
        <v>0</v>
      </c>
      <c r="CJ456" s="2344">
        <v>0</v>
      </c>
      <c r="CK456" s="2344">
        <v>0</v>
      </c>
      <c r="CL456" s="2344">
        <v>0</v>
      </c>
      <c r="CM456" s="2333"/>
      <c r="CN456" s="2275" t="s">
        <v>682</v>
      </c>
      <c r="CO456" s="2275">
        <f>HLOOKUP(CO454,BL455:CL467,1,0)</f>
        <v>73.7</v>
      </c>
      <c r="CP456" s="2275" t="s">
        <v>706</v>
      </c>
      <c r="CQ456" s="2275" t="s">
        <v>682</v>
      </c>
      <c r="CR456" s="2275"/>
      <c r="CS456" s="2275"/>
      <c r="CT456" s="2275"/>
      <c r="CU456" s="2275"/>
      <c r="CV456" s="2275"/>
      <c r="CW456" s="2275"/>
      <c r="CX456" s="2250"/>
      <c r="CY456" s="2250"/>
      <c r="CZ456" s="2250"/>
      <c r="DA456" s="2250"/>
      <c r="DB456" s="2250"/>
      <c r="DC456" s="2250"/>
      <c r="DD456" s="2250"/>
      <c r="DE456" s="2250"/>
      <c r="DF456" s="2250"/>
      <c r="DG456" s="2250"/>
      <c r="DH456" s="2250"/>
      <c r="DI456" s="2250"/>
      <c r="DJ456" s="2250"/>
      <c r="DK456" s="2250"/>
      <c r="DL456" s="2250"/>
      <c r="DM456" s="2250"/>
      <c r="DN456" s="2250"/>
      <c r="DO456" s="53"/>
      <c r="DP456" s="53"/>
      <c r="DS456" s="277"/>
      <c r="DW456" s="1"/>
      <c r="DX456" s="2333"/>
      <c r="DY456" s="2333"/>
      <c r="DZ456" s="2344"/>
      <c r="EA456" s="2344"/>
      <c r="EB456" s="2344"/>
      <c r="EC456" s="2344"/>
      <c r="ED456" s="2344"/>
      <c r="EE456" s="2344"/>
      <c r="EF456" s="2344"/>
      <c r="EG456" s="2344"/>
      <c r="EH456" s="2344"/>
      <c r="EI456" s="2344"/>
      <c r="EJ456" s="2344"/>
      <c r="EK456" s="2344"/>
      <c r="EL456" s="2344"/>
      <c r="EM456" s="2344"/>
      <c r="EN456" s="2344"/>
      <c r="EO456" s="2344"/>
      <c r="EP456" s="2344"/>
      <c r="EQ456" s="2344"/>
      <c r="ER456" s="2344"/>
      <c r="ES456" s="2344"/>
      <c r="ET456" s="2344"/>
      <c r="EU456" s="2344"/>
      <c r="EV456" s="2344"/>
      <c r="EW456" s="2344"/>
      <c r="EX456" s="2344"/>
      <c r="EY456" s="2344"/>
      <c r="EZ456" s="2344"/>
      <c r="FA456" s="2333"/>
      <c r="FB456" s="2275" t="s">
        <v>682</v>
      </c>
      <c r="FC456" s="2275">
        <f>HLOOKUP(FC454,DZ455:EZ467,1,0)</f>
        <v>43.9</v>
      </c>
      <c r="FD456" s="2275" t="s">
        <v>706</v>
      </c>
      <c r="FE456" s="2275" t="s">
        <v>682</v>
      </c>
      <c r="FF456" s="2275"/>
      <c r="FG456" s="2275"/>
      <c r="FH456" s="2275"/>
      <c r="FI456" s="2275"/>
      <c r="FJ456" s="2275"/>
      <c r="FK456" s="2275"/>
      <c r="FL456" s="2250"/>
      <c r="FM456" s="2250"/>
      <c r="FN456" s="2250"/>
      <c r="FO456" s="2250"/>
      <c r="FP456" s="2250"/>
      <c r="FQ456" s="2250"/>
      <c r="FR456" s="2250"/>
      <c r="FS456" s="2250"/>
      <c r="FT456" s="2250"/>
      <c r="FU456" s="2250"/>
      <c r="FV456" s="2250"/>
      <c r="FW456" s="2250"/>
      <c r="FX456" s="2250"/>
      <c r="FY456" s="2250"/>
      <c r="FZ456" s="2250"/>
      <c r="GA456" s="2250"/>
      <c r="GB456" s="2276"/>
      <c r="GC456" s="2276"/>
      <c r="GD456" s="2250"/>
      <c r="GE456" s="2275"/>
      <c r="GF456" s="2333"/>
      <c r="GG456" s="2333"/>
      <c r="GH456" s="2344">
        <v>0</v>
      </c>
      <c r="GI456" s="2344">
        <v>0</v>
      </c>
      <c r="GJ456" s="2344">
        <v>0</v>
      </c>
      <c r="GK456" s="2344">
        <v>0</v>
      </c>
      <c r="GL456" s="2344">
        <v>0</v>
      </c>
      <c r="GM456" s="2344">
        <v>0</v>
      </c>
      <c r="GN456" s="2344">
        <v>0</v>
      </c>
      <c r="GO456" s="2344">
        <v>0</v>
      </c>
      <c r="GP456" s="2344">
        <v>0</v>
      </c>
      <c r="GQ456" s="2344">
        <v>0</v>
      </c>
      <c r="GR456" s="2344">
        <v>0</v>
      </c>
      <c r="GS456" s="2344">
        <v>0</v>
      </c>
      <c r="GT456" s="2344">
        <v>0</v>
      </c>
      <c r="GU456" s="2344">
        <v>0</v>
      </c>
      <c r="GV456" s="2344">
        <v>0</v>
      </c>
      <c r="GW456" s="2344">
        <v>0</v>
      </c>
      <c r="GX456" s="2344">
        <v>0</v>
      </c>
      <c r="GY456" s="2344">
        <v>0</v>
      </c>
      <c r="GZ456" s="2344">
        <v>0</v>
      </c>
      <c r="HA456" s="2344">
        <v>0</v>
      </c>
      <c r="HB456" s="2344">
        <v>0</v>
      </c>
      <c r="HC456" s="2344">
        <v>0</v>
      </c>
      <c r="HD456" s="2344">
        <v>0</v>
      </c>
      <c r="HE456" s="2344">
        <v>0</v>
      </c>
      <c r="HF456" s="2344">
        <v>0</v>
      </c>
      <c r="HG456" s="2344">
        <v>0</v>
      </c>
      <c r="HH456" s="2344">
        <v>0</v>
      </c>
      <c r="HI456" s="2333"/>
      <c r="HJ456" s="2275" t="s">
        <v>682</v>
      </c>
      <c r="HK456" s="2275">
        <f>HLOOKUP(HK454,GH455:HH467,1,0)</f>
        <v>48.8</v>
      </c>
      <c r="HL456" s="2275" t="s">
        <v>706</v>
      </c>
      <c r="HM456" s="2275" t="s">
        <v>682</v>
      </c>
      <c r="HN456" s="2275"/>
      <c r="HO456" s="2275"/>
      <c r="HP456" s="2275"/>
      <c r="HQ456" s="2275"/>
      <c r="HR456" s="2275"/>
      <c r="HS456" s="2275"/>
      <c r="HT456" s="2250"/>
      <c r="HU456" s="2250"/>
      <c r="HV456" s="2250"/>
      <c r="HW456" s="2250"/>
      <c r="HX456" s="2250"/>
      <c r="HY456" s="2250"/>
      <c r="HZ456" s="2250"/>
      <c r="IA456" s="2250"/>
      <c r="IB456" s="2250"/>
      <c r="IC456" s="2250"/>
      <c r="ID456" s="2250"/>
      <c r="IE456" s="2250"/>
      <c r="IF456" s="2250"/>
      <c r="IG456" s="2250"/>
      <c r="IH456" s="2250"/>
      <c r="II456" s="2250"/>
      <c r="IJ456" s="2250"/>
      <c r="IK456" s="53"/>
      <c r="IL456" s="53"/>
      <c r="IN456" s="277"/>
      <c r="IO456" s="277"/>
    </row>
    <row r="457" spans="2:249" ht="21.95" customHeight="1">
      <c r="B457" s="4670" t="s">
        <v>732</v>
      </c>
      <c r="C457" s="2345">
        <v>475</v>
      </c>
      <c r="D457" s="2346">
        <v>0</v>
      </c>
      <c r="E457" s="2346">
        <v>0</v>
      </c>
      <c r="F457" s="2346">
        <v>0</v>
      </c>
      <c r="G457" s="2346">
        <v>0</v>
      </c>
      <c r="H457" s="2346">
        <v>0</v>
      </c>
      <c r="I457" s="2346">
        <v>0</v>
      </c>
      <c r="J457" s="2346">
        <v>0</v>
      </c>
      <c r="K457" s="2346">
        <v>0</v>
      </c>
      <c r="L457" s="2346">
        <v>0</v>
      </c>
      <c r="M457" s="2346">
        <v>0</v>
      </c>
      <c r="N457" s="2346">
        <v>0</v>
      </c>
      <c r="O457" s="2346">
        <v>0</v>
      </c>
      <c r="P457" s="2346">
        <v>0</v>
      </c>
      <c r="Q457" s="2346">
        <v>0</v>
      </c>
      <c r="R457" s="2346">
        <v>0</v>
      </c>
      <c r="S457" s="2346">
        <v>0</v>
      </c>
      <c r="T457" s="2346">
        <v>0</v>
      </c>
      <c r="U457" s="2346">
        <v>0</v>
      </c>
      <c r="V457" s="2346">
        <v>0</v>
      </c>
      <c r="W457" s="2346">
        <v>0</v>
      </c>
      <c r="X457" s="2346">
        <v>0</v>
      </c>
      <c r="Y457" s="2346">
        <v>0</v>
      </c>
      <c r="Z457" s="2346">
        <v>0</v>
      </c>
      <c r="AA457" s="2346">
        <v>0</v>
      </c>
      <c r="AB457" s="2346">
        <v>0</v>
      </c>
      <c r="AC457" s="2346">
        <v>0</v>
      </c>
      <c r="AD457" s="2346">
        <v>0</v>
      </c>
      <c r="AE457" s="2347">
        <v>475</v>
      </c>
      <c r="AF457" s="2275"/>
      <c r="AG457" s="4671"/>
      <c r="AH457" s="4671"/>
      <c r="AI457" s="4671"/>
      <c r="AJ457" s="2275"/>
      <c r="AK457" s="2275"/>
      <c r="AL457" s="2275"/>
      <c r="AM457" s="2275"/>
      <c r="AN457" s="2275"/>
      <c r="AO457" s="2275"/>
      <c r="AP457" s="2250"/>
      <c r="AQ457" s="2250"/>
      <c r="AR457" s="2250"/>
      <c r="AS457" s="2250"/>
      <c r="AT457" s="2250"/>
      <c r="AU457" s="2250"/>
      <c r="AV457" s="2250"/>
      <c r="AW457" s="2250"/>
      <c r="AX457" s="2250"/>
      <c r="AY457" s="2250"/>
      <c r="AZ457" s="2250"/>
      <c r="BA457" s="2250"/>
      <c r="BB457" s="2250"/>
      <c r="BC457" s="2250"/>
      <c r="BD457" s="2250"/>
      <c r="BE457" s="2250"/>
      <c r="BF457" s="2276"/>
      <c r="BG457" s="2276"/>
      <c r="BH457" s="2250"/>
      <c r="BI457" s="2275"/>
      <c r="BJ457" s="4670" t="s">
        <v>732</v>
      </c>
      <c r="BK457" s="2345">
        <v>475</v>
      </c>
      <c r="BL457" s="2346">
        <v>0</v>
      </c>
      <c r="BM457" s="2346">
        <v>0</v>
      </c>
      <c r="BN457" s="2346">
        <v>0</v>
      </c>
      <c r="BO457" s="2346">
        <v>0</v>
      </c>
      <c r="BP457" s="2346">
        <v>0</v>
      </c>
      <c r="BQ457" s="2346">
        <v>0</v>
      </c>
      <c r="BR457" s="2346">
        <v>0</v>
      </c>
      <c r="BS457" s="2346">
        <v>0</v>
      </c>
      <c r="BT457" s="2346">
        <v>0</v>
      </c>
      <c r="BU457" s="2346">
        <v>0</v>
      </c>
      <c r="BV457" s="2346">
        <v>0</v>
      </c>
      <c r="BW457" s="2346">
        <v>0</v>
      </c>
      <c r="BX457" s="2346">
        <v>0</v>
      </c>
      <c r="BY457" s="2346">
        <v>0</v>
      </c>
      <c r="BZ457" s="2346">
        <v>0</v>
      </c>
      <c r="CA457" s="2346">
        <v>0</v>
      </c>
      <c r="CB457" s="2346">
        <v>0</v>
      </c>
      <c r="CC457" s="2346">
        <v>0</v>
      </c>
      <c r="CD457" s="2346">
        <v>0</v>
      </c>
      <c r="CE457" s="2346">
        <v>0</v>
      </c>
      <c r="CF457" s="2346">
        <v>0</v>
      </c>
      <c r="CG457" s="2346">
        <v>0</v>
      </c>
      <c r="CH457" s="2346">
        <v>0</v>
      </c>
      <c r="CI457" s="2346">
        <v>0</v>
      </c>
      <c r="CJ457" s="2346">
        <v>0</v>
      </c>
      <c r="CK457" s="2346">
        <v>0</v>
      </c>
      <c r="CL457" s="2346">
        <v>0</v>
      </c>
      <c r="CM457" s="2347">
        <v>475</v>
      </c>
      <c r="CN457" s="2275"/>
      <c r="CO457" s="4671"/>
      <c r="CP457" s="4671"/>
      <c r="CQ457" s="4671"/>
      <c r="CR457" s="2275"/>
      <c r="CS457" s="2275"/>
      <c r="CT457" s="2275"/>
      <c r="CU457" s="2275"/>
      <c r="CV457" s="2275"/>
      <c r="CW457" s="2275"/>
      <c r="CX457" s="2250"/>
      <c r="CY457" s="2250"/>
      <c r="CZ457" s="2250"/>
      <c r="DA457" s="2250"/>
      <c r="DB457" s="2250"/>
      <c r="DC457" s="2250"/>
      <c r="DD457" s="2250"/>
      <c r="DE457" s="2250"/>
      <c r="DF457" s="2250"/>
      <c r="DG457" s="2250"/>
      <c r="DH457" s="2250"/>
      <c r="DI457" s="2250"/>
      <c r="DJ457" s="2250"/>
      <c r="DK457" s="2250"/>
      <c r="DL457" s="2250"/>
      <c r="DM457" s="2250"/>
      <c r="DN457" s="2250"/>
      <c r="DO457" s="53"/>
      <c r="DP457" s="53"/>
      <c r="DS457" s="277"/>
      <c r="DW457" s="1"/>
      <c r="DX457" s="4670" t="s">
        <v>732</v>
      </c>
      <c r="DY457" s="2345">
        <v>475</v>
      </c>
      <c r="DZ457" s="2346">
        <v>0</v>
      </c>
      <c r="EA457" s="2346">
        <v>0</v>
      </c>
      <c r="EB457" s="2346">
        <v>0</v>
      </c>
      <c r="EC457" s="2346">
        <v>0</v>
      </c>
      <c r="ED457" s="2346">
        <v>0</v>
      </c>
      <c r="EE457" s="2346">
        <v>0</v>
      </c>
      <c r="EF457" s="2346">
        <v>0</v>
      </c>
      <c r="EG457" s="2346">
        <v>0</v>
      </c>
      <c r="EH457" s="2346">
        <v>0</v>
      </c>
      <c r="EI457" s="2346">
        <v>0</v>
      </c>
      <c r="EJ457" s="2346">
        <v>0</v>
      </c>
      <c r="EK457" s="2346">
        <v>0</v>
      </c>
      <c r="EL457" s="2346">
        <v>0</v>
      </c>
      <c r="EM457" s="2346">
        <v>0</v>
      </c>
      <c r="EN457" s="2346">
        <v>0</v>
      </c>
      <c r="EO457" s="2346">
        <v>0</v>
      </c>
      <c r="EP457" s="2346">
        <v>0</v>
      </c>
      <c r="EQ457" s="2346">
        <v>0</v>
      </c>
      <c r="ER457" s="2346">
        <v>0</v>
      </c>
      <c r="ES457" s="2346">
        <v>0</v>
      </c>
      <c r="ET457" s="2346">
        <v>0</v>
      </c>
      <c r="EU457" s="2346">
        <v>0</v>
      </c>
      <c r="EV457" s="2346">
        <v>0</v>
      </c>
      <c r="EW457" s="2346">
        <v>0</v>
      </c>
      <c r="EX457" s="2346">
        <v>0</v>
      </c>
      <c r="EY457" s="2346">
        <v>0</v>
      </c>
      <c r="EZ457" s="2346">
        <v>0</v>
      </c>
      <c r="FA457" s="2347">
        <v>475</v>
      </c>
      <c r="FB457" s="2275"/>
      <c r="FC457" s="4671"/>
      <c r="FD457" s="4671"/>
      <c r="FE457" s="4671"/>
      <c r="FF457" s="2275"/>
      <c r="FG457" s="2275"/>
      <c r="FH457" s="2275"/>
      <c r="FI457" s="2275"/>
      <c r="FJ457" s="2275"/>
      <c r="FK457" s="2275"/>
      <c r="FL457" s="2250"/>
      <c r="FM457" s="2250"/>
      <c r="FN457" s="2250"/>
      <c r="FO457" s="2250"/>
      <c r="FP457" s="2250"/>
      <c r="FQ457" s="2250"/>
      <c r="FR457" s="2250"/>
      <c r="FS457" s="2250"/>
      <c r="FT457" s="2250"/>
      <c r="FU457" s="2250"/>
      <c r="FV457" s="2250"/>
      <c r="FW457" s="2250"/>
      <c r="FX457" s="2250"/>
      <c r="FY457" s="2250"/>
      <c r="FZ457" s="2250"/>
      <c r="GA457" s="2250"/>
      <c r="GB457" s="2276"/>
      <c r="GC457" s="2276"/>
      <c r="GD457" s="2250"/>
      <c r="GE457" s="2275"/>
      <c r="GF457" s="4670" t="s">
        <v>732</v>
      </c>
      <c r="GG457" s="2345">
        <v>475</v>
      </c>
      <c r="GH457" s="2346">
        <v>0</v>
      </c>
      <c r="GI457" s="2346">
        <v>0</v>
      </c>
      <c r="GJ457" s="2346">
        <v>0</v>
      </c>
      <c r="GK457" s="2346">
        <v>0</v>
      </c>
      <c r="GL457" s="2346">
        <v>0</v>
      </c>
      <c r="GM457" s="2346">
        <v>0</v>
      </c>
      <c r="GN457" s="2346">
        <v>0</v>
      </c>
      <c r="GO457" s="2346">
        <v>0</v>
      </c>
      <c r="GP457" s="2346">
        <v>0</v>
      </c>
      <c r="GQ457" s="2346">
        <v>0</v>
      </c>
      <c r="GR457" s="2346">
        <v>0</v>
      </c>
      <c r="GS457" s="2346">
        <v>0</v>
      </c>
      <c r="GT457" s="2346">
        <v>0</v>
      </c>
      <c r="GU457" s="2346">
        <v>0</v>
      </c>
      <c r="GV457" s="2346">
        <v>0</v>
      </c>
      <c r="GW457" s="2346">
        <v>0</v>
      </c>
      <c r="GX457" s="2346">
        <v>0</v>
      </c>
      <c r="GY457" s="2346">
        <v>0</v>
      </c>
      <c r="GZ457" s="2346">
        <v>0</v>
      </c>
      <c r="HA457" s="2346">
        <v>0</v>
      </c>
      <c r="HB457" s="2346">
        <v>0</v>
      </c>
      <c r="HC457" s="2346">
        <v>0</v>
      </c>
      <c r="HD457" s="2346">
        <v>0</v>
      </c>
      <c r="HE457" s="2346">
        <v>0</v>
      </c>
      <c r="HF457" s="2346">
        <v>0</v>
      </c>
      <c r="HG457" s="2346">
        <v>0</v>
      </c>
      <c r="HH457" s="2346">
        <v>0</v>
      </c>
      <c r="HI457" s="2347">
        <v>475</v>
      </c>
      <c r="HJ457" s="2275"/>
      <c r="HK457" s="4671"/>
      <c r="HL457" s="4671"/>
      <c r="HM457" s="4671"/>
      <c r="HN457" s="2275"/>
      <c r="HO457" s="2275"/>
      <c r="HP457" s="2275"/>
      <c r="HQ457" s="2275"/>
      <c r="HR457" s="2275"/>
      <c r="HS457" s="2275"/>
      <c r="HT457" s="2250"/>
      <c r="HU457" s="2250"/>
      <c r="HV457" s="2250"/>
      <c r="HW457" s="2250"/>
      <c r="HX457" s="2250"/>
      <c r="HY457" s="2250"/>
      <c r="HZ457" s="2250"/>
      <c r="IA457" s="2250"/>
      <c r="IB457" s="2250"/>
      <c r="IC457" s="2250"/>
      <c r="ID457" s="2250"/>
      <c r="IE457" s="2250"/>
      <c r="IF457" s="2250"/>
      <c r="IG457" s="2250"/>
      <c r="IH457" s="2250"/>
      <c r="II457" s="2250"/>
      <c r="IJ457" s="2250"/>
      <c r="IK457" s="53"/>
      <c r="IL457" s="53"/>
      <c r="IN457" s="277"/>
      <c r="IO457" s="277"/>
    </row>
    <row r="458" spans="2:249" ht="21.95" customHeight="1">
      <c r="B458" s="4670"/>
      <c r="C458" s="2345">
        <v>550</v>
      </c>
      <c r="D458" s="2346">
        <v>0</v>
      </c>
      <c r="E458" s="2346">
        <v>0</v>
      </c>
      <c r="F458" s="2346">
        <v>0</v>
      </c>
      <c r="G458" s="2346">
        <v>0</v>
      </c>
      <c r="H458" s="2346">
        <v>0</v>
      </c>
      <c r="I458" s="2346">
        <v>0</v>
      </c>
      <c r="J458" s="2346">
        <v>0</v>
      </c>
      <c r="K458" s="2346">
        <v>0</v>
      </c>
      <c r="L458" s="2346">
        <v>0</v>
      </c>
      <c r="M458" s="2346">
        <v>0</v>
      </c>
      <c r="N458" s="2346">
        <v>0</v>
      </c>
      <c r="O458" s="2346">
        <v>0</v>
      </c>
      <c r="P458" s="2346">
        <v>0</v>
      </c>
      <c r="Q458" s="2346">
        <v>0</v>
      </c>
      <c r="R458" s="2346">
        <v>0</v>
      </c>
      <c r="S458" s="2346">
        <v>0</v>
      </c>
      <c r="T458" s="2346">
        <v>0</v>
      </c>
      <c r="U458" s="2346">
        <v>0</v>
      </c>
      <c r="V458" s="2346">
        <v>0</v>
      </c>
      <c r="W458" s="2346">
        <v>0</v>
      </c>
      <c r="X458" s="2346">
        <v>0</v>
      </c>
      <c r="Y458" s="2346">
        <v>0</v>
      </c>
      <c r="Z458" s="2346">
        <v>0</v>
      </c>
      <c r="AA458" s="2346">
        <v>0</v>
      </c>
      <c r="AB458" s="2346">
        <v>0</v>
      </c>
      <c r="AC458" s="2346">
        <v>0</v>
      </c>
      <c r="AD458" s="2346">
        <v>0</v>
      </c>
      <c r="AE458" s="2347">
        <v>550</v>
      </c>
      <c r="AF458" s="2275"/>
      <c r="AG458" s="2275">
        <f>HLOOKUP(AG454,D455:AD467,2,0)</f>
        <v>0</v>
      </c>
      <c r="AH458" s="2275">
        <f t="shared" ref="AH458:AH468" si="269">+AG459</f>
        <v>0</v>
      </c>
      <c r="AI458" s="2275">
        <v>475</v>
      </c>
      <c r="AJ458" s="2275"/>
      <c r="AK458" s="2275"/>
      <c r="AL458" s="2275"/>
      <c r="AM458" s="2275"/>
      <c r="AN458" s="2275"/>
      <c r="AO458" s="2275"/>
      <c r="AP458" s="2250"/>
      <c r="AQ458" s="2250"/>
      <c r="AR458" s="2250"/>
      <c r="AS458" s="2250"/>
      <c r="AT458" s="2250"/>
      <c r="AU458" s="2250"/>
      <c r="AV458" s="2250"/>
      <c r="AW458" s="2250"/>
      <c r="AX458" s="2250"/>
      <c r="AY458" s="2250"/>
      <c r="AZ458" s="2250"/>
      <c r="BA458" s="2250"/>
      <c r="BB458" s="2250"/>
      <c r="BC458" s="2250"/>
      <c r="BD458" s="2250"/>
      <c r="BE458" s="2250"/>
      <c r="BF458" s="2276"/>
      <c r="BG458" s="2276"/>
      <c r="BH458" s="2250"/>
      <c r="BI458" s="2275"/>
      <c r="BJ458" s="4670"/>
      <c r="BK458" s="2345">
        <v>550</v>
      </c>
      <c r="BL458" s="2346">
        <v>0</v>
      </c>
      <c r="BM458" s="2346">
        <v>0</v>
      </c>
      <c r="BN458" s="2346">
        <v>0</v>
      </c>
      <c r="BO458" s="2346">
        <v>0</v>
      </c>
      <c r="BP458" s="2346">
        <v>0</v>
      </c>
      <c r="BQ458" s="2346">
        <v>0</v>
      </c>
      <c r="BR458" s="2346">
        <v>0</v>
      </c>
      <c r="BS458" s="2346">
        <v>0</v>
      </c>
      <c r="BT458" s="2346">
        <v>0</v>
      </c>
      <c r="BU458" s="2346">
        <v>0</v>
      </c>
      <c r="BV458" s="2346">
        <v>0</v>
      </c>
      <c r="BW458" s="2346">
        <v>0</v>
      </c>
      <c r="BX458" s="2346">
        <v>0</v>
      </c>
      <c r="BY458" s="2346">
        <v>0</v>
      </c>
      <c r="BZ458" s="2346">
        <v>0</v>
      </c>
      <c r="CA458" s="2346">
        <v>0</v>
      </c>
      <c r="CB458" s="2346">
        <v>0</v>
      </c>
      <c r="CC458" s="2346">
        <v>0</v>
      </c>
      <c r="CD458" s="2346">
        <v>0</v>
      </c>
      <c r="CE458" s="2346">
        <v>0</v>
      </c>
      <c r="CF458" s="2346">
        <v>0</v>
      </c>
      <c r="CG458" s="2346">
        <v>0</v>
      </c>
      <c r="CH458" s="2346">
        <v>0</v>
      </c>
      <c r="CI458" s="2346">
        <v>0</v>
      </c>
      <c r="CJ458" s="2346">
        <v>0</v>
      </c>
      <c r="CK458" s="2346">
        <v>0</v>
      </c>
      <c r="CL458" s="2346">
        <v>0</v>
      </c>
      <c r="CM458" s="2347">
        <v>550</v>
      </c>
      <c r="CN458" s="2275"/>
      <c r="CO458" s="2275">
        <f>HLOOKUP(CO454,BL455:CL467,2,0)</f>
        <v>0</v>
      </c>
      <c r="CP458" s="2275">
        <f t="shared" ref="CP458:CP468" si="270">+CO459</f>
        <v>0</v>
      </c>
      <c r="CQ458" s="2275">
        <v>475</v>
      </c>
      <c r="CR458" s="2275"/>
      <c r="CS458" s="2275"/>
      <c r="CT458" s="2275"/>
      <c r="CU458" s="2275"/>
      <c r="CV458" s="2275"/>
      <c r="CW458" s="2275"/>
      <c r="CX458" s="2250"/>
      <c r="CY458" s="2250"/>
      <c r="CZ458" s="2250"/>
      <c r="DA458" s="2250"/>
      <c r="DB458" s="2250"/>
      <c r="DC458" s="2250"/>
      <c r="DD458" s="2250"/>
      <c r="DE458" s="2250"/>
      <c r="DF458" s="2250"/>
      <c r="DG458" s="2250"/>
      <c r="DH458" s="2250"/>
      <c r="DI458" s="2250"/>
      <c r="DJ458" s="2250"/>
      <c r="DK458" s="2250"/>
      <c r="DL458" s="2250"/>
      <c r="DM458" s="2250"/>
      <c r="DN458" s="2250"/>
      <c r="DO458" s="53"/>
      <c r="DP458" s="53"/>
      <c r="DS458" s="277"/>
      <c r="DW458" s="1"/>
      <c r="DX458" s="4670"/>
      <c r="DY458" s="2345">
        <v>550</v>
      </c>
      <c r="DZ458" s="2346">
        <v>0</v>
      </c>
      <c r="EA458" s="2346">
        <v>0</v>
      </c>
      <c r="EB458" s="2346">
        <v>0</v>
      </c>
      <c r="EC458" s="2346">
        <v>0</v>
      </c>
      <c r="ED458" s="2346">
        <v>0</v>
      </c>
      <c r="EE458" s="2346">
        <v>0</v>
      </c>
      <c r="EF458" s="2346">
        <v>0</v>
      </c>
      <c r="EG458" s="2346">
        <v>0</v>
      </c>
      <c r="EH458" s="2346">
        <v>0</v>
      </c>
      <c r="EI458" s="2346">
        <v>0</v>
      </c>
      <c r="EJ458" s="2346">
        <v>0</v>
      </c>
      <c r="EK458" s="2346">
        <v>0</v>
      </c>
      <c r="EL458" s="2346">
        <v>0</v>
      </c>
      <c r="EM458" s="2346">
        <v>0</v>
      </c>
      <c r="EN458" s="2346">
        <v>0</v>
      </c>
      <c r="EO458" s="2346">
        <v>0</v>
      </c>
      <c r="EP458" s="2346">
        <v>0</v>
      </c>
      <c r="EQ458" s="2346">
        <v>0</v>
      </c>
      <c r="ER458" s="2346">
        <v>0</v>
      </c>
      <c r="ES458" s="2346">
        <v>0</v>
      </c>
      <c r="ET458" s="2346">
        <v>0</v>
      </c>
      <c r="EU458" s="2346">
        <v>0</v>
      </c>
      <c r="EV458" s="2346">
        <v>0</v>
      </c>
      <c r="EW458" s="2346">
        <v>0</v>
      </c>
      <c r="EX458" s="2346">
        <v>0</v>
      </c>
      <c r="EY458" s="2346">
        <v>0</v>
      </c>
      <c r="EZ458" s="2346">
        <v>0</v>
      </c>
      <c r="FA458" s="2347">
        <v>550</v>
      </c>
      <c r="FB458" s="2275"/>
      <c r="FC458" s="2275">
        <f>HLOOKUP(FC454,DZ455:EZ467,2,0)</f>
        <v>0</v>
      </c>
      <c r="FD458" s="2275">
        <f t="shared" ref="FD458:FD468" si="271">+FC459</f>
        <v>0</v>
      </c>
      <c r="FE458" s="2275">
        <v>475</v>
      </c>
      <c r="FF458" s="2275"/>
      <c r="FG458" s="2275"/>
      <c r="FH458" s="2275"/>
      <c r="FI458" s="2275"/>
      <c r="FJ458" s="2275"/>
      <c r="FK458" s="2275"/>
      <c r="FL458" s="2250"/>
      <c r="FM458" s="2250"/>
      <c r="FN458" s="2250"/>
      <c r="FO458" s="2250"/>
      <c r="FP458" s="2250"/>
      <c r="FQ458" s="2250"/>
      <c r="FR458" s="2250"/>
      <c r="FS458" s="2250"/>
      <c r="FT458" s="2250"/>
      <c r="FU458" s="2250"/>
      <c r="FV458" s="2250"/>
      <c r="FW458" s="2250"/>
      <c r="FX458" s="2250"/>
      <c r="FY458" s="2250"/>
      <c r="FZ458" s="2250"/>
      <c r="GA458" s="2250"/>
      <c r="GB458" s="2276"/>
      <c r="GC458" s="2276"/>
      <c r="GD458" s="2250"/>
      <c r="GE458" s="2275"/>
      <c r="GF458" s="4670"/>
      <c r="GG458" s="2345">
        <v>550</v>
      </c>
      <c r="GH458" s="2346">
        <v>0</v>
      </c>
      <c r="GI458" s="2346">
        <v>0</v>
      </c>
      <c r="GJ458" s="2346">
        <v>0</v>
      </c>
      <c r="GK458" s="2346">
        <v>0</v>
      </c>
      <c r="GL458" s="2346">
        <v>0</v>
      </c>
      <c r="GM458" s="2346">
        <v>0</v>
      </c>
      <c r="GN458" s="2346">
        <v>0</v>
      </c>
      <c r="GO458" s="2346">
        <v>0</v>
      </c>
      <c r="GP458" s="2346">
        <v>0</v>
      </c>
      <c r="GQ458" s="2346">
        <v>0</v>
      </c>
      <c r="GR458" s="2346">
        <v>0</v>
      </c>
      <c r="GS458" s="2346">
        <v>0</v>
      </c>
      <c r="GT458" s="2346">
        <v>0</v>
      </c>
      <c r="GU458" s="2346">
        <v>0</v>
      </c>
      <c r="GV458" s="2346">
        <v>0</v>
      </c>
      <c r="GW458" s="2346">
        <v>0</v>
      </c>
      <c r="GX458" s="2346">
        <v>0</v>
      </c>
      <c r="GY458" s="2346">
        <v>0</v>
      </c>
      <c r="GZ458" s="2346">
        <v>0</v>
      </c>
      <c r="HA458" s="2346">
        <v>0</v>
      </c>
      <c r="HB458" s="2346">
        <v>0</v>
      </c>
      <c r="HC458" s="2346">
        <v>0</v>
      </c>
      <c r="HD458" s="2346">
        <v>0</v>
      </c>
      <c r="HE458" s="2346">
        <v>0</v>
      </c>
      <c r="HF458" s="2346">
        <v>0</v>
      </c>
      <c r="HG458" s="2346">
        <v>0</v>
      </c>
      <c r="HH458" s="2346">
        <v>0</v>
      </c>
      <c r="HI458" s="2347">
        <v>550</v>
      </c>
      <c r="HJ458" s="2275"/>
      <c r="HK458" s="2275">
        <f>HLOOKUP(HK454,GH455:HH467,2,0)</f>
        <v>0</v>
      </c>
      <c r="HL458" s="2275">
        <f t="shared" ref="HL458:HL468" si="272">+HK459</f>
        <v>0</v>
      </c>
      <c r="HM458" s="2275">
        <v>475</v>
      </c>
      <c r="HN458" s="2275"/>
      <c r="HO458" s="2275"/>
      <c r="HP458" s="2275"/>
      <c r="HQ458" s="2275"/>
      <c r="HR458" s="2275"/>
      <c r="HS458" s="2275"/>
      <c r="HT458" s="2250"/>
      <c r="HU458" s="2250"/>
      <c r="HV458" s="2250"/>
      <c r="HW458" s="2250"/>
      <c r="HX458" s="2250"/>
      <c r="HY458" s="2250"/>
      <c r="HZ458" s="2250"/>
      <c r="IA458" s="2250"/>
      <c r="IB458" s="2250"/>
      <c r="IC458" s="2250"/>
      <c r="ID458" s="2250"/>
      <c r="IE458" s="2250"/>
      <c r="IF458" s="2250"/>
      <c r="IG458" s="2250"/>
      <c r="IH458" s="2250"/>
      <c r="II458" s="2250"/>
      <c r="IJ458" s="2250"/>
      <c r="IK458" s="53"/>
      <c r="IL458" s="53"/>
      <c r="IN458" s="277"/>
      <c r="IO458" s="277"/>
    </row>
    <row r="459" spans="2:249" ht="21.95" customHeight="1">
      <c r="B459" s="4670"/>
      <c r="C459" s="2345">
        <v>650</v>
      </c>
      <c r="D459" s="2346">
        <v>0</v>
      </c>
      <c r="E459" s="2346">
        <v>0</v>
      </c>
      <c r="F459" s="2346">
        <v>0</v>
      </c>
      <c r="G459" s="2346">
        <v>0</v>
      </c>
      <c r="H459" s="2346">
        <v>0</v>
      </c>
      <c r="I459" s="2346">
        <v>0</v>
      </c>
      <c r="J459" s="2346">
        <v>0</v>
      </c>
      <c r="K459" s="2346">
        <v>0</v>
      </c>
      <c r="L459" s="2346">
        <v>0</v>
      </c>
      <c r="M459" s="2346">
        <v>0</v>
      </c>
      <c r="N459" s="2346">
        <v>0</v>
      </c>
      <c r="O459" s="2346">
        <v>0</v>
      </c>
      <c r="P459" s="2346">
        <v>0</v>
      </c>
      <c r="Q459" s="2346">
        <v>0</v>
      </c>
      <c r="R459" s="2346">
        <v>0</v>
      </c>
      <c r="S459" s="2346">
        <v>0</v>
      </c>
      <c r="T459" s="2346">
        <v>0</v>
      </c>
      <c r="U459" s="2346">
        <v>0</v>
      </c>
      <c r="V459" s="2346">
        <v>0</v>
      </c>
      <c r="W459" s="2346">
        <v>0</v>
      </c>
      <c r="X459" s="2346">
        <v>0</v>
      </c>
      <c r="Y459" s="2346">
        <v>0</v>
      </c>
      <c r="Z459" s="2346">
        <v>0</v>
      </c>
      <c r="AA459" s="2346">
        <v>0</v>
      </c>
      <c r="AB459" s="2346">
        <v>0</v>
      </c>
      <c r="AC459" s="2346">
        <v>0</v>
      </c>
      <c r="AD459" s="2346">
        <v>0</v>
      </c>
      <c r="AE459" s="2347">
        <v>650</v>
      </c>
      <c r="AF459" s="2275"/>
      <c r="AG459" s="2275">
        <f>HLOOKUP(AG454,D455:AD467,3,0)</f>
        <v>0</v>
      </c>
      <c r="AH459" s="2275">
        <f t="shared" si="269"/>
        <v>0</v>
      </c>
      <c r="AI459" s="2275">
        <v>550</v>
      </c>
      <c r="AJ459" s="2275"/>
      <c r="AK459" s="2275"/>
      <c r="AL459" s="2275"/>
      <c r="AM459" s="2275"/>
      <c r="AN459" s="2275"/>
      <c r="AO459" s="2275"/>
      <c r="AP459" s="2250"/>
      <c r="AQ459" s="2250"/>
      <c r="AR459" s="2250"/>
      <c r="AS459" s="2250"/>
      <c r="AT459" s="2250"/>
      <c r="AU459" s="2250"/>
      <c r="AV459" s="2250"/>
      <c r="AW459" s="2250"/>
      <c r="AX459" s="2250"/>
      <c r="AY459" s="2250"/>
      <c r="AZ459" s="2250"/>
      <c r="BA459" s="2250"/>
      <c r="BB459" s="2250"/>
      <c r="BC459" s="2250"/>
      <c r="BD459" s="2250"/>
      <c r="BE459" s="2250"/>
      <c r="BF459" s="2276"/>
      <c r="BG459" s="2276"/>
      <c r="BH459" s="2250"/>
      <c r="BI459" s="2275"/>
      <c r="BJ459" s="4670"/>
      <c r="BK459" s="2345">
        <v>650</v>
      </c>
      <c r="BL459" s="2346">
        <v>0</v>
      </c>
      <c r="BM459" s="2346">
        <v>0</v>
      </c>
      <c r="BN459" s="2346">
        <v>0</v>
      </c>
      <c r="BO459" s="2346">
        <v>0</v>
      </c>
      <c r="BP459" s="2346">
        <v>0</v>
      </c>
      <c r="BQ459" s="2346">
        <v>0</v>
      </c>
      <c r="BR459" s="2346">
        <v>0</v>
      </c>
      <c r="BS459" s="2346">
        <v>0</v>
      </c>
      <c r="BT459" s="2346">
        <v>0</v>
      </c>
      <c r="BU459" s="2346">
        <v>0</v>
      </c>
      <c r="BV459" s="2346">
        <v>0</v>
      </c>
      <c r="BW459" s="2346">
        <v>0</v>
      </c>
      <c r="BX459" s="2346">
        <v>0</v>
      </c>
      <c r="BY459" s="2346">
        <v>0</v>
      </c>
      <c r="BZ459" s="2346">
        <v>0</v>
      </c>
      <c r="CA459" s="2346">
        <v>0</v>
      </c>
      <c r="CB459" s="2346">
        <v>0</v>
      </c>
      <c r="CC459" s="2346">
        <v>0</v>
      </c>
      <c r="CD459" s="2346">
        <v>0</v>
      </c>
      <c r="CE459" s="2346">
        <v>0</v>
      </c>
      <c r="CF459" s="2346">
        <v>0</v>
      </c>
      <c r="CG459" s="2346">
        <v>0</v>
      </c>
      <c r="CH459" s="2346">
        <v>0</v>
      </c>
      <c r="CI459" s="2346">
        <v>0</v>
      </c>
      <c r="CJ459" s="2346">
        <v>0</v>
      </c>
      <c r="CK459" s="2346">
        <v>0</v>
      </c>
      <c r="CL459" s="2346">
        <v>0</v>
      </c>
      <c r="CM459" s="2347">
        <v>650</v>
      </c>
      <c r="CN459" s="2275"/>
      <c r="CO459" s="2275">
        <f>HLOOKUP(CO454,BL455:CL467,3,0)</f>
        <v>0</v>
      </c>
      <c r="CP459" s="2275">
        <f t="shared" si="270"/>
        <v>0</v>
      </c>
      <c r="CQ459" s="2275">
        <v>550</v>
      </c>
      <c r="CR459" s="2275"/>
      <c r="CS459" s="2275"/>
      <c r="CT459" s="2275"/>
      <c r="CU459" s="2275"/>
      <c r="CV459" s="2275"/>
      <c r="CW459" s="2275"/>
      <c r="CX459" s="2250"/>
      <c r="CY459" s="2250"/>
      <c r="CZ459" s="2250"/>
      <c r="DA459" s="2250"/>
      <c r="DB459" s="2250"/>
      <c r="DC459" s="2250"/>
      <c r="DD459" s="2250"/>
      <c r="DE459" s="2250"/>
      <c r="DF459" s="2250"/>
      <c r="DG459" s="2250"/>
      <c r="DH459" s="2250"/>
      <c r="DI459" s="2250"/>
      <c r="DJ459" s="2250"/>
      <c r="DK459" s="2250"/>
      <c r="DL459" s="2250"/>
      <c r="DM459" s="2250"/>
      <c r="DN459" s="2250"/>
      <c r="DO459" s="53"/>
      <c r="DP459" s="53"/>
      <c r="DS459" s="277"/>
      <c r="DW459" s="1"/>
      <c r="DX459" s="4670"/>
      <c r="DY459" s="2345">
        <v>650</v>
      </c>
      <c r="DZ459" s="2346">
        <v>0</v>
      </c>
      <c r="EA459" s="2346">
        <v>0</v>
      </c>
      <c r="EB459" s="2346">
        <v>0</v>
      </c>
      <c r="EC459" s="2346">
        <v>0</v>
      </c>
      <c r="ED459" s="2346">
        <v>0</v>
      </c>
      <c r="EE459" s="2346">
        <v>0</v>
      </c>
      <c r="EF459" s="2346">
        <v>0</v>
      </c>
      <c r="EG459" s="2346">
        <v>0</v>
      </c>
      <c r="EH459" s="2346">
        <v>0</v>
      </c>
      <c r="EI459" s="2346">
        <v>0</v>
      </c>
      <c r="EJ459" s="2346">
        <v>0</v>
      </c>
      <c r="EK459" s="2346">
        <v>0</v>
      </c>
      <c r="EL459" s="2346">
        <v>0</v>
      </c>
      <c r="EM459" s="2346">
        <v>0</v>
      </c>
      <c r="EN459" s="2346">
        <v>0</v>
      </c>
      <c r="EO459" s="2346">
        <v>0</v>
      </c>
      <c r="EP459" s="2346">
        <v>0</v>
      </c>
      <c r="EQ459" s="2346">
        <v>0</v>
      </c>
      <c r="ER459" s="2346">
        <v>0</v>
      </c>
      <c r="ES459" s="2346">
        <v>0</v>
      </c>
      <c r="ET459" s="2346">
        <v>0</v>
      </c>
      <c r="EU459" s="2346">
        <v>0</v>
      </c>
      <c r="EV459" s="2346">
        <v>0</v>
      </c>
      <c r="EW459" s="2346">
        <v>0</v>
      </c>
      <c r="EX459" s="2346">
        <v>0</v>
      </c>
      <c r="EY459" s="2346">
        <v>0</v>
      </c>
      <c r="EZ459" s="2346">
        <v>0</v>
      </c>
      <c r="FA459" s="2347">
        <v>650</v>
      </c>
      <c r="FB459" s="2275"/>
      <c r="FC459" s="2275">
        <f>HLOOKUP(FC454,DZ455:EZ467,3,0)</f>
        <v>0</v>
      </c>
      <c r="FD459" s="2275">
        <f t="shared" si="271"/>
        <v>0</v>
      </c>
      <c r="FE459" s="2275">
        <v>550</v>
      </c>
      <c r="FF459" s="2275"/>
      <c r="FG459" s="2275"/>
      <c r="FH459" s="2275"/>
      <c r="FI459" s="2275"/>
      <c r="FJ459" s="2275"/>
      <c r="FK459" s="2275"/>
      <c r="FL459" s="2250"/>
      <c r="FM459" s="2250"/>
      <c r="FN459" s="2250"/>
      <c r="FO459" s="2250"/>
      <c r="FP459" s="2250"/>
      <c r="FQ459" s="2250"/>
      <c r="FR459" s="2250"/>
      <c r="FS459" s="2250"/>
      <c r="FT459" s="2250"/>
      <c r="FU459" s="2250"/>
      <c r="FV459" s="2250"/>
      <c r="FW459" s="2250"/>
      <c r="FX459" s="2250"/>
      <c r="FY459" s="2250"/>
      <c r="FZ459" s="2250"/>
      <c r="GA459" s="2250"/>
      <c r="GB459" s="2276"/>
      <c r="GC459" s="2276"/>
      <c r="GD459" s="2250"/>
      <c r="GE459" s="2275"/>
      <c r="GF459" s="4670"/>
      <c r="GG459" s="2345">
        <v>650</v>
      </c>
      <c r="GH459" s="2346">
        <v>0</v>
      </c>
      <c r="GI459" s="2346">
        <v>0</v>
      </c>
      <c r="GJ459" s="2346">
        <v>0</v>
      </c>
      <c r="GK459" s="2346">
        <v>0</v>
      </c>
      <c r="GL459" s="2346">
        <v>0</v>
      </c>
      <c r="GM459" s="2346">
        <v>0</v>
      </c>
      <c r="GN459" s="2346">
        <v>0</v>
      </c>
      <c r="GO459" s="2346">
        <v>0</v>
      </c>
      <c r="GP459" s="2346">
        <v>0</v>
      </c>
      <c r="GQ459" s="2346">
        <v>0</v>
      </c>
      <c r="GR459" s="2346">
        <v>0</v>
      </c>
      <c r="GS459" s="2346">
        <v>0</v>
      </c>
      <c r="GT459" s="2346">
        <v>0</v>
      </c>
      <c r="GU459" s="2346">
        <v>0</v>
      </c>
      <c r="GV459" s="2346">
        <v>0</v>
      </c>
      <c r="GW459" s="2346">
        <v>0</v>
      </c>
      <c r="GX459" s="2346">
        <v>0</v>
      </c>
      <c r="GY459" s="2346">
        <v>0</v>
      </c>
      <c r="GZ459" s="2346">
        <v>0</v>
      </c>
      <c r="HA459" s="2346">
        <v>0</v>
      </c>
      <c r="HB459" s="2346">
        <v>0</v>
      </c>
      <c r="HC459" s="2346">
        <v>0</v>
      </c>
      <c r="HD459" s="2346">
        <v>0</v>
      </c>
      <c r="HE459" s="2346">
        <v>0</v>
      </c>
      <c r="HF459" s="2346">
        <v>0</v>
      </c>
      <c r="HG459" s="2346">
        <v>0</v>
      </c>
      <c r="HH459" s="2346">
        <v>0</v>
      </c>
      <c r="HI459" s="2347">
        <v>650</v>
      </c>
      <c r="HJ459" s="2275"/>
      <c r="HK459" s="2275">
        <f>HLOOKUP(HK454,GH455:HH467,3,0)</f>
        <v>0</v>
      </c>
      <c r="HL459" s="2275">
        <f t="shared" si="272"/>
        <v>0</v>
      </c>
      <c r="HM459" s="2275">
        <v>550</v>
      </c>
      <c r="HN459" s="2275"/>
      <c r="HO459" s="2275"/>
      <c r="HP459" s="2275"/>
      <c r="HQ459" s="2275"/>
      <c r="HR459" s="2275"/>
      <c r="HS459" s="2275"/>
      <c r="HT459" s="2250"/>
      <c r="HU459" s="2250"/>
      <c r="HV459" s="2250"/>
      <c r="HW459" s="2250"/>
      <c r="HX459" s="2250"/>
      <c r="HY459" s="2250"/>
      <c r="HZ459" s="2250"/>
      <c r="IA459" s="2250"/>
      <c r="IB459" s="2250"/>
      <c r="IC459" s="2250"/>
      <c r="ID459" s="2250"/>
      <c r="IE459" s="2250"/>
      <c r="IF459" s="2250"/>
      <c r="IG459" s="2250"/>
      <c r="IH459" s="2250"/>
      <c r="II459" s="2250"/>
      <c r="IJ459" s="2250"/>
      <c r="IK459" s="53"/>
      <c r="IL459" s="53"/>
      <c r="IN459" s="277"/>
      <c r="IO459" s="277"/>
    </row>
    <row r="460" spans="2:249" ht="21.95" customHeight="1">
      <c r="B460" s="4671"/>
      <c r="C460" s="2345">
        <v>775</v>
      </c>
      <c r="D460" s="2346">
        <v>0</v>
      </c>
      <c r="E460" s="2346">
        <v>0</v>
      </c>
      <c r="F460" s="2346">
        <v>0</v>
      </c>
      <c r="G460" s="2346">
        <v>0</v>
      </c>
      <c r="H460" s="2346">
        <v>0</v>
      </c>
      <c r="I460" s="2346">
        <v>0</v>
      </c>
      <c r="J460" s="2346">
        <v>0</v>
      </c>
      <c r="K460" s="2346">
        <v>0</v>
      </c>
      <c r="L460" s="2346">
        <v>0</v>
      </c>
      <c r="M460" s="2346">
        <v>0</v>
      </c>
      <c r="N460" s="2346">
        <v>0</v>
      </c>
      <c r="O460" s="2346">
        <v>0</v>
      </c>
      <c r="P460" s="2346">
        <v>0</v>
      </c>
      <c r="Q460" s="2346">
        <v>0</v>
      </c>
      <c r="R460" s="2346">
        <v>0</v>
      </c>
      <c r="S460" s="2346">
        <v>0</v>
      </c>
      <c r="T460" s="2346">
        <v>0</v>
      </c>
      <c r="U460" s="2346">
        <v>0</v>
      </c>
      <c r="V460" s="2346">
        <v>0</v>
      </c>
      <c r="W460" s="2346">
        <v>0</v>
      </c>
      <c r="X460" s="2346">
        <v>0</v>
      </c>
      <c r="Y460" s="2346">
        <v>0</v>
      </c>
      <c r="Z460" s="2346">
        <v>0</v>
      </c>
      <c r="AA460" s="2346">
        <v>0</v>
      </c>
      <c r="AB460" s="2346">
        <v>0</v>
      </c>
      <c r="AC460" s="2346">
        <v>0</v>
      </c>
      <c r="AD460" s="2346">
        <v>0</v>
      </c>
      <c r="AE460" s="2347">
        <v>775</v>
      </c>
      <c r="AF460" s="2275"/>
      <c r="AG460" s="2275">
        <f>HLOOKUP(AG454,D455:AD467,4,0)</f>
        <v>0</v>
      </c>
      <c r="AH460" s="2275">
        <f t="shared" si="269"/>
        <v>0</v>
      </c>
      <c r="AI460" s="2275">
        <v>650</v>
      </c>
      <c r="AJ460" s="2275"/>
      <c r="AK460" s="2275"/>
      <c r="AL460" s="2275"/>
      <c r="AM460" s="2275"/>
      <c r="AN460" s="2275"/>
      <c r="AO460" s="2275"/>
      <c r="AP460" s="2250"/>
      <c r="AQ460" s="2250"/>
      <c r="AR460" s="2250"/>
      <c r="AS460" s="2250"/>
      <c r="AT460" s="2250"/>
      <c r="AU460" s="2250"/>
      <c r="AV460" s="2250"/>
      <c r="AW460" s="2250"/>
      <c r="AX460" s="2250"/>
      <c r="AY460" s="2250"/>
      <c r="AZ460" s="2250"/>
      <c r="BA460" s="2250"/>
      <c r="BB460" s="2250"/>
      <c r="BC460" s="2250"/>
      <c r="BD460" s="2250"/>
      <c r="BE460" s="2250"/>
      <c r="BF460" s="2276"/>
      <c r="BG460" s="2276"/>
      <c r="BH460" s="2250"/>
      <c r="BI460" s="2275"/>
      <c r="BJ460" s="4671"/>
      <c r="BK460" s="2345">
        <v>775</v>
      </c>
      <c r="BL460" s="2346">
        <v>0</v>
      </c>
      <c r="BM460" s="2346">
        <v>0</v>
      </c>
      <c r="BN460" s="2346">
        <v>0</v>
      </c>
      <c r="BO460" s="2346">
        <v>0</v>
      </c>
      <c r="BP460" s="2346">
        <v>0</v>
      </c>
      <c r="BQ460" s="2346">
        <v>0</v>
      </c>
      <c r="BR460" s="2346">
        <v>0</v>
      </c>
      <c r="BS460" s="2346">
        <v>0</v>
      </c>
      <c r="BT460" s="2346">
        <v>0</v>
      </c>
      <c r="BU460" s="2346">
        <v>0</v>
      </c>
      <c r="BV460" s="2346">
        <v>0</v>
      </c>
      <c r="BW460" s="2346">
        <v>0</v>
      </c>
      <c r="BX460" s="2346">
        <v>0</v>
      </c>
      <c r="BY460" s="2346">
        <v>0</v>
      </c>
      <c r="BZ460" s="2346">
        <v>0</v>
      </c>
      <c r="CA460" s="2346">
        <v>0</v>
      </c>
      <c r="CB460" s="2346">
        <v>0</v>
      </c>
      <c r="CC460" s="2346">
        <v>0</v>
      </c>
      <c r="CD460" s="2346">
        <v>0</v>
      </c>
      <c r="CE460" s="2346">
        <v>0</v>
      </c>
      <c r="CF460" s="2346">
        <v>0</v>
      </c>
      <c r="CG460" s="2346">
        <v>0</v>
      </c>
      <c r="CH460" s="2346">
        <v>0</v>
      </c>
      <c r="CI460" s="2346">
        <v>0</v>
      </c>
      <c r="CJ460" s="2346">
        <v>0</v>
      </c>
      <c r="CK460" s="2346">
        <v>0</v>
      </c>
      <c r="CL460" s="2346">
        <v>0</v>
      </c>
      <c r="CM460" s="2347">
        <v>775</v>
      </c>
      <c r="CN460" s="2275"/>
      <c r="CO460" s="2275">
        <f>HLOOKUP(CO454,BL455:CL467,4,0)</f>
        <v>0</v>
      </c>
      <c r="CP460" s="2275">
        <f t="shared" si="270"/>
        <v>0</v>
      </c>
      <c r="CQ460" s="2275">
        <v>650</v>
      </c>
      <c r="CR460" s="2275"/>
      <c r="CS460" s="2275"/>
      <c r="CT460" s="2275"/>
      <c r="CU460" s="2275"/>
      <c r="CV460" s="2275"/>
      <c r="CW460" s="2275"/>
      <c r="CX460" s="2250"/>
      <c r="CY460" s="2250"/>
      <c r="CZ460" s="2250"/>
      <c r="DA460" s="2250"/>
      <c r="DB460" s="2250"/>
      <c r="DC460" s="2250"/>
      <c r="DD460" s="2250"/>
      <c r="DE460" s="2250"/>
      <c r="DF460" s="2250"/>
      <c r="DG460" s="2250"/>
      <c r="DH460" s="2250"/>
      <c r="DI460" s="2250"/>
      <c r="DJ460" s="2250"/>
      <c r="DK460" s="2250"/>
      <c r="DL460" s="2250"/>
      <c r="DM460" s="2250"/>
      <c r="DN460" s="2250"/>
      <c r="DO460" s="53"/>
      <c r="DP460" s="53"/>
      <c r="DS460" s="277"/>
      <c r="DW460" s="1"/>
      <c r="DX460" s="4671"/>
      <c r="DY460" s="2345">
        <v>775</v>
      </c>
      <c r="DZ460" s="2346">
        <v>0</v>
      </c>
      <c r="EA460" s="2346">
        <v>0</v>
      </c>
      <c r="EB460" s="2346">
        <v>0</v>
      </c>
      <c r="EC460" s="2346">
        <v>0</v>
      </c>
      <c r="ED460" s="2346">
        <v>0</v>
      </c>
      <c r="EE460" s="2346">
        <v>0</v>
      </c>
      <c r="EF460" s="2346">
        <v>0</v>
      </c>
      <c r="EG460" s="2346">
        <v>0</v>
      </c>
      <c r="EH460" s="2346">
        <v>0</v>
      </c>
      <c r="EI460" s="2346">
        <v>0</v>
      </c>
      <c r="EJ460" s="2346">
        <v>0</v>
      </c>
      <c r="EK460" s="2346">
        <v>0</v>
      </c>
      <c r="EL460" s="2346">
        <v>0</v>
      </c>
      <c r="EM460" s="2346">
        <v>0</v>
      </c>
      <c r="EN460" s="2346">
        <v>0</v>
      </c>
      <c r="EO460" s="2346">
        <v>0</v>
      </c>
      <c r="EP460" s="2346">
        <v>0</v>
      </c>
      <c r="EQ460" s="2346">
        <v>0</v>
      </c>
      <c r="ER460" s="2346">
        <v>0</v>
      </c>
      <c r="ES460" s="2346">
        <v>0</v>
      </c>
      <c r="ET460" s="2346">
        <v>0</v>
      </c>
      <c r="EU460" s="2346">
        <v>0</v>
      </c>
      <c r="EV460" s="2346">
        <v>0</v>
      </c>
      <c r="EW460" s="2346">
        <v>0</v>
      </c>
      <c r="EX460" s="2346">
        <v>0</v>
      </c>
      <c r="EY460" s="2346">
        <v>0</v>
      </c>
      <c r="EZ460" s="2346">
        <v>0</v>
      </c>
      <c r="FA460" s="2347">
        <v>775</v>
      </c>
      <c r="FB460" s="2275"/>
      <c r="FC460" s="2275">
        <f>HLOOKUP(FC454,DZ455:EZ467,4,0)</f>
        <v>0</v>
      </c>
      <c r="FD460" s="2275">
        <f t="shared" si="271"/>
        <v>0</v>
      </c>
      <c r="FE460" s="2275">
        <v>650</v>
      </c>
      <c r="FF460" s="2275"/>
      <c r="FG460" s="2275"/>
      <c r="FH460" s="2275"/>
      <c r="FI460" s="2275"/>
      <c r="FJ460" s="2275"/>
      <c r="FK460" s="2275"/>
      <c r="FL460" s="2250"/>
      <c r="FM460" s="2250"/>
      <c r="FN460" s="2250"/>
      <c r="FO460" s="2250"/>
      <c r="FP460" s="2250"/>
      <c r="FQ460" s="2250"/>
      <c r="FR460" s="2250"/>
      <c r="FS460" s="2250"/>
      <c r="FT460" s="2250"/>
      <c r="FU460" s="2250"/>
      <c r="FV460" s="2250"/>
      <c r="FW460" s="2250"/>
      <c r="FX460" s="2250"/>
      <c r="FY460" s="2250"/>
      <c r="FZ460" s="2250"/>
      <c r="GA460" s="2250"/>
      <c r="GB460" s="2276"/>
      <c r="GC460" s="2276"/>
      <c r="GD460" s="2250"/>
      <c r="GE460" s="2275"/>
      <c r="GF460" s="4671"/>
      <c r="GG460" s="2345">
        <v>775</v>
      </c>
      <c r="GH460" s="2346">
        <v>0</v>
      </c>
      <c r="GI460" s="2346">
        <v>0</v>
      </c>
      <c r="GJ460" s="2346">
        <v>0</v>
      </c>
      <c r="GK460" s="2346">
        <v>0</v>
      </c>
      <c r="GL460" s="2346">
        <v>0</v>
      </c>
      <c r="GM460" s="2346">
        <v>0</v>
      </c>
      <c r="GN460" s="2346">
        <v>0</v>
      </c>
      <c r="GO460" s="2346">
        <v>0</v>
      </c>
      <c r="GP460" s="2346">
        <v>0</v>
      </c>
      <c r="GQ460" s="2346">
        <v>0</v>
      </c>
      <c r="GR460" s="2346">
        <v>0</v>
      </c>
      <c r="GS460" s="2346">
        <v>0</v>
      </c>
      <c r="GT460" s="2346">
        <v>0</v>
      </c>
      <c r="GU460" s="2346">
        <v>0</v>
      </c>
      <c r="GV460" s="2346">
        <v>0</v>
      </c>
      <c r="GW460" s="2346">
        <v>0</v>
      </c>
      <c r="GX460" s="2346">
        <v>0</v>
      </c>
      <c r="GY460" s="2346">
        <v>0</v>
      </c>
      <c r="GZ460" s="2346">
        <v>0</v>
      </c>
      <c r="HA460" s="2346">
        <v>0</v>
      </c>
      <c r="HB460" s="2346">
        <v>0</v>
      </c>
      <c r="HC460" s="2346">
        <v>0</v>
      </c>
      <c r="HD460" s="2346">
        <v>0</v>
      </c>
      <c r="HE460" s="2346">
        <v>0</v>
      </c>
      <c r="HF460" s="2346">
        <v>0</v>
      </c>
      <c r="HG460" s="2346">
        <v>0</v>
      </c>
      <c r="HH460" s="2346">
        <v>0</v>
      </c>
      <c r="HI460" s="2347">
        <v>775</v>
      </c>
      <c r="HJ460" s="2275"/>
      <c r="HK460" s="2275">
        <f>HLOOKUP(HK454,GH455:HH467,4,0)</f>
        <v>0</v>
      </c>
      <c r="HL460" s="2275">
        <f t="shared" si="272"/>
        <v>0</v>
      </c>
      <c r="HM460" s="2275">
        <v>650</v>
      </c>
      <c r="HN460" s="2275"/>
      <c r="HO460" s="2275"/>
      <c r="HP460" s="2275"/>
      <c r="HQ460" s="2275"/>
      <c r="HR460" s="2275"/>
      <c r="HS460" s="2275"/>
      <c r="HT460" s="2250"/>
      <c r="HU460" s="2250"/>
      <c r="HV460" s="2250"/>
      <c r="HW460" s="2250"/>
      <c r="HX460" s="2250"/>
      <c r="HY460" s="2250"/>
      <c r="HZ460" s="2250"/>
      <c r="IA460" s="2250"/>
      <c r="IB460" s="2250"/>
      <c r="IC460" s="2250"/>
      <c r="ID460" s="2250"/>
      <c r="IE460" s="2250"/>
      <c r="IF460" s="2250"/>
      <c r="IG460" s="2250"/>
      <c r="IH460" s="2250"/>
      <c r="II460" s="2250"/>
      <c r="IJ460" s="2250"/>
      <c r="IK460" s="53"/>
      <c r="IL460" s="53"/>
      <c r="IN460" s="277"/>
      <c r="IO460" s="277"/>
    </row>
    <row r="461" spans="2:249" ht="21.95" customHeight="1">
      <c r="B461" s="4671"/>
      <c r="C461" s="2345">
        <v>825</v>
      </c>
      <c r="D461" s="2346">
        <v>0</v>
      </c>
      <c r="E461" s="2346">
        <v>0</v>
      </c>
      <c r="F461" s="2346">
        <v>0</v>
      </c>
      <c r="G461" s="2346">
        <v>0</v>
      </c>
      <c r="H461" s="2346">
        <v>0</v>
      </c>
      <c r="I461" s="2346">
        <v>0</v>
      </c>
      <c r="J461" s="2346">
        <v>0</v>
      </c>
      <c r="K461" s="2346">
        <v>0</v>
      </c>
      <c r="L461" s="2346">
        <v>0</v>
      </c>
      <c r="M461" s="2346">
        <v>0</v>
      </c>
      <c r="N461" s="2346">
        <v>0</v>
      </c>
      <c r="O461" s="2346">
        <v>0</v>
      </c>
      <c r="P461" s="2346">
        <v>0</v>
      </c>
      <c r="Q461" s="2346">
        <v>0</v>
      </c>
      <c r="R461" s="2346">
        <v>0</v>
      </c>
      <c r="S461" s="2346">
        <v>0</v>
      </c>
      <c r="T461" s="2346">
        <v>0</v>
      </c>
      <c r="U461" s="2346">
        <v>0</v>
      </c>
      <c r="V461" s="2346">
        <v>0</v>
      </c>
      <c r="W461" s="2346">
        <v>0</v>
      </c>
      <c r="X461" s="2346">
        <v>0</v>
      </c>
      <c r="Y461" s="2346">
        <v>0</v>
      </c>
      <c r="Z461" s="2346">
        <v>0</v>
      </c>
      <c r="AA461" s="2346">
        <v>0</v>
      </c>
      <c r="AB461" s="2346">
        <v>0</v>
      </c>
      <c r="AC461" s="2346">
        <v>0</v>
      </c>
      <c r="AD461" s="2346">
        <v>0</v>
      </c>
      <c r="AE461" s="2347">
        <v>825</v>
      </c>
      <c r="AF461" s="2275"/>
      <c r="AG461" s="2275">
        <f>HLOOKUP(AG454,D455:AD467,5,0)</f>
        <v>0</v>
      </c>
      <c r="AH461" s="2275">
        <f t="shared" si="269"/>
        <v>0</v>
      </c>
      <c r="AI461" s="2275">
        <v>775</v>
      </c>
      <c r="AJ461" s="2275"/>
      <c r="AK461" s="2275"/>
      <c r="AL461" s="2275"/>
      <c r="AM461" s="2275"/>
      <c r="AN461" s="2275"/>
      <c r="AO461" s="2275"/>
      <c r="AP461" s="2250"/>
      <c r="AQ461" s="2250"/>
      <c r="AR461" s="2250"/>
      <c r="AS461" s="2250"/>
      <c r="AT461" s="2250"/>
      <c r="AU461" s="2250"/>
      <c r="AV461" s="2250"/>
      <c r="AW461" s="2250"/>
      <c r="AX461" s="2250"/>
      <c r="AY461" s="2250"/>
      <c r="AZ461" s="2250"/>
      <c r="BA461" s="2250"/>
      <c r="BB461" s="2250"/>
      <c r="BC461" s="2250"/>
      <c r="BD461" s="2250"/>
      <c r="BE461" s="2250"/>
      <c r="BF461" s="2276"/>
      <c r="BG461" s="2276"/>
      <c r="BH461" s="2250"/>
      <c r="BI461" s="2275"/>
      <c r="BJ461" s="4671"/>
      <c r="BK461" s="2345">
        <v>825</v>
      </c>
      <c r="BL461" s="2346">
        <v>0</v>
      </c>
      <c r="BM461" s="2346">
        <v>0</v>
      </c>
      <c r="BN461" s="2346">
        <v>0</v>
      </c>
      <c r="BO461" s="2346">
        <v>0</v>
      </c>
      <c r="BP461" s="2346">
        <v>0</v>
      </c>
      <c r="BQ461" s="2346">
        <v>0</v>
      </c>
      <c r="BR461" s="2346">
        <v>0</v>
      </c>
      <c r="BS461" s="2346">
        <v>0</v>
      </c>
      <c r="BT461" s="2346">
        <v>0</v>
      </c>
      <c r="BU461" s="2346">
        <v>0</v>
      </c>
      <c r="BV461" s="2346">
        <v>0</v>
      </c>
      <c r="BW461" s="2346">
        <v>0</v>
      </c>
      <c r="BX461" s="2346">
        <v>0</v>
      </c>
      <c r="BY461" s="2346">
        <v>0</v>
      </c>
      <c r="BZ461" s="2346">
        <v>0</v>
      </c>
      <c r="CA461" s="2346">
        <v>0</v>
      </c>
      <c r="CB461" s="2346">
        <v>0</v>
      </c>
      <c r="CC461" s="2346">
        <v>0</v>
      </c>
      <c r="CD461" s="2346">
        <v>0</v>
      </c>
      <c r="CE461" s="2346">
        <v>0</v>
      </c>
      <c r="CF461" s="2346">
        <v>0</v>
      </c>
      <c r="CG461" s="2346">
        <v>0</v>
      </c>
      <c r="CH461" s="2346">
        <v>0</v>
      </c>
      <c r="CI461" s="2346">
        <v>0</v>
      </c>
      <c r="CJ461" s="2346">
        <v>0</v>
      </c>
      <c r="CK461" s="2346">
        <v>0</v>
      </c>
      <c r="CL461" s="2346">
        <v>0</v>
      </c>
      <c r="CM461" s="2347">
        <v>825</v>
      </c>
      <c r="CN461" s="2275"/>
      <c r="CO461" s="2275">
        <f>HLOOKUP(CO454,BL455:CL467,5,0)</f>
        <v>0</v>
      </c>
      <c r="CP461" s="2275">
        <f t="shared" si="270"/>
        <v>0</v>
      </c>
      <c r="CQ461" s="2275">
        <v>775</v>
      </c>
      <c r="CR461" s="2275"/>
      <c r="CS461" s="2275"/>
      <c r="CT461" s="2275"/>
      <c r="CU461" s="2275"/>
      <c r="CV461" s="2275"/>
      <c r="CW461" s="2275"/>
      <c r="CX461" s="2250"/>
      <c r="CY461" s="2250"/>
      <c r="CZ461" s="2250"/>
      <c r="DA461" s="2250"/>
      <c r="DB461" s="2250"/>
      <c r="DC461" s="2250"/>
      <c r="DD461" s="2250"/>
      <c r="DE461" s="2250"/>
      <c r="DF461" s="2250"/>
      <c r="DG461" s="2250"/>
      <c r="DH461" s="2250"/>
      <c r="DI461" s="2250"/>
      <c r="DJ461" s="2250"/>
      <c r="DK461" s="2250"/>
      <c r="DL461" s="2250"/>
      <c r="DM461" s="2250"/>
      <c r="DN461" s="2250"/>
      <c r="DO461" s="53"/>
      <c r="DP461" s="53"/>
      <c r="DS461" s="277"/>
      <c r="DW461" s="1"/>
      <c r="DX461" s="4671"/>
      <c r="DY461" s="2345">
        <v>825</v>
      </c>
      <c r="DZ461" s="2346">
        <v>0</v>
      </c>
      <c r="EA461" s="2346">
        <v>0</v>
      </c>
      <c r="EB461" s="2346">
        <v>0</v>
      </c>
      <c r="EC461" s="2346">
        <v>0</v>
      </c>
      <c r="ED461" s="2346">
        <v>0</v>
      </c>
      <c r="EE461" s="2346">
        <v>0</v>
      </c>
      <c r="EF461" s="2346">
        <v>0</v>
      </c>
      <c r="EG461" s="2346">
        <v>0</v>
      </c>
      <c r="EH461" s="2346">
        <v>0</v>
      </c>
      <c r="EI461" s="2346">
        <v>0</v>
      </c>
      <c r="EJ461" s="2346">
        <v>0</v>
      </c>
      <c r="EK461" s="2346">
        <v>0</v>
      </c>
      <c r="EL461" s="2346">
        <v>0</v>
      </c>
      <c r="EM461" s="2346">
        <v>0</v>
      </c>
      <c r="EN461" s="2346">
        <v>0</v>
      </c>
      <c r="EO461" s="2346">
        <v>0</v>
      </c>
      <c r="EP461" s="2346">
        <v>0</v>
      </c>
      <c r="EQ461" s="2346">
        <v>0</v>
      </c>
      <c r="ER461" s="2346">
        <v>0</v>
      </c>
      <c r="ES461" s="2346">
        <v>0</v>
      </c>
      <c r="ET461" s="2346">
        <v>0</v>
      </c>
      <c r="EU461" s="2346">
        <v>0</v>
      </c>
      <c r="EV461" s="2346">
        <v>0</v>
      </c>
      <c r="EW461" s="2346">
        <v>0</v>
      </c>
      <c r="EX461" s="2346">
        <v>0</v>
      </c>
      <c r="EY461" s="2346">
        <v>0</v>
      </c>
      <c r="EZ461" s="2346">
        <v>0</v>
      </c>
      <c r="FA461" s="2347">
        <v>825</v>
      </c>
      <c r="FB461" s="2275"/>
      <c r="FC461" s="2275">
        <f>HLOOKUP(FC454,DZ455:EZ467,5,0)</f>
        <v>0</v>
      </c>
      <c r="FD461" s="2275">
        <f t="shared" si="271"/>
        <v>0</v>
      </c>
      <c r="FE461" s="2275">
        <v>775</v>
      </c>
      <c r="FF461" s="2275"/>
      <c r="FG461" s="2275"/>
      <c r="FH461" s="2275"/>
      <c r="FI461" s="2275"/>
      <c r="FJ461" s="2275"/>
      <c r="FK461" s="2275"/>
      <c r="FL461" s="2250"/>
      <c r="FM461" s="2250"/>
      <c r="FN461" s="2250"/>
      <c r="FO461" s="2250"/>
      <c r="FP461" s="2250"/>
      <c r="FQ461" s="2250"/>
      <c r="FR461" s="2250"/>
      <c r="FS461" s="2250"/>
      <c r="FT461" s="2250"/>
      <c r="FU461" s="2250"/>
      <c r="FV461" s="2250"/>
      <c r="FW461" s="2250"/>
      <c r="FX461" s="2250"/>
      <c r="FY461" s="2250"/>
      <c r="FZ461" s="2250"/>
      <c r="GA461" s="2250"/>
      <c r="GB461" s="2276"/>
      <c r="GC461" s="2276"/>
      <c r="GD461" s="2250"/>
      <c r="GE461" s="2275"/>
      <c r="GF461" s="4671"/>
      <c r="GG461" s="2345">
        <v>825</v>
      </c>
      <c r="GH461" s="2346">
        <v>0</v>
      </c>
      <c r="GI461" s="2346">
        <v>0</v>
      </c>
      <c r="GJ461" s="2346">
        <v>0</v>
      </c>
      <c r="GK461" s="2346">
        <v>0</v>
      </c>
      <c r="GL461" s="2346">
        <v>0</v>
      </c>
      <c r="GM461" s="2346">
        <v>0</v>
      </c>
      <c r="GN461" s="2346">
        <v>0</v>
      </c>
      <c r="GO461" s="2346">
        <v>0</v>
      </c>
      <c r="GP461" s="2346">
        <v>0</v>
      </c>
      <c r="GQ461" s="2346">
        <v>0</v>
      </c>
      <c r="GR461" s="2346">
        <v>0</v>
      </c>
      <c r="GS461" s="2346">
        <v>0</v>
      </c>
      <c r="GT461" s="2346">
        <v>0</v>
      </c>
      <c r="GU461" s="2346">
        <v>0</v>
      </c>
      <c r="GV461" s="2346">
        <v>0</v>
      </c>
      <c r="GW461" s="2346">
        <v>0</v>
      </c>
      <c r="GX461" s="2346">
        <v>0</v>
      </c>
      <c r="GY461" s="2346">
        <v>0</v>
      </c>
      <c r="GZ461" s="2346">
        <v>0</v>
      </c>
      <c r="HA461" s="2346">
        <v>0</v>
      </c>
      <c r="HB461" s="2346">
        <v>0</v>
      </c>
      <c r="HC461" s="2346">
        <v>0</v>
      </c>
      <c r="HD461" s="2346">
        <v>0</v>
      </c>
      <c r="HE461" s="2346">
        <v>0</v>
      </c>
      <c r="HF461" s="2346">
        <v>0</v>
      </c>
      <c r="HG461" s="2346">
        <v>0</v>
      </c>
      <c r="HH461" s="2346">
        <v>0</v>
      </c>
      <c r="HI461" s="2347">
        <v>825</v>
      </c>
      <c r="HJ461" s="2275"/>
      <c r="HK461" s="2275">
        <f>HLOOKUP(HK454,GH455:HH467,5,0)</f>
        <v>0</v>
      </c>
      <c r="HL461" s="2275">
        <f t="shared" si="272"/>
        <v>0</v>
      </c>
      <c r="HM461" s="2275">
        <v>775</v>
      </c>
      <c r="HN461" s="2275"/>
      <c r="HO461" s="2275"/>
      <c r="HP461" s="2275"/>
      <c r="HQ461" s="2275"/>
      <c r="HR461" s="2275"/>
      <c r="HS461" s="2275"/>
      <c r="HT461" s="2250"/>
      <c r="HU461" s="2250"/>
      <c r="HV461" s="2250"/>
      <c r="HW461" s="2250"/>
      <c r="HX461" s="2250"/>
      <c r="HY461" s="2250"/>
      <c r="HZ461" s="2250"/>
      <c r="IA461" s="2250"/>
      <c r="IB461" s="2250"/>
      <c r="IC461" s="2250"/>
      <c r="ID461" s="2250"/>
      <c r="IE461" s="2250"/>
      <c r="IF461" s="2250"/>
      <c r="IG461" s="2250"/>
      <c r="IH461" s="2250"/>
      <c r="II461" s="2250"/>
      <c r="IJ461" s="2250"/>
      <c r="IK461" s="53"/>
      <c r="IL461" s="53"/>
      <c r="IN461" s="277"/>
      <c r="IO461" s="277"/>
    </row>
    <row r="462" spans="2:249" ht="21.95" customHeight="1">
      <c r="B462" s="4671"/>
      <c r="C462" s="2345">
        <v>950</v>
      </c>
      <c r="D462" s="2346">
        <v>0</v>
      </c>
      <c r="E462" s="2346">
        <v>0</v>
      </c>
      <c r="F462" s="2346">
        <v>0</v>
      </c>
      <c r="G462" s="2346">
        <v>0</v>
      </c>
      <c r="H462" s="2346">
        <v>0</v>
      </c>
      <c r="I462" s="2346">
        <v>0</v>
      </c>
      <c r="J462" s="2346">
        <v>0</v>
      </c>
      <c r="K462" s="2346">
        <v>0</v>
      </c>
      <c r="L462" s="2346">
        <v>0</v>
      </c>
      <c r="M462" s="2346">
        <v>0</v>
      </c>
      <c r="N462" s="2346">
        <v>0</v>
      </c>
      <c r="O462" s="2346">
        <v>0</v>
      </c>
      <c r="P462" s="2346">
        <v>0</v>
      </c>
      <c r="Q462" s="2346">
        <v>0</v>
      </c>
      <c r="R462" s="2346">
        <v>0</v>
      </c>
      <c r="S462" s="2346">
        <v>0</v>
      </c>
      <c r="T462" s="2346">
        <v>0</v>
      </c>
      <c r="U462" s="2346">
        <v>0</v>
      </c>
      <c r="V462" s="2346">
        <v>0</v>
      </c>
      <c r="W462" s="2346">
        <v>0</v>
      </c>
      <c r="X462" s="2346">
        <v>0</v>
      </c>
      <c r="Y462" s="2346">
        <v>0</v>
      </c>
      <c r="Z462" s="2346">
        <v>0</v>
      </c>
      <c r="AA462" s="2346">
        <v>0</v>
      </c>
      <c r="AB462" s="2346">
        <v>0</v>
      </c>
      <c r="AC462" s="2346">
        <v>0</v>
      </c>
      <c r="AD462" s="2346">
        <v>0</v>
      </c>
      <c r="AE462" s="2347">
        <v>950</v>
      </c>
      <c r="AF462" s="2275"/>
      <c r="AG462" s="2275">
        <f>HLOOKUP(AG454,D455:AD467,6,0)</f>
        <v>0</v>
      </c>
      <c r="AH462" s="2275">
        <f t="shared" si="269"/>
        <v>0</v>
      </c>
      <c r="AI462" s="2275">
        <v>825</v>
      </c>
      <c r="AJ462" s="2275"/>
      <c r="AK462" s="2275"/>
      <c r="AL462" s="2275"/>
      <c r="AM462" s="2275"/>
      <c r="AN462" s="2275"/>
      <c r="AO462" s="2275"/>
      <c r="AP462" s="2250"/>
      <c r="AQ462" s="2250"/>
      <c r="AR462" s="2250"/>
      <c r="AS462" s="2250"/>
      <c r="AT462" s="2250"/>
      <c r="AU462" s="2250"/>
      <c r="AV462" s="2250"/>
      <c r="AW462" s="2250"/>
      <c r="AX462" s="2250"/>
      <c r="AY462" s="2250"/>
      <c r="AZ462" s="2250"/>
      <c r="BA462" s="2250"/>
      <c r="BB462" s="2250"/>
      <c r="BC462" s="2250"/>
      <c r="BD462" s="2250"/>
      <c r="BE462" s="2250"/>
      <c r="BF462" s="2276"/>
      <c r="BG462" s="2276"/>
      <c r="BH462" s="2250"/>
      <c r="BI462" s="2275"/>
      <c r="BJ462" s="4671"/>
      <c r="BK462" s="2345">
        <v>950</v>
      </c>
      <c r="BL462" s="2346">
        <v>0</v>
      </c>
      <c r="BM462" s="2346">
        <v>0</v>
      </c>
      <c r="BN462" s="2346">
        <v>0</v>
      </c>
      <c r="BO462" s="2346">
        <v>0</v>
      </c>
      <c r="BP462" s="2346">
        <v>0</v>
      </c>
      <c r="BQ462" s="2346">
        <v>0</v>
      </c>
      <c r="BR462" s="2346">
        <v>0</v>
      </c>
      <c r="BS462" s="2346">
        <v>0</v>
      </c>
      <c r="BT462" s="2346">
        <v>0</v>
      </c>
      <c r="BU462" s="2346">
        <v>0</v>
      </c>
      <c r="BV462" s="2346">
        <v>0</v>
      </c>
      <c r="BW462" s="2346">
        <v>0</v>
      </c>
      <c r="BX462" s="2346">
        <v>0</v>
      </c>
      <c r="BY462" s="2346">
        <v>0</v>
      </c>
      <c r="BZ462" s="2346">
        <v>0</v>
      </c>
      <c r="CA462" s="2346">
        <v>0</v>
      </c>
      <c r="CB462" s="2346">
        <v>0</v>
      </c>
      <c r="CC462" s="2346">
        <v>0</v>
      </c>
      <c r="CD462" s="2346">
        <v>0</v>
      </c>
      <c r="CE462" s="2346">
        <v>0</v>
      </c>
      <c r="CF462" s="2346">
        <v>0</v>
      </c>
      <c r="CG462" s="2346">
        <v>0</v>
      </c>
      <c r="CH462" s="2346">
        <v>0</v>
      </c>
      <c r="CI462" s="2346">
        <v>0</v>
      </c>
      <c r="CJ462" s="2346">
        <v>0</v>
      </c>
      <c r="CK462" s="2346">
        <v>0</v>
      </c>
      <c r="CL462" s="2346">
        <v>0</v>
      </c>
      <c r="CM462" s="2347">
        <v>950</v>
      </c>
      <c r="CN462" s="2275"/>
      <c r="CO462" s="2275">
        <f>HLOOKUP(CO454,BL455:CL467,6,0)</f>
        <v>0</v>
      </c>
      <c r="CP462" s="2275">
        <f t="shared" si="270"/>
        <v>0</v>
      </c>
      <c r="CQ462" s="2275">
        <v>825</v>
      </c>
      <c r="CR462" s="2275"/>
      <c r="CS462" s="2275"/>
      <c r="CT462" s="2275"/>
      <c r="CU462" s="2275"/>
      <c r="CV462" s="2275"/>
      <c r="CW462" s="2275"/>
      <c r="CX462" s="2250"/>
      <c r="CY462" s="2250"/>
      <c r="CZ462" s="2250"/>
      <c r="DA462" s="2250"/>
      <c r="DB462" s="2250"/>
      <c r="DC462" s="2250"/>
      <c r="DD462" s="2250"/>
      <c r="DE462" s="2250"/>
      <c r="DF462" s="2250"/>
      <c r="DG462" s="2250"/>
      <c r="DH462" s="2250"/>
      <c r="DI462" s="2250"/>
      <c r="DJ462" s="2250"/>
      <c r="DK462" s="2250"/>
      <c r="DL462" s="2250"/>
      <c r="DM462" s="2250"/>
      <c r="DN462" s="2250"/>
      <c r="DO462" s="53"/>
      <c r="DP462" s="53"/>
      <c r="DS462" s="277"/>
      <c r="DW462" s="1"/>
      <c r="DX462" s="4671"/>
      <c r="DY462" s="2345">
        <v>950</v>
      </c>
      <c r="DZ462" s="2346">
        <v>0</v>
      </c>
      <c r="EA462" s="2346">
        <v>0</v>
      </c>
      <c r="EB462" s="2346">
        <v>0</v>
      </c>
      <c r="EC462" s="2346">
        <v>0</v>
      </c>
      <c r="ED462" s="2346">
        <v>0</v>
      </c>
      <c r="EE462" s="2346">
        <v>0</v>
      </c>
      <c r="EF462" s="2346">
        <v>0</v>
      </c>
      <c r="EG462" s="2346">
        <v>0</v>
      </c>
      <c r="EH462" s="2346">
        <v>0</v>
      </c>
      <c r="EI462" s="2346">
        <v>0</v>
      </c>
      <c r="EJ462" s="2346">
        <v>0</v>
      </c>
      <c r="EK462" s="2346">
        <v>0</v>
      </c>
      <c r="EL462" s="2346">
        <v>0</v>
      </c>
      <c r="EM462" s="2346">
        <v>0</v>
      </c>
      <c r="EN462" s="2346">
        <v>0</v>
      </c>
      <c r="EO462" s="2346">
        <v>0</v>
      </c>
      <c r="EP462" s="2346">
        <v>0</v>
      </c>
      <c r="EQ462" s="2346">
        <v>0</v>
      </c>
      <c r="ER462" s="2346">
        <v>0</v>
      </c>
      <c r="ES462" s="2346">
        <v>0</v>
      </c>
      <c r="ET462" s="2346">
        <v>0</v>
      </c>
      <c r="EU462" s="2346">
        <v>0</v>
      </c>
      <c r="EV462" s="2346">
        <v>0</v>
      </c>
      <c r="EW462" s="2346">
        <v>0</v>
      </c>
      <c r="EX462" s="2346">
        <v>0</v>
      </c>
      <c r="EY462" s="2346">
        <v>0</v>
      </c>
      <c r="EZ462" s="2346">
        <v>0</v>
      </c>
      <c r="FA462" s="2347">
        <v>950</v>
      </c>
      <c r="FB462" s="2275"/>
      <c r="FC462" s="2275">
        <f>HLOOKUP(FC454,DZ455:EZ467,6,0)</f>
        <v>0</v>
      </c>
      <c r="FD462" s="2275">
        <f t="shared" si="271"/>
        <v>0</v>
      </c>
      <c r="FE462" s="2275">
        <v>825</v>
      </c>
      <c r="FF462" s="2275"/>
      <c r="FG462" s="2275"/>
      <c r="FH462" s="2275"/>
      <c r="FI462" s="2275"/>
      <c r="FJ462" s="2275"/>
      <c r="FK462" s="2275"/>
      <c r="FL462" s="2250"/>
      <c r="FM462" s="2250"/>
      <c r="FN462" s="2250"/>
      <c r="FO462" s="2250"/>
      <c r="FP462" s="2250"/>
      <c r="FQ462" s="2250"/>
      <c r="FR462" s="2250"/>
      <c r="FS462" s="2250"/>
      <c r="FT462" s="2250"/>
      <c r="FU462" s="2250"/>
      <c r="FV462" s="2250"/>
      <c r="FW462" s="2250"/>
      <c r="FX462" s="2250"/>
      <c r="FY462" s="2250"/>
      <c r="FZ462" s="2250"/>
      <c r="GA462" s="2250"/>
      <c r="GB462" s="2276"/>
      <c r="GC462" s="2276"/>
      <c r="GD462" s="2250"/>
      <c r="GE462" s="2275"/>
      <c r="GF462" s="4671"/>
      <c r="GG462" s="2345">
        <v>950</v>
      </c>
      <c r="GH462" s="2346">
        <v>0</v>
      </c>
      <c r="GI462" s="2346">
        <v>0</v>
      </c>
      <c r="GJ462" s="2346">
        <v>0</v>
      </c>
      <c r="GK462" s="2346">
        <v>0</v>
      </c>
      <c r="GL462" s="2346">
        <v>0</v>
      </c>
      <c r="GM462" s="2346">
        <v>0</v>
      </c>
      <c r="GN462" s="2346">
        <v>0</v>
      </c>
      <c r="GO462" s="2346">
        <v>0</v>
      </c>
      <c r="GP462" s="2346">
        <v>0</v>
      </c>
      <c r="GQ462" s="2346">
        <v>0</v>
      </c>
      <c r="GR462" s="2346">
        <v>0</v>
      </c>
      <c r="GS462" s="2346">
        <v>0</v>
      </c>
      <c r="GT462" s="2346">
        <v>0</v>
      </c>
      <c r="GU462" s="2346">
        <v>0</v>
      </c>
      <c r="GV462" s="2346">
        <v>0</v>
      </c>
      <c r="GW462" s="2346">
        <v>0</v>
      </c>
      <c r="GX462" s="2346">
        <v>0</v>
      </c>
      <c r="GY462" s="2346">
        <v>0</v>
      </c>
      <c r="GZ462" s="2346">
        <v>0</v>
      </c>
      <c r="HA462" s="2346">
        <v>0</v>
      </c>
      <c r="HB462" s="2346">
        <v>0</v>
      </c>
      <c r="HC462" s="2346">
        <v>0</v>
      </c>
      <c r="HD462" s="2346">
        <v>0</v>
      </c>
      <c r="HE462" s="2346">
        <v>0</v>
      </c>
      <c r="HF462" s="2346">
        <v>0</v>
      </c>
      <c r="HG462" s="2346">
        <v>0</v>
      </c>
      <c r="HH462" s="2346">
        <v>0</v>
      </c>
      <c r="HI462" s="2347">
        <v>950</v>
      </c>
      <c r="HJ462" s="2275"/>
      <c r="HK462" s="2275">
        <f>HLOOKUP(HK454,GH455:HH467,6,0)</f>
        <v>0</v>
      </c>
      <c r="HL462" s="2275">
        <f t="shared" si="272"/>
        <v>0</v>
      </c>
      <c r="HM462" s="2275">
        <v>825</v>
      </c>
      <c r="HN462" s="2275"/>
      <c r="HO462" s="2275"/>
      <c r="HP462" s="2275"/>
      <c r="HQ462" s="2275"/>
      <c r="HR462" s="2275"/>
      <c r="HS462" s="2275"/>
      <c r="HT462" s="2250"/>
      <c r="HU462" s="2250"/>
      <c r="HV462" s="2250"/>
      <c r="HW462" s="2250"/>
      <c r="HX462" s="2250"/>
      <c r="HY462" s="2250"/>
      <c r="HZ462" s="2250"/>
      <c r="IA462" s="2250"/>
      <c r="IB462" s="2250"/>
      <c r="IC462" s="2250"/>
      <c r="ID462" s="2250"/>
      <c r="IE462" s="2250"/>
      <c r="IF462" s="2250"/>
      <c r="IG462" s="2250"/>
      <c r="IH462" s="2250"/>
      <c r="II462" s="2250"/>
      <c r="IJ462" s="2250"/>
      <c r="IK462" s="53"/>
      <c r="IL462" s="53"/>
      <c r="IN462" s="277"/>
      <c r="IO462" s="277"/>
    </row>
    <row r="463" spans="2:249" ht="21.95" customHeight="1">
      <c r="B463" s="4671"/>
      <c r="C463" s="2345">
        <v>1100</v>
      </c>
      <c r="D463" s="2346">
        <v>0</v>
      </c>
      <c r="E463" s="2346">
        <v>0</v>
      </c>
      <c r="F463" s="2346">
        <v>0</v>
      </c>
      <c r="G463" s="2346">
        <v>0</v>
      </c>
      <c r="H463" s="2346">
        <v>0</v>
      </c>
      <c r="I463" s="2346">
        <v>0</v>
      </c>
      <c r="J463" s="2346">
        <v>0</v>
      </c>
      <c r="K463" s="2346">
        <v>0</v>
      </c>
      <c r="L463" s="2346">
        <v>0</v>
      </c>
      <c r="M463" s="2346">
        <v>0</v>
      </c>
      <c r="N463" s="2346">
        <v>0</v>
      </c>
      <c r="O463" s="2346">
        <v>0</v>
      </c>
      <c r="P463" s="2346">
        <v>0</v>
      </c>
      <c r="Q463" s="2346">
        <v>0</v>
      </c>
      <c r="R463" s="2346">
        <v>0</v>
      </c>
      <c r="S463" s="2346">
        <v>0</v>
      </c>
      <c r="T463" s="2346">
        <v>0</v>
      </c>
      <c r="U463" s="2346">
        <v>0</v>
      </c>
      <c r="V463" s="2346">
        <v>0</v>
      </c>
      <c r="W463" s="2346">
        <v>0</v>
      </c>
      <c r="X463" s="2346">
        <v>0</v>
      </c>
      <c r="Y463" s="2346">
        <v>0</v>
      </c>
      <c r="Z463" s="2346">
        <v>0</v>
      </c>
      <c r="AA463" s="2346">
        <v>0</v>
      </c>
      <c r="AB463" s="2346">
        <v>0</v>
      </c>
      <c r="AC463" s="2346">
        <v>0</v>
      </c>
      <c r="AD463" s="2346">
        <v>0</v>
      </c>
      <c r="AE463" s="2347">
        <v>1100</v>
      </c>
      <c r="AF463" s="2275"/>
      <c r="AG463" s="2275">
        <f>HLOOKUP(AG454,D455:AD467,7,0)</f>
        <v>0</v>
      </c>
      <c r="AH463" s="2275">
        <f t="shared" si="269"/>
        <v>0</v>
      </c>
      <c r="AI463" s="2275">
        <v>950</v>
      </c>
      <c r="AJ463" s="2275"/>
      <c r="AK463" s="2275"/>
      <c r="AL463" s="2275"/>
      <c r="AM463" s="2275"/>
      <c r="AN463" s="2275"/>
      <c r="AO463" s="2275"/>
      <c r="AP463" s="2250"/>
      <c r="AQ463" s="2250"/>
      <c r="AR463" s="2250"/>
      <c r="AS463" s="2250"/>
      <c r="AT463" s="2250"/>
      <c r="AU463" s="2250"/>
      <c r="AV463" s="2250"/>
      <c r="AW463" s="2250"/>
      <c r="AX463" s="2250"/>
      <c r="AY463" s="2250"/>
      <c r="AZ463" s="2250"/>
      <c r="BA463" s="2250"/>
      <c r="BB463" s="2250"/>
      <c r="BC463" s="2250"/>
      <c r="BD463" s="2250"/>
      <c r="BE463" s="2250"/>
      <c r="BF463" s="2276"/>
      <c r="BG463" s="2276"/>
      <c r="BH463" s="2250"/>
      <c r="BI463" s="2275"/>
      <c r="BJ463" s="4671"/>
      <c r="BK463" s="2345">
        <v>1100</v>
      </c>
      <c r="BL463" s="2346">
        <v>0</v>
      </c>
      <c r="BM463" s="2346">
        <v>0</v>
      </c>
      <c r="BN463" s="2346">
        <v>0</v>
      </c>
      <c r="BO463" s="2346">
        <v>0</v>
      </c>
      <c r="BP463" s="2346">
        <v>0</v>
      </c>
      <c r="BQ463" s="2346">
        <v>0</v>
      </c>
      <c r="BR463" s="2346">
        <v>0</v>
      </c>
      <c r="BS463" s="2346">
        <v>0</v>
      </c>
      <c r="BT463" s="2346">
        <v>0</v>
      </c>
      <c r="BU463" s="2346">
        <v>0</v>
      </c>
      <c r="BV463" s="2346">
        <v>0</v>
      </c>
      <c r="BW463" s="2346">
        <v>0</v>
      </c>
      <c r="BX463" s="2346">
        <v>0</v>
      </c>
      <c r="BY463" s="2346">
        <v>0</v>
      </c>
      <c r="BZ463" s="2346">
        <v>0</v>
      </c>
      <c r="CA463" s="2346">
        <v>0</v>
      </c>
      <c r="CB463" s="2346">
        <v>0</v>
      </c>
      <c r="CC463" s="2346">
        <v>0</v>
      </c>
      <c r="CD463" s="2346">
        <v>0</v>
      </c>
      <c r="CE463" s="2346">
        <v>0</v>
      </c>
      <c r="CF463" s="2346">
        <v>0</v>
      </c>
      <c r="CG463" s="2346">
        <v>0</v>
      </c>
      <c r="CH463" s="2346">
        <v>0</v>
      </c>
      <c r="CI463" s="2346">
        <v>0</v>
      </c>
      <c r="CJ463" s="2346">
        <v>0</v>
      </c>
      <c r="CK463" s="2346">
        <v>0</v>
      </c>
      <c r="CL463" s="2346">
        <v>0</v>
      </c>
      <c r="CM463" s="2347">
        <v>1100</v>
      </c>
      <c r="CN463" s="2275"/>
      <c r="CO463" s="2275">
        <f>HLOOKUP(CO454,BL455:CL467,7,0)</f>
        <v>0</v>
      </c>
      <c r="CP463" s="2275">
        <f t="shared" si="270"/>
        <v>0</v>
      </c>
      <c r="CQ463" s="2275">
        <v>950</v>
      </c>
      <c r="CR463" s="2275"/>
      <c r="CS463" s="2275"/>
      <c r="CT463" s="2275"/>
      <c r="CU463" s="2275"/>
      <c r="CV463" s="2275"/>
      <c r="CW463" s="2275"/>
      <c r="CX463" s="2250"/>
      <c r="CY463" s="2250"/>
      <c r="CZ463" s="2250"/>
      <c r="DA463" s="2250"/>
      <c r="DB463" s="2250"/>
      <c r="DC463" s="2250"/>
      <c r="DD463" s="2250"/>
      <c r="DE463" s="2250"/>
      <c r="DF463" s="2250"/>
      <c r="DG463" s="2250"/>
      <c r="DH463" s="2250"/>
      <c r="DI463" s="2250"/>
      <c r="DJ463" s="2250"/>
      <c r="DK463" s="2250"/>
      <c r="DL463" s="2250"/>
      <c r="DM463" s="2250"/>
      <c r="DN463" s="2250"/>
      <c r="DO463" s="53"/>
      <c r="DP463" s="53"/>
      <c r="DS463" s="277"/>
      <c r="DW463" s="1"/>
      <c r="DX463" s="4671"/>
      <c r="DY463" s="2345">
        <v>1100</v>
      </c>
      <c r="DZ463" s="2346">
        <v>0</v>
      </c>
      <c r="EA463" s="2346">
        <v>0</v>
      </c>
      <c r="EB463" s="2346">
        <v>0</v>
      </c>
      <c r="EC463" s="2346">
        <v>0</v>
      </c>
      <c r="ED463" s="2346">
        <v>0</v>
      </c>
      <c r="EE463" s="2346">
        <v>0</v>
      </c>
      <c r="EF463" s="2346">
        <v>0</v>
      </c>
      <c r="EG463" s="2346">
        <v>0</v>
      </c>
      <c r="EH463" s="2346">
        <v>0</v>
      </c>
      <c r="EI463" s="2346">
        <v>0</v>
      </c>
      <c r="EJ463" s="2346">
        <v>0</v>
      </c>
      <c r="EK463" s="2346">
        <v>0</v>
      </c>
      <c r="EL463" s="2346">
        <v>0</v>
      </c>
      <c r="EM463" s="2346">
        <v>0</v>
      </c>
      <c r="EN463" s="2346">
        <v>0</v>
      </c>
      <c r="EO463" s="2346">
        <v>0</v>
      </c>
      <c r="EP463" s="2346">
        <v>0</v>
      </c>
      <c r="EQ463" s="2346">
        <v>0</v>
      </c>
      <c r="ER463" s="2346">
        <v>0</v>
      </c>
      <c r="ES463" s="2346">
        <v>0</v>
      </c>
      <c r="ET463" s="2346">
        <v>0</v>
      </c>
      <c r="EU463" s="2346">
        <v>0</v>
      </c>
      <c r="EV463" s="2346">
        <v>0</v>
      </c>
      <c r="EW463" s="2346">
        <v>0</v>
      </c>
      <c r="EX463" s="2346">
        <v>0</v>
      </c>
      <c r="EY463" s="2346">
        <v>0</v>
      </c>
      <c r="EZ463" s="2346">
        <v>0</v>
      </c>
      <c r="FA463" s="2347">
        <v>1100</v>
      </c>
      <c r="FB463" s="2275"/>
      <c r="FC463" s="2275">
        <f>HLOOKUP(FC454,DZ455:EZ467,7,0)</f>
        <v>0</v>
      </c>
      <c r="FD463" s="2275">
        <f t="shared" si="271"/>
        <v>0</v>
      </c>
      <c r="FE463" s="2275">
        <v>950</v>
      </c>
      <c r="FF463" s="2275"/>
      <c r="FG463" s="2275"/>
      <c r="FH463" s="2275"/>
      <c r="FI463" s="2275"/>
      <c r="FJ463" s="2275"/>
      <c r="FK463" s="2275"/>
      <c r="FL463" s="2250"/>
      <c r="FM463" s="2250"/>
      <c r="FN463" s="2250"/>
      <c r="FO463" s="2250"/>
      <c r="FP463" s="2250"/>
      <c r="FQ463" s="2250"/>
      <c r="FR463" s="2250"/>
      <c r="FS463" s="2250"/>
      <c r="FT463" s="2250"/>
      <c r="FU463" s="2250"/>
      <c r="FV463" s="2250"/>
      <c r="FW463" s="2250"/>
      <c r="FX463" s="2250"/>
      <c r="FY463" s="2250"/>
      <c r="FZ463" s="2250"/>
      <c r="GA463" s="2250"/>
      <c r="GB463" s="2276"/>
      <c r="GC463" s="2276"/>
      <c r="GD463" s="2250"/>
      <c r="GE463" s="2275"/>
      <c r="GF463" s="4671"/>
      <c r="GG463" s="2345">
        <v>1100</v>
      </c>
      <c r="GH463" s="2346">
        <v>0</v>
      </c>
      <c r="GI463" s="2346">
        <v>0</v>
      </c>
      <c r="GJ463" s="2346">
        <v>0</v>
      </c>
      <c r="GK463" s="2346">
        <v>0</v>
      </c>
      <c r="GL463" s="2346">
        <v>0</v>
      </c>
      <c r="GM463" s="2346">
        <v>0</v>
      </c>
      <c r="GN463" s="2346">
        <v>0</v>
      </c>
      <c r="GO463" s="2346">
        <v>0</v>
      </c>
      <c r="GP463" s="2346">
        <v>0</v>
      </c>
      <c r="GQ463" s="2346">
        <v>0</v>
      </c>
      <c r="GR463" s="2346">
        <v>0</v>
      </c>
      <c r="GS463" s="2346">
        <v>0</v>
      </c>
      <c r="GT463" s="2346">
        <v>0</v>
      </c>
      <c r="GU463" s="2346">
        <v>0</v>
      </c>
      <c r="GV463" s="2346">
        <v>0</v>
      </c>
      <c r="GW463" s="2346">
        <v>0</v>
      </c>
      <c r="GX463" s="2346">
        <v>0</v>
      </c>
      <c r="GY463" s="2346">
        <v>0</v>
      </c>
      <c r="GZ463" s="2346">
        <v>0</v>
      </c>
      <c r="HA463" s="2346">
        <v>0</v>
      </c>
      <c r="HB463" s="2346">
        <v>0</v>
      </c>
      <c r="HC463" s="2346">
        <v>0</v>
      </c>
      <c r="HD463" s="2346">
        <v>0</v>
      </c>
      <c r="HE463" s="2346">
        <v>0</v>
      </c>
      <c r="HF463" s="2346">
        <v>0</v>
      </c>
      <c r="HG463" s="2346">
        <v>0</v>
      </c>
      <c r="HH463" s="2346">
        <v>0</v>
      </c>
      <c r="HI463" s="2347">
        <v>1100</v>
      </c>
      <c r="HJ463" s="2275"/>
      <c r="HK463" s="2275">
        <f>HLOOKUP(HK454,GH455:HH467,7,0)</f>
        <v>0</v>
      </c>
      <c r="HL463" s="2275">
        <f t="shared" si="272"/>
        <v>0</v>
      </c>
      <c r="HM463" s="2275">
        <v>950</v>
      </c>
      <c r="HN463" s="2275"/>
      <c r="HO463" s="2275"/>
      <c r="HP463" s="2275"/>
      <c r="HQ463" s="2275"/>
      <c r="HR463" s="2275"/>
      <c r="HS463" s="2275"/>
      <c r="HT463" s="2250"/>
      <c r="HU463" s="2250"/>
      <c r="HV463" s="2250"/>
      <c r="HW463" s="2250"/>
      <c r="HX463" s="2250"/>
      <c r="HY463" s="2250"/>
      <c r="HZ463" s="2250"/>
      <c r="IA463" s="2250"/>
      <c r="IB463" s="2250"/>
      <c r="IC463" s="2250"/>
      <c r="ID463" s="2250"/>
      <c r="IE463" s="2250"/>
      <c r="IF463" s="2250"/>
      <c r="IG463" s="2250"/>
      <c r="IH463" s="2250"/>
      <c r="II463" s="2250"/>
      <c r="IJ463" s="2250"/>
      <c r="IK463" s="53"/>
      <c r="IL463" s="53"/>
      <c r="IN463" s="277"/>
      <c r="IO463" s="277"/>
    </row>
    <row r="464" spans="2:249" ht="21.95" customHeight="1">
      <c r="B464" s="4671"/>
      <c r="C464" s="2345">
        <v>1250</v>
      </c>
      <c r="D464" s="2346">
        <v>0</v>
      </c>
      <c r="E464" s="2346">
        <v>0</v>
      </c>
      <c r="F464" s="2346">
        <v>0</v>
      </c>
      <c r="G464" s="2346">
        <v>0</v>
      </c>
      <c r="H464" s="2346">
        <v>0</v>
      </c>
      <c r="I464" s="2346">
        <v>0</v>
      </c>
      <c r="J464" s="2346">
        <v>0</v>
      </c>
      <c r="K464" s="2346">
        <v>0</v>
      </c>
      <c r="L464" s="2346">
        <v>0</v>
      </c>
      <c r="M464" s="2346">
        <v>0</v>
      </c>
      <c r="N464" s="2346">
        <v>0</v>
      </c>
      <c r="O464" s="2346">
        <v>0</v>
      </c>
      <c r="P464" s="2346">
        <v>0</v>
      </c>
      <c r="Q464" s="2346">
        <v>0</v>
      </c>
      <c r="R464" s="2346">
        <v>0</v>
      </c>
      <c r="S464" s="2346">
        <v>0</v>
      </c>
      <c r="T464" s="2346">
        <v>0</v>
      </c>
      <c r="U464" s="2346">
        <v>0</v>
      </c>
      <c r="V464" s="2346">
        <v>0</v>
      </c>
      <c r="W464" s="2346">
        <v>0</v>
      </c>
      <c r="X464" s="2346">
        <v>0</v>
      </c>
      <c r="Y464" s="2346">
        <v>0</v>
      </c>
      <c r="Z464" s="2346">
        <v>0</v>
      </c>
      <c r="AA464" s="2346">
        <v>0</v>
      </c>
      <c r="AB464" s="2346">
        <v>0</v>
      </c>
      <c r="AC464" s="2346">
        <v>0</v>
      </c>
      <c r="AD464" s="2346">
        <v>0</v>
      </c>
      <c r="AE464" s="2347">
        <v>1250</v>
      </c>
      <c r="AF464" s="2275"/>
      <c r="AG464" s="2275">
        <f>HLOOKUP(AG454,D455:AD467,8,0)</f>
        <v>0</v>
      </c>
      <c r="AH464" s="2275">
        <f t="shared" si="269"/>
        <v>0</v>
      </c>
      <c r="AI464" s="2275">
        <v>1100</v>
      </c>
      <c r="AJ464" s="2275"/>
      <c r="AK464" s="2275"/>
      <c r="AL464" s="2275"/>
      <c r="AM464" s="2275"/>
      <c r="AN464" s="2275"/>
      <c r="AO464" s="2275"/>
      <c r="AP464" s="2250"/>
      <c r="AQ464" s="2250"/>
      <c r="AR464" s="2250"/>
      <c r="AS464" s="2250"/>
      <c r="AT464" s="2250"/>
      <c r="AU464" s="2250"/>
      <c r="AV464" s="2250"/>
      <c r="AW464" s="2250"/>
      <c r="AX464" s="2250"/>
      <c r="AY464" s="2250"/>
      <c r="AZ464" s="2250"/>
      <c r="BA464" s="2250"/>
      <c r="BB464" s="2250"/>
      <c r="BC464" s="2250"/>
      <c r="BD464" s="2250"/>
      <c r="BE464" s="2250"/>
      <c r="BF464" s="2276"/>
      <c r="BG464" s="2276"/>
      <c r="BH464" s="2250"/>
      <c r="BI464" s="2275"/>
      <c r="BJ464" s="4671"/>
      <c r="BK464" s="2345">
        <v>1250</v>
      </c>
      <c r="BL464" s="2346">
        <v>0</v>
      </c>
      <c r="BM464" s="2346">
        <v>0</v>
      </c>
      <c r="BN464" s="2346">
        <v>0</v>
      </c>
      <c r="BO464" s="2346">
        <v>0</v>
      </c>
      <c r="BP464" s="2346">
        <v>0</v>
      </c>
      <c r="BQ464" s="2346">
        <v>0</v>
      </c>
      <c r="BR464" s="2346">
        <v>0</v>
      </c>
      <c r="BS464" s="2346">
        <v>0</v>
      </c>
      <c r="BT464" s="2346">
        <v>0</v>
      </c>
      <c r="BU464" s="2346">
        <v>0</v>
      </c>
      <c r="BV464" s="2346">
        <v>0</v>
      </c>
      <c r="BW464" s="2346">
        <v>0</v>
      </c>
      <c r="BX464" s="2346">
        <v>0</v>
      </c>
      <c r="BY464" s="2346">
        <v>0</v>
      </c>
      <c r="BZ464" s="2346">
        <v>0</v>
      </c>
      <c r="CA464" s="2346">
        <v>0</v>
      </c>
      <c r="CB464" s="2346">
        <v>0</v>
      </c>
      <c r="CC464" s="2346">
        <v>0</v>
      </c>
      <c r="CD464" s="2346">
        <v>0</v>
      </c>
      <c r="CE464" s="2346">
        <v>0</v>
      </c>
      <c r="CF464" s="2346">
        <v>0</v>
      </c>
      <c r="CG464" s="2346">
        <v>0</v>
      </c>
      <c r="CH464" s="2346">
        <v>0</v>
      </c>
      <c r="CI464" s="2346">
        <v>0</v>
      </c>
      <c r="CJ464" s="2346">
        <v>0</v>
      </c>
      <c r="CK464" s="2346">
        <v>0</v>
      </c>
      <c r="CL464" s="2346">
        <v>0</v>
      </c>
      <c r="CM464" s="2347">
        <v>1250</v>
      </c>
      <c r="CN464" s="2275"/>
      <c r="CO464" s="2275">
        <f>HLOOKUP(CO454,BL455:CL467,8,0)</f>
        <v>0</v>
      </c>
      <c r="CP464" s="2275">
        <f t="shared" si="270"/>
        <v>0</v>
      </c>
      <c r="CQ464" s="2275">
        <v>1100</v>
      </c>
      <c r="CR464" s="2275"/>
      <c r="CS464" s="2275"/>
      <c r="CT464" s="2275"/>
      <c r="CU464" s="2275"/>
      <c r="CV464" s="2275"/>
      <c r="CW464" s="2275"/>
      <c r="CX464" s="2250"/>
      <c r="CY464" s="2250"/>
      <c r="CZ464" s="2250"/>
      <c r="DA464" s="2250"/>
      <c r="DB464" s="2250"/>
      <c r="DC464" s="2250"/>
      <c r="DD464" s="2250"/>
      <c r="DE464" s="2250"/>
      <c r="DF464" s="2250"/>
      <c r="DG464" s="2250"/>
      <c r="DH464" s="2250"/>
      <c r="DI464" s="2250"/>
      <c r="DJ464" s="2250"/>
      <c r="DK464" s="2250"/>
      <c r="DL464" s="2250"/>
      <c r="DM464" s="2250"/>
      <c r="DN464" s="2250"/>
      <c r="DO464" s="53"/>
      <c r="DP464" s="53"/>
      <c r="DS464" s="277"/>
      <c r="DW464" s="1"/>
      <c r="DX464" s="4671"/>
      <c r="DY464" s="2345">
        <v>1250</v>
      </c>
      <c r="DZ464" s="2346">
        <v>0</v>
      </c>
      <c r="EA464" s="2346">
        <v>0</v>
      </c>
      <c r="EB464" s="2346">
        <v>0</v>
      </c>
      <c r="EC464" s="2346">
        <v>0</v>
      </c>
      <c r="ED464" s="2346">
        <v>0</v>
      </c>
      <c r="EE464" s="2346">
        <v>0</v>
      </c>
      <c r="EF464" s="2346">
        <v>0</v>
      </c>
      <c r="EG464" s="2346">
        <v>0</v>
      </c>
      <c r="EH464" s="2346">
        <v>0</v>
      </c>
      <c r="EI464" s="2346">
        <v>0</v>
      </c>
      <c r="EJ464" s="2346">
        <v>0</v>
      </c>
      <c r="EK464" s="2346">
        <v>0</v>
      </c>
      <c r="EL464" s="2346">
        <v>0</v>
      </c>
      <c r="EM464" s="2346">
        <v>0</v>
      </c>
      <c r="EN464" s="2346">
        <v>0</v>
      </c>
      <c r="EO464" s="2346">
        <v>0</v>
      </c>
      <c r="EP464" s="2346">
        <v>0</v>
      </c>
      <c r="EQ464" s="2346">
        <v>0</v>
      </c>
      <c r="ER464" s="2346">
        <v>0</v>
      </c>
      <c r="ES464" s="2346">
        <v>0</v>
      </c>
      <c r="ET464" s="2346">
        <v>0</v>
      </c>
      <c r="EU464" s="2346">
        <v>0</v>
      </c>
      <c r="EV464" s="2346">
        <v>0</v>
      </c>
      <c r="EW464" s="2346">
        <v>0</v>
      </c>
      <c r="EX464" s="2346">
        <v>0</v>
      </c>
      <c r="EY464" s="2346">
        <v>0</v>
      </c>
      <c r="EZ464" s="2346">
        <v>0</v>
      </c>
      <c r="FA464" s="2347">
        <v>1250</v>
      </c>
      <c r="FB464" s="2275"/>
      <c r="FC464" s="2275">
        <f>HLOOKUP(FC454,DZ455:EZ467,8,0)</f>
        <v>0</v>
      </c>
      <c r="FD464" s="2275">
        <f t="shared" si="271"/>
        <v>0</v>
      </c>
      <c r="FE464" s="2275">
        <v>1100</v>
      </c>
      <c r="FF464" s="2275"/>
      <c r="FG464" s="2275"/>
      <c r="FH464" s="2275"/>
      <c r="FI464" s="2275"/>
      <c r="FJ464" s="2275"/>
      <c r="FK464" s="2275"/>
      <c r="FL464" s="2250"/>
      <c r="FM464" s="2250"/>
      <c r="FN464" s="2250"/>
      <c r="FO464" s="2250"/>
      <c r="FP464" s="2250"/>
      <c r="FQ464" s="2250"/>
      <c r="FR464" s="2250"/>
      <c r="FS464" s="2250"/>
      <c r="FT464" s="2250"/>
      <c r="FU464" s="2250"/>
      <c r="FV464" s="2250"/>
      <c r="FW464" s="2250"/>
      <c r="FX464" s="2250"/>
      <c r="FY464" s="2250"/>
      <c r="FZ464" s="2250"/>
      <c r="GA464" s="2250"/>
      <c r="GB464" s="2276"/>
      <c r="GC464" s="2276"/>
      <c r="GD464" s="2250"/>
      <c r="GE464" s="2275"/>
      <c r="GF464" s="4671"/>
      <c r="GG464" s="2345">
        <v>1250</v>
      </c>
      <c r="GH464" s="2346">
        <v>0</v>
      </c>
      <c r="GI464" s="2346">
        <v>0</v>
      </c>
      <c r="GJ464" s="2346">
        <v>0</v>
      </c>
      <c r="GK464" s="2346">
        <v>0</v>
      </c>
      <c r="GL464" s="2346">
        <v>0</v>
      </c>
      <c r="GM464" s="2346">
        <v>0</v>
      </c>
      <c r="GN464" s="2346">
        <v>0</v>
      </c>
      <c r="GO464" s="2346">
        <v>0</v>
      </c>
      <c r="GP464" s="2346">
        <v>0</v>
      </c>
      <c r="GQ464" s="2346">
        <v>0</v>
      </c>
      <c r="GR464" s="2346">
        <v>0</v>
      </c>
      <c r="GS464" s="2346">
        <v>0</v>
      </c>
      <c r="GT464" s="2346">
        <v>0</v>
      </c>
      <c r="GU464" s="2346">
        <v>0</v>
      </c>
      <c r="GV464" s="2346">
        <v>0</v>
      </c>
      <c r="GW464" s="2346">
        <v>0</v>
      </c>
      <c r="GX464" s="2346">
        <v>0</v>
      </c>
      <c r="GY464" s="2346">
        <v>0</v>
      </c>
      <c r="GZ464" s="2346">
        <v>0</v>
      </c>
      <c r="HA464" s="2346">
        <v>0</v>
      </c>
      <c r="HB464" s="2346">
        <v>0</v>
      </c>
      <c r="HC464" s="2346">
        <v>0</v>
      </c>
      <c r="HD464" s="2346">
        <v>0</v>
      </c>
      <c r="HE464" s="2346">
        <v>0</v>
      </c>
      <c r="HF464" s="2346">
        <v>0</v>
      </c>
      <c r="HG464" s="2346">
        <v>0</v>
      </c>
      <c r="HH464" s="2346">
        <v>0</v>
      </c>
      <c r="HI464" s="2347">
        <v>1250</v>
      </c>
      <c r="HJ464" s="2275"/>
      <c r="HK464" s="2275">
        <f>HLOOKUP(HK454,GH455:HH467,8,0)</f>
        <v>0</v>
      </c>
      <c r="HL464" s="2275">
        <f t="shared" si="272"/>
        <v>0</v>
      </c>
      <c r="HM464" s="2275">
        <v>1100</v>
      </c>
      <c r="HN464" s="2275"/>
      <c r="HO464" s="2275"/>
      <c r="HP464" s="2275"/>
      <c r="HQ464" s="2275"/>
      <c r="HR464" s="2275"/>
      <c r="HS464" s="2275"/>
      <c r="HT464" s="2250"/>
      <c r="HU464" s="2250"/>
      <c r="HV464" s="2250"/>
      <c r="HW464" s="2250"/>
      <c r="HX464" s="2250"/>
      <c r="HY464" s="2250"/>
      <c r="HZ464" s="2250"/>
      <c r="IA464" s="2250"/>
      <c r="IB464" s="2250"/>
      <c r="IC464" s="2250"/>
      <c r="ID464" s="2250"/>
      <c r="IE464" s="2250"/>
      <c r="IF464" s="2250"/>
      <c r="IG464" s="2250"/>
      <c r="IH464" s="2250"/>
      <c r="II464" s="2250"/>
      <c r="IJ464" s="2250"/>
      <c r="IK464" s="53"/>
      <c r="IL464" s="53"/>
      <c r="IN464" s="277"/>
      <c r="IO464" s="277"/>
    </row>
    <row r="465" spans="2:249" ht="21.95" customHeight="1">
      <c r="B465" s="4671"/>
      <c r="C465" s="2345">
        <v>1450</v>
      </c>
      <c r="D465" s="2346">
        <v>0</v>
      </c>
      <c r="E465" s="2346">
        <v>0</v>
      </c>
      <c r="F465" s="2346">
        <v>0</v>
      </c>
      <c r="G465" s="2346">
        <v>0</v>
      </c>
      <c r="H465" s="2346">
        <v>0</v>
      </c>
      <c r="I465" s="2346">
        <v>0</v>
      </c>
      <c r="J465" s="2346">
        <v>0</v>
      </c>
      <c r="K465" s="2346">
        <v>0</v>
      </c>
      <c r="L465" s="2346">
        <v>0</v>
      </c>
      <c r="M465" s="2346">
        <v>0</v>
      </c>
      <c r="N465" s="2346">
        <v>0</v>
      </c>
      <c r="O465" s="2346">
        <v>0</v>
      </c>
      <c r="P465" s="2346">
        <v>0</v>
      </c>
      <c r="Q465" s="2346">
        <v>0</v>
      </c>
      <c r="R465" s="2346">
        <v>0</v>
      </c>
      <c r="S465" s="2346">
        <v>0</v>
      </c>
      <c r="T465" s="2346">
        <v>0</v>
      </c>
      <c r="U465" s="2346">
        <v>0</v>
      </c>
      <c r="V465" s="2346">
        <v>0</v>
      </c>
      <c r="W465" s="2346">
        <v>0</v>
      </c>
      <c r="X465" s="2346">
        <v>0</v>
      </c>
      <c r="Y465" s="2346">
        <v>0</v>
      </c>
      <c r="Z465" s="2346">
        <v>0</v>
      </c>
      <c r="AA465" s="2346">
        <v>0</v>
      </c>
      <c r="AB465" s="2346">
        <v>0</v>
      </c>
      <c r="AC465" s="2346">
        <v>0</v>
      </c>
      <c r="AD465" s="2346">
        <v>0</v>
      </c>
      <c r="AE465" s="2347">
        <v>1450</v>
      </c>
      <c r="AF465" s="2275"/>
      <c r="AG465" s="2275">
        <f>HLOOKUP(AG454,D455:AD467,9,0)</f>
        <v>0</v>
      </c>
      <c r="AH465" s="2275">
        <f t="shared" si="269"/>
        <v>0</v>
      </c>
      <c r="AI465" s="2275">
        <v>1250</v>
      </c>
      <c r="AJ465" s="2275"/>
      <c r="AK465" s="2275"/>
      <c r="AL465" s="2275"/>
      <c r="AM465" s="2275"/>
      <c r="AN465" s="2275"/>
      <c r="AO465" s="2275"/>
      <c r="AP465" s="2250"/>
      <c r="AQ465" s="2250"/>
      <c r="AR465" s="2250"/>
      <c r="AS465" s="2250"/>
      <c r="AT465" s="2250"/>
      <c r="AU465" s="2250"/>
      <c r="AV465" s="2250"/>
      <c r="AW465" s="2250"/>
      <c r="AX465" s="2250"/>
      <c r="AY465" s="2250"/>
      <c r="AZ465" s="2250"/>
      <c r="BA465" s="2250"/>
      <c r="BB465" s="2250"/>
      <c r="BC465" s="2250"/>
      <c r="BD465" s="2250"/>
      <c r="BE465" s="2250"/>
      <c r="BF465" s="2276"/>
      <c r="BG465" s="2276"/>
      <c r="BH465" s="2250"/>
      <c r="BI465" s="2275"/>
      <c r="BJ465" s="4671"/>
      <c r="BK465" s="2345">
        <v>1450</v>
      </c>
      <c r="BL465" s="2346">
        <v>0</v>
      </c>
      <c r="BM465" s="2346">
        <v>0</v>
      </c>
      <c r="BN465" s="2346">
        <v>0</v>
      </c>
      <c r="BO465" s="2346">
        <v>0</v>
      </c>
      <c r="BP465" s="2346">
        <v>0</v>
      </c>
      <c r="BQ465" s="2346">
        <v>0</v>
      </c>
      <c r="BR465" s="2346">
        <v>0</v>
      </c>
      <c r="BS465" s="2346">
        <v>0</v>
      </c>
      <c r="BT465" s="2346">
        <v>0</v>
      </c>
      <c r="BU465" s="2346">
        <v>0</v>
      </c>
      <c r="BV465" s="2346">
        <v>0</v>
      </c>
      <c r="BW465" s="2346">
        <v>0</v>
      </c>
      <c r="BX465" s="2346">
        <v>0</v>
      </c>
      <c r="BY465" s="2346">
        <v>0</v>
      </c>
      <c r="BZ465" s="2346">
        <v>0</v>
      </c>
      <c r="CA465" s="2346">
        <v>0</v>
      </c>
      <c r="CB465" s="2346">
        <v>0</v>
      </c>
      <c r="CC465" s="2346">
        <v>0</v>
      </c>
      <c r="CD465" s="2346">
        <v>0</v>
      </c>
      <c r="CE465" s="2346">
        <v>0</v>
      </c>
      <c r="CF465" s="2346">
        <v>0</v>
      </c>
      <c r="CG465" s="2346">
        <v>0</v>
      </c>
      <c r="CH465" s="2346">
        <v>0</v>
      </c>
      <c r="CI465" s="2346">
        <v>0</v>
      </c>
      <c r="CJ465" s="2346">
        <v>0</v>
      </c>
      <c r="CK465" s="2346">
        <v>0</v>
      </c>
      <c r="CL465" s="2346">
        <v>0</v>
      </c>
      <c r="CM465" s="2347">
        <v>1450</v>
      </c>
      <c r="CN465" s="2275"/>
      <c r="CO465" s="2275">
        <f>HLOOKUP(CO454,BL455:CL467,9,0)</f>
        <v>0</v>
      </c>
      <c r="CP465" s="2275">
        <f t="shared" si="270"/>
        <v>0</v>
      </c>
      <c r="CQ465" s="2275">
        <v>1250</v>
      </c>
      <c r="CR465" s="2275"/>
      <c r="CS465" s="2275"/>
      <c r="CT465" s="2275"/>
      <c r="CU465" s="2275"/>
      <c r="CV465" s="2275"/>
      <c r="CW465" s="2275"/>
      <c r="CX465" s="2250"/>
      <c r="CY465" s="2250"/>
      <c r="CZ465" s="2250"/>
      <c r="DA465" s="2250"/>
      <c r="DB465" s="2250"/>
      <c r="DC465" s="2250"/>
      <c r="DD465" s="2250"/>
      <c r="DE465" s="2250"/>
      <c r="DF465" s="2250"/>
      <c r="DG465" s="2250"/>
      <c r="DH465" s="2250"/>
      <c r="DI465" s="2250"/>
      <c r="DJ465" s="2250"/>
      <c r="DK465" s="2250"/>
      <c r="DL465" s="2250"/>
      <c r="DM465" s="2250"/>
      <c r="DN465" s="2250"/>
      <c r="DO465" s="53"/>
      <c r="DP465" s="53"/>
      <c r="DS465" s="277"/>
      <c r="DW465" s="1"/>
      <c r="DX465" s="4671"/>
      <c r="DY465" s="2345">
        <v>1450</v>
      </c>
      <c r="DZ465" s="2346">
        <v>0</v>
      </c>
      <c r="EA465" s="2346">
        <v>0</v>
      </c>
      <c r="EB465" s="2346">
        <v>0</v>
      </c>
      <c r="EC465" s="2346">
        <v>0</v>
      </c>
      <c r="ED465" s="2346">
        <v>0</v>
      </c>
      <c r="EE465" s="2346">
        <v>0</v>
      </c>
      <c r="EF465" s="2346">
        <v>0</v>
      </c>
      <c r="EG465" s="2346">
        <v>0</v>
      </c>
      <c r="EH465" s="2346">
        <v>0</v>
      </c>
      <c r="EI465" s="2346">
        <v>0</v>
      </c>
      <c r="EJ465" s="2346">
        <v>0</v>
      </c>
      <c r="EK465" s="2346">
        <v>0</v>
      </c>
      <c r="EL465" s="2346">
        <v>0</v>
      </c>
      <c r="EM465" s="2346">
        <v>0</v>
      </c>
      <c r="EN465" s="2346">
        <v>0</v>
      </c>
      <c r="EO465" s="2346">
        <v>0</v>
      </c>
      <c r="EP465" s="2346">
        <v>0</v>
      </c>
      <c r="EQ465" s="2346">
        <v>0</v>
      </c>
      <c r="ER465" s="2346">
        <v>0</v>
      </c>
      <c r="ES465" s="2346">
        <v>0</v>
      </c>
      <c r="ET465" s="2346">
        <v>0</v>
      </c>
      <c r="EU465" s="2346">
        <v>0</v>
      </c>
      <c r="EV465" s="2346">
        <v>0</v>
      </c>
      <c r="EW465" s="2346">
        <v>0</v>
      </c>
      <c r="EX465" s="2346">
        <v>0</v>
      </c>
      <c r="EY465" s="2346">
        <v>0</v>
      </c>
      <c r="EZ465" s="2346">
        <v>0</v>
      </c>
      <c r="FA465" s="2347">
        <v>1450</v>
      </c>
      <c r="FB465" s="2275"/>
      <c r="FC465" s="2275">
        <f>HLOOKUP(FC454,DZ455:EZ467,9,0)</f>
        <v>0</v>
      </c>
      <c r="FD465" s="2275">
        <f t="shared" si="271"/>
        <v>0</v>
      </c>
      <c r="FE465" s="2275">
        <v>1250</v>
      </c>
      <c r="FF465" s="2275"/>
      <c r="FG465" s="2275"/>
      <c r="FH465" s="2275"/>
      <c r="FI465" s="2275"/>
      <c r="FJ465" s="2275"/>
      <c r="FK465" s="2275"/>
      <c r="FL465" s="2250"/>
      <c r="FM465" s="2250"/>
      <c r="FN465" s="2250"/>
      <c r="FO465" s="2250"/>
      <c r="FP465" s="2250"/>
      <c r="FQ465" s="2250"/>
      <c r="FR465" s="2250"/>
      <c r="FS465" s="2250"/>
      <c r="FT465" s="2250"/>
      <c r="FU465" s="2250"/>
      <c r="FV465" s="2250"/>
      <c r="FW465" s="2250"/>
      <c r="FX465" s="2250"/>
      <c r="FY465" s="2250"/>
      <c r="FZ465" s="2250"/>
      <c r="GA465" s="2250"/>
      <c r="GB465" s="2276"/>
      <c r="GC465" s="2276"/>
      <c r="GD465" s="2250"/>
      <c r="GE465" s="2275"/>
      <c r="GF465" s="4671"/>
      <c r="GG465" s="2345">
        <v>1450</v>
      </c>
      <c r="GH465" s="2346">
        <v>0</v>
      </c>
      <c r="GI465" s="2346">
        <v>0</v>
      </c>
      <c r="GJ465" s="2346">
        <v>0</v>
      </c>
      <c r="GK465" s="2346">
        <v>0</v>
      </c>
      <c r="GL465" s="2346">
        <v>0</v>
      </c>
      <c r="GM465" s="2346">
        <v>0</v>
      </c>
      <c r="GN465" s="2346">
        <v>0</v>
      </c>
      <c r="GO465" s="2346">
        <v>0</v>
      </c>
      <c r="GP465" s="2346">
        <v>0</v>
      </c>
      <c r="GQ465" s="2346">
        <v>0</v>
      </c>
      <c r="GR465" s="2346">
        <v>0</v>
      </c>
      <c r="GS465" s="2346">
        <v>0</v>
      </c>
      <c r="GT465" s="2346">
        <v>0</v>
      </c>
      <c r="GU465" s="2346">
        <v>0</v>
      </c>
      <c r="GV465" s="2346">
        <v>0</v>
      </c>
      <c r="GW465" s="2346">
        <v>0</v>
      </c>
      <c r="GX465" s="2346">
        <v>0</v>
      </c>
      <c r="GY465" s="2346">
        <v>0</v>
      </c>
      <c r="GZ465" s="2346">
        <v>0</v>
      </c>
      <c r="HA465" s="2346">
        <v>0</v>
      </c>
      <c r="HB465" s="2346">
        <v>0</v>
      </c>
      <c r="HC465" s="2346">
        <v>0</v>
      </c>
      <c r="HD465" s="2346">
        <v>0</v>
      </c>
      <c r="HE465" s="2346">
        <v>0</v>
      </c>
      <c r="HF465" s="2346">
        <v>0</v>
      </c>
      <c r="HG465" s="2346">
        <v>0</v>
      </c>
      <c r="HH465" s="2346">
        <v>0</v>
      </c>
      <c r="HI465" s="2347">
        <v>1450</v>
      </c>
      <c r="HJ465" s="2275"/>
      <c r="HK465" s="2275">
        <f>HLOOKUP(HK454,GH455:HH467,9,0)</f>
        <v>0</v>
      </c>
      <c r="HL465" s="2275">
        <f t="shared" si="272"/>
        <v>0</v>
      </c>
      <c r="HM465" s="2275">
        <v>1250</v>
      </c>
      <c r="HN465" s="2275"/>
      <c r="HO465" s="2275"/>
      <c r="HP465" s="2275"/>
      <c r="HQ465" s="2275"/>
      <c r="HR465" s="2275"/>
      <c r="HS465" s="2275"/>
      <c r="HT465" s="2250"/>
      <c r="HU465" s="2250"/>
      <c r="HV465" s="2250"/>
      <c r="HW465" s="2250"/>
      <c r="HX465" s="2250"/>
      <c r="HY465" s="2250"/>
      <c r="HZ465" s="2250"/>
      <c r="IA465" s="2250"/>
      <c r="IB465" s="2250"/>
      <c r="IC465" s="2250"/>
      <c r="ID465" s="2250"/>
      <c r="IE465" s="2250"/>
      <c r="IF465" s="2250"/>
      <c r="IG465" s="2250"/>
      <c r="IH465" s="2250"/>
      <c r="II465" s="2250"/>
      <c r="IJ465" s="2250"/>
      <c r="IK465" s="53"/>
      <c r="IL465" s="53"/>
      <c r="IN465" s="277"/>
      <c r="IO465" s="277"/>
    </row>
    <row r="466" spans="2:249" ht="21.95" customHeight="1">
      <c r="B466" s="2275"/>
      <c r="C466" s="2345">
        <v>1650</v>
      </c>
      <c r="D466" s="2346">
        <v>0</v>
      </c>
      <c r="E466" s="2346">
        <v>0</v>
      </c>
      <c r="F466" s="2346">
        <v>0</v>
      </c>
      <c r="G466" s="2346">
        <v>0</v>
      </c>
      <c r="H466" s="2346">
        <v>0</v>
      </c>
      <c r="I466" s="2346">
        <v>0</v>
      </c>
      <c r="J466" s="2346">
        <v>0</v>
      </c>
      <c r="K466" s="2346">
        <v>0</v>
      </c>
      <c r="L466" s="2346">
        <v>0</v>
      </c>
      <c r="M466" s="2346">
        <v>0</v>
      </c>
      <c r="N466" s="2346">
        <v>0</v>
      </c>
      <c r="O466" s="2346">
        <v>0</v>
      </c>
      <c r="P466" s="2346">
        <v>0</v>
      </c>
      <c r="Q466" s="2346">
        <v>0</v>
      </c>
      <c r="R466" s="2346">
        <v>0</v>
      </c>
      <c r="S466" s="2346">
        <v>0</v>
      </c>
      <c r="T466" s="2346">
        <v>0</v>
      </c>
      <c r="U466" s="2346">
        <v>0</v>
      </c>
      <c r="V466" s="2346">
        <v>0</v>
      </c>
      <c r="W466" s="2346">
        <v>0</v>
      </c>
      <c r="X466" s="2346">
        <v>0</v>
      </c>
      <c r="Y466" s="2346">
        <v>0</v>
      </c>
      <c r="Z466" s="2346">
        <v>0</v>
      </c>
      <c r="AA466" s="2346">
        <v>0</v>
      </c>
      <c r="AB466" s="2346">
        <v>0</v>
      </c>
      <c r="AC466" s="2346">
        <v>0</v>
      </c>
      <c r="AD466" s="2346">
        <v>0</v>
      </c>
      <c r="AE466" s="2347">
        <v>1650</v>
      </c>
      <c r="AF466" s="2275"/>
      <c r="AG466" s="2275">
        <f>HLOOKUP(AG454,D455:AD467,10,0)</f>
        <v>0</v>
      </c>
      <c r="AH466" s="2275">
        <f t="shared" si="269"/>
        <v>0</v>
      </c>
      <c r="AI466" s="2275">
        <v>1450</v>
      </c>
      <c r="AJ466" s="2275"/>
      <c r="AK466" s="2275"/>
      <c r="AL466" s="2275"/>
      <c r="AM466" s="2275"/>
      <c r="AN466" s="2275"/>
      <c r="AO466" s="2275"/>
      <c r="AP466" s="2250"/>
      <c r="AQ466" s="2250"/>
      <c r="AR466" s="2250"/>
      <c r="AS466" s="2250"/>
      <c r="AT466" s="2250"/>
      <c r="AU466" s="2250"/>
      <c r="AV466" s="2250"/>
      <c r="AW466" s="2250"/>
      <c r="AX466" s="2250"/>
      <c r="AY466" s="2250"/>
      <c r="AZ466" s="2250"/>
      <c r="BA466" s="2250"/>
      <c r="BB466" s="2250"/>
      <c r="BC466" s="2250"/>
      <c r="BD466" s="2250"/>
      <c r="BE466" s="2250"/>
      <c r="BF466" s="2276"/>
      <c r="BG466" s="2276"/>
      <c r="BH466" s="2250"/>
      <c r="BI466" s="2275"/>
      <c r="BJ466" s="2275"/>
      <c r="BK466" s="2345">
        <v>1650</v>
      </c>
      <c r="BL466" s="2346">
        <v>0</v>
      </c>
      <c r="BM466" s="2346">
        <v>0</v>
      </c>
      <c r="BN466" s="2346">
        <v>0</v>
      </c>
      <c r="BO466" s="2346">
        <v>0</v>
      </c>
      <c r="BP466" s="2346">
        <v>0</v>
      </c>
      <c r="BQ466" s="2346">
        <v>0</v>
      </c>
      <c r="BR466" s="2346">
        <v>0</v>
      </c>
      <c r="BS466" s="2346">
        <v>0</v>
      </c>
      <c r="BT466" s="2346">
        <v>0</v>
      </c>
      <c r="BU466" s="2346">
        <v>0</v>
      </c>
      <c r="BV466" s="2346">
        <v>0</v>
      </c>
      <c r="BW466" s="2346">
        <v>0</v>
      </c>
      <c r="BX466" s="2346">
        <v>0</v>
      </c>
      <c r="BY466" s="2346">
        <v>0</v>
      </c>
      <c r="BZ466" s="2346">
        <v>0</v>
      </c>
      <c r="CA466" s="2346">
        <v>0</v>
      </c>
      <c r="CB466" s="2346">
        <v>0</v>
      </c>
      <c r="CC466" s="2346">
        <v>0</v>
      </c>
      <c r="CD466" s="2346">
        <v>0</v>
      </c>
      <c r="CE466" s="2346">
        <v>0</v>
      </c>
      <c r="CF466" s="2346">
        <v>0</v>
      </c>
      <c r="CG466" s="2346">
        <v>0</v>
      </c>
      <c r="CH466" s="2346">
        <v>0</v>
      </c>
      <c r="CI466" s="2346">
        <v>0</v>
      </c>
      <c r="CJ466" s="2346">
        <v>0</v>
      </c>
      <c r="CK466" s="2346">
        <v>0</v>
      </c>
      <c r="CL466" s="2346">
        <v>0</v>
      </c>
      <c r="CM466" s="2347">
        <v>1650</v>
      </c>
      <c r="CN466" s="2275"/>
      <c r="CO466" s="2275">
        <f>HLOOKUP(CO454,BL455:CL467,10,0)</f>
        <v>0</v>
      </c>
      <c r="CP466" s="2275">
        <f t="shared" si="270"/>
        <v>0</v>
      </c>
      <c r="CQ466" s="2275">
        <v>1450</v>
      </c>
      <c r="CR466" s="2275"/>
      <c r="CS466" s="2275"/>
      <c r="CT466" s="2275"/>
      <c r="CU466" s="2275"/>
      <c r="CV466" s="2275"/>
      <c r="CW466" s="2275"/>
      <c r="CX466" s="2250"/>
      <c r="CY466" s="2250"/>
      <c r="CZ466" s="2250"/>
      <c r="DA466" s="2250"/>
      <c r="DB466" s="2250"/>
      <c r="DC466" s="2250"/>
      <c r="DD466" s="2250"/>
      <c r="DE466" s="2250"/>
      <c r="DF466" s="2250"/>
      <c r="DG466" s="2250"/>
      <c r="DH466" s="2250"/>
      <c r="DI466" s="2250"/>
      <c r="DJ466" s="2250"/>
      <c r="DK466" s="2250"/>
      <c r="DL466" s="2250"/>
      <c r="DM466" s="2250"/>
      <c r="DN466" s="2250"/>
      <c r="DO466" s="53"/>
      <c r="DP466" s="53"/>
      <c r="DS466" s="277"/>
      <c r="DW466" s="1"/>
      <c r="DX466" s="2275"/>
      <c r="DY466" s="2345">
        <v>1650</v>
      </c>
      <c r="DZ466" s="2346">
        <v>0</v>
      </c>
      <c r="EA466" s="2346">
        <v>0</v>
      </c>
      <c r="EB466" s="2346">
        <v>0</v>
      </c>
      <c r="EC466" s="2346">
        <v>0</v>
      </c>
      <c r="ED466" s="2346">
        <v>0</v>
      </c>
      <c r="EE466" s="2346">
        <v>0</v>
      </c>
      <c r="EF466" s="2346">
        <v>0</v>
      </c>
      <c r="EG466" s="2346">
        <v>0</v>
      </c>
      <c r="EH466" s="2346">
        <v>0</v>
      </c>
      <c r="EI466" s="2346">
        <v>0</v>
      </c>
      <c r="EJ466" s="2346">
        <v>0</v>
      </c>
      <c r="EK466" s="2346">
        <v>0</v>
      </c>
      <c r="EL466" s="2346">
        <v>0</v>
      </c>
      <c r="EM466" s="2346">
        <v>0</v>
      </c>
      <c r="EN466" s="2346">
        <v>0</v>
      </c>
      <c r="EO466" s="2346">
        <v>0</v>
      </c>
      <c r="EP466" s="2346">
        <v>0</v>
      </c>
      <c r="EQ466" s="2346">
        <v>0</v>
      </c>
      <c r="ER466" s="2346">
        <v>0</v>
      </c>
      <c r="ES466" s="2346">
        <v>0</v>
      </c>
      <c r="ET466" s="2346">
        <v>0</v>
      </c>
      <c r="EU466" s="2346">
        <v>0</v>
      </c>
      <c r="EV466" s="2346">
        <v>0</v>
      </c>
      <c r="EW466" s="2346">
        <v>0</v>
      </c>
      <c r="EX466" s="2346">
        <v>0</v>
      </c>
      <c r="EY466" s="2346">
        <v>0</v>
      </c>
      <c r="EZ466" s="2346">
        <v>0</v>
      </c>
      <c r="FA466" s="2347">
        <v>1650</v>
      </c>
      <c r="FB466" s="2275"/>
      <c r="FC466" s="2275">
        <f>HLOOKUP(FC454,DZ455:EZ467,10,0)</f>
        <v>0</v>
      </c>
      <c r="FD466" s="2275">
        <f t="shared" si="271"/>
        <v>0</v>
      </c>
      <c r="FE466" s="2275">
        <v>1450</v>
      </c>
      <c r="FF466" s="2275"/>
      <c r="FG466" s="2275"/>
      <c r="FH466" s="2275"/>
      <c r="FI466" s="2275"/>
      <c r="FJ466" s="2275"/>
      <c r="FK466" s="2275"/>
      <c r="FL466" s="2250"/>
      <c r="FM466" s="2250"/>
      <c r="FN466" s="2250"/>
      <c r="FO466" s="2250"/>
      <c r="FP466" s="2250"/>
      <c r="FQ466" s="2250"/>
      <c r="FR466" s="2250"/>
      <c r="FS466" s="2250"/>
      <c r="FT466" s="2250"/>
      <c r="FU466" s="2250"/>
      <c r="FV466" s="2250"/>
      <c r="FW466" s="2250"/>
      <c r="FX466" s="2250"/>
      <c r="FY466" s="2250"/>
      <c r="FZ466" s="2250"/>
      <c r="GA466" s="2250"/>
      <c r="GB466" s="2276"/>
      <c r="GC466" s="2276"/>
      <c r="GD466" s="2250"/>
      <c r="GE466" s="2275"/>
      <c r="GF466" s="2275"/>
      <c r="GG466" s="2345">
        <v>1650</v>
      </c>
      <c r="GH466" s="2346">
        <v>0</v>
      </c>
      <c r="GI466" s="2346">
        <v>0</v>
      </c>
      <c r="GJ466" s="2346">
        <v>0</v>
      </c>
      <c r="GK466" s="2346">
        <v>0</v>
      </c>
      <c r="GL466" s="2346">
        <v>0</v>
      </c>
      <c r="GM466" s="2346">
        <v>0</v>
      </c>
      <c r="GN466" s="2346">
        <v>0</v>
      </c>
      <c r="GO466" s="2346">
        <v>0</v>
      </c>
      <c r="GP466" s="2346">
        <v>0</v>
      </c>
      <c r="GQ466" s="2346">
        <v>0</v>
      </c>
      <c r="GR466" s="2346">
        <v>0</v>
      </c>
      <c r="GS466" s="2346">
        <v>0</v>
      </c>
      <c r="GT466" s="2346">
        <v>0</v>
      </c>
      <c r="GU466" s="2346">
        <v>0</v>
      </c>
      <c r="GV466" s="2346">
        <v>0</v>
      </c>
      <c r="GW466" s="2346">
        <v>0</v>
      </c>
      <c r="GX466" s="2346">
        <v>0</v>
      </c>
      <c r="GY466" s="2346">
        <v>0</v>
      </c>
      <c r="GZ466" s="2346">
        <v>0</v>
      </c>
      <c r="HA466" s="2346">
        <v>0</v>
      </c>
      <c r="HB466" s="2346">
        <v>0</v>
      </c>
      <c r="HC466" s="2346">
        <v>0</v>
      </c>
      <c r="HD466" s="2346">
        <v>0</v>
      </c>
      <c r="HE466" s="2346">
        <v>0</v>
      </c>
      <c r="HF466" s="2346">
        <v>0</v>
      </c>
      <c r="HG466" s="2346">
        <v>0</v>
      </c>
      <c r="HH466" s="2346">
        <v>0</v>
      </c>
      <c r="HI466" s="2347">
        <v>1650</v>
      </c>
      <c r="HJ466" s="2275"/>
      <c r="HK466" s="2275">
        <f>HLOOKUP(HK454,GH455:HH467,10,0)</f>
        <v>0</v>
      </c>
      <c r="HL466" s="2275">
        <f t="shared" si="272"/>
        <v>0</v>
      </c>
      <c r="HM466" s="2275">
        <v>1450</v>
      </c>
      <c r="HN466" s="2275"/>
      <c r="HO466" s="2275"/>
      <c r="HP466" s="2275"/>
      <c r="HQ466" s="2275"/>
      <c r="HR466" s="2275"/>
      <c r="HS466" s="2275"/>
      <c r="HT466" s="2250"/>
      <c r="HU466" s="2250"/>
      <c r="HV466" s="2250"/>
      <c r="HW466" s="2250"/>
      <c r="HX466" s="2250"/>
      <c r="HY466" s="2250"/>
      <c r="HZ466" s="2250"/>
      <c r="IA466" s="2250"/>
      <c r="IB466" s="2250"/>
      <c r="IC466" s="2250"/>
      <c r="ID466" s="2250"/>
      <c r="IE466" s="2250"/>
      <c r="IF466" s="2250"/>
      <c r="IG466" s="2250"/>
      <c r="IH466" s="2250"/>
      <c r="II466" s="2250"/>
      <c r="IJ466" s="2250"/>
      <c r="IK466" s="53"/>
      <c r="IL466" s="53"/>
      <c r="IN466" s="277"/>
      <c r="IO466" s="277"/>
    </row>
    <row r="467" spans="2:249" ht="21.95" customHeight="1">
      <c r="B467" s="2275"/>
      <c r="C467" s="2345">
        <v>1650</v>
      </c>
      <c r="D467" s="2346">
        <v>0</v>
      </c>
      <c r="E467" s="2346">
        <v>0</v>
      </c>
      <c r="F467" s="2346">
        <v>0</v>
      </c>
      <c r="G467" s="2346">
        <v>0</v>
      </c>
      <c r="H467" s="2346">
        <v>0</v>
      </c>
      <c r="I467" s="2346">
        <v>0</v>
      </c>
      <c r="J467" s="2346">
        <v>0</v>
      </c>
      <c r="K467" s="2346">
        <v>0</v>
      </c>
      <c r="L467" s="2346">
        <v>0</v>
      </c>
      <c r="M467" s="2346">
        <v>0</v>
      </c>
      <c r="N467" s="2346">
        <v>0</v>
      </c>
      <c r="O467" s="2346">
        <v>0</v>
      </c>
      <c r="P467" s="2346">
        <v>0</v>
      </c>
      <c r="Q467" s="2346">
        <v>0</v>
      </c>
      <c r="R467" s="2346">
        <v>0</v>
      </c>
      <c r="S467" s="2346">
        <v>0</v>
      </c>
      <c r="T467" s="2346">
        <v>0</v>
      </c>
      <c r="U467" s="2346">
        <v>0</v>
      </c>
      <c r="V467" s="2346">
        <v>0</v>
      </c>
      <c r="W467" s="2346">
        <v>0</v>
      </c>
      <c r="X467" s="2346">
        <v>0</v>
      </c>
      <c r="Y467" s="2346">
        <v>0</v>
      </c>
      <c r="Z467" s="2346">
        <v>0</v>
      </c>
      <c r="AA467" s="2346">
        <v>0</v>
      </c>
      <c r="AB467" s="2346">
        <v>0</v>
      </c>
      <c r="AC467" s="2346">
        <v>0</v>
      </c>
      <c r="AD467" s="2346">
        <v>0</v>
      </c>
      <c r="AE467" s="2347">
        <v>1650</v>
      </c>
      <c r="AF467" s="2275"/>
      <c r="AG467" s="2275">
        <f>HLOOKUP(AG454,D455:AD467,11,0)</f>
        <v>0</v>
      </c>
      <c r="AH467" s="2275">
        <f t="shared" si="269"/>
        <v>0</v>
      </c>
      <c r="AI467" s="2275">
        <v>1650</v>
      </c>
      <c r="AJ467" s="2275"/>
      <c r="AK467" s="2275"/>
      <c r="AL467" s="2275"/>
      <c r="AM467" s="2275"/>
      <c r="AN467" s="2275"/>
      <c r="AO467" s="2275"/>
      <c r="AP467" s="2250"/>
      <c r="AQ467" s="2250"/>
      <c r="AR467" s="2250"/>
      <c r="AS467" s="2250"/>
      <c r="AT467" s="2250"/>
      <c r="AU467" s="2250"/>
      <c r="AV467" s="2250"/>
      <c r="AW467" s="2250"/>
      <c r="AX467" s="2250"/>
      <c r="AY467" s="2250"/>
      <c r="AZ467" s="2250"/>
      <c r="BA467" s="2250"/>
      <c r="BB467" s="2250"/>
      <c r="BC467" s="2250"/>
      <c r="BD467" s="2250"/>
      <c r="BE467" s="2250"/>
      <c r="BF467" s="2276"/>
      <c r="BG467" s="2276"/>
      <c r="BH467" s="2250"/>
      <c r="BI467" s="2275"/>
      <c r="BJ467" s="2275"/>
      <c r="BK467" s="2345">
        <v>1650</v>
      </c>
      <c r="BL467" s="2346">
        <v>0</v>
      </c>
      <c r="BM467" s="2346">
        <v>0</v>
      </c>
      <c r="BN467" s="2346">
        <v>0</v>
      </c>
      <c r="BO467" s="2346">
        <v>0</v>
      </c>
      <c r="BP467" s="2346">
        <v>0</v>
      </c>
      <c r="BQ467" s="2346">
        <v>0</v>
      </c>
      <c r="BR467" s="2346">
        <v>0</v>
      </c>
      <c r="BS467" s="2346">
        <v>0</v>
      </c>
      <c r="BT467" s="2346">
        <v>0</v>
      </c>
      <c r="BU467" s="2346">
        <v>0</v>
      </c>
      <c r="BV467" s="2346">
        <v>0</v>
      </c>
      <c r="BW467" s="2346">
        <v>0</v>
      </c>
      <c r="BX467" s="2346">
        <v>0</v>
      </c>
      <c r="BY467" s="2346">
        <v>0</v>
      </c>
      <c r="BZ467" s="2346">
        <v>0</v>
      </c>
      <c r="CA467" s="2346">
        <v>0</v>
      </c>
      <c r="CB467" s="2346">
        <v>0</v>
      </c>
      <c r="CC467" s="2346">
        <v>0</v>
      </c>
      <c r="CD467" s="2346">
        <v>0</v>
      </c>
      <c r="CE467" s="2346">
        <v>0</v>
      </c>
      <c r="CF467" s="2346">
        <v>0</v>
      </c>
      <c r="CG467" s="2346">
        <v>0</v>
      </c>
      <c r="CH467" s="2346">
        <v>0</v>
      </c>
      <c r="CI467" s="2346">
        <v>0</v>
      </c>
      <c r="CJ467" s="2346">
        <v>0</v>
      </c>
      <c r="CK467" s="2346">
        <v>0</v>
      </c>
      <c r="CL467" s="2346">
        <v>0</v>
      </c>
      <c r="CM467" s="2347">
        <v>1650</v>
      </c>
      <c r="CN467" s="2275"/>
      <c r="CO467" s="2275">
        <f>HLOOKUP(CO454,BL455:CL467,11,0)</f>
        <v>0</v>
      </c>
      <c r="CP467" s="2275">
        <f t="shared" si="270"/>
        <v>0</v>
      </c>
      <c r="CQ467" s="2275">
        <v>1650</v>
      </c>
      <c r="CR467" s="2275"/>
      <c r="CS467" s="2275"/>
      <c r="CT467" s="2275"/>
      <c r="CU467" s="2275"/>
      <c r="CV467" s="2275"/>
      <c r="CW467" s="2275"/>
      <c r="CX467" s="2250"/>
      <c r="CY467" s="2250"/>
      <c r="CZ467" s="2250"/>
      <c r="DA467" s="2250"/>
      <c r="DB467" s="2250"/>
      <c r="DC467" s="2250"/>
      <c r="DD467" s="2250"/>
      <c r="DE467" s="2250"/>
      <c r="DF467" s="2250"/>
      <c r="DG467" s="2250"/>
      <c r="DH467" s="2250"/>
      <c r="DI467" s="2250"/>
      <c r="DJ467" s="2250"/>
      <c r="DK467" s="2250"/>
      <c r="DL467" s="2250"/>
      <c r="DM467" s="2250"/>
      <c r="DN467" s="2250"/>
      <c r="DO467" s="53"/>
      <c r="DP467" s="53"/>
      <c r="DS467" s="277"/>
      <c r="DW467" s="1"/>
      <c r="DX467" s="2275"/>
      <c r="DY467" s="2345">
        <v>1650</v>
      </c>
      <c r="DZ467" s="2346">
        <v>0</v>
      </c>
      <c r="EA467" s="2346">
        <v>0</v>
      </c>
      <c r="EB467" s="2346">
        <v>0</v>
      </c>
      <c r="EC467" s="2346">
        <v>0</v>
      </c>
      <c r="ED467" s="2346">
        <v>0</v>
      </c>
      <c r="EE467" s="2346">
        <v>0</v>
      </c>
      <c r="EF467" s="2346">
        <v>0</v>
      </c>
      <c r="EG467" s="2346">
        <v>0</v>
      </c>
      <c r="EH467" s="2346">
        <v>0</v>
      </c>
      <c r="EI467" s="2346">
        <v>0</v>
      </c>
      <c r="EJ467" s="2346">
        <v>0</v>
      </c>
      <c r="EK467" s="2346">
        <v>0</v>
      </c>
      <c r="EL467" s="2346">
        <v>0</v>
      </c>
      <c r="EM467" s="2346">
        <v>0</v>
      </c>
      <c r="EN467" s="2346">
        <v>0</v>
      </c>
      <c r="EO467" s="2346">
        <v>0</v>
      </c>
      <c r="EP467" s="2346">
        <v>0</v>
      </c>
      <c r="EQ467" s="2346">
        <v>0</v>
      </c>
      <c r="ER467" s="2346">
        <v>0</v>
      </c>
      <c r="ES467" s="2346">
        <v>0</v>
      </c>
      <c r="ET467" s="2346">
        <v>0</v>
      </c>
      <c r="EU467" s="2346">
        <v>0</v>
      </c>
      <c r="EV467" s="2346">
        <v>0</v>
      </c>
      <c r="EW467" s="2346">
        <v>0</v>
      </c>
      <c r="EX467" s="2346">
        <v>0</v>
      </c>
      <c r="EY467" s="2346">
        <v>0</v>
      </c>
      <c r="EZ467" s="2346">
        <v>0</v>
      </c>
      <c r="FA467" s="2347">
        <v>1650</v>
      </c>
      <c r="FB467" s="2275"/>
      <c r="FC467" s="2275">
        <f>HLOOKUP(FC454,DZ455:EZ467,11,0)</f>
        <v>0</v>
      </c>
      <c r="FD467" s="2275">
        <f t="shared" si="271"/>
        <v>0</v>
      </c>
      <c r="FE467" s="2275">
        <v>1650</v>
      </c>
      <c r="FF467" s="2275"/>
      <c r="FG467" s="2275"/>
      <c r="FH467" s="2275"/>
      <c r="FI467" s="2275"/>
      <c r="FJ467" s="2275"/>
      <c r="FK467" s="2275"/>
      <c r="FL467" s="2250"/>
      <c r="FM467" s="2250"/>
      <c r="FN467" s="2250"/>
      <c r="FO467" s="2250"/>
      <c r="FP467" s="2250"/>
      <c r="FQ467" s="2250"/>
      <c r="FR467" s="2250"/>
      <c r="FS467" s="2250"/>
      <c r="FT467" s="2250"/>
      <c r="FU467" s="2250"/>
      <c r="FV467" s="2250"/>
      <c r="FW467" s="2250"/>
      <c r="FX467" s="2250"/>
      <c r="FY467" s="2250"/>
      <c r="FZ467" s="2250"/>
      <c r="GA467" s="2250"/>
      <c r="GB467" s="2276"/>
      <c r="GC467" s="2276"/>
      <c r="GD467" s="2250"/>
      <c r="GE467" s="2275"/>
      <c r="GF467" s="2275"/>
      <c r="GG467" s="2345">
        <v>1650</v>
      </c>
      <c r="GH467" s="2346">
        <v>0</v>
      </c>
      <c r="GI467" s="2346">
        <v>0</v>
      </c>
      <c r="GJ467" s="2346">
        <v>0</v>
      </c>
      <c r="GK467" s="2346">
        <v>0</v>
      </c>
      <c r="GL467" s="2346">
        <v>0</v>
      </c>
      <c r="GM467" s="2346">
        <v>0</v>
      </c>
      <c r="GN467" s="2346">
        <v>0</v>
      </c>
      <c r="GO467" s="2346">
        <v>0</v>
      </c>
      <c r="GP467" s="2346">
        <v>0</v>
      </c>
      <c r="GQ467" s="2346">
        <v>0</v>
      </c>
      <c r="GR467" s="2346">
        <v>0</v>
      </c>
      <c r="GS467" s="2346">
        <v>0</v>
      </c>
      <c r="GT467" s="2346">
        <v>0</v>
      </c>
      <c r="GU467" s="2346">
        <v>0</v>
      </c>
      <c r="GV467" s="2346">
        <v>0</v>
      </c>
      <c r="GW467" s="2346">
        <v>0</v>
      </c>
      <c r="GX467" s="2346">
        <v>0</v>
      </c>
      <c r="GY467" s="2346">
        <v>0</v>
      </c>
      <c r="GZ467" s="2346">
        <v>0</v>
      </c>
      <c r="HA467" s="2346">
        <v>0</v>
      </c>
      <c r="HB467" s="2346">
        <v>0</v>
      </c>
      <c r="HC467" s="2346">
        <v>0</v>
      </c>
      <c r="HD467" s="2346">
        <v>0</v>
      </c>
      <c r="HE467" s="2346">
        <v>0</v>
      </c>
      <c r="HF467" s="2346">
        <v>0</v>
      </c>
      <c r="HG467" s="2346">
        <v>0</v>
      </c>
      <c r="HH467" s="2346">
        <v>0</v>
      </c>
      <c r="HI467" s="2347">
        <v>1650</v>
      </c>
      <c r="HJ467" s="2275"/>
      <c r="HK467" s="2275">
        <f>HLOOKUP(HK454,GH455:HH467,11,0)</f>
        <v>0</v>
      </c>
      <c r="HL467" s="2275">
        <f t="shared" si="272"/>
        <v>0</v>
      </c>
      <c r="HM467" s="2275">
        <v>1650</v>
      </c>
      <c r="HN467" s="2275"/>
      <c r="HO467" s="2275"/>
      <c r="HP467" s="2275"/>
      <c r="HQ467" s="2275"/>
      <c r="HR467" s="2275"/>
      <c r="HS467" s="2275"/>
      <c r="HT467" s="2250"/>
      <c r="HU467" s="2250"/>
      <c r="HV467" s="2250"/>
      <c r="HW467" s="2250"/>
      <c r="HX467" s="2250"/>
      <c r="HY467" s="2250"/>
      <c r="HZ467" s="2250"/>
      <c r="IA467" s="2250"/>
      <c r="IB467" s="2250"/>
      <c r="IC467" s="2250"/>
      <c r="ID467" s="2250"/>
      <c r="IE467" s="2250"/>
      <c r="IF467" s="2250"/>
      <c r="IG467" s="2250"/>
      <c r="IH467" s="2250"/>
      <c r="II467" s="2250"/>
      <c r="IJ467" s="2250"/>
      <c r="IK467" s="53"/>
      <c r="IL467" s="53"/>
      <c r="IN467" s="277"/>
      <c r="IO467" s="277"/>
    </row>
    <row r="468" spans="2:249" ht="21.95" customHeight="1">
      <c r="B468" s="2275"/>
      <c r="C468" s="2275"/>
      <c r="D468" s="2275"/>
      <c r="E468" s="2275"/>
      <c r="F468" s="2275"/>
      <c r="G468" s="2275"/>
      <c r="H468" s="2275"/>
      <c r="I468" s="2275"/>
      <c r="J468" s="2275"/>
      <c r="K468" s="2275"/>
      <c r="L468" s="2275"/>
      <c r="M468" s="2275"/>
      <c r="N468" s="2275"/>
      <c r="O468" s="2275"/>
      <c r="P468" s="2275"/>
      <c r="Q468" s="2275"/>
      <c r="R468" s="2275"/>
      <c r="S468" s="2275"/>
      <c r="T468" s="2275"/>
      <c r="U468" s="2275"/>
      <c r="V468" s="2275"/>
      <c r="W468" s="2275"/>
      <c r="X468" s="2275"/>
      <c r="Y468" s="2275"/>
      <c r="Z468" s="2275"/>
      <c r="AA468" s="2275"/>
      <c r="AB468" s="2275"/>
      <c r="AC468" s="2275"/>
      <c r="AD468" s="2275"/>
      <c r="AE468" s="2346"/>
      <c r="AF468" s="2275"/>
      <c r="AG468" s="2275">
        <f>HLOOKUP(AG454,D455:AD467,12,0)</f>
        <v>0</v>
      </c>
      <c r="AH468" s="2275">
        <f t="shared" si="269"/>
        <v>0</v>
      </c>
      <c r="AI468" s="2275">
        <v>1650</v>
      </c>
      <c r="AJ468" s="2275"/>
      <c r="AK468" s="2275"/>
      <c r="AL468" s="2275"/>
      <c r="AM468" s="2275"/>
      <c r="AN468" s="2275"/>
      <c r="AO468" s="2275"/>
      <c r="AP468" s="2250"/>
      <c r="AQ468" s="2250"/>
      <c r="AR468" s="2250"/>
      <c r="AS468" s="2250"/>
      <c r="AT468" s="2250"/>
      <c r="AU468" s="2250"/>
      <c r="AV468" s="2250"/>
      <c r="AW468" s="2250"/>
      <c r="AX468" s="2250"/>
      <c r="AY468" s="2250"/>
      <c r="AZ468" s="2250"/>
      <c r="BA468" s="2250"/>
      <c r="BB468" s="2250"/>
      <c r="BC468" s="2250"/>
      <c r="BD468" s="2250"/>
      <c r="BE468" s="2250"/>
      <c r="BF468" s="2276"/>
      <c r="BG468" s="2276"/>
      <c r="BH468" s="2250"/>
      <c r="BI468" s="2275"/>
      <c r="BJ468" s="2275"/>
      <c r="BK468" s="2275"/>
      <c r="BL468" s="2275"/>
      <c r="BM468" s="2275"/>
      <c r="BN468" s="2275"/>
      <c r="BO468" s="2275"/>
      <c r="BP468" s="2275"/>
      <c r="BQ468" s="2275"/>
      <c r="BR468" s="2275"/>
      <c r="BS468" s="2275"/>
      <c r="BT468" s="2275"/>
      <c r="BU468" s="2275"/>
      <c r="BV468" s="2275"/>
      <c r="BW468" s="2275"/>
      <c r="BX468" s="2275"/>
      <c r="BY468" s="2275"/>
      <c r="BZ468" s="2275"/>
      <c r="CA468" s="2275"/>
      <c r="CB468" s="2275"/>
      <c r="CC468" s="2275"/>
      <c r="CD468" s="2275"/>
      <c r="CE468" s="2275"/>
      <c r="CF468" s="2275"/>
      <c r="CG468" s="2275"/>
      <c r="CH468" s="2275"/>
      <c r="CI468" s="2275"/>
      <c r="CJ468" s="2275"/>
      <c r="CK468" s="2275"/>
      <c r="CL468" s="2275"/>
      <c r="CM468" s="2346"/>
      <c r="CN468" s="2275"/>
      <c r="CO468" s="2275">
        <f>HLOOKUP(CO454,BL455:CL467,12,0)</f>
        <v>0</v>
      </c>
      <c r="CP468" s="2275">
        <f t="shared" si="270"/>
        <v>0</v>
      </c>
      <c r="CQ468" s="2275">
        <v>1650</v>
      </c>
      <c r="CR468" s="2275"/>
      <c r="CS468" s="2275"/>
      <c r="CT468" s="2275"/>
      <c r="CU468" s="2275"/>
      <c r="CV468" s="2275"/>
      <c r="CW468" s="2275"/>
      <c r="CX468" s="2250"/>
      <c r="CY468" s="2250"/>
      <c r="CZ468" s="2250"/>
      <c r="DA468" s="2250"/>
      <c r="DB468" s="2250"/>
      <c r="DC468" s="2250"/>
      <c r="DD468" s="2250"/>
      <c r="DE468" s="2250"/>
      <c r="DF468" s="2250"/>
      <c r="DG468" s="2250"/>
      <c r="DH468" s="2250"/>
      <c r="DI468" s="2250"/>
      <c r="DJ468" s="2250"/>
      <c r="DK468" s="2250"/>
      <c r="DL468" s="2250"/>
      <c r="DM468" s="2250"/>
      <c r="DN468" s="2250"/>
      <c r="DO468" s="53"/>
      <c r="DP468" s="53"/>
      <c r="DS468" s="277"/>
      <c r="DW468" s="1"/>
      <c r="DX468" s="2275"/>
      <c r="DY468" s="2275"/>
      <c r="DZ468" s="2275"/>
      <c r="EA468" s="2275"/>
      <c r="EB468" s="2275"/>
      <c r="EC468" s="2275"/>
      <c r="ED468" s="2275"/>
      <c r="EE468" s="2275"/>
      <c r="EF468" s="2275"/>
      <c r="EG468" s="2275"/>
      <c r="EH468" s="2275"/>
      <c r="EI468" s="2275"/>
      <c r="EJ468" s="2275"/>
      <c r="EK468" s="2275"/>
      <c r="EL468" s="2275"/>
      <c r="EM468" s="2275"/>
      <c r="EN468" s="2275"/>
      <c r="EO468" s="2275"/>
      <c r="EP468" s="2275"/>
      <c r="EQ468" s="2275"/>
      <c r="ER468" s="2275"/>
      <c r="ES468" s="2275"/>
      <c r="ET468" s="2275"/>
      <c r="EU468" s="2275"/>
      <c r="EV468" s="2275"/>
      <c r="EW468" s="2275"/>
      <c r="EX468" s="2275"/>
      <c r="EY468" s="2275"/>
      <c r="EZ468" s="2275"/>
      <c r="FA468" s="2346"/>
      <c r="FB468" s="2275"/>
      <c r="FC468" s="2275">
        <f>HLOOKUP(FC454,DZ455:EZ467,12,0)</f>
        <v>0</v>
      </c>
      <c r="FD468" s="2275">
        <f t="shared" si="271"/>
        <v>0</v>
      </c>
      <c r="FE468" s="2275">
        <v>1650</v>
      </c>
      <c r="FF468" s="2275"/>
      <c r="FG468" s="2275"/>
      <c r="FH468" s="2275"/>
      <c r="FI468" s="2275"/>
      <c r="FJ468" s="2275"/>
      <c r="FK468" s="2275"/>
      <c r="FL468" s="2250"/>
      <c r="FM468" s="2250"/>
      <c r="FN468" s="2250"/>
      <c r="FO468" s="2250"/>
      <c r="FP468" s="2250"/>
      <c r="FQ468" s="2250"/>
      <c r="FR468" s="2250"/>
      <c r="FS468" s="2250"/>
      <c r="FT468" s="2250"/>
      <c r="FU468" s="2250"/>
      <c r="FV468" s="2250"/>
      <c r="FW468" s="2250"/>
      <c r="FX468" s="2250"/>
      <c r="FY468" s="2250"/>
      <c r="FZ468" s="2250"/>
      <c r="GA468" s="2250"/>
      <c r="GB468" s="2276"/>
      <c r="GC468" s="2276"/>
      <c r="GD468" s="2250"/>
      <c r="GE468" s="2275"/>
      <c r="GF468" s="2275"/>
      <c r="GG468" s="2275"/>
      <c r="GH468" s="2275"/>
      <c r="GI468" s="2275"/>
      <c r="GJ468" s="2275"/>
      <c r="GK468" s="2275"/>
      <c r="GL468" s="2275"/>
      <c r="GM468" s="2275"/>
      <c r="GN468" s="2275"/>
      <c r="GO468" s="2275"/>
      <c r="GP468" s="2275"/>
      <c r="GQ468" s="2275"/>
      <c r="GR468" s="2275"/>
      <c r="GS468" s="2275"/>
      <c r="GT468" s="2275"/>
      <c r="GU468" s="2275"/>
      <c r="GV468" s="2275"/>
      <c r="GW468" s="2275"/>
      <c r="GX468" s="2275"/>
      <c r="GY468" s="2275"/>
      <c r="GZ468" s="2275"/>
      <c r="HA468" s="2275"/>
      <c r="HB468" s="2275"/>
      <c r="HC468" s="2275"/>
      <c r="HD468" s="2275"/>
      <c r="HE468" s="2275"/>
      <c r="HF468" s="2275"/>
      <c r="HG468" s="2275"/>
      <c r="HH468" s="2275"/>
      <c r="HI468" s="2346"/>
      <c r="HJ468" s="2275"/>
      <c r="HK468" s="2275">
        <f>HLOOKUP(HK454,GH455:HH467,12,0)</f>
        <v>0</v>
      </c>
      <c r="HL468" s="2275">
        <f t="shared" si="272"/>
        <v>0</v>
      </c>
      <c r="HM468" s="2275">
        <v>1650</v>
      </c>
      <c r="HN468" s="2275"/>
      <c r="HO468" s="2275"/>
      <c r="HP468" s="2275"/>
      <c r="HQ468" s="2275"/>
      <c r="HR468" s="2275"/>
      <c r="HS468" s="2275"/>
      <c r="HT468" s="2250"/>
      <c r="HU468" s="2250"/>
      <c r="HV468" s="2250"/>
      <c r="HW468" s="2250"/>
      <c r="HX468" s="2250"/>
      <c r="HY468" s="2250"/>
      <c r="HZ468" s="2250"/>
      <c r="IA468" s="2250"/>
      <c r="IB468" s="2250"/>
      <c r="IC468" s="2250"/>
      <c r="ID468" s="2250"/>
      <c r="IE468" s="2250"/>
      <c r="IF468" s="2250"/>
      <c r="IG468" s="2250"/>
      <c r="IH468" s="2250"/>
      <c r="II468" s="2250"/>
      <c r="IJ468" s="2250"/>
      <c r="IK468" s="53"/>
      <c r="IL468" s="53"/>
      <c r="IN468" s="277"/>
      <c r="IO468" s="277"/>
    </row>
    <row r="469" spans="2:249" ht="21.95" customHeight="1">
      <c r="B469" s="2275">
        <f>AG454</f>
        <v>68.3</v>
      </c>
      <c r="C469" s="2275">
        <v>0</v>
      </c>
      <c r="D469" s="2275">
        <f>VLOOKUP(B471,C457:AD467,2,0)</f>
        <v>0</v>
      </c>
      <c r="E469" s="2275">
        <f>VLOOKUP(B471,C457:E467,3,0)</f>
        <v>0</v>
      </c>
      <c r="F469" s="2275">
        <f>VLOOKUP(B471,C457:F467,4,0)</f>
        <v>0</v>
      </c>
      <c r="G469" s="2275">
        <f>VLOOKUP(B471,C457:G467,5,0)</f>
        <v>0</v>
      </c>
      <c r="H469" s="2275">
        <f>VLOOKUP(B471,C457:H467,6,0)</f>
        <v>0</v>
      </c>
      <c r="I469" s="2275">
        <f>VLOOKUP(B471,C457:I467,7,0)</f>
        <v>0</v>
      </c>
      <c r="J469" s="2275">
        <f>VLOOKUP(B471,C457:J467,8,0)</f>
        <v>0</v>
      </c>
      <c r="K469" s="2275">
        <f>VLOOKUP(B471,C457:K467,9,0)</f>
        <v>0</v>
      </c>
      <c r="L469" s="2275">
        <f>VLOOKUP(B471,C457:L467,10,0)</f>
        <v>0</v>
      </c>
      <c r="M469" s="2275">
        <f>VLOOKUP(B471,C457:M467,11,0)</f>
        <v>0</v>
      </c>
      <c r="N469" s="2275">
        <f>VLOOKUP(B471,C457:N467,12,0)</f>
        <v>0</v>
      </c>
      <c r="O469" s="2275">
        <f>VLOOKUP(B471,C457:O467,13,0)</f>
        <v>0</v>
      </c>
      <c r="P469" s="2275">
        <f>VLOOKUP(B471,C457:P467,14,0)</f>
        <v>0</v>
      </c>
      <c r="Q469" s="2275">
        <f>VLOOKUP(B471,C457:Q467,15,0)</f>
        <v>0</v>
      </c>
      <c r="R469" s="2275">
        <f>VLOOKUP(B471,C457:R467,16,0)</f>
        <v>0</v>
      </c>
      <c r="S469" s="2275">
        <f>VLOOKUP(B471,C457:S467,17,0)</f>
        <v>0</v>
      </c>
      <c r="T469" s="2275">
        <f>VLOOKUP(B471,C457:T467,18,0)</f>
        <v>0</v>
      </c>
      <c r="U469" s="2275">
        <f>VLOOKUP(B471,C457:U467,19,0)</f>
        <v>0</v>
      </c>
      <c r="V469" s="2275">
        <f>VLOOKUP(B471,C457:V467,20,0)</f>
        <v>0</v>
      </c>
      <c r="W469" s="2275">
        <f>VLOOKUP(B471,C457:W467,21,0)</f>
        <v>0</v>
      </c>
      <c r="X469" s="2275">
        <f>VLOOKUP(B471,C457:X467,22,0)</f>
        <v>0</v>
      </c>
      <c r="Y469" s="2275">
        <f>VLOOKUP(B471,C457:Y467,23,0)</f>
        <v>0</v>
      </c>
      <c r="Z469" s="2275">
        <f>VLOOKUP(B471,C457:Z467,24,0)</f>
        <v>0</v>
      </c>
      <c r="AA469" s="2275">
        <f>VLOOKUP(B471,C457:AA467,25,0)</f>
        <v>0</v>
      </c>
      <c r="AB469" s="2275">
        <f>VLOOKUP(B471,C457:AB467,26,0)</f>
        <v>0</v>
      </c>
      <c r="AC469" s="2275">
        <f>VLOOKUP(B471,C457:AC467,27,0)</f>
        <v>0</v>
      </c>
      <c r="AD469" s="2275">
        <f>VLOOKUP(B471,C457:AD467,28,0)</f>
        <v>0</v>
      </c>
      <c r="AE469" s="2346"/>
      <c r="AF469" s="2275"/>
      <c r="AG469" s="2275">
        <f>HLOOKUP(AG454,D455:AD467,13,0)</f>
        <v>0</v>
      </c>
      <c r="AH469" s="2275"/>
      <c r="AI469" s="2275"/>
      <c r="AJ469" s="2275"/>
      <c r="AK469" s="2275"/>
      <c r="AL469" s="2275"/>
      <c r="AM469" s="2275"/>
      <c r="AN469" s="2275"/>
      <c r="AO469" s="2275"/>
      <c r="AP469" s="2250"/>
      <c r="AQ469" s="2250"/>
      <c r="AR469" s="2250"/>
      <c r="AS469" s="2250"/>
      <c r="AT469" s="2250"/>
      <c r="AU469" s="2250"/>
      <c r="AV469" s="2250"/>
      <c r="AW469" s="2250"/>
      <c r="AX469" s="2250"/>
      <c r="AY469" s="2250"/>
      <c r="AZ469" s="2250"/>
      <c r="BA469" s="2250"/>
      <c r="BB469" s="2250"/>
      <c r="BC469" s="2250"/>
      <c r="BD469" s="2250"/>
      <c r="BE469" s="2250"/>
      <c r="BF469" s="2276"/>
      <c r="BG469" s="2276"/>
      <c r="BH469" s="2250"/>
      <c r="BI469" s="2275"/>
      <c r="BJ469" s="2275">
        <f>CO454</f>
        <v>73.7</v>
      </c>
      <c r="BK469" s="2275">
        <v>0</v>
      </c>
      <c r="BL469" s="2275">
        <f>VLOOKUP(BJ471,BK457:CL467,2,0)</f>
        <v>0</v>
      </c>
      <c r="BM469" s="2275">
        <f>VLOOKUP(BJ471,BK457:BM467,3,0)</f>
        <v>0</v>
      </c>
      <c r="BN469" s="2275">
        <f>VLOOKUP(BJ471,BK457:BN467,4,0)</f>
        <v>0</v>
      </c>
      <c r="BO469" s="2275">
        <f>VLOOKUP(BJ471,BK457:BO467,5,0)</f>
        <v>0</v>
      </c>
      <c r="BP469" s="2275">
        <f>VLOOKUP(BJ471,BK457:BP467,6,0)</f>
        <v>0</v>
      </c>
      <c r="BQ469" s="2275">
        <f>VLOOKUP(BJ471,BK457:BQ467,7,0)</f>
        <v>0</v>
      </c>
      <c r="BR469" s="2275">
        <f>VLOOKUP(BJ471,BK457:BR467,8,0)</f>
        <v>0</v>
      </c>
      <c r="BS469" s="2275">
        <f>VLOOKUP(BJ471,BK457:BS467,9,0)</f>
        <v>0</v>
      </c>
      <c r="BT469" s="2275">
        <f>VLOOKUP(BJ471,BK457:BT467,10,0)</f>
        <v>0</v>
      </c>
      <c r="BU469" s="2275">
        <f>VLOOKUP(BJ471,BK457:BU467,11,0)</f>
        <v>0</v>
      </c>
      <c r="BV469" s="2275">
        <f>VLOOKUP(BJ471,BK457:BV467,12,0)</f>
        <v>0</v>
      </c>
      <c r="BW469" s="2275">
        <f>VLOOKUP(BJ471,BK457:BW467,13,0)</f>
        <v>0</v>
      </c>
      <c r="BX469" s="2275">
        <f>VLOOKUP(BJ471,BK457:BX467,14,0)</f>
        <v>0</v>
      </c>
      <c r="BY469" s="2275">
        <f>VLOOKUP(BJ471,BK457:BY467,15,0)</f>
        <v>0</v>
      </c>
      <c r="BZ469" s="2275">
        <f>VLOOKUP(BJ471,BK457:BZ467,16,0)</f>
        <v>0</v>
      </c>
      <c r="CA469" s="2275">
        <f>VLOOKUP(BJ471,BK457:CA467,17,0)</f>
        <v>0</v>
      </c>
      <c r="CB469" s="2275">
        <f>VLOOKUP(BJ471,BK457:CB467,18,0)</f>
        <v>0</v>
      </c>
      <c r="CC469" s="2275">
        <f>VLOOKUP(BJ471,BK457:CC467,19,0)</f>
        <v>0</v>
      </c>
      <c r="CD469" s="2275">
        <f>VLOOKUP(BJ471,BK457:CD467,20,0)</f>
        <v>0</v>
      </c>
      <c r="CE469" s="2275">
        <f>VLOOKUP(BJ471,BK457:CE467,21,0)</f>
        <v>0</v>
      </c>
      <c r="CF469" s="2275">
        <f>VLOOKUP(BJ471,BK457:CF467,22,0)</f>
        <v>0</v>
      </c>
      <c r="CG469" s="2275">
        <f>VLOOKUP(BJ471,BK457:CG467,23,0)</f>
        <v>0</v>
      </c>
      <c r="CH469" s="2275">
        <f>VLOOKUP(BJ471,BK457:CH467,24,0)</f>
        <v>0</v>
      </c>
      <c r="CI469" s="2275">
        <f>VLOOKUP(BJ471,BK457:CI467,25,0)</f>
        <v>0</v>
      </c>
      <c r="CJ469" s="2275">
        <f>VLOOKUP(BJ471,BK457:CJ467,26,0)</f>
        <v>0</v>
      </c>
      <c r="CK469" s="2275">
        <f>VLOOKUP(BJ471,BK457:CK467,27,0)</f>
        <v>0</v>
      </c>
      <c r="CL469" s="2275">
        <f>VLOOKUP(BJ471,BK457:CL467,28,0)</f>
        <v>0</v>
      </c>
      <c r="CM469" s="2346"/>
      <c r="CN469" s="2275"/>
      <c r="CO469" s="2275">
        <f>HLOOKUP(CO454,BL455:CL467,13,0)</f>
        <v>0</v>
      </c>
      <c r="CP469" s="2275"/>
      <c r="CQ469" s="2275"/>
      <c r="CR469" s="2275"/>
      <c r="CS469" s="2275"/>
      <c r="CT469" s="2275"/>
      <c r="CU469" s="2275"/>
      <c r="CV469" s="2275"/>
      <c r="CW469" s="2275"/>
      <c r="CX469" s="2250"/>
      <c r="CY469" s="2250"/>
      <c r="CZ469" s="2250"/>
      <c r="DA469" s="2250"/>
      <c r="DB469" s="2250"/>
      <c r="DC469" s="2250"/>
      <c r="DD469" s="2250"/>
      <c r="DE469" s="2250"/>
      <c r="DF469" s="2250"/>
      <c r="DG469" s="2250"/>
      <c r="DH469" s="2250"/>
      <c r="DI469" s="2250"/>
      <c r="DJ469" s="2250"/>
      <c r="DK469" s="2250"/>
      <c r="DL469" s="2250"/>
      <c r="DM469" s="2250"/>
      <c r="DN469" s="2250"/>
      <c r="DO469" s="53"/>
      <c r="DP469" s="53"/>
      <c r="DS469" s="277"/>
      <c r="DW469" s="1"/>
      <c r="DX469" s="2275">
        <f>FC454</f>
        <v>43.9</v>
      </c>
      <c r="DY469" s="2275">
        <v>0</v>
      </c>
      <c r="DZ469" s="2275">
        <f>VLOOKUP(DX471,DY457:EZ467,2,0)</f>
        <v>0</v>
      </c>
      <c r="EA469" s="2275">
        <f>VLOOKUP(DX471,DY457:EA467,3,0)</f>
        <v>0</v>
      </c>
      <c r="EB469" s="2275">
        <f>VLOOKUP(DX471,DY457:EB467,4,0)</f>
        <v>0</v>
      </c>
      <c r="EC469" s="2275">
        <f>VLOOKUP(DX471,DY457:EC467,5,0)</f>
        <v>0</v>
      </c>
      <c r="ED469" s="2275">
        <f>VLOOKUP(DX471,DY457:ED467,6,0)</f>
        <v>0</v>
      </c>
      <c r="EE469" s="2275">
        <f>VLOOKUP(DX471,DY457:EE467,7,0)</f>
        <v>0</v>
      </c>
      <c r="EF469" s="2275">
        <f>VLOOKUP(DX471,DY457:EF467,8,0)</f>
        <v>0</v>
      </c>
      <c r="EG469" s="2275">
        <f>VLOOKUP(DX471,DY457:EG467,9,0)</f>
        <v>0</v>
      </c>
      <c r="EH469" s="2275">
        <f>VLOOKUP(DX471,DY457:EH467,10,0)</f>
        <v>0</v>
      </c>
      <c r="EI469" s="2275">
        <f>VLOOKUP(DX471,DY457:EI467,11,0)</f>
        <v>0</v>
      </c>
      <c r="EJ469" s="2275">
        <f>VLOOKUP(DX471,DY457:EJ467,12,0)</f>
        <v>0</v>
      </c>
      <c r="EK469" s="2275">
        <f>VLOOKUP(DX471,DY457:EK467,13,0)</f>
        <v>0</v>
      </c>
      <c r="EL469" s="2275">
        <f>VLOOKUP(DX471,DY457:EL467,14,0)</f>
        <v>0</v>
      </c>
      <c r="EM469" s="2275">
        <f>VLOOKUP(DX471,DY457:EM467,15,0)</f>
        <v>0</v>
      </c>
      <c r="EN469" s="2275">
        <f>VLOOKUP(DX471,DY457:EN467,16,0)</f>
        <v>0</v>
      </c>
      <c r="EO469" s="2275">
        <f>VLOOKUP(DX471,DY457:EO467,17,0)</f>
        <v>0</v>
      </c>
      <c r="EP469" s="2275">
        <f>VLOOKUP(DX471,DY457:EP467,18,0)</f>
        <v>0</v>
      </c>
      <c r="EQ469" s="2275">
        <f>VLOOKUP(DX471,DY457:EQ467,19,0)</f>
        <v>0</v>
      </c>
      <c r="ER469" s="2275">
        <f>VLOOKUP(DX471,DY457:ER467,20,0)</f>
        <v>0</v>
      </c>
      <c r="ES469" s="2275">
        <f>VLOOKUP(DX471,DY457:ES467,21,0)</f>
        <v>0</v>
      </c>
      <c r="ET469" s="2275">
        <f>VLOOKUP(DX471,DY457:ET467,22,0)</f>
        <v>0</v>
      </c>
      <c r="EU469" s="2275">
        <f>VLOOKUP(DX471,DY457:EU467,23,0)</f>
        <v>0</v>
      </c>
      <c r="EV469" s="2275">
        <f>VLOOKUP(DX471,DY457:EV467,24,0)</f>
        <v>0</v>
      </c>
      <c r="EW469" s="2275">
        <f>VLOOKUP(DX471,DY457:EW467,25,0)</f>
        <v>0</v>
      </c>
      <c r="EX469" s="2275">
        <f>VLOOKUP(DX471,DY457:EX467,26,0)</f>
        <v>0</v>
      </c>
      <c r="EY469" s="2275">
        <f>VLOOKUP(DX471,DY457:EY467,27,0)</f>
        <v>0</v>
      </c>
      <c r="EZ469" s="2275">
        <f>VLOOKUP(DX471,DY457:EZ467,28,0)</f>
        <v>0</v>
      </c>
      <c r="FA469" s="2346"/>
      <c r="FB469" s="2275"/>
      <c r="FC469" s="2275">
        <f>HLOOKUP(FC454,DZ455:EZ467,13,0)</f>
        <v>0</v>
      </c>
      <c r="FD469" s="2275"/>
      <c r="FE469" s="2275"/>
      <c r="FF469" s="2275"/>
      <c r="FG469" s="2275"/>
      <c r="FH469" s="2275"/>
      <c r="FI469" s="2275"/>
      <c r="FJ469" s="2275"/>
      <c r="FK469" s="2275"/>
      <c r="FL469" s="2250"/>
      <c r="FM469" s="2250"/>
      <c r="FN469" s="2250"/>
      <c r="FO469" s="2250"/>
      <c r="FP469" s="2250"/>
      <c r="FQ469" s="2250"/>
      <c r="FR469" s="2250"/>
      <c r="FS469" s="2250"/>
      <c r="FT469" s="2250"/>
      <c r="FU469" s="2250"/>
      <c r="FV469" s="2250"/>
      <c r="FW469" s="2250"/>
      <c r="FX469" s="2250"/>
      <c r="FY469" s="2250"/>
      <c r="FZ469" s="2250"/>
      <c r="GA469" s="2250"/>
      <c r="GB469" s="2276"/>
      <c r="GC469" s="2276"/>
      <c r="GD469" s="2250"/>
      <c r="GE469" s="2275"/>
      <c r="GF469" s="2275">
        <f>HK454</f>
        <v>48.8</v>
      </c>
      <c r="GG469" s="2275">
        <v>0</v>
      </c>
      <c r="GH469" s="2275">
        <f>VLOOKUP(GF471,GG457:HH467,2,0)</f>
        <v>0</v>
      </c>
      <c r="GI469" s="2275">
        <f>VLOOKUP(GF471,GG457:GI467,3,0)</f>
        <v>0</v>
      </c>
      <c r="GJ469" s="2275">
        <f>VLOOKUP(GF471,GG457:GJ467,4,0)</f>
        <v>0</v>
      </c>
      <c r="GK469" s="2275">
        <f>VLOOKUP(GF471,GG457:GK467,5,0)</f>
        <v>0</v>
      </c>
      <c r="GL469" s="2275">
        <f>VLOOKUP(GF471,GG457:GL467,6,0)</f>
        <v>0</v>
      </c>
      <c r="GM469" s="2275">
        <f>VLOOKUP(GF471,GG457:GM467,7,0)</f>
        <v>0</v>
      </c>
      <c r="GN469" s="2275">
        <f>VLOOKUP(GF471,GG457:GN467,8,0)</f>
        <v>0</v>
      </c>
      <c r="GO469" s="2275">
        <f>VLOOKUP(GF471,GG457:GO467,9,0)</f>
        <v>0</v>
      </c>
      <c r="GP469" s="2275">
        <f>VLOOKUP(GF471,GG457:GP467,10,0)</f>
        <v>0</v>
      </c>
      <c r="GQ469" s="2275">
        <f>VLOOKUP(GF471,GG457:GQ467,11,0)</f>
        <v>0</v>
      </c>
      <c r="GR469" s="2275">
        <f>VLOOKUP(GF471,GG457:GR467,12,0)</f>
        <v>0</v>
      </c>
      <c r="GS469" s="2275">
        <f>VLOOKUP(GF471,GG457:GS467,13,0)</f>
        <v>0</v>
      </c>
      <c r="GT469" s="2275">
        <f>VLOOKUP(GF471,GG457:GT467,14,0)</f>
        <v>0</v>
      </c>
      <c r="GU469" s="2275">
        <f>VLOOKUP(GF471,GG457:GU467,15,0)</f>
        <v>0</v>
      </c>
      <c r="GV469" s="2275">
        <f>VLOOKUP(GF471,GG457:GV467,16,0)</f>
        <v>0</v>
      </c>
      <c r="GW469" s="2275">
        <f>VLOOKUP(GF471,GG457:GW467,17,0)</f>
        <v>0</v>
      </c>
      <c r="GX469" s="2275">
        <f>VLOOKUP(GF471,GG457:GX467,18,0)</f>
        <v>0</v>
      </c>
      <c r="GY469" s="2275">
        <f>VLOOKUP(GF471,GG457:GY467,19,0)</f>
        <v>0</v>
      </c>
      <c r="GZ469" s="2275">
        <f>VLOOKUP(GF471,GG457:GZ467,20,0)</f>
        <v>0</v>
      </c>
      <c r="HA469" s="2275">
        <f>VLOOKUP(GF471,GG457:HA467,21,0)</f>
        <v>0</v>
      </c>
      <c r="HB469" s="2275">
        <f>VLOOKUP(GF471,GG457:HB467,22,0)</f>
        <v>0</v>
      </c>
      <c r="HC469" s="2275">
        <f>VLOOKUP(GF471,GG457:HC467,23,0)</f>
        <v>0</v>
      </c>
      <c r="HD469" s="2275">
        <f>VLOOKUP(GF471,GG457:HD467,24,0)</f>
        <v>0</v>
      </c>
      <c r="HE469" s="2275">
        <f>VLOOKUP(GF471,GG457:HE467,25,0)</f>
        <v>0</v>
      </c>
      <c r="HF469" s="2275">
        <f>VLOOKUP(GF471,GG457:HF467,26,0)</f>
        <v>0</v>
      </c>
      <c r="HG469" s="2275">
        <f>VLOOKUP(GF471,GG457:HG467,27,0)</f>
        <v>0</v>
      </c>
      <c r="HH469" s="2275">
        <f>VLOOKUP(GF471,GG457:HH467,28,0)</f>
        <v>0</v>
      </c>
      <c r="HI469" s="2346"/>
      <c r="HJ469" s="2275"/>
      <c r="HK469" s="2275">
        <f>HLOOKUP(HK454,GH455:HH467,13,0)</f>
        <v>0</v>
      </c>
      <c r="HL469" s="2275"/>
      <c r="HM469" s="2275"/>
      <c r="HN469" s="2275"/>
      <c r="HO469" s="2275"/>
      <c r="HP469" s="2275"/>
      <c r="HQ469" s="2275"/>
      <c r="HR469" s="2275"/>
      <c r="HS469" s="2275"/>
      <c r="HT469" s="2250"/>
      <c r="HU469" s="2250"/>
      <c r="HV469" s="2250"/>
      <c r="HW469" s="2250"/>
      <c r="HX469" s="2250"/>
      <c r="HY469" s="2250"/>
      <c r="HZ469" s="2250"/>
      <c r="IA469" s="2250"/>
      <c r="IB469" s="2250"/>
      <c r="IC469" s="2250"/>
      <c r="ID469" s="2250"/>
      <c r="IE469" s="2250"/>
      <c r="IF469" s="2250"/>
      <c r="IG469" s="2250"/>
      <c r="IH469" s="2250"/>
      <c r="II469" s="2250"/>
      <c r="IJ469" s="2250"/>
      <c r="IK469" s="53"/>
      <c r="IL469" s="53"/>
      <c r="IN469" s="277"/>
      <c r="IO469" s="277"/>
    </row>
    <row r="470" spans="2:249" ht="21.95" customHeight="1">
      <c r="B470" s="2275">
        <f>AH471</f>
        <v>0</v>
      </c>
      <c r="C470" s="2275"/>
      <c r="D470" s="2275"/>
      <c r="E470" s="2275"/>
      <c r="F470" s="2275"/>
      <c r="G470" s="2275"/>
      <c r="H470" s="2275"/>
      <c r="I470" s="2275"/>
      <c r="J470" s="2275"/>
      <c r="K470" s="2275"/>
      <c r="L470" s="2275"/>
      <c r="M470" s="2275"/>
      <c r="N470" s="2275"/>
      <c r="O470" s="2275"/>
      <c r="P470" s="2275"/>
      <c r="Q470" s="2275"/>
      <c r="R470" s="2275"/>
      <c r="S470" s="2275"/>
      <c r="T470" s="2275"/>
      <c r="U470" s="2275"/>
      <c r="V470" s="2275"/>
      <c r="W470" s="2275"/>
      <c r="X470" s="2275"/>
      <c r="Y470" s="2275"/>
      <c r="Z470" s="2275"/>
      <c r="AA470" s="2275"/>
      <c r="AB470" s="2275"/>
      <c r="AC470" s="2275"/>
      <c r="AD470" s="2275"/>
      <c r="AE470" s="2275"/>
      <c r="AF470" s="2275"/>
      <c r="AG470" s="2275">
        <f>VLOOKUP(AG455,AG457:AG469,1)</f>
        <v>0</v>
      </c>
      <c r="AH470" s="2275">
        <f>IFERROR(VLOOKUP(AG455,AH457:AH467,2,0),0)</f>
        <v>0</v>
      </c>
      <c r="AI470" s="2275"/>
      <c r="AJ470" s="2275"/>
      <c r="AK470" s="2275"/>
      <c r="AL470" s="2275"/>
      <c r="AM470" s="2275"/>
      <c r="AN470" s="2275"/>
      <c r="AO470" s="2275"/>
      <c r="AP470" s="2250"/>
      <c r="AQ470" s="2250"/>
      <c r="AR470" s="2250"/>
      <c r="AS470" s="2250"/>
      <c r="AT470" s="2250"/>
      <c r="AU470" s="2250"/>
      <c r="AV470" s="2250"/>
      <c r="AW470" s="2250"/>
      <c r="AX470" s="2250"/>
      <c r="AY470" s="2250"/>
      <c r="AZ470" s="2250"/>
      <c r="BA470" s="2250"/>
      <c r="BB470" s="2250"/>
      <c r="BC470" s="2250"/>
      <c r="BD470" s="2250"/>
      <c r="BE470" s="2250"/>
      <c r="BF470" s="2276"/>
      <c r="BG470" s="2276"/>
      <c r="BH470" s="2250"/>
      <c r="BI470" s="2275"/>
      <c r="BJ470" s="2275">
        <f>CP471</f>
        <v>0</v>
      </c>
      <c r="BK470" s="2275"/>
      <c r="BL470" s="2275"/>
      <c r="BM470" s="2275"/>
      <c r="BN470" s="2275"/>
      <c r="BO470" s="2275"/>
      <c r="BP470" s="2275"/>
      <c r="BQ470" s="2275"/>
      <c r="BR470" s="2275"/>
      <c r="BS470" s="2275"/>
      <c r="BT470" s="2275"/>
      <c r="BU470" s="2275"/>
      <c r="BV470" s="2275"/>
      <c r="BW470" s="2275"/>
      <c r="BX470" s="2275"/>
      <c r="BY470" s="2275"/>
      <c r="BZ470" s="2275"/>
      <c r="CA470" s="2275"/>
      <c r="CB470" s="2275"/>
      <c r="CC470" s="2275"/>
      <c r="CD470" s="2275"/>
      <c r="CE470" s="2275"/>
      <c r="CF470" s="2275"/>
      <c r="CG470" s="2275"/>
      <c r="CH470" s="2275"/>
      <c r="CI470" s="2275"/>
      <c r="CJ470" s="2275"/>
      <c r="CK470" s="2275"/>
      <c r="CL470" s="2275"/>
      <c r="CM470" s="2275"/>
      <c r="CN470" s="2275"/>
      <c r="CO470" s="2275">
        <f>VLOOKUP(CO455,CO457:CO469,1)</f>
        <v>0</v>
      </c>
      <c r="CP470" s="2275">
        <f>IFERROR(VLOOKUP(CO455,CP457:CP467,2,0),0)</f>
        <v>0</v>
      </c>
      <c r="CQ470" s="2275"/>
      <c r="CR470" s="2275"/>
      <c r="CS470" s="2275"/>
      <c r="CT470" s="2275"/>
      <c r="CU470" s="2275"/>
      <c r="CV470" s="2275"/>
      <c r="CW470" s="2275"/>
      <c r="CX470" s="2250"/>
      <c r="CY470" s="2250"/>
      <c r="CZ470" s="2250"/>
      <c r="DA470" s="2250"/>
      <c r="DB470" s="2250"/>
      <c r="DC470" s="2250"/>
      <c r="DD470" s="2250"/>
      <c r="DE470" s="2250"/>
      <c r="DF470" s="2250"/>
      <c r="DG470" s="2250"/>
      <c r="DH470" s="2250"/>
      <c r="DI470" s="2250"/>
      <c r="DJ470" s="2250"/>
      <c r="DK470" s="2250"/>
      <c r="DL470" s="2250"/>
      <c r="DM470" s="2250"/>
      <c r="DN470" s="2250"/>
      <c r="DO470" s="53"/>
      <c r="DP470" s="53"/>
      <c r="DS470" s="277"/>
      <c r="DW470" s="1"/>
      <c r="DX470" s="2275">
        <f>FD471</f>
        <v>0</v>
      </c>
      <c r="DY470" s="2275"/>
      <c r="DZ470" s="2275"/>
      <c r="EA470" s="2275"/>
      <c r="EB470" s="2275"/>
      <c r="EC470" s="2275"/>
      <c r="ED470" s="2275"/>
      <c r="EE470" s="2275"/>
      <c r="EF470" s="2275"/>
      <c r="EG470" s="2275"/>
      <c r="EH470" s="2275"/>
      <c r="EI470" s="2275"/>
      <c r="EJ470" s="2275"/>
      <c r="EK470" s="2275"/>
      <c r="EL470" s="2275"/>
      <c r="EM470" s="2275"/>
      <c r="EN470" s="2275"/>
      <c r="EO470" s="2275"/>
      <c r="EP470" s="2275"/>
      <c r="EQ470" s="2275"/>
      <c r="ER470" s="2275"/>
      <c r="ES470" s="2275"/>
      <c r="ET470" s="2275"/>
      <c r="EU470" s="2275"/>
      <c r="EV470" s="2275"/>
      <c r="EW470" s="2275"/>
      <c r="EX470" s="2275"/>
      <c r="EY470" s="2275"/>
      <c r="EZ470" s="2275"/>
      <c r="FA470" s="2275"/>
      <c r="FB470" s="2275"/>
      <c r="FC470" s="2275">
        <f>VLOOKUP(FC455,FC457:FC469,1)</f>
        <v>0</v>
      </c>
      <c r="FD470" s="2275">
        <f>IFERROR(VLOOKUP(FC455,FD457:FD467,2,0),0)</f>
        <v>0</v>
      </c>
      <c r="FE470" s="2275"/>
      <c r="FF470" s="2275"/>
      <c r="FG470" s="2275"/>
      <c r="FH470" s="2275"/>
      <c r="FI470" s="2275"/>
      <c r="FJ470" s="2275"/>
      <c r="FK470" s="2275"/>
      <c r="FL470" s="2250"/>
      <c r="FM470" s="2250"/>
      <c r="FN470" s="2250"/>
      <c r="FO470" s="2250"/>
      <c r="FP470" s="2250"/>
      <c r="FQ470" s="2250"/>
      <c r="FR470" s="2250"/>
      <c r="FS470" s="2250"/>
      <c r="FT470" s="2250"/>
      <c r="FU470" s="2250"/>
      <c r="FV470" s="2250"/>
      <c r="FW470" s="2250"/>
      <c r="FX470" s="2250"/>
      <c r="FY470" s="2250"/>
      <c r="FZ470" s="2250"/>
      <c r="GA470" s="2250"/>
      <c r="GB470" s="2276"/>
      <c r="GC470" s="2276"/>
      <c r="GD470" s="2250"/>
      <c r="GE470" s="2275"/>
      <c r="GF470" s="2275">
        <f>HL471</f>
        <v>0</v>
      </c>
      <c r="GG470" s="2275"/>
      <c r="GH470" s="2275"/>
      <c r="GI470" s="2275"/>
      <c r="GJ470" s="2275"/>
      <c r="GK470" s="2275"/>
      <c r="GL470" s="2275"/>
      <c r="GM470" s="2275"/>
      <c r="GN470" s="2275"/>
      <c r="GO470" s="2275"/>
      <c r="GP470" s="2275"/>
      <c r="GQ470" s="2275"/>
      <c r="GR470" s="2275"/>
      <c r="GS470" s="2275"/>
      <c r="GT470" s="2275"/>
      <c r="GU470" s="2275"/>
      <c r="GV470" s="2275"/>
      <c r="GW470" s="2275"/>
      <c r="GX470" s="2275"/>
      <c r="GY470" s="2275"/>
      <c r="GZ470" s="2275"/>
      <c r="HA470" s="2275"/>
      <c r="HB470" s="2275"/>
      <c r="HC470" s="2275"/>
      <c r="HD470" s="2275"/>
      <c r="HE470" s="2275"/>
      <c r="HF470" s="2275"/>
      <c r="HG470" s="2275"/>
      <c r="HH470" s="2275"/>
      <c r="HI470" s="2275"/>
      <c r="HJ470" s="2275"/>
      <c r="HK470" s="2275">
        <f>VLOOKUP(HK455,HK457:HK469,1)</f>
        <v>0</v>
      </c>
      <c r="HL470" s="2275">
        <f>IFERROR(VLOOKUP(HK455,HL457:HL467,2,0),0)</f>
        <v>0</v>
      </c>
      <c r="HM470" s="2275"/>
      <c r="HN470" s="2275"/>
      <c r="HO470" s="2275"/>
      <c r="HP470" s="2275"/>
      <c r="HQ470" s="2275"/>
      <c r="HR470" s="2275"/>
      <c r="HS470" s="2275"/>
      <c r="HT470" s="2250"/>
      <c r="HU470" s="2250"/>
      <c r="HV470" s="2250"/>
      <c r="HW470" s="2250"/>
      <c r="HX470" s="2250"/>
      <c r="HY470" s="2250"/>
      <c r="HZ470" s="2250"/>
      <c r="IA470" s="2250"/>
      <c r="IB470" s="2250"/>
      <c r="IC470" s="2250"/>
      <c r="ID470" s="2250"/>
      <c r="IE470" s="2250"/>
      <c r="IF470" s="2250"/>
      <c r="IG470" s="2250"/>
      <c r="IH470" s="2250"/>
      <c r="II470" s="2250"/>
      <c r="IJ470" s="2250"/>
      <c r="IK470" s="53"/>
      <c r="IL470" s="53"/>
      <c r="IN470" s="277"/>
      <c r="IO470" s="277"/>
    </row>
    <row r="471" spans="2:249" ht="21.95" customHeight="1">
      <c r="B471" s="2346">
        <f>AI471</f>
        <v>475</v>
      </c>
      <c r="C471" s="2346" t="s">
        <v>739</v>
      </c>
      <c r="D471" s="2346">
        <f>HLOOKUP(B469,D455:AD469,15,0)</f>
        <v>0</v>
      </c>
      <c r="E471" s="2346" t="str">
        <f>IF(B470=D471,"Right","Wrong")</f>
        <v>Right</v>
      </c>
      <c r="F471" s="2275"/>
      <c r="G471" s="2275"/>
      <c r="H471" s="2275"/>
      <c r="I471" s="2275"/>
      <c r="J471" s="2275"/>
      <c r="K471" s="2275"/>
      <c r="L471" s="2275"/>
      <c r="M471" s="2275"/>
      <c r="N471" s="2275"/>
      <c r="O471" s="2275"/>
      <c r="P471" s="2275"/>
      <c r="Q471" s="2275"/>
      <c r="R471" s="2275"/>
      <c r="S471" s="2275"/>
      <c r="T471" s="2275"/>
      <c r="U471" s="2275"/>
      <c r="V471" s="2275"/>
      <c r="W471" s="2275"/>
      <c r="X471" s="2275"/>
      <c r="Y471" s="2275"/>
      <c r="Z471" s="2275"/>
      <c r="AA471" s="2275"/>
      <c r="AB471" s="2275"/>
      <c r="AC471" s="2275"/>
      <c r="AD471" s="2275"/>
      <c r="AE471" s="2275"/>
      <c r="AF471" s="2275"/>
      <c r="AG471" s="2275">
        <f>VLOOKUP(AG470,AG457:AH468,2,0)</f>
        <v>0</v>
      </c>
      <c r="AH471" s="2275">
        <f>IF(AH470&gt;0,AH470,AG471)</f>
        <v>0</v>
      </c>
      <c r="AI471" s="2275">
        <f>VLOOKUP(AH471,AH458:AI468,2,0)</f>
        <v>475</v>
      </c>
      <c r="AJ471" s="2275"/>
      <c r="AK471" s="2275"/>
      <c r="AL471" s="2275"/>
      <c r="AM471" s="2275"/>
      <c r="AN471" s="2275"/>
      <c r="AO471" s="2275"/>
      <c r="AP471" s="2250"/>
      <c r="AQ471" s="2250"/>
      <c r="AR471" s="2250"/>
      <c r="AS471" s="2250"/>
      <c r="AT471" s="2250"/>
      <c r="AU471" s="2250"/>
      <c r="AV471" s="2250"/>
      <c r="AW471" s="2250"/>
      <c r="AX471" s="2250"/>
      <c r="AY471" s="2250"/>
      <c r="AZ471" s="2250"/>
      <c r="BA471" s="2250"/>
      <c r="BB471" s="2250"/>
      <c r="BC471" s="2250"/>
      <c r="BD471" s="2250"/>
      <c r="BE471" s="2250"/>
      <c r="BF471" s="2276"/>
      <c r="BG471" s="2276"/>
      <c r="BH471" s="2250"/>
      <c r="BI471" s="2275"/>
      <c r="BJ471" s="2346">
        <f>CQ471</f>
        <v>475</v>
      </c>
      <c r="BK471" s="2346" t="s">
        <v>739</v>
      </c>
      <c r="BL471" s="2346">
        <f>HLOOKUP(BJ469,BL455:CL469,15,0)</f>
        <v>0</v>
      </c>
      <c r="BM471" s="2346" t="str">
        <f>IF(BJ470=BL471,"Right","Wrong")</f>
        <v>Right</v>
      </c>
      <c r="BN471" s="2275"/>
      <c r="BO471" s="2275"/>
      <c r="BP471" s="2275"/>
      <c r="BQ471" s="2275"/>
      <c r="BR471" s="2275"/>
      <c r="BS471" s="2275"/>
      <c r="BT471" s="2275"/>
      <c r="BU471" s="2275"/>
      <c r="BV471" s="2275"/>
      <c r="BW471" s="2275"/>
      <c r="BX471" s="2275"/>
      <c r="BY471" s="2275"/>
      <c r="BZ471" s="2275"/>
      <c r="CA471" s="2275"/>
      <c r="CB471" s="2275"/>
      <c r="CC471" s="2275"/>
      <c r="CD471" s="2275"/>
      <c r="CE471" s="2275"/>
      <c r="CF471" s="2275"/>
      <c r="CG471" s="2275"/>
      <c r="CH471" s="2275"/>
      <c r="CI471" s="2275"/>
      <c r="CJ471" s="2275"/>
      <c r="CK471" s="2275"/>
      <c r="CL471" s="2275"/>
      <c r="CM471" s="2275"/>
      <c r="CN471" s="2275"/>
      <c r="CO471" s="2275">
        <f>VLOOKUP(CO470,CO457:CP468,2,0)</f>
        <v>0</v>
      </c>
      <c r="CP471" s="2275">
        <f>IF(CP470&gt;0,CP470,CO471)</f>
        <v>0</v>
      </c>
      <c r="CQ471" s="2275">
        <f>VLOOKUP(CP471,CP458:CQ468,2,0)</f>
        <v>475</v>
      </c>
      <c r="CR471" s="2275"/>
      <c r="CS471" s="2275"/>
      <c r="CT471" s="2275"/>
      <c r="CU471" s="2275"/>
      <c r="CV471" s="2275"/>
      <c r="CW471" s="2275"/>
      <c r="CX471" s="2250"/>
      <c r="CY471" s="2250"/>
      <c r="CZ471" s="2250"/>
      <c r="DA471" s="2250"/>
      <c r="DB471" s="2250"/>
      <c r="DC471" s="2250"/>
      <c r="DD471" s="2250"/>
      <c r="DE471" s="2250"/>
      <c r="DF471" s="2250"/>
      <c r="DG471" s="2250"/>
      <c r="DH471" s="2250"/>
      <c r="DI471" s="2250"/>
      <c r="DJ471" s="2250"/>
      <c r="DK471" s="2250"/>
      <c r="DL471" s="2250"/>
      <c r="DM471" s="2250"/>
      <c r="DN471" s="2250"/>
      <c r="DO471" s="53"/>
      <c r="DP471" s="53"/>
      <c r="DS471" s="277"/>
      <c r="DW471" s="1"/>
      <c r="DX471" s="2346">
        <f>FE471</f>
        <v>475</v>
      </c>
      <c r="DY471" s="2346" t="s">
        <v>739</v>
      </c>
      <c r="DZ471" s="2346">
        <f>HLOOKUP(DX469,DZ455:EZ469,15,0)</f>
        <v>0</v>
      </c>
      <c r="EA471" s="2346" t="str">
        <f>IF(DX470=DZ471,"Right","Wrong")</f>
        <v>Right</v>
      </c>
      <c r="EB471" s="2275"/>
      <c r="EC471" s="2275"/>
      <c r="ED471" s="2275"/>
      <c r="EE471" s="2275"/>
      <c r="EF471" s="2275"/>
      <c r="EG471" s="2275"/>
      <c r="EH471" s="2275"/>
      <c r="EI471" s="2275"/>
      <c r="EJ471" s="2275"/>
      <c r="EK471" s="2275"/>
      <c r="EL471" s="2275"/>
      <c r="EM471" s="2275"/>
      <c r="EN471" s="2275"/>
      <c r="EO471" s="2275"/>
      <c r="EP471" s="2275"/>
      <c r="EQ471" s="2275"/>
      <c r="ER471" s="2275"/>
      <c r="ES471" s="2275"/>
      <c r="ET471" s="2275"/>
      <c r="EU471" s="2275"/>
      <c r="EV471" s="2275"/>
      <c r="EW471" s="2275"/>
      <c r="EX471" s="2275"/>
      <c r="EY471" s="2275"/>
      <c r="EZ471" s="2275"/>
      <c r="FA471" s="2275"/>
      <c r="FB471" s="2275"/>
      <c r="FC471" s="2275">
        <f>VLOOKUP(FC470,FC457:FD468,2,0)</f>
        <v>0</v>
      </c>
      <c r="FD471" s="2275">
        <f>IF(FD470&gt;0,FD470,FC471)</f>
        <v>0</v>
      </c>
      <c r="FE471" s="2275">
        <f>VLOOKUP(FD471,FD458:FE468,2,0)</f>
        <v>475</v>
      </c>
      <c r="FF471" s="2275"/>
      <c r="FG471" s="2275"/>
      <c r="FH471" s="2275"/>
      <c r="FI471" s="2275"/>
      <c r="FJ471" s="2275"/>
      <c r="FK471" s="2275"/>
      <c r="FL471" s="2250"/>
      <c r="FM471" s="2250"/>
      <c r="FN471" s="2250"/>
      <c r="FO471" s="2250"/>
      <c r="FP471" s="2250"/>
      <c r="FQ471" s="2250"/>
      <c r="FR471" s="2250"/>
      <c r="FS471" s="2250"/>
      <c r="FT471" s="2250"/>
      <c r="FU471" s="2250"/>
      <c r="FV471" s="2250"/>
      <c r="FW471" s="2250"/>
      <c r="FX471" s="2250"/>
      <c r="FY471" s="2250"/>
      <c r="FZ471" s="2250"/>
      <c r="GA471" s="2250"/>
      <c r="GB471" s="2276"/>
      <c r="GC471" s="2276"/>
      <c r="GD471" s="2250"/>
      <c r="GE471" s="2275"/>
      <c r="GF471" s="2346">
        <f>HM471</f>
        <v>475</v>
      </c>
      <c r="GG471" s="2346" t="s">
        <v>739</v>
      </c>
      <c r="GH471" s="2346">
        <f>HLOOKUP(GF469,GH455:HH469,15,0)</f>
        <v>0</v>
      </c>
      <c r="GI471" s="2346" t="str">
        <f>IF(GF470=GH471,"Right","Wrong")</f>
        <v>Right</v>
      </c>
      <c r="GJ471" s="2275"/>
      <c r="GK471" s="2275"/>
      <c r="GL471" s="2275"/>
      <c r="GM471" s="2275"/>
      <c r="GN471" s="2275"/>
      <c r="GO471" s="2275"/>
      <c r="GP471" s="2275"/>
      <c r="GQ471" s="2275"/>
      <c r="GR471" s="2275"/>
      <c r="GS471" s="2275"/>
      <c r="GT471" s="2275"/>
      <c r="GU471" s="2275"/>
      <c r="GV471" s="2275"/>
      <c r="GW471" s="2275"/>
      <c r="GX471" s="2275"/>
      <c r="GY471" s="2275"/>
      <c r="GZ471" s="2275"/>
      <c r="HA471" s="2275"/>
      <c r="HB471" s="2275"/>
      <c r="HC471" s="2275"/>
      <c r="HD471" s="2275"/>
      <c r="HE471" s="2275"/>
      <c r="HF471" s="2275"/>
      <c r="HG471" s="2275"/>
      <c r="HH471" s="2275"/>
      <c r="HI471" s="2275"/>
      <c r="HJ471" s="2275"/>
      <c r="HK471" s="2275">
        <f>VLOOKUP(HK470,HK457:HL468,2,0)</f>
        <v>0</v>
      </c>
      <c r="HL471" s="2275">
        <f>IF(HL470&gt;0,HL470,HK471)</f>
        <v>0</v>
      </c>
      <c r="HM471" s="2275">
        <f>VLOOKUP(HL471,HL458:HM468,2,0)</f>
        <v>475</v>
      </c>
      <c r="HN471" s="2275"/>
      <c r="HO471" s="2275"/>
      <c r="HP471" s="2275"/>
      <c r="HQ471" s="2275"/>
      <c r="HR471" s="2275"/>
      <c r="HS471" s="2275"/>
      <c r="HT471" s="2250"/>
      <c r="HU471" s="2250"/>
      <c r="HV471" s="2250"/>
      <c r="HW471" s="2250"/>
      <c r="HX471" s="2250"/>
      <c r="HY471" s="2250"/>
      <c r="HZ471" s="2250"/>
      <c r="IA471" s="2250"/>
      <c r="IB471" s="2250"/>
      <c r="IC471" s="2250"/>
      <c r="ID471" s="2250"/>
      <c r="IE471" s="2250"/>
      <c r="IF471" s="2250"/>
      <c r="IG471" s="2250"/>
      <c r="IH471" s="2250"/>
      <c r="II471" s="2250"/>
      <c r="IJ471" s="2250"/>
      <c r="IK471" s="53"/>
      <c r="IL471" s="53"/>
      <c r="IN471" s="277"/>
      <c r="IO471" s="277"/>
    </row>
    <row r="472" spans="2:249" ht="21.95" customHeight="1">
      <c r="B472" s="2250"/>
      <c r="C472" s="2275"/>
      <c r="D472" s="2275">
        <f>+IF(B517&lt;=D457,D457,IF(B517&lt;=D458,D458,IF(B517&lt;=D459,D459,IF(B517&lt;=D460,D460,IF(B517&lt;=D461,D461,IF(B517&lt;=D462,D462,IF(B517&lt;=D463,D463,IF(B517&lt;=D464,D464,0))))))))</f>
        <v>0</v>
      </c>
      <c r="E472" s="2275">
        <f>+IF(B517&lt;=E457,E457,IF(B517&lt;=E458,E458,IF(B517&lt;=E459,E459,IF(B517&lt;=E460,E460,IF(B517&lt;=E461,E461,IF(B517&lt;=E462,E462,IF(B517&lt;=E463,E463,IF(B517&lt;=E464,E464,0))))))))</f>
        <v>0</v>
      </c>
      <c r="F472" s="2275">
        <f>+IF(B517&lt;=F457,F457,IF(B517&lt;=F458,F458,IF(B517&lt;=F459,F459,IF(B517&lt;=F460,F460,IF(B517&lt;=F461,F461,IF(B517&lt;=F462,F462,IF(B517&lt;=F463,F463,IF(B517&lt;=F464,F464,0))))))))</f>
        <v>0</v>
      </c>
      <c r="G472" s="2275">
        <f>+IF(B517&lt;=G457,G457,IF(B517&lt;=G458,G458,IF(B517&lt;=G459,G459,IF(B517&lt;=G460,G460,IF(B517&lt;=G461,G461,IF(B517&lt;=G462,G462,IF(B517&lt;=G463,G463,IF(B517&lt;=G464,G464,0))))))))</f>
        <v>0</v>
      </c>
      <c r="H472" s="2275">
        <f>+IF(B517&lt;=H457,H457,IF(B517&lt;=H458,H458,IF(B517&lt;=H459,H459,IF(B517&lt;=H460,H460,IF(B517&lt;=H461,H461,IF(B517&lt;=H462,H462,IF(B517&lt;=H463,H463,IF(B517&lt;=H464,H464,0))))))))</f>
        <v>0</v>
      </c>
      <c r="I472" s="2275">
        <f>+IF(B517&lt;=I457,I457,IF(B517&lt;=I458,I458,IF(B517&lt;=I459,I459,IF(B517&lt;=I460,I460,IF(B517&lt;=I461,I461,IF(B517&lt;=I462,I462,IF(B517&lt;=I463,I463,IF(B517&lt;=I464,I464,0))))))))</f>
        <v>0</v>
      </c>
      <c r="J472" s="2275">
        <f>+IF(B517&lt;=J457,J457,IF(B517&lt;=J458,J458,IF(B517&lt;=J459,J459,IF(B517&lt;=J460,J460,IF(B517&lt;=J461,J461,IF(B517&lt;=J462,J462,IF(B517&lt;=J463,J463,IF(B517&lt;=J464,J464,0))))))))</f>
        <v>0</v>
      </c>
      <c r="K472" s="2275">
        <f>+IF(B517&lt;=K457,K457,IF(B517&lt;=K458,K458,IF(B517&lt;=K459,K459,IF(B517&lt;=K460,K460,IF(B517&lt;=K461,K461,IF(B517&lt;=K462,K462,IF(B517&lt;=K463,K463,IF(B517&lt;=K464,K464,0))))))))</f>
        <v>0</v>
      </c>
      <c r="L472" s="2275">
        <f>+IF(B517&lt;=L457,L457,IF(B517&lt;=L458,L458,IF(B517&lt;=L459,L459,IF(B517&lt;=L460,L460,IF(B517&lt;=L461,L461,IF(B517&lt;=L462,L462,IF(B517&lt;=L463,L463,IF(B517&lt;=L464,L464,0))))))))</f>
        <v>0</v>
      </c>
      <c r="M472" s="2275">
        <f>+IF(B517&lt;=M457,M457,IF(B517&lt;=M458,M458,IF(B517&lt;=M459,M459,IF(B517&lt;=M460,M460,IF(B517&lt;=M461,M461,IF(B517&lt;=M462,M462,IF(B517&lt;=M463,M463,IF(B517&lt;=M464,M464,0))))))))</f>
        <v>0</v>
      </c>
      <c r="N472" s="2275">
        <f>+IF(B517&lt;=N457,N457,IF(B517&lt;=N458,N458,IF(B517&lt;=N459,N459,IF(B517&lt;=N460,N460,IF(B517&lt;=N461,N461,IF(B517&lt;=N462,N462,IF(B517&lt;=N463,N463,IF(B517&lt;=N464,N464,0))))))))</f>
        <v>0</v>
      </c>
      <c r="O472" s="2275">
        <f>+IF(B517&lt;=O457,O457,IF(B517&lt;=O458,O458,IF(B517&lt;=O459,O459,IF(B517&lt;=O460,O460,IF(B517&lt;=O461,O461,IF(B517&lt;=O462,O462,IF(B517&lt;=O463,O463,IF(B517&lt;=O464,O464,0))))))))</f>
        <v>0</v>
      </c>
      <c r="P472" s="2275">
        <f>+IF(B517&lt;=P457,P457,IF(B517&lt;=P458,P458,IF(B517&lt;=P459,P459,IF(B517&lt;=P460,P460,IF(B517&lt;=P461,P461,IF(B517&lt;=P462,P462,IF(B517&lt;=P463,P463,IF(B517&lt;=P464,P464,0))))))))</f>
        <v>0</v>
      </c>
      <c r="Q472" s="2275">
        <f>+IF(B517&lt;=Q457,Q457,IF(B517&lt;=Q458,Q458,IF(B517&lt;=Q459,Q459,IF(B517&lt;=Q460,Q460,IF(B517&lt;=Q461,Q461,IF(B517&lt;=Q462,Q462,IF(B517&lt;=Q463,Q463,IF(B517&lt;=Q464,Q464,0))))))))</f>
        <v>0</v>
      </c>
      <c r="R472" s="2275">
        <f>+IF(B517&lt;=R457,R457,IF(B517&lt;=R458,R458,IF(B517&lt;=R459,R459,IF(B517&lt;=R460,R460,IF(B517&lt;=R461,R461,IF(B517&lt;=R462,R462,IF(B517&lt;=R463,R463,IF(B517&lt;=R464,R464,0))))))))</f>
        <v>0</v>
      </c>
      <c r="S472" s="2275">
        <f>+IF(B517&lt;=S457,S457,IF(B517&lt;=S458,S458,IF(B517&lt;=S459,S459,IF(B517&lt;=S460,S460,IF(B517&lt;=S461,S461,IF(B517&lt;=S462,S462,IF(B517&lt;=S463,S463,IF(B517&lt;=S464,S464,0))))))))</f>
        <v>0</v>
      </c>
      <c r="T472" s="2275">
        <f>+IF(B517&lt;=T457,T457,IF(B517&lt;=T458,T458,IF(B517&lt;=T459,T459,IF(B517&lt;=T460,T460,IF(B517&lt;=T461,T461,IF(B517&lt;=T462,T462,IF(B517&lt;=T463,T463,IF(B517&lt;=T464,T464,0))))))))</f>
        <v>0</v>
      </c>
      <c r="U472" s="2275">
        <f>+IF(B517&lt;=U457,U457,IF(B517&lt;=U458,U458,IF(B517&lt;=U459,U459,IF(B517&lt;=U460,U460,IF(B517&lt;=U461,U461,IF(B517&lt;=U462,U462,IF(B517&lt;=U463,U463,IF(B517&lt;=U464,U464,0))))))))</f>
        <v>0</v>
      </c>
      <c r="V472" s="2275">
        <f>+IF(B517&lt;=V457,V457,IF(B517&lt;=V458,V458,IF(B517&lt;=V459,V459,IF(B517&lt;=V460,V460,IF(B517&lt;=V461,V461,IF(B517&lt;=V462,V462,IF(B517&lt;=V463,V463,IF(B517&lt;=V464,V464,0))))))))</f>
        <v>0</v>
      </c>
      <c r="W472" s="2275">
        <f>+IF(B517&lt;=W457,W457,IF(B517&lt;=W458,W458,IF(B517&lt;=W459,W459,IF(B517&lt;=W460,W460,IF(B517&lt;=W461,W461,IF(B517&lt;=W462,W462,IF(B517&lt;=W463,W463,IF(B517&lt;=W464,W464,0))))))))</f>
        <v>0</v>
      </c>
      <c r="X472" s="2275">
        <f>+IF(B517&lt;=X457,X457,IF(B517&lt;=X458,X458,IF(B517&lt;=X459,X459,IF(B517&lt;=X460,X460,IF(B517&lt;=X461,X461,IF(B517&lt;=X462,X462,IF(B517&lt;=X463,X463,IF(B517&lt;=X464,X464,0))))))))</f>
        <v>0</v>
      </c>
      <c r="Y472" s="2275">
        <f>+IF(B517&lt;=Y457,Y457,IF(B517&lt;=Y458,Y458,IF(B517&lt;=Y459,Y459,IF(B517&lt;=Y460,Y460,IF(B517&lt;=Y461,Y461,IF(B517&lt;=Y462,Y462,IF(B517&lt;=Y463,Y463,IF(B517&lt;=Y464,Y464,0))))))))</f>
        <v>0</v>
      </c>
      <c r="Z472" s="2275">
        <f>+IF(B517&lt;=Z457,Z457,IF(B517&lt;=Z458,Z458,IF(B517&lt;=Z459,Z459,IF(B517&lt;=Z460,Z460,IF(B517&lt;=Z461,Z461,IF(B517&lt;=Z462,Z462,IF(B517&lt;=Z463,Z463,IF(B517&lt;=Z464,Z464,0))))))))</f>
        <v>0</v>
      </c>
      <c r="AA472" s="2275">
        <f>+IF(B517&lt;=AA457,AA457,IF(B517&lt;=AA458,AA458,IF(B517&lt;=AA459,AA459,IF(B517&lt;=AA460,AA460,IF(B517&lt;=AA461,AA461,IF(B517&lt;=AA462,AA462,IF(B517&lt;=AA463,AA463,IF(B517&lt;=AA464,AA464,0))))))))</f>
        <v>0</v>
      </c>
      <c r="AB472" s="2275">
        <f>+IF(B517&lt;=AB457,AB457,IF(B517&lt;=AB458,AB458,IF(B517&lt;=AB459,AB459,IF(B517&lt;=AB460,AB460,IF(B517&lt;=AB461,AB461,IF(B517&lt;=AB462,AB462,IF(B517&lt;=AB463,AB463,IF(B517&lt;=AB464,AB464,0))))))))</f>
        <v>0</v>
      </c>
      <c r="AC472" s="2275">
        <f>+IF(B517&lt;=AC457,AC457,IF(B517&lt;=AC458,AC458,IF(B517&lt;=AC459,AC459,IF(B517&lt;=AC460,AC460,IF(B517&lt;=AC461,AC461,IF(B517&lt;=AC462,AC462,IF(B517&lt;=AC463,AC463,IF(B517&lt;=AC464,AC464,0))))))))</f>
        <v>0</v>
      </c>
      <c r="AD472" s="2275">
        <f>+IF(B517&lt;=AD457,AD457,IF(B517&lt;=AD458,AD458,IF(B517&lt;=AD459,AD459,IF(B517&lt;=AD460,AD460,IF(B517&lt;=AD461,AD461,IF(B517&lt;=AD462,AD462,IF(B517&lt;=AD463,AD463,IF(B517&lt;=AD464,AD464,0))))))))</f>
        <v>0</v>
      </c>
      <c r="AE472" s="2275"/>
      <c r="AF472" s="2275"/>
      <c r="AG472" s="2275"/>
      <c r="AH472" s="2275"/>
      <c r="AI472" s="2275"/>
      <c r="AJ472" s="2275"/>
      <c r="AK472" s="2275"/>
      <c r="AL472" s="2275"/>
      <c r="AM472" s="2275"/>
      <c r="AN472" s="2275"/>
      <c r="AO472" s="2275"/>
      <c r="AP472" s="2250"/>
      <c r="AQ472" s="2250"/>
      <c r="AR472" s="2250"/>
      <c r="AS472" s="2250"/>
      <c r="AT472" s="2250"/>
      <c r="AU472" s="2250"/>
      <c r="AV472" s="2250"/>
      <c r="AW472" s="2250"/>
      <c r="AX472" s="2250"/>
      <c r="AY472" s="2250"/>
      <c r="AZ472" s="2250"/>
      <c r="BA472" s="2250"/>
      <c r="BB472" s="2250"/>
      <c r="BC472" s="2250"/>
      <c r="BD472" s="2250"/>
      <c r="BE472" s="2250"/>
      <c r="BF472" s="2276"/>
      <c r="BG472" s="2276"/>
      <c r="BH472" s="2250"/>
      <c r="BI472" s="2275"/>
      <c r="BJ472" s="2250"/>
      <c r="BK472" s="2275"/>
      <c r="BL472" s="2275">
        <f>+IF(BJ517&lt;=BL457,BL457,IF(BJ517&lt;=BL458,BL458,IF(BJ517&lt;=BL459,BL459,IF(BJ517&lt;=BL460,BL460,IF(BJ517&lt;=BL461,BL461,IF(BJ517&lt;=BL462,BL462,IF(BJ517&lt;=BL463,BL463,IF(BJ517&lt;=BL464,BL464,0))))))))</f>
        <v>0</v>
      </c>
      <c r="BM472" s="2275">
        <f>+IF(BJ517&lt;=BM457,BM457,IF(BJ517&lt;=BM458,BM458,IF(BJ517&lt;=BM459,BM459,IF(BJ517&lt;=BM460,BM460,IF(BJ517&lt;=BM461,BM461,IF(BJ517&lt;=BM462,BM462,IF(BJ517&lt;=BM463,BM463,IF(BJ517&lt;=BM464,BM464,0))))))))</f>
        <v>0</v>
      </c>
      <c r="BN472" s="2275">
        <f>+IF(BJ517&lt;=BN457,BN457,IF(BJ517&lt;=BN458,BN458,IF(BJ517&lt;=BN459,BN459,IF(BJ517&lt;=BN460,BN460,IF(BJ517&lt;=BN461,BN461,IF(BJ517&lt;=BN462,BN462,IF(BJ517&lt;=BN463,BN463,IF(BJ517&lt;=BN464,BN464,0))))))))</f>
        <v>0</v>
      </c>
      <c r="BO472" s="2275">
        <f>+IF(BJ517&lt;=BO457,BO457,IF(BJ517&lt;=BO458,BO458,IF(BJ517&lt;=BO459,BO459,IF(BJ517&lt;=BO460,BO460,IF(BJ517&lt;=BO461,BO461,IF(BJ517&lt;=BO462,BO462,IF(BJ517&lt;=BO463,BO463,IF(BJ517&lt;=BO464,BO464,0))))))))</f>
        <v>0</v>
      </c>
      <c r="BP472" s="2275">
        <f>+IF(BJ517&lt;=BP457,BP457,IF(BJ517&lt;=BP458,BP458,IF(BJ517&lt;=BP459,BP459,IF(BJ517&lt;=BP460,BP460,IF(BJ517&lt;=BP461,BP461,IF(BJ517&lt;=BP462,BP462,IF(BJ517&lt;=BP463,BP463,IF(BJ517&lt;=BP464,BP464,0))))))))</f>
        <v>0</v>
      </c>
      <c r="BQ472" s="2275">
        <f>+IF(BJ517&lt;=BQ457,BQ457,IF(BJ517&lt;=BQ458,BQ458,IF(BJ517&lt;=BQ459,BQ459,IF(BJ517&lt;=BQ460,BQ460,IF(BJ517&lt;=BQ461,BQ461,IF(BJ517&lt;=BQ462,BQ462,IF(BJ517&lt;=BQ463,BQ463,IF(BJ517&lt;=BQ464,BQ464,0))))))))</f>
        <v>0</v>
      </c>
      <c r="BR472" s="2275">
        <f>+IF(BJ517&lt;=BR457,BR457,IF(BJ517&lt;=BR458,BR458,IF(BJ517&lt;=BR459,BR459,IF(BJ517&lt;=BR460,BR460,IF(BJ517&lt;=BR461,BR461,IF(BJ517&lt;=BR462,BR462,IF(BJ517&lt;=BR463,BR463,IF(BJ517&lt;=BR464,BR464,0))))))))</f>
        <v>0</v>
      </c>
      <c r="BS472" s="2275">
        <f>+IF(BJ517&lt;=BS457,BS457,IF(BJ517&lt;=BS458,BS458,IF(BJ517&lt;=BS459,BS459,IF(BJ517&lt;=BS460,BS460,IF(BJ517&lt;=BS461,BS461,IF(BJ517&lt;=BS462,BS462,IF(BJ517&lt;=BS463,BS463,IF(BJ517&lt;=BS464,BS464,0))))))))</f>
        <v>0</v>
      </c>
      <c r="BT472" s="2275">
        <f>+IF(BJ517&lt;=BT457,BT457,IF(BJ517&lt;=BT458,BT458,IF(BJ517&lt;=BT459,BT459,IF(BJ517&lt;=BT460,BT460,IF(BJ517&lt;=BT461,BT461,IF(BJ517&lt;=BT462,BT462,IF(BJ517&lt;=BT463,BT463,IF(BJ517&lt;=BT464,BT464,0))))))))</f>
        <v>0</v>
      </c>
      <c r="BU472" s="2275">
        <f>+IF(BJ517&lt;=BU457,BU457,IF(BJ517&lt;=BU458,BU458,IF(BJ517&lt;=BU459,BU459,IF(BJ517&lt;=BU460,BU460,IF(BJ517&lt;=BU461,BU461,IF(BJ517&lt;=BU462,BU462,IF(BJ517&lt;=BU463,BU463,IF(BJ517&lt;=BU464,BU464,0))))))))</f>
        <v>0</v>
      </c>
      <c r="BV472" s="2275">
        <f>+IF(BJ517&lt;=BV457,BV457,IF(BJ517&lt;=BV458,BV458,IF(BJ517&lt;=BV459,BV459,IF(BJ517&lt;=BV460,BV460,IF(BJ517&lt;=BV461,BV461,IF(BJ517&lt;=BV462,BV462,IF(BJ517&lt;=BV463,BV463,IF(BJ517&lt;=BV464,BV464,0))))))))</f>
        <v>0</v>
      </c>
      <c r="BW472" s="2275">
        <f>+IF(BJ517&lt;=BW457,BW457,IF(BJ517&lt;=BW458,BW458,IF(BJ517&lt;=BW459,BW459,IF(BJ517&lt;=BW460,BW460,IF(BJ517&lt;=BW461,BW461,IF(BJ517&lt;=BW462,BW462,IF(BJ517&lt;=BW463,BW463,IF(BJ517&lt;=BW464,BW464,0))))))))</f>
        <v>0</v>
      </c>
      <c r="BX472" s="2275">
        <f>+IF(BJ517&lt;=BX457,BX457,IF(BJ517&lt;=BX458,BX458,IF(BJ517&lt;=BX459,BX459,IF(BJ517&lt;=BX460,BX460,IF(BJ517&lt;=BX461,BX461,IF(BJ517&lt;=BX462,BX462,IF(BJ517&lt;=BX463,BX463,IF(BJ517&lt;=BX464,BX464,0))))))))</f>
        <v>0</v>
      </c>
      <c r="BY472" s="2275">
        <f>+IF(BJ517&lt;=BY457,BY457,IF(BJ517&lt;=BY458,BY458,IF(BJ517&lt;=BY459,BY459,IF(BJ517&lt;=BY460,BY460,IF(BJ517&lt;=BY461,BY461,IF(BJ517&lt;=BY462,BY462,IF(BJ517&lt;=BY463,BY463,IF(BJ517&lt;=BY464,BY464,0))))))))</f>
        <v>0</v>
      </c>
      <c r="BZ472" s="2275">
        <f>+IF(BJ517&lt;=BZ457,BZ457,IF(BJ517&lt;=BZ458,BZ458,IF(BJ517&lt;=BZ459,BZ459,IF(BJ517&lt;=BZ460,BZ460,IF(BJ517&lt;=BZ461,BZ461,IF(BJ517&lt;=BZ462,BZ462,IF(BJ517&lt;=BZ463,BZ463,IF(BJ517&lt;=BZ464,BZ464,0))))))))</f>
        <v>0</v>
      </c>
      <c r="CA472" s="2275">
        <f>+IF(BJ517&lt;=CA457,CA457,IF(BJ517&lt;=CA458,CA458,IF(BJ517&lt;=CA459,CA459,IF(BJ517&lt;=CA460,CA460,IF(BJ517&lt;=CA461,CA461,IF(BJ517&lt;=CA462,CA462,IF(BJ517&lt;=CA463,CA463,IF(BJ517&lt;=CA464,CA464,0))))))))</f>
        <v>0</v>
      </c>
      <c r="CB472" s="2275">
        <f>+IF(BJ517&lt;=CB457,CB457,IF(BJ517&lt;=CB458,CB458,IF(BJ517&lt;=CB459,CB459,IF(BJ517&lt;=CB460,CB460,IF(BJ517&lt;=CB461,CB461,IF(BJ517&lt;=CB462,CB462,IF(BJ517&lt;=CB463,CB463,IF(BJ517&lt;=CB464,CB464,0))))))))</f>
        <v>0</v>
      </c>
      <c r="CC472" s="2275">
        <f>+IF(BJ517&lt;=CC457,CC457,IF(BJ517&lt;=CC458,CC458,IF(BJ517&lt;=CC459,CC459,IF(BJ517&lt;=CC460,CC460,IF(BJ517&lt;=CC461,CC461,IF(BJ517&lt;=CC462,CC462,IF(BJ517&lt;=CC463,CC463,IF(BJ517&lt;=CC464,CC464,0))))))))</f>
        <v>0</v>
      </c>
      <c r="CD472" s="2275">
        <f>+IF(BJ517&lt;=CD457,CD457,IF(BJ517&lt;=CD458,CD458,IF(BJ517&lt;=CD459,CD459,IF(BJ517&lt;=CD460,CD460,IF(BJ517&lt;=CD461,CD461,IF(BJ517&lt;=CD462,CD462,IF(BJ517&lt;=CD463,CD463,IF(BJ517&lt;=CD464,CD464,0))))))))</f>
        <v>0</v>
      </c>
      <c r="CE472" s="2275">
        <f>+IF(BJ517&lt;=CE457,CE457,IF(BJ517&lt;=CE458,CE458,IF(BJ517&lt;=CE459,CE459,IF(BJ517&lt;=CE460,CE460,IF(BJ517&lt;=CE461,CE461,IF(BJ517&lt;=CE462,CE462,IF(BJ517&lt;=CE463,CE463,IF(BJ517&lt;=CE464,CE464,0))))))))</f>
        <v>0</v>
      </c>
      <c r="CF472" s="2275">
        <f>+IF(BJ517&lt;=CF457,CF457,IF(BJ517&lt;=CF458,CF458,IF(BJ517&lt;=CF459,CF459,IF(BJ517&lt;=CF460,CF460,IF(BJ517&lt;=CF461,CF461,IF(BJ517&lt;=CF462,CF462,IF(BJ517&lt;=CF463,CF463,IF(BJ517&lt;=CF464,CF464,0))))))))</f>
        <v>0</v>
      </c>
      <c r="CG472" s="2275">
        <f>+IF(BJ517&lt;=CG457,CG457,IF(BJ517&lt;=CG458,CG458,IF(BJ517&lt;=CG459,CG459,IF(BJ517&lt;=CG460,CG460,IF(BJ517&lt;=CG461,CG461,IF(BJ517&lt;=CG462,CG462,IF(BJ517&lt;=CG463,CG463,IF(BJ517&lt;=CG464,CG464,0))))))))</f>
        <v>0</v>
      </c>
      <c r="CH472" s="2275">
        <f>+IF(BJ517&lt;=CH457,CH457,IF(BJ517&lt;=CH458,CH458,IF(BJ517&lt;=CH459,CH459,IF(BJ517&lt;=CH460,CH460,IF(BJ517&lt;=CH461,CH461,IF(BJ517&lt;=CH462,CH462,IF(BJ517&lt;=CH463,CH463,IF(BJ517&lt;=CH464,CH464,0))))))))</f>
        <v>0</v>
      </c>
      <c r="CI472" s="2275">
        <f>+IF(BJ517&lt;=CI457,CI457,IF(BJ517&lt;=CI458,CI458,IF(BJ517&lt;=CI459,CI459,IF(BJ517&lt;=CI460,CI460,IF(BJ517&lt;=CI461,CI461,IF(BJ517&lt;=CI462,CI462,IF(BJ517&lt;=CI463,CI463,IF(BJ517&lt;=CI464,CI464,0))))))))</f>
        <v>0</v>
      </c>
      <c r="CJ472" s="2275">
        <f>+IF(BJ517&lt;=CJ457,CJ457,IF(BJ517&lt;=CJ458,CJ458,IF(BJ517&lt;=CJ459,CJ459,IF(BJ517&lt;=CJ460,CJ460,IF(BJ517&lt;=CJ461,CJ461,IF(BJ517&lt;=CJ462,CJ462,IF(BJ517&lt;=CJ463,CJ463,IF(BJ517&lt;=CJ464,CJ464,0))))))))</f>
        <v>0</v>
      </c>
      <c r="CK472" s="2275">
        <f>+IF(BJ517&lt;=CK457,CK457,IF(BJ517&lt;=CK458,CK458,IF(BJ517&lt;=CK459,CK459,IF(BJ517&lt;=CK460,CK460,IF(BJ517&lt;=CK461,CK461,IF(BJ517&lt;=CK462,CK462,IF(BJ517&lt;=CK463,CK463,IF(BJ517&lt;=CK464,CK464,0))))))))</f>
        <v>0</v>
      </c>
      <c r="CL472" s="2275">
        <f>+IF(BJ517&lt;=CL457,CL457,IF(BJ517&lt;=CL458,CL458,IF(BJ517&lt;=CL459,CL459,IF(BJ517&lt;=CL460,CL460,IF(BJ517&lt;=CL461,CL461,IF(BJ517&lt;=CL462,CL462,IF(BJ517&lt;=CL463,CL463,IF(BJ517&lt;=CL464,CL464,0))))))))</f>
        <v>0</v>
      </c>
      <c r="CM472" s="2275"/>
      <c r="CN472" s="2275"/>
      <c r="CO472" s="2275"/>
      <c r="CP472" s="2275"/>
      <c r="CQ472" s="2275"/>
      <c r="CR472" s="2275"/>
      <c r="CS472" s="2275"/>
      <c r="CT472" s="2275"/>
      <c r="CU472" s="2275"/>
      <c r="CV472" s="2275"/>
      <c r="CW472" s="2275"/>
      <c r="CX472" s="2250"/>
      <c r="CY472" s="2250"/>
      <c r="CZ472" s="2250"/>
      <c r="DA472" s="2250"/>
      <c r="DB472" s="2250"/>
      <c r="DC472" s="2250"/>
      <c r="DD472" s="2250"/>
      <c r="DE472" s="2250"/>
      <c r="DF472" s="2250"/>
      <c r="DG472" s="2250"/>
      <c r="DH472" s="2250"/>
      <c r="DI472" s="2250"/>
      <c r="DJ472" s="2250"/>
      <c r="DK472" s="2250"/>
      <c r="DL472" s="2250"/>
      <c r="DM472" s="2250"/>
      <c r="DN472" s="2250"/>
      <c r="DO472" s="53"/>
      <c r="DP472" s="53"/>
      <c r="DS472" s="277"/>
      <c r="DW472" s="1"/>
      <c r="DX472" s="2250"/>
      <c r="DY472" s="2275"/>
      <c r="DZ472" s="2275">
        <f>+IF(DX517&lt;=DZ457,DZ457,IF(DX517&lt;=DZ458,DZ458,IF(DX517&lt;=DZ459,DZ459,IF(DX517&lt;=DZ460,DZ460,IF(DX517&lt;=DZ461,DZ461,IF(DX517&lt;=DZ462,DZ462,IF(DX517&lt;=DZ463,DZ463,IF(DX517&lt;=DZ464,DZ464,0))))))))</f>
        <v>0</v>
      </c>
      <c r="EA472" s="2275">
        <f>+IF(DX517&lt;=EA457,EA457,IF(DX517&lt;=EA458,EA458,IF(DX517&lt;=EA459,EA459,IF(DX517&lt;=EA460,EA460,IF(DX517&lt;=EA461,EA461,IF(DX517&lt;=EA462,EA462,IF(DX517&lt;=EA463,EA463,IF(DX517&lt;=EA464,EA464,0))))))))</f>
        <v>0</v>
      </c>
      <c r="EB472" s="2275">
        <f>+IF(DX517&lt;=EB457,EB457,IF(DX517&lt;=EB458,EB458,IF(DX517&lt;=EB459,EB459,IF(DX517&lt;=EB460,EB460,IF(DX517&lt;=EB461,EB461,IF(DX517&lt;=EB462,EB462,IF(DX517&lt;=EB463,EB463,IF(DX517&lt;=EB464,EB464,0))))))))</f>
        <v>0</v>
      </c>
      <c r="EC472" s="2275">
        <f>+IF(DX517&lt;=EC457,EC457,IF(DX517&lt;=EC458,EC458,IF(DX517&lt;=EC459,EC459,IF(DX517&lt;=EC460,EC460,IF(DX517&lt;=EC461,EC461,IF(DX517&lt;=EC462,EC462,IF(DX517&lt;=EC463,EC463,IF(DX517&lt;=EC464,EC464,0))))))))</f>
        <v>0</v>
      </c>
      <c r="ED472" s="2275">
        <f>+IF(DX517&lt;=ED457,ED457,IF(DX517&lt;=ED458,ED458,IF(DX517&lt;=ED459,ED459,IF(DX517&lt;=ED460,ED460,IF(DX517&lt;=ED461,ED461,IF(DX517&lt;=ED462,ED462,IF(DX517&lt;=ED463,ED463,IF(DX517&lt;=ED464,ED464,0))))))))</f>
        <v>0</v>
      </c>
      <c r="EE472" s="2275">
        <f>+IF(DX517&lt;=EE457,EE457,IF(DX517&lt;=EE458,EE458,IF(DX517&lt;=EE459,EE459,IF(DX517&lt;=EE460,EE460,IF(DX517&lt;=EE461,EE461,IF(DX517&lt;=EE462,EE462,IF(DX517&lt;=EE463,EE463,IF(DX517&lt;=EE464,EE464,0))))))))</f>
        <v>0</v>
      </c>
      <c r="EF472" s="2275">
        <f>+IF(DX517&lt;=EF457,EF457,IF(DX517&lt;=EF458,EF458,IF(DX517&lt;=EF459,EF459,IF(DX517&lt;=EF460,EF460,IF(DX517&lt;=EF461,EF461,IF(DX517&lt;=EF462,EF462,IF(DX517&lt;=EF463,EF463,IF(DX517&lt;=EF464,EF464,0))))))))</f>
        <v>0</v>
      </c>
      <c r="EG472" s="2275">
        <f>+IF(DX517&lt;=EG457,EG457,IF(DX517&lt;=EG458,EG458,IF(DX517&lt;=EG459,EG459,IF(DX517&lt;=EG460,EG460,IF(DX517&lt;=EG461,EG461,IF(DX517&lt;=EG462,EG462,IF(DX517&lt;=EG463,EG463,IF(DX517&lt;=EG464,EG464,0))))))))</f>
        <v>0</v>
      </c>
      <c r="EH472" s="2275">
        <f>+IF(DX517&lt;=EH457,EH457,IF(DX517&lt;=EH458,EH458,IF(DX517&lt;=EH459,EH459,IF(DX517&lt;=EH460,EH460,IF(DX517&lt;=EH461,EH461,IF(DX517&lt;=EH462,EH462,IF(DX517&lt;=EH463,EH463,IF(DX517&lt;=EH464,EH464,0))))))))</f>
        <v>0</v>
      </c>
      <c r="EI472" s="2275">
        <f>+IF(DX517&lt;=EI457,EI457,IF(DX517&lt;=EI458,EI458,IF(DX517&lt;=EI459,EI459,IF(DX517&lt;=EI460,EI460,IF(DX517&lt;=EI461,EI461,IF(DX517&lt;=EI462,EI462,IF(DX517&lt;=EI463,EI463,IF(DX517&lt;=EI464,EI464,0))))))))</f>
        <v>0</v>
      </c>
      <c r="EJ472" s="2275">
        <f>+IF(DX517&lt;=EJ457,EJ457,IF(DX517&lt;=EJ458,EJ458,IF(DX517&lt;=EJ459,EJ459,IF(DX517&lt;=EJ460,EJ460,IF(DX517&lt;=EJ461,EJ461,IF(DX517&lt;=EJ462,EJ462,IF(DX517&lt;=EJ463,EJ463,IF(DX517&lt;=EJ464,EJ464,0))))))))</f>
        <v>0</v>
      </c>
      <c r="EK472" s="2275">
        <f>+IF(DX517&lt;=EK457,EK457,IF(DX517&lt;=EK458,EK458,IF(DX517&lt;=EK459,EK459,IF(DX517&lt;=EK460,EK460,IF(DX517&lt;=EK461,EK461,IF(DX517&lt;=EK462,EK462,IF(DX517&lt;=EK463,EK463,IF(DX517&lt;=EK464,EK464,0))))))))</f>
        <v>0</v>
      </c>
      <c r="EL472" s="2275">
        <f>+IF(DX517&lt;=EL457,EL457,IF(DX517&lt;=EL458,EL458,IF(DX517&lt;=EL459,EL459,IF(DX517&lt;=EL460,EL460,IF(DX517&lt;=EL461,EL461,IF(DX517&lt;=EL462,EL462,IF(DX517&lt;=EL463,EL463,IF(DX517&lt;=EL464,EL464,0))))))))</f>
        <v>0</v>
      </c>
      <c r="EM472" s="2275">
        <f>+IF(DX517&lt;=EM457,EM457,IF(DX517&lt;=EM458,EM458,IF(DX517&lt;=EM459,EM459,IF(DX517&lt;=EM460,EM460,IF(DX517&lt;=EM461,EM461,IF(DX517&lt;=EM462,EM462,IF(DX517&lt;=EM463,EM463,IF(DX517&lt;=EM464,EM464,0))))))))</f>
        <v>0</v>
      </c>
      <c r="EN472" s="2275">
        <f>+IF(DX517&lt;=EN457,EN457,IF(DX517&lt;=EN458,EN458,IF(DX517&lt;=EN459,EN459,IF(DX517&lt;=EN460,EN460,IF(DX517&lt;=EN461,EN461,IF(DX517&lt;=EN462,EN462,IF(DX517&lt;=EN463,EN463,IF(DX517&lt;=EN464,EN464,0))))))))</f>
        <v>0</v>
      </c>
      <c r="EO472" s="2275">
        <f>+IF(DX517&lt;=EO457,EO457,IF(DX517&lt;=EO458,EO458,IF(DX517&lt;=EO459,EO459,IF(DX517&lt;=EO460,EO460,IF(DX517&lt;=EO461,EO461,IF(DX517&lt;=EO462,EO462,IF(DX517&lt;=EO463,EO463,IF(DX517&lt;=EO464,EO464,0))))))))</f>
        <v>0</v>
      </c>
      <c r="EP472" s="2275">
        <f>+IF(DX517&lt;=EP457,EP457,IF(DX517&lt;=EP458,EP458,IF(DX517&lt;=EP459,EP459,IF(DX517&lt;=EP460,EP460,IF(DX517&lt;=EP461,EP461,IF(DX517&lt;=EP462,EP462,IF(DX517&lt;=EP463,EP463,IF(DX517&lt;=EP464,EP464,0))))))))</f>
        <v>0</v>
      </c>
      <c r="EQ472" s="2275">
        <f>+IF(DX517&lt;=EQ457,EQ457,IF(DX517&lt;=EQ458,EQ458,IF(DX517&lt;=EQ459,EQ459,IF(DX517&lt;=EQ460,EQ460,IF(DX517&lt;=EQ461,EQ461,IF(DX517&lt;=EQ462,EQ462,IF(DX517&lt;=EQ463,EQ463,IF(DX517&lt;=EQ464,EQ464,0))))))))</f>
        <v>0</v>
      </c>
      <c r="ER472" s="2275">
        <f>+IF(DX517&lt;=ER457,ER457,IF(DX517&lt;=ER458,ER458,IF(DX517&lt;=ER459,ER459,IF(DX517&lt;=ER460,ER460,IF(DX517&lt;=ER461,ER461,IF(DX517&lt;=ER462,ER462,IF(DX517&lt;=ER463,ER463,IF(DX517&lt;=ER464,ER464,0))))))))</f>
        <v>0</v>
      </c>
      <c r="ES472" s="2275">
        <f>+IF(DX517&lt;=ES457,ES457,IF(DX517&lt;=ES458,ES458,IF(DX517&lt;=ES459,ES459,IF(DX517&lt;=ES460,ES460,IF(DX517&lt;=ES461,ES461,IF(DX517&lt;=ES462,ES462,IF(DX517&lt;=ES463,ES463,IF(DX517&lt;=ES464,ES464,0))))))))</f>
        <v>0</v>
      </c>
      <c r="ET472" s="2275">
        <f>+IF(DX517&lt;=ET457,ET457,IF(DX517&lt;=ET458,ET458,IF(DX517&lt;=ET459,ET459,IF(DX517&lt;=ET460,ET460,IF(DX517&lt;=ET461,ET461,IF(DX517&lt;=ET462,ET462,IF(DX517&lt;=ET463,ET463,IF(DX517&lt;=ET464,ET464,0))))))))</f>
        <v>0</v>
      </c>
      <c r="EU472" s="2275">
        <f>+IF(DX517&lt;=EU457,EU457,IF(DX517&lt;=EU458,EU458,IF(DX517&lt;=EU459,EU459,IF(DX517&lt;=EU460,EU460,IF(DX517&lt;=EU461,EU461,IF(DX517&lt;=EU462,EU462,IF(DX517&lt;=EU463,EU463,IF(DX517&lt;=EU464,EU464,0))))))))</f>
        <v>0</v>
      </c>
      <c r="EV472" s="2275">
        <f>+IF(DX517&lt;=EV457,EV457,IF(DX517&lt;=EV458,EV458,IF(DX517&lt;=EV459,EV459,IF(DX517&lt;=EV460,EV460,IF(DX517&lt;=EV461,EV461,IF(DX517&lt;=EV462,EV462,IF(DX517&lt;=EV463,EV463,IF(DX517&lt;=EV464,EV464,0))))))))</f>
        <v>0</v>
      </c>
      <c r="EW472" s="2275">
        <f>+IF(DX517&lt;=EW457,EW457,IF(DX517&lt;=EW458,EW458,IF(DX517&lt;=EW459,EW459,IF(DX517&lt;=EW460,EW460,IF(DX517&lt;=EW461,EW461,IF(DX517&lt;=EW462,EW462,IF(DX517&lt;=EW463,EW463,IF(DX517&lt;=EW464,EW464,0))))))))</f>
        <v>0</v>
      </c>
      <c r="EX472" s="2275">
        <f>+IF(DX517&lt;=EX457,EX457,IF(DX517&lt;=EX458,EX458,IF(DX517&lt;=EX459,EX459,IF(DX517&lt;=EX460,EX460,IF(DX517&lt;=EX461,EX461,IF(DX517&lt;=EX462,EX462,IF(DX517&lt;=EX463,EX463,IF(DX517&lt;=EX464,EX464,0))))))))</f>
        <v>0</v>
      </c>
      <c r="EY472" s="2275">
        <f>+IF(DX517&lt;=EY457,EY457,IF(DX517&lt;=EY458,EY458,IF(DX517&lt;=EY459,EY459,IF(DX517&lt;=EY460,EY460,IF(DX517&lt;=EY461,EY461,IF(DX517&lt;=EY462,EY462,IF(DX517&lt;=EY463,EY463,IF(DX517&lt;=EY464,EY464,0))))))))</f>
        <v>0</v>
      </c>
      <c r="EZ472" s="2275">
        <f>+IF(DX517&lt;=EZ457,EZ457,IF(DX517&lt;=EZ458,EZ458,IF(DX517&lt;=EZ459,EZ459,IF(DX517&lt;=EZ460,EZ460,IF(DX517&lt;=EZ461,EZ461,IF(DX517&lt;=EZ462,EZ462,IF(DX517&lt;=EZ463,EZ463,IF(DX517&lt;=EZ464,EZ464,0))))))))</f>
        <v>0</v>
      </c>
      <c r="FA472" s="2275"/>
      <c r="FB472" s="2275"/>
      <c r="FC472" s="2275"/>
      <c r="FD472" s="2275"/>
      <c r="FE472" s="2275"/>
      <c r="FF472" s="2275"/>
      <c r="FG472" s="2275"/>
      <c r="FH472" s="2275"/>
      <c r="FI472" s="2275"/>
      <c r="FJ472" s="2275"/>
      <c r="FK472" s="2275"/>
      <c r="FL472" s="2250"/>
      <c r="FM472" s="2250"/>
      <c r="FN472" s="2250"/>
      <c r="FO472" s="2250"/>
      <c r="FP472" s="2250"/>
      <c r="FQ472" s="2250"/>
      <c r="FR472" s="2250"/>
      <c r="FS472" s="2250"/>
      <c r="FT472" s="2250"/>
      <c r="FU472" s="2250"/>
      <c r="FV472" s="2250"/>
      <c r="FW472" s="2250"/>
      <c r="FX472" s="2250"/>
      <c r="FY472" s="2250"/>
      <c r="FZ472" s="2250"/>
      <c r="GA472" s="2250"/>
      <c r="GB472" s="2276"/>
      <c r="GC472" s="2276"/>
      <c r="GD472" s="2250"/>
      <c r="GE472" s="2275"/>
      <c r="GF472" s="2250"/>
      <c r="GG472" s="2275"/>
      <c r="GH472" s="2275">
        <f>+IF(GF517&lt;=GH457,GH457,IF(GF517&lt;=GH458,GH458,IF(GF517&lt;=GH459,GH459,IF(GF517&lt;=GH460,GH460,IF(GF517&lt;=GH461,GH461,IF(GF517&lt;=GH462,GH462,IF(GF517&lt;=GH463,GH463,IF(GF517&lt;=GH464,GH464,0))))))))</f>
        <v>0</v>
      </c>
      <c r="GI472" s="2275">
        <f>+IF(GF517&lt;=GI457,GI457,IF(GF517&lt;=GI458,GI458,IF(GF517&lt;=GI459,GI459,IF(GF517&lt;=GI460,GI460,IF(GF517&lt;=GI461,GI461,IF(GF517&lt;=GI462,GI462,IF(GF517&lt;=GI463,GI463,IF(GF517&lt;=GI464,GI464,0))))))))</f>
        <v>0</v>
      </c>
      <c r="GJ472" s="2275">
        <f>+IF(GF517&lt;=GJ457,GJ457,IF(GF517&lt;=GJ458,GJ458,IF(GF517&lt;=GJ459,GJ459,IF(GF517&lt;=GJ460,GJ460,IF(GF517&lt;=GJ461,GJ461,IF(GF517&lt;=GJ462,GJ462,IF(GF517&lt;=GJ463,GJ463,IF(GF517&lt;=GJ464,GJ464,0))))))))</f>
        <v>0</v>
      </c>
      <c r="GK472" s="2275">
        <f>+IF(GF517&lt;=GK457,GK457,IF(GF517&lt;=GK458,GK458,IF(GF517&lt;=GK459,GK459,IF(GF517&lt;=GK460,GK460,IF(GF517&lt;=GK461,GK461,IF(GF517&lt;=GK462,GK462,IF(GF517&lt;=GK463,GK463,IF(GF517&lt;=GK464,GK464,0))))))))</f>
        <v>0</v>
      </c>
      <c r="GL472" s="2275">
        <f>+IF(GF517&lt;=GL457,GL457,IF(GF517&lt;=GL458,GL458,IF(GF517&lt;=GL459,GL459,IF(GF517&lt;=GL460,GL460,IF(GF517&lt;=GL461,GL461,IF(GF517&lt;=GL462,GL462,IF(GF517&lt;=GL463,GL463,IF(GF517&lt;=GL464,GL464,0))))))))</f>
        <v>0</v>
      </c>
      <c r="GM472" s="2275">
        <f>+IF(GF517&lt;=GM457,GM457,IF(GF517&lt;=GM458,GM458,IF(GF517&lt;=GM459,GM459,IF(GF517&lt;=GM460,GM460,IF(GF517&lt;=GM461,GM461,IF(GF517&lt;=GM462,GM462,IF(GF517&lt;=GM463,GM463,IF(GF517&lt;=GM464,GM464,0))))))))</f>
        <v>0</v>
      </c>
      <c r="GN472" s="2275">
        <f>+IF(GF517&lt;=GN457,GN457,IF(GF517&lt;=GN458,GN458,IF(GF517&lt;=GN459,GN459,IF(GF517&lt;=GN460,GN460,IF(GF517&lt;=GN461,GN461,IF(GF517&lt;=GN462,GN462,IF(GF517&lt;=GN463,GN463,IF(GF517&lt;=GN464,GN464,0))))))))</f>
        <v>0</v>
      </c>
      <c r="GO472" s="2275">
        <f>+IF(GF517&lt;=GO457,GO457,IF(GF517&lt;=GO458,GO458,IF(GF517&lt;=GO459,GO459,IF(GF517&lt;=GO460,GO460,IF(GF517&lt;=GO461,GO461,IF(GF517&lt;=GO462,GO462,IF(GF517&lt;=GO463,GO463,IF(GF517&lt;=GO464,GO464,0))))))))</f>
        <v>0</v>
      </c>
      <c r="GP472" s="2275">
        <f>+IF(GF517&lt;=GP457,GP457,IF(GF517&lt;=GP458,GP458,IF(GF517&lt;=GP459,GP459,IF(GF517&lt;=GP460,GP460,IF(GF517&lt;=GP461,GP461,IF(GF517&lt;=GP462,GP462,IF(GF517&lt;=GP463,GP463,IF(GF517&lt;=GP464,GP464,0))))))))</f>
        <v>0</v>
      </c>
      <c r="GQ472" s="2275">
        <f>+IF(GF517&lt;=GQ457,GQ457,IF(GF517&lt;=GQ458,GQ458,IF(GF517&lt;=GQ459,GQ459,IF(GF517&lt;=GQ460,GQ460,IF(GF517&lt;=GQ461,GQ461,IF(GF517&lt;=GQ462,GQ462,IF(GF517&lt;=GQ463,GQ463,IF(GF517&lt;=GQ464,GQ464,0))))))))</f>
        <v>0</v>
      </c>
      <c r="GR472" s="2275">
        <f>+IF(GF517&lt;=GR457,GR457,IF(GF517&lt;=GR458,GR458,IF(GF517&lt;=GR459,GR459,IF(GF517&lt;=GR460,GR460,IF(GF517&lt;=GR461,GR461,IF(GF517&lt;=GR462,GR462,IF(GF517&lt;=GR463,GR463,IF(GF517&lt;=GR464,GR464,0))))))))</f>
        <v>0</v>
      </c>
      <c r="GS472" s="2275">
        <f>+IF(GF517&lt;=GS457,GS457,IF(GF517&lt;=GS458,GS458,IF(GF517&lt;=GS459,GS459,IF(GF517&lt;=GS460,GS460,IF(GF517&lt;=GS461,GS461,IF(GF517&lt;=GS462,GS462,IF(GF517&lt;=GS463,GS463,IF(GF517&lt;=GS464,GS464,0))))))))</f>
        <v>0</v>
      </c>
      <c r="GT472" s="2275">
        <f>+IF(GF517&lt;=GT457,GT457,IF(GF517&lt;=GT458,GT458,IF(GF517&lt;=GT459,GT459,IF(GF517&lt;=GT460,GT460,IF(GF517&lt;=GT461,GT461,IF(GF517&lt;=GT462,GT462,IF(GF517&lt;=GT463,GT463,IF(GF517&lt;=GT464,GT464,0))))))))</f>
        <v>0</v>
      </c>
      <c r="GU472" s="2275">
        <f>+IF(GF517&lt;=GU457,GU457,IF(GF517&lt;=GU458,GU458,IF(GF517&lt;=GU459,GU459,IF(GF517&lt;=GU460,GU460,IF(GF517&lt;=GU461,GU461,IF(GF517&lt;=GU462,GU462,IF(GF517&lt;=GU463,GU463,IF(GF517&lt;=GU464,GU464,0))))))))</f>
        <v>0</v>
      </c>
      <c r="GV472" s="2275">
        <f>+IF(GF517&lt;=GV457,GV457,IF(GF517&lt;=GV458,GV458,IF(GF517&lt;=GV459,GV459,IF(GF517&lt;=GV460,GV460,IF(GF517&lt;=GV461,GV461,IF(GF517&lt;=GV462,GV462,IF(GF517&lt;=GV463,GV463,IF(GF517&lt;=GV464,GV464,0))))))))</f>
        <v>0</v>
      </c>
      <c r="GW472" s="2275">
        <f>+IF(GF517&lt;=GW457,GW457,IF(GF517&lt;=GW458,GW458,IF(GF517&lt;=GW459,GW459,IF(GF517&lt;=GW460,GW460,IF(GF517&lt;=GW461,GW461,IF(GF517&lt;=GW462,GW462,IF(GF517&lt;=GW463,GW463,IF(GF517&lt;=GW464,GW464,0))))))))</f>
        <v>0</v>
      </c>
      <c r="GX472" s="2275">
        <f>+IF(GF517&lt;=GX457,GX457,IF(GF517&lt;=GX458,GX458,IF(GF517&lt;=GX459,GX459,IF(GF517&lt;=GX460,GX460,IF(GF517&lt;=GX461,GX461,IF(GF517&lt;=GX462,GX462,IF(GF517&lt;=GX463,GX463,IF(GF517&lt;=GX464,GX464,0))))))))</f>
        <v>0</v>
      </c>
      <c r="GY472" s="2275">
        <f>+IF(GF517&lt;=GY457,GY457,IF(GF517&lt;=GY458,GY458,IF(GF517&lt;=GY459,GY459,IF(GF517&lt;=GY460,GY460,IF(GF517&lt;=GY461,GY461,IF(GF517&lt;=GY462,GY462,IF(GF517&lt;=GY463,GY463,IF(GF517&lt;=GY464,GY464,0))))))))</f>
        <v>0</v>
      </c>
      <c r="GZ472" s="2275">
        <f>+IF(GF517&lt;=GZ457,GZ457,IF(GF517&lt;=GZ458,GZ458,IF(GF517&lt;=GZ459,GZ459,IF(GF517&lt;=GZ460,GZ460,IF(GF517&lt;=GZ461,GZ461,IF(GF517&lt;=GZ462,GZ462,IF(GF517&lt;=GZ463,GZ463,IF(GF517&lt;=GZ464,GZ464,0))))))))</f>
        <v>0</v>
      </c>
      <c r="HA472" s="2275">
        <f>+IF(GF517&lt;=HA457,HA457,IF(GF517&lt;=HA458,HA458,IF(GF517&lt;=HA459,HA459,IF(GF517&lt;=HA460,HA460,IF(GF517&lt;=HA461,HA461,IF(GF517&lt;=HA462,HA462,IF(GF517&lt;=HA463,HA463,IF(GF517&lt;=HA464,HA464,0))))))))</f>
        <v>0</v>
      </c>
      <c r="HB472" s="2275">
        <f>+IF(GF517&lt;=HB457,HB457,IF(GF517&lt;=HB458,HB458,IF(GF517&lt;=HB459,HB459,IF(GF517&lt;=HB460,HB460,IF(GF517&lt;=HB461,HB461,IF(GF517&lt;=HB462,HB462,IF(GF517&lt;=HB463,HB463,IF(GF517&lt;=HB464,HB464,0))))))))</f>
        <v>0</v>
      </c>
      <c r="HC472" s="2275">
        <f>+IF(GF517&lt;=HC457,HC457,IF(GF517&lt;=HC458,HC458,IF(GF517&lt;=HC459,HC459,IF(GF517&lt;=HC460,HC460,IF(GF517&lt;=HC461,HC461,IF(GF517&lt;=HC462,HC462,IF(GF517&lt;=HC463,HC463,IF(GF517&lt;=HC464,HC464,0))))))))</f>
        <v>0</v>
      </c>
      <c r="HD472" s="2275">
        <f>+IF(GF517&lt;=HD457,HD457,IF(GF517&lt;=HD458,HD458,IF(GF517&lt;=HD459,HD459,IF(GF517&lt;=HD460,HD460,IF(GF517&lt;=HD461,HD461,IF(GF517&lt;=HD462,HD462,IF(GF517&lt;=HD463,HD463,IF(GF517&lt;=HD464,HD464,0))))))))</f>
        <v>0</v>
      </c>
      <c r="HE472" s="2275">
        <f>+IF(GF517&lt;=HE457,HE457,IF(GF517&lt;=HE458,HE458,IF(GF517&lt;=HE459,HE459,IF(GF517&lt;=HE460,HE460,IF(GF517&lt;=HE461,HE461,IF(GF517&lt;=HE462,HE462,IF(GF517&lt;=HE463,HE463,IF(GF517&lt;=HE464,HE464,0))))))))</f>
        <v>0</v>
      </c>
      <c r="HF472" s="2275">
        <f>+IF(GF517&lt;=HF457,HF457,IF(GF517&lt;=HF458,HF458,IF(GF517&lt;=HF459,HF459,IF(GF517&lt;=HF460,HF460,IF(GF517&lt;=HF461,HF461,IF(GF517&lt;=HF462,HF462,IF(GF517&lt;=HF463,HF463,IF(GF517&lt;=HF464,HF464,0))))))))</f>
        <v>0</v>
      </c>
      <c r="HG472" s="2275">
        <f>+IF(GF517&lt;=HG457,HG457,IF(GF517&lt;=HG458,HG458,IF(GF517&lt;=HG459,HG459,IF(GF517&lt;=HG460,HG460,IF(GF517&lt;=HG461,HG461,IF(GF517&lt;=HG462,HG462,IF(GF517&lt;=HG463,HG463,IF(GF517&lt;=HG464,HG464,0))))))))</f>
        <v>0</v>
      </c>
      <c r="HH472" s="2275">
        <f>+IF(GF517&lt;=HH457,HH457,IF(GF517&lt;=HH458,HH458,IF(GF517&lt;=HH459,HH459,IF(GF517&lt;=HH460,HH460,IF(GF517&lt;=HH461,HH461,IF(GF517&lt;=HH462,HH462,IF(GF517&lt;=HH463,HH463,IF(GF517&lt;=HH464,HH464,0))))))))</f>
        <v>0</v>
      </c>
      <c r="HI472" s="2275"/>
      <c r="HJ472" s="2275"/>
      <c r="HK472" s="2275"/>
      <c r="HL472" s="2275"/>
      <c r="HM472" s="2275"/>
      <c r="HN472" s="2275"/>
      <c r="HO472" s="2275"/>
      <c r="HP472" s="2275"/>
      <c r="HQ472" s="2275"/>
      <c r="HR472" s="2275"/>
      <c r="HS472" s="2275"/>
      <c r="HT472" s="2250"/>
      <c r="HU472" s="2250"/>
      <c r="HV472" s="2250"/>
      <c r="HW472" s="2250"/>
      <c r="HX472" s="2250"/>
      <c r="HY472" s="2250"/>
      <c r="HZ472" s="2250"/>
      <c r="IA472" s="2250"/>
      <c r="IB472" s="2250"/>
      <c r="IC472" s="2250"/>
      <c r="ID472" s="2250"/>
      <c r="IE472" s="2250"/>
      <c r="IF472" s="2250"/>
      <c r="IG472" s="2250"/>
      <c r="IH472" s="2250"/>
      <c r="II472" s="2250"/>
      <c r="IJ472" s="2250"/>
      <c r="IK472" s="53"/>
      <c r="IL472" s="53"/>
      <c r="IN472" s="277"/>
      <c r="IO472" s="277"/>
    </row>
    <row r="473" spans="2:249" ht="21.95" customHeight="1">
      <c r="B473" s="2250">
        <f>X372</f>
        <v>0.75631178540277322</v>
      </c>
      <c r="C473" s="2275">
        <f>HLOOKUP(B474,D455:AD475,20,0)</f>
        <v>0</v>
      </c>
      <c r="D473" s="2275">
        <f>+IF(B517&lt;=D465,D465,IF(B517&lt;=D466,D466,IF(B517&lt;=D467,D467,)))</f>
        <v>0</v>
      </c>
      <c r="E473" s="2275">
        <f>+IF(B517&lt;=E465,E465,IF(B517&lt;=E466,E466,IF(B517&lt;=E467,E467,)))</f>
        <v>0</v>
      </c>
      <c r="F473" s="2275">
        <f>+IF(B517&lt;=F465,F465,IF(B517&lt;=F466,F466,IF(B517&lt;=F467,F467,)))</f>
        <v>0</v>
      </c>
      <c r="G473" s="2275">
        <f>+IF(B517&lt;=G465,G465,IF(B517&lt;=G466,G466,IF(B517&lt;=G467,G467,)))</f>
        <v>0</v>
      </c>
      <c r="H473" s="2275">
        <f>+IF(B517&lt;=H465,H465,IF(B517&lt;=H466,H466,IF(B517&lt;=H467,H467,)))</f>
        <v>0</v>
      </c>
      <c r="I473" s="2275">
        <f>+IF(B517&lt;=I465,I465,IF(B517&lt;=I466,I466,IF(B517&lt;=I467,I467,)))</f>
        <v>0</v>
      </c>
      <c r="J473" s="2275">
        <f>+IF(B517&lt;=J465,J465,IF(B517&lt;=J466,J466,IF(B517&lt;=J467,J467,)))</f>
        <v>0</v>
      </c>
      <c r="K473" s="2275">
        <f>+IF(B517&lt;=K465,K465,IF(B517&lt;=K466,K466,IF(B517&lt;=K467,K467,)))</f>
        <v>0</v>
      </c>
      <c r="L473" s="2275">
        <f>+IF(B517&lt;=L465,L465,IF(B517&lt;=L466,L466,IF(B517&lt;=L467,L467,)))</f>
        <v>0</v>
      </c>
      <c r="M473" s="2275">
        <f>+IF(B517&lt;=M465,M465,IF(B517&lt;=M466,M466,IF(B517&lt;=M467,M467,)))</f>
        <v>0</v>
      </c>
      <c r="N473" s="2275">
        <f>+IF(B517&lt;=N465,N465,IF(B517&lt;=N466,N466,IF(B517&lt;=N467,N467,)))</f>
        <v>0</v>
      </c>
      <c r="O473" s="2275">
        <f>+IF(B517&lt;=O465,O465,IF(B517&lt;=O466,O466,IF(B517&lt;=O467,O467,)))</f>
        <v>0</v>
      </c>
      <c r="P473" s="2275">
        <f>+IF(B517&lt;=P465,P465,IF(B517&lt;=P466,P466,IF(B517&lt;=P467,P467,)))</f>
        <v>0</v>
      </c>
      <c r="Q473" s="2275">
        <f>+IF(B517&lt;=Q465,Q465,IF(B517&lt;=Q466,Q466,IF(B517&lt;=Q467,Q467,)))</f>
        <v>0</v>
      </c>
      <c r="R473" s="2275">
        <f>+IF(B517&lt;=R465,R465,IF(B517&lt;=R466,R466,IF(B517&lt;=R467,R467,)))</f>
        <v>0</v>
      </c>
      <c r="S473" s="2275">
        <f>+IF(B517&lt;=S465,S465,IF(B517&lt;=S466,S466,IF(B517&lt;=S467,S467,)))</f>
        <v>0</v>
      </c>
      <c r="T473" s="2275">
        <f>+IF(B517&lt;=T465,T465,IF(B517&lt;=T466,T466,IF(B517&lt;=T467,T467,)))</f>
        <v>0</v>
      </c>
      <c r="U473" s="2275">
        <f>+IF(B517&lt;=U465,U465,IF(B517&lt;=U466,U466,IF(B517&lt;=U467,U467,)))</f>
        <v>0</v>
      </c>
      <c r="V473" s="2275">
        <f>+IF(B517&lt;=V465,V465,IF(B517&lt;=V466,V466,IF(B517&lt;=V467,V467,)))</f>
        <v>0</v>
      </c>
      <c r="W473" s="2275">
        <f>+IF(B517&lt;=W465,W465,IF(B517&lt;=W466,W466,IF(B517&lt;=W467,W467,)))</f>
        <v>0</v>
      </c>
      <c r="X473" s="2275">
        <f>+IF(B517&lt;=X465,X465,IF(B517&lt;=X466,X466,IF(B517&lt;=X467,X467,)))</f>
        <v>0</v>
      </c>
      <c r="Y473" s="2275">
        <f>+IF(B517&lt;=Y465,Y465,IF(B517&lt;=Y466,Y466,IF(B517&lt;=Y467,Y467,)))</f>
        <v>0</v>
      </c>
      <c r="Z473" s="2275">
        <f>+IF(B517&lt;=Z465,Z465,IF(B517&lt;=Z466,Z466,IF(B517&lt;=Z467,Z467,)))</f>
        <v>0</v>
      </c>
      <c r="AA473" s="2275">
        <f>+IF(B517&lt;=AA465,AA465,IF(B517&lt;=AA466,AA466,IF(B517&lt;=AA467,AA467,)))</f>
        <v>0</v>
      </c>
      <c r="AB473" s="2275">
        <f>+IF(B517&lt;=AB465,AB465,IF(B517&lt;=AB466,AB466,IF(B517&lt;=AB467,AB467,)))</f>
        <v>0</v>
      </c>
      <c r="AC473" s="2275">
        <f>+IF(B517&lt;=AC465,AC465,IF(B517&lt;=AC466,AC466,IF(B517&lt;=AC467,AC467,)))</f>
        <v>0</v>
      </c>
      <c r="AD473" s="2275">
        <f>+IF(B517&lt;=AD465,AD465,IF(B517&lt;=AD466,AD466,IF(B517&lt;=AD467,AD467,)))</f>
        <v>0</v>
      </c>
      <c r="AE473" s="2275"/>
      <c r="AF473" s="2275"/>
      <c r="AG473" s="2275"/>
      <c r="AH473" s="2275"/>
      <c r="AI473" s="2275"/>
      <c r="AJ473" s="2275"/>
      <c r="AK473" s="2275"/>
      <c r="AL473" s="2275"/>
      <c r="AM473" s="2275"/>
      <c r="AN473" s="2275"/>
      <c r="AO473" s="2275"/>
      <c r="AP473" s="2250"/>
      <c r="AQ473" s="2250"/>
      <c r="AR473" s="2250"/>
      <c r="AS473" s="2250"/>
      <c r="AT473" s="2250"/>
      <c r="AU473" s="2250"/>
      <c r="AV473" s="2250"/>
      <c r="AW473" s="2250"/>
      <c r="AX473" s="2250"/>
      <c r="AY473" s="2250"/>
      <c r="AZ473" s="2250"/>
      <c r="BA473" s="2250"/>
      <c r="BB473" s="2250"/>
      <c r="BC473" s="2250"/>
      <c r="BD473" s="2250"/>
      <c r="BE473" s="2250"/>
      <c r="BF473" s="2276"/>
      <c r="BG473" s="2276"/>
      <c r="BH473" s="2250"/>
      <c r="BI473" s="2275"/>
      <c r="BJ473" s="2250">
        <f>CF372</f>
        <v>0.75631178540277322</v>
      </c>
      <c r="BK473" s="2275">
        <f>HLOOKUP(BJ474,BL455:CL475,20,0)</f>
        <v>0</v>
      </c>
      <c r="BL473" s="2275">
        <f>+IF(BJ517&lt;=BL465,BL465,IF(BJ517&lt;=BL466,BL466,IF(BJ517&lt;=BL467,BL467,)))</f>
        <v>0</v>
      </c>
      <c r="BM473" s="2275">
        <f>+IF(BJ517&lt;=BM465,BM465,IF(BJ517&lt;=BM466,BM466,IF(BJ517&lt;=BM467,BM467,)))</f>
        <v>0</v>
      </c>
      <c r="BN473" s="2275">
        <f>+IF(BJ517&lt;=BN465,BN465,IF(BJ517&lt;=BN466,BN466,IF(BJ517&lt;=BN467,BN467,)))</f>
        <v>0</v>
      </c>
      <c r="BO473" s="2275">
        <f>+IF(BJ517&lt;=BO465,BO465,IF(BJ517&lt;=BO466,BO466,IF(BJ517&lt;=BO467,BO467,)))</f>
        <v>0</v>
      </c>
      <c r="BP473" s="2275">
        <f>+IF(BJ517&lt;=BP465,BP465,IF(BJ517&lt;=BP466,BP466,IF(BJ517&lt;=BP467,BP467,)))</f>
        <v>0</v>
      </c>
      <c r="BQ473" s="2275">
        <f>+IF(BJ517&lt;=BQ465,BQ465,IF(BJ517&lt;=BQ466,BQ466,IF(BJ517&lt;=BQ467,BQ467,)))</f>
        <v>0</v>
      </c>
      <c r="BR473" s="2275">
        <f>+IF(BJ517&lt;=BR465,BR465,IF(BJ517&lt;=BR466,BR466,IF(BJ517&lt;=BR467,BR467,)))</f>
        <v>0</v>
      </c>
      <c r="BS473" s="2275">
        <f>+IF(BJ517&lt;=BS465,BS465,IF(BJ517&lt;=BS466,BS466,IF(BJ517&lt;=BS467,BS467,)))</f>
        <v>0</v>
      </c>
      <c r="BT473" s="2275">
        <f>+IF(BJ517&lt;=BT465,BT465,IF(BJ517&lt;=BT466,BT466,IF(BJ517&lt;=BT467,BT467,)))</f>
        <v>0</v>
      </c>
      <c r="BU473" s="2275">
        <f>+IF(BJ517&lt;=BU465,BU465,IF(BJ517&lt;=BU466,BU466,IF(BJ517&lt;=BU467,BU467,)))</f>
        <v>0</v>
      </c>
      <c r="BV473" s="2275">
        <f>+IF(BJ517&lt;=BV465,BV465,IF(BJ517&lt;=BV466,BV466,IF(BJ517&lt;=BV467,BV467,)))</f>
        <v>0</v>
      </c>
      <c r="BW473" s="2275">
        <f>+IF(BJ517&lt;=BW465,BW465,IF(BJ517&lt;=BW466,BW466,IF(BJ517&lt;=BW467,BW467,)))</f>
        <v>0</v>
      </c>
      <c r="BX473" s="2275">
        <f>+IF(BJ517&lt;=BX465,BX465,IF(BJ517&lt;=BX466,BX466,IF(BJ517&lt;=BX467,BX467,)))</f>
        <v>0</v>
      </c>
      <c r="BY473" s="2275">
        <f>+IF(BJ517&lt;=BY465,BY465,IF(BJ517&lt;=BY466,BY466,IF(BJ517&lt;=BY467,BY467,)))</f>
        <v>0</v>
      </c>
      <c r="BZ473" s="2275">
        <f>+IF(BJ517&lt;=BZ465,BZ465,IF(BJ517&lt;=BZ466,BZ466,IF(BJ517&lt;=BZ467,BZ467,)))</f>
        <v>0</v>
      </c>
      <c r="CA473" s="2275">
        <f>+IF(BJ517&lt;=CA465,CA465,IF(BJ517&lt;=CA466,CA466,IF(BJ517&lt;=CA467,CA467,)))</f>
        <v>0</v>
      </c>
      <c r="CB473" s="2275">
        <f>+IF(BJ517&lt;=CB465,CB465,IF(BJ517&lt;=CB466,CB466,IF(BJ517&lt;=CB467,CB467,)))</f>
        <v>0</v>
      </c>
      <c r="CC473" s="2275">
        <f>+IF(BJ517&lt;=CC465,CC465,IF(BJ517&lt;=CC466,CC466,IF(BJ517&lt;=CC467,CC467,)))</f>
        <v>0</v>
      </c>
      <c r="CD473" s="2275">
        <f>+IF(BJ517&lt;=CD465,CD465,IF(BJ517&lt;=CD466,CD466,IF(BJ517&lt;=CD467,CD467,)))</f>
        <v>0</v>
      </c>
      <c r="CE473" s="2275">
        <f>+IF(BJ517&lt;=CE465,CE465,IF(BJ517&lt;=CE466,CE466,IF(BJ517&lt;=CE467,CE467,)))</f>
        <v>0</v>
      </c>
      <c r="CF473" s="2275">
        <f>+IF(BJ517&lt;=CF465,CF465,IF(BJ517&lt;=CF466,CF466,IF(BJ517&lt;=CF467,CF467,)))</f>
        <v>0</v>
      </c>
      <c r="CG473" s="2275">
        <f>+IF(BJ517&lt;=CG465,CG465,IF(BJ517&lt;=CG466,CG466,IF(BJ517&lt;=CG467,CG467,)))</f>
        <v>0</v>
      </c>
      <c r="CH473" s="2275">
        <f>+IF(BJ517&lt;=CH465,CH465,IF(BJ517&lt;=CH466,CH466,IF(BJ517&lt;=CH467,CH467,)))</f>
        <v>0</v>
      </c>
      <c r="CI473" s="2275">
        <f>+IF(BJ517&lt;=CI465,CI465,IF(BJ517&lt;=CI466,CI466,IF(BJ517&lt;=CI467,CI467,)))</f>
        <v>0</v>
      </c>
      <c r="CJ473" s="2275">
        <f>+IF(BJ517&lt;=CJ465,CJ465,IF(BJ517&lt;=CJ466,CJ466,IF(BJ517&lt;=CJ467,CJ467,)))</f>
        <v>0</v>
      </c>
      <c r="CK473" s="2275">
        <f>+IF(BJ517&lt;=CK465,CK465,IF(BJ517&lt;=CK466,CK466,IF(BJ517&lt;=CK467,CK467,)))</f>
        <v>0</v>
      </c>
      <c r="CL473" s="2275">
        <f>+IF(BJ517&lt;=CL465,CL465,IF(BJ517&lt;=CL466,CL466,IF(BJ517&lt;=CL467,CL467,)))</f>
        <v>0</v>
      </c>
      <c r="CM473" s="2275"/>
      <c r="CN473" s="2275"/>
      <c r="CO473" s="2275"/>
      <c r="CP473" s="2275"/>
      <c r="CQ473" s="2275"/>
      <c r="CR473" s="2275"/>
      <c r="CS473" s="2275"/>
      <c r="CT473" s="2275"/>
      <c r="CU473" s="2275"/>
      <c r="CV473" s="2275"/>
      <c r="CW473" s="2275"/>
      <c r="CX473" s="2250"/>
      <c r="CY473" s="2250"/>
      <c r="CZ473" s="2250"/>
      <c r="DA473" s="2250"/>
      <c r="DB473" s="2250"/>
      <c r="DC473" s="2250"/>
      <c r="DD473" s="2250"/>
      <c r="DE473" s="2250"/>
      <c r="DF473" s="2250"/>
      <c r="DG473" s="2250"/>
      <c r="DH473" s="2250"/>
      <c r="DI473" s="2250"/>
      <c r="DJ473" s="2250"/>
      <c r="DK473" s="2250"/>
      <c r="DL473" s="2250"/>
      <c r="DM473" s="2250"/>
      <c r="DN473" s="2250"/>
      <c r="DO473" s="53"/>
      <c r="DP473" s="53"/>
      <c r="DS473" s="277"/>
      <c r="DW473" s="1"/>
      <c r="DX473" s="2250">
        <f>ET372</f>
        <v>1.3354563802212776</v>
      </c>
      <c r="DY473" s="2275">
        <f>HLOOKUP(DX474,DZ455:EZ475,20,0)</f>
        <v>0</v>
      </c>
      <c r="DZ473" s="2275">
        <f>+IF(DX517&lt;=DZ465,DZ465,IF(DX517&lt;=DZ466,DZ466,IF(DX517&lt;=DZ467,DZ467,)))</f>
        <v>0</v>
      </c>
      <c r="EA473" s="2275">
        <f>+IF(DX517&lt;=EA465,EA465,IF(DX517&lt;=EA466,EA466,IF(DX517&lt;=EA467,EA467,)))</f>
        <v>0</v>
      </c>
      <c r="EB473" s="2275">
        <f>+IF(DX517&lt;=EB465,EB465,IF(DX517&lt;=EB466,EB466,IF(DX517&lt;=EB467,EB467,)))</f>
        <v>0</v>
      </c>
      <c r="EC473" s="2275">
        <f>+IF(DX517&lt;=EC465,EC465,IF(DX517&lt;=EC466,EC466,IF(DX517&lt;=EC467,EC467,)))</f>
        <v>0</v>
      </c>
      <c r="ED473" s="2275">
        <f>+IF(DX517&lt;=ED465,ED465,IF(DX517&lt;=ED466,ED466,IF(DX517&lt;=ED467,ED467,)))</f>
        <v>0</v>
      </c>
      <c r="EE473" s="2275">
        <f>+IF(DX517&lt;=EE465,EE465,IF(DX517&lt;=EE466,EE466,IF(DX517&lt;=EE467,EE467,)))</f>
        <v>0</v>
      </c>
      <c r="EF473" s="2275">
        <f>+IF(DX517&lt;=EF465,EF465,IF(DX517&lt;=EF466,EF466,IF(DX517&lt;=EF467,EF467,)))</f>
        <v>0</v>
      </c>
      <c r="EG473" s="2275">
        <f>+IF(DX517&lt;=EG465,EG465,IF(DX517&lt;=EG466,EG466,IF(DX517&lt;=EG467,EG467,)))</f>
        <v>0</v>
      </c>
      <c r="EH473" s="2275">
        <f>+IF(DX517&lt;=EH465,EH465,IF(DX517&lt;=EH466,EH466,IF(DX517&lt;=EH467,EH467,)))</f>
        <v>0</v>
      </c>
      <c r="EI473" s="2275">
        <f>+IF(DX517&lt;=EI465,EI465,IF(DX517&lt;=EI466,EI466,IF(DX517&lt;=EI467,EI467,)))</f>
        <v>0</v>
      </c>
      <c r="EJ473" s="2275">
        <f>+IF(DX517&lt;=EJ465,EJ465,IF(DX517&lt;=EJ466,EJ466,IF(DX517&lt;=EJ467,EJ467,)))</f>
        <v>0</v>
      </c>
      <c r="EK473" s="2275">
        <f>+IF(DX517&lt;=EK465,EK465,IF(DX517&lt;=EK466,EK466,IF(DX517&lt;=EK467,EK467,)))</f>
        <v>0</v>
      </c>
      <c r="EL473" s="2275">
        <f>+IF(DX517&lt;=EL465,EL465,IF(DX517&lt;=EL466,EL466,IF(DX517&lt;=EL467,EL467,)))</f>
        <v>0</v>
      </c>
      <c r="EM473" s="2275">
        <f>+IF(DX517&lt;=EM465,EM465,IF(DX517&lt;=EM466,EM466,IF(DX517&lt;=EM467,EM467,)))</f>
        <v>0</v>
      </c>
      <c r="EN473" s="2275">
        <f>+IF(DX517&lt;=EN465,EN465,IF(DX517&lt;=EN466,EN466,IF(DX517&lt;=EN467,EN467,)))</f>
        <v>0</v>
      </c>
      <c r="EO473" s="2275">
        <f>+IF(DX517&lt;=EO465,EO465,IF(DX517&lt;=EO466,EO466,IF(DX517&lt;=EO467,EO467,)))</f>
        <v>0</v>
      </c>
      <c r="EP473" s="2275">
        <f>+IF(DX517&lt;=EP465,EP465,IF(DX517&lt;=EP466,EP466,IF(DX517&lt;=EP467,EP467,)))</f>
        <v>0</v>
      </c>
      <c r="EQ473" s="2275">
        <f>+IF(DX517&lt;=EQ465,EQ465,IF(DX517&lt;=EQ466,EQ466,IF(DX517&lt;=EQ467,EQ467,)))</f>
        <v>0</v>
      </c>
      <c r="ER473" s="2275">
        <f>+IF(DX517&lt;=ER465,ER465,IF(DX517&lt;=ER466,ER466,IF(DX517&lt;=ER467,ER467,)))</f>
        <v>0</v>
      </c>
      <c r="ES473" s="2275">
        <f>+IF(DX517&lt;=ES465,ES465,IF(DX517&lt;=ES466,ES466,IF(DX517&lt;=ES467,ES467,)))</f>
        <v>0</v>
      </c>
      <c r="ET473" s="2275">
        <f>+IF(DX517&lt;=ET465,ET465,IF(DX517&lt;=ET466,ET466,IF(DX517&lt;=ET467,ET467,)))</f>
        <v>0</v>
      </c>
      <c r="EU473" s="2275">
        <f>+IF(DX517&lt;=EU465,EU465,IF(DX517&lt;=EU466,EU466,IF(DX517&lt;=EU467,EU467,)))</f>
        <v>0</v>
      </c>
      <c r="EV473" s="2275">
        <f>+IF(DX517&lt;=EV465,EV465,IF(DX517&lt;=EV466,EV466,IF(DX517&lt;=EV467,EV467,)))</f>
        <v>0</v>
      </c>
      <c r="EW473" s="2275">
        <f>+IF(DX517&lt;=EW465,EW465,IF(DX517&lt;=EW466,EW466,IF(DX517&lt;=EW467,EW467,)))</f>
        <v>0</v>
      </c>
      <c r="EX473" s="2275">
        <f>+IF(DX517&lt;=EX465,EX465,IF(DX517&lt;=EX466,EX466,IF(DX517&lt;=EX467,EX467,)))</f>
        <v>0</v>
      </c>
      <c r="EY473" s="2275">
        <f>+IF(DX517&lt;=EY465,EY465,IF(DX517&lt;=EY466,EY466,IF(DX517&lt;=EY467,EY467,)))</f>
        <v>0</v>
      </c>
      <c r="EZ473" s="2275">
        <f>+IF(DX517&lt;=EZ465,EZ465,IF(DX517&lt;=EZ466,EZ466,IF(DX517&lt;=EZ467,EZ467,)))</f>
        <v>0</v>
      </c>
      <c r="FA473" s="2275"/>
      <c r="FB473" s="2275"/>
      <c r="FC473" s="2275"/>
      <c r="FD473" s="2275"/>
      <c r="FE473" s="2275"/>
      <c r="FF473" s="2275"/>
      <c r="FG473" s="2275"/>
      <c r="FH473" s="2275"/>
      <c r="FI473" s="2275"/>
      <c r="FJ473" s="2275"/>
      <c r="FK473" s="2275"/>
      <c r="FL473" s="2250"/>
      <c r="FM473" s="2250"/>
      <c r="FN473" s="2250"/>
      <c r="FO473" s="2250"/>
      <c r="FP473" s="2250"/>
      <c r="FQ473" s="2250"/>
      <c r="FR473" s="2250"/>
      <c r="FS473" s="2250"/>
      <c r="FT473" s="2250"/>
      <c r="FU473" s="2250"/>
      <c r="FV473" s="2250"/>
      <c r="FW473" s="2250"/>
      <c r="FX473" s="2250"/>
      <c r="FY473" s="2250"/>
      <c r="FZ473" s="2250"/>
      <c r="GA473" s="2250"/>
      <c r="GB473" s="2276"/>
      <c r="GC473" s="2276"/>
      <c r="GD473" s="2250"/>
      <c r="GE473" s="2275"/>
      <c r="GF473" s="2250">
        <f>HB372</f>
        <v>1.3354563802212776</v>
      </c>
      <c r="GG473" s="2275">
        <f>HLOOKUP(GF474,GH455:HH475,20,0)</f>
        <v>0</v>
      </c>
      <c r="GH473" s="2275">
        <f>+IF(GF517&lt;=GH465,GH465,IF(GF517&lt;=GH466,GH466,IF(GF517&lt;=GH467,GH467,)))</f>
        <v>0</v>
      </c>
      <c r="GI473" s="2275">
        <f>+IF(GF517&lt;=GI465,GI465,IF(GF517&lt;=GI466,GI466,IF(GF517&lt;=GI467,GI467,)))</f>
        <v>0</v>
      </c>
      <c r="GJ473" s="2275">
        <f>+IF(GF517&lt;=GJ465,GJ465,IF(GF517&lt;=GJ466,GJ466,IF(GF517&lt;=GJ467,GJ467,)))</f>
        <v>0</v>
      </c>
      <c r="GK473" s="2275">
        <f>+IF(GF517&lt;=GK465,GK465,IF(GF517&lt;=GK466,GK466,IF(GF517&lt;=GK467,GK467,)))</f>
        <v>0</v>
      </c>
      <c r="GL473" s="2275">
        <f>+IF(GF517&lt;=GL465,GL465,IF(GF517&lt;=GL466,GL466,IF(GF517&lt;=GL467,GL467,)))</f>
        <v>0</v>
      </c>
      <c r="GM473" s="2275">
        <f>+IF(GF517&lt;=GM465,GM465,IF(GF517&lt;=GM466,GM466,IF(GF517&lt;=GM467,GM467,)))</f>
        <v>0</v>
      </c>
      <c r="GN473" s="2275">
        <f>+IF(GF517&lt;=GN465,GN465,IF(GF517&lt;=GN466,GN466,IF(GF517&lt;=GN467,GN467,)))</f>
        <v>0</v>
      </c>
      <c r="GO473" s="2275">
        <f>+IF(GF517&lt;=GO465,GO465,IF(GF517&lt;=GO466,GO466,IF(GF517&lt;=GO467,GO467,)))</f>
        <v>0</v>
      </c>
      <c r="GP473" s="2275">
        <f>+IF(GF517&lt;=GP465,GP465,IF(GF517&lt;=GP466,GP466,IF(GF517&lt;=GP467,GP467,)))</f>
        <v>0</v>
      </c>
      <c r="GQ473" s="2275">
        <f>+IF(GF517&lt;=GQ465,GQ465,IF(GF517&lt;=GQ466,GQ466,IF(GF517&lt;=GQ467,GQ467,)))</f>
        <v>0</v>
      </c>
      <c r="GR473" s="2275">
        <f>+IF(GF517&lt;=GR465,GR465,IF(GF517&lt;=GR466,GR466,IF(GF517&lt;=GR467,GR467,)))</f>
        <v>0</v>
      </c>
      <c r="GS473" s="2275">
        <f>+IF(GF517&lt;=GS465,GS465,IF(GF517&lt;=GS466,GS466,IF(GF517&lt;=GS467,GS467,)))</f>
        <v>0</v>
      </c>
      <c r="GT473" s="2275">
        <f>+IF(GF517&lt;=GT465,GT465,IF(GF517&lt;=GT466,GT466,IF(GF517&lt;=GT467,GT467,)))</f>
        <v>0</v>
      </c>
      <c r="GU473" s="2275">
        <f>+IF(GF517&lt;=GU465,GU465,IF(GF517&lt;=GU466,GU466,IF(GF517&lt;=GU467,GU467,)))</f>
        <v>0</v>
      </c>
      <c r="GV473" s="2275">
        <f>+IF(GF517&lt;=GV465,GV465,IF(GF517&lt;=GV466,GV466,IF(GF517&lt;=GV467,GV467,)))</f>
        <v>0</v>
      </c>
      <c r="GW473" s="2275">
        <f>+IF(GF517&lt;=GW465,GW465,IF(GF517&lt;=GW466,GW466,IF(GF517&lt;=GW467,GW467,)))</f>
        <v>0</v>
      </c>
      <c r="GX473" s="2275">
        <f>+IF(GF517&lt;=GX465,GX465,IF(GF517&lt;=GX466,GX466,IF(GF517&lt;=GX467,GX467,)))</f>
        <v>0</v>
      </c>
      <c r="GY473" s="2275">
        <f>+IF(GF517&lt;=GY465,GY465,IF(GF517&lt;=GY466,GY466,IF(GF517&lt;=GY467,GY467,)))</f>
        <v>0</v>
      </c>
      <c r="GZ473" s="2275">
        <f>+IF(GF517&lt;=GZ465,GZ465,IF(GF517&lt;=GZ466,GZ466,IF(GF517&lt;=GZ467,GZ467,)))</f>
        <v>0</v>
      </c>
      <c r="HA473" s="2275">
        <f>+IF(GF517&lt;=HA465,HA465,IF(GF517&lt;=HA466,HA466,IF(GF517&lt;=HA467,HA467,)))</f>
        <v>0</v>
      </c>
      <c r="HB473" s="2275">
        <f>+IF(GF517&lt;=HB465,HB465,IF(GF517&lt;=HB466,HB466,IF(GF517&lt;=HB467,HB467,)))</f>
        <v>0</v>
      </c>
      <c r="HC473" s="2275">
        <f>+IF(GF517&lt;=HC465,HC465,IF(GF517&lt;=HC466,HC466,IF(GF517&lt;=HC467,HC467,)))</f>
        <v>0</v>
      </c>
      <c r="HD473" s="2275">
        <f>+IF(GF517&lt;=HD465,HD465,IF(GF517&lt;=HD466,HD466,IF(GF517&lt;=HD467,HD467,)))</f>
        <v>0</v>
      </c>
      <c r="HE473" s="2275">
        <f>+IF(GF517&lt;=HE465,HE465,IF(GF517&lt;=HE466,HE466,IF(GF517&lt;=HE467,HE467,)))</f>
        <v>0</v>
      </c>
      <c r="HF473" s="2275">
        <f>+IF(GF517&lt;=HF465,HF465,IF(GF517&lt;=HF466,HF466,IF(GF517&lt;=HF467,HF467,)))</f>
        <v>0</v>
      </c>
      <c r="HG473" s="2275">
        <f>+IF(GF517&lt;=HG465,HG465,IF(GF517&lt;=HG466,HG466,IF(GF517&lt;=HG467,HG467,)))</f>
        <v>0</v>
      </c>
      <c r="HH473" s="2275">
        <f>+IF(GF517&lt;=HH465,HH465,IF(GF517&lt;=HH466,HH466,IF(GF517&lt;=HH467,HH467,)))</f>
        <v>0</v>
      </c>
      <c r="HI473" s="2275"/>
      <c r="HJ473" s="2275"/>
      <c r="HK473" s="2275"/>
      <c r="HL473" s="2275"/>
      <c r="HM473" s="2275"/>
      <c r="HN473" s="2275"/>
      <c r="HO473" s="2275"/>
      <c r="HP473" s="2275"/>
      <c r="HQ473" s="2275"/>
      <c r="HR473" s="2275"/>
      <c r="HS473" s="2275"/>
      <c r="HT473" s="2250"/>
      <c r="HU473" s="2250"/>
      <c r="HV473" s="2250"/>
      <c r="HW473" s="2250"/>
      <c r="HX473" s="2250"/>
      <c r="HY473" s="2250"/>
      <c r="HZ473" s="2250"/>
      <c r="IA473" s="2250"/>
      <c r="IB473" s="2250"/>
      <c r="IC473" s="2250"/>
      <c r="ID473" s="2250"/>
      <c r="IE473" s="2250"/>
      <c r="IF473" s="2250"/>
      <c r="IG473" s="2250"/>
      <c r="IH473" s="2250"/>
      <c r="II473" s="2250"/>
      <c r="IJ473" s="2250"/>
      <c r="IK473" s="53"/>
      <c r="IL473" s="53"/>
      <c r="IN473" s="277"/>
      <c r="IO473" s="277"/>
    </row>
    <row r="474" spans="2:249" ht="21.95" customHeight="1">
      <c r="B474" s="2275">
        <f>X373</f>
        <v>68.3</v>
      </c>
      <c r="C474" s="2275">
        <f>HLOOKUP(B474,D455:AD475,21,0)</f>
        <v>475</v>
      </c>
      <c r="D474" s="2250">
        <f t="shared" ref="D474:AD474" si="273">IF(D472=0,D473,D472)</f>
        <v>0</v>
      </c>
      <c r="E474" s="2250">
        <f t="shared" si="273"/>
        <v>0</v>
      </c>
      <c r="F474" s="2250">
        <f t="shared" si="273"/>
        <v>0</v>
      </c>
      <c r="G474" s="2250">
        <f t="shared" si="273"/>
        <v>0</v>
      </c>
      <c r="H474" s="2250">
        <f>IF(H472=0,H473,H472)</f>
        <v>0</v>
      </c>
      <c r="I474" s="2250">
        <f t="shared" si="273"/>
        <v>0</v>
      </c>
      <c r="J474" s="2250">
        <f t="shared" si="273"/>
        <v>0</v>
      </c>
      <c r="K474" s="2250">
        <f t="shared" si="273"/>
        <v>0</v>
      </c>
      <c r="L474" s="2250">
        <f t="shared" si="273"/>
        <v>0</v>
      </c>
      <c r="M474" s="2250">
        <f t="shared" si="273"/>
        <v>0</v>
      </c>
      <c r="N474" s="2250">
        <f t="shared" si="273"/>
        <v>0</v>
      </c>
      <c r="O474" s="2250">
        <f t="shared" si="273"/>
        <v>0</v>
      </c>
      <c r="P474" s="2250">
        <f t="shared" si="273"/>
        <v>0</v>
      </c>
      <c r="Q474" s="2250">
        <f>IF(Q472=0,Q473,Q472)</f>
        <v>0</v>
      </c>
      <c r="R474" s="2250">
        <f t="shared" si="273"/>
        <v>0</v>
      </c>
      <c r="S474" s="2250">
        <f t="shared" si="273"/>
        <v>0</v>
      </c>
      <c r="T474" s="2250">
        <f t="shared" si="273"/>
        <v>0</v>
      </c>
      <c r="U474" s="2250">
        <f t="shared" si="273"/>
        <v>0</v>
      </c>
      <c r="V474" s="2250">
        <f t="shared" si="273"/>
        <v>0</v>
      </c>
      <c r="W474" s="2250">
        <f t="shared" si="273"/>
        <v>0</v>
      </c>
      <c r="X474" s="2250">
        <f t="shared" si="273"/>
        <v>0</v>
      </c>
      <c r="Y474" s="2250">
        <f t="shared" si="273"/>
        <v>0</v>
      </c>
      <c r="Z474" s="2250">
        <f t="shared" si="273"/>
        <v>0</v>
      </c>
      <c r="AA474" s="2250">
        <f t="shared" si="273"/>
        <v>0</v>
      </c>
      <c r="AB474" s="2250">
        <f t="shared" si="273"/>
        <v>0</v>
      </c>
      <c r="AC474" s="2250">
        <f t="shared" si="273"/>
        <v>0</v>
      </c>
      <c r="AD474" s="2250">
        <f t="shared" si="273"/>
        <v>0</v>
      </c>
      <c r="AE474" s="2275"/>
      <c r="AF474" s="2275"/>
      <c r="AG474" s="2275"/>
      <c r="AH474" s="2275"/>
      <c r="AI474" s="2275"/>
      <c r="AJ474" s="2275"/>
      <c r="AK474" s="2275"/>
      <c r="AL474" s="2275"/>
      <c r="AM474" s="2275"/>
      <c r="AN474" s="2275"/>
      <c r="AO474" s="2275"/>
      <c r="AP474" s="2250"/>
      <c r="AQ474" s="2250"/>
      <c r="AR474" s="2250"/>
      <c r="AS474" s="2250"/>
      <c r="AT474" s="2250"/>
      <c r="AU474" s="2250"/>
      <c r="AV474" s="2250"/>
      <c r="AW474" s="2250"/>
      <c r="AX474" s="2250"/>
      <c r="AY474" s="2250"/>
      <c r="AZ474" s="2250"/>
      <c r="BA474" s="2250"/>
      <c r="BB474" s="2250"/>
      <c r="BC474" s="2250"/>
      <c r="BD474" s="2250"/>
      <c r="BE474" s="2250"/>
      <c r="BF474" s="2276"/>
      <c r="BG474" s="2276"/>
      <c r="BH474" s="2250"/>
      <c r="BI474" s="2275"/>
      <c r="BJ474" s="2275">
        <f>CF373</f>
        <v>73.7</v>
      </c>
      <c r="BK474" s="2275">
        <f>HLOOKUP(BJ474,BL455:CL475,21,0)</f>
        <v>475</v>
      </c>
      <c r="BL474" s="2250">
        <f t="shared" ref="BL474:CL474" si="274">IF(BL472=0,BL473,BL472)</f>
        <v>0</v>
      </c>
      <c r="BM474" s="2250">
        <f t="shared" si="274"/>
        <v>0</v>
      </c>
      <c r="BN474" s="2250">
        <f t="shared" si="274"/>
        <v>0</v>
      </c>
      <c r="BO474" s="2250">
        <f t="shared" si="274"/>
        <v>0</v>
      </c>
      <c r="BP474" s="2250">
        <f t="shared" si="274"/>
        <v>0</v>
      </c>
      <c r="BQ474" s="2250">
        <f t="shared" si="274"/>
        <v>0</v>
      </c>
      <c r="BR474" s="2250">
        <f t="shared" si="274"/>
        <v>0</v>
      </c>
      <c r="BS474" s="2250">
        <f t="shared" si="274"/>
        <v>0</v>
      </c>
      <c r="BT474" s="2250">
        <f t="shared" si="274"/>
        <v>0</v>
      </c>
      <c r="BU474" s="2250">
        <f t="shared" si="274"/>
        <v>0</v>
      </c>
      <c r="BV474" s="2250">
        <f t="shared" si="274"/>
        <v>0</v>
      </c>
      <c r="BW474" s="2250">
        <f t="shared" si="274"/>
        <v>0</v>
      </c>
      <c r="BX474" s="2250">
        <f t="shared" si="274"/>
        <v>0</v>
      </c>
      <c r="BY474" s="2250">
        <f t="shared" si="274"/>
        <v>0</v>
      </c>
      <c r="BZ474" s="2250">
        <f t="shared" si="274"/>
        <v>0</v>
      </c>
      <c r="CA474" s="2250">
        <f t="shared" si="274"/>
        <v>0</v>
      </c>
      <c r="CB474" s="2250">
        <f t="shared" si="274"/>
        <v>0</v>
      </c>
      <c r="CC474" s="2250">
        <f t="shared" si="274"/>
        <v>0</v>
      </c>
      <c r="CD474" s="2250">
        <f t="shared" si="274"/>
        <v>0</v>
      </c>
      <c r="CE474" s="2250">
        <f t="shared" si="274"/>
        <v>0</v>
      </c>
      <c r="CF474" s="2250">
        <f t="shared" si="274"/>
        <v>0</v>
      </c>
      <c r="CG474" s="2250">
        <f t="shared" si="274"/>
        <v>0</v>
      </c>
      <c r="CH474" s="2250">
        <f t="shared" si="274"/>
        <v>0</v>
      </c>
      <c r="CI474" s="2250">
        <f t="shared" si="274"/>
        <v>0</v>
      </c>
      <c r="CJ474" s="2250">
        <f t="shared" si="274"/>
        <v>0</v>
      </c>
      <c r="CK474" s="2250">
        <f t="shared" si="274"/>
        <v>0</v>
      </c>
      <c r="CL474" s="2250">
        <f t="shared" si="274"/>
        <v>0</v>
      </c>
      <c r="CM474" s="2275"/>
      <c r="CN474" s="2275"/>
      <c r="CO474" s="2275"/>
      <c r="CP474" s="2275"/>
      <c r="CQ474" s="2275"/>
      <c r="CR474" s="2275"/>
      <c r="CS474" s="2275"/>
      <c r="CT474" s="2275"/>
      <c r="CU474" s="2275"/>
      <c r="CV474" s="2275"/>
      <c r="CW474" s="2275"/>
      <c r="CX474" s="2250"/>
      <c r="CY474" s="2250"/>
      <c r="CZ474" s="2250"/>
      <c r="DA474" s="2250"/>
      <c r="DB474" s="2250"/>
      <c r="DC474" s="2250"/>
      <c r="DD474" s="2250"/>
      <c r="DE474" s="2250"/>
      <c r="DF474" s="2250"/>
      <c r="DG474" s="2250"/>
      <c r="DH474" s="2250"/>
      <c r="DI474" s="2250"/>
      <c r="DJ474" s="2250"/>
      <c r="DK474" s="2250"/>
      <c r="DL474" s="2250"/>
      <c r="DM474" s="2250"/>
      <c r="DN474" s="2250"/>
      <c r="DO474" s="53"/>
      <c r="DP474" s="53"/>
      <c r="DS474" s="277"/>
      <c r="DW474" s="1"/>
      <c r="DX474" s="2275">
        <f>ET373</f>
        <v>43.9</v>
      </c>
      <c r="DY474" s="2275">
        <f>HLOOKUP(DX474,DZ455:EZ475,21,0)</f>
        <v>475</v>
      </c>
      <c r="DZ474" s="2250">
        <f t="shared" ref="DZ474:EZ474" si="275">IF(DZ472=0,DZ473,DZ472)</f>
        <v>0</v>
      </c>
      <c r="EA474" s="2250">
        <f t="shared" si="275"/>
        <v>0</v>
      </c>
      <c r="EB474" s="2250">
        <f t="shared" si="275"/>
        <v>0</v>
      </c>
      <c r="EC474" s="2250">
        <f t="shared" si="275"/>
        <v>0</v>
      </c>
      <c r="ED474" s="2250">
        <f t="shared" si="275"/>
        <v>0</v>
      </c>
      <c r="EE474" s="2250">
        <f t="shared" si="275"/>
        <v>0</v>
      </c>
      <c r="EF474" s="2250">
        <f t="shared" si="275"/>
        <v>0</v>
      </c>
      <c r="EG474" s="2250">
        <f t="shared" si="275"/>
        <v>0</v>
      </c>
      <c r="EH474" s="2250">
        <f t="shared" si="275"/>
        <v>0</v>
      </c>
      <c r="EI474" s="2250">
        <f t="shared" si="275"/>
        <v>0</v>
      </c>
      <c r="EJ474" s="2250">
        <f t="shared" si="275"/>
        <v>0</v>
      </c>
      <c r="EK474" s="2250">
        <f t="shared" si="275"/>
        <v>0</v>
      </c>
      <c r="EL474" s="2250">
        <f t="shared" si="275"/>
        <v>0</v>
      </c>
      <c r="EM474" s="2250">
        <f t="shared" si="275"/>
        <v>0</v>
      </c>
      <c r="EN474" s="2250">
        <f t="shared" si="275"/>
        <v>0</v>
      </c>
      <c r="EO474" s="2250">
        <f t="shared" si="275"/>
        <v>0</v>
      </c>
      <c r="EP474" s="2250">
        <f t="shared" si="275"/>
        <v>0</v>
      </c>
      <c r="EQ474" s="2250">
        <f t="shared" si="275"/>
        <v>0</v>
      </c>
      <c r="ER474" s="2250">
        <f t="shared" si="275"/>
        <v>0</v>
      </c>
      <c r="ES474" s="2250">
        <f t="shared" si="275"/>
        <v>0</v>
      </c>
      <c r="ET474" s="2250">
        <f t="shared" si="275"/>
        <v>0</v>
      </c>
      <c r="EU474" s="2250">
        <f t="shared" si="275"/>
        <v>0</v>
      </c>
      <c r="EV474" s="2250">
        <f t="shared" si="275"/>
        <v>0</v>
      </c>
      <c r="EW474" s="2250">
        <f t="shared" si="275"/>
        <v>0</v>
      </c>
      <c r="EX474" s="2250">
        <f t="shared" si="275"/>
        <v>0</v>
      </c>
      <c r="EY474" s="2250">
        <f t="shared" si="275"/>
        <v>0</v>
      </c>
      <c r="EZ474" s="2250">
        <f t="shared" si="275"/>
        <v>0</v>
      </c>
      <c r="FA474" s="2275"/>
      <c r="FB474" s="2275"/>
      <c r="FC474" s="2275"/>
      <c r="FD474" s="2275"/>
      <c r="FE474" s="2275"/>
      <c r="FF474" s="2275"/>
      <c r="FG474" s="2275"/>
      <c r="FH474" s="2275"/>
      <c r="FI474" s="2275"/>
      <c r="FJ474" s="2275"/>
      <c r="FK474" s="2275"/>
      <c r="FL474" s="2250"/>
      <c r="FM474" s="2250"/>
      <c r="FN474" s="2250"/>
      <c r="FO474" s="2250"/>
      <c r="FP474" s="2250"/>
      <c r="FQ474" s="2250"/>
      <c r="FR474" s="2250"/>
      <c r="FS474" s="2250"/>
      <c r="FT474" s="2250"/>
      <c r="FU474" s="2250"/>
      <c r="FV474" s="2250"/>
      <c r="FW474" s="2250"/>
      <c r="FX474" s="2250"/>
      <c r="FY474" s="2250"/>
      <c r="FZ474" s="2250"/>
      <c r="GA474" s="2250"/>
      <c r="GB474" s="2276"/>
      <c r="GC474" s="2276"/>
      <c r="GD474" s="2250"/>
      <c r="GE474" s="2275"/>
      <c r="GF474" s="2275">
        <f>HB373</f>
        <v>48.8</v>
      </c>
      <c r="GG474" s="2275">
        <f>HLOOKUP(GF474,GH455:HH475,21,0)</f>
        <v>475</v>
      </c>
      <c r="GH474" s="2250">
        <f t="shared" ref="GH474:HH474" si="276">IF(GH472=0,GH473,GH472)</f>
        <v>0</v>
      </c>
      <c r="GI474" s="2250">
        <f t="shared" si="276"/>
        <v>0</v>
      </c>
      <c r="GJ474" s="2250">
        <f t="shared" si="276"/>
        <v>0</v>
      </c>
      <c r="GK474" s="2250">
        <f t="shared" si="276"/>
        <v>0</v>
      </c>
      <c r="GL474" s="2250">
        <f t="shared" si="276"/>
        <v>0</v>
      </c>
      <c r="GM474" s="2250">
        <f t="shared" si="276"/>
        <v>0</v>
      </c>
      <c r="GN474" s="2250">
        <f t="shared" si="276"/>
        <v>0</v>
      </c>
      <c r="GO474" s="2250">
        <f t="shared" si="276"/>
        <v>0</v>
      </c>
      <c r="GP474" s="2250">
        <f t="shared" si="276"/>
        <v>0</v>
      </c>
      <c r="GQ474" s="2250">
        <f t="shared" si="276"/>
        <v>0</v>
      </c>
      <c r="GR474" s="2250">
        <f t="shared" si="276"/>
        <v>0</v>
      </c>
      <c r="GS474" s="2250">
        <f t="shared" si="276"/>
        <v>0</v>
      </c>
      <c r="GT474" s="2250">
        <f t="shared" si="276"/>
        <v>0</v>
      </c>
      <c r="GU474" s="2250">
        <f t="shared" si="276"/>
        <v>0</v>
      </c>
      <c r="GV474" s="2250">
        <f t="shared" si="276"/>
        <v>0</v>
      </c>
      <c r="GW474" s="2250">
        <f t="shared" si="276"/>
        <v>0</v>
      </c>
      <c r="GX474" s="2250">
        <f t="shared" si="276"/>
        <v>0</v>
      </c>
      <c r="GY474" s="2250">
        <f t="shared" si="276"/>
        <v>0</v>
      </c>
      <c r="GZ474" s="2250">
        <f t="shared" si="276"/>
        <v>0</v>
      </c>
      <c r="HA474" s="2250">
        <f t="shared" si="276"/>
        <v>0</v>
      </c>
      <c r="HB474" s="2250">
        <f t="shared" si="276"/>
        <v>0</v>
      </c>
      <c r="HC474" s="2250">
        <f t="shared" si="276"/>
        <v>0</v>
      </c>
      <c r="HD474" s="2250">
        <f t="shared" si="276"/>
        <v>0</v>
      </c>
      <c r="HE474" s="2250">
        <f t="shared" si="276"/>
        <v>0</v>
      </c>
      <c r="HF474" s="2250">
        <f t="shared" si="276"/>
        <v>0</v>
      </c>
      <c r="HG474" s="2250">
        <f t="shared" si="276"/>
        <v>0</v>
      </c>
      <c r="HH474" s="2250">
        <f t="shared" si="276"/>
        <v>0</v>
      </c>
      <c r="HI474" s="2275"/>
      <c r="HJ474" s="2275"/>
      <c r="HK474" s="2275"/>
      <c r="HL474" s="2275"/>
      <c r="HM474" s="2275"/>
      <c r="HN474" s="2275"/>
      <c r="HO474" s="2275"/>
      <c r="HP474" s="2275"/>
      <c r="HQ474" s="2275"/>
      <c r="HR474" s="2275"/>
      <c r="HS474" s="2275"/>
      <c r="HT474" s="2250"/>
      <c r="HU474" s="2250"/>
      <c r="HV474" s="2250"/>
      <c r="HW474" s="2250"/>
      <c r="HX474" s="2250"/>
      <c r="HY474" s="2250"/>
      <c r="HZ474" s="2250"/>
      <c r="IA474" s="2250"/>
      <c r="IB474" s="2250"/>
      <c r="IC474" s="2250"/>
      <c r="ID474" s="2250"/>
      <c r="IE474" s="2250"/>
      <c r="IF474" s="2250"/>
      <c r="IG474" s="2250"/>
      <c r="IH474" s="2250"/>
      <c r="II474" s="2250"/>
      <c r="IJ474" s="2250"/>
      <c r="IK474" s="53"/>
      <c r="IL474" s="53"/>
      <c r="IN474" s="277"/>
      <c r="IO474" s="277"/>
    </row>
    <row r="475" spans="2:249" ht="21.95" customHeight="1">
      <c r="B475" s="2275"/>
      <c r="C475" s="2250" t="str">
        <f>IF(C473=AH471,IF(C474=AI471,"Right","Wrong"))</f>
        <v>Right</v>
      </c>
      <c r="D475" s="2250">
        <f>VLOOKUP(D474,D457:AE467,28,0)</f>
        <v>475</v>
      </c>
      <c r="E475" s="2250">
        <f>VLOOKUP(E474,E457:AE467,27,0)</f>
        <v>475</v>
      </c>
      <c r="F475" s="2250">
        <f>VLOOKUP(F474,F457:AE467,26,0)</f>
        <v>475</v>
      </c>
      <c r="G475" s="2250">
        <f>VLOOKUP(G474,G457:AE467,25,0)</f>
        <v>475</v>
      </c>
      <c r="H475" s="2250">
        <f>VLOOKUP(H474,H457:AE467,24,0)</f>
        <v>475</v>
      </c>
      <c r="I475" s="2250">
        <f>VLOOKUP(I474,I457:AE467,23,0)</f>
        <v>475</v>
      </c>
      <c r="J475" s="2250">
        <f>VLOOKUP(J474,J457:AE467,22,0)</f>
        <v>475</v>
      </c>
      <c r="K475" s="2250">
        <f>VLOOKUP(K474,K457:AE467,21,0)</f>
        <v>475</v>
      </c>
      <c r="L475" s="2250">
        <f>VLOOKUP(L474,L457:AE467,20,0)</f>
        <v>475</v>
      </c>
      <c r="M475" s="2250">
        <f>VLOOKUP(M474,M457:AE467,19,0)</f>
        <v>475</v>
      </c>
      <c r="N475" s="2250">
        <f>VLOOKUP(N474,N457:AE467,18,0)</f>
        <v>475</v>
      </c>
      <c r="O475" s="2250">
        <f>VLOOKUP(O474,O457:AE467,17,0)</f>
        <v>475</v>
      </c>
      <c r="P475" s="2250">
        <f>VLOOKUP(P474,P457:AE467,16,0)</f>
        <v>475</v>
      </c>
      <c r="Q475" s="2275">
        <f>VLOOKUP(Q474,Q457:AE489,15,0)</f>
        <v>475</v>
      </c>
      <c r="R475" s="2250">
        <f>VLOOKUP(R474,R457:AE467,14,0)</f>
        <v>475</v>
      </c>
      <c r="S475" s="2250">
        <f>VLOOKUP(S474,S457:AE467,13,0)</f>
        <v>475</v>
      </c>
      <c r="T475" s="2250">
        <f>VLOOKUP(T474,T457:AE467,12,0)</f>
        <v>475</v>
      </c>
      <c r="U475" s="2250">
        <f>VLOOKUP(U474,U457:AE467,11,0)</f>
        <v>475</v>
      </c>
      <c r="V475" s="2250">
        <f>VLOOKUP(V474,V457:AE467,10,0)</f>
        <v>475</v>
      </c>
      <c r="W475" s="2250">
        <f>VLOOKUP(W474,W457:AE467,9,0)</f>
        <v>475</v>
      </c>
      <c r="X475" s="2250">
        <f>VLOOKUP(X474,X457:AE467,8,0)</f>
        <v>475</v>
      </c>
      <c r="Y475" s="2250">
        <f>VLOOKUP(Y474,Y457:AE467,7,0)</f>
        <v>475</v>
      </c>
      <c r="Z475" s="2250">
        <f>VLOOKUP(Z474,Z457:AE467,6,0)</f>
        <v>475</v>
      </c>
      <c r="AA475" s="2250">
        <f>VLOOKUP(AA474,AA457:AE467,5,0)</f>
        <v>475</v>
      </c>
      <c r="AB475" s="2250">
        <f>VLOOKUP(AB474,AB457:AE467,4,0)</f>
        <v>475</v>
      </c>
      <c r="AC475" s="2250">
        <f>VLOOKUP(AC474,AC457:AE467,3,0)</f>
        <v>475</v>
      </c>
      <c r="AD475" s="2250">
        <f>VLOOKUP(AD474,AD457:AE467,2,0)</f>
        <v>475</v>
      </c>
      <c r="AE475" s="2275"/>
      <c r="AF475" s="2275"/>
      <c r="AG475" s="2275"/>
      <c r="AH475" s="2275"/>
      <c r="AI475" s="2275"/>
      <c r="AJ475" s="2275"/>
      <c r="AK475" s="2275"/>
      <c r="AL475" s="2275"/>
      <c r="AM475" s="2275"/>
      <c r="AN475" s="2275"/>
      <c r="AO475" s="2275"/>
      <c r="AP475" s="2250"/>
      <c r="AQ475" s="2250"/>
      <c r="AR475" s="2250"/>
      <c r="AS475" s="2250"/>
      <c r="AT475" s="2250"/>
      <c r="AU475" s="2250"/>
      <c r="AV475" s="2250"/>
      <c r="AW475" s="2250"/>
      <c r="AX475" s="2250"/>
      <c r="AY475" s="2250"/>
      <c r="AZ475" s="2250"/>
      <c r="BA475" s="2250"/>
      <c r="BB475" s="2250"/>
      <c r="BC475" s="2250"/>
      <c r="BD475" s="2250"/>
      <c r="BE475" s="2250"/>
      <c r="BF475" s="2276"/>
      <c r="BG475" s="2276"/>
      <c r="BH475" s="2250"/>
      <c r="BI475" s="2275"/>
      <c r="BJ475" s="2275"/>
      <c r="BK475" s="2250" t="str">
        <f>IF(BK473=CP471,IF(BK474=CQ471,"Right","Wrong"))</f>
        <v>Right</v>
      </c>
      <c r="BL475" s="2250">
        <f>VLOOKUP(BL474,BL457:CM467,28,0)</f>
        <v>475</v>
      </c>
      <c r="BM475" s="2250">
        <f>VLOOKUP(BM474,BM457:CM467,27,0)</f>
        <v>475</v>
      </c>
      <c r="BN475" s="2250">
        <f>VLOOKUP(BN474,BN457:CM467,26,0)</f>
        <v>475</v>
      </c>
      <c r="BO475" s="2250">
        <f>VLOOKUP(BO474,BO457:CM467,25,0)</f>
        <v>475</v>
      </c>
      <c r="BP475" s="2250">
        <f>VLOOKUP(BP474,BP457:CM467,24,0)</f>
        <v>475</v>
      </c>
      <c r="BQ475" s="2250">
        <f>VLOOKUP(BQ474,BQ457:CM467,23,0)</f>
        <v>475</v>
      </c>
      <c r="BR475" s="2250">
        <f>VLOOKUP(BR474,BR457:CM467,22,0)</f>
        <v>475</v>
      </c>
      <c r="BS475" s="2250">
        <f>VLOOKUP(BS474,BS457:CM467,21,0)</f>
        <v>475</v>
      </c>
      <c r="BT475" s="2250">
        <f>VLOOKUP(BT474,BT457:CM467,20,0)</f>
        <v>475</v>
      </c>
      <c r="BU475" s="2250">
        <f>VLOOKUP(BU474,BU457:CM467,19,0)</f>
        <v>475</v>
      </c>
      <c r="BV475" s="2250">
        <f>VLOOKUP(BV474,BV457:CM467,18,0)</f>
        <v>475</v>
      </c>
      <c r="BW475" s="2250">
        <f>VLOOKUP(BW474,BW457:CM467,17,0)</f>
        <v>475</v>
      </c>
      <c r="BX475" s="2250">
        <f>VLOOKUP(BX474,BX457:CM467,16,0)</f>
        <v>475</v>
      </c>
      <c r="BY475" s="2275">
        <f>VLOOKUP(BY474,BY457:CM489,15,0)</f>
        <v>475</v>
      </c>
      <c r="BZ475" s="2250">
        <f>VLOOKUP(BZ474,BZ457:CM467,14,0)</f>
        <v>475</v>
      </c>
      <c r="CA475" s="2250">
        <f>VLOOKUP(CA474,CA457:CM467,13,0)</f>
        <v>475</v>
      </c>
      <c r="CB475" s="2250">
        <f>VLOOKUP(CB474,CB457:CM467,12,0)</f>
        <v>475</v>
      </c>
      <c r="CC475" s="2250">
        <f>VLOOKUP(CC474,CC457:CM467,11,0)</f>
        <v>475</v>
      </c>
      <c r="CD475" s="2250">
        <f>VLOOKUP(CD474,CD457:CM467,10,0)</f>
        <v>475</v>
      </c>
      <c r="CE475" s="2250">
        <f>VLOOKUP(CE474,CE457:CM467,9,0)</f>
        <v>475</v>
      </c>
      <c r="CF475" s="2250">
        <f>VLOOKUP(CF474,CF457:CM467,8,0)</f>
        <v>475</v>
      </c>
      <c r="CG475" s="2250">
        <f>VLOOKUP(CG474,CG457:CM467,7,0)</f>
        <v>475</v>
      </c>
      <c r="CH475" s="2250">
        <f>VLOOKUP(CH474,CH457:CM467,6,0)</f>
        <v>475</v>
      </c>
      <c r="CI475" s="2250">
        <f>VLOOKUP(CI474,CI457:CM467,5,0)</f>
        <v>475</v>
      </c>
      <c r="CJ475" s="2250">
        <f>VLOOKUP(CJ474,CJ457:CM467,4,0)</f>
        <v>475</v>
      </c>
      <c r="CK475" s="2250">
        <f>VLOOKUP(CK474,CK457:CM467,3,0)</f>
        <v>475</v>
      </c>
      <c r="CL475" s="2250">
        <f>VLOOKUP(CL474,CL457:CM467,2,0)</f>
        <v>475</v>
      </c>
      <c r="CM475" s="2275"/>
      <c r="CN475" s="2275"/>
      <c r="CO475" s="2275"/>
      <c r="CP475" s="2275"/>
      <c r="CQ475" s="2275"/>
      <c r="CR475" s="2275"/>
      <c r="CS475" s="2275"/>
      <c r="CT475" s="2275"/>
      <c r="CU475" s="2275"/>
      <c r="CV475" s="2275"/>
      <c r="CW475" s="2275"/>
      <c r="CX475" s="2250"/>
      <c r="CY475" s="2250"/>
      <c r="CZ475" s="2250"/>
      <c r="DA475" s="2250"/>
      <c r="DB475" s="2250"/>
      <c r="DC475" s="2250"/>
      <c r="DD475" s="2250"/>
      <c r="DE475" s="2250"/>
      <c r="DF475" s="2250"/>
      <c r="DG475" s="2250"/>
      <c r="DH475" s="2250"/>
      <c r="DI475" s="2250"/>
      <c r="DJ475" s="2250"/>
      <c r="DK475" s="2250"/>
      <c r="DL475" s="2250"/>
      <c r="DM475" s="2250"/>
      <c r="DN475" s="2250"/>
      <c r="DO475" s="53"/>
      <c r="DP475" s="53"/>
      <c r="DS475" s="277"/>
      <c r="DW475" s="1"/>
      <c r="DX475" s="2275"/>
      <c r="DY475" s="2250" t="str">
        <f>IF(DY473=FD471,IF(DY474=FE471,"Right","Wrong"))</f>
        <v>Right</v>
      </c>
      <c r="DZ475" s="2250">
        <f>VLOOKUP(DZ474,DZ457:FA467,28,0)</f>
        <v>475</v>
      </c>
      <c r="EA475" s="2250">
        <f>VLOOKUP(EA474,EA457:FA467,27,0)</f>
        <v>475</v>
      </c>
      <c r="EB475" s="2250">
        <f>VLOOKUP(EB474,EB457:FA467,26,0)</f>
        <v>475</v>
      </c>
      <c r="EC475" s="2250">
        <f>VLOOKUP(EC474,EC457:FA467,25,0)</f>
        <v>475</v>
      </c>
      <c r="ED475" s="2250">
        <f>VLOOKUP(ED474,ED457:FA467,24,0)</f>
        <v>475</v>
      </c>
      <c r="EE475" s="2250">
        <f>VLOOKUP(EE474,EE457:FA467,23,0)</f>
        <v>475</v>
      </c>
      <c r="EF475" s="2250">
        <f>VLOOKUP(EF474,EF457:FA467,22,0)</f>
        <v>475</v>
      </c>
      <c r="EG475" s="2250">
        <f>VLOOKUP(EG474,EG457:FA467,21,0)</f>
        <v>475</v>
      </c>
      <c r="EH475" s="2250">
        <f>VLOOKUP(EH474,EH457:FA467,20,0)</f>
        <v>475</v>
      </c>
      <c r="EI475" s="2250">
        <f>VLOOKUP(EI474,EI457:FA467,19,0)</f>
        <v>475</v>
      </c>
      <c r="EJ475" s="2250">
        <f>VLOOKUP(EJ474,EJ457:FA467,18,0)</f>
        <v>475</v>
      </c>
      <c r="EK475" s="2250">
        <f>VLOOKUP(EK474,EK457:FA467,17,0)</f>
        <v>475</v>
      </c>
      <c r="EL475" s="2250">
        <f>VLOOKUP(EL474,EL457:FA467,16,0)</f>
        <v>475</v>
      </c>
      <c r="EM475" s="2275">
        <f>VLOOKUP(EM474,EM457:FA489,15,0)</f>
        <v>475</v>
      </c>
      <c r="EN475" s="2250">
        <f>VLOOKUP(EN474,EN457:FA467,14,0)</f>
        <v>475</v>
      </c>
      <c r="EO475" s="2250">
        <f>VLOOKUP(EO474,EO457:FA467,13,0)</f>
        <v>475</v>
      </c>
      <c r="EP475" s="2250">
        <f>VLOOKUP(EP474,EP457:FA467,12,0)</f>
        <v>475</v>
      </c>
      <c r="EQ475" s="2250">
        <f>VLOOKUP(EQ474,EQ457:FA467,11,0)</f>
        <v>475</v>
      </c>
      <c r="ER475" s="2250">
        <f>VLOOKUP(ER474,ER457:FA467,10,0)</f>
        <v>475</v>
      </c>
      <c r="ES475" s="2250">
        <f>VLOOKUP(ES474,ES457:FA467,9,0)</f>
        <v>475</v>
      </c>
      <c r="ET475" s="2250">
        <f>VLOOKUP(ET474,ET457:FA467,8,0)</f>
        <v>475</v>
      </c>
      <c r="EU475" s="2250">
        <f>VLOOKUP(EU474,EU457:FA467,7,0)</f>
        <v>475</v>
      </c>
      <c r="EV475" s="2250">
        <f>VLOOKUP(EV474,EV457:FA467,6,0)</f>
        <v>475</v>
      </c>
      <c r="EW475" s="2250">
        <f>VLOOKUP(EW474,EW457:FA467,5,0)</f>
        <v>475</v>
      </c>
      <c r="EX475" s="2250">
        <f>VLOOKUP(EX474,EX457:FA467,4,0)</f>
        <v>475</v>
      </c>
      <c r="EY475" s="2250">
        <f>VLOOKUP(EY474,EY457:FA467,3,0)</f>
        <v>475</v>
      </c>
      <c r="EZ475" s="2250">
        <f>VLOOKUP(EZ474,EZ457:FA467,2,0)</f>
        <v>475</v>
      </c>
      <c r="FA475" s="2275"/>
      <c r="FB475" s="2275"/>
      <c r="FC475" s="2275"/>
      <c r="FD475" s="2275"/>
      <c r="FE475" s="2275"/>
      <c r="FF475" s="2275"/>
      <c r="FG475" s="2275"/>
      <c r="FH475" s="2275"/>
      <c r="FI475" s="2275"/>
      <c r="FJ475" s="2275"/>
      <c r="FK475" s="2275"/>
      <c r="FL475" s="2250"/>
      <c r="FM475" s="2250"/>
      <c r="FN475" s="2250"/>
      <c r="FO475" s="2250"/>
      <c r="FP475" s="2250"/>
      <c r="FQ475" s="2250"/>
      <c r="FR475" s="2250"/>
      <c r="FS475" s="2250"/>
      <c r="FT475" s="2250"/>
      <c r="FU475" s="2250"/>
      <c r="FV475" s="2250"/>
      <c r="FW475" s="2250"/>
      <c r="FX475" s="2250"/>
      <c r="FY475" s="2250"/>
      <c r="FZ475" s="2250"/>
      <c r="GA475" s="2250"/>
      <c r="GB475" s="2276"/>
      <c r="GC475" s="2276"/>
      <c r="GD475" s="2250"/>
      <c r="GE475" s="2275"/>
      <c r="GF475" s="2275"/>
      <c r="GG475" s="2250" t="str">
        <f>IF(GG473=HL471,IF(GG474=HM471,"Right","Wrong"))</f>
        <v>Right</v>
      </c>
      <c r="GH475" s="2250">
        <f>VLOOKUP(GH474,GH457:HI467,28,0)</f>
        <v>475</v>
      </c>
      <c r="GI475" s="2250">
        <f>VLOOKUP(GI474,GI457:HI467,27,0)</f>
        <v>475</v>
      </c>
      <c r="GJ475" s="2250">
        <f>VLOOKUP(GJ474,GJ457:HI467,26,0)</f>
        <v>475</v>
      </c>
      <c r="GK475" s="2250">
        <f>VLOOKUP(GK474,GK457:HI467,25,0)</f>
        <v>475</v>
      </c>
      <c r="GL475" s="2250">
        <f>VLOOKUP(GL474,GL457:HI467,24,0)</f>
        <v>475</v>
      </c>
      <c r="GM475" s="2250">
        <f>VLOOKUP(GM474,GM457:HI467,23,0)</f>
        <v>475</v>
      </c>
      <c r="GN475" s="2250">
        <f>VLOOKUP(GN474,GN457:HI467,22,0)</f>
        <v>475</v>
      </c>
      <c r="GO475" s="2250">
        <f>VLOOKUP(GO474,GO457:HI467,21,0)</f>
        <v>475</v>
      </c>
      <c r="GP475" s="2250">
        <f>VLOOKUP(GP474,GP457:HI467,20,0)</f>
        <v>475</v>
      </c>
      <c r="GQ475" s="2250">
        <f>VLOOKUP(GQ474,GQ457:HI467,19,0)</f>
        <v>475</v>
      </c>
      <c r="GR475" s="2250">
        <f>VLOOKUP(GR474,GR457:HI467,18,0)</f>
        <v>475</v>
      </c>
      <c r="GS475" s="2250">
        <f>VLOOKUP(GS474,GS457:HI467,17,0)</f>
        <v>475</v>
      </c>
      <c r="GT475" s="2250">
        <f>VLOOKUP(GT474,GT457:HI467,16,0)</f>
        <v>475</v>
      </c>
      <c r="GU475" s="2275">
        <f>VLOOKUP(GU474,GU457:HI489,15,0)</f>
        <v>475</v>
      </c>
      <c r="GV475" s="2250">
        <f>VLOOKUP(GV474,GV457:HI467,14,0)</f>
        <v>475</v>
      </c>
      <c r="GW475" s="2250">
        <f>VLOOKUP(GW474,GW457:HI467,13,0)</f>
        <v>475</v>
      </c>
      <c r="GX475" s="2250">
        <f>VLOOKUP(GX474,GX457:HI467,12,0)</f>
        <v>475</v>
      </c>
      <c r="GY475" s="2250">
        <f>VLOOKUP(GY474,GY457:HI467,11,0)</f>
        <v>475</v>
      </c>
      <c r="GZ475" s="2250">
        <f>VLOOKUP(GZ474,GZ457:HI467,10,0)</f>
        <v>475</v>
      </c>
      <c r="HA475" s="2250">
        <f>VLOOKUP(HA474,HA457:HI467,9,0)</f>
        <v>475</v>
      </c>
      <c r="HB475" s="2250">
        <f>VLOOKUP(HB474,HB457:HI467,8,0)</f>
        <v>475</v>
      </c>
      <c r="HC475" s="2250">
        <f>VLOOKUP(HC474,HC457:HI467,7,0)</f>
        <v>475</v>
      </c>
      <c r="HD475" s="2250">
        <f>VLOOKUP(HD474,HD457:HI467,6,0)</f>
        <v>475</v>
      </c>
      <c r="HE475" s="2250">
        <f>VLOOKUP(HE474,HE457:HI467,5,0)</f>
        <v>475</v>
      </c>
      <c r="HF475" s="2250">
        <f>VLOOKUP(HF474,HF457:HI467,4,0)</f>
        <v>475</v>
      </c>
      <c r="HG475" s="2250">
        <f>VLOOKUP(HG474,HG457:HI467,3,0)</f>
        <v>475</v>
      </c>
      <c r="HH475" s="2250">
        <f>VLOOKUP(HH474,HH457:HI467,2,0)</f>
        <v>475</v>
      </c>
      <c r="HI475" s="2275"/>
      <c r="HJ475" s="2275"/>
      <c r="HK475" s="2275"/>
      <c r="HL475" s="2275"/>
      <c r="HM475" s="2275"/>
      <c r="HN475" s="2275"/>
      <c r="HO475" s="2275"/>
      <c r="HP475" s="2275"/>
      <c r="HQ475" s="2275"/>
      <c r="HR475" s="2275"/>
      <c r="HS475" s="2275"/>
      <c r="HT475" s="2250"/>
      <c r="HU475" s="2250"/>
      <c r="HV475" s="2250"/>
      <c r="HW475" s="2250"/>
      <c r="HX475" s="2250"/>
      <c r="HY475" s="2250"/>
      <c r="HZ475" s="2250"/>
      <c r="IA475" s="2250"/>
      <c r="IB475" s="2250"/>
      <c r="IC475" s="2250"/>
      <c r="ID475" s="2250"/>
      <c r="IE475" s="2250"/>
      <c r="IF475" s="2250"/>
      <c r="IG475" s="2250"/>
      <c r="IH475" s="2250"/>
      <c r="II475" s="2250"/>
      <c r="IJ475" s="2250"/>
      <c r="IK475" s="53"/>
      <c r="IL475" s="53"/>
      <c r="IN475" s="277"/>
      <c r="IO475" s="277"/>
    </row>
    <row r="476" spans="2:249" ht="21.95" customHeight="1">
      <c r="B476" s="2275"/>
      <c r="C476" s="2275"/>
      <c r="D476" s="2275"/>
      <c r="E476" s="2275"/>
      <c r="F476" s="2275"/>
      <c r="G476" s="2275"/>
      <c r="H476" s="2275"/>
      <c r="I476" s="2275"/>
      <c r="J476" s="2275"/>
      <c r="K476" s="2275"/>
      <c r="L476" s="2275"/>
      <c r="M476" s="2275"/>
      <c r="N476" s="2275"/>
      <c r="O476" s="2275"/>
      <c r="P476" s="2275"/>
      <c r="Q476" s="2275"/>
      <c r="R476" s="2275"/>
      <c r="S476" s="2275"/>
      <c r="T476" s="2275"/>
      <c r="U476" s="2275"/>
      <c r="V476" s="2275"/>
      <c r="W476" s="2275"/>
      <c r="X476" s="2275"/>
      <c r="Y476" s="2275"/>
      <c r="Z476" s="2275"/>
      <c r="AA476" s="2275"/>
      <c r="AB476" s="2275"/>
      <c r="AC476" s="2275"/>
      <c r="AD476" s="2275"/>
      <c r="AE476" s="2275"/>
      <c r="AF476" s="2275" t="s">
        <v>655</v>
      </c>
      <c r="AG476" s="2275">
        <f>AG454</f>
        <v>68.3</v>
      </c>
      <c r="AH476" s="2275"/>
      <c r="AI476" s="2275"/>
      <c r="AJ476" s="2275"/>
      <c r="AK476" s="2275"/>
      <c r="AL476" s="2275"/>
      <c r="AM476" s="2275"/>
      <c r="AN476" s="2275"/>
      <c r="AO476" s="2275"/>
      <c r="AP476" s="2250"/>
      <c r="AQ476" s="2250"/>
      <c r="AR476" s="2250"/>
      <c r="AS476" s="2250"/>
      <c r="AT476" s="2250"/>
      <c r="AU476" s="2250"/>
      <c r="AV476" s="2250"/>
      <c r="AW476" s="2250"/>
      <c r="AX476" s="2250"/>
      <c r="AY476" s="2250"/>
      <c r="AZ476" s="2250"/>
      <c r="BA476" s="2250"/>
      <c r="BB476" s="2250"/>
      <c r="BC476" s="2250"/>
      <c r="BD476" s="2250"/>
      <c r="BE476" s="2250"/>
      <c r="BF476" s="2276"/>
      <c r="BG476" s="2276"/>
      <c r="BH476" s="2250"/>
      <c r="BI476" s="2275"/>
      <c r="BJ476" s="2275"/>
      <c r="BK476" s="2275"/>
      <c r="BL476" s="2275"/>
      <c r="BM476" s="2275"/>
      <c r="BN476" s="2275"/>
      <c r="BO476" s="2275"/>
      <c r="BP476" s="2275"/>
      <c r="BQ476" s="2275"/>
      <c r="BR476" s="2275"/>
      <c r="BS476" s="2275"/>
      <c r="BT476" s="2275"/>
      <c r="BU476" s="2275"/>
      <c r="BV476" s="2275"/>
      <c r="BW476" s="2275"/>
      <c r="BX476" s="2275"/>
      <c r="BY476" s="2275"/>
      <c r="BZ476" s="2275"/>
      <c r="CA476" s="2275"/>
      <c r="CB476" s="2275"/>
      <c r="CC476" s="2275"/>
      <c r="CD476" s="2275"/>
      <c r="CE476" s="2275"/>
      <c r="CF476" s="2275"/>
      <c r="CG476" s="2275"/>
      <c r="CH476" s="2275"/>
      <c r="CI476" s="2275"/>
      <c r="CJ476" s="2275"/>
      <c r="CK476" s="2275"/>
      <c r="CL476" s="2275"/>
      <c r="CM476" s="2275"/>
      <c r="CN476" s="2275" t="s">
        <v>655</v>
      </c>
      <c r="CO476" s="2275">
        <f>CO454</f>
        <v>73.7</v>
      </c>
      <c r="CP476" s="2275"/>
      <c r="CQ476" s="2275"/>
      <c r="CR476" s="2275"/>
      <c r="CS476" s="2275"/>
      <c r="CT476" s="2275"/>
      <c r="CU476" s="2275"/>
      <c r="CV476" s="2275"/>
      <c r="CW476" s="2275"/>
      <c r="CX476" s="2250"/>
      <c r="CY476" s="2250"/>
      <c r="CZ476" s="2250"/>
      <c r="DA476" s="2250"/>
      <c r="DB476" s="2250"/>
      <c r="DC476" s="2250"/>
      <c r="DD476" s="2250"/>
      <c r="DE476" s="2250"/>
      <c r="DF476" s="2250"/>
      <c r="DG476" s="2250"/>
      <c r="DH476" s="2250"/>
      <c r="DI476" s="2250"/>
      <c r="DJ476" s="2250"/>
      <c r="DK476" s="2250"/>
      <c r="DL476" s="2250"/>
      <c r="DM476" s="2250"/>
      <c r="DN476" s="2250"/>
      <c r="DO476" s="53"/>
      <c r="DP476" s="53"/>
      <c r="DS476" s="277"/>
      <c r="DW476" s="1"/>
      <c r="DX476" s="2275"/>
      <c r="DY476" s="2275"/>
      <c r="DZ476" s="2275"/>
      <c r="EA476" s="2275"/>
      <c r="EB476" s="2275"/>
      <c r="EC476" s="2275"/>
      <c r="ED476" s="2275"/>
      <c r="EE476" s="2275"/>
      <c r="EF476" s="2275"/>
      <c r="EG476" s="2275"/>
      <c r="EH476" s="2275"/>
      <c r="EI476" s="2275"/>
      <c r="EJ476" s="2275"/>
      <c r="EK476" s="2275"/>
      <c r="EL476" s="2275"/>
      <c r="EM476" s="2275"/>
      <c r="EN476" s="2275"/>
      <c r="EO476" s="2275"/>
      <c r="EP476" s="2275"/>
      <c r="EQ476" s="2275"/>
      <c r="ER476" s="2275"/>
      <c r="ES476" s="2275"/>
      <c r="ET476" s="2275"/>
      <c r="EU476" s="2275"/>
      <c r="EV476" s="2275"/>
      <c r="EW476" s="2275"/>
      <c r="EX476" s="2275"/>
      <c r="EY476" s="2275"/>
      <c r="EZ476" s="2275"/>
      <c r="FA476" s="2275"/>
      <c r="FB476" s="2275" t="s">
        <v>655</v>
      </c>
      <c r="FC476" s="2275">
        <f>FC454</f>
        <v>43.9</v>
      </c>
      <c r="FD476" s="2275"/>
      <c r="FE476" s="2275"/>
      <c r="FF476" s="2275"/>
      <c r="FG476" s="2275"/>
      <c r="FH476" s="2275"/>
      <c r="FI476" s="2275"/>
      <c r="FJ476" s="2275"/>
      <c r="FK476" s="2275"/>
      <c r="FL476" s="2250"/>
      <c r="FM476" s="2250"/>
      <c r="FN476" s="2250"/>
      <c r="FO476" s="2250"/>
      <c r="FP476" s="2250"/>
      <c r="FQ476" s="2250"/>
      <c r="FR476" s="2250"/>
      <c r="FS476" s="2250"/>
      <c r="FT476" s="2250"/>
      <c r="FU476" s="2250"/>
      <c r="FV476" s="2250"/>
      <c r="FW476" s="2250"/>
      <c r="FX476" s="2250"/>
      <c r="FY476" s="2250"/>
      <c r="FZ476" s="2250"/>
      <c r="GA476" s="2250"/>
      <c r="GB476" s="2276"/>
      <c r="GC476" s="2276"/>
      <c r="GD476" s="2250"/>
      <c r="GE476" s="2275"/>
      <c r="GF476" s="2275"/>
      <c r="GG476" s="2275"/>
      <c r="GH476" s="2275"/>
      <c r="GI476" s="2275"/>
      <c r="GJ476" s="2275"/>
      <c r="GK476" s="2275"/>
      <c r="GL476" s="2275"/>
      <c r="GM476" s="2275"/>
      <c r="GN476" s="2275"/>
      <c r="GO476" s="2275"/>
      <c r="GP476" s="2275"/>
      <c r="GQ476" s="2275"/>
      <c r="GR476" s="2275"/>
      <c r="GS476" s="2275"/>
      <c r="GT476" s="2275"/>
      <c r="GU476" s="2275"/>
      <c r="GV476" s="2275"/>
      <c r="GW476" s="2275"/>
      <c r="GX476" s="2275"/>
      <c r="GY476" s="2275"/>
      <c r="GZ476" s="2275"/>
      <c r="HA476" s="2275"/>
      <c r="HB476" s="2275"/>
      <c r="HC476" s="2275"/>
      <c r="HD476" s="2275"/>
      <c r="HE476" s="2275"/>
      <c r="HF476" s="2275"/>
      <c r="HG476" s="2275"/>
      <c r="HH476" s="2275"/>
      <c r="HI476" s="2275"/>
      <c r="HJ476" s="2275" t="s">
        <v>655</v>
      </c>
      <c r="HK476" s="2275">
        <f>HK454</f>
        <v>48.8</v>
      </c>
      <c r="HL476" s="2275"/>
      <c r="HM476" s="2275"/>
      <c r="HN476" s="2275"/>
      <c r="HO476" s="2275"/>
      <c r="HP476" s="2275"/>
      <c r="HQ476" s="2275"/>
      <c r="HR476" s="2275"/>
      <c r="HS476" s="2275"/>
      <c r="HT476" s="2250"/>
      <c r="HU476" s="2250"/>
      <c r="HV476" s="2250"/>
      <c r="HW476" s="2250"/>
      <c r="HX476" s="2250"/>
      <c r="HY476" s="2250"/>
      <c r="HZ476" s="2250"/>
      <c r="IA476" s="2250"/>
      <c r="IB476" s="2250"/>
      <c r="IC476" s="2250"/>
      <c r="ID476" s="2250"/>
      <c r="IE476" s="2250"/>
      <c r="IF476" s="2250"/>
      <c r="IG476" s="2250"/>
      <c r="IH476" s="2250"/>
      <c r="II476" s="2250"/>
      <c r="IJ476" s="2250"/>
      <c r="IK476" s="53"/>
      <c r="IL476" s="53"/>
      <c r="IN476" s="277"/>
      <c r="IO476" s="277"/>
    </row>
    <row r="477" spans="2:249" ht="21.95" customHeight="1">
      <c r="B477" s="2333" t="s">
        <v>731</v>
      </c>
      <c r="C477" s="2333" t="s">
        <v>736</v>
      </c>
      <c r="D477" s="2333">
        <v>223.8</v>
      </c>
      <c r="E477" s="2333">
        <v>206.43</v>
      </c>
      <c r="F477" s="2333">
        <v>190.4</v>
      </c>
      <c r="G477" s="2333">
        <v>177.81</v>
      </c>
      <c r="H477" s="2333">
        <v>165.9</v>
      </c>
      <c r="I477" s="2333">
        <v>162.68</v>
      </c>
      <c r="J477" s="2333">
        <v>151.30000000000001</v>
      </c>
      <c r="K477" s="2333">
        <v>140.1</v>
      </c>
      <c r="L477" s="2333">
        <v>129.80000000000001</v>
      </c>
      <c r="M477" s="2333">
        <v>120.7</v>
      </c>
      <c r="N477" s="2333">
        <v>107.9</v>
      </c>
      <c r="O477" s="2333">
        <v>97.1</v>
      </c>
      <c r="P477" s="2333">
        <v>92.9</v>
      </c>
      <c r="Q477" s="2333">
        <v>88.2</v>
      </c>
      <c r="R477" s="2333">
        <v>83.3</v>
      </c>
      <c r="S477" s="2333">
        <v>78.2</v>
      </c>
      <c r="T477" s="2333">
        <v>73.7</v>
      </c>
      <c r="U477" s="2333">
        <v>68.3</v>
      </c>
      <c r="V477" s="2333">
        <v>63.4</v>
      </c>
      <c r="W477" s="2333">
        <v>58.1</v>
      </c>
      <c r="X477" s="2333">
        <v>53.7</v>
      </c>
      <c r="Y477" s="2333">
        <v>48.8</v>
      </c>
      <c r="Z477" s="2333">
        <v>43.9</v>
      </c>
      <c r="AA477" s="2333">
        <v>38.799999999999997</v>
      </c>
      <c r="AB477" s="2333">
        <v>34.200000000000003</v>
      </c>
      <c r="AC477" s="2333">
        <v>29.3</v>
      </c>
      <c r="AD477" s="2333">
        <v>24.5</v>
      </c>
      <c r="AE477" s="2333" t="s">
        <v>736</v>
      </c>
      <c r="AF477" s="2275" t="s">
        <v>738</v>
      </c>
      <c r="AG477" s="2275">
        <f>AG455</f>
        <v>0.75631178540277322</v>
      </c>
      <c r="AH477" s="2275"/>
      <c r="AI477" s="2275"/>
      <c r="AJ477" s="2275"/>
      <c r="AK477" s="2275"/>
      <c r="AL477" s="2275"/>
      <c r="AM477" s="2275"/>
      <c r="AN477" s="2275"/>
      <c r="AO477" s="2275"/>
      <c r="AP477" s="2250"/>
      <c r="AQ477" s="2250"/>
      <c r="AR477" s="2250"/>
      <c r="AS477" s="2250"/>
      <c r="AT477" s="2250"/>
      <c r="AU477" s="2250"/>
      <c r="AV477" s="2250"/>
      <c r="AW477" s="2250"/>
      <c r="AX477" s="2250"/>
      <c r="AY477" s="2250"/>
      <c r="AZ477" s="2250"/>
      <c r="BA477" s="2250"/>
      <c r="BB477" s="2250"/>
      <c r="BC477" s="2250"/>
      <c r="BD477" s="2250"/>
      <c r="BE477" s="2250"/>
      <c r="BF477" s="2276"/>
      <c r="BG477" s="2276"/>
      <c r="BH477" s="2250"/>
      <c r="BI477" s="2275"/>
      <c r="BJ477" s="2333" t="s">
        <v>731</v>
      </c>
      <c r="BK477" s="2333" t="s">
        <v>736</v>
      </c>
      <c r="BL477" s="2333">
        <v>223.8</v>
      </c>
      <c r="BM477" s="2333">
        <v>206.43</v>
      </c>
      <c r="BN477" s="2333">
        <v>190.4</v>
      </c>
      <c r="BO477" s="2333">
        <v>177.81</v>
      </c>
      <c r="BP477" s="2333">
        <v>165.9</v>
      </c>
      <c r="BQ477" s="2333">
        <v>162.68</v>
      </c>
      <c r="BR477" s="2333">
        <v>151.30000000000001</v>
      </c>
      <c r="BS477" s="2333">
        <v>140.1</v>
      </c>
      <c r="BT477" s="2333">
        <v>129.80000000000001</v>
      </c>
      <c r="BU477" s="2333">
        <v>120.7</v>
      </c>
      <c r="BV477" s="2333">
        <v>107.9</v>
      </c>
      <c r="BW477" s="2333">
        <v>97.1</v>
      </c>
      <c r="BX477" s="2333">
        <v>92.9</v>
      </c>
      <c r="BY477" s="2333">
        <v>88.2</v>
      </c>
      <c r="BZ477" s="2333">
        <v>83.3</v>
      </c>
      <c r="CA477" s="2333">
        <v>78.2</v>
      </c>
      <c r="CB477" s="2333">
        <v>73.7</v>
      </c>
      <c r="CC477" s="2333">
        <v>68.3</v>
      </c>
      <c r="CD477" s="2333">
        <v>63.4</v>
      </c>
      <c r="CE477" s="2333">
        <v>58.1</v>
      </c>
      <c r="CF477" s="2333">
        <v>53.7</v>
      </c>
      <c r="CG477" s="2333">
        <v>48.8</v>
      </c>
      <c r="CH477" s="2333">
        <v>43.9</v>
      </c>
      <c r="CI477" s="2333">
        <v>38.799999999999997</v>
      </c>
      <c r="CJ477" s="2333">
        <v>34.200000000000003</v>
      </c>
      <c r="CK477" s="2333">
        <v>29.3</v>
      </c>
      <c r="CL477" s="2333">
        <v>24.5</v>
      </c>
      <c r="CM477" s="2333" t="s">
        <v>736</v>
      </c>
      <c r="CN477" s="2275" t="s">
        <v>738</v>
      </c>
      <c r="CO477" s="2275">
        <f>CO455</f>
        <v>0.75631178540277322</v>
      </c>
      <c r="CP477" s="2275"/>
      <c r="CQ477" s="2275"/>
      <c r="CR477" s="2275"/>
      <c r="CS477" s="2275"/>
      <c r="CT477" s="2275"/>
      <c r="CU477" s="2275"/>
      <c r="CV477" s="2275"/>
      <c r="CW477" s="2275"/>
      <c r="CX477" s="2250"/>
      <c r="CY477" s="2250"/>
      <c r="CZ477" s="2250"/>
      <c r="DA477" s="2250"/>
      <c r="DB477" s="2250"/>
      <c r="DC477" s="2250"/>
      <c r="DD477" s="2250"/>
      <c r="DE477" s="2250"/>
      <c r="DF477" s="2250"/>
      <c r="DG477" s="2250"/>
      <c r="DH477" s="2250"/>
      <c r="DI477" s="2250"/>
      <c r="DJ477" s="2250"/>
      <c r="DK477" s="2250"/>
      <c r="DL477" s="2250"/>
      <c r="DM477" s="2250"/>
      <c r="DN477" s="2250"/>
      <c r="DO477" s="53"/>
      <c r="DP477" s="53"/>
      <c r="DS477" s="277"/>
      <c r="DW477" s="1"/>
      <c r="DX477" s="2333" t="s">
        <v>731</v>
      </c>
      <c r="DY477" s="2333" t="s">
        <v>736</v>
      </c>
      <c r="DZ477" s="2333">
        <v>223.8</v>
      </c>
      <c r="EA477" s="2333">
        <v>206.43</v>
      </c>
      <c r="EB477" s="2333">
        <v>190.4</v>
      </c>
      <c r="EC477" s="2333">
        <v>177.81</v>
      </c>
      <c r="ED477" s="2333">
        <v>165.9</v>
      </c>
      <c r="EE477" s="2333">
        <v>162.68</v>
      </c>
      <c r="EF477" s="2333">
        <v>151.30000000000001</v>
      </c>
      <c r="EG477" s="2333">
        <v>140.1</v>
      </c>
      <c r="EH477" s="2333">
        <v>129.80000000000001</v>
      </c>
      <c r="EI477" s="2333">
        <v>120.7</v>
      </c>
      <c r="EJ477" s="2333">
        <v>107.9</v>
      </c>
      <c r="EK477" s="2333">
        <v>97.1</v>
      </c>
      <c r="EL477" s="2333">
        <v>92.9</v>
      </c>
      <c r="EM477" s="2333">
        <v>88.2</v>
      </c>
      <c r="EN477" s="2333">
        <v>83.3</v>
      </c>
      <c r="EO477" s="2333">
        <v>78.2</v>
      </c>
      <c r="EP477" s="2333">
        <v>73.7</v>
      </c>
      <c r="EQ477" s="2333">
        <v>68.3</v>
      </c>
      <c r="ER477" s="2333">
        <v>63.4</v>
      </c>
      <c r="ES477" s="2333">
        <v>58.1</v>
      </c>
      <c r="ET477" s="2333">
        <v>53.7</v>
      </c>
      <c r="EU477" s="2333">
        <v>48.8</v>
      </c>
      <c r="EV477" s="2333">
        <v>43.9</v>
      </c>
      <c r="EW477" s="2333">
        <v>38.799999999999997</v>
      </c>
      <c r="EX477" s="2333">
        <v>34.200000000000003</v>
      </c>
      <c r="EY477" s="2333">
        <v>29.3</v>
      </c>
      <c r="EZ477" s="2333">
        <v>24.5</v>
      </c>
      <c r="FA477" s="2333" t="s">
        <v>736</v>
      </c>
      <c r="FB477" s="2275" t="s">
        <v>738</v>
      </c>
      <c r="FC477" s="2275">
        <f>FC455</f>
        <v>1.3354563802212776</v>
      </c>
      <c r="FD477" s="2275"/>
      <c r="FE477" s="2275"/>
      <c r="FF477" s="2275"/>
      <c r="FG477" s="2275"/>
      <c r="FH477" s="2275"/>
      <c r="FI477" s="2275"/>
      <c r="FJ477" s="2275"/>
      <c r="FK477" s="2275"/>
      <c r="FL477" s="2250"/>
      <c r="FM477" s="2250"/>
      <c r="FN477" s="2250"/>
      <c r="FO477" s="2250"/>
      <c r="FP477" s="2250"/>
      <c r="FQ477" s="2250"/>
      <c r="FR477" s="2250"/>
      <c r="FS477" s="2250"/>
      <c r="FT477" s="2250"/>
      <c r="FU477" s="2250"/>
      <c r="FV477" s="2250"/>
      <c r="FW477" s="2250"/>
      <c r="FX477" s="2250"/>
      <c r="FY477" s="2250"/>
      <c r="FZ477" s="2250"/>
      <c r="GA477" s="2250"/>
      <c r="GB477" s="2276"/>
      <c r="GC477" s="2276"/>
      <c r="GD477" s="2250"/>
      <c r="GE477" s="2275"/>
      <c r="GF477" s="2333" t="s">
        <v>731</v>
      </c>
      <c r="GG477" s="2333" t="s">
        <v>736</v>
      </c>
      <c r="GH477" s="2333">
        <v>223.8</v>
      </c>
      <c r="GI477" s="2333">
        <v>206.43</v>
      </c>
      <c r="GJ477" s="2333">
        <v>190.4</v>
      </c>
      <c r="GK477" s="2333">
        <v>177.81</v>
      </c>
      <c r="GL477" s="2333">
        <v>165.9</v>
      </c>
      <c r="GM477" s="2333">
        <v>162.68</v>
      </c>
      <c r="GN477" s="2333">
        <v>151.30000000000001</v>
      </c>
      <c r="GO477" s="2333">
        <v>140.1</v>
      </c>
      <c r="GP477" s="2333">
        <v>129.80000000000001</v>
      </c>
      <c r="GQ477" s="2333">
        <v>120.7</v>
      </c>
      <c r="GR477" s="2333">
        <v>107.9</v>
      </c>
      <c r="GS477" s="2333">
        <v>97.1</v>
      </c>
      <c r="GT477" s="2333">
        <v>92.9</v>
      </c>
      <c r="GU477" s="2333">
        <v>88.2</v>
      </c>
      <c r="GV477" s="2333">
        <v>83.3</v>
      </c>
      <c r="GW477" s="2333">
        <v>78.2</v>
      </c>
      <c r="GX477" s="2333">
        <v>73.7</v>
      </c>
      <c r="GY477" s="2333">
        <v>68.3</v>
      </c>
      <c r="GZ477" s="2333">
        <v>63.4</v>
      </c>
      <c r="HA477" s="2333">
        <v>58.1</v>
      </c>
      <c r="HB477" s="2333">
        <v>53.7</v>
      </c>
      <c r="HC477" s="2333">
        <v>48.8</v>
      </c>
      <c r="HD477" s="2333">
        <v>43.9</v>
      </c>
      <c r="HE477" s="2333">
        <v>38.799999999999997</v>
      </c>
      <c r="HF477" s="2333">
        <v>34.200000000000003</v>
      </c>
      <c r="HG477" s="2333">
        <v>29.3</v>
      </c>
      <c r="HH477" s="2333">
        <v>24.5</v>
      </c>
      <c r="HI477" s="2333" t="s">
        <v>736</v>
      </c>
      <c r="HJ477" s="2275" t="s">
        <v>738</v>
      </c>
      <c r="HK477" s="2275">
        <f>HK455</f>
        <v>1.3354563802212776</v>
      </c>
      <c r="HL477" s="2275"/>
      <c r="HM477" s="2275"/>
      <c r="HN477" s="2275"/>
      <c r="HO477" s="2275"/>
      <c r="HP477" s="2275"/>
      <c r="HQ477" s="2275"/>
      <c r="HR477" s="2275"/>
      <c r="HS477" s="2275"/>
      <c r="HT477" s="2250"/>
      <c r="HU477" s="2250"/>
      <c r="HV477" s="2250"/>
      <c r="HW477" s="2250"/>
      <c r="HX477" s="2250"/>
      <c r="HY477" s="2250"/>
      <c r="HZ477" s="2250"/>
      <c r="IA477" s="2250"/>
      <c r="IB477" s="2250"/>
      <c r="IC477" s="2250"/>
      <c r="ID477" s="2250"/>
      <c r="IE477" s="2250"/>
      <c r="IF477" s="2250"/>
      <c r="IG477" s="2250"/>
      <c r="IH477" s="2250"/>
      <c r="II477" s="2250"/>
      <c r="IJ477" s="2250"/>
      <c r="IK477" s="53"/>
      <c r="IL477" s="53"/>
      <c r="IN477" s="277"/>
      <c r="IO477" s="277"/>
    </row>
    <row r="478" spans="2:249" ht="21.95" customHeight="1">
      <c r="B478" s="2333"/>
      <c r="C478" s="2333"/>
      <c r="D478" s="2344"/>
      <c r="E478" s="2344"/>
      <c r="F478" s="2344"/>
      <c r="G478" s="2344"/>
      <c r="H478" s="2344"/>
      <c r="I478" s="2344"/>
      <c r="J478" s="2344"/>
      <c r="K478" s="2344"/>
      <c r="L478" s="2344"/>
      <c r="M478" s="2344"/>
      <c r="N478" s="2344"/>
      <c r="O478" s="2344"/>
      <c r="P478" s="2344"/>
      <c r="Q478" s="2344"/>
      <c r="R478" s="2344"/>
      <c r="S478" s="2344"/>
      <c r="T478" s="2344"/>
      <c r="U478" s="2344"/>
      <c r="V478" s="2344"/>
      <c r="W478" s="2344"/>
      <c r="X478" s="2344"/>
      <c r="Y478" s="2344"/>
      <c r="Z478" s="2344"/>
      <c r="AA478" s="2344"/>
      <c r="AB478" s="2344"/>
      <c r="AC478" s="2344"/>
      <c r="AD478" s="2344"/>
      <c r="AE478" s="2333"/>
      <c r="AF478" s="2275" t="s">
        <v>682</v>
      </c>
      <c r="AG478" s="2275">
        <f>HLOOKUP(AG476,D477:AD489,1,0)</f>
        <v>68.3</v>
      </c>
      <c r="AH478" s="2275" t="s">
        <v>706</v>
      </c>
      <c r="AI478" s="2275" t="s">
        <v>682</v>
      </c>
      <c r="AJ478" s="2275"/>
      <c r="AK478" s="2275"/>
      <c r="AL478" s="2275"/>
      <c r="AM478" s="2275"/>
      <c r="AN478" s="2275"/>
      <c r="AO478" s="2275"/>
      <c r="AP478" s="2250"/>
      <c r="AQ478" s="2250"/>
      <c r="AR478" s="2250"/>
      <c r="AS478" s="2250"/>
      <c r="AT478" s="2250"/>
      <c r="AU478" s="2250"/>
      <c r="AV478" s="2250"/>
      <c r="AW478" s="2250"/>
      <c r="AX478" s="2250"/>
      <c r="AY478" s="2250"/>
      <c r="AZ478" s="2250"/>
      <c r="BA478" s="2250"/>
      <c r="BB478" s="2250"/>
      <c r="BC478" s="2250"/>
      <c r="BD478" s="2250"/>
      <c r="BE478" s="2250"/>
      <c r="BF478" s="2276"/>
      <c r="BG478" s="2276"/>
      <c r="BH478" s="2250"/>
      <c r="BI478" s="2275"/>
      <c r="BJ478" s="2333"/>
      <c r="BK478" s="2333"/>
      <c r="BL478" s="2344">
        <v>0</v>
      </c>
      <c r="BM478" s="2344">
        <v>0</v>
      </c>
      <c r="BN478" s="2344">
        <v>0</v>
      </c>
      <c r="BO478" s="2344">
        <v>0</v>
      </c>
      <c r="BP478" s="2344">
        <v>0</v>
      </c>
      <c r="BQ478" s="2344">
        <v>0</v>
      </c>
      <c r="BR478" s="2344">
        <v>0</v>
      </c>
      <c r="BS478" s="2344">
        <v>0</v>
      </c>
      <c r="BT478" s="2344">
        <v>0</v>
      </c>
      <c r="BU478" s="2344">
        <v>0</v>
      </c>
      <c r="BV478" s="2344">
        <v>0</v>
      </c>
      <c r="BW478" s="2344">
        <v>0</v>
      </c>
      <c r="BX478" s="2344">
        <v>0</v>
      </c>
      <c r="BY478" s="2344">
        <v>0</v>
      </c>
      <c r="BZ478" s="2344">
        <v>0</v>
      </c>
      <c r="CA478" s="2344">
        <v>0</v>
      </c>
      <c r="CB478" s="2344">
        <v>0</v>
      </c>
      <c r="CC478" s="2344">
        <v>0</v>
      </c>
      <c r="CD478" s="2344">
        <v>0</v>
      </c>
      <c r="CE478" s="2344">
        <v>0</v>
      </c>
      <c r="CF478" s="2344">
        <v>0</v>
      </c>
      <c r="CG478" s="2344">
        <v>0</v>
      </c>
      <c r="CH478" s="2344">
        <v>0</v>
      </c>
      <c r="CI478" s="2344">
        <v>0</v>
      </c>
      <c r="CJ478" s="2344">
        <v>0</v>
      </c>
      <c r="CK478" s="2344">
        <v>0</v>
      </c>
      <c r="CL478" s="2344">
        <v>0</v>
      </c>
      <c r="CM478" s="2333"/>
      <c r="CN478" s="2275" t="s">
        <v>682</v>
      </c>
      <c r="CO478" s="2275">
        <f>HLOOKUP(CO476,BL477:CL489,1,0)</f>
        <v>73.7</v>
      </c>
      <c r="CP478" s="2275" t="s">
        <v>706</v>
      </c>
      <c r="CQ478" s="2275" t="s">
        <v>682</v>
      </c>
      <c r="CR478" s="2275"/>
      <c r="CS478" s="2275"/>
      <c r="CT478" s="2275"/>
      <c r="CU478" s="2275"/>
      <c r="CV478" s="2275"/>
      <c r="CW478" s="2275"/>
      <c r="CX478" s="2250"/>
      <c r="CY478" s="2250"/>
      <c r="CZ478" s="2250"/>
      <c r="DA478" s="2250"/>
      <c r="DB478" s="2250"/>
      <c r="DC478" s="2250"/>
      <c r="DD478" s="2250"/>
      <c r="DE478" s="2250"/>
      <c r="DF478" s="2250"/>
      <c r="DG478" s="2250"/>
      <c r="DH478" s="2250"/>
      <c r="DI478" s="2250"/>
      <c r="DJ478" s="2250"/>
      <c r="DK478" s="2250"/>
      <c r="DL478" s="2250"/>
      <c r="DM478" s="2250"/>
      <c r="DN478" s="2250"/>
      <c r="DO478" s="53"/>
      <c r="DP478" s="53"/>
      <c r="DS478" s="277"/>
      <c r="DW478" s="1"/>
      <c r="DX478" s="2333"/>
      <c r="DY478" s="2333"/>
      <c r="DZ478" s="2344"/>
      <c r="EA478" s="2344"/>
      <c r="EB478" s="2344"/>
      <c r="EC478" s="2344"/>
      <c r="ED478" s="2344"/>
      <c r="EE478" s="2344"/>
      <c r="EF478" s="2344"/>
      <c r="EG478" s="2344"/>
      <c r="EH478" s="2344"/>
      <c r="EI478" s="2344"/>
      <c r="EJ478" s="2344"/>
      <c r="EK478" s="2344"/>
      <c r="EL478" s="2344"/>
      <c r="EM478" s="2344"/>
      <c r="EN478" s="2344"/>
      <c r="EO478" s="2344"/>
      <c r="EP478" s="2344"/>
      <c r="EQ478" s="2344"/>
      <c r="ER478" s="2344"/>
      <c r="ES478" s="2344"/>
      <c r="ET478" s="2344"/>
      <c r="EU478" s="2344"/>
      <c r="EV478" s="2344"/>
      <c r="EW478" s="2344"/>
      <c r="EX478" s="2344"/>
      <c r="EY478" s="2344"/>
      <c r="EZ478" s="2344"/>
      <c r="FA478" s="2333"/>
      <c r="FB478" s="2275" t="s">
        <v>682</v>
      </c>
      <c r="FC478" s="2275">
        <f>HLOOKUP(FC476,DZ477:EZ489,1,0)</f>
        <v>43.9</v>
      </c>
      <c r="FD478" s="2275" t="s">
        <v>706</v>
      </c>
      <c r="FE478" s="2275" t="s">
        <v>682</v>
      </c>
      <c r="FF478" s="2275"/>
      <c r="FG478" s="2275"/>
      <c r="FH478" s="2275"/>
      <c r="FI478" s="2275"/>
      <c r="FJ478" s="2275"/>
      <c r="FK478" s="2275"/>
      <c r="FL478" s="2250"/>
      <c r="FM478" s="2250"/>
      <c r="FN478" s="2250"/>
      <c r="FO478" s="2250"/>
      <c r="FP478" s="2250"/>
      <c r="FQ478" s="2250"/>
      <c r="FR478" s="2250"/>
      <c r="FS478" s="2250"/>
      <c r="FT478" s="2250"/>
      <c r="FU478" s="2250"/>
      <c r="FV478" s="2250"/>
      <c r="FW478" s="2250"/>
      <c r="FX478" s="2250"/>
      <c r="FY478" s="2250"/>
      <c r="FZ478" s="2250"/>
      <c r="GA478" s="2250"/>
      <c r="GB478" s="2276"/>
      <c r="GC478" s="2276"/>
      <c r="GD478" s="2250"/>
      <c r="GE478" s="2275"/>
      <c r="GF478" s="2333"/>
      <c r="GG478" s="2333"/>
      <c r="GH478" s="2344">
        <v>0</v>
      </c>
      <c r="GI478" s="2344">
        <v>0</v>
      </c>
      <c r="GJ478" s="2344">
        <v>0</v>
      </c>
      <c r="GK478" s="2344">
        <v>0</v>
      </c>
      <c r="GL478" s="2344">
        <v>0</v>
      </c>
      <c r="GM478" s="2344">
        <v>0</v>
      </c>
      <c r="GN478" s="2344">
        <v>0</v>
      </c>
      <c r="GO478" s="2344">
        <v>0</v>
      </c>
      <c r="GP478" s="2344">
        <v>0</v>
      </c>
      <c r="GQ478" s="2344">
        <v>0</v>
      </c>
      <c r="GR478" s="2344">
        <v>0</v>
      </c>
      <c r="GS478" s="2344">
        <v>0</v>
      </c>
      <c r="GT478" s="2344">
        <v>0</v>
      </c>
      <c r="GU478" s="2344">
        <v>0</v>
      </c>
      <c r="GV478" s="2344">
        <v>0</v>
      </c>
      <c r="GW478" s="2344">
        <v>0</v>
      </c>
      <c r="GX478" s="2344">
        <v>0</v>
      </c>
      <c r="GY478" s="2344">
        <v>0</v>
      </c>
      <c r="GZ478" s="2344">
        <v>0</v>
      </c>
      <c r="HA478" s="2344">
        <v>0</v>
      </c>
      <c r="HB478" s="2344">
        <v>0</v>
      </c>
      <c r="HC478" s="2344">
        <v>0</v>
      </c>
      <c r="HD478" s="2344">
        <v>0</v>
      </c>
      <c r="HE478" s="2344">
        <v>0</v>
      </c>
      <c r="HF478" s="2344">
        <v>0</v>
      </c>
      <c r="HG478" s="2344">
        <v>0</v>
      </c>
      <c r="HH478" s="2344">
        <v>0</v>
      </c>
      <c r="HI478" s="2333"/>
      <c r="HJ478" s="2275" t="s">
        <v>682</v>
      </c>
      <c r="HK478" s="2275">
        <f>HLOOKUP(HK476,GH477:HH489,1,0)</f>
        <v>48.8</v>
      </c>
      <c r="HL478" s="2275" t="s">
        <v>706</v>
      </c>
      <c r="HM478" s="2275" t="s">
        <v>682</v>
      </c>
      <c r="HN478" s="2275"/>
      <c r="HO478" s="2275"/>
      <c r="HP478" s="2275"/>
      <c r="HQ478" s="2275"/>
      <c r="HR478" s="2275"/>
      <c r="HS478" s="2275"/>
      <c r="HT478" s="2250"/>
      <c r="HU478" s="2250"/>
      <c r="HV478" s="2250"/>
      <c r="HW478" s="2250"/>
      <c r="HX478" s="2250"/>
      <c r="HY478" s="2250"/>
      <c r="HZ478" s="2250"/>
      <c r="IA478" s="2250"/>
      <c r="IB478" s="2250"/>
      <c r="IC478" s="2250"/>
      <c r="ID478" s="2250"/>
      <c r="IE478" s="2250"/>
      <c r="IF478" s="2250"/>
      <c r="IG478" s="2250"/>
      <c r="IH478" s="2250"/>
      <c r="II478" s="2250"/>
      <c r="IJ478" s="2250"/>
      <c r="IK478" s="53"/>
      <c r="IL478" s="53"/>
      <c r="IN478" s="277"/>
      <c r="IO478" s="277"/>
    </row>
    <row r="479" spans="2:249" ht="21.95" customHeight="1">
      <c r="B479" s="4670" t="s">
        <v>733</v>
      </c>
      <c r="C479" s="2333">
        <v>475</v>
      </c>
      <c r="D479" s="2346">
        <v>2.33</v>
      </c>
      <c r="E479" s="2346">
        <v>2.58</v>
      </c>
      <c r="F479" s="2346">
        <v>2.76</v>
      </c>
      <c r="G479" s="2346">
        <v>2.94</v>
      </c>
      <c r="H479" s="2346">
        <v>3.13</v>
      </c>
      <c r="I479" s="2346">
        <v>3.19</v>
      </c>
      <c r="J479" s="2346">
        <v>3.44</v>
      </c>
      <c r="K479" s="2346">
        <v>3.62</v>
      </c>
      <c r="L479" s="2346">
        <v>3.93</v>
      </c>
      <c r="M479" s="2346">
        <v>4.1100000000000003</v>
      </c>
      <c r="N479" s="2346">
        <v>4.54</v>
      </c>
      <c r="O479" s="2346">
        <v>4.97</v>
      </c>
      <c r="P479" s="2346">
        <v>5.15</v>
      </c>
      <c r="Q479" s="2346">
        <v>5.4</v>
      </c>
      <c r="R479" s="2346">
        <v>5.58</v>
      </c>
      <c r="S479" s="2346">
        <v>5.89</v>
      </c>
      <c r="T479" s="2346">
        <v>6.26</v>
      </c>
      <c r="U479" s="2346">
        <v>6.81</v>
      </c>
      <c r="V479" s="2346">
        <v>7.24</v>
      </c>
      <c r="W479" s="2346">
        <v>7.67</v>
      </c>
      <c r="X479" s="2346">
        <v>8.2200000000000006</v>
      </c>
      <c r="Y479" s="2346">
        <v>9.08</v>
      </c>
      <c r="Z479" s="2346">
        <v>9.8800000000000008</v>
      </c>
      <c r="AA479" s="2346">
        <v>11.1</v>
      </c>
      <c r="AB479" s="2346">
        <v>12.45</v>
      </c>
      <c r="AC479" s="2346">
        <v>14.17</v>
      </c>
      <c r="AD479" s="2346">
        <v>16.559999999999999</v>
      </c>
      <c r="AE479" s="2347">
        <v>475</v>
      </c>
      <c r="AF479" s="2275"/>
      <c r="AG479" s="4671"/>
      <c r="AH479" s="4671"/>
      <c r="AI479" s="4671"/>
      <c r="AJ479" s="2275"/>
      <c r="AK479" s="2275"/>
      <c r="AL479" s="2275"/>
      <c r="AM479" s="2275"/>
      <c r="AN479" s="2275"/>
      <c r="AO479" s="2275"/>
      <c r="AP479" s="2250"/>
      <c r="AQ479" s="2250"/>
      <c r="AR479" s="2250"/>
      <c r="AS479" s="2250"/>
      <c r="AT479" s="2250"/>
      <c r="AU479" s="2250"/>
      <c r="AV479" s="2250"/>
      <c r="AW479" s="2250"/>
      <c r="AX479" s="2250"/>
      <c r="AY479" s="2250"/>
      <c r="AZ479" s="2250"/>
      <c r="BA479" s="2250"/>
      <c r="BB479" s="2250"/>
      <c r="BC479" s="2250"/>
      <c r="BD479" s="2250"/>
      <c r="BE479" s="2250"/>
      <c r="BF479" s="2276"/>
      <c r="BG479" s="2276"/>
      <c r="BH479" s="2250"/>
      <c r="BI479" s="2275"/>
      <c r="BJ479" s="4670" t="s">
        <v>733</v>
      </c>
      <c r="BK479" s="2345">
        <v>475</v>
      </c>
      <c r="BL479" s="2346">
        <v>2.33</v>
      </c>
      <c r="BM479" s="2346">
        <v>2.58</v>
      </c>
      <c r="BN479" s="2346">
        <v>2.76</v>
      </c>
      <c r="BO479" s="2346">
        <v>2.94</v>
      </c>
      <c r="BP479" s="2346">
        <v>3.13</v>
      </c>
      <c r="BQ479" s="2346">
        <v>3.19</v>
      </c>
      <c r="BR479" s="2346">
        <v>3.44</v>
      </c>
      <c r="BS479" s="2346">
        <v>3.62</v>
      </c>
      <c r="BT479" s="2346">
        <v>3.93</v>
      </c>
      <c r="BU479" s="2346">
        <v>4.1100000000000003</v>
      </c>
      <c r="BV479" s="2346">
        <v>4.54</v>
      </c>
      <c r="BW479" s="2346">
        <v>4.97</v>
      </c>
      <c r="BX479" s="2346">
        <v>5.15</v>
      </c>
      <c r="BY479" s="2346">
        <v>5.4</v>
      </c>
      <c r="BZ479" s="2346">
        <v>5.58</v>
      </c>
      <c r="CA479" s="2346">
        <v>5.89</v>
      </c>
      <c r="CB479" s="2346">
        <v>6.26</v>
      </c>
      <c r="CC479" s="2346">
        <v>6.81</v>
      </c>
      <c r="CD479" s="2346">
        <v>7.24</v>
      </c>
      <c r="CE479" s="2346">
        <v>7.67</v>
      </c>
      <c r="CF479" s="2346">
        <v>8.2200000000000006</v>
      </c>
      <c r="CG479" s="2346">
        <v>9.08</v>
      </c>
      <c r="CH479" s="2346">
        <v>9.8800000000000008</v>
      </c>
      <c r="CI479" s="2346">
        <v>11.1</v>
      </c>
      <c r="CJ479" s="2346">
        <v>12.45</v>
      </c>
      <c r="CK479" s="2346">
        <v>14.17</v>
      </c>
      <c r="CL479" s="2346">
        <v>16.559999999999999</v>
      </c>
      <c r="CM479" s="2347">
        <v>475</v>
      </c>
      <c r="CN479" s="2275"/>
      <c r="CO479" s="4671"/>
      <c r="CP479" s="4671"/>
      <c r="CQ479" s="4671"/>
      <c r="CR479" s="2275"/>
      <c r="CS479" s="2275"/>
      <c r="CT479" s="2275"/>
      <c r="CU479" s="2275"/>
      <c r="CV479" s="2275"/>
      <c r="CW479" s="2275"/>
      <c r="CX479" s="2250"/>
      <c r="CY479" s="2250"/>
      <c r="CZ479" s="2250"/>
      <c r="DA479" s="2250"/>
      <c r="DB479" s="2250"/>
      <c r="DC479" s="2250"/>
      <c r="DD479" s="2250"/>
      <c r="DE479" s="2250"/>
      <c r="DF479" s="2250"/>
      <c r="DG479" s="2250"/>
      <c r="DH479" s="2250"/>
      <c r="DI479" s="2250"/>
      <c r="DJ479" s="2250"/>
      <c r="DK479" s="2250"/>
      <c r="DL479" s="2250"/>
      <c r="DM479" s="2250"/>
      <c r="DN479" s="2250"/>
      <c r="DO479" s="53"/>
      <c r="DP479" s="53"/>
      <c r="DS479" s="277"/>
      <c r="DW479" s="1"/>
      <c r="DX479" s="4670" t="s">
        <v>733</v>
      </c>
      <c r="DY479" s="2333">
        <v>475</v>
      </c>
      <c r="DZ479" s="2346">
        <v>2.33</v>
      </c>
      <c r="EA479" s="2346">
        <v>2.58</v>
      </c>
      <c r="EB479" s="2346">
        <v>2.76</v>
      </c>
      <c r="EC479" s="2346">
        <v>2.94</v>
      </c>
      <c r="ED479" s="2346">
        <v>3.13</v>
      </c>
      <c r="EE479" s="2346">
        <v>3.19</v>
      </c>
      <c r="EF479" s="2346">
        <v>3.44</v>
      </c>
      <c r="EG479" s="2346">
        <v>3.62</v>
      </c>
      <c r="EH479" s="2346">
        <v>3.93</v>
      </c>
      <c r="EI479" s="2346">
        <v>4.1100000000000003</v>
      </c>
      <c r="EJ479" s="2346">
        <v>4.54</v>
      </c>
      <c r="EK479" s="2346">
        <v>4.97</v>
      </c>
      <c r="EL479" s="2346">
        <v>5.15</v>
      </c>
      <c r="EM479" s="2346">
        <v>5.4</v>
      </c>
      <c r="EN479" s="2346">
        <v>5.58</v>
      </c>
      <c r="EO479" s="2346">
        <v>5.89</v>
      </c>
      <c r="EP479" s="2346">
        <v>6.26</v>
      </c>
      <c r="EQ479" s="2346">
        <v>6.81</v>
      </c>
      <c r="ER479" s="2346">
        <v>7.24</v>
      </c>
      <c r="ES479" s="2346">
        <v>7.67</v>
      </c>
      <c r="ET479" s="2346">
        <v>8.2200000000000006</v>
      </c>
      <c r="EU479" s="2346">
        <v>9.08</v>
      </c>
      <c r="EV479" s="2346">
        <v>9.8800000000000008</v>
      </c>
      <c r="EW479" s="2346">
        <v>11.1</v>
      </c>
      <c r="EX479" s="2346">
        <v>12.45</v>
      </c>
      <c r="EY479" s="2346">
        <v>14.17</v>
      </c>
      <c r="EZ479" s="2346">
        <v>16.559999999999999</v>
      </c>
      <c r="FA479" s="2347">
        <v>475</v>
      </c>
      <c r="FB479" s="2275"/>
      <c r="FC479" s="4671"/>
      <c r="FD479" s="4671"/>
      <c r="FE479" s="4671"/>
      <c r="FF479" s="2275"/>
      <c r="FG479" s="2275"/>
      <c r="FH479" s="2275"/>
      <c r="FI479" s="2275"/>
      <c r="FJ479" s="2275"/>
      <c r="FK479" s="2275"/>
      <c r="FL479" s="2250"/>
      <c r="FM479" s="2250"/>
      <c r="FN479" s="2250"/>
      <c r="FO479" s="2250"/>
      <c r="FP479" s="2250"/>
      <c r="FQ479" s="2250"/>
      <c r="FR479" s="2250"/>
      <c r="FS479" s="2250"/>
      <c r="FT479" s="2250"/>
      <c r="FU479" s="2250"/>
      <c r="FV479" s="2250"/>
      <c r="FW479" s="2250"/>
      <c r="FX479" s="2250"/>
      <c r="FY479" s="2250"/>
      <c r="FZ479" s="2250"/>
      <c r="GA479" s="2250"/>
      <c r="GB479" s="2276"/>
      <c r="GC479" s="2276"/>
      <c r="GD479" s="2250"/>
      <c r="GE479" s="2275"/>
      <c r="GF479" s="4670" t="s">
        <v>733</v>
      </c>
      <c r="GG479" s="2345">
        <v>475</v>
      </c>
      <c r="GH479" s="2346">
        <v>2.33</v>
      </c>
      <c r="GI479" s="2346">
        <v>2.58</v>
      </c>
      <c r="GJ479" s="2346">
        <v>2.76</v>
      </c>
      <c r="GK479" s="2346">
        <v>2.94</v>
      </c>
      <c r="GL479" s="2346">
        <v>3.13</v>
      </c>
      <c r="GM479" s="2346">
        <v>3.19</v>
      </c>
      <c r="GN479" s="2346">
        <v>3.44</v>
      </c>
      <c r="GO479" s="2346">
        <v>3.62</v>
      </c>
      <c r="GP479" s="2346">
        <v>3.93</v>
      </c>
      <c r="GQ479" s="2346">
        <v>4.1100000000000003</v>
      </c>
      <c r="GR479" s="2346">
        <v>4.54</v>
      </c>
      <c r="GS479" s="2346">
        <v>4.97</v>
      </c>
      <c r="GT479" s="2346">
        <v>5.15</v>
      </c>
      <c r="GU479" s="2346">
        <v>5.4</v>
      </c>
      <c r="GV479" s="2346">
        <v>5.58</v>
      </c>
      <c r="GW479" s="2346">
        <v>5.89</v>
      </c>
      <c r="GX479" s="2346">
        <v>6.26</v>
      </c>
      <c r="GY479" s="2346">
        <v>6.81</v>
      </c>
      <c r="GZ479" s="2346">
        <v>7.24</v>
      </c>
      <c r="HA479" s="2346">
        <v>7.67</v>
      </c>
      <c r="HB479" s="2346">
        <v>8.2200000000000006</v>
      </c>
      <c r="HC479" s="2346">
        <v>9.08</v>
      </c>
      <c r="HD479" s="2346">
        <v>9.8800000000000008</v>
      </c>
      <c r="HE479" s="2346">
        <v>11.1</v>
      </c>
      <c r="HF479" s="2346">
        <v>12.45</v>
      </c>
      <c r="HG479" s="2346">
        <v>14.17</v>
      </c>
      <c r="HH479" s="2346">
        <v>16.559999999999999</v>
      </c>
      <c r="HI479" s="2347">
        <v>475</v>
      </c>
      <c r="HJ479" s="2275"/>
      <c r="HK479" s="4671"/>
      <c r="HL479" s="4671"/>
      <c r="HM479" s="4671"/>
      <c r="HN479" s="2275"/>
      <c r="HO479" s="2275"/>
      <c r="HP479" s="2275"/>
      <c r="HQ479" s="2275"/>
      <c r="HR479" s="2275"/>
      <c r="HS479" s="2275"/>
      <c r="HT479" s="2250"/>
      <c r="HU479" s="2250"/>
      <c r="HV479" s="2250"/>
      <c r="HW479" s="2250"/>
      <c r="HX479" s="2250"/>
      <c r="HY479" s="2250"/>
      <c r="HZ479" s="2250"/>
      <c r="IA479" s="2250"/>
      <c r="IB479" s="2250"/>
      <c r="IC479" s="2250"/>
      <c r="ID479" s="2250"/>
      <c r="IE479" s="2250"/>
      <c r="IF479" s="2250"/>
      <c r="IG479" s="2250"/>
      <c r="IH479" s="2250"/>
      <c r="II479" s="2250"/>
      <c r="IJ479" s="2250"/>
      <c r="IK479" s="53"/>
      <c r="IL479" s="53"/>
      <c r="IN479" s="277"/>
      <c r="IO479" s="277"/>
    </row>
    <row r="480" spans="2:249" ht="21.95" customHeight="1">
      <c r="B480" s="4670"/>
      <c r="C480" s="2345">
        <v>550</v>
      </c>
      <c r="D480" s="2346">
        <v>4.5999999999999996</v>
      </c>
      <c r="E480" s="2346">
        <v>4.97</v>
      </c>
      <c r="F480" s="2346">
        <v>5.34</v>
      </c>
      <c r="G480" s="2346">
        <v>5.77</v>
      </c>
      <c r="H480" s="2346">
        <v>6.13</v>
      </c>
      <c r="I480" s="2346">
        <v>6.2</v>
      </c>
      <c r="J480" s="2346">
        <v>6.69</v>
      </c>
      <c r="K480" s="2346">
        <v>7.12</v>
      </c>
      <c r="L480" s="2346">
        <v>7.55</v>
      </c>
      <c r="M480" s="2346">
        <v>8.0399999999999991</v>
      </c>
      <c r="N480" s="2346">
        <v>8.9</v>
      </c>
      <c r="O480" s="2346">
        <v>9.51</v>
      </c>
      <c r="P480" s="2346">
        <v>10.06</v>
      </c>
      <c r="Q480" s="2346">
        <v>10.55</v>
      </c>
      <c r="R480" s="2346">
        <v>10.86</v>
      </c>
      <c r="S480" s="2346">
        <v>11.53</v>
      </c>
      <c r="T480" s="2346">
        <v>12.39</v>
      </c>
      <c r="U480" s="2346">
        <v>13.25</v>
      </c>
      <c r="V480" s="2346">
        <v>14.11</v>
      </c>
      <c r="W480" s="2346">
        <v>15.21</v>
      </c>
      <c r="X480" s="2346">
        <v>16.260000000000002</v>
      </c>
      <c r="Y480" s="2346">
        <v>17.79</v>
      </c>
      <c r="Z480" s="2346">
        <v>19.329999999999998</v>
      </c>
      <c r="AA480" s="2346">
        <v>21.53</v>
      </c>
      <c r="AB480" s="2346">
        <v>24.05</v>
      </c>
      <c r="AC480" s="2346">
        <v>26.87</v>
      </c>
      <c r="AD480" s="2346">
        <v>29.69</v>
      </c>
      <c r="AE480" s="2347">
        <v>550</v>
      </c>
      <c r="AF480" s="2275"/>
      <c r="AG480" s="2275">
        <f>HLOOKUP(AG476,D477:AD489,2,0)</f>
        <v>0</v>
      </c>
      <c r="AH480" s="2275">
        <f>+AG481</f>
        <v>6.81</v>
      </c>
      <c r="AI480" s="2275">
        <v>475</v>
      </c>
      <c r="AJ480" s="2275"/>
      <c r="AK480" s="2275"/>
      <c r="AL480" s="2275"/>
      <c r="AM480" s="2275"/>
      <c r="AN480" s="2275"/>
      <c r="AO480" s="2275"/>
      <c r="AP480" s="2250"/>
      <c r="AQ480" s="2250"/>
      <c r="AR480" s="2250"/>
      <c r="AS480" s="2250"/>
      <c r="AT480" s="2250"/>
      <c r="AU480" s="2250"/>
      <c r="AV480" s="2250"/>
      <c r="AW480" s="2250"/>
      <c r="AX480" s="2250"/>
      <c r="AY480" s="2250"/>
      <c r="AZ480" s="2250"/>
      <c r="BA480" s="2250"/>
      <c r="BB480" s="2250"/>
      <c r="BC480" s="2250"/>
      <c r="BD480" s="2250"/>
      <c r="BE480" s="2250"/>
      <c r="BF480" s="2276"/>
      <c r="BG480" s="2276"/>
      <c r="BH480" s="2250"/>
      <c r="BI480" s="2275"/>
      <c r="BJ480" s="4670"/>
      <c r="BK480" s="2345">
        <v>550</v>
      </c>
      <c r="BL480" s="2346">
        <v>4.5999999999999996</v>
      </c>
      <c r="BM480" s="2346">
        <v>4.97</v>
      </c>
      <c r="BN480" s="2346">
        <v>5.34</v>
      </c>
      <c r="BO480" s="2346">
        <v>5.77</v>
      </c>
      <c r="BP480" s="2346">
        <v>6.13</v>
      </c>
      <c r="BQ480" s="2346">
        <v>6.2</v>
      </c>
      <c r="BR480" s="2346">
        <v>6.69</v>
      </c>
      <c r="BS480" s="2346">
        <v>7.12</v>
      </c>
      <c r="BT480" s="2346">
        <v>7.55</v>
      </c>
      <c r="BU480" s="2346">
        <v>8.0399999999999991</v>
      </c>
      <c r="BV480" s="2346">
        <v>8.9</v>
      </c>
      <c r="BW480" s="2346">
        <v>9.51</v>
      </c>
      <c r="BX480" s="2346">
        <v>10.06</v>
      </c>
      <c r="BY480" s="2346">
        <v>10.55</v>
      </c>
      <c r="BZ480" s="2346">
        <v>10.86</v>
      </c>
      <c r="CA480" s="2346">
        <v>11.53</v>
      </c>
      <c r="CB480" s="2346">
        <v>12.39</v>
      </c>
      <c r="CC480" s="2346">
        <v>13.25</v>
      </c>
      <c r="CD480" s="2346">
        <v>14.11</v>
      </c>
      <c r="CE480" s="2346">
        <v>15.21</v>
      </c>
      <c r="CF480" s="2346">
        <v>16.260000000000002</v>
      </c>
      <c r="CG480" s="2346">
        <v>17.79</v>
      </c>
      <c r="CH480" s="2346">
        <v>19.329999999999998</v>
      </c>
      <c r="CI480" s="2346">
        <v>21.53</v>
      </c>
      <c r="CJ480" s="2346">
        <v>24.05</v>
      </c>
      <c r="CK480" s="2346">
        <v>26.87</v>
      </c>
      <c r="CL480" s="2346">
        <v>29.69</v>
      </c>
      <c r="CM480" s="2347">
        <v>550</v>
      </c>
      <c r="CN480" s="2275"/>
      <c r="CO480" s="2275">
        <f>HLOOKUP(CO476,BL477:CL489,2,0)</f>
        <v>0</v>
      </c>
      <c r="CP480" s="2275">
        <f t="shared" ref="CP480:CP490" si="277">+CO481</f>
        <v>6.26</v>
      </c>
      <c r="CQ480" s="2275">
        <v>475</v>
      </c>
      <c r="CR480" s="2275"/>
      <c r="CS480" s="2275"/>
      <c r="CT480" s="2275"/>
      <c r="CU480" s="2275"/>
      <c r="CV480" s="2275"/>
      <c r="CW480" s="2275"/>
      <c r="CX480" s="2250"/>
      <c r="CY480" s="2250"/>
      <c r="CZ480" s="2250"/>
      <c r="DA480" s="2250"/>
      <c r="DB480" s="2250"/>
      <c r="DC480" s="2250"/>
      <c r="DD480" s="2250"/>
      <c r="DE480" s="2250"/>
      <c r="DF480" s="2250"/>
      <c r="DG480" s="2250"/>
      <c r="DH480" s="2250"/>
      <c r="DI480" s="2250"/>
      <c r="DJ480" s="2250"/>
      <c r="DK480" s="2250"/>
      <c r="DL480" s="2250"/>
      <c r="DM480" s="2250"/>
      <c r="DN480" s="2250"/>
      <c r="DO480" s="53"/>
      <c r="DP480" s="53"/>
      <c r="DS480" s="277"/>
      <c r="DW480" s="1"/>
      <c r="DX480" s="4670"/>
      <c r="DY480" s="2345">
        <v>550</v>
      </c>
      <c r="DZ480" s="2346">
        <v>4.5999999999999996</v>
      </c>
      <c r="EA480" s="2346">
        <v>4.97</v>
      </c>
      <c r="EB480" s="2346">
        <v>5.34</v>
      </c>
      <c r="EC480" s="2346">
        <v>5.77</v>
      </c>
      <c r="ED480" s="2346">
        <v>6.13</v>
      </c>
      <c r="EE480" s="2346">
        <v>6.2</v>
      </c>
      <c r="EF480" s="2346">
        <v>6.69</v>
      </c>
      <c r="EG480" s="2346">
        <v>7.12</v>
      </c>
      <c r="EH480" s="2346">
        <v>7.55</v>
      </c>
      <c r="EI480" s="2346">
        <v>8.0399999999999991</v>
      </c>
      <c r="EJ480" s="2346">
        <v>8.9</v>
      </c>
      <c r="EK480" s="2346">
        <v>9.51</v>
      </c>
      <c r="EL480" s="2346">
        <v>10.06</v>
      </c>
      <c r="EM480" s="2346">
        <v>10.55</v>
      </c>
      <c r="EN480" s="2346">
        <v>10.86</v>
      </c>
      <c r="EO480" s="2346">
        <v>11.53</v>
      </c>
      <c r="EP480" s="2346">
        <v>12.39</v>
      </c>
      <c r="EQ480" s="2346">
        <v>13.25</v>
      </c>
      <c r="ER480" s="2346">
        <v>14.11</v>
      </c>
      <c r="ES480" s="2346">
        <v>15.21</v>
      </c>
      <c r="ET480" s="2346">
        <v>16.260000000000002</v>
      </c>
      <c r="EU480" s="2346">
        <v>17.79</v>
      </c>
      <c r="EV480" s="2346">
        <v>19.329999999999998</v>
      </c>
      <c r="EW480" s="2346">
        <v>21.53</v>
      </c>
      <c r="EX480" s="2346">
        <v>24.05</v>
      </c>
      <c r="EY480" s="2346">
        <v>26.87</v>
      </c>
      <c r="EZ480" s="2346">
        <v>29.69</v>
      </c>
      <c r="FA480" s="2347">
        <v>550</v>
      </c>
      <c r="FB480" s="2275"/>
      <c r="FC480" s="2275">
        <f>HLOOKUP(FC476,DZ477:EZ489,2,0)</f>
        <v>0</v>
      </c>
      <c r="FD480" s="2275">
        <f t="shared" ref="FD480:FD490" si="278">+FC481</f>
        <v>9.8800000000000008</v>
      </c>
      <c r="FE480" s="2275">
        <v>475</v>
      </c>
      <c r="FF480" s="2275"/>
      <c r="FG480" s="2275"/>
      <c r="FH480" s="2275"/>
      <c r="FI480" s="2275"/>
      <c r="FJ480" s="2275"/>
      <c r="FK480" s="2275"/>
      <c r="FL480" s="2250"/>
      <c r="FM480" s="2250"/>
      <c r="FN480" s="2250"/>
      <c r="FO480" s="2250"/>
      <c r="FP480" s="2250"/>
      <c r="FQ480" s="2250"/>
      <c r="FR480" s="2250"/>
      <c r="FS480" s="2250"/>
      <c r="FT480" s="2250"/>
      <c r="FU480" s="2250"/>
      <c r="FV480" s="2250"/>
      <c r="FW480" s="2250"/>
      <c r="FX480" s="2250"/>
      <c r="FY480" s="2250"/>
      <c r="FZ480" s="2250"/>
      <c r="GA480" s="2250"/>
      <c r="GB480" s="2276"/>
      <c r="GC480" s="2276"/>
      <c r="GD480" s="2250"/>
      <c r="GE480" s="2275"/>
      <c r="GF480" s="4670"/>
      <c r="GG480" s="2345">
        <v>550</v>
      </c>
      <c r="GH480" s="2346">
        <v>4.5999999999999996</v>
      </c>
      <c r="GI480" s="2346">
        <v>4.97</v>
      </c>
      <c r="GJ480" s="2346">
        <v>5.34</v>
      </c>
      <c r="GK480" s="2346">
        <v>5.77</v>
      </c>
      <c r="GL480" s="2346">
        <v>6.13</v>
      </c>
      <c r="GM480" s="2346">
        <v>6.2</v>
      </c>
      <c r="GN480" s="2346">
        <v>6.69</v>
      </c>
      <c r="GO480" s="2346">
        <v>7.12</v>
      </c>
      <c r="GP480" s="2346">
        <v>7.55</v>
      </c>
      <c r="GQ480" s="2346">
        <v>8.0399999999999991</v>
      </c>
      <c r="GR480" s="2346">
        <v>8.9</v>
      </c>
      <c r="GS480" s="2346">
        <v>9.51</v>
      </c>
      <c r="GT480" s="2346">
        <v>10.06</v>
      </c>
      <c r="GU480" s="2346">
        <v>10.55</v>
      </c>
      <c r="GV480" s="2346">
        <v>10.86</v>
      </c>
      <c r="GW480" s="2346">
        <v>11.53</v>
      </c>
      <c r="GX480" s="2346">
        <v>12.39</v>
      </c>
      <c r="GY480" s="2346">
        <v>13.25</v>
      </c>
      <c r="GZ480" s="2346">
        <v>14.11</v>
      </c>
      <c r="HA480" s="2346">
        <v>15.21</v>
      </c>
      <c r="HB480" s="2346">
        <v>16.260000000000002</v>
      </c>
      <c r="HC480" s="2346">
        <v>17.79</v>
      </c>
      <c r="HD480" s="2346">
        <v>19.329999999999998</v>
      </c>
      <c r="HE480" s="2346">
        <v>21.53</v>
      </c>
      <c r="HF480" s="2346">
        <v>24.05</v>
      </c>
      <c r="HG480" s="2346">
        <v>26.87</v>
      </c>
      <c r="HH480" s="2346">
        <v>29.69</v>
      </c>
      <c r="HI480" s="2347">
        <v>550</v>
      </c>
      <c r="HJ480" s="2275"/>
      <c r="HK480" s="2275">
        <f>HLOOKUP(HK476,GH477:HH489,2,0)</f>
        <v>0</v>
      </c>
      <c r="HL480" s="2275">
        <f t="shared" ref="HL480:HL490" si="279">+HK481</f>
        <v>9.08</v>
      </c>
      <c r="HM480" s="2275">
        <v>475</v>
      </c>
      <c r="HN480" s="2275"/>
      <c r="HO480" s="2275"/>
      <c r="HP480" s="2275"/>
      <c r="HQ480" s="2275"/>
      <c r="HR480" s="2275"/>
      <c r="HS480" s="2275"/>
      <c r="HT480" s="2250"/>
      <c r="HU480" s="2250"/>
      <c r="HV480" s="2250"/>
      <c r="HW480" s="2250"/>
      <c r="HX480" s="2250"/>
      <c r="HY480" s="2250"/>
      <c r="HZ480" s="2250"/>
      <c r="IA480" s="2250"/>
      <c r="IB480" s="2250"/>
      <c r="IC480" s="2250"/>
      <c r="ID480" s="2250"/>
      <c r="IE480" s="2250"/>
      <c r="IF480" s="2250"/>
      <c r="IG480" s="2250"/>
      <c r="IH480" s="2250"/>
      <c r="II480" s="2250"/>
      <c r="IJ480" s="2250"/>
      <c r="IK480" s="53"/>
      <c r="IL480" s="53"/>
      <c r="IN480" s="277"/>
      <c r="IO480" s="277"/>
    </row>
    <row r="481" spans="2:249" ht="21.95" customHeight="1">
      <c r="B481" s="4670"/>
      <c r="C481" s="2345">
        <v>650</v>
      </c>
      <c r="D481" s="2346">
        <v>7.73</v>
      </c>
      <c r="E481" s="2346">
        <v>8.59</v>
      </c>
      <c r="F481" s="2346">
        <v>9.26</v>
      </c>
      <c r="G481" s="2346">
        <v>9.94</v>
      </c>
      <c r="H481" s="2346">
        <v>10.18</v>
      </c>
      <c r="I481" s="2346">
        <v>10.74</v>
      </c>
      <c r="J481" s="2346">
        <v>11.53</v>
      </c>
      <c r="K481" s="2346">
        <v>12.33</v>
      </c>
      <c r="L481" s="2346">
        <v>13.07</v>
      </c>
      <c r="M481" s="2346">
        <v>13.93</v>
      </c>
      <c r="N481" s="2346">
        <v>15.4</v>
      </c>
      <c r="O481" s="2346">
        <v>16.690000000000001</v>
      </c>
      <c r="P481" s="2346">
        <v>17.239999999999998</v>
      </c>
      <c r="Q481" s="2346">
        <v>18.22</v>
      </c>
      <c r="R481" s="2346">
        <v>19.2</v>
      </c>
      <c r="S481" s="2346">
        <v>19.82</v>
      </c>
      <c r="T481" s="2346">
        <v>21.1</v>
      </c>
      <c r="U481" s="2346">
        <v>22.39</v>
      </c>
      <c r="V481" s="2346">
        <v>24.11</v>
      </c>
      <c r="W481" s="2346">
        <v>26.13</v>
      </c>
      <c r="X481" s="2346">
        <v>28.16</v>
      </c>
      <c r="Y481" s="2346">
        <v>30.18</v>
      </c>
      <c r="Z481" s="2346">
        <v>32.82</v>
      </c>
      <c r="AA481" s="2346">
        <v>36.01</v>
      </c>
      <c r="AB481" s="2346">
        <v>40.369999999999997</v>
      </c>
      <c r="AC481" s="2346">
        <v>47.36</v>
      </c>
      <c r="AD481" s="2346">
        <v>20.61</v>
      </c>
      <c r="AE481" s="2347">
        <v>650</v>
      </c>
      <c r="AF481" s="2275"/>
      <c r="AG481" s="2275">
        <f>HLOOKUP(AG476,D477:AD489,3,0)</f>
        <v>6.81</v>
      </c>
      <c r="AH481" s="2275">
        <f t="shared" ref="AH481:AH490" si="280">+AG482</f>
        <v>13.25</v>
      </c>
      <c r="AI481" s="2275">
        <v>550</v>
      </c>
      <c r="AJ481" s="2275"/>
      <c r="AK481" s="2275"/>
      <c r="AL481" s="2275"/>
      <c r="AM481" s="2275"/>
      <c r="AN481" s="2275"/>
      <c r="AO481" s="2275"/>
      <c r="AP481" s="2250"/>
      <c r="AQ481" s="2250"/>
      <c r="AR481" s="2250"/>
      <c r="AS481" s="2250"/>
      <c r="AT481" s="2250"/>
      <c r="AU481" s="2250"/>
      <c r="AV481" s="2250"/>
      <c r="AW481" s="2250"/>
      <c r="AX481" s="2250"/>
      <c r="AY481" s="2250"/>
      <c r="AZ481" s="2250"/>
      <c r="BA481" s="2250"/>
      <c r="BB481" s="2250"/>
      <c r="BC481" s="2250"/>
      <c r="BD481" s="2250"/>
      <c r="BE481" s="2250"/>
      <c r="BF481" s="2276"/>
      <c r="BG481" s="2276"/>
      <c r="BH481" s="2250"/>
      <c r="BI481" s="2275"/>
      <c r="BJ481" s="4670"/>
      <c r="BK481" s="2345">
        <v>650</v>
      </c>
      <c r="BL481" s="2346">
        <v>7.73</v>
      </c>
      <c r="BM481" s="2346">
        <v>8.59</v>
      </c>
      <c r="BN481" s="2346">
        <v>9.26</v>
      </c>
      <c r="BO481" s="2346">
        <v>9.94</v>
      </c>
      <c r="BP481" s="2346">
        <v>10.18</v>
      </c>
      <c r="BQ481" s="2346">
        <v>10.74</v>
      </c>
      <c r="BR481" s="2346">
        <v>11.53</v>
      </c>
      <c r="BS481" s="2346">
        <v>12.33</v>
      </c>
      <c r="BT481" s="2346">
        <v>13.07</v>
      </c>
      <c r="BU481" s="2346">
        <v>13.93</v>
      </c>
      <c r="BV481" s="2346">
        <v>15.4</v>
      </c>
      <c r="BW481" s="2346">
        <v>16.690000000000001</v>
      </c>
      <c r="BX481" s="2346">
        <v>17.239999999999998</v>
      </c>
      <c r="BY481" s="2346">
        <v>18.22</v>
      </c>
      <c r="BZ481" s="2346">
        <v>19.2</v>
      </c>
      <c r="CA481" s="2346">
        <v>19.82</v>
      </c>
      <c r="CB481" s="2346">
        <v>21.1</v>
      </c>
      <c r="CC481" s="2346">
        <v>22.39</v>
      </c>
      <c r="CD481" s="2346">
        <v>24.11</v>
      </c>
      <c r="CE481" s="2346">
        <v>26.13</v>
      </c>
      <c r="CF481" s="2346">
        <v>28.16</v>
      </c>
      <c r="CG481" s="2346">
        <v>30.18</v>
      </c>
      <c r="CH481" s="2346">
        <v>32.82</v>
      </c>
      <c r="CI481" s="2346">
        <v>36.01</v>
      </c>
      <c r="CJ481" s="2346">
        <v>40.369999999999997</v>
      </c>
      <c r="CK481" s="2346">
        <v>47.36</v>
      </c>
      <c r="CL481" s="2346">
        <v>20.61</v>
      </c>
      <c r="CM481" s="2347">
        <v>650</v>
      </c>
      <c r="CN481" s="2275"/>
      <c r="CO481" s="2275">
        <f>HLOOKUP(CO476,BL477:CL489,3,0)</f>
        <v>6.26</v>
      </c>
      <c r="CP481" s="2275">
        <f t="shared" si="277"/>
        <v>12.39</v>
      </c>
      <c r="CQ481" s="2275">
        <v>550</v>
      </c>
      <c r="CR481" s="2275"/>
      <c r="CS481" s="2275"/>
      <c r="CT481" s="2275"/>
      <c r="CU481" s="2275"/>
      <c r="CV481" s="2275"/>
      <c r="CW481" s="2275"/>
      <c r="CX481" s="2250"/>
      <c r="CY481" s="2250"/>
      <c r="CZ481" s="2250"/>
      <c r="DA481" s="2250"/>
      <c r="DB481" s="2250"/>
      <c r="DC481" s="2250"/>
      <c r="DD481" s="2250"/>
      <c r="DE481" s="2250"/>
      <c r="DF481" s="2250"/>
      <c r="DG481" s="2250"/>
      <c r="DH481" s="2250"/>
      <c r="DI481" s="2250"/>
      <c r="DJ481" s="2250"/>
      <c r="DK481" s="2250"/>
      <c r="DL481" s="2250"/>
      <c r="DM481" s="2250"/>
      <c r="DN481" s="2250"/>
      <c r="DO481" s="53"/>
      <c r="DP481" s="53"/>
      <c r="DS481" s="277"/>
      <c r="DW481" s="1"/>
      <c r="DX481" s="4670"/>
      <c r="DY481" s="2345">
        <v>650</v>
      </c>
      <c r="DZ481" s="2346">
        <v>7.73</v>
      </c>
      <c r="EA481" s="2346">
        <v>8.59</v>
      </c>
      <c r="EB481" s="2346">
        <v>9.26</v>
      </c>
      <c r="EC481" s="2346">
        <v>9.94</v>
      </c>
      <c r="ED481" s="2346">
        <v>10.18</v>
      </c>
      <c r="EE481" s="2346">
        <v>10.74</v>
      </c>
      <c r="EF481" s="2346">
        <v>11.53</v>
      </c>
      <c r="EG481" s="2346">
        <v>12.33</v>
      </c>
      <c r="EH481" s="2346">
        <v>13.07</v>
      </c>
      <c r="EI481" s="2346">
        <v>13.93</v>
      </c>
      <c r="EJ481" s="2346">
        <v>15.4</v>
      </c>
      <c r="EK481" s="2346">
        <v>16.690000000000001</v>
      </c>
      <c r="EL481" s="2346">
        <v>17.239999999999998</v>
      </c>
      <c r="EM481" s="2346">
        <v>18.22</v>
      </c>
      <c r="EN481" s="2346">
        <v>19.2</v>
      </c>
      <c r="EO481" s="2346">
        <v>19.82</v>
      </c>
      <c r="EP481" s="2346">
        <v>21.1</v>
      </c>
      <c r="EQ481" s="2346">
        <v>22.39</v>
      </c>
      <c r="ER481" s="2346">
        <v>24.11</v>
      </c>
      <c r="ES481" s="2346">
        <v>26.13</v>
      </c>
      <c r="ET481" s="2346">
        <v>28.16</v>
      </c>
      <c r="EU481" s="2346">
        <v>30.18</v>
      </c>
      <c r="EV481" s="2346">
        <v>32.82</v>
      </c>
      <c r="EW481" s="2346">
        <v>36.01</v>
      </c>
      <c r="EX481" s="2346">
        <v>40.369999999999997</v>
      </c>
      <c r="EY481" s="2346">
        <v>47.36</v>
      </c>
      <c r="EZ481" s="2346">
        <v>20.61</v>
      </c>
      <c r="FA481" s="2347">
        <v>650</v>
      </c>
      <c r="FB481" s="2275"/>
      <c r="FC481" s="2275">
        <f>HLOOKUP(FC476,DZ477:EZ489,3,0)</f>
        <v>9.8800000000000008</v>
      </c>
      <c r="FD481" s="2275">
        <f t="shared" si="278"/>
        <v>19.329999999999998</v>
      </c>
      <c r="FE481" s="2275">
        <v>550</v>
      </c>
      <c r="FF481" s="2275"/>
      <c r="FG481" s="2275"/>
      <c r="FH481" s="2275"/>
      <c r="FI481" s="2275"/>
      <c r="FJ481" s="2275"/>
      <c r="FK481" s="2275"/>
      <c r="FL481" s="2250"/>
      <c r="FM481" s="2250"/>
      <c r="FN481" s="2250"/>
      <c r="FO481" s="2250"/>
      <c r="FP481" s="2250"/>
      <c r="FQ481" s="2250"/>
      <c r="FR481" s="2250"/>
      <c r="FS481" s="2250"/>
      <c r="FT481" s="2250"/>
      <c r="FU481" s="2250"/>
      <c r="FV481" s="2250"/>
      <c r="FW481" s="2250"/>
      <c r="FX481" s="2250"/>
      <c r="FY481" s="2250"/>
      <c r="FZ481" s="2250"/>
      <c r="GA481" s="2250"/>
      <c r="GB481" s="2276"/>
      <c r="GC481" s="2276"/>
      <c r="GD481" s="2250"/>
      <c r="GE481" s="2275"/>
      <c r="GF481" s="4670"/>
      <c r="GG481" s="2345">
        <v>650</v>
      </c>
      <c r="GH481" s="2346">
        <v>7.73</v>
      </c>
      <c r="GI481" s="2346">
        <v>8.59</v>
      </c>
      <c r="GJ481" s="2346">
        <v>9.26</v>
      </c>
      <c r="GK481" s="2346">
        <v>9.94</v>
      </c>
      <c r="GL481" s="2346">
        <v>10.18</v>
      </c>
      <c r="GM481" s="2346">
        <v>10.74</v>
      </c>
      <c r="GN481" s="2346">
        <v>11.53</v>
      </c>
      <c r="GO481" s="2346">
        <v>12.33</v>
      </c>
      <c r="GP481" s="2346">
        <v>13.07</v>
      </c>
      <c r="GQ481" s="2346">
        <v>13.93</v>
      </c>
      <c r="GR481" s="2346">
        <v>15.4</v>
      </c>
      <c r="GS481" s="2346">
        <v>16.690000000000001</v>
      </c>
      <c r="GT481" s="2346">
        <v>17.239999999999998</v>
      </c>
      <c r="GU481" s="2346">
        <v>18.22</v>
      </c>
      <c r="GV481" s="2346">
        <v>19.2</v>
      </c>
      <c r="GW481" s="2346">
        <v>19.82</v>
      </c>
      <c r="GX481" s="2346">
        <v>21.1</v>
      </c>
      <c r="GY481" s="2346">
        <v>22.39</v>
      </c>
      <c r="GZ481" s="2346">
        <v>24.11</v>
      </c>
      <c r="HA481" s="2346">
        <v>26.13</v>
      </c>
      <c r="HB481" s="2346">
        <v>28.16</v>
      </c>
      <c r="HC481" s="2346">
        <v>30.18</v>
      </c>
      <c r="HD481" s="2346">
        <v>32.82</v>
      </c>
      <c r="HE481" s="2346">
        <v>36.01</v>
      </c>
      <c r="HF481" s="2346">
        <v>40.369999999999997</v>
      </c>
      <c r="HG481" s="2346">
        <v>47.36</v>
      </c>
      <c r="HH481" s="2346">
        <v>20.61</v>
      </c>
      <c r="HI481" s="2347">
        <v>650</v>
      </c>
      <c r="HJ481" s="2275"/>
      <c r="HK481" s="2275">
        <f>HLOOKUP(HK476,GH477:HH489,3,0)</f>
        <v>9.08</v>
      </c>
      <c r="HL481" s="2275">
        <f t="shared" si="279"/>
        <v>17.79</v>
      </c>
      <c r="HM481" s="2275">
        <v>550</v>
      </c>
      <c r="HN481" s="2275"/>
      <c r="HO481" s="2275"/>
      <c r="HP481" s="2275"/>
      <c r="HQ481" s="2275"/>
      <c r="HR481" s="2275"/>
      <c r="HS481" s="2275"/>
      <c r="HT481" s="2250"/>
      <c r="HU481" s="2250"/>
      <c r="HV481" s="2250"/>
      <c r="HW481" s="2250"/>
      <c r="HX481" s="2250"/>
      <c r="HY481" s="2250"/>
      <c r="HZ481" s="2250"/>
      <c r="IA481" s="2250"/>
      <c r="IB481" s="2250"/>
      <c r="IC481" s="2250"/>
      <c r="ID481" s="2250"/>
      <c r="IE481" s="2250"/>
      <c r="IF481" s="2250"/>
      <c r="IG481" s="2250"/>
      <c r="IH481" s="2250"/>
      <c r="II481" s="2250"/>
      <c r="IJ481" s="2250"/>
      <c r="IK481" s="53"/>
      <c r="IL481" s="53"/>
      <c r="IN481" s="277"/>
      <c r="IO481" s="277"/>
    </row>
    <row r="482" spans="2:249" ht="21.95" customHeight="1">
      <c r="B482" s="4671"/>
      <c r="C482" s="2345">
        <v>775</v>
      </c>
      <c r="D482" s="2346">
        <v>11.9</v>
      </c>
      <c r="E482" s="2346">
        <v>13.44</v>
      </c>
      <c r="F482" s="2346">
        <v>14.72</v>
      </c>
      <c r="G482" s="2346">
        <v>15.83</v>
      </c>
      <c r="H482" s="2346">
        <v>16.809999999999999</v>
      </c>
      <c r="I482" s="2346">
        <v>16.93</v>
      </c>
      <c r="J482" s="2346">
        <v>18.28</v>
      </c>
      <c r="K482" s="2346">
        <v>19.57</v>
      </c>
      <c r="L482" s="2346">
        <v>20.74</v>
      </c>
      <c r="M482" s="2346">
        <v>22.09</v>
      </c>
      <c r="N482" s="2346">
        <v>24.42</v>
      </c>
      <c r="O482" s="2346">
        <v>26.26</v>
      </c>
      <c r="P482" s="2346">
        <v>27.55</v>
      </c>
      <c r="Q482" s="2346">
        <v>28.96</v>
      </c>
      <c r="R482" s="2346">
        <v>29.82</v>
      </c>
      <c r="S482" s="2346">
        <v>31.53</v>
      </c>
      <c r="T482" s="2346">
        <v>33.5</v>
      </c>
      <c r="U482" s="2346">
        <v>36.32</v>
      </c>
      <c r="V482" s="2346">
        <v>38.71</v>
      </c>
      <c r="W482" s="2346">
        <v>41.41</v>
      </c>
      <c r="X482" s="2346">
        <v>44.17</v>
      </c>
      <c r="Y482" s="2346">
        <v>48.77</v>
      </c>
      <c r="Z482" s="2346">
        <v>53.31</v>
      </c>
      <c r="AA482" s="2346">
        <v>59.08</v>
      </c>
      <c r="AB482" s="2346">
        <v>66.319999999999993</v>
      </c>
      <c r="AC482" s="2346">
        <v>75.89</v>
      </c>
      <c r="AD482" s="2346">
        <v>81.47</v>
      </c>
      <c r="AE482" s="2347">
        <v>775</v>
      </c>
      <c r="AF482" s="2275"/>
      <c r="AG482" s="2275">
        <f>HLOOKUP(AG476,D477:AD489,4,0)</f>
        <v>13.25</v>
      </c>
      <c r="AH482" s="2275">
        <f t="shared" si="280"/>
        <v>22.39</v>
      </c>
      <c r="AI482" s="2275">
        <v>650</v>
      </c>
      <c r="AJ482" s="2275"/>
      <c r="AK482" s="2275"/>
      <c r="AL482" s="2275"/>
      <c r="AM482" s="2275"/>
      <c r="AN482" s="2275"/>
      <c r="AO482" s="2275"/>
      <c r="AP482" s="2250"/>
      <c r="AQ482" s="2250"/>
      <c r="AR482" s="2250"/>
      <c r="AS482" s="2250"/>
      <c r="AT482" s="2250"/>
      <c r="AU482" s="2250"/>
      <c r="AV482" s="2250"/>
      <c r="AW482" s="2250"/>
      <c r="AX482" s="2250"/>
      <c r="AY482" s="2250"/>
      <c r="AZ482" s="2250"/>
      <c r="BA482" s="2250"/>
      <c r="BB482" s="2250"/>
      <c r="BC482" s="2250"/>
      <c r="BD482" s="2250"/>
      <c r="BE482" s="2250"/>
      <c r="BF482" s="2276"/>
      <c r="BG482" s="2276"/>
      <c r="BH482" s="2250"/>
      <c r="BI482" s="2275"/>
      <c r="BJ482" s="4671"/>
      <c r="BK482" s="2345">
        <v>775</v>
      </c>
      <c r="BL482" s="2346">
        <v>11.9</v>
      </c>
      <c r="BM482" s="2346">
        <v>13.44</v>
      </c>
      <c r="BN482" s="2346">
        <v>14.72</v>
      </c>
      <c r="BO482" s="2346">
        <v>15.83</v>
      </c>
      <c r="BP482" s="2346">
        <v>16.809999999999999</v>
      </c>
      <c r="BQ482" s="2346">
        <v>16.93</v>
      </c>
      <c r="BR482" s="2346">
        <v>18.28</v>
      </c>
      <c r="BS482" s="2346">
        <v>19.57</v>
      </c>
      <c r="BT482" s="2346">
        <v>20.74</v>
      </c>
      <c r="BU482" s="2346">
        <v>22.09</v>
      </c>
      <c r="BV482" s="2346">
        <v>24.42</v>
      </c>
      <c r="BW482" s="2346">
        <v>26.26</v>
      </c>
      <c r="BX482" s="2346">
        <v>27.55</v>
      </c>
      <c r="BY482" s="2346">
        <v>28.96</v>
      </c>
      <c r="BZ482" s="2346">
        <v>29.82</v>
      </c>
      <c r="CA482" s="2346">
        <v>31.53</v>
      </c>
      <c r="CB482" s="2346">
        <v>33.5</v>
      </c>
      <c r="CC482" s="2346">
        <v>36.32</v>
      </c>
      <c r="CD482" s="2346">
        <v>38.71</v>
      </c>
      <c r="CE482" s="2346">
        <v>41.41</v>
      </c>
      <c r="CF482" s="2346">
        <v>44.17</v>
      </c>
      <c r="CG482" s="2346">
        <v>48.77</v>
      </c>
      <c r="CH482" s="2346">
        <v>53.31</v>
      </c>
      <c r="CI482" s="2346">
        <v>59.08</v>
      </c>
      <c r="CJ482" s="2346">
        <v>66.319999999999993</v>
      </c>
      <c r="CK482" s="2346">
        <v>75.89</v>
      </c>
      <c r="CL482" s="2346">
        <v>81.47</v>
      </c>
      <c r="CM482" s="2347">
        <v>775</v>
      </c>
      <c r="CN482" s="2275"/>
      <c r="CO482" s="2275">
        <f>HLOOKUP(CO476,BL477:CL489,4,0)</f>
        <v>12.39</v>
      </c>
      <c r="CP482" s="2275">
        <f t="shared" si="277"/>
        <v>21.1</v>
      </c>
      <c r="CQ482" s="2275">
        <v>650</v>
      </c>
      <c r="CR482" s="2275"/>
      <c r="CS482" s="2275"/>
      <c r="CT482" s="2275"/>
      <c r="CU482" s="2275"/>
      <c r="CV482" s="2275"/>
      <c r="CW482" s="2275"/>
      <c r="CX482" s="2250"/>
      <c r="CY482" s="2250"/>
      <c r="CZ482" s="2250"/>
      <c r="DA482" s="2250"/>
      <c r="DB482" s="2250"/>
      <c r="DC482" s="2250"/>
      <c r="DD482" s="2250"/>
      <c r="DE482" s="2250"/>
      <c r="DF482" s="2250"/>
      <c r="DG482" s="2250"/>
      <c r="DH482" s="2250"/>
      <c r="DI482" s="2250"/>
      <c r="DJ482" s="2250"/>
      <c r="DK482" s="2250"/>
      <c r="DL482" s="2250"/>
      <c r="DM482" s="2250"/>
      <c r="DN482" s="2250"/>
      <c r="DO482" s="53"/>
      <c r="DP482" s="53"/>
      <c r="DS482" s="277"/>
      <c r="DW482" s="1"/>
      <c r="DX482" s="4671"/>
      <c r="DY482" s="2345">
        <v>775</v>
      </c>
      <c r="DZ482" s="2346">
        <v>11.9</v>
      </c>
      <c r="EA482" s="2346">
        <v>13.44</v>
      </c>
      <c r="EB482" s="2346">
        <v>14.72</v>
      </c>
      <c r="EC482" s="2346">
        <v>15.83</v>
      </c>
      <c r="ED482" s="2346">
        <v>16.809999999999999</v>
      </c>
      <c r="EE482" s="2346">
        <v>16.93</v>
      </c>
      <c r="EF482" s="2346">
        <v>18.28</v>
      </c>
      <c r="EG482" s="2346">
        <v>19.57</v>
      </c>
      <c r="EH482" s="2346">
        <v>20.74</v>
      </c>
      <c r="EI482" s="2346">
        <v>22.09</v>
      </c>
      <c r="EJ482" s="2346">
        <v>24.42</v>
      </c>
      <c r="EK482" s="2346">
        <v>26.26</v>
      </c>
      <c r="EL482" s="2346">
        <v>27.55</v>
      </c>
      <c r="EM482" s="2346">
        <v>28.96</v>
      </c>
      <c r="EN482" s="2346">
        <v>29.82</v>
      </c>
      <c r="EO482" s="2346">
        <v>31.53</v>
      </c>
      <c r="EP482" s="2346">
        <v>33.5</v>
      </c>
      <c r="EQ482" s="2346">
        <v>36.32</v>
      </c>
      <c r="ER482" s="2346">
        <v>38.71</v>
      </c>
      <c r="ES482" s="2346">
        <v>41.41</v>
      </c>
      <c r="ET482" s="2346">
        <v>44.17</v>
      </c>
      <c r="EU482" s="2346">
        <v>48.77</v>
      </c>
      <c r="EV482" s="2346">
        <v>53.31</v>
      </c>
      <c r="EW482" s="2346">
        <v>59.08</v>
      </c>
      <c r="EX482" s="2346">
        <v>66.319999999999993</v>
      </c>
      <c r="EY482" s="2346">
        <v>75.89</v>
      </c>
      <c r="EZ482" s="2346">
        <v>81.47</v>
      </c>
      <c r="FA482" s="2347">
        <v>775</v>
      </c>
      <c r="FB482" s="2275"/>
      <c r="FC482" s="2275">
        <f>HLOOKUP(FC476,DZ477:EZ489,4,0)</f>
        <v>19.329999999999998</v>
      </c>
      <c r="FD482" s="2275">
        <f t="shared" si="278"/>
        <v>32.82</v>
      </c>
      <c r="FE482" s="2275">
        <v>650</v>
      </c>
      <c r="FF482" s="2275"/>
      <c r="FG482" s="2275"/>
      <c r="FH482" s="2275"/>
      <c r="FI482" s="2275"/>
      <c r="FJ482" s="2275"/>
      <c r="FK482" s="2275"/>
      <c r="FL482" s="2250"/>
      <c r="FM482" s="2250"/>
      <c r="FN482" s="2250"/>
      <c r="FO482" s="2250"/>
      <c r="FP482" s="2250"/>
      <c r="FQ482" s="2250"/>
      <c r="FR482" s="2250"/>
      <c r="FS482" s="2250"/>
      <c r="FT482" s="2250"/>
      <c r="FU482" s="2250"/>
      <c r="FV482" s="2250"/>
      <c r="FW482" s="2250"/>
      <c r="FX482" s="2250"/>
      <c r="FY482" s="2250"/>
      <c r="FZ482" s="2250"/>
      <c r="GA482" s="2250"/>
      <c r="GB482" s="2276"/>
      <c r="GC482" s="2276"/>
      <c r="GD482" s="2250"/>
      <c r="GE482" s="2275"/>
      <c r="GF482" s="4671"/>
      <c r="GG482" s="2345">
        <v>775</v>
      </c>
      <c r="GH482" s="2346">
        <v>11.9</v>
      </c>
      <c r="GI482" s="2346">
        <v>13.44</v>
      </c>
      <c r="GJ482" s="2346">
        <v>14.72</v>
      </c>
      <c r="GK482" s="2346">
        <v>15.83</v>
      </c>
      <c r="GL482" s="2346">
        <v>16.809999999999999</v>
      </c>
      <c r="GM482" s="2346">
        <v>16.93</v>
      </c>
      <c r="GN482" s="2346">
        <v>18.28</v>
      </c>
      <c r="GO482" s="2346">
        <v>19.57</v>
      </c>
      <c r="GP482" s="2346">
        <v>20.74</v>
      </c>
      <c r="GQ482" s="2346">
        <v>22.09</v>
      </c>
      <c r="GR482" s="2346">
        <v>24.42</v>
      </c>
      <c r="GS482" s="2346">
        <v>26.26</v>
      </c>
      <c r="GT482" s="2346">
        <v>27.55</v>
      </c>
      <c r="GU482" s="2346">
        <v>28.96</v>
      </c>
      <c r="GV482" s="2346">
        <v>29.82</v>
      </c>
      <c r="GW482" s="2346">
        <v>31.53</v>
      </c>
      <c r="GX482" s="2346">
        <v>33.5</v>
      </c>
      <c r="GY482" s="2346">
        <v>36.32</v>
      </c>
      <c r="GZ482" s="2346">
        <v>38.71</v>
      </c>
      <c r="HA482" s="2346">
        <v>41.41</v>
      </c>
      <c r="HB482" s="2346">
        <v>44.17</v>
      </c>
      <c r="HC482" s="2346">
        <v>48.77</v>
      </c>
      <c r="HD482" s="2346">
        <v>53.31</v>
      </c>
      <c r="HE482" s="2346">
        <v>59.08</v>
      </c>
      <c r="HF482" s="2346">
        <v>66.319999999999993</v>
      </c>
      <c r="HG482" s="2346">
        <v>75.89</v>
      </c>
      <c r="HH482" s="2346">
        <v>81.47</v>
      </c>
      <c r="HI482" s="2347">
        <v>775</v>
      </c>
      <c r="HJ482" s="2275"/>
      <c r="HK482" s="2275">
        <f>HLOOKUP(HK476,GH477:HH489,4,0)</f>
        <v>17.79</v>
      </c>
      <c r="HL482" s="2275">
        <f t="shared" si="279"/>
        <v>30.18</v>
      </c>
      <c r="HM482" s="2275">
        <v>650</v>
      </c>
      <c r="HN482" s="2275"/>
      <c r="HO482" s="2275"/>
      <c r="HP482" s="2275"/>
      <c r="HQ482" s="2275"/>
      <c r="HR482" s="2275"/>
      <c r="HS482" s="2275"/>
      <c r="HT482" s="2250"/>
      <c r="HU482" s="2250"/>
      <c r="HV482" s="2250"/>
      <c r="HW482" s="2250"/>
      <c r="HX482" s="2250"/>
      <c r="HY482" s="2250"/>
      <c r="HZ482" s="2250"/>
      <c r="IA482" s="2250"/>
      <c r="IB482" s="2250"/>
      <c r="IC482" s="2250"/>
      <c r="ID482" s="2250"/>
      <c r="IE482" s="2250"/>
      <c r="IF482" s="2250"/>
      <c r="IG482" s="2250"/>
      <c r="IH482" s="2250"/>
      <c r="II482" s="2250"/>
      <c r="IJ482" s="2250"/>
      <c r="IK482" s="53"/>
      <c r="IL482" s="53"/>
      <c r="IN482" s="277"/>
      <c r="IO482" s="277"/>
    </row>
    <row r="483" spans="2:249" ht="21.95" customHeight="1">
      <c r="B483" s="4671"/>
      <c r="C483" s="2345">
        <v>825</v>
      </c>
      <c r="D483" s="2346">
        <v>17.36</v>
      </c>
      <c r="E483" s="2346">
        <v>19.02</v>
      </c>
      <c r="F483" s="2346">
        <v>20.86</v>
      </c>
      <c r="G483" s="2346">
        <v>20.86</v>
      </c>
      <c r="H483" s="2346">
        <v>23.19</v>
      </c>
      <c r="I483" s="2346">
        <v>23.62</v>
      </c>
      <c r="J483" s="2346">
        <v>26.01</v>
      </c>
      <c r="K483" s="2346">
        <v>27.73</v>
      </c>
      <c r="L483" s="2346">
        <v>29.39</v>
      </c>
      <c r="M483" s="2346">
        <v>30.98</v>
      </c>
      <c r="N483" s="2346">
        <v>32.880000000000003</v>
      </c>
      <c r="O483" s="2346">
        <v>36.93</v>
      </c>
      <c r="P483" s="2346">
        <v>38.770000000000003</v>
      </c>
      <c r="Q483" s="2346">
        <v>39.26</v>
      </c>
      <c r="R483" s="2346">
        <v>40.799999999999997</v>
      </c>
      <c r="S483" s="2346">
        <v>44.66</v>
      </c>
      <c r="T483" s="2346">
        <v>44.91</v>
      </c>
      <c r="U483" s="2346">
        <v>49.69</v>
      </c>
      <c r="V483" s="2346">
        <v>52.58</v>
      </c>
      <c r="W483" s="2346">
        <v>55.34</v>
      </c>
      <c r="X483" s="2346">
        <v>59.88</v>
      </c>
      <c r="Y483" s="2346">
        <v>64.72</v>
      </c>
      <c r="Z483" s="2346">
        <v>71.099999999999994</v>
      </c>
      <c r="AA483" s="2346">
        <v>72.7</v>
      </c>
      <c r="AB483" s="2346">
        <v>79.510000000000005</v>
      </c>
      <c r="AC483" s="2346">
        <v>81.47</v>
      </c>
      <c r="AD483" s="2346">
        <v>81.47</v>
      </c>
      <c r="AE483" s="2347">
        <v>825</v>
      </c>
      <c r="AF483" s="2275"/>
      <c r="AG483" s="2275">
        <f>HLOOKUP(AG476,D477:AD489,5,0)</f>
        <v>22.39</v>
      </c>
      <c r="AH483" s="2275">
        <f t="shared" si="280"/>
        <v>36.32</v>
      </c>
      <c r="AI483" s="2275">
        <v>775</v>
      </c>
      <c r="AJ483" s="2275"/>
      <c r="AK483" s="2275"/>
      <c r="AL483" s="2275"/>
      <c r="AM483" s="2275"/>
      <c r="AN483" s="2275"/>
      <c r="AO483" s="2275"/>
      <c r="AP483" s="2250"/>
      <c r="AQ483" s="2250"/>
      <c r="AR483" s="2250"/>
      <c r="AS483" s="2250"/>
      <c r="AT483" s="2250"/>
      <c r="AU483" s="2250"/>
      <c r="AV483" s="2250"/>
      <c r="AW483" s="2250"/>
      <c r="AX483" s="2250"/>
      <c r="AY483" s="2250"/>
      <c r="AZ483" s="2250"/>
      <c r="BA483" s="2250"/>
      <c r="BB483" s="2250"/>
      <c r="BC483" s="2250"/>
      <c r="BD483" s="2250"/>
      <c r="BE483" s="2250"/>
      <c r="BF483" s="2276"/>
      <c r="BG483" s="2276"/>
      <c r="BH483" s="2250"/>
      <c r="BI483" s="2275"/>
      <c r="BJ483" s="4671"/>
      <c r="BK483" s="2345">
        <v>825</v>
      </c>
      <c r="BL483" s="2346">
        <v>17.36</v>
      </c>
      <c r="BM483" s="2346">
        <v>19.02</v>
      </c>
      <c r="BN483" s="2346">
        <v>20.86</v>
      </c>
      <c r="BO483" s="2346">
        <v>20.86</v>
      </c>
      <c r="BP483" s="2346">
        <v>23.19</v>
      </c>
      <c r="BQ483" s="2346">
        <v>23.62</v>
      </c>
      <c r="BR483" s="2346">
        <v>26.01</v>
      </c>
      <c r="BS483" s="2346">
        <v>27.73</v>
      </c>
      <c r="BT483" s="2346">
        <v>29.39</v>
      </c>
      <c r="BU483" s="2346">
        <v>30.98</v>
      </c>
      <c r="BV483" s="2346">
        <v>32.880000000000003</v>
      </c>
      <c r="BW483" s="2346">
        <v>36.93</v>
      </c>
      <c r="BX483" s="2346">
        <v>38.770000000000003</v>
      </c>
      <c r="BY483" s="2346">
        <v>39.26</v>
      </c>
      <c r="BZ483" s="2346">
        <v>40.799999999999997</v>
      </c>
      <c r="CA483" s="2346">
        <v>44.66</v>
      </c>
      <c r="CB483" s="2346">
        <v>44.91</v>
      </c>
      <c r="CC483" s="2346">
        <v>49.69</v>
      </c>
      <c r="CD483" s="2346">
        <v>52.58</v>
      </c>
      <c r="CE483" s="2346">
        <v>55.34</v>
      </c>
      <c r="CF483" s="2346">
        <v>59.88</v>
      </c>
      <c r="CG483" s="2346">
        <v>64.72</v>
      </c>
      <c r="CH483" s="2346">
        <v>71.099999999999994</v>
      </c>
      <c r="CI483" s="2346">
        <v>72.7</v>
      </c>
      <c r="CJ483" s="2346">
        <v>79.510000000000005</v>
      </c>
      <c r="CK483" s="2346">
        <v>81.47</v>
      </c>
      <c r="CL483" s="2346">
        <v>81.47</v>
      </c>
      <c r="CM483" s="2347">
        <v>825</v>
      </c>
      <c r="CN483" s="2275"/>
      <c r="CO483" s="2275">
        <f>HLOOKUP(CO476,BL477:CL489,5,0)</f>
        <v>21.1</v>
      </c>
      <c r="CP483" s="2275">
        <f t="shared" si="277"/>
        <v>33.5</v>
      </c>
      <c r="CQ483" s="2275">
        <v>775</v>
      </c>
      <c r="CR483" s="2275"/>
      <c r="CS483" s="2275"/>
      <c r="CT483" s="2275"/>
      <c r="CU483" s="2275"/>
      <c r="CV483" s="2275"/>
      <c r="CW483" s="2275"/>
      <c r="CX483" s="2250"/>
      <c r="CY483" s="2250"/>
      <c r="CZ483" s="2250"/>
      <c r="DA483" s="2250"/>
      <c r="DB483" s="2250"/>
      <c r="DC483" s="2250"/>
      <c r="DD483" s="2250"/>
      <c r="DE483" s="2250"/>
      <c r="DF483" s="2250"/>
      <c r="DG483" s="2250"/>
      <c r="DH483" s="2250"/>
      <c r="DI483" s="2250"/>
      <c r="DJ483" s="2250"/>
      <c r="DK483" s="2250"/>
      <c r="DL483" s="2250"/>
      <c r="DM483" s="2250"/>
      <c r="DN483" s="2250"/>
      <c r="DO483" s="53"/>
      <c r="DP483" s="53"/>
      <c r="DS483" s="277"/>
      <c r="DW483" s="1"/>
      <c r="DX483" s="4671"/>
      <c r="DY483" s="2345">
        <v>825</v>
      </c>
      <c r="DZ483" s="2346">
        <v>17.36</v>
      </c>
      <c r="EA483" s="2346">
        <v>19.02</v>
      </c>
      <c r="EB483" s="2346">
        <v>20.86</v>
      </c>
      <c r="EC483" s="2346">
        <v>20.86</v>
      </c>
      <c r="ED483" s="2346">
        <v>23.19</v>
      </c>
      <c r="EE483" s="2346">
        <v>23.62</v>
      </c>
      <c r="EF483" s="2346">
        <v>26.01</v>
      </c>
      <c r="EG483" s="2346">
        <v>27.73</v>
      </c>
      <c r="EH483" s="2346">
        <v>29.39</v>
      </c>
      <c r="EI483" s="2346">
        <v>30.98</v>
      </c>
      <c r="EJ483" s="2346">
        <v>32.880000000000003</v>
      </c>
      <c r="EK483" s="2346">
        <v>36.93</v>
      </c>
      <c r="EL483" s="2346">
        <v>38.770000000000003</v>
      </c>
      <c r="EM483" s="2346">
        <v>39.26</v>
      </c>
      <c r="EN483" s="2346">
        <v>40.799999999999997</v>
      </c>
      <c r="EO483" s="2346">
        <v>44.66</v>
      </c>
      <c r="EP483" s="2346">
        <v>44.91</v>
      </c>
      <c r="EQ483" s="2346">
        <v>49.69</v>
      </c>
      <c r="ER483" s="2346">
        <v>52.58</v>
      </c>
      <c r="ES483" s="2346">
        <v>55.34</v>
      </c>
      <c r="ET483" s="2346">
        <v>59.88</v>
      </c>
      <c r="EU483" s="2346">
        <v>64.72</v>
      </c>
      <c r="EV483" s="2346">
        <v>71.099999999999994</v>
      </c>
      <c r="EW483" s="2346">
        <v>72.7</v>
      </c>
      <c r="EX483" s="2346">
        <v>79.510000000000005</v>
      </c>
      <c r="EY483" s="2346">
        <v>81.47</v>
      </c>
      <c r="EZ483" s="2346">
        <v>81.47</v>
      </c>
      <c r="FA483" s="2347">
        <v>825</v>
      </c>
      <c r="FB483" s="2275"/>
      <c r="FC483" s="2275">
        <f>HLOOKUP(FC476,DZ477:EZ489,5,0)</f>
        <v>32.82</v>
      </c>
      <c r="FD483" s="2275">
        <f t="shared" si="278"/>
        <v>53.31</v>
      </c>
      <c r="FE483" s="2275">
        <v>775</v>
      </c>
      <c r="FF483" s="2275"/>
      <c r="FG483" s="2275"/>
      <c r="FH483" s="2275"/>
      <c r="FI483" s="2275"/>
      <c r="FJ483" s="2275"/>
      <c r="FK483" s="2275"/>
      <c r="FL483" s="2250"/>
      <c r="FM483" s="2250"/>
      <c r="FN483" s="2250"/>
      <c r="FO483" s="2250"/>
      <c r="FP483" s="2250"/>
      <c r="FQ483" s="2250"/>
      <c r="FR483" s="2250"/>
      <c r="FS483" s="2250"/>
      <c r="FT483" s="2250"/>
      <c r="FU483" s="2250"/>
      <c r="FV483" s="2250"/>
      <c r="FW483" s="2250"/>
      <c r="FX483" s="2250"/>
      <c r="FY483" s="2250"/>
      <c r="FZ483" s="2250"/>
      <c r="GA483" s="2250"/>
      <c r="GB483" s="2276"/>
      <c r="GC483" s="2276"/>
      <c r="GD483" s="2250"/>
      <c r="GE483" s="2275"/>
      <c r="GF483" s="4671"/>
      <c r="GG483" s="2345">
        <v>825</v>
      </c>
      <c r="GH483" s="2346">
        <v>17.36</v>
      </c>
      <c r="GI483" s="2346">
        <v>19.02</v>
      </c>
      <c r="GJ483" s="2346">
        <v>20.86</v>
      </c>
      <c r="GK483" s="2346">
        <v>20.86</v>
      </c>
      <c r="GL483" s="2346">
        <v>23.19</v>
      </c>
      <c r="GM483" s="2346">
        <v>23.62</v>
      </c>
      <c r="GN483" s="2346">
        <v>26.01</v>
      </c>
      <c r="GO483" s="2346">
        <v>27.73</v>
      </c>
      <c r="GP483" s="2346">
        <v>29.39</v>
      </c>
      <c r="GQ483" s="2346">
        <v>30.98</v>
      </c>
      <c r="GR483" s="2346">
        <v>32.880000000000003</v>
      </c>
      <c r="GS483" s="2346">
        <v>36.93</v>
      </c>
      <c r="GT483" s="2346">
        <v>38.770000000000003</v>
      </c>
      <c r="GU483" s="2346">
        <v>39.26</v>
      </c>
      <c r="GV483" s="2346">
        <v>40.799999999999997</v>
      </c>
      <c r="GW483" s="2346">
        <v>44.66</v>
      </c>
      <c r="GX483" s="2346">
        <v>44.91</v>
      </c>
      <c r="GY483" s="2346">
        <v>49.69</v>
      </c>
      <c r="GZ483" s="2346">
        <v>52.58</v>
      </c>
      <c r="HA483" s="2346">
        <v>55.34</v>
      </c>
      <c r="HB483" s="2346">
        <v>59.88</v>
      </c>
      <c r="HC483" s="2346">
        <v>64.72</v>
      </c>
      <c r="HD483" s="2346">
        <v>71.099999999999994</v>
      </c>
      <c r="HE483" s="2346">
        <v>72.7</v>
      </c>
      <c r="HF483" s="2346">
        <v>79.510000000000005</v>
      </c>
      <c r="HG483" s="2346">
        <v>81.47</v>
      </c>
      <c r="HH483" s="2346">
        <v>81.47</v>
      </c>
      <c r="HI483" s="2347">
        <v>825</v>
      </c>
      <c r="HJ483" s="2275"/>
      <c r="HK483" s="2275">
        <f>HLOOKUP(HK476,GH477:HH489,5,0)</f>
        <v>30.18</v>
      </c>
      <c r="HL483" s="2275">
        <f t="shared" si="279"/>
        <v>48.77</v>
      </c>
      <c r="HM483" s="2275">
        <v>775</v>
      </c>
      <c r="HN483" s="2275"/>
      <c r="HO483" s="2275"/>
      <c r="HP483" s="2275"/>
      <c r="HQ483" s="2275"/>
      <c r="HR483" s="2275"/>
      <c r="HS483" s="2275"/>
      <c r="HT483" s="2250"/>
      <c r="HU483" s="2250"/>
      <c r="HV483" s="2250"/>
      <c r="HW483" s="2250"/>
      <c r="HX483" s="2250"/>
      <c r="HY483" s="2250"/>
      <c r="HZ483" s="2250"/>
      <c r="IA483" s="2250"/>
      <c r="IB483" s="2250"/>
      <c r="IC483" s="2250"/>
      <c r="ID483" s="2250"/>
      <c r="IE483" s="2250"/>
      <c r="IF483" s="2250"/>
      <c r="IG483" s="2250"/>
      <c r="IH483" s="2250"/>
      <c r="II483" s="2250"/>
      <c r="IJ483" s="2250"/>
      <c r="IK483" s="53"/>
      <c r="IL483" s="53"/>
      <c r="IN483" s="277"/>
      <c r="IO483" s="277"/>
    </row>
    <row r="484" spans="2:249" ht="21.95" customHeight="1">
      <c r="B484" s="4671"/>
      <c r="C484" s="2345">
        <v>950</v>
      </c>
      <c r="D484" s="2346">
        <v>24.11</v>
      </c>
      <c r="E484" s="2346">
        <v>27.18</v>
      </c>
      <c r="F484" s="2346">
        <v>30.12</v>
      </c>
      <c r="G484" s="2346">
        <v>31.72</v>
      </c>
      <c r="H484" s="2346">
        <v>31.72</v>
      </c>
      <c r="I484" s="2346">
        <v>34.29</v>
      </c>
      <c r="J484" s="2346">
        <v>37.979999999999997</v>
      </c>
      <c r="K484" s="2346">
        <v>40.31</v>
      </c>
      <c r="L484" s="2346">
        <v>42.82</v>
      </c>
      <c r="M484" s="2346">
        <v>46.63</v>
      </c>
      <c r="N484" s="2346">
        <v>47.42</v>
      </c>
      <c r="O484" s="2346">
        <v>55.52</v>
      </c>
      <c r="P484" s="2346">
        <v>56.13</v>
      </c>
      <c r="Q484" s="2346">
        <v>56.26</v>
      </c>
      <c r="R484" s="2346">
        <v>59.08</v>
      </c>
      <c r="S484" s="2346">
        <v>64.48</v>
      </c>
      <c r="T484" s="2346">
        <v>69.39</v>
      </c>
      <c r="U484" s="2346">
        <v>73.010000000000005</v>
      </c>
      <c r="V484" s="2346">
        <v>75.95</v>
      </c>
      <c r="W484" s="2346">
        <v>83.56</v>
      </c>
      <c r="X484" s="2346">
        <v>90</v>
      </c>
      <c r="Y484" s="2346">
        <v>97.3</v>
      </c>
      <c r="Z484" s="2346">
        <v>105.15</v>
      </c>
      <c r="AA484" s="2346">
        <v>115.71</v>
      </c>
      <c r="AB484" s="2346">
        <v>121.6</v>
      </c>
      <c r="AC484" s="2346">
        <v>121.6</v>
      </c>
      <c r="AD484" s="2346">
        <v>121.6</v>
      </c>
      <c r="AE484" s="2347">
        <v>950</v>
      </c>
      <c r="AF484" s="2275"/>
      <c r="AG484" s="2275">
        <f>HLOOKUP(AG476,D477:AD489,6,0)</f>
        <v>36.32</v>
      </c>
      <c r="AH484" s="2275">
        <f t="shared" si="280"/>
        <v>49.69</v>
      </c>
      <c r="AI484" s="2275">
        <v>825</v>
      </c>
      <c r="AJ484" s="2275"/>
      <c r="AK484" s="2275"/>
      <c r="AL484" s="2275"/>
      <c r="AM484" s="2275"/>
      <c r="AN484" s="2275"/>
      <c r="AO484" s="2275"/>
      <c r="AP484" s="2250"/>
      <c r="AQ484" s="2250"/>
      <c r="AR484" s="2250"/>
      <c r="AS484" s="2250"/>
      <c r="AT484" s="2250"/>
      <c r="AU484" s="2250"/>
      <c r="AV484" s="2250"/>
      <c r="AW484" s="2250"/>
      <c r="AX484" s="2250"/>
      <c r="AY484" s="2250"/>
      <c r="AZ484" s="2250"/>
      <c r="BA484" s="2250"/>
      <c r="BB484" s="2250"/>
      <c r="BC484" s="2250"/>
      <c r="BD484" s="2250"/>
      <c r="BE484" s="2250"/>
      <c r="BF484" s="2276"/>
      <c r="BG484" s="2276"/>
      <c r="BH484" s="2250"/>
      <c r="BI484" s="2275"/>
      <c r="BJ484" s="4671"/>
      <c r="BK484" s="2345">
        <v>950</v>
      </c>
      <c r="BL484" s="2346">
        <v>24.11</v>
      </c>
      <c r="BM484" s="2346">
        <v>27.18</v>
      </c>
      <c r="BN484" s="2346">
        <v>30.12</v>
      </c>
      <c r="BO484" s="2346">
        <v>31.72</v>
      </c>
      <c r="BP484" s="2346">
        <v>31.72</v>
      </c>
      <c r="BQ484" s="2346">
        <v>34.29</v>
      </c>
      <c r="BR484" s="2346">
        <v>37.979999999999997</v>
      </c>
      <c r="BS484" s="2346">
        <v>40.31</v>
      </c>
      <c r="BT484" s="2346">
        <v>42.82</v>
      </c>
      <c r="BU484" s="2346">
        <v>46.63</v>
      </c>
      <c r="BV484" s="2346">
        <v>47.42</v>
      </c>
      <c r="BW484" s="2346">
        <v>55.52</v>
      </c>
      <c r="BX484" s="2346">
        <v>56.13</v>
      </c>
      <c r="BY484" s="2346">
        <v>56.26</v>
      </c>
      <c r="BZ484" s="2346">
        <v>59.08</v>
      </c>
      <c r="CA484" s="2346">
        <v>64.48</v>
      </c>
      <c r="CB484" s="2346">
        <v>69.39</v>
      </c>
      <c r="CC484" s="2346">
        <v>73.010000000000005</v>
      </c>
      <c r="CD484" s="2346">
        <v>75.95</v>
      </c>
      <c r="CE484" s="2346">
        <v>83.56</v>
      </c>
      <c r="CF484" s="2346">
        <v>90</v>
      </c>
      <c r="CG484" s="2346">
        <v>97.3</v>
      </c>
      <c r="CH484" s="2346">
        <v>105.15</v>
      </c>
      <c r="CI484" s="2346">
        <v>115.71</v>
      </c>
      <c r="CJ484" s="2346">
        <v>121.6</v>
      </c>
      <c r="CK484" s="2346">
        <v>121.6</v>
      </c>
      <c r="CL484" s="2346">
        <v>121.6</v>
      </c>
      <c r="CM484" s="2347">
        <v>950</v>
      </c>
      <c r="CN484" s="2275"/>
      <c r="CO484" s="2275">
        <f>HLOOKUP(CO476,BL477:CL489,6,0)</f>
        <v>33.5</v>
      </c>
      <c r="CP484" s="2275">
        <f t="shared" si="277"/>
        <v>44.91</v>
      </c>
      <c r="CQ484" s="2275">
        <v>825</v>
      </c>
      <c r="CR484" s="2275"/>
      <c r="CS484" s="2275"/>
      <c r="CT484" s="2275"/>
      <c r="CU484" s="2275"/>
      <c r="CV484" s="2275"/>
      <c r="CW484" s="2275"/>
      <c r="CX484" s="2250"/>
      <c r="CY484" s="2250"/>
      <c r="CZ484" s="2250"/>
      <c r="DA484" s="2250"/>
      <c r="DB484" s="2250"/>
      <c r="DC484" s="2250"/>
      <c r="DD484" s="2250"/>
      <c r="DE484" s="2250"/>
      <c r="DF484" s="2250"/>
      <c r="DG484" s="2250"/>
      <c r="DH484" s="2250"/>
      <c r="DI484" s="2250"/>
      <c r="DJ484" s="2250"/>
      <c r="DK484" s="2250"/>
      <c r="DL484" s="2250"/>
      <c r="DM484" s="2250"/>
      <c r="DN484" s="2250"/>
      <c r="DO484" s="53"/>
      <c r="DP484" s="53"/>
      <c r="DS484" s="277"/>
      <c r="DW484" s="1"/>
      <c r="DX484" s="4671"/>
      <c r="DY484" s="2345">
        <v>950</v>
      </c>
      <c r="DZ484" s="2346">
        <v>24.11</v>
      </c>
      <c r="EA484" s="2346">
        <v>27.18</v>
      </c>
      <c r="EB484" s="2346">
        <v>30.12</v>
      </c>
      <c r="EC484" s="2346">
        <v>31.72</v>
      </c>
      <c r="ED484" s="2346">
        <v>31.72</v>
      </c>
      <c r="EE484" s="2346">
        <v>34.29</v>
      </c>
      <c r="EF484" s="2346">
        <v>37.979999999999997</v>
      </c>
      <c r="EG484" s="2346">
        <v>40.31</v>
      </c>
      <c r="EH484" s="2346">
        <v>42.82</v>
      </c>
      <c r="EI484" s="2346">
        <v>46.63</v>
      </c>
      <c r="EJ484" s="2346">
        <v>47.42</v>
      </c>
      <c r="EK484" s="2346">
        <v>55.52</v>
      </c>
      <c r="EL484" s="2346">
        <v>56.13</v>
      </c>
      <c r="EM484" s="2346">
        <v>56.26</v>
      </c>
      <c r="EN484" s="2346">
        <v>59.08</v>
      </c>
      <c r="EO484" s="2346">
        <v>64.48</v>
      </c>
      <c r="EP484" s="2346">
        <v>69.39</v>
      </c>
      <c r="EQ484" s="2346">
        <v>73.010000000000005</v>
      </c>
      <c r="ER484" s="2346">
        <v>75.95</v>
      </c>
      <c r="ES484" s="2346">
        <v>83.56</v>
      </c>
      <c r="ET484" s="2346">
        <v>90</v>
      </c>
      <c r="EU484" s="2346">
        <v>97.3</v>
      </c>
      <c r="EV484" s="2346">
        <v>105.15</v>
      </c>
      <c r="EW484" s="2346">
        <v>115.71</v>
      </c>
      <c r="EX484" s="2346">
        <v>121.6</v>
      </c>
      <c r="EY484" s="2346">
        <v>121.6</v>
      </c>
      <c r="EZ484" s="2346">
        <v>121.6</v>
      </c>
      <c r="FA484" s="2347">
        <v>950</v>
      </c>
      <c r="FB484" s="2275"/>
      <c r="FC484" s="2275">
        <f>HLOOKUP(FC476,DZ477:EZ489,6,0)</f>
        <v>53.31</v>
      </c>
      <c r="FD484" s="2275">
        <f t="shared" si="278"/>
        <v>71.099999999999994</v>
      </c>
      <c r="FE484" s="2275">
        <v>825</v>
      </c>
      <c r="FF484" s="2275"/>
      <c r="FG484" s="2275"/>
      <c r="FH484" s="2275"/>
      <c r="FI484" s="2275"/>
      <c r="FJ484" s="2275"/>
      <c r="FK484" s="2275"/>
      <c r="FL484" s="2250"/>
      <c r="FM484" s="2250"/>
      <c r="FN484" s="2250"/>
      <c r="FO484" s="2250"/>
      <c r="FP484" s="2250"/>
      <c r="FQ484" s="2250"/>
      <c r="FR484" s="2250"/>
      <c r="FS484" s="2250"/>
      <c r="FT484" s="2250"/>
      <c r="FU484" s="2250"/>
      <c r="FV484" s="2250"/>
      <c r="FW484" s="2250"/>
      <c r="FX484" s="2250"/>
      <c r="FY484" s="2250"/>
      <c r="FZ484" s="2250"/>
      <c r="GA484" s="2250"/>
      <c r="GB484" s="2276"/>
      <c r="GC484" s="2276"/>
      <c r="GD484" s="2250"/>
      <c r="GE484" s="2275"/>
      <c r="GF484" s="4671"/>
      <c r="GG484" s="2345">
        <v>950</v>
      </c>
      <c r="GH484" s="2346">
        <v>24.11</v>
      </c>
      <c r="GI484" s="2346">
        <v>27.18</v>
      </c>
      <c r="GJ484" s="2346">
        <v>30.12</v>
      </c>
      <c r="GK484" s="2346">
        <v>31.72</v>
      </c>
      <c r="GL484" s="2346">
        <v>31.72</v>
      </c>
      <c r="GM484" s="2346">
        <v>34.29</v>
      </c>
      <c r="GN484" s="2346">
        <v>37.979999999999997</v>
      </c>
      <c r="GO484" s="2346">
        <v>40.31</v>
      </c>
      <c r="GP484" s="2346">
        <v>42.82</v>
      </c>
      <c r="GQ484" s="2346">
        <v>46.63</v>
      </c>
      <c r="GR484" s="2346">
        <v>47.42</v>
      </c>
      <c r="GS484" s="2346">
        <v>55.52</v>
      </c>
      <c r="GT484" s="2346">
        <v>56.13</v>
      </c>
      <c r="GU484" s="2346">
        <v>56.26</v>
      </c>
      <c r="GV484" s="2346">
        <v>59.08</v>
      </c>
      <c r="GW484" s="2346">
        <v>64.48</v>
      </c>
      <c r="GX484" s="2346">
        <v>69.39</v>
      </c>
      <c r="GY484" s="2346">
        <v>73.010000000000005</v>
      </c>
      <c r="GZ484" s="2346">
        <v>75.95</v>
      </c>
      <c r="HA484" s="2346">
        <v>83.56</v>
      </c>
      <c r="HB484" s="2346">
        <v>90</v>
      </c>
      <c r="HC484" s="2346">
        <v>97.3</v>
      </c>
      <c r="HD484" s="2346">
        <v>105.15</v>
      </c>
      <c r="HE484" s="2346">
        <v>115.71</v>
      </c>
      <c r="HF484" s="2346">
        <v>121.6</v>
      </c>
      <c r="HG484" s="2346">
        <v>121.6</v>
      </c>
      <c r="HH484" s="2346">
        <v>121.6</v>
      </c>
      <c r="HI484" s="2347">
        <v>950</v>
      </c>
      <c r="HJ484" s="2275"/>
      <c r="HK484" s="2275">
        <f>HLOOKUP(HK476,GH477:HH489,6,0)</f>
        <v>48.77</v>
      </c>
      <c r="HL484" s="2275">
        <f t="shared" si="279"/>
        <v>64.72</v>
      </c>
      <c r="HM484" s="2275">
        <v>825</v>
      </c>
      <c r="HN484" s="2275"/>
      <c r="HO484" s="2275"/>
      <c r="HP484" s="2275"/>
      <c r="HQ484" s="2275"/>
      <c r="HR484" s="2275"/>
      <c r="HS484" s="2275"/>
      <c r="HT484" s="2250"/>
      <c r="HU484" s="2250"/>
      <c r="HV484" s="2250"/>
      <c r="HW484" s="2250"/>
      <c r="HX484" s="2250"/>
      <c r="HY484" s="2250"/>
      <c r="HZ484" s="2250"/>
      <c r="IA484" s="2250"/>
      <c r="IB484" s="2250"/>
      <c r="IC484" s="2250"/>
      <c r="ID484" s="2250"/>
      <c r="IE484" s="2250"/>
      <c r="IF484" s="2250"/>
      <c r="IG484" s="2250"/>
      <c r="IH484" s="2250"/>
      <c r="II484" s="2250"/>
      <c r="IJ484" s="2250"/>
      <c r="IK484" s="53"/>
      <c r="IL484" s="53"/>
      <c r="IN484" s="277"/>
      <c r="IO484" s="277"/>
    </row>
    <row r="485" spans="2:249" ht="21.95" customHeight="1">
      <c r="B485" s="4671"/>
      <c r="C485" s="2345">
        <v>1100</v>
      </c>
      <c r="D485" s="2346">
        <v>32.39</v>
      </c>
      <c r="E485" s="2346">
        <v>36.5</v>
      </c>
      <c r="F485" s="2346">
        <v>40.43</v>
      </c>
      <c r="G485" s="2346">
        <v>47.85</v>
      </c>
      <c r="H485" s="2346">
        <v>48.71</v>
      </c>
      <c r="I485" s="2346">
        <v>46.01</v>
      </c>
      <c r="J485" s="2346">
        <v>50.98</v>
      </c>
      <c r="K485" s="2346">
        <v>55.89</v>
      </c>
      <c r="L485" s="2346">
        <v>59.39</v>
      </c>
      <c r="M485" s="2346">
        <v>62.88</v>
      </c>
      <c r="N485" s="2346">
        <v>71.099999999999994</v>
      </c>
      <c r="O485" s="2346">
        <v>76.069999999999993</v>
      </c>
      <c r="P485" s="2346">
        <v>80.31</v>
      </c>
      <c r="Q485" s="2346">
        <v>81.41</v>
      </c>
      <c r="R485" s="2346">
        <v>86.93</v>
      </c>
      <c r="S485" s="2346">
        <v>92.27</v>
      </c>
      <c r="T485" s="2346">
        <v>97.61</v>
      </c>
      <c r="U485" s="2346">
        <v>105.28</v>
      </c>
      <c r="V485" s="2346">
        <v>111.66</v>
      </c>
      <c r="W485" s="2346">
        <v>121.66</v>
      </c>
      <c r="X485" s="2346">
        <v>128.77000000000001</v>
      </c>
      <c r="Y485" s="2346">
        <v>141.84</v>
      </c>
      <c r="Z485" s="2346">
        <v>154.29</v>
      </c>
      <c r="AA485" s="2346">
        <v>172.33</v>
      </c>
      <c r="AB485" s="2346">
        <v>189.08</v>
      </c>
      <c r="AC485" s="2346">
        <v>220</v>
      </c>
      <c r="AD485" s="2346">
        <v>237.48</v>
      </c>
      <c r="AE485" s="2347">
        <v>1100</v>
      </c>
      <c r="AF485" s="2275"/>
      <c r="AG485" s="2275">
        <f>HLOOKUP(AG476,D477:AD489,7,0)</f>
        <v>49.69</v>
      </c>
      <c r="AH485" s="2275">
        <f t="shared" si="280"/>
        <v>73.010000000000005</v>
      </c>
      <c r="AI485" s="2275">
        <v>950</v>
      </c>
      <c r="AJ485" s="2275"/>
      <c r="AK485" s="2275"/>
      <c r="AL485" s="2275"/>
      <c r="AM485" s="2275"/>
      <c r="AN485" s="2275"/>
      <c r="AO485" s="2275"/>
      <c r="AP485" s="2250"/>
      <c r="AQ485" s="2250"/>
      <c r="AR485" s="2250"/>
      <c r="AS485" s="2250"/>
      <c r="AT485" s="2250"/>
      <c r="AU485" s="2250"/>
      <c r="AV485" s="2250"/>
      <c r="AW485" s="2250"/>
      <c r="AX485" s="2250"/>
      <c r="AY485" s="2250"/>
      <c r="AZ485" s="2250"/>
      <c r="BA485" s="2250"/>
      <c r="BB485" s="2250"/>
      <c r="BC485" s="2250"/>
      <c r="BD485" s="2250"/>
      <c r="BE485" s="2250"/>
      <c r="BF485" s="2276"/>
      <c r="BG485" s="2276"/>
      <c r="BH485" s="2250"/>
      <c r="BI485" s="2275"/>
      <c r="BJ485" s="4671"/>
      <c r="BK485" s="2345">
        <v>1100</v>
      </c>
      <c r="BL485" s="2346">
        <v>32.39</v>
      </c>
      <c r="BM485" s="2346">
        <v>36.5</v>
      </c>
      <c r="BN485" s="2346">
        <v>40.43</v>
      </c>
      <c r="BO485" s="2346">
        <v>47.85</v>
      </c>
      <c r="BP485" s="2346">
        <v>48.71</v>
      </c>
      <c r="BQ485" s="2346">
        <v>46.01</v>
      </c>
      <c r="BR485" s="2346">
        <v>50.98</v>
      </c>
      <c r="BS485" s="2346">
        <v>55.89</v>
      </c>
      <c r="BT485" s="2346">
        <v>59.39</v>
      </c>
      <c r="BU485" s="2346">
        <v>62.88</v>
      </c>
      <c r="BV485" s="2346">
        <v>71.099999999999994</v>
      </c>
      <c r="BW485" s="2346">
        <v>76.069999999999993</v>
      </c>
      <c r="BX485" s="2346">
        <v>80.31</v>
      </c>
      <c r="BY485" s="2346">
        <v>81.41</v>
      </c>
      <c r="BZ485" s="2346">
        <v>86.93</v>
      </c>
      <c r="CA485" s="2346">
        <v>92.27</v>
      </c>
      <c r="CB485" s="2346">
        <v>97.61</v>
      </c>
      <c r="CC485" s="2346">
        <v>105.28</v>
      </c>
      <c r="CD485" s="2346">
        <v>111.66</v>
      </c>
      <c r="CE485" s="2346">
        <v>121.66</v>
      </c>
      <c r="CF485" s="2346">
        <v>128.77000000000001</v>
      </c>
      <c r="CG485" s="2346">
        <v>141.84</v>
      </c>
      <c r="CH485" s="2346">
        <v>154.29</v>
      </c>
      <c r="CI485" s="2346">
        <v>172.33</v>
      </c>
      <c r="CJ485" s="2346">
        <v>189.08</v>
      </c>
      <c r="CK485" s="2346">
        <v>220</v>
      </c>
      <c r="CL485" s="2346">
        <v>237.48</v>
      </c>
      <c r="CM485" s="2347">
        <v>1100</v>
      </c>
      <c r="CN485" s="2275"/>
      <c r="CO485" s="2275">
        <f>HLOOKUP(CO476,BL477:CL489,7,0)</f>
        <v>44.91</v>
      </c>
      <c r="CP485" s="2275">
        <f t="shared" si="277"/>
        <v>69.39</v>
      </c>
      <c r="CQ485" s="2275">
        <v>950</v>
      </c>
      <c r="CR485" s="2275"/>
      <c r="CS485" s="2275"/>
      <c r="CT485" s="2275"/>
      <c r="CU485" s="2275"/>
      <c r="CV485" s="2275"/>
      <c r="CW485" s="2275"/>
      <c r="CX485" s="2250"/>
      <c r="CY485" s="2250"/>
      <c r="CZ485" s="2250"/>
      <c r="DA485" s="2250"/>
      <c r="DB485" s="2250"/>
      <c r="DC485" s="2250"/>
      <c r="DD485" s="2250"/>
      <c r="DE485" s="2250"/>
      <c r="DF485" s="2250"/>
      <c r="DG485" s="2250"/>
      <c r="DH485" s="2250"/>
      <c r="DI485" s="2250"/>
      <c r="DJ485" s="2250"/>
      <c r="DK485" s="2250"/>
      <c r="DL485" s="2250"/>
      <c r="DM485" s="2250"/>
      <c r="DN485" s="2250"/>
      <c r="DO485" s="53"/>
      <c r="DP485" s="53"/>
      <c r="DS485" s="277"/>
      <c r="DW485" s="1"/>
      <c r="DX485" s="4671"/>
      <c r="DY485" s="2345">
        <v>1100</v>
      </c>
      <c r="DZ485" s="2346">
        <v>32.39</v>
      </c>
      <c r="EA485" s="2346">
        <v>36.5</v>
      </c>
      <c r="EB485" s="2346">
        <v>40.43</v>
      </c>
      <c r="EC485" s="2346">
        <v>47.85</v>
      </c>
      <c r="ED485" s="2346">
        <v>48.71</v>
      </c>
      <c r="EE485" s="2346">
        <v>46.01</v>
      </c>
      <c r="EF485" s="2346">
        <v>50.98</v>
      </c>
      <c r="EG485" s="2346">
        <v>55.89</v>
      </c>
      <c r="EH485" s="2346">
        <v>59.39</v>
      </c>
      <c r="EI485" s="2346">
        <v>62.88</v>
      </c>
      <c r="EJ485" s="2346">
        <v>71.099999999999994</v>
      </c>
      <c r="EK485" s="2346">
        <v>76.069999999999993</v>
      </c>
      <c r="EL485" s="2346">
        <v>80.31</v>
      </c>
      <c r="EM485" s="2346">
        <v>81.41</v>
      </c>
      <c r="EN485" s="2346">
        <v>86.93</v>
      </c>
      <c r="EO485" s="2346">
        <v>92.27</v>
      </c>
      <c r="EP485" s="2346">
        <v>97.61</v>
      </c>
      <c r="EQ485" s="2346">
        <v>105.28</v>
      </c>
      <c r="ER485" s="2346">
        <v>111.66</v>
      </c>
      <c r="ES485" s="2346">
        <v>121.66</v>
      </c>
      <c r="ET485" s="2346">
        <v>128.77000000000001</v>
      </c>
      <c r="EU485" s="2346">
        <v>141.84</v>
      </c>
      <c r="EV485" s="2346">
        <v>154.29</v>
      </c>
      <c r="EW485" s="2346">
        <v>172.33</v>
      </c>
      <c r="EX485" s="2346">
        <v>189.08</v>
      </c>
      <c r="EY485" s="2346">
        <v>220</v>
      </c>
      <c r="EZ485" s="2346">
        <v>237.48</v>
      </c>
      <c r="FA485" s="2347">
        <v>1100</v>
      </c>
      <c r="FB485" s="2275"/>
      <c r="FC485" s="2275">
        <f>HLOOKUP(FC476,DZ477:EZ489,7,0)</f>
        <v>71.099999999999994</v>
      </c>
      <c r="FD485" s="2275">
        <f t="shared" si="278"/>
        <v>105.15</v>
      </c>
      <c r="FE485" s="2275">
        <v>950</v>
      </c>
      <c r="FF485" s="2275"/>
      <c r="FG485" s="2275"/>
      <c r="FH485" s="2275"/>
      <c r="FI485" s="2275"/>
      <c r="FJ485" s="2275"/>
      <c r="FK485" s="2275"/>
      <c r="FL485" s="2250"/>
      <c r="FM485" s="2250"/>
      <c r="FN485" s="2250"/>
      <c r="FO485" s="2250"/>
      <c r="FP485" s="2250"/>
      <c r="FQ485" s="2250"/>
      <c r="FR485" s="2250"/>
      <c r="FS485" s="2250"/>
      <c r="FT485" s="2250"/>
      <c r="FU485" s="2250"/>
      <c r="FV485" s="2250"/>
      <c r="FW485" s="2250"/>
      <c r="FX485" s="2250"/>
      <c r="FY485" s="2250"/>
      <c r="FZ485" s="2250"/>
      <c r="GA485" s="2250"/>
      <c r="GB485" s="2276"/>
      <c r="GC485" s="2276"/>
      <c r="GD485" s="2250"/>
      <c r="GE485" s="2275"/>
      <c r="GF485" s="4671"/>
      <c r="GG485" s="2345">
        <v>1100</v>
      </c>
      <c r="GH485" s="2346">
        <v>32.39</v>
      </c>
      <c r="GI485" s="2346">
        <v>36.5</v>
      </c>
      <c r="GJ485" s="2346">
        <v>40.43</v>
      </c>
      <c r="GK485" s="2346">
        <v>47.85</v>
      </c>
      <c r="GL485" s="2346">
        <v>48.71</v>
      </c>
      <c r="GM485" s="2346">
        <v>46.01</v>
      </c>
      <c r="GN485" s="2346">
        <v>50.98</v>
      </c>
      <c r="GO485" s="2346">
        <v>55.89</v>
      </c>
      <c r="GP485" s="2346">
        <v>59.39</v>
      </c>
      <c r="GQ485" s="2346">
        <v>62.88</v>
      </c>
      <c r="GR485" s="2346">
        <v>71.099999999999994</v>
      </c>
      <c r="GS485" s="2346">
        <v>76.069999999999993</v>
      </c>
      <c r="GT485" s="2346">
        <v>80.31</v>
      </c>
      <c r="GU485" s="2346">
        <v>81.41</v>
      </c>
      <c r="GV485" s="2346">
        <v>86.93</v>
      </c>
      <c r="GW485" s="2346">
        <v>92.27</v>
      </c>
      <c r="GX485" s="2346">
        <v>97.61</v>
      </c>
      <c r="GY485" s="2346">
        <v>105.28</v>
      </c>
      <c r="GZ485" s="2346">
        <v>111.66</v>
      </c>
      <c r="HA485" s="2346">
        <v>121.66</v>
      </c>
      <c r="HB485" s="2346">
        <v>128.77000000000001</v>
      </c>
      <c r="HC485" s="2346">
        <v>141.84</v>
      </c>
      <c r="HD485" s="2346">
        <v>154.29</v>
      </c>
      <c r="HE485" s="2346">
        <v>172.33</v>
      </c>
      <c r="HF485" s="2346">
        <v>189.08</v>
      </c>
      <c r="HG485" s="2346">
        <v>220</v>
      </c>
      <c r="HH485" s="2346">
        <v>237.48</v>
      </c>
      <c r="HI485" s="2347">
        <v>1100</v>
      </c>
      <c r="HJ485" s="2275"/>
      <c r="HK485" s="2275">
        <f>HLOOKUP(HK476,GH477:HH489,7,0)</f>
        <v>64.72</v>
      </c>
      <c r="HL485" s="2275">
        <f t="shared" si="279"/>
        <v>97.3</v>
      </c>
      <c r="HM485" s="2275">
        <v>950</v>
      </c>
      <c r="HN485" s="2275"/>
      <c r="HO485" s="2275"/>
      <c r="HP485" s="2275"/>
      <c r="HQ485" s="2275"/>
      <c r="HR485" s="2275"/>
      <c r="HS485" s="2275"/>
      <c r="HT485" s="2250"/>
      <c r="HU485" s="2250"/>
      <c r="HV485" s="2250"/>
      <c r="HW485" s="2250"/>
      <c r="HX485" s="2250"/>
      <c r="HY485" s="2250"/>
      <c r="HZ485" s="2250"/>
      <c r="IA485" s="2250"/>
      <c r="IB485" s="2250"/>
      <c r="IC485" s="2250"/>
      <c r="ID485" s="2250"/>
      <c r="IE485" s="2250"/>
      <c r="IF485" s="2250"/>
      <c r="IG485" s="2250"/>
      <c r="IH485" s="2250"/>
      <c r="II485" s="2250"/>
      <c r="IJ485" s="2250"/>
      <c r="IK485" s="53"/>
      <c r="IL485" s="53"/>
      <c r="IN485" s="277"/>
      <c r="IO485" s="277"/>
    </row>
    <row r="486" spans="2:249" ht="21.95" customHeight="1">
      <c r="B486" s="4671"/>
      <c r="C486" s="2345">
        <v>1250</v>
      </c>
      <c r="D486" s="2346">
        <v>47.55</v>
      </c>
      <c r="E486" s="2346">
        <v>53.62</v>
      </c>
      <c r="F486" s="2346">
        <v>58.34</v>
      </c>
      <c r="G486" s="2346">
        <v>62.58</v>
      </c>
      <c r="H486" s="2346">
        <v>66.5</v>
      </c>
      <c r="I486" s="2346">
        <v>67.55</v>
      </c>
      <c r="J486" s="2346">
        <v>72.33</v>
      </c>
      <c r="K486" s="2346">
        <v>77.42</v>
      </c>
      <c r="L486" s="2346">
        <v>82.15</v>
      </c>
      <c r="M486" s="2346">
        <v>87.48</v>
      </c>
      <c r="N486" s="2346">
        <v>96.75</v>
      </c>
      <c r="O486" s="2346">
        <v>104.48</v>
      </c>
      <c r="P486" s="2346">
        <v>109.14</v>
      </c>
      <c r="Q486" s="2346">
        <v>114.66</v>
      </c>
      <c r="R486" s="2346">
        <v>120.74</v>
      </c>
      <c r="S486" s="2346">
        <v>124.72</v>
      </c>
      <c r="T486" s="2346">
        <v>132.69999999999999</v>
      </c>
      <c r="U486" s="2346">
        <v>143.93</v>
      </c>
      <c r="V486" s="2346">
        <v>153.31</v>
      </c>
      <c r="W486" s="2346">
        <v>156.63</v>
      </c>
      <c r="X486" s="2346">
        <v>163.19</v>
      </c>
      <c r="Y486" s="2346">
        <v>183.13</v>
      </c>
      <c r="Z486" s="2346">
        <v>209.26</v>
      </c>
      <c r="AA486" s="2346">
        <v>230.67</v>
      </c>
      <c r="AB486" s="2346">
        <v>237.48</v>
      </c>
      <c r="AC486" s="2346">
        <v>237.48</v>
      </c>
      <c r="AD486" s="2346">
        <v>237.48</v>
      </c>
      <c r="AE486" s="2347">
        <v>1250</v>
      </c>
      <c r="AF486" s="2275"/>
      <c r="AG486" s="2275">
        <f>HLOOKUP(AG476,D477:AD489,8,0)</f>
        <v>73.010000000000005</v>
      </c>
      <c r="AH486" s="2275">
        <f t="shared" si="280"/>
        <v>105.28</v>
      </c>
      <c r="AI486" s="2275">
        <v>1100</v>
      </c>
      <c r="AJ486" s="2275"/>
      <c r="AK486" s="2275"/>
      <c r="AL486" s="2275"/>
      <c r="AM486" s="2275"/>
      <c r="AN486" s="2275"/>
      <c r="AO486" s="2275"/>
      <c r="AP486" s="2250"/>
      <c r="AQ486" s="2250"/>
      <c r="AR486" s="2250"/>
      <c r="AS486" s="2250"/>
      <c r="AT486" s="2250"/>
      <c r="AU486" s="2250"/>
      <c r="AV486" s="2250"/>
      <c r="AW486" s="2250"/>
      <c r="AX486" s="2250"/>
      <c r="AY486" s="2250"/>
      <c r="AZ486" s="2250"/>
      <c r="BA486" s="2250"/>
      <c r="BB486" s="2250"/>
      <c r="BC486" s="2250"/>
      <c r="BD486" s="2250"/>
      <c r="BE486" s="2250"/>
      <c r="BF486" s="2276"/>
      <c r="BG486" s="2276"/>
      <c r="BH486" s="2250"/>
      <c r="BI486" s="2275"/>
      <c r="BJ486" s="4671"/>
      <c r="BK486" s="2345">
        <v>1250</v>
      </c>
      <c r="BL486" s="2346">
        <v>47.55</v>
      </c>
      <c r="BM486" s="2346">
        <v>53.62</v>
      </c>
      <c r="BN486" s="2346">
        <v>58.34</v>
      </c>
      <c r="BO486" s="2346">
        <v>62.58</v>
      </c>
      <c r="BP486" s="2346">
        <v>66.5</v>
      </c>
      <c r="BQ486" s="2346">
        <v>67.55</v>
      </c>
      <c r="BR486" s="2346">
        <v>72.33</v>
      </c>
      <c r="BS486" s="2346">
        <v>77.42</v>
      </c>
      <c r="BT486" s="2346">
        <v>82.15</v>
      </c>
      <c r="BU486" s="2346">
        <v>87.48</v>
      </c>
      <c r="BV486" s="2346">
        <v>96.75</v>
      </c>
      <c r="BW486" s="2346">
        <v>104.48</v>
      </c>
      <c r="BX486" s="2346">
        <v>109.14</v>
      </c>
      <c r="BY486" s="2346">
        <v>114.66</v>
      </c>
      <c r="BZ486" s="2346">
        <v>120.74</v>
      </c>
      <c r="CA486" s="2346">
        <v>124.72</v>
      </c>
      <c r="CB486" s="2346">
        <v>132.69999999999999</v>
      </c>
      <c r="CC486" s="2346">
        <v>143.93</v>
      </c>
      <c r="CD486" s="2346">
        <v>153.31</v>
      </c>
      <c r="CE486" s="2346">
        <v>156.63</v>
      </c>
      <c r="CF486" s="2346">
        <v>163.19</v>
      </c>
      <c r="CG486" s="2346">
        <v>183.13</v>
      </c>
      <c r="CH486" s="2346">
        <v>209.26</v>
      </c>
      <c r="CI486" s="2346">
        <v>230.67</v>
      </c>
      <c r="CJ486" s="2346">
        <v>237.48</v>
      </c>
      <c r="CK486" s="2346">
        <v>237.48</v>
      </c>
      <c r="CL486" s="2346">
        <v>237.48</v>
      </c>
      <c r="CM486" s="2347">
        <v>1250</v>
      </c>
      <c r="CN486" s="2275"/>
      <c r="CO486" s="2275">
        <f>HLOOKUP(CO476,BL477:CL489,8,0)</f>
        <v>69.39</v>
      </c>
      <c r="CP486" s="2275">
        <f t="shared" si="277"/>
        <v>97.61</v>
      </c>
      <c r="CQ486" s="2275">
        <v>1100</v>
      </c>
      <c r="CR486" s="2275"/>
      <c r="CS486" s="2275"/>
      <c r="CT486" s="2275"/>
      <c r="CU486" s="2275"/>
      <c r="CV486" s="2275"/>
      <c r="CW486" s="2275"/>
      <c r="CX486" s="2250"/>
      <c r="CY486" s="2250"/>
      <c r="CZ486" s="2250"/>
      <c r="DA486" s="2250"/>
      <c r="DB486" s="2250"/>
      <c r="DC486" s="2250"/>
      <c r="DD486" s="2250"/>
      <c r="DE486" s="2250"/>
      <c r="DF486" s="2250"/>
      <c r="DG486" s="2250"/>
      <c r="DH486" s="2250"/>
      <c r="DI486" s="2250"/>
      <c r="DJ486" s="2250"/>
      <c r="DK486" s="2250"/>
      <c r="DL486" s="2250"/>
      <c r="DM486" s="2250"/>
      <c r="DN486" s="2250"/>
      <c r="DO486" s="53"/>
      <c r="DP486" s="53"/>
      <c r="DS486" s="277"/>
      <c r="DW486" s="1"/>
      <c r="DX486" s="4671"/>
      <c r="DY486" s="2345">
        <v>1250</v>
      </c>
      <c r="DZ486" s="2346">
        <v>47.55</v>
      </c>
      <c r="EA486" s="2346">
        <v>53.62</v>
      </c>
      <c r="EB486" s="2346">
        <v>58.34</v>
      </c>
      <c r="EC486" s="2346">
        <v>62.58</v>
      </c>
      <c r="ED486" s="2346">
        <v>66.5</v>
      </c>
      <c r="EE486" s="2346">
        <v>67.55</v>
      </c>
      <c r="EF486" s="2346">
        <v>72.33</v>
      </c>
      <c r="EG486" s="2346">
        <v>77.42</v>
      </c>
      <c r="EH486" s="2346">
        <v>82.15</v>
      </c>
      <c r="EI486" s="2346">
        <v>87.48</v>
      </c>
      <c r="EJ486" s="2346">
        <v>96.75</v>
      </c>
      <c r="EK486" s="2346">
        <v>104.48</v>
      </c>
      <c r="EL486" s="2346">
        <v>109.14</v>
      </c>
      <c r="EM486" s="2346">
        <v>114.66</v>
      </c>
      <c r="EN486" s="2346">
        <v>120.74</v>
      </c>
      <c r="EO486" s="2346">
        <v>124.72</v>
      </c>
      <c r="EP486" s="2346">
        <v>132.69999999999999</v>
      </c>
      <c r="EQ486" s="2346">
        <v>143.93</v>
      </c>
      <c r="ER486" s="2346">
        <v>153.31</v>
      </c>
      <c r="ES486" s="2346">
        <v>156.63</v>
      </c>
      <c r="ET486" s="2346">
        <v>163.19</v>
      </c>
      <c r="EU486" s="2346">
        <v>183.13</v>
      </c>
      <c r="EV486" s="2346">
        <v>209.26</v>
      </c>
      <c r="EW486" s="2346">
        <v>230.67</v>
      </c>
      <c r="EX486" s="2346">
        <v>237.48</v>
      </c>
      <c r="EY486" s="2346">
        <v>237.48</v>
      </c>
      <c r="EZ486" s="2346">
        <v>237.48</v>
      </c>
      <c r="FA486" s="2347">
        <v>1250</v>
      </c>
      <c r="FB486" s="2275"/>
      <c r="FC486" s="2275">
        <f>HLOOKUP(FC476,DZ477:EZ489,8,0)</f>
        <v>105.15</v>
      </c>
      <c r="FD486" s="2275">
        <f t="shared" si="278"/>
        <v>154.29</v>
      </c>
      <c r="FE486" s="2275">
        <v>1100</v>
      </c>
      <c r="FF486" s="2275"/>
      <c r="FG486" s="2275"/>
      <c r="FH486" s="2275"/>
      <c r="FI486" s="2275"/>
      <c r="FJ486" s="2275"/>
      <c r="FK486" s="2275"/>
      <c r="FL486" s="2250"/>
      <c r="FM486" s="2250"/>
      <c r="FN486" s="2250"/>
      <c r="FO486" s="2250"/>
      <c r="FP486" s="2250"/>
      <c r="FQ486" s="2250"/>
      <c r="FR486" s="2250"/>
      <c r="FS486" s="2250"/>
      <c r="FT486" s="2250"/>
      <c r="FU486" s="2250"/>
      <c r="FV486" s="2250"/>
      <c r="FW486" s="2250"/>
      <c r="FX486" s="2250"/>
      <c r="FY486" s="2250"/>
      <c r="FZ486" s="2250"/>
      <c r="GA486" s="2250"/>
      <c r="GB486" s="2276"/>
      <c r="GC486" s="2276"/>
      <c r="GD486" s="2250"/>
      <c r="GE486" s="2275"/>
      <c r="GF486" s="4671"/>
      <c r="GG486" s="2345">
        <v>1250</v>
      </c>
      <c r="GH486" s="2346">
        <v>47.55</v>
      </c>
      <c r="GI486" s="2346">
        <v>53.62</v>
      </c>
      <c r="GJ486" s="2346">
        <v>58.34</v>
      </c>
      <c r="GK486" s="2346">
        <v>62.58</v>
      </c>
      <c r="GL486" s="2346">
        <v>66.5</v>
      </c>
      <c r="GM486" s="2346">
        <v>67.55</v>
      </c>
      <c r="GN486" s="2346">
        <v>72.33</v>
      </c>
      <c r="GO486" s="2346">
        <v>77.42</v>
      </c>
      <c r="GP486" s="2346">
        <v>82.15</v>
      </c>
      <c r="GQ486" s="2346">
        <v>87.48</v>
      </c>
      <c r="GR486" s="2346">
        <v>96.75</v>
      </c>
      <c r="GS486" s="2346">
        <v>104.48</v>
      </c>
      <c r="GT486" s="2346">
        <v>109.14</v>
      </c>
      <c r="GU486" s="2346">
        <v>114.66</v>
      </c>
      <c r="GV486" s="2346">
        <v>120.74</v>
      </c>
      <c r="GW486" s="2346">
        <v>124.72</v>
      </c>
      <c r="GX486" s="2346">
        <v>132.69999999999999</v>
      </c>
      <c r="GY486" s="2346">
        <v>143.93</v>
      </c>
      <c r="GZ486" s="2346">
        <v>153.31</v>
      </c>
      <c r="HA486" s="2346">
        <v>156.63</v>
      </c>
      <c r="HB486" s="2346">
        <v>163.19</v>
      </c>
      <c r="HC486" s="2346">
        <v>183.13</v>
      </c>
      <c r="HD486" s="2346">
        <v>209.26</v>
      </c>
      <c r="HE486" s="2346">
        <v>230.67</v>
      </c>
      <c r="HF486" s="2346">
        <v>237.48</v>
      </c>
      <c r="HG486" s="2346">
        <v>237.48</v>
      </c>
      <c r="HH486" s="2346">
        <v>237.48</v>
      </c>
      <c r="HI486" s="2347">
        <v>1250</v>
      </c>
      <c r="HJ486" s="2275"/>
      <c r="HK486" s="2275">
        <f>HLOOKUP(HK476,GH477:HH489,8,0)</f>
        <v>97.3</v>
      </c>
      <c r="HL486" s="2275">
        <f t="shared" si="279"/>
        <v>141.84</v>
      </c>
      <c r="HM486" s="2275">
        <v>1100</v>
      </c>
      <c r="HN486" s="2275"/>
      <c r="HO486" s="2275"/>
      <c r="HP486" s="2275"/>
      <c r="HQ486" s="2275"/>
      <c r="HR486" s="2275"/>
      <c r="HS486" s="2275"/>
      <c r="HT486" s="2250"/>
      <c r="HU486" s="2250"/>
      <c r="HV486" s="2250"/>
      <c r="HW486" s="2250"/>
      <c r="HX486" s="2250"/>
      <c r="HY486" s="2250"/>
      <c r="HZ486" s="2250"/>
      <c r="IA486" s="2250"/>
      <c r="IB486" s="2250"/>
      <c r="IC486" s="2250"/>
      <c r="ID486" s="2250"/>
      <c r="IE486" s="2250"/>
      <c r="IF486" s="2250"/>
      <c r="IG486" s="2250"/>
      <c r="IH486" s="2250"/>
      <c r="II486" s="2250"/>
      <c r="IJ486" s="2250"/>
      <c r="IK486" s="53"/>
      <c r="IL486" s="53"/>
      <c r="IN486" s="277"/>
      <c r="IO486" s="277"/>
    </row>
    <row r="487" spans="2:249" ht="21.95" customHeight="1">
      <c r="B487" s="4671"/>
      <c r="C487" s="2345">
        <v>1450</v>
      </c>
      <c r="D487" s="2346">
        <v>73.25</v>
      </c>
      <c r="E487" s="2346">
        <v>82.58</v>
      </c>
      <c r="F487" s="2346">
        <v>91.47</v>
      </c>
      <c r="G487" s="2346">
        <v>98.71</v>
      </c>
      <c r="H487" s="2346">
        <v>98.71</v>
      </c>
      <c r="I487" s="2346">
        <v>104.11</v>
      </c>
      <c r="J487" s="2346">
        <v>114.91</v>
      </c>
      <c r="K487" s="2346">
        <v>122.52</v>
      </c>
      <c r="L487" s="2346">
        <v>130.43</v>
      </c>
      <c r="M487" s="2346">
        <v>138.9</v>
      </c>
      <c r="N487" s="2346">
        <v>144.11000000000001</v>
      </c>
      <c r="O487" s="2346">
        <v>163.31</v>
      </c>
      <c r="P487" s="2346">
        <v>170.43</v>
      </c>
      <c r="Q487" s="2346">
        <v>176.38</v>
      </c>
      <c r="R487" s="2346">
        <v>184.91</v>
      </c>
      <c r="S487" s="2346">
        <v>199.08</v>
      </c>
      <c r="T487" s="2346">
        <v>211.23</v>
      </c>
      <c r="U487" s="2346">
        <v>223.44</v>
      </c>
      <c r="V487" s="2346">
        <v>236.32</v>
      </c>
      <c r="W487" s="2346">
        <v>261.17</v>
      </c>
      <c r="X487" s="2346">
        <v>274.48</v>
      </c>
      <c r="Y487" s="2346">
        <v>301.52999999999997</v>
      </c>
      <c r="Z487" s="2346">
        <v>327.55</v>
      </c>
      <c r="AA487" s="2346">
        <v>340.43</v>
      </c>
      <c r="AB487" s="2346">
        <v>400.12</v>
      </c>
      <c r="AC487" s="2346">
        <v>410.37</v>
      </c>
      <c r="AD487" s="2346">
        <v>410.37</v>
      </c>
      <c r="AE487" s="2347">
        <v>1450</v>
      </c>
      <c r="AF487" s="2275"/>
      <c r="AG487" s="2275">
        <f>HLOOKUP(AG476,D477:AD489,9,0)</f>
        <v>105.28</v>
      </c>
      <c r="AH487" s="2275">
        <f t="shared" si="280"/>
        <v>143.93</v>
      </c>
      <c r="AI487" s="2275">
        <v>1250</v>
      </c>
      <c r="AJ487" s="2275"/>
      <c r="AK487" s="2275"/>
      <c r="AL487" s="2275"/>
      <c r="AM487" s="2275"/>
      <c r="AN487" s="2275"/>
      <c r="AO487" s="2275"/>
      <c r="AP487" s="2250"/>
      <c r="AQ487" s="2250"/>
      <c r="AR487" s="2250"/>
      <c r="AS487" s="2250"/>
      <c r="AT487" s="2250"/>
      <c r="AU487" s="2250"/>
      <c r="AV487" s="2250"/>
      <c r="AW487" s="2250"/>
      <c r="AX487" s="2250"/>
      <c r="AY487" s="2250"/>
      <c r="AZ487" s="2250"/>
      <c r="BA487" s="2250"/>
      <c r="BB487" s="2250"/>
      <c r="BC487" s="2250"/>
      <c r="BD487" s="2250"/>
      <c r="BE487" s="2250"/>
      <c r="BF487" s="2276"/>
      <c r="BG487" s="2276"/>
      <c r="BH487" s="2250"/>
      <c r="BI487" s="2275"/>
      <c r="BJ487" s="4671"/>
      <c r="BK487" s="2345">
        <v>1450</v>
      </c>
      <c r="BL487" s="2346">
        <v>73.25</v>
      </c>
      <c r="BM487" s="2346">
        <v>82.58</v>
      </c>
      <c r="BN487" s="2346">
        <v>91.47</v>
      </c>
      <c r="BO487" s="2346">
        <v>98.71</v>
      </c>
      <c r="BP487" s="2346">
        <v>98.71</v>
      </c>
      <c r="BQ487" s="2346">
        <v>104.11</v>
      </c>
      <c r="BR487" s="2346">
        <v>114.91</v>
      </c>
      <c r="BS487" s="2346">
        <v>122.52</v>
      </c>
      <c r="BT487" s="2346">
        <v>130.43</v>
      </c>
      <c r="BU487" s="2346">
        <v>138.9</v>
      </c>
      <c r="BV487" s="2346">
        <v>144.11000000000001</v>
      </c>
      <c r="BW487" s="2346">
        <v>163.31</v>
      </c>
      <c r="BX487" s="2346">
        <v>170.43</v>
      </c>
      <c r="BY487" s="2346">
        <v>176.38</v>
      </c>
      <c r="BZ487" s="2346">
        <v>184.91</v>
      </c>
      <c r="CA487" s="2346">
        <v>199.08</v>
      </c>
      <c r="CB487" s="2346">
        <v>211.23</v>
      </c>
      <c r="CC487" s="2346">
        <v>223.44</v>
      </c>
      <c r="CD487" s="2346">
        <v>236.32</v>
      </c>
      <c r="CE487" s="2346">
        <v>261.17</v>
      </c>
      <c r="CF487" s="2346">
        <v>274.48</v>
      </c>
      <c r="CG487" s="2346">
        <v>301.52999999999997</v>
      </c>
      <c r="CH487" s="2346">
        <v>327.55</v>
      </c>
      <c r="CI487" s="2346">
        <v>340.43</v>
      </c>
      <c r="CJ487" s="2346">
        <v>400.12</v>
      </c>
      <c r="CK487" s="2346">
        <v>410.37</v>
      </c>
      <c r="CL487" s="2346">
        <v>410.37</v>
      </c>
      <c r="CM487" s="2347">
        <v>1450</v>
      </c>
      <c r="CN487" s="2275"/>
      <c r="CO487" s="2275">
        <f>HLOOKUP(CO476,BL477:CL489,9,0)</f>
        <v>97.61</v>
      </c>
      <c r="CP487" s="2275">
        <f t="shared" si="277"/>
        <v>132.69999999999999</v>
      </c>
      <c r="CQ487" s="2275">
        <v>1250</v>
      </c>
      <c r="CR487" s="2275"/>
      <c r="CS487" s="2275"/>
      <c r="CT487" s="2275"/>
      <c r="CU487" s="2275"/>
      <c r="CV487" s="2275"/>
      <c r="CW487" s="2275"/>
      <c r="CX487" s="2250"/>
      <c r="CY487" s="2250"/>
      <c r="CZ487" s="2250"/>
      <c r="DA487" s="2250"/>
      <c r="DB487" s="2250"/>
      <c r="DC487" s="2250"/>
      <c r="DD487" s="2250"/>
      <c r="DE487" s="2250"/>
      <c r="DF487" s="2250"/>
      <c r="DG487" s="2250"/>
      <c r="DH487" s="2250"/>
      <c r="DI487" s="2250"/>
      <c r="DJ487" s="2250"/>
      <c r="DK487" s="2250"/>
      <c r="DL487" s="2250"/>
      <c r="DM487" s="2250"/>
      <c r="DN487" s="2250"/>
      <c r="DO487" s="53"/>
      <c r="DP487" s="53"/>
      <c r="DS487" s="277"/>
      <c r="DW487" s="1"/>
      <c r="DX487" s="4671"/>
      <c r="DY487" s="2345">
        <v>1450</v>
      </c>
      <c r="DZ487" s="2346">
        <v>73.25</v>
      </c>
      <c r="EA487" s="2346">
        <v>82.58</v>
      </c>
      <c r="EB487" s="2346">
        <v>91.47</v>
      </c>
      <c r="EC487" s="2346">
        <v>98.71</v>
      </c>
      <c r="ED487" s="2346">
        <v>98.71</v>
      </c>
      <c r="EE487" s="2346">
        <v>104.11</v>
      </c>
      <c r="EF487" s="2346">
        <v>114.91</v>
      </c>
      <c r="EG487" s="2346">
        <v>122.52</v>
      </c>
      <c r="EH487" s="2346">
        <v>130.43</v>
      </c>
      <c r="EI487" s="2346">
        <v>138.9</v>
      </c>
      <c r="EJ487" s="2346">
        <v>144.11000000000001</v>
      </c>
      <c r="EK487" s="2346">
        <v>163.31</v>
      </c>
      <c r="EL487" s="2346">
        <v>170.43</v>
      </c>
      <c r="EM487" s="2346">
        <v>176.38</v>
      </c>
      <c r="EN487" s="2346">
        <v>184.91</v>
      </c>
      <c r="EO487" s="2346">
        <v>199.08</v>
      </c>
      <c r="EP487" s="2346">
        <v>211.23</v>
      </c>
      <c r="EQ487" s="2346">
        <v>223.44</v>
      </c>
      <c r="ER487" s="2346">
        <v>236.32</v>
      </c>
      <c r="ES487" s="2346">
        <v>261.17</v>
      </c>
      <c r="ET487" s="2346">
        <v>274.48</v>
      </c>
      <c r="EU487" s="2346">
        <v>301.52999999999997</v>
      </c>
      <c r="EV487" s="2346">
        <v>327.55</v>
      </c>
      <c r="EW487" s="2346">
        <v>340.43</v>
      </c>
      <c r="EX487" s="2346">
        <v>400.12</v>
      </c>
      <c r="EY487" s="2346">
        <v>410.37</v>
      </c>
      <c r="EZ487" s="2346">
        <v>410.37</v>
      </c>
      <c r="FA487" s="2347">
        <v>1450</v>
      </c>
      <c r="FB487" s="2275"/>
      <c r="FC487" s="2275">
        <f>HLOOKUP(FC476,DZ477:EZ489,9,0)</f>
        <v>154.29</v>
      </c>
      <c r="FD487" s="2275">
        <f t="shared" si="278"/>
        <v>209.26</v>
      </c>
      <c r="FE487" s="2275">
        <v>1250</v>
      </c>
      <c r="FF487" s="2275"/>
      <c r="FG487" s="2275"/>
      <c r="FH487" s="2275"/>
      <c r="FI487" s="2275"/>
      <c r="FJ487" s="2275"/>
      <c r="FK487" s="2275"/>
      <c r="FL487" s="2250"/>
      <c r="FM487" s="2250"/>
      <c r="FN487" s="2250"/>
      <c r="FO487" s="2250"/>
      <c r="FP487" s="2250"/>
      <c r="FQ487" s="2250"/>
      <c r="FR487" s="2250"/>
      <c r="FS487" s="2250"/>
      <c r="FT487" s="2250"/>
      <c r="FU487" s="2250"/>
      <c r="FV487" s="2250"/>
      <c r="FW487" s="2250"/>
      <c r="FX487" s="2250"/>
      <c r="FY487" s="2250"/>
      <c r="FZ487" s="2250"/>
      <c r="GA487" s="2250"/>
      <c r="GB487" s="2276"/>
      <c r="GC487" s="2276"/>
      <c r="GD487" s="2250"/>
      <c r="GE487" s="2275"/>
      <c r="GF487" s="4671"/>
      <c r="GG487" s="2345">
        <v>1450</v>
      </c>
      <c r="GH487" s="2346">
        <v>73.25</v>
      </c>
      <c r="GI487" s="2346">
        <v>82.58</v>
      </c>
      <c r="GJ487" s="2346">
        <v>91.47</v>
      </c>
      <c r="GK487" s="2346">
        <v>98.71</v>
      </c>
      <c r="GL487" s="2346">
        <v>98.71</v>
      </c>
      <c r="GM487" s="2346">
        <v>104.11</v>
      </c>
      <c r="GN487" s="2346">
        <v>114.91</v>
      </c>
      <c r="GO487" s="2346">
        <v>122.52</v>
      </c>
      <c r="GP487" s="2346">
        <v>130.43</v>
      </c>
      <c r="GQ487" s="2346">
        <v>138.9</v>
      </c>
      <c r="GR487" s="2346">
        <v>144.11000000000001</v>
      </c>
      <c r="GS487" s="2346">
        <v>163.31</v>
      </c>
      <c r="GT487" s="2346">
        <v>170.43</v>
      </c>
      <c r="GU487" s="2346">
        <v>176.38</v>
      </c>
      <c r="GV487" s="2346">
        <v>184.91</v>
      </c>
      <c r="GW487" s="2346">
        <v>199.08</v>
      </c>
      <c r="GX487" s="2346">
        <v>211.23</v>
      </c>
      <c r="GY487" s="2346">
        <v>223.44</v>
      </c>
      <c r="GZ487" s="2346">
        <v>236.32</v>
      </c>
      <c r="HA487" s="2346">
        <v>261.17</v>
      </c>
      <c r="HB487" s="2346">
        <v>274.48</v>
      </c>
      <c r="HC487" s="2346">
        <v>301.52999999999997</v>
      </c>
      <c r="HD487" s="2346">
        <v>327.55</v>
      </c>
      <c r="HE487" s="2346">
        <v>340.43</v>
      </c>
      <c r="HF487" s="2346">
        <v>400.12</v>
      </c>
      <c r="HG487" s="2346">
        <v>410.37</v>
      </c>
      <c r="HH487" s="2346">
        <v>410.37</v>
      </c>
      <c r="HI487" s="2347">
        <v>1450</v>
      </c>
      <c r="HJ487" s="2275"/>
      <c r="HK487" s="2275">
        <f>HLOOKUP(HK476,GH477:HH489,9,0)</f>
        <v>141.84</v>
      </c>
      <c r="HL487" s="2275">
        <f t="shared" si="279"/>
        <v>183.13</v>
      </c>
      <c r="HM487" s="2275">
        <v>1250</v>
      </c>
      <c r="HN487" s="2275"/>
      <c r="HO487" s="2275"/>
      <c r="HP487" s="2275"/>
      <c r="HQ487" s="2275"/>
      <c r="HR487" s="2275"/>
      <c r="HS487" s="2275"/>
      <c r="HT487" s="2250"/>
      <c r="HU487" s="2250"/>
      <c r="HV487" s="2250"/>
      <c r="HW487" s="2250"/>
      <c r="HX487" s="2250"/>
      <c r="HY487" s="2250"/>
      <c r="HZ487" s="2250"/>
      <c r="IA487" s="2250"/>
      <c r="IB487" s="2250"/>
      <c r="IC487" s="2250"/>
      <c r="ID487" s="2250"/>
      <c r="IE487" s="2250"/>
      <c r="IF487" s="2250"/>
      <c r="IG487" s="2250"/>
      <c r="IH487" s="2250"/>
      <c r="II487" s="2250"/>
      <c r="IJ487" s="2250"/>
      <c r="IK487" s="53"/>
      <c r="IL487" s="53"/>
      <c r="IN487" s="277"/>
      <c r="IO487" s="277"/>
    </row>
    <row r="488" spans="2:249" ht="21.95" customHeight="1">
      <c r="B488" s="2275"/>
      <c r="C488" s="2345">
        <v>1650</v>
      </c>
      <c r="D488" s="2346">
        <v>106.44</v>
      </c>
      <c r="E488" s="2346">
        <v>120</v>
      </c>
      <c r="F488" s="2346">
        <v>132.58000000000001</v>
      </c>
      <c r="G488" s="2346">
        <v>132.58000000000001</v>
      </c>
      <c r="H488" s="2346">
        <v>139.75</v>
      </c>
      <c r="I488" s="2346">
        <v>151.29</v>
      </c>
      <c r="J488" s="2346">
        <v>158.9</v>
      </c>
      <c r="K488" s="2346">
        <v>176.01</v>
      </c>
      <c r="L488" s="2346">
        <v>186.38</v>
      </c>
      <c r="M488" s="2346">
        <v>199.69</v>
      </c>
      <c r="N488" s="2346">
        <v>209.45</v>
      </c>
      <c r="O488" s="2346">
        <v>243.74</v>
      </c>
      <c r="P488" s="2346">
        <v>247.73</v>
      </c>
      <c r="Q488" s="2346">
        <v>265.14999999999998</v>
      </c>
      <c r="R488" s="2346">
        <v>274.91000000000003</v>
      </c>
      <c r="S488" s="2346">
        <v>291.41000000000003</v>
      </c>
      <c r="T488" s="2346">
        <v>307.36</v>
      </c>
      <c r="U488" s="2346">
        <v>322.88</v>
      </c>
      <c r="V488" s="2346">
        <v>338.1</v>
      </c>
      <c r="W488" s="2346">
        <v>372.94</v>
      </c>
      <c r="X488" s="2346">
        <v>406.99</v>
      </c>
      <c r="Y488" s="2346">
        <v>447.79</v>
      </c>
      <c r="Z488" s="2346">
        <v>485.34</v>
      </c>
      <c r="AA488" s="2346">
        <v>520.17999999999995</v>
      </c>
      <c r="AB488" s="2346">
        <v>581.47</v>
      </c>
      <c r="AC488" s="2346">
        <v>643.99</v>
      </c>
      <c r="AD488" s="2346">
        <v>651.6</v>
      </c>
      <c r="AE488" s="2347">
        <v>1650</v>
      </c>
      <c r="AF488" s="2275"/>
      <c r="AG488" s="2275">
        <f>HLOOKUP(AG476,D477:AD489,10,0)</f>
        <v>143.93</v>
      </c>
      <c r="AH488" s="2275">
        <f t="shared" si="280"/>
        <v>223.44</v>
      </c>
      <c r="AI488" s="2275">
        <v>1450</v>
      </c>
      <c r="AJ488" s="2275"/>
      <c r="AK488" s="2275"/>
      <c r="AL488" s="2275"/>
      <c r="AM488" s="2275"/>
      <c r="AN488" s="2275"/>
      <c r="AO488" s="2275"/>
      <c r="AP488" s="2250"/>
      <c r="AQ488" s="2250"/>
      <c r="AR488" s="2250"/>
      <c r="AS488" s="2250"/>
      <c r="AT488" s="2250"/>
      <c r="AU488" s="2250"/>
      <c r="AV488" s="2250"/>
      <c r="AW488" s="2250"/>
      <c r="AX488" s="2250"/>
      <c r="AY488" s="2250"/>
      <c r="AZ488" s="2250"/>
      <c r="BA488" s="2250"/>
      <c r="BB488" s="2250"/>
      <c r="BC488" s="2250"/>
      <c r="BD488" s="2250"/>
      <c r="BE488" s="2250"/>
      <c r="BF488" s="2276"/>
      <c r="BG488" s="2276"/>
      <c r="BH488" s="2250"/>
      <c r="BI488" s="2275"/>
      <c r="BJ488" s="2275"/>
      <c r="BK488" s="2345">
        <v>1650</v>
      </c>
      <c r="BL488" s="2346">
        <v>106.44</v>
      </c>
      <c r="BM488" s="2346">
        <v>120</v>
      </c>
      <c r="BN488" s="2346">
        <v>132.58000000000001</v>
      </c>
      <c r="BO488" s="2346">
        <v>132.58000000000001</v>
      </c>
      <c r="BP488" s="2346">
        <v>139.75</v>
      </c>
      <c r="BQ488" s="2346">
        <v>151.29</v>
      </c>
      <c r="BR488" s="2346">
        <v>158.9</v>
      </c>
      <c r="BS488" s="2346">
        <v>176.01</v>
      </c>
      <c r="BT488" s="2346">
        <v>186.38</v>
      </c>
      <c r="BU488" s="2346">
        <v>199.69</v>
      </c>
      <c r="BV488" s="2346">
        <v>209.45</v>
      </c>
      <c r="BW488" s="2346">
        <v>243.74</v>
      </c>
      <c r="BX488" s="2346">
        <v>247.73</v>
      </c>
      <c r="BY488" s="2346">
        <v>265.14999999999998</v>
      </c>
      <c r="BZ488" s="2346">
        <v>274.91000000000003</v>
      </c>
      <c r="CA488" s="2346">
        <v>291.41000000000003</v>
      </c>
      <c r="CB488" s="2346">
        <v>307.36</v>
      </c>
      <c r="CC488" s="2346">
        <v>322.88</v>
      </c>
      <c r="CD488" s="2346">
        <v>338.1</v>
      </c>
      <c r="CE488" s="2346">
        <v>372.94</v>
      </c>
      <c r="CF488" s="2346">
        <v>406.99</v>
      </c>
      <c r="CG488" s="2346">
        <v>447.79</v>
      </c>
      <c r="CH488" s="2346">
        <v>485.34</v>
      </c>
      <c r="CI488" s="2346">
        <v>520.17999999999995</v>
      </c>
      <c r="CJ488" s="2346">
        <v>581.47</v>
      </c>
      <c r="CK488" s="2346">
        <v>643.99</v>
      </c>
      <c r="CL488" s="2346">
        <v>651.6</v>
      </c>
      <c r="CM488" s="2347">
        <v>1650</v>
      </c>
      <c r="CN488" s="2275"/>
      <c r="CO488" s="2275">
        <f>HLOOKUP(CO476,BL477:CL489,10,0)</f>
        <v>132.69999999999999</v>
      </c>
      <c r="CP488" s="2275">
        <f t="shared" si="277"/>
        <v>211.23</v>
      </c>
      <c r="CQ488" s="2275">
        <v>1450</v>
      </c>
      <c r="CR488" s="2275"/>
      <c r="CS488" s="2275"/>
      <c r="CT488" s="2275"/>
      <c r="CU488" s="2275"/>
      <c r="CV488" s="2275"/>
      <c r="CW488" s="2275"/>
      <c r="CX488" s="2250"/>
      <c r="CY488" s="2250"/>
      <c r="CZ488" s="2250"/>
      <c r="DA488" s="2250"/>
      <c r="DB488" s="2250"/>
      <c r="DC488" s="2250"/>
      <c r="DD488" s="2250"/>
      <c r="DE488" s="2250"/>
      <c r="DF488" s="2250"/>
      <c r="DG488" s="2250"/>
      <c r="DH488" s="2250"/>
      <c r="DI488" s="2250"/>
      <c r="DJ488" s="2250"/>
      <c r="DK488" s="2250"/>
      <c r="DL488" s="2250"/>
      <c r="DM488" s="2250"/>
      <c r="DN488" s="2250"/>
      <c r="DO488" s="53"/>
      <c r="DP488" s="53"/>
      <c r="DS488" s="277"/>
      <c r="DW488" s="1"/>
      <c r="DX488" s="2275"/>
      <c r="DY488" s="2345">
        <v>1650</v>
      </c>
      <c r="DZ488" s="2346">
        <v>106.44</v>
      </c>
      <c r="EA488" s="2346">
        <v>120</v>
      </c>
      <c r="EB488" s="2346">
        <v>132.58000000000001</v>
      </c>
      <c r="EC488" s="2346">
        <v>132.58000000000001</v>
      </c>
      <c r="ED488" s="2346">
        <v>139.75</v>
      </c>
      <c r="EE488" s="2346">
        <v>151.29</v>
      </c>
      <c r="EF488" s="2346">
        <v>158.9</v>
      </c>
      <c r="EG488" s="2346">
        <v>176.01</v>
      </c>
      <c r="EH488" s="2346">
        <v>186.38</v>
      </c>
      <c r="EI488" s="2346">
        <v>199.69</v>
      </c>
      <c r="EJ488" s="2346">
        <v>209.45</v>
      </c>
      <c r="EK488" s="2346">
        <v>243.74</v>
      </c>
      <c r="EL488" s="2346">
        <v>247.73</v>
      </c>
      <c r="EM488" s="2346">
        <v>265.14999999999998</v>
      </c>
      <c r="EN488" s="2346">
        <v>274.91000000000003</v>
      </c>
      <c r="EO488" s="2346">
        <v>291.41000000000003</v>
      </c>
      <c r="EP488" s="2346">
        <v>307.36</v>
      </c>
      <c r="EQ488" s="2346">
        <v>322.88</v>
      </c>
      <c r="ER488" s="2346">
        <v>338.1</v>
      </c>
      <c r="ES488" s="2346">
        <v>372.94</v>
      </c>
      <c r="ET488" s="2346">
        <v>406.99</v>
      </c>
      <c r="EU488" s="2346">
        <v>447.79</v>
      </c>
      <c r="EV488" s="2346">
        <v>485.34</v>
      </c>
      <c r="EW488" s="2346">
        <v>520.17999999999995</v>
      </c>
      <c r="EX488" s="2346">
        <v>581.47</v>
      </c>
      <c r="EY488" s="2346">
        <v>643.99</v>
      </c>
      <c r="EZ488" s="2346">
        <v>651.6</v>
      </c>
      <c r="FA488" s="2347">
        <v>1650</v>
      </c>
      <c r="FB488" s="2275"/>
      <c r="FC488" s="2275">
        <f>HLOOKUP(FC476,DZ477:EZ489,10,0)</f>
        <v>209.26</v>
      </c>
      <c r="FD488" s="2275">
        <f t="shared" si="278"/>
        <v>327.55</v>
      </c>
      <c r="FE488" s="2275">
        <v>1450</v>
      </c>
      <c r="FF488" s="2275"/>
      <c r="FG488" s="2275"/>
      <c r="FH488" s="2275"/>
      <c r="FI488" s="2275"/>
      <c r="FJ488" s="2275"/>
      <c r="FK488" s="2275"/>
      <c r="FL488" s="2250"/>
      <c r="FM488" s="2250"/>
      <c r="FN488" s="2250"/>
      <c r="FO488" s="2250"/>
      <c r="FP488" s="2250"/>
      <c r="FQ488" s="2250"/>
      <c r="FR488" s="2250"/>
      <c r="FS488" s="2250"/>
      <c r="FT488" s="2250"/>
      <c r="FU488" s="2250"/>
      <c r="FV488" s="2250"/>
      <c r="FW488" s="2250"/>
      <c r="FX488" s="2250"/>
      <c r="FY488" s="2250"/>
      <c r="FZ488" s="2250"/>
      <c r="GA488" s="2250"/>
      <c r="GB488" s="2276"/>
      <c r="GC488" s="2276"/>
      <c r="GD488" s="2250"/>
      <c r="GE488" s="2275"/>
      <c r="GF488" s="2275"/>
      <c r="GG488" s="2345">
        <v>1650</v>
      </c>
      <c r="GH488" s="2346">
        <v>106.44</v>
      </c>
      <c r="GI488" s="2346">
        <v>120</v>
      </c>
      <c r="GJ488" s="2346">
        <v>132.58000000000001</v>
      </c>
      <c r="GK488" s="2346">
        <v>132.58000000000001</v>
      </c>
      <c r="GL488" s="2346">
        <v>139.75</v>
      </c>
      <c r="GM488" s="2346">
        <v>151.29</v>
      </c>
      <c r="GN488" s="2346">
        <v>158.9</v>
      </c>
      <c r="GO488" s="2346">
        <v>176.01</v>
      </c>
      <c r="GP488" s="2346">
        <v>186.38</v>
      </c>
      <c r="GQ488" s="2346">
        <v>199.69</v>
      </c>
      <c r="GR488" s="2346">
        <v>209.45</v>
      </c>
      <c r="GS488" s="2346">
        <v>243.74</v>
      </c>
      <c r="GT488" s="2346">
        <v>247.73</v>
      </c>
      <c r="GU488" s="2346">
        <v>265.14999999999998</v>
      </c>
      <c r="GV488" s="2346">
        <v>274.91000000000003</v>
      </c>
      <c r="GW488" s="2346">
        <v>291.41000000000003</v>
      </c>
      <c r="GX488" s="2346">
        <v>307.36</v>
      </c>
      <c r="GY488" s="2346">
        <v>322.88</v>
      </c>
      <c r="GZ488" s="2346">
        <v>338.1</v>
      </c>
      <c r="HA488" s="2346">
        <v>372.94</v>
      </c>
      <c r="HB488" s="2346">
        <v>406.99</v>
      </c>
      <c r="HC488" s="2346">
        <v>447.79</v>
      </c>
      <c r="HD488" s="2346">
        <v>485.34</v>
      </c>
      <c r="HE488" s="2346">
        <v>520.17999999999995</v>
      </c>
      <c r="HF488" s="2346">
        <v>581.47</v>
      </c>
      <c r="HG488" s="2346">
        <v>643.99</v>
      </c>
      <c r="HH488" s="2346">
        <v>651.6</v>
      </c>
      <c r="HI488" s="2347">
        <v>1650</v>
      </c>
      <c r="HJ488" s="2275"/>
      <c r="HK488" s="2275">
        <f>HLOOKUP(HK476,GH477:HH489,10,0)</f>
        <v>183.13</v>
      </c>
      <c r="HL488" s="2275">
        <f t="shared" si="279"/>
        <v>301.52999999999997</v>
      </c>
      <c r="HM488" s="2275">
        <v>1450</v>
      </c>
      <c r="HN488" s="2275"/>
      <c r="HO488" s="2275"/>
      <c r="HP488" s="2275"/>
      <c r="HQ488" s="2275"/>
      <c r="HR488" s="2275"/>
      <c r="HS488" s="2275"/>
      <c r="HT488" s="2250"/>
      <c r="HU488" s="2250"/>
      <c r="HV488" s="2250"/>
      <c r="HW488" s="2250"/>
      <c r="HX488" s="2250"/>
      <c r="HY488" s="2250"/>
      <c r="HZ488" s="2250"/>
      <c r="IA488" s="2250"/>
      <c r="IB488" s="2250"/>
      <c r="IC488" s="2250"/>
      <c r="ID488" s="2250"/>
      <c r="IE488" s="2250"/>
      <c r="IF488" s="2250"/>
      <c r="IG488" s="2250"/>
      <c r="IH488" s="2250"/>
      <c r="II488" s="2250"/>
      <c r="IJ488" s="2250"/>
      <c r="IK488" s="53"/>
      <c r="IL488" s="53"/>
      <c r="IN488" s="277"/>
      <c r="IO488" s="277"/>
    </row>
    <row r="489" spans="2:249" ht="21.95" customHeight="1">
      <c r="B489" s="2275"/>
      <c r="C489" s="2345">
        <v>1650</v>
      </c>
      <c r="D489" s="2346">
        <v>106.44</v>
      </c>
      <c r="E489" s="2346">
        <v>120</v>
      </c>
      <c r="F489" s="2346">
        <v>132.58000000000001</v>
      </c>
      <c r="G489" s="2346">
        <v>132.58000000000001</v>
      </c>
      <c r="H489" s="2346">
        <v>139.75</v>
      </c>
      <c r="I489" s="2346">
        <v>151.29</v>
      </c>
      <c r="J489" s="2346">
        <v>158.9</v>
      </c>
      <c r="K489" s="2346">
        <v>176.01</v>
      </c>
      <c r="L489" s="2346">
        <v>186.38</v>
      </c>
      <c r="M489" s="2346">
        <v>199.69</v>
      </c>
      <c r="N489" s="2346">
        <v>209.45</v>
      </c>
      <c r="O489" s="2346">
        <v>243.74</v>
      </c>
      <c r="P489" s="2346">
        <v>247.73</v>
      </c>
      <c r="Q489" s="2346">
        <v>265.14999999999998</v>
      </c>
      <c r="R489" s="2346">
        <v>274.91000000000003</v>
      </c>
      <c r="S489" s="2346">
        <v>291.41000000000003</v>
      </c>
      <c r="T489" s="2346">
        <v>307.36</v>
      </c>
      <c r="U489" s="2346">
        <v>322.88</v>
      </c>
      <c r="V489" s="2346">
        <v>338.1</v>
      </c>
      <c r="W489" s="2346">
        <v>372.94</v>
      </c>
      <c r="X489" s="2346">
        <v>406.99</v>
      </c>
      <c r="Y489" s="2346">
        <v>447.79</v>
      </c>
      <c r="Z489" s="2346">
        <v>485.34</v>
      </c>
      <c r="AA489" s="2346">
        <v>520.17999999999995</v>
      </c>
      <c r="AB489" s="2346">
        <v>581.47</v>
      </c>
      <c r="AC489" s="2346">
        <v>643.99</v>
      </c>
      <c r="AD489" s="2346">
        <v>651.6</v>
      </c>
      <c r="AE489" s="2347">
        <v>1650</v>
      </c>
      <c r="AF489" s="2275"/>
      <c r="AG489" s="2275">
        <f>HLOOKUP(AG476,D477:AD489,11,0)</f>
        <v>223.44</v>
      </c>
      <c r="AH489" s="2275">
        <f t="shared" si="280"/>
        <v>322.88</v>
      </c>
      <c r="AI489" s="2275">
        <v>1650</v>
      </c>
      <c r="AJ489" s="2275"/>
      <c r="AK489" s="2275"/>
      <c r="AL489" s="2275"/>
      <c r="AM489" s="2275"/>
      <c r="AN489" s="2275"/>
      <c r="AO489" s="2275"/>
      <c r="AP489" s="2250"/>
      <c r="AQ489" s="2250"/>
      <c r="AR489" s="2250"/>
      <c r="AS489" s="2250"/>
      <c r="AT489" s="2250"/>
      <c r="AU489" s="2250"/>
      <c r="AV489" s="2250"/>
      <c r="AW489" s="2250"/>
      <c r="AX489" s="2250"/>
      <c r="AY489" s="2250"/>
      <c r="AZ489" s="2250"/>
      <c r="BA489" s="2250"/>
      <c r="BB489" s="2250"/>
      <c r="BC489" s="2250"/>
      <c r="BD489" s="2250"/>
      <c r="BE489" s="2250"/>
      <c r="BF489" s="2276"/>
      <c r="BG489" s="2276"/>
      <c r="BH489" s="2250"/>
      <c r="BI489" s="2275"/>
      <c r="BJ489" s="2275"/>
      <c r="BK489" s="2345">
        <v>1650</v>
      </c>
      <c r="BL489" s="2346">
        <v>106.44</v>
      </c>
      <c r="BM489" s="2346">
        <v>120</v>
      </c>
      <c r="BN489" s="2346">
        <v>132.58000000000001</v>
      </c>
      <c r="BO489" s="2346">
        <v>132.58000000000001</v>
      </c>
      <c r="BP489" s="2346">
        <v>139.75</v>
      </c>
      <c r="BQ489" s="2346">
        <v>151.29</v>
      </c>
      <c r="BR489" s="2346">
        <v>158.9</v>
      </c>
      <c r="BS489" s="2346">
        <v>176.01</v>
      </c>
      <c r="BT489" s="2346">
        <v>186.38</v>
      </c>
      <c r="BU489" s="2346">
        <v>199.69</v>
      </c>
      <c r="BV489" s="2346">
        <v>209.45</v>
      </c>
      <c r="BW489" s="2346">
        <v>243.74</v>
      </c>
      <c r="BX489" s="2346">
        <v>247.73</v>
      </c>
      <c r="BY489" s="2346">
        <v>265.14999999999998</v>
      </c>
      <c r="BZ489" s="2346">
        <v>274.91000000000003</v>
      </c>
      <c r="CA489" s="2346">
        <v>291.41000000000003</v>
      </c>
      <c r="CB489" s="2346">
        <v>307.36</v>
      </c>
      <c r="CC489" s="2346">
        <v>322.88</v>
      </c>
      <c r="CD489" s="2346">
        <v>338.1</v>
      </c>
      <c r="CE489" s="2346">
        <v>372.94</v>
      </c>
      <c r="CF489" s="2346">
        <v>406.99</v>
      </c>
      <c r="CG489" s="2346">
        <v>447.79</v>
      </c>
      <c r="CH489" s="2346">
        <v>485.34</v>
      </c>
      <c r="CI489" s="2346">
        <v>520.17999999999995</v>
      </c>
      <c r="CJ489" s="2346">
        <v>581.47</v>
      </c>
      <c r="CK489" s="2346">
        <v>643.99</v>
      </c>
      <c r="CL489" s="2346">
        <v>651.6</v>
      </c>
      <c r="CM489" s="2347">
        <v>1650</v>
      </c>
      <c r="CN489" s="2275"/>
      <c r="CO489" s="2275">
        <f>HLOOKUP(CO476,BL477:CL489,11,0)</f>
        <v>211.23</v>
      </c>
      <c r="CP489" s="2275">
        <f t="shared" si="277"/>
        <v>307.36</v>
      </c>
      <c r="CQ489" s="2275">
        <v>1650</v>
      </c>
      <c r="CR489" s="2275"/>
      <c r="CS489" s="2275"/>
      <c r="CT489" s="2275"/>
      <c r="CU489" s="2275"/>
      <c r="CV489" s="2275"/>
      <c r="CW489" s="2275"/>
      <c r="CX489" s="2250"/>
      <c r="CY489" s="2250"/>
      <c r="CZ489" s="2250"/>
      <c r="DA489" s="2250"/>
      <c r="DB489" s="2250"/>
      <c r="DC489" s="2250"/>
      <c r="DD489" s="2250"/>
      <c r="DE489" s="2250"/>
      <c r="DF489" s="2250"/>
      <c r="DG489" s="2250"/>
      <c r="DH489" s="2250"/>
      <c r="DI489" s="2250"/>
      <c r="DJ489" s="2250"/>
      <c r="DK489" s="2250"/>
      <c r="DL489" s="2250"/>
      <c r="DM489" s="2250"/>
      <c r="DN489" s="2250"/>
      <c r="DO489" s="53"/>
      <c r="DP489" s="53"/>
      <c r="DS489" s="277"/>
      <c r="DW489" s="1"/>
      <c r="DX489" s="2275"/>
      <c r="DY489" s="2345">
        <v>1650</v>
      </c>
      <c r="DZ489" s="2346">
        <v>106.44</v>
      </c>
      <c r="EA489" s="2346">
        <v>120</v>
      </c>
      <c r="EB489" s="2346">
        <v>132.58000000000001</v>
      </c>
      <c r="EC489" s="2346">
        <v>132.58000000000001</v>
      </c>
      <c r="ED489" s="2346">
        <v>139.75</v>
      </c>
      <c r="EE489" s="2346">
        <v>151.29</v>
      </c>
      <c r="EF489" s="2346">
        <v>158.9</v>
      </c>
      <c r="EG489" s="2346">
        <v>176.01</v>
      </c>
      <c r="EH489" s="2346">
        <v>186.38</v>
      </c>
      <c r="EI489" s="2346">
        <v>199.69</v>
      </c>
      <c r="EJ489" s="2346">
        <v>209.45</v>
      </c>
      <c r="EK489" s="2346">
        <v>243.74</v>
      </c>
      <c r="EL489" s="2346">
        <v>247.73</v>
      </c>
      <c r="EM489" s="2346">
        <v>265.14999999999998</v>
      </c>
      <c r="EN489" s="2346">
        <v>274.91000000000003</v>
      </c>
      <c r="EO489" s="2346">
        <v>291.41000000000003</v>
      </c>
      <c r="EP489" s="2346">
        <v>307.36</v>
      </c>
      <c r="EQ489" s="2346">
        <v>322.88</v>
      </c>
      <c r="ER489" s="2346">
        <v>338.1</v>
      </c>
      <c r="ES489" s="2346">
        <v>372.94</v>
      </c>
      <c r="ET489" s="2346">
        <v>406.99</v>
      </c>
      <c r="EU489" s="2346">
        <v>447.79</v>
      </c>
      <c r="EV489" s="2346">
        <v>485.34</v>
      </c>
      <c r="EW489" s="2346">
        <v>520.17999999999995</v>
      </c>
      <c r="EX489" s="2346">
        <v>581.47</v>
      </c>
      <c r="EY489" s="2346">
        <v>643.99</v>
      </c>
      <c r="EZ489" s="2346">
        <v>651.6</v>
      </c>
      <c r="FA489" s="2347">
        <v>1650</v>
      </c>
      <c r="FB489" s="2275"/>
      <c r="FC489" s="2275">
        <f>HLOOKUP(FC476,DZ477:EZ489,11,0)</f>
        <v>327.55</v>
      </c>
      <c r="FD489" s="2275">
        <f t="shared" si="278"/>
        <v>485.34</v>
      </c>
      <c r="FE489" s="2275">
        <v>1650</v>
      </c>
      <c r="FF489" s="2275"/>
      <c r="FG489" s="2275"/>
      <c r="FH489" s="2275"/>
      <c r="FI489" s="2275"/>
      <c r="FJ489" s="2275"/>
      <c r="FK489" s="2275"/>
      <c r="FL489" s="2250"/>
      <c r="FM489" s="2250"/>
      <c r="FN489" s="2250"/>
      <c r="FO489" s="2250"/>
      <c r="FP489" s="2250"/>
      <c r="FQ489" s="2250"/>
      <c r="FR489" s="2250"/>
      <c r="FS489" s="2250"/>
      <c r="FT489" s="2250"/>
      <c r="FU489" s="2250"/>
      <c r="FV489" s="2250"/>
      <c r="FW489" s="2250"/>
      <c r="FX489" s="2250"/>
      <c r="FY489" s="2250"/>
      <c r="FZ489" s="2250"/>
      <c r="GA489" s="2250"/>
      <c r="GB489" s="2276"/>
      <c r="GC489" s="2276"/>
      <c r="GD489" s="2250"/>
      <c r="GE489" s="2275"/>
      <c r="GF489" s="2275"/>
      <c r="GG489" s="2345">
        <v>1650</v>
      </c>
      <c r="GH489" s="2346">
        <v>106.44</v>
      </c>
      <c r="GI489" s="2346">
        <v>120</v>
      </c>
      <c r="GJ489" s="2346">
        <v>132.58000000000001</v>
      </c>
      <c r="GK489" s="2346">
        <v>132.58000000000001</v>
      </c>
      <c r="GL489" s="2346">
        <v>139.75</v>
      </c>
      <c r="GM489" s="2346">
        <v>151.29</v>
      </c>
      <c r="GN489" s="2346">
        <v>158.9</v>
      </c>
      <c r="GO489" s="2346">
        <v>176.01</v>
      </c>
      <c r="GP489" s="2346">
        <v>186.38</v>
      </c>
      <c r="GQ489" s="2346">
        <v>199.69</v>
      </c>
      <c r="GR489" s="2346">
        <v>209.45</v>
      </c>
      <c r="GS489" s="2346">
        <v>243.74</v>
      </c>
      <c r="GT489" s="2346">
        <v>247.73</v>
      </c>
      <c r="GU489" s="2346">
        <v>265.14999999999998</v>
      </c>
      <c r="GV489" s="2346">
        <v>274.91000000000003</v>
      </c>
      <c r="GW489" s="2346">
        <v>291.41000000000003</v>
      </c>
      <c r="GX489" s="2346">
        <v>307.36</v>
      </c>
      <c r="GY489" s="2346">
        <v>322.88</v>
      </c>
      <c r="GZ489" s="2346">
        <v>338.1</v>
      </c>
      <c r="HA489" s="2346">
        <v>372.94</v>
      </c>
      <c r="HB489" s="2346">
        <v>406.99</v>
      </c>
      <c r="HC489" s="2346">
        <v>447.79</v>
      </c>
      <c r="HD489" s="2346">
        <v>485.34</v>
      </c>
      <c r="HE489" s="2346">
        <v>520.17999999999995</v>
      </c>
      <c r="HF489" s="2346">
        <v>581.47</v>
      </c>
      <c r="HG489" s="2346">
        <v>643.99</v>
      </c>
      <c r="HH489" s="2346">
        <v>651.6</v>
      </c>
      <c r="HI489" s="2347">
        <v>1650</v>
      </c>
      <c r="HJ489" s="2275"/>
      <c r="HK489" s="2275">
        <f>HLOOKUP(HK476,GH477:HH489,11,0)</f>
        <v>301.52999999999997</v>
      </c>
      <c r="HL489" s="2275">
        <f t="shared" si="279"/>
        <v>447.79</v>
      </c>
      <c r="HM489" s="2275">
        <v>1650</v>
      </c>
      <c r="HN489" s="2275"/>
      <c r="HO489" s="2275"/>
      <c r="HP489" s="2275"/>
      <c r="HQ489" s="2275"/>
      <c r="HR489" s="2275"/>
      <c r="HS489" s="2275"/>
      <c r="HT489" s="2250"/>
      <c r="HU489" s="2250"/>
      <c r="HV489" s="2250"/>
      <c r="HW489" s="2250"/>
      <c r="HX489" s="2250"/>
      <c r="HY489" s="2250"/>
      <c r="HZ489" s="2250"/>
      <c r="IA489" s="2250"/>
      <c r="IB489" s="2250"/>
      <c r="IC489" s="2250"/>
      <c r="ID489" s="2250"/>
      <c r="IE489" s="2250"/>
      <c r="IF489" s="2250"/>
      <c r="IG489" s="2250"/>
      <c r="IH489" s="2250"/>
      <c r="II489" s="2250"/>
      <c r="IJ489" s="2250"/>
      <c r="IK489" s="53"/>
      <c r="IL489" s="53"/>
      <c r="IN489" s="277"/>
      <c r="IO489" s="277"/>
    </row>
    <row r="490" spans="2:249" ht="21.95" customHeight="1">
      <c r="B490" s="2275"/>
      <c r="C490" s="2275"/>
      <c r="D490" s="2275"/>
      <c r="E490" s="2275"/>
      <c r="F490" s="2275"/>
      <c r="G490" s="2275"/>
      <c r="H490" s="2275"/>
      <c r="I490" s="2275"/>
      <c r="J490" s="2275"/>
      <c r="K490" s="2275"/>
      <c r="L490" s="2275"/>
      <c r="M490" s="2275"/>
      <c r="N490" s="2275"/>
      <c r="O490" s="2275"/>
      <c r="P490" s="2275"/>
      <c r="Q490" s="2275"/>
      <c r="R490" s="2275"/>
      <c r="S490" s="2275"/>
      <c r="T490" s="2275"/>
      <c r="U490" s="2275"/>
      <c r="V490" s="2275"/>
      <c r="W490" s="2275"/>
      <c r="X490" s="2275"/>
      <c r="Y490" s="2275"/>
      <c r="Z490" s="2275"/>
      <c r="AA490" s="2275"/>
      <c r="AB490" s="2275"/>
      <c r="AC490" s="2275"/>
      <c r="AD490" s="2275"/>
      <c r="AE490" s="2346"/>
      <c r="AF490" s="2275"/>
      <c r="AG490" s="2275">
        <f>HLOOKUP(AG476,D477:AD489,12,0)</f>
        <v>322.88</v>
      </c>
      <c r="AH490" s="2275">
        <f t="shared" si="280"/>
        <v>322.88</v>
      </c>
      <c r="AI490" s="2275">
        <v>1650</v>
      </c>
      <c r="AJ490" s="2275"/>
      <c r="AK490" s="2275"/>
      <c r="AL490" s="2275"/>
      <c r="AM490" s="2275"/>
      <c r="AN490" s="2275"/>
      <c r="AO490" s="2275"/>
      <c r="AP490" s="2250"/>
      <c r="AQ490" s="2250"/>
      <c r="AR490" s="2250"/>
      <c r="AS490" s="2250"/>
      <c r="AT490" s="2250"/>
      <c r="AU490" s="2250"/>
      <c r="AV490" s="2250"/>
      <c r="AW490" s="2250"/>
      <c r="AX490" s="2250"/>
      <c r="AY490" s="2250"/>
      <c r="AZ490" s="2250"/>
      <c r="BA490" s="2250"/>
      <c r="BB490" s="2250"/>
      <c r="BC490" s="2250"/>
      <c r="BD490" s="2250"/>
      <c r="BE490" s="2250"/>
      <c r="BF490" s="2276"/>
      <c r="BG490" s="2276"/>
      <c r="BH490" s="2250"/>
      <c r="BI490" s="2275"/>
      <c r="BJ490" s="2275"/>
      <c r="BK490" s="2275"/>
      <c r="BL490" s="2275"/>
      <c r="BM490" s="2275"/>
      <c r="BN490" s="2275"/>
      <c r="BO490" s="2275"/>
      <c r="BP490" s="2275"/>
      <c r="BQ490" s="2275"/>
      <c r="BR490" s="2275"/>
      <c r="BS490" s="2275"/>
      <c r="BT490" s="2275"/>
      <c r="BU490" s="2275"/>
      <c r="BV490" s="2275"/>
      <c r="BW490" s="2275"/>
      <c r="BX490" s="2275"/>
      <c r="BY490" s="2275"/>
      <c r="BZ490" s="2275"/>
      <c r="CA490" s="2275"/>
      <c r="CB490" s="2275"/>
      <c r="CC490" s="2275"/>
      <c r="CD490" s="2275"/>
      <c r="CE490" s="2275"/>
      <c r="CF490" s="2275"/>
      <c r="CG490" s="2275"/>
      <c r="CH490" s="2275"/>
      <c r="CI490" s="2275"/>
      <c r="CJ490" s="2275"/>
      <c r="CK490" s="2275"/>
      <c r="CL490" s="2275"/>
      <c r="CM490" s="2346"/>
      <c r="CN490" s="2275"/>
      <c r="CO490" s="2275">
        <f>HLOOKUP(CO476,BL477:CL489,12,0)</f>
        <v>307.36</v>
      </c>
      <c r="CP490" s="2275">
        <f t="shared" si="277"/>
        <v>307.36</v>
      </c>
      <c r="CQ490" s="2275">
        <v>1650</v>
      </c>
      <c r="CR490" s="2275"/>
      <c r="CS490" s="2275"/>
      <c r="CT490" s="2275"/>
      <c r="CU490" s="2275"/>
      <c r="CV490" s="2275"/>
      <c r="CW490" s="2275"/>
      <c r="CX490" s="2250"/>
      <c r="CY490" s="2250"/>
      <c r="CZ490" s="2250"/>
      <c r="DA490" s="2250"/>
      <c r="DB490" s="2250"/>
      <c r="DC490" s="2250"/>
      <c r="DD490" s="2250"/>
      <c r="DE490" s="2250"/>
      <c r="DF490" s="2250"/>
      <c r="DG490" s="2250"/>
      <c r="DH490" s="2250"/>
      <c r="DI490" s="2250"/>
      <c r="DJ490" s="2250"/>
      <c r="DK490" s="2250"/>
      <c r="DL490" s="2250"/>
      <c r="DM490" s="2250"/>
      <c r="DN490" s="2250"/>
      <c r="DO490" s="53"/>
      <c r="DP490" s="53"/>
      <c r="DS490" s="277"/>
      <c r="DW490" s="1"/>
      <c r="DX490" s="2275"/>
      <c r="DY490" s="2275"/>
      <c r="DZ490" s="2275"/>
      <c r="EA490" s="2275"/>
      <c r="EB490" s="2275"/>
      <c r="EC490" s="2275"/>
      <c r="ED490" s="2275"/>
      <c r="EE490" s="2275"/>
      <c r="EF490" s="2275"/>
      <c r="EG490" s="2275"/>
      <c r="EH490" s="2275"/>
      <c r="EI490" s="2275"/>
      <c r="EJ490" s="2275"/>
      <c r="EK490" s="2275"/>
      <c r="EL490" s="2275"/>
      <c r="EM490" s="2275"/>
      <c r="EN490" s="2275"/>
      <c r="EO490" s="2275"/>
      <c r="EP490" s="2275"/>
      <c r="EQ490" s="2275"/>
      <c r="ER490" s="2275"/>
      <c r="ES490" s="2275"/>
      <c r="ET490" s="2275"/>
      <c r="EU490" s="2275"/>
      <c r="EV490" s="2275"/>
      <c r="EW490" s="2275"/>
      <c r="EX490" s="2275"/>
      <c r="EY490" s="2275"/>
      <c r="EZ490" s="2275"/>
      <c r="FA490" s="2346"/>
      <c r="FB490" s="2275"/>
      <c r="FC490" s="2275">
        <f>HLOOKUP(FC476,DZ477:EZ489,12,0)</f>
        <v>485.34</v>
      </c>
      <c r="FD490" s="2275">
        <f t="shared" si="278"/>
        <v>485.34</v>
      </c>
      <c r="FE490" s="2275">
        <v>1650</v>
      </c>
      <c r="FF490" s="2275"/>
      <c r="FG490" s="2275"/>
      <c r="FH490" s="2275"/>
      <c r="FI490" s="2275"/>
      <c r="FJ490" s="2275"/>
      <c r="FK490" s="2275"/>
      <c r="FL490" s="2250"/>
      <c r="FM490" s="2250"/>
      <c r="FN490" s="2250"/>
      <c r="FO490" s="2250"/>
      <c r="FP490" s="2250"/>
      <c r="FQ490" s="2250"/>
      <c r="FR490" s="2250"/>
      <c r="FS490" s="2250"/>
      <c r="FT490" s="2250"/>
      <c r="FU490" s="2250"/>
      <c r="FV490" s="2250"/>
      <c r="FW490" s="2250"/>
      <c r="FX490" s="2250"/>
      <c r="FY490" s="2250"/>
      <c r="FZ490" s="2250"/>
      <c r="GA490" s="2250"/>
      <c r="GB490" s="2276"/>
      <c r="GC490" s="2276"/>
      <c r="GD490" s="2250"/>
      <c r="GE490" s="2275"/>
      <c r="GF490" s="2275"/>
      <c r="GG490" s="2275"/>
      <c r="GH490" s="2275"/>
      <c r="GI490" s="2275"/>
      <c r="GJ490" s="2275"/>
      <c r="GK490" s="2275"/>
      <c r="GL490" s="2275"/>
      <c r="GM490" s="2275"/>
      <c r="GN490" s="2275"/>
      <c r="GO490" s="2275"/>
      <c r="GP490" s="2275"/>
      <c r="GQ490" s="2275"/>
      <c r="GR490" s="2275"/>
      <c r="GS490" s="2275"/>
      <c r="GT490" s="2275"/>
      <c r="GU490" s="2275"/>
      <c r="GV490" s="2275"/>
      <c r="GW490" s="2275"/>
      <c r="GX490" s="2275"/>
      <c r="GY490" s="2275"/>
      <c r="GZ490" s="2275"/>
      <c r="HA490" s="2275"/>
      <c r="HB490" s="2275"/>
      <c r="HC490" s="2275"/>
      <c r="HD490" s="2275"/>
      <c r="HE490" s="2275"/>
      <c r="HF490" s="2275"/>
      <c r="HG490" s="2275"/>
      <c r="HH490" s="2275"/>
      <c r="HI490" s="2346"/>
      <c r="HJ490" s="2275"/>
      <c r="HK490" s="2275">
        <f>HLOOKUP(HK476,GH477:HH489,12,0)</f>
        <v>447.79</v>
      </c>
      <c r="HL490" s="2275">
        <f t="shared" si="279"/>
        <v>447.79</v>
      </c>
      <c r="HM490" s="2275">
        <v>1650</v>
      </c>
      <c r="HN490" s="2275"/>
      <c r="HO490" s="2275"/>
      <c r="HP490" s="2275"/>
      <c r="HQ490" s="2275"/>
      <c r="HR490" s="2275"/>
      <c r="HS490" s="2275"/>
      <c r="HT490" s="2250"/>
      <c r="HU490" s="2250"/>
      <c r="HV490" s="2250"/>
      <c r="HW490" s="2250"/>
      <c r="HX490" s="2250"/>
      <c r="HY490" s="2250"/>
      <c r="HZ490" s="2250"/>
      <c r="IA490" s="2250"/>
      <c r="IB490" s="2250"/>
      <c r="IC490" s="2250"/>
      <c r="ID490" s="2250"/>
      <c r="IE490" s="2250"/>
      <c r="IF490" s="2250"/>
      <c r="IG490" s="2250"/>
      <c r="IH490" s="2250"/>
      <c r="II490" s="2250"/>
      <c r="IJ490" s="2250"/>
      <c r="IK490" s="53"/>
      <c r="IL490" s="53"/>
      <c r="IN490" s="277"/>
      <c r="IO490" s="277"/>
    </row>
    <row r="491" spans="2:249" ht="21.95" customHeight="1">
      <c r="B491" s="2275">
        <f>AG476</f>
        <v>68.3</v>
      </c>
      <c r="C491" s="2275">
        <v>0</v>
      </c>
      <c r="D491" s="2275">
        <f>VLOOKUP(B493,C479:AD489,2,0)</f>
        <v>2.33</v>
      </c>
      <c r="E491" s="2275">
        <f>VLOOKUP(B493,C479:E489,3,0)</f>
        <v>2.58</v>
      </c>
      <c r="F491" s="2275">
        <f>VLOOKUP(B493,C479:F489,4,0)</f>
        <v>2.76</v>
      </c>
      <c r="G491" s="2275">
        <f>VLOOKUP(B493,C479:G489,5,0)</f>
        <v>2.94</v>
      </c>
      <c r="H491" s="2275">
        <f>VLOOKUP(B493,C479:H489,6,0)</f>
        <v>3.13</v>
      </c>
      <c r="I491" s="2275">
        <f>VLOOKUP(B493,C479:I489,7,0)</f>
        <v>3.19</v>
      </c>
      <c r="J491" s="2275">
        <f>VLOOKUP(B493,C479:J489,8,0)</f>
        <v>3.44</v>
      </c>
      <c r="K491" s="2275">
        <f>VLOOKUP(B493,C479:K489,9,0)</f>
        <v>3.62</v>
      </c>
      <c r="L491" s="2275">
        <f>VLOOKUP(B493,C479:L489,10,0)</f>
        <v>3.93</v>
      </c>
      <c r="M491" s="2275">
        <f>VLOOKUP(B493,C479:M489,11,0)</f>
        <v>4.1100000000000003</v>
      </c>
      <c r="N491" s="2275">
        <f>VLOOKUP(B493,C479:N489,12,0)</f>
        <v>4.54</v>
      </c>
      <c r="O491" s="2275">
        <f>VLOOKUP(B493,C479:O489,13,0)</f>
        <v>4.97</v>
      </c>
      <c r="P491" s="2275">
        <f>VLOOKUP(B493,C479:P489,14,0)</f>
        <v>5.15</v>
      </c>
      <c r="Q491" s="2275">
        <f>VLOOKUP(B493,C479:Q489,15,0)</f>
        <v>5.4</v>
      </c>
      <c r="R491" s="2275">
        <f>VLOOKUP(B493,C479:R489,16,0)</f>
        <v>5.58</v>
      </c>
      <c r="S491" s="2275">
        <f>VLOOKUP(B493,C479:S489,17,0)</f>
        <v>5.89</v>
      </c>
      <c r="T491" s="2275">
        <f>VLOOKUP(B493,C479:T489,18,0)</f>
        <v>6.26</v>
      </c>
      <c r="U491" s="2275">
        <f>VLOOKUP(B493,C479:U489,19,0)</f>
        <v>6.81</v>
      </c>
      <c r="V491" s="2275">
        <f>VLOOKUP(B493,C479:V489,20,0)</f>
        <v>7.24</v>
      </c>
      <c r="W491" s="2275">
        <f>VLOOKUP(B493,C479:W489,21,0)</f>
        <v>7.67</v>
      </c>
      <c r="X491" s="2275">
        <f>VLOOKUP(B493,C479:X489,22,0)</f>
        <v>8.2200000000000006</v>
      </c>
      <c r="Y491" s="2275">
        <f>VLOOKUP(B493,C479:Y489,23,0)</f>
        <v>9.08</v>
      </c>
      <c r="Z491" s="2275">
        <f>VLOOKUP(B493,C479:Z489,24,0)</f>
        <v>9.8800000000000008</v>
      </c>
      <c r="AA491" s="2275">
        <f>VLOOKUP(B493,C479:AA489,25,0)</f>
        <v>11.1</v>
      </c>
      <c r="AB491" s="2275">
        <f>VLOOKUP(B493,C479:AB489,26,0)</f>
        <v>12.45</v>
      </c>
      <c r="AC491" s="2275">
        <f>VLOOKUP(B493,C479:AC489,27,0)</f>
        <v>14.17</v>
      </c>
      <c r="AD491" s="2275">
        <f>VLOOKUP(B493,C479:AD489,28,0)</f>
        <v>16.559999999999999</v>
      </c>
      <c r="AE491" s="2346"/>
      <c r="AF491" s="2275"/>
      <c r="AG491" s="2275">
        <f>HLOOKUP(AG476,D477:AD489,13,0)</f>
        <v>322.88</v>
      </c>
      <c r="AH491" s="2275"/>
      <c r="AI491" s="2275"/>
      <c r="AJ491" s="2275"/>
      <c r="AK491" s="2275"/>
      <c r="AL491" s="2275"/>
      <c r="AM491" s="2275"/>
      <c r="AN491" s="2275"/>
      <c r="AO491" s="2275"/>
      <c r="AP491" s="2250"/>
      <c r="AQ491" s="2250"/>
      <c r="AR491" s="2250"/>
      <c r="AS491" s="2250"/>
      <c r="AT491" s="2250"/>
      <c r="AU491" s="2250"/>
      <c r="AV491" s="2250"/>
      <c r="AW491" s="2250"/>
      <c r="AX491" s="2250"/>
      <c r="AY491" s="2250"/>
      <c r="AZ491" s="2250"/>
      <c r="BA491" s="2250"/>
      <c r="BB491" s="2250"/>
      <c r="BC491" s="2250"/>
      <c r="BD491" s="2250"/>
      <c r="BE491" s="2250"/>
      <c r="BF491" s="2276"/>
      <c r="BG491" s="2276"/>
      <c r="BH491" s="2250"/>
      <c r="BI491" s="2275"/>
      <c r="BJ491" s="2275">
        <f>CO476</f>
        <v>73.7</v>
      </c>
      <c r="BK491" s="2275">
        <v>0</v>
      </c>
      <c r="BL491" s="2275">
        <f>VLOOKUP(BJ493,BK479:CL489,2,0)</f>
        <v>2.33</v>
      </c>
      <c r="BM491" s="2275">
        <f>VLOOKUP(BJ493,BK479:BM489,3,0)</f>
        <v>2.58</v>
      </c>
      <c r="BN491" s="2275">
        <f>VLOOKUP(BJ493,BK479:BN489,4,0)</f>
        <v>2.76</v>
      </c>
      <c r="BO491" s="2275">
        <f>VLOOKUP(BJ493,BK479:BO489,5,0)</f>
        <v>2.94</v>
      </c>
      <c r="BP491" s="2275">
        <f>VLOOKUP(BJ493,BK479:BP489,6,0)</f>
        <v>3.13</v>
      </c>
      <c r="BQ491" s="2275">
        <f>VLOOKUP(BJ493,BK479:BQ489,7,0)</f>
        <v>3.19</v>
      </c>
      <c r="BR491" s="2275">
        <f>VLOOKUP(BJ493,BK479:BR489,8,0)</f>
        <v>3.44</v>
      </c>
      <c r="BS491" s="2275">
        <f>VLOOKUP(BJ493,BK479:BS489,9,0)</f>
        <v>3.62</v>
      </c>
      <c r="BT491" s="2275">
        <f>VLOOKUP(BJ493,BK479:BT489,10,0)</f>
        <v>3.93</v>
      </c>
      <c r="BU491" s="2275">
        <f>VLOOKUP(BJ493,BK479:BU489,11,0)</f>
        <v>4.1100000000000003</v>
      </c>
      <c r="BV491" s="2275">
        <f>VLOOKUP(BJ493,BK479:BV489,12,0)</f>
        <v>4.54</v>
      </c>
      <c r="BW491" s="2275">
        <f>VLOOKUP(BJ493,BK479:BW489,13,0)</f>
        <v>4.97</v>
      </c>
      <c r="BX491" s="2275">
        <f>VLOOKUP(BJ493,BK479:BX489,14,0)</f>
        <v>5.15</v>
      </c>
      <c r="BY491" s="2275">
        <f>VLOOKUP(BJ493,BK479:BY489,15,0)</f>
        <v>5.4</v>
      </c>
      <c r="BZ491" s="2275">
        <f>VLOOKUP(BJ493,BK479:BZ489,16,0)</f>
        <v>5.58</v>
      </c>
      <c r="CA491" s="2275">
        <f>VLOOKUP(BJ493,BK479:CA489,17,0)</f>
        <v>5.89</v>
      </c>
      <c r="CB491" s="2275">
        <f>VLOOKUP(BJ493,BK479:CB489,18,0)</f>
        <v>6.26</v>
      </c>
      <c r="CC491" s="2275">
        <f>VLOOKUP(BJ493,BK479:CC489,19,0)</f>
        <v>6.81</v>
      </c>
      <c r="CD491" s="2275">
        <f>VLOOKUP(BJ493,BK479:CD489,20,0)</f>
        <v>7.24</v>
      </c>
      <c r="CE491" s="2275">
        <f>VLOOKUP(BJ493,BK479:CE489,21,0)</f>
        <v>7.67</v>
      </c>
      <c r="CF491" s="2275">
        <f>VLOOKUP(BJ493,BK479:CF489,22,0)</f>
        <v>8.2200000000000006</v>
      </c>
      <c r="CG491" s="2275">
        <f>VLOOKUP(BJ493,BK479:CG489,23,0)</f>
        <v>9.08</v>
      </c>
      <c r="CH491" s="2275">
        <f>VLOOKUP(BJ493,BK479:CH489,24,0)</f>
        <v>9.8800000000000008</v>
      </c>
      <c r="CI491" s="2275">
        <f>VLOOKUP(BJ493,BK479:CI489,25,0)</f>
        <v>11.1</v>
      </c>
      <c r="CJ491" s="2275">
        <f>VLOOKUP(BJ493,BK479:CJ489,26,0)</f>
        <v>12.45</v>
      </c>
      <c r="CK491" s="2275">
        <f>VLOOKUP(BJ493,BK479:CK489,27,0)</f>
        <v>14.17</v>
      </c>
      <c r="CL491" s="2275">
        <f>VLOOKUP(BJ493,BK479:CL489,28,0)</f>
        <v>16.559999999999999</v>
      </c>
      <c r="CM491" s="2346"/>
      <c r="CN491" s="2275"/>
      <c r="CO491" s="2275">
        <f>HLOOKUP(CO476,BL477:CL489,13,0)</f>
        <v>307.36</v>
      </c>
      <c r="CP491" s="2275"/>
      <c r="CQ491" s="2275"/>
      <c r="CR491" s="2275"/>
      <c r="CS491" s="2275"/>
      <c r="CT491" s="2275"/>
      <c r="CU491" s="2275"/>
      <c r="CV491" s="2275"/>
      <c r="CW491" s="2275"/>
      <c r="CX491" s="2250"/>
      <c r="CY491" s="2250"/>
      <c r="CZ491" s="2250"/>
      <c r="DA491" s="2250"/>
      <c r="DB491" s="2250"/>
      <c r="DC491" s="2250"/>
      <c r="DD491" s="2250"/>
      <c r="DE491" s="2250"/>
      <c r="DF491" s="2250"/>
      <c r="DG491" s="2250"/>
      <c r="DH491" s="2250"/>
      <c r="DI491" s="2250"/>
      <c r="DJ491" s="2250"/>
      <c r="DK491" s="2250"/>
      <c r="DL491" s="2250"/>
      <c r="DM491" s="2250"/>
      <c r="DN491" s="2250"/>
      <c r="DO491" s="53"/>
      <c r="DP491" s="53"/>
      <c r="DS491" s="277"/>
      <c r="DW491" s="1"/>
      <c r="DX491" s="2275">
        <f>FC476</f>
        <v>43.9</v>
      </c>
      <c r="DY491" s="2275">
        <v>0</v>
      </c>
      <c r="DZ491" s="2275">
        <f>VLOOKUP(DX493,DY479:EZ489,2,0)</f>
        <v>2.33</v>
      </c>
      <c r="EA491" s="2275">
        <f>VLOOKUP(DX493,DY479:EA489,3,0)</f>
        <v>2.58</v>
      </c>
      <c r="EB491" s="2275">
        <f>VLOOKUP(DX493,DY479:EB489,4,0)</f>
        <v>2.76</v>
      </c>
      <c r="EC491" s="2275">
        <f>VLOOKUP(DX493,DY479:EC489,5,0)</f>
        <v>2.94</v>
      </c>
      <c r="ED491" s="2275">
        <f>VLOOKUP(DX493,DY479:ED489,6,0)</f>
        <v>3.13</v>
      </c>
      <c r="EE491" s="2275">
        <f>VLOOKUP(DX493,DY479:EE489,7,0)</f>
        <v>3.19</v>
      </c>
      <c r="EF491" s="2275">
        <f>VLOOKUP(DX493,DY479:EF489,8,0)</f>
        <v>3.44</v>
      </c>
      <c r="EG491" s="2275">
        <f>VLOOKUP(DX493,DY479:EG489,9,0)</f>
        <v>3.62</v>
      </c>
      <c r="EH491" s="2275">
        <f>VLOOKUP(DX493,DY479:EH489,10,0)</f>
        <v>3.93</v>
      </c>
      <c r="EI491" s="2275">
        <f>VLOOKUP(DX493,DY479:EI489,11,0)</f>
        <v>4.1100000000000003</v>
      </c>
      <c r="EJ491" s="2275">
        <f>VLOOKUP(DX493,DY479:EJ489,12,0)</f>
        <v>4.54</v>
      </c>
      <c r="EK491" s="2275">
        <f>VLOOKUP(DX493,DY479:EK489,13,0)</f>
        <v>4.97</v>
      </c>
      <c r="EL491" s="2275">
        <f>VLOOKUP(DX493,DY479:EL489,14,0)</f>
        <v>5.15</v>
      </c>
      <c r="EM491" s="2275">
        <f>VLOOKUP(DX493,DY479:EM489,15,0)</f>
        <v>5.4</v>
      </c>
      <c r="EN491" s="2275">
        <f>VLOOKUP(DX493,DY479:EN489,16,0)</f>
        <v>5.58</v>
      </c>
      <c r="EO491" s="2275">
        <f>VLOOKUP(DX493,DY479:EO489,17,0)</f>
        <v>5.89</v>
      </c>
      <c r="EP491" s="2275">
        <f>VLOOKUP(DX493,DY479:EP489,18,0)</f>
        <v>6.26</v>
      </c>
      <c r="EQ491" s="2275">
        <f>VLOOKUP(DX493,DY479:EQ489,19,0)</f>
        <v>6.81</v>
      </c>
      <c r="ER491" s="2275">
        <f>VLOOKUP(DX493,DY479:ER489,20,0)</f>
        <v>7.24</v>
      </c>
      <c r="ES491" s="2275">
        <f>VLOOKUP(DX493,DY479:ES489,21,0)</f>
        <v>7.67</v>
      </c>
      <c r="ET491" s="2275">
        <f>VLOOKUP(DX493,DY479:ET489,22,0)</f>
        <v>8.2200000000000006</v>
      </c>
      <c r="EU491" s="2275">
        <f>VLOOKUP(DX493,DY479:EU489,23,0)</f>
        <v>9.08</v>
      </c>
      <c r="EV491" s="2275">
        <f>VLOOKUP(DX493,DY479:EV489,24,0)</f>
        <v>9.8800000000000008</v>
      </c>
      <c r="EW491" s="2275">
        <f>VLOOKUP(DX493,DY479:EW489,25,0)</f>
        <v>11.1</v>
      </c>
      <c r="EX491" s="2275">
        <f>VLOOKUP(DX493,DY479:EX489,26,0)</f>
        <v>12.45</v>
      </c>
      <c r="EY491" s="2275">
        <f>VLOOKUP(DX493,DY479:EY489,27,0)</f>
        <v>14.17</v>
      </c>
      <c r="EZ491" s="2275">
        <f>VLOOKUP(DX493,DY479:EZ489,28,0)</f>
        <v>16.559999999999999</v>
      </c>
      <c r="FA491" s="2346"/>
      <c r="FB491" s="2275"/>
      <c r="FC491" s="2275">
        <f>HLOOKUP(FC476,DZ477:EZ489,13,0)</f>
        <v>485.34</v>
      </c>
      <c r="FD491" s="2275"/>
      <c r="FE491" s="2275"/>
      <c r="FF491" s="2275"/>
      <c r="FG491" s="2275"/>
      <c r="FH491" s="2275"/>
      <c r="FI491" s="2275"/>
      <c r="FJ491" s="2275"/>
      <c r="FK491" s="2275"/>
      <c r="FL491" s="2250"/>
      <c r="FM491" s="2250"/>
      <c r="FN491" s="2250"/>
      <c r="FO491" s="2250"/>
      <c r="FP491" s="2250"/>
      <c r="FQ491" s="2250"/>
      <c r="FR491" s="2250"/>
      <c r="FS491" s="2250"/>
      <c r="FT491" s="2250"/>
      <c r="FU491" s="2250"/>
      <c r="FV491" s="2250"/>
      <c r="FW491" s="2250"/>
      <c r="FX491" s="2250"/>
      <c r="FY491" s="2250"/>
      <c r="FZ491" s="2250"/>
      <c r="GA491" s="2250"/>
      <c r="GB491" s="2276"/>
      <c r="GC491" s="2276"/>
      <c r="GD491" s="2250"/>
      <c r="GE491" s="2275"/>
      <c r="GF491" s="2275">
        <f>HK476</f>
        <v>48.8</v>
      </c>
      <c r="GG491" s="2275">
        <v>0</v>
      </c>
      <c r="GH491" s="2275">
        <f>VLOOKUP(GF493,GG479:HH489,2,0)</f>
        <v>2.33</v>
      </c>
      <c r="GI491" s="2275">
        <f>VLOOKUP(GF493,GG479:GI489,3,0)</f>
        <v>2.58</v>
      </c>
      <c r="GJ491" s="2275">
        <f>VLOOKUP(GF493,GG479:GJ489,4,0)</f>
        <v>2.76</v>
      </c>
      <c r="GK491" s="2275">
        <f>VLOOKUP(GF493,GG479:GK489,5,0)</f>
        <v>2.94</v>
      </c>
      <c r="GL491" s="2275">
        <f>VLOOKUP(GF493,GG479:GL489,6,0)</f>
        <v>3.13</v>
      </c>
      <c r="GM491" s="2275">
        <f>VLOOKUP(GF493,GG479:GM489,7,0)</f>
        <v>3.19</v>
      </c>
      <c r="GN491" s="2275">
        <f>VLOOKUP(GF493,GG479:GN489,8,0)</f>
        <v>3.44</v>
      </c>
      <c r="GO491" s="2275">
        <f>VLOOKUP(GF493,GG479:GO489,9,0)</f>
        <v>3.62</v>
      </c>
      <c r="GP491" s="2275">
        <f>VLOOKUP(GF493,GG479:GP489,10,0)</f>
        <v>3.93</v>
      </c>
      <c r="GQ491" s="2275">
        <f>VLOOKUP(GF493,GG479:GQ489,11,0)</f>
        <v>4.1100000000000003</v>
      </c>
      <c r="GR491" s="2275">
        <f>VLOOKUP(GF493,GG479:GR489,12,0)</f>
        <v>4.54</v>
      </c>
      <c r="GS491" s="2275">
        <f>VLOOKUP(GF493,GG479:GS489,13,0)</f>
        <v>4.97</v>
      </c>
      <c r="GT491" s="2275">
        <f>VLOOKUP(GF493,GG479:GT489,14,0)</f>
        <v>5.15</v>
      </c>
      <c r="GU491" s="2275">
        <f>VLOOKUP(GF493,GG479:GU489,15,0)</f>
        <v>5.4</v>
      </c>
      <c r="GV491" s="2275">
        <f>VLOOKUP(GF493,GG479:GV489,16,0)</f>
        <v>5.58</v>
      </c>
      <c r="GW491" s="2275">
        <f>VLOOKUP(GF493,GG479:GW489,17,0)</f>
        <v>5.89</v>
      </c>
      <c r="GX491" s="2275">
        <f>VLOOKUP(GF493,GG479:GX489,18,0)</f>
        <v>6.26</v>
      </c>
      <c r="GY491" s="2275">
        <f>VLOOKUP(GF493,GG479:GY489,19,0)</f>
        <v>6.81</v>
      </c>
      <c r="GZ491" s="2275">
        <f>VLOOKUP(GF493,GG479:GZ489,20,0)</f>
        <v>7.24</v>
      </c>
      <c r="HA491" s="2275">
        <f>VLOOKUP(GF493,GG479:HA489,21,0)</f>
        <v>7.67</v>
      </c>
      <c r="HB491" s="2275">
        <f>VLOOKUP(GF493,GG479:HB489,22,0)</f>
        <v>8.2200000000000006</v>
      </c>
      <c r="HC491" s="2275">
        <f>VLOOKUP(GF493,GG479:HC489,23,0)</f>
        <v>9.08</v>
      </c>
      <c r="HD491" s="2275">
        <f>VLOOKUP(GF493,GG479:HD489,24,0)</f>
        <v>9.8800000000000008</v>
      </c>
      <c r="HE491" s="2275">
        <f>VLOOKUP(GF493,GG479:HE489,25,0)</f>
        <v>11.1</v>
      </c>
      <c r="HF491" s="2275">
        <f>VLOOKUP(GF493,GG479:HF489,26,0)</f>
        <v>12.45</v>
      </c>
      <c r="HG491" s="2275">
        <f>VLOOKUP(GF493,GG479:HG489,27,0)</f>
        <v>14.17</v>
      </c>
      <c r="HH491" s="2275">
        <f>VLOOKUP(GF493,GG479:HH489,28,0)</f>
        <v>16.559999999999999</v>
      </c>
      <c r="HI491" s="2346"/>
      <c r="HJ491" s="2275"/>
      <c r="HK491" s="2275">
        <f>HLOOKUP(HK476,GH477:HH489,13,0)</f>
        <v>447.79</v>
      </c>
      <c r="HL491" s="2275"/>
      <c r="HM491" s="2275"/>
      <c r="HN491" s="2275"/>
      <c r="HO491" s="2275"/>
      <c r="HP491" s="2275"/>
      <c r="HQ491" s="2275"/>
      <c r="HR491" s="2275"/>
      <c r="HS491" s="2275"/>
      <c r="HT491" s="2250"/>
      <c r="HU491" s="2250"/>
      <c r="HV491" s="2250"/>
      <c r="HW491" s="2250"/>
      <c r="HX491" s="2250"/>
      <c r="HY491" s="2250"/>
      <c r="HZ491" s="2250"/>
      <c r="IA491" s="2250"/>
      <c r="IB491" s="2250"/>
      <c r="IC491" s="2250"/>
      <c r="ID491" s="2250"/>
      <c r="IE491" s="2250"/>
      <c r="IF491" s="2250"/>
      <c r="IG491" s="2250"/>
      <c r="IH491" s="2250"/>
      <c r="II491" s="2250"/>
      <c r="IJ491" s="2250"/>
      <c r="IK491" s="53"/>
      <c r="IL491" s="53"/>
      <c r="IN491" s="277"/>
      <c r="IO491" s="277"/>
    </row>
    <row r="492" spans="2:249" ht="21.95" customHeight="1">
      <c r="B492" s="2275">
        <f>AH493</f>
        <v>6.81</v>
      </c>
      <c r="C492" s="2275"/>
      <c r="D492" s="2275"/>
      <c r="E492" s="2275"/>
      <c r="F492" s="2275"/>
      <c r="G492" s="2275"/>
      <c r="H492" s="2275"/>
      <c r="I492" s="2275"/>
      <c r="J492" s="2275"/>
      <c r="K492" s="2275"/>
      <c r="L492" s="2275"/>
      <c r="M492" s="2275"/>
      <c r="N492" s="2275"/>
      <c r="O492" s="2275"/>
      <c r="P492" s="2275"/>
      <c r="Q492" s="2275"/>
      <c r="R492" s="2275"/>
      <c r="S492" s="2275"/>
      <c r="T492" s="2275"/>
      <c r="U492" s="2275"/>
      <c r="V492" s="2275"/>
      <c r="W492" s="2275"/>
      <c r="X492" s="2275"/>
      <c r="Y492" s="2275"/>
      <c r="Z492" s="2275"/>
      <c r="AA492" s="2275"/>
      <c r="AB492" s="2275"/>
      <c r="AC492" s="2275"/>
      <c r="AD492" s="2275"/>
      <c r="AE492" s="2275"/>
      <c r="AF492" s="2275"/>
      <c r="AG492" s="2275">
        <f>VLOOKUP(AG477,AG479:AG491,1)</f>
        <v>0</v>
      </c>
      <c r="AH492" s="2275">
        <f>IFERROR(VLOOKUP(AG477,AH479:AH489,2,0),0)</f>
        <v>0</v>
      </c>
      <c r="AI492" s="2275"/>
      <c r="AJ492" s="2275"/>
      <c r="AK492" s="2275"/>
      <c r="AL492" s="2275"/>
      <c r="AM492" s="2275"/>
      <c r="AN492" s="2275"/>
      <c r="AO492" s="2275"/>
      <c r="AP492" s="2250"/>
      <c r="AQ492" s="2250"/>
      <c r="AR492" s="2250"/>
      <c r="AS492" s="2250"/>
      <c r="AT492" s="2250"/>
      <c r="AU492" s="2250"/>
      <c r="AV492" s="2250"/>
      <c r="AW492" s="2250"/>
      <c r="AX492" s="2250"/>
      <c r="AY492" s="2250"/>
      <c r="AZ492" s="2250"/>
      <c r="BA492" s="2250"/>
      <c r="BB492" s="2250"/>
      <c r="BC492" s="2250"/>
      <c r="BD492" s="2250"/>
      <c r="BE492" s="2250"/>
      <c r="BF492" s="2276"/>
      <c r="BG492" s="2276"/>
      <c r="BH492" s="2250"/>
      <c r="BI492" s="2275"/>
      <c r="BJ492" s="2275">
        <f>CP493</f>
        <v>6.26</v>
      </c>
      <c r="BK492" s="2275"/>
      <c r="BL492" s="2275"/>
      <c r="BM492" s="2275"/>
      <c r="BN492" s="2275"/>
      <c r="BO492" s="2275"/>
      <c r="BP492" s="2275"/>
      <c r="BQ492" s="2275"/>
      <c r="BR492" s="2275"/>
      <c r="BS492" s="2275"/>
      <c r="BT492" s="2275"/>
      <c r="BU492" s="2275"/>
      <c r="BV492" s="2275"/>
      <c r="BW492" s="2275"/>
      <c r="BX492" s="2275"/>
      <c r="BY492" s="2275"/>
      <c r="BZ492" s="2275"/>
      <c r="CA492" s="2275"/>
      <c r="CB492" s="2275"/>
      <c r="CC492" s="2275"/>
      <c r="CD492" s="2275"/>
      <c r="CE492" s="2275"/>
      <c r="CF492" s="2275"/>
      <c r="CG492" s="2275"/>
      <c r="CH492" s="2275"/>
      <c r="CI492" s="2275"/>
      <c r="CJ492" s="2275"/>
      <c r="CK492" s="2275"/>
      <c r="CL492" s="2275"/>
      <c r="CM492" s="2275"/>
      <c r="CN492" s="2275"/>
      <c r="CO492" s="2275">
        <f>VLOOKUP(CO477,CO479:CO491,1)</f>
        <v>0</v>
      </c>
      <c r="CP492" s="2275">
        <f>IFERROR(VLOOKUP(CO477,CP479:CP489,2,0),0)</f>
        <v>0</v>
      </c>
      <c r="CQ492" s="2275"/>
      <c r="CR492" s="2275"/>
      <c r="CS492" s="2275"/>
      <c r="CT492" s="2275"/>
      <c r="CU492" s="2275"/>
      <c r="CV492" s="2275"/>
      <c r="CW492" s="2275"/>
      <c r="CX492" s="2250"/>
      <c r="CY492" s="2250"/>
      <c r="CZ492" s="2250"/>
      <c r="DA492" s="2250"/>
      <c r="DB492" s="2250"/>
      <c r="DC492" s="2250"/>
      <c r="DD492" s="2250"/>
      <c r="DE492" s="2250"/>
      <c r="DF492" s="2250"/>
      <c r="DG492" s="2250"/>
      <c r="DH492" s="2250"/>
      <c r="DI492" s="2250"/>
      <c r="DJ492" s="2250"/>
      <c r="DK492" s="2250"/>
      <c r="DL492" s="2250"/>
      <c r="DM492" s="2250"/>
      <c r="DN492" s="2250"/>
      <c r="DO492" s="53"/>
      <c r="DP492" s="53"/>
      <c r="DS492" s="277"/>
      <c r="DW492" s="1"/>
      <c r="DX492" s="2275">
        <f>FD493</f>
        <v>9.8800000000000008</v>
      </c>
      <c r="DY492" s="2275"/>
      <c r="DZ492" s="2275"/>
      <c r="EA492" s="2275"/>
      <c r="EB492" s="2275"/>
      <c r="EC492" s="2275"/>
      <c r="ED492" s="2275"/>
      <c r="EE492" s="2275"/>
      <c r="EF492" s="2275"/>
      <c r="EG492" s="2275"/>
      <c r="EH492" s="2275"/>
      <c r="EI492" s="2275"/>
      <c r="EJ492" s="2275"/>
      <c r="EK492" s="2275"/>
      <c r="EL492" s="2275"/>
      <c r="EM492" s="2275"/>
      <c r="EN492" s="2275"/>
      <c r="EO492" s="2275"/>
      <c r="EP492" s="2275"/>
      <c r="EQ492" s="2275"/>
      <c r="ER492" s="2275"/>
      <c r="ES492" s="2275"/>
      <c r="ET492" s="2275"/>
      <c r="EU492" s="2275"/>
      <c r="EV492" s="2275"/>
      <c r="EW492" s="2275"/>
      <c r="EX492" s="2275"/>
      <c r="EY492" s="2275"/>
      <c r="EZ492" s="2275"/>
      <c r="FA492" s="2275"/>
      <c r="FB492" s="2275"/>
      <c r="FC492" s="2275">
        <f>VLOOKUP(FC477,FC479:FC491,1)</f>
        <v>0</v>
      </c>
      <c r="FD492" s="2275">
        <f>IFERROR(VLOOKUP(FC477,FD479:FD489,2,0),0)</f>
        <v>0</v>
      </c>
      <c r="FE492" s="2275"/>
      <c r="FF492" s="2275"/>
      <c r="FG492" s="2275"/>
      <c r="FH492" s="2275"/>
      <c r="FI492" s="2275"/>
      <c r="FJ492" s="2275"/>
      <c r="FK492" s="2275"/>
      <c r="FL492" s="2250"/>
      <c r="FM492" s="2250"/>
      <c r="FN492" s="2250"/>
      <c r="FO492" s="2250"/>
      <c r="FP492" s="2250"/>
      <c r="FQ492" s="2250"/>
      <c r="FR492" s="2250"/>
      <c r="FS492" s="2250"/>
      <c r="FT492" s="2250"/>
      <c r="FU492" s="2250"/>
      <c r="FV492" s="2250"/>
      <c r="FW492" s="2250"/>
      <c r="FX492" s="2250"/>
      <c r="FY492" s="2250"/>
      <c r="FZ492" s="2250"/>
      <c r="GA492" s="2250"/>
      <c r="GB492" s="2276"/>
      <c r="GC492" s="2276"/>
      <c r="GD492" s="2250"/>
      <c r="GE492" s="2275"/>
      <c r="GF492" s="2275">
        <f>HL493</f>
        <v>9.08</v>
      </c>
      <c r="GG492" s="2275"/>
      <c r="GH492" s="2275"/>
      <c r="GI492" s="2275"/>
      <c r="GJ492" s="2275"/>
      <c r="GK492" s="2275"/>
      <c r="GL492" s="2275"/>
      <c r="GM492" s="2275"/>
      <c r="GN492" s="2275"/>
      <c r="GO492" s="2275"/>
      <c r="GP492" s="2275"/>
      <c r="GQ492" s="2275"/>
      <c r="GR492" s="2275"/>
      <c r="GS492" s="2275"/>
      <c r="GT492" s="2275"/>
      <c r="GU492" s="2275"/>
      <c r="GV492" s="2275"/>
      <c r="GW492" s="2275"/>
      <c r="GX492" s="2275"/>
      <c r="GY492" s="2275"/>
      <c r="GZ492" s="2275"/>
      <c r="HA492" s="2275"/>
      <c r="HB492" s="2275"/>
      <c r="HC492" s="2275"/>
      <c r="HD492" s="2275"/>
      <c r="HE492" s="2275"/>
      <c r="HF492" s="2275"/>
      <c r="HG492" s="2275"/>
      <c r="HH492" s="2275"/>
      <c r="HI492" s="2275"/>
      <c r="HJ492" s="2275"/>
      <c r="HK492" s="2275">
        <f>VLOOKUP(HK477,HK479:HK491,1)</f>
        <v>0</v>
      </c>
      <c r="HL492" s="2275">
        <f>IFERROR(VLOOKUP(HK477,HL479:HL489,2,0),0)</f>
        <v>0</v>
      </c>
      <c r="HM492" s="2275"/>
      <c r="HN492" s="2275"/>
      <c r="HO492" s="2275"/>
      <c r="HP492" s="2275"/>
      <c r="HQ492" s="2275"/>
      <c r="HR492" s="2275"/>
      <c r="HS492" s="2275"/>
      <c r="HT492" s="2250"/>
      <c r="HU492" s="2250"/>
      <c r="HV492" s="2250"/>
      <c r="HW492" s="2250"/>
      <c r="HX492" s="2250"/>
      <c r="HY492" s="2250"/>
      <c r="HZ492" s="2250"/>
      <c r="IA492" s="2250"/>
      <c r="IB492" s="2250"/>
      <c r="IC492" s="2250"/>
      <c r="ID492" s="2250"/>
      <c r="IE492" s="2250"/>
      <c r="IF492" s="2250"/>
      <c r="IG492" s="2250"/>
      <c r="IH492" s="2250"/>
      <c r="II492" s="2250"/>
      <c r="IJ492" s="2250"/>
      <c r="IK492" s="53"/>
      <c r="IL492" s="53"/>
      <c r="IN492" s="277"/>
      <c r="IO492" s="277"/>
    </row>
    <row r="493" spans="2:249" ht="21.95" customHeight="1">
      <c r="B493" s="2346">
        <f>AI493</f>
        <v>475</v>
      </c>
      <c r="C493" s="2346" t="s">
        <v>739</v>
      </c>
      <c r="D493" s="2346">
        <f>HLOOKUP(B491,D477:AD491,15,0)</f>
        <v>6.81</v>
      </c>
      <c r="E493" s="2346" t="str">
        <f>IF(B492=D493,"Right","Wrong")</f>
        <v>Right</v>
      </c>
      <c r="F493" s="2275"/>
      <c r="G493" s="2275"/>
      <c r="H493" s="2275"/>
      <c r="I493" s="2275"/>
      <c r="J493" s="2275"/>
      <c r="K493" s="2275"/>
      <c r="L493" s="2275"/>
      <c r="M493" s="2275"/>
      <c r="N493" s="2275"/>
      <c r="O493" s="2275"/>
      <c r="P493" s="2275"/>
      <c r="Q493" s="2275"/>
      <c r="R493" s="2275"/>
      <c r="S493" s="2275"/>
      <c r="T493" s="2275"/>
      <c r="U493" s="2275"/>
      <c r="V493" s="2275"/>
      <c r="W493" s="2275"/>
      <c r="X493" s="2275"/>
      <c r="Y493" s="2275"/>
      <c r="Z493" s="2275"/>
      <c r="AA493" s="2275"/>
      <c r="AB493" s="2275"/>
      <c r="AC493" s="2275"/>
      <c r="AD493" s="2275"/>
      <c r="AE493" s="2275"/>
      <c r="AF493" s="2275"/>
      <c r="AG493" s="2275">
        <f>VLOOKUP(AG492,AG479:AH490,2,0)</f>
        <v>6.81</v>
      </c>
      <c r="AH493" s="2275">
        <f>IF(AH492&gt;0,AH492,AG493)</f>
        <v>6.81</v>
      </c>
      <c r="AI493" s="2275">
        <f>VLOOKUP(AH493,AH480:AI490,2,0)</f>
        <v>475</v>
      </c>
      <c r="AJ493" s="2275"/>
      <c r="AK493" s="2275"/>
      <c r="AL493" s="2275"/>
      <c r="AM493" s="2275"/>
      <c r="AN493" s="2275"/>
      <c r="AO493" s="2275"/>
      <c r="AP493" s="2250"/>
      <c r="AQ493" s="2250"/>
      <c r="AR493" s="2250"/>
      <c r="AS493" s="2250"/>
      <c r="AT493" s="2250"/>
      <c r="AU493" s="2250"/>
      <c r="AV493" s="2250"/>
      <c r="AW493" s="2250"/>
      <c r="AX493" s="2250"/>
      <c r="AY493" s="2250"/>
      <c r="AZ493" s="2250"/>
      <c r="BA493" s="2250"/>
      <c r="BB493" s="2250"/>
      <c r="BC493" s="2250"/>
      <c r="BD493" s="2250"/>
      <c r="BE493" s="2250"/>
      <c r="BF493" s="2276"/>
      <c r="BG493" s="2276"/>
      <c r="BH493" s="2250"/>
      <c r="BI493" s="2275"/>
      <c r="BJ493" s="2346">
        <f>CQ493</f>
        <v>475</v>
      </c>
      <c r="BK493" s="2346" t="s">
        <v>739</v>
      </c>
      <c r="BL493" s="2346">
        <f>HLOOKUP(BJ491,BL477:CL491,15,0)</f>
        <v>6.26</v>
      </c>
      <c r="BM493" s="2346" t="str">
        <f>IF(BJ492=BL493,"Right","Wrong")</f>
        <v>Right</v>
      </c>
      <c r="BN493" s="2275"/>
      <c r="BO493" s="2275"/>
      <c r="BP493" s="2275"/>
      <c r="BQ493" s="2275"/>
      <c r="BR493" s="2275"/>
      <c r="BS493" s="2275"/>
      <c r="BT493" s="2275"/>
      <c r="BU493" s="2275"/>
      <c r="BV493" s="2275"/>
      <c r="BW493" s="2275"/>
      <c r="BX493" s="2275"/>
      <c r="BY493" s="2275"/>
      <c r="BZ493" s="2275"/>
      <c r="CA493" s="2275"/>
      <c r="CB493" s="2275"/>
      <c r="CC493" s="2275"/>
      <c r="CD493" s="2275"/>
      <c r="CE493" s="2275"/>
      <c r="CF493" s="2275"/>
      <c r="CG493" s="2275"/>
      <c r="CH493" s="2275"/>
      <c r="CI493" s="2275"/>
      <c r="CJ493" s="2275"/>
      <c r="CK493" s="2275"/>
      <c r="CL493" s="2275"/>
      <c r="CM493" s="2275"/>
      <c r="CN493" s="2275"/>
      <c r="CO493" s="2275">
        <f>VLOOKUP(CO492,CO479:CP490,2,0)</f>
        <v>6.26</v>
      </c>
      <c r="CP493" s="2275">
        <f>IF(CP492&gt;0,CP492,CO493)</f>
        <v>6.26</v>
      </c>
      <c r="CQ493" s="2275">
        <f>VLOOKUP(CP493,CP480:CQ490,2,0)</f>
        <v>475</v>
      </c>
      <c r="CR493" s="2275"/>
      <c r="CS493" s="2275"/>
      <c r="CT493" s="2275"/>
      <c r="CU493" s="2275"/>
      <c r="CV493" s="2275"/>
      <c r="CW493" s="2275"/>
      <c r="CX493" s="2250"/>
      <c r="CY493" s="2250"/>
      <c r="CZ493" s="2250"/>
      <c r="DA493" s="2250"/>
      <c r="DB493" s="2250"/>
      <c r="DC493" s="2250"/>
      <c r="DD493" s="2250"/>
      <c r="DE493" s="2250"/>
      <c r="DF493" s="2250"/>
      <c r="DG493" s="2250"/>
      <c r="DH493" s="2250"/>
      <c r="DI493" s="2250"/>
      <c r="DJ493" s="2250"/>
      <c r="DK493" s="2250"/>
      <c r="DL493" s="2250"/>
      <c r="DM493" s="2250"/>
      <c r="DN493" s="2250"/>
      <c r="DO493" s="53"/>
      <c r="DP493" s="53"/>
      <c r="DS493" s="277"/>
      <c r="DW493" s="1"/>
      <c r="DX493" s="2346">
        <f>FE493</f>
        <v>475</v>
      </c>
      <c r="DY493" s="2346" t="s">
        <v>739</v>
      </c>
      <c r="DZ493" s="2346">
        <f>HLOOKUP(DX491,DZ477:EZ491,15,0)</f>
        <v>9.8800000000000008</v>
      </c>
      <c r="EA493" s="2346" t="str">
        <f>IF(DX492=DZ493,"Right","Wrong")</f>
        <v>Right</v>
      </c>
      <c r="EB493" s="2275"/>
      <c r="EC493" s="2275"/>
      <c r="ED493" s="2275"/>
      <c r="EE493" s="2275"/>
      <c r="EF493" s="2275"/>
      <c r="EG493" s="2275"/>
      <c r="EH493" s="2275"/>
      <c r="EI493" s="2275"/>
      <c r="EJ493" s="2275"/>
      <c r="EK493" s="2275"/>
      <c r="EL493" s="2275"/>
      <c r="EM493" s="2275"/>
      <c r="EN493" s="2275"/>
      <c r="EO493" s="2275"/>
      <c r="EP493" s="2275"/>
      <c r="EQ493" s="2275"/>
      <c r="ER493" s="2275"/>
      <c r="ES493" s="2275"/>
      <c r="ET493" s="2275"/>
      <c r="EU493" s="2275"/>
      <c r="EV493" s="2275"/>
      <c r="EW493" s="2275"/>
      <c r="EX493" s="2275"/>
      <c r="EY493" s="2275"/>
      <c r="EZ493" s="2275"/>
      <c r="FA493" s="2275"/>
      <c r="FB493" s="2275"/>
      <c r="FC493" s="2275">
        <f>VLOOKUP(FC492,FC479:FD490,2,0)</f>
        <v>9.8800000000000008</v>
      </c>
      <c r="FD493" s="2275">
        <f>IF(FD492&gt;0,FD492,FC493)</f>
        <v>9.8800000000000008</v>
      </c>
      <c r="FE493" s="2275">
        <f>VLOOKUP(FD493,FD480:FE490,2,0)</f>
        <v>475</v>
      </c>
      <c r="FF493" s="2275"/>
      <c r="FG493" s="2275"/>
      <c r="FH493" s="2275"/>
      <c r="FI493" s="2275"/>
      <c r="FJ493" s="2275"/>
      <c r="FK493" s="2275"/>
      <c r="FL493" s="2250"/>
      <c r="FM493" s="2250"/>
      <c r="FN493" s="2250"/>
      <c r="FO493" s="2250"/>
      <c r="FP493" s="2250"/>
      <c r="FQ493" s="2250"/>
      <c r="FR493" s="2250"/>
      <c r="FS493" s="2250"/>
      <c r="FT493" s="2250"/>
      <c r="FU493" s="2250"/>
      <c r="FV493" s="2250"/>
      <c r="FW493" s="2250"/>
      <c r="FX493" s="2250"/>
      <c r="FY493" s="2250"/>
      <c r="FZ493" s="2250"/>
      <c r="GA493" s="2250"/>
      <c r="GB493" s="2276"/>
      <c r="GC493" s="2276"/>
      <c r="GD493" s="2250"/>
      <c r="GE493" s="2275"/>
      <c r="GF493" s="2346">
        <f>HM493</f>
        <v>475</v>
      </c>
      <c r="GG493" s="2346" t="s">
        <v>739</v>
      </c>
      <c r="GH493" s="2346">
        <f>HLOOKUP(GF491,GH477:HH491,15,0)</f>
        <v>9.08</v>
      </c>
      <c r="GI493" s="2346" t="str">
        <f>IF(GF492=GH493,"Right","Wrong")</f>
        <v>Right</v>
      </c>
      <c r="GJ493" s="2275"/>
      <c r="GK493" s="2275"/>
      <c r="GL493" s="2275"/>
      <c r="GM493" s="2275"/>
      <c r="GN493" s="2275"/>
      <c r="GO493" s="2275"/>
      <c r="GP493" s="2275"/>
      <c r="GQ493" s="2275"/>
      <c r="GR493" s="2275"/>
      <c r="GS493" s="2275"/>
      <c r="GT493" s="2275"/>
      <c r="GU493" s="2275"/>
      <c r="GV493" s="2275"/>
      <c r="GW493" s="2275"/>
      <c r="GX493" s="2275"/>
      <c r="GY493" s="2275"/>
      <c r="GZ493" s="2275"/>
      <c r="HA493" s="2275"/>
      <c r="HB493" s="2275"/>
      <c r="HC493" s="2275"/>
      <c r="HD493" s="2275"/>
      <c r="HE493" s="2275"/>
      <c r="HF493" s="2275"/>
      <c r="HG493" s="2275"/>
      <c r="HH493" s="2275"/>
      <c r="HI493" s="2275"/>
      <c r="HJ493" s="2275"/>
      <c r="HK493" s="2275">
        <f>VLOOKUP(HK492,HK479:HL490,2,0)</f>
        <v>9.08</v>
      </c>
      <c r="HL493" s="2275">
        <f>IF(HL492&gt;0,HL492,HK493)</f>
        <v>9.08</v>
      </c>
      <c r="HM493" s="2275">
        <f>VLOOKUP(HL493,HL480:HM490,2,0)</f>
        <v>475</v>
      </c>
      <c r="HN493" s="2275"/>
      <c r="HO493" s="2275"/>
      <c r="HP493" s="2275"/>
      <c r="HQ493" s="2275"/>
      <c r="HR493" s="2275"/>
      <c r="HS493" s="2275"/>
      <c r="HT493" s="2250"/>
      <c r="HU493" s="2250"/>
      <c r="HV493" s="2250"/>
      <c r="HW493" s="2250"/>
      <c r="HX493" s="2250"/>
      <c r="HY493" s="2250"/>
      <c r="HZ493" s="2250"/>
      <c r="IA493" s="2250"/>
      <c r="IB493" s="2250"/>
      <c r="IC493" s="2250"/>
      <c r="ID493" s="2250"/>
      <c r="IE493" s="2250"/>
      <c r="IF493" s="2250"/>
      <c r="IG493" s="2250"/>
      <c r="IH493" s="2250"/>
      <c r="II493" s="2250"/>
      <c r="IJ493" s="2250"/>
      <c r="IK493" s="53"/>
      <c r="IL493" s="53"/>
      <c r="IN493" s="277"/>
      <c r="IO493" s="277"/>
    </row>
    <row r="494" spans="2:249" ht="21.95" customHeight="1">
      <c r="B494" s="2250"/>
      <c r="C494" s="2275"/>
      <c r="D494" s="2275">
        <f>+IF(B517&lt;=D479,D479,IF(B517&lt;=D480,D480,IF(B517&lt;=D481,D481,IF(B517&lt;=D482,D482,IF(B517&lt;=D483,D483,IF(B517&lt;=D484,D484,IF(B517&lt;=D485,D485,IF(B517&lt;=D486,D486,0))))))))</f>
        <v>2.33</v>
      </c>
      <c r="E494" s="2275">
        <f>+IF(B517&lt;=E479,E479,IF(B517&lt;=E480,E480,IF(B517&lt;=E481,E481,IF(B517&lt;=E482,E482,IF(B517&lt;=E483,E483,IF(B517&lt;=E484,E484,IF(B517&lt;=E485,E485,IF(B517&lt;=E486,E486,0))))))))</f>
        <v>2.58</v>
      </c>
      <c r="F494" s="2275">
        <f>+IF(B517&lt;=F479,F479,IF(B517&lt;=F480,F480,IF(B517&lt;=F481,F481,IF(B517&lt;=F482,F482,IF(B517&lt;=F483,F483,IF(B517&lt;=F484,F484,IF(B517&lt;=F485,F485,IF(B517&lt;=F486,F486,0))))))))</f>
        <v>2.76</v>
      </c>
      <c r="G494" s="2275">
        <f>+IF(B517&lt;=G479,G479,IF(B517&lt;=G480,G480,IF(B517&lt;=G481,G481,IF(B517&lt;=G482,G482,IF(B517&lt;=G483,G483,IF(B517&lt;=G484,G484,IF(B517&lt;=G485,G485,IF(B517&lt;=G486,G486,0))))))))</f>
        <v>2.94</v>
      </c>
      <c r="H494" s="2275">
        <f>+IF(B517&lt;=H479,H479,IF(B517&lt;=H480,H480,IF(B517&lt;=H481,H481,IF(B517&lt;=H482,H482,IF(B517&lt;=H483,H483,IF(B517&lt;=H484,H484,IF(B517&lt;=H485,H485,IF(B517&lt;=H486,H486,0))))))))</f>
        <v>3.13</v>
      </c>
      <c r="I494" s="2275">
        <f>+IF(B517&lt;=I479,I479,IF(B517&lt;=I480,I480,IF(B517&lt;=I481,I481,IF(B517&lt;=I482,I482,IF(B517&lt;=I483,I483,IF(B517&lt;=I484,I484,IF(B517&lt;=I485,I485,IF(B517&lt;=I486,I486,0))))))))</f>
        <v>3.19</v>
      </c>
      <c r="J494" s="2275">
        <f>+IF(B517&lt;=J479,J479,IF(B517&lt;=J480,J480,IF(B517&lt;=J481,J481,IF(B517&lt;=J482,J482,IF(B517&lt;=J483,J483,IF(B517&lt;=J484,J484,IF(B517&lt;=J485,J485,IF(B517&lt;=J486,J486,0))))))))</f>
        <v>3.44</v>
      </c>
      <c r="K494" s="2275">
        <f>+IF(B517&lt;=K479,K479,IF(B517&lt;=K480,K480,IF(B517&lt;=K481,K481,IF(B517&lt;=K482,K482,IF(B517&lt;=K483,K483,IF(B517&lt;=K484,K484,IF(B517&lt;=K485,K485,IF(B517&lt;=K486,K486,0))))))))</f>
        <v>3.62</v>
      </c>
      <c r="L494" s="2275">
        <f>+IF(B517&lt;=L479,L479,IF(B517&lt;=L480,L480,IF(B517&lt;=L481,L481,IF(B517&lt;=L482,L482,IF(B517&lt;=L483,L483,IF(B517&lt;=L484,L484,IF(B517&lt;=L485,L485,IF(B517&lt;=L486,L486,0))))))))</f>
        <v>3.93</v>
      </c>
      <c r="M494" s="2275">
        <f>+IF(B517&lt;=M479,M479,IF(B517&lt;=M480,M480,IF(B517&lt;=M481,M481,IF(B517&lt;=M482,M482,IF(B517&lt;=M483,M483,IF(B517&lt;=M484,M484,IF(B517&lt;=M485,M485,IF(B517&lt;=M486,M486,0))))))))</f>
        <v>4.1100000000000003</v>
      </c>
      <c r="N494" s="2275">
        <f>+IF(B517&lt;=N479,N479,IF(B517&lt;=N480,N480,IF(B517&lt;=N481,N481,IF(B517&lt;=N482,N482,IF(B517&lt;=N483,N483,IF(B517&lt;=N484,N484,IF(B517&lt;=N485,N485,IF(B517&lt;=N486,N486,0))))))))</f>
        <v>4.54</v>
      </c>
      <c r="O494" s="2275">
        <f>+IF(B517&lt;=O479,O479,IF(B517&lt;=O480,O480,IF(B517&lt;=O481,O481,IF(B517&lt;=O482,O482,IF(B517&lt;=O483,O483,IF(B517&lt;=O484,O484,IF(B517&lt;=O485,O485,IF(B517&lt;=O486,O486,0))))))))</f>
        <v>4.97</v>
      </c>
      <c r="P494" s="2275">
        <f>+IF(B517&lt;=P479,P479,IF(B517&lt;=P480,P480,IF(B517&lt;=P481,P481,IF(B517&lt;=P482,P482,IF(B517&lt;=P483,P483,IF(B517&lt;=P484,P484,IF(B517&lt;=P485,P485,IF(B517&lt;=P486,P486,0))))))))</f>
        <v>5.15</v>
      </c>
      <c r="Q494" s="2275">
        <f>+IF(B517&lt;=Q479,Q479,IF(B517&lt;=Q480,Q480,IF(B517&lt;=Q481,Q481,IF(B517&lt;=Q482,Q482,IF(B517&lt;=Q483,Q483,IF(B517&lt;=Q484,Q484,IF(B517&lt;=Q485,Q485,IF(B517&lt;=Q486,Q486,0))))))))</f>
        <v>5.4</v>
      </c>
      <c r="R494" s="2275">
        <f>+IF(B517&lt;=R479,R479,IF(B517&lt;=R480,R480,IF(B517&lt;=R481,R481,IF(B517&lt;=R482,R482,IF(B517&lt;=R483,R483,IF(B517&lt;=R484,R484,IF(B517&lt;=R485,R485,IF(B517&lt;=R486,R486,0))))))))</f>
        <v>5.58</v>
      </c>
      <c r="S494" s="2275">
        <f>+IF(B517&lt;=S479,S479,IF(B517&lt;=S480,S480,IF(B517&lt;=S481,S481,IF(B517&lt;=S482,S482,IF(B517&lt;=S483,S483,IF(B517&lt;=S484,S484,IF(B517&lt;=S485,S485,IF(B517&lt;=S486,S486,0))))))))</f>
        <v>5.89</v>
      </c>
      <c r="T494" s="2275">
        <f>+IF(B517&lt;=T479,T479,IF(B517&lt;=T480,T480,IF(B517&lt;=T481,T481,IF(B517&lt;=T482,T482,IF(B517&lt;=T483,T483,IF(B517&lt;=T484,T484,IF(B517&lt;=T485,T485,IF(B517&lt;=T486,T486,0))))))))</f>
        <v>6.26</v>
      </c>
      <c r="U494" s="2275">
        <f>+IF(B517&lt;=U479,U479,IF(B517&lt;=U480,U480,IF(B517&lt;=U481,U481,IF(B517&lt;=U482,U482,IF(B517&lt;=U483,U483,IF(B517&lt;=U484,U484,IF(B517&lt;=U485,U485,IF(B517&lt;=U486,U486,0))))))))</f>
        <v>6.81</v>
      </c>
      <c r="V494" s="2275">
        <f>+IF(B517&lt;=V479,V479,IF(B517&lt;=V480,V480,IF(B517&lt;=V481,V481,IF(B517&lt;=V482,V482,IF(B517&lt;=V483,V483,IF(B517&lt;=V484,V484,IF(B517&lt;=V485,V485,IF(B517&lt;=V486,V486,0))))))))</f>
        <v>7.24</v>
      </c>
      <c r="W494" s="2275">
        <f>+IF(B517&lt;=W479,W479,IF(B517&lt;=W480,W480,IF(B517&lt;=W481,W481,IF(B517&lt;=W482,W482,IF(B517&lt;=W483,W483,IF(B517&lt;=W484,W484,IF(B517&lt;=W485,W485,IF(B517&lt;=W486,W486,0))))))))</f>
        <v>7.67</v>
      </c>
      <c r="X494" s="2275">
        <f>+IF(B517&lt;=X479,X479,IF(B517&lt;=X480,X480,IF(B517&lt;=X481,X481,IF(B517&lt;=X482,X482,IF(B517&lt;=X483,X483,IF(B517&lt;=X484,X484,IF(B517&lt;=X485,X485,IF(B517&lt;=X486,X486,0))))))))</f>
        <v>8.2200000000000006</v>
      </c>
      <c r="Y494" s="2275">
        <f>+IF(B517&lt;=Y479,Y479,IF(B517&lt;=Y480,Y480,IF(B517&lt;=Y481,Y481,IF(B517&lt;=Y482,Y482,IF(B517&lt;=Y483,Y483,IF(B517&lt;=Y484,Y484,IF(B517&lt;=Y485,Y485,IF(B517&lt;=Y486,Y486,0))))))))</f>
        <v>9.08</v>
      </c>
      <c r="Z494" s="2275">
        <f>+IF(B517&lt;=Z479,Z479,IF(B517&lt;=Z480,Z480,IF(B517&lt;=Z481,Z481,IF(B517&lt;=Z482,Z482,IF(B517&lt;=Z483,Z483,IF(B517&lt;=Z484,Z484,IF(B517&lt;=Z485,Z485,IF(B517&lt;=Z486,Z486,0))))))))</f>
        <v>9.8800000000000008</v>
      </c>
      <c r="AA494" s="2275">
        <f>+IF(B517&lt;=AA479,AA479,IF(B517&lt;=AA480,AA480,IF(B517&lt;=AA481,AA481,IF(B517&lt;=AA482,AA482,IF(B517&lt;=AA483,AA483,IF(B517&lt;=AA484,AA484,IF(B517&lt;=AA485,AA485,IF(B517&lt;=AA486,AA486,0))))))))</f>
        <v>11.1</v>
      </c>
      <c r="AB494" s="2275">
        <f>+IF(B517&lt;=AB479,AB479,IF(B517&lt;=AB480,AB480,IF(B517&lt;=AB481,AB481,IF(B517&lt;=AB482,AB482,IF(B517&lt;=AB483,AB483,IF(B517&lt;=AB484,AB484,IF(B517&lt;=AB485,AB485,IF(B517&lt;=AB486,AB486,0))))))))</f>
        <v>12.45</v>
      </c>
      <c r="AC494" s="2275">
        <f>+IF(B517&lt;=AC479,AC479,IF(B517&lt;=AC480,AC480,IF(B517&lt;=AC481,AC481,IF(B517&lt;=AC482,AC482,IF(B517&lt;=AC483,AC483,IF(B517&lt;=AC484,AC484,IF(B517&lt;=AC485,AC485,IF(B517&lt;=AC486,AC486,0))))))))</f>
        <v>14.17</v>
      </c>
      <c r="AD494" s="2275">
        <f>+IF(B517&lt;=AD479,AD479,IF(B517&lt;=AD480,AD480,IF(B517&lt;=AD481,AD481,IF(B517&lt;=AD482,AD482,IF(B517&lt;=AD483,AD483,IF(B517&lt;=AD484,AD484,IF(B517&lt;=AD485,AD485,IF(B517&lt;=AD486,AD486,0))))))))</f>
        <v>16.559999999999999</v>
      </c>
      <c r="AE494" s="2275"/>
      <c r="AF494" s="2275"/>
      <c r="AG494" s="2275"/>
      <c r="AH494" s="2275"/>
      <c r="AI494" s="2275"/>
      <c r="AJ494" s="2275"/>
      <c r="AK494" s="2275"/>
      <c r="AL494" s="2275"/>
      <c r="AM494" s="2275"/>
      <c r="AN494" s="2275"/>
      <c r="AO494" s="2275"/>
      <c r="AP494" s="2250"/>
      <c r="AQ494" s="2250"/>
      <c r="AR494" s="2250"/>
      <c r="AS494" s="2250"/>
      <c r="AT494" s="2250"/>
      <c r="AU494" s="2250"/>
      <c r="AV494" s="2250"/>
      <c r="AW494" s="2250"/>
      <c r="AX494" s="2250"/>
      <c r="AY494" s="2250"/>
      <c r="AZ494" s="2250"/>
      <c r="BA494" s="2250"/>
      <c r="BB494" s="2250"/>
      <c r="BC494" s="2250"/>
      <c r="BD494" s="2250"/>
      <c r="BE494" s="2250"/>
      <c r="BF494" s="2276"/>
      <c r="BG494" s="2276"/>
      <c r="BH494" s="2250"/>
      <c r="BI494" s="2275"/>
      <c r="BJ494" s="2250"/>
      <c r="BK494" s="2275"/>
      <c r="BL494" s="2275">
        <f>+IF(BJ517&lt;=BL479,BL479,IF(BJ517&lt;=BL480,BL480,IF(BJ517&lt;=BL481,BL481,IF(BJ517&lt;=BL482,BL482,IF(BJ517&lt;=BL483,BL483,IF(BJ517&lt;=BL484,BL484,IF(BJ517&lt;=BL485,BL485,IF(BJ517&lt;=BL486,BL486,0))))))))</f>
        <v>2.33</v>
      </c>
      <c r="BM494" s="2275">
        <f>+IF(BJ517&lt;=BM479,BM479,IF(BJ517&lt;=BM480,BM480,IF(BJ517&lt;=BM481,BM481,IF(BJ517&lt;=BM482,BM482,IF(BJ517&lt;=BM483,BM483,IF(BJ517&lt;=BM484,BM484,IF(BJ517&lt;=BM485,BM485,IF(BJ517&lt;=BM486,BM486,0))))))))</f>
        <v>2.58</v>
      </c>
      <c r="BN494" s="2275">
        <f>+IF(BJ517&lt;=BN479,BN479,IF(BJ517&lt;=BN480,BN480,IF(BJ517&lt;=BN481,BN481,IF(BJ517&lt;=BN482,BN482,IF(BJ517&lt;=BN483,BN483,IF(BJ517&lt;=BN484,BN484,IF(BJ517&lt;=BN485,BN485,IF(BJ517&lt;=BN486,BN486,0))))))))</f>
        <v>2.76</v>
      </c>
      <c r="BO494" s="2275">
        <f>+IF(BJ517&lt;=BO479,BO479,IF(BJ517&lt;=BO480,BO480,IF(BJ517&lt;=BO481,BO481,IF(BJ517&lt;=BO482,BO482,IF(BJ517&lt;=BO483,BO483,IF(BJ517&lt;=BO484,BO484,IF(BJ517&lt;=BO485,BO485,IF(BJ517&lt;=BO486,BO486,0))))))))</f>
        <v>2.94</v>
      </c>
      <c r="BP494" s="2275">
        <f>+IF(BJ517&lt;=BP479,BP479,IF(BJ517&lt;=BP480,BP480,IF(BJ517&lt;=BP481,BP481,IF(BJ517&lt;=BP482,BP482,IF(BJ517&lt;=BP483,BP483,IF(BJ517&lt;=BP484,BP484,IF(BJ517&lt;=BP485,BP485,IF(BJ517&lt;=BP486,BP486,0))))))))</f>
        <v>3.13</v>
      </c>
      <c r="BQ494" s="2275">
        <f>+IF(BJ517&lt;=BQ479,BQ479,IF(BJ517&lt;=BQ480,BQ480,IF(BJ517&lt;=BQ481,BQ481,IF(BJ517&lt;=BQ482,BQ482,IF(BJ517&lt;=BQ483,BQ483,IF(BJ517&lt;=BQ484,BQ484,IF(BJ517&lt;=BQ485,BQ485,IF(BJ517&lt;=BQ486,BQ486,0))))))))</f>
        <v>3.19</v>
      </c>
      <c r="BR494" s="2275">
        <f>+IF(BJ517&lt;=BR479,BR479,IF(BJ517&lt;=BR480,BR480,IF(BJ517&lt;=BR481,BR481,IF(BJ517&lt;=BR482,BR482,IF(BJ517&lt;=BR483,BR483,IF(BJ517&lt;=BR484,BR484,IF(BJ517&lt;=BR485,BR485,IF(BJ517&lt;=BR486,BR486,0))))))))</f>
        <v>3.44</v>
      </c>
      <c r="BS494" s="2275">
        <f>+IF(BJ517&lt;=BS479,BS479,IF(BJ517&lt;=BS480,BS480,IF(BJ517&lt;=BS481,BS481,IF(BJ517&lt;=BS482,BS482,IF(BJ517&lt;=BS483,BS483,IF(BJ517&lt;=BS484,BS484,IF(BJ517&lt;=BS485,BS485,IF(BJ517&lt;=BS486,BS486,0))))))))</f>
        <v>3.62</v>
      </c>
      <c r="BT494" s="2275">
        <f>+IF(BJ517&lt;=BT479,BT479,IF(BJ517&lt;=BT480,BT480,IF(BJ517&lt;=BT481,BT481,IF(BJ517&lt;=BT482,BT482,IF(BJ517&lt;=BT483,BT483,IF(BJ517&lt;=BT484,BT484,IF(BJ517&lt;=BT485,BT485,IF(BJ517&lt;=BT486,BT486,0))))))))</f>
        <v>3.93</v>
      </c>
      <c r="BU494" s="2275">
        <f>+IF(BJ517&lt;=BU479,BU479,IF(BJ517&lt;=BU480,BU480,IF(BJ517&lt;=BU481,BU481,IF(BJ517&lt;=BU482,BU482,IF(BJ517&lt;=BU483,BU483,IF(BJ517&lt;=BU484,BU484,IF(BJ517&lt;=BU485,BU485,IF(BJ517&lt;=BU486,BU486,0))))))))</f>
        <v>4.1100000000000003</v>
      </c>
      <c r="BV494" s="2275">
        <f>+IF(BJ517&lt;=BV479,BV479,IF(BJ517&lt;=BV480,BV480,IF(BJ517&lt;=BV481,BV481,IF(BJ517&lt;=BV482,BV482,IF(BJ517&lt;=BV483,BV483,IF(BJ517&lt;=BV484,BV484,IF(BJ517&lt;=BV485,BV485,IF(BJ517&lt;=BV486,BV486,0))))))))</f>
        <v>4.54</v>
      </c>
      <c r="BW494" s="2275">
        <f>+IF(BJ517&lt;=BW479,BW479,IF(BJ517&lt;=BW480,BW480,IF(BJ517&lt;=BW481,BW481,IF(BJ517&lt;=BW482,BW482,IF(BJ517&lt;=BW483,BW483,IF(BJ517&lt;=BW484,BW484,IF(BJ517&lt;=BW485,BW485,IF(BJ517&lt;=BW486,BW486,0))))))))</f>
        <v>4.97</v>
      </c>
      <c r="BX494" s="2275">
        <f>+IF(BJ517&lt;=BX479,BX479,IF(BJ517&lt;=BX480,BX480,IF(BJ517&lt;=BX481,BX481,IF(BJ517&lt;=BX482,BX482,IF(BJ517&lt;=BX483,BX483,IF(BJ517&lt;=BX484,BX484,IF(BJ517&lt;=BX485,BX485,IF(BJ517&lt;=BX486,BX486,0))))))))</f>
        <v>5.15</v>
      </c>
      <c r="BY494" s="2275">
        <f>+IF(BJ517&lt;=BY479,BY479,IF(BJ517&lt;=BY480,BY480,IF(BJ517&lt;=BY481,BY481,IF(BJ517&lt;=BY482,BY482,IF(BJ517&lt;=BY483,BY483,IF(BJ517&lt;=BY484,BY484,IF(BJ517&lt;=BY485,BY485,IF(BJ517&lt;=BY486,BY486,0))))))))</f>
        <v>5.4</v>
      </c>
      <c r="BZ494" s="2275">
        <f>+IF(BJ517&lt;=BZ479,BZ479,IF(BJ517&lt;=BZ480,BZ480,IF(BJ517&lt;=BZ481,BZ481,IF(BJ517&lt;=BZ482,BZ482,IF(BJ517&lt;=BZ483,BZ483,IF(BJ517&lt;=BZ484,BZ484,IF(BJ517&lt;=BZ485,BZ485,IF(BJ517&lt;=BZ486,BZ486,0))))))))</f>
        <v>5.58</v>
      </c>
      <c r="CA494" s="2275">
        <f>+IF(BJ517&lt;=CA479,CA479,IF(BJ517&lt;=CA480,CA480,IF(BJ517&lt;=CA481,CA481,IF(BJ517&lt;=CA482,CA482,IF(BJ517&lt;=CA483,CA483,IF(BJ517&lt;=CA484,CA484,IF(BJ517&lt;=CA485,CA485,IF(BJ517&lt;=CA486,CA486,0))))))))</f>
        <v>5.89</v>
      </c>
      <c r="CB494" s="2275">
        <f>+IF(BJ517&lt;=CB479,CB479,IF(BJ517&lt;=CB480,CB480,IF(BJ517&lt;=CB481,CB481,IF(BJ517&lt;=CB482,CB482,IF(BJ517&lt;=CB483,CB483,IF(BJ517&lt;=CB484,CB484,IF(BJ517&lt;=CB485,CB485,IF(BJ517&lt;=CB486,CB486,0))))))))</f>
        <v>6.26</v>
      </c>
      <c r="CC494" s="2275">
        <f>+IF(BJ517&lt;=CC479,CC479,IF(BJ517&lt;=CC480,CC480,IF(BJ517&lt;=CC481,CC481,IF(BJ517&lt;=CC482,CC482,IF(BJ517&lt;=CC483,CC483,IF(BJ517&lt;=CC484,CC484,IF(BJ517&lt;=CC485,CC485,IF(BJ517&lt;=CC486,CC486,0))))))))</f>
        <v>6.81</v>
      </c>
      <c r="CD494" s="2275">
        <f>+IF(BJ517&lt;=CD479,CD479,IF(BJ517&lt;=CD480,CD480,IF(BJ517&lt;=CD481,CD481,IF(BJ517&lt;=CD482,CD482,IF(BJ517&lt;=CD483,CD483,IF(BJ517&lt;=CD484,CD484,IF(BJ517&lt;=CD485,CD485,IF(BJ517&lt;=CD486,CD486,0))))))))</f>
        <v>7.24</v>
      </c>
      <c r="CE494" s="2275">
        <f>+IF(BJ517&lt;=CE479,CE479,IF(BJ517&lt;=CE480,CE480,IF(BJ517&lt;=CE481,CE481,IF(BJ517&lt;=CE482,CE482,IF(BJ517&lt;=CE483,CE483,IF(BJ517&lt;=CE484,CE484,IF(BJ517&lt;=CE485,CE485,IF(BJ517&lt;=CE486,CE486,0))))))))</f>
        <v>7.67</v>
      </c>
      <c r="CF494" s="2275">
        <f>+IF(BJ517&lt;=CF479,CF479,IF(BJ517&lt;=CF480,CF480,IF(BJ517&lt;=CF481,CF481,IF(BJ517&lt;=CF482,CF482,IF(BJ517&lt;=CF483,CF483,IF(BJ517&lt;=CF484,CF484,IF(BJ517&lt;=CF485,CF485,IF(BJ517&lt;=CF486,CF486,0))))))))</f>
        <v>8.2200000000000006</v>
      </c>
      <c r="CG494" s="2275">
        <f>+IF(BJ517&lt;=CG479,CG479,IF(BJ517&lt;=CG480,CG480,IF(BJ517&lt;=CG481,CG481,IF(BJ517&lt;=CG482,CG482,IF(BJ517&lt;=CG483,CG483,IF(BJ517&lt;=CG484,CG484,IF(BJ517&lt;=CG485,CG485,IF(BJ517&lt;=CG486,CG486,0))))))))</f>
        <v>9.08</v>
      </c>
      <c r="CH494" s="2275">
        <f>+IF(BJ517&lt;=CH479,CH479,IF(BJ517&lt;=CH480,CH480,IF(BJ517&lt;=CH481,CH481,IF(BJ517&lt;=CH482,CH482,IF(BJ517&lt;=CH483,CH483,IF(BJ517&lt;=CH484,CH484,IF(BJ517&lt;=CH485,CH485,IF(BJ517&lt;=CH486,CH486,0))))))))</f>
        <v>9.8800000000000008</v>
      </c>
      <c r="CI494" s="2275">
        <f>+IF(BJ517&lt;=CI479,CI479,IF(BJ517&lt;=CI480,CI480,IF(BJ517&lt;=CI481,CI481,IF(BJ517&lt;=CI482,CI482,IF(BJ517&lt;=CI483,CI483,IF(BJ517&lt;=CI484,CI484,IF(BJ517&lt;=CI485,CI485,IF(BJ517&lt;=CI486,CI486,0))))))))</f>
        <v>11.1</v>
      </c>
      <c r="CJ494" s="2275">
        <f>+IF(BJ517&lt;=CJ479,CJ479,IF(BJ517&lt;=CJ480,CJ480,IF(BJ517&lt;=CJ481,CJ481,IF(BJ517&lt;=CJ482,CJ482,IF(BJ517&lt;=CJ483,CJ483,IF(BJ517&lt;=CJ484,CJ484,IF(BJ517&lt;=CJ485,CJ485,IF(BJ517&lt;=CJ486,CJ486,0))))))))</f>
        <v>12.45</v>
      </c>
      <c r="CK494" s="2275">
        <f>+IF(BJ517&lt;=CK479,CK479,IF(BJ517&lt;=CK480,CK480,IF(BJ517&lt;=CK481,CK481,IF(BJ517&lt;=CK482,CK482,IF(BJ517&lt;=CK483,CK483,IF(BJ517&lt;=CK484,CK484,IF(BJ517&lt;=CK485,CK485,IF(BJ517&lt;=CK486,CK486,0))))))))</f>
        <v>14.17</v>
      </c>
      <c r="CL494" s="2275">
        <f>+IF(BJ517&lt;=CL479,CL479,IF(BJ517&lt;=CL480,CL480,IF(BJ517&lt;=CL481,CL481,IF(BJ517&lt;=CL482,CL482,IF(BJ517&lt;=CL483,CL483,IF(BJ517&lt;=CL484,CL484,IF(BJ517&lt;=CL485,CL485,IF(BJ517&lt;=CL486,CL486,0))))))))</f>
        <v>16.559999999999999</v>
      </c>
      <c r="CM494" s="2275"/>
      <c r="CN494" s="2275"/>
      <c r="CO494" s="2275"/>
      <c r="CP494" s="2275"/>
      <c r="CQ494" s="2275"/>
      <c r="CR494" s="2275"/>
      <c r="CS494" s="2275"/>
      <c r="CT494" s="2275"/>
      <c r="CU494" s="2275"/>
      <c r="CV494" s="2275"/>
      <c r="CW494" s="2275"/>
      <c r="CX494" s="2250"/>
      <c r="CY494" s="2250"/>
      <c r="CZ494" s="2250"/>
      <c r="DA494" s="2250"/>
      <c r="DB494" s="2250"/>
      <c r="DC494" s="2250"/>
      <c r="DD494" s="2250"/>
      <c r="DE494" s="2250"/>
      <c r="DF494" s="2250"/>
      <c r="DG494" s="2250"/>
      <c r="DH494" s="2250"/>
      <c r="DI494" s="2250"/>
      <c r="DJ494" s="2250"/>
      <c r="DK494" s="2250"/>
      <c r="DL494" s="2250"/>
      <c r="DM494" s="2250"/>
      <c r="DN494" s="2250"/>
      <c r="DO494" s="53"/>
      <c r="DP494" s="53"/>
      <c r="DS494" s="277"/>
      <c r="DW494" s="1"/>
      <c r="DX494" s="2250"/>
      <c r="DY494" s="2275"/>
      <c r="DZ494" s="2275">
        <f>+IF(DX517&lt;=DZ479,DZ479,IF(DX517&lt;=DZ480,DZ480,IF(DX517&lt;=DZ481,DZ481,IF(DX517&lt;=DZ482,DZ482,IF(DX517&lt;=DZ483,DZ483,IF(DX517&lt;=DZ484,DZ484,IF(DX517&lt;=DZ485,DZ485,IF(DX517&lt;=DZ486,DZ486,0))))))))</f>
        <v>2.33</v>
      </c>
      <c r="EA494" s="2275">
        <f>+IF(DX517&lt;=EA479,EA479,IF(DX517&lt;=EA480,EA480,IF(DX517&lt;=EA481,EA481,IF(DX517&lt;=EA482,EA482,IF(DX517&lt;=EA483,EA483,IF(DX517&lt;=EA484,EA484,IF(DX517&lt;=EA485,EA485,IF(DX517&lt;=EA486,EA486,0))))))))</f>
        <v>2.58</v>
      </c>
      <c r="EB494" s="2275">
        <f>+IF(DX517&lt;=EB479,EB479,IF(DX517&lt;=EB480,EB480,IF(DX517&lt;=EB481,EB481,IF(DX517&lt;=EB482,EB482,IF(DX517&lt;=EB483,EB483,IF(DX517&lt;=EB484,EB484,IF(DX517&lt;=EB485,EB485,IF(DX517&lt;=EB486,EB486,0))))))))</f>
        <v>2.76</v>
      </c>
      <c r="EC494" s="2275">
        <f>+IF(DX517&lt;=EC479,EC479,IF(DX517&lt;=EC480,EC480,IF(DX517&lt;=EC481,EC481,IF(DX517&lt;=EC482,EC482,IF(DX517&lt;=EC483,EC483,IF(DX517&lt;=EC484,EC484,IF(DX517&lt;=EC485,EC485,IF(DX517&lt;=EC486,EC486,0))))))))</f>
        <v>2.94</v>
      </c>
      <c r="ED494" s="2275">
        <f>+IF(DX517&lt;=ED479,ED479,IF(DX517&lt;=ED480,ED480,IF(DX517&lt;=ED481,ED481,IF(DX517&lt;=ED482,ED482,IF(DX517&lt;=ED483,ED483,IF(DX517&lt;=ED484,ED484,IF(DX517&lt;=ED485,ED485,IF(DX517&lt;=ED486,ED486,0))))))))</f>
        <v>3.13</v>
      </c>
      <c r="EE494" s="2275">
        <f>+IF(DX517&lt;=EE479,EE479,IF(DX517&lt;=EE480,EE480,IF(DX517&lt;=EE481,EE481,IF(DX517&lt;=EE482,EE482,IF(DX517&lt;=EE483,EE483,IF(DX517&lt;=EE484,EE484,IF(DX517&lt;=EE485,EE485,IF(DX517&lt;=EE486,EE486,0))))))))</f>
        <v>3.19</v>
      </c>
      <c r="EF494" s="2275">
        <f>+IF(DX517&lt;=EF479,EF479,IF(DX517&lt;=EF480,EF480,IF(DX517&lt;=EF481,EF481,IF(DX517&lt;=EF482,EF482,IF(DX517&lt;=EF483,EF483,IF(DX517&lt;=EF484,EF484,IF(DX517&lt;=EF485,EF485,IF(DX517&lt;=EF486,EF486,0))))))))</f>
        <v>3.44</v>
      </c>
      <c r="EG494" s="2275">
        <f>+IF(DX517&lt;=EG479,EG479,IF(DX517&lt;=EG480,EG480,IF(DX517&lt;=EG481,EG481,IF(DX517&lt;=EG482,EG482,IF(DX517&lt;=EG483,EG483,IF(DX517&lt;=EG484,EG484,IF(DX517&lt;=EG485,EG485,IF(DX517&lt;=EG486,EG486,0))))))))</f>
        <v>3.62</v>
      </c>
      <c r="EH494" s="2275">
        <f>+IF(DX517&lt;=EH479,EH479,IF(DX517&lt;=EH480,EH480,IF(DX517&lt;=EH481,EH481,IF(DX517&lt;=EH482,EH482,IF(DX517&lt;=EH483,EH483,IF(DX517&lt;=EH484,EH484,IF(DX517&lt;=EH485,EH485,IF(DX517&lt;=EH486,EH486,0))))))))</f>
        <v>3.93</v>
      </c>
      <c r="EI494" s="2275">
        <f>+IF(DX517&lt;=EI479,EI479,IF(DX517&lt;=EI480,EI480,IF(DX517&lt;=EI481,EI481,IF(DX517&lt;=EI482,EI482,IF(DX517&lt;=EI483,EI483,IF(DX517&lt;=EI484,EI484,IF(DX517&lt;=EI485,EI485,IF(DX517&lt;=EI486,EI486,0))))))))</f>
        <v>4.1100000000000003</v>
      </c>
      <c r="EJ494" s="2275">
        <f>+IF(DX517&lt;=EJ479,EJ479,IF(DX517&lt;=EJ480,EJ480,IF(DX517&lt;=EJ481,EJ481,IF(DX517&lt;=EJ482,EJ482,IF(DX517&lt;=EJ483,EJ483,IF(DX517&lt;=EJ484,EJ484,IF(DX517&lt;=EJ485,EJ485,IF(DX517&lt;=EJ486,EJ486,0))))))))</f>
        <v>4.54</v>
      </c>
      <c r="EK494" s="2275">
        <f>+IF(DX517&lt;=EK479,EK479,IF(DX517&lt;=EK480,EK480,IF(DX517&lt;=EK481,EK481,IF(DX517&lt;=EK482,EK482,IF(DX517&lt;=EK483,EK483,IF(DX517&lt;=EK484,EK484,IF(DX517&lt;=EK485,EK485,IF(DX517&lt;=EK486,EK486,0))))))))</f>
        <v>4.97</v>
      </c>
      <c r="EL494" s="2275">
        <f>+IF(DX517&lt;=EL479,EL479,IF(DX517&lt;=EL480,EL480,IF(DX517&lt;=EL481,EL481,IF(DX517&lt;=EL482,EL482,IF(DX517&lt;=EL483,EL483,IF(DX517&lt;=EL484,EL484,IF(DX517&lt;=EL485,EL485,IF(DX517&lt;=EL486,EL486,0))))))))</f>
        <v>5.15</v>
      </c>
      <c r="EM494" s="2275">
        <f>+IF(DX517&lt;=EM479,EM479,IF(DX517&lt;=EM480,EM480,IF(DX517&lt;=EM481,EM481,IF(DX517&lt;=EM482,EM482,IF(DX517&lt;=EM483,EM483,IF(DX517&lt;=EM484,EM484,IF(DX517&lt;=EM485,EM485,IF(DX517&lt;=EM486,EM486,0))))))))</f>
        <v>5.4</v>
      </c>
      <c r="EN494" s="2275">
        <f>+IF(DX517&lt;=EN479,EN479,IF(DX517&lt;=EN480,EN480,IF(DX517&lt;=EN481,EN481,IF(DX517&lt;=EN482,EN482,IF(DX517&lt;=EN483,EN483,IF(DX517&lt;=EN484,EN484,IF(DX517&lt;=EN485,EN485,IF(DX517&lt;=EN486,EN486,0))))))))</f>
        <v>5.58</v>
      </c>
      <c r="EO494" s="2275">
        <f>+IF(DX517&lt;=EO479,EO479,IF(DX517&lt;=EO480,EO480,IF(DX517&lt;=EO481,EO481,IF(DX517&lt;=EO482,EO482,IF(DX517&lt;=EO483,EO483,IF(DX517&lt;=EO484,EO484,IF(DX517&lt;=EO485,EO485,IF(DX517&lt;=EO486,EO486,0))))))))</f>
        <v>5.89</v>
      </c>
      <c r="EP494" s="2275">
        <f>+IF(DX517&lt;=EP479,EP479,IF(DX517&lt;=EP480,EP480,IF(DX517&lt;=EP481,EP481,IF(DX517&lt;=EP482,EP482,IF(DX517&lt;=EP483,EP483,IF(DX517&lt;=EP484,EP484,IF(DX517&lt;=EP485,EP485,IF(DX517&lt;=EP486,EP486,0))))))))</f>
        <v>6.26</v>
      </c>
      <c r="EQ494" s="2275">
        <f>+IF(DX517&lt;=EQ479,EQ479,IF(DX517&lt;=EQ480,EQ480,IF(DX517&lt;=EQ481,EQ481,IF(DX517&lt;=EQ482,EQ482,IF(DX517&lt;=EQ483,EQ483,IF(DX517&lt;=EQ484,EQ484,IF(DX517&lt;=EQ485,EQ485,IF(DX517&lt;=EQ486,EQ486,0))))))))</f>
        <v>6.81</v>
      </c>
      <c r="ER494" s="2275">
        <f>+IF(DX517&lt;=ER479,ER479,IF(DX517&lt;=ER480,ER480,IF(DX517&lt;=ER481,ER481,IF(DX517&lt;=ER482,ER482,IF(DX517&lt;=ER483,ER483,IF(DX517&lt;=ER484,ER484,IF(DX517&lt;=ER485,ER485,IF(DX517&lt;=ER486,ER486,0))))))))</f>
        <v>7.24</v>
      </c>
      <c r="ES494" s="2275">
        <f>+IF(DX517&lt;=ES479,ES479,IF(DX517&lt;=ES480,ES480,IF(DX517&lt;=ES481,ES481,IF(DX517&lt;=ES482,ES482,IF(DX517&lt;=ES483,ES483,IF(DX517&lt;=ES484,ES484,IF(DX517&lt;=ES485,ES485,IF(DX517&lt;=ES486,ES486,0))))))))</f>
        <v>7.67</v>
      </c>
      <c r="ET494" s="2275">
        <f>+IF(DX517&lt;=ET479,ET479,IF(DX517&lt;=ET480,ET480,IF(DX517&lt;=ET481,ET481,IF(DX517&lt;=ET482,ET482,IF(DX517&lt;=ET483,ET483,IF(DX517&lt;=ET484,ET484,IF(DX517&lt;=ET485,ET485,IF(DX517&lt;=ET486,ET486,0))))))))</f>
        <v>8.2200000000000006</v>
      </c>
      <c r="EU494" s="2275">
        <f>+IF(DX517&lt;=EU479,EU479,IF(DX517&lt;=EU480,EU480,IF(DX517&lt;=EU481,EU481,IF(DX517&lt;=EU482,EU482,IF(DX517&lt;=EU483,EU483,IF(DX517&lt;=EU484,EU484,IF(DX517&lt;=EU485,EU485,IF(DX517&lt;=EU486,EU486,0))))))))</f>
        <v>9.08</v>
      </c>
      <c r="EV494" s="2275">
        <f>+IF(DX517&lt;=EV479,EV479,IF(DX517&lt;=EV480,EV480,IF(DX517&lt;=EV481,EV481,IF(DX517&lt;=EV482,EV482,IF(DX517&lt;=EV483,EV483,IF(DX517&lt;=EV484,EV484,IF(DX517&lt;=EV485,EV485,IF(DX517&lt;=EV486,EV486,0))))))))</f>
        <v>9.8800000000000008</v>
      </c>
      <c r="EW494" s="2275">
        <f>+IF(DX517&lt;=EW479,EW479,IF(DX517&lt;=EW480,EW480,IF(DX517&lt;=EW481,EW481,IF(DX517&lt;=EW482,EW482,IF(DX517&lt;=EW483,EW483,IF(DX517&lt;=EW484,EW484,IF(DX517&lt;=EW485,EW485,IF(DX517&lt;=EW486,EW486,0))))))))</f>
        <v>11.1</v>
      </c>
      <c r="EX494" s="2275">
        <f>+IF(DX517&lt;=EX479,EX479,IF(DX517&lt;=EX480,EX480,IF(DX517&lt;=EX481,EX481,IF(DX517&lt;=EX482,EX482,IF(DX517&lt;=EX483,EX483,IF(DX517&lt;=EX484,EX484,IF(DX517&lt;=EX485,EX485,IF(DX517&lt;=EX486,EX486,0))))))))</f>
        <v>12.45</v>
      </c>
      <c r="EY494" s="2275">
        <f>+IF(DX517&lt;=EY479,EY479,IF(DX517&lt;=EY480,EY480,IF(DX517&lt;=EY481,EY481,IF(DX517&lt;=EY482,EY482,IF(DX517&lt;=EY483,EY483,IF(DX517&lt;=EY484,EY484,IF(DX517&lt;=EY485,EY485,IF(DX517&lt;=EY486,EY486,0))))))))</f>
        <v>14.17</v>
      </c>
      <c r="EZ494" s="2275">
        <f>+IF(DX517&lt;=EZ479,EZ479,IF(DX517&lt;=EZ480,EZ480,IF(DX517&lt;=EZ481,EZ481,IF(DX517&lt;=EZ482,EZ482,IF(DX517&lt;=EZ483,EZ483,IF(DX517&lt;=EZ484,EZ484,IF(DX517&lt;=EZ485,EZ485,IF(DX517&lt;=EZ486,EZ486,0))))))))</f>
        <v>16.559999999999999</v>
      </c>
      <c r="FA494" s="2275"/>
      <c r="FB494" s="2275"/>
      <c r="FC494" s="2275"/>
      <c r="FD494" s="2275"/>
      <c r="FE494" s="2275"/>
      <c r="FF494" s="2275"/>
      <c r="FG494" s="2275"/>
      <c r="FH494" s="2275"/>
      <c r="FI494" s="2275"/>
      <c r="FJ494" s="2275"/>
      <c r="FK494" s="2275"/>
      <c r="FL494" s="2250"/>
      <c r="FM494" s="2250"/>
      <c r="FN494" s="2250"/>
      <c r="FO494" s="2250"/>
      <c r="FP494" s="2250"/>
      <c r="FQ494" s="2250"/>
      <c r="FR494" s="2250"/>
      <c r="FS494" s="2250"/>
      <c r="FT494" s="2250"/>
      <c r="FU494" s="2250"/>
      <c r="FV494" s="2250"/>
      <c r="FW494" s="2250"/>
      <c r="FX494" s="2250"/>
      <c r="FY494" s="2250"/>
      <c r="FZ494" s="2250"/>
      <c r="GA494" s="2250"/>
      <c r="GB494" s="2276"/>
      <c r="GC494" s="2276"/>
      <c r="GD494" s="2250"/>
      <c r="GE494" s="2275"/>
      <c r="GF494" s="2250"/>
      <c r="GG494" s="2275"/>
      <c r="GH494" s="2275">
        <f>+IF(GF517&lt;=GH479,GH479,IF(GF517&lt;=GH480,GH480,IF(GF517&lt;=GH481,GH481,IF(GF517&lt;=GH482,GH482,IF(GF517&lt;=GH483,GH483,IF(GF517&lt;=GH484,GH484,IF(GF517&lt;=GH485,GH485,IF(GF517&lt;=GH486,GH486,0))))))))</f>
        <v>2.33</v>
      </c>
      <c r="GI494" s="2275">
        <f>+IF(GF517&lt;=GI479,GI479,IF(GF517&lt;=GI480,GI480,IF(GF517&lt;=GI481,GI481,IF(GF517&lt;=GI482,GI482,IF(GF517&lt;=GI483,GI483,IF(GF517&lt;=GI484,GI484,IF(GF517&lt;=GI485,GI485,IF(GF517&lt;=GI486,GI486,0))))))))</f>
        <v>2.58</v>
      </c>
      <c r="GJ494" s="2275">
        <f>+IF(GF517&lt;=GJ479,GJ479,IF(GF517&lt;=GJ480,GJ480,IF(GF517&lt;=GJ481,GJ481,IF(GF517&lt;=GJ482,GJ482,IF(GF517&lt;=GJ483,GJ483,IF(GF517&lt;=GJ484,GJ484,IF(GF517&lt;=GJ485,GJ485,IF(GF517&lt;=GJ486,GJ486,0))))))))</f>
        <v>2.76</v>
      </c>
      <c r="GK494" s="2275">
        <f>+IF(GF517&lt;=GK479,GK479,IF(GF517&lt;=GK480,GK480,IF(GF517&lt;=GK481,GK481,IF(GF517&lt;=GK482,GK482,IF(GF517&lt;=GK483,GK483,IF(GF517&lt;=GK484,GK484,IF(GF517&lt;=GK485,GK485,IF(GF517&lt;=GK486,GK486,0))))))))</f>
        <v>2.94</v>
      </c>
      <c r="GL494" s="2275">
        <f>+IF(GF517&lt;=GL479,GL479,IF(GF517&lt;=GL480,GL480,IF(GF517&lt;=GL481,GL481,IF(GF517&lt;=GL482,GL482,IF(GF517&lt;=GL483,GL483,IF(GF517&lt;=GL484,GL484,IF(GF517&lt;=GL485,GL485,IF(GF517&lt;=GL486,GL486,0))))))))</f>
        <v>3.13</v>
      </c>
      <c r="GM494" s="2275">
        <f>+IF(GF517&lt;=GM479,GM479,IF(GF517&lt;=GM480,GM480,IF(GF517&lt;=GM481,GM481,IF(GF517&lt;=GM482,GM482,IF(GF517&lt;=GM483,GM483,IF(GF517&lt;=GM484,GM484,IF(GF517&lt;=GM485,GM485,IF(GF517&lt;=GM486,GM486,0))))))))</f>
        <v>3.19</v>
      </c>
      <c r="GN494" s="2275">
        <f>+IF(GF517&lt;=GN479,GN479,IF(GF517&lt;=GN480,GN480,IF(GF517&lt;=GN481,GN481,IF(GF517&lt;=GN482,GN482,IF(GF517&lt;=GN483,GN483,IF(GF517&lt;=GN484,GN484,IF(GF517&lt;=GN485,GN485,IF(GF517&lt;=GN486,GN486,0))))))))</f>
        <v>3.44</v>
      </c>
      <c r="GO494" s="2275">
        <f>+IF(GF517&lt;=GO479,GO479,IF(GF517&lt;=GO480,GO480,IF(GF517&lt;=GO481,GO481,IF(GF517&lt;=GO482,GO482,IF(GF517&lt;=GO483,GO483,IF(GF517&lt;=GO484,GO484,IF(GF517&lt;=GO485,GO485,IF(GF517&lt;=GO486,GO486,0))))))))</f>
        <v>3.62</v>
      </c>
      <c r="GP494" s="2275">
        <f>+IF(GF517&lt;=GP479,GP479,IF(GF517&lt;=GP480,GP480,IF(GF517&lt;=GP481,GP481,IF(GF517&lt;=GP482,GP482,IF(GF517&lt;=GP483,GP483,IF(GF517&lt;=GP484,GP484,IF(GF517&lt;=GP485,GP485,IF(GF517&lt;=GP486,GP486,0))))))))</f>
        <v>3.93</v>
      </c>
      <c r="GQ494" s="2275">
        <f>+IF(GF517&lt;=GQ479,GQ479,IF(GF517&lt;=GQ480,GQ480,IF(GF517&lt;=GQ481,GQ481,IF(GF517&lt;=GQ482,GQ482,IF(GF517&lt;=GQ483,GQ483,IF(GF517&lt;=GQ484,GQ484,IF(GF517&lt;=GQ485,GQ485,IF(GF517&lt;=GQ486,GQ486,0))))))))</f>
        <v>4.1100000000000003</v>
      </c>
      <c r="GR494" s="2275">
        <f>+IF(GF517&lt;=GR479,GR479,IF(GF517&lt;=GR480,GR480,IF(GF517&lt;=GR481,GR481,IF(GF517&lt;=GR482,GR482,IF(GF517&lt;=GR483,GR483,IF(GF517&lt;=GR484,GR484,IF(GF517&lt;=GR485,GR485,IF(GF517&lt;=GR486,GR486,0))))))))</f>
        <v>4.54</v>
      </c>
      <c r="GS494" s="2275">
        <f>+IF(GF517&lt;=GS479,GS479,IF(GF517&lt;=GS480,GS480,IF(GF517&lt;=GS481,GS481,IF(GF517&lt;=GS482,GS482,IF(GF517&lt;=GS483,GS483,IF(GF517&lt;=GS484,GS484,IF(GF517&lt;=GS485,GS485,IF(GF517&lt;=GS486,GS486,0))))))))</f>
        <v>4.97</v>
      </c>
      <c r="GT494" s="2275">
        <f>+IF(GF517&lt;=GT479,GT479,IF(GF517&lt;=GT480,GT480,IF(GF517&lt;=GT481,GT481,IF(GF517&lt;=GT482,GT482,IF(GF517&lt;=GT483,GT483,IF(GF517&lt;=GT484,GT484,IF(GF517&lt;=GT485,GT485,IF(GF517&lt;=GT486,GT486,0))))))))</f>
        <v>5.15</v>
      </c>
      <c r="GU494" s="2275">
        <f>+IF(GF517&lt;=GU479,GU479,IF(GF517&lt;=GU480,GU480,IF(GF517&lt;=GU481,GU481,IF(GF517&lt;=GU482,GU482,IF(GF517&lt;=GU483,GU483,IF(GF517&lt;=GU484,GU484,IF(GF517&lt;=GU485,GU485,IF(GF517&lt;=GU486,GU486,0))))))))</f>
        <v>5.4</v>
      </c>
      <c r="GV494" s="2275">
        <f>+IF(GF517&lt;=GV479,GV479,IF(GF517&lt;=GV480,GV480,IF(GF517&lt;=GV481,GV481,IF(GF517&lt;=GV482,GV482,IF(GF517&lt;=GV483,GV483,IF(GF517&lt;=GV484,GV484,IF(GF517&lt;=GV485,GV485,IF(GF517&lt;=GV486,GV486,0))))))))</f>
        <v>5.58</v>
      </c>
      <c r="GW494" s="2275">
        <f>+IF(GF517&lt;=GW479,GW479,IF(GF517&lt;=GW480,GW480,IF(GF517&lt;=GW481,GW481,IF(GF517&lt;=GW482,GW482,IF(GF517&lt;=GW483,GW483,IF(GF517&lt;=GW484,GW484,IF(GF517&lt;=GW485,GW485,IF(GF517&lt;=GW486,GW486,0))))))))</f>
        <v>5.89</v>
      </c>
      <c r="GX494" s="2275">
        <f>+IF(GF517&lt;=GX479,GX479,IF(GF517&lt;=GX480,GX480,IF(GF517&lt;=GX481,GX481,IF(GF517&lt;=GX482,GX482,IF(GF517&lt;=GX483,GX483,IF(GF517&lt;=GX484,GX484,IF(GF517&lt;=GX485,GX485,IF(GF517&lt;=GX486,GX486,0))))))))</f>
        <v>6.26</v>
      </c>
      <c r="GY494" s="2275">
        <f>+IF(GF517&lt;=GY479,GY479,IF(GF517&lt;=GY480,GY480,IF(GF517&lt;=GY481,GY481,IF(GF517&lt;=GY482,GY482,IF(GF517&lt;=GY483,GY483,IF(GF517&lt;=GY484,GY484,IF(GF517&lt;=GY485,GY485,IF(GF517&lt;=GY486,GY486,0))))))))</f>
        <v>6.81</v>
      </c>
      <c r="GZ494" s="2275">
        <f>+IF(GF517&lt;=GZ479,GZ479,IF(GF517&lt;=GZ480,GZ480,IF(GF517&lt;=GZ481,GZ481,IF(GF517&lt;=GZ482,GZ482,IF(GF517&lt;=GZ483,GZ483,IF(GF517&lt;=GZ484,GZ484,IF(GF517&lt;=GZ485,GZ485,IF(GF517&lt;=GZ486,GZ486,0))))))))</f>
        <v>7.24</v>
      </c>
      <c r="HA494" s="2275">
        <f>+IF(GF517&lt;=HA479,HA479,IF(GF517&lt;=HA480,HA480,IF(GF517&lt;=HA481,HA481,IF(GF517&lt;=HA482,HA482,IF(GF517&lt;=HA483,HA483,IF(GF517&lt;=HA484,HA484,IF(GF517&lt;=HA485,HA485,IF(GF517&lt;=HA486,HA486,0))))))))</f>
        <v>7.67</v>
      </c>
      <c r="HB494" s="2275">
        <f>+IF(GF517&lt;=HB479,HB479,IF(GF517&lt;=HB480,HB480,IF(GF517&lt;=HB481,HB481,IF(GF517&lt;=HB482,HB482,IF(GF517&lt;=HB483,HB483,IF(GF517&lt;=HB484,HB484,IF(GF517&lt;=HB485,HB485,IF(GF517&lt;=HB486,HB486,0))))))))</f>
        <v>8.2200000000000006</v>
      </c>
      <c r="HC494" s="2275">
        <f>+IF(GF517&lt;=HC479,HC479,IF(GF517&lt;=HC480,HC480,IF(GF517&lt;=HC481,HC481,IF(GF517&lt;=HC482,HC482,IF(GF517&lt;=HC483,HC483,IF(GF517&lt;=HC484,HC484,IF(GF517&lt;=HC485,HC485,IF(GF517&lt;=HC486,HC486,0))))))))</f>
        <v>9.08</v>
      </c>
      <c r="HD494" s="2275">
        <f>+IF(GF517&lt;=HD479,HD479,IF(GF517&lt;=HD480,HD480,IF(GF517&lt;=HD481,HD481,IF(GF517&lt;=HD482,HD482,IF(GF517&lt;=HD483,HD483,IF(GF517&lt;=HD484,HD484,IF(GF517&lt;=HD485,HD485,IF(GF517&lt;=HD486,HD486,0))))))))</f>
        <v>9.8800000000000008</v>
      </c>
      <c r="HE494" s="2275">
        <f>+IF(GF517&lt;=HE479,HE479,IF(GF517&lt;=HE480,HE480,IF(GF517&lt;=HE481,HE481,IF(GF517&lt;=HE482,HE482,IF(GF517&lt;=HE483,HE483,IF(GF517&lt;=HE484,HE484,IF(GF517&lt;=HE485,HE485,IF(GF517&lt;=HE486,HE486,0))))))))</f>
        <v>11.1</v>
      </c>
      <c r="HF494" s="2275">
        <f>+IF(GF517&lt;=HF479,HF479,IF(GF517&lt;=HF480,HF480,IF(GF517&lt;=HF481,HF481,IF(GF517&lt;=HF482,HF482,IF(GF517&lt;=HF483,HF483,IF(GF517&lt;=HF484,HF484,IF(GF517&lt;=HF485,HF485,IF(GF517&lt;=HF486,HF486,0))))))))</f>
        <v>12.45</v>
      </c>
      <c r="HG494" s="2275">
        <f>+IF(GF517&lt;=HG479,HG479,IF(GF517&lt;=HG480,HG480,IF(GF517&lt;=HG481,HG481,IF(GF517&lt;=HG482,HG482,IF(GF517&lt;=HG483,HG483,IF(GF517&lt;=HG484,HG484,IF(GF517&lt;=HG485,HG485,IF(GF517&lt;=HG486,HG486,0))))))))</f>
        <v>14.17</v>
      </c>
      <c r="HH494" s="2275">
        <f>+IF(GF517&lt;=HH479,HH479,IF(GF517&lt;=HH480,HH480,IF(GF517&lt;=HH481,HH481,IF(GF517&lt;=HH482,HH482,IF(GF517&lt;=HH483,HH483,IF(GF517&lt;=HH484,HH484,IF(GF517&lt;=HH485,HH485,IF(GF517&lt;=HH486,HH486,0))))))))</f>
        <v>16.559999999999999</v>
      </c>
      <c r="HI494" s="2275"/>
      <c r="HJ494" s="2275"/>
      <c r="HK494" s="2275"/>
      <c r="HL494" s="2275"/>
      <c r="HM494" s="2275"/>
      <c r="HN494" s="2275"/>
      <c r="HO494" s="2275"/>
      <c r="HP494" s="2275"/>
      <c r="HQ494" s="2275"/>
      <c r="HR494" s="2275"/>
      <c r="HS494" s="2275"/>
      <c r="HT494" s="2250"/>
      <c r="HU494" s="2250"/>
      <c r="HV494" s="2250"/>
      <c r="HW494" s="2250"/>
      <c r="HX494" s="2250"/>
      <c r="HY494" s="2250"/>
      <c r="HZ494" s="2250"/>
      <c r="IA494" s="2250"/>
      <c r="IB494" s="2250"/>
      <c r="IC494" s="2250"/>
      <c r="ID494" s="2250"/>
      <c r="IE494" s="2250"/>
      <c r="IF494" s="2250"/>
      <c r="IG494" s="2250"/>
      <c r="IH494" s="2250"/>
      <c r="II494" s="2250"/>
      <c r="IJ494" s="2250"/>
      <c r="IK494" s="53"/>
      <c r="IL494" s="53"/>
      <c r="IN494" s="277"/>
      <c r="IO494" s="277"/>
    </row>
    <row r="495" spans="2:249" ht="21.95" customHeight="1">
      <c r="B495" s="2275">
        <f>B473</f>
        <v>0.75631178540277322</v>
      </c>
      <c r="C495" s="2275">
        <f>HLOOKUP(B496,D477:AD497,20,0)</f>
        <v>6.81</v>
      </c>
      <c r="D495" s="2275">
        <f>+IF(B517&lt;=D487,D487,IF(B517&lt;=D488,D488,IF(B517&lt;=D489,D489,)))</f>
        <v>73.25</v>
      </c>
      <c r="E495" s="2275">
        <f>+IF(B517&lt;=E487,E487,IF(B517&lt;=E488,E488,IF(B517&lt;=E489,E489,)))</f>
        <v>82.58</v>
      </c>
      <c r="F495" s="2275">
        <f>+IF(B517&lt;=F487,F487,IF(B517&lt;=F488,F488,IF(B517&lt;=F489,F489,)))</f>
        <v>91.47</v>
      </c>
      <c r="G495" s="2275">
        <f>+IF(B517&lt;=G487,G487,IF(B517&lt;=G488,G488,IF(B517&lt;=G489,G489,)))</f>
        <v>98.71</v>
      </c>
      <c r="H495" s="2275">
        <f>+IF(B517&lt;=H487,H487,IF(B517&lt;=H488,H488,IF(B517&lt;=H489,H489,)))</f>
        <v>98.71</v>
      </c>
      <c r="I495" s="2275">
        <f>+IF(B517&lt;=I487,I487,IF(B517&lt;=I488,I488,IF(B517&lt;=I489,I489,)))</f>
        <v>104.11</v>
      </c>
      <c r="J495" s="2275">
        <f>+IF(B517&lt;=J487,J487,IF(B517&lt;=J488,J488,IF(B517&lt;=J489,J489,)))</f>
        <v>114.91</v>
      </c>
      <c r="K495" s="2275">
        <f>+IF(B517&lt;=K487,K487,IF(B517&lt;=K488,K488,IF(B517&lt;=K489,K489,)))</f>
        <v>122.52</v>
      </c>
      <c r="L495" s="2275">
        <f>+IF(B517&lt;=L487,L487,IF(B517&lt;=L488,L488,IF(B517&lt;=L489,L489,)))</f>
        <v>130.43</v>
      </c>
      <c r="M495" s="2275">
        <f>+IF(B517&lt;=M487,M487,IF(B517&lt;=M488,M488,IF(B517&lt;=M489,M489,)))</f>
        <v>138.9</v>
      </c>
      <c r="N495" s="2275">
        <f>+IF(B517&lt;=N487,N487,IF(B517&lt;=N488,N488,IF(B517&lt;=N489,N489,)))</f>
        <v>144.11000000000001</v>
      </c>
      <c r="O495" s="2275">
        <f>+IF(B517&lt;=O487,O487,IF(B517&lt;=O488,O488,IF(B517&lt;=O489,O489,)))</f>
        <v>163.31</v>
      </c>
      <c r="P495" s="2275">
        <f>+IF(B517&lt;=P487,P487,IF(B517&lt;=P488,P488,IF(B517&lt;=P489,P489,)))</f>
        <v>170.43</v>
      </c>
      <c r="Q495" s="2275">
        <f>+IF(B517&lt;=Q487,Q487,IF(B517&lt;=Q488,Q488,IF(B517&lt;=Q489,Q489,)))</f>
        <v>176.38</v>
      </c>
      <c r="R495" s="2275">
        <f>+IF(B517&lt;=R487,R487,IF(B517&lt;=R488,R488,IF(B517&lt;=R489,R489,)))</f>
        <v>184.91</v>
      </c>
      <c r="S495" s="2275">
        <f>+IF(B517&lt;=S487,S487,IF(B517&lt;=S488,S488,IF(B517&lt;=S489,S489,)))</f>
        <v>199.08</v>
      </c>
      <c r="T495" s="2275">
        <f>+IF(B517&lt;=T487,T487,IF(B517&lt;=T488,T488,IF(B517&lt;=T489,T489,)))</f>
        <v>211.23</v>
      </c>
      <c r="U495" s="2275">
        <f>+IF(B517&lt;=U487,U487,IF(B517&lt;=U488,U488,IF(B517&lt;=U489,U489,)))</f>
        <v>223.44</v>
      </c>
      <c r="V495" s="2275">
        <f>+IF(B517&lt;=V487,V487,IF(B517&lt;=V488,V488,IF(B517&lt;=V489,V489,)))</f>
        <v>236.32</v>
      </c>
      <c r="W495" s="2275">
        <f>+IF(B517&lt;=W487,W487,IF(B517&lt;=W488,W488,IF(B517&lt;=W489,W489,)))</f>
        <v>261.17</v>
      </c>
      <c r="X495" s="2275">
        <f>+IF(B517&lt;=X487,X487,IF(B517&lt;=X488,X488,IF(B517&lt;=X489,X489,)))</f>
        <v>274.48</v>
      </c>
      <c r="Y495" s="2275">
        <f>+IF(B517&lt;=Y487,Y487,IF(B517&lt;=Y488,Y488,IF(B517&lt;=Y489,Y489,)))</f>
        <v>301.52999999999997</v>
      </c>
      <c r="Z495" s="2275">
        <f>+IF(B517&lt;=Z487,Z487,IF(B517&lt;=Z488,Z488,IF(B517&lt;=Z489,Z489,)))</f>
        <v>327.55</v>
      </c>
      <c r="AA495" s="2275">
        <f>+IF(B517&lt;=AA487,AA487,IF(B517&lt;=AA488,AA488,IF(B517&lt;=AA489,AA489,)))</f>
        <v>340.43</v>
      </c>
      <c r="AB495" s="2275">
        <f>+IF(B517&lt;=AB487,AB487,IF(B517&lt;=AB488,AB488,IF(B517&lt;=AB489,AB489,)))</f>
        <v>400.12</v>
      </c>
      <c r="AC495" s="2275">
        <f>+IF(B517&lt;=AC487,AC487,IF(B517&lt;=AC488,AC488,IF(B517&lt;=AC489,AC489,)))</f>
        <v>410.37</v>
      </c>
      <c r="AD495" s="2275">
        <f>+IF(B517&lt;=AD487,AD487,IF(B517&lt;=AD488,AD488,IF(B517&lt;=AD489,AD489,)))</f>
        <v>410.37</v>
      </c>
      <c r="AE495" s="2275"/>
      <c r="AF495" s="2275"/>
      <c r="AG495" s="2275"/>
      <c r="AH495" s="2275"/>
      <c r="AI495" s="2275"/>
      <c r="AJ495" s="2275"/>
      <c r="AK495" s="2275"/>
      <c r="AL495" s="2275"/>
      <c r="AM495" s="2275"/>
      <c r="AN495" s="2275"/>
      <c r="AO495" s="2275"/>
      <c r="AP495" s="2250"/>
      <c r="AQ495" s="2250"/>
      <c r="AR495" s="2250"/>
      <c r="AS495" s="2250"/>
      <c r="AT495" s="2250"/>
      <c r="AU495" s="2250"/>
      <c r="AV495" s="2250"/>
      <c r="AW495" s="2250"/>
      <c r="AX495" s="2250"/>
      <c r="AY495" s="2250"/>
      <c r="AZ495" s="2250"/>
      <c r="BA495" s="2250"/>
      <c r="BB495" s="2250"/>
      <c r="BC495" s="2250"/>
      <c r="BD495" s="2250"/>
      <c r="BE495" s="2250"/>
      <c r="BF495" s="2276"/>
      <c r="BG495" s="2276"/>
      <c r="BH495" s="2250"/>
      <c r="BI495" s="2275"/>
      <c r="BJ495" s="2275">
        <f>BJ473</f>
        <v>0.75631178540277322</v>
      </c>
      <c r="BK495" s="2275">
        <f>HLOOKUP(BJ496,BL477:CL497,20,0)</f>
        <v>6.26</v>
      </c>
      <c r="BL495" s="2275">
        <f>+IF(BJ517&lt;=BL487,BL487,IF(BJ517&lt;=BL488,BL488,IF(BJ517&lt;=BL489,BL489,)))</f>
        <v>73.25</v>
      </c>
      <c r="BM495" s="2275">
        <f>+IF(BJ517&lt;=BM487,BM487,IF(BJ517&lt;=BM488,BM488,IF(BJ517&lt;=BM489,BM489,)))</f>
        <v>82.58</v>
      </c>
      <c r="BN495" s="2275">
        <f>+IF(BJ517&lt;=BN487,BN487,IF(BJ517&lt;=BN488,BN488,IF(BJ517&lt;=BN489,BN489,)))</f>
        <v>91.47</v>
      </c>
      <c r="BO495" s="2275">
        <f>+IF(BJ517&lt;=BO487,BO487,IF(BJ517&lt;=BO488,BO488,IF(BJ517&lt;=BO489,BO489,)))</f>
        <v>98.71</v>
      </c>
      <c r="BP495" s="2275">
        <f>+IF(BJ517&lt;=BP487,BP487,IF(BJ517&lt;=BP488,BP488,IF(BJ517&lt;=BP489,BP489,)))</f>
        <v>98.71</v>
      </c>
      <c r="BQ495" s="2275">
        <f>+IF(BJ517&lt;=BQ487,BQ487,IF(BJ517&lt;=BQ488,BQ488,IF(BJ517&lt;=BQ489,BQ489,)))</f>
        <v>104.11</v>
      </c>
      <c r="BR495" s="2275">
        <f>+IF(BJ517&lt;=BR487,BR487,IF(BJ517&lt;=BR488,BR488,IF(BJ517&lt;=BR489,BR489,)))</f>
        <v>114.91</v>
      </c>
      <c r="BS495" s="2275">
        <f>+IF(BJ517&lt;=BS487,BS487,IF(BJ517&lt;=BS488,BS488,IF(BJ517&lt;=BS489,BS489,)))</f>
        <v>122.52</v>
      </c>
      <c r="BT495" s="2275">
        <f>+IF(BJ517&lt;=BT487,BT487,IF(BJ517&lt;=BT488,BT488,IF(BJ517&lt;=BT489,BT489,)))</f>
        <v>130.43</v>
      </c>
      <c r="BU495" s="2275">
        <f>+IF(BJ517&lt;=BU487,BU487,IF(BJ517&lt;=BU488,BU488,IF(BJ517&lt;=BU489,BU489,)))</f>
        <v>138.9</v>
      </c>
      <c r="BV495" s="2275">
        <f>+IF(BJ517&lt;=BV487,BV487,IF(BJ517&lt;=BV488,BV488,IF(BJ517&lt;=BV489,BV489,)))</f>
        <v>144.11000000000001</v>
      </c>
      <c r="BW495" s="2275">
        <f>+IF(BJ517&lt;=BW487,BW487,IF(BJ517&lt;=BW488,BW488,IF(BJ517&lt;=BW489,BW489,)))</f>
        <v>163.31</v>
      </c>
      <c r="BX495" s="2275">
        <f>+IF(BJ517&lt;=BX487,BX487,IF(BJ517&lt;=BX488,BX488,IF(BJ517&lt;=BX489,BX489,)))</f>
        <v>170.43</v>
      </c>
      <c r="BY495" s="2275">
        <f>+IF(BJ517&lt;=BY487,BY487,IF(BJ517&lt;=BY488,BY488,IF(BJ517&lt;=BY489,BY489,)))</f>
        <v>176.38</v>
      </c>
      <c r="BZ495" s="2275">
        <f>+IF(BJ517&lt;=BZ487,BZ487,IF(BJ517&lt;=BZ488,BZ488,IF(BJ517&lt;=BZ489,BZ489,)))</f>
        <v>184.91</v>
      </c>
      <c r="CA495" s="2275">
        <f>+IF(BJ517&lt;=CA487,CA487,IF(BJ517&lt;=CA488,CA488,IF(BJ517&lt;=CA489,CA489,)))</f>
        <v>199.08</v>
      </c>
      <c r="CB495" s="2275">
        <f>+IF(BJ517&lt;=CB487,CB487,IF(BJ517&lt;=CB488,CB488,IF(BJ517&lt;=CB489,CB489,)))</f>
        <v>211.23</v>
      </c>
      <c r="CC495" s="2275">
        <f>+IF(BJ517&lt;=CC487,CC487,IF(BJ517&lt;=CC488,CC488,IF(BJ517&lt;=CC489,CC489,)))</f>
        <v>223.44</v>
      </c>
      <c r="CD495" s="2275">
        <f>+IF(BJ517&lt;=CD487,CD487,IF(BJ517&lt;=CD488,CD488,IF(BJ517&lt;=CD489,CD489,)))</f>
        <v>236.32</v>
      </c>
      <c r="CE495" s="2275">
        <f>+IF(BJ517&lt;=CE487,CE487,IF(BJ517&lt;=CE488,CE488,IF(BJ517&lt;=CE489,CE489,)))</f>
        <v>261.17</v>
      </c>
      <c r="CF495" s="2275">
        <f>+IF(BJ517&lt;=CF487,CF487,IF(BJ517&lt;=CF488,CF488,IF(BJ517&lt;=CF489,CF489,)))</f>
        <v>274.48</v>
      </c>
      <c r="CG495" s="2275">
        <f>+IF(BJ517&lt;=CG487,CG487,IF(BJ517&lt;=CG488,CG488,IF(BJ517&lt;=CG489,CG489,)))</f>
        <v>301.52999999999997</v>
      </c>
      <c r="CH495" s="2275">
        <f>+IF(BJ517&lt;=CH487,CH487,IF(BJ517&lt;=CH488,CH488,IF(BJ517&lt;=CH489,CH489,)))</f>
        <v>327.55</v>
      </c>
      <c r="CI495" s="2275">
        <f>+IF(BJ517&lt;=CI487,CI487,IF(BJ517&lt;=CI488,CI488,IF(BJ517&lt;=CI489,CI489,)))</f>
        <v>340.43</v>
      </c>
      <c r="CJ495" s="2275">
        <f>+IF(BJ517&lt;=CJ487,CJ487,IF(BJ517&lt;=CJ488,CJ488,IF(BJ517&lt;=CJ489,CJ489,)))</f>
        <v>400.12</v>
      </c>
      <c r="CK495" s="2275">
        <f>+IF(BJ517&lt;=CK487,CK487,IF(BJ517&lt;=CK488,CK488,IF(BJ517&lt;=CK489,CK489,)))</f>
        <v>410.37</v>
      </c>
      <c r="CL495" s="2275">
        <f>+IF(BJ517&lt;=CL487,CL487,IF(BJ517&lt;=CL488,CL488,IF(BJ517&lt;=CL489,CL489,)))</f>
        <v>410.37</v>
      </c>
      <c r="CM495" s="2275"/>
      <c r="CN495" s="2275"/>
      <c r="CO495" s="2275"/>
      <c r="CP495" s="2275"/>
      <c r="CQ495" s="2275"/>
      <c r="CR495" s="2275"/>
      <c r="CS495" s="2275"/>
      <c r="CT495" s="2275"/>
      <c r="CU495" s="2275"/>
      <c r="CV495" s="2275"/>
      <c r="CW495" s="2275"/>
      <c r="CX495" s="2250"/>
      <c r="CY495" s="2250"/>
      <c r="CZ495" s="2250"/>
      <c r="DA495" s="2250"/>
      <c r="DB495" s="2250"/>
      <c r="DC495" s="2250"/>
      <c r="DD495" s="2250"/>
      <c r="DE495" s="2250"/>
      <c r="DF495" s="2250"/>
      <c r="DG495" s="2250"/>
      <c r="DH495" s="2250"/>
      <c r="DI495" s="2250"/>
      <c r="DJ495" s="2250"/>
      <c r="DK495" s="2250"/>
      <c r="DL495" s="2250"/>
      <c r="DM495" s="2250"/>
      <c r="DN495" s="2250"/>
      <c r="DO495" s="53"/>
      <c r="DP495" s="53"/>
      <c r="DS495" s="277"/>
      <c r="DW495" s="1"/>
      <c r="DX495" s="2275">
        <f>DX473</f>
        <v>1.3354563802212776</v>
      </c>
      <c r="DY495" s="2275">
        <f>HLOOKUP(DX496,DZ477:EZ497,20,0)</f>
        <v>9.8800000000000008</v>
      </c>
      <c r="DZ495" s="2275">
        <f>+IF(DX517&lt;=DZ487,DZ487,IF(DX517&lt;=DZ488,DZ488,IF(DX517&lt;=DZ489,DZ489,)))</f>
        <v>73.25</v>
      </c>
      <c r="EA495" s="2275">
        <f>+IF(DX517&lt;=EA487,EA487,IF(DX517&lt;=EA488,EA488,IF(DX517&lt;=EA489,EA489,)))</f>
        <v>82.58</v>
      </c>
      <c r="EB495" s="2275">
        <f>+IF(DX517&lt;=EB487,EB487,IF(DX517&lt;=EB488,EB488,IF(DX517&lt;=EB489,EB489,)))</f>
        <v>91.47</v>
      </c>
      <c r="EC495" s="2275">
        <f>+IF(DX517&lt;=EC487,EC487,IF(DX517&lt;=EC488,EC488,IF(DX517&lt;=EC489,EC489,)))</f>
        <v>98.71</v>
      </c>
      <c r="ED495" s="2275">
        <f>+IF(DX517&lt;=ED487,ED487,IF(DX517&lt;=ED488,ED488,IF(DX517&lt;=ED489,ED489,)))</f>
        <v>98.71</v>
      </c>
      <c r="EE495" s="2275">
        <f>+IF(DX517&lt;=EE487,EE487,IF(DX517&lt;=EE488,EE488,IF(DX517&lt;=EE489,EE489,)))</f>
        <v>104.11</v>
      </c>
      <c r="EF495" s="2275">
        <f>+IF(DX517&lt;=EF487,EF487,IF(DX517&lt;=EF488,EF488,IF(DX517&lt;=EF489,EF489,)))</f>
        <v>114.91</v>
      </c>
      <c r="EG495" s="2275">
        <f>+IF(DX517&lt;=EG487,EG487,IF(DX517&lt;=EG488,EG488,IF(DX517&lt;=EG489,EG489,)))</f>
        <v>122.52</v>
      </c>
      <c r="EH495" s="2275">
        <f>+IF(DX517&lt;=EH487,EH487,IF(DX517&lt;=EH488,EH488,IF(DX517&lt;=EH489,EH489,)))</f>
        <v>130.43</v>
      </c>
      <c r="EI495" s="2275">
        <f>+IF(DX517&lt;=EI487,EI487,IF(DX517&lt;=EI488,EI488,IF(DX517&lt;=EI489,EI489,)))</f>
        <v>138.9</v>
      </c>
      <c r="EJ495" s="2275">
        <f>+IF(DX517&lt;=EJ487,EJ487,IF(DX517&lt;=EJ488,EJ488,IF(DX517&lt;=EJ489,EJ489,)))</f>
        <v>144.11000000000001</v>
      </c>
      <c r="EK495" s="2275">
        <f>+IF(DX517&lt;=EK487,EK487,IF(DX517&lt;=EK488,EK488,IF(DX517&lt;=EK489,EK489,)))</f>
        <v>163.31</v>
      </c>
      <c r="EL495" s="2275">
        <f>+IF(DX517&lt;=EL487,EL487,IF(DX517&lt;=EL488,EL488,IF(DX517&lt;=EL489,EL489,)))</f>
        <v>170.43</v>
      </c>
      <c r="EM495" s="2275">
        <f>+IF(DX517&lt;=EM487,EM487,IF(DX517&lt;=EM488,EM488,IF(DX517&lt;=EM489,EM489,)))</f>
        <v>176.38</v>
      </c>
      <c r="EN495" s="2275">
        <f>+IF(DX517&lt;=EN487,EN487,IF(DX517&lt;=EN488,EN488,IF(DX517&lt;=EN489,EN489,)))</f>
        <v>184.91</v>
      </c>
      <c r="EO495" s="2275">
        <f>+IF(DX517&lt;=EO487,EO487,IF(DX517&lt;=EO488,EO488,IF(DX517&lt;=EO489,EO489,)))</f>
        <v>199.08</v>
      </c>
      <c r="EP495" s="2275">
        <f>+IF(DX517&lt;=EP487,EP487,IF(DX517&lt;=EP488,EP488,IF(DX517&lt;=EP489,EP489,)))</f>
        <v>211.23</v>
      </c>
      <c r="EQ495" s="2275">
        <f>+IF(DX517&lt;=EQ487,EQ487,IF(DX517&lt;=EQ488,EQ488,IF(DX517&lt;=EQ489,EQ489,)))</f>
        <v>223.44</v>
      </c>
      <c r="ER495" s="2275">
        <f>+IF(DX517&lt;=ER487,ER487,IF(DX517&lt;=ER488,ER488,IF(DX517&lt;=ER489,ER489,)))</f>
        <v>236.32</v>
      </c>
      <c r="ES495" s="2275">
        <f>+IF(DX517&lt;=ES487,ES487,IF(DX517&lt;=ES488,ES488,IF(DX517&lt;=ES489,ES489,)))</f>
        <v>261.17</v>
      </c>
      <c r="ET495" s="2275">
        <f>+IF(DX517&lt;=ET487,ET487,IF(DX517&lt;=ET488,ET488,IF(DX517&lt;=ET489,ET489,)))</f>
        <v>274.48</v>
      </c>
      <c r="EU495" s="2275">
        <f>+IF(DX517&lt;=EU487,EU487,IF(DX517&lt;=EU488,EU488,IF(DX517&lt;=EU489,EU489,)))</f>
        <v>301.52999999999997</v>
      </c>
      <c r="EV495" s="2275">
        <f>+IF(DX517&lt;=EV487,EV487,IF(DX517&lt;=EV488,EV488,IF(DX517&lt;=EV489,EV489,)))</f>
        <v>327.55</v>
      </c>
      <c r="EW495" s="2275">
        <f>+IF(DX517&lt;=EW487,EW487,IF(DX517&lt;=EW488,EW488,IF(DX517&lt;=EW489,EW489,)))</f>
        <v>340.43</v>
      </c>
      <c r="EX495" s="2275">
        <f>+IF(DX517&lt;=EX487,EX487,IF(DX517&lt;=EX488,EX488,IF(DX517&lt;=EX489,EX489,)))</f>
        <v>400.12</v>
      </c>
      <c r="EY495" s="2275">
        <f>+IF(DX517&lt;=EY487,EY487,IF(DX517&lt;=EY488,EY488,IF(DX517&lt;=EY489,EY489,)))</f>
        <v>410.37</v>
      </c>
      <c r="EZ495" s="2275">
        <f>+IF(DX517&lt;=EZ487,EZ487,IF(DX517&lt;=EZ488,EZ488,IF(DX517&lt;=EZ489,EZ489,)))</f>
        <v>410.37</v>
      </c>
      <c r="FA495" s="2275"/>
      <c r="FB495" s="2275"/>
      <c r="FC495" s="2275"/>
      <c r="FD495" s="2275"/>
      <c r="FE495" s="2275"/>
      <c r="FF495" s="2275"/>
      <c r="FG495" s="2275"/>
      <c r="FH495" s="2275"/>
      <c r="FI495" s="2275"/>
      <c r="FJ495" s="2275"/>
      <c r="FK495" s="2275"/>
      <c r="FL495" s="2250"/>
      <c r="FM495" s="2250"/>
      <c r="FN495" s="2250"/>
      <c r="FO495" s="2250"/>
      <c r="FP495" s="2250"/>
      <c r="FQ495" s="2250"/>
      <c r="FR495" s="2250"/>
      <c r="FS495" s="2250"/>
      <c r="FT495" s="2250"/>
      <c r="FU495" s="2250"/>
      <c r="FV495" s="2250"/>
      <c r="FW495" s="2250"/>
      <c r="FX495" s="2250"/>
      <c r="FY495" s="2250"/>
      <c r="FZ495" s="2250"/>
      <c r="GA495" s="2250"/>
      <c r="GB495" s="2276"/>
      <c r="GC495" s="2276"/>
      <c r="GD495" s="2250"/>
      <c r="GE495" s="2275"/>
      <c r="GF495" s="2275">
        <f>GF473</f>
        <v>1.3354563802212776</v>
      </c>
      <c r="GG495" s="2275">
        <f>HLOOKUP(GF496,GH477:HH497,20,0)</f>
        <v>9.08</v>
      </c>
      <c r="GH495" s="2275">
        <f>+IF(GF517&lt;=GH487,GH487,IF(GF517&lt;=GH488,GH488,IF(GF517&lt;=GH489,GH489,)))</f>
        <v>73.25</v>
      </c>
      <c r="GI495" s="2275">
        <f>+IF(GF517&lt;=GI487,GI487,IF(GF517&lt;=GI488,GI488,IF(GF517&lt;=GI489,GI489,)))</f>
        <v>82.58</v>
      </c>
      <c r="GJ495" s="2275">
        <f>+IF(GF517&lt;=GJ487,GJ487,IF(GF517&lt;=GJ488,GJ488,IF(GF517&lt;=GJ489,GJ489,)))</f>
        <v>91.47</v>
      </c>
      <c r="GK495" s="2275">
        <f>+IF(GF517&lt;=GK487,GK487,IF(GF517&lt;=GK488,GK488,IF(GF517&lt;=GK489,GK489,)))</f>
        <v>98.71</v>
      </c>
      <c r="GL495" s="2275">
        <f>+IF(GF517&lt;=GL487,GL487,IF(GF517&lt;=GL488,GL488,IF(GF517&lt;=GL489,GL489,)))</f>
        <v>98.71</v>
      </c>
      <c r="GM495" s="2275">
        <f>+IF(GF517&lt;=GM487,GM487,IF(GF517&lt;=GM488,GM488,IF(GF517&lt;=GM489,GM489,)))</f>
        <v>104.11</v>
      </c>
      <c r="GN495" s="2275">
        <f>+IF(GF517&lt;=GN487,GN487,IF(GF517&lt;=GN488,GN488,IF(GF517&lt;=GN489,GN489,)))</f>
        <v>114.91</v>
      </c>
      <c r="GO495" s="2275">
        <f>+IF(GF517&lt;=GO487,GO487,IF(GF517&lt;=GO488,GO488,IF(GF517&lt;=GO489,GO489,)))</f>
        <v>122.52</v>
      </c>
      <c r="GP495" s="2275">
        <f>+IF(GF517&lt;=GP487,GP487,IF(GF517&lt;=GP488,GP488,IF(GF517&lt;=GP489,GP489,)))</f>
        <v>130.43</v>
      </c>
      <c r="GQ495" s="2275">
        <f>+IF(GF517&lt;=GQ487,GQ487,IF(GF517&lt;=GQ488,GQ488,IF(GF517&lt;=GQ489,GQ489,)))</f>
        <v>138.9</v>
      </c>
      <c r="GR495" s="2275">
        <f>+IF(GF517&lt;=GR487,GR487,IF(GF517&lt;=GR488,GR488,IF(GF517&lt;=GR489,GR489,)))</f>
        <v>144.11000000000001</v>
      </c>
      <c r="GS495" s="2275">
        <f>+IF(GF517&lt;=GS487,GS487,IF(GF517&lt;=GS488,GS488,IF(GF517&lt;=GS489,GS489,)))</f>
        <v>163.31</v>
      </c>
      <c r="GT495" s="2275">
        <f>+IF(GF517&lt;=GT487,GT487,IF(GF517&lt;=GT488,GT488,IF(GF517&lt;=GT489,GT489,)))</f>
        <v>170.43</v>
      </c>
      <c r="GU495" s="2275">
        <f>+IF(GF517&lt;=GU487,GU487,IF(GF517&lt;=GU488,GU488,IF(GF517&lt;=GU489,GU489,)))</f>
        <v>176.38</v>
      </c>
      <c r="GV495" s="2275">
        <f>+IF(GF517&lt;=GV487,GV487,IF(GF517&lt;=GV488,GV488,IF(GF517&lt;=GV489,GV489,)))</f>
        <v>184.91</v>
      </c>
      <c r="GW495" s="2275">
        <f>+IF(GF517&lt;=GW487,GW487,IF(GF517&lt;=GW488,GW488,IF(GF517&lt;=GW489,GW489,)))</f>
        <v>199.08</v>
      </c>
      <c r="GX495" s="2275">
        <f>+IF(GF517&lt;=GX487,GX487,IF(GF517&lt;=GX488,GX488,IF(GF517&lt;=GX489,GX489,)))</f>
        <v>211.23</v>
      </c>
      <c r="GY495" s="2275">
        <f>+IF(GF517&lt;=GY487,GY487,IF(GF517&lt;=GY488,GY488,IF(GF517&lt;=GY489,GY489,)))</f>
        <v>223.44</v>
      </c>
      <c r="GZ495" s="2275">
        <f>+IF(GF517&lt;=GZ487,GZ487,IF(GF517&lt;=GZ488,GZ488,IF(GF517&lt;=GZ489,GZ489,)))</f>
        <v>236.32</v>
      </c>
      <c r="HA495" s="2275">
        <f>+IF(GF517&lt;=HA487,HA487,IF(GF517&lt;=HA488,HA488,IF(GF517&lt;=HA489,HA489,)))</f>
        <v>261.17</v>
      </c>
      <c r="HB495" s="2275">
        <f>+IF(GF517&lt;=HB487,HB487,IF(GF517&lt;=HB488,HB488,IF(GF517&lt;=HB489,HB489,)))</f>
        <v>274.48</v>
      </c>
      <c r="HC495" s="2275">
        <f>+IF(GF517&lt;=HC487,HC487,IF(GF517&lt;=HC488,HC488,IF(GF517&lt;=HC489,HC489,)))</f>
        <v>301.52999999999997</v>
      </c>
      <c r="HD495" s="2275">
        <f>+IF(GF517&lt;=HD487,HD487,IF(GF517&lt;=HD488,HD488,IF(GF517&lt;=HD489,HD489,)))</f>
        <v>327.55</v>
      </c>
      <c r="HE495" s="2275">
        <f>+IF(GF517&lt;=HE487,HE487,IF(GF517&lt;=HE488,HE488,IF(GF517&lt;=HE489,HE489,)))</f>
        <v>340.43</v>
      </c>
      <c r="HF495" s="2275">
        <f>+IF(GF517&lt;=HF487,HF487,IF(GF517&lt;=HF488,HF488,IF(GF517&lt;=HF489,HF489,)))</f>
        <v>400.12</v>
      </c>
      <c r="HG495" s="2275">
        <f>+IF(GF517&lt;=HG487,HG487,IF(GF517&lt;=HG488,HG488,IF(GF517&lt;=HG489,HG489,)))</f>
        <v>410.37</v>
      </c>
      <c r="HH495" s="2275">
        <f>+IF(GF517&lt;=HH487,HH487,IF(GF517&lt;=HH488,HH488,IF(GF517&lt;=HH489,HH489,)))</f>
        <v>410.37</v>
      </c>
      <c r="HI495" s="2275"/>
      <c r="HJ495" s="2275"/>
      <c r="HK495" s="2275"/>
      <c r="HL495" s="2275"/>
      <c r="HM495" s="2275"/>
      <c r="HN495" s="2275"/>
      <c r="HO495" s="2275"/>
      <c r="HP495" s="2275"/>
      <c r="HQ495" s="2275"/>
      <c r="HR495" s="2275"/>
      <c r="HS495" s="2275"/>
      <c r="HT495" s="2250"/>
      <c r="HU495" s="2250"/>
      <c r="HV495" s="2250"/>
      <c r="HW495" s="2250"/>
      <c r="HX495" s="2250"/>
      <c r="HY495" s="2250"/>
      <c r="HZ495" s="2250"/>
      <c r="IA495" s="2250"/>
      <c r="IB495" s="2250"/>
      <c r="IC495" s="2250"/>
      <c r="ID495" s="2250"/>
      <c r="IE495" s="2250"/>
      <c r="IF495" s="2250"/>
      <c r="IG495" s="2250"/>
      <c r="IH495" s="2250"/>
      <c r="II495" s="2250"/>
      <c r="IJ495" s="2250"/>
      <c r="IK495" s="53"/>
      <c r="IL495" s="53"/>
      <c r="IN495" s="277"/>
      <c r="IO495" s="277"/>
    </row>
    <row r="496" spans="2:249" ht="21.95" customHeight="1">
      <c r="B496" s="2275">
        <f>B474</f>
        <v>68.3</v>
      </c>
      <c r="C496" s="2275">
        <f>HLOOKUP(B496,D477:AD497,21,0)</f>
        <v>475</v>
      </c>
      <c r="D496" s="2250">
        <f t="shared" ref="D496:AD496" si="281">IF(D494=0,D495,D494)</f>
        <v>2.33</v>
      </c>
      <c r="E496" s="2250">
        <f t="shared" si="281"/>
        <v>2.58</v>
      </c>
      <c r="F496" s="2250">
        <f t="shared" si="281"/>
        <v>2.76</v>
      </c>
      <c r="G496" s="2250">
        <f t="shared" si="281"/>
        <v>2.94</v>
      </c>
      <c r="H496" s="2250">
        <f t="shared" si="281"/>
        <v>3.13</v>
      </c>
      <c r="I496" s="2250">
        <f t="shared" si="281"/>
        <v>3.19</v>
      </c>
      <c r="J496" s="2250">
        <f t="shared" si="281"/>
        <v>3.44</v>
      </c>
      <c r="K496" s="2250">
        <f t="shared" si="281"/>
        <v>3.62</v>
      </c>
      <c r="L496" s="2250">
        <f t="shared" si="281"/>
        <v>3.93</v>
      </c>
      <c r="M496" s="2250">
        <f t="shared" si="281"/>
        <v>4.1100000000000003</v>
      </c>
      <c r="N496" s="2250">
        <f t="shared" si="281"/>
        <v>4.54</v>
      </c>
      <c r="O496" s="2250">
        <f t="shared" si="281"/>
        <v>4.97</v>
      </c>
      <c r="P496" s="2250">
        <f t="shared" si="281"/>
        <v>5.15</v>
      </c>
      <c r="Q496" s="2250">
        <f t="shared" si="281"/>
        <v>5.4</v>
      </c>
      <c r="R496" s="2250">
        <f t="shared" si="281"/>
        <v>5.58</v>
      </c>
      <c r="S496" s="2250">
        <f t="shared" si="281"/>
        <v>5.89</v>
      </c>
      <c r="T496" s="2250">
        <f t="shared" si="281"/>
        <v>6.26</v>
      </c>
      <c r="U496" s="2250">
        <f t="shared" si="281"/>
        <v>6.81</v>
      </c>
      <c r="V496" s="2250">
        <f t="shared" si="281"/>
        <v>7.24</v>
      </c>
      <c r="W496" s="2250">
        <f t="shared" si="281"/>
        <v>7.67</v>
      </c>
      <c r="X496" s="2250">
        <f t="shared" si="281"/>
        <v>8.2200000000000006</v>
      </c>
      <c r="Y496" s="2250">
        <f t="shared" si="281"/>
        <v>9.08</v>
      </c>
      <c r="Z496" s="2250">
        <f t="shared" si="281"/>
        <v>9.8800000000000008</v>
      </c>
      <c r="AA496" s="2250">
        <f t="shared" si="281"/>
        <v>11.1</v>
      </c>
      <c r="AB496" s="2250">
        <f t="shared" si="281"/>
        <v>12.45</v>
      </c>
      <c r="AC496" s="2250">
        <f t="shared" si="281"/>
        <v>14.17</v>
      </c>
      <c r="AD496" s="2250">
        <f t="shared" si="281"/>
        <v>16.559999999999999</v>
      </c>
      <c r="AE496" s="2275"/>
      <c r="AF496" s="2275"/>
      <c r="AG496" s="2275"/>
      <c r="AH496" s="2275"/>
      <c r="AI496" s="2275"/>
      <c r="AJ496" s="2275"/>
      <c r="AK496" s="2275"/>
      <c r="AL496" s="2275"/>
      <c r="AM496" s="2275"/>
      <c r="AN496" s="2275"/>
      <c r="AO496" s="2275"/>
      <c r="AP496" s="2250"/>
      <c r="AQ496" s="2250"/>
      <c r="AR496" s="2250"/>
      <c r="AS496" s="2250"/>
      <c r="AT496" s="2250"/>
      <c r="AU496" s="2250"/>
      <c r="AV496" s="2250"/>
      <c r="AW496" s="2250"/>
      <c r="AX496" s="2250"/>
      <c r="AY496" s="2250"/>
      <c r="AZ496" s="2250"/>
      <c r="BA496" s="2250"/>
      <c r="BB496" s="2250"/>
      <c r="BC496" s="2250"/>
      <c r="BD496" s="2250"/>
      <c r="BE496" s="2250"/>
      <c r="BF496" s="2276"/>
      <c r="BG496" s="2276"/>
      <c r="BH496" s="2250"/>
      <c r="BI496" s="2275"/>
      <c r="BJ496" s="2275">
        <f>BJ474</f>
        <v>73.7</v>
      </c>
      <c r="BK496" s="2275">
        <f>HLOOKUP(BJ496,BL477:CL497,21,0)</f>
        <v>475</v>
      </c>
      <c r="BL496" s="2250">
        <f t="shared" ref="BL496:CL496" si="282">IF(BL494=0,BL495,BL494)</f>
        <v>2.33</v>
      </c>
      <c r="BM496" s="2250">
        <f t="shared" si="282"/>
        <v>2.58</v>
      </c>
      <c r="BN496" s="2250">
        <f t="shared" si="282"/>
        <v>2.76</v>
      </c>
      <c r="BO496" s="2250">
        <f t="shared" si="282"/>
        <v>2.94</v>
      </c>
      <c r="BP496" s="2250">
        <f t="shared" si="282"/>
        <v>3.13</v>
      </c>
      <c r="BQ496" s="2250">
        <f t="shared" si="282"/>
        <v>3.19</v>
      </c>
      <c r="BR496" s="2250">
        <f t="shared" si="282"/>
        <v>3.44</v>
      </c>
      <c r="BS496" s="2250">
        <f t="shared" si="282"/>
        <v>3.62</v>
      </c>
      <c r="BT496" s="2250">
        <f t="shared" si="282"/>
        <v>3.93</v>
      </c>
      <c r="BU496" s="2250">
        <f t="shared" si="282"/>
        <v>4.1100000000000003</v>
      </c>
      <c r="BV496" s="2250">
        <f t="shared" si="282"/>
        <v>4.54</v>
      </c>
      <c r="BW496" s="2250">
        <f t="shared" si="282"/>
        <v>4.97</v>
      </c>
      <c r="BX496" s="2250">
        <f t="shared" si="282"/>
        <v>5.15</v>
      </c>
      <c r="BY496" s="2250">
        <f t="shared" si="282"/>
        <v>5.4</v>
      </c>
      <c r="BZ496" s="2250">
        <f t="shared" si="282"/>
        <v>5.58</v>
      </c>
      <c r="CA496" s="2250">
        <f t="shared" si="282"/>
        <v>5.89</v>
      </c>
      <c r="CB496" s="2250">
        <f t="shared" si="282"/>
        <v>6.26</v>
      </c>
      <c r="CC496" s="2250">
        <f t="shared" si="282"/>
        <v>6.81</v>
      </c>
      <c r="CD496" s="2250">
        <f t="shared" si="282"/>
        <v>7.24</v>
      </c>
      <c r="CE496" s="2250">
        <f t="shared" si="282"/>
        <v>7.67</v>
      </c>
      <c r="CF496" s="2250">
        <f t="shared" si="282"/>
        <v>8.2200000000000006</v>
      </c>
      <c r="CG496" s="2250">
        <f t="shared" si="282"/>
        <v>9.08</v>
      </c>
      <c r="CH496" s="2250">
        <f t="shared" si="282"/>
        <v>9.8800000000000008</v>
      </c>
      <c r="CI496" s="2250">
        <f t="shared" si="282"/>
        <v>11.1</v>
      </c>
      <c r="CJ496" s="2250">
        <f t="shared" si="282"/>
        <v>12.45</v>
      </c>
      <c r="CK496" s="2250">
        <f t="shared" si="282"/>
        <v>14.17</v>
      </c>
      <c r="CL496" s="2250">
        <f t="shared" si="282"/>
        <v>16.559999999999999</v>
      </c>
      <c r="CM496" s="2275"/>
      <c r="CN496" s="2275"/>
      <c r="CO496" s="2275"/>
      <c r="CP496" s="2275"/>
      <c r="CQ496" s="2275"/>
      <c r="CR496" s="2275"/>
      <c r="CS496" s="2275"/>
      <c r="CT496" s="2275"/>
      <c r="CU496" s="2275"/>
      <c r="CV496" s="2275"/>
      <c r="CW496" s="2275"/>
      <c r="CX496" s="2250"/>
      <c r="CY496" s="2250"/>
      <c r="CZ496" s="2250"/>
      <c r="DA496" s="2250"/>
      <c r="DB496" s="2250"/>
      <c r="DC496" s="2250"/>
      <c r="DD496" s="2250"/>
      <c r="DE496" s="2250"/>
      <c r="DF496" s="2250"/>
      <c r="DG496" s="2250"/>
      <c r="DH496" s="2250"/>
      <c r="DI496" s="2250"/>
      <c r="DJ496" s="2250"/>
      <c r="DK496" s="2250"/>
      <c r="DL496" s="2250"/>
      <c r="DM496" s="2250"/>
      <c r="DN496" s="2250"/>
      <c r="DO496" s="53"/>
      <c r="DP496" s="53"/>
      <c r="DS496" s="277"/>
      <c r="DW496" s="1"/>
      <c r="DX496" s="2275">
        <f>DX474</f>
        <v>43.9</v>
      </c>
      <c r="DY496" s="2275">
        <f>HLOOKUP(DX496,DZ477:EZ497,21,0)</f>
        <v>475</v>
      </c>
      <c r="DZ496" s="2250">
        <f t="shared" ref="DZ496:EZ496" si="283">IF(DZ494=0,DZ495,DZ494)</f>
        <v>2.33</v>
      </c>
      <c r="EA496" s="2250">
        <f t="shared" si="283"/>
        <v>2.58</v>
      </c>
      <c r="EB496" s="2250">
        <f t="shared" si="283"/>
        <v>2.76</v>
      </c>
      <c r="EC496" s="2250">
        <f t="shared" si="283"/>
        <v>2.94</v>
      </c>
      <c r="ED496" s="2250">
        <f t="shared" si="283"/>
        <v>3.13</v>
      </c>
      <c r="EE496" s="2250">
        <f t="shared" si="283"/>
        <v>3.19</v>
      </c>
      <c r="EF496" s="2250">
        <f t="shared" si="283"/>
        <v>3.44</v>
      </c>
      <c r="EG496" s="2250">
        <f t="shared" si="283"/>
        <v>3.62</v>
      </c>
      <c r="EH496" s="2250">
        <f t="shared" si="283"/>
        <v>3.93</v>
      </c>
      <c r="EI496" s="2250">
        <f t="shared" si="283"/>
        <v>4.1100000000000003</v>
      </c>
      <c r="EJ496" s="2250">
        <f t="shared" si="283"/>
        <v>4.54</v>
      </c>
      <c r="EK496" s="2250">
        <f t="shared" si="283"/>
        <v>4.97</v>
      </c>
      <c r="EL496" s="2250">
        <f t="shared" si="283"/>
        <v>5.15</v>
      </c>
      <c r="EM496" s="2250">
        <f t="shared" si="283"/>
        <v>5.4</v>
      </c>
      <c r="EN496" s="2250">
        <f t="shared" si="283"/>
        <v>5.58</v>
      </c>
      <c r="EO496" s="2250">
        <f t="shared" si="283"/>
        <v>5.89</v>
      </c>
      <c r="EP496" s="2250">
        <f t="shared" si="283"/>
        <v>6.26</v>
      </c>
      <c r="EQ496" s="2250">
        <f t="shared" si="283"/>
        <v>6.81</v>
      </c>
      <c r="ER496" s="2250">
        <f t="shared" si="283"/>
        <v>7.24</v>
      </c>
      <c r="ES496" s="2250">
        <f t="shared" si="283"/>
        <v>7.67</v>
      </c>
      <c r="ET496" s="2250">
        <f t="shared" si="283"/>
        <v>8.2200000000000006</v>
      </c>
      <c r="EU496" s="2250">
        <f t="shared" si="283"/>
        <v>9.08</v>
      </c>
      <c r="EV496" s="2250">
        <f t="shared" si="283"/>
        <v>9.8800000000000008</v>
      </c>
      <c r="EW496" s="2250">
        <f t="shared" si="283"/>
        <v>11.1</v>
      </c>
      <c r="EX496" s="2250">
        <f t="shared" si="283"/>
        <v>12.45</v>
      </c>
      <c r="EY496" s="2250">
        <f t="shared" si="283"/>
        <v>14.17</v>
      </c>
      <c r="EZ496" s="2250">
        <f t="shared" si="283"/>
        <v>16.559999999999999</v>
      </c>
      <c r="FA496" s="2275"/>
      <c r="FB496" s="2275"/>
      <c r="FC496" s="2275"/>
      <c r="FD496" s="2275"/>
      <c r="FE496" s="2275"/>
      <c r="FF496" s="2275"/>
      <c r="FG496" s="2275"/>
      <c r="FH496" s="2275"/>
      <c r="FI496" s="2275"/>
      <c r="FJ496" s="2275"/>
      <c r="FK496" s="2275"/>
      <c r="FL496" s="2250"/>
      <c r="FM496" s="2250"/>
      <c r="FN496" s="2250"/>
      <c r="FO496" s="2250"/>
      <c r="FP496" s="2250"/>
      <c r="FQ496" s="2250"/>
      <c r="FR496" s="2250"/>
      <c r="FS496" s="2250"/>
      <c r="FT496" s="2250"/>
      <c r="FU496" s="2250"/>
      <c r="FV496" s="2250"/>
      <c r="FW496" s="2250"/>
      <c r="FX496" s="2250"/>
      <c r="FY496" s="2250"/>
      <c r="FZ496" s="2250"/>
      <c r="GA496" s="2250"/>
      <c r="GB496" s="2276"/>
      <c r="GC496" s="2276"/>
      <c r="GD496" s="2250"/>
      <c r="GE496" s="2275"/>
      <c r="GF496" s="2275">
        <f>GF474</f>
        <v>48.8</v>
      </c>
      <c r="GG496" s="2275">
        <f>HLOOKUP(GF496,GH477:HH497,21,0)</f>
        <v>475</v>
      </c>
      <c r="GH496" s="2250">
        <f t="shared" ref="GH496:HH496" si="284">IF(GH494=0,GH495,GH494)</f>
        <v>2.33</v>
      </c>
      <c r="GI496" s="2250">
        <f t="shared" si="284"/>
        <v>2.58</v>
      </c>
      <c r="GJ496" s="2250">
        <f t="shared" si="284"/>
        <v>2.76</v>
      </c>
      <c r="GK496" s="2250">
        <f t="shared" si="284"/>
        <v>2.94</v>
      </c>
      <c r="GL496" s="2250">
        <f t="shared" si="284"/>
        <v>3.13</v>
      </c>
      <c r="GM496" s="2250">
        <f t="shared" si="284"/>
        <v>3.19</v>
      </c>
      <c r="GN496" s="2250">
        <f t="shared" si="284"/>
        <v>3.44</v>
      </c>
      <c r="GO496" s="2250">
        <f t="shared" si="284"/>
        <v>3.62</v>
      </c>
      <c r="GP496" s="2250">
        <f t="shared" si="284"/>
        <v>3.93</v>
      </c>
      <c r="GQ496" s="2250">
        <f t="shared" si="284"/>
        <v>4.1100000000000003</v>
      </c>
      <c r="GR496" s="2250">
        <f t="shared" si="284"/>
        <v>4.54</v>
      </c>
      <c r="GS496" s="2250">
        <f t="shared" si="284"/>
        <v>4.97</v>
      </c>
      <c r="GT496" s="2250">
        <f t="shared" si="284"/>
        <v>5.15</v>
      </c>
      <c r="GU496" s="2250">
        <f t="shared" si="284"/>
        <v>5.4</v>
      </c>
      <c r="GV496" s="2250">
        <f t="shared" si="284"/>
        <v>5.58</v>
      </c>
      <c r="GW496" s="2250">
        <f t="shared" si="284"/>
        <v>5.89</v>
      </c>
      <c r="GX496" s="2250">
        <f t="shared" si="284"/>
        <v>6.26</v>
      </c>
      <c r="GY496" s="2250">
        <f t="shared" si="284"/>
        <v>6.81</v>
      </c>
      <c r="GZ496" s="2250">
        <f t="shared" si="284"/>
        <v>7.24</v>
      </c>
      <c r="HA496" s="2250">
        <f t="shared" si="284"/>
        <v>7.67</v>
      </c>
      <c r="HB496" s="2250">
        <f t="shared" si="284"/>
        <v>8.2200000000000006</v>
      </c>
      <c r="HC496" s="2250">
        <f t="shared" si="284"/>
        <v>9.08</v>
      </c>
      <c r="HD496" s="2250">
        <f t="shared" si="284"/>
        <v>9.8800000000000008</v>
      </c>
      <c r="HE496" s="2250">
        <f t="shared" si="284"/>
        <v>11.1</v>
      </c>
      <c r="HF496" s="2250">
        <f t="shared" si="284"/>
        <v>12.45</v>
      </c>
      <c r="HG496" s="2250">
        <f t="shared" si="284"/>
        <v>14.17</v>
      </c>
      <c r="HH496" s="2250">
        <f t="shared" si="284"/>
        <v>16.559999999999999</v>
      </c>
      <c r="HI496" s="2275"/>
      <c r="HJ496" s="2275"/>
      <c r="HK496" s="2275"/>
      <c r="HL496" s="2275"/>
      <c r="HM496" s="2275"/>
      <c r="HN496" s="2275"/>
      <c r="HO496" s="2275"/>
      <c r="HP496" s="2275"/>
      <c r="HQ496" s="2275"/>
      <c r="HR496" s="2275"/>
      <c r="HS496" s="2275"/>
      <c r="HT496" s="2250"/>
      <c r="HU496" s="2250"/>
      <c r="HV496" s="2250"/>
      <c r="HW496" s="2250"/>
      <c r="HX496" s="2250"/>
      <c r="HY496" s="2250"/>
      <c r="HZ496" s="2250"/>
      <c r="IA496" s="2250"/>
      <c r="IB496" s="2250"/>
      <c r="IC496" s="2250"/>
      <c r="ID496" s="2250"/>
      <c r="IE496" s="2250"/>
      <c r="IF496" s="2250"/>
      <c r="IG496" s="2250"/>
      <c r="IH496" s="2250"/>
      <c r="II496" s="2250"/>
      <c r="IJ496" s="2250"/>
      <c r="IK496" s="53"/>
      <c r="IL496" s="53"/>
      <c r="IN496" s="277"/>
      <c r="IO496" s="277"/>
    </row>
    <row r="497" spans="2:249" ht="21.95" customHeight="1">
      <c r="B497" s="2250"/>
      <c r="C497" s="2250" t="str">
        <f>IF(C495=AH493,IF(C496=AI493,"Right","Wrong"))</f>
        <v>Right</v>
      </c>
      <c r="D497" s="2250">
        <f>VLOOKUP(D496,D479:AE489,28,0)</f>
        <v>475</v>
      </c>
      <c r="E497" s="2250">
        <f>VLOOKUP(E496,E479:AE489,27,0)</f>
        <v>475</v>
      </c>
      <c r="F497" s="2250">
        <f>VLOOKUP(F496,F479:AE489,26,0)</f>
        <v>475</v>
      </c>
      <c r="G497" s="2250">
        <f>VLOOKUP(G496,G479:AE489,25,0)</f>
        <v>475</v>
      </c>
      <c r="H497" s="2250">
        <f>VLOOKUP(H496,H479:AE489,24,0)</f>
        <v>475</v>
      </c>
      <c r="I497" s="2250">
        <f>VLOOKUP(I496,I479:AE489,23,0)</f>
        <v>475</v>
      </c>
      <c r="J497" s="2250">
        <f>VLOOKUP(J496,J479:AE489,22,0)</f>
        <v>475</v>
      </c>
      <c r="K497" s="2250">
        <f>VLOOKUP(K496,K479:AE489,21,0)</f>
        <v>475</v>
      </c>
      <c r="L497" s="2250">
        <f>VLOOKUP(L496,L479:AE489,20,0)</f>
        <v>475</v>
      </c>
      <c r="M497" s="2250">
        <f>VLOOKUP(M496,M479:AE489,19,0)</f>
        <v>475</v>
      </c>
      <c r="N497" s="2250">
        <f>VLOOKUP(N496,N479:AE489,18,0)</f>
        <v>475</v>
      </c>
      <c r="O497" s="2250">
        <f>VLOOKUP(O496,O479:AE489,17,0)</f>
        <v>475</v>
      </c>
      <c r="P497" s="2250">
        <f>VLOOKUP(P496,P479:AE489,16,0)</f>
        <v>475</v>
      </c>
      <c r="Q497" s="2250">
        <f>VLOOKUP(Q496,Q479:AE489,15,0)</f>
        <v>475</v>
      </c>
      <c r="R497" s="2250">
        <f>VLOOKUP(R496,R479:AE489,14,0)</f>
        <v>475</v>
      </c>
      <c r="S497" s="2250">
        <f>VLOOKUP(S496,S479:AE489,13,0)</f>
        <v>475</v>
      </c>
      <c r="T497" s="2250">
        <f>VLOOKUP(T496,T479:AE489,12,0)</f>
        <v>475</v>
      </c>
      <c r="U497" s="2250">
        <f>VLOOKUP(U496,U479:AE489,11,0)</f>
        <v>475</v>
      </c>
      <c r="V497" s="2250">
        <f>VLOOKUP(V496,V479:AE489,10,0)</f>
        <v>475</v>
      </c>
      <c r="W497" s="2250">
        <f>VLOOKUP(W496,W479:AE489,9,0)</f>
        <v>475</v>
      </c>
      <c r="X497" s="2250">
        <f>VLOOKUP(X496,X479:AE489,8,0)</f>
        <v>475</v>
      </c>
      <c r="Y497" s="2250">
        <f>VLOOKUP(Y496,Y479:AE489,7,0)</f>
        <v>475</v>
      </c>
      <c r="Z497" s="2250">
        <f>VLOOKUP(Z496,Z479:AE489,6,0)</f>
        <v>475</v>
      </c>
      <c r="AA497" s="2250">
        <f>VLOOKUP(AA496,AA479:AE489,5,0)</f>
        <v>475</v>
      </c>
      <c r="AB497" s="2250">
        <f>VLOOKUP(AB496,AB479:AE489,4,0)</f>
        <v>475</v>
      </c>
      <c r="AC497" s="2250">
        <f>VLOOKUP(AC496,AC479:AE489,3,0)</f>
        <v>475</v>
      </c>
      <c r="AD497" s="2250">
        <f>VLOOKUP(AD496,AD479:AE489,2,0)</f>
        <v>475</v>
      </c>
      <c r="AE497" s="2275"/>
      <c r="AF497" s="2275"/>
      <c r="AG497" s="2275"/>
      <c r="AH497" s="2275"/>
      <c r="AI497" s="2275"/>
      <c r="AJ497" s="2275"/>
      <c r="AK497" s="2275"/>
      <c r="AL497" s="2275"/>
      <c r="AM497" s="2275"/>
      <c r="AN497" s="2275"/>
      <c r="AO497" s="2275"/>
      <c r="AP497" s="2250"/>
      <c r="AQ497" s="2250"/>
      <c r="AR497" s="2250"/>
      <c r="AS497" s="2250"/>
      <c r="AT497" s="2250"/>
      <c r="AU497" s="2250"/>
      <c r="AV497" s="2250"/>
      <c r="AW497" s="2250"/>
      <c r="AX497" s="2250"/>
      <c r="AY497" s="2250"/>
      <c r="AZ497" s="2250"/>
      <c r="BA497" s="2250"/>
      <c r="BB497" s="2250"/>
      <c r="BC497" s="2250"/>
      <c r="BD497" s="2250"/>
      <c r="BE497" s="2250"/>
      <c r="BF497" s="2276"/>
      <c r="BG497" s="2276"/>
      <c r="BH497" s="2250"/>
      <c r="BI497" s="2275"/>
      <c r="BJ497" s="2250"/>
      <c r="BK497" s="2250" t="str">
        <f>IF(BK495=CP493,IF(BK496=CQ493,"Right","Wrong"))</f>
        <v>Right</v>
      </c>
      <c r="BL497" s="2250">
        <f>VLOOKUP(BL496,BL479:CM489,28,0)</f>
        <v>475</v>
      </c>
      <c r="BM497" s="2250">
        <f>VLOOKUP(BM496,BM479:CM489,27,0)</f>
        <v>475</v>
      </c>
      <c r="BN497" s="2250">
        <f>VLOOKUP(BN496,BN479:CM489,26,0)</f>
        <v>475</v>
      </c>
      <c r="BO497" s="2250">
        <f>VLOOKUP(BO496,BO479:CM489,25,0)</f>
        <v>475</v>
      </c>
      <c r="BP497" s="2250">
        <f>VLOOKUP(BP496,BP479:CM489,24,0)</f>
        <v>475</v>
      </c>
      <c r="BQ497" s="2250">
        <f>VLOOKUP(BQ496,BQ479:CM489,23,0)</f>
        <v>475</v>
      </c>
      <c r="BR497" s="2250">
        <f>VLOOKUP(BR496,BR479:CM489,22,0)</f>
        <v>475</v>
      </c>
      <c r="BS497" s="2250">
        <f>VLOOKUP(BS496,BS479:CM489,21,0)</f>
        <v>475</v>
      </c>
      <c r="BT497" s="2250">
        <f>VLOOKUP(BT496,BT479:CM489,20,0)</f>
        <v>475</v>
      </c>
      <c r="BU497" s="2250">
        <f>VLOOKUP(BU496,BU479:CM489,19,0)</f>
        <v>475</v>
      </c>
      <c r="BV497" s="2250">
        <f>VLOOKUP(BV496,BV479:CM489,18,0)</f>
        <v>475</v>
      </c>
      <c r="BW497" s="2250">
        <f>VLOOKUP(BW496,BW479:CM489,17,0)</f>
        <v>475</v>
      </c>
      <c r="BX497" s="2250">
        <f>VLOOKUP(BX496,BX479:CM489,16,0)</f>
        <v>475</v>
      </c>
      <c r="BY497" s="2250">
        <f>VLOOKUP(BY496,BY479:CM489,15,0)</f>
        <v>475</v>
      </c>
      <c r="BZ497" s="2250">
        <f>VLOOKUP(BZ496,BZ479:CM489,14,0)</f>
        <v>475</v>
      </c>
      <c r="CA497" s="2250">
        <f>VLOOKUP(CA496,CA479:CM489,13,0)</f>
        <v>475</v>
      </c>
      <c r="CB497" s="2250">
        <f>VLOOKUP(CB496,CB479:CM489,12,0)</f>
        <v>475</v>
      </c>
      <c r="CC497" s="2250">
        <f>VLOOKUP(CC496,CC479:CM489,11,0)</f>
        <v>475</v>
      </c>
      <c r="CD497" s="2250">
        <f>VLOOKUP(CD496,CD479:CM489,10,0)</f>
        <v>475</v>
      </c>
      <c r="CE497" s="2250">
        <f>VLOOKUP(CE496,CE479:CM489,9,0)</f>
        <v>475</v>
      </c>
      <c r="CF497" s="2250">
        <f>VLOOKUP(CF496,CF479:CM489,8,0)</f>
        <v>475</v>
      </c>
      <c r="CG497" s="2250">
        <f>VLOOKUP(CG496,CG479:CM489,7,0)</f>
        <v>475</v>
      </c>
      <c r="CH497" s="2250">
        <f>VLOOKUP(CH496,CH479:CM489,6,0)</f>
        <v>475</v>
      </c>
      <c r="CI497" s="2250">
        <f>VLOOKUP(CI496,CI479:CM489,5,0)</f>
        <v>475</v>
      </c>
      <c r="CJ497" s="2250">
        <f>VLOOKUP(CJ496,CJ479:CM489,4,0)</f>
        <v>475</v>
      </c>
      <c r="CK497" s="2250">
        <f>VLOOKUP(CK496,CK479:CM489,3,0)</f>
        <v>475</v>
      </c>
      <c r="CL497" s="2250">
        <f>VLOOKUP(CL496,CL479:CM489,2,0)</f>
        <v>475</v>
      </c>
      <c r="CM497" s="2275"/>
      <c r="CN497" s="2275"/>
      <c r="CO497" s="2275"/>
      <c r="CP497" s="2275"/>
      <c r="CQ497" s="2275"/>
      <c r="CR497" s="2275"/>
      <c r="CS497" s="2275"/>
      <c r="CT497" s="2275"/>
      <c r="CU497" s="2275"/>
      <c r="CV497" s="2275"/>
      <c r="CW497" s="2275"/>
      <c r="CX497" s="2250"/>
      <c r="CY497" s="2250"/>
      <c r="CZ497" s="2250"/>
      <c r="DA497" s="2250"/>
      <c r="DB497" s="2250"/>
      <c r="DC497" s="2250"/>
      <c r="DD497" s="2250"/>
      <c r="DE497" s="2250"/>
      <c r="DF497" s="2250"/>
      <c r="DG497" s="2250"/>
      <c r="DH497" s="2250"/>
      <c r="DI497" s="2250"/>
      <c r="DJ497" s="2250"/>
      <c r="DK497" s="2250"/>
      <c r="DL497" s="2250"/>
      <c r="DM497" s="2250"/>
      <c r="DN497" s="2250"/>
      <c r="DO497" s="53"/>
      <c r="DP497" s="53"/>
      <c r="DS497" s="277"/>
      <c r="DW497" s="1"/>
      <c r="DX497" s="2250"/>
      <c r="DY497" s="2250" t="str">
        <f>IF(DY495=FD493,IF(DY496=FE493,"Right","Wrong"))</f>
        <v>Right</v>
      </c>
      <c r="DZ497" s="2250">
        <f>VLOOKUP(DZ496,DZ479:FA489,28,0)</f>
        <v>475</v>
      </c>
      <c r="EA497" s="2250">
        <f>VLOOKUP(EA496,EA479:FA489,27,0)</f>
        <v>475</v>
      </c>
      <c r="EB497" s="2250">
        <f>VLOOKUP(EB496,EB479:FA489,26,0)</f>
        <v>475</v>
      </c>
      <c r="EC497" s="2250">
        <f>VLOOKUP(EC496,EC479:FA489,25,0)</f>
        <v>475</v>
      </c>
      <c r="ED497" s="2250">
        <f>VLOOKUP(ED496,ED479:FA489,24,0)</f>
        <v>475</v>
      </c>
      <c r="EE497" s="2250">
        <f>VLOOKUP(EE496,EE479:FA489,23,0)</f>
        <v>475</v>
      </c>
      <c r="EF497" s="2250">
        <f>VLOOKUP(EF496,EF479:FA489,22,0)</f>
        <v>475</v>
      </c>
      <c r="EG497" s="2250">
        <f>VLOOKUP(EG496,EG479:FA489,21,0)</f>
        <v>475</v>
      </c>
      <c r="EH497" s="2250">
        <f>VLOOKUP(EH496,EH479:FA489,20,0)</f>
        <v>475</v>
      </c>
      <c r="EI497" s="2250">
        <f>VLOOKUP(EI496,EI479:FA489,19,0)</f>
        <v>475</v>
      </c>
      <c r="EJ497" s="2250">
        <f>VLOOKUP(EJ496,EJ479:FA489,18,0)</f>
        <v>475</v>
      </c>
      <c r="EK497" s="2250">
        <f>VLOOKUP(EK496,EK479:FA489,17,0)</f>
        <v>475</v>
      </c>
      <c r="EL497" s="2250">
        <f>VLOOKUP(EL496,EL479:FA489,16,0)</f>
        <v>475</v>
      </c>
      <c r="EM497" s="2250">
        <f>VLOOKUP(EM496,EM479:FA489,15,0)</f>
        <v>475</v>
      </c>
      <c r="EN497" s="2250">
        <f>VLOOKUP(EN496,EN479:FA489,14,0)</f>
        <v>475</v>
      </c>
      <c r="EO497" s="2250">
        <f>VLOOKUP(EO496,EO479:FA489,13,0)</f>
        <v>475</v>
      </c>
      <c r="EP497" s="2250">
        <f>VLOOKUP(EP496,EP479:FA489,12,0)</f>
        <v>475</v>
      </c>
      <c r="EQ497" s="2250">
        <f>VLOOKUP(EQ496,EQ479:FA489,11,0)</f>
        <v>475</v>
      </c>
      <c r="ER497" s="2250">
        <f>VLOOKUP(ER496,ER479:FA489,10,0)</f>
        <v>475</v>
      </c>
      <c r="ES497" s="2250">
        <f>VLOOKUP(ES496,ES479:FA489,9,0)</f>
        <v>475</v>
      </c>
      <c r="ET497" s="2250">
        <f>VLOOKUP(ET496,ET479:FA489,8,0)</f>
        <v>475</v>
      </c>
      <c r="EU497" s="2250">
        <f>VLOOKUP(EU496,EU479:FA489,7,0)</f>
        <v>475</v>
      </c>
      <c r="EV497" s="2250">
        <f>VLOOKUP(EV496,EV479:FA489,6,0)</f>
        <v>475</v>
      </c>
      <c r="EW497" s="2250">
        <f>VLOOKUP(EW496,EW479:FA489,5,0)</f>
        <v>475</v>
      </c>
      <c r="EX497" s="2250">
        <f>VLOOKUP(EX496,EX479:FA489,4,0)</f>
        <v>475</v>
      </c>
      <c r="EY497" s="2250">
        <f>VLOOKUP(EY496,EY479:FA489,3,0)</f>
        <v>475</v>
      </c>
      <c r="EZ497" s="2250">
        <f>VLOOKUP(EZ496,EZ479:FA489,2,0)</f>
        <v>475</v>
      </c>
      <c r="FA497" s="2275"/>
      <c r="FB497" s="2275"/>
      <c r="FC497" s="2275"/>
      <c r="FD497" s="2275"/>
      <c r="FE497" s="2275"/>
      <c r="FF497" s="2275"/>
      <c r="FG497" s="2275"/>
      <c r="FH497" s="2275"/>
      <c r="FI497" s="2275"/>
      <c r="FJ497" s="2275"/>
      <c r="FK497" s="2275"/>
      <c r="FL497" s="2250"/>
      <c r="FM497" s="2250"/>
      <c r="FN497" s="2250"/>
      <c r="FO497" s="2250"/>
      <c r="FP497" s="2250"/>
      <c r="FQ497" s="2250"/>
      <c r="FR497" s="2250"/>
      <c r="FS497" s="2250"/>
      <c r="FT497" s="2250"/>
      <c r="FU497" s="2250"/>
      <c r="FV497" s="2250"/>
      <c r="FW497" s="2250"/>
      <c r="FX497" s="2250"/>
      <c r="FY497" s="2250"/>
      <c r="FZ497" s="2250"/>
      <c r="GA497" s="2250"/>
      <c r="GB497" s="2276"/>
      <c r="GC497" s="2276"/>
      <c r="GD497" s="2250"/>
      <c r="GE497" s="2275"/>
      <c r="GF497" s="2250"/>
      <c r="GG497" s="2250" t="str">
        <f>IF(GG495=HL493,IF(GG496=HM493,"Right","Wrong"))</f>
        <v>Right</v>
      </c>
      <c r="GH497" s="2250">
        <f>VLOOKUP(GH496,GH479:HI489,28,0)</f>
        <v>475</v>
      </c>
      <c r="GI497" s="2250">
        <f>VLOOKUP(GI496,GI479:HI489,27,0)</f>
        <v>475</v>
      </c>
      <c r="GJ497" s="2250">
        <f>VLOOKUP(GJ496,GJ479:HI489,26,0)</f>
        <v>475</v>
      </c>
      <c r="GK497" s="2250">
        <f>VLOOKUP(GK496,GK479:HI489,25,0)</f>
        <v>475</v>
      </c>
      <c r="GL497" s="2250">
        <f>VLOOKUP(GL496,GL479:HI489,24,0)</f>
        <v>475</v>
      </c>
      <c r="GM497" s="2250">
        <f>VLOOKUP(GM496,GM479:HI489,23,0)</f>
        <v>475</v>
      </c>
      <c r="GN497" s="2250">
        <f>VLOOKUP(GN496,GN479:HI489,22,0)</f>
        <v>475</v>
      </c>
      <c r="GO497" s="2250">
        <f>VLOOKUP(GO496,GO479:HI489,21,0)</f>
        <v>475</v>
      </c>
      <c r="GP497" s="2250">
        <f>VLOOKUP(GP496,GP479:HI489,20,0)</f>
        <v>475</v>
      </c>
      <c r="GQ497" s="2250">
        <f>VLOOKUP(GQ496,GQ479:HI489,19,0)</f>
        <v>475</v>
      </c>
      <c r="GR497" s="2250">
        <f>VLOOKUP(GR496,GR479:HI489,18,0)</f>
        <v>475</v>
      </c>
      <c r="GS497" s="2250">
        <f>VLOOKUP(GS496,GS479:HI489,17,0)</f>
        <v>475</v>
      </c>
      <c r="GT497" s="2250">
        <f>VLOOKUP(GT496,GT479:HI489,16,0)</f>
        <v>475</v>
      </c>
      <c r="GU497" s="2250">
        <f>VLOOKUP(GU496,GU479:HI489,15,0)</f>
        <v>475</v>
      </c>
      <c r="GV497" s="2250">
        <f>VLOOKUP(GV496,GV479:HI489,14,0)</f>
        <v>475</v>
      </c>
      <c r="GW497" s="2250">
        <f>VLOOKUP(GW496,GW479:HI489,13,0)</f>
        <v>475</v>
      </c>
      <c r="GX497" s="2250">
        <f>VLOOKUP(GX496,GX479:HI489,12,0)</f>
        <v>475</v>
      </c>
      <c r="GY497" s="2250">
        <f>VLOOKUP(GY496,GY479:HI489,11,0)</f>
        <v>475</v>
      </c>
      <c r="GZ497" s="2250">
        <f>VLOOKUP(GZ496,GZ479:HI489,10,0)</f>
        <v>475</v>
      </c>
      <c r="HA497" s="2250">
        <f>VLOOKUP(HA496,HA479:HI489,9,0)</f>
        <v>475</v>
      </c>
      <c r="HB497" s="2250">
        <f>VLOOKUP(HB496,HB479:HI489,8,0)</f>
        <v>475</v>
      </c>
      <c r="HC497" s="2250">
        <f>VLOOKUP(HC496,HC479:HI489,7,0)</f>
        <v>475</v>
      </c>
      <c r="HD497" s="2250">
        <f>VLOOKUP(HD496,HD479:HI489,6,0)</f>
        <v>475</v>
      </c>
      <c r="HE497" s="2250">
        <f>VLOOKUP(HE496,HE479:HI489,5,0)</f>
        <v>475</v>
      </c>
      <c r="HF497" s="2250">
        <f>VLOOKUP(HF496,HF479:HI489,4,0)</f>
        <v>475</v>
      </c>
      <c r="HG497" s="2250">
        <f>VLOOKUP(HG496,HG479:HI489,3,0)</f>
        <v>475</v>
      </c>
      <c r="HH497" s="2250">
        <f>VLOOKUP(HH496,HH479:HI489,2,0)</f>
        <v>475</v>
      </c>
      <c r="HI497" s="2275"/>
      <c r="HJ497" s="2275"/>
      <c r="HK497" s="2275"/>
      <c r="HL497" s="2275"/>
      <c r="HM497" s="2275"/>
      <c r="HN497" s="2275"/>
      <c r="HO497" s="2275"/>
      <c r="HP497" s="2275"/>
      <c r="HQ497" s="2275"/>
      <c r="HR497" s="2275"/>
      <c r="HS497" s="2275"/>
      <c r="HT497" s="2250"/>
      <c r="HU497" s="2250"/>
      <c r="HV497" s="2250"/>
      <c r="HW497" s="2250"/>
      <c r="HX497" s="2250"/>
      <c r="HY497" s="2250"/>
      <c r="HZ497" s="2250"/>
      <c r="IA497" s="2250"/>
      <c r="IB497" s="2250"/>
      <c r="IC497" s="2250"/>
      <c r="ID497" s="2250"/>
      <c r="IE497" s="2250"/>
      <c r="IF497" s="2250"/>
      <c r="IG497" s="2250"/>
      <c r="IH497" s="2250"/>
      <c r="II497" s="2250"/>
      <c r="IJ497" s="2250"/>
      <c r="IK497" s="53"/>
      <c r="IL497" s="53"/>
      <c r="IN497" s="277"/>
      <c r="IO497" s="277"/>
    </row>
    <row r="498" spans="2:249" ht="21.95" customHeight="1">
      <c r="B498" s="2275"/>
      <c r="C498" s="2275"/>
      <c r="D498" s="2275"/>
      <c r="E498" s="2275"/>
      <c r="F498" s="2275"/>
      <c r="G498" s="2275"/>
      <c r="H498" s="2275"/>
      <c r="I498" s="2275"/>
      <c r="J498" s="2275"/>
      <c r="K498" s="2275"/>
      <c r="L498" s="2275"/>
      <c r="M498" s="2275"/>
      <c r="N498" s="2275"/>
      <c r="O498" s="2275"/>
      <c r="P498" s="2275"/>
      <c r="Q498" s="2275"/>
      <c r="R498" s="2275"/>
      <c r="S498" s="2275"/>
      <c r="T498" s="2275"/>
      <c r="U498" s="2275"/>
      <c r="V498" s="2275"/>
      <c r="W498" s="2275"/>
      <c r="X498" s="2275"/>
      <c r="Y498" s="2275"/>
      <c r="Z498" s="2275"/>
      <c r="AA498" s="2275"/>
      <c r="AB498" s="2275"/>
      <c r="AC498" s="2275"/>
      <c r="AD498" s="2275"/>
      <c r="AE498" s="2275"/>
      <c r="AF498" s="2275" t="s">
        <v>655</v>
      </c>
      <c r="AG498" s="2275">
        <f>AG454</f>
        <v>68.3</v>
      </c>
      <c r="AH498" s="2275"/>
      <c r="AI498" s="2275"/>
      <c r="AJ498" s="2275"/>
      <c r="AK498" s="2275"/>
      <c r="AL498" s="2275"/>
      <c r="AM498" s="2275"/>
      <c r="AN498" s="2275"/>
      <c r="AO498" s="2275"/>
      <c r="AP498" s="2250"/>
      <c r="AQ498" s="2250"/>
      <c r="AR498" s="2250"/>
      <c r="AS498" s="2250"/>
      <c r="AT498" s="2250"/>
      <c r="AU498" s="2250"/>
      <c r="AV498" s="2250"/>
      <c r="AW498" s="2250"/>
      <c r="AX498" s="2250"/>
      <c r="AY498" s="2250"/>
      <c r="AZ498" s="2250"/>
      <c r="BA498" s="2250"/>
      <c r="BB498" s="2250"/>
      <c r="BC498" s="2250"/>
      <c r="BD498" s="2250"/>
      <c r="BE498" s="2250"/>
      <c r="BF498" s="2276"/>
      <c r="BG498" s="2276"/>
      <c r="BH498" s="2250"/>
      <c r="BI498" s="2275"/>
      <c r="BJ498" s="2275"/>
      <c r="BK498" s="2275"/>
      <c r="BL498" s="2275"/>
      <c r="BM498" s="2275"/>
      <c r="BN498" s="2275"/>
      <c r="BO498" s="2275"/>
      <c r="BP498" s="2275"/>
      <c r="BQ498" s="2275"/>
      <c r="BR498" s="2275"/>
      <c r="BS498" s="2275"/>
      <c r="BT498" s="2275"/>
      <c r="BU498" s="2275"/>
      <c r="BV498" s="2275"/>
      <c r="BW498" s="2275"/>
      <c r="BX498" s="2275"/>
      <c r="BY498" s="2275"/>
      <c r="BZ498" s="2275"/>
      <c r="CA498" s="2275"/>
      <c r="CB498" s="2275"/>
      <c r="CC498" s="2275"/>
      <c r="CD498" s="2275"/>
      <c r="CE498" s="2275"/>
      <c r="CF498" s="2275"/>
      <c r="CG498" s="2275"/>
      <c r="CH498" s="2275"/>
      <c r="CI498" s="2275"/>
      <c r="CJ498" s="2275"/>
      <c r="CK498" s="2275"/>
      <c r="CL498" s="2275"/>
      <c r="CM498" s="2275"/>
      <c r="CN498" s="2275" t="s">
        <v>655</v>
      </c>
      <c r="CO498" s="2275">
        <f>CO454</f>
        <v>73.7</v>
      </c>
      <c r="CP498" s="2275"/>
      <c r="CQ498" s="2275"/>
      <c r="CR498" s="2275"/>
      <c r="CS498" s="2275"/>
      <c r="CT498" s="2275"/>
      <c r="CU498" s="2275"/>
      <c r="CV498" s="2275"/>
      <c r="CW498" s="2275"/>
      <c r="CX498" s="2250"/>
      <c r="CY498" s="2250"/>
      <c r="CZ498" s="2250"/>
      <c r="DA498" s="2250"/>
      <c r="DB498" s="2250"/>
      <c r="DC498" s="2250"/>
      <c r="DD498" s="2250"/>
      <c r="DE498" s="2250"/>
      <c r="DF498" s="2250"/>
      <c r="DG498" s="2250"/>
      <c r="DH498" s="2250"/>
      <c r="DI498" s="2250"/>
      <c r="DJ498" s="2250"/>
      <c r="DK498" s="2250"/>
      <c r="DL498" s="2250"/>
      <c r="DM498" s="2250"/>
      <c r="DN498" s="2250"/>
      <c r="DO498" s="53"/>
      <c r="DP498" s="53"/>
      <c r="DS498" s="277"/>
      <c r="DW498" s="1"/>
      <c r="DX498" s="2275"/>
      <c r="DY498" s="2275"/>
      <c r="DZ498" s="2275"/>
      <c r="EA498" s="2275"/>
      <c r="EB498" s="2275"/>
      <c r="EC498" s="2275"/>
      <c r="ED498" s="2275"/>
      <c r="EE498" s="2275"/>
      <c r="EF498" s="2275"/>
      <c r="EG498" s="2275"/>
      <c r="EH498" s="2275"/>
      <c r="EI498" s="2275"/>
      <c r="EJ498" s="2275"/>
      <c r="EK498" s="2275"/>
      <c r="EL498" s="2275"/>
      <c r="EM498" s="2275"/>
      <c r="EN498" s="2275"/>
      <c r="EO498" s="2275"/>
      <c r="EP498" s="2275"/>
      <c r="EQ498" s="2275"/>
      <c r="ER498" s="2275"/>
      <c r="ES498" s="2275"/>
      <c r="ET498" s="2275"/>
      <c r="EU498" s="2275"/>
      <c r="EV498" s="2275"/>
      <c r="EW498" s="2275"/>
      <c r="EX498" s="2275"/>
      <c r="EY498" s="2275"/>
      <c r="EZ498" s="2275"/>
      <c r="FA498" s="2275"/>
      <c r="FB498" s="2275" t="s">
        <v>655</v>
      </c>
      <c r="FC498" s="2275">
        <f>FC454</f>
        <v>43.9</v>
      </c>
      <c r="FD498" s="2275"/>
      <c r="FE498" s="2275"/>
      <c r="FF498" s="2275"/>
      <c r="FG498" s="2275"/>
      <c r="FH498" s="2275"/>
      <c r="FI498" s="2275"/>
      <c r="FJ498" s="2275"/>
      <c r="FK498" s="2275"/>
      <c r="FL498" s="2250"/>
      <c r="FM498" s="2250"/>
      <c r="FN498" s="2250"/>
      <c r="FO498" s="2250"/>
      <c r="FP498" s="2250"/>
      <c r="FQ498" s="2250"/>
      <c r="FR498" s="2250"/>
      <c r="FS498" s="2250"/>
      <c r="FT498" s="2250"/>
      <c r="FU498" s="2250"/>
      <c r="FV498" s="2250"/>
      <c r="FW498" s="2250"/>
      <c r="FX498" s="2250"/>
      <c r="FY498" s="2250"/>
      <c r="FZ498" s="2250"/>
      <c r="GA498" s="2250"/>
      <c r="GB498" s="2276"/>
      <c r="GC498" s="2276"/>
      <c r="GD498" s="2250"/>
      <c r="GE498" s="2275"/>
      <c r="GF498" s="2275"/>
      <c r="GG498" s="2275"/>
      <c r="GH498" s="2275"/>
      <c r="GI498" s="2275"/>
      <c r="GJ498" s="2275"/>
      <c r="GK498" s="2275"/>
      <c r="GL498" s="2275"/>
      <c r="GM498" s="2275"/>
      <c r="GN498" s="2275"/>
      <c r="GO498" s="2275"/>
      <c r="GP498" s="2275"/>
      <c r="GQ498" s="2275"/>
      <c r="GR498" s="2275"/>
      <c r="GS498" s="2275"/>
      <c r="GT498" s="2275"/>
      <c r="GU498" s="2275"/>
      <c r="GV498" s="2275"/>
      <c r="GW498" s="2275"/>
      <c r="GX498" s="2275"/>
      <c r="GY498" s="2275"/>
      <c r="GZ498" s="2275"/>
      <c r="HA498" s="2275"/>
      <c r="HB498" s="2275"/>
      <c r="HC498" s="2275"/>
      <c r="HD498" s="2275"/>
      <c r="HE498" s="2275"/>
      <c r="HF498" s="2275"/>
      <c r="HG498" s="2275"/>
      <c r="HH498" s="2275"/>
      <c r="HI498" s="2275"/>
      <c r="HJ498" s="2275" t="s">
        <v>655</v>
      </c>
      <c r="HK498" s="2275">
        <f>HK454</f>
        <v>48.8</v>
      </c>
      <c r="HL498" s="2275"/>
      <c r="HM498" s="2275"/>
      <c r="HN498" s="2275"/>
      <c r="HO498" s="2275"/>
      <c r="HP498" s="2275"/>
      <c r="HQ498" s="2275"/>
      <c r="HR498" s="2275"/>
      <c r="HS498" s="2275"/>
      <c r="HT498" s="2250"/>
      <c r="HU498" s="2250"/>
      <c r="HV498" s="2250"/>
      <c r="HW498" s="2250"/>
      <c r="HX498" s="2250"/>
      <c r="HY498" s="2250"/>
      <c r="HZ498" s="2250"/>
      <c r="IA498" s="2250"/>
      <c r="IB498" s="2250"/>
      <c r="IC498" s="2250"/>
      <c r="ID498" s="2250"/>
      <c r="IE498" s="2250"/>
      <c r="IF498" s="2250"/>
      <c r="IG498" s="2250"/>
      <c r="IH498" s="2250"/>
      <c r="II498" s="2250"/>
      <c r="IJ498" s="2250"/>
      <c r="IK498" s="53"/>
      <c r="IL498" s="53"/>
      <c r="IN498" s="277"/>
      <c r="IO498" s="277"/>
    </row>
    <row r="499" spans="2:249" ht="21.95" customHeight="1">
      <c r="B499" s="2275"/>
      <c r="C499" s="2333" t="s">
        <v>736</v>
      </c>
      <c r="D499" s="2333">
        <v>223.8</v>
      </c>
      <c r="E499" s="2333">
        <v>206.43</v>
      </c>
      <c r="F499" s="2333">
        <v>190.4</v>
      </c>
      <c r="G499" s="2333">
        <v>177.81</v>
      </c>
      <c r="H499" s="2333">
        <v>165.9</v>
      </c>
      <c r="I499" s="2333">
        <v>162.68</v>
      </c>
      <c r="J499" s="2333">
        <v>151.30000000000001</v>
      </c>
      <c r="K499" s="2333">
        <v>140.1</v>
      </c>
      <c r="L499" s="2333">
        <v>129.80000000000001</v>
      </c>
      <c r="M499" s="2333">
        <v>120.7</v>
      </c>
      <c r="N499" s="2333">
        <v>107.9</v>
      </c>
      <c r="O499" s="2333">
        <v>97.1</v>
      </c>
      <c r="P499" s="2333">
        <v>92.9</v>
      </c>
      <c r="Q499" s="2333">
        <v>88.2</v>
      </c>
      <c r="R499" s="2333">
        <v>83.3</v>
      </c>
      <c r="S499" s="2333">
        <v>78.2</v>
      </c>
      <c r="T499" s="2333">
        <v>73.7</v>
      </c>
      <c r="U499" s="2333">
        <v>68.3</v>
      </c>
      <c r="V499" s="2333">
        <v>63.4</v>
      </c>
      <c r="W499" s="2333">
        <v>58.1</v>
      </c>
      <c r="X499" s="2333">
        <v>53.7</v>
      </c>
      <c r="Y499" s="2333">
        <v>48.8</v>
      </c>
      <c r="Z499" s="2333">
        <v>43.9</v>
      </c>
      <c r="AA499" s="2333">
        <v>38.799999999999997</v>
      </c>
      <c r="AB499" s="2333">
        <v>34.200000000000003</v>
      </c>
      <c r="AC499" s="2333">
        <v>29.3</v>
      </c>
      <c r="AD499" s="2345">
        <v>24.5</v>
      </c>
      <c r="AE499" s="2333" t="s">
        <v>736</v>
      </c>
      <c r="AF499" s="2275" t="s">
        <v>738</v>
      </c>
      <c r="AG499" s="2275">
        <f>AG455</f>
        <v>0.75631178540277322</v>
      </c>
      <c r="AH499" s="2275"/>
      <c r="AI499" s="2275"/>
      <c r="AJ499" s="2275"/>
      <c r="AK499" s="2275"/>
      <c r="AL499" s="2275"/>
      <c r="AM499" s="2275"/>
      <c r="AN499" s="2275"/>
      <c r="AO499" s="2275"/>
      <c r="AP499" s="2250"/>
      <c r="AQ499" s="2250"/>
      <c r="AR499" s="2250"/>
      <c r="AS499" s="2250"/>
      <c r="AT499" s="2250"/>
      <c r="AU499" s="2250"/>
      <c r="AV499" s="2250"/>
      <c r="AW499" s="2250"/>
      <c r="AX499" s="2250"/>
      <c r="AY499" s="2250"/>
      <c r="AZ499" s="2250"/>
      <c r="BA499" s="2250"/>
      <c r="BB499" s="2250"/>
      <c r="BC499" s="2250"/>
      <c r="BD499" s="2250"/>
      <c r="BE499" s="2250"/>
      <c r="BF499" s="2276"/>
      <c r="BG499" s="2276"/>
      <c r="BH499" s="2250"/>
      <c r="BI499" s="2275"/>
      <c r="BJ499" s="2275"/>
      <c r="BK499" s="2333" t="s">
        <v>736</v>
      </c>
      <c r="BL499" s="2333">
        <v>223.8</v>
      </c>
      <c r="BM499" s="2333">
        <v>206.43</v>
      </c>
      <c r="BN499" s="2333">
        <v>190.4</v>
      </c>
      <c r="BO499" s="2333">
        <v>177.81</v>
      </c>
      <c r="BP499" s="2333">
        <v>165.9</v>
      </c>
      <c r="BQ499" s="2333">
        <v>162.68</v>
      </c>
      <c r="BR499" s="2333">
        <v>151.30000000000001</v>
      </c>
      <c r="BS499" s="2333">
        <v>140.1</v>
      </c>
      <c r="BT499" s="2333">
        <v>129.80000000000001</v>
      </c>
      <c r="BU499" s="2333">
        <v>120.7</v>
      </c>
      <c r="BV499" s="2333">
        <v>107.9</v>
      </c>
      <c r="BW499" s="2333">
        <v>97.1</v>
      </c>
      <c r="BX499" s="2333">
        <v>92.9</v>
      </c>
      <c r="BY499" s="2333">
        <v>88.2</v>
      </c>
      <c r="BZ499" s="2333">
        <v>83.3</v>
      </c>
      <c r="CA499" s="2333">
        <v>78.2</v>
      </c>
      <c r="CB499" s="2333">
        <v>73.7</v>
      </c>
      <c r="CC499" s="2333">
        <v>68.3</v>
      </c>
      <c r="CD499" s="2333">
        <v>63.4</v>
      </c>
      <c r="CE499" s="2333">
        <v>58.1</v>
      </c>
      <c r="CF499" s="2333">
        <v>53.7</v>
      </c>
      <c r="CG499" s="2333">
        <v>48.8</v>
      </c>
      <c r="CH499" s="2333">
        <v>43.9</v>
      </c>
      <c r="CI499" s="2333">
        <v>38.799999999999997</v>
      </c>
      <c r="CJ499" s="2333">
        <v>34.200000000000003</v>
      </c>
      <c r="CK499" s="2333">
        <v>29.3</v>
      </c>
      <c r="CL499" s="2345">
        <v>24.5</v>
      </c>
      <c r="CM499" s="2333" t="s">
        <v>736</v>
      </c>
      <c r="CN499" s="2275" t="s">
        <v>738</v>
      </c>
      <c r="CO499" s="2275">
        <f>CO455</f>
        <v>0.75631178540277322</v>
      </c>
      <c r="CP499" s="2275"/>
      <c r="CQ499" s="2275"/>
      <c r="CR499" s="2275"/>
      <c r="CS499" s="2275"/>
      <c r="CT499" s="2275"/>
      <c r="CU499" s="2275"/>
      <c r="CV499" s="2275"/>
      <c r="CW499" s="2275"/>
      <c r="CX499" s="2250"/>
      <c r="CY499" s="2250"/>
      <c r="CZ499" s="2250"/>
      <c r="DA499" s="2250"/>
      <c r="DB499" s="2250"/>
      <c r="DC499" s="2250"/>
      <c r="DD499" s="2250"/>
      <c r="DE499" s="2250"/>
      <c r="DF499" s="2250"/>
      <c r="DG499" s="2250"/>
      <c r="DH499" s="2250"/>
      <c r="DI499" s="2250"/>
      <c r="DJ499" s="2250"/>
      <c r="DK499" s="2250"/>
      <c r="DL499" s="2250"/>
      <c r="DM499" s="2250"/>
      <c r="DN499" s="2250"/>
      <c r="DO499" s="53"/>
      <c r="DP499" s="53"/>
      <c r="DS499" s="277"/>
      <c r="DW499" s="1"/>
      <c r="DX499" s="2275"/>
      <c r="DY499" s="2333" t="s">
        <v>736</v>
      </c>
      <c r="DZ499" s="2333">
        <v>223.8</v>
      </c>
      <c r="EA499" s="2333">
        <v>206.43</v>
      </c>
      <c r="EB499" s="2333">
        <v>190.4</v>
      </c>
      <c r="EC499" s="2333">
        <v>177.81</v>
      </c>
      <c r="ED499" s="2333">
        <v>165.9</v>
      </c>
      <c r="EE499" s="2333">
        <v>162.68</v>
      </c>
      <c r="EF499" s="2333">
        <v>151.30000000000001</v>
      </c>
      <c r="EG499" s="2333">
        <v>140.1</v>
      </c>
      <c r="EH499" s="2333">
        <v>129.80000000000001</v>
      </c>
      <c r="EI499" s="2333">
        <v>120.7</v>
      </c>
      <c r="EJ499" s="2333">
        <v>107.9</v>
      </c>
      <c r="EK499" s="2333">
        <v>97.1</v>
      </c>
      <c r="EL499" s="2333">
        <v>92.9</v>
      </c>
      <c r="EM499" s="2333">
        <v>88.2</v>
      </c>
      <c r="EN499" s="2333">
        <v>83.3</v>
      </c>
      <c r="EO499" s="2333">
        <v>78.2</v>
      </c>
      <c r="EP499" s="2333">
        <v>73.7</v>
      </c>
      <c r="EQ499" s="2333">
        <v>68.3</v>
      </c>
      <c r="ER499" s="2333">
        <v>63.4</v>
      </c>
      <c r="ES499" s="2333">
        <v>58.1</v>
      </c>
      <c r="ET499" s="2333">
        <v>53.7</v>
      </c>
      <c r="EU499" s="2333">
        <v>48.8</v>
      </c>
      <c r="EV499" s="2333">
        <v>43.9</v>
      </c>
      <c r="EW499" s="2333">
        <v>38.799999999999997</v>
      </c>
      <c r="EX499" s="2333">
        <v>34.200000000000003</v>
      </c>
      <c r="EY499" s="2333">
        <v>29.3</v>
      </c>
      <c r="EZ499" s="2345">
        <v>24.5</v>
      </c>
      <c r="FA499" s="2333" t="s">
        <v>736</v>
      </c>
      <c r="FB499" s="2275" t="s">
        <v>738</v>
      </c>
      <c r="FC499" s="2275">
        <f>FC455</f>
        <v>1.3354563802212776</v>
      </c>
      <c r="FD499" s="2275"/>
      <c r="FE499" s="2275"/>
      <c r="FF499" s="2275"/>
      <c r="FG499" s="2275"/>
      <c r="FH499" s="2275"/>
      <c r="FI499" s="2275"/>
      <c r="FJ499" s="2275"/>
      <c r="FK499" s="2275"/>
      <c r="FL499" s="2250"/>
      <c r="FM499" s="2250"/>
      <c r="FN499" s="2250"/>
      <c r="FO499" s="2250"/>
      <c r="FP499" s="2250"/>
      <c r="FQ499" s="2250"/>
      <c r="FR499" s="2250"/>
      <c r="FS499" s="2250"/>
      <c r="FT499" s="2250"/>
      <c r="FU499" s="2250"/>
      <c r="FV499" s="2250"/>
      <c r="FW499" s="2250"/>
      <c r="FX499" s="2250"/>
      <c r="FY499" s="2250"/>
      <c r="FZ499" s="2250"/>
      <c r="GA499" s="2250"/>
      <c r="GB499" s="2276"/>
      <c r="GC499" s="2276"/>
      <c r="GD499" s="2250"/>
      <c r="GE499" s="2275"/>
      <c r="GF499" s="2275"/>
      <c r="GG499" s="2333" t="s">
        <v>736</v>
      </c>
      <c r="GH499" s="2333">
        <v>223.8</v>
      </c>
      <c r="GI499" s="2333">
        <v>206.43</v>
      </c>
      <c r="GJ499" s="2333">
        <v>190.4</v>
      </c>
      <c r="GK499" s="2333">
        <v>177.81</v>
      </c>
      <c r="GL499" s="2333">
        <v>165.9</v>
      </c>
      <c r="GM499" s="2333">
        <v>162.68</v>
      </c>
      <c r="GN499" s="2333">
        <v>151.30000000000001</v>
      </c>
      <c r="GO499" s="2333">
        <v>140.1</v>
      </c>
      <c r="GP499" s="2333">
        <v>129.80000000000001</v>
      </c>
      <c r="GQ499" s="2333">
        <v>120.7</v>
      </c>
      <c r="GR499" s="2333">
        <v>107.9</v>
      </c>
      <c r="GS499" s="2333">
        <v>97.1</v>
      </c>
      <c r="GT499" s="2333">
        <v>92.9</v>
      </c>
      <c r="GU499" s="2333">
        <v>88.2</v>
      </c>
      <c r="GV499" s="2333">
        <v>83.3</v>
      </c>
      <c r="GW499" s="2333">
        <v>78.2</v>
      </c>
      <c r="GX499" s="2333">
        <v>73.7</v>
      </c>
      <c r="GY499" s="2333">
        <v>68.3</v>
      </c>
      <c r="GZ499" s="2333">
        <v>63.4</v>
      </c>
      <c r="HA499" s="2333">
        <v>58.1</v>
      </c>
      <c r="HB499" s="2333">
        <v>53.7</v>
      </c>
      <c r="HC499" s="2333">
        <v>48.8</v>
      </c>
      <c r="HD499" s="2333">
        <v>43.9</v>
      </c>
      <c r="HE499" s="2333">
        <v>38.799999999999997</v>
      </c>
      <c r="HF499" s="2333">
        <v>34.200000000000003</v>
      </c>
      <c r="HG499" s="2333">
        <v>29.3</v>
      </c>
      <c r="HH499" s="2345">
        <v>24.5</v>
      </c>
      <c r="HI499" s="2333" t="s">
        <v>736</v>
      </c>
      <c r="HJ499" s="2275" t="s">
        <v>738</v>
      </c>
      <c r="HK499" s="2275">
        <f>HK455</f>
        <v>1.3354563802212776</v>
      </c>
      <c r="HL499" s="2275"/>
      <c r="HM499" s="2275"/>
      <c r="HN499" s="2275"/>
      <c r="HO499" s="2275"/>
      <c r="HP499" s="2275"/>
      <c r="HQ499" s="2275"/>
      <c r="HR499" s="2275"/>
      <c r="HS499" s="2275"/>
      <c r="HT499" s="2250"/>
      <c r="HU499" s="2250"/>
      <c r="HV499" s="2250"/>
      <c r="HW499" s="2250"/>
      <c r="HX499" s="2250"/>
      <c r="HY499" s="2250"/>
      <c r="HZ499" s="2250"/>
      <c r="IA499" s="2250"/>
      <c r="IB499" s="2250"/>
      <c r="IC499" s="2250"/>
      <c r="ID499" s="2250"/>
      <c r="IE499" s="2250"/>
      <c r="IF499" s="2250"/>
      <c r="IG499" s="2250"/>
      <c r="IH499" s="2250"/>
      <c r="II499" s="2250"/>
      <c r="IJ499" s="2250"/>
      <c r="IK499" s="53"/>
      <c r="IL499" s="53"/>
      <c r="IN499" s="277"/>
      <c r="IO499" s="277"/>
    </row>
    <row r="500" spans="2:249" ht="21.95" customHeight="1">
      <c r="B500" s="2275"/>
      <c r="C500" s="2333"/>
      <c r="D500" s="2344"/>
      <c r="E500" s="2344"/>
      <c r="F500" s="2344"/>
      <c r="G500" s="2344"/>
      <c r="H500" s="2344"/>
      <c r="I500" s="2344"/>
      <c r="J500" s="2344"/>
      <c r="K500" s="2344"/>
      <c r="L500" s="2344"/>
      <c r="M500" s="2344"/>
      <c r="N500" s="2344"/>
      <c r="O500" s="2344"/>
      <c r="P500" s="2344"/>
      <c r="Q500" s="2344"/>
      <c r="R500" s="2344"/>
      <c r="S500" s="2344"/>
      <c r="T500" s="2344"/>
      <c r="U500" s="2344"/>
      <c r="V500" s="2344"/>
      <c r="W500" s="2344"/>
      <c r="X500" s="2344"/>
      <c r="Y500" s="2344"/>
      <c r="Z500" s="2344"/>
      <c r="AA500" s="2344"/>
      <c r="AB500" s="2344"/>
      <c r="AC500" s="2344"/>
      <c r="AD500" s="2348"/>
      <c r="AE500" s="2333"/>
      <c r="AF500" s="2275" t="s">
        <v>682</v>
      </c>
      <c r="AG500" s="2275">
        <f>HLOOKUP(AG498,D499:AD511,1,0)</f>
        <v>68.3</v>
      </c>
      <c r="AH500" s="2275" t="s">
        <v>706</v>
      </c>
      <c r="AI500" s="2275" t="s">
        <v>682</v>
      </c>
      <c r="AJ500" s="2275"/>
      <c r="AK500" s="2275"/>
      <c r="AL500" s="2275"/>
      <c r="AM500" s="2275"/>
      <c r="AN500" s="2275"/>
      <c r="AO500" s="2275"/>
      <c r="AP500" s="2250"/>
      <c r="AQ500" s="2250"/>
      <c r="AR500" s="2250"/>
      <c r="AS500" s="2250"/>
      <c r="AT500" s="2250"/>
      <c r="AU500" s="2250"/>
      <c r="AV500" s="2250"/>
      <c r="AW500" s="2250"/>
      <c r="AX500" s="2250"/>
      <c r="AY500" s="2250"/>
      <c r="AZ500" s="2250"/>
      <c r="BA500" s="2250"/>
      <c r="BB500" s="2250"/>
      <c r="BC500" s="2250"/>
      <c r="BD500" s="2250"/>
      <c r="BE500" s="2250"/>
      <c r="BF500" s="2276"/>
      <c r="BG500" s="2276"/>
      <c r="BH500" s="2250"/>
      <c r="BI500" s="2275"/>
      <c r="BJ500" s="2275"/>
      <c r="BK500" s="2333"/>
      <c r="BL500" s="2344">
        <v>0</v>
      </c>
      <c r="BM500" s="2344">
        <v>0</v>
      </c>
      <c r="BN500" s="2344">
        <v>0</v>
      </c>
      <c r="BO500" s="2344">
        <v>0</v>
      </c>
      <c r="BP500" s="2344">
        <v>0</v>
      </c>
      <c r="BQ500" s="2344">
        <v>0</v>
      </c>
      <c r="BR500" s="2344">
        <v>0</v>
      </c>
      <c r="BS500" s="2344">
        <v>0</v>
      </c>
      <c r="BT500" s="2344">
        <v>0</v>
      </c>
      <c r="BU500" s="2344">
        <v>0</v>
      </c>
      <c r="BV500" s="2344">
        <v>0</v>
      </c>
      <c r="BW500" s="2344">
        <v>0</v>
      </c>
      <c r="BX500" s="2344">
        <v>0</v>
      </c>
      <c r="BY500" s="2344">
        <v>0</v>
      </c>
      <c r="BZ500" s="2344">
        <v>0</v>
      </c>
      <c r="CA500" s="2344">
        <v>0</v>
      </c>
      <c r="CB500" s="2344">
        <v>0</v>
      </c>
      <c r="CC500" s="2344">
        <v>0</v>
      </c>
      <c r="CD500" s="2344">
        <v>0</v>
      </c>
      <c r="CE500" s="2344">
        <v>0</v>
      </c>
      <c r="CF500" s="2344">
        <v>0</v>
      </c>
      <c r="CG500" s="2344">
        <v>0</v>
      </c>
      <c r="CH500" s="2344">
        <v>0</v>
      </c>
      <c r="CI500" s="2344">
        <v>0</v>
      </c>
      <c r="CJ500" s="2344">
        <v>0</v>
      </c>
      <c r="CK500" s="2344">
        <v>0</v>
      </c>
      <c r="CL500" s="2348">
        <v>0</v>
      </c>
      <c r="CM500" s="2333"/>
      <c r="CN500" s="2275" t="s">
        <v>682</v>
      </c>
      <c r="CO500" s="2275">
        <f>HLOOKUP(CO498,BL499:CL511,1,0)</f>
        <v>73.7</v>
      </c>
      <c r="CP500" s="2275" t="s">
        <v>706</v>
      </c>
      <c r="CQ500" s="2275" t="s">
        <v>682</v>
      </c>
      <c r="CR500" s="2275"/>
      <c r="CS500" s="2275"/>
      <c r="CT500" s="2275"/>
      <c r="CU500" s="2275"/>
      <c r="CV500" s="2275"/>
      <c r="CW500" s="2275"/>
      <c r="CX500" s="2250"/>
      <c r="CY500" s="2250"/>
      <c r="CZ500" s="2250"/>
      <c r="DA500" s="2250"/>
      <c r="DB500" s="2250"/>
      <c r="DC500" s="2250"/>
      <c r="DD500" s="2250"/>
      <c r="DE500" s="2250"/>
      <c r="DF500" s="2250"/>
      <c r="DG500" s="2250"/>
      <c r="DH500" s="2250"/>
      <c r="DI500" s="2250"/>
      <c r="DJ500" s="2250"/>
      <c r="DK500" s="2250"/>
      <c r="DL500" s="2250"/>
      <c r="DM500" s="2250"/>
      <c r="DN500" s="2250"/>
      <c r="DO500" s="53"/>
      <c r="DP500" s="53"/>
      <c r="DS500" s="277"/>
      <c r="DW500" s="1"/>
      <c r="DX500" s="2275"/>
      <c r="DY500" s="2333"/>
      <c r="DZ500" s="2344"/>
      <c r="EA500" s="2344"/>
      <c r="EB500" s="2344"/>
      <c r="EC500" s="2344"/>
      <c r="ED500" s="2344"/>
      <c r="EE500" s="2344"/>
      <c r="EF500" s="2344"/>
      <c r="EG500" s="2344"/>
      <c r="EH500" s="2344"/>
      <c r="EI500" s="2344"/>
      <c r="EJ500" s="2344"/>
      <c r="EK500" s="2344"/>
      <c r="EL500" s="2344"/>
      <c r="EM500" s="2344"/>
      <c r="EN500" s="2344"/>
      <c r="EO500" s="2344"/>
      <c r="EP500" s="2344"/>
      <c r="EQ500" s="2344"/>
      <c r="ER500" s="2344"/>
      <c r="ES500" s="2344"/>
      <c r="ET500" s="2344"/>
      <c r="EU500" s="2344"/>
      <c r="EV500" s="2344"/>
      <c r="EW500" s="2344"/>
      <c r="EX500" s="2344"/>
      <c r="EY500" s="2344"/>
      <c r="EZ500" s="2348"/>
      <c r="FA500" s="2333"/>
      <c r="FB500" s="2275" t="s">
        <v>682</v>
      </c>
      <c r="FC500" s="2275">
        <f>HLOOKUP(FC498,DZ499:EZ511,1,0)</f>
        <v>43.9</v>
      </c>
      <c r="FD500" s="2275" t="s">
        <v>706</v>
      </c>
      <c r="FE500" s="2275" t="s">
        <v>682</v>
      </c>
      <c r="FF500" s="2275"/>
      <c r="FG500" s="2275"/>
      <c r="FH500" s="2275"/>
      <c r="FI500" s="2275"/>
      <c r="FJ500" s="2275"/>
      <c r="FK500" s="2275"/>
      <c r="FL500" s="2250"/>
      <c r="FM500" s="2250"/>
      <c r="FN500" s="2250"/>
      <c r="FO500" s="2250"/>
      <c r="FP500" s="2250"/>
      <c r="FQ500" s="2250"/>
      <c r="FR500" s="2250"/>
      <c r="FS500" s="2250"/>
      <c r="FT500" s="2250"/>
      <c r="FU500" s="2250"/>
      <c r="FV500" s="2250"/>
      <c r="FW500" s="2250"/>
      <c r="FX500" s="2250"/>
      <c r="FY500" s="2250"/>
      <c r="FZ500" s="2250"/>
      <c r="GA500" s="2250"/>
      <c r="GB500" s="2276"/>
      <c r="GC500" s="2276"/>
      <c r="GD500" s="2250"/>
      <c r="GE500" s="2275"/>
      <c r="GF500" s="2275"/>
      <c r="GG500" s="2333"/>
      <c r="GH500" s="2344">
        <v>0</v>
      </c>
      <c r="GI500" s="2344">
        <v>0</v>
      </c>
      <c r="GJ500" s="2344">
        <v>0</v>
      </c>
      <c r="GK500" s="2344">
        <v>0</v>
      </c>
      <c r="GL500" s="2344">
        <v>0</v>
      </c>
      <c r="GM500" s="2344">
        <v>0</v>
      </c>
      <c r="GN500" s="2344">
        <v>0</v>
      </c>
      <c r="GO500" s="2344">
        <v>0</v>
      </c>
      <c r="GP500" s="2344">
        <v>0</v>
      </c>
      <c r="GQ500" s="2344">
        <v>0</v>
      </c>
      <c r="GR500" s="2344">
        <v>0</v>
      </c>
      <c r="GS500" s="2344">
        <v>0</v>
      </c>
      <c r="GT500" s="2344">
        <v>0</v>
      </c>
      <c r="GU500" s="2344">
        <v>0</v>
      </c>
      <c r="GV500" s="2344">
        <v>0</v>
      </c>
      <c r="GW500" s="2344">
        <v>0</v>
      </c>
      <c r="GX500" s="2344">
        <v>0</v>
      </c>
      <c r="GY500" s="2344">
        <v>0</v>
      </c>
      <c r="GZ500" s="2344">
        <v>0</v>
      </c>
      <c r="HA500" s="2344">
        <v>0</v>
      </c>
      <c r="HB500" s="2344">
        <v>0</v>
      </c>
      <c r="HC500" s="2344">
        <v>0</v>
      </c>
      <c r="HD500" s="2344">
        <v>0</v>
      </c>
      <c r="HE500" s="2344">
        <v>0</v>
      </c>
      <c r="HF500" s="2344">
        <v>0</v>
      </c>
      <c r="HG500" s="2344">
        <v>0</v>
      </c>
      <c r="HH500" s="2348">
        <v>0</v>
      </c>
      <c r="HI500" s="2333"/>
      <c r="HJ500" s="2275" t="s">
        <v>682</v>
      </c>
      <c r="HK500" s="2275">
        <f>HLOOKUP(HK498,GH499:HH511,1,0)</f>
        <v>48.8</v>
      </c>
      <c r="HL500" s="2275" t="s">
        <v>706</v>
      </c>
      <c r="HM500" s="2275" t="s">
        <v>682</v>
      </c>
      <c r="HN500" s="2275"/>
      <c r="HO500" s="2275"/>
      <c r="HP500" s="2275"/>
      <c r="HQ500" s="2275"/>
      <c r="HR500" s="2275"/>
      <c r="HS500" s="2275"/>
      <c r="HT500" s="2250"/>
      <c r="HU500" s="2250"/>
      <c r="HV500" s="2250"/>
      <c r="HW500" s="2250"/>
      <c r="HX500" s="2250"/>
      <c r="HY500" s="2250"/>
      <c r="HZ500" s="2250"/>
      <c r="IA500" s="2250"/>
      <c r="IB500" s="2250"/>
      <c r="IC500" s="2250"/>
      <c r="ID500" s="2250"/>
      <c r="IE500" s="2250"/>
      <c r="IF500" s="2250"/>
      <c r="IG500" s="2250"/>
      <c r="IH500" s="2250"/>
      <c r="II500" s="2250"/>
      <c r="IJ500" s="2250"/>
      <c r="IK500" s="53"/>
      <c r="IL500" s="53"/>
      <c r="IN500" s="277"/>
      <c r="IO500" s="277"/>
    </row>
    <row r="501" spans="2:249" ht="21.95" customHeight="1">
      <c r="B501" s="4670" t="s">
        <v>734</v>
      </c>
      <c r="C501" s="2345">
        <v>475</v>
      </c>
      <c r="D501" s="2346">
        <v>1.8</v>
      </c>
      <c r="E501" s="2346">
        <v>2</v>
      </c>
      <c r="F501" s="2346">
        <v>2.2000000000000002</v>
      </c>
      <c r="G501" s="2346">
        <v>2.4</v>
      </c>
      <c r="H501" s="2346">
        <v>2.6</v>
      </c>
      <c r="I501" s="2346">
        <v>2.5299999999999998</v>
      </c>
      <c r="J501" s="2346">
        <v>2.8</v>
      </c>
      <c r="K501" s="2346">
        <v>3</v>
      </c>
      <c r="L501" s="2346">
        <v>3.2</v>
      </c>
      <c r="M501" s="2346">
        <v>3.4</v>
      </c>
      <c r="N501" s="2346">
        <v>3.73</v>
      </c>
      <c r="O501" s="2346">
        <v>4</v>
      </c>
      <c r="P501" s="2346">
        <v>4.2</v>
      </c>
      <c r="Q501" s="2346">
        <v>4.47</v>
      </c>
      <c r="R501" s="2346">
        <v>4.5999999999999996</v>
      </c>
      <c r="S501" s="2346">
        <v>4.87</v>
      </c>
      <c r="T501" s="2346">
        <v>5.2</v>
      </c>
      <c r="U501" s="2346">
        <v>5.67</v>
      </c>
      <c r="V501" s="2346">
        <v>6</v>
      </c>
      <c r="W501" s="2346">
        <v>6.4</v>
      </c>
      <c r="X501" s="2346">
        <v>6.87</v>
      </c>
      <c r="Y501" s="2346">
        <v>7.53</v>
      </c>
      <c r="Z501" s="2346">
        <v>8.1999999999999993</v>
      </c>
      <c r="AA501" s="2346">
        <v>9.1999999999999993</v>
      </c>
      <c r="AB501" s="2346">
        <v>10.33</v>
      </c>
      <c r="AC501" s="2346">
        <v>11.8</v>
      </c>
      <c r="AD501" s="2346">
        <v>13.8</v>
      </c>
      <c r="AE501" s="2347">
        <v>475</v>
      </c>
      <c r="AF501" s="2275"/>
      <c r="AG501" s="4671"/>
      <c r="AH501" s="4671"/>
      <c r="AI501" s="4671"/>
      <c r="AJ501" s="2275"/>
      <c r="AK501" s="2275"/>
      <c r="AL501" s="2275"/>
      <c r="AM501" s="2275"/>
      <c r="AN501" s="2275"/>
      <c r="AO501" s="2275"/>
      <c r="AP501" s="2250"/>
      <c r="AQ501" s="2250"/>
      <c r="AR501" s="2250"/>
      <c r="AS501" s="2250"/>
      <c r="AT501" s="2250"/>
      <c r="AU501" s="2250"/>
      <c r="AV501" s="2250"/>
      <c r="AW501" s="2250"/>
      <c r="AX501" s="2250"/>
      <c r="AY501" s="2250"/>
      <c r="AZ501" s="2250"/>
      <c r="BA501" s="2250"/>
      <c r="BB501" s="2250"/>
      <c r="BC501" s="2250"/>
      <c r="BD501" s="2250"/>
      <c r="BE501" s="2250"/>
      <c r="BF501" s="2276"/>
      <c r="BG501" s="2276"/>
      <c r="BH501" s="2250"/>
      <c r="BI501" s="2275"/>
      <c r="BJ501" s="4670" t="s">
        <v>734</v>
      </c>
      <c r="BK501" s="2345">
        <v>475</v>
      </c>
      <c r="BL501" s="2346">
        <v>1.8</v>
      </c>
      <c r="BM501" s="2346">
        <v>2</v>
      </c>
      <c r="BN501" s="2346">
        <v>2.2000000000000002</v>
      </c>
      <c r="BO501" s="2346">
        <v>2.4</v>
      </c>
      <c r="BP501" s="2346">
        <v>2.6</v>
      </c>
      <c r="BQ501" s="2346">
        <v>2.5299999999999998</v>
      </c>
      <c r="BR501" s="2346">
        <v>2.8</v>
      </c>
      <c r="BS501" s="2346">
        <v>3</v>
      </c>
      <c r="BT501" s="2346">
        <v>3.2</v>
      </c>
      <c r="BU501" s="2346">
        <v>3.4</v>
      </c>
      <c r="BV501" s="2346">
        <v>3.73</v>
      </c>
      <c r="BW501" s="2346">
        <v>4</v>
      </c>
      <c r="BX501" s="2346">
        <v>4.2</v>
      </c>
      <c r="BY501" s="2346">
        <v>4.47</v>
      </c>
      <c r="BZ501" s="2346">
        <v>4.5999999999999996</v>
      </c>
      <c r="CA501" s="2346">
        <v>4.87</v>
      </c>
      <c r="CB501" s="2346">
        <v>5.2</v>
      </c>
      <c r="CC501" s="2346">
        <v>5.67</v>
      </c>
      <c r="CD501" s="2346">
        <v>6</v>
      </c>
      <c r="CE501" s="2346">
        <v>6.4</v>
      </c>
      <c r="CF501" s="2346">
        <v>6.87</v>
      </c>
      <c r="CG501" s="2346">
        <v>7.53</v>
      </c>
      <c r="CH501" s="2346">
        <v>8.1999999999999993</v>
      </c>
      <c r="CI501" s="2346">
        <v>9.1999999999999993</v>
      </c>
      <c r="CJ501" s="2346">
        <v>10.33</v>
      </c>
      <c r="CK501" s="2346">
        <v>11.8</v>
      </c>
      <c r="CL501" s="2346">
        <v>13.8</v>
      </c>
      <c r="CM501" s="2347">
        <v>475</v>
      </c>
      <c r="CN501" s="2275"/>
      <c r="CO501" s="4671"/>
      <c r="CP501" s="4671"/>
      <c r="CQ501" s="4671"/>
      <c r="CR501" s="2275"/>
      <c r="CS501" s="2275"/>
      <c r="CT501" s="2275"/>
      <c r="CU501" s="2275"/>
      <c r="CV501" s="2275"/>
      <c r="CW501" s="2275"/>
      <c r="CX501" s="2250"/>
      <c r="CY501" s="2250"/>
      <c r="CZ501" s="2250"/>
      <c r="DA501" s="2250"/>
      <c r="DB501" s="2250"/>
      <c r="DC501" s="2250"/>
      <c r="DD501" s="2250"/>
      <c r="DE501" s="2250"/>
      <c r="DF501" s="2250"/>
      <c r="DG501" s="2250"/>
      <c r="DH501" s="2250"/>
      <c r="DI501" s="2250"/>
      <c r="DJ501" s="2250"/>
      <c r="DK501" s="2250"/>
      <c r="DL501" s="2250"/>
      <c r="DM501" s="2250"/>
      <c r="DN501" s="2250"/>
      <c r="DO501" s="53"/>
      <c r="DP501" s="53"/>
      <c r="DS501" s="277"/>
      <c r="DW501" s="1"/>
      <c r="DX501" s="4670" t="s">
        <v>734</v>
      </c>
      <c r="DY501" s="2345">
        <v>475</v>
      </c>
      <c r="DZ501" s="2346">
        <v>1.8</v>
      </c>
      <c r="EA501" s="2346">
        <v>2</v>
      </c>
      <c r="EB501" s="2346">
        <v>2.2000000000000002</v>
      </c>
      <c r="EC501" s="2346">
        <v>2.4</v>
      </c>
      <c r="ED501" s="2346">
        <v>2.6</v>
      </c>
      <c r="EE501" s="2346">
        <v>2.5299999999999998</v>
      </c>
      <c r="EF501" s="2346">
        <v>2.8</v>
      </c>
      <c r="EG501" s="2346">
        <v>3</v>
      </c>
      <c r="EH501" s="2346">
        <v>3.2</v>
      </c>
      <c r="EI501" s="2346">
        <v>3.4</v>
      </c>
      <c r="EJ501" s="2346">
        <v>3.73</v>
      </c>
      <c r="EK501" s="2346">
        <v>4</v>
      </c>
      <c r="EL501" s="2346">
        <v>4.2</v>
      </c>
      <c r="EM501" s="2346">
        <v>4.47</v>
      </c>
      <c r="EN501" s="2346">
        <v>4.5999999999999996</v>
      </c>
      <c r="EO501" s="2346">
        <v>4.87</v>
      </c>
      <c r="EP501" s="2346">
        <v>5.2</v>
      </c>
      <c r="EQ501" s="2346">
        <v>5.67</v>
      </c>
      <c r="ER501" s="2346">
        <v>6</v>
      </c>
      <c r="ES501" s="2346">
        <v>6.4</v>
      </c>
      <c r="ET501" s="2346">
        <v>6.87</v>
      </c>
      <c r="EU501" s="2346">
        <v>7.53</v>
      </c>
      <c r="EV501" s="2346">
        <v>8.1999999999999993</v>
      </c>
      <c r="EW501" s="2346">
        <v>9.1999999999999993</v>
      </c>
      <c r="EX501" s="2346">
        <v>10.33</v>
      </c>
      <c r="EY501" s="2346">
        <v>11.8</v>
      </c>
      <c r="EZ501" s="2346">
        <v>13.8</v>
      </c>
      <c r="FA501" s="2347">
        <v>475</v>
      </c>
      <c r="FB501" s="2275"/>
      <c r="FC501" s="4671"/>
      <c r="FD501" s="4671"/>
      <c r="FE501" s="4671"/>
      <c r="FF501" s="2275"/>
      <c r="FG501" s="2275"/>
      <c r="FH501" s="2275"/>
      <c r="FI501" s="2275"/>
      <c r="FJ501" s="2275"/>
      <c r="FK501" s="2275"/>
      <c r="FL501" s="2250"/>
      <c r="FM501" s="2250"/>
      <c r="FN501" s="2250"/>
      <c r="FO501" s="2250"/>
      <c r="FP501" s="2250"/>
      <c r="FQ501" s="2250"/>
      <c r="FR501" s="2250"/>
      <c r="FS501" s="2250"/>
      <c r="FT501" s="2250"/>
      <c r="FU501" s="2250"/>
      <c r="FV501" s="2250"/>
      <c r="FW501" s="2250"/>
      <c r="FX501" s="2250"/>
      <c r="FY501" s="2250"/>
      <c r="FZ501" s="2250"/>
      <c r="GA501" s="2250"/>
      <c r="GB501" s="2276"/>
      <c r="GC501" s="2276"/>
      <c r="GD501" s="2250"/>
      <c r="GE501" s="2275"/>
      <c r="GF501" s="4670" t="s">
        <v>734</v>
      </c>
      <c r="GG501" s="2345">
        <v>475</v>
      </c>
      <c r="GH501" s="2346">
        <v>1.8</v>
      </c>
      <c r="GI501" s="2346">
        <v>2</v>
      </c>
      <c r="GJ501" s="2346">
        <v>2.2000000000000002</v>
      </c>
      <c r="GK501" s="2346">
        <v>2.4</v>
      </c>
      <c r="GL501" s="2346">
        <v>2.6</v>
      </c>
      <c r="GM501" s="2346">
        <v>2.5299999999999998</v>
      </c>
      <c r="GN501" s="2346">
        <v>2.8</v>
      </c>
      <c r="GO501" s="2346">
        <v>3</v>
      </c>
      <c r="GP501" s="2346">
        <v>3.2</v>
      </c>
      <c r="GQ501" s="2346">
        <v>3.4</v>
      </c>
      <c r="GR501" s="2346">
        <v>3.73</v>
      </c>
      <c r="GS501" s="2346">
        <v>4</v>
      </c>
      <c r="GT501" s="2346">
        <v>4.2</v>
      </c>
      <c r="GU501" s="2346">
        <v>4.47</v>
      </c>
      <c r="GV501" s="2346">
        <v>4.5999999999999996</v>
      </c>
      <c r="GW501" s="2346">
        <v>4.87</v>
      </c>
      <c r="GX501" s="2346">
        <v>5.2</v>
      </c>
      <c r="GY501" s="2346">
        <v>5.67</v>
      </c>
      <c r="GZ501" s="2346">
        <v>6</v>
      </c>
      <c r="HA501" s="2346">
        <v>6.4</v>
      </c>
      <c r="HB501" s="2346">
        <v>6.87</v>
      </c>
      <c r="HC501" s="2346">
        <v>7.53</v>
      </c>
      <c r="HD501" s="2346">
        <v>8.1999999999999993</v>
      </c>
      <c r="HE501" s="2346">
        <v>9.1999999999999993</v>
      </c>
      <c r="HF501" s="2346">
        <v>10.33</v>
      </c>
      <c r="HG501" s="2346">
        <v>11.8</v>
      </c>
      <c r="HH501" s="2346">
        <v>13.8</v>
      </c>
      <c r="HI501" s="2347">
        <v>475</v>
      </c>
      <c r="HJ501" s="2275"/>
      <c r="HK501" s="4671"/>
      <c r="HL501" s="4671"/>
      <c r="HM501" s="4671"/>
      <c r="HN501" s="2275"/>
      <c r="HO501" s="2275"/>
      <c r="HP501" s="2275"/>
      <c r="HQ501" s="2275"/>
      <c r="HR501" s="2275"/>
      <c r="HS501" s="2275"/>
      <c r="HT501" s="2250"/>
      <c r="HU501" s="2250"/>
      <c r="HV501" s="2250"/>
      <c r="HW501" s="2250"/>
      <c r="HX501" s="2250"/>
      <c r="HY501" s="2250"/>
      <c r="HZ501" s="2250"/>
      <c r="IA501" s="2250"/>
      <c r="IB501" s="2250"/>
      <c r="IC501" s="2250"/>
      <c r="ID501" s="2250"/>
      <c r="IE501" s="2250"/>
      <c r="IF501" s="2250"/>
      <c r="IG501" s="2250"/>
      <c r="IH501" s="2250"/>
      <c r="II501" s="2250"/>
      <c r="IJ501" s="2250"/>
      <c r="IK501" s="53"/>
      <c r="IL501" s="53"/>
      <c r="IN501" s="277"/>
      <c r="IO501" s="277"/>
    </row>
    <row r="502" spans="2:249" ht="21.95" customHeight="1">
      <c r="B502" s="4670"/>
      <c r="C502" s="2345">
        <v>550</v>
      </c>
      <c r="D502" s="2346">
        <v>3.33</v>
      </c>
      <c r="E502" s="2346">
        <v>3.73</v>
      </c>
      <c r="F502" s="2346">
        <v>4.13</v>
      </c>
      <c r="G502" s="2346">
        <v>4.5999999999999996</v>
      </c>
      <c r="H502" s="2346">
        <v>5</v>
      </c>
      <c r="I502" s="2346">
        <v>4.7300000000000004</v>
      </c>
      <c r="J502" s="2346">
        <v>5.27</v>
      </c>
      <c r="K502" s="2346">
        <v>5.6</v>
      </c>
      <c r="L502" s="2346">
        <v>6.13</v>
      </c>
      <c r="M502" s="2346">
        <v>6.47</v>
      </c>
      <c r="N502" s="2346">
        <v>7.33</v>
      </c>
      <c r="O502" s="2346">
        <v>7.87</v>
      </c>
      <c r="P502" s="2346">
        <v>8.27</v>
      </c>
      <c r="Q502" s="2346">
        <v>8.4700000000000006</v>
      </c>
      <c r="R502" s="2346">
        <v>8.93</v>
      </c>
      <c r="S502" s="2346">
        <v>9.5299999999999994</v>
      </c>
      <c r="T502" s="2346">
        <v>10.130000000000001</v>
      </c>
      <c r="U502" s="2346">
        <v>10.93</v>
      </c>
      <c r="V502" s="2346">
        <v>11.6</v>
      </c>
      <c r="W502" s="2346">
        <v>12.67</v>
      </c>
      <c r="X502" s="2346">
        <v>13.07</v>
      </c>
      <c r="Y502" s="2346">
        <v>14.67</v>
      </c>
      <c r="Z502" s="2346">
        <v>15.33</v>
      </c>
      <c r="AA502" s="2346">
        <v>17.87</v>
      </c>
      <c r="AB502" s="2346">
        <v>18.93</v>
      </c>
      <c r="AC502" s="2346">
        <v>21.67</v>
      </c>
      <c r="AD502" s="2346">
        <v>24.27</v>
      </c>
      <c r="AE502" s="2347">
        <v>550</v>
      </c>
      <c r="AF502" s="2275"/>
      <c r="AG502" s="2275">
        <f>HLOOKUP(AG498,D499:AD511,2,0)</f>
        <v>0</v>
      </c>
      <c r="AH502" s="2275">
        <f t="shared" ref="AH502:AH512" si="285">+AG503</f>
        <v>5.67</v>
      </c>
      <c r="AI502" s="2275">
        <v>475</v>
      </c>
      <c r="AJ502" s="2275"/>
      <c r="AK502" s="2275"/>
      <c r="AL502" s="2275"/>
      <c r="AM502" s="2275"/>
      <c r="AN502" s="2275"/>
      <c r="AO502" s="2275"/>
      <c r="AP502" s="2250"/>
      <c r="AQ502" s="2250"/>
      <c r="AR502" s="2250"/>
      <c r="AS502" s="2250"/>
      <c r="AT502" s="2250"/>
      <c r="AU502" s="2250"/>
      <c r="AV502" s="2250"/>
      <c r="AW502" s="2250"/>
      <c r="AX502" s="2250"/>
      <c r="AY502" s="2250"/>
      <c r="AZ502" s="2250"/>
      <c r="BA502" s="2250"/>
      <c r="BB502" s="2250"/>
      <c r="BC502" s="2250"/>
      <c r="BD502" s="2250"/>
      <c r="BE502" s="2250"/>
      <c r="BF502" s="2276"/>
      <c r="BG502" s="2276"/>
      <c r="BH502" s="2250"/>
      <c r="BI502" s="2275"/>
      <c r="BJ502" s="4670"/>
      <c r="BK502" s="2345">
        <v>550</v>
      </c>
      <c r="BL502" s="2346">
        <v>3.33</v>
      </c>
      <c r="BM502" s="2346">
        <v>3.73</v>
      </c>
      <c r="BN502" s="2346">
        <v>4.13</v>
      </c>
      <c r="BO502" s="2346">
        <v>4.5999999999999996</v>
      </c>
      <c r="BP502" s="2346">
        <v>5</v>
      </c>
      <c r="BQ502" s="2346">
        <v>4.7300000000000004</v>
      </c>
      <c r="BR502" s="2346">
        <v>5.27</v>
      </c>
      <c r="BS502" s="2346">
        <v>5.6</v>
      </c>
      <c r="BT502" s="2346">
        <v>6.13</v>
      </c>
      <c r="BU502" s="2346">
        <v>6.47</v>
      </c>
      <c r="BV502" s="2346">
        <v>7.33</v>
      </c>
      <c r="BW502" s="2346">
        <v>7.87</v>
      </c>
      <c r="BX502" s="2346">
        <v>8.27</v>
      </c>
      <c r="BY502" s="2346">
        <v>8.4700000000000006</v>
      </c>
      <c r="BZ502" s="2346">
        <v>8.93</v>
      </c>
      <c r="CA502" s="2346">
        <v>9.5299999999999994</v>
      </c>
      <c r="CB502" s="2346">
        <v>10.130000000000001</v>
      </c>
      <c r="CC502" s="2346">
        <v>10.93</v>
      </c>
      <c r="CD502" s="2346">
        <v>11.6</v>
      </c>
      <c r="CE502" s="2346">
        <v>12.67</v>
      </c>
      <c r="CF502" s="2346">
        <v>13.07</v>
      </c>
      <c r="CG502" s="2346">
        <v>14.67</v>
      </c>
      <c r="CH502" s="2346">
        <v>15.33</v>
      </c>
      <c r="CI502" s="2346">
        <v>17.87</v>
      </c>
      <c r="CJ502" s="2346">
        <v>18.93</v>
      </c>
      <c r="CK502" s="2346">
        <v>21.67</v>
      </c>
      <c r="CL502" s="2346">
        <v>24.27</v>
      </c>
      <c r="CM502" s="2347">
        <v>550</v>
      </c>
      <c r="CN502" s="2275"/>
      <c r="CO502" s="2275">
        <f>HLOOKUP(CO498,BL499:CL511,2,0)</f>
        <v>0</v>
      </c>
      <c r="CP502" s="2275">
        <f t="shared" ref="CP502:CP512" si="286">+CO503</f>
        <v>5.2</v>
      </c>
      <c r="CQ502" s="2275">
        <v>475</v>
      </c>
      <c r="CR502" s="2275"/>
      <c r="CS502" s="2275"/>
      <c r="CT502" s="2275"/>
      <c r="CU502" s="2275"/>
      <c r="CV502" s="2275"/>
      <c r="CW502" s="2275"/>
      <c r="CX502" s="2250"/>
      <c r="CY502" s="2250"/>
      <c r="CZ502" s="2250"/>
      <c r="DA502" s="2250"/>
      <c r="DB502" s="2250"/>
      <c r="DC502" s="2250"/>
      <c r="DD502" s="2250"/>
      <c r="DE502" s="2250"/>
      <c r="DF502" s="2250"/>
      <c r="DG502" s="2250"/>
      <c r="DH502" s="2250"/>
      <c r="DI502" s="2250"/>
      <c r="DJ502" s="2250"/>
      <c r="DK502" s="2250"/>
      <c r="DL502" s="2250"/>
      <c r="DM502" s="2250"/>
      <c r="DN502" s="2250"/>
      <c r="DO502" s="53"/>
      <c r="DP502" s="53"/>
      <c r="DS502" s="277"/>
      <c r="DW502" s="1"/>
      <c r="DX502" s="4670"/>
      <c r="DY502" s="2345">
        <v>550</v>
      </c>
      <c r="DZ502" s="2346">
        <v>3.33</v>
      </c>
      <c r="EA502" s="2346">
        <v>3.73</v>
      </c>
      <c r="EB502" s="2346">
        <v>4.13</v>
      </c>
      <c r="EC502" s="2346">
        <v>4.5999999999999996</v>
      </c>
      <c r="ED502" s="2346">
        <v>5</v>
      </c>
      <c r="EE502" s="2346">
        <v>4.7300000000000004</v>
      </c>
      <c r="EF502" s="2346">
        <v>5.27</v>
      </c>
      <c r="EG502" s="2346">
        <v>5.6</v>
      </c>
      <c r="EH502" s="2346">
        <v>6.13</v>
      </c>
      <c r="EI502" s="2346">
        <v>6.47</v>
      </c>
      <c r="EJ502" s="2346">
        <v>7.33</v>
      </c>
      <c r="EK502" s="2346">
        <v>7.87</v>
      </c>
      <c r="EL502" s="2346">
        <v>8.27</v>
      </c>
      <c r="EM502" s="2346">
        <v>8.4700000000000006</v>
      </c>
      <c r="EN502" s="2346">
        <v>8.93</v>
      </c>
      <c r="EO502" s="2346">
        <v>9.5299999999999994</v>
      </c>
      <c r="EP502" s="2346">
        <v>10.130000000000001</v>
      </c>
      <c r="EQ502" s="2346">
        <v>10.93</v>
      </c>
      <c r="ER502" s="2346">
        <v>11.6</v>
      </c>
      <c r="ES502" s="2346">
        <v>12.67</v>
      </c>
      <c r="ET502" s="2346">
        <v>13.07</v>
      </c>
      <c r="EU502" s="2346">
        <v>14.67</v>
      </c>
      <c r="EV502" s="2346">
        <v>15.33</v>
      </c>
      <c r="EW502" s="2346">
        <v>17.87</v>
      </c>
      <c r="EX502" s="2346">
        <v>18.93</v>
      </c>
      <c r="EY502" s="2346">
        <v>21.67</v>
      </c>
      <c r="EZ502" s="2346">
        <v>24.27</v>
      </c>
      <c r="FA502" s="2347">
        <v>550</v>
      </c>
      <c r="FB502" s="2275"/>
      <c r="FC502" s="2275">
        <f>HLOOKUP(FC498,DZ499:EZ511,2,0)</f>
        <v>0</v>
      </c>
      <c r="FD502" s="2275">
        <f t="shared" ref="FD502:FD512" si="287">+FC503</f>
        <v>8.1999999999999993</v>
      </c>
      <c r="FE502" s="2275">
        <v>475</v>
      </c>
      <c r="FF502" s="2275"/>
      <c r="FG502" s="2275"/>
      <c r="FH502" s="2275"/>
      <c r="FI502" s="2275"/>
      <c r="FJ502" s="2275"/>
      <c r="FK502" s="2275"/>
      <c r="FL502" s="2250"/>
      <c r="FM502" s="2250"/>
      <c r="FN502" s="2250"/>
      <c r="FO502" s="2250"/>
      <c r="FP502" s="2250"/>
      <c r="FQ502" s="2250"/>
      <c r="FR502" s="2250"/>
      <c r="FS502" s="2250"/>
      <c r="FT502" s="2250"/>
      <c r="FU502" s="2250"/>
      <c r="FV502" s="2250"/>
      <c r="FW502" s="2250"/>
      <c r="FX502" s="2250"/>
      <c r="FY502" s="2250"/>
      <c r="FZ502" s="2250"/>
      <c r="GA502" s="2250"/>
      <c r="GB502" s="2276"/>
      <c r="GC502" s="2276"/>
      <c r="GD502" s="2250"/>
      <c r="GE502" s="2275"/>
      <c r="GF502" s="4670"/>
      <c r="GG502" s="2345">
        <v>550</v>
      </c>
      <c r="GH502" s="2346">
        <v>3.33</v>
      </c>
      <c r="GI502" s="2346">
        <v>3.73</v>
      </c>
      <c r="GJ502" s="2346">
        <v>4.13</v>
      </c>
      <c r="GK502" s="2346">
        <v>4.5999999999999996</v>
      </c>
      <c r="GL502" s="2346">
        <v>5</v>
      </c>
      <c r="GM502" s="2346">
        <v>4.7300000000000004</v>
      </c>
      <c r="GN502" s="2346">
        <v>5.27</v>
      </c>
      <c r="GO502" s="2346">
        <v>5.6</v>
      </c>
      <c r="GP502" s="2346">
        <v>6.13</v>
      </c>
      <c r="GQ502" s="2346">
        <v>6.47</v>
      </c>
      <c r="GR502" s="2346">
        <v>7.33</v>
      </c>
      <c r="GS502" s="2346">
        <v>7.87</v>
      </c>
      <c r="GT502" s="2346">
        <v>8.27</v>
      </c>
      <c r="GU502" s="2346">
        <v>8.4700000000000006</v>
      </c>
      <c r="GV502" s="2346">
        <v>8.93</v>
      </c>
      <c r="GW502" s="2346">
        <v>9.5299999999999994</v>
      </c>
      <c r="GX502" s="2346">
        <v>10.130000000000001</v>
      </c>
      <c r="GY502" s="2346">
        <v>10.93</v>
      </c>
      <c r="GZ502" s="2346">
        <v>11.6</v>
      </c>
      <c r="HA502" s="2346">
        <v>12.67</v>
      </c>
      <c r="HB502" s="2346">
        <v>13.07</v>
      </c>
      <c r="HC502" s="2346">
        <v>14.67</v>
      </c>
      <c r="HD502" s="2346">
        <v>15.33</v>
      </c>
      <c r="HE502" s="2346">
        <v>17.87</v>
      </c>
      <c r="HF502" s="2346">
        <v>18.93</v>
      </c>
      <c r="HG502" s="2346">
        <v>21.67</v>
      </c>
      <c r="HH502" s="2346">
        <v>24.27</v>
      </c>
      <c r="HI502" s="2347">
        <v>550</v>
      </c>
      <c r="HJ502" s="2275"/>
      <c r="HK502" s="2275">
        <f>HLOOKUP(HK498,GH499:HH511,2,0)</f>
        <v>0</v>
      </c>
      <c r="HL502" s="2275">
        <f t="shared" ref="HL502:HL512" si="288">+HK503</f>
        <v>7.53</v>
      </c>
      <c r="HM502" s="2275">
        <v>475</v>
      </c>
      <c r="HN502" s="2275"/>
      <c r="HO502" s="2275"/>
      <c r="HP502" s="2275"/>
      <c r="HQ502" s="2275"/>
      <c r="HR502" s="2275"/>
      <c r="HS502" s="2275"/>
      <c r="HT502" s="2250"/>
      <c r="HU502" s="2250"/>
      <c r="HV502" s="2250"/>
      <c r="HW502" s="2250"/>
      <c r="HX502" s="2250"/>
      <c r="HY502" s="2250"/>
      <c r="HZ502" s="2250"/>
      <c r="IA502" s="2250"/>
      <c r="IB502" s="2250"/>
      <c r="IC502" s="2250"/>
      <c r="ID502" s="2250"/>
      <c r="IE502" s="2250"/>
      <c r="IF502" s="2250"/>
      <c r="IG502" s="2250"/>
      <c r="IH502" s="2250"/>
      <c r="II502" s="2250"/>
      <c r="IJ502" s="2250"/>
      <c r="IK502" s="53"/>
      <c r="IL502" s="53"/>
      <c r="IN502" s="277"/>
      <c r="IO502" s="277"/>
    </row>
    <row r="503" spans="2:249" ht="21.95" customHeight="1">
      <c r="B503" s="4670"/>
      <c r="C503" s="2345">
        <v>650</v>
      </c>
      <c r="D503" s="2346">
        <v>5.53</v>
      </c>
      <c r="E503" s="2346">
        <v>6.27</v>
      </c>
      <c r="F503" s="2346">
        <v>6.93</v>
      </c>
      <c r="G503" s="2346">
        <v>7.33</v>
      </c>
      <c r="H503" s="2346">
        <v>7.33</v>
      </c>
      <c r="I503" s="2346">
        <v>7.87</v>
      </c>
      <c r="J503" s="2346">
        <v>8.73</v>
      </c>
      <c r="K503" s="2346">
        <v>9.27</v>
      </c>
      <c r="L503" s="2346">
        <v>9.8000000000000007</v>
      </c>
      <c r="M503" s="2346">
        <v>10.8</v>
      </c>
      <c r="N503" s="2346">
        <v>11.87</v>
      </c>
      <c r="O503" s="2346">
        <v>12.93</v>
      </c>
      <c r="P503" s="2346">
        <v>14</v>
      </c>
      <c r="Q503" s="2346">
        <v>14.13</v>
      </c>
      <c r="R503" s="2346">
        <v>14.87</v>
      </c>
      <c r="S503" s="2346">
        <v>16</v>
      </c>
      <c r="T503" s="2346">
        <v>16.93</v>
      </c>
      <c r="U503" s="2346">
        <v>18.670000000000002</v>
      </c>
      <c r="V503" s="2346">
        <v>17.670000000000002</v>
      </c>
      <c r="W503" s="2346">
        <v>20.53</v>
      </c>
      <c r="X503" s="2346">
        <v>20.87</v>
      </c>
      <c r="Y503" s="2346">
        <v>23.53</v>
      </c>
      <c r="Z503" s="2346">
        <v>25.8</v>
      </c>
      <c r="AA503" s="2346">
        <v>28.53</v>
      </c>
      <c r="AB503" s="2346">
        <v>31.73</v>
      </c>
      <c r="AC503" s="2346">
        <v>34.130000000000003</v>
      </c>
      <c r="AD503" s="2346">
        <v>40.47</v>
      </c>
      <c r="AE503" s="2347">
        <v>650</v>
      </c>
      <c r="AF503" s="2275"/>
      <c r="AG503" s="2275">
        <f>HLOOKUP(AG498,D499:AD511,3,0)</f>
        <v>5.67</v>
      </c>
      <c r="AH503" s="2275">
        <f t="shared" si="285"/>
        <v>10.93</v>
      </c>
      <c r="AI503" s="2275">
        <v>550</v>
      </c>
      <c r="AJ503" s="2275"/>
      <c r="AK503" s="2275"/>
      <c r="AL503" s="2275"/>
      <c r="AM503" s="2275"/>
      <c r="AN503" s="2275"/>
      <c r="AO503" s="2275"/>
      <c r="AP503" s="2250"/>
      <c r="AQ503" s="2250"/>
      <c r="AR503" s="2250"/>
      <c r="AS503" s="2250"/>
      <c r="AT503" s="2250"/>
      <c r="AU503" s="2250"/>
      <c r="AV503" s="2250"/>
      <c r="AW503" s="2250"/>
      <c r="AX503" s="2250"/>
      <c r="AY503" s="2250"/>
      <c r="AZ503" s="2250"/>
      <c r="BA503" s="2250"/>
      <c r="BB503" s="2250"/>
      <c r="BC503" s="2250"/>
      <c r="BD503" s="2250"/>
      <c r="BE503" s="2250"/>
      <c r="BF503" s="2276"/>
      <c r="BG503" s="2276"/>
      <c r="BH503" s="2250"/>
      <c r="BI503" s="2275"/>
      <c r="BJ503" s="4670"/>
      <c r="BK503" s="2345">
        <v>650</v>
      </c>
      <c r="BL503" s="2346">
        <v>5.53</v>
      </c>
      <c r="BM503" s="2346">
        <v>6.27</v>
      </c>
      <c r="BN503" s="2346">
        <v>6.93</v>
      </c>
      <c r="BO503" s="2346">
        <v>7.33</v>
      </c>
      <c r="BP503" s="2346">
        <v>7.33</v>
      </c>
      <c r="BQ503" s="2346">
        <v>7.87</v>
      </c>
      <c r="BR503" s="2346">
        <v>8.73</v>
      </c>
      <c r="BS503" s="2346">
        <v>9.27</v>
      </c>
      <c r="BT503" s="2346">
        <v>9.8000000000000007</v>
      </c>
      <c r="BU503" s="2346">
        <v>10.8</v>
      </c>
      <c r="BV503" s="2346">
        <v>11.87</v>
      </c>
      <c r="BW503" s="2346">
        <v>12.93</v>
      </c>
      <c r="BX503" s="2346">
        <v>14</v>
      </c>
      <c r="BY503" s="2346">
        <v>14.13</v>
      </c>
      <c r="BZ503" s="2346">
        <v>14.87</v>
      </c>
      <c r="CA503" s="2346">
        <v>16</v>
      </c>
      <c r="CB503" s="2346">
        <v>16.93</v>
      </c>
      <c r="CC503" s="2346">
        <v>18.670000000000002</v>
      </c>
      <c r="CD503" s="2346">
        <v>17.670000000000002</v>
      </c>
      <c r="CE503" s="2346">
        <v>20.53</v>
      </c>
      <c r="CF503" s="2346">
        <v>20.87</v>
      </c>
      <c r="CG503" s="2346">
        <v>23.53</v>
      </c>
      <c r="CH503" s="2346">
        <v>25.8</v>
      </c>
      <c r="CI503" s="2346">
        <v>28.53</v>
      </c>
      <c r="CJ503" s="2346">
        <v>31.73</v>
      </c>
      <c r="CK503" s="2346">
        <v>34.130000000000003</v>
      </c>
      <c r="CL503" s="2346">
        <v>40.47</v>
      </c>
      <c r="CM503" s="2347">
        <v>650</v>
      </c>
      <c r="CN503" s="2275"/>
      <c r="CO503" s="2275">
        <f>HLOOKUP(CO498,BL499:CL511,3,0)</f>
        <v>5.2</v>
      </c>
      <c r="CP503" s="2275">
        <f t="shared" si="286"/>
        <v>10.130000000000001</v>
      </c>
      <c r="CQ503" s="2275">
        <v>550</v>
      </c>
      <c r="CR503" s="2275"/>
      <c r="CS503" s="2275"/>
      <c r="CT503" s="2275"/>
      <c r="CU503" s="2275"/>
      <c r="CV503" s="2275"/>
      <c r="CW503" s="2275"/>
      <c r="CX503" s="2250"/>
      <c r="CY503" s="2250"/>
      <c r="CZ503" s="2250"/>
      <c r="DA503" s="2250"/>
      <c r="DB503" s="2250"/>
      <c r="DC503" s="2250"/>
      <c r="DD503" s="2250"/>
      <c r="DE503" s="2250"/>
      <c r="DF503" s="2250"/>
      <c r="DG503" s="2250"/>
      <c r="DH503" s="2250"/>
      <c r="DI503" s="2250"/>
      <c r="DJ503" s="2250"/>
      <c r="DK503" s="2250"/>
      <c r="DL503" s="2250"/>
      <c r="DM503" s="2250"/>
      <c r="DN503" s="2250"/>
      <c r="DO503" s="53"/>
      <c r="DP503" s="53"/>
      <c r="DS503" s="277"/>
      <c r="DW503" s="1"/>
      <c r="DX503" s="4670"/>
      <c r="DY503" s="2345">
        <v>650</v>
      </c>
      <c r="DZ503" s="2346">
        <v>5.53</v>
      </c>
      <c r="EA503" s="2346">
        <v>6.27</v>
      </c>
      <c r="EB503" s="2346">
        <v>6.93</v>
      </c>
      <c r="EC503" s="2346">
        <v>7.33</v>
      </c>
      <c r="ED503" s="2346">
        <v>7.33</v>
      </c>
      <c r="EE503" s="2346">
        <v>7.87</v>
      </c>
      <c r="EF503" s="2346">
        <v>8.73</v>
      </c>
      <c r="EG503" s="2346">
        <v>9.27</v>
      </c>
      <c r="EH503" s="2346">
        <v>9.8000000000000007</v>
      </c>
      <c r="EI503" s="2346">
        <v>10.8</v>
      </c>
      <c r="EJ503" s="2346">
        <v>11.87</v>
      </c>
      <c r="EK503" s="2346">
        <v>12.93</v>
      </c>
      <c r="EL503" s="2346">
        <v>14</v>
      </c>
      <c r="EM503" s="2346">
        <v>14.13</v>
      </c>
      <c r="EN503" s="2346">
        <v>14.87</v>
      </c>
      <c r="EO503" s="2346">
        <v>16</v>
      </c>
      <c r="EP503" s="2346">
        <v>16.93</v>
      </c>
      <c r="EQ503" s="2346">
        <v>18.670000000000002</v>
      </c>
      <c r="ER503" s="2346">
        <v>17.670000000000002</v>
      </c>
      <c r="ES503" s="2346">
        <v>20.53</v>
      </c>
      <c r="ET503" s="2346">
        <v>20.87</v>
      </c>
      <c r="EU503" s="2346">
        <v>23.53</v>
      </c>
      <c r="EV503" s="2346">
        <v>25.8</v>
      </c>
      <c r="EW503" s="2346">
        <v>28.53</v>
      </c>
      <c r="EX503" s="2346">
        <v>31.73</v>
      </c>
      <c r="EY503" s="2346">
        <v>34.130000000000003</v>
      </c>
      <c r="EZ503" s="2346">
        <v>40.47</v>
      </c>
      <c r="FA503" s="2347">
        <v>650</v>
      </c>
      <c r="FB503" s="2275"/>
      <c r="FC503" s="2275">
        <f>HLOOKUP(FC498,DZ499:EZ511,3,0)</f>
        <v>8.1999999999999993</v>
      </c>
      <c r="FD503" s="2275">
        <f t="shared" si="287"/>
        <v>15.33</v>
      </c>
      <c r="FE503" s="2275">
        <v>550</v>
      </c>
      <c r="FF503" s="2275"/>
      <c r="FG503" s="2275"/>
      <c r="FH503" s="2275"/>
      <c r="FI503" s="2275"/>
      <c r="FJ503" s="2275"/>
      <c r="FK503" s="2275"/>
      <c r="FL503" s="2250"/>
      <c r="FM503" s="2250"/>
      <c r="FN503" s="2250"/>
      <c r="FO503" s="2250"/>
      <c r="FP503" s="2250"/>
      <c r="FQ503" s="2250"/>
      <c r="FR503" s="2250"/>
      <c r="FS503" s="2250"/>
      <c r="FT503" s="2250"/>
      <c r="FU503" s="2250"/>
      <c r="FV503" s="2250"/>
      <c r="FW503" s="2250"/>
      <c r="FX503" s="2250"/>
      <c r="FY503" s="2250"/>
      <c r="FZ503" s="2250"/>
      <c r="GA503" s="2250"/>
      <c r="GB503" s="2276"/>
      <c r="GC503" s="2276"/>
      <c r="GD503" s="2250"/>
      <c r="GE503" s="2275"/>
      <c r="GF503" s="4670"/>
      <c r="GG503" s="2345">
        <v>650</v>
      </c>
      <c r="GH503" s="2346">
        <v>5.53</v>
      </c>
      <c r="GI503" s="2346">
        <v>6.27</v>
      </c>
      <c r="GJ503" s="2346">
        <v>6.93</v>
      </c>
      <c r="GK503" s="2346">
        <v>7.33</v>
      </c>
      <c r="GL503" s="2346">
        <v>7.33</v>
      </c>
      <c r="GM503" s="2346">
        <v>7.87</v>
      </c>
      <c r="GN503" s="2346">
        <v>8.73</v>
      </c>
      <c r="GO503" s="2346">
        <v>9.27</v>
      </c>
      <c r="GP503" s="2346">
        <v>9.8000000000000007</v>
      </c>
      <c r="GQ503" s="2346">
        <v>10.8</v>
      </c>
      <c r="GR503" s="2346">
        <v>11.87</v>
      </c>
      <c r="GS503" s="2346">
        <v>12.93</v>
      </c>
      <c r="GT503" s="2346">
        <v>14</v>
      </c>
      <c r="GU503" s="2346">
        <v>14.13</v>
      </c>
      <c r="GV503" s="2346">
        <v>14.87</v>
      </c>
      <c r="GW503" s="2346">
        <v>16</v>
      </c>
      <c r="GX503" s="2346">
        <v>16.93</v>
      </c>
      <c r="GY503" s="2346">
        <v>18.670000000000002</v>
      </c>
      <c r="GZ503" s="2346">
        <v>17.670000000000002</v>
      </c>
      <c r="HA503" s="2346">
        <v>20.53</v>
      </c>
      <c r="HB503" s="2346">
        <v>20.87</v>
      </c>
      <c r="HC503" s="2346">
        <v>23.53</v>
      </c>
      <c r="HD503" s="2346">
        <v>25.8</v>
      </c>
      <c r="HE503" s="2346">
        <v>28.53</v>
      </c>
      <c r="HF503" s="2346">
        <v>31.73</v>
      </c>
      <c r="HG503" s="2346">
        <v>34.130000000000003</v>
      </c>
      <c r="HH503" s="2346">
        <v>40.47</v>
      </c>
      <c r="HI503" s="2347">
        <v>650</v>
      </c>
      <c r="HJ503" s="2275"/>
      <c r="HK503" s="2275">
        <f>HLOOKUP(HK498,GH499:HH511,3,0)</f>
        <v>7.53</v>
      </c>
      <c r="HL503" s="2275">
        <f t="shared" si="288"/>
        <v>14.67</v>
      </c>
      <c r="HM503" s="2275">
        <v>550</v>
      </c>
      <c r="HN503" s="2275"/>
      <c r="HO503" s="2275"/>
      <c r="HP503" s="2275"/>
      <c r="HQ503" s="2275"/>
      <c r="HR503" s="2275"/>
      <c r="HS503" s="2275"/>
      <c r="HT503" s="2250"/>
      <c r="HU503" s="2250"/>
      <c r="HV503" s="2250"/>
      <c r="HW503" s="2250"/>
      <c r="HX503" s="2250"/>
      <c r="HY503" s="2250"/>
      <c r="HZ503" s="2250"/>
      <c r="IA503" s="2250"/>
      <c r="IB503" s="2250"/>
      <c r="IC503" s="2250"/>
      <c r="ID503" s="2250"/>
      <c r="IE503" s="2250"/>
      <c r="IF503" s="2250"/>
      <c r="IG503" s="2250"/>
      <c r="IH503" s="2250"/>
      <c r="II503" s="2250"/>
      <c r="IJ503" s="2250"/>
      <c r="IK503" s="53"/>
      <c r="IL503" s="53"/>
      <c r="IN503" s="277"/>
      <c r="IO503" s="277"/>
    </row>
    <row r="504" spans="2:249" ht="21.95" customHeight="1">
      <c r="B504" s="2275"/>
      <c r="C504" s="2345">
        <v>775</v>
      </c>
      <c r="D504" s="2346">
        <v>8.5299999999999994</v>
      </c>
      <c r="E504" s="2346">
        <v>9.6</v>
      </c>
      <c r="F504" s="2346">
        <v>10.6</v>
      </c>
      <c r="G504" s="2346">
        <v>11.8</v>
      </c>
      <c r="H504" s="2346">
        <v>12.93</v>
      </c>
      <c r="I504" s="2346">
        <v>12.13</v>
      </c>
      <c r="J504" s="2346">
        <v>13.4</v>
      </c>
      <c r="K504" s="2346">
        <v>14.27</v>
      </c>
      <c r="L504" s="2346">
        <v>15.67</v>
      </c>
      <c r="M504" s="2346">
        <v>16.670000000000002</v>
      </c>
      <c r="N504" s="2346">
        <v>19.73</v>
      </c>
      <c r="O504" s="2346">
        <v>21.2</v>
      </c>
      <c r="P504" s="2346">
        <v>22.2</v>
      </c>
      <c r="Q504" s="2346">
        <v>21.8</v>
      </c>
      <c r="R504" s="2346">
        <v>23.33</v>
      </c>
      <c r="S504" s="2346">
        <v>25.4</v>
      </c>
      <c r="T504" s="2346">
        <v>26.93</v>
      </c>
      <c r="U504" s="2346">
        <v>28.07</v>
      </c>
      <c r="V504" s="2346">
        <v>29.73</v>
      </c>
      <c r="W504" s="2346">
        <v>32.67</v>
      </c>
      <c r="X504" s="2346">
        <v>34.6</v>
      </c>
      <c r="Y504" s="2346">
        <v>37.67</v>
      </c>
      <c r="Z504" s="2346">
        <v>41.73</v>
      </c>
      <c r="AA504" s="2346">
        <v>46</v>
      </c>
      <c r="AB504" s="2346">
        <v>51.53</v>
      </c>
      <c r="AC504" s="2346">
        <v>58.47</v>
      </c>
      <c r="AD504" s="2346">
        <v>66.13</v>
      </c>
      <c r="AE504" s="2347">
        <v>775</v>
      </c>
      <c r="AF504" s="2275"/>
      <c r="AG504" s="2275">
        <f>HLOOKUP(AG498,D499:AD511,4,0)</f>
        <v>10.93</v>
      </c>
      <c r="AH504" s="2275">
        <f t="shared" si="285"/>
        <v>18.670000000000002</v>
      </c>
      <c r="AI504" s="2275">
        <v>650</v>
      </c>
      <c r="AJ504" s="2275"/>
      <c r="AK504" s="2275"/>
      <c r="AL504" s="2275"/>
      <c r="AM504" s="2275"/>
      <c r="AN504" s="2275"/>
      <c r="AO504" s="2275"/>
      <c r="AP504" s="2250"/>
      <c r="AQ504" s="2250"/>
      <c r="AR504" s="2250"/>
      <c r="AS504" s="2250"/>
      <c r="AT504" s="2250"/>
      <c r="AU504" s="2250"/>
      <c r="AV504" s="2250"/>
      <c r="AW504" s="2250"/>
      <c r="AX504" s="2250"/>
      <c r="AY504" s="2250"/>
      <c r="AZ504" s="2250"/>
      <c r="BA504" s="2250"/>
      <c r="BB504" s="2250"/>
      <c r="BC504" s="2250"/>
      <c r="BD504" s="2250"/>
      <c r="BE504" s="2250"/>
      <c r="BF504" s="2276"/>
      <c r="BG504" s="2276"/>
      <c r="BH504" s="2250"/>
      <c r="BI504" s="2275"/>
      <c r="BJ504" s="2275"/>
      <c r="BK504" s="2345">
        <v>775</v>
      </c>
      <c r="BL504" s="2346">
        <v>8.5299999999999994</v>
      </c>
      <c r="BM504" s="2346">
        <v>9.6</v>
      </c>
      <c r="BN504" s="2346">
        <v>10.6</v>
      </c>
      <c r="BO504" s="2346">
        <v>11.8</v>
      </c>
      <c r="BP504" s="2346">
        <v>12.93</v>
      </c>
      <c r="BQ504" s="2346">
        <v>12.13</v>
      </c>
      <c r="BR504" s="2346">
        <v>13.4</v>
      </c>
      <c r="BS504" s="2346">
        <v>14.27</v>
      </c>
      <c r="BT504" s="2346">
        <v>15.67</v>
      </c>
      <c r="BU504" s="2346">
        <v>16.670000000000002</v>
      </c>
      <c r="BV504" s="2346">
        <v>19.73</v>
      </c>
      <c r="BW504" s="2346">
        <v>21.2</v>
      </c>
      <c r="BX504" s="2346">
        <v>22.2</v>
      </c>
      <c r="BY504" s="2346">
        <v>21.8</v>
      </c>
      <c r="BZ504" s="2346">
        <v>23.33</v>
      </c>
      <c r="CA504" s="2346">
        <v>25.4</v>
      </c>
      <c r="CB504" s="2346">
        <v>26.93</v>
      </c>
      <c r="CC504" s="2346">
        <v>28.07</v>
      </c>
      <c r="CD504" s="2346">
        <v>29.73</v>
      </c>
      <c r="CE504" s="2346">
        <v>32.67</v>
      </c>
      <c r="CF504" s="2346">
        <v>34.6</v>
      </c>
      <c r="CG504" s="2346">
        <v>37.67</v>
      </c>
      <c r="CH504" s="2346">
        <v>41.73</v>
      </c>
      <c r="CI504" s="2346">
        <v>46</v>
      </c>
      <c r="CJ504" s="2346">
        <v>51.53</v>
      </c>
      <c r="CK504" s="2346">
        <v>58.47</v>
      </c>
      <c r="CL504" s="2346">
        <v>66.13</v>
      </c>
      <c r="CM504" s="2347">
        <v>775</v>
      </c>
      <c r="CN504" s="2275"/>
      <c r="CO504" s="2275">
        <f>HLOOKUP(CO498,BL499:CL511,4,0)</f>
        <v>10.130000000000001</v>
      </c>
      <c r="CP504" s="2275">
        <f t="shared" si="286"/>
        <v>16.93</v>
      </c>
      <c r="CQ504" s="2275">
        <v>650</v>
      </c>
      <c r="CR504" s="2275"/>
      <c r="CS504" s="2275"/>
      <c r="CT504" s="2275"/>
      <c r="CU504" s="2275"/>
      <c r="CV504" s="2275"/>
      <c r="CW504" s="2275"/>
      <c r="CX504" s="2250"/>
      <c r="CY504" s="2250"/>
      <c r="CZ504" s="2250"/>
      <c r="DA504" s="2250"/>
      <c r="DB504" s="2250"/>
      <c r="DC504" s="2250"/>
      <c r="DD504" s="2250"/>
      <c r="DE504" s="2250"/>
      <c r="DF504" s="2250"/>
      <c r="DG504" s="2250"/>
      <c r="DH504" s="2250"/>
      <c r="DI504" s="2250"/>
      <c r="DJ504" s="2250"/>
      <c r="DK504" s="2250"/>
      <c r="DL504" s="2250"/>
      <c r="DM504" s="2250"/>
      <c r="DN504" s="2250"/>
      <c r="DO504" s="53"/>
      <c r="DP504" s="53"/>
      <c r="DS504" s="277"/>
      <c r="DW504" s="1"/>
      <c r="DX504" s="2275"/>
      <c r="DY504" s="2345">
        <v>775</v>
      </c>
      <c r="DZ504" s="2346">
        <v>8.5299999999999994</v>
      </c>
      <c r="EA504" s="2346">
        <v>9.6</v>
      </c>
      <c r="EB504" s="2346">
        <v>10.6</v>
      </c>
      <c r="EC504" s="2346">
        <v>11.8</v>
      </c>
      <c r="ED504" s="2346">
        <v>12.93</v>
      </c>
      <c r="EE504" s="2346">
        <v>12.13</v>
      </c>
      <c r="EF504" s="2346">
        <v>13.4</v>
      </c>
      <c r="EG504" s="2346">
        <v>14.27</v>
      </c>
      <c r="EH504" s="2346">
        <v>15.67</v>
      </c>
      <c r="EI504" s="2346">
        <v>16.670000000000002</v>
      </c>
      <c r="EJ504" s="2346">
        <v>19.73</v>
      </c>
      <c r="EK504" s="2346">
        <v>21.2</v>
      </c>
      <c r="EL504" s="2346">
        <v>22.2</v>
      </c>
      <c r="EM504" s="2346">
        <v>21.8</v>
      </c>
      <c r="EN504" s="2346">
        <v>23.33</v>
      </c>
      <c r="EO504" s="2346">
        <v>25.4</v>
      </c>
      <c r="EP504" s="2346">
        <v>26.93</v>
      </c>
      <c r="EQ504" s="2346">
        <v>28.07</v>
      </c>
      <c r="ER504" s="2346">
        <v>29.73</v>
      </c>
      <c r="ES504" s="2346">
        <v>32.67</v>
      </c>
      <c r="ET504" s="2346">
        <v>34.6</v>
      </c>
      <c r="EU504" s="2346">
        <v>37.67</v>
      </c>
      <c r="EV504" s="2346">
        <v>41.73</v>
      </c>
      <c r="EW504" s="2346">
        <v>46</v>
      </c>
      <c r="EX504" s="2346">
        <v>51.53</v>
      </c>
      <c r="EY504" s="2346">
        <v>58.47</v>
      </c>
      <c r="EZ504" s="2346">
        <v>66.13</v>
      </c>
      <c r="FA504" s="2347">
        <v>775</v>
      </c>
      <c r="FB504" s="2275"/>
      <c r="FC504" s="2275">
        <f>HLOOKUP(FC498,DZ499:EZ511,4,0)</f>
        <v>15.33</v>
      </c>
      <c r="FD504" s="2275">
        <f t="shared" si="287"/>
        <v>25.8</v>
      </c>
      <c r="FE504" s="2275">
        <v>650</v>
      </c>
      <c r="FF504" s="2275"/>
      <c r="FG504" s="2275"/>
      <c r="FH504" s="2275"/>
      <c r="FI504" s="2275"/>
      <c r="FJ504" s="2275"/>
      <c r="FK504" s="2275"/>
      <c r="FL504" s="2250"/>
      <c r="FM504" s="2250"/>
      <c r="FN504" s="2250"/>
      <c r="FO504" s="2250"/>
      <c r="FP504" s="2250"/>
      <c r="FQ504" s="2250"/>
      <c r="FR504" s="2250"/>
      <c r="FS504" s="2250"/>
      <c r="FT504" s="2250"/>
      <c r="FU504" s="2250"/>
      <c r="FV504" s="2250"/>
      <c r="FW504" s="2250"/>
      <c r="FX504" s="2250"/>
      <c r="FY504" s="2250"/>
      <c r="FZ504" s="2250"/>
      <c r="GA504" s="2250"/>
      <c r="GB504" s="2276"/>
      <c r="GC504" s="2276"/>
      <c r="GD504" s="2250"/>
      <c r="GE504" s="2275"/>
      <c r="GF504" s="2275"/>
      <c r="GG504" s="2345">
        <v>775</v>
      </c>
      <c r="GH504" s="2346">
        <v>8.5299999999999994</v>
      </c>
      <c r="GI504" s="2346">
        <v>9.6</v>
      </c>
      <c r="GJ504" s="2346">
        <v>10.6</v>
      </c>
      <c r="GK504" s="2346">
        <v>11.8</v>
      </c>
      <c r="GL504" s="2346">
        <v>12.93</v>
      </c>
      <c r="GM504" s="2346">
        <v>12.13</v>
      </c>
      <c r="GN504" s="2346">
        <v>13.4</v>
      </c>
      <c r="GO504" s="2346">
        <v>14.27</v>
      </c>
      <c r="GP504" s="2346">
        <v>15.67</v>
      </c>
      <c r="GQ504" s="2346">
        <v>16.670000000000002</v>
      </c>
      <c r="GR504" s="2346">
        <v>19.73</v>
      </c>
      <c r="GS504" s="2346">
        <v>21.2</v>
      </c>
      <c r="GT504" s="2346">
        <v>22.2</v>
      </c>
      <c r="GU504" s="2346">
        <v>21.8</v>
      </c>
      <c r="GV504" s="2346">
        <v>23.33</v>
      </c>
      <c r="GW504" s="2346">
        <v>25.4</v>
      </c>
      <c r="GX504" s="2346">
        <v>26.93</v>
      </c>
      <c r="GY504" s="2346">
        <v>28.07</v>
      </c>
      <c r="GZ504" s="2346">
        <v>29.73</v>
      </c>
      <c r="HA504" s="2346">
        <v>32.67</v>
      </c>
      <c r="HB504" s="2346">
        <v>34.6</v>
      </c>
      <c r="HC504" s="2346">
        <v>37.67</v>
      </c>
      <c r="HD504" s="2346">
        <v>41.73</v>
      </c>
      <c r="HE504" s="2346">
        <v>46</v>
      </c>
      <c r="HF504" s="2346">
        <v>51.53</v>
      </c>
      <c r="HG504" s="2346">
        <v>58.47</v>
      </c>
      <c r="HH504" s="2346">
        <v>66.13</v>
      </c>
      <c r="HI504" s="2347">
        <v>775</v>
      </c>
      <c r="HJ504" s="2275"/>
      <c r="HK504" s="2275">
        <f>HLOOKUP(HK498,GH499:HH511,4,0)</f>
        <v>14.67</v>
      </c>
      <c r="HL504" s="2275">
        <f t="shared" si="288"/>
        <v>23.53</v>
      </c>
      <c r="HM504" s="2275">
        <v>650</v>
      </c>
      <c r="HN504" s="2275"/>
      <c r="HO504" s="2275"/>
      <c r="HP504" s="2275"/>
      <c r="HQ504" s="2275"/>
      <c r="HR504" s="2275"/>
      <c r="HS504" s="2275"/>
      <c r="HT504" s="2250"/>
      <c r="HU504" s="2250"/>
      <c r="HV504" s="2250"/>
      <c r="HW504" s="2250"/>
      <c r="HX504" s="2250"/>
      <c r="HY504" s="2250"/>
      <c r="HZ504" s="2250"/>
      <c r="IA504" s="2250"/>
      <c r="IB504" s="2250"/>
      <c r="IC504" s="2250"/>
      <c r="ID504" s="2250"/>
      <c r="IE504" s="2250"/>
      <c r="IF504" s="2250"/>
      <c r="IG504" s="2250"/>
      <c r="IH504" s="2250"/>
      <c r="II504" s="2250"/>
      <c r="IJ504" s="2250"/>
      <c r="IK504" s="53"/>
      <c r="IL504" s="53"/>
      <c r="IN504" s="277"/>
      <c r="IO504" s="277"/>
    </row>
    <row r="505" spans="2:249" ht="21.95" customHeight="1">
      <c r="B505" s="2275"/>
      <c r="C505" s="2345">
        <v>825</v>
      </c>
      <c r="D505" s="2346">
        <v>12.4</v>
      </c>
      <c r="E505" s="2346">
        <v>13.73</v>
      </c>
      <c r="F505" s="2346">
        <v>14.87</v>
      </c>
      <c r="G505" s="2346">
        <v>14.93</v>
      </c>
      <c r="H505" s="2346">
        <v>16.600000000000001</v>
      </c>
      <c r="I505" s="2346">
        <v>16.93</v>
      </c>
      <c r="J505" s="2346">
        <v>18.670000000000002</v>
      </c>
      <c r="K505" s="2346">
        <v>19.93</v>
      </c>
      <c r="L505" s="2346">
        <v>21.2</v>
      </c>
      <c r="M505" s="2346">
        <v>22.47</v>
      </c>
      <c r="N505" s="2346">
        <v>23.93</v>
      </c>
      <c r="O505" s="2346">
        <v>26.87</v>
      </c>
      <c r="P505" s="2346">
        <v>28.2</v>
      </c>
      <c r="Q505" s="2346">
        <v>28.53</v>
      </c>
      <c r="R505" s="2346">
        <v>29.47</v>
      </c>
      <c r="S505" s="2346">
        <v>32.270000000000003</v>
      </c>
      <c r="T505" s="2346">
        <v>32.4</v>
      </c>
      <c r="U505" s="2346">
        <v>35.869999999999997</v>
      </c>
      <c r="V505" s="2346">
        <v>37.869999999999997</v>
      </c>
      <c r="W505" s="2346">
        <v>39.869999999999997</v>
      </c>
      <c r="X505" s="2346">
        <v>43.47</v>
      </c>
      <c r="Y505" s="2346">
        <v>47.13</v>
      </c>
      <c r="Z505" s="2346">
        <v>53.07</v>
      </c>
      <c r="AA505" s="2346">
        <v>58.8</v>
      </c>
      <c r="AB505" s="2346">
        <v>65.27</v>
      </c>
      <c r="AC505" s="2346">
        <v>66.67</v>
      </c>
      <c r="AD505" s="2346">
        <v>66.67</v>
      </c>
      <c r="AE505" s="2347">
        <v>825</v>
      </c>
      <c r="AF505" s="2275"/>
      <c r="AG505" s="2275">
        <f>HLOOKUP(AG498,D499:AD511,5,0)</f>
        <v>18.670000000000002</v>
      </c>
      <c r="AH505" s="2275">
        <f t="shared" si="285"/>
        <v>28.07</v>
      </c>
      <c r="AI505" s="2275">
        <v>775</v>
      </c>
      <c r="AJ505" s="2275"/>
      <c r="AK505" s="2275"/>
      <c r="AL505" s="2275"/>
      <c r="AM505" s="2275"/>
      <c r="AN505" s="2275"/>
      <c r="AO505" s="2275"/>
      <c r="AP505" s="2250"/>
      <c r="AQ505" s="2250"/>
      <c r="AR505" s="2250"/>
      <c r="AS505" s="2250"/>
      <c r="AT505" s="2250"/>
      <c r="AU505" s="2250"/>
      <c r="AV505" s="2250"/>
      <c r="AW505" s="2250"/>
      <c r="AX505" s="2250"/>
      <c r="AY505" s="2250"/>
      <c r="AZ505" s="2250"/>
      <c r="BA505" s="2250"/>
      <c r="BB505" s="2250"/>
      <c r="BC505" s="2250"/>
      <c r="BD505" s="2250"/>
      <c r="BE505" s="2250"/>
      <c r="BF505" s="2276"/>
      <c r="BG505" s="2276"/>
      <c r="BH505" s="2250"/>
      <c r="BI505" s="2275"/>
      <c r="BJ505" s="2275"/>
      <c r="BK505" s="2345">
        <v>825</v>
      </c>
      <c r="BL505" s="2346">
        <v>12.4</v>
      </c>
      <c r="BM505" s="2346">
        <v>13.73</v>
      </c>
      <c r="BN505" s="2346">
        <v>14.87</v>
      </c>
      <c r="BO505" s="2346">
        <v>14.93</v>
      </c>
      <c r="BP505" s="2346">
        <v>16.600000000000001</v>
      </c>
      <c r="BQ505" s="2346">
        <v>16.93</v>
      </c>
      <c r="BR505" s="2346">
        <v>18.670000000000002</v>
      </c>
      <c r="BS505" s="2346">
        <v>19.93</v>
      </c>
      <c r="BT505" s="2346">
        <v>21.2</v>
      </c>
      <c r="BU505" s="2346">
        <v>22.47</v>
      </c>
      <c r="BV505" s="2346">
        <v>23.93</v>
      </c>
      <c r="BW505" s="2346">
        <v>26.87</v>
      </c>
      <c r="BX505" s="2346">
        <v>28.2</v>
      </c>
      <c r="BY505" s="2346">
        <v>28.53</v>
      </c>
      <c r="BZ505" s="2346">
        <v>29.47</v>
      </c>
      <c r="CA505" s="2346">
        <v>32.270000000000003</v>
      </c>
      <c r="CB505" s="2346">
        <v>32.4</v>
      </c>
      <c r="CC505" s="2346">
        <v>35.869999999999997</v>
      </c>
      <c r="CD505" s="2346">
        <v>37.869999999999997</v>
      </c>
      <c r="CE505" s="2346">
        <v>39.869999999999997</v>
      </c>
      <c r="CF505" s="2346">
        <v>43.47</v>
      </c>
      <c r="CG505" s="2346">
        <v>47.13</v>
      </c>
      <c r="CH505" s="2346">
        <v>53.07</v>
      </c>
      <c r="CI505" s="2346">
        <v>58.8</v>
      </c>
      <c r="CJ505" s="2346">
        <v>65.27</v>
      </c>
      <c r="CK505" s="2346">
        <v>66.67</v>
      </c>
      <c r="CL505" s="2346">
        <v>66.67</v>
      </c>
      <c r="CM505" s="2347">
        <v>825</v>
      </c>
      <c r="CN505" s="2275"/>
      <c r="CO505" s="2275">
        <f>HLOOKUP(CO498,BL499:CL511,5,0)</f>
        <v>16.93</v>
      </c>
      <c r="CP505" s="2275">
        <f t="shared" si="286"/>
        <v>26.93</v>
      </c>
      <c r="CQ505" s="2275">
        <v>775</v>
      </c>
      <c r="CR505" s="2275"/>
      <c r="CS505" s="2275"/>
      <c r="CT505" s="2275"/>
      <c r="CU505" s="2275"/>
      <c r="CV505" s="2275"/>
      <c r="CW505" s="2275"/>
      <c r="CX505" s="2250"/>
      <c r="CY505" s="2250"/>
      <c r="CZ505" s="2250"/>
      <c r="DA505" s="2250"/>
      <c r="DB505" s="2250"/>
      <c r="DC505" s="2250"/>
      <c r="DD505" s="2250"/>
      <c r="DE505" s="2250"/>
      <c r="DF505" s="2250"/>
      <c r="DG505" s="2250"/>
      <c r="DH505" s="2250"/>
      <c r="DI505" s="2250"/>
      <c r="DJ505" s="2250"/>
      <c r="DK505" s="2250"/>
      <c r="DL505" s="2250"/>
      <c r="DM505" s="2250"/>
      <c r="DN505" s="2250"/>
      <c r="DO505" s="53"/>
      <c r="DP505" s="53"/>
      <c r="DS505" s="277"/>
      <c r="DW505" s="1"/>
      <c r="DX505" s="2275"/>
      <c r="DY505" s="2345">
        <v>825</v>
      </c>
      <c r="DZ505" s="2346">
        <v>12.4</v>
      </c>
      <c r="EA505" s="2346">
        <v>13.73</v>
      </c>
      <c r="EB505" s="2346">
        <v>14.87</v>
      </c>
      <c r="EC505" s="2346">
        <v>14.93</v>
      </c>
      <c r="ED505" s="2346">
        <v>16.600000000000001</v>
      </c>
      <c r="EE505" s="2346">
        <v>16.93</v>
      </c>
      <c r="EF505" s="2346">
        <v>18.670000000000002</v>
      </c>
      <c r="EG505" s="2346">
        <v>19.93</v>
      </c>
      <c r="EH505" s="2346">
        <v>21.2</v>
      </c>
      <c r="EI505" s="2346">
        <v>22.47</v>
      </c>
      <c r="EJ505" s="2346">
        <v>23.93</v>
      </c>
      <c r="EK505" s="2346">
        <v>26.87</v>
      </c>
      <c r="EL505" s="2346">
        <v>28.2</v>
      </c>
      <c r="EM505" s="2346">
        <v>28.53</v>
      </c>
      <c r="EN505" s="2346">
        <v>29.47</v>
      </c>
      <c r="EO505" s="2346">
        <v>32.270000000000003</v>
      </c>
      <c r="EP505" s="2346">
        <v>32.4</v>
      </c>
      <c r="EQ505" s="2346">
        <v>35.869999999999997</v>
      </c>
      <c r="ER505" s="2346">
        <v>37.869999999999997</v>
      </c>
      <c r="ES505" s="2346">
        <v>39.869999999999997</v>
      </c>
      <c r="ET505" s="2346">
        <v>43.47</v>
      </c>
      <c r="EU505" s="2346">
        <v>47.13</v>
      </c>
      <c r="EV505" s="2346">
        <v>53.07</v>
      </c>
      <c r="EW505" s="2346">
        <v>58.8</v>
      </c>
      <c r="EX505" s="2346">
        <v>65.27</v>
      </c>
      <c r="EY505" s="2346">
        <v>66.67</v>
      </c>
      <c r="EZ505" s="2346">
        <v>66.67</v>
      </c>
      <c r="FA505" s="2347">
        <v>825</v>
      </c>
      <c r="FB505" s="2275"/>
      <c r="FC505" s="2275">
        <f>HLOOKUP(FC498,DZ499:EZ511,5,0)</f>
        <v>25.8</v>
      </c>
      <c r="FD505" s="2275">
        <f t="shared" si="287"/>
        <v>41.73</v>
      </c>
      <c r="FE505" s="2275">
        <v>775</v>
      </c>
      <c r="FF505" s="2275"/>
      <c r="FG505" s="2275"/>
      <c r="FH505" s="2275"/>
      <c r="FI505" s="2275"/>
      <c r="FJ505" s="2275"/>
      <c r="FK505" s="2275"/>
      <c r="FL505" s="2250"/>
      <c r="FM505" s="2250"/>
      <c r="FN505" s="2250"/>
      <c r="FO505" s="2250"/>
      <c r="FP505" s="2250"/>
      <c r="FQ505" s="2250"/>
      <c r="FR505" s="2250"/>
      <c r="FS505" s="2250"/>
      <c r="FT505" s="2250"/>
      <c r="FU505" s="2250"/>
      <c r="FV505" s="2250"/>
      <c r="FW505" s="2250"/>
      <c r="FX505" s="2250"/>
      <c r="FY505" s="2250"/>
      <c r="FZ505" s="2250"/>
      <c r="GA505" s="2250"/>
      <c r="GB505" s="2276"/>
      <c r="GC505" s="2276"/>
      <c r="GD505" s="2250"/>
      <c r="GE505" s="2275"/>
      <c r="GF505" s="2275"/>
      <c r="GG505" s="2345">
        <v>825</v>
      </c>
      <c r="GH505" s="2346">
        <v>12.4</v>
      </c>
      <c r="GI505" s="2346">
        <v>13.73</v>
      </c>
      <c r="GJ505" s="2346">
        <v>14.87</v>
      </c>
      <c r="GK505" s="2346">
        <v>14.93</v>
      </c>
      <c r="GL505" s="2346">
        <v>16.600000000000001</v>
      </c>
      <c r="GM505" s="2346">
        <v>16.93</v>
      </c>
      <c r="GN505" s="2346">
        <v>18.670000000000002</v>
      </c>
      <c r="GO505" s="2346">
        <v>19.93</v>
      </c>
      <c r="GP505" s="2346">
        <v>21.2</v>
      </c>
      <c r="GQ505" s="2346">
        <v>22.47</v>
      </c>
      <c r="GR505" s="2346">
        <v>23.93</v>
      </c>
      <c r="GS505" s="2346">
        <v>26.87</v>
      </c>
      <c r="GT505" s="2346">
        <v>28.2</v>
      </c>
      <c r="GU505" s="2346">
        <v>28.53</v>
      </c>
      <c r="GV505" s="2346">
        <v>29.47</v>
      </c>
      <c r="GW505" s="2346">
        <v>32.270000000000003</v>
      </c>
      <c r="GX505" s="2346">
        <v>32.4</v>
      </c>
      <c r="GY505" s="2346">
        <v>35.869999999999997</v>
      </c>
      <c r="GZ505" s="2346">
        <v>37.869999999999997</v>
      </c>
      <c r="HA505" s="2346">
        <v>39.869999999999997</v>
      </c>
      <c r="HB505" s="2346">
        <v>43.47</v>
      </c>
      <c r="HC505" s="2346">
        <v>47.13</v>
      </c>
      <c r="HD505" s="2346">
        <v>53.07</v>
      </c>
      <c r="HE505" s="2346">
        <v>58.8</v>
      </c>
      <c r="HF505" s="2346">
        <v>65.27</v>
      </c>
      <c r="HG505" s="2346">
        <v>66.67</v>
      </c>
      <c r="HH505" s="2346">
        <v>66.67</v>
      </c>
      <c r="HI505" s="2347">
        <v>825</v>
      </c>
      <c r="HJ505" s="2275"/>
      <c r="HK505" s="2275">
        <f>HLOOKUP(HK498,GH499:HH511,5,0)</f>
        <v>23.53</v>
      </c>
      <c r="HL505" s="2275">
        <f t="shared" si="288"/>
        <v>37.67</v>
      </c>
      <c r="HM505" s="2275">
        <v>775</v>
      </c>
      <c r="HN505" s="2275"/>
      <c r="HO505" s="2275"/>
      <c r="HP505" s="2275"/>
      <c r="HQ505" s="2275"/>
      <c r="HR505" s="2275"/>
      <c r="HS505" s="2275"/>
      <c r="HT505" s="2250"/>
      <c r="HU505" s="2250"/>
      <c r="HV505" s="2250"/>
      <c r="HW505" s="2250"/>
      <c r="HX505" s="2250"/>
      <c r="HY505" s="2250"/>
      <c r="HZ505" s="2250"/>
      <c r="IA505" s="2250"/>
      <c r="IB505" s="2250"/>
      <c r="IC505" s="2250"/>
      <c r="ID505" s="2250"/>
      <c r="IE505" s="2250"/>
      <c r="IF505" s="2250"/>
      <c r="IG505" s="2250"/>
      <c r="IH505" s="2250"/>
      <c r="II505" s="2250"/>
      <c r="IJ505" s="2250"/>
      <c r="IK505" s="53"/>
      <c r="IL505" s="53"/>
      <c r="IN505" s="277"/>
      <c r="IO505" s="277"/>
    </row>
    <row r="506" spans="2:249" ht="21.95" customHeight="1">
      <c r="B506" s="2275"/>
      <c r="C506" s="2345">
        <v>950</v>
      </c>
      <c r="D506" s="2346">
        <v>17.2</v>
      </c>
      <c r="E506" s="2346">
        <v>19.399999999999999</v>
      </c>
      <c r="F506" s="2346">
        <v>21.47</v>
      </c>
      <c r="G506" s="2346">
        <v>22.93</v>
      </c>
      <c r="H506" s="2346">
        <v>22.93</v>
      </c>
      <c r="I506" s="2346">
        <v>24.53</v>
      </c>
      <c r="J506" s="2346">
        <v>27.13</v>
      </c>
      <c r="K506" s="2346">
        <v>28.87</v>
      </c>
      <c r="L506" s="2346">
        <v>30.8</v>
      </c>
      <c r="M506" s="2346">
        <v>33.67</v>
      </c>
      <c r="N506" s="2346">
        <v>34.47</v>
      </c>
      <c r="O506" s="2346">
        <v>40.270000000000003</v>
      </c>
      <c r="P506" s="2346">
        <v>40.799999999999997</v>
      </c>
      <c r="Q506" s="2346">
        <v>41</v>
      </c>
      <c r="R506" s="2346">
        <v>42.93</v>
      </c>
      <c r="S506" s="2346">
        <v>47.2</v>
      </c>
      <c r="T506" s="2346">
        <v>50.47</v>
      </c>
      <c r="U506" s="2346">
        <v>52.93</v>
      </c>
      <c r="V506" s="2346">
        <v>55.07</v>
      </c>
      <c r="W506" s="2346">
        <v>60.53</v>
      </c>
      <c r="X506" s="2346">
        <v>64.87</v>
      </c>
      <c r="Y506" s="2346">
        <v>70.33</v>
      </c>
      <c r="Z506" s="2346">
        <v>76.47</v>
      </c>
      <c r="AA506" s="2346">
        <v>84.07</v>
      </c>
      <c r="AB506" s="2346">
        <v>93.47</v>
      </c>
      <c r="AC506" s="2346">
        <v>99.47</v>
      </c>
      <c r="AD506" s="2346">
        <v>99.47</v>
      </c>
      <c r="AE506" s="2347">
        <v>950</v>
      </c>
      <c r="AF506" s="2275"/>
      <c r="AG506" s="2275">
        <f>HLOOKUP(AG498,D499:AD511,6,0)</f>
        <v>28.07</v>
      </c>
      <c r="AH506" s="2275">
        <f t="shared" si="285"/>
        <v>35.869999999999997</v>
      </c>
      <c r="AI506" s="2275">
        <v>825</v>
      </c>
      <c r="AJ506" s="2275"/>
      <c r="AK506" s="2275"/>
      <c r="AL506" s="2275"/>
      <c r="AM506" s="2275"/>
      <c r="AN506" s="2275"/>
      <c r="AO506" s="2275"/>
      <c r="AP506" s="2250"/>
      <c r="AQ506" s="2250"/>
      <c r="AR506" s="2250"/>
      <c r="AS506" s="2250"/>
      <c r="AT506" s="2250"/>
      <c r="AU506" s="2250"/>
      <c r="AV506" s="2250"/>
      <c r="AW506" s="2250"/>
      <c r="AX506" s="2250"/>
      <c r="AY506" s="2250"/>
      <c r="AZ506" s="2250"/>
      <c r="BA506" s="2250"/>
      <c r="BB506" s="2250"/>
      <c r="BC506" s="2250"/>
      <c r="BD506" s="2250"/>
      <c r="BE506" s="2250"/>
      <c r="BF506" s="2276"/>
      <c r="BG506" s="2276"/>
      <c r="BH506" s="2250"/>
      <c r="BI506" s="2275"/>
      <c r="BJ506" s="2275"/>
      <c r="BK506" s="2345">
        <v>950</v>
      </c>
      <c r="BL506" s="2346">
        <v>17.2</v>
      </c>
      <c r="BM506" s="2346">
        <v>19.399999999999999</v>
      </c>
      <c r="BN506" s="2346">
        <v>21.47</v>
      </c>
      <c r="BO506" s="2346">
        <v>22.93</v>
      </c>
      <c r="BP506" s="2346">
        <v>22.93</v>
      </c>
      <c r="BQ506" s="2346">
        <v>24.53</v>
      </c>
      <c r="BR506" s="2346">
        <v>27.13</v>
      </c>
      <c r="BS506" s="2346">
        <v>28.87</v>
      </c>
      <c r="BT506" s="2346">
        <v>30.8</v>
      </c>
      <c r="BU506" s="2346">
        <v>33.67</v>
      </c>
      <c r="BV506" s="2346">
        <v>34.47</v>
      </c>
      <c r="BW506" s="2346">
        <v>40.270000000000003</v>
      </c>
      <c r="BX506" s="2346">
        <v>40.799999999999997</v>
      </c>
      <c r="BY506" s="2346">
        <v>41</v>
      </c>
      <c r="BZ506" s="2346">
        <v>42.93</v>
      </c>
      <c r="CA506" s="2346">
        <v>47.2</v>
      </c>
      <c r="CB506" s="2346">
        <v>50.47</v>
      </c>
      <c r="CC506" s="2346">
        <v>52.93</v>
      </c>
      <c r="CD506" s="2346">
        <v>55.07</v>
      </c>
      <c r="CE506" s="2346">
        <v>60.53</v>
      </c>
      <c r="CF506" s="2346">
        <v>64.87</v>
      </c>
      <c r="CG506" s="2346">
        <v>70.33</v>
      </c>
      <c r="CH506" s="2346">
        <v>76.47</v>
      </c>
      <c r="CI506" s="2346">
        <v>84.07</v>
      </c>
      <c r="CJ506" s="2346">
        <v>93.47</v>
      </c>
      <c r="CK506" s="2346">
        <v>99.47</v>
      </c>
      <c r="CL506" s="2346">
        <v>99.47</v>
      </c>
      <c r="CM506" s="2347">
        <v>950</v>
      </c>
      <c r="CN506" s="2275"/>
      <c r="CO506" s="2275">
        <f>HLOOKUP(CO498,BL499:CL511,6,0)</f>
        <v>26.93</v>
      </c>
      <c r="CP506" s="2275">
        <f t="shared" si="286"/>
        <v>32.4</v>
      </c>
      <c r="CQ506" s="2275">
        <v>825</v>
      </c>
      <c r="CR506" s="2275"/>
      <c r="CS506" s="2275"/>
      <c r="CT506" s="2275"/>
      <c r="CU506" s="2275"/>
      <c r="CV506" s="2275"/>
      <c r="CW506" s="2275"/>
      <c r="CX506" s="2250"/>
      <c r="CY506" s="2250"/>
      <c r="CZ506" s="2250"/>
      <c r="DA506" s="2250"/>
      <c r="DB506" s="2250"/>
      <c r="DC506" s="2250"/>
      <c r="DD506" s="2250"/>
      <c r="DE506" s="2250"/>
      <c r="DF506" s="2250"/>
      <c r="DG506" s="2250"/>
      <c r="DH506" s="2250"/>
      <c r="DI506" s="2250"/>
      <c r="DJ506" s="2250"/>
      <c r="DK506" s="2250"/>
      <c r="DL506" s="2250"/>
      <c r="DM506" s="2250"/>
      <c r="DN506" s="2250"/>
      <c r="DO506" s="53"/>
      <c r="DP506" s="53"/>
      <c r="DS506" s="277"/>
      <c r="DW506" s="1"/>
      <c r="DX506" s="2275"/>
      <c r="DY506" s="2345">
        <v>950</v>
      </c>
      <c r="DZ506" s="2346">
        <v>17.2</v>
      </c>
      <c r="EA506" s="2346">
        <v>19.399999999999999</v>
      </c>
      <c r="EB506" s="2346">
        <v>21.47</v>
      </c>
      <c r="EC506" s="2346">
        <v>22.93</v>
      </c>
      <c r="ED506" s="2346">
        <v>22.93</v>
      </c>
      <c r="EE506" s="2346">
        <v>24.53</v>
      </c>
      <c r="EF506" s="2346">
        <v>27.13</v>
      </c>
      <c r="EG506" s="2346">
        <v>28.87</v>
      </c>
      <c r="EH506" s="2346">
        <v>30.8</v>
      </c>
      <c r="EI506" s="2346">
        <v>33.67</v>
      </c>
      <c r="EJ506" s="2346">
        <v>34.47</v>
      </c>
      <c r="EK506" s="2346">
        <v>40.270000000000003</v>
      </c>
      <c r="EL506" s="2346">
        <v>40.799999999999997</v>
      </c>
      <c r="EM506" s="2346">
        <v>41</v>
      </c>
      <c r="EN506" s="2346">
        <v>42.93</v>
      </c>
      <c r="EO506" s="2346">
        <v>47.2</v>
      </c>
      <c r="EP506" s="2346">
        <v>50.47</v>
      </c>
      <c r="EQ506" s="2346">
        <v>52.93</v>
      </c>
      <c r="ER506" s="2346">
        <v>55.07</v>
      </c>
      <c r="ES506" s="2346">
        <v>60.53</v>
      </c>
      <c r="ET506" s="2346">
        <v>64.87</v>
      </c>
      <c r="EU506" s="2346">
        <v>70.33</v>
      </c>
      <c r="EV506" s="2346">
        <v>76.47</v>
      </c>
      <c r="EW506" s="2346">
        <v>84.07</v>
      </c>
      <c r="EX506" s="2346">
        <v>93.47</v>
      </c>
      <c r="EY506" s="2346">
        <v>99.47</v>
      </c>
      <c r="EZ506" s="2346">
        <v>99.47</v>
      </c>
      <c r="FA506" s="2347">
        <v>950</v>
      </c>
      <c r="FB506" s="2275"/>
      <c r="FC506" s="2275">
        <f>HLOOKUP(FC498,DZ499:EZ511,6,0)</f>
        <v>41.73</v>
      </c>
      <c r="FD506" s="2275">
        <f t="shared" si="287"/>
        <v>53.07</v>
      </c>
      <c r="FE506" s="2275">
        <v>825</v>
      </c>
      <c r="FF506" s="2275"/>
      <c r="FG506" s="2275"/>
      <c r="FH506" s="2275"/>
      <c r="FI506" s="2275"/>
      <c r="FJ506" s="2275"/>
      <c r="FK506" s="2275"/>
      <c r="FL506" s="2250"/>
      <c r="FM506" s="2250"/>
      <c r="FN506" s="2250"/>
      <c r="FO506" s="2250"/>
      <c r="FP506" s="2250"/>
      <c r="FQ506" s="2250"/>
      <c r="FR506" s="2250"/>
      <c r="FS506" s="2250"/>
      <c r="FT506" s="2250"/>
      <c r="FU506" s="2250"/>
      <c r="FV506" s="2250"/>
      <c r="FW506" s="2250"/>
      <c r="FX506" s="2250"/>
      <c r="FY506" s="2250"/>
      <c r="FZ506" s="2250"/>
      <c r="GA506" s="2250"/>
      <c r="GB506" s="2276"/>
      <c r="GC506" s="2276"/>
      <c r="GD506" s="2250"/>
      <c r="GE506" s="2275"/>
      <c r="GF506" s="2275"/>
      <c r="GG506" s="2345">
        <v>950</v>
      </c>
      <c r="GH506" s="2346">
        <v>17.2</v>
      </c>
      <c r="GI506" s="2346">
        <v>19.399999999999999</v>
      </c>
      <c r="GJ506" s="2346">
        <v>21.47</v>
      </c>
      <c r="GK506" s="2346">
        <v>22.93</v>
      </c>
      <c r="GL506" s="2346">
        <v>22.93</v>
      </c>
      <c r="GM506" s="2346">
        <v>24.53</v>
      </c>
      <c r="GN506" s="2346">
        <v>27.13</v>
      </c>
      <c r="GO506" s="2346">
        <v>28.87</v>
      </c>
      <c r="GP506" s="2346">
        <v>30.8</v>
      </c>
      <c r="GQ506" s="2346">
        <v>33.67</v>
      </c>
      <c r="GR506" s="2346">
        <v>34.47</v>
      </c>
      <c r="GS506" s="2346">
        <v>40.270000000000003</v>
      </c>
      <c r="GT506" s="2346">
        <v>40.799999999999997</v>
      </c>
      <c r="GU506" s="2346">
        <v>41</v>
      </c>
      <c r="GV506" s="2346">
        <v>42.93</v>
      </c>
      <c r="GW506" s="2346">
        <v>47.2</v>
      </c>
      <c r="GX506" s="2346">
        <v>50.47</v>
      </c>
      <c r="GY506" s="2346">
        <v>52.93</v>
      </c>
      <c r="GZ506" s="2346">
        <v>55.07</v>
      </c>
      <c r="HA506" s="2346">
        <v>60.53</v>
      </c>
      <c r="HB506" s="2346">
        <v>64.87</v>
      </c>
      <c r="HC506" s="2346">
        <v>70.33</v>
      </c>
      <c r="HD506" s="2346">
        <v>76.47</v>
      </c>
      <c r="HE506" s="2346">
        <v>84.07</v>
      </c>
      <c r="HF506" s="2346">
        <v>93.47</v>
      </c>
      <c r="HG506" s="2346">
        <v>99.47</v>
      </c>
      <c r="HH506" s="2346">
        <v>99.47</v>
      </c>
      <c r="HI506" s="2347">
        <v>950</v>
      </c>
      <c r="HJ506" s="2275"/>
      <c r="HK506" s="2275">
        <f>HLOOKUP(HK498,GH499:HH511,6,0)</f>
        <v>37.67</v>
      </c>
      <c r="HL506" s="2275">
        <f t="shared" si="288"/>
        <v>47.13</v>
      </c>
      <c r="HM506" s="2275">
        <v>825</v>
      </c>
      <c r="HN506" s="2275"/>
      <c r="HO506" s="2275"/>
      <c r="HP506" s="2275"/>
      <c r="HQ506" s="2275"/>
      <c r="HR506" s="2275"/>
      <c r="HS506" s="2275"/>
      <c r="HT506" s="2250"/>
      <c r="HU506" s="2250"/>
      <c r="HV506" s="2250"/>
      <c r="HW506" s="2250"/>
      <c r="HX506" s="2250"/>
      <c r="HY506" s="2250"/>
      <c r="HZ506" s="2250"/>
      <c r="IA506" s="2250"/>
      <c r="IB506" s="2250"/>
      <c r="IC506" s="2250"/>
      <c r="ID506" s="2250"/>
      <c r="IE506" s="2250"/>
      <c r="IF506" s="2250"/>
      <c r="IG506" s="2250"/>
      <c r="IH506" s="2250"/>
      <c r="II506" s="2250"/>
      <c r="IJ506" s="2250"/>
      <c r="IK506" s="53"/>
      <c r="IL506" s="53"/>
      <c r="IN506" s="277"/>
      <c r="IO506" s="277"/>
    </row>
    <row r="507" spans="2:249" ht="21.95" customHeight="1">
      <c r="B507" s="2275"/>
      <c r="C507" s="2345">
        <v>1100</v>
      </c>
      <c r="D507" s="2346">
        <v>23.13</v>
      </c>
      <c r="E507" s="2346">
        <v>26.07</v>
      </c>
      <c r="F507" s="2346">
        <v>28.87</v>
      </c>
      <c r="G507" s="2346">
        <v>32</v>
      </c>
      <c r="H507" s="2346">
        <v>34.93</v>
      </c>
      <c r="I507" s="2346">
        <v>32.93</v>
      </c>
      <c r="J507" s="2346">
        <v>36.47</v>
      </c>
      <c r="K507" s="2346">
        <v>39.93</v>
      </c>
      <c r="L507" s="2346">
        <v>42.53</v>
      </c>
      <c r="M507" s="2346">
        <v>45.2</v>
      </c>
      <c r="N507" s="2346">
        <v>53.47</v>
      </c>
      <c r="O507" s="2346">
        <v>57.07</v>
      </c>
      <c r="P507" s="2346">
        <v>60.33</v>
      </c>
      <c r="Q507" s="2346">
        <v>59.2</v>
      </c>
      <c r="R507" s="2346">
        <v>63.4</v>
      </c>
      <c r="S507" s="2346">
        <v>67.2</v>
      </c>
      <c r="T507" s="2346">
        <v>73.069999999999993</v>
      </c>
      <c r="U507" s="2346">
        <v>76.27</v>
      </c>
      <c r="V507" s="2346">
        <v>80.67</v>
      </c>
      <c r="W507" s="2346">
        <v>89.27</v>
      </c>
      <c r="X507" s="2346">
        <v>93.87</v>
      </c>
      <c r="Y507" s="2346">
        <v>102.27</v>
      </c>
      <c r="Z507" s="2346">
        <v>111.87</v>
      </c>
      <c r="AA507" s="2346">
        <v>124.93</v>
      </c>
      <c r="AB507" s="2346">
        <v>137.33000000000001</v>
      </c>
      <c r="AC507" s="2346">
        <v>158.72999999999999</v>
      </c>
      <c r="AD507" s="2346">
        <v>179.47</v>
      </c>
      <c r="AE507" s="2347">
        <v>1100</v>
      </c>
      <c r="AF507" s="2275"/>
      <c r="AG507" s="2275">
        <f>HLOOKUP(AG498,D499:AD511,7,0)</f>
        <v>35.869999999999997</v>
      </c>
      <c r="AH507" s="2275">
        <f t="shared" si="285"/>
        <v>52.93</v>
      </c>
      <c r="AI507" s="2275">
        <v>950</v>
      </c>
      <c r="AJ507" s="2275"/>
      <c r="AK507" s="2275"/>
      <c r="AL507" s="2275"/>
      <c r="AM507" s="2275"/>
      <c r="AN507" s="2275"/>
      <c r="AO507" s="2275"/>
      <c r="AP507" s="2250"/>
      <c r="AQ507" s="2250"/>
      <c r="AR507" s="2250"/>
      <c r="AS507" s="2250"/>
      <c r="AT507" s="2250"/>
      <c r="AU507" s="2250"/>
      <c r="AV507" s="2250"/>
      <c r="AW507" s="2250"/>
      <c r="AX507" s="2250"/>
      <c r="AY507" s="2250"/>
      <c r="AZ507" s="2250"/>
      <c r="BA507" s="2250"/>
      <c r="BB507" s="2250"/>
      <c r="BC507" s="2250"/>
      <c r="BD507" s="2250"/>
      <c r="BE507" s="2250"/>
      <c r="BF507" s="2276"/>
      <c r="BG507" s="2276"/>
      <c r="BH507" s="2250"/>
      <c r="BI507" s="2275"/>
      <c r="BJ507" s="2275"/>
      <c r="BK507" s="2345">
        <v>1100</v>
      </c>
      <c r="BL507" s="2346">
        <v>23.13</v>
      </c>
      <c r="BM507" s="2346">
        <v>26.07</v>
      </c>
      <c r="BN507" s="2346">
        <v>28.87</v>
      </c>
      <c r="BO507" s="2346">
        <v>32</v>
      </c>
      <c r="BP507" s="2346">
        <v>34.93</v>
      </c>
      <c r="BQ507" s="2346">
        <v>32.93</v>
      </c>
      <c r="BR507" s="2346">
        <v>36.47</v>
      </c>
      <c r="BS507" s="2346">
        <v>39.93</v>
      </c>
      <c r="BT507" s="2346">
        <v>42.53</v>
      </c>
      <c r="BU507" s="2346">
        <v>45.2</v>
      </c>
      <c r="BV507" s="2346">
        <v>53.47</v>
      </c>
      <c r="BW507" s="2346">
        <v>57.07</v>
      </c>
      <c r="BX507" s="2346">
        <v>60.33</v>
      </c>
      <c r="BY507" s="2346">
        <v>59.2</v>
      </c>
      <c r="BZ507" s="2346">
        <v>63.4</v>
      </c>
      <c r="CA507" s="2346">
        <v>67.2</v>
      </c>
      <c r="CB507" s="2346">
        <v>73.069999999999993</v>
      </c>
      <c r="CC507" s="2346">
        <v>76.27</v>
      </c>
      <c r="CD507" s="2346">
        <v>80.67</v>
      </c>
      <c r="CE507" s="2346">
        <v>89.27</v>
      </c>
      <c r="CF507" s="2346">
        <v>93.87</v>
      </c>
      <c r="CG507" s="2346">
        <v>102.27</v>
      </c>
      <c r="CH507" s="2346">
        <v>111.87</v>
      </c>
      <c r="CI507" s="2346">
        <v>124.93</v>
      </c>
      <c r="CJ507" s="2346">
        <v>137.33000000000001</v>
      </c>
      <c r="CK507" s="2346">
        <v>158.72999999999999</v>
      </c>
      <c r="CL507" s="2346">
        <v>179.47</v>
      </c>
      <c r="CM507" s="2347">
        <v>1100</v>
      </c>
      <c r="CN507" s="2275"/>
      <c r="CO507" s="2275">
        <f>HLOOKUP(CO498,BL499:CL511,7,0)</f>
        <v>32.4</v>
      </c>
      <c r="CP507" s="2275">
        <f t="shared" si="286"/>
        <v>50.47</v>
      </c>
      <c r="CQ507" s="2275">
        <v>950</v>
      </c>
      <c r="CR507" s="2275"/>
      <c r="CS507" s="2275"/>
      <c r="CT507" s="2275"/>
      <c r="CU507" s="2275"/>
      <c r="CV507" s="2275"/>
      <c r="CW507" s="2275"/>
      <c r="CX507" s="2250"/>
      <c r="CY507" s="2250"/>
      <c r="CZ507" s="2250"/>
      <c r="DA507" s="2250"/>
      <c r="DB507" s="2250"/>
      <c r="DC507" s="2250"/>
      <c r="DD507" s="2250"/>
      <c r="DE507" s="2250"/>
      <c r="DF507" s="2250"/>
      <c r="DG507" s="2250"/>
      <c r="DH507" s="2250"/>
      <c r="DI507" s="2250"/>
      <c r="DJ507" s="2250"/>
      <c r="DK507" s="2250"/>
      <c r="DL507" s="2250"/>
      <c r="DM507" s="2250"/>
      <c r="DN507" s="2250"/>
      <c r="DO507" s="53"/>
      <c r="DP507" s="53"/>
      <c r="DS507" s="277"/>
      <c r="DW507" s="1"/>
      <c r="DX507" s="2275"/>
      <c r="DY507" s="2345">
        <v>1100</v>
      </c>
      <c r="DZ507" s="2346">
        <v>23.13</v>
      </c>
      <c r="EA507" s="2346">
        <v>26.07</v>
      </c>
      <c r="EB507" s="2346">
        <v>28.87</v>
      </c>
      <c r="EC507" s="2346">
        <v>32</v>
      </c>
      <c r="ED507" s="2346">
        <v>34.93</v>
      </c>
      <c r="EE507" s="2346">
        <v>32.93</v>
      </c>
      <c r="EF507" s="2346">
        <v>36.47</v>
      </c>
      <c r="EG507" s="2346">
        <v>39.93</v>
      </c>
      <c r="EH507" s="2346">
        <v>42.53</v>
      </c>
      <c r="EI507" s="2346">
        <v>45.2</v>
      </c>
      <c r="EJ507" s="2346">
        <v>53.47</v>
      </c>
      <c r="EK507" s="2346">
        <v>57.07</v>
      </c>
      <c r="EL507" s="2346">
        <v>60.33</v>
      </c>
      <c r="EM507" s="2346">
        <v>59.2</v>
      </c>
      <c r="EN507" s="2346">
        <v>63.4</v>
      </c>
      <c r="EO507" s="2346">
        <v>67.2</v>
      </c>
      <c r="EP507" s="2346">
        <v>73.069999999999993</v>
      </c>
      <c r="EQ507" s="2346">
        <v>76.27</v>
      </c>
      <c r="ER507" s="2346">
        <v>80.67</v>
      </c>
      <c r="ES507" s="2346">
        <v>89.27</v>
      </c>
      <c r="ET507" s="2346">
        <v>93.87</v>
      </c>
      <c r="EU507" s="2346">
        <v>102.27</v>
      </c>
      <c r="EV507" s="2346">
        <v>111.87</v>
      </c>
      <c r="EW507" s="2346">
        <v>124.93</v>
      </c>
      <c r="EX507" s="2346">
        <v>137.33000000000001</v>
      </c>
      <c r="EY507" s="2346">
        <v>158.72999999999999</v>
      </c>
      <c r="EZ507" s="2346">
        <v>179.47</v>
      </c>
      <c r="FA507" s="2347">
        <v>1100</v>
      </c>
      <c r="FB507" s="2275"/>
      <c r="FC507" s="2275">
        <f>HLOOKUP(FC498,DZ499:EZ511,7,0)</f>
        <v>53.07</v>
      </c>
      <c r="FD507" s="2275">
        <f t="shared" si="287"/>
        <v>76.47</v>
      </c>
      <c r="FE507" s="2275">
        <v>950</v>
      </c>
      <c r="FF507" s="2275"/>
      <c r="FG507" s="2275"/>
      <c r="FH507" s="2275"/>
      <c r="FI507" s="2275"/>
      <c r="FJ507" s="2275"/>
      <c r="FK507" s="2275"/>
      <c r="FL507" s="2250"/>
      <c r="FM507" s="2250"/>
      <c r="FN507" s="2250"/>
      <c r="FO507" s="2250"/>
      <c r="FP507" s="2250"/>
      <c r="FQ507" s="2250"/>
      <c r="FR507" s="2250"/>
      <c r="FS507" s="2250"/>
      <c r="FT507" s="2250"/>
      <c r="FU507" s="2250"/>
      <c r="FV507" s="2250"/>
      <c r="FW507" s="2250"/>
      <c r="FX507" s="2250"/>
      <c r="FY507" s="2250"/>
      <c r="FZ507" s="2250"/>
      <c r="GA507" s="2250"/>
      <c r="GB507" s="2276"/>
      <c r="GC507" s="2276"/>
      <c r="GD507" s="2250"/>
      <c r="GE507" s="2275"/>
      <c r="GF507" s="2275"/>
      <c r="GG507" s="2345">
        <v>1100</v>
      </c>
      <c r="GH507" s="2346">
        <v>23.13</v>
      </c>
      <c r="GI507" s="2346">
        <v>26.07</v>
      </c>
      <c r="GJ507" s="2346">
        <v>28.87</v>
      </c>
      <c r="GK507" s="2346">
        <v>32</v>
      </c>
      <c r="GL507" s="2346">
        <v>34.93</v>
      </c>
      <c r="GM507" s="2346">
        <v>32.93</v>
      </c>
      <c r="GN507" s="2346">
        <v>36.47</v>
      </c>
      <c r="GO507" s="2346">
        <v>39.93</v>
      </c>
      <c r="GP507" s="2346">
        <v>42.53</v>
      </c>
      <c r="GQ507" s="2346">
        <v>45.2</v>
      </c>
      <c r="GR507" s="2346">
        <v>53.47</v>
      </c>
      <c r="GS507" s="2346">
        <v>57.07</v>
      </c>
      <c r="GT507" s="2346">
        <v>60.33</v>
      </c>
      <c r="GU507" s="2346">
        <v>59.2</v>
      </c>
      <c r="GV507" s="2346">
        <v>63.4</v>
      </c>
      <c r="GW507" s="2346">
        <v>67.2</v>
      </c>
      <c r="GX507" s="2346">
        <v>73.069999999999993</v>
      </c>
      <c r="GY507" s="2346">
        <v>76.27</v>
      </c>
      <c r="GZ507" s="2346">
        <v>80.67</v>
      </c>
      <c r="HA507" s="2346">
        <v>89.27</v>
      </c>
      <c r="HB507" s="2346">
        <v>93.87</v>
      </c>
      <c r="HC507" s="2346">
        <v>102.27</v>
      </c>
      <c r="HD507" s="2346">
        <v>111.87</v>
      </c>
      <c r="HE507" s="2346">
        <v>124.93</v>
      </c>
      <c r="HF507" s="2346">
        <v>137.33000000000001</v>
      </c>
      <c r="HG507" s="2346">
        <v>158.72999999999999</v>
      </c>
      <c r="HH507" s="2346">
        <v>179.47</v>
      </c>
      <c r="HI507" s="2347">
        <v>1100</v>
      </c>
      <c r="HJ507" s="2275"/>
      <c r="HK507" s="2275">
        <f>HLOOKUP(HK498,GH499:HH511,7,0)</f>
        <v>47.13</v>
      </c>
      <c r="HL507" s="2275">
        <f t="shared" si="288"/>
        <v>70.33</v>
      </c>
      <c r="HM507" s="2275">
        <v>950</v>
      </c>
      <c r="HN507" s="2275"/>
      <c r="HO507" s="2275"/>
      <c r="HP507" s="2275"/>
      <c r="HQ507" s="2275"/>
      <c r="HR507" s="2275"/>
      <c r="HS507" s="2275"/>
      <c r="HT507" s="2250"/>
      <c r="HU507" s="2250"/>
      <c r="HV507" s="2250"/>
      <c r="HW507" s="2250"/>
      <c r="HX507" s="2250"/>
      <c r="HY507" s="2250"/>
      <c r="HZ507" s="2250"/>
      <c r="IA507" s="2250"/>
      <c r="IB507" s="2250"/>
      <c r="IC507" s="2250"/>
      <c r="ID507" s="2250"/>
      <c r="IE507" s="2250"/>
      <c r="IF507" s="2250"/>
      <c r="IG507" s="2250"/>
      <c r="IH507" s="2250"/>
      <c r="II507" s="2250"/>
      <c r="IJ507" s="2250"/>
      <c r="IK507" s="53"/>
      <c r="IL507" s="53"/>
      <c r="IN507" s="277"/>
      <c r="IO507" s="277"/>
    </row>
    <row r="508" spans="2:249" ht="21.95" customHeight="1">
      <c r="B508" s="2275"/>
      <c r="C508" s="2345">
        <v>1250</v>
      </c>
      <c r="D508" s="2346">
        <v>33.93</v>
      </c>
      <c r="E508" s="2346">
        <v>38.270000000000003</v>
      </c>
      <c r="F508" s="2346">
        <v>42.4</v>
      </c>
      <c r="G508" s="2346">
        <v>46.93</v>
      </c>
      <c r="H508" s="2346">
        <v>51.27</v>
      </c>
      <c r="I508" s="2346">
        <v>48.33</v>
      </c>
      <c r="J508" s="2346">
        <v>53.53</v>
      </c>
      <c r="K508" s="2346">
        <v>57</v>
      </c>
      <c r="L508" s="2346">
        <v>62.53</v>
      </c>
      <c r="M508" s="2346">
        <v>63.73</v>
      </c>
      <c r="N508" s="2346">
        <v>70.599999999999994</v>
      </c>
      <c r="O508" s="2346">
        <v>82.13</v>
      </c>
      <c r="P508" s="2346">
        <v>82.93</v>
      </c>
      <c r="Q508" s="2346">
        <v>86.93</v>
      </c>
      <c r="R508" s="2346">
        <v>91.47</v>
      </c>
      <c r="S508" s="2346">
        <v>98.27</v>
      </c>
      <c r="T508" s="2346">
        <v>102.67</v>
      </c>
      <c r="U508" s="2346">
        <v>111.27</v>
      </c>
      <c r="V508" s="2346">
        <v>118.47</v>
      </c>
      <c r="W508" s="2346">
        <v>127.73</v>
      </c>
      <c r="X508" s="2346">
        <v>135.07</v>
      </c>
      <c r="Y508" s="2346">
        <v>141.07</v>
      </c>
      <c r="Z508" s="2346">
        <v>156.53</v>
      </c>
      <c r="AA508" s="2346">
        <v>172.07</v>
      </c>
      <c r="AB508" s="2346">
        <v>193.33</v>
      </c>
      <c r="AC508" s="2346">
        <v>194.33</v>
      </c>
      <c r="AD508" s="2346">
        <v>194.33</v>
      </c>
      <c r="AE508" s="2347">
        <v>1250</v>
      </c>
      <c r="AF508" s="2275"/>
      <c r="AG508" s="2275">
        <f>HLOOKUP(AG498,D499:AD511,8,0)</f>
        <v>52.93</v>
      </c>
      <c r="AH508" s="2275">
        <f t="shared" si="285"/>
        <v>76.27</v>
      </c>
      <c r="AI508" s="2275">
        <v>1100</v>
      </c>
      <c r="AJ508" s="2275"/>
      <c r="AK508" s="2275"/>
      <c r="AL508" s="2275"/>
      <c r="AM508" s="2275"/>
      <c r="AN508" s="2275"/>
      <c r="AO508" s="2275"/>
      <c r="AP508" s="2250"/>
      <c r="AQ508" s="2250"/>
      <c r="AR508" s="2250"/>
      <c r="AS508" s="2250"/>
      <c r="AT508" s="2250"/>
      <c r="AU508" s="2250"/>
      <c r="AV508" s="2250"/>
      <c r="AW508" s="2250"/>
      <c r="AX508" s="2250"/>
      <c r="AY508" s="2250"/>
      <c r="AZ508" s="2250"/>
      <c r="BA508" s="2250"/>
      <c r="BB508" s="2250"/>
      <c r="BC508" s="2250"/>
      <c r="BD508" s="2250"/>
      <c r="BE508" s="2250"/>
      <c r="BF508" s="2276"/>
      <c r="BG508" s="2276"/>
      <c r="BH508" s="2250"/>
      <c r="BI508" s="2275"/>
      <c r="BJ508" s="2275"/>
      <c r="BK508" s="2345">
        <v>1250</v>
      </c>
      <c r="BL508" s="2346">
        <v>33.93</v>
      </c>
      <c r="BM508" s="2346">
        <v>38.270000000000003</v>
      </c>
      <c r="BN508" s="2346">
        <v>42.4</v>
      </c>
      <c r="BO508" s="2346">
        <v>46.93</v>
      </c>
      <c r="BP508" s="2346">
        <v>51.27</v>
      </c>
      <c r="BQ508" s="2346">
        <v>48.33</v>
      </c>
      <c r="BR508" s="2346">
        <v>53.53</v>
      </c>
      <c r="BS508" s="2346">
        <v>57</v>
      </c>
      <c r="BT508" s="2346">
        <v>62.53</v>
      </c>
      <c r="BU508" s="2346">
        <v>63.73</v>
      </c>
      <c r="BV508" s="2346">
        <v>70.599999999999994</v>
      </c>
      <c r="BW508" s="2346">
        <v>82.13</v>
      </c>
      <c r="BX508" s="2346">
        <v>82.93</v>
      </c>
      <c r="BY508" s="2346">
        <v>86.93</v>
      </c>
      <c r="BZ508" s="2346">
        <v>91.47</v>
      </c>
      <c r="CA508" s="2346">
        <v>98.27</v>
      </c>
      <c r="CB508" s="2346">
        <v>102.67</v>
      </c>
      <c r="CC508" s="2346">
        <v>111.27</v>
      </c>
      <c r="CD508" s="2346">
        <v>118.47</v>
      </c>
      <c r="CE508" s="2346">
        <v>127.73</v>
      </c>
      <c r="CF508" s="2346">
        <v>135.07</v>
      </c>
      <c r="CG508" s="2346">
        <v>141.07</v>
      </c>
      <c r="CH508" s="2346">
        <v>156.53</v>
      </c>
      <c r="CI508" s="2346">
        <v>172.07</v>
      </c>
      <c r="CJ508" s="2346">
        <v>193.33</v>
      </c>
      <c r="CK508" s="2346">
        <v>194.33</v>
      </c>
      <c r="CL508" s="2346">
        <v>194.33</v>
      </c>
      <c r="CM508" s="2347">
        <v>1250</v>
      </c>
      <c r="CN508" s="2275"/>
      <c r="CO508" s="2275">
        <f>HLOOKUP(CO498,BL499:CL511,8,0)</f>
        <v>50.47</v>
      </c>
      <c r="CP508" s="2275">
        <f t="shared" si="286"/>
        <v>73.069999999999993</v>
      </c>
      <c r="CQ508" s="2275">
        <v>1100</v>
      </c>
      <c r="CR508" s="2275"/>
      <c r="CS508" s="2275"/>
      <c r="CT508" s="2275"/>
      <c r="CU508" s="2275"/>
      <c r="CV508" s="2275"/>
      <c r="CW508" s="2275"/>
      <c r="CX508" s="2250"/>
      <c r="CY508" s="2250"/>
      <c r="CZ508" s="2250"/>
      <c r="DA508" s="2250"/>
      <c r="DB508" s="2250"/>
      <c r="DC508" s="2250"/>
      <c r="DD508" s="2250"/>
      <c r="DE508" s="2250"/>
      <c r="DF508" s="2250"/>
      <c r="DG508" s="2250"/>
      <c r="DH508" s="2250"/>
      <c r="DI508" s="2250"/>
      <c r="DJ508" s="2250"/>
      <c r="DK508" s="2250"/>
      <c r="DL508" s="2250"/>
      <c r="DM508" s="2250"/>
      <c r="DN508" s="2250"/>
      <c r="DO508" s="53"/>
      <c r="DP508" s="53"/>
      <c r="DS508" s="277"/>
      <c r="DW508" s="1"/>
      <c r="DX508" s="2275"/>
      <c r="DY508" s="2345">
        <v>1250</v>
      </c>
      <c r="DZ508" s="2346">
        <v>33.93</v>
      </c>
      <c r="EA508" s="2346">
        <v>38.270000000000003</v>
      </c>
      <c r="EB508" s="2346">
        <v>42.4</v>
      </c>
      <c r="EC508" s="2346">
        <v>46.93</v>
      </c>
      <c r="ED508" s="2346">
        <v>51.27</v>
      </c>
      <c r="EE508" s="2346">
        <v>48.33</v>
      </c>
      <c r="EF508" s="2346">
        <v>53.53</v>
      </c>
      <c r="EG508" s="2346">
        <v>57</v>
      </c>
      <c r="EH508" s="2346">
        <v>62.53</v>
      </c>
      <c r="EI508" s="2346">
        <v>63.73</v>
      </c>
      <c r="EJ508" s="2346">
        <v>70.599999999999994</v>
      </c>
      <c r="EK508" s="2346">
        <v>82.13</v>
      </c>
      <c r="EL508" s="2346">
        <v>82.93</v>
      </c>
      <c r="EM508" s="2346">
        <v>86.93</v>
      </c>
      <c r="EN508" s="2346">
        <v>91.47</v>
      </c>
      <c r="EO508" s="2346">
        <v>98.27</v>
      </c>
      <c r="EP508" s="2346">
        <v>102.67</v>
      </c>
      <c r="EQ508" s="2346">
        <v>111.27</v>
      </c>
      <c r="ER508" s="2346">
        <v>118.47</v>
      </c>
      <c r="ES508" s="2346">
        <v>127.73</v>
      </c>
      <c r="ET508" s="2346">
        <v>135.07</v>
      </c>
      <c r="EU508" s="2346">
        <v>141.07</v>
      </c>
      <c r="EV508" s="2346">
        <v>156.53</v>
      </c>
      <c r="EW508" s="2346">
        <v>172.07</v>
      </c>
      <c r="EX508" s="2346">
        <v>193.33</v>
      </c>
      <c r="EY508" s="2346">
        <v>194.33</v>
      </c>
      <c r="EZ508" s="2346">
        <v>194.33</v>
      </c>
      <c r="FA508" s="2347">
        <v>1250</v>
      </c>
      <c r="FB508" s="2275"/>
      <c r="FC508" s="2275">
        <f>HLOOKUP(FC498,DZ499:EZ511,8,0)</f>
        <v>76.47</v>
      </c>
      <c r="FD508" s="2275">
        <f t="shared" si="287"/>
        <v>111.87</v>
      </c>
      <c r="FE508" s="2275">
        <v>1100</v>
      </c>
      <c r="FF508" s="2275"/>
      <c r="FG508" s="2275"/>
      <c r="FH508" s="2275"/>
      <c r="FI508" s="2275"/>
      <c r="FJ508" s="2275"/>
      <c r="FK508" s="2275"/>
      <c r="FL508" s="2250"/>
      <c r="FM508" s="2250"/>
      <c r="FN508" s="2250"/>
      <c r="FO508" s="2250"/>
      <c r="FP508" s="2250"/>
      <c r="FQ508" s="2250"/>
      <c r="FR508" s="2250"/>
      <c r="FS508" s="2250"/>
      <c r="FT508" s="2250"/>
      <c r="FU508" s="2250"/>
      <c r="FV508" s="2250"/>
      <c r="FW508" s="2250"/>
      <c r="FX508" s="2250"/>
      <c r="FY508" s="2250"/>
      <c r="FZ508" s="2250"/>
      <c r="GA508" s="2250"/>
      <c r="GB508" s="2276"/>
      <c r="GC508" s="2276"/>
      <c r="GD508" s="2250"/>
      <c r="GE508" s="2275"/>
      <c r="GF508" s="2275"/>
      <c r="GG508" s="2345">
        <v>1250</v>
      </c>
      <c r="GH508" s="2346">
        <v>33.93</v>
      </c>
      <c r="GI508" s="2346">
        <v>38.270000000000003</v>
      </c>
      <c r="GJ508" s="2346">
        <v>42.4</v>
      </c>
      <c r="GK508" s="2346">
        <v>46.93</v>
      </c>
      <c r="GL508" s="2346">
        <v>51.27</v>
      </c>
      <c r="GM508" s="2346">
        <v>48.33</v>
      </c>
      <c r="GN508" s="2346">
        <v>53.53</v>
      </c>
      <c r="GO508" s="2346">
        <v>57</v>
      </c>
      <c r="GP508" s="2346">
        <v>62.53</v>
      </c>
      <c r="GQ508" s="2346">
        <v>63.73</v>
      </c>
      <c r="GR508" s="2346">
        <v>70.599999999999994</v>
      </c>
      <c r="GS508" s="2346">
        <v>82.13</v>
      </c>
      <c r="GT508" s="2346">
        <v>82.93</v>
      </c>
      <c r="GU508" s="2346">
        <v>86.93</v>
      </c>
      <c r="GV508" s="2346">
        <v>91.47</v>
      </c>
      <c r="GW508" s="2346">
        <v>98.27</v>
      </c>
      <c r="GX508" s="2346">
        <v>102.67</v>
      </c>
      <c r="GY508" s="2346">
        <v>111.27</v>
      </c>
      <c r="GZ508" s="2346">
        <v>118.47</v>
      </c>
      <c r="HA508" s="2346">
        <v>127.73</v>
      </c>
      <c r="HB508" s="2346">
        <v>135.07</v>
      </c>
      <c r="HC508" s="2346">
        <v>141.07</v>
      </c>
      <c r="HD508" s="2346">
        <v>156.53</v>
      </c>
      <c r="HE508" s="2346">
        <v>172.07</v>
      </c>
      <c r="HF508" s="2346">
        <v>193.33</v>
      </c>
      <c r="HG508" s="2346">
        <v>194.33</v>
      </c>
      <c r="HH508" s="2346">
        <v>194.33</v>
      </c>
      <c r="HI508" s="2347">
        <v>1250</v>
      </c>
      <c r="HJ508" s="2275"/>
      <c r="HK508" s="2275">
        <f>HLOOKUP(HK498,GH499:HH511,8,0)</f>
        <v>70.33</v>
      </c>
      <c r="HL508" s="2275">
        <f t="shared" si="288"/>
        <v>102.27</v>
      </c>
      <c r="HM508" s="2275">
        <v>1100</v>
      </c>
      <c r="HN508" s="2275"/>
      <c r="HO508" s="2275"/>
      <c r="HP508" s="2275"/>
      <c r="HQ508" s="2275"/>
      <c r="HR508" s="2275"/>
      <c r="HS508" s="2275"/>
      <c r="HT508" s="2250"/>
      <c r="HU508" s="2250"/>
      <c r="HV508" s="2250"/>
      <c r="HW508" s="2250"/>
      <c r="HX508" s="2250"/>
      <c r="HY508" s="2250"/>
      <c r="HZ508" s="2250"/>
      <c r="IA508" s="2250"/>
      <c r="IB508" s="2250"/>
      <c r="IC508" s="2250"/>
      <c r="ID508" s="2250"/>
      <c r="IE508" s="2250"/>
      <c r="IF508" s="2250"/>
      <c r="IG508" s="2250"/>
      <c r="IH508" s="2250"/>
      <c r="II508" s="2250"/>
      <c r="IJ508" s="2250"/>
      <c r="IK508" s="53"/>
      <c r="IL508" s="53"/>
      <c r="IN508" s="277"/>
      <c r="IO508" s="277"/>
    </row>
    <row r="509" spans="2:249" ht="21.95" customHeight="1">
      <c r="B509" s="2275"/>
      <c r="C509" s="2345">
        <v>1450</v>
      </c>
      <c r="D509" s="2346">
        <v>52.27</v>
      </c>
      <c r="E509" s="2346">
        <v>58.93</v>
      </c>
      <c r="F509" s="2346">
        <v>65.27</v>
      </c>
      <c r="G509" s="2346">
        <v>71.33</v>
      </c>
      <c r="H509" s="2346">
        <v>71.33</v>
      </c>
      <c r="I509" s="2346">
        <v>74.400000000000006</v>
      </c>
      <c r="J509" s="2346">
        <v>82.4</v>
      </c>
      <c r="K509" s="2346">
        <v>87.8</v>
      </c>
      <c r="L509" s="2346">
        <v>95</v>
      </c>
      <c r="M509" s="2346">
        <v>102.2</v>
      </c>
      <c r="N509" s="2346">
        <v>104.6</v>
      </c>
      <c r="O509" s="2346">
        <v>118.67</v>
      </c>
      <c r="P509" s="2346">
        <v>123.93</v>
      </c>
      <c r="Q509" s="2346">
        <v>128.4</v>
      </c>
      <c r="R509" s="2346">
        <v>134.33000000000001</v>
      </c>
      <c r="S509" s="2346">
        <v>146.93</v>
      </c>
      <c r="T509" s="2346">
        <v>157.4</v>
      </c>
      <c r="U509" s="2346">
        <v>169</v>
      </c>
      <c r="V509" s="2346">
        <v>171.33</v>
      </c>
      <c r="W509" s="2346">
        <v>194</v>
      </c>
      <c r="X509" s="2346">
        <v>202.8</v>
      </c>
      <c r="Y509" s="2346">
        <v>219.53</v>
      </c>
      <c r="Z509" s="2346">
        <v>239.07</v>
      </c>
      <c r="AA509" s="2346">
        <v>246.33</v>
      </c>
      <c r="AB509" s="2346">
        <v>290.2</v>
      </c>
      <c r="AC509" s="2346">
        <v>320.60000000000002</v>
      </c>
      <c r="AD509" s="2346">
        <v>335.8</v>
      </c>
      <c r="AE509" s="2347">
        <v>1450</v>
      </c>
      <c r="AF509" s="2275"/>
      <c r="AG509" s="2275">
        <f>HLOOKUP(AG498,D499:AD511,9,0)</f>
        <v>76.27</v>
      </c>
      <c r="AH509" s="2275">
        <f t="shared" si="285"/>
        <v>111.27</v>
      </c>
      <c r="AI509" s="2275">
        <v>1250</v>
      </c>
      <c r="AJ509" s="2275"/>
      <c r="AK509" s="2275"/>
      <c r="AL509" s="2275"/>
      <c r="AM509" s="2275"/>
      <c r="AN509" s="2275"/>
      <c r="AO509" s="2275"/>
      <c r="AP509" s="2250"/>
      <c r="AQ509" s="2250"/>
      <c r="AR509" s="2250"/>
      <c r="AS509" s="2250"/>
      <c r="AT509" s="2250"/>
      <c r="AU509" s="2250"/>
      <c r="AV509" s="2250"/>
      <c r="AW509" s="2250"/>
      <c r="AX509" s="2250"/>
      <c r="AY509" s="2250"/>
      <c r="AZ509" s="2250"/>
      <c r="BA509" s="2250"/>
      <c r="BB509" s="2250"/>
      <c r="BC509" s="2250"/>
      <c r="BD509" s="2250"/>
      <c r="BE509" s="2250"/>
      <c r="BF509" s="2276"/>
      <c r="BG509" s="2276"/>
      <c r="BH509" s="2250"/>
      <c r="BI509" s="2275"/>
      <c r="BJ509" s="2275"/>
      <c r="BK509" s="2345">
        <v>1450</v>
      </c>
      <c r="BL509" s="2346">
        <v>52.27</v>
      </c>
      <c r="BM509" s="2346">
        <v>58.93</v>
      </c>
      <c r="BN509" s="2346">
        <v>65.27</v>
      </c>
      <c r="BO509" s="2346">
        <v>71.33</v>
      </c>
      <c r="BP509" s="2346">
        <v>71.33</v>
      </c>
      <c r="BQ509" s="2346">
        <v>74.400000000000006</v>
      </c>
      <c r="BR509" s="2346">
        <v>82.4</v>
      </c>
      <c r="BS509" s="2346">
        <v>87.8</v>
      </c>
      <c r="BT509" s="2346">
        <v>95</v>
      </c>
      <c r="BU509" s="2346">
        <v>102.2</v>
      </c>
      <c r="BV509" s="2346">
        <v>104.6</v>
      </c>
      <c r="BW509" s="2346">
        <v>118.67</v>
      </c>
      <c r="BX509" s="2346">
        <v>123.93</v>
      </c>
      <c r="BY509" s="2346">
        <v>128.4</v>
      </c>
      <c r="BZ509" s="2346">
        <v>134.33000000000001</v>
      </c>
      <c r="CA509" s="2346">
        <v>146.93</v>
      </c>
      <c r="CB509" s="2346">
        <v>157.4</v>
      </c>
      <c r="CC509" s="2346">
        <v>169</v>
      </c>
      <c r="CD509" s="2346">
        <v>171.33</v>
      </c>
      <c r="CE509" s="2346">
        <v>194</v>
      </c>
      <c r="CF509" s="2346">
        <v>202.8</v>
      </c>
      <c r="CG509" s="2346">
        <v>219.53</v>
      </c>
      <c r="CH509" s="2346">
        <v>239.07</v>
      </c>
      <c r="CI509" s="2346">
        <v>246.33</v>
      </c>
      <c r="CJ509" s="2346">
        <v>290.2</v>
      </c>
      <c r="CK509" s="2346">
        <v>320.60000000000002</v>
      </c>
      <c r="CL509" s="2346">
        <v>335.8</v>
      </c>
      <c r="CM509" s="2347">
        <v>1450</v>
      </c>
      <c r="CN509" s="2275"/>
      <c r="CO509" s="2275">
        <f>HLOOKUP(CO498,BL499:CL511,9,0)</f>
        <v>73.069999999999993</v>
      </c>
      <c r="CP509" s="2275">
        <f t="shared" si="286"/>
        <v>102.67</v>
      </c>
      <c r="CQ509" s="2275">
        <v>1250</v>
      </c>
      <c r="CR509" s="2275"/>
      <c r="CS509" s="2275"/>
      <c r="CT509" s="2275"/>
      <c r="CU509" s="2275"/>
      <c r="CV509" s="2275"/>
      <c r="CW509" s="2275"/>
      <c r="CX509" s="2250"/>
      <c r="CY509" s="2250"/>
      <c r="CZ509" s="2250"/>
      <c r="DA509" s="2250"/>
      <c r="DB509" s="2250"/>
      <c r="DC509" s="2250"/>
      <c r="DD509" s="2250"/>
      <c r="DE509" s="2250"/>
      <c r="DF509" s="2250"/>
      <c r="DG509" s="2250"/>
      <c r="DH509" s="2250"/>
      <c r="DI509" s="2250"/>
      <c r="DJ509" s="2250"/>
      <c r="DK509" s="2250"/>
      <c r="DL509" s="2250"/>
      <c r="DM509" s="2250"/>
      <c r="DN509" s="2250"/>
      <c r="DO509" s="53"/>
      <c r="DP509" s="53"/>
      <c r="DS509" s="277"/>
      <c r="DW509" s="1"/>
      <c r="DX509" s="2275"/>
      <c r="DY509" s="2345">
        <v>1450</v>
      </c>
      <c r="DZ509" s="2346">
        <v>52.27</v>
      </c>
      <c r="EA509" s="2346">
        <v>58.93</v>
      </c>
      <c r="EB509" s="2346">
        <v>65.27</v>
      </c>
      <c r="EC509" s="2346">
        <v>71.33</v>
      </c>
      <c r="ED509" s="2346">
        <v>71.33</v>
      </c>
      <c r="EE509" s="2346">
        <v>74.400000000000006</v>
      </c>
      <c r="EF509" s="2346">
        <v>82.4</v>
      </c>
      <c r="EG509" s="2346">
        <v>87.8</v>
      </c>
      <c r="EH509" s="2346">
        <v>95</v>
      </c>
      <c r="EI509" s="2346">
        <v>102.2</v>
      </c>
      <c r="EJ509" s="2346">
        <v>104.6</v>
      </c>
      <c r="EK509" s="2346">
        <v>118.67</v>
      </c>
      <c r="EL509" s="2346">
        <v>123.93</v>
      </c>
      <c r="EM509" s="2346">
        <v>128.4</v>
      </c>
      <c r="EN509" s="2346">
        <v>134.33000000000001</v>
      </c>
      <c r="EO509" s="2346">
        <v>146.93</v>
      </c>
      <c r="EP509" s="2346">
        <v>157.4</v>
      </c>
      <c r="EQ509" s="2346">
        <v>169</v>
      </c>
      <c r="ER509" s="2346">
        <v>171.33</v>
      </c>
      <c r="ES509" s="2346">
        <v>194</v>
      </c>
      <c r="ET509" s="2346">
        <v>202.8</v>
      </c>
      <c r="EU509" s="2346">
        <v>219.53</v>
      </c>
      <c r="EV509" s="2346">
        <v>239.07</v>
      </c>
      <c r="EW509" s="2346">
        <v>246.33</v>
      </c>
      <c r="EX509" s="2346">
        <v>290.2</v>
      </c>
      <c r="EY509" s="2346">
        <v>320.60000000000002</v>
      </c>
      <c r="EZ509" s="2346">
        <v>335.8</v>
      </c>
      <c r="FA509" s="2347">
        <v>1450</v>
      </c>
      <c r="FB509" s="2275"/>
      <c r="FC509" s="2275">
        <f>HLOOKUP(FC498,DZ499:EZ511,9,0)</f>
        <v>111.87</v>
      </c>
      <c r="FD509" s="2275">
        <f t="shared" si="287"/>
        <v>156.53</v>
      </c>
      <c r="FE509" s="2275">
        <v>1250</v>
      </c>
      <c r="FF509" s="2275"/>
      <c r="FG509" s="2275"/>
      <c r="FH509" s="2275"/>
      <c r="FI509" s="2275"/>
      <c r="FJ509" s="2275"/>
      <c r="FK509" s="2275"/>
      <c r="FL509" s="2250"/>
      <c r="FM509" s="2250"/>
      <c r="FN509" s="2250"/>
      <c r="FO509" s="2250"/>
      <c r="FP509" s="2250"/>
      <c r="FQ509" s="2250"/>
      <c r="FR509" s="2250"/>
      <c r="FS509" s="2250"/>
      <c r="FT509" s="2250"/>
      <c r="FU509" s="2250"/>
      <c r="FV509" s="2250"/>
      <c r="FW509" s="2250"/>
      <c r="FX509" s="2250"/>
      <c r="FY509" s="2250"/>
      <c r="FZ509" s="2250"/>
      <c r="GA509" s="2250"/>
      <c r="GB509" s="2276"/>
      <c r="GC509" s="2276"/>
      <c r="GD509" s="2250"/>
      <c r="GE509" s="2275"/>
      <c r="GF509" s="2275"/>
      <c r="GG509" s="2345">
        <v>1450</v>
      </c>
      <c r="GH509" s="2346">
        <v>52.27</v>
      </c>
      <c r="GI509" s="2346">
        <v>58.93</v>
      </c>
      <c r="GJ509" s="2346">
        <v>65.27</v>
      </c>
      <c r="GK509" s="2346">
        <v>71.33</v>
      </c>
      <c r="GL509" s="2346">
        <v>71.33</v>
      </c>
      <c r="GM509" s="2346">
        <v>74.400000000000006</v>
      </c>
      <c r="GN509" s="2346">
        <v>82.4</v>
      </c>
      <c r="GO509" s="2346">
        <v>87.8</v>
      </c>
      <c r="GP509" s="2346">
        <v>95</v>
      </c>
      <c r="GQ509" s="2346">
        <v>102.2</v>
      </c>
      <c r="GR509" s="2346">
        <v>104.6</v>
      </c>
      <c r="GS509" s="2346">
        <v>118.67</v>
      </c>
      <c r="GT509" s="2346">
        <v>123.93</v>
      </c>
      <c r="GU509" s="2346">
        <v>128.4</v>
      </c>
      <c r="GV509" s="2346">
        <v>134.33000000000001</v>
      </c>
      <c r="GW509" s="2346">
        <v>146.93</v>
      </c>
      <c r="GX509" s="2346">
        <v>157.4</v>
      </c>
      <c r="GY509" s="2346">
        <v>169</v>
      </c>
      <c r="GZ509" s="2346">
        <v>171.33</v>
      </c>
      <c r="HA509" s="2346">
        <v>194</v>
      </c>
      <c r="HB509" s="2346">
        <v>202.8</v>
      </c>
      <c r="HC509" s="2346">
        <v>219.53</v>
      </c>
      <c r="HD509" s="2346">
        <v>239.07</v>
      </c>
      <c r="HE509" s="2346">
        <v>246.33</v>
      </c>
      <c r="HF509" s="2346">
        <v>290.2</v>
      </c>
      <c r="HG509" s="2346">
        <v>320.60000000000002</v>
      </c>
      <c r="HH509" s="2346">
        <v>335.8</v>
      </c>
      <c r="HI509" s="2347">
        <v>1450</v>
      </c>
      <c r="HJ509" s="2275"/>
      <c r="HK509" s="2275">
        <f>HLOOKUP(HK498,GH499:HH511,9,0)</f>
        <v>102.27</v>
      </c>
      <c r="HL509" s="2275">
        <f t="shared" si="288"/>
        <v>141.07</v>
      </c>
      <c r="HM509" s="2275">
        <v>1250</v>
      </c>
      <c r="HN509" s="2275"/>
      <c r="HO509" s="2275"/>
      <c r="HP509" s="2275"/>
      <c r="HQ509" s="2275"/>
      <c r="HR509" s="2275"/>
      <c r="HS509" s="2275"/>
      <c r="HT509" s="2250"/>
      <c r="HU509" s="2250"/>
      <c r="HV509" s="2250"/>
      <c r="HW509" s="2250"/>
      <c r="HX509" s="2250"/>
      <c r="HY509" s="2250"/>
      <c r="HZ509" s="2250"/>
      <c r="IA509" s="2250"/>
      <c r="IB509" s="2250"/>
      <c r="IC509" s="2250"/>
      <c r="ID509" s="2250"/>
      <c r="IE509" s="2250"/>
      <c r="IF509" s="2250"/>
      <c r="IG509" s="2250"/>
      <c r="IH509" s="2250"/>
      <c r="II509" s="2250"/>
      <c r="IJ509" s="2250"/>
      <c r="IK509" s="53"/>
      <c r="IL509" s="53"/>
      <c r="IN509" s="277"/>
      <c r="IO509" s="277"/>
    </row>
    <row r="510" spans="2:249" ht="21.95" customHeight="1">
      <c r="B510" s="2275"/>
      <c r="C510" s="2345">
        <v>1650</v>
      </c>
      <c r="D510" s="2346">
        <v>93.33</v>
      </c>
      <c r="E510" s="2346">
        <v>85.67</v>
      </c>
      <c r="F510" s="2346">
        <v>94.87</v>
      </c>
      <c r="G510" s="2346">
        <v>95.8</v>
      </c>
      <c r="H510" s="2346">
        <v>100.67</v>
      </c>
      <c r="I510" s="2346">
        <v>108.2</v>
      </c>
      <c r="J510" s="2346">
        <v>115.13</v>
      </c>
      <c r="K510" s="2346">
        <v>127.6</v>
      </c>
      <c r="L510" s="2346">
        <v>135.6</v>
      </c>
      <c r="M510" s="2346">
        <v>144.07</v>
      </c>
      <c r="N510" s="2346">
        <v>152.07</v>
      </c>
      <c r="O510" s="2346">
        <v>176.73</v>
      </c>
      <c r="P510" s="2346">
        <v>180.2</v>
      </c>
      <c r="Q510" s="2346">
        <v>188.6</v>
      </c>
      <c r="R510" s="2346">
        <v>200.47</v>
      </c>
      <c r="S510" s="2346">
        <v>211.93</v>
      </c>
      <c r="T510" s="2346">
        <v>222.87</v>
      </c>
      <c r="U510" s="2346">
        <v>236.53</v>
      </c>
      <c r="V510" s="2346">
        <v>243.93</v>
      </c>
      <c r="W510" s="2346">
        <v>269.07</v>
      </c>
      <c r="X510" s="2346">
        <v>296.39999999999998</v>
      </c>
      <c r="Y510" s="2346">
        <v>323.33</v>
      </c>
      <c r="Z510" s="2346">
        <v>354.6</v>
      </c>
      <c r="AA510" s="2346">
        <v>385.13</v>
      </c>
      <c r="AB510" s="2346">
        <v>429.27</v>
      </c>
      <c r="AC510" s="2346">
        <v>468.2</v>
      </c>
      <c r="AD510" s="2346">
        <v>533.27</v>
      </c>
      <c r="AE510" s="2347">
        <v>1650</v>
      </c>
      <c r="AF510" s="2275"/>
      <c r="AG510" s="2275">
        <f>HLOOKUP(AG498,D499:AD511,10,0)</f>
        <v>111.27</v>
      </c>
      <c r="AH510" s="2275">
        <f t="shared" si="285"/>
        <v>169</v>
      </c>
      <c r="AI510" s="2275">
        <v>1450</v>
      </c>
      <c r="AJ510" s="2275"/>
      <c r="AK510" s="2275"/>
      <c r="AL510" s="2275"/>
      <c r="AM510" s="2275"/>
      <c r="AN510" s="2275"/>
      <c r="AO510" s="2275"/>
      <c r="AP510" s="2250"/>
      <c r="AQ510" s="2250"/>
      <c r="AR510" s="2250"/>
      <c r="AS510" s="2250"/>
      <c r="AT510" s="2250"/>
      <c r="AU510" s="2250"/>
      <c r="AV510" s="2250"/>
      <c r="AW510" s="2250"/>
      <c r="AX510" s="2250"/>
      <c r="AY510" s="2250"/>
      <c r="AZ510" s="2250"/>
      <c r="BA510" s="2250"/>
      <c r="BB510" s="2250"/>
      <c r="BC510" s="2250"/>
      <c r="BD510" s="2250"/>
      <c r="BE510" s="2250"/>
      <c r="BF510" s="2276"/>
      <c r="BG510" s="2276"/>
      <c r="BH510" s="2250"/>
      <c r="BI510" s="2275"/>
      <c r="BJ510" s="2275"/>
      <c r="BK510" s="2345">
        <v>1650</v>
      </c>
      <c r="BL510" s="2346">
        <v>93.33</v>
      </c>
      <c r="BM510" s="2346">
        <v>85.67</v>
      </c>
      <c r="BN510" s="2346">
        <v>94.87</v>
      </c>
      <c r="BO510" s="2346">
        <v>95.8</v>
      </c>
      <c r="BP510" s="2346">
        <v>100.67</v>
      </c>
      <c r="BQ510" s="2346">
        <v>108.2</v>
      </c>
      <c r="BR510" s="2346">
        <v>115.13</v>
      </c>
      <c r="BS510" s="2346">
        <v>127.6</v>
      </c>
      <c r="BT510" s="2346">
        <v>135.6</v>
      </c>
      <c r="BU510" s="2346">
        <v>144.07</v>
      </c>
      <c r="BV510" s="2346">
        <v>152.07</v>
      </c>
      <c r="BW510" s="2346">
        <v>176.73</v>
      </c>
      <c r="BX510" s="2346">
        <v>180.2</v>
      </c>
      <c r="BY510" s="2346">
        <v>188.6</v>
      </c>
      <c r="BZ510" s="2346">
        <v>200.47</v>
      </c>
      <c r="CA510" s="2346">
        <v>211.93</v>
      </c>
      <c r="CB510" s="2346">
        <v>222.87</v>
      </c>
      <c r="CC510" s="2346">
        <v>236.53</v>
      </c>
      <c r="CD510" s="2346">
        <v>243.93</v>
      </c>
      <c r="CE510" s="2346">
        <v>269.07</v>
      </c>
      <c r="CF510" s="2346">
        <v>296.39999999999998</v>
      </c>
      <c r="CG510" s="2346">
        <v>323.33</v>
      </c>
      <c r="CH510" s="2346">
        <v>354.6</v>
      </c>
      <c r="CI510" s="2346">
        <v>385.13</v>
      </c>
      <c r="CJ510" s="2346">
        <v>429.27</v>
      </c>
      <c r="CK510" s="2346">
        <v>468.2</v>
      </c>
      <c r="CL510" s="2346">
        <v>533.27</v>
      </c>
      <c r="CM510" s="2347">
        <v>1650</v>
      </c>
      <c r="CN510" s="2275"/>
      <c r="CO510" s="2275">
        <f>HLOOKUP(CO498,BL499:CL511,10,0)</f>
        <v>102.67</v>
      </c>
      <c r="CP510" s="2275">
        <f t="shared" si="286"/>
        <v>157.4</v>
      </c>
      <c r="CQ510" s="2275">
        <v>1450</v>
      </c>
      <c r="CR510" s="2275"/>
      <c r="CS510" s="2275"/>
      <c r="CT510" s="2275"/>
      <c r="CU510" s="2275"/>
      <c r="CV510" s="2275"/>
      <c r="CW510" s="2275"/>
      <c r="CX510" s="2250"/>
      <c r="CY510" s="2250"/>
      <c r="CZ510" s="2250"/>
      <c r="DA510" s="2250"/>
      <c r="DB510" s="2250"/>
      <c r="DC510" s="2250"/>
      <c r="DD510" s="2250"/>
      <c r="DE510" s="2250"/>
      <c r="DF510" s="2250"/>
      <c r="DG510" s="2250"/>
      <c r="DH510" s="2250"/>
      <c r="DI510" s="2250"/>
      <c r="DJ510" s="2250"/>
      <c r="DK510" s="2250"/>
      <c r="DL510" s="2250"/>
      <c r="DM510" s="2250"/>
      <c r="DN510" s="2250"/>
      <c r="DO510" s="53"/>
      <c r="DP510" s="53"/>
      <c r="DS510" s="277"/>
      <c r="DW510" s="1"/>
      <c r="DX510" s="2275"/>
      <c r="DY510" s="2345">
        <v>1650</v>
      </c>
      <c r="DZ510" s="2346">
        <v>93.33</v>
      </c>
      <c r="EA510" s="2346">
        <v>85.67</v>
      </c>
      <c r="EB510" s="2346">
        <v>94.87</v>
      </c>
      <c r="EC510" s="2346">
        <v>95.8</v>
      </c>
      <c r="ED510" s="2346">
        <v>100.67</v>
      </c>
      <c r="EE510" s="2346">
        <v>108.2</v>
      </c>
      <c r="EF510" s="2346">
        <v>115.13</v>
      </c>
      <c r="EG510" s="2346">
        <v>127.6</v>
      </c>
      <c r="EH510" s="2346">
        <v>135.6</v>
      </c>
      <c r="EI510" s="2346">
        <v>144.07</v>
      </c>
      <c r="EJ510" s="2346">
        <v>152.07</v>
      </c>
      <c r="EK510" s="2346">
        <v>176.73</v>
      </c>
      <c r="EL510" s="2346">
        <v>180.2</v>
      </c>
      <c r="EM510" s="2346">
        <v>188.6</v>
      </c>
      <c r="EN510" s="2346">
        <v>200.47</v>
      </c>
      <c r="EO510" s="2346">
        <v>211.93</v>
      </c>
      <c r="EP510" s="2346">
        <v>222.87</v>
      </c>
      <c r="EQ510" s="2346">
        <v>236.53</v>
      </c>
      <c r="ER510" s="2346">
        <v>243.93</v>
      </c>
      <c r="ES510" s="2346">
        <v>269.07</v>
      </c>
      <c r="ET510" s="2346">
        <v>296.39999999999998</v>
      </c>
      <c r="EU510" s="2346">
        <v>323.33</v>
      </c>
      <c r="EV510" s="2346">
        <v>354.6</v>
      </c>
      <c r="EW510" s="2346">
        <v>385.13</v>
      </c>
      <c r="EX510" s="2346">
        <v>429.27</v>
      </c>
      <c r="EY510" s="2346">
        <v>468.2</v>
      </c>
      <c r="EZ510" s="2346">
        <v>533.27</v>
      </c>
      <c r="FA510" s="2347">
        <v>1650</v>
      </c>
      <c r="FB510" s="2275"/>
      <c r="FC510" s="2275">
        <f>HLOOKUP(FC498,DZ499:EZ511,10,0)</f>
        <v>156.53</v>
      </c>
      <c r="FD510" s="2275">
        <f t="shared" si="287"/>
        <v>239.07</v>
      </c>
      <c r="FE510" s="2275">
        <v>1450</v>
      </c>
      <c r="FF510" s="2275"/>
      <c r="FG510" s="2275"/>
      <c r="FH510" s="2275"/>
      <c r="FI510" s="2275"/>
      <c r="FJ510" s="2275"/>
      <c r="FK510" s="2275"/>
      <c r="FL510" s="2250"/>
      <c r="FM510" s="2250"/>
      <c r="FN510" s="2250"/>
      <c r="FO510" s="2250"/>
      <c r="FP510" s="2250"/>
      <c r="FQ510" s="2250"/>
      <c r="FR510" s="2250"/>
      <c r="FS510" s="2250"/>
      <c r="FT510" s="2250"/>
      <c r="FU510" s="2250"/>
      <c r="FV510" s="2250"/>
      <c r="FW510" s="2250"/>
      <c r="FX510" s="2250"/>
      <c r="FY510" s="2250"/>
      <c r="FZ510" s="2250"/>
      <c r="GA510" s="2250"/>
      <c r="GB510" s="2276"/>
      <c r="GC510" s="2276"/>
      <c r="GD510" s="2250"/>
      <c r="GE510" s="2275"/>
      <c r="GF510" s="2275"/>
      <c r="GG510" s="2345">
        <v>1650</v>
      </c>
      <c r="GH510" s="2346">
        <v>93.33</v>
      </c>
      <c r="GI510" s="2346">
        <v>85.67</v>
      </c>
      <c r="GJ510" s="2346">
        <v>94.87</v>
      </c>
      <c r="GK510" s="2346">
        <v>95.8</v>
      </c>
      <c r="GL510" s="2346">
        <v>100.67</v>
      </c>
      <c r="GM510" s="2346">
        <v>108.2</v>
      </c>
      <c r="GN510" s="2346">
        <v>115.13</v>
      </c>
      <c r="GO510" s="2346">
        <v>127.6</v>
      </c>
      <c r="GP510" s="2346">
        <v>135.6</v>
      </c>
      <c r="GQ510" s="2346">
        <v>144.07</v>
      </c>
      <c r="GR510" s="2346">
        <v>152.07</v>
      </c>
      <c r="GS510" s="2346">
        <v>176.73</v>
      </c>
      <c r="GT510" s="2346">
        <v>180.2</v>
      </c>
      <c r="GU510" s="2346">
        <v>188.6</v>
      </c>
      <c r="GV510" s="2346">
        <v>200.47</v>
      </c>
      <c r="GW510" s="2346">
        <v>211.93</v>
      </c>
      <c r="GX510" s="2346">
        <v>222.87</v>
      </c>
      <c r="GY510" s="2346">
        <v>236.53</v>
      </c>
      <c r="GZ510" s="2346">
        <v>243.93</v>
      </c>
      <c r="HA510" s="2346">
        <v>269.07</v>
      </c>
      <c r="HB510" s="2346">
        <v>296.39999999999998</v>
      </c>
      <c r="HC510" s="2346">
        <v>323.33</v>
      </c>
      <c r="HD510" s="2346">
        <v>354.6</v>
      </c>
      <c r="HE510" s="2346">
        <v>385.13</v>
      </c>
      <c r="HF510" s="2346">
        <v>429.27</v>
      </c>
      <c r="HG510" s="2346">
        <v>468.2</v>
      </c>
      <c r="HH510" s="2346">
        <v>533.27</v>
      </c>
      <c r="HI510" s="2347">
        <v>1650</v>
      </c>
      <c r="HJ510" s="2275"/>
      <c r="HK510" s="2275">
        <f>HLOOKUP(HK498,GH499:HH511,10,0)</f>
        <v>141.07</v>
      </c>
      <c r="HL510" s="2275">
        <f t="shared" si="288"/>
        <v>219.53</v>
      </c>
      <c r="HM510" s="2275">
        <v>1450</v>
      </c>
      <c r="HN510" s="2275"/>
      <c r="HO510" s="2275"/>
      <c r="HP510" s="2275"/>
      <c r="HQ510" s="2275"/>
      <c r="HR510" s="2275"/>
      <c r="HS510" s="2275"/>
      <c r="HT510" s="2250"/>
      <c r="HU510" s="2250"/>
      <c r="HV510" s="2250"/>
      <c r="HW510" s="2250"/>
      <c r="HX510" s="2250"/>
      <c r="HY510" s="2250"/>
      <c r="HZ510" s="2250"/>
      <c r="IA510" s="2250"/>
      <c r="IB510" s="2250"/>
      <c r="IC510" s="2250"/>
      <c r="ID510" s="2250"/>
      <c r="IE510" s="2250"/>
      <c r="IF510" s="2250"/>
      <c r="IG510" s="2250"/>
      <c r="IH510" s="2250"/>
      <c r="II510" s="2250"/>
      <c r="IJ510" s="2250"/>
      <c r="IK510" s="53"/>
      <c r="IL510" s="53"/>
      <c r="IN510" s="277"/>
      <c r="IO510" s="277"/>
    </row>
    <row r="511" spans="2:249" ht="21.95" customHeight="1">
      <c r="B511" s="2275"/>
      <c r="C511" s="2345"/>
      <c r="D511" s="2346"/>
      <c r="E511" s="2346"/>
      <c r="F511" s="2346"/>
      <c r="G511" s="2346"/>
      <c r="H511" s="2346"/>
      <c r="I511" s="2346"/>
      <c r="J511" s="2346"/>
      <c r="K511" s="2346"/>
      <c r="L511" s="2346"/>
      <c r="M511" s="2346"/>
      <c r="N511" s="2346"/>
      <c r="O511" s="2346"/>
      <c r="P511" s="2346"/>
      <c r="Q511" s="2346"/>
      <c r="R511" s="2346"/>
      <c r="S511" s="2346"/>
      <c r="T511" s="2346"/>
      <c r="U511" s="2346"/>
      <c r="V511" s="2346"/>
      <c r="W511" s="2346"/>
      <c r="X511" s="2346"/>
      <c r="Y511" s="2346"/>
      <c r="Z511" s="2346"/>
      <c r="AA511" s="2346"/>
      <c r="AB511" s="2346"/>
      <c r="AC511" s="2346"/>
      <c r="AD511" s="2346"/>
      <c r="AE511" s="2347"/>
      <c r="AF511" s="2275"/>
      <c r="AG511" s="2275">
        <f>HLOOKUP(AG498,D499:AD511,11,0)</f>
        <v>169</v>
      </c>
      <c r="AH511" s="2275">
        <f t="shared" si="285"/>
        <v>236.53</v>
      </c>
      <c r="AI511" s="2275">
        <v>1650</v>
      </c>
      <c r="AJ511" s="2275"/>
      <c r="AK511" s="2275"/>
      <c r="AL511" s="2275"/>
      <c r="AM511" s="2275"/>
      <c r="AN511" s="2275"/>
      <c r="AO511" s="2275"/>
      <c r="AP511" s="2250"/>
      <c r="AQ511" s="2250"/>
      <c r="AR511" s="2250"/>
      <c r="AS511" s="2250"/>
      <c r="AT511" s="2250"/>
      <c r="AU511" s="2250"/>
      <c r="AV511" s="2250"/>
      <c r="AW511" s="2250"/>
      <c r="AX511" s="2250"/>
      <c r="AY511" s="2250"/>
      <c r="AZ511" s="2250"/>
      <c r="BA511" s="2250"/>
      <c r="BB511" s="2250"/>
      <c r="BC511" s="2250"/>
      <c r="BD511" s="2250"/>
      <c r="BE511" s="2250"/>
      <c r="BF511" s="2276"/>
      <c r="BG511" s="2276"/>
      <c r="BH511" s="2250"/>
      <c r="BI511" s="2275"/>
      <c r="BJ511" s="2275"/>
      <c r="BK511" s="2345">
        <v>1650</v>
      </c>
      <c r="BL511" s="2346">
        <v>93.33</v>
      </c>
      <c r="BM511" s="2346">
        <v>85.67</v>
      </c>
      <c r="BN511" s="2346">
        <v>94.87</v>
      </c>
      <c r="BO511" s="2346">
        <v>95.8</v>
      </c>
      <c r="BP511" s="2346">
        <v>100.67</v>
      </c>
      <c r="BQ511" s="2346">
        <v>108.2</v>
      </c>
      <c r="BR511" s="2346">
        <v>115.13</v>
      </c>
      <c r="BS511" s="2346">
        <v>127.6</v>
      </c>
      <c r="BT511" s="2346">
        <v>135.6</v>
      </c>
      <c r="BU511" s="2346">
        <v>144.07</v>
      </c>
      <c r="BV511" s="2346">
        <v>152.07</v>
      </c>
      <c r="BW511" s="2346">
        <v>176.73</v>
      </c>
      <c r="BX511" s="2346">
        <v>180.2</v>
      </c>
      <c r="BY511" s="2346">
        <v>188.6</v>
      </c>
      <c r="BZ511" s="2346">
        <v>200.47</v>
      </c>
      <c r="CA511" s="2346">
        <v>211.93</v>
      </c>
      <c r="CB511" s="2346">
        <v>222.87</v>
      </c>
      <c r="CC511" s="2346">
        <v>236.53</v>
      </c>
      <c r="CD511" s="2346">
        <v>243.93</v>
      </c>
      <c r="CE511" s="2346">
        <v>269.07</v>
      </c>
      <c r="CF511" s="2346">
        <v>296.39999999999998</v>
      </c>
      <c r="CG511" s="2346">
        <v>323.33</v>
      </c>
      <c r="CH511" s="2346">
        <v>354.6</v>
      </c>
      <c r="CI511" s="2346">
        <v>385.13</v>
      </c>
      <c r="CJ511" s="2346">
        <v>429.27</v>
      </c>
      <c r="CK511" s="2346">
        <v>468.2</v>
      </c>
      <c r="CL511" s="2346">
        <v>533.27</v>
      </c>
      <c r="CM511" s="2347">
        <v>1650</v>
      </c>
      <c r="CN511" s="2275"/>
      <c r="CO511" s="2275">
        <f>HLOOKUP(CO498,BL499:CL511,11,0)</f>
        <v>157.4</v>
      </c>
      <c r="CP511" s="2275">
        <f t="shared" si="286"/>
        <v>222.87</v>
      </c>
      <c r="CQ511" s="2275">
        <v>1650</v>
      </c>
      <c r="CR511" s="2275"/>
      <c r="CS511" s="2275"/>
      <c r="CT511" s="2275"/>
      <c r="CU511" s="2275"/>
      <c r="CV511" s="2275"/>
      <c r="CW511" s="2275"/>
      <c r="CX511" s="2250"/>
      <c r="CY511" s="2250"/>
      <c r="CZ511" s="2250"/>
      <c r="DA511" s="2250"/>
      <c r="DB511" s="2250"/>
      <c r="DC511" s="2250"/>
      <c r="DD511" s="2250"/>
      <c r="DE511" s="2250"/>
      <c r="DF511" s="2250"/>
      <c r="DG511" s="2250"/>
      <c r="DH511" s="2250"/>
      <c r="DI511" s="2250"/>
      <c r="DJ511" s="2250"/>
      <c r="DK511" s="2250"/>
      <c r="DL511" s="2250"/>
      <c r="DM511" s="2250"/>
      <c r="DN511" s="2250"/>
      <c r="DO511" s="53"/>
      <c r="DP511" s="53"/>
      <c r="DS511" s="277"/>
      <c r="DW511" s="1"/>
      <c r="DX511" s="2275"/>
      <c r="DY511" s="2345"/>
      <c r="DZ511" s="2346"/>
      <c r="EA511" s="2346"/>
      <c r="EB511" s="2346"/>
      <c r="EC511" s="2346"/>
      <c r="ED511" s="2346"/>
      <c r="EE511" s="2346"/>
      <c r="EF511" s="2346"/>
      <c r="EG511" s="2346"/>
      <c r="EH511" s="2346"/>
      <c r="EI511" s="2346"/>
      <c r="EJ511" s="2346"/>
      <c r="EK511" s="2346"/>
      <c r="EL511" s="2346"/>
      <c r="EM511" s="2346"/>
      <c r="EN511" s="2346"/>
      <c r="EO511" s="2346"/>
      <c r="EP511" s="2346"/>
      <c r="EQ511" s="2346"/>
      <c r="ER511" s="2346"/>
      <c r="ES511" s="2346"/>
      <c r="ET511" s="2346"/>
      <c r="EU511" s="2346"/>
      <c r="EV511" s="2346"/>
      <c r="EW511" s="2346"/>
      <c r="EX511" s="2346"/>
      <c r="EY511" s="2346"/>
      <c r="EZ511" s="2346"/>
      <c r="FA511" s="2347"/>
      <c r="FB511" s="2275"/>
      <c r="FC511" s="2275">
        <f>HLOOKUP(FC498,DZ499:EZ511,11,0)</f>
        <v>239.07</v>
      </c>
      <c r="FD511" s="2275">
        <f t="shared" si="287"/>
        <v>354.6</v>
      </c>
      <c r="FE511" s="2275">
        <v>1650</v>
      </c>
      <c r="FF511" s="2275"/>
      <c r="FG511" s="2275"/>
      <c r="FH511" s="2275"/>
      <c r="FI511" s="2275"/>
      <c r="FJ511" s="2275"/>
      <c r="FK511" s="2275"/>
      <c r="FL511" s="2250"/>
      <c r="FM511" s="2250"/>
      <c r="FN511" s="2250"/>
      <c r="FO511" s="2250"/>
      <c r="FP511" s="2250"/>
      <c r="FQ511" s="2250"/>
      <c r="FR511" s="2250"/>
      <c r="FS511" s="2250"/>
      <c r="FT511" s="2250"/>
      <c r="FU511" s="2250"/>
      <c r="FV511" s="2250"/>
      <c r="FW511" s="2250"/>
      <c r="FX511" s="2250"/>
      <c r="FY511" s="2250"/>
      <c r="FZ511" s="2250"/>
      <c r="GA511" s="2250"/>
      <c r="GB511" s="2276"/>
      <c r="GC511" s="2276"/>
      <c r="GD511" s="2250"/>
      <c r="GE511" s="2275"/>
      <c r="GF511" s="2275"/>
      <c r="GG511" s="2345">
        <v>1650</v>
      </c>
      <c r="GH511" s="2346">
        <v>93.33</v>
      </c>
      <c r="GI511" s="2346">
        <v>85.67</v>
      </c>
      <c r="GJ511" s="2346">
        <v>94.87</v>
      </c>
      <c r="GK511" s="2346">
        <v>95.8</v>
      </c>
      <c r="GL511" s="2346">
        <v>100.67</v>
      </c>
      <c r="GM511" s="2346">
        <v>108.2</v>
      </c>
      <c r="GN511" s="2346">
        <v>115.13</v>
      </c>
      <c r="GO511" s="2346">
        <v>127.6</v>
      </c>
      <c r="GP511" s="2346">
        <v>135.6</v>
      </c>
      <c r="GQ511" s="2346">
        <v>144.07</v>
      </c>
      <c r="GR511" s="2346">
        <v>152.07</v>
      </c>
      <c r="GS511" s="2346">
        <v>176.73</v>
      </c>
      <c r="GT511" s="2346">
        <v>180.2</v>
      </c>
      <c r="GU511" s="2346">
        <v>188.6</v>
      </c>
      <c r="GV511" s="2346">
        <v>200.47</v>
      </c>
      <c r="GW511" s="2346">
        <v>211.93</v>
      </c>
      <c r="GX511" s="2346">
        <v>222.87</v>
      </c>
      <c r="GY511" s="2346">
        <v>236.53</v>
      </c>
      <c r="GZ511" s="2346">
        <v>243.93</v>
      </c>
      <c r="HA511" s="2346">
        <v>269.07</v>
      </c>
      <c r="HB511" s="2346">
        <v>296.39999999999998</v>
      </c>
      <c r="HC511" s="2346">
        <v>323.33</v>
      </c>
      <c r="HD511" s="2346">
        <v>354.6</v>
      </c>
      <c r="HE511" s="2346">
        <v>385.13</v>
      </c>
      <c r="HF511" s="2346">
        <v>429.27</v>
      </c>
      <c r="HG511" s="2346">
        <v>468.2</v>
      </c>
      <c r="HH511" s="2346">
        <v>533.27</v>
      </c>
      <c r="HI511" s="2347">
        <v>1650</v>
      </c>
      <c r="HJ511" s="2275"/>
      <c r="HK511" s="2275">
        <f>HLOOKUP(HK498,GH499:HH511,11,0)</f>
        <v>219.53</v>
      </c>
      <c r="HL511" s="2275">
        <f t="shared" si="288"/>
        <v>323.33</v>
      </c>
      <c r="HM511" s="2275">
        <v>1650</v>
      </c>
      <c r="HN511" s="2275"/>
      <c r="HO511" s="2275"/>
      <c r="HP511" s="2275"/>
      <c r="HQ511" s="2275"/>
      <c r="HR511" s="2275"/>
      <c r="HS511" s="2275"/>
      <c r="HT511" s="2250"/>
      <c r="HU511" s="2250"/>
      <c r="HV511" s="2250"/>
      <c r="HW511" s="2250"/>
      <c r="HX511" s="2250"/>
      <c r="HY511" s="2250"/>
      <c r="HZ511" s="2250"/>
      <c r="IA511" s="2250"/>
      <c r="IB511" s="2250"/>
      <c r="IC511" s="2250"/>
      <c r="ID511" s="2250"/>
      <c r="IE511" s="2250"/>
      <c r="IF511" s="2250"/>
      <c r="IG511" s="2250"/>
      <c r="IH511" s="2250"/>
      <c r="II511" s="2250"/>
      <c r="IJ511" s="2250"/>
      <c r="IK511" s="53"/>
      <c r="IL511" s="53"/>
      <c r="IN511" s="277"/>
      <c r="IO511" s="277"/>
    </row>
    <row r="512" spans="2:249" ht="21.95" customHeight="1">
      <c r="B512" s="2275"/>
      <c r="C512" s="2275"/>
      <c r="D512" s="2275"/>
      <c r="E512" s="2275"/>
      <c r="F512" s="2275"/>
      <c r="G512" s="2275"/>
      <c r="H512" s="2275"/>
      <c r="I512" s="2275"/>
      <c r="J512" s="2275"/>
      <c r="K512" s="2275"/>
      <c r="L512" s="2275"/>
      <c r="M512" s="2275"/>
      <c r="N512" s="2275"/>
      <c r="O512" s="2275"/>
      <c r="P512" s="2275"/>
      <c r="Q512" s="2275"/>
      <c r="R512" s="2275"/>
      <c r="S512" s="2275"/>
      <c r="T512" s="2275"/>
      <c r="U512" s="2275"/>
      <c r="V512" s="2275"/>
      <c r="W512" s="2275"/>
      <c r="X512" s="2275"/>
      <c r="Y512" s="2275"/>
      <c r="Z512" s="2275"/>
      <c r="AA512" s="2275"/>
      <c r="AB512" s="2275"/>
      <c r="AC512" s="2275"/>
      <c r="AD512" s="2275"/>
      <c r="AE512" s="2346"/>
      <c r="AF512" s="2275"/>
      <c r="AG512" s="2275">
        <f>HLOOKUP(AG498,D499:AD511,12,0)</f>
        <v>236.53</v>
      </c>
      <c r="AH512" s="2275">
        <f t="shared" si="285"/>
        <v>0</v>
      </c>
      <c r="AI512" s="2275">
        <v>1650</v>
      </c>
      <c r="AJ512" s="2275"/>
      <c r="AK512" s="2275"/>
      <c r="AL512" s="2275"/>
      <c r="AM512" s="2275"/>
      <c r="AN512" s="2275"/>
      <c r="AO512" s="2275"/>
      <c r="AP512" s="2250"/>
      <c r="AQ512" s="2250"/>
      <c r="AR512" s="2250"/>
      <c r="AS512" s="2250"/>
      <c r="AT512" s="2250"/>
      <c r="AU512" s="2250"/>
      <c r="AV512" s="2250"/>
      <c r="AW512" s="2250"/>
      <c r="AX512" s="2250"/>
      <c r="AY512" s="2250"/>
      <c r="AZ512" s="2250"/>
      <c r="BA512" s="2250"/>
      <c r="BB512" s="2250"/>
      <c r="BC512" s="2250"/>
      <c r="BD512" s="2250"/>
      <c r="BE512" s="2250"/>
      <c r="BF512" s="2276"/>
      <c r="BG512" s="2276"/>
      <c r="BH512" s="2250"/>
      <c r="BI512" s="2275"/>
      <c r="BJ512" s="2275"/>
      <c r="BK512" s="2275"/>
      <c r="BL512" s="2275"/>
      <c r="BM512" s="2275"/>
      <c r="BN512" s="2275"/>
      <c r="BO512" s="2275"/>
      <c r="BP512" s="2275"/>
      <c r="BQ512" s="2275"/>
      <c r="BR512" s="2275"/>
      <c r="BS512" s="2275"/>
      <c r="BT512" s="2275"/>
      <c r="BU512" s="2275"/>
      <c r="BV512" s="2275"/>
      <c r="BW512" s="2275"/>
      <c r="BX512" s="2275"/>
      <c r="BY512" s="2275"/>
      <c r="BZ512" s="2275"/>
      <c r="CA512" s="2275"/>
      <c r="CB512" s="2275"/>
      <c r="CC512" s="2275"/>
      <c r="CD512" s="2275"/>
      <c r="CE512" s="2275"/>
      <c r="CF512" s="2275"/>
      <c r="CG512" s="2275"/>
      <c r="CH512" s="2275"/>
      <c r="CI512" s="2275"/>
      <c r="CJ512" s="2275"/>
      <c r="CK512" s="2275"/>
      <c r="CL512" s="2275"/>
      <c r="CM512" s="2346"/>
      <c r="CN512" s="2275"/>
      <c r="CO512" s="2275">
        <f>HLOOKUP(CO498,BL499:CL511,12,0)</f>
        <v>222.87</v>
      </c>
      <c r="CP512" s="2275">
        <f t="shared" si="286"/>
        <v>222.87</v>
      </c>
      <c r="CQ512" s="2275">
        <v>1650</v>
      </c>
      <c r="CR512" s="2275"/>
      <c r="CS512" s="2275"/>
      <c r="CT512" s="2275"/>
      <c r="CU512" s="2275"/>
      <c r="CV512" s="2275"/>
      <c r="CW512" s="2275"/>
      <c r="CX512" s="2250"/>
      <c r="CY512" s="2250"/>
      <c r="CZ512" s="2250"/>
      <c r="DA512" s="2250"/>
      <c r="DB512" s="2250"/>
      <c r="DC512" s="2250"/>
      <c r="DD512" s="2250"/>
      <c r="DE512" s="2250"/>
      <c r="DF512" s="2250"/>
      <c r="DG512" s="2250"/>
      <c r="DH512" s="2250"/>
      <c r="DI512" s="2250"/>
      <c r="DJ512" s="2250"/>
      <c r="DK512" s="2250"/>
      <c r="DL512" s="2250"/>
      <c r="DM512" s="2250"/>
      <c r="DN512" s="2250"/>
      <c r="DO512" s="53"/>
      <c r="DP512" s="53"/>
      <c r="DS512" s="277"/>
      <c r="DW512" s="1"/>
      <c r="DX512" s="2275"/>
      <c r="DY512" s="2275"/>
      <c r="DZ512" s="2275"/>
      <c r="EA512" s="2275"/>
      <c r="EB512" s="2275"/>
      <c r="EC512" s="2275"/>
      <c r="ED512" s="2275"/>
      <c r="EE512" s="2275"/>
      <c r="EF512" s="2275"/>
      <c r="EG512" s="2275"/>
      <c r="EH512" s="2275"/>
      <c r="EI512" s="2275"/>
      <c r="EJ512" s="2275"/>
      <c r="EK512" s="2275"/>
      <c r="EL512" s="2275"/>
      <c r="EM512" s="2275"/>
      <c r="EN512" s="2275"/>
      <c r="EO512" s="2275"/>
      <c r="EP512" s="2275"/>
      <c r="EQ512" s="2275"/>
      <c r="ER512" s="2275"/>
      <c r="ES512" s="2275"/>
      <c r="ET512" s="2275"/>
      <c r="EU512" s="2275"/>
      <c r="EV512" s="2275"/>
      <c r="EW512" s="2275"/>
      <c r="EX512" s="2275"/>
      <c r="EY512" s="2275"/>
      <c r="EZ512" s="2275"/>
      <c r="FA512" s="2346"/>
      <c r="FB512" s="2275"/>
      <c r="FC512" s="2275">
        <f>HLOOKUP(FC498,DZ499:EZ511,12,0)</f>
        <v>354.6</v>
      </c>
      <c r="FD512" s="2275">
        <f t="shared" si="287"/>
        <v>0</v>
      </c>
      <c r="FE512" s="2275">
        <v>1650</v>
      </c>
      <c r="FF512" s="2275"/>
      <c r="FG512" s="2275"/>
      <c r="FH512" s="2275"/>
      <c r="FI512" s="2275"/>
      <c r="FJ512" s="2275"/>
      <c r="FK512" s="2275"/>
      <c r="FL512" s="2250"/>
      <c r="FM512" s="2250"/>
      <c r="FN512" s="2250"/>
      <c r="FO512" s="2250"/>
      <c r="FP512" s="2250"/>
      <c r="FQ512" s="2250"/>
      <c r="FR512" s="2250"/>
      <c r="FS512" s="2250"/>
      <c r="FT512" s="2250"/>
      <c r="FU512" s="2250"/>
      <c r="FV512" s="2250"/>
      <c r="FW512" s="2250"/>
      <c r="FX512" s="2250"/>
      <c r="FY512" s="2250"/>
      <c r="FZ512" s="2250"/>
      <c r="GA512" s="2250"/>
      <c r="GB512" s="2276"/>
      <c r="GC512" s="2276"/>
      <c r="GD512" s="2250"/>
      <c r="GE512" s="2275"/>
      <c r="GF512" s="2275"/>
      <c r="GG512" s="2275"/>
      <c r="GH512" s="2275"/>
      <c r="GI512" s="2275"/>
      <c r="GJ512" s="2275"/>
      <c r="GK512" s="2275"/>
      <c r="GL512" s="2275"/>
      <c r="GM512" s="2275"/>
      <c r="GN512" s="2275"/>
      <c r="GO512" s="2275"/>
      <c r="GP512" s="2275"/>
      <c r="GQ512" s="2275"/>
      <c r="GR512" s="2275"/>
      <c r="GS512" s="2275"/>
      <c r="GT512" s="2275"/>
      <c r="GU512" s="2275"/>
      <c r="GV512" s="2275"/>
      <c r="GW512" s="2275"/>
      <c r="GX512" s="2275"/>
      <c r="GY512" s="2275"/>
      <c r="GZ512" s="2275"/>
      <c r="HA512" s="2275"/>
      <c r="HB512" s="2275"/>
      <c r="HC512" s="2275"/>
      <c r="HD512" s="2275"/>
      <c r="HE512" s="2275"/>
      <c r="HF512" s="2275"/>
      <c r="HG512" s="2275"/>
      <c r="HH512" s="2275"/>
      <c r="HI512" s="2346"/>
      <c r="HJ512" s="2275"/>
      <c r="HK512" s="2275">
        <f>HLOOKUP(HK498,GH499:HH511,12,0)</f>
        <v>323.33</v>
      </c>
      <c r="HL512" s="2275">
        <f t="shared" si="288"/>
        <v>323.33</v>
      </c>
      <c r="HM512" s="2275">
        <v>1650</v>
      </c>
      <c r="HN512" s="2275"/>
      <c r="HO512" s="2275"/>
      <c r="HP512" s="2275"/>
      <c r="HQ512" s="2275"/>
      <c r="HR512" s="2275"/>
      <c r="HS512" s="2275"/>
      <c r="HT512" s="2250"/>
      <c r="HU512" s="2250"/>
      <c r="HV512" s="2250"/>
      <c r="HW512" s="2250"/>
      <c r="HX512" s="2250"/>
      <c r="HY512" s="2250"/>
      <c r="HZ512" s="2250"/>
      <c r="IA512" s="2250"/>
      <c r="IB512" s="2250"/>
      <c r="IC512" s="2250"/>
      <c r="ID512" s="2250"/>
      <c r="IE512" s="2250"/>
      <c r="IF512" s="2250"/>
      <c r="IG512" s="2250"/>
      <c r="IH512" s="2250"/>
      <c r="II512" s="2250"/>
      <c r="IJ512" s="2250"/>
      <c r="IK512" s="53"/>
      <c r="IL512" s="53"/>
      <c r="IN512" s="277"/>
      <c r="IO512" s="277"/>
    </row>
    <row r="513" spans="2:249" ht="21.95" customHeight="1">
      <c r="B513" s="2275">
        <f>AG498</f>
        <v>68.3</v>
      </c>
      <c r="C513" s="2275">
        <v>0</v>
      </c>
      <c r="D513" s="2275">
        <f>VLOOKUP(B515,C501:AD511,2,0)</f>
        <v>1.8</v>
      </c>
      <c r="E513" s="2275">
        <f>VLOOKUP(B515,C501:E511,3,0)</f>
        <v>2</v>
      </c>
      <c r="F513" s="2275">
        <f>VLOOKUP(B515,C501:F511,4,0)</f>
        <v>2.2000000000000002</v>
      </c>
      <c r="G513" s="2275">
        <f>VLOOKUP(B515,C501:G511,5,0)</f>
        <v>2.4</v>
      </c>
      <c r="H513" s="2275">
        <f>VLOOKUP(B515,C501:H511,6,0)</f>
        <v>2.6</v>
      </c>
      <c r="I513" s="2275">
        <f>VLOOKUP(B515,C501:I511,7,0)</f>
        <v>2.5299999999999998</v>
      </c>
      <c r="J513" s="2275">
        <f>VLOOKUP(B515,C501:J511,8,0)</f>
        <v>2.8</v>
      </c>
      <c r="K513" s="2275">
        <f>VLOOKUP(B515,C501:K511,9,0)</f>
        <v>3</v>
      </c>
      <c r="L513" s="2275">
        <f>VLOOKUP(B515,C501:L511,10,0)</f>
        <v>3.2</v>
      </c>
      <c r="M513" s="2275">
        <f>VLOOKUP(B515,C501:M511,11,0)</f>
        <v>3.4</v>
      </c>
      <c r="N513" s="2275">
        <f>VLOOKUP(B515,C501:N511,12,0)</f>
        <v>3.73</v>
      </c>
      <c r="O513" s="2275">
        <f>VLOOKUP(B515,C501:O511,13,0)</f>
        <v>4</v>
      </c>
      <c r="P513" s="2275">
        <f>VLOOKUP(B515,C501:P511,14,0)</f>
        <v>4.2</v>
      </c>
      <c r="Q513" s="2275">
        <f>VLOOKUP(B515,C501:Q511,15,0)</f>
        <v>4.47</v>
      </c>
      <c r="R513" s="2275">
        <f>VLOOKUP(B515,C501:R511,16,0)</f>
        <v>4.5999999999999996</v>
      </c>
      <c r="S513" s="2275">
        <f>VLOOKUP(B515,C501:S511,17,0)</f>
        <v>4.87</v>
      </c>
      <c r="T513" s="2275">
        <f>VLOOKUP(B515,C501:T511,18,0)</f>
        <v>5.2</v>
      </c>
      <c r="U513" s="2275">
        <f>VLOOKUP(B515,C501:U511,19,0)</f>
        <v>5.67</v>
      </c>
      <c r="V513" s="2275">
        <f>VLOOKUP(B515,C501:V511,20,0)</f>
        <v>6</v>
      </c>
      <c r="W513" s="2275">
        <f>VLOOKUP(B515,C501:W511,21,0)</f>
        <v>6.4</v>
      </c>
      <c r="X513" s="2275">
        <f>VLOOKUP(B515,C501:X511,22,0)</f>
        <v>6.87</v>
      </c>
      <c r="Y513" s="2275">
        <f>VLOOKUP(B515,C501:Y511,23,0)</f>
        <v>7.53</v>
      </c>
      <c r="Z513" s="2275">
        <f>VLOOKUP(B515,C501:Z511,24,0)</f>
        <v>8.1999999999999993</v>
      </c>
      <c r="AA513" s="2275">
        <f>VLOOKUP(B515,C501:AA511,25,0)</f>
        <v>9.1999999999999993</v>
      </c>
      <c r="AB513" s="2275">
        <f>VLOOKUP(B515,C501:AB511,26,0)</f>
        <v>10.33</v>
      </c>
      <c r="AC513" s="2275">
        <f>VLOOKUP(B515,C501:AC511,27,0)</f>
        <v>11.8</v>
      </c>
      <c r="AD513" s="2275">
        <f>VLOOKUP(B515,C501:AD511,28,0)</f>
        <v>13.8</v>
      </c>
      <c r="AE513" s="2346"/>
      <c r="AF513" s="2275"/>
      <c r="AG513" s="2275">
        <f>HLOOKUP(AG498,D499:AD511,13,0)</f>
        <v>0</v>
      </c>
      <c r="AH513" s="2275"/>
      <c r="AI513" s="2275"/>
      <c r="AJ513" s="2275"/>
      <c r="AK513" s="2275"/>
      <c r="AL513" s="2275"/>
      <c r="AM513" s="2275"/>
      <c r="AN513" s="2275"/>
      <c r="AO513" s="2275"/>
      <c r="AP513" s="2250"/>
      <c r="AQ513" s="2250"/>
      <c r="AR513" s="2250"/>
      <c r="AS513" s="2250"/>
      <c r="AT513" s="2250"/>
      <c r="AU513" s="2250"/>
      <c r="AV513" s="2250"/>
      <c r="AW513" s="2250"/>
      <c r="AX513" s="2250"/>
      <c r="AY513" s="2250"/>
      <c r="AZ513" s="2250"/>
      <c r="BA513" s="2250"/>
      <c r="BB513" s="2250"/>
      <c r="BC513" s="2250"/>
      <c r="BD513" s="2250"/>
      <c r="BE513" s="2250"/>
      <c r="BF513" s="2276"/>
      <c r="BG513" s="2276"/>
      <c r="BH513" s="2250"/>
      <c r="BI513" s="2275"/>
      <c r="BJ513" s="2275">
        <f>CO498</f>
        <v>73.7</v>
      </c>
      <c r="BK513" s="2275">
        <v>0</v>
      </c>
      <c r="BL513" s="2275">
        <f>VLOOKUP(BJ515,BK501:CL511,2,0)</f>
        <v>1.8</v>
      </c>
      <c r="BM513" s="2275">
        <f>VLOOKUP(BJ515,BK501:BM511,3,0)</f>
        <v>2</v>
      </c>
      <c r="BN513" s="2275">
        <f>VLOOKUP(BJ515,BK501:BN511,4,0)</f>
        <v>2.2000000000000002</v>
      </c>
      <c r="BO513" s="2275">
        <f>VLOOKUP(BJ515,BK501:BO511,5,0)</f>
        <v>2.4</v>
      </c>
      <c r="BP513" s="2275">
        <f>VLOOKUP(BJ515,BK501:BP511,6,0)</f>
        <v>2.6</v>
      </c>
      <c r="BQ513" s="2275">
        <f>VLOOKUP(BJ515,BK501:BQ511,7,0)</f>
        <v>2.5299999999999998</v>
      </c>
      <c r="BR513" s="2275">
        <f>VLOOKUP(BJ515,BK501:BR511,8,0)</f>
        <v>2.8</v>
      </c>
      <c r="BS513" s="2275">
        <f>VLOOKUP(BJ515,BK501:BS511,9,0)</f>
        <v>3</v>
      </c>
      <c r="BT513" s="2275">
        <f>VLOOKUP(BJ515,BK501:BT511,10,0)</f>
        <v>3.2</v>
      </c>
      <c r="BU513" s="2275">
        <f>VLOOKUP(BJ515,BK501:BU511,11,0)</f>
        <v>3.4</v>
      </c>
      <c r="BV513" s="2275">
        <f>VLOOKUP(BJ515,BK501:BV511,12,0)</f>
        <v>3.73</v>
      </c>
      <c r="BW513" s="2275">
        <f>VLOOKUP(BJ515,BK501:BW511,13,0)</f>
        <v>4</v>
      </c>
      <c r="BX513" s="2275">
        <f>VLOOKUP(BJ515,BK501:BX511,14,0)</f>
        <v>4.2</v>
      </c>
      <c r="BY513" s="2275">
        <f>VLOOKUP(BJ515,BK501:BY511,15,0)</f>
        <v>4.47</v>
      </c>
      <c r="BZ513" s="2275">
        <f>VLOOKUP(BJ515,BK501:BZ511,16,0)</f>
        <v>4.5999999999999996</v>
      </c>
      <c r="CA513" s="2275">
        <f>VLOOKUP(BJ515,BK501:CA511,17,0)</f>
        <v>4.87</v>
      </c>
      <c r="CB513" s="2275">
        <f>VLOOKUP(BJ515,BK501:CB511,18,0)</f>
        <v>5.2</v>
      </c>
      <c r="CC513" s="2275">
        <f>VLOOKUP(BJ515,BK501:CC511,19,0)</f>
        <v>5.67</v>
      </c>
      <c r="CD513" s="2275">
        <f>VLOOKUP(BJ515,BK501:CD511,20,0)</f>
        <v>6</v>
      </c>
      <c r="CE513" s="2275">
        <f>VLOOKUP(BJ515,BK501:CE511,21,0)</f>
        <v>6.4</v>
      </c>
      <c r="CF513" s="2275">
        <f>VLOOKUP(BJ515,BK501:CF511,22,0)</f>
        <v>6.87</v>
      </c>
      <c r="CG513" s="2275">
        <f>VLOOKUP(BJ515,BK501:CG511,23,0)</f>
        <v>7.53</v>
      </c>
      <c r="CH513" s="2275">
        <f>VLOOKUP(BJ515,BK501:CH511,24,0)</f>
        <v>8.1999999999999993</v>
      </c>
      <c r="CI513" s="2275">
        <f>VLOOKUP(BJ515,BK501:CI511,25,0)</f>
        <v>9.1999999999999993</v>
      </c>
      <c r="CJ513" s="2275">
        <f>VLOOKUP(BJ515,BK501:CJ511,26,0)</f>
        <v>10.33</v>
      </c>
      <c r="CK513" s="2275">
        <f>VLOOKUP(BJ515,BK501:CK511,27,0)</f>
        <v>11.8</v>
      </c>
      <c r="CL513" s="2275">
        <f>VLOOKUP(BJ515,BK501:CL511,28,0)</f>
        <v>13.8</v>
      </c>
      <c r="CM513" s="2346"/>
      <c r="CN513" s="2275"/>
      <c r="CO513" s="2275">
        <f>HLOOKUP(CO498,BL499:CL511,13,0)</f>
        <v>222.87</v>
      </c>
      <c r="CP513" s="2275"/>
      <c r="CQ513" s="2275"/>
      <c r="CR513" s="2275"/>
      <c r="CS513" s="2275"/>
      <c r="CT513" s="2275"/>
      <c r="CU513" s="2275"/>
      <c r="CV513" s="2275"/>
      <c r="CW513" s="2275"/>
      <c r="CX513" s="2250"/>
      <c r="CY513" s="2250"/>
      <c r="CZ513" s="2250"/>
      <c r="DA513" s="2250"/>
      <c r="DB513" s="2250"/>
      <c r="DC513" s="2250"/>
      <c r="DD513" s="2250"/>
      <c r="DE513" s="2250"/>
      <c r="DF513" s="2250"/>
      <c r="DG513" s="2250"/>
      <c r="DH513" s="2250"/>
      <c r="DI513" s="2250"/>
      <c r="DJ513" s="2250"/>
      <c r="DK513" s="2250"/>
      <c r="DL513" s="2250"/>
      <c r="DM513" s="2250"/>
      <c r="DN513" s="2250"/>
      <c r="DO513" s="53"/>
      <c r="DP513" s="53"/>
      <c r="DS513" s="277"/>
      <c r="DW513" s="1"/>
      <c r="DX513" s="2275">
        <f>FC498</f>
        <v>43.9</v>
      </c>
      <c r="DY513" s="2275">
        <v>0</v>
      </c>
      <c r="DZ513" s="2275">
        <f>VLOOKUP(DX515,DY501:EZ511,2,0)</f>
        <v>1.8</v>
      </c>
      <c r="EA513" s="2275">
        <f>VLOOKUP(DX515,DY501:EA511,3,0)</f>
        <v>2</v>
      </c>
      <c r="EB513" s="2275">
        <f>VLOOKUP(DX515,DY501:EB511,4,0)</f>
        <v>2.2000000000000002</v>
      </c>
      <c r="EC513" s="2275">
        <f>VLOOKUP(DX515,DY501:EC511,5,0)</f>
        <v>2.4</v>
      </c>
      <c r="ED513" s="2275">
        <f>VLOOKUP(DX515,DY501:ED511,6,0)</f>
        <v>2.6</v>
      </c>
      <c r="EE513" s="2275">
        <f>VLOOKUP(DX515,DY501:EE511,7,0)</f>
        <v>2.5299999999999998</v>
      </c>
      <c r="EF513" s="2275">
        <f>VLOOKUP(DX515,DY501:EF511,8,0)</f>
        <v>2.8</v>
      </c>
      <c r="EG513" s="2275">
        <f>VLOOKUP(DX515,DY501:EG511,9,0)</f>
        <v>3</v>
      </c>
      <c r="EH513" s="2275">
        <f>VLOOKUP(DX515,DY501:EH511,10,0)</f>
        <v>3.2</v>
      </c>
      <c r="EI513" s="2275">
        <f>VLOOKUP(DX515,DY501:EI511,11,0)</f>
        <v>3.4</v>
      </c>
      <c r="EJ513" s="2275">
        <f>VLOOKUP(DX515,DY501:EJ511,12,0)</f>
        <v>3.73</v>
      </c>
      <c r="EK513" s="2275">
        <f>VLOOKUP(DX515,DY501:EK511,13,0)</f>
        <v>4</v>
      </c>
      <c r="EL513" s="2275">
        <f>VLOOKUP(DX515,DY501:EL511,14,0)</f>
        <v>4.2</v>
      </c>
      <c r="EM513" s="2275">
        <f>VLOOKUP(DX515,DY501:EM511,15,0)</f>
        <v>4.47</v>
      </c>
      <c r="EN513" s="2275">
        <f>VLOOKUP(DX515,DY501:EN511,16,0)</f>
        <v>4.5999999999999996</v>
      </c>
      <c r="EO513" s="2275">
        <f>VLOOKUP(DX515,DY501:EO511,17,0)</f>
        <v>4.87</v>
      </c>
      <c r="EP513" s="2275">
        <f>VLOOKUP(DX515,DY501:EP511,18,0)</f>
        <v>5.2</v>
      </c>
      <c r="EQ513" s="2275">
        <f>VLOOKUP(DX515,DY501:EQ511,19,0)</f>
        <v>5.67</v>
      </c>
      <c r="ER513" s="2275">
        <f>VLOOKUP(DX515,DY501:ER511,20,0)</f>
        <v>6</v>
      </c>
      <c r="ES513" s="2275">
        <f>VLOOKUP(DX515,DY501:ES511,21,0)</f>
        <v>6.4</v>
      </c>
      <c r="ET513" s="2275">
        <f>VLOOKUP(DX515,DY501:ET511,22,0)</f>
        <v>6.87</v>
      </c>
      <c r="EU513" s="2275">
        <f>VLOOKUP(DX515,DY501:EU511,23,0)</f>
        <v>7.53</v>
      </c>
      <c r="EV513" s="2275">
        <f>VLOOKUP(DX515,DY501:EV511,24,0)</f>
        <v>8.1999999999999993</v>
      </c>
      <c r="EW513" s="2275">
        <f>VLOOKUP(DX515,DY501:EW511,25,0)</f>
        <v>9.1999999999999993</v>
      </c>
      <c r="EX513" s="2275">
        <f>VLOOKUP(DX515,DY501:EX511,26,0)</f>
        <v>10.33</v>
      </c>
      <c r="EY513" s="2275">
        <f>VLOOKUP(DX515,DY501:EY511,27,0)</f>
        <v>11.8</v>
      </c>
      <c r="EZ513" s="2275">
        <f>VLOOKUP(DX515,DY501:EZ511,28,0)</f>
        <v>13.8</v>
      </c>
      <c r="FA513" s="2346"/>
      <c r="FB513" s="2275"/>
      <c r="FC513" s="2275">
        <f>HLOOKUP(FC498,DZ499:EZ511,13,0)</f>
        <v>0</v>
      </c>
      <c r="FD513" s="2275"/>
      <c r="FE513" s="2275"/>
      <c r="FF513" s="2275"/>
      <c r="FG513" s="2275"/>
      <c r="FH513" s="2275"/>
      <c r="FI513" s="2275"/>
      <c r="FJ513" s="2275"/>
      <c r="FK513" s="2275"/>
      <c r="FL513" s="2250"/>
      <c r="FM513" s="2250"/>
      <c r="FN513" s="2250"/>
      <c r="FO513" s="2250"/>
      <c r="FP513" s="2250"/>
      <c r="FQ513" s="2250"/>
      <c r="FR513" s="2250"/>
      <c r="FS513" s="2250"/>
      <c r="FT513" s="2250"/>
      <c r="FU513" s="2250"/>
      <c r="FV513" s="2250"/>
      <c r="FW513" s="2250"/>
      <c r="FX513" s="2250"/>
      <c r="FY513" s="2250"/>
      <c r="FZ513" s="2250"/>
      <c r="GA513" s="2250"/>
      <c r="GB513" s="2276"/>
      <c r="GC513" s="2276"/>
      <c r="GD513" s="2250"/>
      <c r="GE513" s="2275"/>
      <c r="GF513" s="2275">
        <f>HK498</f>
        <v>48.8</v>
      </c>
      <c r="GG513" s="2275">
        <v>0</v>
      </c>
      <c r="GH513" s="2275">
        <f>VLOOKUP(GF515,GG501:HH511,2,0)</f>
        <v>1.8</v>
      </c>
      <c r="GI513" s="2275">
        <f>VLOOKUP(GF515,GG501:GI511,3,0)</f>
        <v>2</v>
      </c>
      <c r="GJ513" s="2275">
        <f>VLOOKUP(GF515,GG501:GJ511,4,0)</f>
        <v>2.2000000000000002</v>
      </c>
      <c r="GK513" s="2275">
        <f>VLOOKUP(GF515,GG501:GK511,5,0)</f>
        <v>2.4</v>
      </c>
      <c r="GL513" s="2275">
        <f>VLOOKUP(GF515,GG501:GL511,6,0)</f>
        <v>2.6</v>
      </c>
      <c r="GM513" s="2275">
        <f>VLOOKUP(GF515,GG501:GM511,7,0)</f>
        <v>2.5299999999999998</v>
      </c>
      <c r="GN513" s="2275">
        <f>VLOOKUP(GF515,GG501:GN511,8,0)</f>
        <v>2.8</v>
      </c>
      <c r="GO513" s="2275">
        <f>VLOOKUP(GF515,GG501:GO511,9,0)</f>
        <v>3</v>
      </c>
      <c r="GP513" s="2275">
        <f>VLOOKUP(GF515,GG501:GP511,10,0)</f>
        <v>3.2</v>
      </c>
      <c r="GQ513" s="2275">
        <f>VLOOKUP(GF515,GG501:GQ511,11,0)</f>
        <v>3.4</v>
      </c>
      <c r="GR513" s="2275">
        <f>VLOOKUP(GF515,GG501:GR511,12,0)</f>
        <v>3.73</v>
      </c>
      <c r="GS513" s="2275">
        <f>VLOOKUP(GF515,GG501:GS511,13,0)</f>
        <v>4</v>
      </c>
      <c r="GT513" s="2275">
        <f>VLOOKUP(GF515,GG501:GT511,14,0)</f>
        <v>4.2</v>
      </c>
      <c r="GU513" s="2275">
        <f>VLOOKUP(GF515,GG501:GU511,15,0)</f>
        <v>4.47</v>
      </c>
      <c r="GV513" s="2275">
        <f>VLOOKUP(GF515,GG501:GV511,16,0)</f>
        <v>4.5999999999999996</v>
      </c>
      <c r="GW513" s="2275">
        <f>VLOOKUP(GF515,GG501:GW511,17,0)</f>
        <v>4.87</v>
      </c>
      <c r="GX513" s="2275">
        <f>VLOOKUP(GF515,GG501:GX511,18,0)</f>
        <v>5.2</v>
      </c>
      <c r="GY513" s="2275">
        <f>VLOOKUP(GF515,GG501:GY511,19,0)</f>
        <v>5.67</v>
      </c>
      <c r="GZ513" s="2275">
        <f>VLOOKUP(GF515,GG501:GZ511,20,0)</f>
        <v>6</v>
      </c>
      <c r="HA513" s="2275">
        <f>VLOOKUP(GF515,GG501:HA511,21,0)</f>
        <v>6.4</v>
      </c>
      <c r="HB513" s="2275">
        <f>VLOOKUP(GF515,GG501:HB511,22,0)</f>
        <v>6.87</v>
      </c>
      <c r="HC513" s="2275">
        <f>VLOOKUP(GF515,GG501:HC511,23,0)</f>
        <v>7.53</v>
      </c>
      <c r="HD513" s="2275">
        <f>VLOOKUP(GF515,GG501:HD511,24,0)</f>
        <v>8.1999999999999993</v>
      </c>
      <c r="HE513" s="2275">
        <f>VLOOKUP(GF515,GG501:HE511,25,0)</f>
        <v>9.1999999999999993</v>
      </c>
      <c r="HF513" s="2275">
        <f>VLOOKUP(GF515,GG501:HF511,26,0)</f>
        <v>10.33</v>
      </c>
      <c r="HG513" s="2275">
        <f>VLOOKUP(GF515,GG501:HG511,27,0)</f>
        <v>11.8</v>
      </c>
      <c r="HH513" s="2275">
        <f>VLOOKUP(GF515,GG501:HH511,28,0)</f>
        <v>13.8</v>
      </c>
      <c r="HI513" s="2346"/>
      <c r="HJ513" s="2275"/>
      <c r="HK513" s="2275">
        <f>HLOOKUP(HK498,GH499:HH511,13,0)</f>
        <v>323.33</v>
      </c>
      <c r="HL513" s="2275"/>
      <c r="HM513" s="2275"/>
      <c r="HN513" s="2275"/>
      <c r="HO513" s="2275"/>
      <c r="HP513" s="2275"/>
      <c r="HQ513" s="2275"/>
      <c r="HR513" s="2275"/>
      <c r="HS513" s="2275"/>
      <c r="HT513" s="2250"/>
      <c r="HU513" s="2250"/>
      <c r="HV513" s="2250"/>
      <c r="HW513" s="2250"/>
      <c r="HX513" s="2250"/>
      <c r="HY513" s="2250"/>
      <c r="HZ513" s="2250"/>
      <c r="IA513" s="2250"/>
      <c r="IB513" s="2250"/>
      <c r="IC513" s="2250"/>
      <c r="ID513" s="2250"/>
      <c r="IE513" s="2250"/>
      <c r="IF513" s="2250"/>
      <c r="IG513" s="2250"/>
      <c r="IH513" s="2250"/>
      <c r="II513" s="2250"/>
      <c r="IJ513" s="2250"/>
      <c r="IK513" s="53"/>
      <c r="IL513" s="53"/>
      <c r="IN513" s="277"/>
      <c r="IO513" s="277"/>
    </row>
    <row r="514" spans="2:249" ht="21.95" customHeight="1">
      <c r="B514" s="2275">
        <f>AH515</f>
        <v>5.67</v>
      </c>
      <c r="C514" s="2250"/>
      <c r="D514" s="2275"/>
      <c r="E514" s="2275"/>
      <c r="F514" s="2275"/>
      <c r="G514" s="2275"/>
      <c r="H514" s="2275"/>
      <c r="I514" s="2275"/>
      <c r="J514" s="2275"/>
      <c r="K514" s="2275"/>
      <c r="L514" s="2275"/>
      <c r="M514" s="2275"/>
      <c r="N514" s="2275"/>
      <c r="O514" s="2275"/>
      <c r="P514" s="2275"/>
      <c r="Q514" s="2275"/>
      <c r="R514" s="2275"/>
      <c r="S514" s="2275"/>
      <c r="T514" s="2275"/>
      <c r="U514" s="2275"/>
      <c r="V514" s="2275"/>
      <c r="W514" s="2275"/>
      <c r="X514" s="2275"/>
      <c r="Y514" s="2275"/>
      <c r="Z514" s="2275"/>
      <c r="AA514" s="2275"/>
      <c r="AB514" s="2275"/>
      <c r="AC514" s="2275"/>
      <c r="AD514" s="2275"/>
      <c r="AE514" s="2275"/>
      <c r="AF514" s="2275"/>
      <c r="AG514" s="2275">
        <f>VLOOKUP(AG499,AG501:AG513,1)</f>
        <v>0</v>
      </c>
      <c r="AH514" s="2275">
        <f>IFERROR(VLOOKUP(AG499,AH501:AH511,2,0),0)</f>
        <v>0</v>
      </c>
      <c r="AI514" s="2275"/>
      <c r="AJ514" s="2275"/>
      <c r="AK514" s="2275"/>
      <c r="AL514" s="2275"/>
      <c r="AM514" s="2275"/>
      <c r="AN514" s="2275"/>
      <c r="AO514" s="2275"/>
      <c r="AP514" s="2250"/>
      <c r="AQ514" s="2250"/>
      <c r="AR514" s="2250"/>
      <c r="AS514" s="2250"/>
      <c r="AT514" s="2250"/>
      <c r="AU514" s="2250"/>
      <c r="AV514" s="2250"/>
      <c r="AW514" s="2250"/>
      <c r="AX514" s="2250"/>
      <c r="AY514" s="2250"/>
      <c r="AZ514" s="2250"/>
      <c r="BA514" s="2250"/>
      <c r="BB514" s="2250"/>
      <c r="BC514" s="2250"/>
      <c r="BD514" s="2250"/>
      <c r="BE514" s="2250"/>
      <c r="BF514" s="2276"/>
      <c r="BG514" s="2276"/>
      <c r="BH514" s="2250"/>
      <c r="BI514" s="2275"/>
      <c r="BJ514" s="2275">
        <f>CP515</f>
        <v>5.2</v>
      </c>
      <c r="BK514" s="2250"/>
      <c r="BL514" s="2275"/>
      <c r="BM514" s="2275"/>
      <c r="BN514" s="2275"/>
      <c r="BO514" s="2275"/>
      <c r="BP514" s="2275"/>
      <c r="BQ514" s="2275"/>
      <c r="BR514" s="2275"/>
      <c r="BS514" s="2275"/>
      <c r="BT514" s="2275"/>
      <c r="BU514" s="2275"/>
      <c r="BV514" s="2275"/>
      <c r="BW514" s="2275"/>
      <c r="BX514" s="2275"/>
      <c r="BY514" s="2275"/>
      <c r="BZ514" s="2275"/>
      <c r="CA514" s="2275"/>
      <c r="CB514" s="2275"/>
      <c r="CC514" s="2275"/>
      <c r="CD514" s="2275"/>
      <c r="CE514" s="2275"/>
      <c r="CF514" s="2275"/>
      <c r="CG514" s="2275"/>
      <c r="CH514" s="2275"/>
      <c r="CI514" s="2275"/>
      <c r="CJ514" s="2275"/>
      <c r="CK514" s="2275"/>
      <c r="CL514" s="2275"/>
      <c r="CM514" s="2275"/>
      <c r="CN514" s="2275"/>
      <c r="CO514" s="2275">
        <f>VLOOKUP(CO499,CO501:CO513,1)</f>
        <v>0</v>
      </c>
      <c r="CP514" s="2275">
        <f>IFERROR(VLOOKUP(CO499,CP501:CP511,2,0),0)</f>
        <v>0</v>
      </c>
      <c r="CQ514" s="2275"/>
      <c r="CR514" s="2275"/>
      <c r="CS514" s="2275"/>
      <c r="CT514" s="2275"/>
      <c r="CU514" s="2275"/>
      <c r="CV514" s="2275"/>
      <c r="CW514" s="2275"/>
      <c r="CX514" s="2250"/>
      <c r="CY514" s="2250"/>
      <c r="CZ514" s="2250"/>
      <c r="DA514" s="2250"/>
      <c r="DB514" s="2250"/>
      <c r="DC514" s="2250"/>
      <c r="DD514" s="2250"/>
      <c r="DE514" s="2250"/>
      <c r="DF514" s="2250"/>
      <c r="DG514" s="2250"/>
      <c r="DH514" s="2250"/>
      <c r="DI514" s="2250"/>
      <c r="DJ514" s="2250"/>
      <c r="DK514" s="2250"/>
      <c r="DL514" s="2250"/>
      <c r="DM514" s="2250"/>
      <c r="DN514" s="2250"/>
      <c r="DO514" s="53"/>
      <c r="DP514" s="53"/>
      <c r="DS514" s="277"/>
      <c r="DW514" s="1"/>
      <c r="DX514" s="2275">
        <f>FD515</f>
        <v>8.1999999999999993</v>
      </c>
      <c r="DY514" s="2250"/>
      <c r="DZ514" s="2275"/>
      <c r="EA514" s="2275"/>
      <c r="EB514" s="2275"/>
      <c r="EC514" s="2275"/>
      <c r="ED514" s="2275"/>
      <c r="EE514" s="2275"/>
      <c r="EF514" s="2275"/>
      <c r="EG514" s="2275"/>
      <c r="EH514" s="2275"/>
      <c r="EI514" s="2275"/>
      <c r="EJ514" s="2275"/>
      <c r="EK514" s="2275"/>
      <c r="EL514" s="2275"/>
      <c r="EM514" s="2275"/>
      <c r="EN514" s="2275"/>
      <c r="EO514" s="2275"/>
      <c r="EP514" s="2275"/>
      <c r="EQ514" s="2275"/>
      <c r="ER514" s="2275"/>
      <c r="ES514" s="2275"/>
      <c r="ET514" s="2275"/>
      <c r="EU514" s="2275"/>
      <c r="EV514" s="2275"/>
      <c r="EW514" s="2275"/>
      <c r="EX514" s="2275"/>
      <c r="EY514" s="2275"/>
      <c r="EZ514" s="2275"/>
      <c r="FA514" s="2275"/>
      <c r="FB514" s="2275"/>
      <c r="FC514" s="2275">
        <f>VLOOKUP(FC499,FC501:FC513,1)</f>
        <v>0</v>
      </c>
      <c r="FD514" s="2275">
        <f>IFERROR(VLOOKUP(FC499,FD501:FD511,2,0),0)</f>
        <v>0</v>
      </c>
      <c r="FE514" s="2275"/>
      <c r="FF514" s="2275"/>
      <c r="FG514" s="2275"/>
      <c r="FH514" s="2275"/>
      <c r="FI514" s="2275"/>
      <c r="FJ514" s="2275"/>
      <c r="FK514" s="2275"/>
      <c r="FL514" s="2250"/>
      <c r="FM514" s="2250"/>
      <c r="FN514" s="2250"/>
      <c r="FO514" s="2250"/>
      <c r="FP514" s="2250"/>
      <c r="FQ514" s="2250"/>
      <c r="FR514" s="2250"/>
      <c r="FS514" s="2250"/>
      <c r="FT514" s="2250"/>
      <c r="FU514" s="2250"/>
      <c r="FV514" s="2250"/>
      <c r="FW514" s="2250"/>
      <c r="FX514" s="2250"/>
      <c r="FY514" s="2250"/>
      <c r="FZ514" s="2250"/>
      <c r="GA514" s="2250"/>
      <c r="GB514" s="2276"/>
      <c r="GC514" s="2276"/>
      <c r="GD514" s="2250"/>
      <c r="GE514" s="2275"/>
      <c r="GF514" s="2275">
        <f>HL515</f>
        <v>7.53</v>
      </c>
      <c r="GG514" s="2250"/>
      <c r="GH514" s="2275"/>
      <c r="GI514" s="2275"/>
      <c r="GJ514" s="2275"/>
      <c r="GK514" s="2275"/>
      <c r="GL514" s="2275"/>
      <c r="GM514" s="2275"/>
      <c r="GN514" s="2275"/>
      <c r="GO514" s="2275"/>
      <c r="GP514" s="2275"/>
      <c r="GQ514" s="2275"/>
      <c r="GR514" s="2275"/>
      <c r="GS514" s="2275"/>
      <c r="GT514" s="2275"/>
      <c r="GU514" s="2275"/>
      <c r="GV514" s="2275"/>
      <c r="GW514" s="2275"/>
      <c r="GX514" s="2275"/>
      <c r="GY514" s="2275"/>
      <c r="GZ514" s="2275"/>
      <c r="HA514" s="2275"/>
      <c r="HB514" s="2275"/>
      <c r="HC514" s="2275"/>
      <c r="HD514" s="2275"/>
      <c r="HE514" s="2275"/>
      <c r="HF514" s="2275"/>
      <c r="HG514" s="2275"/>
      <c r="HH514" s="2275"/>
      <c r="HI514" s="2275"/>
      <c r="HJ514" s="2275"/>
      <c r="HK514" s="2275">
        <f>VLOOKUP(HK499,HK501:HK513,1)</f>
        <v>0</v>
      </c>
      <c r="HL514" s="2275">
        <f>IFERROR(VLOOKUP(HK499,HL501:HL511,2,0),0)</f>
        <v>0</v>
      </c>
      <c r="HM514" s="2275"/>
      <c r="HN514" s="2275"/>
      <c r="HO514" s="2275"/>
      <c r="HP514" s="2275"/>
      <c r="HQ514" s="2275"/>
      <c r="HR514" s="2275"/>
      <c r="HS514" s="2275"/>
      <c r="HT514" s="2250"/>
      <c r="HU514" s="2250"/>
      <c r="HV514" s="2250"/>
      <c r="HW514" s="2250"/>
      <c r="HX514" s="2250"/>
      <c r="HY514" s="2250"/>
      <c r="HZ514" s="2250"/>
      <c r="IA514" s="2250"/>
      <c r="IB514" s="2250"/>
      <c r="IC514" s="2250"/>
      <c r="ID514" s="2250"/>
      <c r="IE514" s="2250"/>
      <c r="IF514" s="2250"/>
      <c r="IG514" s="2250"/>
      <c r="IH514" s="2250"/>
      <c r="II514" s="2250"/>
      <c r="IJ514" s="2250"/>
      <c r="IK514" s="53"/>
      <c r="IL514" s="53"/>
      <c r="IN514" s="277"/>
      <c r="IO514" s="277"/>
    </row>
    <row r="515" spans="2:249" ht="21.95" customHeight="1">
      <c r="B515" s="2346">
        <f>AI515</f>
        <v>475</v>
      </c>
      <c r="C515" s="2346" t="s">
        <v>739</v>
      </c>
      <c r="D515" s="2346">
        <f>HLOOKUP(B513,D499:AD513,15,0)</f>
        <v>5.67</v>
      </c>
      <c r="E515" s="2346" t="str">
        <f>IF(B514=D515,"Right","Wrong")</f>
        <v>Right</v>
      </c>
      <c r="F515" s="2275"/>
      <c r="G515" s="2275"/>
      <c r="H515" s="2275"/>
      <c r="I515" s="2275"/>
      <c r="J515" s="2275"/>
      <c r="K515" s="2275"/>
      <c r="L515" s="2275"/>
      <c r="M515" s="2275"/>
      <c r="N515" s="2275"/>
      <c r="O515" s="2275"/>
      <c r="P515" s="2275"/>
      <c r="Q515" s="2275"/>
      <c r="R515" s="2275"/>
      <c r="S515" s="2275"/>
      <c r="T515" s="2275"/>
      <c r="U515" s="2275"/>
      <c r="V515" s="2275"/>
      <c r="W515" s="2275"/>
      <c r="X515" s="2275"/>
      <c r="Y515" s="2275"/>
      <c r="Z515" s="2275"/>
      <c r="AA515" s="2275"/>
      <c r="AB515" s="2275"/>
      <c r="AC515" s="2275"/>
      <c r="AD515" s="2275"/>
      <c r="AE515" s="2275"/>
      <c r="AF515" s="2275"/>
      <c r="AG515" s="2275">
        <f>VLOOKUP(AG514,AG501:AH512,2,0)</f>
        <v>5.67</v>
      </c>
      <c r="AH515" s="2275">
        <f>IF(AH514&gt;0,AH514,AG515)</f>
        <v>5.67</v>
      </c>
      <c r="AI515" s="2275">
        <f>VLOOKUP(AH515,AH502:AI512,2,0)</f>
        <v>475</v>
      </c>
      <c r="AJ515" s="2275"/>
      <c r="AK515" s="2275"/>
      <c r="AL515" s="2275"/>
      <c r="AM515" s="2275"/>
      <c r="AN515" s="2275"/>
      <c r="AO515" s="2275"/>
      <c r="AP515" s="2250"/>
      <c r="AQ515" s="2250"/>
      <c r="AR515" s="2250"/>
      <c r="AS515" s="2250"/>
      <c r="AT515" s="2250"/>
      <c r="AU515" s="2250"/>
      <c r="AV515" s="2250"/>
      <c r="AW515" s="2250"/>
      <c r="AX515" s="2250"/>
      <c r="AY515" s="2250"/>
      <c r="AZ515" s="2250"/>
      <c r="BA515" s="2250"/>
      <c r="BB515" s="2250"/>
      <c r="BC515" s="2250"/>
      <c r="BD515" s="2250"/>
      <c r="BE515" s="2250"/>
      <c r="BF515" s="2276"/>
      <c r="BG515" s="2276"/>
      <c r="BH515" s="2250"/>
      <c r="BI515" s="2275"/>
      <c r="BJ515" s="2346">
        <f>CQ515</f>
        <v>475</v>
      </c>
      <c r="BK515" s="2346" t="s">
        <v>739</v>
      </c>
      <c r="BL515" s="2346">
        <f>HLOOKUP(BJ513,BL499:CL513,15,0)</f>
        <v>5.2</v>
      </c>
      <c r="BM515" s="2346" t="str">
        <f>IF(BJ514=BL515,"Right","Wrong")</f>
        <v>Right</v>
      </c>
      <c r="BN515" s="2275"/>
      <c r="BO515" s="2275"/>
      <c r="BP515" s="2275"/>
      <c r="BQ515" s="2275"/>
      <c r="BR515" s="2275"/>
      <c r="BS515" s="2275"/>
      <c r="BT515" s="2275"/>
      <c r="BU515" s="2275"/>
      <c r="BV515" s="2275"/>
      <c r="BW515" s="2275"/>
      <c r="BX515" s="2275"/>
      <c r="BY515" s="2275"/>
      <c r="BZ515" s="2275"/>
      <c r="CA515" s="2275"/>
      <c r="CB515" s="2275"/>
      <c r="CC515" s="2275"/>
      <c r="CD515" s="2275"/>
      <c r="CE515" s="2275"/>
      <c r="CF515" s="2275"/>
      <c r="CG515" s="2275"/>
      <c r="CH515" s="2275"/>
      <c r="CI515" s="2275"/>
      <c r="CJ515" s="2275"/>
      <c r="CK515" s="2275"/>
      <c r="CL515" s="2275"/>
      <c r="CM515" s="2275"/>
      <c r="CN515" s="2275"/>
      <c r="CO515" s="2275">
        <f>VLOOKUP(CO514,CO501:CP512,2,0)</f>
        <v>5.2</v>
      </c>
      <c r="CP515" s="2275">
        <f>IF(CP514&gt;0,CP514,CO515)</f>
        <v>5.2</v>
      </c>
      <c r="CQ515" s="2275">
        <f>VLOOKUP(CP515,CP502:CQ512,2,0)</f>
        <v>475</v>
      </c>
      <c r="CR515" s="2275"/>
      <c r="CS515" s="2275"/>
      <c r="CT515" s="2275"/>
      <c r="CU515" s="2275"/>
      <c r="CV515" s="2275"/>
      <c r="CW515" s="2275"/>
      <c r="CX515" s="2250"/>
      <c r="CY515" s="2250"/>
      <c r="CZ515" s="2250"/>
      <c r="DA515" s="2250"/>
      <c r="DB515" s="2250"/>
      <c r="DC515" s="2250"/>
      <c r="DD515" s="2250"/>
      <c r="DE515" s="2250"/>
      <c r="DF515" s="2250"/>
      <c r="DG515" s="2250"/>
      <c r="DH515" s="2250"/>
      <c r="DI515" s="2250"/>
      <c r="DJ515" s="2250"/>
      <c r="DK515" s="2250"/>
      <c r="DL515" s="2250"/>
      <c r="DM515" s="2250"/>
      <c r="DN515" s="2250"/>
      <c r="DO515" s="53"/>
      <c r="DP515" s="53"/>
      <c r="DS515" s="277"/>
      <c r="DW515" s="1"/>
      <c r="DX515" s="2346">
        <f>FE515</f>
        <v>475</v>
      </c>
      <c r="DY515" s="2346" t="s">
        <v>739</v>
      </c>
      <c r="DZ515" s="2346">
        <f>HLOOKUP(DX513,DZ499:EZ513,15,0)</f>
        <v>8.1999999999999993</v>
      </c>
      <c r="EA515" s="2346" t="str">
        <f>IF(DX514=DZ515,"Right","Wrong")</f>
        <v>Right</v>
      </c>
      <c r="EB515" s="2275"/>
      <c r="EC515" s="2275"/>
      <c r="ED515" s="2275"/>
      <c r="EE515" s="2275"/>
      <c r="EF515" s="2275"/>
      <c r="EG515" s="2275"/>
      <c r="EH515" s="2275"/>
      <c r="EI515" s="2275"/>
      <c r="EJ515" s="2275"/>
      <c r="EK515" s="2275"/>
      <c r="EL515" s="2275"/>
      <c r="EM515" s="2275"/>
      <c r="EN515" s="2275"/>
      <c r="EO515" s="2275"/>
      <c r="EP515" s="2275"/>
      <c r="EQ515" s="2275"/>
      <c r="ER515" s="2275"/>
      <c r="ES515" s="2275"/>
      <c r="ET515" s="2275"/>
      <c r="EU515" s="2275"/>
      <c r="EV515" s="2275"/>
      <c r="EW515" s="2275"/>
      <c r="EX515" s="2275"/>
      <c r="EY515" s="2275"/>
      <c r="EZ515" s="2275"/>
      <c r="FA515" s="2275"/>
      <c r="FB515" s="2275"/>
      <c r="FC515" s="2275">
        <f>VLOOKUP(FC514,FC501:FD512,2,0)</f>
        <v>8.1999999999999993</v>
      </c>
      <c r="FD515" s="2275">
        <f>IF(FD514&gt;0,FD514,FC515)</f>
        <v>8.1999999999999993</v>
      </c>
      <c r="FE515" s="2275">
        <f>VLOOKUP(FD515,FD502:FE512,2,0)</f>
        <v>475</v>
      </c>
      <c r="FF515" s="2275"/>
      <c r="FG515" s="2275"/>
      <c r="FH515" s="2275"/>
      <c r="FI515" s="2275"/>
      <c r="FJ515" s="2275"/>
      <c r="FK515" s="2275"/>
      <c r="FL515" s="2250"/>
      <c r="FM515" s="2250"/>
      <c r="FN515" s="2250"/>
      <c r="FO515" s="2250"/>
      <c r="FP515" s="2250"/>
      <c r="FQ515" s="2250"/>
      <c r="FR515" s="2250"/>
      <c r="FS515" s="2250"/>
      <c r="FT515" s="2250"/>
      <c r="FU515" s="2250"/>
      <c r="FV515" s="2250"/>
      <c r="FW515" s="2250"/>
      <c r="FX515" s="2250"/>
      <c r="FY515" s="2250"/>
      <c r="FZ515" s="2250"/>
      <c r="GA515" s="2250"/>
      <c r="GB515" s="2276"/>
      <c r="GC515" s="2276"/>
      <c r="GD515" s="2250"/>
      <c r="GE515" s="2275"/>
      <c r="GF515" s="2346">
        <f>HM515</f>
        <v>475</v>
      </c>
      <c r="GG515" s="2346" t="s">
        <v>739</v>
      </c>
      <c r="GH515" s="2346">
        <f>HLOOKUP(GF513,GH499:HH513,15,0)</f>
        <v>7.53</v>
      </c>
      <c r="GI515" s="2346" t="str">
        <f>IF(GF514=GH515,"Right","Wrong")</f>
        <v>Right</v>
      </c>
      <c r="GJ515" s="2275"/>
      <c r="GK515" s="2275"/>
      <c r="GL515" s="2275"/>
      <c r="GM515" s="2275"/>
      <c r="GN515" s="2275"/>
      <c r="GO515" s="2275"/>
      <c r="GP515" s="2275"/>
      <c r="GQ515" s="2275"/>
      <c r="GR515" s="2275"/>
      <c r="GS515" s="2275"/>
      <c r="GT515" s="2275"/>
      <c r="GU515" s="2275"/>
      <c r="GV515" s="2275"/>
      <c r="GW515" s="2275"/>
      <c r="GX515" s="2275"/>
      <c r="GY515" s="2275"/>
      <c r="GZ515" s="2275"/>
      <c r="HA515" s="2275"/>
      <c r="HB515" s="2275"/>
      <c r="HC515" s="2275"/>
      <c r="HD515" s="2275"/>
      <c r="HE515" s="2275"/>
      <c r="HF515" s="2275"/>
      <c r="HG515" s="2275"/>
      <c r="HH515" s="2275"/>
      <c r="HI515" s="2275"/>
      <c r="HJ515" s="2275"/>
      <c r="HK515" s="2275">
        <f>VLOOKUP(HK514,HK501:HL512,2,0)</f>
        <v>7.53</v>
      </c>
      <c r="HL515" s="2275">
        <f>IF(HL514&gt;0,HL514,HK515)</f>
        <v>7.53</v>
      </c>
      <c r="HM515" s="2275">
        <f>VLOOKUP(HL515,HL502:HM512,2,0)</f>
        <v>475</v>
      </c>
      <c r="HN515" s="2275"/>
      <c r="HO515" s="2275"/>
      <c r="HP515" s="2275"/>
      <c r="HQ515" s="2275"/>
      <c r="HR515" s="2275"/>
      <c r="HS515" s="2275"/>
      <c r="HT515" s="2250"/>
      <c r="HU515" s="2250"/>
      <c r="HV515" s="2250"/>
      <c r="HW515" s="2250"/>
      <c r="HX515" s="2250"/>
      <c r="HY515" s="2250"/>
      <c r="HZ515" s="2250"/>
      <c r="IA515" s="2250"/>
      <c r="IB515" s="2250"/>
      <c r="IC515" s="2250"/>
      <c r="ID515" s="2250"/>
      <c r="IE515" s="2250"/>
      <c r="IF515" s="2250"/>
      <c r="IG515" s="2250"/>
      <c r="IH515" s="2250"/>
      <c r="II515" s="2250"/>
      <c r="IJ515" s="2250"/>
      <c r="IK515" s="53"/>
      <c r="IL515" s="53"/>
      <c r="IN515" s="277"/>
      <c r="IO515" s="277"/>
    </row>
    <row r="516" spans="2:249" ht="21.95" customHeight="1">
      <c r="B516" s="2250"/>
      <c r="C516" s="2275"/>
      <c r="D516" s="2275">
        <f>+IF(B517&lt;=D501,D501,IF(B517&lt;=D502,D502,IF(B517&lt;=D503,D503,IF(B517&lt;=D504,D504,IF(B517&lt;=D505,D505,IF(B517&lt;=D506,D506,IF(B517&lt;=D507,D507,IF(B517&lt;=D508,D508,0))))))))</f>
        <v>1.8</v>
      </c>
      <c r="E516" s="2275">
        <f>+IF(B517&lt;=E501,E501,IF(B517&lt;=E502,E502,IF(B517&lt;=E503,E503,IF(B517&lt;=E504,E504,IF(B517&lt;=E505,E505,IF(B517&lt;=E506,E506,IF(B517&lt;=E507,E507,IF(B517&lt;=E508,E508,0))))))))</f>
        <v>2</v>
      </c>
      <c r="F516" s="2275">
        <f>+IF(B517&lt;=F501,F501,IF(B517&lt;=F502,F502,IF(B517&lt;=F503,F503,IF(B517&lt;=F504,F504,IF(B517&lt;=F505,F505,IF(B517&lt;=F506,F506,IF(B517&lt;=F507,F507,IF(B517&lt;=F508,F508,0))))))))</f>
        <v>2.2000000000000002</v>
      </c>
      <c r="G516" s="2275">
        <f>+IF(B517&lt;=G501,G501,IF(B517&lt;=G502,G502,IF(B517&lt;=G503,G503,IF(B517&lt;=G504,G504,IF(B517&lt;=G505,G505,IF(B517&lt;=G506,G506,IF(B517&lt;=G507,G507,IF(B517&lt;=G508,G508,0))))))))</f>
        <v>2.4</v>
      </c>
      <c r="H516" s="2275">
        <f>+IF(B517&lt;=H501,H501,IF(B517&lt;=H502,H502,IF(B517&lt;=H503,H503,IF(B517&lt;=H504,H504,IF(B517&lt;=H505,H505,IF(B517&lt;=H506,H506,IF(B517&lt;=H507,H507,IF(B517&lt;=H508,H508,0))))))))</f>
        <v>2.6</v>
      </c>
      <c r="I516" s="2275">
        <f>+IF(B517&lt;=I501,I501,IF(B517&lt;=I502,I502,IF(B517&lt;=I503,I503,IF(B517&lt;=I504,I504,IF(B517&lt;=I505,I505,IF(B517&lt;=I506,I506,IF(B517&lt;=I507,I507,IF(B517&lt;=I508,I508,0))))))))</f>
        <v>2.5299999999999998</v>
      </c>
      <c r="J516" s="2275">
        <f>+IF(B517&lt;=J501,J501,IF(B517&lt;=J502,J502,IF(B517&lt;=J503,J503,IF(B517&lt;=J504,J504,IF(B517&lt;=J505,J505,IF(B517&lt;=J506,J506,IF(B517&lt;=J507,J507,IF(B517&lt;=J508,J508,0))))))))</f>
        <v>2.8</v>
      </c>
      <c r="K516" s="2275">
        <f>+IF(B517&lt;=K501,K501,IF(B517&lt;=K502,K502,IF(B517&lt;=K503,K503,IF(B517&lt;=K504,K504,IF(B517&lt;=K505,K505,IF(B517&lt;=K506,K506,IF(B517&lt;=K507,K507,IF(B517&lt;=K508,K508,0))))))))</f>
        <v>3</v>
      </c>
      <c r="L516" s="2275">
        <f>+IF(B517&lt;=L501,L501,IF(B517&lt;=L502,L502,IF(B517&lt;=L503,L503,IF(B517&lt;=L504,L504,IF(B517&lt;=L505,L505,IF(B517&lt;=L506,L506,IF(B517&lt;=L507,L507,IF(B517&lt;=L508,L508,0))))))))</f>
        <v>3.2</v>
      </c>
      <c r="M516" s="2275">
        <f>+IF(B517&lt;=M501,M501,IF(B517&lt;=M502,M502,IF(B517&lt;=M503,M503,IF(B517&lt;=M504,M504,IF(B517&lt;=M505,M505,IF(B517&lt;=M506,M506,IF(B517&lt;=M507,M507,IF(B517&lt;=M508,M508,0))))))))</f>
        <v>3.4</v>
      </c>
      <c r="N516" s="2275">
        <f>+IF(B517&lt;=N501,N501,IF(B517&lt;=N502,N502,IF(B517&lt;=N503,N503,IF(B517&lt;=N504,N504,IF(B517&lt;=N505,N505,IF(B517&lt;=N506,N506,IF(B517&lt;=N507,N507,IF(B517&lt;=N508,N508,0))))))))</f>
        <v>3.73</v>
      </c>
      <c r="O516" s="2275">
        <f>+IF(B517&lt;=O501,O501,IF(B517&lt;=O502,O502,IF(B517&lt;=O503,O503,IF(B517&lt;=O504,O504,IF(B517&lt;=O505,O505,IF(B517&lt;=O506,O506,IF(B517&lt;=O507,O507,IF(B517&lt;=O508,O508,0))))))))</f>
        <v>4</v>
      </c>
      <c r="P516" s="2275">
        <f>+IF(B517&lt;=P501,P501,IF(B517&lt;=P502,P502,IF(B517&lt;=P503,P503,IF(B517&lt;=P504,P504,IF(B517&lt;=P505,P505,IF(B517&lt;=P506,P506,IF(B517&lt;=P507,P507,IF(B517&lt;=P508,P508,0))))))))</f>
        <v>4.2</v>
      </c>
      <c r="Q516" s="2275">
        <f>+IF(B517&lt;=Q501,Q501,IF(B517&lt;=Q502,Q502,IF(B517&lt;=Q503,Q503,IF(B517&lt;=Q504,Q504,IF(B517&lt;=Q505,Q505,IF(B517&lt;=Q506,Q506,IF(B517&lt;=Q507,Q507,IF(B517&lt;=Q508,Q508,0))))))))</f>
        <v>4.47</v>
      </c>
      <c r="R516" s="2275">
        <f>+IF(B517&lt;=R501,R501,IF(B517&lt;=R502,R502,IF(B517&lt;=R503,R503,IF(B517&lt;=R504,R504,IF(B517&lt;=R505,R505,IF(B517&lt;=R506,R506,IF(B517&lt;=R507,R507,IF(B517&lt;=R508,R508,0))))))))</f>
        <v>4.5999999999999996</v>
      </c>
      <c r="S516" s="2275">
        <f>+IF(B517&lt;=S501,S501,IF(B517&lt;=S502,S502,IF(B517&lt;=S503,S503,IF(B517&lt;=S504,S504,IF(B517&lt;=S505,S505,IF(B517&lt;=S506,S506,IF(B517&lt;=S507,S507,IF(B517&lt;=S508,S508,0))))))))</f>
        <v>4.87</v>
      </c>
      <c r="T516" s="2275">
        <f>+IF(B517&lt;=T501,T501,IF(B517&lt;=T502,T502,IF(B517&lt;=T503,T503,IF(B517&lt;=T504,T504,IF(B517&lt;=T505,T505,IF(B517&lt;=T506,T506,IF(B517&lt;=T507,T507,IF(B517&lt;=T508,T508,0))))))))</f>
        <v>5.2</v>
      </c>
      <c r="U516" s="2275">
        <f>+IF(B517&lt;=U501,U501,IF(B517&lt;=U502,U502,IF(B517&lt;=U503,U503,IF(B517&lt;=U504,U504,IF(B517&lt;=U505,U505,IF(B517&lt;=U506,U506,IF(B517&lt;=U507,U507,IF(B517&lt;=U508,U508,0))))))))</f>
        <v>5.67</v>
      </c>
      <c r="V516" s="2275">
        <f>+IF(B517&lt;=V501,V501,IF(B517&lt;=V502,V502,IF(B517&lt;=V503,V503,IF(B517&lt;=V504,V504,IF(B517&lt;=V505,V505,IF(B517&lt;=V506,V506,IF(B517&lt;=V507,V507,IF(B517&lt;=V508,V508,0))))))))</f>
        <v>6</v>
      </c>
      <c r="W516" s="2275">
        <f>+IF(B517&lt;=W501,W501,IF(B517&lt;=W502,W502,IF(B517&lt;=W503,W503,IF(B517&lt;=W504,W504,IF(B517&lt;=W505,W505,IF(B517&lt;=W506,W506,IF(B517&lt;=W507,W507,IF(B517&lt;=W508,W508,0))))))))</f>
        <v>6.4</v>
      </c>
      <c r="X516" s="2275">
        <f>+IF(B517&lt;=X501,X501,IF(B517&lt;=X502,X502,IF(B517&lt;=X503,X503,IF(B517&lt;=X504,X504,IF(B517&lt;=X505,X505,IF(B517&lt;=X506,X506,IF(B517&lt;=X507,X507,IF(B517&lt;=X508,X508,0))))))))</f>
        <v>6.87</v>
      </c>
      <c r="Y516" s="2275">
        <f>+IF(B517&lt;=Y501,Y501,IF(B517&lt;=Y502,Y502,IF(B517&lt;=Y503,Y503,IF(B517&lt;=Y504,Y504,IF(B517&lt;=Y505,Y505,IF(B517&lt;=Y506,Y506,IF(B517&lt;=Y507,Y507,IF(B517&lt;=Y508,Y508,0))))))))</f>
        <v>7.53</v>
      </c>
      <c r="Z516" s="2275">
        <f>+IF(B517&lt;=Z501,Z501,IF(B517&lt;=Z502,Z502,IF(B517&lt;=Z503,Z503,IF(B517&lt;=Z504,Z504,IF(B517&lt;=Z505,Z505,IF(B517&lt;=Z506,Z506,IF(B517&lt;=Z507,Z507,IF(B517&lt;=Z508,Z508,0))))))))</f>
        <v>8.1999999999999993</v>
      </c>
      <c r="AA516" s="2275">
        <f>+IF(B517&lt;=AA501,AA501,IF(B517&lt;=AA502,AA502,IF(B517&lt;=AA503,AA503,IF(B517&lt;=AA504,AA504,IF(B517&lt;=AA505,AA505,IF(B517&lt;=AA506,AA506,IF(B517&lt;=AA507,AA507,IF(B517&lt;=AA508,AA508,0))))))))</f>
        <v>9.1999999999999993</v>
      </c>
      <c r="AB516" s="2275">
        <f>+IF(B517&lt;=AB501,AB501,IF(B517&lt;=AB502,AB502,IF(B517&lt;=AB503,AB503,IF(B517&lt;=AB504,AB504,IF(B517&lt;=AB505,AB505,IF(B517&lt;=AB506,AB506,IF(B517&lt;=AB507,AB507,IF(B517&lt;=AB508,AB508,0))))))))</f>
        <v>10.33</v>
      </c>
      <c r="AC516" s="2275">
        <f>+IF(B517&lt;=AC501,AC501,IF(B517&lt;=AC502,AC502,IF(B517&lt;=AC503,AC503,IF(B517&lt;=AC504,AC504,IF(B517&lt;=AC505,AC505,IF(B517&lt;=AC506,AC506,IF(B517&lt;=AC507,AC507,IF(B517&lt;=AC508,AC508,0))))))))</f>
        <v>11.8</v>
      </c>
      <c r="AD516" s="2275">
        <f>+IF(B517&lt;=AD501,AD501,IF(B517&lt;=AD502,AD502,IF(B517&lt;=AD503,AD503,IF(B517&lt;=AD504,AD504,IF(B517&lt;=AD505,AD505,IF(B517&lt;=AD506,AD506,IF(B517&lt;=AD507,AD507,IF(B517&lt;=AD508,AD508,0))))))))</f>
        <v>13.8</v>
      </c>
      <c r="AE516" s="2275"/>
      <c r="AF516" s="2275"/>
      <c r="AG516" s="2275"/>
      <c r="AH516" s="2275"/>
      <c r="AI516" s="2275"/>
      <c r="AJ516" s="2275"/>
      <c r="AK516" s="2275"/>
      <c r="AL516" s="2275"/>
      <c r="AM516" s="2275"/>
      <c r="AN516" s="2275"/>
      <c r="AO516" s="2275"/>
      <c r="AP516" s="2250"/>
      <c r="AQ516" s="2250"/>
      <c r="AR516" s="2250"/>
      <c r="AS516" s="2250"/>
      <c r="AT516" s="2250"/>
      <c r="AU516" s="2250"/>
      <c r="AV516" s="2250"/>
      <c r="AW516" s="2250"/>
      <c r="AX516" s="2250"/>
      <c r="AY516" s="2250"/>
      <c r="AZ516" s="2250"/>
      <c r="BA516" s="2250"/>
      <c r="BB516" s="2250"/>
      <c r="BC516" s="2250"/>
      <c r="BD516" s="2250"/>
      <c r="BE516" s="2250"/>
      <c r="BF516" s="2276"/>
      <c r="BG516" s="2276"/>
      <c r="BH516" s="2250"/>
      <c r="BI516" s="2275"/>
      <c r="BJ516" s="2250"/>
      <c r="BK516" s="2275"/>
      <c r="BL516" s="2275">
        <f>+IF(BJ517&lt;=BL501,BL501,IF(BJ517&lt;=BL502,BL502,IF(BJ517&lt;=BL503,BL503,IF(BJ517&lt;=BL504,BL504,IF(BJ517&lt;=BL505,BL505,IF(BJ517&lt;=BL506,BL506,IF(BJ517&lt;=BL507,BL507,IF(BJ517&lt;=BL508,BL508,0))))))))</f>
        <v>1.8</v>
      </c>
      <c r="BM516" s="2275">
        <f>+IF(BJ517&lt;=BM501,BM501,IF(BJ517&lt;=BM502,BM502,IF(BJ517&lt;=BM503,BM503,IF(BJ517&lt;=BM504,BM504,IF(BJ517&lt;=BM505,BM505,IF(BJ517&lt;=BM506,BM506,IF(BJ517&lt;=BM507,BM507,IF(BJ517&lt;=BM508,BM508,0))))))))</f>
        <v>2</v>
      </c>
      <c r="BN516" s="2275">
        <f>+IF(BJ517&lt;=BN501,BN501,IF(BJ517&lt;=BN502,BN502,IF(BJ517&lt;=BN503,BN503,IF(BJ517&lt;=BN504,BN504,IF(BJ517&lt;=BN505,BN505,IF(BJ517&lt;=BN506,BN506,IF(BJ517&lt;=BN507,BN507,IF(BJ517&lt;=BN508,BN508,0))))))))</f>
        <v>2.2000000000000002</v>
      </c>
      <c r="BO516" s="2275">
        <f>+IF(BJ517&lt;=BO501,BO501,IF(BJ517&lt;=BO502,BO502,IF(BJ517&lt;=BO503,BO503,IF(BJ517&lt;=BO504,BO504,IF(BJ517&lt;=BO505,BO505,IF(BJ517&lt;=BO506,BO506,IF(BJ517&lt;=BO507,BO507,IF(BJ517&lt;=BO508,BO508,0))))))))</f>
        <v>2.4</v>
      </c>
      <c r="BP516" s="2275">
        <f>+IF(BJ517&lt;=BP501,BP501,IF(BJ517&lt;=BP502,BP502,IF(BJ517&lt;=BP503,BP503,IF(BJ517&lt;=BP504,BP504,IF(BJ517&lt;=BP505,BP505,IF(BJ517&lt;=BP506,BP506,IF(BJ517&lt;=BP507,BP507,IF(BJ517&lt;=BP508,BP508,0))))))))</f>
        <v>2.6</v>
      </c>
      <c r="BQ516" s="2275">
        <f>+IF(BJ517&lt;=BQ501,BQ501,IF(BJ517&lt;=BQ502,BQ502,IF(BJ517&lt;=BQ503,BQ503,IF(BJ517&lt;=BQ504,BQ504,IF(BJ517&lt;=BQ505,BQ505,IF(BJ517&lt;=BQ506,BQ506,IF(BJ517&lt;=BQ507,BQ507,IF(BJ517&lt;=BQ508,BQ508,0))))))))</f>
        <v>2.5299999999999998</v>
      </c>
      <c r="BR516" s="2275">
        <f>+IF(BJ517&lt;=BR501,BR501,IF(BJ517&lt;=BR502,BR502,IF(BJ517&lt;=BR503,BR503,IF(BJ517&lt;=BR504,BR504,IF(BJ517&lt;=BR505,BR505,IF(BJ517&lt;=BR506,BR506,IF(BJ517&lt;=BR507,BR507,IF(BJ517&lt;=BR508,BR508,0))))))))</f>
        <v>2.8</v>
      </c>
      <c r="BS516" s="2275">
        <f>+IF(BJ517&lt;=BS501,BS501,IF(BJ517&lt;=BS502,BS502,IF(BJ517&lt;=BS503,BS503,IF(BJ517&lt;=BS504,BS504,IF(BJ517&lt;=BS505,BS505,IF(BJ517&lt;=BS506,BS506,IF(BJ517&lt;=BS507,BS507,IF(BJ517&lt;=BS508,BS508,0))))))))</f>
        <v>3</v>
      </c>
      <c r="BT516" s="2275">
        <f>+IF(BJ517&lt;=BT501,BT501,IF(BJ517&lt;=BT502,BT502,IF(BJ517&lt;=BT503,BT503,IF(BJ517&lt;=BT504,BT504,IF(BJ517&lt;=BT505,BT505,IF(BJ517&lt;=BT506,BT506,IF(BJ517&lt;=BT507,BT507,IF(BJ517&lt;=BT508,BT508,0))))))))</f>
        <v>3.2</v>
      </c>
      <c r="BU516" s="2275">
        <f>+IF(BJ517&lt;=BU501,BU501,IF(BJ517&lt;=BU502,BU502,IF(BJ517&lt;=BU503,BU503,IF(BJ517&lt;=BU504,BU504,IF(BJ517&lt;=BU505,BU505,IF(BJ517&lt;=BU506,BU506,IF(BJ517&lt;=BU507,BU507,IF(BJ517&lt;=BU508,BU508,0))))))))</f>
        <v>3.4</v>
      </c>
      <c r="BV516" s="2275">
        <f>+IF(BJ517&lt;=BV501,BV501,IF(BJ517&lt;=BV502,BV502,IF(BJ517&lt;=BV503,BV503,IF(BJ517&lt;=BV504,BV504,IF(BJ517&lt;=BV505,BV505,IF(BJ517&lt;=BV506,BV506,IF(BJ517&lt;=BV507,BV507,IF(BJ517&lt;=BV508,BV508,0))))))))</f>
        <v>3.73</v>
      </c>
      <c r="BW516" s="2275">
        <f>+IF(BJ517&lt;=BW501,BW501,IF(BJ517&lt;=BW502,BW502,IF(BJ517&lt;=BW503,BW503,IF(BJ517&lt;=BW504,BW504,IF(BJ517&lt;=BW505,BW505,IF(BJ517&lt;=BW506,BW506,IF(BJ517&lt;=BW507,BW507,IF(BJ517&lt;=BW508,BW508,0))))))))</f>
        <v>4</v>
      </c>
      <c r="BX516" s="2275">
        <f>+IF(BJ517&lt;=BX501,BX501,IF(BJ517&lt;=BX502,BX502,IF(BJ517&lt;=BX503,BX503,IF(BJ517&lt;=BX504,BX504,IF(BJ517&lt;=BX505,BX505,IF(BJ517&lt;=BX506,BX506,IF(BJ517&lt;=BX507,BX507,IF(BJ517&lt;=BX508,BX508,0))))))))</f>
        <v>4.2</v>
      </c>
      <c r="BY516" s="2275">
        <f>+IF(BJ517&lt;=BY501,BY501,IF(BJ517&lt;=BY502,BY502,IF(BJ517&lt;=BY503,BY503,IF(BJ517&lt;=BY504,BY504,IF(BJ517&lt;=BY505,BY505,IF(BJ517&lt;=BY506,BY506,IF(BJ517&lt;=BY507,BY507,IF(BJ517&lt;=BY508,BY508,0))))))))</f>
        <v>4.47</v>
      </c>
      <c r="BZ516" s="2275">
        <f>+IF(BJ517&lt;=BZ501,BZ501,IF(BJ517&lt;=BZ502,BZ502,IF(BJ517&lt;=BZ503,BZ503,IF(BJ517&lt;=BZ504,BZ504,IF(BJ517&lt;=BZ505,BZ505,IF(BJ517&lt;=BZ506,BZ506,IF(BJ517&lt;=BZ507,BZ507,IF(BJ517&lt;=BZ508,BZ508,0))))))))</f>
        <v>4.5999999999999996</v>
      </c>
      <c r="CA516" s="2275">
        <f>+IF(BJ517&lt;=CA501,CA501,IF(BJ517&lt;=CA502,CA502,IF(BJ517&lt;=CA503,CA503,IF(BJ517&lt;=CA504,CA504,IF(BJ517&lt;=CA505,CA505,IF(BJ517&lt;=CA506,CA506,IF(BJ517&lt;=CA507,CA507,IF(BJ517&lt;=CA508,CA508,0))))))))</f>
        <v>4.87</v>
      </c>
      <c r="CB516" s="2275">
        <f>+IF(BJ517&lt;=CB501,CB501,IF(BJ517&lt;=CB502,CB502,IF(BJ517&lt;=CB503,CB503,IF(BJ517&lt;=CB504,CB504,IF(BJ517&lt;=CB505,CB505,IF(BJ517&lt;=CB506,CB506,IF(BJ517&lt;=CB507,CB507,IF(BJ517&lt;=CB508,CB508,0))))))))</f>
        <v>5.2</v>
      </c>
      <c r="CC516" s="2275">
        <f>+IF(BJ517&lt;=CC501,CC501,IF(BJ517&lt;=CC502,CC502,IF(BJ517&lt;=CC503,CC503,IF(BJ517&lt;=CC504,CC504,IF(BJ517&lt;=CC505,CC505,IF(BJ517&lt;=CC506,CC506,IF(BJ517&lt;=CC507,CC507,IF(BJ517&lt;=CC508,CC508,0))))))))</f>
        <v>5.67</v>
      </c>
      <c r="CD516" s="2275">
        <f>+IF(BJ517&lt;=CD501,CD501,IF(BJ517&lt;=CD502,CD502,IF(BJ517&lt;=CD503,CD503,IF(BJ517&lt;=CD504,CD504,IF(BJ517&lt;=CD505,CD505,IF(BJ517&lt;=CD506,CD506,IF(BJ517&lt;=CD507,CD507,IF(BJ517&lt;=CD508,CD508,0))))))))</f>
        <v>6</v>
      </c>
      <c r="CE516" s="2275">
        <f>+IF(BJ517&lt;=CE501,CE501,IF(BJ517&lt;=CE502,CE502,IF(BJ517&lt;=CE503,CE503,IF(BJ517&lt;=CE504,CE504,IF(BJ517&lt;=CE505,CE505,IF(BJ517&lt;=CE506,CE506,IF(BJ517&lt;=CE507,CE507,IF(BJ517&lt;=CE508,CE508,0))))))))</f>
        <v>6.4</v>
      </c>
      <c r="CF516" s="2275">
        <f>+IF(BJ517&lt;=CF501,CF501,IF(BJ517&lt;=CF502,CF502,IF(BJ517&lt;=CF503,CF503,IF(BJ517&lt;=CF504,CF504,IF(BJ517&lt;=CF505,CF505,IF(BJ517&lt;=CF506,CF506,IF(BJ517&lt;=CF507,CF507,IF(BJ517&lt;=CF508,CF508,0))))))))</f>
        <v>6.87</v>
      </c>
      <c r="CG516" s="2275">
        <f>+IF(BJ517&lt;=CG501,CG501,IF(BJ517&lt;=CG502,CG502,IF(BJ517&lt;=CG503,CG503,IF(BJ517&lt;=CG504,CG504,IF(BJ517&lt;=CG505,CG505,IF(BJ517&lt;=CG506,CG506,IF(BJ517&lt;=CG507,CG507,IF(BJ517&lt;=CG508,CG508,0))))))))</f>
        <v>7.53</v>
      </c>
      <c r="CH516" s="2275">
        <f>+IF(BJ517&lt;=CH501,CH501,IF(BJ517&lt;=CH502,CH502,IF(BJ517&lt;=CH503,CH503,IF(BJ517&lt;=CH504,CH504,IF(BJ517&lt;=CH505,CH505,IF(BJ517&lt;=CH506,CH506,IF(BJ517&lt;=CH507,CH507,IF(BJ517&lt;=CH508,CH508,0))))))))</f>
        <v>8.1999999999999993</v>
      </c>
      <c r="CI516" s="2275">
        <f>+IF(BJ517&lt;=CI501,CI501,IF(BJ517&lt;=CI502,CI502,IF(BJ517&lt;=CI503,CI503,IF(BJ517&lt;=CI504,CI504,IF(BJ517&lt;=CI505,CI505,IF(BJ517&lt;=CI506,CI506,IF(BJ517&lt;=CI507,CI507,IF(BJ517&lt;=CI508,CI508,0))))))))</f>
        <v>9.1999999999999993</v>
      </c>
      <c r="CJ516" s="2275">
        <f>+IF(BJ517&lt;=CJ501,CJ501,IF(BJ517&lt;=CJ502,CJ502,IF(BJ517&lt;=CJ503,CJ503,IF(BJ517&lt;=CJ504,CJ504,IF(BJ517&lt;=CJ505,CJ505,IF(BJ517&lt;=CJ506,CJ506,IF(BJ517&lt;=CJ507,CJ507,IF(BJ517&lt;=CJ508,CJ508,0))))))))</f>
        <v>10.33</v>
      </c>
      <c r="CK516" s="2275">
        <f>+IF(BJ517&lt;=CK501,CK501,IF(BJ517&lt;=CK502,CK502,IF(BJ517&lt;=CK503,CK503,IF(BJ517&lt;=CK504,CK504,IF(BJ517&lt;=CK505,CK505,IF(BJ517&lt;=CK506,CK506,IF(BJ517&lt;=CK507,CK507,IF(BJ517&lt;=CK508,CK508,0))))))))</f>
        <v>11.8</v>
      </c>
      <c r="CL516" s="2275">
        <f>+IF(BJ517&lt;=CL501,CL501,IF(BJ517&lt;=CL502,CL502,IF(BJ517&lt;=CL503,CL503,IF(BJ517&lt;=CL504,CL504,IF(BJ517&lt;=CL505,CL505,IF(BJ517&lt;=CL506,CL506,IF(BJ517&lt;=CL507,CL507,IF(BJ517&lt;=CL508,CL508,0))))))))</f>
        <v>13.8</v>
      </c>
      <c r="CM516" s="2275"/>
      <c r="CN516" s="2275"/>
      <c r="CO516" s="2275"/>
      <c r="CP516" s="2275"/>
      <c r="CQ516" s="2275"/>
      <c r="CR516" s="2275"/>
      <c r="CS516" s="2275"/>
      <c r="CT516" s="2275"/>
      <c r="CU516" s="2275"/>
      <c r="CV516" s="2275"/>
      <c r="CW516" s="2275"/>
      <c r="CX516" s="2250"/>
      <c r="CY516" s="2250"/>
      <c r="CZ516" s="2250"/>
      <c r="DA516" s="2250"/>
      <c r="DB516" s="2250"/>
      <c r="DC516" s="2250"/>
      <c r="DD516" s="2250"/>
      <c r="DE516" s="2250"/>
      <c r="DF516" s="2250"/>
      <c r="DG516" s="2250"/>
      <c r="DH516" s="2250"/>
      <c r="DI516" s="2250"/>
      <c r="DJ516" s="2250"/>
      <c r="DK516" s="2250"/>
      <c r="DL516" s="2250"/>
      <c r="DM516" s="2250"/>
      <c r="DN516" s="2250"/>
      <c r="DO516" s="53"/>
      <c r="DP516" s="53"/>
      <c r="DS516" s="277"/>
      <c r="DW516" s="1"/>
      <c r="DX516" s="2250"/>
      <c r="DY516" s="2275"/>
      <c r="DZ516" s="2275">
        <f>+IF(DX517&lt;=DZ501,DZ501,IF(DX517&lt;=DZ502,DZ502,IF(DX517&lt;=DZ503,DZ503,IF(DX517&lt;=DZ504,DZ504,IF(DX517&lt;=DZ505,DZ505,IF(DX517&lt;=DZ506,DZ506,IF(DX517&lt;=DZ507,DZ507,IF(DX517&lt;=DZ508,DZ508,0))))))))</f>
        <v>1.8</v>
      </c>
      <c r="EA516" s="2275">
        <f>+IF(DX517&lt;=EA501,EA501,IF(DX517&lt;=EA502,EA502,IF(DX517&lt;=EA503,EA503,IF(DX517&lt;=EA504,EA504,IF(DX517&lt;=EA505,EA505,IF(DX517&lt;=EA506,EA506,IF(DX517&lt;=EA507,EA507,IF(DX517&lt;=EA508,EA508,0))))))))</f>
        <v>2</v>
      </c>
      <c r="EB516" s="2275">
        <f>+IF(DX517&lt;=EB501,EB501,IF(DX517&lt;=EB502,EB502,IF(DX517&lt;=EB503,EB503,IF(DX517&lt;=EB504,EB504,IF(DX517&lt;=EB505,EB505,IF(DX517&lt;=EB506,EB506,IF(DX517&lt;=EB507,EB507,IF(DX517&lt;=EB508,EB508,0))))))))</f>
        <v>2.2000000000000002</v>
      </c>
      <c r="EC516" s="2275">
        <f>+IF(DX517&lt;=EC501,EC501,IF(DX517&lt;=EC502,EC502,IF(DX517&lt;=EC503,EC503,IF(DX517&lt;=EC504,EC504,IF(DX517&lt;=EC505,EC505,IF(DX517&lt;=EC506,EC506,IF(DX517&lt;=EC507,EC507,IF(DX517&lt;=EC508,EC508,0))))))))</f>
        <v>2.4</v>
      </c>
      <c r="ED516" s="2275">
        <f>+IF(DX517&lt;=ED501,ED501,IF(DX517&lt;=ED502,ED502,IF(DX517&lt;=ED503,ED503,IF(DX517&lt;=ED504,ED504,IF(DX517&lt;=ED505,ED505,IF(DX517&lt;=ED506,ED506,IF(DX517&lt;=ED507,ED507,IF(DX517&lt;=ED508,ED508,0))))))))</f>
        <v>2.6</v>
      </c>
      <c r="EE516" s="2275">
        <f>+IF(DX517&lt;=EE501,EE501,IF(DX517&lt;=EE502,EE502,IF(DX517&lt;=EE503,EE503,IF(DX517&lt;=EE504,EE504,IF(DX517&lt;=EE505,EE505,IF(DX517&lt;=EE506,EE506,IF(DX517&lt;=EE507,EE507,IF(DX517&lt;=EE508,EE508,0))))))))</f>
        <v>2.5299999999999998</v>
      </c>
      <c r="EF516" s="2275">
        <f>+IF(DX517&lt;=EF501,EF501,IF(DX517&lt;=EF502,EF502,IF(DX517&lt;=EF503,EF503,IF(DX517&lt;=EF504,EF504,IF(DX517&lt;=EF505,EF505,IF(DX517&lt;=EF506,EF506,IF(DX517&lt;=EF507,EF507,IF(DX517&lt;=EF508,EF508,0))))))))</f>
        <v>2.8</v>
      </c>
      <c r="EG516" s="2275">
        <f>+IF(DX517&lt;=EG501,EG501,IF(DX517&lt;=EG502,EG502,IF(DX517&lt;=EG503,EG503,IF(DX517&lt;=EG504,EG504,IF(DX517&lt;=EG505,EG505,IF(DX517&lt;=EG506,EG506,IF(DX517&lt;=EG507,EG507,IF(DX517&lt;=EG508,EG508,0))))))))</f>
        <v>3</v>
      </c>
      <c r="EH516" s="2275">
        <f>+IF(DX517&lt;=EH501,EH501,IF(DX517&lt;=EH502,EH502,IF(DX517&lt;=EH503,EH503,IF(DX517&lt;=EH504,EH504,IF(DX517&lt;=EH505,EH505,IF(DX517&lt;=EH506,EH506,IF(DX517&lt;=EH507,EH507,IF(DX517&lt;=EH508,EH508,0))))))))</f>
        <v>3.2</v>
      </c>
      <c r="EI516" s="2275">
        <f>+IF(DX517&lt;=EI501,EI501,IF(DX517&lt;=EI502,EI502,IF(DX517&lt;=EI503,EI503,IF(DX517&lt;=EI504,EI504,IF(DX517&lt;=EI505,EI505,IF(DX517&lt;=EI506,EI506,IF(DX517&lt;=EI507,EI507,IF(DX517&lt;=EI508,EI508,0))))))))</f>
        <v>3.4</v>
      </c>
      <c r="EJ516" s="2275">
        <f>+IF(DX517&lt;=EJ501,EJ501,IF(DX517&lt;=EJ502,EJ502,IF(DX517&lt;=EJ503,EJ503,IF(DX517&lt;=EJ504,EJ504,IF(DX517&lt;=EJ505,EJ505,IF(DX517&lt;=EJ506,EJ506,IF(DX517&lt;=EJ507,EJ507,IF(DX517&lt;=EJ508,EJ508,0))))))))</f>
        <v>3.73</v>
      </c>
      <c r="EK516" s="2275">
        <f>+IF(DX517&lt;=EK501,EK501,IF(DX517&lt;=EK502,EK502,IF(DX517&lt;=EK503,EK503,IF(DX517&lt;=EK504,EK504,IF(DX517&lt;=EK505,EK505,IF(DX517&lt;=EK506,EK506,IF(DX517&lt;=EK507,EK507,IF(DX517&lt;=EK508,EK508,0))))))))</f>
        <v>4</v>
      </c>
      <c r="EL516" s="2275">
        <f>+IF(DX517&lt;=EL501,EL501,IF(DX517&lt;=EL502,EL502,IF(DX517&lt;=EL503,EL503,IF(DX517&lt;=EL504,EL504,IF(DX517&lt;=EL505,EL505,IF(DX517&lt;=EL506,EL506,IF(DX517&lt;=EL507,EL507,IF(DX517&lt;=EL508,EL508,0))))))))</f>
        <v>4.2</v>
      </c>
      <c r="EM516" s="2275">
        <f>+IF(DX517&lt;=EM501,EM501,IF(DX517&lt;=EM502,EM502,IF(DX517&lt;=EM503,EM503,IF(DX517&lt;=EM504,EM504,IF(DX517&lt;=EM505,EM505,IF(DX517&lt;=EM506,EM506,IF(DX517&lt;=EM507,EM507,IF(DX517&lt;=EM508,EM508,0))))))))</f>
        <v>4.47</v>
      </c>
      <c r="EN516" s="2275">
        <f>+IF(DX517&lt;=EN501,EN501,IF(DX517&lt;=EN502,EN502,IF(DX517&lt;=EN503,EN503,IF(DX517&lt;=EN504,EN504,IF(DX517&lt;=EN505,EN505,IF(DX517&lt;=EN506,EN506,IF(DX517&lt;=EN507,EN507,IF(DX517&lt;=EN508,EN508,0))))))))</f>
        <v>4.5999999999999996</v>
      </c>
      <c r="EO516" s="2275">
        <f>+IF(DX517&lt;=EO501,EO501,IF(DX517&lt;=EO502,EO502,IF(DX517&lt;=EO503,EO503,IF(DX517&lt;=EO504,EO504,IF(DX517&lt;=EO505,EO505,IF(DX517&lt;=EO506,EO506,IF(DX517&lt;=EO507,EO507,IF(DX517&lt;=EO508,EO508,0))))))))</f>
        <v>4.87</v>
      </c>
      <c r="EP516" s="2275">
        <f>+IF(DX517&lt;=EP501,EP501,IF(DX517&lt;=EP502,EP502,IF(DX517&lt;=EP503,EP503,IF(DX517&lt;=EP504,EP504,IF(DX517&lt;=EP505,EP505,IF(DX517&lt;=EP506,EP506,IF(DX517&lt;=EP507,EP507,IF(DX517&lt;=EP508,EP508,0))))))))</f>
        <v>5.2</v>
      </c>
      <c r="EQ516" s="2275">
        <f>+IF(DX517&lt;=EQ501,EQ501,IF(DX517&lt;=EQ502,EQ502,IF(DX517&lt;=EQ503,EQ503,IF(DX517&lt;=EQ504,EQ504,IF(DX517&lt;=EQ505,EQ505,IF(DX517&lt;=EQ506,EQ506,IF(DX517&lt;=EQ507,EQ507,IF(DX517&lt;=EQ508,EQ508,0))))))))</f>
        <v>5.67</v>
      </c>
      <c r="ER516" s="2275">
        <f>+IF(DX517&lt;=ER501,ER501,IF(DX517&lt;=ER502,ER502,IF(DX517&lt;=ER503,ER503,IF(DX517&lt;=ER504,ER504,IF(DX517&lt;=ER505,ER505,IF(DX517&lt;=ER506,ER506,IF(DX517&lt;=ER507,ER507,IF(DX517&lt;=ER508,ER508,0))))))))</f>
        <v>6</v>
      </c>
      <c r="ES516" s="2275">
        <f>+IF(DX517&lt;=ES501,ES501,IF(DX517&lt;=ES502,ES502,IF(DX517&lt;=ES503,ES503,IF(DX517&lt;=ES504,ES504,IF(DX517&lt;=ES505,ES505,IF(DX517&lt;=ES506,ES506,IF(DX517&lt;=ES507,ES507,IF(DX517&lt;=ES508,ES508,0))))))))</f>
        <v>6.4</v>
      </c>
      <c r="ET516" s="2275">
        <f>+IF(DX517&lt;=ET501,ET501,IF(DX517&lt;=ET502,ET502,IF(DX517&lt;=ET503,ET503,IF(DX517&lt;=ET504,ET504,IF(DX517&lt;=ET505,ET505,IF(DX517&lt;=ET506,ET506,IF(DX517&lt;=ET507,ET507,IF(DX517&lt;=ET508,ET508,0))))))))</f>
        <v>6.87</v>
      </c>
      <c r="EU516" s="2275">
        <f>+IF(DX517&lt;=EU501,EU501,IF(DX517&lt;=EU502,EU502,IF(DX517&lt;=EU503,EU503,IF(DX517&lt;=EU504,EU504,IF(DX517&lt;=EU505,EU505,IF(DX517&lt;=EU506,EU506,IF(DX517&lt;=EU507,EU507,IF(DX517&lt;=EU508,EU508,0))))))))</f>
        <v>7.53</v>
      </c>
      <c r="EV516" s="2275">
        <f>+IF(DX517&lt;=EV501,EV501,IF(DX517&lt;=EV502,EV502,IF(DX517&lt;=EV503,EV503,IF(DX517&lt;=EV504,EV504,IF(DX517&lt;=EV505,EV505,IF(DX517&lt;=EV506,EV506,IF(DX517&lt;=EV507,EV507,IF(DX517&lt;=EV508,EV508,0))))))))</f>
        <v>8.1999999999999993</v>
      </c>
      <c r="EW516" s="2275">
        <f>+IF(DX517&lt;=EW501,EW501,IF(DX517&lt;=EW502,EW502,IF(DX517&lt;=EW503,EW503,IF(DX517&lt;=EW504,EW504,IF(DX517&lt;=EW505,EW505,IF(DX517&lt;=EW506,EW506,IF(DX517&lt;=EW507,EW507,IF(DX517&lt;=EW508,EW508,0))))))))</f>
        <v>9.1999999999999993</v>
      </c>
      <c r="EX516" s="2275">
        <f>+IF(DX517&lt;=EX501,EX501,IF(DX517&lt;=EX502,EX502,IF(DX517&lt;=EX503,EX503,IF(DX517&lt;=EX504,EX504,IF(DX517&lt;=EX505,EX505,IF(DX517&lt;=EX506,EX506,IF(DX517&lt;=EX507,EX507,IF(DX517&lt;=EX508,EX508,0))))))))</f>
        <v>10.33</v>
      </c>
      <c r="EY516" s="2275">
        <f>+IF(DX517&lt;=EY501,EY501,IF(DX517&lt;=EY502,EY502,IF(DX517&lt;=EY503,EY503,IF(DX517&lt;=EY504,EY504,IF(DX517&lt;=EY505,EY505,IF(DX517&lt;=EY506,EY506,IF(DX517&lt;=EY507,EY507,IF(DX517&lt;=EY508,EY508,0))))))))</f>
        <v>11.8</v>
      </c>
      <c r="EZ516" s="2275">
        <f>+IF(DX517&lt;=EZ501,EZ501,IF(DX517&lt;=EZ502,EZ502,IF(DX517&lt;=EZ503,EZ503,IF(DX517&lt;=EZ504,EZ504,IF(DX517&lt;=EZ505,EZ505,IF(DX517&lt;=EZ506,EZ506,IF(DX517&lt;=EZ507,EZ507,IF(DX517&lt;=EZ508,EZ508,0))))))))</f>
        <v>13.8</v>
      </c>
      <c r="FA516" s="2275"/>
      <c r="FB516" s="2275"/>
      <c r="FC516" s="2275"/>
      <c r="FD516" s="2275"/>
      <c r="FE516" s="2275"/>
      <c r="FF516" s="2275"/>
      <c r="FG516" s="2275"/>
      <c r="FH516" s="2275"/>
      <c r="FI516" s="2275"/>
      <c r="FJ516" s="2275"/>
      <c r="FK516" s="2275"/>
      <c r="FL516" s="2250"/>
      <c r="FM516" s="2250"/>
      <c r="FN516" s="2250"/>
      <c r="FO516" s="2250"/>
      <c r="FP516" s="2250"/>
      <c r="FQ516" s="2250"/>
      <c r="FR516" s="2250"/>
      <c r="FS516" s="2250"/>
      <c r="FT516" s="2250"/>
      <c r="FU516" s="2250"/>
      <c r="FV516" s="2250"/>
      <c r="FW516" s="2250"/>
      <c r="FX516" s="2250"/>
      <c r="FY516" s="2250"/>
      <c r="FZ516" s="2250"/>
      <c r="GA516" s="2250"/>
      <c r="GB516" s="2276"/>
      <c r="GC516" s="2276"/>
      <c r="GD516" s="2250"/>
      <c r="GE516" s="2275"/>
      <c r="GF516" s="2250"/>
      <c r="GG516" s="2275"/>
      <c r="GH516" s="2275">
        <f>+IF(GF517&lt;=GH501,GH501,IF(GF517&lt;=GH502,GH502,IF(GF517&lt;=GH503,GH503,IF(GF517&lt;=GH504,GH504,IF(GF517&lt;=GH505,GH505,IF(GF517&lt;=GH506,GH506,IF(GF517&lt;=GH507,GH507,IF(GF517&lt;=GH508,GH508,0))))))))</f>
        <v>1.8</v>
      </c>
      <c r="GI516" s="2275">
        <f>+IF(GF517&lt;=GI501,GI501,IF(GF517&lt;=GI502,GI502,IF(GF517&lt;=GI503,GI503,IF(GF517&lt;=GI504,GI504,IF(GF517&lt;=GI505,GI505,IF(GF517&lt;=GI506,GI506,IF(GF517&lt;=GI507,GI507,IF(GF517&lt;=GI508,GI508,0))))))))</f>
        <v>2</v>
      </c>
      <c r="GJ516" s="2275">
        <f>+IF(GF517&lt;=GJ501,GJ501,IF(GF517&lt;=GJ502,GJ502,IF(GF517&lt;=GJ503,GJ503,IF(GF517&lt;=GJ504,GJ504,IF(GF517&lt;=GJ505,GJ505,IF(GF517&lt;=GJ506,GJ506,IF(GF517&lt;=GJ507,GJ507,IF(GF517&lt;=GJ508,GJ508,0))))))))</f>
        <v>2.2000000000000002</v>
      </c>
      <c r="GK516" s="2275">
        <f>+IF(GF517&lt;=GK501,GK501,IF(GF517&lt;=GK502,GK502,IF(GF517&lt;=GK503,GK503,IF(GF517&lt;=GK504,GK504,IF(GF517&lt;=GK505,GK505,IF(GF517&lt;=GK506,GK506,IF(GF517&lt;=GK507,GK507,IF(GF517&lt;=GK508,GK508,0))))))))</f>
        <v>2.4</v>
      </c>
      <c r="GL516" s="2275">
        <f>+IF(GF517&lt;=GL501,GL501,IF(GF517&lt;=GL502,GL502,IF(GF517&lt;=GL503,GL503,IF(GF517&lt;=GL504,GL504,IF(GF517&lt;=GL505,GL505,IF(GF517&lt;=GL506,GL506,IF(GF517&lt;=GL507,GL507,IF(GF517&lt;=GL508,GL508,0))))))))</f>
        <v>2.6</v>
      </c>
      <c r="GM516" s="2275">
        <f>+IF(GF517&lt;=GM501,GM501,IF(GF517&lt;=GM502,GM502,IF(GF517&lt;=GM503,GM503,IF(GF517&lt;=GM504,GM504,IF(GF517&lt;=GM505,GM505,IF(GF517&lt;=GM506,GM506,IF(GF517&lt;=GM507,GM507,IF(GF517&lt;=GM508,GM508,0))))))))</f>
        <v>2.5299999999999998</v>
      </c>
      <c r="GN516" s="2275">
        <f>+IF(GF517&lt;=GN501,GN501,IF(GF517&lt;=GN502,GN502,IF(GF517&lt;=GN503,GN503,IF(GF517&lt;=GN504,GN504,IF(GF517&lt;=GN505,GN505,IF(GF517&lt;=GN506,GN506,IF(GF517&lt;=GN507,GN507,IF(GF517&lt;=GN508,GN508,0))))))))</f>
        <v>2.8</v>
      </c>
      <c r="GO516" s="2275">
        <f>+IF(GF517&lt;=GO501,GO501,IF(GF517&lt;=GO502,GO502,IF(GF517&lt;=GO503,GO503,IF(GF517&lt;=GO504,GO504,IF(GF517&lt;=GO505,GO505,IF(GF517&lt;=GO506,GO506,IF(GF517&lt;=GO507,GO507,IF(GF517&lt;=GO508,GO508,0))))))))</f>
        <v>3</v>
      </c>
      <c r="GP516" s="2275">
        <f>+IF(GF517&lt;=GP501,GP501,IF(GF517&lt;=GP502,GP502,IF(GF517&lt;=GP503,GP503,IF(GF517&lt;=GP504,GP504,IF(GF517&lt;=GP505,GP505,IF(GF517&lt;=GP506,GP506,IF(GF517&lt;=GP507,GP507,IF(GF517&lt;=GP508,GP508,0))))))))</f>
        <v>3.2</v>
      </c>
      <c r="GQ516" s="2275">
        <f>+IF(GF517&lt;=GQ501,GQ501,IF(GF517&lt;=GQ502,GQ502,IF(GF517&lt;=GQ503,GQ503,IF(GF517&lt;=GQ504,GQ504,IF(GF517&lt;=GQ505,GQ505,IF(GF517&lt;=GQ506,GQ506,IF(GF517&lt;=GQ507,GQ507,IF(GF517&lt;=GQ508,GQ508,0))))))))</f>
        <v>3.4</v>
      </c>
      <c r="GR516" s="2275">
        <f>+IF(GF517&lt;=GR501,GR501,IF(GF517&lt;=GR502,GR502,IF(GF517&lt;=GR503,GR503,IF(GF517&lt;=GR504,GR504,IF(GF517&lt;=GR505,GR505,IF(GF517&lt;=GR506,GR506,IF(GF517&lt;=GR507,GR507,IF(GF517&lt;=GR508,GR508,0))))))))</f>
        <v>3.73</v>
      </c>
      <c r="GS516" s="2275">
        <f>+IF(GF517&lt;=GS501,GS501,IF(GF517&lt;=GS502,GS502,IF(GF517&lt;=GS503,GS503,IF(GF517&lt;=GS504,GS504,IF(GF517&lt;=GS505,GS505,IF(GF517&lt;=GS506,GS506,IF(GF517&lt;=GS507,GS507,IF(GF517&lt;=GS508,GS508,0))))))))</f>
        <v>4</v>
      </c>
      <c r="GT516" s="2275">
        <f>+IF(GF517&lt;=GT501,GT501,IF(GF517&lt;=GT502,GT502,IF(GF517&lt;=GT503,GT503,IF(GF517&lt;=GT504,GT504,IF(GF517&lt;=GT505,GT505,IF(GF517&lt;=GT506,GT506,IF(GF517&lt;=GT507,GT507,IF(GF517&lt;=GT508,GT508,0))))))))</f>
        <v>4.2</v>
      </c>
      <c r="GU516" s="2275">
        <f>+IF(GF517&lt;=GU501,GU501,IF(GF517&lt;=GU502,GU502,IF(GF517&lt;=GU503,GU503,IF(GF517&lt;=GU504,GU504,IF(GF517&lt;=GU505,GU505,IF(GF517&lt;=GU506,GU506,IF(GF517&lt;=GU507,GU507,IF(GF517&lt;=GU508,GU508,0))))))))</f>
        <v>4.47</v>
      </c>
      <c r="GV516" s="2275">
        <f>+IF(GF517&lt;=GV501,GV501,IF(GF517&lt;=GV502,GV502,IF(GF517&lt;=GV503,GV503,IF(GF517&lt;=GV504,GV504,IF(GF517&lt;=GV505,GV505,IF(GF517&lt;=GV506,GV506,IF(GF517&lt;=GV507,GV507,IF(GF517&lt;=GV508,GV508,0))))))))</f>
        <v>4.5999999999999996</v>
      </c>
      <c r="GW516" s="2275">
        <f>+IF(GF517&lt;=GW501,GW501,IF(GF517&lt;=GW502,GW502,IF(GF517&lt;=GW503,GW503,IF(GF517&lt;=GW504,GW504,IF(GF517&lt;=GW505,GW505,IF(GF517&lt;=GW506,GW506,IF(GF517&lt;=GW507,GW507,IF(GF517&lt;=GW508,GW508,0))))))))</f>
        <v>4.87</v>
      </c>
      <c r="GX516" s="2275">
        <f>+IF(GF517&lt;=GX501,GX501,IF(GF517&lt;=GX502,GX502,IF(GF517&lt;=GX503,GX503,IF(GF517&lt;=GX504,GX504,IF(GF517&lt;=GX505,GX505,IF(GF517&lt;=GX506,GX506,IF(GF517&lt;=GX507,GX507,IF(GF517&lt;=GX508,GX508,0))))))))</f>
        <v>5.2</v>
      </c>
      <c r="GY516" s="2275">
        <f>+IF(GF517&lt;=GY501,GY501,IF(GF517&lt;=GY502,GY502,IF(GF517&lt;=GY503,GY503,IF(GF517&lt;=GY504,GY504,IF(GF517&lt;=GY505,GY505,IF(GF517&lt;=GY506,GY506,IF(GF517&lt;=GY507,GY507,IF(GF517&lt;=GY508,GY508,0))))))))</f>
        <v>5.67</v>
      </c>
      <c r="GZ516" s="2275">
        <f>+IF(GF517&lt;=GZ501,GZ501,IF(GF517&lt;=GZ502,GZ502,IF(GF517&lt;=GZ503,GZ503,IF(GF517&lt;=GZ504,GZ504,IF(GF517&lt;=GZ505,GZ505,IF(GF517&lt;=GZ506,GZ506,IF(GF517&lt;=GZ507,GZ507,IF(GF517&lt;=GZ508,GZ508,0))))))))</f>
        <v>6</v>
      </c>
      <c r="HA516" s="2275">
        <f>+IF(GF517&lt;=HA501,HA501,IF(GF517&lt;=HA502,HA502,IF(GF517&lt;=HA503,HA503,IF(GF517&lt;=HA504,HA504,IF(GF517&lt;=HA505,HA505,IF(GF517&lt;=HA506,HA506,IF(GF517&lt;=HA507,HA507,IF(GF517&lt;=HA508,HA508,0))))))))</f>
        <v>6.4</v>
      </c>
      <c r="HB516" s="2275">
        <f>+IF(GF517&lt;=HB501,HB501,IF(GF517&lt;=HB502,HB502,IF(GF517&lt;=HB503,HB503,IF(GF517&lt;=HB504,HB504,IF(GF517&lt;=HB505,HB505,IF(GF517&lt;=HB506,HB506,IF(GF517&lt;=HB507,HB507,IF(GF517&lt;=HB508,HB508,0))))))))</f>
        <v>6.87</v>
      </c>
      <c r="HC516" s="2275">
        <f>+IF(GF517&lt;=HC501,HC501,IF(GF517&lt;=HC502,HC502,IF(GF517&lt;=HC503,HC503,IF(GF517&lt;=HC504,HC504,IF(GF517&lt;=HC505,HC505,IF(GF517&lt;=HC506,HC506,IF(GF517&lt;=HC507,HC507,IF(GF517&lt;=HC508,HC508,0))))))))</f>
        <v>7.53</v>
      </c>
      <c r="HD516" s="2275">
        <f>+IF(GF517&lt;=HD501,HD501,IF(GF517&lt;=HD502,HD502,IF(GF517&lt;=HD503,HD503,IF(GF517&lt;=HD504,HD504,IF(GF517&lt;=HD505,HD505,IF(GF517&lt;=HD506,HD506,IF(GF517&lt;=HD507,HD507,IF(GF517&lt;=HD508,HD508,0))))))))</f>
        <v>8.1999999999999993</v>
      </c>
      <c r="HE516" s="2275">
        <f>+IF(GF517&lt;=HE501,HE501,IF(GF517&lt;=HE502,HE502,IF(GF517&lt;=HE503,HE503,IF(GF517&lt;=HE504,HE504,IF(GF517&lt;=HE505,HE505,IF(GF517&lt;=HE506,HE506,IF(GF517&lt;=HE507,HE507,IF(GF517&lt;=HE508,HE508,0))))))))</f>
        <v>9.1999999999999993</v>
      </c>
      <c r="HF516" s="2275">
        <f>+IF(GF517&lt;=HF501,HF501,IF(GF517&lt;=HF502,HF502,IF(GF517&lt;=HF503,HF503,IF(GF517&lt;=HF504,HF504,IF(GF517&lt;=HF505,HF505,IF(GF517&lt;=HF506,HF506,IF(GF517&lt;=HF507,HF507,IF(GF517&lt;=HF508,HF508,0))))))))</f>
        <v>10.33</v>
      </c>
      <c r="HG516" s="2275">
        <f>+IF(GF517&lt;=HG501,HG501,IF(GF517&lt;=HG502,HG502,IF(GF517&lt;=HG503,HG503,IF(GF517&lt;=HG504,HG504,IF(GF517&lt;=HG505,HG505,IF(GF517&lt;=HG506,HG506,IF(GF517&lt;=HG507,HG507,IF(GF517&lt;=HG508,HG508,0))))))))</f>
        <v>11.8</v>
      </c>
      <c r="HH516" s="2275">
        <f>+IF(GF517&lt;=HH501,HH501,IF(GF517&lt;=HH502,HH502,IF(GF517&lt;=HH503,HH503,IF(GF517&lt;=HH504,HH504,IF(GF517&lt;=HH505,HH505,IF(GF517&lt;=HH506,HH506,IF(GF517&lt;=HH507,HH507,IF(GF517&lt;=HH508,HH508,0))))))))</f>
        <v>13.8</v>
      </c>
      <c r="HI516" s="2275"/>
      <c r="HJ516" s="2275"/>
      <c r="HK516" s="2275"/>
      <c r="HL516" s="2275"/>
      <c r="HM516" s="2275"/>
      <c r="HN516" s="2275"/>
      <c r="HO516" s="2275"/>
      <c r="HP516" s="2275"/>
      <c r="HQ516" s="2275"/>
      <c r="HR516" s="2275"/>
      <c r="HS516" s="2275"/>
      <c r="HT516" s="2250"/>
      <c r="HU516" s="2250"/>
      <c r="HV516" s="2250"/>
      <c r="HW516" s="2250"/>
      <c r="HX516" s="2250"/>
      <c r="HY516" s="2250"/>
      <c r="HZ516" s="2250"/>
      <c r="IA516" s="2250"/>
      <c r="IB516" s="2250"/>
      <c r="IC516" s="2250"/>
      <c r="ID516" s="2250"/>
      <c r="IE516" s="2250"/>
      <c r="IF516" s="2250"/>
      <c r="IG516" s="2250"/>
      <c r="IH516" s="2250"/>
      <c r="II516" s="2250"/>
      <c r="IJ516" s="2250"/>
      <c r="IK516" s="53"/>
      <c r="IL516" s="53"/>
      <c r="IN516" s="277"/>
      <c r="IO516" s="277"/>
    </row>
    <row r="517" spans="2:249" ht="21.95" customHeight="1">
      <c r="B517" s="2275">
        <f>B473</f>
        <v>0.75631178540277322</v>
      </c>
      <c r="C517" s="2275">
        <f>HLOOKUP(B518,D499:AD519,20,0)</f>
        <v>5.67</v>
      </c>
      <c r="D517" s="2275">
        <f>+IF(B517&lt;=D509,D509,IF(B517&lt;=D510,D510,IF(B517&lt;=D511,D511,)))</f>
        <v>52.27</v>
      </c>
      <c r="E517" s="2275">
        <f>+IF(B517&lt;=E509,E509,IF(B517&lt;=E510,E510,IF(B517&lt;=E511,E511,)))</f>
        <v>58.93</v>
      </c>
      <c r="F517" s="2275">
        <f>+IF(B517&lt;=F509,F509,IF(B517&lt;=F510,F510,IF(B517&lt;=F511,F511,)))</f>
        <v>65.27</v>
      </c>
      <c r="G517" s="2275">
        <f>+IF(B517&lt;=G509,G509,IF(B517&lt;=G510,G510,IF(B517&lt;=G511,G511,)))</f>
        <v>71.33</v>
      </c>
      <c r="H517" s="2275">
        <f>+IF(B517&lt;=H509,H509,IF(B517&lt;=H510,H510,IF(B517&lt;=H511,H511,)))</f>
        <v>71.33</v>
      </c>
      <c r="I517" s="2275">
        <f>+IF(B517&lt;=I509,I509,IF(B517&lt;=I510,I510,IF(B517&lt;=I511,I511,)))</f>
        <v>74.400000000000006</v>
      </c>
      <c r="J517" s="2275">
        <f>+IF(B517&lt;=J509,J509,IF(B517&lt;=J510,J510,IF(B517&lt;=J511,J511,)))</f>
        <v>82.4</v>
      </c>
      <c r="K517" s="2275">
        <f>+IF(B517&lt;=K509,K509,IF(B517&lt;=K510,K510,IF(B517&lt;=K511,K511,)))</f>
        <v>87.8</v>
      </c>
      <c r="L517" s="2275">
        <f>+IF(B517&lt;=L509,L509,IF(B517&lt;=L510,L510,IF(B517&lt;=L511,L511,)))</f>
        <v>95</v>
      </c>
      <c r="M517" s="2275">
        <f>+IF(B517&lt;=M509,M509,IF(B517&lt;=M510,M510,IF(B517&lt;=M511,M511,)))</f>
        <v>102.2</v>
      </c>
      <c r="N517" s="2275">
        <f>+IF(B517&lt;=N509,N509,IF(B517&lt;=N510,N510,IF(B517&lt;=N511,N511,)))</f>
        <v>104.6</v>
      </c>
      <c r="O517" s="2275">
        <f>+IF(B517&lt;=O509,O509,IF(B517&lt;=O510,O510,IF(B517&lt;=O511,O511,)))</f>
        <v>118.67</v>
      </c>
      <c r="P517" s="2275">
        <f>+IF(B517&lt;=P509,P509,IF(B517&lt;=P510,P510,IF(B517&lt;=P511,P511,)))</f>
        <v>123.93</v>
      </c>
      <c r="Q517" s="2275">
        <f>+IF(B517&lt;=Q509,Q509,IF(B517&lt;=Q510,Q510,IF(B517&lt;=Q511,Q511,)))</f>
        <v>128.4</v>
      </c>
      <c r="R517" s="2275">
        <f>+IF(B517&lt;=R509,R509,IF(B517&lt;=R510,R510,IF(B517&lt;=R511,R511,)))</f>
        <v>134.33000000000001</v>
      </c>
      <c r="S517" s="2275">
        <f>+IF(B517&lt;=S509,S509,IF(B517&lt;=S510,S510,IF(B517&lt;=S511,S511,)))</f>
        <v>146.93</v>
      </c>
      <c r="T517" s="2275">
        <f>+IF(B517&lt;=T509,T509,IF(B517&lt;=T510,T510,IF(B517&lt;=T511,T511,)))</f>
        <v>157.4</v>
      </c>
      <c r="U517" s="2275">
        <f>+IF(B517&lt;=U509,U509,IF(B517&lt;=U510,U510,IF(B517&lt;=U511,U511,)))</f>
        <v>169</v>
      </c>
      <c r="V517" s="2275">
        <f>+IF(B517&lt;=V509,V509,IF(B517&lt;=V510,V510,IF(B517&lt;=V511,V511,)))</f>
        <v>171.33</v>
      </c>
      <c r="W517" s="2275">
        <f>+IF(B517&lt;=W509,W509,IF(B517&lt;=W510,W510,IF(B517&lt;=W511,W511,)))</f>
        <v>194</v>
      </c>
      <c r="X517" s="2275">
        <f>+IF(B517&lt;=X509,X509,IF(B517&lt;=X510,X510,IF(B517&lt;=X511,X511,)))</f>
        <v>202.8</v>
      </c>
      <c r="Y517" s="2275">
        <f>+IF(B517&lt;=Y509,Y509,IF(B517&lt;=Y510,Y510,IF(B517&lt;=Y511,Y511,)))</f>
        <v>219.53</v>
      </c>
      <c r="Z517" s="2275">
        <f>+IF(B517&lt;=Z509,Z509,IF(B517&lt;=Z510,Z510,IF(B517&lt;=Z511,Z511,)))</f>
        <v>239.07</v>
      </c>
      <c r="AA517" s="2275">
        <f>+IF(B517&lt;=AA509,AA509,IF(B517&lt;=AA510,AA510,IF(B517&lt;=AA511,AA511,)))</f>
        <v>246.33</v>
      </c>
      <c r="AB517" s="2275">
        <f>+IF(B517&lt;=AB509,AB509,IF(B517&lt;=AB510,AB510,IF(B517&lt;=AB511,AB511,)))</f>
        <v>290.2</v>
      </c>
      <c r="AC517" s="2275">
        <f>+IF(B517&lt;=AC509,AC509,IF(B517&lt;=AC510,AC510,IF(B517&lt;=AC511,AC511,)))</f>
        <v>320.60000000000002</v>
      </c>
      <c r="AD517" s="2275">
        <f>+IF(B517&lt;=AD509,AD509,IF(B517&lt;=AD510,AD510,IF(B517&lt;=AD511,AD511,)))</f>
        <v>335.8</v>
      </c>
      <c r="AE517" s="2275"/>
      <c r="AF517" s="2275"/>
      <c r="AG517" s="2275"/>
      <c r="AH517" s="2275"/>
      <c r="AI517" s="2275"/>
      <c r="AJ517" s="2275"/>
      <c r="AK517" s="2275"/>
      <c r="AL517" s="2275"/>
      <c r="AM517" s="2275"/>
      <c r="AN517" s="2275"/>
      <c r="AO517" s="2275"/>
      <c r="AP517" s="2250"/>
      <c r="AQ517" s="2250"/>
      <c r="AR517" s="2250"/>
      <c r="AS517" s="2250"/>
      <c r="AT517" s="2250"/>
      <c r="AU517" s="2250"/>
      <c r="AV517" s="2250"/>
      <c r="AW517" s="2250"/>
      <c r="AX517" s="2250"/>
      <c r="AY517" s="2250"/>
      <c r="AZ517" s="2250"/>
      <c r="BA517" s="2250"/>
      <c r="BB517" s="2250"/>
      <c r="BC517" s="2250"/>
      <c r="BD517" s="2250"/>
      <c r="BE517" s="2250"/>
      <c r="BF517" s="2276"/>
      <c r="BG517" s="2276"/>
      <c r="BH517" s="2250"/>
      <c r="BI517" s="2275"/>
      <c r="BJ517" s="2275">
        <f>BJ473</f>
        <v>0.75631178540277322</v>
      </c>
      <c r="BK517" s="2275">
        <f>HLOOKUP(BJ518,BL499:CL519,20,0)</f>
        <v>5.2</v>
      </c>
      <c r="BL517" s="2275">
        <f>+IF(BJ517&lt;=BL509,BL509,IF(BJ517&lt;=BL510,BL510,IF(BJ517&lt;=BL511,BL511,)))</f>
        <v>52.27</v>
      </c>
      <c r="BM517" s="2275">
        <f>+IF(BJ517&lt;=BM509,BM509,IF(BJ517&lt;=BM510,BM510,IF(BJ517&lt;=BM511,BM511,)))</f>
        <v>58.93</v>
      </c>
      <c r="BN517" s="2275">
        <f>+IF(BJ517&lt;=BN509,BN509,IF(BJ517&lt;=BN510,BN510,IF(BJ517&lt;=BN511,BN511,)))</f>
        <v>65.27</v>
      </c>
      <c r="BO517" s="2275">
        <f>+IF(BJ517&lt;=BO509,BO509,IF(BJ517&lt;=BO510,BO510,IF(BJ517&lt;=BO511,BO511,)))</f>
        <v>71.33</v>
      </c>
      <c r="BP517" s="2275">
        <f>+IF(BJ517&lt;=BP509,BP509,IF(BJ517&lt;=BP510,BP510,IF(BJ517&lt;=BP511,BP511,)))</f>
        <v>71.33</v>
      </c>
      <c r="BQ517" s="2275">
        <f>+IF(BJ517&lt;=BQ509,BQ509,IF(BJ517&lt;=BQ510,BQ510,IF(BJ517&lt;=BQ511,BQ511,)))</f>
        <v>74.400000000000006</v>
      </c>
      <c r="BR517" s="2275">
        <f>+IF(BJ517&lt;=BR509,BR509,IF(BJ517&lt;=BR510,BR510,IF(BJ517&lt;=BR511,BR511,)))</f>
        <v>82.4</v>
      </c>
      <c r="BS517" s="2275">
        <f>+IF(BJ517&lt;=BS509,BS509,IF(BJ517&lt;=BS510,BS510,IF(BJ517&lt;=BS511,BS511,)))</f>
        <v>87.8</v>
      </c>
      <c r="BT517" s="2275">
        <f>+IF(BJ517&lt;=BT509,BT509,IF(BJ517&lt;=BT510,BT510,IF(BJ517&lt;=BT511,BT511,)))</f>
        <v>95</v>
      </c>
      <c r="BU517" s="2275">
        <f>+IF(BJ517&lt;=BU509,BU509,IF(BJ517&lt;=BU510,BU510,IF(BJ517&lt;=BU511,BU511,)))</f>
        <v>102.2</v>
      </c>
      <c r="BV517" s="2275">
        <f>+IF(BJ517&lt;=BV509,BV509,IF(BJ517&lt;=BV510,BV510,IF(BJ517&lt;=BV511,BV511,)))</f>
        <v>104.6</v>
      </c>
      <c r="BW517" s="2275">
        <f>+IF(BJ517&lt;=BW509,BW509,IF(BJ517&lt;=BW510,BW510,IF(BJ517&lt;=BW511,BW511,)))</f>
        <v>118.67</v>
      </c>
      <c r="BX517" s="2275">
        <f>+IF(BJ517&lt;=BX509,BX509,IF(BJ517&lt;=BX510,BX510,IF(BJ517&lt;=BX511,BX511,)))</f>
        <v>123.93</v>
      </c>
      <c r="BY517" s="2275">
        <f>+IF(BJ517&lt;=BY509,BY509,IF(BJ517&lt;=BY510,BY510,IF(BJ517&lt;=BY511,BY511,)))</f>
        <v>128.4</v>
      </c>
      <c r="BZ517" s="2275">
        <f>+IF(BJ517&lt;=BZ509,BZ509,IF(BJ517&lt;=BZ510,BZ510,IF(BJ517&lt;=BZ511,BZ511,)))</f>
        <v>134.33000000000001</v>
      </c>
      <c r="CA517" s="2275">
        <f>+IF(BJ517&lt;=CA509,CA509,IF(BJ517&lt;=CA510,CA510,IF(BJ517&lt;=CA511,CA511,)))</f>
        <v>146.93</v>
      </c>
      <c r="CB517" s="2275">
        <f>+IF(BJ517&lt;=CB509,CB509,IF(BJ517&lt;=CB510,CB510,IF(BJ517&lt;=CB511,CB511,)))</f>
        <v>157.4</v>
      </c>
      <c r="CC517" s="2275">
        <f>+IF(BJ517&lt;=CC509,CC509,IF(BJ517&lt;=CC510,CC510,IF(BJ517&lt;=CC511,CC511,)))</f>
        <v>169</v>
      </c>
      <c r="CD517" s="2275">
        <f>+IF(BJ517&lt;=CD509,CD509,IF(BJ517&lt;=CD510,CD510,IF(BJ517&lt;=CD511,CD511,)))</f>
        <v>171.33</v>
      </c>
      <c r="CE517" s="2275">
        <f>+IF(BJ517&lt;=CE509,CE509,IF(BJ517&lt;=CE510,CE510,IF(BJ517&lt;=CE511,CE511,)))</f>
        <v>194</v>
      </c>
      <c r="CF517" s="2275">
        <f>+IF(BJ517&lt;=CF509,CF509,IF(BJ517&lt;=CF510,CF510,IF(BJ517&lt;=CF511,CF511,)))</f>
        <v>202.8</v>
      </c>
      <c r="CG517" s="2275">
        <f>+IF(BJ517&lt;=CG509,CG509,IF(BJ517&lt;=CG510,CG510,IF(BJ517&lt;=CG511,CG511,)))</f>
        <v>219.53</v>
      </c>
      <c r="CH517" s="2275">
        <f>+IF(BJ517&lt;=CH509,CH509,IF(BJ517&lt;=CH510,CH510,IF(BJ517&lt;=CH511,CH511,)))</f>
        <v>239.07</v>
      </c>
      <c r="CI517" s="2275">
        <f>+IF(BJ517&lt;=CI509,CI509,IF(BJ517&lt;=CI510,CI510,IF(BJ517&lt;=CI511,CI511,)))</f>
        <v>246.33</v>
      </c>
      <c r="CJ517" s="2275">
        <f>+IF(BJ517&lt;=CJ509,CJ509,IF(BJ517&lt;=CJ510,CJ510,IF(BJ517&lt;=CJ511,CJ511,)))</f>
        <v>290.2</v>
      </c>
      <c r="CK517" s="2275">
        <f>+IF(BJ517&lt;=CK509,CK509,IF(BJ517&lt;=CK510,CK510,IF(BJ517&lt;=CK511,CK511,)))</f>
        <v>320.60000000000002</v>
      </c>
      <c r="CL517" s="2275">
        <f>+IF(BJ517&lt;=CL509,CL509,IF(BJ517&lt;=CL510,CL510,IF(BJ517&lt;=CL511,CL511,)))</f>
        <v>335.8</v>
      </c>
      <c r="CM517" s="2275"/>
      <c r="CN517" s="2275"/>
      <c r="CO517" s="2275"/>
      <c r="CP517" s="2275"/>
      <c r="CQ517" s="2275"/>
      <c r="CR517" s="2275"/>
      <c r="CS517" s="2275"/>
      <c r="CT517" s="2275"/>
      <c r="CU517" s="2275"/>
      <c r="CV517" s="2275"/>
      <c r="CW517" s="2275"/>
      <c r="CX517" s="2250"/>
      <c r="CY517" s="2250"/>
      <c r="CZ517" s="2250"/>
      <c r="DA517" s="2250"/>
      <c r="DB517" s="2250"/>
      <c r="DC517" s="2250"/>
      <c r="DD517" s="2250"/>
      <c r="DE517" s="2250"/>
      <c r="DF517" s="2250"/>
      <c r="DG517" s="2250"/>
      <c r="DH517" s="2250"/>
      <c r="DI517" s="2250"/>
      <c r="DJ517" s="2250"/>
      <c r="DK517" s="2250"/>
      <c r="DL517" s="2250"/>
      <c r="DM517" s="2250"/>
      <c r="DN517" s="2250"/>
      <c r="DO517" s="53"/>
      <c r="DP517" s="53"/>
      <c r="DS517" s="277"/>
      <c r="DW517" s="1"/>
      <c r="DX517" s="2275">
        <f>DX473</f>
        <v>1.3354563802212776</v>
      </c>
      <c r="DY517" s="2275">
        <f>HLOOKUP(DX518,DZ499:EZ519,20,0)</f>
        <v>8.1999999999999993</v>
      </c>
      <c r="DZ517" s="2275">
        <f>+IF(DX517&lt;=DZ509,DZ509,IF(DX517&lt;=DZ510,DZ510,IF(DX517&lt;=DZ511,DZ511,)))</f>
        <v>52.27</v>
      </c>
      <c r="EA517" s="2275">
        <f>+IF(DX517&lt;=EA509,EA509,IF(DX517&lt;=EA510,EA510,IF(DX517&lt;=EA511,EA511,)))</f>
        <v>58.93</v>
      </c>
      <c r="EB517" s="2275">
        <f>+IF(DX517&lt;=EB509,EB509,IF(DX517&lt;=EB510,EB510,IF(DX517&lt;=EB511,EB511,)))</f>
        <v>65.27</v>
      </c>
      <c r="EC517" s="2275">
        <f>+IF(DX517&lt;=EC509,EC509,IF(DX517&lt;=EC510,EC510,IF(DX517&lt;=EC511,EC511,)))</f>
        <v>71.33</v>
      </c>
      <c r="ED517" s="2275">
        <f>+IF(DX517&lt;=ED509,ED509,IF(DX517&lt;=ED510,ED510,IF(DX517&lt;=ED511,ED511,)))</f>
        <v>71.33</v>
      </c>
      <c r="EE517" s="2275">
        <f>+IF(DX517&lt;=EE509,EE509,IF(DX517&lt;=EE510,EE510,IF(DX517&lt;=EE511,EE511,)))</f>
        <v>74.400000000000006</v>
      </c>
      <c r="EF517" s="2275">
        <f>+IF(DX517&lt;=EF509,EF509,IF(DX517&lt;=EF510,EF510,IF(DX517&lt;=EF511,EF511,)))</f>
        <v>82.4</v>
      </c>
      <c r="EG517" s="2275">
        <f>+IF(DX517&lt;=EG509,EG509,IF(DX517&lt;=EG510,EG510,IF(DX517&lt;=EG511,EG511,)))</f>
        <v>87.8</v>
      </c>
      <c r="EH517" s="2275">
        <f>+IF(DX517&lt;=EH509,EH509,IF(DX517&lt;=EH510,EH510,IF(DX517&lt;=EH511,EH511,)))</f>
        <v>95</v>
      </c>
      <c r="EI517" s="2275">
        <f>+IF(DX517&lt;=EI509,EI509,IF(DX517&lt;=EI510,EI510,IF(DX517&lt;=EI511,EI511,)))</f>
        <v>102.2</v>
      </c>
      <c r="EJ517" s="2275">
        <f>+IF(DX517&lt;=EJ509,EJ509,IF(DX517&lt;=EJ510,EJ510,IF(DX517&lt;=EJ511,EJ511,)))</f>
        <v>104.6</v>
      </c>
      <c r="EK517" s="2275">
        <f>+IF(DX517&lt;=EK509,EK509,IF(DX517&lt;=EK510,EK510,IF(DX517&lt;=EK511,EK511,)))</f>
        <v>118.67</v>
      </c>
      <c r="EL517" s="2275">
        <f>+IF(DX517&lt;=EL509,EL509,IF(DX517&lt;=EL510,EL510,IF(DX517&lt;=EL511,EL511,)))</f>
        <v>123.93</v>
      </c>
      <c r="EM517" s="2275">
        <f>+IF(DX517&lt;=EM509,EM509,IF(DX517&lt;=EM510,EM510,IF(DX517&lt;=EM511,EM511,)))</f>
        <v>128.4</v>
      </c>
      <c r="EN517" s="2275">
        <f>+IF(DX517&lt;=EN509,EN509,IF(DX517&lt;=EN510,EN510,IF(DX517&lt;=EN511,EN511,)))</f>
        <v>134.33000000000001</v>
      </c>
      <c r="EO517" s="2275">
        <f>+IF(DX517&lt;=EO509,EO509,IF(DX517&lt;=EO510,EO510,IF(DX517&lt;=EO511,EO511,)))</f>
        <v>146.93</v>
      </c>
      <c r="EP517" s="2275">
        <f>+IF(DX517&lt;=EP509,EP509,IF(DX517&lt;=EP510,EP510,IF(DX517&lt;=EP511,EP511,)))</f>
        <v>157.4</v>
      </c>
      <c r="EQ517" s="2275">
        <f>+IF(DX517&lt;=EQ509,EQ509,IF(DX517&lt;=EQ510,EQ510,IF(DX517&lt;=EQ511,EQ511,)))</f>
        <v>169</v>
      </c>
      <c r="ER517" s="2275">
        <f>+IF(DX517&lt;=ER509,ER509,IF(DX517&lt;=ER510,ER510,IF(DX517&lt;=ER511,ER511,)))</f>
        <v>171.33</v>
      </c>
      <c r="ES517" s="2275">
        <f>+IF(DX517&lt;=ES509,ES509,IF(DX517&lt;=ES510,ES510,IF(DX517&lt;=ES511,ES511,)))</f>
        <v>194</v>
      </c>
      <c r="ET517" s="2275">
        <f>+IF(DX517&lt;=ET509,ET509,IF(DX517&lt;=ET510,ET510,IF(DX517&lt;=ET511,ET511,)))</f>
        <v>202.8</v>
      </c>
      <c r="EU517" s="2275">
        <f>+IF(DX517&lt;=EU509,EU509,IF(DX517&lt;=EU510,EU510,IF(DX517&lt;=EU511,EU511,)))</f>
        <v>219.53</v>
      </c>
      <c r="EV517" s="2275">
        <f>+IF(DX517&lt;=EV509,EV509,IF(DX517&lt;=EV510,EV510,IF(DX517&lt;=EV511,EV511,)))</f>
        <v>239.07</v>
      </c>
      <c r="EW517" s="2275">
        <f>+IF(DX517&lt;=EW509,EW509,IF(DX517&lt;=EW510,EW510,IF(DX517&lt;=EW511,EW511,)))</f>
        <v>246.33</v>
      </c>
      <c r="EX517" s="2275">
        <f>+IF(DX517&lt;=EX509,EX509,IF(DX517&lt;=EX510,EX510,IF(DX517&lt;=EX511,EX511,)))</f>
        <v>290.2</v>
      </c>
      <c r="EY517" s="2275">
        <f>+IF(DX517&lt;=EY509,EY509,IF(DX517&lt;=EY510,EY510,IF(DX517&lt;=EY511,EY511,)))</f>
        <v>320.60000000000002</v>
      </c>
      <c r="EZ517" s="2275">
        <f>+IF(DX517&lt;=EZ509,EZ509,IF(DX517&lt;=EZ510,EZ510,IF(DX517&lt;=EZ511,EZ511,)))</f>
        <v>335.8</v>
      </c>
      <c r="FA517" s="2275"/>
      <c r="FB517" s="2275"/>
      <c r="FC517" s="2275"/>
      <c r="FD517" s="2275"/>
      <c r="FE517" s="2275"/>
      <c r="FF517" s="2275"/>
      <c r="FG517" s="2275"/>
      <c r="FH517" s="2275"/>
      <c r="FI517" s="2275"/>
      <c r="FJ517" s="2275"/>
      <c r="FK517" s="2275"/>
      <c r="FL517" s="2250"/>
      <c r="FM517" s="2250"/>
      <c r="FN517" s="2250"/>
      <c r="FO517" s="2250"/>
      <c r="FP517" s="2250"/>
      <c r="FQ517" s="2250"/>
      <c r="FR517" s="2250"/>
      <c r="FS517" s="2250"/>
      <c r="FT517" s="2250"/>
      <c r="FU517" s="2250"/>
      <c r="FV517" s="2250"/>
      <c r="FW517" s="2250"/>
      <c r="FX517" s="2250"/>
      <c r="FY517" s="2250"/>
      <c r="FZ517" s="2250"/>
      <c r="GA517" s="2250"/>
      <c r="GB517" s="2276"/>
      <c r="GC517" s="2276"/>
      <c r="GD517" s="2250"/>
      <c r="GE517" s="2275"/>
      <c r="GF517" s="2275">
        <f>GF473</f>
        <v>1.3354563802212776</v>
      </c>
      <c r="GG517" s="2275">
        <f>HLOOKUP(GF518,GH499:HH519,20,0)</f>
        <v>7.53</v>
      </c>
      <c r="GH517" s="2275">
        <f>+IF(GF517&lt;=GH509,GH509,IF(GF517&lt;=GH510,GH510,IF(GF517&lt;=GH511,GH511,)))</f>
        <v>52.27</v>
      </c>
      <c r="GI517" s="2275">
        <f>+IF(GF517&lt;=GI509,GI509,IF(GF517&lt;=GI510,GI510,IF(GF517&lt;=GI511,GI511,)))</f>
        <v>58.93</v>
      </c>
      <c r="GJ517" s="2275">
        <f>+IF(GF517&lt;=GJ509,GJ509,IF(GF517&lt;=GJ510,GJ510,IF(GF517&lt;=GJ511,GJ511,)))</f>
        <v>65.27</v>
      </c>
      <c r="GK517" s="2275">
        <f>+IF(GF517&lt;=GK509,GK509,IF(GF517&lt;=GK510,GK510,IF(GF517&lt;=GK511,GK511,)))</f>
        <v>71.33</v>
      </c>
      <c r="GL517" s="2275">
        <f>+IF(GF517&lt;=GL509,GL509,IF(GF517&lt;=GL510,GL510,IF(GF517&lt;=GL511,GL511,)))</f>
        <v>71.33</v>
      </c>
      <c r="GM517" s="2275">
        <f>+IF(GF517&lt;=GM509,GM509,IF(GF517&lt;=GM510,GM510,IF(GF517&lt;=GM511,GM511,)))</f>
        <v>74.400000000000006</v>
      </c>
      <c r="GN517" s="2275">
        <f>+IF(GF517&lt;=GN509,GN509,IF(GF517&lt;=GN510,GN510,IF(GF517&lt;=GN511,GN511,)))</f>
        <v>82.4</v>
      </c>
      <c r="GO517" s="2275">
        <f>+IF(GF517&lt;=GO509,GO509,IF(GF517&lt;=GO510,GO510,IF(GF517&lt;=GO511,GO511,)))</f>
        <v>87.8</v>
      </c>
      <c r="GP517" s="2275">
        <f>+IF(GF517&lt;=GP509,GP509,IF(GF517&lt;=GP510,GP510,IF(GF517&lt;=GP511,GP511,)))</f>
        <v>95</v>
      </c>
      <c r="GQ517" s="2275">
        <f>+IF(GF517&lt;=GQ509,GQ509,IF(GF517&lt;=GQ510,GQ510,IF(GF517&lt;=GQ511,GQ511,)))</f>
        <v>102.2</v>
      </c>
      <c r="GR517" s="2275">
        <f>+IF(GF517&lt;=GR509,GR509,IF(GF517&lt;=GR510,GR510,IF(GF517&lt;=GR511,GR511,)))</f>
        <v>104.6</v>
      </c>
      <c r="GS517" s="2275">
        <f>+IF(GF517&lt;=GS509,GS509,IF(GF517&lt;=GS510,GS510,IF(GF517&lt;=GS511,GS511,)))</f>
        <v>118.67</v>
      </c>
      <c r="GT517" s="2275">
        <f>+IF(GF517&lt;=GT509,GT509,IF(GF517&lt;=GT510,GT510,IF(GF517&lt;=GT511,GT511,)))</f>
        <v>123.93</v>
      </c>
      <c r="GU517" s="2275">
        <f>+IF(GF517&lt;=GU509,GU509,IF(GF517&lt;=GU510,GU510,IF(GF517&lt;=GU511,GU511,)))</f>
        <v>128.4</v>
      </c>
      <c r="GV517" s="2275">
        <f>+IF(GF517&lt;=GV509,GV509,IF(GF517&lt;=GV510,GV510,IF(GF517&lt;=GV511,GV511,)))</f>
        <v>134.33000000000001</v>
      </c>
      <c r="GW517" s="2275">
        <f>+IF(GF517&lt;=GW509,GW509,IF(GF517&lt;=GW510,GW510,IF(GF517&lt;=GW511,GW511,)))</f>
        <v>146.93</v>
      </c>
      <c r="GX517" s="2275">
        <f>+IF(GF517&lt;=GX509,GX509,IF(GF517&lt;=GX510,GX510,IF(GF517&lt;=GX511,GX511,)))</f>
        <v>157.4</v>
      </c>
      <c r="GY517" s="2275">
        <f>+IF(GF517&lt;=GY509,GY509,IF(GF517&lt;=GY510,GY510,IF(GF517&lt;=GY511,GY511,)))</f>
        <v>169</v>
      </c>
      <c r="GZ517" s="2275">
        <f>+IF(GF517&lt;=GZ509,GZ509,IF(GF517&lt;=GZ510,GZ510,IF(GF517&lt;=GZ511,GZ511,)))</f>
        <v>171.33</v>
      </c>
      <c r="HA517" s="2275">
        <f>+IF(GF517&lt;=HA509,HA509,IF(GF517&lt;=HA510,HA510,IF(GF517&lt;=HA511,HA511,)))</f>
        <v>194</v>
      </c>
      <c r="HB517" s="2275">
        <f>+IF(GF517&lt;=HB509,HB509,IF(GF517&lt;=HB510,HB510,IF(GF517&lt;=HB511,HB511,)))</f>
        <v>202.8</v>
      </c>
      <c r="HC517" s="2275">
        <f>+IF(GF517&lt;=HC509,HC509,IF(GF517&lt;=HC510,HC510,IF(GF517&lt;=HC511,HC511,)))</f>
        <v>219.53</v>
      </c>
      <c r="HD517" s="2275">
        <f>+IF(GF517&lt;=HD509,HD509,IF(GF517&lt;=HD510,HD510,IF(GF517&lt;=HD511,HD511,)))</f>
        <v>239.07</v>
      </c>
      <c r="HE517" s="2275">
        <f>+IF(GF517&lt;=HE509,HE509,IF(GF517&lt;=HE510,HE510,IF(GF517&lt;=HE511,HE511,)))</f>
        <v>246.33</v>
      </c>
      <c r="HF517" s="2275">
        <f>+IF(GF517&lt;=HF509,HF509,IF(GF517&lt;=HF510,HF510,IF(GF517&lt;=HF511,HF511,)))</f>
        <v>290.2</v>
      </c>
      <c r="HG517" s="2275">
        <f>+IF(GF517&lt;=HG509,HG509,IF(GF517&lt;=HG510,HG510,IF(GF517&lt;=HG511,HG511,)))</f>
        <v>320.60000000000002</v>
      </c>
      <c r="HH517" s="2275">
        <f>+IF(GF517&lt;=HH509,HH509,IF(GF517&lt;=HH510,HH510,IF(GF517&lt;=HH511,HH511,)))</f>
        <v>335.8</v>
      </c>
      <c r="HI517" s="2275"/>
      <c r="HJ517" s="2275"/>
      <c r="HK517" s="2275"/>
      <c r="HL517" s="2275"/>
      <c r="HM517" s="2275"/>
      <c r="HN517" s="2275"/>
      <c r="HO517" s="2275"/>
      <c r="HP517" s="2275"/>
      <c r="HQ517" s="2275"/>
      <c r="HR517" s="2275"/>
      <c r="HS517" s="2275"/>
      <c r="HT517" s="2250"/>
      <c r="HU517" s="2250"/>
      <c r="HV517" s="2250"/>
      <c r="HW517" s="2250"/>
      <c r="HX517" s="2250"/>
      <c r="HY517" s="2250"/>
      <c r="HZ517" s="2250"/>
      <c r="IA517" s="2250"/>
      <c r="IB517" s="2250"/>
      <c r="IC517" s="2250"/>
      <c r="ID517" s="2250"/>
      <c r="IE517" s="2250"/>
      <c r="IF517" s="2250"/>
      <c r="IG517" s="2250"/>
      <c r="IH517" s="2250"/>
      <c r="II517" s="2250"/>
      <c r="IJ517" s="2250"/>
      <c r="IK517" s="53"/>
      <c r="IL517" s="53"/>
      <c r="IN517" s="277"/>
      <c r="IO517" s="277"/>
    </row>
    <row r="518" spans="2:249" ht="21.95" customHeight="1">
      <c r="B518" s="2275">
        <f>B474</f>
        <v>68.3</v>
      </c>
      <c r="C518" s="2275">
        <f>HLOOKUP(B518,D499:AD519,21,0)</f>
        <v>475</v>
      </c>
      <c r="D518" s="2250">
        <f t="shared" ref="D518:AD518" si="289">IF(D516=0,D517,D516)</f>
        <v>1.8</v>
      </c>
      <c r="E518" s="2250">
        <f t="shared" si="289"/>
        <v>2</v>
      </c>
      <c r="F518" s="2250">
        <f t="shared" si="289"/>
        <v>2.2000000000000002</v>
      </c>
      <c r="G518" s="2250">
        <f t="shared" si="289"/>
        <v>2.4</v>
      </c>
      <c r="H518" s="2250">
        <f t="shared" si="289"/>
        <v>2.6</v>
      </c>
      <c r="I518" s="2250">
        <f t="shared" si="289"/>
        <v>2.5299999999999998</v>
      </c>
      <c r="J518" s="2250">
        <f t="shared" si="289"/>
        <v>2.8</v>
      </c>
      <c r="K518" s="2250">
        <f t="shared" si="289"/>
        <v>3</v>
      </c>
      <c r="L518" s="2250">
        <f t="shared" si="289"/>
        <v>3.2</v>
      </c>
      <c r="M518" s="2250">
        <f t="shared" si="289"/>
        <v>3.4</v>
      </c>
      <c r="N518" s="2250">
        <f t="shared" si="289"/>
        <v>3.73</v>
      </c>
      <c r="O518" s="2250">
        <f t="shared" si="289"/>
        <v>4</v>
      </c>
      <c r="P518" s="2250">
        <f t="shared" si="289"/>
        <v>4.2</v>
      </c>
      <c r="Q518" s="2250">
        <f>IF(Q516=0,Q517,Q516)</f>
        <v>4.47</v>
      </c>
      <c r="R518" s="2250">
        <f t="shared" si="289"/>
        <v>4.5999999999999996</v>
      </c>
      <c r="S518" s="2250">
        <f t="shared" si="289"/>
        <v>4.87</v>
      </c>
      <c r="T518" s="2250">
        <f t="shared" si="289"/>
        <v>5.2</v>
      </c>
      <c r="U518" s="2250">
        <f t="shared" si="289"/>
        <v>5.67</v>
      </c>
      <c r="V518" s="2250">
        <f t="shared" si="289"/>
        <v>6</v>
      </c>
      <c r="W518" s="2250">
        <f t="shared" si="289"/>
        <v>6.4</v>
      </c>
      <c r="X518" s="2250">
        <f t="shared" si="289"/>
        <v>6.87</v>
      </c>
      <c r="Y518" s="2250">
        <f t="shared" si="289"/>
        <v>7.53</v>
      </c>
      <c r="Z518" s="2250">
        <f t="shared" si="289"/>
        <v>8.1999999999999993</v>
      </c>
      <c r="AA518" s="2250">
        <f t="shared" si="289"/>
        <v>9.1999999999999993</v>
      </c>
      <c r="AB518" s="2250">
        <f t="shared" si="289"/>
        <v>10.33</v>
      </c>
      <c r="AC518" s="2250">
        <f t="shared" si="289"/>
        <v>11.8</v>
      </c>
      <c r="AD518" s="2250">
        <f t="shared" si="289"/>
        <v>13.8</v>
      </c>
      <c r="AE518" s="2275"/>
      <c r="AF518" s="2275"/>
      <c r="AG518" s="2275"/>
      <c r="AH518" s="2275"/>
      <c r="AI518" s="2275"/>
      <c r="AJ518" s="2275"/>
      <c r="AK518" s="2275"/>
      <c r="AL518" s="2275"/>
      <c r="AM518" s="2275"/>
      <c r="AN518" s="2275"/>
      <c r="AO518" s="2275"/>
      <c r="AP518" s="2250"/>
      <c r="AQ518" s="2250"/>
      <c r="AR518" s="2250"/>
      <c r="AS518" s="2250"/>
      <c r="AT518" s="2250"/>
      <c r="AU518" s="2250"/>
      <c r="AV518" s="2250"/>
      <c r="AW518" s="2250"/>
      <c r="AX518" s="2250"/>
      <c r="AY518" s="2250"/>
      <c r="AZ518" s="2250"/>
      <c r="BA518" s="2250"/>
      <c r="BB518" s="2250"/>
      <c r="BC518" s="2250"/>
      <c r="BD518" s="2250"/>
      <c r="BE518" s="2250"/>
      <c r="BF518" s="2276"/>
      <c r="BG518" s="2276"/>
      <c r="BH518" s="2250"/>
      <c r="BI518" s="2275"/>
      <c r="BJ518" s="2275">
        <f>BJ474</f>
        <v>73.7</v>
      </c>
      <c r="BK518" s="2275">
        <f>HLOOKUP(BJ518,BL499:CL519,21,0)</f>
        <v>475</v>
      </c>
      <c r="BL518" s="2250">
        <f t="shared" ref="BL518:CL518" si="290">IF(BL516=0,BL517,BL516)</f>
        <v>1.8</v>
      </c>
      <c r="BM518" s="2250">
        <f t="shared" si="290"/>
        <v>2</v>
      </c>
      <c r="BN518" s="2250">
        <f t="shared" si="290"/>
        <v>2.2000000000000002</v>
      </c>
      <c r="BO518" s="2250">
        <f t="shared" si="290"/>
        <v>2.4</v>
      </c>
      <c r="BP518" s="2250">
        <f t="shared" si="290"/>
        <v>2.6</v>
      </c>
      <c r="BQ518" s="2250">
        <f t="shared" si="290"/>
        <v>2.5299999999999998</v>
      </c>
      <c r="BR518" s="2250">
        <f t="shared" si="290"/>
        <v>2.8</v>
      </c>
      <c r="BS518" s="2250">
        <f t="shared" si="290"/>
        <v>3</v>
      </c>
      <c r="BT518" s="2250">
        <f t="shared" si="290"/>
        <v>3.2</v>
      </c>
      <c r="BU518" s="2250">
        <f t="shared" si="290"/>
        <v>3.4</v>
      </c>
      <c r="BV518" s="2250">
        <f t="shared" si="290"/>
        <v>3.73</v>
      </c>
      <c r="BW518" s="2250">
        <f t="shared" si="290"/>
        <v>4</v>
      </c>
      <c r="BX518" s="2250">
        <f t="shared" si="290"/>
        <v>4.2</v>
      </c>
      <c r="BY518" s="2250">
        <f t="shared" si="290"/>
        <v>4.47</v>
      </c>
      <c r="BZ518" s="2250">
        <f t="shared" si="290"/>
        <v>4.5999999999999996</v>
      </c>
      <c r="CA518" s="2250">
        <f t="shared" si="290"/>
        <v>4.87</v>
      </c>
      <c r="CB518" s="2250">
        <f t="shared" si="290"/>
        <v>5.2</v>
      </c>
      <c r="CC518" s="2250">
        <f t="shared" si="290"/>
        <v>5.67</v>
      </c>
      <c r="CD518" s="2250">
        <f t="shared" si="290"/>
        <v>6</v>
      </c>
      <c r="CE518" s="2250">
        <f t="shared" si="290"/>
        <v>6.4</v>
      </c>
      <c r="CF518" s="2250">
        <f t="shared" si="290"/>
        <v>6.87</v>
      </c>
      <c r="CG518" s="2250">
        <f t="shared" si="290"/>
        <v>7.53</v>
      </c>
      <c r="CH518" s="2250">
        <f t="shared" si="290"/>
        <v>8.1999999999999993</v>
      </c>
      <c r="CI518" s="2250">
        <f t="shared" si="290"/>
        <v>9.1999999999999993</v>
      </c>
      <c r="CJ518" s="2250">
        <f t="shared" si="290"/>
        <v>10.33</v>
      </c>
      <c r="CK518" s="2250">
        <f t="shared" si="290"/>
        <v>11.8</v>
      </c>
      <c r="CL518" s="2250">
        <f t="shared" si="290"/>
        <v>13.8</v>
      </c>
      <c r="CM518" s="2275"/>
      <c r="CN518" s="2275"/>
      <c r="CO518" s="2275"/>
      <c r="CP518" s="2275"/>
      <c r="CQ518" s="2275"/>
      <c r="CR518" s="2275"/>
      <c r="CS518" s="2275"/>
      <c r="CT518" s="2275"/>
      <c r="CU518" s="2275"/>
      <c r="CV518" s="2275"/>
      <c r="CW518" s="2275"/>
      <c r="CX518" s="2250"/>
      <c r="CY518" s="2250"/>
      <c r="CZ518" s="2250"/>
      <c r="DA518" s="2250"/>
      <c r="DB518" s="2250"/>
      <c r="DC518" s="2250"/>
      <c r="DD518" s="2250"/>
      <c r="DE518" s="2250"/>
      <c r="DF518" s="2250"/>
      <c r="DG518" s="2250"/>
      <c r="DH518" s="2250"/>
      <c r="DI518" s="2250"/>
      <c r="DJ518" s="2250"/>
      <c r="DK518" s="2250"/>
      <c r="DL518" s="2250"/>
      <c r="DM518" s="2250"/>
      <c r="DN518" s="2250"/>
      <c r="DO518" s="53"/>
      <c r="DP518" s="53"/>
      <c r="DS518" s="277"/>
      <c r="DW518" s="1"/>
      <c r="DX518" s="2275">
        <f>DX474</f>
        <v>43.9</v>
      </c>
      <c r="DY518" s="2275">
        <f>HLOOKUP(DX518,DZ499:EZ519,21,0)</f>
        <v>475</v>
      </c>
      <c r="DZ518" s="2250">
        <f t="shared" ref="DZ518:EZ518" si="291">IF(DZ516=0,DZ517,DZ516)</f>
        <v>1.8</v>
      </c>
      <c r="EA518" s="2250">
        <f t="shared" si="291"/>
        <v>2</v>
      </c>
      <c r="EB518" s="2250">
        <f t="shared" si="291"/>
        <v>2.2000000000000002</v>
      </c>
      <c r="EC518" s="2250">
        <f t="shared" si="291"/>
        <v>2.4</v>
      </c>
      <c r="ED518" s="2250">
        <f t="shared" si="291"/>
        <v>2.6</v>
      </c>
      <c r="EE518" s="2250">
        <f t="shared" si="291"/>
        <v>2.5299999999999998</v>
      </c>
      <c r="EF518" s="2250">
        <f t="shared" si="291"/>
        <v>2.8</v>
      </c>
      <c r="EG518" s="2250">
        <f t="shared" si="291"/>
        <v>3</v>
      </c>
      <c r="EH518" s="2250">
        <f t="shared" si="291"/>
        <v>3.2</v>
      </c>
      <c r="EI518" s="2250">
        <f t="shared" si="291"/>
        <v>3.4</v>
      </c>
      <c r="EJ518" s="2250">
        <f t="shared" si="291"/>
        <v>3.73</v>
      </c>
      <c r="EK518" s="2250">
        <f t="shared" si="291"/>
        <v>4</v>
      </c>
      <c r="EL518" s="2250">
        <f t="shared" si="291"/>
        <v>4.2</v>
      </c>
      <c r="EM518" s="2250">
        <f t="shared" si="291"/>
        <v>4.47</v>
      </c>
      <c r="EN518" s="2250">
        <f t="shared" si="291"/>
        <v>4.5999999999999996</v>
      </c>
      <c r="EO518" s="2250">
        <f t="shared" si="291"/>
        <v>4.87</v>
      </c>
      <c r="EP518" s="2250">
        <f t="shared" si="291"/>
        <v>5.2</v>
      </c>
      <c r="EQ518" s="2250">
        <f t="shared" si="291"/>
        <v>5.67</v>
      </c>
      <c r="ER518" s="2250">
        <f t="shared" si="291"/>
        <v>6</v>
      </c>
      <c r="ES518" s="2250">
        <f t="shared" si="291"/>
        <v>6.4</v>
      </c>
      <c r="ET518" s="2250">
        <f t="shared" si="291"/>
        <v>6.87</v>
      </c>
      <c r="EU518" s="2250">
        <f t="shared" si="291"/>
        <v>7.53</v>
      </c>
      <c r="EV518" s="2250">
        <f t="shared" si="291"/>
        <v>8.1999999999999993</v>
      </c>
      <c r="EW518" s="2250">
        <f t="shared" si="291"/>
        <v>9.1999999999999993</v>
      </c>
      <c r="EX518" s="2250">
        <f t="shared" si="291"/>
        <v>10.33</v>
      </c>
      <c r="EY518" s="2250">
        <f t="shared" si="291"/>
        <v>11.8</v>
      </c>
      <c r="EZ518" s="2250">
        <f t="shared" si="291"/>
        <v>13.8</v>
      </c>
      <c r="FA518" s="2275"/>
      <c r="FB518" s="2275"/>
      <c r="FC518" s="2275"/>
      <c r="FD518" s="2275"/>
      <c r="FE518" s="2275"/>
      <c r="FF518" s="2275"/>
      <c r="FG518" s="2275"/>
      <c r="FH518" s="2275"/>
      <c r="FI518" s="2275"/>
      <c r="FJ518" s="2275"/>
      <c r="FK518" s="2275"/>
      <c r="FL518" s="2250"/>
      <c r="FM518" s="2250"/>
      <c r="FN518" s="2250"/>
      <c r="FO518" s="2250"/>
      <c r="FP518" s="2250"/>
      <c r="FQ518" s="2250"/>
      <c r="FR518" s="2250"/>
      <c r="FS518" s="2250"/>
      <c r="FT518" s="2250"/>
      <c r="FU518" s="2250"/>
      <c r="FV518" s="2250"/>
      <c r="FW518" s="2250"/>
      <c r="FX518" s="2250"/>
      <c r="FY518" s="2250"/>
      <c r="FZ518" s="2250"/>
      <c r="GA518" s="2250"/>
      <c r="GB518" s="2276"/>
      <c r="GC518" s="2276"/>
      <c r="GD518" s="2250"/>
      <c r="GE518" s="2275"/>
      <c r="GF518" s="2275">
        <f>GF474</f>
        <v>48.8</v>
      </c>
      <c r="GG518" s="2275">
        <f>HLOOKUP(GF518,GH499:HH519,21,0)</f>
        <v>475</v>
      </c>
      <c r="GH518" s="2250">
        <f t="shared" ref="GH518:HH518" si="292">IF(GH516=0,GH517,GH516)</f>
        <v>1.8</v>
      </c>
      <c r="GI518" s="2250">
        <f t="shared" si="292"/>
        <v>2</v>
      </c>
      <c r="GJ518" s="2250">
        <f t="shared" si="292"/>
        <v>2.2000000000000002</v>
      </c>
      <c r="GK518" s="2250">
        <f t="shared" si="292"/>
        <v>2.4</v>
      </c>
      <c r="GL518" s="2250">
        <f t="shared" si="292"/>
        <v>2.6</v>
      </c>
      <c r="GM518" s="2250">
        <f t="shared" si="292"/>
        <v>2.5299999999999998</v>
      </c>
      <c r="GN518" s="2250">
        <f t="shared" si="292"/>
        <v>2.8</v>
      </c>
      <c r="GO518" s="2250">
        <f t="shared" si="292"/>
        <v>3</v>
      </c>
      <c r="GP518" s="2250">
        <f t="shared" si="292"/>
        <v>3.2</v>
      </c>
      <c r="GQ518" s="2250">
        <f t="shared" si="292"/>
        <v>3.4</v>
      </c>
      <c r="GR518" s="2250">
        <f t="shared" si="292"/>
        <v>3.73</v>
      </c>
      <c r="GS518" s="2250">
        <f t="shared" si="292"/>
        <v>4</v>
      </c>
      <c r="GT518" s="2250">
        <f t="shared" si="292"/>
        <v>4.2</v>
      </c>
      <c r="GU518" s="2250">
        <f t="shared" si="292"/>
        <v>4.47</v>
      </c>
      <c r="GV518" s="2250">
        <f t="shared" si="292"/>
        <v>4.5999999999999996</v>
      </c>
      <c r="GW518" s="2250">
        <f t="shared" si="292"/>
        <v>4.87</v>
      </c>
      <c r="GX518" s="2250">
        <f t="shared" si="292"/>
        <v>5.2</v>
      </c>
      <c r="GY518" s="2250">
        <f t="shared" si="292"/>
        <v>5.67</v>
      </c>
      <c r="GZ518" s="2250">
        <f t="shared" si="292"/>
        <v>6</v>
      </c>
      <c r="HA518" s="2250">
        <f t="shared" si="292"/>
        <v>6.4</v>
      </c>
      <c r="HB518" s="2250">
        <f t="shared" si="292"/>
        <v>6.87</v>
      </c>
      <c r="HC518" s="2250">
        <f t="shared" si="292"/>
        <v>7.53</v>
      </c>
      <c r="HD518" s="2250">
        <f t="shared" si="292"/>
        <v>8.1999999999999993</v>
      </c>
      <c r="HE518" s="2250">
        <f t="shared" si="292"/>
        <v>9.1999999999999993</v>
      </c>
      <c r="HF518" s="2250">
        <f t="shared" si="292"/>
        <v>10.33</v>
      </c>
      <c r="HG518" s="2250">
        <f t="shared" si="292"/>
        <v>11.8</v>
      </c>
      <c r="HH518" s="2250">
        <f t="shared" si="292"/>
        <v>13.8</v>
      </c>
      <c r="HI518" s="2275"/>
      <c r="HJ518" s="2275"/>
      <c r="HK518" s="2275"/>
      <c r="HL518" s="2275"/>
      <c r="HM518" s="2275"/>
      <c r="HN518" s="2275"/>
      <c r="HO518" s="2275"/>
      <c r="HP518" s="2275"/>
      <c r="HQ518" s="2275"/>
      <c r="HR518" s="2275"/>
      <c r="HS518" s="2275"/>
      <c r="HT518" s="2250"/>
      <c r="HU518" s="2250"/>
      <c r="HV518" s="2250"/>
      <c r="HW518" s="2250"/>
      <c r="HX518" s="2250"/>
      <c r="HY518" s="2250"/>
      <c r="HZ518" s="2250"/>
      <c r="IA518" s="2250"/>
      <c r="IB518" s="2250"/>
      <c r="IC518" s="2250"/>
      <c r="ID518" s="2250"/>
      <c r="IE518" s="2250"/>
      <c r="IF518" s="2250"/>
      <c r="IG518" s="2250"/>
      <c r="IH518" s="2250"/>
      <c r="II518" s="2250"/>
      <c r="IJ518" s="2250"/>
      <c r="IK518" s="53"/>
      <c r="IL518" s="53"/>
      <c r="IN518" s="277"/>
      <c r="IO518" s="277"/>
    </row>
    <row r="519" spans="2:249" ht="21.95" customHeight="1">
      <c r="B519" s="2250"/>
      <c r="C519" s="2250" t="str">
        <f>IF(C517=AH515,IF(C518=AI515,"Right","Wrong"))</f>
        <v>Right</v>
      </c>
      <c r="D519" s="2250">
        <f>VLOOKUP(D518,D501:AE511,28,0)</f>
        <v>475</v>
      </c>
      <c r="E519" s="2250">
        <f>VLOOKUP(E518,E501:AE511,27,0)</f>
        <v>475</v>
      </c>
      <c r="F519" s="2250">
        <f>VLOOKUP(F518,F501:AE511,26,0)</f>
        <v>475</v>
      </c>
      <c r="G519" s="2250">
        <f>VLOOKUP(G518,G501:AE511,25,0)</f>
        <v>475</v>
      </c>
      <c r="H519" s="2250">
        <f>VLOOKUP(H518,H501:AE511,24,0)</f>
        <v>475</v>
      </c>
      <c r="I519" s="2250">
        <f>VLOOKUP(I518,I501:AE511,23,0)</f>
        <v>475</v>
      </c>
      <c r="J519" s="2250">
        <f>VLOOKUP(J518,J501:AE511,22,0)</f>
        <v>475</v>
      </c>
      <c r="K519" s="2250">
        <f>VLOOKUP(K518,K501:AE511,21,0)</f>
        <v>475</v>
      </c>
      <c r="L519" s="2250">
        <f>VLOOKUP(L518,L501:AE511,20,0)</f>
        <v>475</v>
      </c>
      <c r="M519" s="2250">
        <f>VLOOKUP(M518,M501:AE511,19,0)</f>
        <v>475</v>
      </c>
      <c r="N519" s="2250">
        <f>VLOOKUP(N518,N501:AE511,18,0)</f>
        <v>475</v>
      </c>
      <c r="O519" s="2250">
        <f>VLOOKUP(O518,O501:AE511,17,0)</f>
        <v>475</v>
      </c>
      <c r="P519" s="2250">
        <f>VLOOKUP(P518,P501:AE511,16,0)</f>
        <v>475</v>
      </c>
      <c r="Q519" s="2250">
        <f>VLOOKUP(Q518,Q501:AE511,15,0)</f>
        <v>475</v>
      </c>
      <c r="R519" s="2250">
        <f>VLOOKUP(R518,R501:AE511,14,0)</f>
        <v>475</v>
      </c>
      <c r="S519" s="2250">
        <f>VLOOKUP(S518,S501:AE511,13,0)</f>
        <v>475</v>
      </c>
      <c r="T519" s="2250">
        <f>VLOOKUP(T518,T501:AE511,12,0)</f>
        <v>475</v>
      </c>
      <c r="U519" s="2250">
        <f>VLOOKUP(U518,U501:AE511,11,0)</f>
        <v>475</v>
      </c>
      <c r="V519" s="2250">
        <f>VLOOKUP(V518,V501:AE511,10,0)</f>
        <v>475</v>
      </c>
      <c r="W519" s="2250">
        <f>VLOOKUP(W518,W501:AE511,9,0)</f>
        <v>475</v>
      </c>
      <c r="X519" s="2250">
        <f>VLOOKUP(X518,X501:AE511,8,0)</f>
        <v>475</v>
      </c>
      <c r="Y519" s="2250">
        <f>VLOOKUP(Y518,Y501:AE511,7,0)</f>
        <v>475</v>
      </c>
      <c r="Z519" s="2250">
        <f>VLOOKUP(Z518,Z501:AE511,6,0)</f>
        <v>475</v>
      </c>
      <c r="AA519" s="2250">
        <f>VLOOKUP(AA518,AA501:AE511,5,0)</f>
        <v>475</v>
      </c>
      <c r="AB519" s="2250">
        <f>VLOOKUP(AB518,AB501:AE511,4,0)</f>
        <v>475</v>
      </c>
      <c r="AC519" s="2250">
        <f>VLOOKUP(AC518,AC501:AE511,3,0)</f>
        <v>475</v>
      </c>
      <c r="AD519" s="2250">
        <f>VLOOKUP(AD518,AD501:AE511,2,0)</f>
        <v>475</v>
      </c>
      <c r="AE519" s="2275"/>
      <c r="AF519" s="2275"/>
      <c r="AG519" s="2275"/>
      <c r="AH519" s="2275"/>
      <c r="AI519" s="2275"/>
      <c r="AJ519" s="2275"/>
      <c r="AK519" s="2275"/>
      <c r="AL519" s="2275"/>
      <c r="AM519" s="2275"/>
      <c r="AN519" s="2275"/>
      <c r="AO519" s="2275"/>
      <c r="AP519" s="2250"/>
      <c r="AQ519" s="2250"/>
      <c r="AR519" s="2250"/>
      <c r="AS519" s="2250"/>
      <c r="AT519" s="2250"/>
      <c r="AU519" s="2250"/>
      <c r="AV519" s="2250"/>
      <c r="AW519" s="2250"/>
      <c r="AX519" s="2250"/>
      <c r="AY519" s="2250"/>
      <c r="AZ519" s="2250"/>
      <c r="BA519" s="2250"/>
      <c r="BB519" s="2250"/>
      <c r="BC519" s="2250"/>
      <c r="BD519" s="2250"/>
      <c r="BE519" s="2250"/>
      <c r="BF519" s="2276"/>
      <c r="BG519" s="2276"/>
      <c r="BH519" s="2250"/>
      <c r="BI519" s="2275"/>
      <c r="BJ519" s="2250"/>
      <c r="BK519" s="2250" t="str">
        <f>IF(BK517=CP515,IF(BK518=CQ515,"Right","Wrong"))</f>
        <v>Right</v>
      </c>
      <c r="BL519" s="2250">
        <f>VLOOKUP(BL518,BL501:CM511,28,0)</f>
        <v>475</v>
      </c>
      <c r="BM519" s="2250">
        <f>VLOOKUP(BM518,BM501:CM511,27,0)</f>
        <v>475</v>
      </c>
      <c r="BN519" s="2250">
        <f>VLOOKUP(BN518,BN501:CM511,26,0)</f>
        <v>475</v>
      </c>
      <c r="BO519" s="2250">
        <f>VLOOKUP(BO518,BO501:CM511,25,0)</f>
        <v>475</v>
      </c>
      <c r="BP519" s="2250">
        <f>VLOOKUP(BP518,BP501:CM511,24,0)</f>
        <v>475</v>
      </c>
      <c r="BQ519" s="2250">
        <f>VLOOKUP(BQ518,BQ501:CM511,23,0)</f>
        <v>475</v>
      </c>
      <c r="BR519" s="2250">
        <f>VLOOKUP(BR518,BR501:CM511,22,0)</f>
        <v>475</v>
      </c>
      <c r="BS519" s="2250">
        <f>VLOOKUP(BS518,BS501:CM511,21,0)</f>
        <v>475</v>
      </c>
      <c r="BT519" s="2250">
        <f>VLOOKUP(BT518,BT501:CM511,20,0)</f>
        <v>475</v>
      </c>
      <c r="BU519" s="2250">
        <f>VLOOKUP(BU518,BU501:CM511,19,0)</f>
        <v>475</v>
      </c>
      <c r="BV519" s="2250">
        <f>VLOOKUP(BV518,BV501:CM511,18,0)</f>
        <v>475</v>
      </c>
      <c r="BW519" s="2250">
        <f>VLOOKUP(BW518,BW501:CM511,17,0)</f>
        <v>475</v>
      </c>
      <c r="BX519" s="2250">
        <f>VLOOKUP(BX518,BX501:CM511,16,0)</f>
        <v>475</v>
      </c>
      <c r="BY519" s="2250">
        <f>VLOOKUP(BY518,BY501:CM511,15,0)</f>
        <v>475</v>
      </c>
      <c r="BZ519" s="2250">
        <f>VLOOKUP(BZ518,BZ501:CM511,14,0)</f>
        <v>475</v>
      </c>
      <c r="CA519" s="2250">
        <f>VLOOKUP(CA518,CA501:CM511,13,0)</f>
        <v>475</v>
      </c>
      <c r="CB519" s="2250">
        <f>VLOOKUP(CB518,CB501:CM511,12,0)</f>
        <v>475</v>
      </c>
      <c r="CC519" s="2250">
        <f>VLOOKUP(CC518,CC501:CM511,11,0)</f>
        <v>475</v>
      </c>
      <c r="CD519" s="2250">
        <f>VLOOKUP(CD518,CD501:CM511,10,0)</f>
        <v>475</v>
      </c>
      <c r="CE519" s="2250">
        <f>VLOOKUP(CE518,CE501:CM511,9,0)</f>
        <v>475</v>
      </c>
      <c r="CF519" s="2250">
        <f>VLOOKUP(CF518,CF501:CM511,8,0)</f>
        <v>475</v>
      </c>
      <c r="CG519" s="2250">
        <f>VLOOKUP(CG518,CG501:CM511,7,0)</f>
        <v>475</v>
      </c>
      <c r="CH519" s="2250">
        <f>VLOOKUP(CH518,CH501:CM511,6,0)</f>
        <v>475</v>
      </c>
      <c r="CI519" s="2250">
        <f>VLOOKUP(CI518,CI501:CM511,5,0)</f>
        <v>475</v>
      </c>
      <c r="CJ519" s="2250">
        <f>VLOOKUP(CJ518,CJ501:CM511,4,0)</f>
        <v>475</v>
      </c>
      <c r="CK519" s="2250">
        <f>VLOOKUP(CK518,CK501:CM511,3,0)</f>
        <v>475</v>
      </c>
      <c r="CL519" s="2250">
        <f>VLOOKUP(CL518,CL501:CM511,2,0)</f>
        <v>475</v>
      </c>
      <c r="CM519" s="2275"/>
      <c r="CN519" s="2275"/>
      <c r="CO519" s="2275"/>
      <c r="CP519" s="2275"/>
      <c r="CQ519" s="2275"/>
      <c r="CR519" s="2275"/>
      <c r="CS519" s="2275"/>
      <c r="CT519" s="2275"/>
      <c r="CU519" s="2275"/>
      <c r="CV519" s="2275"/>
      <c r="CW519" s="2275"/>
      <c r="CX519" s="2250"/>
      <c r="CY519" s="2250"/>
      <c r="CZ519" s="2250"/>
      <c r="DA519" s="2250"/>
      <c r="DB519" s="2250"/>
      <c r="DC519" s="2250"/>
      <c r="DD519" s="2250"/>
      <c r="DE519" s="2250"/>
      <c r="DF519" s="2250"/>
      <c r="DG519" s="2250"/>
      <c r="DH519" s="2250"/>
      <c r="DI519" s="2250"/>
      <c r="DJ519" s="2250"/>
      <c r="DK519" s="2250"/>
      <c r="DL519" s="2250"/>
      <c r="DM519" s="2250"/>
      <c r="DN519" s="2250"/>
      <c r="DO519" s="53"/>
      <c r="DP519" s="53"/>
      <c r="DS519" s="277"/>
      <c r="DW519" s="1"/>
      <c r="DX519" s="2250"/>
      <c r="DY519" s="2250" t="str">
        <f>IF(DY517=FD515,IF(DY518=FE515,"Right","Wrong"))</f>
        <v>Right</v>
      </c>
      <c r="DZ519" s="2250">
        <f>VLOOKUP(DZ518,DZ501:FA511,28,0)</f>
        <v>475</v>
      </c>
      <c r="EA519" s="2250">
        <f>VLOOKUP(EA518,EA501:FA511,27,0)</f>
        <v>475</v>
      </c>
      <c r="EB519" s="2250">
        <f>VLOOKUP(EB518,EB501:FA511,26,0)</f>
        <v>475</v>
      </c>
      <c r="EC519" s="2250">
        <f>VLOOKUP(EC518,EC501:FA511,25,0)</f>
        <v>475</v>
      </c>
      <c r="ED519" s="2250">
        <f>VLOOKUP(ED518,ED501:FA511,24,0)</f>
        <v>475</v>
      </c>
      <c r="EE519" s="2250">
        <f>VLOOKUP(EE518,EE501:FA511,23,0)</f>
        <v>475</v>
      </c>
      <c r="EF519" s="2250">
        <f>VLOOKUP(EF518,EF501:FA511,22,0)</f>
        <v>475</v>
      </c>
      <c r="EG519" s="2250">
        <f>VLOOKUP(EG518,EG501:FA511,21,0)</f>
        <v>475</v>
      </c>
      <c r="EH519" s="2250">
        <f>VLOOKUP(EH518,EH501:FA511,20,0)</f>
        <v>475</v>
      </c>
      <c r="EI519" s="2250">
        <f>VLOOKUP(EI518,EI501:FA511,19,0)</f>
        <v>475</v>
      </c>
      <c r="EJ519" s="2250">
        <f>VLOOKUP(EJ518,EJ501:FA511,18,0)</f>
        <v>475</v>
      </c>
      <c r="EK519" s="2250">
        <f>VLOOKUP(EK518,EK501:FA511,17,0)</f>
        <v>475</v>
      </c>
      <c r="EL519" s="2250">
        <f>VLOOKUP(EL518,EL501:FA511,16,0)</f>
        <v>475</v>
      </c>
      <c r="EM519" s="2250">
        <f>VLOOKUP(EM518,EM501:FA511,15,0)</f>
        <v>475</v>
      </c>
      <c r="EN519" s="2250">
        <f>VLOOKUP(EN518,EN501:FA511,14,0)</f>
        <v>475</v>
      </c>
      <c r="EO519" s="2250">
        <f>VLOOKUP(EO518,EO501:FA511,13,0)</f>
        <v>475</v>
      </c>
      <c r="EP519" s="2250">
        <f>VLOOKUP(EP518,EP501:FA511,12,0)</f>
        <v>475</v>
      </c>
      <c r="EQ519" s="2250">
        <f>VLOOKUP(EQ518,EQ501:FA511,11,0)</f>
        <v>475</v>
      </c>
      <c r="ER519" s="2250">
        <f>VLOOKUP(ER518,ER501:FA511,10,0)</f>
        <v>475</v>
      </c>
      <c r="ES519" s="2250">
        <f>VLOOKUP(ES518,ES501:FA511,9,0)</f>
        <v>475</v>
      </c>
      <c r="ET519" s="2250">
        <f>VLOOKUP(ET518,ET501:FA511,8,0)</f>
        <v>475</v>
      </c>
      <c r="EU519" s="2250">
        <f>VLOOKUP(EU518,EU501:FA511,7,0)</f>
        <v>475</v>
      </c>
      <c r="EV519" s="2250">
        <f>VLOOKUP(EV518,EV501:FA511,6,0)</f>
        <v>475</v>
      </c>
      <c r="EW519" s="2250">
        <f>VLOOKUP(EW518,EW501:FA511,5,0)</f>
        <v>475</v>
      </c>
      <c r="EX519" s="2250">
        <f>VLOOKUP(EX518,EX501:FA511,4,0)</f>
        <v>475</v>
      </c>
      <c r="EY519" s="2250">
        <f>VLOOKUP(EY518,EY501:FA511,3,0)</f>
        <v>475</v>
      </c>
      <c r="EZ519" s="2250">
        <f>VLOOKUP(EZ518,EZ501:FA511,2,0)</f>
        <v>475</v>
      </c>
      <c r="FA519" s="2275"/>
      <c r="FB519" s="2275"/>
      <c r="FC519" s="2275"/>
      <c r="FD519" s="2275"/>
      <c r="FE519" s="2275"/>
      <c r="FF519" s="2275"/>
      <c r="FG519" s="2275"/>
      <c r="FH519" s="2275"/>
      <c r="FI519" s="2275"/>
      <c r="FJ519" s="2275"/>
      <c r="FK519" s="2275"/>
      <c r="FL519" s="2250"/>
      <c r="FM519" s="2250"/>
      <c r="FN519" s="2250"/>
      <c r="FO519" s="2250"/>
      <c r="FP519" s="2250"/>
      <c r="FQ519" s="2250"/>
      <c r="FR519" s="2250"/>
      <c r="FS519" s="2250"/>
      <c r="FT519" s="2250"/>
      <c r="FU519" s="2250"/>
      <c r="FV519" s="2250"/>
      <c r="FW519" s="2250"/>
      <c r="FX519" s="2250"/>
      <c r="FY519" s="2250"/>
      <c r="FZ519" s="2250"/>
      <c r="GA519" s="2250"/>
      <c r="GB519" s="2276"/>
      <c r="GC519" s="2276"/>
      <c r="GD519" s="2250"/>
      <c r="GE519" s="2275"/>
      <c r="GF519" s="2250"/>
      <c r="GG519" s="2250" t="str">
        <f>IF(GG517=HL515,IF(GG518=HM515,"Right","Wrong"))</f>
        <v>Right</v>
      </c>
      <c r="GH519" s="2250">
        <f>VLOOKUP(GH518,GH501:HI511,28,0)</f>
        <v>475</v>
      </c>
      <c r="GI519" s="2250">
        <f>VLOOKUP(GI518,GI501:HI511,27,0)</f>
        <v>475</v>
      </c>
      <c r="GJ519" s="2250">
        <f>VLOOKUP(GJ518,GJ501:HI511,26,0)</f>
        <v>475</v>
      </c>
      <c r="GK519" s="2250">
        <f>VLOOKUP(GK518,GK501:HI511,25,0)</f>
        <v>475</v>
      </c>
      <c r="GL519" s="2250">
        <f>VLOOKUP(GL518,GL501:HI511,24,0)</f>
        <v>475</v>
      </c>
      <c r="GM519" s="2250">
        <f>VLOOKUP(GM518,GM501:HI511,23,0)</f>
        <v>475</v>
      </c>
      <c r="GN519" s="2250">
        <f>VLOOKUP(GN518,GN501:HI511,22,0)</f>
        <v>475</v>
      </c>
      <c r="GO519" s="2250">
        <f>VLOOKUP(GO518,GO501:HI511,21,0)</f>
        <v>475</v>
      </c>
      <c r="GP519" s="2250">
        <f>VLOOKUP(GP518,GP501:HI511,20,0)</f>
        <v>475</v>
      </c>
      <c r="GQ519" s="2250">
        <f>VLOOKUP(GQ518,GQ501:HI511,19,0)</f>
        <v>475</v>
      </c>
      <c r="GR519" s="2250">
        <f>VLOOKUP(GR518,GR501:HI511,18,0)</f>
        <v>475</v>
      </c>
      <c r="GS519" s="2250">
        <f>VLOOKUP(GS518,GS501:HI511,17,0)</f>
        <v>475</v>
      </c>
      <c r="GT519" s="2250">
        <f>VLOOKUP(GT518,GT501:HI511,16,0)</f>
        <v>475</v>
      </c>
      <c r="GU519" s="2250">
        <f>VLOOKUP(GU518,GU501:HI511,15,0)</f>
        <v>475</v>
      </c>
      <c r="GV519" s="2250">
        <f>VLOOKUP(GV518,GV501:HI511,14,0)</f>
        <v>475</v>
      </c>
      <c r="GW519" s="2250">
        <f>VLOOKUP(GW518,GW501:HI511,13,0)</f>
        <v>475</v>
      </c>
      <c r="GX519" s="2250">
        <f>VLOOKUP(GX518,GX501:HI511,12,0)</f>
        <v>475</v>
      </c>
      <c r="GY519" s="2250">
        <f>VLOOKUP(GY518,GY501:HI511,11,0)</f>
        <v>475</v>
      </c>
      <c r="GZ519" s="2250">
        <f>VLOOKUP(GZ518,GZ501:HI511,10,0)</f>
        <v>475</v>
      </c>
      <c r="HA519" s="2250">
        <f>VLOOKUP(HA518,HA501:HI511,9,0)</f>
        <v>475</v>
      </c>
      <c r="HB519" s="2250">
        <f>VLOOKUP(HB518,HB501:HI511,8,0)</f>
        <v>475</v>
      </c>
      <c r="HC519" s="2250">
        <f>VLOOKUP(HC518,HC501:HI511,7,0)</f>
        <v>475</v>
      </c>
      <c r="HD519" s="2250">
        <f>VLOOKUP(HD518,HD501:HI511,6,0)</f>
        <v>475</v>
      </c>
      <c r="HE519" s="2250">
        <f>VLOOKUP(HE518,HE501:HI511,5,0)</f>
        <v>475</v>
      </c>
      <c r="HF519" s="2250">
        <f>VLOOKUP(HF518,HF501:HI511,4,0)</f>
        <v>475</v>
      </c>
      <c r="HG519" s="2250">
        <f>VLOOKUP(HG518,HG501:HI511,3,0)</f>
        <v>475</v>
      </c>
      <c r="HH519" s="2250">
        <f>VLOOKUP(HH518,HH501:HI511,2,0)</f>
        <v>475</v>
      </c>
      <c r="HI519" s="2275"/>
      <c r="HJ519" s="2275"/>
      <c r="HK519" s="2275"/>
      <c r="HL519" s="2275"/>
      <c r="HM519" s="2275"/>
      <c r="HN519" s="2275"/>
      <c r="HO519" s="2275"/>
      <c r="HP519" s="2275"/>
      <c r="HQ519" s="2275"/>
      <c r="HR519" s="2275"/>
      <c r="HS519" s="2275"/>
      <c r="HT519" s="2250"/>
      <c r="HU519" s="2250"/>
      <c r="HV519" s="2250"/>
      <c r="HW519" s="2250"/>
      <c r="HX519" s="2250"/>
      <c r="HY519" s="2250"/>
      <c r="HZ519" s="2250"/>
      <c r="IA519" s="2250"/>
      <c r="IB519" s="2250"/>
      <c r="IC519" s="2250"/>
      <c r="ID519" s="2250"/>
      <c r="IE519" s="2250"/>
      <c r="IF519" s="2250"/>
      <c r="IG519" s="2250"/>
      <c r="IH519" s="2250"/>
      <c r="II519" s="2250"/>
      <c r="IJ519" s="2250"/>
      <c r="IK519" s="53"/>
      <c r="IL519" s="53"/>
      <c r="IN519" s="277"/>
      <c r="IO519" s="277"/>
    </row>
    <row r="520" spans="2:249" ht="21.95" customHeight="1">
      <c r="B520" s="2275"/>
      <c r="C520" s="2275"/>
      <c r="D520" s="2275"/>
      <c r="E520" s="2275"/>
      <c r="F520" s="2275"/>
      <c r="G520" s="2275"/>
      <c r="H520" s="2275"/>
      <c r="I520" s="2275"/>
      <c r="J520" s="2275"/>
      <c r="K520" s="2275"/>
      <c r="L520" s="2275"/>
      <c r="M520" s="2275"/>
      <c r="N520" s="2275"/>
      <c r="O520" s="2275"/>
      <c r="P520" s="2275"/>
      <c r="Q520" s="2275"/>
      <c r="R520" s="2275"/>
      <c r="S520" s="2275"/>
      <c r="T520" s="2275"/>
      <c r="U520" s="2275"/>
      <c r="V520" s="2275"/>
      <c r="W520" s="2275"/>
      <c r="X520" s="2275"/>
      <c r="Y520" s="2275"/>
      <c r="Z520" s="2275"/>
      <c r="AA520" s="2275"/>
      <c r="AB520" s="2275"/>
      <c r="AC520" s="2275"/>
      <c r="AD520" s="2275"/>
      <c r="AE520" s="2275"/>
      <c r="AF520" s="2275" t="s">
        <v>655</v>
      </c>
      <c r="AG520" s="2275">
        <f>AG454</f>
        <v>68.3</v>
      </c>
      <c r="AH520" s="2275"/>
      <c r="AI520" s="2275"/>
      <c r="AJ520" s="2275"/>
      <c r="AK520" s="2275"/>
      <c r="AL520" s="2275"/>
      <c r="AM520" s="2275"/>
      <c r="AN520" s="2275"/>
      <c r="AO520" s="2275"/>
      <c r="AP520" s="2250"/>
      <c r="AQ520" s="2250"/>
      <c r="AR520" s="2250"/>
      <c r="AS520" s="2250"/>
      <c r="AT520" s="2250"/>
      <c r="AU520" s="2250"/>
      <c r="AV520" s="2250"/>
      <c r="AW520" s="2250"/>
      <c r="AX520" s="2250"/>
      <c r="AY520" s="2250"/>
      <c r="AZ520" s="2250"/>
      <c r="BA520" s="2250"/>
      <c r="BB520" s="2250"/>
      <c r="BC520" s="2250"/>
      <c r="BD520" s="2250"/>
      <c r="BE520" s="2250"/>
      <c r="BF520" s="2276"/>
      <c r="BG520" s="2276"/>
      <c r="BH520" s="2250"/>
      <c r="BI520" s="2275"/>
      <c r="BJ520" s="2275"/>
      <c r="BK520" s="2275"/>
      <c r="BL520" s="2275"/>
      <c r="BM520" s="2275"/>
      <c r="BN520" s="2275"/>
      <c r="BO520" s="2275"/>
      <c r="BP520" s="2275"/>
      <c r="BQ520" s="2275"/>
      <c r="BR520" s="2275"/>
      <c r="BS520" s="2275"/>
      <c r="BT520" s="2275"/>
      <c r="BU520" s="2275"/>
      <c r="BV520" s="2275"/>
      <c r="BW520" s="2275"/>
      <c r="BX520" s="2275"/>
      <c r="BY520" s="2275"/>
      <c r="BZ520" s="2275"/>
      <c r="CA520" s="2275"/>
      <c r="CB520" s="2275"/>
      <c r="CC520" s="2275"/>
      <c r="CD520" s="2275"/>
      <c r="CE520" s="2275"/>
      <c r="CF520" s="2275"/>
      <c r="CG520" s="2275"/>
      <c r="CH520" s="2275"/>
      <c r="CI520" s="2275"/>
      <c r="CJ520" s="2275"/>
      <c r="CK520" s="2275"/>
      <c r="CL520" s="2275"/>
      <c r="CM520" s="2275"/>
      <c r="CN520" s="2275" t="s">
        <v>655</v>
      </c>
      <c r="CO520" s="2275">
        <f>CO454</f>
        <v>73.7</v>
      </c>
      <c r="CP520" s="2275"/>
      <c r="CQ520" s="2275"/>
      <c r="CR520" s="2275"/>
      <c r="CS520" s="2275"/>
      <c r="CT520" s="2275"/>
      <c r="CU520" s="2275"/>
      <c r="CV520" s="2275"/>
      <c r="CW520" s="2275"/>
      <c r="CX520" s="2250"/>
      <c r="CY520" s="2250"/>
      <c r="CZ520" s="2250"/>
      <c r="DA520" s="2250"/>
      <c r="DB520" s="2250"/>
      <c r="DC520" s="2250"/>
      <c r="DD520" s="2250"/>
      <c r="DE520" s="2250"/>
      <c r="DF520" s="2250"/>
      <c r="DG520" s="2250"/>
      <c r="DH520" s="2250"/>
      <c r="DI520" s="2250"/>
      <c r="DJ520" s="2250"/>
      <c r="DK520" s="2250"/>
      <c r="DL520" s="2250"/>
      <c r="DM520" s="2250"/>
      <c r="DN520" s="2250"/>
      <c r="DO520" s="53"/>
      <c r="DP520" s="53"/>
      <c r="DS520" s="277"/>
      <c r="DW520" s="1"/>
      <c r="DX520" s="2275"/>
      <c r="DY520" s="2275"/>
      <c r="DZ520" s="2275"/>
      <c r="EA520" s="2275"/>
      <c r="EB520" s="2275"/>
      <c r="EC520" s="2275"/>
      <c r="ED520" s="2275"/>
      <c r="EE520" s="2275"/>
      <c r="EF520" s="2275"/>
      <c r="EG520" s="2275"/>
      <c r="EH520" s="2275"/>
      <c r="EI520" s="2275"/>
      <c r="EJ520" s="2275"/>
      <c r="EK520" s="2275"/>
      <c r="EL520" s="2275"/>
      <c r="EM520" s="2275"/>
      <c r="EN520" s="2275"/>
      <c r="EO520" s="2275"/>
      <c r="EP520" s="2275"/>
      <c r="EQ520" s="2275"/>
      <c r="ER520" s="2275"/>
      <c r="ES520" s="2275"/>
      <c r="ET520" s="2275"/>
      <c r="EU520" s="2275"/>
      <c r="EV520" s="2275"/>
      <c r="EW520" s="2275"/>
      <c r="EX520" s="2275"/>
      <c r="EY520" s="2275"/>
      <c r="EZ520" s="2275"/>
      <c r="FA520" s="2275"/>
      <c r="FB520" s="2275" t="s">
        <v>655</v>
      </c>
      <c r="FC520" s="2275">
        <f>FC454</f>
        <v>43.9</v>
      </c>
      <c r="FD520" s="2275"/>
      <c r="FE520" s="2275"/>
      <c r="FF520" s="2275"/>
      <c r="FG520" s="2275"/>
      <c r="FH520" s="2275"/>
      <c r="FI520" s="2275"/>
      <c r="FJ520" s="2275"/>
      <c r="FK520" s="2275"/>
      <c r="FL520" s="2250"/>
      <c r="FM520" s="2250"/>
      <c r="FN520" s="2250"/>
      <c r="FO520" s="2250"/>
      <c r="FP520" s="2250"/>
      <c r="FQ520" s="2250"/>
      <c r="FR520" s="2250"/>
      <c r="FS520" s="2250"/>
      <c r="FT520" s="2250"/>
      <c r="FU520" s="2250"/>
      <c r="FV520" s="2250"/>
      <c r="FW520" s="2250"/>
      <c r="FX520" s="2250"/>
      <c r="FY520" s="2250"/>
      <c r="FZ520" s="2250"/>
      <c r="GA520" s="2250"/>
      <c r="GB520" s="2276"/>
      <c r="GC520" s="2276"/>
      <c r="GD520" s="2250"/>
      <c r="GE520" s="2275"/>
      <c r="GF520" s="2275"/>
      <c r="GG520" s="2275"/>
      <c r="GH520" s="2275"/>
      <c r="GI520" s="2275"/>
      <c r="GJ520" s="2275"/>
      <c r="GK520" s="2275"/>
      <c r="GL520" s="2275"/>
      <c r="GM520" s="2275"/>
      <c r="GN520" s="2275"/>
      <c r="GO520" s="2275"/>
      <c r="GP520" s="2275"/>
      <c r="GQ520" s="2275"/>
      <c r="GR520" s="2275"/>
      <c r="GS520" s="2275"/>
      <c r="GT520" s="2275"/>
      <c r="GU520" s="2275"/>
      <c r="GV520" s="2275"/>
      <c r="GW520" s="2275"/>
      <c r="GX520" s="2275"/>
      <c r="GY520" s="2275"/>
      <c r="GZ520" s="2275"/>
      <c r="HA520" s="2275"/>
      <c r="HB520" s="2275"/>
      <c r="HC520" s="2275"/>
      <c r="HD520" s="2275"/>
      <c r="HE520" s="2275"/>
      <c r="HF520" s="2275"/>
      <c r="HG520" s="2275"/>
      <c r="HH520" s="2275"/>
      <c r="HI520" s="2275"/>
      <c r="HJ520" s="2275" t="s">
        <v>655</v>
      </c>
      <c r="HK520" s="2275">
        <f>HK454</f>
        <v>48.8</v>
      </c>
      <c r="HL520" s="2275"/>
      <c r="HM520" s="2275"/>
      <c r="HN520" s="2275"/>
      <c r="HO520" s="2275"/>
      <c r="HP520" s="2275"/>
      <c r="HQ520" s="2275"/>
      <c r="HR520" s="2275"/>
      <c r="HS520" s="2275"/>
      <c r="HT520" s="2250"/>
      <c r="HU520" s="2250"/>
      <c r="HV520" s="2250"/>
      <c r="HW520" s="2250"/>
      <c r="HX520" s="2250"/>
      <c r="HY520" s="2250"/>
      <c r="HZ520" s="2250"/>
      <c r="IA520" s="2250"/>
      <c r="IB520" s="2250"/>
      <c r="IC520" s="2250"/>
      <c r="ID520" s="2250"/>
      <c r="IE520" s="2250"/>
      <c r="IF520" s="2250"/>
      <c r="IG520" s="2250"/>
      <c r="IH520" s="2250"/>
      <c r="II520" s="2250"/>
      <c r="IJ520" s="2250"/>
      <c r="IK520" s="53"/>
      <c r="IL520" s="53"/>
      <c r="IN520" s="277"/>
      <c r="IO520" s="277"/>
    </row>
    <row r="521" spans="2:249" ht="21.95" customHeight="1">
      <c r="B521" s="2275"/>
      <c r="C521" s="2333" t="s">
        <v>736</v>
      </c>
      <c r="D521" s="2333">
        <v>223.8</v>
      </c>
      <c r="E521" s="2333">
        <v>206.43</v>
      </c>
      <c r="F521" s="2333">
        <v>190.4</v>
      </c>
      <c r="G521" s="2333">
        <v>177.81</v>
      </c>
      <c r="H521" s="2333">
        <v>165.9</v>
      </c>
      <c r="I521" s="2333">
        <v>162.68</v>
      </c>
      <c r="J521" s="2333">
        <v>151.30000000000001</v>
      </c>
      <c r="K521" s="2333">
        <v>140.1</v>
      </c>
      <c r="L521" s="2333">
        <v>129.80000000000001</v>
      </c>
      <c r="M521" s="2333">
        <v>120.7</v>
      </c>
      <c r="N521" s="2333">
        <v>107.9</v>
      </c>
      <c r="O521" s="2333">
        <v>97.1</v>
      </c>
      <c r="P521" s="2333">
        <v>92.9</v>
      </c>
      <c r="Q521" s="2333">
        <v>88.2</v>
      </c>
      <c r="R521" s="2333">
        <v>83.3</v>
      </c>
      <c r="S521" s="2333">
        <v>78.2</v>
      </c>
      <c r="T521" s="2333">
        <v>73.7</v>
      </c>
      <c r="U521" s="2333">
        <v>68.3</v>
      </c>
      <c r="V521" s="2333">
        <v>63.4</v>
      </c>
      <c r="W521" s="2333">
        <v>58.1</v>
      </c>
      <c r="X521" s="2333">
        <v>53.7</v>
      </c>
      <c r="Y521" s="2333">
        <v>48.8</v>
      </c>
      <c r="Z521" s="2333">
        <v>43.9</v>
      </c>
      <c r="AA521" s="2333">
        <v>38.799999999999997</v>
      </c>
      <c r="AB521" s="2333">
        <v>34.200000000000003</v>
      </c>
      <c r="AC521" s="2333">
        <v>29.3</v>
      </c>
      <c r="AD521" s="2333">
        <v>24.5</v>
      </c>
      <c r="AE521" s="2333" t="s">
        <v>736</v>
      </c>
      <c r="AF521" s="2275" t="s">
        <v>738</v>
      </c>
      <c r="AG521" s="2275">
        <f>AG455</f>
        <v>0.75631178540277322</v>
      </c>
      <c r="AH521" s="2275"/>
      <c r="AI521" s="2275"/>
      <c r="AJ521" s="2275"/>
      <c r="AK521" s="2275"/>
      <c r="AL521" s="2275"/>
      <c r="AM521" s="2275"/>
      <c r="AN521" s="2275"/>
      <c r="AO521" s="2275"/>
      <c r="AP521" s="2250"/>
      <c r="AQ521" s="2250"/>
      <c r="AR521" s="2250"/>
      <c r="AS521" s="2250"/>
      <c r="AT521" s="2250"/>
      <c r="AU521" s="2250"/>
      <c r="AV521" s="2250"/>
      <c r="AW521" s="2250"/>
      <c r="AX521" s="2250"/>
      <c r="AY521" s="2250"/>
      <c r="AZ521" s="2250"/>
      <c r="BA521" s="2250"/>
      <c r="BB521" s="2250"/>
      <c r="BC521" s="2250"/>
      <c r="BD521" s="2250"/>
      <c r="BE521" s="2250"/>
      <c r="BF521" s="2276"/>
      <c r="BG521" s="2276"/>
      <c r="BH521" s="2250"/>
      <c r="BI521" s="2275"/>
      <c r="BJ521" s="2275"/>
      <c r="BK521" s="2333" t="s">
        <v>736</v>
      </c>
      <c r="BL521" s="2333">
        <v>223.8</v>
      </c>
      <c r="BM521" s="2333">
        <v>206.43</v>
      </c>
      <c r="BN521" s="2333">
        <v>190.4</v>
      </c>
      <c r="BO521" s="2333">
        <v>177.81</v>
      </c>
      <c r="BP521" s="2333">
        <v>165.9</v>
      </c>
      <c r="BQ521" s="2333">
        <v>162.68</v>
      </c>
      <c r="BR521" s="2333">
        <v>151.30000000000001</v>
      </c>
      <c r="BS521" s="2333">
        <v>140.1</v>
      </c>
      <c r="BT521" s="2333">
        <v>129.80000000000001</v>
      </c>
      <c r="BU521" s="2333">
        <v>120.7</v>
      </c>
      <c r="BV521" s="2333">
        <v>107.9</v>
      </c>
      <c r="BW521" s="2333">
        <v>97.1</v>
      </c>
      <c r="BX521" s="2333">
        <v>92.9</v>
      </c>
      <c r="BY521" s="2333">
        <v>88.2</v>
      </c>
      <c r="BZ521" s="2333">
        <v>83.3</v>
      </c>
      <c r="CA521" s="2333">
        <v>78.2</v>
      </c>
      <c r="CB521" s="2333">
        <v>73.7</v>
      </c>
      <c r="CC521" s="2333">
        <v>68.3</v>
      </c>
      <c r="CD521" s="2333">
        <v>63.4</v>
      </c>
      <c r="CE521" s="2333">
        <v>58.1</v>
      </c>
      <c r="CF521" s="2333">
        <v>53.7</v>
      </c>
      <c r="CG521" s="2333">
        <v>48.8</v>
      </c>
      <c r="CH521" s="2333">
        <v>43.9</v>
      </c>
      <c r="CI521" s="2333">
        <v>38.799999999999997</v>
      </c>
      <c r="CJ521" s="2333">
        <v>34.200000000000003</v>
      </c>
      <c r="CK521" s="2333">
        <v>29.3</v>
      </c>
      <c r="CL521" s="2333">
        <v>24.5</v>
      </c>
      <c r="CM521" s="2333" t="s">
        <v>736</v>
      </c>
      <c r="CN521" s="2275" t="s">
        <v>738</v>
      </c>
      <c r="CO521" s="2275">
        <f>CO455</f>
        <v>0.75631178540277322</v>
      </c>
      <c r="CP521" s="2275"/>
      <c r="CQ521" s="2275"/>
      <c r="CR521" s="2275"/>
      <c r="CS521" s="2275"/>
      <c r="CT521" s="2275"/>
      <c r="CU521" s="2275"/>
      <c r="CV521" s="2275"/>
      <c r="CW521" s="2275"/>
      <c r="CX521" s="2250"/>
      <c r="CY521" s="2250"/>
      <c r="CZ521" s="2250"/>
      <c r="DA521" s="2250"/>
      <c r="DB521" s="2250"/>
      <c r="DC521" s="2250"/>
      <c r="DD521" s="2250"/>
      <c r="DE521" s="2250"/>
      <c r="DF521" s="2250"/>
      <c r="DG521" s="2250"/>
      <c r="DH521" s="2250"/>
      <c r="DI521" s="2250"/>
      <c r="DJ521" s="2250"/>
      <c r="DK521" s="2250"/>
      <c r="DL521" s="2250"/>
      <c r="DM521" s="2250"/>
      <c r="DN521" s="2250"/>
      <c r="DO521" s="53"/>
      <c r="DP521" s="53"/>
      <c r="DS521" s="277"/>
      <c r="DW521" s="1"/>
      <c r="DX521" s="2275"/>
      <c r="DY521" s="2333" t="s">
        <v>736</v>
      </c>
      <c r="DZ521" s="2333">
        <v>223.8</v>
      </c>
      <c r="EA521" s="2333">
        <v>206.43</v>
      </c>
      <c r="EB521" s="2333">
        <v>190.4</v>
      </c>
      <c r="EC521" s="2333">
        <v>177.81</v>
      </c>
      <c r="ED521" s="2333">
        <v>165.9</v>
      </c>
      <c r="EE521" s="2333">
        <v>162.68</v>
      </c>
      <c r="EF521" s="2333">
        <v>151.30000000000001</v>
      </c>
      <c r="EG521" s="2333">
        <v>140.1</v>
      </c>
      <c r="EH521" s="2333">
        <v>129.80000000000001</v>
      </c>
      <c r="EI521" s="2333">
        <v>120.7</v>
      </c>
      <c r="EJ521" s="2333">
        <v>107.9</v>
      </c>
      <c r="EK521" s="2333">
        <v>97.1</v>
      </c>
      <c r="EL521" s="2333">
        <v>92.9</v>
      </c>
      <c r="EM521" s="2333">
        <v>88.2</v>
      </c>
      <c r="EN521" s="2333">
        <v>83.3</v>
      </c>
      <c r="EO521" s="2333">
        <v>78.2</v>
      </c>
      <c r="EP521" s="2333">
        <v>73.7</v>
      </c>
      <c r="EQ521" s="2333">
        <v>68.3</v>
      </c>
      <c r="ER521" s="2333">
        <v>63.4</v>
      </c>
      <c r="ES521" s="2333">
        <v>58.1</v>
      </c>
      <c r="ET521" s="2333">
        <v>53.7</v>
      </c>
      <c r="EU521" s="2333">
        <v>48.8</v>
      </c>
      <c r="EV521" s="2333">
        <v>43.9</v>
      </c>
      <c r="EW521" s="2333">
        <v>38.799999999999997</v>
      </c>
      <c r="EX521" s="2333">
        <v>34.200000000000003</v>
      </c>
      <c r="EY521" s="2333">
        <v>29.3</v>
      </c>
      <c r="EZ521" s="2333">
        <v>24.5</v>
      </c>
      <c r="FA521" s="2333" t="s">
        <v>736</v>
      </c>
      <c r="FB521" s="2275" t="s">
        <v>738</v>
      </c>
      <c r="FC521" s="2275">
        <f>FC455</f>
        <v>1.3354563802212776</v>
      </c>
      <c r="FD521" s="2275"/>
      <c r="FE521" s="2275"/>
      <c r="FF521" s="2275"/>
      <c r="FG521" s="2275"/>
      <c r="FH521" s="2275"/>
      <c r="FI521" s="2275"/>
      <c r="FJ521" s="2275"/>
      <c r="FK521" s="2275"/>
      <c r="FL521" s="2250"/>
      <c r="FM521" s="2250"/>
      <c r="FN521" s="2250"/>
      <c r="FO521" s="2250"/>
      <c r="FP521" s="2250"/>
      <c r="FQ521" s="2250"/>
      <c r="FR521" s="2250"/>
      <c r="FS521" s="2250"/>
      <c r="FT521" s="2250"/>
      <c r="FU521" s="2250"/>
      <c r="FV521" s="2250"/>
      <c r="FW521" s="2250"/>
      <c r="FX521" s="2250"/>
      <c r="FY521" s="2250"/>
      <c r="FZ521" s="2250"/>
      <c r="GA521" s="2250"/>
      <c r="GB521" s="2276"/>
      <c r="GC521" s="2276"/>
      <c r="GD521" s="2250"/>
      <c r="GE521" s="2275"/>
      <c r="GF521" s="2275"/>
      <c r="GG521" s="2333" t="s">
        <v>736</v>
      </c>
      <c r="GH521" s="2333">
        <v>223.8</v>
      </c>
      <c r="GI521" s="2333">
        <v>206.43</v>
      </c>
      <c r="GJ521" s="2333">
        <v>190.4</v>
      </c>
      <c r="GK521" s="2333">
        <v>177.81</v>
      </c>
      <c r="GL521" s="2333">
        <v>165.9</v>
      </c>
      <c r="GM521" s="2333">
        <v>162.68</v>
      </c>
      <c r="GN521" s="2333">
        <v>151.30000000000001</v>
      </c>
      <c r="GO521" s="2333">
        <v>140.1</v>
      </c>
      <c r="GP521" s="2333">
        <v>129.80000000000001</v>
      </c>
      <c r="GQ521" s="2333">
        <v>120.7</v>
      </c>
      <c r="GR521" s="2333">
        <v>107.9</v>
      </c>
      <c r="GS521" s="2333">
        <v>97.1</v>
      </c>
      <c r="GT521" s="2333">
        <v>92.9</v>
      </c>
      <c r="GU521" s="2333">
        <v>88.2</v>
      </c>
      <c r="GV521" s="2333">
        <v>83.3</v>
      </c>
      <c r="GW521" s="2333">
        <v>78.2</v>
      </c>
      <c r="GX521" s="2333">
        <v>73.7</v>
      </c>
      <c r="GY521" s="2333">
        <v>68.3</v>
      </c>
      <c r="GZ521" s="2333">
        <v>63.4</v>
      </c>
      <c r="HA521" s="2333">
        <v>58.1</v>
      </c>
      <c r="HB521" s="2333">
        <v>53.7</v>
      </c>
      <c r="HC521" s="2333">
        <v>48.8</v>
      </c>
      <c r="HD521" s="2333">
        <v>43.9</v>
      </c>
      <c r="HE521" s="2333">
        <v>38.799999999999997</v>
      </c>
      <c r="HF521" s="2333">
        <v>34.200000000000003</v>
      </c>
      <c r="HG521" s="2333">
        <v>29.3</v>
      </c>
      <c r="HH521" s="2333">
        <v>24.5</v>
      </c>
      <c r="HI521" s="2333" t="s">
        <v>736</v>
      </c>
      <c r="HJ521" s="2275" t="s">
        <v>738</v>
      </c>
      <c r="HK521" s="2275">
        <f>HK455</f>
        <v>1.3354563802212776</v>
      </c>
      <c r="HL521" s="2275"/>
      <c r="HM521" s="2275"/>
      <c r="HN521" s="2275"/>
      <c r="HO521" s="2275"/>
      <c r="HP521" s="2275"/>
      <c r="HQ521" s="2275"/>
      <c r="HR521" s="2275"/>
      <c r="HS521" s="2275"/>
      <c r="HT521" s="2250"/>
      <c r="HU521" s="2250"/>
      <c r="HV521" s="2250"/>
      <c r="HW521" s="2250"/>
      <c r="HX521" s="2250"/>
      <c r="HY521" s="2250"/>
      <c r="HZ521" s="2250"/>
      <c r="IA521" s="2250"/>
      <c r="IB521" s="2250"/>
      <c r="IC521" s="2250"/>
      <c r="ID521" s="2250"/>
      <c r="IE521" s="2250"/>
      <c r="IF521" s="2250"/>
      <c r="IG521" s="2250"/>
      <c r="IH521" s="2250"/>
      <c r="II521" s="2250"/>
      <c r="IJ521" s="2250"/>
      <c r="IK521" s="53"/>
      <c r="IL521" s="53"/>
      <c r="IN521" s="277"/>
      <c r="IO521" s="277"/>
    </row>
    <row r="522" spans="2:249" ht="21.95" customHeight="1">
      <c r="B522" s="2275"/>
      <c r="C522" s="2333"/>
      <c r="D522" s="2344">
        <v>0</v>
      </c>
      <c r="E522" s="2344">
        <v>0</v>
      </c>
      <c r="F522" s="2344">
        <v>0</v>
      </c>
      <c r="G522" s="2344">
        <v>0</v>
      </c>
      <c r="H522" s="2344">
        <v>0</v>
      </c>
      <c r="I522" s="2344">
        <v>0</v>
      </c>
      <c r="J522" s="2344">
        <v>0</v>
      </c>
      <c r="K522" s="2344">
        <v>0</v>
      </c>
      <c r="L522" s="2344">
        <v>0</v>
      </c>
      <c r="M522" s="2344">
        <v>0</v>
      </c>
      <c r="N522" s="2344">
        <v>0</v>
      </c>
      <c r="O522" s="2344">
        <v>0</v>
      </c>
      <c r="P522" s="2344">
        <v>0</v>
      </c>
      <c r="Q522" s="2344">
        <v>0</v>
      </c>
      <c r="R522" s="2344">
        <v>0</v>
      </c>
      <c r="S522" s="2344">
        <v>0</v>
      </c>
      <c r="T522" s="2344">
        <v>0</v>
      </c>
      <c r="U522" s="2344">
        <v>0</v>
      </c>
      <c r="V522" s="2344">
        <v>0</v>
      </c>
      <c r="W522" s="2344">
        <v>0</v>
      </c>
      <c r="X522" s="2344">
        <v>0</v>
      </c>
      <c r="Y522" s="2344">
        <v>0</v>
      </c>
      <c r="Z522" s="2344">
        <v>0</v>
      </c>
      <c r="AA522" s="2344">
        <v>0</v>
      </c>
      <c r="AB522" s="2344">
        <v>0</v>
      </c>
      <c r="AC522" s="2344">
        <v>0</v>
      </c>
      <c r="AD522" s="2344">
        <v>0</v>
      </c>
      <c r="AE522" s="2333"/>
      <c r="AF522" s="2275" t="s">
        <v>682</v>
      </c>
      <c r="AG522" s="2275">
        <f>HLOOKUP(AG520,D521:AD533,1,0)</f>
        <v>68.3</v>
      </c>
      <c r="AH522" s="2275" t="s">
        <v>706</v>
      </c>
      <c r="AI522" s="2275" t="s">
        <v>682</v>
      </c>
      <c r="AJ522" s="2275"/>
      <c r="AK522" s="2275"/>
      <c r="AL522" s="2275"/>
      <c r="AM522" s="2275"/>
      <c r="AN522" s="2275"/>
      <c r="AO522" s="2275"/>
      <c r="AP522" s="2250"/>
      <c r="AQ522" s="2250"/>
      <c r="AR522" s="2250"/>
      <c r="AS522" s="2250"/>
      <c r="AT522" s="2250"/>
      <c r="AU522" s="2250"/>
      <c r="AV522" s="2250"/>
      <c r="AW522" s="2250"/>
      <c r="AX522" s="2250"/>
      <c r="AY522" s="2250"/>
      <c r="AZ522" s="2250"/>
      <c r="BA522" s="2250"/>
      <c r="BB522" s="2250"/>
      <c r="BC522" s="2250"/>
      <c r="BD522" s="2250"/>
      <c r="BE522" s="2250"/>
      <c r="BF522" s="2276"/>
      <c r="BG522" s="2276"/>
      <c r="BH522" s="2250"/>
      <c r="BI522" s="2275"/>
      <c r="BJ522" s="2275"/>
      <c r="BK522" s="2333"/>
      <c r="BL522" s="2344">
        <v>0</v>
      </c>
      <c r="BM522" s="2344">
        <v>0</v>
      </c>
      <c r="BN522" s="2344">
        <v>0</v>
      </c>
      <c r="BO522" s="2344">
        <v>0</v>
      </c>
      <c r="BP522" s="2344">
        <v>0</v>
      </c>
      <c r="BQ522" s="2344">
        <v>0</v>
      </c>
      <c r="BR522" s="2344">
        <v>0</v>
      </c>
      <c r="BS522" s="2344">
        <v>0</v>
      </c>
      <c r="BT522" s="2344">
        <v>0</v>
      </c>
      <c r="BU522" s="2344">
        <v>0</v>
      </c>
      <c r="BV522" s="2344">
        <v>0</v>
      </c>
      <c r="BW522" s="2344">
        <v>0</v>
      </c>
      <c r="BX522" s="2344">
        <v>0</v>
      </c>
      <c r="BY522" s="2344">
        <v>0</v>
      </c>
      <c r="BZ522" s="2344">
        <v>0</v>
      </c>
      <c r="CA522" s="2344">
        <v>0</v>
      </c>
      <c r="CB522" s="2344">
        <v>0</v>
      </c>
      <c r="CC522" s="2344">
        <v>0</v>
      </c>
      <c r="CD522" s="2344">
        <v>0</v>
      </c>
      <c r="CE522" s="2344">
        <v>0</v>
      </c>
      <c r="CF522" s="2344">
        <v>0</v>
      </c>
      <c r="CG522" s="2344">
        <v>0</v>
      </c>
      <c r="CH522" s="2344">
        <v>0</v>
      </c>
      <c r="CI522" s="2344">
        <v>0</v>
      </c>
      <c r="CJ522" s="2344">
        <v>0</v>
      </c>
      <c r="CK522" s="2344">
        <v>0</v>
      </c>
      <c r="CL522" s="2344">
        <v>0</v>
      </c>
      <c r="CM522" s="2333"/>
      <c r="CN522" s="2275" t="s">
        <v>682</v>
      </c>
      <c r="CO522" s="2275">
        <f>HLOOKUP(CO520,BL521:CL533,1,0)</f>
        <v>73.7</v>
      </c>
      <c r="CP522" s="2275" t="s">
        <v>706</v>
      </c>
      <c r="CQ522" s="2275" t="s">
        <v>682</v>
      </c>
      <c r="CR522" s="2275"/>
      <c r="CS522" s="2275"/>
      <c r="CT522" s="2275"/>
      <c r="CU522" s="2275"/>
      <c r="CV522" s="2275"/>
      <c r="CW522" s="2275"/>
      <c r="CX522" s="2250"/>
      <c r="CY522" s="2250"/>
      <c r="CZ522" s="2250"/>
      <c r="DA522" s="2250"/>
      <c r="DB522" s="2250"/>
      <c r="DC522" s="2250"/>
      <c r="DD522" s="2250"/>
      <c r="DE522" s="2250"/>
      <c r="DF522" s="2250"/>
      <c r="DG522" s="2250"/>
      <c r="DH522" s="2250"/>
      <c r="DI522" s="2250"/>
      <c r="DJ522" s="2250"/>
      <c r="DK522" s="2250"/>
      <c r="DL522" s="2250"/>
      <c r="DM522" s="2250"/>
      <c r="DN522" s="2250"/>
      <c r="DO522" s="53"/>
      <c r="DP522" s="53"/>
      <c r="DS522" s="277"/>
      <c r="DW522" s="1"/>
      <c r="DX522" s="2275"/>
      <c r="DY522" s="2333"/>
      <c r="DZ522" s="2344">
        <v>0</v>
      </c>
      <c r="EA522" s="2344">
        <v>0</v>
      </c>
      <c r="EB522" s="2344">
        <v>0</v>
      </c>
      <c r="EC522" s="2344">
        <v>0</v>
      </c>
      <c r="ED522" s="2344">
        <v>0</v>
      </c>
      <c r="EE522" s="2344">
        <v>0</v>
      </c>
      <c r="EF522" s="2344">
        <v>0</v>
      </c>
      <c r="EG522" s="2344">
        <v>0</v>
      </c>
      <c r="EH522" s="2344">
        <v>0</v>
      </c>
      <c r="EI522" s="2344">
        <v>0</v>
      </c>
      <c r="EJ522" s="2344">
        <v>0</v>
      </c>
      <c r="EK522" s="2344">
        <v>0</v>
      </c>
      <c r="EL522" s="2344">
        <v>0</v>
      </c>
      <c r="EM522" s="2344">
        <v>0</v>
      </c>
      <c r="EN522" s="2344">
        <v>0</v>
      </c>
      <c r="EO522" s="2344">
        <v>0</v>
      </c>
      <c r="EP522" s="2344">
        <v>0</v>
      </c>
      <c r="EQ522" s="2344">
        <v>0</v>
      </c>
      <c r="ER522" s="2344">
        <v>0</v>
      </c>
      <c r="ES522" s="2344">
        <v>0</v>
      </c>
      <c r="ET522" s="2344">
        <v>0</v>
      </c>
      <c r="EU522" s="2344">
        <v>0</v>
      </c>
      <c r="EV522" s="2344">
        <v>0</v>
      </c>
      <c r="EW522" s="2344">
        <v>0</v>
      </c>
      <c r="EX522" s="2344">
        <v>0</v>
      </c>
      <c r="EY522" s="2344">
        <v>0</v>
      </c>
      <c r="EZ522" s="2344">
        <v>0</v>
      </c>
      <c r="FA522" s="2333"/>
      <c r="FB522" s="2275" t="s">
        <v>682</v>
      </c>
      <c r="FC522" s="2275">
        <f>HLOOKUP(FC520,DZ521:EZ533,1,0)</f>
        <v>43.9</v>
      </c>
      <c r="FD522" s="2275" t="s">
        <v>706</v>
      </c>
      <c r="FE522" s="2275" t="s">
        <v>682</v>
      </c>
      <c r="FF522" s="2275"/>
      <c r="FG522" s="2275"/>
      <c r="FH522" s="2275"/>
      <c r="FI522" s="2275"/>
      <c r="FJ522" s="2275"/>
      <c r="FK522" s="2275"/>
      <c r="FL522" s="2250"/>
      <c r="FM522" s="2250"/>
      <c r="FN522" s="2250"/>
      <c r="FO522" s="2250"/>
      <c r="FP522" s="2250"/>
      <c r="FQ522" s="2250"/>
      <c r="FR522" s="2250"/>
      <c r="FS522" s="2250"/>
      <c r="FT522" s="2250"/>
      <c r="FU522" s="2250"/>
      <c r="FV522" s="2250"/>
      <c r="FW522" s="2250"/>
      <c r="FX522" s="2250"/>
      <c r="FY522" s="2250"/>
      <c r="FZ522" s="2250"/>
      <c r="GA522" s="2250"/>
      <c r="GB522" s="2276"/>
      <c r="GC522" s="2276"/>
      <c r="GD522" s="2250"/>
      <c r="GE522" s="2275"/>
      <c r="GF522" s="2275"/>
      <c r="GG522" s="2333"/>
      <c r="GH522" s="2344">
        <v>0</v>
      </c>
      <c r="GI522" s="2344">
        <v>0</v>
      </c>
      <c r="GJ522" s="2344">
        <v>0</v>
      </c>
      <c r="GK522" s="2344">
        <v>0</v>
      </c>
      <c r="GL522" s="2344">
        <v>0</v>
      </c>
      <c r="GM522" s="2344">
        <v>0</v>
      </c>
      <c r="GN522" s="2344">
        <v>0</v>
      </c>
      <c r="GO522" s="2344">
        <v>0</v>
      </c>
      <c r="GP522" s="2344">
        <v>0</v>
      </c>
      <c r="GQ522" s="2344">
        <v>0</v>
      </c>
      <c r="GR522" s="2344">
        <v>0</v>
      </c>
      <c r="GS522" s="2344">
        <v>0</v>
      </c>
      <c r="GT522" s="2344">
        <v>0</v>
      </c>
      <c r="GU522" s="2344">
        <v>0</v>
      </c>
      <c r="GV522" s="2344">
        <v>0</v>
      </c>
      <c r="GW522" s="2344">
        <v>0</v>
      </c>
      <c r="GX522" s="2344">
        <v>0</v>
      </c>
      <c r="GY522" s="2344">
        <v>0</v>
      </c>
      <c r="GZ522" s="2344">
        <v>0</v>
      </c>
      <c r="HA522" s="2344">
        <v>0</v>
      </c>
      <c r="HB522" s="2344">
        <v>0</v>
      </c>
      <c r="HC522" s="2344">
        <v>0</v>
      </c>
      <c r="HD522" s="2344">
        <v>0</v>
      </c>
      <c r="HE522" s="2344">
        <v>0</v>
      </c>
      <c r="HF522" s="2344">
        <v>0</v>
      </c>
      <c r="HG522" s="2344">
        <v>0</v>
      </c>
      <c r="HH522" s="2344">
        <v>0</v>
      </c>
      <c r="HI522" s="2333"/>
      <c r="HJ522" s="2275" t="s">
        <v>682</v>
      </c>
      <c r="HK522" s="2275">
        <f>HLOOKUP(HK520,GH521:HH533,1,0)</f>
        <v>48.8</v>
      </c>
      <c r="HL522" s="2275" t="s">
        <v>706</v>
      </c>
      <c r="HM522" s="2275" t="s">
        <v>682</v>
      </c>
      <c r="HN522" s="2275"/>
      <c r="HO522" s="2275"/>
      <c r="HP522" s="2275"/>
      <c r="HQ522" s="2275"/>
      <c r="HR522" s="2275"/>
      <c r="HS522" s="2275"/>
      <c r="HT522" s="2250"/>
      <c r="HU522" s="2250"/>
      <c r="HV522" s="2250"/>
      <c r="HW522" s="2250"/>
      <c r="HX522" s="2250"/>
      <c r="HY522" s="2250"/>
      <c r="HZ522" s="2250"/>
      <c r="IA522" s="2250"/>
      <c r="IB522" s="2250"/>
      <c r="IC522" s="2250"/>
      <c r="ID522" s="2250"/>
      <c r="IE522" s="2250"/>
      <c r="IF522" s="2250"/>
      <c r="IG522" s="2250"/>
      <c r="IH522" s="2250"/>
      <c r="II522" s="2250"/>
      <c r="IJ522" s="2250"/>
      <c r="IK522" s="53"/>
      <c r="IL522" s="53"/>
      <c r="IN522" s="277"/>
      <c r="IO522" s="277"/>
    </row>
    <row r="523" spans="2:249" ht="21.95" customHeight="1">
      <c r="B523" s="4670" t="s">
        <v>735</v>
      </c>
      <c r="C523" s="2345">
        <v>475</v>
      </c>
      <c r="D523" s="2346">
        <v>1.38</v>
      </c>
      <c r="E523" s="2346">
        <v>1.54</v>
      </c>
      <c r="F523" s="2346">
        <v>1.69</v>
      </c>
      <c r="G523" s="2346">
        <v>1.85</v>
      </c>
      <c r="H523" s="2346">
        <v>2.08</v>
      </c>
      <c r="I523" s="2346">
        <v>1.92</v>
      </c>
      <c r="J523" s="2346">
        <v>2.15</v>
      </c>
      <c r="K523" s="2346">
        <v>2.31</v>
      </c>
      <c r="L523" s="2346">
        <v>2.38</v>
      </c>
      <c r="M523" s="2346">
        <v>2.62</v>
      </c>
      <c r="N523" s="2346">
        <v>3.15</v>
      </c>
      <c r="O523" s="2346">
        <v>3.08</v>
      </c>
      <c r="P523" s="2346">
        <v>3.38</v>
      </c>
      <c r="Q523" s="2346">
        <v>3.38</v>
      </c>
      <c r="R523" s="2346">
        <v>3.69</v>
      </c>
      <c r="S523" s="2346">
        <v>3.85</v>
      </c>
      <c r="T523" s="2346">
        <v>4.08</v>
      </c>
      <c r="U523" s="2346">
        <v>4.38</v>
      </c>
      <c r="V523" s="2346">
        <v>4.6900000000000004</v>
      </c>
      <c r="W523" s="2346">
        <v>5.31</v>
      </c>
      <c r="X523" s="2346">
        <v>5.46</v>
      </c>
      <c r="Y523" s="2346">
        <v>6</v>
      </c>
      <c r="Z523" s="2346">
        <v>6.77</v>
      </c>
      <c r="AA523" s="2346">
        <v>7.54</v>
      </c>
      <c r="AB523" s="2346">
        <v>8</v>
      </c>
      <c r="AC523" s="2346">
        <v>9.23</v>
      </c>
      <c r="AD523" s="2346">
        <v>11</v>
      </c>
      <c r="AE523" s="2347">
        <v>475</v>
      </c>
      <c r="AF523" s="2275"/>
      <c r="AG523" s="4671"/>
      <c r="AH523" s="4671"/>
      <c r="AI523" s="4671"/>
      <c r="AJ523" s="2275"/>
      <c r="AK523" s="2275"/>
      <c r="AL523" s="2275"/>
      <c r="AM523" s="2275"/>
      <c r="AN523" s="2275"/>
      <c r="AO523" s="2275"/>
      <c r="AP523" s="2250"/>
      <c r="AQ523" s="2250"/>
      <c r="AR523" s="2250"/>
      <c r="AS523" s="2250"/>
      <c r="AT523" s="2250"/>
      <c r="AU523" s="2250"/>
      <c r="AV523" s="2250"/>
      <c r="AW523" s="2250"/>
      <c r="AX523" s="2250"/>
      <c r="AY523" s="2250"/>
      <c r="AZ523" s="2250"/>
      <c r="BA523" s="2250"/>
      <c r="BB523" s="2250"/>
      <c r="BC523" s="2250"/>
      <c r="BD523" s="2250"/>
      <c r="BE523" s="2250"/>
      <c r="BF523" s="2276"/>
      <c r="BG523" s="2276"/>
      <c r="BH523" s="2250"/>
      <c r="BI523" s="2275"/>
      <c r="BJ523" s="4670" t="s">
        <v>735</v>
      </c>
      <c r="BK523" s="2345">
        <v>475</v>
      </c>
      <c r="BL523" s="2346">
        <v>1.38</v>
      </c>
      <c r="BM523" s="2346">
        <v>1.54</v>
      </c>
      <c r="BN523" s="2346">
        <v>1.69</v>
      </c>
      <c r="BO523" s="2346">
        <v>1.85</v>
      </c>
      <c r="BP523" s="2346">
        <v>2.08</v>
      </c>
      <c r="BQ523" s="2346">
        <v>1.92</v>
      </c>
      <c r="BR523" s="2346">
        <v>2.15</v>
      </c>
      <c r="BS523" s="2346">
        <v>2.31</v>
      </c>
      <c r="BT523" s="2346">
        <v>2.38</v>
      </c>
      <c r="BU523" s="2346">
        <v>2.62</v>
      </c>
      <c r="BV523" s="2346">
        <v>3.15</v>
      </c>
      <c r="BW523" s="2346">
        <v>3.08</v>
      </c>
      <c r="BX523" s="2346">
        <v>3.38</v>
      </c>
      <c r="BY523" s="2346">
        <v>3.38</v>
      </c>
      <c r="BZ523" s="2346">
        <v>3.69</v>
      </c>
      <c r="CA523" s="2346">
        <v>3.85</v>
      </c>
      <c r="CB523" s="2346">
        <v>4.08</v>
      </c>
      <c r="CC523" s="2346">
        <v>4.38</v>
      </c>
      <c r="CD523" s="2346">
        <v>4.6900000000000004</v>
      </c>
      <c r="CE523" s="2346">
        <v>5.31</v>
      </c>
      <c r="CF523" s="2346">
        <v>5.46</v>
      </c>
      <c r="CG523" s="2346">
        <v>6</v>
      </c>
      <c r="CH523" s="2346">
        <v>6.77</v>
      </c>
      <c r="CI523" s="2346">
        <v>7.54</v>
      </c>
      <c r="CJ523" s="2346">
        <v>8</v>
      </c>
      <c r="CK523" s="2346">
        <v>9.23</v>
      </c>
      <c r="CL523" s="2346">
        <v>11</v>
      </c>
      <c r="CM523" s="2347">
        <v>475</v>
      </c>
      <c r="CN523" s="2275"/>
      <c r="CO523" s="4671"/>
      <c r="CP523" s="4671"/>
      <c r="CQ523" s="4671"/>
      <c r="CR523" s="2275"/>
      <c r="CS523" s="2275"/>
      <c r="CT523" s="2275"/>
      <c r="CU523" s="2275"/>
      <c r="CV523" s="2275"/>
      <c r="CW523" s="2275"/>
      <c r="CX523" s="2250"/>
      <c r="CY523" s="2250"/>
      <c r="CZ523" s="2250"/>
      <c r="DA523" s="2250"/>
      <c r="DB523" s="2250"/>
      <c r="DC523" s="2250"/>
      <c r="DD523" s="2250"/>
      <c r="DE523" s="2250"/>
      <c r="DF523" s="2250"/>
      <c r="DG523" s="2250"/>
      <c r="DH523" s="2250"/>
      <c r="DI523" s="2250"/>
      <c r="DJ523" s="2250"/>
      <c r="DK523" s="2250"/>
      <c r="DL523" s="2250"/>
      <c r="DM523" s="2250"/>
      <c r="DN523" s="2250"/>
      <c r="DO523" s="53"/>
      <c r="DP523" s="53"/>
      <c r="DS523" s="277"/>
      <c r="DW523" s="1"/>
      <c r="DX523" s="4670" t="s">
        <v>735</v>
      </c>
      <c r="DY523" s="2345">
        <v>475</v>
      </c>
      <c r="DZ523" s="2346">
        <v>1.38</v>
      </c>
      <c r="EA523" s="2346">
        <v>1.54</v>
      </c>
      <c r="EB523" s="2346">
        <v>1.69</v>
      </c>
      <c r="EC523" s="2346">
        <v>1.85</v>
      </c>
      <c r="ED523" s="2346">
        <v>2.08</v>
      </c>
      <c r="EE523" s="2346">
        <v>1.92</v>
      </c>
      <c r="EF523" s="2346">
        <v>2.15</v>
      </c>
      <c r="EG523" s="2346">
        <v>2.31</v>
      </c>
      <c r="EH523" s="2346">
        <v>2.38</v>
      </c>
      <c r="EI523" s="2346">
        <v>2.62</v>
      </c>
      <c r="EJ523" s="2346">
        <v>3.15</v>
      </c>
      <c r="EK523" s="2346">
        <v>3.08</v>
      </c>
      <c r="EL523" s="2346">
        <v>3.38</v>
      </c>
      <c r="EM523" s="2346">
        <v>3.38</v>
      </c>
      <c r="EN523" s="2346">
        <v>3.69</v>
      </c>
      <c r="EO523" s="2346">
        <v>3.85</v>
      </c>
      <c r="EP523" s="2346">
        <v>4.08</v>
      </c>
      <c r="EQ523" s="2346">
        <v>4.38</v>
      </c>
      <c r="ER523" s="2346">
        <v>4.6900000000000004</v>
      </c>
      <c r="ES523" s="2346">
        <v>5.31</v>
      </c>
      <c r="ET523" s="2346">
        <v>5.46</v>
      </c>
      <c r="EU523" s="2346">
        <v>6</v>
      </c>
      <c r="EV523" s="2346">
        <v>6.77</v>
      </c>
      <c r="EW523" s="2346">
        <v>7.54</v>
      </c>
      <c r="EX523" s="2346">
        <v>8</v>
      </c>
      <c r="EY523" s="2346">
        <v>9.23</v>
      </c>
      <c r="EZ523" s="2346">
        <v>11</v>
      </c>
      <c r="FA523" s="2347">
        <v>475</v>
      </c>
      <c r="FB523" s="2275"/>
      <c r="FC523" s="4671"/>
      <c r="FD523" s="4671"/>
      <c r="FE523" s="4671"/>
      <c r="FF523" s="2275"/>
      <c r="FG523" s="2275"/>
      <c r="FH523" s="2275"/>
      <c r="FI523" s="2275"/>
      <c r="FJ523" s="2275"/>
      <c r="FK523" s="2275"/>
      <c r="FL523" s="2250"/>
      <c r="FM523" s="2250"/>
      <c r="FN523" s="2250"/>
      <c r="FO523" s="2250"/>
      <c r="FP523" s="2250"/>
      <c r="FQ523" s="2250"/>
      <c r="FR523" s="2250"/>
      <c r="FS523" s="2250"/>
      <c r="FT523" s="2250"/>
      <c r="FU523" s="2250"/>
      <c r="FV523" s="2250"/>
      <c r="FW523" s="2250"/>
      <c r="FX523" s="2250"/>
      <c r="FY523" s="2250"/>
      <c r="FZ523" s="2250"/>
      <c r="GA523" s="2250"/>
      <c r="GB523" s="2276"/>
      <c r="GC523" s="2276"/>
      <c r="GD523" s="2250"/>
      <c r="GE523" s="2275"/>
      <c r="GF523" s="4670" t="s">
        <v>735</v>
      </c>
      <c r="GG523" s="2345">
        <v>475</v>
      </c>
      <c r="GH523" s="2346">
        <v>1.38</v>
      </c>
      <c r="GI523" s="2346">
        <v>1.54</v>
      </c>
      <c r="GJ523" s="2346">
        <v>1.69</v>
      </c>
      <c r="GK523" s="2346">
        <v>1.85</v>
      </c>
      <c r="GL523" s="2346">
        <v>2.08</v>
      </c>
      <c r="GM523" s="2346">
        <v>1.92</v>
      </c>
      <c r="GN523" s="2346">
        <v>2.15</v>
      </c>
      <c r="GO523" s="2346">
        <v>2.31</v>
      </c>
      <c r="GP523" s="2346">
        <v>2.38</v>
      </c>
      <c r="GQ523" s="2346">
        <v>2.62</v>
      </c>
      <c r="GR523" s="2346">
        <v>3.15</v>
      </c>
      <c r="GS523" s="2346">
        <v>3.08</v>
      </c>
      <c r="GT523" s="2346">
        <v>3.38</v>
      </c>
      <c r="GU523" s="2346">
        <v>3.38</v>
      </c>
      <c r="GV523" s="2346">
        <v>3.69</v>
      </c>
      <c r="GW523" s="2346">
        <v>3.85</v>
      </c>
      <c r="GX523" s="2346">
        <v>4.08</v>
      </c>
      <c r="GY523" s="2346">
        <v>4.38</v>
      </c>
      <c r="GZ523" s="2346">
        <v>4.6900000000000004</v>
      </c>
      <c r="HA523" s="2346">
        <v>5.31</v>
      </c>
      <c r="HB523" s="2346">
        <v>5.46</v>
      </c>
      <c r="HC523" s="2346">
        <v>6</v>
      </c>
      <c r="HD523" s="2346">
        <v>6.77</v>
      </c>
      <c r="HE523" s="2346">
        <v>7.54</v>
      </c>
      <c r="HF523" s="2346">
        <v>8</v>
      </c>
      <c r="HG523" s="2346">
        <v>9.23</v>
      </c>
      <c r="HH523" s="2346">
        <v>11</v>
      </c>
      <c r="HI523" s="2347">
        <v>475</v>
      </c>
      <c r="HJ523" s="2275"/>
      <c r="HK523" s="4671"/>
      <c r="HL523" s="4671"/>
      <c r="HM523" s="4671"/>
      <c r="HN523" s="2275"/>
      <c r="HO523" s="2275"/>
      <c r="HP523" s="2275"/>
      <c r="HQ523" s="2275"/>
      <c r="HR523" s="2275"/>
      <c r="HS523" s="2275"/>
      <c r="HT523" s="2250"/>
      <c r="HU523" s="2250"/>
      <c r="HV523" s="2250"/>
      <c r="HW523" s="2250"/>
      <c r="HX523" s="2250"/>
      <c r="HY523" s="2250"/>
      <c r="HZ523" s="2250"/>
      <c r="IA523" s="2250"/>
      <c r="IB523" s="2250"/>
      <c r="IC523" s="2250"/>
      <c r="ID523" s="2250"/>
      <c r="IE523" s="2250"/>
      <c r="IF523" s="2250"/>
      <c r="IG523" s="2250"/>
      <c r="IH523" s="2250"/>
      <c r="II523" s="2250"/>
      <c r="IJ523" s="2250"/>
      <c r="IK523" s="53"/>
      <c r="IL523" s="53"/>
      <c r="IN523" s="277"/>
      <c r="IO523" s="277"/>
    </row>
    <row r="524" spans="2:249" ht="21.95" customHeight="1">
      <c r="B524" s="4670"/>
      <c r="C524" s="2345">
        <v>550</v>
      </c>
      <c r="D524" s="2346">
        <v>2.54</v>
      </c>
      <c r="E524" s="2346">
        <v>2.85</v>
      </c>
      <c r="F524" s="2346">
        <v>3.15</v>
      </c>
      <c r="G524" s="2346">
        <v>3.54</v>
      </c>
      <c r="H524" s="2346">
        <v>3.85</v>
      </c>
      <c r="I524" s="2346">
        <v>3.62</v>
      </c>
      <c r="J524" s="2346">
        <v>4</v>
      </c>
      <c r="K524" s="2346">
        <v>4.2300000000000004</v>
      </c>
      <c r="L524" s="2346">
        <v>4.62</v>
      </c>
      <c r="M524" s="2346">
        <v>4.92</v>
      </c>
      <c r="N524" s="2346">
        <v>5.77</v>
      </c>
      <c r="O524" s="2346">
        <v>6.15</v>
      </c>
      <c r="P524" s="2346">
        <v>6.62</v>
      </c>
      <c r="Q524" s="2346">
        <v>6.38</v>
      </c>
      <c r="R524" s="2346">
        <v>6.85</v>
      </c>
      <c r="S524" s="2346">
        <v>7.23</v>
      </c>
      <c r="T524" s="2346">
        <v>7.62</v>
      </c>
      <c r="U524" s="2346">
        <v>8.23</v>
      </c>
      <c r="V524" s="2346">
        <v>8.69</v>
      </c>
      <c r="W524" s="2346">
        <v>9.85</v>
      </c>
      <c r="X524" s="2346">
        <v>9.92</v>
      </c>
      <c r="Y524" s="2346">
        <v>11.15</v>
      </c>
      <c r="Z524" s="2346">
        <v>11.69</v>
      </c>
      <c r="AA524" s="2346">
        <v>13.62</v>
      </c>
      <c r="AB524" s="2346">
        <v>14.31</v>
      </c>
      <c r="AC524" s="2346">
        <v>16.46</v>
      </c>
      <c r="AD524" s="2346">
        <v>19.54</v>
      </c>
      <c r="AE524" s="2347">
        <v>550</v>
      </c>
      <c r="AF524" s="2275"/>
      <c r="AG524" s="2275">
        <f>HLOOKUP(AG520,D521:AD533,2,0)</f>
        <v>0</v>
      </c>
      <c r="AH524" s="2275">
        <f t="shared" ref="AH524:AH534" si="293">+AG525</f>
        <v>4.38</v>
      </c>
      <c r="AI524" s="2275">
        <v>475</v>
      </c>
      <c r="AJ524" s="2275"/>
      <c r="AK524" s="2275"/>
      <c r="AL524" s="2275"/>
      <c r="AM524" s="2275"/>
      <c r="AN524" s="2275"/>
      <c r="AO524" s="2275"/>
      <c r="AP524" s="2250"/>
      <c r="AQ524" s="2250"/>
      <c r="AR524" s="2250"/>
      <c r="AS524" s="2250"/>
      <c r="AT524" s="2250"/>
      <c r="AU524" s="2250"/>
      <c r="AV524" s="2250"/>
      <c r="AW524" s="2250"/>
      <c r="AX524" s="2250"/>
      <c r="AY524" s="2250"/>
      <c r="AZ524" s="2250"/>
      <c r="BA524" s="2250"/>
      <c r="BB524" s="2250"/>
      <c r="BC524" s="2250"/>
      <c r="BD524" s="2250"/>
      <c r="BE524" s="2250"/>
      <c r="BF524" s="2276"/>
      <c r="BG524" s="2276"/>
      <c r="BH524" s="2250"/>
      <c r="BI524" s="2275"/>
      <c r="BJ524" s="4670"/>
      <c r="BK524" s="2345">
        <v>550</v>
      </c>
      <c r="BL524" s="2346">
        <v>2.54</v>
      </c>
      <c r="BM524" s="2346">
        <v>2.85</v>
      </c>
      <c r="BN524" s="2346">
        <v>3.15</v>
      </c>
      <c r="BO524" s="2346">
        <v>3.54</v>
      </c>
      <c r="BP524" s="2346">
        <v>3.85</v>
      </c>
      <c r="BQ524" s="2346">
        <v>3.62</v>
      </c>
      <c r="BR524" s="2346">
        <v>4</v>
      </c>
      <c r="BS524" s="2346">
        <v>4.2300000000000004</v>
      </c>
      <c r="BT524" s="2346">
        <v>4.62</v>
      </c>
      <c r="BU524" s="2346">
        <v>4.92</v>
      </c>
      <c r="BV524" s="2346">
        <v>5.77</v>
      </c>
      <c r="BW524" s="2346">
        <v>6.15</v>
      </c>
      <c r="BX524" s="2346">
        <v>6.62</v>
      </c>
      <c r="BY524" s="2346">
        <v>6.38</v>
      </c>
      <c r="BZ524" s="2346">
        <v>6.85</v>
      </c>
      <c r="CA524" s="2346">
        <v>7.23</v>
      </c>
      <c r="CB524" s="2346">
        <v>7.62</v>
      </c>
      <c r="CC524" s="2346">
        <v>8.23</v>
      </c>
      <c r="CD524" s="2346">
        <v>8.69</v>
      </c>
      <c r="CE524" s="2346">
        <v>9.85</v>
      </c>
      <c r="CF524" s="2346">
        <v>9.92</v>
      </c>
      <c r="CG524" s="2346">
        <v>11.15</v>
      </c>
      <c r="CH524" s="2346">
        <v>11.69</v>
      </c>
      <c r="CI524" s="2346">
        <v>13.62</v>
      </c>
      <c r="CJ524" s="2346">
        <v>14.31</v>
      </c>
      <c r="CK524" s="2346">
        <v>16.46</v>
      </c>
      <c r="CL524" s="2346">
        <v>19.54</v>
      </c>
      <c r="CM524" s="2347">
        <v>550</v>
      </c>
      <c r="CN524" s="2275"/>
      <c r="CO524" s="2275">
        <f>HLOOKUP(CO520,BL521:CL533,2,0)</f>
        <v>0</v>
      </c>
      <c r="CP524" s="2275">
        <f t="shared" ref="CP524:CP534" si="294">+CO525</f>
        <v>4.08</v>
      </c>
      <c r="CQ524" s="2275">
        <v>475</v>
      </c>
      <c r="CR524" s="2275"/>
      <c r="CS524" s="2275"/>
      <c r="CT524" s="2275"/>
      <c r="CU524" s="2275"/>
      <c r="CV524" s="2275"/>
      <c r="CW524" s="2275"/>
      <c r="CX524" s="2250"/>
      <c r="CY524" s="2250"/>
      <c r="CZ524" s="2250"/>
      <c r="DA524" s="2250"/>
      <c r="DB524" s="2250"/>
      <c r="DC524" s="2250"/>
      <c r="DD524" s="2250"/>
      <c r="DE524" s="2250"/>
      <c r="DF524" s="2250"/>
      <c r="DG524" s="2250"/>
      <c r="DH524" s="2250"/>
      <c r="DI524" s="2250"/>
      <c r="DJ524" s="2250"/>
      <c r="DK524" s="2250"/>
      <c r="DL524" s="2250"/>
      <c r="DM524" s="2250"/>
      <c r="DN524" s="2250"/>
      <c r="DO524" s="53"/>
      <c r="DP524" s="53"/>
      <c r="DS524" s="277"/>
      <c r="DW524" s="1"/>
      <c r="DX524" s="4670"/>
      <c r="DY524" s="2345">
        <v>550</v>
      </c>
      <c r="DZ524" s="2346">
        <v>2.54</v>
      </c>
      <c r="EA524" s="2346">
        <v>2.85</v>
      </c>
      <c r="EB524" s="2346">
        <v>3.15</v>
      </c>
      <c r="EC524" s="2346">
        <v>3.54</v>
      </c>
      <c r="ED524" s="2346">
        <v>3.85</v>
      </c>
      <c r="EE524" s="2346">
        <v>3.62</v>
      </c>
      <c r="EF524" s="2346">
        <v>4</v>
      </c>
      <c r="EG524" s="2346">
        <v>4.2300000000000004</v>
      </c>
      <c r="EH524" s="2346">
        <v>4.62</v>
      </c>
      <c r="EI524" s="2346">
        <v>4.92</v>
      </c>
      <c r="EJ524" s="2346">
        <v>5.77</v>
      </c>
      <c r="EK524" s="2346">
        <v>6.15</v>
      </c>
      <c r="EL524" s="2346">
        <v>6.62</v>
      </c>
      <c r="EM524" s="2346">
        <v>6.38</v>
      </c>
      <c r="EN524" s="2346">
        <v>6.85</v>
      </c>
      <c r="EO524" s="2346">
        <v>7.23</v>
      </c>
      <c r="EP524" s="2346">
        <v>7.62</v>
      </c>
      <c r="EQ524" s="2346">
        <v>8.23</v>
      </c>
      <c r="ER524" s="2346">
        <v>8.69</v>
      </c>
      <c r="ES524" s="2346">
        <v>9.85</v>
      </c>
      <c r="ET524" s="2346">
        <v>9.92</v>
      </c>
      <c r="EU524" s="2346">
        <v>11.15</v>
      </c>
      <c r="EV524" s="2346">
        <v>11.69</v>
      </c>
      <c r="EW524" s="2346">
        <v>13.62</v>
      </c>
      <c r="EX524" s="2346">
        <v>14.31</v>
      </c>
      <c r="EY524" s="2346">
        <v>16.46</v>
      </c>
      <c r="EZ524" s="2346">
        <v>19.54</v>
      </c>
      <c r="FA524" s="2347">
        <v>550</v>
      </c>
      <c r="FB524" s="2275"/>
      <c r="FC524" s="2275">
        <f>HLOOKUP(FC520,DZ521:EZ533,2,0)</f>
        <v>0</v>
      </c>
      <c r="FD524" s="2275">
        <f t="shared" ref="FD524:FD534" si="295">+FC525</f>
        <v>6.77</v>
      </c>
      <c r="FE524" s="2275">
        <v>475</v>
      </c>
      <c r="FF524" s="2275"/>
      <c r="FG524" s="2275"/>
      <c r="FH524" s="2275"/>
      <c r="FI524" s="2275"/>
      <c r="FJ524" s="2275"/>
      <c r="FK524" s="2275"/>
      <c r="FL524" s="2250"/>
      <c r="FM524" s="2250"/>
      <c r="FN524" s="2250"/>
      <c r="FO524" s="2250"/>
      <c r="FP524" s="2250"/>
      <c r="FQ524" s="2250"/>
      <c r="FR524" s="2250"/>
      <c r="FS524" s="2250"/>
      <c r="FT524" s="2250"/>
      <c r="FU524" s="2250"/>
      <c r="FV524" s="2250"/>
      <c r="FW524" s="2250"/>
      <c r="FX524" s="2250"/>
      <c r="FY524" s="2250"/>
      <c r="FZ524" s="2250"/>
      <c r="GA524" s="2250"/>
      <c r="GB524" s="2276"/>
      <c r="GC524" s="2276"/>
      <c r="GD524" s="2250"/>
      <c r="GE524" s="2275"/>
      <c r="GF524" s="4670"/>
      <c r="GG524" s="2345">
        <v>550</v>
      </c>
      <c r="GH524" s="2346">
        <v>2.54</v>
      </c>
      <c r="GI524" s="2346">
        <v>2.85</v>
      </c>
      <c r="GJ524" s="2346">
        <v>3.15</v>
      </c>
      <c r="GK524" s="2346">
        <v>3.54</v>
      </c>
      <c r="GL524" s="2346">
        <v>3.85</v>
      </c>
      <c r="GM524" s="2346">
        <v>3.62</v>
      </c>
      <c r="GN524" s="2346">
        <v>4</v>
      </c>
      <c r="GO524" s="2346">
        <v>4.2300000000000004</v>
      </c>
      <c r="GP524" s="2346">
        <v>4.62</v>
      </c>
      <c r="GQ524" s="2346">
        <v>4.92</v>
      </c>
      <c r="GR524" s="2346">
        <v>5.77</v>
      </c>
      <c r="GS524" s="2346">
        <v>6.15</v>
      </c>
      <c r="GT524" s="2346">
        <v>6.62</v>
      </c>
      <c r="GU524" s="2346">
        <v>6.38</v>
      </c>
      <c r="GV524" s="2346">
        <v>6.85</v>
      </c>
      <c r="GW524" s="2346">
        <v>7.23</v>
      </c>
      <c r="GX524" s="2346">
        <v>7.62</v>
      </c>
      <c r="GY524" s="2346">
        <v>8.23</v>
      </c>
      <c r="GZ524" s="2346">
        <v>8.69</v>
      </c>
      <c r="HA524" s="2346">
        <v>9.85</v>
      </c>
      <c r="HB524" s="2346">
        <v>9.92</v>
      </c>
      <c r="HC524" s="2346">
        <v>11.15</v>
      </c>
      <c r="HD524" s="2346">
        <v>11.69</v>
      </c>
      <c r="HE524" s="2346">
        <v>13.62</v>
      </c>
      <c r="HF524" s="2346">
        <v>14.31</v>
      </c>
      <c r="HG524" s="2346">
        <v>16.46</v>
      </c>
      <c r="HH524" s="2346">
        <v>19.54</v>
      </c>
      <c r="HI524" s="2347">
        <v>550</v>
      </c>
      <c r="HJ524" s="2275"/>
      <c r="HK524" s="2275">
        <f>HLOOKUP(HK520,GH521:HH533,2,0)</f>
        <v>0</v>
      </c>
      <c r="HL524" s="2275">
        <f t="shared" ref="HL524:HL534" si="296">+HK525</f>
        <v>6</v>
      </c>
      <c r="HM524" s="2275">
        <v>475</v>
      </c>
      <c r="HN524" s="2275"/>
      <c r="HO524" s="2275"/>
      <c r="HP524" s="2275"/>
      <c r="HQ524" s="2275"/>
      <c r="HR524" s="2275"/>
      <c r="HS524" s="2275"/>
      <c r="HT524" s="2250"/>
      <c r="HU524" s="2250"/>
      <c r="HV524" s="2250"/>
      <c r="HW524" s="2250"/>
      <c r="HX524" s="2250"/>
      <c r="HY524" s="2250"/>
      <c r="HZ524" s="2250"/>
      <c r="IA524" s="2250"/>
      <c r="IB524" s="2250"/>
      <c r="IC524" s="2250"/>
      <c r="ID524" s="2250"/>
      <c r="IE524" s="2250"/>
      <c r="IF524" s="2250"/>
      <c r="IG524" s="2250"/>
      <c r="IH524" s="2250"/>
      <c r="II524" s="2250"/>
      <c r="IJ524" s="2250"/>
      <c r="IK524" s="53"/>
      <c r="IL524" s="53"/>
      <c r="IN524" s="277"/>
      <c r="IO524" s="277"/>
    </row>
    <row r="525" spans="2:249" ht="21.95" customHeight="1">
      <c r="B525" s="4670"/>
      <c r="C525" s="2345">
        <v>650</v>
      </c>
      <c r="D525" s="2346">
        <v>4.2300000000000004</v>
      </c>
      <c r="E525" s="2346">
        <v>4.7699999999999996</v>
      </c>
      <c r="F525" s="2346">
        <v>5.23</v>
      </c>
      <c r="G525" s="2346">
        <v>5.54</v>
      </c>
      <c r="H525" s="2346">
        <v>5.54</v>
      </c>
      <c r="I525" s="2346">
        <v>6</v>
      </c>
      <c r="J525" s="2346">
        <v>6.62</v>
      </c>
      <c r="K525" s="2346">
        <v>7.08</v>
      </c>
      <c r="L525" s="2346">
        <v>7.38</v>
      </c>
      <c r="M525" s="2346">
        <v>8.15</v>
      </c>
      <c r="N525" s="2346">
        <v>9.08</v>
      </c>
      <c r="O525" s="2346">
        <v>9.77</v>
      </c>
      <c r="P525" s="2346">
        <v>10.62</v>
      </c>
      <c r="Q525" s="2346">
        <v>10.62</v>
      </c>
      <c r="R525" s="2346">
        <v>11.15</v>
      </c>
      <c r="S525" s="2346">
        <v>12</v>
      </c>
      <c r="T525" s="2346">
        <v>12.69</v>
      </c>
      <c r="U525" s="2346">
        <v>13.38</v>
      </c>
      <c r="V525" s="2346">
        <v>14.08</v>
      </c>
      <c r="W525" s="2346">
        <v>15.54</v>
      </c>
      <c r="X525" s="2346">
        <v>15.85</v>
      </c>
      <c r="Y525" s="2346">
        <v>17.920000000000002</v>
      </c>
      <c r="Z525" s="2346">
        <v>19.62</v>
      </c>
      <c r="AA525" s="2346">
        <v>21.62</v>
      </c>
      <c r="AB525" s="2346">
        <v>24.08</v>
      </c>
      <c r="AC525" s="2346">
        <v>25.85</v>
      </c>
      <c r="AD525" s="2346">
        <v>30.46</v>
      </c>
      <c r="AE525" s="2347">
        <v>650</v>
      </c>
      <c r="AF525" s="2275"/>
      <c r="AG525" s="2275">
        <f>HLOOKUP(AG520,D521:AD533,3,0)</f>
        <v>4.38</v>
      </c>
      <c r="AH525" s="2275">
        <f t="shared" si="293"/>
        <v>8.23</v>
      </c>
      <c r="AI525" s="2275">
        <v>550</v>
      </c>
      <c r="AJ525" s="2275"/>
      <c r="AK525" s="2275"/>
      <c r="AL525" s="2275"/>
      <c r="AM525" s="2275"/>
      <c r="AN525" s="2275"/>
      <c r="AO525" s="2275"/>
      <c r="AP525" s="2250"/>
      <c r="AQ525" s="2250"/>
      <c r="AR525" s="2250"/>
      <c r="AS525" s="2250"/>
      <c r="AT525" s="2250"/>
      <c r="AU525" s="2250"/>
      <c r="AV525" s="2250"/>
      <c r="AW525" s="2250"/>
      <c r="AX525" s="2250"/>
      <c r="AY525" s="2250"/>
      <c r="AZ525" s="2250"/>
      <c r="BA525" s="2250"/>
      <c r="BB525" s="2250"/>
      <c r="BC525" s="2250"/>
      <c r="BD525" s="2250"/>
      <c r="BE525" s="2250"/>
      <c r="BF525" s="2276"/>
      <c r="BG525" s="2276"/>
      <c r="BH525" s="2250"/>
      <c r="BI525" s="2275"/>
      <c r="BJ525" s="4670"/>
      <c r="BK525" s="2345">
        <v>650</v>
      </c>
      <c r="BL525" s="2346">
        <v>4.2300000000000004</v>
      </c>
      <c r="BM525" s="2346">
        <v>4.7699999999999996</v>
      </c>
      <c r="BN525" s="2346">
        <v>5.23</v>
      </c>
      <c r="BO525" s="2346">
        <v>5.54</v>
      </c>
      <c r="BP525" s="2346">
        <v>5.54</v>
      </c>
      <c r="BQ525" s="2346">
        <v>6</v>
      </c>
      <c r="BR525" s="2346">
        <v>6.62</v>
      </c>
      <c r="BS525" s="2346">
        <v>7.08</v>
      </c>
      <c r="BT525" s="2346">
        <v>7.38</v>
      </c>
      <c r="BU525" s="2346">
        <v>8.15</v>
      </c>
      <c r="BV525" s="2346">
        <v>9.08</v>
      </c>
      <c r="BW525" s="2346">
        <v>9.77</v>
      </c>
      <c r="BX525" s="2346">
        <v>10.62</v>
      </c>
      <c r="BY525" s="2346">
        <v>10.62</v>
      </c>
      <c r="BZ525" s="2346">
        <v>11.15</v>
      </c>
      <c r="CA525" s="2346">
        <v>12</v>
      </c>
      <c r="CB525" s="2346">
        <v>12.69</v>
      </c>
      <c r="CC525" s="2346">
        <v>13.38</v>
      </c>
      <c r="CD525" s="2346">
        <v>14.08</v>
      </c>
      <c r="CE525" s="2346">
        <v>15.54</v>
      </c>
      <c r="CF525" s="2346">
        <v>15.85</v>
      </c>
      <c r="CG525" s="2346">
        <v>17.920000000000002</v>
      </c>
      <c r="CH525" s="2346">
        <v>19.62</v>
      </c>
      <c r="CI525" s="2346">
        <v>21.62</v>
      </c>
      <c r="CJ525" s="2346">
        <v>24.08</v>
      </c>
      <c r="CK525" s="2346">
        <v>25.85</v>
      </c>
      <c r="CL525" s="2346">
        <v>30.46</v>
      </c>
      <c r="CM525" s="2347">
        <v>650</v>
      </c>
      <c r="CN525" s="2275"/>
      <c r="CO525" s="2275">
        <f>HLOOKUP(CO520,BL521:CL533,3,0)</f>
        <v>4.08</v>
      </c>
      <c r="CP525" s="2275">
        <f t="shared" si="294"/>
        <v>7.62</v>
      </c>
      <c r="CQ525" s="2275">
        <v>550</v>
      </c>
      <c r="CR525" s="2275"/>
      <c r="CS525" s="2275"/>
      <c r="CT525" s="2275"/>
      <c r="CU525" s="2275"/>
      <c r="CV525" s="2275"/>
      <c r="CW525" s="2275"/>
      <c r="CX525" s="2250"/>
      <c r="CY525" s="2250"/>
      <c r="CZ525" s="2250"/>
      <c r="DA525" s="2250"/>
      <c r="DB525" s="2250"/>
      <c r="DC525" s="2250"/>
      <c r="DD525" s="2250"/>
      <c r="DE525" s="2250"/>
      <c r="DF525" s="2250"/>
      <c r="DG525" s="2250"/>
      <c r="DH525" s="2250"/>
      <c r="DI525" s="2250"/>
      <c r="DJ525" s="2250"/>
      <c r="DK525" s="2250"/>
      <c r="DL525" s="2250"/>
      <c r="DM525" s="2250"/>
      <c r="DN525" s="2250"/>
      <c r="DO525" s="53"/>
      <c r="DP525" s="53"/>
      <c r="DS525" s="277"/>
      <c r="DW525" s="1"/>
      <c r="DX525" s="4670"/>
      <c r="DY525" s="2345">
        <v>650</v>
      </c>
      <c r="DZ525" s="2346">
        <v>4.2300000000000004</v>
      </c>
      <c r="EA525" s="2346">
        <v>4.7699999999999996</v>
      </c>
      <c r="EB525" s="2346">
        <v>5.23</v>
      </c>
      <c r="EC525" s="2346">
        <v>5.54</v>
      </c>
      <c r="ED525" s="2346">
        <v>5.54</v>
      </c>
      <c r="EE525" s="2346">
        <v>6</v>
      </c>
      <c r="EF525" s="2346">
        <v>6.62</v>
      </c>
      <c r="EG525" s="2346">
        <v>7.08</v>
      </c>
      <c r="EH525" s="2346">
        <v>7.38</v>
      </c>
      <c r="EI525" s="2346">
        <v>8.15</v>
      </c>
      <c r="EJ525" s="2346">
        <v>9.08</v>
      </c>
      <c r="EK525" s="2346">
        <v>9.77</v>
      </c>
      <c r="EL525" s="2346">
        <v>10.62</v>
      </c>
      <c r="EM525" s="2346">
        <v>10.62</v>
      </c>
      <c r="EN525" s="2346">
        <v>11.15</v>
      </c>
      <c r="EO525" s="2346">
        <v>12</v>
      </c>
      <c r="EP525" s="2346">
        <v>12.69</v>
      </c>
      <c r="EQ525" s="2346">
        <v>13.38</v>
      </c>
      <c r="ER525" s="2346">
        <v>14.08</v>
      </c>
      <c r="ES525" s="2346">
        <v>15.54</v>
      </c>
      <c r="ET525" s="2346">
        <v>15.85</v>
      </c>
      <c r="EU525" s="2346">
        <v>17.920000000000002</v>
      </c>
      <c r="EV525" s="2346">
        <v>19.62</v>
      </c>
      <c r="EW525" s="2346">
        <v>21.62</v>
      </c>
      <c r="EX525" s="2346">
        <v>24.08</v>
      </c>
      <c r="EY525" s="2346">
        <v>25.85</v>
      </c>
      <c r="EZ525" s="2346">
        <v>30.46</v>
      </c>
      <c r="FA525" s="2347">
        <v>650</v>
      </c>
      <c r="FB525" s="2275"/>
      <c r="FC525" s="2275">
        <f>HLOOKUP(FC520,DZ521:EZ533,3,0)</f>
        <v>6.77</v>
      </c>
      <c r="FD525" s="2275">
        <f t="shared" si="295"/>
        <v>11.69</v>
      </c>
      <c r="FE525" s="2275">
        <v>550</v>
      </c>
      <c r="FF525" s="2275"/>
      <c r="FG525" s="2275"/>
      <c r="FH525" s="2275"/>
      <c r="FI525" s="2275"/>
      <c r="FJ525" s="2275"/>
      <c r="FK525" s="2275"/>
      <c r="FL525" s="2250"/>
      <c r="FM525" s="2250"/>
      <c r="FN525" s="2250"/>
      <c r="FO525" s="2250"/>
      <c r="FP525" s="2250"/>
      <c r="FQ525" s="2250"/>
      <c r="FR525" s="2250"/>
      <c r="FS525" s="2250"/>
      <c r="FT525" s="2250"/>
      <c r="FU525" s="2250"/>
      <c r="FV525" s="2250"/>
      <c r="FW525" s="2250"/>
      <c r="FX525" s="2250"/>
      <c r="FY525" s="2250"/>
      <c r="FZ525" s="2250"/>
      <c r="GA525" s="2250"/>
      <c r="GB525" s="2276"/>
      <c r="GC525" s="2276"/>
      <c r="GD525" s="2250"/>
      <c r="GE525" s="2275"/>
      <c r="GF525" s="4670"/>
      <c r="GG525" s="2345">
        <v>650</v>
      </c>
      <c r="GH525" s="2346">
        <v>4.2300000000000004</v>
      </c>
      <c r="GI525" s="2346">
        <v>4.7699999999999996</v>
      </c>
      <c r="GJ525" s="2346">
        <v>5.23</v>
      </c>
      <c r="GK525" s="2346">
        <v>5.54</v>
      </c>
      <c r="GL525" s="2346">
        <v>5.54</v>
      </c>
      <c r="GM525" s="2346">
        <v>6</v>
      </c>
      <c r="GN525" s="2346">
        <v>6.62</v>
      </c>
      <c r="GO525" s="2346">
        <v>7.08</v>
      </c>
      <c r="GP525" s="2346">
        <v>7.38</v>
      </c>
      <c r="GQ525" s="2346">
        <v>8.15</v>
      </c>
      <c r="GR525" s="2346">
        <v>9.08</v>
      </c>
      <c r="GS525" s="2346">
        <v>9.77</v>
      </c>
      <c r="GT525" s="2346">
        <v>10.62</v>
      </c>
      <c r="GU525" s="2346">
        <v>10.62</v>
      </c>
      <c r="GV525" s="2346">
        <v>11.15</v>
      </c>
      <c r="GW525" s="2346">
        <v>12</v>
      </c>
      <c r="GX525" s="2346">
        <v>12.69</v>
      </c>
      <c r="GY525" s="2346">
        <v>13.38</v>
      </c>
      <c r="GZ525" s="2346">
        <v>14.08</v>
      </c>
      <c r="HA525" s="2346">
        <v>15.54</v>
      </c>
      <c r="HB525" s="2346">
        <v>15.85</v>
      </c>
      <c r="HC525" s="2346">
        <v>17.920000000000002</v>
      </c>
      <c r="HD525" s="2346">
        <v>19.62</v>
      </c>
      <c r="HE525" s="2346">
        <v>21.62</v>
      </c>
      <c r="HF525" s="2346">
        <v>24.08</v>
      </c>
      <c r="HG525" s="2346">
        <v>25.85</v>
      </c>
      <c r="HH525" s="2346">
        <v>30.46</v>
      </c>
      <c r="HI525" s="2347">
        <v>650</v>
      </c>
      <c r="HJ525" s="2275"/>
      <c r="HK525" s="2275">
        <f>HLOOKUP(HK520,GH521:HH533,3,0)</f>
        <v>6</v>
      </c>
      <c r="HL525" s="2275">
        <f t="shared" si="296"/>
        <v>11.15</v>
      </c>
      <c r="HM525" s="2275">
        <v>550</v>
      </c>
      <c r="HN525" s="2275"/>
      <c r="HO525" s="2275"/>
      <c r="HP525" s="2275"/>
      <c r="HQ525" s="2275"/>
      <c r="HR525" s="2275"/>
      <c r="HS525" s="2275"/>
      <c r="HT525" s="2250"/>
      <c r="HU525" s="2250"/>
      <c r="HV525" s="2250"/>
      <c r="HW525" s="2250"/>
      <c r="HX525" s="2250"/>
      <c r="HY525" s="2250"/>
      <c r="HZ525" s="2250"/>
      <c r="IA525" s="2250"/>
      <c r="IB525" s="2250"/>
      <c r="IC525" s="2250"/>
      <c r="ID525" s="2250"/>
      <c r="IE525" s="2250"/>
      <c r="IF525" s="2250"/>
      <c r="IG525" s="2250"/>
      <c r="IH525" s="2250"/>
      <c r="II525" s="2250"/>
      <c r="IJ525" s="2250"/>
      <c r="IK525" s="53"/>
      <c r="IL525" s="53"/>
      <c r="IN525" s="277"/>
      <c r="IO525" s="277"/>
    </row>
    <row r="526" spans="2:249" ht="21.95" customHeight="1">
      <c r="B526" s="2275"/>
      <c r="C526" s="2345">
        <v>775</v>
      </c>
      <c r="D526" s="2346">
        <v>6.46</v>
      </c>
      <c r="E526" s="2346">
        <v>7.31</v>
      </c>
      <c r="F526" s="2346">
        <v>8.08</v>
      </c>
      <c r="G526" s="2346">
        <v>9</v>
      </c>
      <c r="H526" s="2346">
        <v>9.85</v>
      </c>
      <c r="I526" s="2346">
        <v>9.23</v>
      </c>
      <c r="J526" s="2346">
        <v>10.23</v>
      </c>
      <c r="K526" s="2346">
        <v>10.85</v>
      </c>
      <c r="L526" s="2346">
        <v>11.92</v>
      </c>
      <c r="M526" s="2346">
        <v>12.69</v>
      </c>
      <c r="N526" s="2346">
        <v>15</v>
      </c>
      <c r="O526" s="2346">
        <v>16.149999999999999</v>
      </c>
      <c r="P526" s="2346">
        <v>16.920000000000002</v>
      </c>
      <c r="Q526" s="2346">
        <v>16.38</v>
      </c>
      <c r="R526" s="2346">
        <v>17.62</v>
      </c>
      <c r="S526" s="2346">
        <v>19.149999999999999</v>
      </c>
      <c r="T526" s="2346">
        <v>20.149999999999999</v>
      </c>
      <c r="U526" s="2346">
        <v>21.08</v>
      </c>
      <c r="V526" s="2346">
        <v>22.38</v>
      </c>
      <c r="W526" s="2346">
        <v>24.62</v>
      </c>
      <c r="X526" s="2346">
        <v>26.08</v>
      </c>
      <c r="Y526" s="2346">
        <v>28.62</v>
      </c>
      <c r="Z526" s="2346">
        <v>31.77</v>
      </c>
      <c r="AA526" s="2346">
        <v>35</v>
      </c>
      <c r="AB526" s="2346">
        <v>39</v>
      </c>
      <c r="AC526" s="2346">
        <v>44.38</v>
      </c>
      <c r="AD526" s="2346">
        <v>50.08</v>
      </c>
      <c r="AE526" s="2347">
        <v>775</v>
      </c>
      <c r="AF526" s="2275"/>
      <c r="AG526" s="2275">
        <f>HLOOKUP(AG520,D521:AD533,4,0)</f>
        <v>8.23</v>
      </c>
      <c r="AH526" s="2275">
        <f t="shared" si="293"/>
        <v>13.38</v>
      </c>
      <c r="AI526" s="2275">
        <v>650</v>
      </c>
      <c r="AJ526" s="2275"/>
      <c r="AK526" s="2275"/>
      <c r="AL526" s="2275"/>
      <c r="AM526" s="2275"/>
      <c r="AN526" s="2275"/>
      <c r="AO526" s="2275"/>
      <c r="AP526" s="2250"/>
      <c r="AQ526" s="2250"/>
      <c r="AR526" s="2250"/>
      <c r="AS526" s="2250"/>
      <c r="AT526" s="2250"/>
      <c r="AU526" s="2250"/>
      <c r="AV526" s="2250"/>
      <c r="AW526" s="2250"/>
      <c r="AX526" s="2250"/>
      <c r="AY526" s="2250"/>
      <c r="AZ526" s="2250"/>
      <c r="BA526" s="2250"/>
      <c r="BB526" s="2250"/>
      <c r="BC526" s="2250"/>
      <c r="BD526" s="2250"/>
      <c r="BE526" s="2250"/>
      <c r="BF526" s="2276"/>
      <c r="BG526" s="2276"/>
      <c r="BH526" s="2250"/>
      <c r="BI526" s="2275"/>
      <c r="BJ526" s="2275"/>
      <c r="BK526" s="2345">
        <v>775</v>
      </c>
      <c r="BL526" s="2346">
        <v>6.46</v>
      </c>
      <c r="BM526" s="2346">
        <v>7.31</v>
      </c>
      <c r="BN526" s="2346">
        <v>8.08</v>
      </c>
      <c r="BO526" s="2346">
        <v>9</v>
      </c>
      <c r="BP526" s="2346">
        <v>9.85</v>
      </c>
      <c r="BQ526" s="2346">
        <v>9.23</v>
      </c>
      <c r="BR526" s="2346">
        <v>10.23</v>
      </c>
      <c r="BS526" s="2346">
        <v>10.85</v>
      </c>
      <c r="BT526" s="2346">
        <v>11.92</v>
      </c>
      <c r="BU526" s="2346">
        <v>12.69</v>
      </c>
      <c r="BV526" s="2346">
        <v>15</v>
      </c>
      <c r="BW526" s="2346">
        <v>16.149999999999999</v>
      </c>
      <c r="BX526" s="2346">
        <v>16.920000000000002</v>
      </c>
      <c r="BY526" s="2346">
        <v>16.38</v>
      </c>
      <c r="BZ526" s="2346">
        <v>17.62</v>
      </c>
      <c r="CA526" s="2346">
        <v>19.149999999999999</v>
      </c>
      <c r="CB526" s="2346">
        <v>20.149999999999999</v>
      </c>
      <c r="CC526" s="2346">
        <v>21.08</v>
      </c>
      <c r="CD526" s="2346">
        <v>22.38</v>
      </c>
      <c r="CE526" s="2346">
        <v>24.62</v>
      </c>
      <c r="CF526" s="2346">
        <v>26.08</v>
      </c>
      <c r="CG526" s="2346">
        <v>28.62</v>
      </c>
      <c r="CH526" s="2346">
        <v>31.77</v>
      </c>
      <c r="CI526" s="2346">
        <v>35</v>
      </c>
      <c r="CJ526" s="2346">
        <v>39</v>
      </c>
      <c r="CK526" s="2346">
        <v>44.38</v>
      </c>
      <c r="CL526" s="2346">
        <v>50.08</v>
      </c>
      <c r="CM526" s="2347">
        <v>775</v>
      </c>
      <c r="CN526" s="2275"/>
      <c r="CO526" s="2275">
        <f>HLOOKUP(CO520,BL521:CL533,4,0)</f>
        <v>7.62</v>
      </c>
      <c r="CP526" s="2275">
        <f t="shared" si="294"/>
        <v>12.69</v>
      </c>
      <c r="CQ526" s="2275">
        <v>650</v>
      </c>
      <c r="CR526" s="2275"/>
      <c r="CS526" s="2275"/>
      <c r="CT526" s="2275"/>
      <c r="CU526" s="2275"/>
      <c r="CV526" s="2275"/>
      <c r="CW526" s="2275"/>
      <c r="CX526" s="2250"/>
      <c r="CY526" s="2250"/>
      <c r="CZ526" s="2250"/>
      <c r="DA526" s="2250"/>
      <c r="DB526" s="2250"/>
      <c r="DC526" s="2250"/>
      <c r="DD526" s="2250"/>
      <c r="DE526" s="2250"/>
      <c r="DF526" s="2250"/>
      <c r="DG526" s="2250"/>
      <c r="DH526" s="2250"/>
      <c r="DI526" s="2250"/>
      <c r="DJ526" s="2250"/>
      <c r="DK526" s="2250"/>
      <c r="DL526" s="2250"/>
      <c r="DM526" s="2250"/>
      <c r="DN526" s="2250"/>
      <c r="DO526" s="53"/>
      <c r="DP526" s="53"/>
      <c r="DS526" s="277"/>
      <c r="DW526" s="1"/>
      <c r="DX526" s="2275"/>
      <c r="DY526" s="2345">
        <v>775</v>
      </c>
      <c r="DZ526" s="2346">
        <v>6.46</v>
      </c>
      <c r="EA526" s="2346">
        <v>7.31</v>
      </c>
      <c r="EB526" s="2346">
        <v>8.08</v>
      </c>
      <c r="EC526" s="2346">
        <v>9</v>
      </c>
      <c r="ED526" s="2346">
        <v>9.85</v>
      </c>
      <c r="EE526" s="2346">
        <v>9.23</v>
      </c>
      <c r="EF526" s="2346">
        <v>10.23</v>
      </c>
      <c r="EG526" s="2346">
        <v>10.85</v>
      </c>
      <c r="EH526" s="2346">
        <v>11.92</v>
      </c>
      <c r="EI526" s="2346">
        <v>12.69</v>
      </c>
      <c r="EJ526" s="2346">
        <v>15</v>
      </c>
      <c r="EK526" s="2346">
        <v>16.149999999999999</v>
      </c>
      <c r="EL526" s="2346">
        <v>16.920000000000002</v>
      </c>
      <c r="EM526" s="2346">
        <v>16.38</v>
      </c>
      <c r="EN526" s="2346">
        <v>17.62</v>
      </c>
      <c r="EO526" s="2346">
        <v>19.149999999999999</v>
      </c>
      <c r="EP526" s="2346">
        <v>20.149999999999999</v>
      </c>
      <c r="EQ526" s="2346">
        <v>21.08</v>
      </c>
      <c r="ER526" s="2346">
        <v>22.38</v>
      </c>
      <c r="ES526" s="2346">
        <v>24.62</v>
      </c>
      <c r="ET526" s="2346">
        <v>26.08</v>
      </c>
      <c r="EU526" s="2346">
        <v>28.62</v>
      </c>
      <c r="EV526" s="2346">
        <v>31.77</v>
      </c>
      <c r="EW526" s="2346">
        <v>35</v>
      </c>
      <c r="EX526" s="2346">
        <v>39</v>
      </c>
      <c r="EY526" s="2346">
        <v>44.38</v>
      </c>
      <c r="EZ526" s="2346">
        <v>50.08</v>
      </c>
      <c r="FA526" s="2347">
        <v>775</v>
      </c>
      <c r="FB526" s="2275"/>
      <c r="FC526" s="2275">
        <f>HLOOKUP(FC520,DZ521:EZ533,4,0)</f>
        <v>11.69</v>
      </c>
      <c r="FD526" s="2275">
        <f t="shared" si="295"/>
        <v>19.62</v>
      </c>
      <c r="FE526" s="2275">
        <v>650</v>
      </c>
      <c r="FF526" s="2275"/>
      <c r="FG526" s="2275"/>
      <c r="FH526" s="2275"/>
      <c r="FI526" s="2275"/>
      <c r="FJ526" s="2275"/>
      <c r="FK526" s="2275"/>
      <c r="FL526" s="2250"/>
      <c r="FM526" s="2250"/>
      <c r="FN526" s="2250"/>
      <c r="FO526" s="2250"/>
      <c r="FP526" s="2250"/>
      <c r="FQ526" s="2250"/>
      <c r="FR526" s="2250"/>
      <c r="FS526" s="2250"/>
      <c r="FT526" s="2250"/>
      <c r="FU526" s="2250"/>
      <c r="FV526" s="2250"/>
      <c r="FW526" s="2250"/>
      <c r="FX526" s="2250"/>
      <c r="FY526" s="2250"/>
      <c r="FZ526" s="2250"/>
      <c r="GA526" s="2250"/>
      <c r="GB526" s="2276"/>
      <c r="GC526" s="2276"/>
      <c r="GD526" s="2250"/>
      <c r="GE526" s="2275"/>
      <c r="GF526" s="2275"/>
      <c r="GG526" s="2345">
        <v>775</v>
      </c>
      <c r="GH526" s="2346">
        <v>6.46</v>
      </c>
      <c r="GI526" s="2346">
        <v>7.31</v>
      </c>
      <c r="GJ526" s="2346">
        <v>8.08</v>
      </c>
      <c r="GK526" s="2346">
        <v>9</v>
      </c>
      <c r="GL526" s="2346">
        <v>9.85</v>
      </c>
      <c r="GM526" s="2346">
        <v>9.23</v>
      </c>
      <c r="GN526" s="2346">
        <v>10.23</v>
      </c>
      <c r="GO526" s="2346">
        <v>10.85</v>
      </c>
      <c r="GP526" s="2346">
        <v>11.92</v>
      </c>
      <c r="GQ526" s="2346">
        <v>12.69</v>
      </c>
      <c r="GR526" s="2346">
        <v>15</v>
      </c>
      <c r="GS526" s="2346">
        <v>16.149999999999999</v>
      </c>
      <c r="GT526" s="2346">
        <v>16.920000000000002</v>
      </c>
      <c r="GU526" s="2346">
        <v>16.38</v>
      </c>
      <c r="GV526" s="2346">
        <v>17.62</v>
      </c>
      <c r="GW526" s="2346">
        <v>19.149999999999999</v>
      </c>
      <c r="GX526" s="2346">
        <v>20.149999999999999</v>
      </c>
      <c r="GY526" s="2346">
        <v>21.08</v>
      </c>
      <c r="GZ526" s="2346">
        <v>22.38</v>
      </c>
      <c r="HA526" s="2346">
        <v>24.62</v>
      </c>
      <c r="HB526" s="2346">
        <v>26.08</v>
      </c>
      <c r="HC526" s="2346">
        <v>28.62</v>
      </c>
      <c r="HD526" s="2346">
        <v>31.77</v>
      </c>
      <c r="HE526" s="2346">
        <v>35</v>
      </c>
      <c r="HF526" s="2346">
        <v>39</v>
      </c>
      <c r="HG526" s="2346">
        <v>44.38</v>
      </c>
      <c r="HH526" s="2346">
        <v>50.08</v>
      </c>
      <c r="HI526" s="2347">
        <v>775</v>
      </c>
      <c r="HJ526" s="2275"/>
      <c r="HK526" s="2275">
        <f>HLOOKUP(HK520,GH521:HH533,4,0)</f>
        <v>11.15</v>
      </c>
      <c r="HL526" s="2275">
        <f t="shared" si="296"/>
        <v>17.920000000000002</v>
      </c>
      <c r="HM526" s="2275">
        <v>650</v>
      </c>
      <c r="HN526" s="2275"/>
      <c r="HO526" s="2275"/>
      <c r="HP526" s="2275"/>
      <c r="HQ526" s="2275"/>
      <c r="HR526" s="2275"/>
      <c r="HS526" s="2275"/>
      <c r="HT526" s="2250"/>
      <c r="HU526" s="2250"/>
      <c r="HV526" s="2250"/>
      <c r="HW526" s="2250"/>
      <c r="HX526" s="2250"/>
      <c r="HY526" s="2250"/>
      <c r="HZ526" s="2250"/>
      <c r="IA526" s="2250"/>
      <c r="IB526" s="2250"/>
      <c r="IC526" s="2250"/>
      <c r="ID526" s="2250"/>
      <c r="IE526" s="2250"/>
      <c r="IF526" s="2250"/>
      <c r="IG526" s="2250"/>
      <c r="IH526" s="2250"/>
      <c r="II526" s="2250"/>
      <c r="IJ526" s="2250"/>
      <c r="IK526" s="53"/>
      <c r="IL526" s="53"/>
      <c r="IN526" s="277"/>
      <c r="IO526" s="277"/>
    </row>
    <row r="527" spans="2:249" ht="21.95" customHeight="1">
      <c r="B527" s="2275"/>
      <c r="C527" s="2345">
        <v>825</v>
      </c>
      <c r="D527" s="2346">
        <v>9.4600000000000009</v>
      </c>
      <c r="E527" s="2346">
        <v>10.38</v>
      </c>
      <c r="F527" s="2346">
        <v>11.31</v>
      </c>
      <c r="G527" s="2346">
        <v>11.38</v>
      </c>
      <c r="H527" s="2346">
        <v>12.62</v>
      </c>
      <c r="I527" s="2346">
        <v>12.92</v>
      </c>
      <c r="J527" s="2346">
        <v>14.15</v>
      </c>
      <c r="K527" s="2346">
        <v>15.15</v>
      </c>
      <c r="L527" s="2346">
        <v>16.079999999999998</v>
      </c>
      <c r="M527" s="2346">
        <v>17.079999999999998</v>
      </c>
      <c r="N527" s="2346">
        <v>18</v>
      </c>
      <c r="O527" s="2346">
        <v>20.149999999999999</v>
      </c>
      <c r="P527" s="2346">
        <v>21.08</v>
      </c>
      <c r="Q527" s="2346">
        <v>21.54</v>
      </c>
      <c r="R527" s="2346">
        <v>22.15</v>
      </c>
      <c r="S527" s="2346">
        <v>24.31</v>
      </c>
      <c r="T527" s="2346">
        <v>24.54</v>
      </c>
      <c r="U527" s="2346">
        <v>27.15</v>
      </c>
      <c r="V527" s="2346">
        <v>28.77</v>
      </c>
      <c r="W527" s="2346">
        <v>30.46</v>
      </c>
      <c r="X527" s="2346">
        <v>33</v>
      </c>
      <c r="Y527" s="2346">
        <v>35.69</v>
      </c>
      <c r="Z527" s="2346">
        <v>40.15</v>
      </c>
      <c r="AA527" s="2346">
        <v>44.62</v>
      </c>
      <c r="AB527" s="2346">
        <v>49.85</v>
      </c>
      <c r="AC527" s="2346">
        <v>54.15</v>
      </c>
      <c r="AD527" s="2346">
        <v>61.08</v>
      </c>
      <c r="AE527" s="2347">
        <v>825</v>
      </c>
      <c r="AF527" s="2275"/>
      <c r="AG527" s="2275">
        <f>HLOOKUP(AG520,D521:AD533,5,0)</f>
        <v>13.38</v>
      </c>
      <c r="AH527" s="2275">
        <f t="shared" si="293"/>
        <v>21.08</v>
      </c>
      <c r="AI527" s="2275">
        <v>775</v>
      </c>
      <c r="AJ527" s="2275"/>
      <c r="AK527" s="2275"/>
      <c r="AL527" s="2275"/>
      <c r="AM527" s="2275"/>
      <c r="AN527" s="2275"/>
      <c r="AO527" s="2275"/>
      <c r="AP527" s="2250"/>
      <c r="AQ527" s="2250"/>
      <c r="AR527" s="2250"/>
      <c r="AS527" s="2250"/>
      <c r="AT527" s="2250"/>
      <c r="AU527" s="2250"/>
      <c r="AV527" s="2250"/>
      <c r="AW527" s="2250"/>
      <c r="AX527" s="2250"/>
      <c r="AY527" s="2250"/>
      <c r="AZ527" s="2250"/>
      <c r="BA527" s="2250"/>
      <c r="BB527" s="2250"/>
      <c r="BC527" s="2250"/>
      <c r="BD527" s="2250"/>
      <c r="BE527" s="2250"/>
      <c r="BF527" s="2276"/>
      <c r="BG527" s="2276"/>
      <c r="BH527" s="2250"/>
      <c r="BI527" s="2275"/>
      <c r="BJ527" s="2275"/>
      <c r="BK527" s="2345">
        <v>825</v>
      </c>
      <c r="BL527" s="2346">
        <v>9.4600000000000009</v>
      </c>
      <c r="BM527" s="2346">
        <v>10.38</v>
      </c>
      <c r="BN527" s="2346">
        <v>11.31</v>
      </c>
      <c r="BO527" s="2346">
        <v>11.38</v>
      </c>
      <c r="BP527" s="2346">
        <v>12.62</v>
      </c>
      <c r="BQ527" s="2346">
        <v>12.92</v>
      </c>
      <c r="BR527" s="2346">
        <v>14.15</v>
      </c>
      <c r="BS527" s="2346">
        <v>15.15</v>
      </c>
      <c r="BT527" s="2346">
        <v>16.079999999999998</v>
      </c>
      <c r="BU527" s="2346">
        <v>17.079999999999998</v>
      </c>
      <c r="BV527" s="2346">
        <v>18</v>
      </c>
      <c r="BW527" s="2346">
        <v>20.149999999999999</v>
      </c>
      <c r="BX527" s="2346">
        <v>21.08</v>
      </c>
      <c r="BY527" s="2346">
        <v>21.54</v>
      </c>
      <c r="BZ527" s="2346">
        <v>22.15</v>
      </c>
      <c r="CA527" s="2346">
        <v>24.31</v>
      </c>
      <c r="CB527" s="2346">
        <v>24.54</v>
      </c>
      <c r="CC527" s="2346">
        <v>27.15</v>
      </c>
      <c r="CD527" s="2346">
        <v>28.77</v>
      </c>
      <c r="CE527" s="2346">
        <v>30.46</v>
      </c>
      <c r="CF527" s="2346">
        <v>33</v>
      </c>
      <c r="CG527" s="2346">
        <v>35.69</v>
      </c>
      <c r="CH527" s="2346">
        <v>40.15</v>
      </c>
      <c r="CI527" s="2346">
        <v>44.62</v>
      </c>
      <c r="CJ527" s="2346">
        <v>49.85</v>
      </c>
      <c r="CK527" s="2346">
        <v>54.15</v>
      </c>
      <c r="CL527" s="2346">
        <v>61.08</v>
      </c>
      <c r="CM527" s="2347">
        <v>825</v>
      </c>
      <c r="CN527" s="2275"/>
      <c r="CO527" s="2275">
        <f>HLOOKUP(CO520,BL521:CL533,5,0)</f>
        <v>12.69</v>
      </c>
      <c r="CP527" s="2275">
        <f t="shared" si="294"/>
        <v>20.149999999999999</v>
      </c>
      <c r="CQ527" s="2275">
        <v>775</v>
      </c>
      <c r="CR527" s="2275"/>
      <c r="CS527" s="2275"/>
      <c r="CT527" s="2275"/>
      <c r="CU527" s="2275"/>
      <c r="CV527" s="2275"/>
      <c r="CW527" s="2275"/>
      <c r="CX527" s="2250"/>
      <c r="CY527" s="2250"/>
      <c r="CZ527" s="2250"/>
      <c r="DA527" s="2250"/>
      <c r="DB527" s="2250"/>
      <c r="DC527" s="2250"/>
      <c r="DD527" s="2250"/>
      <c r="DE527" s="2250"/>
      <c r="DF527" s="2250"/>
      <c r="DG527" s="2250"/>
      <c r="DH527" s="2250"/>
      <c r="DI527" s="2250"/>
      <c r="DJ527" s="2250"/>
      <c r="DK527" s="2250"/>
      <c r="DL527" s="2250"/>
      <c r="DM527" s="2250"/>
      <c r="DN527" s="2250"/>
      <c r="DO527" s="53"/>
      <c r="DP527" s="53"/>
      <c r="DS527" s="277"/>
      <c r="DW527" s="1"/>
      <c r="DX527" s="2275"/>
      <c r="DY527" s="2345">
        <v>825</v>
      </c>
      <c r="DZ527" s="2346">
        <v>9.4600000000000009</v>
      </c>
      <c r="EA527" s="2346">
        <v>10.38</v>
      </c>
      <c r="EB527" s="2346">
        <v>11.31</v>
      </c>
      <c r="EC527" s="2346">
        <v>11.38</v>
      </c>
      <c r="ED527" s="2346">
        <v>12.62</v>
      </c>
      <c r="EE527" s="2346">
        <v>12.92</v>
      </c>
      <c r="EF527" s="2346">
        <v>14.15</v>
      </c>
      <c r="EG527" s="2346">
        <v>15.15</v>
      </c>
      <c r="EH527" s="2346">
        <v>16.079999999999998</v>
      </c>
      <c r="EI527" s="2346">
        <v>17.079999999999998</v>
      </c>
      <c r="EJ527" s="2346">
        <v>18</v>
      </c>
      <c r="EK527" s="2346">
        <v>20.149999999999999</v>
      </c>
      <c r="EL527" s="2346">
        <v>21.08</v>
      </c>
      <c r="EM527" s="2346">
        <v>21.54</v>
      </c>
      <c r="EN527" s="2346">
        <v>22.15</v>
      </c>
      <c r="EO527" s="2346">
        <v>24.31</v>
      </c>
      <c r="EP527" s="2346">
        <v>24.54</v>
      </c>
      <c r="EQ527" s="2346">
        <v>27.15</v>
      </c>
      <c r="ER527" s="2346">
        <v>28.77</v>
      </c>
      <c r="ES527" s="2346">
        <v>30.46</v>
      </c>
      <c r="ET527" s="2346">
        <v>33</v>
      </c>
      <c r="EU527" s="2346">
        <v>35.69</v>
      </c>
      <c r="EV527" s="2346">
        <v>40.15</v>
      </c>
      <c r="EW527" s="2346">
        <v>44.62</v>
      </c>
      <c r="EX527" s="2346">
        <v>49.85</v>
      </c>
      <c r="EY527" s="2346">
        <v>54.15</v>
      </c>
      <c r="EZ527" s="2346">
        <v>61.08</v>
      </c>
      <c r="FA527" s="2347">
        <v>825</v>
      </c>
      <c r="FB527" s="2275"/>
      <c r="FC527" s="2275">
        <f>HLOOKUP(FC520,DZ521:EZ533,5,0)</f>
        <v>19.62</v>
      </c>
      <c r="FD527" s="2275">
        <f t="shared" si="295"/>
        <v>31.77</v>
      </c>
      <c r="FE527" s="2275">
        <v>775</v>
      </c>
      <c r="FF527" s="2275"/>
      <c r="FG527" s="2275"/>
      <c r="FH527" s="2275"/>
      <c r="FI527" s="2275"/>
      <c r="FJ527" s="2275"/>
      <c r="FK527" s="2275"/>
      <c r="FL527" s="2250"/>
      <c r="FM527" s="2250"/>
      <c r="FN527" s="2250"/>
      <c r="FO527" s="2250"/>
      <c r="FP527" s="2250"/>
      <c r="FQ527" s="2250"/>
      <c r="FR527" s="2250"/>
      <c r="FS527" s="2250"/>
      <c r="FT527" s="2250"/>
      <c r="FU527" s="2250"/>
      <c r="FV527" s="2250"/>
      <c r="FW527" s="2250"/>
      <c r="FX527" s="2250"/>
      <c r="FY527" s="2250"/>
      <c r="FZ527" s="2250"/>
      <c r="GA527" s="2250"/>
      <c r="GB527" s="2276"/>
      <c r="GC527" s="2276"/>
      <c r="GD527" s="2250"/>
      <c r="GE527" s="2275"/>
      <c r="GF527" s="2275"/>
      <c r="GG527" s="2345">
        <v>825</v>
      </c>
      <c r="GH527" s="2346">
        <v>9.4600000000000009</v>
      </c>
      <c r="GI527" s="2346">
        <v>10.38</v>
      </c>
      <c r="GJ527" s="2346">
        <v>11.31</v>
      </c>
      <c r="GK527" s="2346">
        <v>11.38</v>
      </c>
      <c r="GL527" s="2346">
        <v>12.62</v>
      </c>
      <c r="GM527" s="2346">
        <v>12.92</v>
      </c>
      <c r="GN527" s="2346">
        <v>14.15</v>
      </c>
      <c r="GO527" s="2346">
        <v>15.15</v>
      </c>
      <c r="GP527" s="2346">
        <v>16.079999999999998</v>
      </c>
      <c r="GQ527" s="2346">
        <v>17.079999999999998</v>
      </c>
      <c r="GR527" s="2346">
        <v>18</v>
      </c>
      <c r="GS527" s="2346">
        <v>20.149999999999999</v>
      </c>
      <c r="GT527" s="2346">
        <v>21.08</v>
      </c>
      <c r="GU527" s="2346">
        <v>21.54</v>
      </c>
      <c r="GV527" s="2346">
        <v>22.15</v>
      </c>
      <c r="GW527" s="2346">
        <v>24.31</v>
      </c>
      <c r="GX527" s="2346">
        <v>24.54</v>
      </c>
      <c r="GY527" s="2346">
        <v>27.15</v>
      </c>
      <c r="GZ527" s="2346">
        <v>28.77</v>
      </c>
      <c r="HA527" s="2346">
        <v>30.46</v>
      </c>
      <c r="HB527" s="2346">
        <v>33</v>
      </c>
      <c r="HC527" s="2346">
        <v>35.69</v>
      </c>
      <c r="HD527" s="2346">
        <v>40.15</v>
      </c>
      <c r="HE527" s="2346">
        <v>44.62</v>
      </c>
      <c r="HF527" s="2346">
        <v>49.85</v>
      </c>
      <c r="HG527" s="2346">
        <v>54.15</v>
      </c>
      <c r="HH527" s="2346">
        <v>61.08</v>
      </c>
      <c r="HI527" s="2347">
        <v>825</v>
      </c>
      <c r="HJ527" s="2275"/>
      <c r="HK527" s="2275">
        <f>HLOOKUP(HK520,GH521:HH533,5,0)</f>
        <v>17.920000000000002</v>
      </c>
      <c r="HL527" s="2275">
        <f t="shared" si="296"/>
        <v>28.62</v>
      </c>
      <c r="HM527" s="2275">
        <v>775</v>
      </c>
      <c r="HN527" s="2275"/>
      <c r="HO527" s="2275"/>
      <c r="HP527" s="2275"/>
      <c r="HQ527" s="2275"/>
      <c r="HR527" s="2275"/>
      <c r="HS527" s="2275"/>
      <c r="HT527" s="2250"/>
      <c r="HU527" s="2250"/>
      <c r="HV527" s="2250"/>
      <c r="HW527" s="2250"/>
      <c r="HX527" s="2250"/>
      <c r="HY527" s="2250"/>
      <c r="HZ527" s="2250"/>
      <c r="IA527" s="2250"/>
      <c r="IB527" s="2250"/>
      <c r="IC527" s="2250"/>
      <c r="ID527" s="2250"/>
      <c r="IE527" s="2250"/>
      <c r="IF527" s="2250"/>
      <c r="IG527" s="2250"/>
      <c r="IH527" s="2250"/>
      <c r="II527" s="2250"/>
      <c r="IJ527" s="2250"/>
      <c r="IK527" s="53"/>
      <c r="IL527" s="53"/>
      <c r="IN527" s="277"/>
      <c r="IO527" s="277"/>
    </row>
    <row r="528" spans="2:249" ht="21.95" customHeight="1">
      <c r="B528" s="2275"/>
      <c r="C528" s="2345">
        <v>950</v>
      </c>
      <c r="D528" s="2346">
        <v>13.15</v>
      </c>
      <c r="E528" s="2346">
        <v>14.77</v>
      </c>
      <c r="F528" s="2346">
        <v>16.38</v>
      </c>
      <c r="G528" s="2346">
        <v>17.309999999999999</v>
      </c>
      <c r="H528" s="2346">
        <v>17.309999999999999</v>
      </c>
      <c r="I528" s="2346">
        <v>18.62</v>
      </c>
      <c r="J528" s="2346">
        <v>20.62</v>
      </c>
      <c r="K528" s="2346">
        <v>22</v>
      </c>
      <c r="L528" s="2346">
        <v>23.38</v>
      </c>
      <c r="M528" s="2346">
        <v>25.46</v>
      </c>
      <c r="N528" s="2346">
        <v>26</v>
      </c>
      <c r="O528" s="2346">
        <v>30.46</v>
      </c>
      <c r="P528" s="2346">
        <v>30.62</v>
      </c>
      <c r="Q528" s="2346">
        <v>30.85</v>
      </c>
      <c r="R528" s="2346">
        <v>32.46</v>
      </c>
      <c r="S528" s="2346">
        <v>35.380000000000003</v>
      </c>
      <c r="T528" s="2346">
        <v>37.85</v>
      </c>
      <c r="U528" s="2346">
        <v>39.770000000000003</v>
      </c>
      <c r="V528" s="2346">
        <v>41.77</v>
      </c>
      <c r="W528" s="2346">
        <v>45.85</v>
      </c>
      <c r="X528" s="2346">
        <v>49.31</v>
      </c>
      <c r="Y528" s="2346">
        <v>53.54</v>
      </c>
      <c r="Z528" s="2346">
        <v>58</v>
      </c>
      <c r="AA528" s="2346">
        <v>63.69</v>
      </c>
      <c r="AB528" s="2346">
        <v>70.08</v>
      </c>
      <c r="AC528" s="2346">
        <v>77.23</v>
      </c>
      <c r="AD528" s="2346">
        <v>91.15</v>
      </c>
      <c r="AE528" s="2347">
        <v>950</v>
      </c>
      <c r="AF528" s="2275"/>
      <c r="AG528" s="2275">
        <f>HLOOKUP(AG520,D521:AD533,6,0)</f>
        <v>21.08</v>
      </c>
      <c r="AH528" s="2275">
        <f t="shared" si="293"/>
        <v>27.15</v>
      </c>
      <c r="AI528" s="2275">
        <v>825</v>
      </c>
      <c r="AJ528" s="2275"/>
      <c r="AK528" s="2275"/>
      <c r="AL528" s="2275"/>
      <c r="AM528" s="2275"/>
      <c r="AN528" s="2275"/>
      <c r="AO528" s="2275"/>
      <c r="AP528" s="2250"/>
      <c r="AQ528" s="2250"/>
      <c r="AR528" s="2250"/>
      <c r="AS528" s="2250"/>
      <c r="AT528" s="2250"/>
      <c r="AU528" s="2250"/>
      <c r="AV528" s="2250"/>
      <c r="AW528" s="2250"/>
      <c r="AX528" s="2250"/>
      <c r="AY528" s="2250"/>
      <c r="AZ528" s="2250"/>
      <c r="BA528" s="2250"/>
      <c r="BB528" s="2250"/>
      <c r="BC528" s="2250"/>
      <c r="BD528" s="2250"/>
      <c r="BE528" s="2250"/>
      <c r="BF528" s="2276"/>
      <c r="BG528" s="2276"/>
      <c r="BH528" s="2250"/>
      <c r="BI528" s="2275"/>
      <c r="BJ528" s="2275"/>
      <c r="BK528" s="2345">
        <v>950</v>
      </c>
      <c r="BL528" s="2346">
        <v>13.15</v>
      </c>
      <c r="BM528" s="2346">
        <v>14.77</v>
      </c>
      <c r="BN528" s="2346">
        <v>16.38</v>
      </c>
      <c r="BO528" s="2346">
        <v>17.309999999999999</v>
      </c>
      <c r="BP528" s="2346">
        <v>17.309999999999999</v>
      </c>
      <c r="BQ528" s="2346">
        <v>18.62</v>
      </c>
      <c r="BR528" s="2346">
        <v>20.62</v>
      </c>
      <c r="BS528" s="2346">
        <v>22</v>
      </c>
      <c r="BT528" s="2346">
        <v>23.38</v>
      </c>
      <c r="BU528" s="2346">
        <v>25.46</v>
      </c>
      <c r="BV528" s="2346">
        <v>26</v>
      </c>
      <c r="BW528" s="2346">
        <v>30.46</v>
      </c>
      <c r="BX528" s="2346">
        <v>30.62</v>
      </c>
      <c r="BY528" s="2346">
        <v>30.85</v>
      </c>
      <c r="BZ528" s="2346">
        <v>32.46</v>
      </c>
      <c r="CA528" s="2346">
        <v>35.380000000000003</v>
      </c>
      <c r="CB528" s="2346">
        <v>37.85</v>
      </c>
      <c r="CC528" s="2346">
        <v>39.770000000000003</v>
      </c>
      <c r="CD528" s="2346">
        <v>41.77</v>
      </c>
      <c r="CE528" s="2346">
        <v>45.85</v>
      </c>
      <c r="CF528" s="2346">
        <v>49.31</v>
      </c>
      <c r="CG528" s="2346">
        <v>53.54</v>
      </c>
      <c r="CH528" s="2346">
        <v>58</v>
      </c>
      <c r="CI528" s="2346">
        <v>63.69</v>
      </c>
      <c r="CJ528" s="2346">
        <v>70.08</v>
      </c>
      <c r="CK528" s="2346">
        <v>77.23</v>
      </c>
      <c r="CL528" s="2346">
        <v>91.15</v>
      </c>
      <c r="CM528" s="2347">
        <v>950</v>
      </c>
      <c r="CN528" s="2275"/>
      <c r="CO528" s="2275">
        <f>HLOOKUP(CO520,BL521:CL533,6,0)</f>
        <v>20.149999999999999</v>
      </c>
      <c r="CP528" s="2275">
        <f t="shared" si="294"/>
        <v>24.54</v>
      </c>
      <c r="CQ528" s="2275">
        <v>825</v>
      </c>
      <c r="CR528" s="2275"/>
      <c r="CS528" s="2275"/>
      <c r="CT528" s="2275"/>
      <c r="CU528" s="2275"/>
      <c r="CV528" s="2275"/>
      <c r="CW528" s="2275"/>
      <c r="CX528" s="2250"/>
      <c r="CY528" s="2250"/>
      <c r="CZ528" s="2250"/>
      <c r="DA528" s="2250"/>
      <c r="DB528" s="2250"/>
      <c r="DC528" s="2250"/>
      <c r="DD528" s="2250"/>
      <c r="DE528" s="2250"/>
      <c r="DF528" s="2250"/>
      <c r="DG528" s="2250"/>
      <c r="DH528" s="2250"/>
      <c r="DI528" s="2250"/>
      <c r="DJ528" s="2250"/>
      <c r="DK528" s="2250"/>
      <c r="DL528" s="2250"/>
      <c r="DM528" s="2250"/>
      <c r="DN528" s="2250"/>
      <c r="DO528" s="53"/>
      <c r="DP528" s="53"/>
      <c r="DS528" s="277"/>
      <c r="DW528" s="1"/>
      <c r="DX528" s="2275"/>
      <c r="DY528" s="2345">
        <v>950</v>
      </c>
      <c r="DZ528" s="2346">
        <v>13.15</v>
      </c>
      <c r="EA528" s="2346">
        <v>14.77</v>
      </c>
      <c r="EB528" s="2346">
        <v>16.38</v>
      </c>
      <c r="EC528" s="2346">
        <v>17.309999999999999</v>
      </c>
      <c r="ED528" s="2346">
        <v>17.309999999999999</v>
      </c>
      <c r="EE528" s="2346">
        <v>18.62</v>
      </c>
      <c r="EF528" s="2346">
        <v>20.62</v>
      </c>
      <c r="EG528" s="2346">
        <v>22</v>
      </c>
      <c r="EH528" s="2346">
        <v>23.38</v>
      </c>
      <c r="EI528" s="2346">
        <v>25.46</v>
      </c>
      <c r="EJ528" s="2346">
        <v>26</v>
      </c>
      <c r="EK528" s="2346">
        <v>30.46</v>
      </c>
      <c r="EL528" s="2346">
        <v>30.62</v>
      </c>
      <c r="EM528" s="2346">
        <v>30.85</v>
      </c>
      <c r="EN528" s="2346">
        <v>32.46</v>
      </c>
      <c r="EO528" s="2346">
        <v>35.380000000000003</v>
      </c>
      <c r="EP528" s="2346">
        <v>37.85</v>
      </c>
      <c r="EQ528" s="2346">
        <v>39.770000000000003</v>
      </c>
      <c r="ER528" s="2346">
        <v>41.77</v>
      </c>
      <c r="ES528" s="2346">
        <v>45.85</v>
      </c>
      <c r="ET528" s="2346">
        <v>49.31</v>
      </c>
      <c r="EU528" s="2346">
        <v>53.54</v>
      </c>
      <c r="EV528" s="2346">
        <v>58</v>
      </c>
      <c r="EW528" s="2346">
        <v>63.69</v>
      </c>
      <c r="EX528" s="2346">
        <v>70.08</v>
      </c>
      <c r="EY528" s="2346">
        <v>77.23</v>
      </c>
      <c r="EZ528" s="2346">
        <v>91.15</v>
      </c>
      <c r="FA528" s="2347">
        <v>950</v>
      </c>
      <c r="FB528" s="2275"/>
      <c r="FC528" s="2275">
        <f>HLOOKUP(FC520,DZ521:EZ533,6,0)</f>
        <v>31.77</v>
      </c>
      <c r="FD528" s="2275">
        <f t="shared" si="295"/>
        <v>40.15</v>
      </c>
      <c r="FE528" s="2275">
        <v>825</v>
      </c>
      <c r="FF528" s="2275"/>
      <c r="FG528" s="2275"/>
      <c r="FH528" s="2275"/>
      <c r="FI528" s="2275"/>
      <c r="FJ528" s="2275"/>
      <c r="FK528" s="2275"/>
      <c r="FL528" s="2250"/>
      <c r="FM528" s="2250"/>
      <c r="FN528" s="2250"/>
      <c r="FO528" s="2250"/>
      <c r="FP528" s="2250"/>
      <c r="FQ528" s="2250"/>
      <c r="FR528" s="2250"/>
      <c r="FS528" s="2250"/>
      <c r="FT528" s="2250"/>
      <c r="FU528" s="2250"/>
      <c r="FV528" s="2250"/>
      <c r="FW528" s="2250"/>
      <c r="FX528" s="2250"/>
      <c r="FY528" s="2250"/>
      <c r="FZ528" s="2250"/>
      <c r="GA528" s="2250"/>
      <c r="GB528" s="2276"/>
      <c r="GC528" s="2276"/>
      <c r="GD528" s="2250"/>
      <c r="GE528" s="2275"/>
      <c r="GF528" s="2275"/>
      <c r="GG528" s="2345">
        <v>950</v>
      </c>
      <c r="GH528" s="2346">
        <v>13.15</v>
      </c>
      <c r="GI528" s="2346">
        <v>14.77</v>
      </c>
      <c r="GJ528" s="2346">
        <v>16.38</v>
      </c>
      <c r="GK528" s="2346">
        <v>17.309999999999999</v>
      </c>
      <c r="GL528" s="2346">
        <v>17.309999999999999</v>
      </c>
      <c r="GM528" s="2346">
        <v>18.62</v>
      </c>
      <c r="GN528" s="2346">
        <v>20.62</v>
      </c>
      <c r="GO528" s="2346">
        <v>22</v>
      </c>
      <c r="GP528" s="2346">
        <v>23.38</v>
      </c>
      <c r="GQ528" s="2346">
        <v>25.46</v>
      </c>
      <c r="GR528" s="2346">
        <v>26</v>
      </c>
      <c r="GS528" s="2346">
        <v>30.46</v>
      </c>
      <c r="GT528" s="2346">
        <v>30.62</v>
      </c>
      <c r="GU528" s="2346">
        <v>30.85</v>
      </c>
      <c r="GV528" s="2346">
        <v>32.46</v>
      </c>
      <c r="GW528" s="2346">
        <v>35.380000000000003</v>
      </c>
      <c r="GX528" s="2346">
        <v>37.85</v>
      </c>
      <c r="GY528" s="2346">
        <v>39.770000000000003</v>
      </c>
      <c r="GZ528" s="2346">
        <v>41.77</v>
      </c>
      <c r="HA528" s="2346">
        <v>45.85</v>
      </c>
      <c r="HB528" s="2346">
        <v>49.31</v>
      </c>
      <c r="HC528" s="2346">
        <v>53.54</v>
      </c>
      <c r="HD528" s="2346">
        <v>58</v>
      </c>
      <c r="HE528" s="2346">
        <v>63.69</v>
      </c>
      <c r="HF528" s="2346">
        <v>70.08</v>
      </c>
      <c r="HG528" s="2346">
        <v>77.23</v>
      </c>
      <c r="HH528" s="2346">
        <v>91.15</v>
      </c>
      <c r="HI528" s="2347">
        <v>950</v>
      </c>
      <c r="HJ528" s="2275"/>
      <c r="HK528" s="2275">
        <f>HLOOKUP(HK520,GH521:HH533,6,0)</f>
        <v>28.62</v>
      </c>
      <c r="HL528" s="2275">
        <f t="shared" si="296"/>
        <v>35.69</v>
      </c>
      <c r="HM528" s="2275">
        <v>825</v>
      </c>
      <c r="HN528" s="2275"/>
      <c r="HO528" s="2275"/>
      <c r="HP528" s="2275"/>
      <c r="HQ528" s="2275"/>
      <c r="HR528" s="2275"/>
      <c r="HS528" s="2275"/>
      <c r="HT528" s="2250"/>
      <c r="HU528" s="2250"/>
      <c r="HV528" s="2250"/>
      <c r="HW528" s="2250"/>
      <c r="HX528" s="2250"/>
      <c r="HY528" s="2250"/>
      <c r="HZ528" s="2250"/>
      <c r="IA528" s="2250"/>
      <c r="IB528" s="2250"/>
      <c r="IC528" s="2250"/>
      <c r="ID528" s="2250"/>
      <c r="IE528" s="2250"/>
      <c r="IF528" s="2250"/>
      <c r="IG528" s="2250"/>
      <c r="IH528" s="2250"/>
      <c r="II528" s="2250"/>
      <c r="IJ528" s="2250"/>
      <c r="IK528" s="53"/>
      <c r="IL528" s="53"/>
      <c r="IN528" s="277"/>
      <c r="IO528" s="277"/>
    </row>
    <row r="529" spans="2:249" ht="21.95" customHeight="1">
      <c r="B529" s="2275"/>
      <c r="C529" s="2345">
        <v>1100</v>
      </c>
      <c r="D529" s="2346">
        <v>17.62</v>
      </c>
      <c r="E529" s="2346">
        <v>19.850000000000001</v>
      </c>
      <c r="F529" s="2346">
        <v>22</v>
      </c>
      <c r="G529" s="2346">
        <v>24.38</v>
      </c>
      <c r="H529" s="2346">
        <v>26.62</v>
      </c>
      <c r="I529" s="2346">
        <v>25.08</v>
      </c>
      <c r="J529" s="2346">
        <v>27.77</v>
      </c>
      <c r="K529" s="2346">
        <v>30.38</v>
      </c>
      <c r="L529" s="2346">
        <v>32.380000000000003</v>
      </c>
      <c r="M529" s="2346">
        <v>34.380000000000003</v>
      </c>
      <c r="N529" s="2346">
        <v>40.31</v>
      </c>
      <c r="O529" s="2346">
        <v>43</v>
      </c>
      <c r="P529" s="2346">
        <v>45.85</v>
      </c>
      <c r="Q529" s="2346">
        <v>44.54</v>
      </c>
      <c r="R529" s="2346">
        <v>47.77</v>
      </c>
      <c r="S529" s="2346">
        <v>50.38</v>
      </c>
      <c r="T529" s="2346">
        <v>54.77</v>
      </c>
      <c r="U529" s="2346">
        <v>57.23</v>
      </c>
      <c r="V529" s="2346">
        <v>60.69</v>
      </c>
      <c r="W529" s="2346">
        <v>67.23</v>
      </c>
      <c r="X529" s="2346">
        <v>70.849999999999994</v>
      </c>
      <c r="Y529" s="2346">
        <v>77.69</v>
      </c>
      <c r="Z529" s="2346">
        <v>85.15</v>
      </c>
      <c r="AA529" s="2346">
        <v>101.92</v>
      </c>
      <c r="AB529" s="2346">
        <v>104</v>
      </c>
      <c r="AC529" s="2346">
        <v>120.54</v>
      </c>
      <c r="AD529" s="2346">
        <v>136</v>
      </c>
      <c r="AE529" s="2347">
        <v>1100</v>
      </c>
      <c r="AF529" s="2275"/>
      <c r="AG529" s="2275">
        <f>HLOOKUP(AG520,D521:AD533,7,0)</f>
        <v>27.15</v>
      </c>
      <c r="AH529" s="2275">
        <f t="shared" si="293"/>
        <v>39.770000000000003</v>
      </c>
      <c r="AI529" s="2275">
        <v>950</v>
      </c>
      <c r="AJ529" s="2275"/>
      <c r="AK529" s="2275"/>
      <c r="AL529" s="2275"/>
      <c r="AM529" s="2275"/>
      <c r="AN529" s="2275"/>
      <c r="AO529" s="2275"/>
      <c r="AP529" s="2250"/>
      <c r="AQ529" s="2250"/>
      <c r="AR529" s="2250"/>
      <c r="AS529" s="2250"/>
      <c r="AT529" s="2250"/>
      <c r="AU529" s="2250"/>
      <c r="AV529" s="2250"/>
      <c r="AW529" s="2250"/>
      <c r="AX529" s="2250"/>
      <c r="AY529" s="2250"/>
      <c r="AZ529" s="2250"/>
      <c r="BA529" s="2250"/>
      <c r="BB529" s="2250"/>
      <c r="BC529" s="2250"/>
      <c r="BD529" s="2250"/>
      <c r="BE529" s="2250"/>
      <c r="BF529" s="2276"/>
      <c r="BG529" s="2276"/>
      <c r="BH529" s="2250"/>
      <c r="BI529" s="2275"/>
      <c r="BJ529" s="2275"/>
      <c r="BK529" s="2345">
        <v>1100</v>
      </c>
      <c r="BL529" s="2346">
        <v>17.62</v>
      </c>
      <c r="BM529" s="2346">
        <v>19.850000000000001</v>
      </c>
      <c r="BN529" s="2346">
        <v>22</v>
      </c>
      <c r="BO529" s="2346">
        <v>24.38</v>
      </c>
      <c r="BP529" s="2346">
        <v>26.62</v>
      </c>
      <c r="BQ529" s="2346">
        <v>25.08</v>
      </c>
      <c r="BR529" s="2346">
        <v>27.77</v>
      </c>
      <c r="BS529" s="2346">
        <v>30.38</v>
      </c>
      <c r="BT529" s="2346">
        <v>32.380000000000003</v>
      </c>
      <c r="BU529" s="2346">
        <v>34.380000000000003</v>
      </c>
      <c r="BV529" s="2346">
        <v>40.31</v>
      </c>
      <c r="BW529" s="2346">
        <v>43</v>
      </c>
      <c r="BX529" s="2346">
        <v>45.85</v>
      </c>
      <c r="BY529" s="2346">
        <v>44.54</v>
      </c>
      <c r="BZ529" s="2346">
        <v>47.77</v>
      </c>
      <c r="CA529" s="2346">
        <v>50.38</v>
      </c>
      <c r="CB529" s="2346">
        <v>54.77</v>
      </c>
      <c r="CC529" s="2346">
        <v>57.23</v>
      </c>
      <c r="CD529" s="2346">
        <v>60.69</v>
      </c>
      <c r="CE529" s="2346">
        <v>67.23</v>
      </c>
      <c r="CF529" s="2346">
        <v>70.849999999999994</v>
      </c>
      <c r="CG529" s="2346">
        <v>77.69</v>
      </c>
      <c r="CH529" s="2346">
        <v>85.15</v>
      </c>
      <c r="CI529" s="2346">
        <v>101.92</v>
      </c>
      <c r="CJ529" s="2346">
        <v>104</v>
      </c>
      <c r="CK529" s="2346">
        <v>120.54</v>
      </c>
      <c r="CL529" s="2346">
        <v>136</v>
      </c>
      <c r="CM529" s="2347">
        <v>1100</v>
      </c>
      <c r="CN529" s="2275"/>
      <c r="CO529" s="2275">
        <f>HLOOKUP(CO520,BL521:CL533,7,0)</f>
        <v>24.54</v>
      </c>
      <c r="CP529" s="2275">
        <f t="shared" si="294"/>
        <v>37.85</v>
      </c>
      <c r="CQ529" s="2275">
        <v>950</v>
      </c>
      <c r="CR529" s="2275"/>
      <c r="CS529" s="2275"/>
      <c r="CT529" s="2275"/>
      <c r="CU529" s="2275"/>
      <c r="CV529" s="2275"/>
      <c r="CW529" s="2275"/>
      <c r="CX529" s="2250"/>
      <c r="CY529" s="2250"/>
      <c r="CZ529" s="2250"/>
      <c r="DA529" s="2250"/>
      <c r="DB529" s="2250"/>
      <c r="DC529" s="2250"/>
      <c r="DD529" s="2250"/>
      <c r="DE529" s="2250"/>
      <c r="DF529" s="2250"/>
      <c r="DG529" s="2250"/>
      <c r="DH529" s="2250"/>
      <c r="DI529" s="2250"/>
      <c r="DJ529" s="2250"/>
      <c r="DK529" s="2250"/>
      <c r="DL529" s="2250"/>
      <c r="DM529" s="2250"/>
      <c r="DN529" s="2250"/>
      <c r="DO529" s="53"/>
      <c r="DP529" s="53"/>
      <c r="DS529" s="277"/>
      <c r="DW529" s="1"/>
      <c r="DX529" s="2275"/>
      <c r="DY529" s="2345">
        <v>1100</v>
      </c>
      <c r="DZ529" s="2346">
        <v>17.62</v>
      </c>
      <c r="EA529" s="2346">
        <v>19.850000000000001</v>
      </c>
      <c r="EB529" s="2346">
        <v>22</v>
      </c>
      <c r="EC529" s="2346">
        <v>24.38</v>
      </c>
      <c r="ED529" s="2346">
        <v>26.62</v>
      </c>
      <c r="EE529" s="2346">
        <v>25.08</v>
      </c>
      <c r="EF529" s="2346">
        <v>27.77</v>
      </c>
      <c r="EG529" s="2346">
        <v>30.38</v>
      </c>
      <c r="EH529" s="2346">
        <v>32.380000000000003</v>
      </c>
      <c r="EI529" s="2346">
        <v>34.380000000000003</v>
      </c>
      <c r="EJ529" s="2346">
        <v>40.31</v>
      </c>
      <c r="EK529" s="2346">
        <v>43</v>
      </c>
      <c r="EL529" s="2346">
        <v>45.85</v>
      </c>
      <c r="EM529" s="2346">
        <v>44.54</v>
      </c>
      <c r="EN529" s="2346">
        <v>47.77</v>
      </c>
      <c r="EO529" s="2346">
        <v>50.38</v>
      </c>
      <c r="EP529" s="2346">
        <v>54.77</v>
      </c>
      <c r="EQ529" s="2346">
        <v>57.23</v>
      </c>
      <c r="ER529" s="2346">
        <v>60.69</v>
      </c>
      <c r="ES529" s="2346">
        <v>67.23</v>
      </c>
      <c r="ET529" s="2346">
        <v>70.849999999999994</v>
      </c>
      <c r="EU529" s="2346">
        <v>77.69</v>
      </c>
      <c r="EV529" s="2346">
        <v>85.15</v>
      </c>
      <c r="EW529" s="2346">
        <v>101.92</v>
      </c>
      <c r="EX529" s="2346">
        <v>104</v>
      </c>
      <c r="EY529" s="2346">
        <v>120.54</v>
      </c>
      <c r="EZ529" s="2346">
        <v>136</v>
      </c>
      <c r="FA529" s="2347">
        <v>1100</v>
      </c>
      <c r="FB529" s="2275"/>
      <c r="FC529" s="2275">
        <f>HLOOKUP(FC520,DZ521:EZ533,7,0)</f>
        <v>40.15</v>
      </c>
      <c r="FD529" s="2275">
        <f t="shared" si="295"/>
        <v>58</v>
      </c>
      <c r="FE529" s="2275">
        <v>950</v>
      </c>
      <c r="FF529" s="2275"/>
      <c r="FG529" s="2275"/>
      <c r="FH529" s="2275"/>
      <c r="FI529" s="2275"/>
      <c r="FJ529" s="2275"/>
      <c r="FK529" s="2275"/>
      <c r="FL529" s="2250"/>
      <c r="FM529" s="2250"/>
      <c r="FN529" s="2250"/>
      <c r="FO529" s="2250"/>
      <c r="FP529" s="2250"/>
      <c r="FQ529" s="2250"/>
      <c r="FR529" s="2250"/>
      <c r="FS529" s="2250"/>
      <c r="FT529" s="2250"/>
      <c r="FU529" s="2250"/>
      <c r="FV529" s="2250"/>
      <c r="FW529" s="2250"/>
      <c r="FX529" s="2250"/>
      <c r="FY529" s="2250"/>
      <c r="FZ529" s="2250"/>
      <c r="GA529" s="2250"/>
      <c r="GB529" s="2276"/>
      <c r="GC529" s="2276"/>
      <c r="GD529" s="2250"/>
      <c r="GE529" s="2275"/>
      <c r="GF529" s="2275"/>
      <c r="GG529" s="2345">
        <v>1100</v>
      </c>
      <c r="GH529" s="2346">
        <v>17.62</v>
      </c>
      <c r="GI529" s="2346">
        <v>19.850000000000001</v>
      </c>
      <c r="GJ529" s="2346">
        <v>22</v>
      </c>
      <c r="GK529" s="2346">
        <v>24.38</v>
      </c>
      <c r="GL529" s="2346">
        <v>26.62</v>
      </c>
      <c r="GM529" s="2346">
        <v>25.08</v>
      </c>
      <c r="GN529" s="2346">
        <v>27.77</v>
      </c>
      <c r="GO529" s="2346">
        <v>30.38</v>
      </c>
      <c r="GP529" s="2346">
        <v>32.380000000000003</v>
      </c>
      <c r="GQ529" s="2346">
        <v>34.380000000000003</v>
      </c>
      <c r="GR529" s="2346">
        <v>40.31</v>
      </c>
      <c r="GS529" s="2346">
        <v>43</v>
      </c>
      <c r="GT529" s="2346">
        <v>45.85</v>
      </c>
      <c r="GU529" s="2346">
        <v>44.54</v>
      </c>
      <c r="GV529" s="2346">
        <v>47.77</v>
      </c>
      <c r="GW529" s="2346">
        <v>50.38</v>
      </c>
      <c r="GX529" s="2346">
        <v>54.77</v>
      </c>
      <c r="GY529" s="2346">
        <v>57.23</v>
      </c>
      <c r="GZ529" s="2346">
        <v>60.69</v>
      </c>
      <c r="HA529" s="2346">
        <v>67.23</v>
      </c>
      <c r="HB529" s="2346">
        <v>70.849999999999994</v>
      </c>
      <c r="HC529" s="2346">
        <v>77.69</v>
      </c>
      <c r="HD529" s="2346">
        <v>85.15</v>
      </c>
      <c r="HE529" s="2346">
        <v>101.92</v>
      </c>
      <c r="HF529" s="2346">
        <v>104</v>
      </c>
      <c r="HG529" s="2346">
        <v>120.54</v>
      </c>
      <c r="HH529" s="2346">
        <v>136</v>
      </c>
      <c r="HI529" s="2347">
        <v>1100</v>
      </c>
      <c r="HJ529" s="2275"/>
      <c r="HK529" s="2275">
        <f>HLOOKUP(HK520,GH521:HH533,7,0)</f>
        <v>35.69</v>
      </c>
      <c r="HL529" s="2275">
        <f t="shared" si="296"/>
        <v>53.54</v>
      </c>
      <c r="HM529" s="2275">
        <v>950</v>
      </c>
      <c r="HN529" s="2275"/>
      <c r="HO529" s="2275"/>
      <c r="HP529" s="2275"/>
      <c r="HQ529" s="2275"/>
      <c r="HR529" s="2275"/>
      <c r="HS529" s="2275"/>
      <c r="HT529" s="2250"/>
      <c r="HU529" s="2250"/>
      <c r="HV529" s="2250"/>
      <c r="HW529" s="2250"/>
      <c r="HX529" s="2250"/>
      <c r="HY529" s="2250"/>
      <c r="HZ529" s="2250"/>
      <c r="IA529" s="2250"/>
      <c r="IB529" s="2250"/>
      <c r="IC529" s="2250"/>
      <c r="ID529" s="2250"/>
      <c r="IE529" s="2250"/>
      <c r="IF529" s="2250"/>
      <c r="IG529" s="2250"/>
      <c r="IH529" s="2250"/>
      <c r="II529" s="2250"/>
      <c r="IJ529" s="2250"/>
      <c r="IK529" s="53"/>
      <c r="IL529" s="53"/>
      <c r="IN529" s="277"/>
      <c r="IO529" s="277"/>
    </row>
    <row r="530" spans="2:249" ht="21.95" customHeight="1">
      <c r="B530" s="2275"/>
      <c r="C530" s="2345">
        <v>1250</v>
      </c>
      <c r="D530" s="2346">
        <v>25.92</v>
      </c>
      <c r="E530" s="2346">
        <v>29.23</v>
      </c>
      <c r="F530" s="2346">
        <v>32.31</v>
      </c>
      <c r="G530" s="2346">
        <v>35.85</v>
      </c>
      <c r="H530" s="2346">
        <v>38.619999999999997</v>
      </c>
      <c r="I530" s="2346">
        <v>36.770000000000003</v>
      </c>
      <c r="J530" s="2346">
        <v>40.770000000000003</v>
      </c>
      <c r="K530" s="2346">
        <v>43.38</v>
      </c>
      <c r="L530" s="2346">
        <v>47.54</v>
      </c>
      <c r="M530" s="2346">
        <v>48</v>
      </c>
      <c r="N530" s="2346">
        <v>55.15</v>
      </c>
      <c r="O530" s="2346">
        <v>61.62</v>
      </c>
      <c r="P530" s="2346">
        <v>62.23</v>
      </c>
      <c r="Q530" s="2346">
        <v>65.38</v>
      </c>
      <c r="R530" s="2346">
        <v>68.459999999999994</v>
      </c>
      <c r="S530" s="2346">
        <v>73.69</v>
      </c>
      <c r="T530" s="2346">
        <v>77.31</v>
      </c>
      <c r="U530" s="2346">
        <v>84.08</v>
      </c>
      <c r="V530" s="2346">
        <v>89.15</v>
      </c>
      <c r="W530" s="2346">
        <v>96.15</v>
      </c>
      <c r="X530" s="2346">
        <v>102.46</v>
      </c>
      <c r="Y530" s="2346">
        <v>107.31</v>
      </c>
      <c r="Z530" s="2346">
        <v>119.08</v>
      </c>
      <c r="AA530" s="2346">
        <v>129.15</v>
      </c>
      <c r="AB530" s="2346">
        <v>146.62</v>
      </c>
      <c r="AC530" s="2346">
        <v>168.31</v>
      </c>
      <c r="AD530" s="2346">
        <v>177.46</v>
      </c>
      <c r="AE530" s="2347">
        <v>1250</v>
      </c>
      <c r="AF530" s="2275"/>
      <c r="AG530" s="2275">
        <f>HLOOKUP(AG520,D521:AD533,8,0)</f>
        <v>39.770000000000003</v>
      </c>
      <c r="AH530" s="2275">
        <f t="shared" si="293"/>
        <v>57.23</v>
      </c>
      <c r="AI530" s="2275">
        <v>1100</v>
      </c>
      <c r="AJ530" s="2275"/>
      <c r="AK530" s="2275"/>
      <c r="AL530" s="2275"/>
      <c r="AM530" s="2275"/>
      <c r="AN530" s="2275"/>
      <c r="AO530" s="2275"/>
      <c r="AP530" s="2250"/>
      <c r="AQ530" s="2250"/>
      <c r="AR530" s="2250"/>
      <c r="AS530" s="2250"/>
      <c r="AT530" s="2250"/>
      <c r="AU530" s="2250"/>
      <c r="AV530" s="2250"/>
      <c r="AW530" s="2250"/>
      <c r="AX530" s="2250"/>
      <c r="AY530" s="2250"/>
      <c r="AZ530" s="2250"/>
      <c r="BA530" s="2250"/>
      <c r="BB530" s="2250"/>
      <c r="BC530" s="2250"/>
      <c r="BD530" s="2250"/>
      <c r="BE530" s="2250"/>
      <c r="BF530" s="2276"/>
      <c r="BG530" s="2276"/>
      <c r="BH530" s="2250"/>
      <c r="BI530" s="2275"/>
      <c r="BJ530" s="2275"/>
      <c r="BK530" s="2345">
        <v>1250</v>
      </c>
      <c r="BL530" s="2346">
        <v>25.92</v>
      </c>
      <c r="BM530" s="2346">
        <v>29.23</v>
      </c>
      <c r="BN530" s="2346">
        <v>32.31</v>
      </c>
      <c r="BO530" s="2346">
        <v>35.85</v>
      </c>
      <c r="BP530" s="2346">
        <v>38.619999999999997</v>
      </c>
      <c r="BQ530" s="2346">
        <v>36.770000000000003</v>
      </c>
      <c r="BR530" s="2346">
        <v>40.770000000000003</v>
      </c>
      <c r="BS530" s="2346">
        <v>43.38</v>
      </c>
      <c r="BT530" s="2346">
        <v>47.54</v>
      </c>
      <c r="BU530" s="2346">
        <v>48</v>
      </c>
      <c r="BV530" s="2346">
        <v>55.15</v>
      </c>
      <c r="BW530" s="2346">
        <v>61.62</v>
      </c>
      <c r="BX530" s="2346">
        <v>62.23</v>
      </c>
      <c r="BY530" s="2346">
        <v>65.38</v>
      </c>
      <c r="BZ530" s="2346">
        <v>68.459999999999994</v>
      </c>
      <c r="CA530" s="2346">
        <v>73.69</v>
      </c>
      <c r="CB530" s="2346">
        <v>77.31</v>
      </c>
      <c r="CC530" s="2346">
        <v>84.08</v>
      </c>
      <c r="CD530" s="2346">
        <v>89.15</v>
      </c>
      <c r="CE530" s="2346">
        <v>96.15</v>
      </c>
      <c r="CF530" s="2346">
        <v>102.46</v>
      </c>
      <c r="CG530" s="2346">
        <v>107.31</v>
      </c>
      <c r="CH530" s="2346">
        <v>119.08</v>
      </c>
      <c r="CI530" s="2346">
        <v>129.15</v>
      </c>
      <c r="CJ530" s="2346">
        <v>146.62</v>
      </c>
      <c r="CK530" s="2346">
        <v>168.31</v>
      </c>
      <c r="CL530" s="2346">
        <v>177.46</v>
      </c>
      <c r="CM530" s="2347">
        <v>1250</v>
      </c>
      <c r="CN530" s="2275"/>
      <c r="CO530" s="2275">
        <f>HLOOKUP(CO520,BL521:CL533,8,0)</f>
        <v>37.85</v>
      </c>
      <c r="CP530" s="2275">
        <f t="shared" si="294"/>
        <v>54.77</v>
      </c>
      <c r="CQ530" s="2275">
        <v>1100</v>
      </c>
      <c r="CR530" s="2275"/>
      <c r="CS530" s="2275"/>
      <c r="CT530" s="2275"/>
      <c r="CU530" s="2275"/>
      <c r="CV530" s="2275"/>
      <c r="CW530" s="2275"/>
      <c r="CX530" s="2250"/>
      <c r="CY530" s="2250"/>
      <c r="CZ530" s="2250"/>
      <c r="DA530" s="2250"/>
      <c r="DB530" s="2250"/>
      <c r="DC530" s="2250"/>
      <c r="DD530" s="2250"/>
      <c r="DE530" s="2250"/>
      <c r="DF530" s="2250"/>
      <c r="DG530" s="2250"/>
      <c r="DH530" s="2250"/>
      <c r="DI530" s="2250"/>
      <c r="DJ530" s="2250"/>
      <c r="DK530" s="2250"/>
      <c r="DL530" s="2250"/>
      <c r="DM530" s="2250"/>
      <c r="DN530" s="2250"/>
      <c r="DO530" s="53"/>
      <c r="DP530" s="53"/>
      <c r="DS530" s="277"/>
      <c r="DW530" s="1"/>
      <c r="DX530" s="2275"/>
      <c r="DY530" s="2345">
        <v>1250</v>
      </c>
      <c r="DZ530" s="2346">
        <v>25.92</v>
      </c>
      <c r="EA530" s="2346">
        <v>29.23</v>
      </c>
      <c r="EB530" s="2346">
        <v>32.31</v>
      </c>
      <c r="EC530" s="2346">
        <v>35.85</v>
      </c>
      <c r="ED530" s="2346">
        <v>38.619999999999997</v>
      </c>
      <c r="EE530" s="2346">
        <v>36.770000000000003</v>
      </c>
      <c r="EF530" s="2346">
        <v>40.770000000000003</v>
      </c>
      <c r="EG530" s="2346">
        <v>43.38</v>
      </c>
      <c r="EH530" s="2346">
        <v>47.54</v>
      </c>
      <c r="EI530" s="2346">
        <v>48</v>
      </c>
      <c r="EJ530" s="2346">
        <v>55.15</v>
      </c>
      <c r="EK530" s="2346">
        <v>61.62</v>
      </c>
      <c r="EL530" s="2346">
        <v>62.23</v>
      </c>
      <c r="EM530" s="2346">
        <v>65.38</v>
      </c>
      <c r="EN530" s="2346">
        <v>68.459999999999994</v>
      </c>
      <c r="EO530" s="2346">
        <v>73.69</v>
      </c>
      <c r="EP530" s="2346">
        <v>77.31</v>
      </c>
      <c r="EQ530" s="2346">
        <v>84.08</v>
      </c>
      <c r="ER530" s="2346">
        <v>89.15</v>
      </c>
      <c r="ES530" s="2346">
        <v>96.15</v>
      </c>
      <c r="ET530" s="2346">
        <v>102.46</v>
      </c>
      <c r="EU530" s="2346">
        <v>107.31</v>
      </c>
      <c r="EV530" s="2346">
        <v>119.08</v>
      </c>
      <c r="EW530" s="2346">
        <v>129.15</v>
      </c>
      <c r="EX530" s="2346">
        <v>146.62</v>
      </c>
      <c r="EY530" s="2346">
        <v>168.31</v>
      </c>
      <c r="EZ530" s="2346">
        <v>177.46</v>
      </c>
      <c r="FA530" s="2347">
        <v>1250</v>
      </c>
      <c r="FB530" s="2275"/>
      <c r="FC530" s="2275">
        <f>HLOOKUP(FC520,DZ521:EZ533,8,0)</f>
        <v>58</v>
      </c>
      <c r="FD530" s="2275">
        <f t="shared" si="295"/>
        <v>85.15</v>
      </c>
      <c r="FE530" s="2275">
        <v>1100</v>
      </c>
      <c r="FF530" s="2275"/>
      <c r="FG530" s="2275"/>
      <c r="FH530" s="2275"/>
      <c r="FI530" s="2275"/>
      <c r="FJ530" s="2275"/>
      <c r="FK530" s="2275"/>
      <c r="FL530" s="2250"/>
      <c r="FM530" s="2250"/>
      <c r="FN530" s="2250"/>
      <c r="FO530" s="2250"/>
      <c r="FP530" s="2250"/>
      <c r="FQ530" s="2250"/>
      <c r="FR530" s="2250"/>
      <c r="FS530" s="2250"/>
      <c r="FT530" s="2250"/>
      <c r="FU530" s="2250"/>
      <c r="FV530" s="2250"/>
      <c r="FW530" s="2250"/>
      <c r="FX530" s="2250"/>
      <c r="FY530" s="2250"/>
      <c r="FZ530" s="2250"/>
      <c r="GA530" s="2250"/>
      <c r="GB530" s="2276"/>
      <c r="GC530" s="2276"/>
      <c r="GD530" s="2250"/>
      <c r="GE530" s="2275"/>
      <c r="GF530" s="2275"/>
      <c r="GG530" s="2345">
        <v>1250</v>
      </c>
      <c r="GH530" s="2346">
        <v>25.92</v>
      </c>
      <c r="GI530" s="2346">
        <v>29.23</v>
      </c>
      <c r="GJ530" s="2346">
        <v>32.31</v>
      </c>
      <c r="GK530" s="2346">
        <v>35.85</v>
      </c>
      <c r="GL530" s="2346">
        <v>38.619999999999997</v>
      </c>
      <c r="GM530" s="2346">
        <v>36.770000000000003</v>
      </c>
      <c r="GN530" s="2346">
        <v>40.770000000000003</v>
      </c>
      <c r="GO530" s="2346">
        <v>43.38</v>
      </c>
      <c r="GP530" s="2346">
        <v>47.54</v>
      </c>
      <c r="GQ530" s="2346">
        <v>48</v>
      </c>
      <c r="GR530" s="2346">
        <v>55.15</v>
      </c>
      <c r="GS530" s="2346">
        <v>61.62</v>
      </c>
      <c r="GT530" s="2346">
        <v>62.23</v>
      </c>
      <c r="GU530" s="2346">
        <v>65.38</v>
      </c>
      <c r="GV530" s="2346">
        <v>68.459999999999994</v>
      </c>
      <c r="GW530" s="2346">
        <v>73.69</v>
      </c>
      <c r="GX530" s="2346">
        <v>77.31</v>
      </c>
      <c r="GY530" s="2346">
        <v>84.08</v>
      </c>
      <c r="GZ530" s="2346">
        <v>89.15</v>
      </c>
      <c r="HA530" s="2346">
        <v>96.15</v>
      </c>
      <c r="HB530" s="2346">
        <v>102.46</v>
      </c>
      <c r="HC530" s="2346">
        <v>107.31</v>
      </c>
      <c r="HD530" s="2346">
        <v>119.08</v>
      </c>
      <c r="HE530" s="2346">
        <v>129.15</v>
      </c>
      <c r="HF530" s="2346">
        <v>146.62</v>
      </c>
      <c r="HG530" s="2346">
        <v>168.31</v>
      </c>
      <c r="HH530" s="2346">
        <v>177.46</v>
      </c>
      <c r="HI530" s="2347">
        <v>1250</v>
      </c>
      <c r="HJ530" s="2275"/>
      <c r="HK530" s="2275">
        <f>HLOOKUP(HK520,GH521:HH533,8,0)</f>
        <v>53.54</v>
      </c>
      <c r="HL530" s="2275">
        <f t="shared" si="296"/>
        <v>77.69</v>
      </c>
      <c r="HM530" s="2275">
        <v>1100</v>
      </c>
      <c r="HN530" s="2275"/>
      <c r="HO530" s="2275"/>
      <c r="HP530" s="2275"/>
      <c r="HQ530" s="2275"/>
      <c r="HR530" s="2275"/>
      <c r="HS530" s="2275"/>
      <c r="HT530" s="2250"/>
      <c r="HU530" s="2250"/>
      <c r="HV530" s="2250"/>
      <c r="HW530" s="2250"/>
      <c r="HX530" s="2250"/>
      <c r="HY530" s="2250"/>
      <c r="HZ530" s="2250"/>
      <c r="IA530" s="2250"/>
      <c r="IB530" s="2250"/>
      <c r="IC530" s="2250"/>
      <c r="ID530" s="2250"/>
      <c r="IE530" s="2250"/>
      <c r="IF530" s="2250"/>
      <c r="IG530" s="2250"/>
      <c r="IH530" s="2250"/>
      <c r="II530" s="2250"/>
      <c r="IJ530" s="2250"/>
      <c r="IK530" s="53"/>
      <c r="IL530" s="53"/>
      <c r="IN530" s="277"/>
      <c r="IO530" s="277"/>
    </row>
    <row r="531" spans="2:249" ht="21.95" customHeight="1">
      <c r="B531" s="2275"/>
      <c r="C531" s="2345">
        <v>1450</v>
      </c>
      <c r="D531" s="2346">
        <v>39.92</v>
      </c>
      <c r="E531" s="2346">
        <v>45</v>
      </c>
      <c r="F531" s="2346">
        <v>49.77</v>
      </c>
      <c r="G531" s="2346">
        <v>53.77</v>
      </c>
      <c r="H531" s="2346">
        <v>53.77</v>
      </c>
      <c r="I531" s="2346">
        <v>56.62</v>
      </c>
      <c r="J531" s="2346">
        <v>62.77</v>
      </c>
      <c r="K531" s="2346">
        <v>66.77</v>
      </c>
      <c r="L531" s="2346">
        <v>71.62</v>
      </c>
      <c r="M531" s="2346">
        <v>77.69</v>
      </c>
      <c r="N531" s="2346">
        <v>79</v>
      </c>
      <c r="O531" s="2346">
        <v>89.46</v>
      </c>
      <c r="P531" s="2346">
        <v>93.08</v>
      </c>
      <c r="Q531" s="2346">
        <v>96.15</v>
      </c>
      <c r="R531" s="2346">
        <v>100.62</v>
      </c>
      <c r="S531" s="2346">
        <v>110.23</v>
      </c>
      <c r="T531" s="2346">
        <v>118.46</v>
      </c>
      <c r="U531" s="2346">
        <v>126.77</v>
      </c>
      <c r="V531" s="2346">
        <v>129.91999999999999</v>
      </c>
      <c r="W531" s="2346">
        <v>146.69</v>
      </c>
      <c r="X531" s="2346">
        <v>153.54</v>
      </c>
      <c r="Y531" s="2346">
        <v>167.23</v>
      </c>
      <c r="Z531" s="2346">
        <v>181.92</v>
      </c>
      <c r="AA531" s="2346">
        <v>186.85</v>
      </c>
      <c r="AB531" s="2346">
        <v>218.15</v>
      </c>
      <c r="AC531" s="2346">
        <v>240.46</v>
      </c>
      <c r="AD531" s="2346">
        <v>295.69</v>
      </c>
      <c r="AE531" s="2347">
        <v>1450</v>
      </c>
      <c r="AF531" s="2275"/>
      <c r="AG531" s="2275">
        <f>HLOOKUP(AG520,D521:AD533,9,0)</f>
        <v>57.23</v>
      </c>
      <c r="AH531" s="2275">
        <f t="shared" si="293"/>
        <v>84.08</v>
      </c>
      <c r="AI531" s="2275">
        <v>1250</v>
      </c>
      <c r="AJ531" s="2275"/>
      <c r="AK531" s="2275"/>
      <c r="AL531" s="2275"/>
      <c r="AM531" s="2275"/>
      <c r="AN531" s="2275"/>
      <c r="AO531" s="2275"/>
      <c r="AP531" s="2250"/>
      <c r="AQ531" s="2250"/>
      <c r="AR531" s="2250"/>
      <c r="AS531" s="2250"/>
      <c r="AT531" s="2250"/>
      <c r="AU531" s="2250"/>
      <c r="AV531" s="2250"/>
      <c r="AW531" s="2250"/>
      <c r="AX531" s="2250"/>
      <c r="AY531" s="2250"/>
      <c r="AZ531" s="2250"/>
      <c r="BA531" s="2250"/>
      <c r="BB531" s="2250"/>
      <c r="BC531" s="2250"/>
      <c r="BD531" s="2250"/>
      <c r="BE531" s="2250"/>
      <c r="BF531" s="2276"/>
      <c r="BG531" s="2276"/>
      <c r="BH531" s="2250"/>
      <c r="BI531" s="2275"/>
      <c r="BJ531" s="2275"/>
      <c r="BK531" s="2345">
        <v>1450</v>
      </c>
      <c r="BL531" s="2346">
        <v>39.92</v>
      </c>
      <c r="BM531" s="2346">
        <v>45</v>
      </c>
      <c r="BN531" s="2346">
        <v>49.77</v>
      </c>
      <c r="BO531" s="2346">
        <v>53.77</v>
      </c>
      <c r="BP531" s="2346">
        <v>53.77</v>
      </c>
      <c r="BQ531" s="2346">
        <v>56.62</v>
      </c>
      <c r="BR531" s="2346">
        <v>62.77</v>
      </c>
      <c r="BS531" s="2346">
        <v>66.77</v>
      </c>
      <c r="BT531" s="2346">
        <v>71.62</v>
      </c>
      <c r="BU531" s="2346">
        <v>77.69</v>
      </c>
      <c r="BV531" s="2346">
        <v>79</v>
      </c>
      <c r="BW531" s="2346">
        <v>89.46</v>
      </c>
      <c r="BX531" s="2346">
        <v>93.08</v>
      </c>
      <c r="BY531" s="2346">
        <v>96.15</v>
      </c>
      <c r="BZ531" s="2346">
        <v>100.62</v>
      </c>
      <c r="CA531" s="2346">
        <v>110.23</v>
      </c>
      <c r="CB531" s="2346">
        <v>118.46</v>
      </c>
      <c r="CC531" s="2346">
        <v>126.77</v>
      </c>
      <c r="CD531" s="2346">
        <v>129.91999999999999</v>
      </c>
      <c r="CE531" s="2346">
        <v>146.69</v>
      </c>
      <c r="CF531" s="2346">
        <v>153.54</v>
      </c>
      <c r="CG531" s="2346">
        <v>167.23</v>
      </c>
      <c r="CH531" s="2346">
        <v>181.92</v>
      </c>
      <c r="CI531" s="2346">
        <v>186.85</v>
      </c>
      <c r="CJ531" s="2346">
        <v>218.15</v>
      </c>
      <c r="CK531" s="2346">
        <v>240.46</v>
      </c>
      <c r="CL531" s="2346">
        <v>295.69</v>
      </c>
      <c r="CM531" s="2347">
        <v>1450</v>
      </c>
      <c r="CN531" s="2275"/>
      <c r="CO531" s="2275">
        <f>HLOOKUP(CO520,BL521:CL533,9,0)</f>
        <v>54.77</v>
      </c>
      <c r="CP531" s="2275">
        <f t="shared" si="294"/>
        <v>77.31</v>
      </c>
      <c r="CQ531" s="2275">
        <v>1250</v>
      </c>
      <c r="CR531" s="2275"/>
      <c r="CS531" s="2275"/>
      <c r="CT531" s="2275"/>
      <c r="CU531" s="2275"/>
      <c r="CV531" s="2275"/>
      <c r="CW531" s="2275"/>
      <c r="CX531" s="2250"/>
      <c r="CY531" s="2250"/>
      <c r="CZ531" s="2250"/>
      <c r="DA531" s="2250"/>
      <c r="DB531" s="2250"/>
      <c r="DC531" s="2250"/>
      <c r="DD531" s="2250"/>
      <c r="DE531" s="2250"/>
      <c r="DF531" s="2250"/>
      <c r="DG531" s="2250"/>
      <c r="DH531" s="2250"/>
      <c r="DI531" s="2250"/>
      <c r="DJ531" s="2250"/>
      <c r="DK531" s="2250"/>
      <c r="DL531" s="2250"/>
      <c r="DM531" s="2250"/>
      <c r="DN531" s="2250"/>
      <c r="DO531" s="53"/>
      <c r="DP531" s="53"/>
      <c r="DS531" s="277"/>
      <c r="DW531" s="1"/>
      <c r="DX531" s="2275"/>
      <c r="DY531" s="2345">
        <v>1450</v>
      </c>
      <c r="DZ531" s="2346">
        <v>39.92</v>
      </c>
      <c r="EA531" s="2346">
        <v>45</v>
      </c>
      <c r="EB531" s="2346">
        <v>49.77</v>
      </c>
      <c r="EC531" s="2346">
        <v>53.77</v>
      </c>
      <c r="ED531" s="2346">
        <v>53.77</v>
      </c>
      <c r="EE531" s="2346">
        <v>56.62</v>
      </c>
      <c r="EF531" s="2346">
        <v>62.77</v>
      </c>
      <c r="EG531" s="2346">
        <v>66.77</v>
      </c>
      <c r="EH531" s="2346">
        <v>71.62</v>
      </c>
      <c r="EI531" s="2346">
        <v>77.69</v>
      </c>
      <c r="EJ531" s="2346">
        <v>79</v>
      </c>
      <c r="EK531" s="2346">
        <v>89.46</v>
      </c>
      <c r="EL531" s="2346">
        <v>93.08</v>
      </c>
      <c r="EM531" s="2346">
        <v>96.15</v>
      </c>
      <c r="EN531" s="2346">
        <v>100.62</v>
      </c>
      <c r="EO531" s="2346">
        <v>110.23</v>
      </c>
      <c r="EP531" s="2346">
        <v>118.46</v>
      </c>
      <c r="EQ531" s="2346">
        <v>126.77</v>
      </c>
      <c r="ER531" s="2346">
        <v>129.91999999999999</v>
      </c>
      <c r="ES531" s="2346">
        <v>146.69</v>
      </c>
      <c r="ET531" s="2346">
        <v>153.54</v>
      </c>
      <c r="EU531" s="2346">
        <v>167.23</v>
      </c>
      <c r="EV531" s="2346">
        <v>181.92</v>
      </c>
      <c r="EW531" s="2346">
        <v>186.85</v>
      </c>
      <c r="EX531" s="2346">
        <v>218.15</v>
      </c>
      <c r="EY531" s="2346">
        <v>240.46</v>
      </c>
      <c r="EZ531" s="2346">
        <v>295.69</v>
      </c>
      <c r="FA531" s="2347">
        <v>1450</v>
      </c>
      <c r="FB531" s="2275"/>
      <c r="FC531" s="2275">
        <f>HLOOKUP(FC520,DZ521:EZ533,9,0)</f>
        <v>85.15</v>
      </c>
      <c r="FD531" s="2275">
        <f t="shared" si="295"/>
        <v>119.08</v>
      </c>
      <c r="FE531" s="2275">
        <v>1250</v>
      </c>
      <c r="FF531" s="2275"/>
      <c r="FG531" s="2275"/>
      <c r="FH531" s="2275"/>
      <c r="FI531" s="2275"/>
      <c r="FJ531" s="2275"/>
      <c r="FK531" s="2275"/>
      <c r="FL531" s="2250"/>
      <c r="FM531" s="2250"/>
      <c r="FN531" s="2250"/>
      <c r="FO531" s="2250"/>
      <c r="FP531" s="2250"/>
      <c r="FQ531" s="2250"/>
      <c r="FR531" s="2250"/>
      <c r="FS531" s="2250"/>
      <c r="FT531" s="2250"/>
      <c r="FU531" s="2250"/>
      <c r="FV531" s="2250"/>
      <c r="FW531" s="2250"/>
      <c r="FX531" s="2250"/>
      <c r="FY531" s="2250"/>
      <c r="FZ531" s="2250"/>
      <c r="GA531" s="2250"/>
      <c r="GB531" s="2276"/>
      <c r="GC531" s="2276"/>
      <c r="GD531" s="2250"/>
      <c r="GE531" s="2275"/>
      <c r="GF531" s="2275"/>
      <c r="GG531" s="2345">
        <v>1450</v>
      </c>
      <c r="GH531" s="2346">
        <v>39.92</v>
      </c>
      <c r="GI531" s="2346">
        <v>45</v>
      </c>
      <c r="GJ531" s="2346">
        <v>49.77</v>
      </c>
      <c r="GK531" s="2346">
        <v>53.77</v>
      </c>
      <c r="GL531" s="2346">
        <v>53.77</v>
      </c>
      <c r="GM531" s="2346">
        <v>56.62</v>
      </c>
      <c r="GN531" s="2346">
        <v>62.77</v>
      </c>
      <c r="GO531" s="2346">
        <v>66.77</v>
      </c>
      <c r="GP531" s="2346">
        <v>71.62</v>
      </c>
      <c r="GQ531" s="2346">
        <v>77.69</v>
      </c>
      <c r="GR531" s="2346">
        <v>79</v>
      </c>
      <c r="GS531" s="2346">
        <v>89.46</v>
      </c>
      <c r="GT531" s="2346">
        <v>93.08</v>
      </c>
      <c r="GU531" s="2346">
        <v>96.15</v>
      </c>
      <c r="GV531" s="2346">
        <v>100.62</v>
      </c>
      <c r="GW531" s="2346">
        <v>110.23</v>
      </c>
      <c r="GX531" s="2346">
        <v>118.46</v>
      </c>
      <c r="GY531" s="2346">
        <v>126.77</v>
      </c>
      <c r="GZ531" s="2346">
        <v>129.91999999999999</v>
      </c>
      <c r="HA531" s="2346">
        <v>146.69</v>
      </c>
      <c r="HB531" s="2346">
        <v>153.54</v>
      </c>
      <c r="HC531" s="2346">
        <v>167.23</v>
      </c>
      <c r="HD531" s="2346">
        <v>181.92</v>
      </c>
      <c r="HE531" s="2346">
        <v>186.85</v>
      </c>
      <c r="HF531" s="2346">
        <v>218.15</v>
      </c>
      <c r="HG531" s="2346">
        <v>240.46</v>
      </c>
      <c r="HH531" s="2346">
        <v>295.69</v>
      </c>
      <c r="HI531" s="2347">
        <v>1450</v>
      </c>
      <c r="HJ531" s="2275"/>
      <c r="HK531" s="2275">
        <f>HLOOKUP(HK520,GH521:HH533,9,0)</f>
        <v>77.69</v>
      </c>
      <c r="HL531" s="2275">
        <f t="shared" si="296"/>
        <v>107.31</v>
      </c>
      <c r="HM531" s="2275">
        <v>1250</v>
      </c>
      <c r="HN531" s="2275"/>
      <c r="HO531" s="2275"/>
      <c r="HP531" s="2275"/>
      <c r="HQ531" s="2275"/>
      <c r="HR531" s="2275"/>
      <c r="HS531" s="2275"/>
      <c r="HT531" s="2250"/>
      <c r="HU531" s="2250"/>
      <c r="HV531" s="2250"/>
      <c r="HW531" s="2250"/>
      <c r="HX531" s="2250"/>
      <c r="HY531" s="2250"/>
      <c r="HZ531" s="2250"/>
      <c r="IA531" s="2250"/>
      <c r="IB531" s="2250"/>
      <c r="IC531" s="2250"/>
      <c r="ID531" s="2250"/>
      <c r="IE531" s="2250"/>
      <c r="IF531" s="2250"/>
      <c r="IG531" s="2250"/>
      <c r="IH531" s="2250"/>
      <c r="II531" s="2250"/>
      <c r="IJ531" s="2250"/>
      <c r="IK531" s="53"/>
      <c r="IL531" s="53"/>
      <c r="IN531" s="277"/>
      <c r="IO531" s="277"/>
    </row>
    <row r="532" spans="2:249" ht="21.95" customHeight="1">
      <c r="B532" s="2275"/>
      <c r="C532" s="2345">
        <v>1650</v>
      </c>
      <c r="D532" s="2346">
        <v>58</v>
      </c>
      <c r="E532" s="2346">
        <v>65.38</v>
      </c>
      <c r="F532" s="2346">
        <v>72.150000000000006</v>
      </c>
      <c r="G532" s="2346">
        <v>72.150000000000006</v>
      </c>
      <c r="H532" s="2346">
        <v>76.150000000000006</v>
      </c>
      <c r="I532" s="2346">
        <v>82.31</v>
      </c>
      <c r="J532" s="2346">
        <v>86.77</v>
      </c>
      <c r="K532" s="2346">
        <v>96.15</v>
      </c>
      <c r="L532" s="2346">
        <v>102.15</v>
      </c>
      <c r="M532" s="2346">
        <v>109.54</v>
      </c>
      <c r="N532" s="2346">
        <v>114.85</v>
      </c>
      <c r="O532" s="2346">
        <v>133.91999999999999</v>
      </c>
      <c r="P532" s="2346">
        <v>135.31</v>
      </c>
      <c r="Q532" s="2346">
        <v>142.15</v>
      </c>
      <c r="R532" s="2346">
        <v>112.23</v>
      </c>
      <c r="S532" s="2346">
        <v>158.69</v>
      </c>
      <c r="T532" s="2346">
        <v>167.15</v>
      </c>
      <c r="U532" s="2346">
        <v>177.38</v>
      </c>
      <c r="V532" s="2346">
        <v>184.69</v>
      </c>
      <c r="W532" s="2346">
        <v>203.77</v>
      </c>
      <c r="X532" s="2346">
        <v>223.08</v>
      </c>
      <c r="Y532" s="2346">
        <v>246.23</v>
      </c>
      <c r="Z532" s="2346">
        <v>269.69</v>
      </c>
      <c r="AA532" s="2346">
        <v>293.31</v>
      </c>
      <c r="AB532" s="2346">
        <v>329.92</v>
      </c>
      <c r="AC532" s="2346">
        <v>351.08</v>
      </c>
      <c r="AD532" s="2346">
        <v>418.92</v>
      </c>
      <c r="AE532" s="2347">
        <v>1650</v>
      </c>
      <c r="AF532" s="2275"/>
      <c r="AG532" s="2275">
        <f>HLOOKUP(AG520,D521:AD533,10,0)</f>
        <v>84.08</v>
      </c>
      <c r="AH532" s="2275">
        <f t="shared" si="293"/>
        <v>126.77</v>
      </c>
      <c r="AI532" s="2275">
        <v>1450</v>
      </c>
      <c r="AJ532" s="2275"/>
      <c r="AK532" s="2275"/>
      <c r="AL532" s="2275"/>
      <c r="AM532" s="2275"/>
      <c r="AN532" s="2275"/>
      <c r="AO532" s="2275"/>
      <c r="AP532" s="2250"/>
      <c r="AQ532" s="2250"/>
      <c r="AR532" s="2250"/>
      <c r="AS532" s="2250"/>
      <c r="AT532" s="2250"/>
      <c r="AU532" s="2250"/>
      <c r="AV532" s="2250"/>
      <c r="AW532" s="2250"/>
      <c r="AX532" s="2250"/>
      <c r="AY532" s="2250"/>
      <c r="AZ532" s="2250"/>
      <c r="BA532" s="2250"/>
      <c r="BB532" s="2250"/>
      <c r="BC532" s="2250"/>
      <c r="BD532" s="2250"/>
      <c r="BE532" s="2250"/>
      <c r="BF532" s="2276"/>
      <c r="BG532" s="2276"/>
      <c r="BH532" s="2250"/>
      <c r="BI532" s="2275"/>
      <c r="BJ532" s="2275"/>
      <c r="BK532" s="2345">
        <v>1650</v>
      </c>
      <c r="BL532" s="2346">
        <v>58</v>
      </c>
      <c r="BM532" s="2346">
        <v>65.38</v>
      </c>
      <c r="BN532" s="2346">
        <v>72.150000000000006</v>
      </c>
      <c r="BO532" s="2346">
        <v>72.150000000000006</v>
      </c>
      <c r="BP532" s="2346">
        <v>76.150000000000006</v>
      </c>
      <c r="BQ532" s="2346">
        <v>82.31</v>
      </c>
      <c r="BR532" s="2346">
        <v>86.77</v>
      </c>
      <c r="BS532" s="2346">
        <v>96.15</v>
      </c>
      <c r="BT532" s="2346">
        <v>102.15</v>
      </c>
      <c r="BU532" s="2346">
        <v>109.54</v>
      </c>
      <c r="BV532" s="2346">
        <v>114.85</v>
      </c>
      <c r="BW532" s="2346">
        <v>133.91999999999999</v>
      </c>
      <c r="BX532" s="2346">
        <v>135.31</v>
      </c>
      <c r="BY532" s="2346">
        <v>142.15</v>
      </c>
      <c r="BZ532" s="2346">
        <v>112.23</v>
      </c>
      <c r="CA532" s="2346">
        <v>158.69</v>
      </c>
      <c r="CB532" s="2346">
        <v>167.15</v>
      </c>
      <c r="CC532" s="2346">
        <v>177.38</v>
      </c>
      <c r="CD532" s="2346">
        <v>184.69</v>
      </c>
      <c r="CE532" s="2346">
        <v>203.77</v>
      </c>
      <c r="CF532" s="2346">
        <v>223.08</v>
      </c>
      <c r="CG532" s="2346">
        <v>246.23</v>
      </c>
      <c r="CH532" s="2346">
        <v>269.69</v>
      </c>
      <c r="CI532" s="2346">
        <v>293.31</v>
      </c>
      <c r="CJ532" s="2346">
        <v>329.92</v>
      </c>
      <c r="CK532" s="2346">
        <v>351.08</v>
      </c>
      <c r="CL532" s="2346">
        <v>418.92</v>
      </c>
      <c r="CM532" s="2347">
        <v>1650</v>
      </c>
      <c r="CN532" s="2275"/>
      <c r="CO532" s="2275">
        <f>HLOOKUP(CO520,BL521:CL533,10,0)</f>
        <v>77.31</v>
      </c>
      <c r="CP532" s="2275">
        <f t="shared" si="294"/>
        <v>118.46</v>
      </c>
      <c r="CQ532" s="2275">
        <v>1450</v>
      </c>
      <c r="CR532" s="2275"/>
      <c r="CS532" s="2275"/>
      <c r="CT532" s="2275"/>
      <c r="CU532" s="2275"/>
      <c r="CV532" s="2275"/>
      <c r="CW532" s="2275"/>
      <c r="CX532" s="2250"/>
      <c r="CY532" s="2250"/>
      <c r="CZ532" s="2250"/>
      <c r="DA532" s="2250"/>
      <c r="DB532" s="2250"/>
      <c r="DC532" s="2250"/>
      <c r="DD532" s="2250"/>
      <c r="DE532" s="2250"/>
      <c r="DF532" s="2250"/>
      <c r="DG532" s="2250"/>
      <c r="DH532" s="2250"/>
      <c r="DI532" s="2250"/>
      <c r="DJ532" s="2250"/>
      <c r="DK532" s="2250"/>
      <c r="DL532" s="2250"/>
      <c r="DM532" s="2250"/>
      <c r="DN532" s="2250"/>
      <c r="DO532" s="53"/>
      <c r="DP532" s="53"/>
      <c r="DS532" s="277"/>
      <c r="DW532" s="1"/>
      <c r="DX532" s="2275"/>
      <c r="DY532" s="2345">
        <v>1650</v>
      </c>
      <c r="DZ532" s="2346">
        <v>58</v>
      </c>
      <c r="EA532" s="2346">
        <v>65.38</v>
      </c>
      <c r="EB532" s="2346">
        <v>72.150000000000006</v>
      </c>
      <c r="EC532" s="2346">
        <v>72.150000000000006</v>
      </c>
      <c r="ED532" s="2346">
        <v>76.150000000000006</v>
      </c>
      <c r="EE532" s="2346">
        <v>82.31</v>
      </c>
      <c r="EF532" s="2346">
        <v>86.77</v>
      </c>
      <c r="EG532" s="2346">
        <v>96.15</v>
      </c>
      <c r="EH532" s="2346">
        <v>102.15</v>
      </c>
      <c r="EI532" s="2346">
        <v>109.54</v>
      </c>
      <c r="EJ532" s="2346">
        <v>114.85</v>
      </c>
      <c r="EK532" s="2346">
        <v>133.91999999999999</v>
      </c>
      <c r="EL532" s="2346">
        <v>135.31</v>
      </c>
      <c r="EM532" s="2346">
        <v>142.15</v>
      </c>
      <c r="EN532" s="2346">
        <v>112.23</v>
      </c>
      <c r="EO532" s="2346">
        <v>158.69</v>
      </c>
      <c r="EP532" s="2346">
        <v>167.15</v>
      </c>
      <c r="EQ532" s="2346">
        <v>177.38</v>
      </c>
      <c r="ER532" s="2346">
        <v>184.69</v>
      </c>
      <c r="ES532" s="2346">
        <v>203.77</v>
      </c>
      <c r="ET532" s="2346">
        <v>223.08</v>
      </c>
      <c r="EU532" s="2346">
        <v>246.23</v>
      </c>
      <c r="EV532" s="2346">
        <v>269.69</v>
      </c>
      <c r="EW532" s="2346">
        <v>293.31</v>
      </c>
      <c r="EX532" s="2346">
        <v>329.92</v>
      </c>
      <c r="EY532" s="2346">
        <v>351.08</v>
      </c>
      <c r="EZ532" s="2346">
        <v>418.92</v>
      </c>
      <c r="FA532" s="2347">
        <v>1650</v>
      </c>
      <c r="FB532" s="2275"/>
      <c r="FC532" s="2275">
        <f>HLOOKUP(FC520,DZ521:EZ533,10,0)</f>
        <v>119.08</v>
      </c>
      <c r="FD532" s="2275">
        <f t="shared" si="295"/>
        <v>181.92</v>
      </c>
      <c r="FE532" s="2275">
        <v>1450</v>
      </c>
      <c r="FF532" s="2275"/>
      <c r="FG532" s="2275"/>
      <c r="FH532" s="2275"/>
      <c r="FI532" s="2275"/>
      <c r="FJ532" s="2275"/>
      <c r="FK532" s="2275"/>
      <c r="FL532" s="2250"/>
      <c r="FM532" s="2250"/>
      <c r="FN532" s="2250"/>
      <c r="FO532" s="2250"/>
      <c r="FP532" s="2250"/>
      <c r="FQ532" s="2250"/>
      <c r="FR532" s="2250"/>
      <c r="FS532" s="2250"/>
      <c r="FT532" s="2250"/>
      <c r="FU532" s="2250"/>
      <c r="FV532" s="2250"/>
      <c r="FW532" s="2250"/>
      <c r="FX532" s="2250"/>
      <c r="FY532" s="2250"/>
      <c r="FZ532" s="2250"/>
      <c r="GA532" s="2250"/>
      <c r="GB532" s="2276"/>
      <c r="GC532" s="2276"/>
      <c r="GD532" s="2250"/>
      <c r="GE532" s="2275"/>
      <c r="GF532" s="2275"/>
      <c r="GG532" s="2345">
        <v>1650</v>
      </c>
      <c r="GH532" s="2346">
        <v>58</v>
      </c>
      <c r="GI532" s="2346">
        <v>65.38</v>
      </c>
      <c r="GJ532" s="2346">
        <v>72.150000000000006</v>
      </c>
      <c r="GK532" s="2346">
        <v>72.150000000000006</v>
      </c>
      <c r="GL532" s="2346">
        <v>76.150000000000006</v>
      </c>
      <c r="GM532" s="2346">
        <v>82.31</v>
      </c>
      <c r="GN532" s="2346">
        <v>86.77</v>
      </c>
      <c r="GO532" s="2346">
        <v>96.15</v>
      </c>
      <c r="GP532" s="2346">
        <v>102.15</v>
      </c>
      <c r="GQ532" s="2346">
        <v>109.54</v>
      </c>
      <c r="GR532" s="2346">
        <v>114.85</v>
      </c>
      <c r="GS532" s="2346">
        <v>133.91999999999999</v>
      </c>
      <c r="GT532" s="2346">
        <v>135.31</v>
      </c>
      <c r="GU532" s="2346">
        <v>142.15</v>
      </c>
      <c r="GV532" s="2346">
        <v>112.23</v>
      </c>
      <c r="GW532" s="2346">
        <v>158.69</v>
      </c>
      <c r="GX532" s="2346">
        <v>167.15</v>
      </c>
      <c r="GY532" s="2346">
        <v>177.38</v>
      </c>
      <c r="GZ532" s="2346">
        <v>184.69</v>
      </c>
      <c r="HA532" s="2346">
        <v>203.77</v>
      </c>
      <c r="HB532" s="2346">
        <v>223.08</v>
      </c>
      <c r="HC532" s="2346">
        <v>246.23</v>
      </c>
      <c r="HD532" s="2346">
        <v>269.69</v>
      </c>
      <c r="HE532" s="2346">
        <v>293.31</v>
      </c>
      <c r="HF532" s="2346">
        <v>329.92</v>
      </c>
      <c r="HG532" s="2346">
        <v>351.08</v>
      </c>
      <c r="HH532" s="2346">
        <v>418.92</v>
      </c>
      <c r="HI532" s="2347">
        <v>1650</v>
      </c>
      <c r="HJ532" s="2275"/>
      <c r="HK532" s="2275">
        <f>HLOOKUP(HK520,GH521:HH533,10,0)</f>
        <v>107.31</v>
      </c>
      <c r="HL532" s="2275">
        <f t="shared" si="296"/>
        <v>167.23</v>
      </c>
      <c r="HM532" s="2275">
        <v>1450</v>
      </c>
      <c r="HN532" s="2275"/>
      <c r="HO532" s="2275"/>
      <c r="HP532" s="2275"/>
      <c r="HQ532" s="2275"/>
      <c r="HR532" s="2275"/>
      <c r="HS532" s="2275"/>
      <c r="HT532" s="2250"/>
      <c r="HU532" s="2250"/>
      <c r="HV532" s="2250"/>
      <c r="HW532" s="2250"/>
      <c r="HX532" s="2250"/>
      <c r="HY532" s="2250"/>
      <c r="HZ532" s="2250"/>
      <c r="IA532" s="2250"/>
      <c r="IB532" s="2250"/>
      <c r="IC532" s="2250"/>
      <c r="ID532" s="2250"/>
      <c r="IE532" s="2250"/>
      <c r="IF532" s="2250"/>
      <c r="IG532" s="2250"/>
      <c r="IH532" s="2250"/>
      <c r="II532" s="2250"/>
      <c r="IJ532" s="2250"/>
      <c r="IK532" s="53"/>
      <c r="IL532" s="53"/>
      <c r="IN532" s="277"/>
      <c r="IO532" s="277"/>
    </row>
    <row r="533" spans="2:249" ht="21.95" customHeight="1">
      <c r="B533" s="2275"/>
      <c r="C533" s="2345"/>
      <c r="D533" s="2346"/>
      <c r="E533" s="2346"/>
      <c r="F533" s="2346"/>
      <c r="G533" s="2346"/>
      <c r="H533" s="2346"/>
      <c r="I533" s="2346"/>
      <c r="J533" s="2346"/>
      <c r="K533" s="2346"/>
      <c r="L533" s="2346"/>
      <c r="M533" s="2346"/>
      <c r="N533" s="2346"/>
      <c r="O533" s="2346"/>
      <c r="P533" s="2346"/>
      <c r="Q533" s="2346"/>
      <c r="R533" s="2346"/>
      <c r="S533" s="2346"/>
      <c r="T533" s="2346"/>
      <c r="U533" s="2346"/>
      <c r="V533" s="2346"/>
      <c r="W533" s="2346"/>
      <c r="X533" s="2346"/>
      <c r="Y533" s="2346"/>
      <c r="Z533" s="2346"/>
      <c r="AA533" s="2346"/>
      <c r="AB533" s="2346"/>
      <c r="AC533" s="2346"/>
      <c r="AD533" s="2346"/>
      <c r="AE533" s="2347"/>
      <c r="AF533" s="2275"/>
      <c r="AG533" s="2275">
        <f>HLOOKUP(AG520,D521:AD533,11,0)</f>
        <v>126.77</v>
      </c>
      <c r="AH533" s="2275">
        <f t="shared" si="293"/>
        <v>177.38</v>
      </c>
      <c r="AI533" s="2275">
        <v>1650</v>
      </c>
      <c r="AJ533" s="2275"/>
      <c r="AK533" s="2275"/>
      <c r="AL533" s="2275"/>
      <c r="AM533" s="2275"/>
      <c r="AN533" s="2275"/>
      <c r="AO533" s="2275"/>
      <c r="AP533" s="2250"/>
      <c r="AQ533" s="2250"/>
      <c r="AR533" s="2250"/>
      <c r="AS533" s="2250"/>
      <c r="AT533" s="2250"/>
      <c r="AU533" s="2250"/>
      <c r="AV533" s="2250"/>
      <c r="AW533" s="2250"/>
      <c r="AX533" s="2250"/>
      <c r="AY533" s="2250"/>
      <c r="AZ533" s="2250"/>
      <c r="BA533" s="2250"/>
      <c r="BB533" s="2250"/>
      <c r="BC533" s="2250"/>
      <c r="BD533" s="2250"/>
      <c r="BE533" s="2250"/>
      <c r="BF533" s="2276"/>
      <c r="BG533" s="2276"/>
      <c r="BH533" s="2250"/>
      <c r="BI533" s="2275"/>
      <c r="BJ533" s="2275"/>
      <c r="BK533" s="2345">
        <v>1650</v>
      </c>
      <c r="BL533" s="2346">
        <v>58</v>
      </c>
      <c r="BM533" s="2346">
        <v>65.38</v>
      </c>
      <c r="BN533" s="2346">
        <v>72.150000000000006</v>
      </c>
      <c r="BO533" s="2346">
        <v>72.150000000000006</v>
      </c>
      <c r="BP533" s="2346">
        <v>76.150000000000006</v>
      </c>
      <c r="BQ533" s="2346">
        <v>82.31</v>
      </c>
      <c r="BR533" s="2346">
        <v>86.77</v>
      </c>
      <c r="BS533" s="2346">
        <v>96.15</v>
      </c>
      <c r="BT533" s="2346">
        <v>102.15</v>
      </c>
      <c r="BU533" s="2346">
        <v>109.54</v>
      </c>
      <c r="BV533" s="2346">
        <v>114.85</v>
      </c>
      <c r="BW533" s="2346">
        <v>133.91999999999999</v>
      </c>
      <c r="BX533" s="2346">
        <v>135.31</v>
      </c>
      <c r="BY533" s="2346">
        <v>142.15</v>
      </c>
      <c r="BZ533" s="2346">
        <v>112.23</v>
      </c>
      <c r="CA533" s="2346">
        <v>158.69</v>
      </c>
      <c r="CB533" s="2346">
        <v>167.15</v>
      </c>
      <c r="CC533" s="2346">
        <v>177.38</v>
      </c>
      <c r="CD533" s="2346">
        <v>184.69</v>
      </c>
      <c r="CE533" s="2346">
        <v>203.77</v>
      </c>
      <c r="CF533" s="2346">
        <v>223.08</v>
      </c>
      <c r="CG533" s="2346">
        <v>246.23</v>
      </c>
      <c r="CH533" s="2346">
        <v>269.69</v>
      </c>
      <c r="CI533" s="2346">
        <v>293.31</v>
      </c>
      <c r="CJ533" s="2346">
        <v>329.92</v>
      </c>
      <c r="CK533" s="2346">
        <v>351.08</v>
      </c>
      <c r="CL533" s="2346">
        <v>418.92</v>
      </c>
      <c r="CM533" s="2347">
        <v>1650</v>
      </c>
      <c r="CN533" s="2275"/>
      <c r="CO533" s="2275">
        <f>HLOOKUP(CO520,BL521:CL533,11,0)</f>
        <v>118.46</v>
      </c>
      <c r="CP533" s="2275">
        <f t="shared" si="294"/>
        <v>167.15</v>
      </c>
      <c r="CQ533" s="2275">
        <v>1650</v>
      </c>
      <c r="CR533" s="2275"/>
      <c r="CS533" s="2275"/>
      <c r="CT533" s="2275"/>
      <c r="CU533" s="2275"/>
      <c r="CV533" s="2275"/>
      <c r="CW533" s="2275"/>
      <c r="CX533" s="2250"/>
      <c r="CY533" s="2250"/>
      <c r="CZ533" s="2250"/>
      <c r="DA533" s="2250"/>
      <c r="DB533" s="2250"/>
      <c r="DC533" s="2250"/>
      <c r="DD533" s="2250"/>
      <c r="DE533" s="2250"/>
      <c r="DF533" s="2250"/>
      <c r="DG533" s="2250"/>
      <c r="DH533" s="2250"/>
      <c r="DI533" s="2250"/>
      <c r="DJ533" s="2250"/>
      <c r="DK533" s="2250"/>
      <c r="DL533" s="2250"/>
      <c r="DM533" s="2250"/>
      <c r="DN533" s="2250"/>
      <c r="DO533" s="53"/>
      <c r="DP533" s="53"/>
      <c r="DS533" s="277"/>
      <c r="DW533" s="1"/>
      <c r="DX533" s="2275"/>
      <c r="DY533" s="2345"/>
      <c r="DZ533" s="2346"/>
      <c r="EA533" s="2346"/>
      <c r="EB533" s="2346"/>
      <c r="EC533" s="2346"/>
      <c r="ED533" s="2346"/>
      <c r="EE533" s="2346"/>
      <c r="EF533" s="2346"/>
      <c r="EG533" s="2346"/>
      <c r="EH533" s="2346"/>
      <c r="EI533" s="2346"/>
      <c r="EJ533" s="2346"/>
      <c r="EK533" s="2346"/>
      <c r="EL533" s="2346"/>
      <c r="EM533" s="2346"/>
      <c r="EN533" s="2346"/>
      <c r="EO533" s="2346"/>
      <c r="EP533" s="2346"/>
      <c r="EQ533" s="2346"/>
      <c r="ER533" s="2346"/>
      <c r="ES533" s="2346"/>
      <c r="ET533" s="2346"/>
      <c r="EU533" s="2346"/>
      <c r="EV533" s="2346"/>
      <c r="EW533" s="2346"/>
      <c r="EX533" s="2346"/>
      <c r="EY533" s="2346"/>
      <c r="EZ533" s="2346"/>
      <c r="FA533" s="2347"/>
      <c r="FB533" s="2275"/>
      <c r="FC533" s="2275">
        <f>HLOOKUP(FC520,DZ521:EZ533,11,0)</f>
        <v>181.92</v>
      </c>
      <c r="FD533" s="2275">
        <f t="shared" si="295"/>
        <v>269.69</v>
      </c>
      <c r="FE533" s="2275">
        <v>1650</v>
      </c>
      <c r="FF533" s="2275"/>
      <c r="FG533" s="2275"/>
      <c r="FH533" s="2275"/>
      <c r="FI533" s="2275"/>
      <c r="FJ533" s="2275"/>
      <c r="FK533" s="2275"/>
      <c r="FL533" s="2250"/>
      <c r="FM533" s="2250"/>
      <c r="FN533" s="2250"/>
      <c r="FO533" s="2250"/>
      <c r="FP533" s="2250"/>
      <c r="FQ533" s="2250"/>
      <c r="FR533" s="2250"/>
      <c r="FS533" s="2250"/>
      <c r="FT533" s="2250"/>
      <c r="FU533" s="2250"/>
      <c r="FV533" s="2250"/>
      <c r="FW533" s="2250"/>
      <c r="FX533" s="2250"/>
      <c r="FY533" s="2250"/>
      <c r="FZ533" s="2250"/>
      <c r="GA533" s="2250"/>
      <c r="GB533" s="2276"/>
      <c r="GC533" s="2276"/>
      <c r="GD533" s="2250"/>
      <c r="GE533" s="2275"/>
      <c r="GF533" s="2275"/>
      <c r="GG533" s="2345">
        <v>1650</v>
      </c>
      <c r="GH533" s="2346">
        <v>58</v>
      </c>
      <c r="GI533" s="2346">
        <v>65.38</v>
      </c>
      <c r="GJ533" s="2346">
        <v>72.150000000000006</v>
      </c>
      <c r="GK533" s="2346">
        <v>72.150000000000006</v>
      </c>
      <c r="GL533" s="2346">
        <v>76.150000000000006</v>
      </c>
      <c r="GM533" s="2346">
        <v>82.31</v>
      </c>
      <c r="GN533" s="2346">
        <v>86.77</v>
      </c>
      <c r="GO533" s="2346">
        <v>96.15</v>
      </c>
      <c r="GP533" s="2346">
        <v>102.15</v>
      </c>
      <c r="GQ533" s="2346">
        <v>109.54</v>
      </c>
      <c r="GR533" s="2346">
        <v>114.85</v>
      </c>
      <c r="GS533" s="2346">
        <v>133.91999999999999</v>
      </c>
      <c r="GT533" s="2346">
        <v>135.31</v>
      </c>
      <c r="GU533" s="2346">
        <v>142.15</v>
      </c>
      <c r="GV533" s="2346">
        <v>112.23</v>
      </c>
      <c r="GW533" s="2346">
        <v>158.69</v>
      </c>
      <c r="GX533" s="2346">
        <v>167.15</v>
      </c>
      <c r="GY533" s="2346">
        <v>177.38</v>
      </c>
      <c r="GZ533" s="2346">
        <v>184.69</v>
      </c>
      <c r="HA533" s="2346">
        <v>203.77</v>
      </c>
      <c r="HB533" s="2346">
        <v>223.08</v>
      </c>
      <c r="HC533" s="2346">
        <v>246.23</v>
      </c>
      <c r="HD533" s="2346">
        <v>269.69</v>
      </c>
      <c r="HE533" s="2346">
        <v>293.31</v>
      </c>
      <c r="HF533" s="2346">
        <v>329.92</v>
      </c>
      <c r="HG533" s="2346">
        <v>351.08</v>
      </c>
      <c r="HH533" s="2346">
        <v>418.92</v>
      </c>
      <c r="HI533" s="2347">
        <v>1650</v>
      </c>
      <c r="HJ533" s="2275"/>
      <c r="HK533" s="2275">
        <f>HLOOKUP(HK520,GH521:HH533,11,0)</f>
        <v>167.23</v>
      </c>
      <c r="HL533" s="2275">
        <f t="shared" si="296"/>
        <v>246.23</v>
      </c>
      <c r="HM533" s="2275">
        <v>1650</v>
      </c>
      <c r="HN533" s="2275"/>
      <c r="HO533" s="2275"/>
      <c r="HP533" s="2275"/>
      <c r="HQ533" s="2275"/>
      <c r="HR533" s="2275"/>
      <c r="HS533" s="2275"/>
      <c r="HT533" s="2250"/>
      <c r="HU533" s="2250"/>
      <c r="HV533" s="2250"/>
      <c r="HW533" s="2250"/>
      <c r="HX533" s="2250"/>
      <c r="HY533" s="2250"/>
      <c r="HZ533" s="2250"/>
      <c r="IA533" s="2250"/>
      <c r="IB533" s="2250"/>
      <c r="IC533" s="2250"/>
      <c r="ID533" s="2250"/>
      <c r="IE533" s="2250"/>
      <c r="IF533" s="2250"/>
      <c r="IG533" s="2250"/>
      <c r="IH533" s="2250"/>
      <c r="II533" s="2250"/>
      <c r="IJ533" s="2250"/>
      <c r="IK533" s="53"/>
      <c r="IL533" s="53"/>
      <c r="IN533" s="277"/>
      <c r="IO533" s="277"/>
    </row>
    <row r="534" spans="2:249" ht="21.95" customHeight="1">
      <c r="B534" s="2275"/>
      <c r="C534" s="2275"/>
      <c r="D534" s="2275"/>
      <c r="E534" s="2275"/>
      <c r="F534" s="2275"/>
      <c r="G534" s="2275"/>
      <c r="H534" s="2275"/>
      <c r="I534" s="2275"/>
      <c r="J534" s="2275"/>
      <c r="K534" s="2275"/>
      <c r="L534" s="2275"/>
      <c r="M534" s="2275"/>
      <c r="N534" s="2275"/>
      <c r="O534" s="2275"/>
      <c r="P534" s="2275"/>
      <c r="Q534" s="2275"/>
      <c r="R534" s="2275"/>
      <c r="S534" s="2275"/>
      <c r="T534" s="2275"/>
      <c r="U534" s="2275"/>
      <c r="V534" s="2275"/>
      <c r="W534" s="2275"/>
      <c r="X534" s="2275"/>
      <c r="Y534" s="2275"/>
      <c r="Z534" s="2275"/>
      <c r="AA534" s="2275"/>
      <c r="AB534" s="2275"/>
      <c r="AC534" s="2275"/>
      <c r="AD534" s="2275"/>
      <c r="AE534" s="2346"/>
      <c r="AF534" s="2275"/>
      <c r="AG534" s="2275">
        <f>HLOOKUP(AG520,D521:AD533,12,0)</f>
        <v>177.38</v>
      </c>
      <c r="AH534" s="2275">
        <f t="shared" si="293"/>
        <v>0</v>
      </c>
      <c r="AI534" s="2275">
        <v>1650</v>
      </c>
      <c r="AJ534" s="2275"/>
      <c r="AK534" s="2275"/>
      <c r="AL534" s="2275"/>
      <c r="AM534" s="2275"/>
      <c r="AN534" s="2275"/>
      <c r="AO534" s="2275"/>
      <c r="AP534" s="2250"/>
      <c r="AQ534" s="2250"/>
      <c r="AR534" s="2250"/>
      <c r="AS534" s="2250"/>
      <c r="AT534" s="2250"/>
      <c r="AU534" s="2250"/>
      <c r="AV534" s="2250"/>
      <c r="AW534" s="2250"/>
      <c r="AX534" s="2250"/>
      <c r="AY534" s="2250"/>
      <c r="AZ534" s="2250"/>
      <c r="BA534" s="2250"/>
      <c r="BB534" s="2250"/>
      <c r="BC534" s="2250"/>
      <c r="BD534" s="2250"/>
      <c r="BE534" s="2250"/>
      <c r="BF534" s="2276"/>
      <c r="BG534" s="2276"/>
      <c r="BH534" s="2250"/>
      <c r="BI534" s="2275"/>
      <c r="BJ534" s="2275"/>
      <c r="BK534" s="2275"/>
      <c r="BL534" s="2275"/>
      <c r="BM534" s="2275"/>
      <c r="BN534" s="2275"/>
      <c r="BO534" s="2275"/>
      <c r="BP534" s="2275"/>
      <c r="BQ534" s="2275"/>
      <c r="BR534" s="2275"/>
      <c r="BS534" s="2275"/>
      <c r="BT534" s="2275"/>
      <c r="BU534" s="2275"/>
      <c r="BV534" s="2275"/>
      <c r="BW534" s="2275"/>
      <c r="BX534" s="2275"/>
      <c r="BY534" s="2275"/>
      <c r="BZ534" s="2275"/>
      <c r="CA534" s="2275"/>
      <c r="CB534" s="2275"/>
      <c r="CC534" s="2275"/>
      <c r="CD534" s="2275"/>
      <c r="CE534" s="2275"/>
      <c r="CF534" s="2275"/>
      <c r="CG534" s="2275"/>
      <c r="CH534" s="2275"/>
      <c r="CI534" s="2275"/>
      <c r="CJ534" s="2275"/>
      <c r="CK534" s="2275"/>
      <c r="CL534" s="2275"/>
      <c r="CM534" s="2346"/>
      <c r="CN534" s="2275"/>
      <c r="CO534" s="2275">
        <f>HLOOKUP(CO520,BL521:CL533,12,0)</f>
        <v>167.15</v>
      </c>
      <c r="CP534" s="2275">
        <f t="shared" si="294"/>
        <v>167.15</v>
      </c>
      <c r="CQ534" s="2275">
        <v>1650</v>
      </c>
      <c r="CR534" s="2275"/>
      <c r="CS534" s="2275"/>
      <c r="CT534" s="2275"/>
      <c r="CU534" s="2275"/>
      <c r="CV534" s="2275"/>
      <c r="CW534" s="2275"/>
      <c r="CX534" s="2250"/>
      <c r="CY534" s="2250"/>
      <c r="CZ534" s="2250"/>
      <c r="DA534" s="2250"/>
      <c r="DB534" s="2250"/>
      <c r="DC534" s="2250"/>
      <c r="DD534" s="2250"/>
      <c r="DE534" s="2250"/>
      <c r="DF534" s="2250"/>
      <c r="DG534" s="2250"/>
      <c r="DH534" s="2250"/>
      <c r="DI534" s="2250"/>
      <c r="DJ534" s="2250"/>
      <c r="DK534" s="2250"/>
      <c r="DL534" s="2250"/>
      <c r="DM534" s="2250"/>
      <c r="DN534" s="2250"/>
      <c r="DO534" s="53"/>
      <c r="DP534" s="53"/>
      <c r="DS534" s="277"/>
      <c r="DW534" s="1"/>
      <c r="DX534" s="2275"/>
      <c r="DY534" s="2275"/>
      <c r="DZ534" s="2275"/>
      <c r="EA534" s="2275"/>
      <c r="EB534" s="2275"/>
      <c r="EC534" s="2275"/>
      <c r="ED534" s="2275"/>
      <c r="EE534" s="2275"/>
      <c r="EF534" s="2275"/>
      <c r="EG534" s="2275"/>
      <c r="EH534" s="2275"/>
      <c r="EI534" s="2275"/>
      <c r="EJ534" s="2275"/>
      <c r="EK534" s="2275"/>
      <c r="EL534" s="2275"/>
      <c r="EM534" s="2275"/>
      <c r="EN534" s="2275"/>
      <c r="EO534" s="2275"/>
      <c r="EP534" s="2275"/>
      <c r="EQ534" s="2275"/>
      <c r="ER534" s="2275"/>
      <c r="ES534" s="2275"/>
      <c r="ET534" s="2275"/>
      <c r="EU534" s="2275"/>
      <c r="EV534" s="2275"/>
      <c r="EW534" s="2275"/>
      <c r="EX534" s="2275"/>
      <c r="EY534" s="2275"/>
      <c r="EZ534" s="2275"/>
      <c r="FA534" s="2346"/>
      <c r="FB534" s="2275"/>
      <c r="FC534" s="2275">
        <f>HLOOKUP(FC520,DZ521:EZ533,12,0)</f>
        <v>269.69</v>
      </c>
      <c r="FD534" s="2275">
        <f t="shared" si="295"/>
        <v>0</v>
      </c>
      <c r="FE534" s="2275">
        <v>1650</v>
      </c>
      <c r="FF534" s="2275"/>
      <c r="FG534" s="2275"/>
      <c r="FH534" s="2275"/>
      <c r="FI534" s="2275"/>
      <c r="FJ534" s="2275"/>
      <c r="FK534" s="2275"/>
      <c r="FL534" s="2250"/>
      <c r="FM534" s="2250"/>
      <c r="FN534" s="2250"/>
      <c r="FO534" s="2250"/>
      <c r="FP534" s="2250"/>
      <c r="FQ534" s="2250"/>
      <c r="FR534" s="2250"/>
      <c r="FS534" s="2250"/>
      <c r="FT534" s="2250"/>
      <c r="FU534" s="2250"/>
      <c r="FV534" s="2250"/>
      <c r="FW534" s="2250"/>
      <c r="FX534" s="2250"/>
      <c r="FY534" s="2250"/>
      <c r="FZ534" s="2250"/>
      <c r="GA534" s="2250"/>
      <c r="GB534" s="2276"/>
      <c r="GC534" s="2276"/>
      <c r="GD534" s="2250"/>
      <c r="GE534" s="2275"/>
      <c r="GF534" s="2275"/>
      <c r="GG534" s="2275"/>
      <c r="GH534" s="2275"/>
      <c r="GI534" s="2275"/>
      <c r="GJ534" s="2275"/>
      <c r="GK534" s="2275"/>
      <c r="GL534" s="2275"/>
      <c r="GM534" s="2275"/>
      <c r="GN534" s="2275"/>
      <c r="GO534" s="2275"/>
      <c r="GP534" s="2275"/>
      <c r="GQ534" s="2275"/>
      <c r="GR534" s="2275"/>
      <c r="GS534" s="2275"/>
      <c r="GT534" s="2275"/>
      <c r="GU534" s="2275"/>
      <c r="GV534" s="2275"/>
      <c r="GW534" s="2275"/>
      <c r="GX534" s="2275"/>
      <c r="GY534" s="2275"/>
      <c r="GZ534" s="2275"/>
      <c r="HA534" s="2275"/>
      <c r="HB534" s="2275"/>
      <c r="HC534" s="2275"/>
      <c r="HD534" s="2275"/>
      <c r="HE534" s="2275"/>
      <c r="HF534" s="2275"/>
      <c r="HG534" s="2275"/>
      <c r="HH534" s="2275"/>
      <c r="HI534" s="2346"/>
      <c r="HJ534" s="2275"/>
      <c r="HK534" s="2275">
        <f>HLOOKUP(HK520,GH521:HH533,12,0)</f>
        <v>246.23</v>
      </c>
      <c r="HL534" s="2275">
        <f t="shared" si="296"/>
        <v>246.23</v>
      </c>
      <c r="HM534" s="2275">
        <v>1650</v>
      </c>
      <c r="HN534" s="2275"/>
      <c r="HO534" s="2275"/>
      <c r="HP534" s="2275"/>
      <c r="HQ534" s="2275"/>
      <c r="HR534" s="2275"/>
      <c r="HS534" s="2275"/>
      <c r="HT534" s="2250"/>
      <c r="HU534" s="2250"/>
      <c r="HV534" s="2250"/>
      <c r="HW534" s="2250"/>
      <c r="HX534" s="2250"/>
      <c r="HY534" s="2250"/>
      <c r="HZ534" s="2250"/>
      <c r="IA534" s="2250"/>
      <c r="IB534" s="2250"/>
      <c r="IC534" s="2250"/>
      <c r="ID534" s="2250"/>
      <c r="IE534" s="2250"/>
      <c r="IF534" s="2250"/>
      <c r="IG534" s="2250"/>
      <c r="IH534" s="2250"/>
      <c r="II534" s="2250"/>
      <c r="IJ534" s="2250"/>
      <c r="IK534" s="53"/>
      <c r="IL534" s="53"/>
      <c r="IN534" s="277"/>
      <c r="IO534" s="277"/>
    </row>
    <row r="535" spans="2:249" ht="21.95" customHeight="1">
      <c r="B535" s="2275">
        <f>AG520</f>
        <v>68.3</v>
      </c>
      <c r="C535" s="2275">
        <v>0</v>
      </c>
      <c r="D535" s="2275">
        <f>VLOOKUP(B537,C523:AD533,2,0)</f>
        <v>1.38</v>
      </c>
      <c r="E535" s="2275">
        <f>VLOOKUP(B537,C523:E533,3,0)</f>
        <v>1.54</v>
      </c>
      <c r="F535" s="2275">
        <f>VLOOKUP(B537,C523:F533,4,0)</f>
        <v>1.69</v>
      </c>
      <c r="G535" s="2275">
        <f>VLOOKUP(B537,C523:G533,5,0)</f>
        <v>1.85</v>
      </c>
      <c r="H535" s="2275">
        <f>VLOOKUP(B537,C523:H533,6,0)</f>
        <v>2.08</v>
      </c>
      <c r="I535" s="2275">
        <f>VLOOKUP(B537,C523:I533,7,0)</f>
        <v>1.92</v>
      </c>
      <c r="J535" s="2275">
        <f>VLOOKUP(B537,C523:J533,8,0)</f>
        <v>2.15</v>
      </c>
      <c r="K535" s="2275">
        <f>VLOOKUP(B537,C523:K533,9,0)</f>
        <v>2.31</v>
      </c>
      <c r="L535" s="2275">
        <f>VLOOKUP(B537,C523:L533,10,0)</f>
        <v>2.38</v>
      </c>
      <c r="M535" s="2275">
        <f>VLOOKUP(B537,C523:M533,11,0)</f>
        <v>2.62</v>
      </c>
      <c r="N535" s="2275">
        <f>VLOOKUP(B537,C523:N533,12,0)</f>
        <v>3.15</v>
      </c>
      <c r="O535" s="2275">
        <f>VLOOKUP(B537,C523:O533,13,0)</f>
        <v>3.08</v>
      </c>
      <c r="P535" s="2275">
        <f>VLOOKUP(B537,C523:P533,14,0)</f>
        <v>3.38</v>
      </c>
      <c r="Q535" s="2275">
        <f>VLOOKUP(B537,C523:Q533,15,0)</f>
        <v>3.38</v>
      </c>
      <c r="R535" s="2275">
        <f>VLOOKUP(B537,C523:R533,16,0)</f>
        <v>3.69</v>
      </c>
      <c r="S535" s="2275">
        <f>VLOOKUP(B537,C523:S533,17,0)</f>
        <v>3.85</v>
      </c>
      <c r="T535" s="2275">
        <f>VLOOKUP(B537,C523:T533,18,0)</f>
        <v>4.08</v>
      </c>
      <c r="U535" s="2275">
        <f>VLOOKUP(B537,C523:U533,19,0)</f>
        <v>4.38</v>
      </c>
      <c r="V535" s="2275">
        <f>VLOOKUP(B537,C523:V533,20,0)</f>
        <v>4.6900000000000004</v>
      </c>
      <c r="W535" s="2275">
        <f>VLOOKUP(B537,C523:W533,21,0)</f>
        <v>5.31</v>
      </c>
      <c r="X535" s="2275">
        <f>VLOOKUP(B537,C523:X533,22,0)</f>
        <v>5.46</v>
      </c>
      <c r="Y535" s="2275">
        <f>VLOOKUP(B537,C523:Y533,23,0)</f>
        <v>6</v>
      </c>
      <c r="Z535" s="2275">
        <f>VLOOKUP(B537,C523:Z533,24,0)</f>
        <v>6.77</v>
      </c>
      <c r="AA535" s="2275">
        <f>VLOOKUP(B537,C523:AA533,25,0)</f>
        <v>7.54</v>
      </c>
      <c r="AB535" s="2275">
        <f>VLOOKUP(B537,C523:AB533,26,0)</f>
        <v>8</v>
      </c>
      <c r="AC535" s="2275">
        <f>VLOOKUP(B537,C523:AC533,27,0)</f>
        <v>9.23</v>
      </c>
      <c r="AD535" s="2275">
        <f>VLOOKUP(B537,C523:AD533,28,0)</f>
        <v>11</v>
      </c>
      <c r="AE535" s="2346"/>
      <c r="AF535" s="2275"/>
      <c r="AG535" s="2275">
        <f>HLOOKUP(AG520,D521:AD533,13,0)</f>
        <v>0</v>
      </c>
      <c r="AH535" s="2275"/>
      <c r="AI535" s="2275"/>
      <c r="AJ535" s="2275"/>
      <c r="AK535" s="2275"/>
      <c r="AL535" s="2275"/>
      <c r="AM535" s="2275"/>
      <c r="AN535" s="2275"/>
      <c r="AO535" s="2275"/>
      <c r="AP535" s="2250"/>
      <c r="AQ535" s="2250"/>
      <c r="AR535" s="2250"/>
      <c r="AS535" s="2250"/>
      <c r="AT535" s="2250"/>
      <c r="AU535" s="2250"/>
      <c r="AV535" s="2250"/>
      <c r="AW535" s="2250"/>
      <c r="AX535" s="2250"/>
      <c r="AY535" s="2250"/>
      <c r="AZ535" s="2250"/>
      <c r="BA535" s="2250"/>
      <c r="BB535" s="2250"/>
      <c r="BC535" s="2250"/>
      <c r="BD535" s="2250"/>
      <c r="BE535" s="2250"/>
      <c r="BF535" s="2276"/>
      <c r="BG535" s="2276"/>
      <c r="BH535" s="2250"/>
      <c r="BI535" s="2275"/>
      <c r="BJ535" s="2275">
        <f>CO520</f>
        <v>73.7</v>
      </c>
      <c r="BK535" s="2275">
        <v>0</v>
      </c>
      <c r="BL535" s="2275">
        <f>VLOOKUP(BJ537,BK523:CL533,2,0)</f>
        <v>1.38</v>
      </c>
      <c r="BM535" s="2275">
        <f>VLOOKUP(BJ537,BK523:BM533,3,0)</f>
        <v>1.54</v>
      </c>
      <c r="BN535" s="2275">
        <f>VLOOKUP(BJ537,BK523:BN533,4,0)</f>
        <v>1.69</v>
      </c>
      <c r="BO535" s="2275">
        <f>VLOOKUP(BJ537,BK523:BO533,5,0)</f>
        <v>1.85</v>
      </c>
      <c r="BP535" s="2275">
        <f>VLOOKUP(BJ537,BK523:BP533,6,0)</f>
        <v>2.08</v>
      </c>
      <c r="BQ535" s="2275">
        <f>VLOOKUP(BJ537,BK523:BQ533,7,0)</f>
        <v>1.92</v>
      </c>
      <c r="BR535" s="2275">
        <f>VLOOKUP(BJ537,BK523:BR533,8,0)</f>
        <v>2.15</v>
      </c>
      <c r="BS535" s="2275">
        <f>VLOOKUP(BJ537,BK523:BS533,9,0)</f>
        <v>2.31</v>
      </c>
      <c r="BT535" s="2275">
        <f>VLOOKUP(BJ537,BK523:BT533,10,0)</f>
        <v>2.38</v>
      </c>
      <c r="BU535" s="2275">
        <f>VLOOKUP(BJ537,BK523:BU533,11,0)</f>
        <v>2.62</v>
      </c>
      <c r="BV535" s="2275">
        <f>VLOOKUP(BJ537,BK523:BV533,12,0)</f>
        <v>3.15</v>
      </c>
      <c r="BW535" s="2275">
        <f>VLOOKUP(BJ537,BK523:BW533,13,0)</f>
        <v>3.08</v>
      </c>
      <c r="BX535" s="2275">
        <f>VLOOKUP(BJ537,BK523:BX533,14,0)</f>
        <v>3.38</v>
      </c>
      <c r="BY535" s="2275">
        <f>VLOOKUP(BJ537,BK523:BY533,15,0)</f>
        <v>3.38</v>
      </c>
      <c r="BZ535" s="2275">
        <f>VLOOKUP(BJ537,BK523:BZ533,16,0)</f>
        <v>3.69</v>
      </c>
      <c r="CA535" s="2275">
        <f>VLOOKUP(BJ537,BK523:CA533,17,0)</f>
        <v>3.85</v>
      </c>
      <c r="CB535" s="2275">
        <f>VLOOKUP(BJ537,BK523:CB533,18,0)</f>
        <v>4.08</v>
      </c>
      <c r="CC535" s="2275">
        <f>VLOOKUP(BJ537,BK523:CC533,19,0)</f>
        <v>4.38</v>
      </c>
      <c r="CD535" s="2275">
        <f>VLOOKUP(BJ537,BK523:CD533,20,0)</f>
        <v>4.6900000000000004</v>
      </c>
      <c r="CE535" s="2275">
        <f>VLOOKUP(BJ537,BK523:CE533,21,0)</f>
        <v>5.31</v>
      </c>
      <c r="CF535" s="2275">
        <f>VLOOKUP(BJ537,BK523:CF533,22,0)</f>
        <v>5.46</v>
      </c>
      <c r="CG535" s="2275">
        <f>VLOOKUP(BJ537,BK523:CG533,23,0)</f>
        <v>6</v>
      </c>
      <c r="CH535" s="2275">
        <f>VLOOKUP(BJ537,BK523:CH533,24,0)</f>
        <v>6.77</v>
      </c>
      <c r="CI535" s="2275">
        <f>VLOOKUP(BJ537,BK523:CI533,25,0)</f>
        <v>7.54</v>
      </c>
      <c r="CJ535" s="2275">
        <f>VLOOKUP(BJ537,BK523:CJ533,26,0)</f>
        <v>8</v>
      </c>
      <c r="CK535" s="2275">
        <f>VLOOKUP(BJ537,BK523:CK533,27,0)</f>
        <v>9.23</v>
      </c>
      <c r="CL535" s="2275">
        <f>VLOOKUP(BJ537,BK523:CL533,28,0)</f>
        <v>11</v>
      </c>
      <c r="CM535" s="2346"/>
      <c r="CN535" s="2275"/>
      <c r="CO535" s="2275">
        <f>HLOOKUP(CO520,BL521:CL533,13,0)</f>
        <v>167.15</v>
      </c>
      <c r="CP535" s="2275"/>
      <c r="CQ535" s="2275"/>
      <c r="CR535" s="2275"/>
      <c r="CS535" s="2275"/>
      <c r="CT535" s="2275"/>
      <c r="CU535" s="2275"/>
      <c r="CV535" s="2275"/>
      <c r="CW535" s="2275"/>
      <c r="CX535" s="2250"/>
      <c r="CY535" s="2250"/>
      <c r="CZ535" s="2250"/>
      <c r="DA535" s="2250"/>
      <c r="DB535" s="2250"/>
      <c r="DC535" s="2250"/>
      <c r="DD535" s="2250"/>
      <c r="DE535" s="2250"/>
      <c r="DF535" s="2250"/>
      <c r="DG535" s="2250"/>
      <c r="DH535" s="2250"/>
      <c r="DI535" s="2250"/>
      <c r="DJ535" s="2250"/>
      <c r="DK535" s="2250"/>
      <c r="DL535" s="2250"/>
      <c r="DM535" s="2250"/>
      <c r="DN535" s="2250"/>
      <c r="DO535" s="53"/>
      <c r="DP535" s="53"/>
      <c r="DS535" s="277"/>
      <c r="DW535" s="1"/>
      <c r="DX535" s="2275">
        <f>FC520</f>
        <v>43.9</v>
      </c>
      <c r="DY535" s="2275">
        <v>0</v>
      </c>
      <c r="DZ535" s="2275">
        <f>VLOOKUP(DX537,DY523:EZ533,2,0)</f>
        <v>1.38</v>
      </c>
      <c r="EA535" s="2275">
        <f>VLOOKUP(DX537,DY523:EA533,3,0)</f>
        <v>1.54</v>
      </c>
      <c r="EB535" s="2275">
        <f>VLOOKUP(DX537,DY523:EB533,4,0)</f>
        <v>1.69</v>
      </c>
      <c r="EC535" s="2275">
        <f>VLOOKUP(DX537,DY523:EC533,5,0)</f>
        <v>1.85</v>
      </c>
      <c r="ED535" s="2275">
        <f>VLOOKUP(DX537,DY523:ED533,6,0)</f>
        <v>2.08</v>
      </c>
      <c r="EE535" s="2275">
        <f>VLOOKUP(DX537,DY523:EE533,7,0)</f>
        <v>1.92</v>
      </c>
      <c r="EF535" s="2275">
        <f>VLOOKUP(DX537,DY523:EF533,8,0)</f>
        <v>2.15</v>
      </c>
      <c r="EG535" s="2275">
        <f>VLOOKUP(DX537,DY523:EG533,9,0)</f>
        <v>2.31</v>
      </c>
      <c r="EH535" s="2275">
        <f>VLOOKUP(DX537,DY523:EH533,10,0)</f>
        <v>2.38</v>
      </c>
      <c r="EI535" s="2275">
        <f>VLOOKUP(DX537,DY523:EI533,11,0)</f>
        <v>2.62</v>
      </c>
      <c r="EJ535" s="2275">
        <f>VLOOKUP(DX537,DY523:EJ533,12,0)</f>
        <v>3.15</v>
      </c>
      <c r="EK535" s="2275">
        <f>VLOOKUP(DX537,DY523:EK533,13,0)</f>
        <v>3.08</v>
      </c>
      <c r="EL535" s="2275">
        <f>VLOOKUP(DX537,DY523:EL533,14,0)</f>
        <v>3.38</v>
      </c>
      <c r="EM535" s="2275">
        <f>VLOOKUP(DX537,DY523:EM533,15,0)</f>
        <v>3.38</v>
      </c>
      <c r="EN535" s="2275">
        <f>VLOOKUP(DX537,DY523:EN533,16,0)</f>
        <v>3.69</v>
      </c>
      <c r="EO535" s="2275">
        <f>VLOOKUP(DX537,DY523:EO533,17,0)</f>
        <v>3.85</v>
      </c>
      <c r="EP535" s="2275">
        <f>VLOOKUP(DX537,DY523:EP533,18,0)</f>
        <v>4.08</v>
      </c>
      <c r="EQ535" s="2275">
        <f>VLOOKUP(DX537,DY523:EQ533,19,0)</f>
        <v>4.38</v>
      </c>
      <c r="ER535" s="2275">
        <f>VLOOKUP(DX537,DY523:ER533,20,0)</f>
        <v>4.6900000000000004</v>
      </c>
      <c r="ES535" s="2275">
        <f>VLOOKUP(DX537,DY523:ES533,21,0)</f>
        <v>5.31</v>
      </c>
      <c r="ET535" s="2275">
        <f>VLOOKUP(DX537,DY523:ET533,22,0)</f>
        <v>5.46</v>
      </c>
      <c r="EU535" s="2275">
        <f>VLOOKUP(DX537,DY523:EU533,23,0)</f>
        <v>6</v>
      </c>
      <c r="EV535" s="2275">
        <f>VLOOKUP(DX537,DY523:EV533,24,0)</f>
        <v>6.77</v>
      </c>
      <c r="EW535" s="2275">
        <f>VLOOKUP(DX537,DY523:EW533,25,0)</f>
        <v>7.54</v>
      </c>
      <c r="EX535" s="2275">
        <f>VLOOKUP(DX537,DY523:EX533,26,0)</f>
        <v>8</v>
      </c>
      <c r="EY535" s="2275">
        <f>VLOOKUP(DX537,DY523:EY533,27,0)</f>
        <v>9.23</v>
      </c>
      <c r="EZ535" s="2275">
        <f>VLOOKUP(DX537,DY523:EZ533,28,0)</f>
        <v>11</v>
      </c>
      <c r="FA535" s="2346"/>
      <c r="FB535" s="2275"/>
      <c r="FC535" s="2275">
        <f>HLOOKUP(FC520,DZ521:EZ533,13,0)</f>
        <v>0</v>
      </c>
      <c r="FD535" s="2275"/>
      <c r="FE535" s="2275"/>
      <c r="FF535" s="2275"/>
      <c r="FG535" s="2275"/>
      <c r="FH535" s="2275"/>
      <c r="FI535" s="2275"/>
      <c r="FJ535" s="2275"/>
      <c r="FK535" s="2275"/>
      <c r="FL535" s="2250"/>
      <c r="FM535" s="2250"/>
      <c r="FN535" s="2250"/>
      <c r="FO535" s="2250"/>
      <c r="FP535" s="2250"/>
      <c r="FQ535" s="2250"/>
      <c r="FR535" s="2250"/>
      <c r="FS535" s="2250"/>
      <c r="FT535" s="2250"/>
      <c r="FU535" s="2250"/>
      <c r="FV535" s="2250"/>
      <c r="FW535" s="2250"/>
      <c r="FX535" s="2250"/>
      <c r="FY535" s="2250"/>
      <c r="FZ535" s="2250"/>
      <c r="GA535" s="2250"/>
      <c r="GB535" s="2276"/>
      <c r="GC535" s="2276"/>
      <c r="GD535" s="2250"/>
      <c r="GE535" s="2275"/>
      <c r="GF535" s="2275">
        <f>HK520</f>
        <v>48.8</v>
      </c>
      <c r="GG535" s="2275">
        <v>0</v>
      </c>
      <c r="GH535" s="2275">
        <f>VLOOKUP(GF537,GG523:HH533,2,0)</f>
        <v>1.38</v>
      </c>
      <c r="GI535" s="2275">
        <f>VLOOKUP(GF537,GG523:GI533,3,0)</f>
        <v>1.54</v>
      </c>
      <c r="GJ535" s="2275">
        <f>VLOOKUP(GF537,GG523:GJ533,4,0)</f>
        <v>1.69</v>
      </c>
      <c r="GK535" s="2275">
        <f>VLOOKUP(GF537,GG523:GK533,5,0)</f>
        <v>1.85</v>
      </c>
      <c r="GL535" s="2275">
        <f>VLOOKUP(GF537,GG523:GL533,6,0)</f>
        <v>2.08</v>
      </c>
      <c r="GM535" s="2275">
        <f>VLOOKUP(GF537,GG523:GM533,7,0)</f>
        <v>1.92</v>
      </c>
      <c r="GN535" s="2275">
        <f>VLOOKUP(GF537,GG523:GN533,8,0)</f>
        <v>2.15</v>
      </c>
      <c r="GO535" s="2275">
        <f>VLOOKUP(GF537,GG523:GO533,9,0)</f>
        <v>2.31</v>
      </c>
      <c r="GP535" s="2275">
        <f>VLOOKUP(GF537,GG523:GP533,10,0)</f>
        <v>2.38</v>
      </c>
      <c r="GQ535" s="2275">
        <f>VLOOKUP(GF537,GG523:GQ533,11,0)</f>
        <v>2.62</v>
      </c>
      <c r="GR535" s="2275">
        <f>VLOOKUP(GF537,GG523:GR533,12,0)</f>
        <v>3.15</v>
      </c>
      <c r="GS535" s="2275">
        <f>VLOOKUP(GF537,GG523:GS533,13,0)</f>
        <v>3.08</v>
      </c>
      <c r="GT535" s="2275">
        <f>VLOOKUP(GF537,GG523:GT533,14,0)</f>
        <v>3.38</v>
      </c>
      <c r="GU535" s="2275">
        <f>VLOOKUP(GF537,GG523:GU533,15,0)</f>
        <v>3.38</v>
      </c>
      <c r="GV535" s="2275">
        <f>VLOOKUP(GF537,GG523:GV533,16,0)</f>
        <v>3.69</v>
      </c>
      <c r="GW535" s="2275">
        <f>VLOOKUP(GF537,GG523:GW533,17,0)</f>
        <v>3.85</v>
      </c>
      <c r="GX535" s="2275">
        <f>VLOOKUP(GF537,GG523:GX533,18,0)</f>
        <v>4.08</v>
      </c>
      <c r="GY535" s="2275">
        <f>VLOOKUP(GF537,GG523:GY533,19,0)</f>
        <v>4.38</v>
      </c>
      <c r="GZ535" s="2275">
        <f>VLOOKUP(GF537,GG523:GZ533,20,0)</f>
        <v>4.6900000000000004</v>
      </c>
      <c r="HA535" s="2275">
        <f>VLOOKUP(GF537,GG523:HA533,21,0)</f>
        <v>5.31</v>
      </c>
      <c r="HB535" s="2275">
        <f>VLOOKUP(GF537,GG523:HB533,22,0)</f>
        <v>5.46</v>
      </c>
      <c r="HC535" s="2275">
        <f>VLOOKUP(GF537,GG523:HC533,23,0)</f>
        <v>6</v>
      </c>
      <c r="HD535" s="2275">
        <f>VLOOKUP(GF537,GG523:HD533,24,0)</f>
        <v>6.77</v>
      </c>
      <c r="HE535" s="2275">
        <f>VLOOKUP(GF537,GG523:HE533,25,0)</f>
        <v>7.54</v>
      </c>
      <c r="HF535" s="2275">
        <f>VLOOKUP(GF537,GG523:HF533,26,0)</f>
        <v>8</v>
      </c>
      <c r="HG535" s="2275">
        <f>VLOOKUP(GF537,GG523:HG533,27,0)</f>
        <v>9.23</v>
      </c>
      <c r="HH535" s="2275">
        <f>VLOOKUP(GF537,GG523:HH533,28,0)</f>
        <v>11</v>
      </c>
      <c r="HI535" s="2346"/>
      <c r="HJ535" s="2275"/>
      <c r="HK535" s="2275">
        <f>HLOOKUP(HK520,GH521:HH533,13,0)</f>
        <v>246.23</v>
      </c>
      <c r="HL535" s="2275"/>
      <c r="HM535" s="2275"/>
      <c r="HN535" s="2275"/>
      <c r="HO535" s="2275"/>
      <c r="HP535" s="2275"/>
      <c r="HQ535" s="2275"/>
      <c r="HR535" s="2275"/>
      <c r="HS535" s="2275"/>
      <c r="HT535" s="2250"/>
      <c r="HU535" s="2250"/>
      <c r="HV535" s="2250"/>
      <c r="HW535" s="2250"/>
      <c r="HX535" s="2250"/>
      <c r="HY535" s="2250"/>
      <c r="HZ535" s="2250"/>
      <c r="IA535" s="2250"/>
      <c r="IB535" s="2250"/>
      <c r="IC535" s="2250"/>
      <c r="ID535" s="2250"/>
      <c r="IE535" s="2250"/>
      <c r="IF535" s="2250"/>
      <c r="IG535" s="2250"/>
      <c r="IH535" s="2250"/>
      <c r="II535" s="2250"/>
      <c r="IJ535" s="2250"/>
      <c r="IK535" s="53"/>
      <c r="IL535" s="53"/>
      <c r="IN535" s="277"/>
      <c r="IO535" s="277"/>
    </row>
    <row r="536" spans="2:249" ht="21.95" customHeight="1">
      <c r="B536" s="2275">
        <f>AH537</f>
        <v>4.38</v>
      </c>
      <c r="C536" s="2275"/>
      <c r="D536" s="2275"/>
      <c r="E536" s="2275"/>
      <c r="F536" s="2275"/>
      <c r="G536" s="2275"/>
      <c r="H536" s="2275"/>
      <c r="I536" s="2275"/>
      <c r="J536" s="2275"/>
      <c r="K536" s="2275"/>
      <c r="L536" s="2275"/>
      <c r="M536" s="2275"/>
      <c r="N536" s="2275"/>
      <c r="O536" s="2275"/>
      <c r="P536" s="2275"/>
      <c r="Q536" s="2275"/>
      <c r="R536" s="2275"/>
      <c r="S536" s="2275"/>
      <c r="T536" s="2275"/>
      <c r="U536" s="2275"/>
      <c r="V536" s="2275"/>
      <c r="W536" s="2275"/>
      <c r="X536" s="2275"/>
      <c r="Y536" s="2275"/>
      <c r="Z536" s="2275"/>
      <c r="AA536" s="2275"/>
      <c r="AB536" s="2275"/>
      <c r="AC536" s="2275"/>
      <c r="AD536" s="2275"/>
      <c r="AE536" s="2275"/>
      <c r="AF536" s="2275"/>
      <c r="AG536" s="2275">
        <f>VLOOKUP(AG521,AG523:AG535,1)</f>
        <v>0</v>
      </c>
      <c r="AH536" s="2275">
        <f>IFERROR(VLOOKUP(AG521,AH524:AH534,1,0),0)</f>
        <v>0</v>
      </c>
      <c r="AI536" s="2275"/>
      <c r="AJ536" s="2275"/>
      <c r="AK536" s="2275"/>
      <c r="AL536" s="2275"/>
      <c r="AM536" s="2275"/>
      <c r="AN536" s="2275"/>
      <c r="AO536" s="2275"/>
      <c r="AP536" s="2250"/>
      <c r="AQ536" s="2250"/>
      <c r="AR536" s="2250"/>
      <c r="AS536" s="2250"/>
      <c r="AT536" s="2250"/>
      <c r="AU536" s="2250"/>
      <c r="AV536" s="2250"/>
      <c r="AW536" s="2250"/>
      <c r="AX536" s="2250"/>
      <c r="AY536" s="2250"/>
      <c r="AZ536" s="2250"/>
      <c r="BA536" s="2250"/>
      <c r="BB536" s="2250"/>
      <c r="BC536" s="2250"/>
      <c r="BD536" s="2250"/>
      <c r="BE536" s="2250"/>
      <c r="BF536" s="2276"/>
      <c r="BG536" s="2276"/>
      <c r="BH536" s="2250"/>
      <c r="BI536" s="2275"/>
      <c r="BJ536" s="2275">
        <f>CP537</f>
        <v>4.08</v>
      </c>
      <c r="BK536" s="2275"/>
      <c r="BL536" s="2275"/>
      <c r="BM536" s="2275"/>
      <c r="BN536" s="2275"/>
      <c r="BO536" s="2275"/>
      <c r="BP536" s="2275"/>
      <c r="BQ536" s="2275"/>
      <c r="BR536" s="2275"/>
      <c r="BS536" s="2275"/>
      <c r="BT536" s="2275"/>
      <c r="BU536" s="2275"/>
      <c r="BV536" s="2275"/>
      <c r="BW536" s="2275"/>
      <c r="BX536" s="2275"/>
      <c r="BY536" s="2275"/>
      <c r="BZ536" s="2275"/>
      <c r="CA536" s="2275"/>
      <c r="CB536" s="2275"/>
      <c r="CC536" s="2275"/>
      <c r="CD536" s="2275"/>
      <c r="CE536" s="2275"/>
      <c r="CF536" s="2275"/>
      <c r="CG536" s="2275"/>
      <c r="CH536" s="2275"/>
      <c r="CI536" s="2275"/>
      <c r="CJ536" s="2275"/>
      <c r="CK536" s="2275"/>
      <c r="CL536" s="2275"/>
      <c r="CM536" s="2275"/>
      <c r="CN536" s="2275"/>
      <c r="CO536" s="2275">
        <f>VLOOKUP(CO521,CO523:CO535,1)</f>
        <v>0</v>
      </c>
      <c r="CP536" s="2275">
        <f>IFERROR(VLOOKUP(CO521,CP524:CP534,1,0),0)</f>
        <v>0</v>
      </c>
      <c r="CQ536" s="2275"/>
      <c r="CR536" s="2275"/>
      <c r="CS536" s="2275"/>
      <c r="CT536" s="2275"/>
      <c r="CU536" s="2275"/>
      <c r="CV536" s="2275"/>
      <c r="CW536" s="2275"/>
      <c r="CX536" s="2250"/>
      <c r="CY536" s="2250"/>
      <c r="CZ536" s="2250"/>
      <c r="DA536" s="2250"/>
      <c r="DB536" s="2250"/>
      <c r="DC536" s="2250"/>
      <c r="DD536" s="2250"/>
      <c r="DE536" s="2250"/>
      <c r="DF536" s="2250"/>
      <c r="DG536" s="2250"/>
      <c r="DH536" s="2250"/>
      <c r="DI536" s="2250"/>
      <c r="DJ536" s="2250"/>
      <c r="DK536" s="2250"/>
      <c r="DL536" s="2250"/>
      <c r="DM536" s="2250"/>
      <c r="DN536" s="2250"/>
      <c r="DO536" s="53"/>
      <c r="DP536" s="53"/>
      <c r="DS536" s="277"/>
      <c r="DW536" s="1"/>
      <c r="DX536" s="2275">
        <f>FD537</f>
        <v>6.77</v>
      </c>
      <c r="DY536" s="2275"/>
      <c r="DZ536" s="2275"/>
      <c r="EA536" s="2275"/>
      <c r="EB536" s="2275"/>
      <c r="EC536" s="2275"/>
      <c r="ED536" s="2275"/>
      <c r="EE536" s="2275"/>
      <c r="EF536" s="2275"/>
      <c r="EG536" s="2275"/>
      <c r="EH536" s="2275"/>
      <c r="EI536" s="2275"/>
      <c r="EJ536" s="2275"/>
      <c r="EK536" s="2275"/>
      <c r="EL536" s="2275"/>
      <c r="EM536" s="2275"/>
      <c r="EN536" s="2275"/>
      <c r="EO536" s="2275"/>
      <c r="EP536" s="2275"/>
      <c r="EQ536" s="2275"/>
      <c r="ER536" s="2275"/>
      <c r="ES536" s="2275"/>
      <c r="ET536" s="2275"/>
      <c r="EU536" s="2275"/>
      <c r="EV536" s="2275"/>
      <c r="EW536" s="2275"/>
      <c r="EX536" s="2275"/>
      <c r="EY536" s="2275"/>
      <c r="EZ536" s="2275"/>
      <c r="FA536" s="2275"/>
      <c r="FB536" s="2275"/>
      <c r="FC536" s="2275">
        <f>VLOOKUP(FC521,FC523:FC535,1)</f>
        <v>0</v>
      </c>
      <c r="FD536" s="2275">
        <f>IFERROR(VLOOKUP(FC521,FD524:FD534,1,0),0)</f>
        <v>0</v>
      </c>
      <c r="FE536" s="2275"/>
      <c r="FF536" s="2275"/>
      <c r="FG536" s="2275"/>
      <c r="FH536" s="2275"/>
      <c r="FI536" s="2275"/>
      <c r="FJ536" s="2275"/>
      <c r="FK536" s="2275"/>
      <c r="FL536" s="2250"/>
      <c r="FM536" s="2250"/>
      <c r="FN536" s="2250"/>
      <c r="FO536" s="2250"/>
      <c r="FP536" s="2250"/>
      <c r="FQ536" s="2250"/>
      <c r="FR536" s="2250"/>
      <c r="FS536" s="2250"/>
      <c r="FT536" s="2250"/>
      <c r="FU536" s="2250"/>
      <c r="FV536" s="2250"/>
      <c r="FW536" s="2250"/>
      <c r="FX536" s="2250"/>
      <c r="FY536" s="2250"/>
      <c r="FZ536" s="2250"/>
      <c r="GA536" s="2250"/>
      <c r="GB536" s="2276"/>
      <c r="GC536" s="2276"/>
      <c r="GD536" s="2250"/>
      <c r="GE536" s="2275"/>
      <c r="GF536" s="2275">
        <f>HL537</f>
        <v>6</v>
      </c>
      <c r="GG536" s="2275"/>
      <c r="GH536" s="2275"/>
      <c r="GI536" s="2275"/>
      <c r="GJ536" s="2275"/>
      <c r="GK536" s="2275"/>
      <c r="GL536" s="2275"/>
      <c r="GM536" s="2275"/>
      <c r="GN536" s="2275"/>
      <c r="GO536" s="2275"/>
      <c r="GP536" s="2275"/>
      <c r="GQ536" s="2275"/>
      <c r="GR536" s="2275"/>
      <c r="GS536" s="2275"/>
      <c r="GT536" s="2275"/>
      <c r="GU536" s="2275"/>
      <c r="GV536" s="2275"/>
      <c r="GW536" s="2275"/>
      <c r="GX536" s="2275"/>
      <c r="GY536" s="2275"/>
      <c r="GZ536" s="2275"/>
      <c r="HA536" s="2275"/>
      <c r="HB536" s="2275"/>
      <c r="HC536" s="2275"/>
      <c r="HD536" s="2275"/>
      <c r="HE536" s="2275"/>
      <c r="HF536" s="2275"/>
      <c r="HG536" s="2275"/>
      <c r="HH536" s="2275"/>
      <c r="HI536" s="2275"/>
      <c r="HJ536" s="2275"/>
      <c r="HK536" s="2275">
        <f>VLOOKUP(HK521,HK523:HK535,1)</f>
        <v>0</v>
      </c>
      <c r="HL536" s="2275">
        <f>IFERROR(VLOOKUP(HK521,HL524:HL534,1,0),0)</f>
        <v>0</v>
      </c>
      <c r="HM536" s="2275"/>
      <c r="HN536" s="2275"/>
      <c r="HO536" s="2275"/>
      <c r="HP536" s="2275"/>
      <c r="HQ536" s="2275"/>
      <c r="HR536" s="2275"/>
      <c r="HS536" s="2275"/>
      <c r="HT536" s="2250"/>
      <c r="HU536" s="2250"/>
      <c r="HV536" s="2250"/>
      <c r="HW536" s="2250"/>
      <c r="HX536" s="2250"/>
      <c r="HY536" s="2250"/>
      <c r="HZ536" s="2250"/>
      <c r="IA536" s="2250"/>
      <c r="IB536" s="2250"/>
      <c r="IC536" s="2250"/>
      <c r="ID536" s="2250"/>
      <c r="IE536" s="2250"/>
      <c r="IF536" s="2250"/>
      <c r="IG536" s="2250"/>
      <c r="IH536" s="2250"/>
      <c r="II536" s="2250"/>
      <c r="IJ536" s="2250"/>
      <c r="IK536" s="53"/>
      <c r="IL536" s="53"/>
      <c r="IN536" s="277"/>
      <c r="IO536" s="277"/>
    </row>
    <row r="537" spans="2:249" ht="21.95" customHeight="1">
      <c r="B537" s="2346">
        <f>AI537</f>
        <v>475</v>
      </c>
      <c r="C537" s="2346" t="s">
        <v>739</v>
      </c>
      <c r="D537" s="2346">
        <f>HLOOKUP(B535,D521:AD535,15,0)</f>
        <v>4.38</v>
      </c>
      <c r="E537" s="2346" t="str">
        <f>IF(B536=D537,"Right","Wrong")</f>
        <v>Right</v>
      </c>
      <c r="F537" s="2275"/>
      <c r="G537" s="2275"/>
      <c r="H537" s="2275"/>
      <c r="I537" s="2275"/>
      <c r="J537" s="2275"/>
      <c r="K537" s="2275"/>
      <c r="L537" s="2275"/>
      <c r="M537" s="2275"/>
      <c r="N537" s="2275"/>
      <c r="O537" s="2275"/>
      <c r="P537" s="2275"/>
      <c r="Q537" s="2275"/>
      <c r="R537" s="2275"/>
      <c r="S537" s="2275"/>
      <c r="T537" s="2275"/>
      <c r="U537" s="2275"/>
      <c r="V537" s="2275"/>
      <c r="W537" s="2275"/>
      <c r="X537" s="2275"/>
      <c r="Y537" s="2275"/>
      <c r="Z537" s="2275"/>
      <c r="AA537" s="2275"/>
      <c r="AB537" s="2275"/>
      <c r="AC537" s="2275"/>
      <c r="AD537" s="2275"/>
      <c r="AE537" s="2275"/>
      <c r="AF537" s="2275"/>
      <c r="AG537" s="2275">
        <f>VLOOKUP(AG536,AG523:AH534,2,0)</f>
        <v>4.38</v>
      </c>
      <c r="AH537" s="2275">
        <f>IF(AH536&gt;0,AH536,AG537)</f>
        <v>4.38</v>
      </c>
      <c r="AI537" s="2275">
        <f>VLOOKUP(AH537,AH524:AI534,2,0)</f>
        <v>475</v>
      </c>
      <c r="AJ537" s="2275"/>
      <c r="AK537" s="2275"/>
      <c r="AL537" s="2275"/>
      <c r="AM537" s="2275"/>
      <c r="AN537" s="2275"/>
      <c r="AO537" s="2275"/>
      <c r="AP537" s="2250"/>
      <c r="AQ537" s="2250"/>
      <c r="AR537" s="2250"/>
      <c r="AS537" s="2250"/>
      <c r="AT537" s="2250"/>
      <c r="AU537" s="2250"/>
      <c r="AV537" s="2250"/>
      <c r="AW537" s="2250"/>
      <c r="AX537" s="2250"/>
      <c r="AY537" s="2250"/>
      <c r="AZ537" s="2250"/>
      <c r="BA537" s="2250"/>
      <c r="BB537" s="2250"/>
      <c r="BC537" s="2250"/>
      <c r="BD537" s="2250"/>
      <c r="BE537" s="2250"/>
      <c r="BF537" s="2276"/>
      <c r="BG537" s="2276"/>
      <c r="BH537" s="2250"/>
      <c r="BI537" s="2275"/>
      <c r="BJ537" s="2346">
        <f>CQ537</f>
        <v>475</v>
      </c>
      <c r="BK537" s="2346" t="s">
        <v>739</v>
      </c>
      <c r="BL537" s="2346">
        <f>HLOOKUP(BJ535,BL521:CL535,15,0)</f>
        <v>4.08</v>
      </c>
      <c r="BM537" s="2346" t="str">
        <f>IF(BJ536=BL537,"Right","Wrong")</f>
        <v>Right</v>
      </c>
      <c r="BN537" s="2275"/>
      <c r="BO537" s="2275"/>
      <c r="BP537" s="2275"/>
      <c r="BQ537" s="2275"/>
      <c r="BR537" s="2275"/>
      <c r="BS537" s="2275"/>
      <c r="BT537" s="2275"/>
      <c r="BU537" s="2275"/>
      <c r="BV537" s="2275"/>
      <c r="BW537" s="2275"/>
      <c r="BX537" s="2275"/>
      <c r="BY537" s="2275"/>
      <c r="BZ537" s="2275"/>
      <c r="CA537" s="2275"/>
      <c r="CB537" s="2275"/>
      <c r="CC537" s="2275"/>
      <c r="CD537" s="2275"/>
      <c r="CE537" s="2275"/>
      <c r="CF537" s="2275"/>
      <c r="CG537" s="2275"/>
      <c r="CH537" s="2275"/>
      <c r="CI537" s="2275"/>
      <c r="CJ537" s="2275"/>
      <c r="CK537" s="2275"/>
      <c r="CL537" s="2275"/>
      <c r="CM537" s="2275"/>
      <c r="CN537" s="2275"/>
      <c r="CO537" s="2275">
        <f>VLOOKUP(CO536,CO523:CP534,2,0)</f>
        <v>4.08</v>
      </c>
      <c r="CP537" s="2275">
        <f>IF(CP536&gt;0,CP536,CO537)</f>
        <v>4.08</v>
      </c>
      <c r="CQ537" s="2275">
        <f>VLOOKUP(CP537,CP524:CQ534,2,0)</f>
        <v>475</v>
      </c>
      <c r="CR537" s="2275"/>
      <c r="CS537" s="2275"/>
      <c r="CT537" s="2275"/>
      <c r="CU537" s="2275"/>
      <c r="CV537" s="2275"/>
      <c r="CW537" s="2275"/>
      <c r="CX537" s="2250"/>
      <c r="CY537" s="2250"/>
      <c r="CZ537" s="2250"/>
      <c r="DA537" s="2250"/>
      <c r="DB537" s="2250"/>
      <c r="DC537" s="2250"/>
      <c r="DD537" s="2250"/>
      <c r="DE537" s="2250"/>
      <c r="DF537" s="2250"/>
      <c r="DG537" s="2250"/>
      <c r="DH537" s="2250"/>
      <c r="DI537" s="2250"/>
      <c r="DJ537" s="2250"/>
      <c r="DK537" s="2250"/>
      <c r="DL537" s="2250"/>
      <c r="DM537" s="2250"/>
      <c r="DN537" s="2250"/>
      <c r="DO537" s="53"/>
      <c r="DP537" s="53"/>
      <c r="DS537" s="277"/>
      <c r="DW537" s="1"/>
      <c r="DX537" s="2346">
        <f>FE537</f>
        <v>475</v>
      </c>
      <c r="DY537" s="2346" t="s">
        <v>739</v>
      </c>
      <c r="DZ537" s="2346">
        <f>HLOOKUP(DX535,DZ521:EZ535,15,0)</f>
        <v>6.77</v>
      </c>
      <c r="EA537" s="2346" t="str">
        <f>IF(DX536=DZ537,"Right","Wrong")</f>
        <v>Right</v>
      </c>
      <c r="EB537" s="2275"/>
      <c r="EC537" s="2275"/>
      <c r="ED537" s="2275"/>
      <c r="EE537" s="2275"/>
      <c r="EF537" s="2275"/>
      <c r="EG537" s="2275"/>
      <c r="EH537" s="2275"/>
      <c r="EI537" s="2275"/>
      <c r="EJ537" s="2275"/>
      <c r="EK537" s="2275"/>
      <c r="EL537" s="2275"/>
      <c r="EM537" s="2275"/>
      <c r="EN537" s="2275"/>
      <c r="EO537" s="2275"/>
      <c r="EP537" s="2275"/>
      <c r="EQ537" s="2275"/>
      <c r="ER537" s="2275"/>
      <c r="ES537" s="2275"/>
      <c r="ET537" s="2275"/>
      <c r="EU537" s="2275"/>
      <c r="EV537" s="2275"/>
      <c r="EW537" s="2275"/>
      <c r="EX537" s="2275"/>
      <c r="EY537" s="2275"/>
      <c r="EZ537" s="2275"/>
      <c r="FA537" s="2275"/>
      <c r="FB537" s="2275"/>
      <c r="FC537" s="2275">
        <f>VLOOKUP(FC536,FC523:FD534,2,0)</f>
        <v>6.77</v>
      </c>
      <c r="FD537" s="2275">
        <f>IF(FD536&gt;0,FD536,FC537)</f>
        <v>6.77</v>
      </c>
      <c r="FE537" s="2275">
        <f>VLOOKUP(FD537,FD524:FE534,2,0)</f>
        <v>475</v>
      </c>
      <c r="FF537" s="2275"/>
      <c r="FG537" s="2275"/>
      <c r="FH537" s="2275"/>
      <c r="FI537" s="2275"/>
      <c r="FJ537" s="2275"/>
      <c r="FK537" s="2275"/>
      <c r="FL537" s="2250"/>
      <c r="FM537" s="2250"/>
      <c r="FN537" s="2250"/>
      <c r="FO537" s="2250"/>
      <c r="FP537" s="2250"/>
      <c r="FQ537" s="2250"/>
      <c r="FR537" s="2250"/>
      <c r="FS537" s="2250"/>
      <c r="FT537" s="2250"/>
      <c r="FU537" s="2250"/>
      <c r="FV537" s="2250"/>
      <c r="FW537" s="2250"/>
      <c r="FX537" s="2250"/>
      <c r="FY537" s="2250"/>
      <c r="FZ537" s="2250"/>
      <c r="GA537" s="2250"/>
      <c r="GB537" s="2276"/>
      <c r="GC537" s="2276"/>
      <c r="GD537" s="2250"/>
      <c r="GE537" s="2275"/>
      <c r="GF537" s="2346">
        <f>HM537</f>
        <v>475</v>
      </c>
      <c r="GG537" s="2346" t="s">
        <v>739</v>
      </c>
      <c r="GH537" s="2346">
        <f>HLOOKUP(GF535,GH521:HH535,15,0)</f>
        <v>6</v>
      </c>
      <c r="GI537" s="2346" t="str">
        <f>IF(GF536=GH537,"Right","Wrong")</f>
        <v>Right</v>
      </c>
      <c r="GJ537" s="2275"/>
      <c r="GK537" s="2275"/>
      <c r="GL537" s="2275"/>
      <c r="GM537" s="2275"/>
      <c r="GN537" s="2275"/>
      <c r="GO537" s="2275"/>
      <c r="GP537" s="2275"/>
      <c r="GQ537" s="2275"/>
      <c r="GR537" s="2275"/>
      <c r="GS537" s="2275"/>
      <c r="GT537" s="2275"/>
      <c r="GU537" s="2275"/>
      <c r="GV537" s="2275"/>
      <c r="GW537" s="2275"/>
      <c r="GX537" s="2275"/>
      <c r="GY537" s="2275"/>
      <c r="GZ537" s="2275"/>
      <c r="HA537" s="2275"/>
      <c r="HB537" s="2275"/>
      <c r="HC537" s="2275"/>
      <c r="HD537" s="2275"/>
      <c r="HE537" s="2275"/>
      <c r="HF537" s="2275"/>
      <c r="HG537" s="2275"/>
      <c r="HH537" s="2275"/>
      <c r="HI537" s="2275"/>
      <c r="HJ537" s="2275"/>
      <c r="HK537" s="2275">
        <f>VLOOKUP(HK536,HK523:HL534,2,0)</f>
        <v>6</v>
      </c>
      <c r="HL537" s="2275">
        <f>IF(HL536&gt;0,HL536,HK537)</f>
        <v>6</v>
      </c>
      <c r="HM537" s="2275">
        <f>VLOOKUP(HL537,HL524:HM534,2,0)</f>
        <v>475</v>
      </c>
      <c r="HN537" s="2275"/>
      <c r="HO537" s="2275"/>
      <c r="HP537" s="2275"/>
      <c r="HQ537" s="2275"/>
      <c r="HR537" s="2275"/>
      <c r="HS537" s="2275"/>
      <c r="HT537" s="2250"/>
      <c r="HU537" s="2250"/>
      <c r="HV537" s="2250"/>
      <c r="HW537" s="2250"/>
      <c r="HX537" s="2250"/>
      <c r="HY537" s="2250"/>
      <c r="HZ537" s="2250"/>
      <c r="IA537" s="2250"/>
      <c r="IB537" s="2250"/>
      <c r="IC537" s="2250"/>
      <c r="ID537" s="2250"/>
      <c r="IE537" s="2250"/>
      <c r="IF537" s="2250"/>
      <c r="IG537" s="2250"/>
      <c r="IH537" s="2250"/>
      <c r="II537" s="2250"/>
      <c r="IJ537" s="2250"/>
      <c r="IK537" s="53"/>
      <c r="IL537" s="53"/>
      <c r="IN537" s="277"/>
      <c r="IO537" s="277"/>
    </row>
    <row r="538" spans="2:249" ht="21.95" customHeight="1">
      <c r="B538" s="2250"/>
      <c r="C538" s="2275"/>
      <c r="D538" s="2275">
        <f>+IF(B517&lt;=D523,D523,IF(B517&lt;=D524,D524,IF(B517&lt;=D525,D525,IF(B517&lt;=D526,D526,IF(B517&lt;=D527,D527,IF(B517&lt;=D528,D528,IF(B517&lt;=D529,D529,IF(B517&lt;=D530,D530,0))))))))</f>
        <v>1.38</v>
      </c>
      <c r="E538" s="2275">
        <f>+IF(B517&lt;=E523,E523,IF(B517&lt;=E524,E524,IF(B517&lt;=E525,E525,IF(B517&lt;=E526,E526,IF(B517&lt;=E527,E527,IF(B517&lt;=E528,E528,IF(B517&lt;=E529,E529,IF(B517&lt;=E530,E530,0))))))))</f>
        <v>1.54</v>
      </c>
      <c r="F538" s="2275">
        <f>+IF(B517&lt;=F523,F523,IF(B517&lt;=F524,F524,IF(B517&lt;=F525,F525,IF(B517&lt;=F526,F526,IF(B517&lt;=F527,F527,IF(B517&lt;=F528,F528,IF(B517&lt;=F529,F529,IF(B517&lt;=F530,F530,0))))))))</f>
        <v>1.69</v>
      </c>
      <c r="G538" s="2275">
        <f>+IF(B517&lt;=G523,G523,IF(B517&lt;=G524,G524,IF(B517&lt;=G525,G525,IF(B517&lt;=G526,G526,IF(B517&lt;=G527,G527,IF(B517&lt;=G528,G528,IF(B517&lt;=G529,G529,IF(B517&lt;=G530,G530,0))))))))</f>
        <v>1.85</v>
      </c>
      <c r="H538" s="2275">
        <f>+IF(B517&lt;=H523,H523,IF(B517&lt;=H524,H524,IF(B517&lt;=H525,H525,IF(B517&lt;=H526,H526,IF(B517&lt;=H527,H527,IF(B517&lt;=H528,H528,IF(B517&lt;=H529,H529,IF(B517&lt;=H530,H530,0))))))))</f>
        <v>2.08</v>
      </c>
      <c r="I538" s="2275">
        <f>+IF(B517&lt;=I523,I523,IF(B517&lt;=I524,I524,IF(B517&lt;=I525,I525,IF(B517&lt;=I526,I526,IF(B517&lt;=I527,I527,IF(B517&lt;=I528,I528,IF(B517&lt;=I529,I529,IF(B517&lt;=I530,I530,0))))))))</f>
        <v>1.92</v>
      </c>
      <c r="J538" s="2275">
        <f>+IF(B517&lt;=J523,J523,IF(B517&lt;=J524,J524,IF(B517&lt;=J525,J525,IF(B517&lt;=J526,J526,IF(B517&lt;=J527,J527,IF(B517&lt;=J528,J528,IF(B517&lt;=J529,J529,IF(B517&lt;=J530,J530,0))))))))</f>
        <v>2.15</v>
      </c>
      <c r="K538" s="2275">
        <f>+IF(B517&lt;=K523,K523,IF(B517&lt;=K524,K524,IF(B517&lt;=K525,K525,IF(B517&lt;=K526,K526,IF(B517&lt;=K527,K527,IF(B517&lt;=K528,K528,IF(B517&lt;=K529,K529,IF(B517&lt;=K530,K530,0))))))))</f>
        <v>2.31</v>
      </c>
      <c r="L538" s="2275">
        <f>+IF(B517&lt;=L523,L523,IF(B517&lt;=L524,L524,IF(B517&lt;=L525,L525,IF(B517&lt;=L526,L526,IF(B517&lt;=L527,L527,IF(B517&lt;=L528,L528,IF(B517&lt;=L529,L529,IF(B517&lt;=L530,L530,0))))))))</f>
        <v>2.38</v>
      </c>
      <c r="M538" s="2275">
        <f>+IF(B517&lt;=M523,M523,IF(B517&lt;=M524,M524,IF(B517&lt;=M525,M525,IF(B517&lt;=M526,M526,IF(B517&lt;=M527,M527,IF(B517&lt;=M528,M528,IF(B517&lt;=M529,M529,IF(B517&lt;=M530,M530,0))))))))</f>
        <v>2.62</v>
      </c>
      <c r="N538" s="2275">
        <f>+IF(B517&lt;=N523,N523,IF(B517&lt;=N524,N524,IF(B517&lt;=N525,N525,IF(B517&lt;=N526,N526,IF(B517&lt;=N527,N527,IF(B517&lt;=N528,N528,IF(B517&lt;=N529,N529,IF(B517&lt;=N530,N530,0))))))))</f>
        <v>3.15</v>
      </c>
      <c r="O538" s="2275">
        <f>+IF(B517&lt;=O523,O523,IF(B517&lt;=O524,O524,IF(B517&lt;=O525,O525,IF(B517&lt;=O526,O526,IF(B517&lt;=O527,O527,IF(B517&lt;=O528,O528,IF(B517&lt;=O529,O529,IF(B517&lt;=O530,O530,0))))))))</f>
        <v>3.08</v>
      </c>
      <c r="P538" s="2275">
        <f>+IF(B517&lt;=P523,P523,IF(B517&lt;=P524,P524,IF(B517&lt;=P525,P525,IF(B517&lt;=P526,P526,IF(B517&lt;=P527,P527,IF(B517&lt;=P528,P528,IF(B517&lt;=P529,P529,IF(B517&lt;=P530,P530,0))))))))</f>
        <v>3.38</v>
      </c>
      <c r="Q538" s="2275">
        <f>+IF(B517&lt;=Q523,Q523,IF(B517&lt;=Q524,Q524,IF(B517&lt;=Q525,Q525,IF(B517&lt;=Q526,Q526,IF(B517&lt;=Q527,Q527,IF(B517&lt;=Q528,Q528,IF(B517&lt;=Q529,Q529,IF(B517&lt;=Q530,Q530,0))))))))</f>
        <v>3.38</v>
      </c>
      <c r="R538" s="2275">
        <f>+IF(B517&lt;=R523,R523,IF(B517&lt;=R524,R524,IF(B517&lt;=R525,R525,IF(B517&lt;=R526,R526,IF(B517&lt;=R527,R527,IF(B517&lt;=R528,R528,IF(B517&lt;=R529,R529,IF(B517&lt;=R530,R530,0))))))))</f>
        <v>3.69</v>
      </c>
      <c r="S538" s="2275">
        <f>+IF(B517&lt;=S523,S523,IF(B517&lt;=S524,S524,IF(B517&lt;=S525,S525,IF(B517&lt;=S526,S526,IF(B517&lt;=S527,S527,IF(B517&lt;=S528,S528,IF(B517&lt;=S529,S529,IF(B517&lt;=S530,S530,0))))))))</f>
        <v>3.85</v>
      </c>
      <c r="T538" s="2275">
        <f>+IF(B517&lt;=T523,T523,IF(B517&lt;=T524,T524,IF(B517&lt;=T525,T525,IF(B517&lt;=T526,T526,IF(B517&lt;=T527,T527,IF(B517&lt;=T528,T528,IF(B517&lt;=T529,T529,IF(B517&lt;=T530,T530,0))))))))</f>
        <v>4.08</v>
      </c>
      <c r="U538" s="2275">
        <f>+IF(B517&lt;=U523,U523,IF(B517&lt;=U524,U524,IF(B517&lt;=U525,U525,IF(B517&lt;=U526,U526,IF(B517&lt;=U527,U527,IF(B517&lt;=U528,U528,IF(B517&lt;=U529,U529,IF(B517&lt;=U530,U530,0))))))))</f>
        <v>4.38</v>
      </c>
      <c r="V538" s="2275">
        <f>+IF(B517&lt;=V523,V523,IF(B517&lt;=V524,V524,IF(B517&lt;=V525,V525,IF(B517&lt;=V526,V526,IF(B517&lt;=V527,V527,IF(B517&lt;=V528,V528,IF(B517&lt;=V529,V529,IF(B517&lt;=V530,V530,0))))))))</f>
        <v>4.6900000000000004</v>
      </c>
      <c r="W538" s="2275">
        <f>+IF(B517&lt;=W523,W523,IF(B517&lt;=W524,W524,IF(B517&lt;=W525,W525,IF(B517&lt;=W526,W526,IF(B517&lt;=W527,W527,IF(B517&lt;=W528,W528,IF(B517&lt;=W529,W529,IF(B517&lt;=W530,W530,0))))))))</f>
        <v>5.31</v>
      </c>
      <c r="X538" s="2275">
        <f>+IF(B517&lt;=X523,X523,IF(B517&lt;=X524,X524,IF(B517&lt;=X525,X525,IF(B517&lt;=X526,X526,IF(B517&lt;=X527,X527,IF(B517&lt;=X528,X528,IF(B517&lt;=X529,X529,IF(B517&lt;=X530,X530,0))))))))</f>
        <v>5.46</v>
      </c>
      <c r="Y538" s="2275">
        <f>+IF(B517&lt;=Y523,Y523,IF(B517&lt;=Y524,Y524,IF(B517&lt;=Y525,Y525,IF(B517&lt;=Y526,Y526,IF(B517&lt;=Y527,Y527,IF(B517&lt;=Y528,Y528,IF(B517&lt;=Y529,Y529,IF(B517&lt;=Y530,Y530,0))))))))</f>
        <v>6</v>
      </c>
      <c r="Z538" s="2275">
        <f>+IF(B517&lt;=Z523,Z523,IF(B517&lt;=Z524,Z524,IF(B517&lt;=Z525,Z525,IF(B517&lt;=Z526,Z526,IF(B517&lt;=Z527,Z527,IF(B517&lt;=Z528,Z528,IF(B517&lt;=Z529,Z529,IF(B517&lt;=Z530,Z530,0))))))))</f>
        <v>6.77</v>
      </c>
      <c r="AA538" s="2275">
        <f>+IF(B517&lt;=AA523,AA523,IF(B517&lt;=AA524,AA524,IF(B517&lt;=AA525,AA525,IF(B517&lt;=AA526,AA526,IF(B517&lt;=AA527,AA527,IF(B517&lt;=AA528,AA528,IF(B517&lt;=AA529,AA529,IF(B517&lt;=AA530,AA530,0))))))))</f>
        <v>7.54</v>
      </c>
      <c r="AB538" s="2275">
        <f>+IF(B517&lt;=AB523,AB523,IF(B517&lt;=AB524,AB524,IF(B517&lt;=AB525,AB525,IF(B517&lt;=AB526,AB526,IF(B517&lt;=AB527,AB527,IF(B517&lt;=AB528,AB528,IF(B517&lt;=AB529,AB529,IF(B517&lt;=AB530,AB530,0))))))))</f>
        <v>8</v>
      </c>
      <c r="AC538" s="2275">
        <f>+IF(B517&lt;=AC523,AC523,IF(B517&lt;=AC524,AC524,IF(B517&lt;=AC525,AC525,IF(B517&lt;=AC526,AC526,IF(B517&lt;=AC527,AC527,IF(B517&lt;=AC528,AC528,IF(B517&lt;=AC529,AC529,IF(B517&lt;=AC530,AC530,0))))))))</f>
        <v>9.23</v>
      </c>
      <c r="AD538" s="2275">
        <f>+IF(B517&lt;=AD523,AD523,IF(B517&lt;=AD524,AD524,IF(B517&lt;=AD525,AD525,IF(B517&lt;=AD526,AD526,IF(B517&lt;=AD527,AD527,IF(B517&lt;=AD528,AD528,IF(B517&lt;=AD529,AD529,IF(B517&lt;=AD530,AD530,0))))))))</f>
        <v>11</v>
      </c>
      <c r="AE538" s="2275"/>
      <c r="AF538" s="2275"/>
      <c r="AG538" s="2275"/>
      <c r="AH538" s="2275"/>
      <c r="AI538" s="2275"/>
      <c r="AJ538" s="2275"/>
      <c r="AK538" s="2275"/>
      <c r="AL538" s="2275"/>
      <c r="AM538" s="2275"/>
      <c r="AN538" s="2275"/>
      <c r="AO538" s="2275"/>
      <c r="AP538" s="2250"/>
      <c r="AQ538" s="2250"/>
      <c r="AR538" s="2250"/>
      <c r="AS538" s="2250"/>
      <c r="AT538" s="2250"/>
      <c r="AU538" s="2250"/>
      <c r="AV538" s="2250"/>
      <c r="AW538" s="2250"/>
      <c r="AX538" s="2250"/>
      <c r="AY538" s="2250"/>
      <c r="AZ538" s="2250"/>
      <c r="BA538" s="2250"/>
      <c r="BB538" s="2250"/>
      <c r="BC538" s="2250"/>
      <c r="BD538" s="2250"/>
      <c r="BE538" s="2250"/>
      <c r="BF538" s="2276"/>
      <c r="BG538" s="2276"/>
      <c r="BH538" s="2250"/>
      <c r="BI538" s="2275"/>
      <c r="BJ538" s="2250"/>
      <c r="BK538" s="2275"/>
      <c r="BL538" s="2275">
        <f>+IF(BJ517&lt;=BL523,BL523,IF(BJ517&lt;=BL524,BL524,IF(BJ517&lt;=BL525,BL525,IF(BJ517&lt;=BL526,BL526,IF(BJ517&lt;=BL527,BL527,IF(BJ517&lt;=BL528,BL528,IF(BJ517&lt;=BL529,BL529,IF(BJ517&lt;=BL530,BL530,0))))))))</f>
        <v>1.38</v>
      </c>
      <c r="BM538" s="2275">
        <f>+IF(BJ517&lt;=BM523,BM523,IF(BJ517&lt;=BM524,BM524,IF(BJ517&lt;=BM525,BM525,IF(BJ517&lt;=BM526,BM526,IF(BJ517&lt;=BM527,BM527,IF(BJ517&lt;=BM528,BM528,IF(BJ517&lt;=BM529,BM529,IF(BJ517&lt;=BM530,BM530,0))))))))</f>
        <v>1.54</v>
      </c>
      <c r="BN538" s="2275">
        <f>+IF(BJ517&lt;=BN523,BN523,IF(BJ517&lt;=BN524,BN524,IF(BJ517&lt;=BN525,BN525,IF(BJ517&lt;=BN526,BN526,IF(BJ517&lt;=BN527,BN527,IF(BJ517&lt;=BN528,BN528,IF(BJ517&lt;=BN529,BN529,IF(BJ517&lt;=BN530,BN530,0))))))))</f>
        <v>1.69</v>
      </c>
      <c r="BO538" s="2275">
        <f>+IF(BJ517&lt;=BO523,BO523,IF(BJ517&lt;=BO524,BO524,IF(BJ517&lt;=BO525,BO525,IF(BJ517&lt;=BO526,BO526,IF(BJ517&lt;=BO527,BO527,IF(BJ517&lt;=BO528,BO528,IF(BJ517&lt;=BO529,BO529,IF(BJ517&lt;=BO530,BO530,0))))))))</f>
        <v>1.85</v>
      </c>
      <c r="BP538" s="2275">
        <f>+IF(BJ517&lt;=BP523,BP523,IF(BJ517&lt;=BP524,BP524,IF(BJ517&lt;=BP525,BP525,IF(BJ517&lt;=BP526,BP526,IF(BJ517&lt;=BP527,BP527,IF(BJ517&lt;=BP528,BP528,IF(BJ517&lt;=BP529,BP529,IF(BJ517&lt;=BP530,BP530,0))))))))</f>
        <v>2.08</v>
      </c>
      <c r="BQ538" s="2275">
        <f>+IF(BJ517&lt;=BQ523,BQ523,IF(BJ517&lt;=BQ524,BQ524,IF(BJ517&lt;=BQ525,BQ525,IF(BJ517&lt;=BQ526,BQ526,IF(BJ517&lt;=BQ527,BQ527,IF(BJ517&lt;=BQ528,BQ528,IF(BJ517&lt;=BQ529,BQ529,IF(BJ517&lt;=BQ530,BQ530,0))))))))</f>
        <v>1.92</v>
      </c>
      <c r="BR538" s="2275">
        <f>+IF(BJ517&lt;=BR523,BR523,IF(BJ517&lt;=BR524,BR524,IF(BJ517&lt;=BR525,BR525,IF(BJ517&lt;=BR526,BR526,IF(BJ517&lt;=BR527,BR527,IF(BJ517&lt;=BR528,BR528,IF(BJ517&lt;=BR529,BR529,IF(BJ517&lt;=BR530,BR530,0))))))))</f>
        <v>2.15</v>
      </c>
      <c r="BS538" s="2275">
        <f>+IF(BJ517&lt;=BS523,BS523,IF(BJ517&lt;=BS524,BS524,IF(BJ517&lt;=BS525,BS525,IF(BJ517&lt;=BS526,BS526,IF(BJ517&lt;=BS527,BS527,IF(BJ517&lt;=BS528,BS528,IF(BJ517&lt;=BS529,BS529,IF(BJ517&lt;=BS530,BS530,0))))))))</f>
        <v>2.31</v>
      </c>
      <c r="BT538" s="2275">
        <f>+IF(BJ517&lt;=BT523,BT523,IF(BJ517&lt;=BT524,BT524,IF(BJ517&lt;=BT525,BT525,IF(BJ517&lt;=BT526,BT526,IF(BJ517&lt;=BT527,BT527,IF(BJ517&lt;=BT528,BT528,IF(BJ517&lt;=BT529,BT529,IF(BJ517&lt;=BT530,BT530,0))))))))</f>
        <v>2.38</v>
      </c>
      <c r="BU538" s="2275">
        <f>+IF(BJ517&lt;=BU523,BU523,IF(BJ517&lt;=BU524,BU524,IF(BJ517&lt;=BU525,BU525,IF(BJ517&lt;=BU526,BU526,IF(BJ517&lt;=BU527,BU527,IF(BJ517&lt;=BU528,BU528,IF(BJ517&lt;=BU529,BU529,IF(BJ517&lt;=BU530,BU530,0))))))))</f>
        <v>2.62</v>
      </c>
      <c r="BV538" s="2275">
        <f>+IF(BJ517&lt;=BV523,BV523,IF(BJ517&lt;=BV524,BV524,IF(BJ517&lt;=BV525,BV525,IF(BJ517&lt;=BV526,BV526,IF(BJ517&lt;=BV527,BV527,IF(BJ517&lt;=BV528,BV528,IF(BJ517&lt;=BV529,BV529,IF(BJ517&lt;=BV530,BV530,0))))))))</f>
        <v>3.15</v>
      </c>
      <c r="BW538" s="2275">
        <f>+IF(BJ517&lt;=BW523,BW523,IF(BJ517&lt;=BW524,BW524,IF(BJ517&lt;=BW525,BW525,IF(BJ517&lt;=BW526,BW526,IF(BJ517&lt;=BW527,BW527,IF(BJ517&lt;=BW528,BW528,IF(BJ517&lt;=BW529,BW529,IF(BJ517&lt;=BW530,BW530,0))))))))</f>
        <v>3.08</v>
      </c>
      <c r="BX538" s="2275">
        <f>+IF(BJ517&lt;=BX523,BX523,IF(BJ517&lt;=BX524,BX524,IF(BJ517&lt;=BX525,BX525,IF(BJ517&lt;=BX526,BX526,IF(BJ517&lt;=BX527,BX527,IF(BJ517&lt;=BX528,BX528,IF(BJ517&lt;=BX529,BX529,IF(BJ517&lt;=BX530,BX530,0))))))))</f>
        <v>3.38</v>
      </c>
      <c r="BY538" s="2275">
        <f>+IF(BJ517&lt;=BY523,BY523,IF(BJ517&lt;=BY524,BY524,IF(BJ517&lt;=BY525,BY525,IF(BJ517&lt;=BY526,BY526,IF(BJ517&lt;=BY527,BY527,IF(BJ517&lt;=BY528,BY528,IF(BJ517&lt;=BY529,BY529,IF(BJ517&lt;=BY530,BY530,0))))))))</f>
        <v>3.38</v>
      </c>
      <c r="BZ538" s="2275">
        <f>+IF(BJ517&lt;=BZ523,BZ523,IF(BJ517&lt;=BZ524,BZ524,IF(BJ517&lt;=BZ525,BZ525,IF(BJ517&lt;=BZ526,BZ526,IF(BJ517&lt;=BZ527,BZ527,IF(BJ517&lt;=BZ528,BZ528,IF(BJ517&lt;=BZ529,BZ529,IF(BJ517&lt;=BZ530,BZ530,0))))))))</f>
        <v>3.69</v>
      </c>
      <c r="CA538" s="2275">
        <f>+IF(BJ517&lt;=CA523,CA523,IF(BJ517&lt;=CA524,CA524,IF(BJ517&lt;=CA525,CA525,IF(BJ517&lt;=CA526,CA526,IF(BJ517&lt;=CA527,CA527,IF(BJ517&lt;=CA528,CA528,IF(BJ517&lt;=CA529,CA529,IF(BJ517&lt;=CA530,CA530,0))))))))</f>
        <v>3.85</v>
      </c>
      <c r="CB538" s="2275">
        <f>+IF(BJ517&lt;=CB523,CB523,IF(BJ517&lt;=CB524,CB524,IF(BJ517&lt;=CB525,CB525,IF(BJ517&lt;=CB526,CB526,IF(BJ517&lt;=CB527,CB527,IF(BJ517&lt;=CB528,CB528,IF(BJ517&lt;=CB529,CB529,IF(BJ517&lt;=CB530,CB530,0))))))))</f>
        <v>4.08</v>
      </c>
      <c r="CC538" s="2275">
        <f>+IF(BJ517&lt;=CC523,CC523,IF(BJ517&lt;=CC524,CC524,IF(BJ517&lt;=CC525,CC525,IF(BJ517&lt;=CC526,CC526,IF(BJ517&lt;=CC527,CC527,IF(BJ517&lt;=CC528,CC528,IF(BJ517&lt;=CC529,CC529,IF(BJ517&lt;=CC530,CC530,0))))))))</f>
        <v>4.38</v>
      </c>
      <c r="CD538" s="2275">
        <f>+IF(BJ517&lt;=CD523,CD523,IF(BJ517&lt;=CD524,CD524,IF(BJ517&lt;=CD525,CD525,IF(BJ517&lt;=CD526,CD526,IF(BJ517&lt;=CD527,CD527,IF(BJ517&lt;=CD528,CD528,IF(BJ517&lt;=CD529,CD529,IF(BJ517&lt;=CD530,CD530,0))))))))</f>
        <v>4.6900000000000004</v>
      </c>
      <c r="CE538" s="2275">
        <f>+IF(BJ517&lt;=CE523,CE523,IF(BJ517&lt;=CE524,CE524,IF(BJ517&lt;=CE525,CE525,IF(BJ517&lt;=CE526,CE526,IF(BJ517&lt;=CE527,CE527,IF(BJ517&lt;=CE528,CE528,IF(BJ517&lt;=CE529,CE529,IF(BJ517&lt;=CE530,CE530,0))))))))</f>
        <v>5.31</v>
      </c>
      <c r="CF538" s="2275">
        <f>+IF(BJ517&lt;=CF523,CF523,IF(BJ517&lt;=CF524,CF524,IF(BJ517&lt;=CF525,CF525,IF(BJ517&lt;=CF526,CF526,IF(BJ517&lt;=CF527,CF527,IF(BJ517&lt;=CF528,CF528,IF(BJ517&lt;=CF529,CF529,IF(BJ517&lt;=CF530,CF530,0))))))))</f>
        <v>5.46</v>
      </c>
      <c r="CG538" s="2275">
        <f>+IF(BJ517&lt;=CG523,CG523,IF(BJ517&lt;=CG524,CG524,IF(BJ517&lt;=CG525,CG525,IF(BJ517&lt;=CG526,CG526,IF(BJ517&lt;=CG527,CG527,IF(BJ517&lt;=CG528,CG528,IF(BJ517&lt;=CG529,CG529,IF(BJ517&lt;=CG530,CG530,0))))))))</f>
        <v>6</v>
      </c>
      <c r="CH538" s="2275">
        <f>+IF(BJ517&lt;=CH523,CH523,IF(BJ517&lt;=CH524,CH524,IF(BJ517&lt;=CH525,CH525,IF(BJ517&lt;=CH526,CH526,IF(BJ517&lt;=CH527,CH527,IF(BJ517&lt;=CH528,CH528,IF(BJ517&lt;=CH529,CH529,IF(BJ517&lt;=CH530,CH530,0))))))))</f>
        <v>6.77</v>
      </c>
      <c r="CI538" s="2275">
        <f>+IF(BJ517&lt;=CI523,CI523,IF(BJ517&lt;=CI524,CI524,IF(BJ517&lt;=CI525,CI525,IF(BJ517&lt;=CI526,CI526,IF(BJ517&lt;=CI527,CI527,IF(BJ517&lt;=CI528,CI528,IF(BJ517&lt;=CI529,CI529,IF(BJ517&lt;=CI530,CI530,0))))))))</f>
        <v>7.54</v>
      </c>
      <c r="CJ538" s="2275">
        <f>+IF(BJ517&lt;=CJ523,CJ523,IF(BJ517&lt;=CJ524,CJ524,IF(BJ517&lt;=CJ525,CJ525,IF(BJ517&lt;=CJ526,CJ526,IF(BJ517&lt;=CJ527,CJ527,IF(BJ517&lt;=CJ528,CJ528,IF(BJ517&lt;=CJ529,CJ529,IF(BJ517&lt;=CJ530,CJ530,0))))))))</f>
        <v>8</v>
      </c>
      <c r="CK538" s="2275">
        <f>+IF(BJ517&lt;=CK523,CK523,IF(BJ517&lt;=CK524,CK524,IF(BJ517&lt;=CK525,CK525,IF(BJ517&lt;=CK526,CK526,IF(BJ517&lt;=CK527,CK527,IF(BJ517&lt;=CK528,CK528,IF(BJ517&lt;=CK529,CK529,IF(BJ517&lt;=CK530,CK530,0))))))))</f>
        <v>9.23</v>
      </c>
      <c r="CL538" s="2275">
        <f>+IF(BJ517&lt;=CL523,CL523,IF(BJ517&lt;=CL524,CL524,IF(BJ517&lt;=CL525,CL525,IF(BJ517&lt;=CL526,CL526,IF(BJ517&lt;=CL527,CL527,IF(BJ517&lt;=CL528,CL528,IF(BJ517&lt;=CL529,CL529,IF(BJ517&lt;=CL530,CL530,0))))))))</f>
        <v>11</v>
      </c>
      <c r="CM538" s="2275"/>
      <c r="CN538" s="2275"/>
      <c r="CO538" s="2275"/>
      <c r="CP538" s="2275"/>
      <c r="CQ538" s="2275"/>
      <c r="CR538" s="2275"/>
      <c r="CS538" s="2275"/>
      <c r="CT538" s="2275"/>
      <c r="CU538" s="2275"/>
      <c r="CV538" s="2275"/>
      <c r="CW538" s="2275"/>
      <c r="CX538" s="2250"/>
      <c r="CY538" s="2250"/>
      <c r="CZ538" s="2250"/>
      <c r="DA538" s="2250"/>
      <c r="DB538" s="2250"/>
      <c r="DC538" s="2250"/>
      <c r="DD538" s="2250"/>
      <c r="DE538" s="2250"/>
      <c r="DF538" s="2250"/>
      <c r="DG538" s="2250"/>
      <c r="DH538" s="2250"/>
      <c r="DI538" s="2250"/>
      <c r="DJ538" s="2250"/>
      <c r="DK538" s="2250"/>
      <c r="DL538" s="2250"/>
      <c r="DM538" s="2250"/>
      <c r="DN538" s="2250"/>
      <c r="DO538" s="53"/>
      <c r="DP538" s="53"/>
      <c r="DS538" s="277"/>
      <c r="DW538" s="1"/>
      <c r="DX538" s="2250"/>
      <c r="DY538" s="2275"/>
      <c r="DZ538" s="2275">
        <f>+IF(DX517&lt;=DZ523,DZ523,IF(DX517&lt;=DZ524,DZ524,IF(DX517&lt;=DZ525,DZ525,IF(DX517&lt;=DZ526,DZ526,IF(DX517&lt;=DZ527,DZ527,IF(DX517&lt;=DZ528,DZ528,IF(DX517&lt;=DZ529,DZ529,IF(DX517&lt;=DZ530,DZ530,0))))))))</f>
        <v>1.38</v>
      </c>
      <c r="EA538" s="2275">
        <f>+IF(DX517&lt;=EA523,EA523,IF(DX517&lt;=EA524,EA524,IF(DX517&lt;=EA525,EA525,IF(DX517&lt;=EA526,EA526,IF(DX517&lt;=EA527,EA527,IF(DX517&lt;=EA528,EA528,IF(DX517&lt;=EA529,EA529,IF(DX517&lt;=EA530,EA530,0))))))))</f>
        <v>1.54</v>
      </c>
      <c r="EB538" s="2275">
        <f>+IF(DX517&lt;=EB523,EB523,IF(DX517&lt;=EB524,EB524,IF(DX517&lt;=EB525,EB525,IF(DX517&lt;=EB526,EB526,IF(DX517&lt;=EB527,EB527,IF(DX517&lt;=EB528,EB528,IF(DX517&lt;=EB529,EB529,IF(DX517&lt;=EB530,EB530,0))))))))</f>
        <v>1.69</v>
      </c>
      <c r="EC538" s="2275">
        <f>+IF(DX517&lt;=EC523,EC523,IF(DX517&lt;=EC524,EC524,IF(DX517&lt;=EC525,EC525,IF(DX517&lt;=EC526,EC526,IF(DX517&lt;=EC527,EC527,IF(DX517&lt;=EC528,EC528,IF(DX517&lt;=EC529,EC529,IF(DX517&lt;=EC530,EC530,0))))))))</f>
        <v>1.85</v>
      </c>
      <c r="ED538" s="2275">
        <f>+IF(DX517&lt;=ED523,ED523,IF(DX517&lt;=ED524,ED524,IF(DX517&lt;=ED525,ED525,IF(DX517&lt;=ED526,ED526,IF(DX517&lt;=ED527,ED527,IF(DX517&lt;=ED528,ED528,IF(DX517&lt;=ED529,ED529,IF(DX517&lt;=ED530,ED530,0))))))))</f>
        <v>2.08</v>
      </c>
      <c r="EE538" s="2275">
        <f>+IF(DX517&lt;=EE523,EE523,IF(DX517&lt;=EE524,EE524,IF(DX517&lt;=EE525,EE525,IF(DX517&lt;=EE526,EE526,IF(DX517&lt;=EE527,EE527,IF(DX517&lt;=EE528,EE528,IF(DX517&lt;=EE529,EE529,IF(DX517&lt;=EE530,EE530,0))))))))</f>
        <v>1.92</v>
      </c>
      <c r="EF538" s="2275">
        <f>+IF(DX517&lt;=EF523,EF523,IF(DX517&lt;=EF524,EF524,IF(DX517&lt;=EF525,EF525,IF(DX517&lt;=EF526,EF526,IF(DX517&lt;=EF527,EF527,IF(DX517&lt;=EF528,EF528,IF(DX517&lt;=EF529,EF529,IF(DX517&lt;=EF530,EF530,0))))))))</f>
        <v>2.15</v>
      </c>
      <c r="EG538" s="2275">
        <f>+IF(DX517&lt;=EG523,EG523,IF(DX517&lt;=EG524,EG524,IF(DX517&lt;=EG525,EG525,IF(DX517&lt;=EG526,EG526,IF(DX517&lt;=EG527,EG527,IF(DX517&lt;=EG528,EG528,IF(DX517&lt;=EG529,EG529,IF(DX517&lt;=EG530,EG530,0))))))))</f>
        <v>2.31</v>
      </c>
      <c r="EH538" s="2275">
        <f>+IF(DX517&lt;=EH523,EH523,IF(DX517&lt;=EH524,EH524,IF(DX517&lt;=EH525,EH525,IF(DX517&lt;=EH526,EH526,IF(DX517&lt;=EH527,EH527,IF(DX517&lt;=EH528,EH528,IF(DX517&lt;=EH529,EH529,IF(DX517&lt;=EH530,EH530,0))))))))</f>
        <v>2.38</v>
      </c>
      <c r="EI538" s="2275">
        <f>+IF(DX517&lt;=EI523,EI523,IF(DX517&lt;=EI524,EI524,IF(DX517&lt;=EI525,EI525,IF(DX517&lt;=EI526,EI526,IF(DX517&lt;=EI527,EI527,IF(DX517&lt;=EI528,EI528,IF(DX517&lt;=EI529,EI529,IF(DX517&lt;=EI530,EI530,0))))))))</f>
        <v>2.62</v>
      </c>
      <c r="EJ538" s="2275">
        <f>+IF(DX517&lt;=EJ523,EJ523,IF(DX517&lt;=EJ524,EJ524,IF(DX517&lt;=EJ525,EJ525,IF(DX517&lt;=EJ526,EJ526,IF(DX517&lt;=EJ527,EJ527,IF(DX517&lt;=EJ528,EJ528,IF(DX517&lt;=EJ529,EJ529,IF(DX517&lt;=EJ530,EJ530,0))))))))</f>
        <v>3.15</v>
      </c>
      <c r="EK538" s="2275">
        <f>+IF(DX517&lt;=EK523,EK523,IF(DX517&lt;=EK524,EK524,IF(DX517&lt;=EK525,EK525,IF(DX517&lt;=EK526,EK526,IF(DX517&lt;=EK527,EK527,IF(DX517&lt;=EK528,EK528,IF(DX517&lt;=EK529,EK529,IF(DX517&lt;=EK530,EK530,0))))))))</f>
        <v>3.08</v>
      </c>
      <c r="EL538" s="2275">
        <f>+IF(DX517&lt;=EL523,EL523,IF(DX517&lt;=EL524,EL524,IF(DX517&lt;=EL525,EL525,IF(DX517&lt;=EL526,EL526,IF(DX517&lt;=EL527,EL527,IF(DX517&lt;=EL528,EL528,IF(DX517&lt;=EL529,EL529,IF(DX517&lt;=EL530,EL530,0))))))))</f>
        <v>3.38</v>
      </c>
      <c r="EM538" s="2275">
        <f>+IF(DX517&lt;=EM523,EM523,IF(DX517&lt;=EM524,EM524,IF(DX517&lt;=EM525,EM525,IF(DX517&lt;=EM526,EM526,IF(DX517&lt;=EM527,EM527,IF(DX517&lt;=EM528,EM528,IF(DX517&lt;=EM529,EM529,IF(DX517&lt;=EM530,EM530,0))))))))</f>
        <v>3.38</v>
      </c>
      <c r="EN538" s="2275">
        <f>+IF(DX517&lt;=EN523,EN523,IF(DX517&lt;=EN524,EN524,IF(DX517&lt;=EN525,EN525,IF(DX517&lt;=EN526,EN526,IF(DX517&lt;=EN527,EN527,IF(DX517&lt;=EN528,EN528,IF(DX517&lt;=EN529,EN529,IF(DX517&lt;=EN530,EN530,0))))))))</f>
        <v>3.69</v>
      </c>
      <c r="EO538" s="2275">
        <f>+IF(DX517&lt;=EO523,EO523,IF(DX517&lt;=EO524,EO524,IF(DX517&lt;=EO525,EO525,IF(DX517&lt;=EO526,EO526,IF(DX517&lt;=EO527,EO527,IF(DX517&lt;=EO528,EO528,IF(DX517&lt;=EO529,EO529,IF(DX517&lt;=EO530,EO530,0))))))))</f>
        <v>3.85</v>
      </c>
      <c r="EP538" s="2275">
        <f>+IF(DX517&lt;=EP523,EP523,IF(DX517&lt;=EP524,EP524,IF(DX517&lt;=EP525,EP525,IF(DX517&lt;=EP526,EP526,IF(DX517&lt;=EP527,EP527,IF(DX517&lt;=EP528,EP528,IF(DX517&lt;=EP529,EP529,IF(DX517&lt;=EP530,EP530,0))))))))</f>
        <v>4.08</v>
      </c>
      <c r="EQ538" s="2275">
        <f>+IF(DX517&lt;=EQ523,EQ523,IF(DX517&lt;=EQ524,EQ524,IF(DX517&lt;=EQ525,EQ525,IF(DX517&lt;=EQ526,EQ526,IF(DX517&lt;=EQ527,EQ527,IF(DX517&lt;=EQ528,EQ528,IF(DX517&lt;=EQ529,EQ529,IF(DX517&lt;=EQ530,EQ530,0))))))))</f>
        <v>4.38</v>
      </c>
      <c r="ER538" s="2275">
        <f>+IF(DX517&lt;=ER523,ER523,IF(DX517&lt;=ER524,ER524,IF(DX517&lt;=ER525,ER525,IF(DX517&lt;=ER526,ER526,IF(DX517&lt;=ER527,ER527,IF(DX517&lt;=ER528,ER528,IF(DX517&lt;=ER529,ER529,IF(DX517&lt;=ER530,ER530,0))))))))</f>
        <v>4.6900000000000004</v>
      </c>
      <c r="ES538" s="2275">
        <f>+IF(DX517&lt;=ES523,ES523,IF(DX517&lt;=ES524,ES524,IF(DX517&lt;=ES525,ES525,IF(DX517&lt;=ES526,ES526,IF(DX517&lt;=ES527,ES527,IF(DX517&lt;=ES528,ES528,IF(DX517&lt;=ES529,ES529,IF(DX517&lt;=ES530,ES530,0))))))))</f>
        <v>5.31</v>
      </c>
      <c r="ET538" s="2275">
        <f>+IF(DX517&lt;=ET523,ET523,IF(DX517&lt;=ET524,ET524,IF(DX517&lt;=ET525,ET525,IF(DX517&lt;=ET526,ET526,IF(DX517&lt;=ET527,ET527,IF(DX517&lt;=ET528,ET528,IF(DX517&lt;=ET529,ET529,IF(DX517&lt;=ET530,ET530,0))))))))</f>
        <v>5.46</v>
      </c>
      <c r="EU538" s="2275">
        <f>+IF(DX517&lt;=EU523,EU523,IF(DX517&lt;=EU524,EU524,IF(DX517&lt;=EU525,EU525,IF(DX517&lt;=EU526,EU526,IF(DX517&lt;=EU527,EU527,IF(DX517&lt;=EU528,EU528,IF(DX517&lt;=EU529,EU529,IF(DX517&lt;=EU530,EU530,0))))))))</f>
        <v>6</v>
      </c>
      <c r="EV538" s="2275">
        <f>+IF(DX517&lt;=EV523,EV523,IF(DX517&lt;=EV524,EV524,IF(DX517&lt;=EV525,EV525,IF(DX517&lt;=EV526,EV526,IF(DX517&lt;=EV527,EV527,IF(DX517&lt;=EV528,EV528,IF(DX517&lt;=EV529,EV529,IF(DX517&lt;=EV530,EV530,0))))))))</f>
        <v>6.77</v>
      </c>
      <c r="EW538" s="2275">
        <f>+IF(DX517&lt;=EW523,EW523,IF(DX517&lt;=EW524,EW524,IF(DX517&lt;=EW525,EW525,IF(DX517&lt;=EW526,EW526,IF(DX517&lt;=EW527,EW527,IF(DX517&lt;=EW528,EW528,IF(DX517&lt;=EW529,EW529,IF(DX517&lt;=EW530,EW530,0))))))))</f>
        <v>7.54</v>
      </c>
      <c r="EX538" s="2275">
        <f>+IF(DX517&lt;=EX523,EX523,IF(DX517&lt;=EX524,EX524,IF(DX517&lt;=EX525,EX525,IF(DX517&lt;=EX526,EX526,IF(DX517&lt;=EX527,EX527,IF(DX517&lt;=EX528,EX528,IF(DX517&lt;=EX529,EX529,IF(DX517&lt;=EX530,EX530,0))))))))</f>
        <v>8</v>
      </c>
      <c r="EY538" s="2275">
        <f>+IF(DX517&lt;=EY523,EY523,IF(DX517&lt;=EY524,EY524,IF(DX517&lt;=EY525,EY525,IF(DX517&lt;=EY526,EY526,IF(DX517&lt;=EY527,EY527,IF(DX517&lt;=EY528,EY528,IF(DX517&lt;=EY529,EY529,IF(DX517&lt;=EY530,EY530,0))))))))</f>
        <v>9.23</v>
      </c>
      <c r="EZ538" s="2275">
        <f>+IF(DX517&lt;=EZ523,EZ523,IF(DX517&lt;=EZ524,EZ524,IF(DX517&lt;=EZ525,EZ525,IF(DX517&lt;=EZ526,EZ526,IF(DX517&lt;=EZ527,EZ527,IF(DX517&lt;=EZ528,EZ528,IF(DX517&lt;=EZ529,EZ529,IF(DX517&lt;=EZ530,EZ530,0))))))))</f>
        <v>11</v>
      </c>
      <c r="FA538" s="2275"/>
      <c r="FB538" s="2275"/>
      <c r="FC538" s="2275"/>
      <c r="FD538" s="2275"/>
      <c r="FE538" s="2275"/>
      <c r="FF538" s="2275"/>
      <c r="FG538" s="2275"/>
      <c r="FH538" s="2275"/>
      <c r="FI538" s="2275"/>
      <c r="FJ538" s="2275"/>
      <c r="FK538" s="2275"/>
      <c r="FL538" s="2250"/>
      <c r="FM538" s="2250"/>
      <c r="FN538" s="2250"/>
      <c r="FO538" s="2250"/>
      <c r="FP538" s="2250"/>
      <c r="FQ538" s="2250"/>
      <c r="FR538" s="2250"/>
      <c r="FS538" s="2250"/>
      <c r="FT538" s="2250"/>
      <c r="FU538" s="2250"/>
      <c r="FV538" s="2250"/>
      <c r="FW538" s="2250"/>
      <c r="FX538" s="2250"/>
      <c r="FY538" s="2250"/>
      <c r="FZ538" s="2250"/>
      <c r="GA538" s="2250"/>
      <c r="GB538" s="2276"/>
      <c r="GC538" s="2276"/>
      <c r="GD538" s="2250"/>
      <c r="GE538" s="2275"/>
      <c r="GF538" s="2250"/>
      <c r="GG538" s="2275"/>
      <c r="GH538" s="2275">
        <f>+IF(GF517&lt;=GH523,GH523,IF(GF517&lt;=GH524,GH524,IF(GF517&lt;=GH525,GH525,IF(GF517&lt;=GH526,GH526,IF(GF517&lt;=GH527,GH527,IF(GF517&lt;=GH528,GH528,IF(GF517&lt;=GH529,GH529,IF(GF517&lt;=GH530,GH530,0))))))))</f>
        <v>1.38</v>
      </c>
      <c r="GI538" s="2275">
        <f>+IF(GF517&lt;=GI523,GI523,IF(GF517&lt;=GI524,GI524,IF(GF517&lt;=GI525,GI525,IF(GF517&lt;=GI526,GI526,IF(GF517&lt;=GI527,GI527,IF(GF517&lt;=GI528,GI528,IF(GF517&lt;=GI529,GI529,IF(GF517&lt;=GI530,GI530,0))))))))</f>
        <v>1.54</v>
      </c>
      <c r="GJ538" s="2275">
        <f>+IF(GF517&lt;=GJ523,GJ523,IF(GF517&lt;=GJ524,GJ524,IF(GF517&lt;=GJ525,GJ525,IF(GF517&lt;=GJ526,GJ526,IF(GF517&lt;=GJ527,GJ527,IF(GF517&lt;=GJ528,GJ528,IF(GF517&lt;=GJ529,GJ529,IF(GF517&lt;=GJ530,GJ530,0))))))))</f>
        <v>1.69</v>
      </c>
      <c r="GK538" s="2275">
        <f>+IF(GF517&lt;=GK523,GK523,IF(GF517&lt;=GK524,GK524,IF(GF517&lt;=GK525,GK525,IF(GF517&lt;=GK526,GK526,IF(GF517&lt;=GK527,GK527,IF(GF517&lt;=GK528,GK528,IF(GF517&lt;=GK529,GK529,IF(GF517&lt;=GK530,GK530,0))))))))</f>
        <v>1.85</v>
      </c>
      <c r="GL538" s="2275">
        <f>+IF(GF517&lt;=GL523,GL523,IF(GF517&lt;=GL524,GL524,IF(GF517&lt;=GL525,GL525,IF(GF517&lt;=GL526,GL526,IF(GF517&lt;=GL527,GL527,IF(GF517&lt;=GL528,GL528,IF(GF517&lt;=GL529,GL529,IF(GF517&lt;=GL530,GL530,0))))))))</f>
        <v>2.08</v>
      </c>
      <c r="GM538" s="2275">
        <f>+IF(GF517&lt;=GM523,GM523,IF(GF517&lt;=GM524,GM524,IF(GF517&lt;=GM525,GM525,IF(GF517&lt;=GM526,GM526,IF(GF517&lt;=GM527,GM527,IF(GF517&lt;=GM528,GM528,IF(GF517&lt;=GM529,GM529,IF(GF517&lt;=GM530,GM530,0))))))))</f>
        <v>1.92</v>
      </c>
      <c r="GN538" s="2275">
        <f>+IF(GF517&lt;=GN523,GN523,IF(GF517&lt;=GN524,GN524,IF(GF517&lt;=GN525,GN525,IF(GF517&lt;=GN526,GN526,IF(GF517&lt;=GN527,GN527,IF(GF517&lt;=GN528,GN528,IF(GF517&lt;=GN529,GN529,IF(GF517&lt;=GN530,GN530,0))))))))</f>
        <v>2.15</v>
      </c>
      <c r="GO538" s="2275">
        <f>+IF(GF517&lt;=GO523,GO523,IF(GF517&lt;=GO524,GO524,IF(GF517&lt;=GO525,GO525,IF(GF517&lt;=GO526,GO526,IF(GF517&lt;=GO527,GO527,IF(GF517&lt;=GO528,GO528,IF(GF517&lt;=GO529,GO529,IF(GF517&lt;=GO530,GO530,0))))))))</f>
        <v>2.31</v>
      </c>
      <c r="GP538" s="2275">
        <f>+IF(GF517&lt;=GP523,GP523,IF(GF517&lt;=GP524,GP524,IF(GF517&lt;=GP525,GP525,IF(GF517&lt;=GP526,GP526,IF(GF517&lt;=GP527,GP527,IF(GF517&lt;=GP528,GP528,IF(GF517&lt;=GP529,GP529,IF(GF517&lt;=GP530,GP530,0))))))))</f>
        <v>2.38</v>
      </c>
      <c r="GQ538" s="2275">
        <f>+IF(GF517&lt;=GQ523,GQ523,IF(GF517&lt;=GQ524,GQ524,IF(GF517&lt;=GQ525,GQ525,IF(GF517&lt;=GQ526,GQ526,IF(GF517&lt;=GQ527,GQ527,IF(GF517&lt;=GQ528,GQ528,IF(GF517&lt;=GQ529,GQ529,IF(GF517&lt;=GQ530,GQ530,0))))))))</f>
        <v>2.62</v>
      </c>
      <c r="GR538" s="2275">
        <f>+IF(GF517&lt;=GR523,GR523,IF(GF517&lt;=GR524,GR524,IF(GF517&lt;=GR525,GR525,IF(GF517&lt;=GR526,GR526,IF(GF517&lt;=GR527,GR527,IF(GF517&lt;=GR528,GR528,IF(GF517&lt;=GR529,GR529,IF(GF517&lt;=GR530,GR530,0))))))))</f>
        <v>3.15</v>
      </c>
      <c r="GS538" s="2275">
        <f>+IF(GF517&lt;=GS523,GS523,IF(GF517&lt;=GS524,GS524,IF(GF517&lt;=GS525,GS525,IF(GF517&lt;=GS526,GS526,IF(GF517&lt;=GS527,GS527,IF(GF517&lt;=GS528,GS528,IF(GF517&lt;=GS529,GS529,IF(GF517&lt;=GS530,GS530,0))))))))</f>
        <v>3.08</v>
      </c>
      <c r="GT538" s="2275">
        <f>+IF(GF517&lt;=GT523,GT523,IF(GF517&lt;=GT524,GT524,IF(GF517&lt;=GT525,GT525,IF(GF517&lt;=GT526,GT526,IF(GF517&lt;=GT527,GT527,IF(GF517&lt;=GT528,GT528,IF(GF517&lt;=GT529,GT529,IF(GF517&lt;=GT530,GT530,0))))))))</f>
        <v>3.38</v>
      </c>
      <c r="GU538" s="2275">
        <f>+IF(GF517&lt;=GU523,GU523,IF(GF517&lt;=GU524,GU524,IF(GF517&lt;=GU525,GU525,IF(GF517&lt;=GU526,GU526,IF(GF517&lt;=GU527,GU527,IF(GF517&lt;=GU528,GU528,IF(GF517&lt;=GU529,GU529,IF(GF517&lt;=GU530,GU530,0))))))))</f>
        <v>3.38</v>
      </c>
      <c r="GV538" s="2275">
        <f>+IF(GF517&lt;=GV523,GV523,IF(GF517&lt;=GV524,GV524,IF(GF517&lt;=GV525,GV525,IF(GF517&lt;=GV526,GV526,IF(GF517&lt;=GV527,GV527,IF(GF517&lt;=GV528,GV528,IF(GF517&lt;=GV529,GV529,IF(GF517&lt;=GV530,GV530,0))))))))</f>
        <v>3.69</v>
      </c>
      <c r="GW538" s="2275">
        <f>+IF(GF517&lt;=GW523,GW523,IF(GF517&lt;=GW524,GW524,IF(GF517&lt;=GW525,GW525,IF(GF517&lt;=GW526,GW526,IF(GF517&lt;=GW527,GW527,IF(GF517&lt;=GW528,GW528,IF(GF517&lt;=GW529,GW529,IF(GF517&lt;=GW530,GW530,0))))))))</f>
        <v>3.85</v>
      </c>
      <c r="GX538" s="2275">
        <f>+IF(GF517&lt;=GX523,GX523,IF(GF517&lt;=GX524,GX524,IF(GF517&lt;=GX525,GX525,IF(GF517&lt;=GX526,GX526,IF(GF517&lt;=GX527,GX527,IF(GF517&lt;=GX528,GX528,IF(GF517&lt;=GX529,GX529,IF(GF517&lt;=GX530,GX530,0))))))))</f>
        <v>4.08</v>
      </c>
      <c r="GY538" s="2275">
        <f>+IF(GF517&lt;=GY523,GY523,IF(GF517&lt;=GY524,GY524,IF(GF517&lt;=GY525,GY525,IF(GF517&lt;=GY526,GY526,IF(GF517&lt;=GY527,GY527,IF(GF517&lt;=GY528,GY528,IF(GF517&lt;=GY529,GY529,IF(GF517&lt;=GY530,GY530,0))))))))</f>
        <v>4.38</v>
      </c>
      <c r="GZ538" s="2275">
        <f>+IF(GF517&lt;=GZ523,GZ523,IF(GF517&lt;=GZ524,GZ524,IF(GF517&lt;=GZ525,GZ525,IF(GF517&lt;=GZ526,GZ526,IF(GF517&lt;=GZ527,GZ527,IF(GF517&lt;=GZ528,GZ528,IF(GF517&lt;=GZ529,GZ529,IF(GF517&lt;=GZ530,GZ530,0))))))))</f>
        <v>4.6900000000000004</v>
      </c>
      <c r="HA538" s="2275">
        <f>+IF(GF517&lt;=HA523,HA523,IF(GF517&lt;=HA524,HA524,IF(GF517&lt;=HA525,HA525,IF(GF517&lt;=HA526,HA526,IF(GF517&lt;=HA527,HA527,IF(GF517&lt;=HA528,HA528,IF(GF517&lt;=HA529,HA529,IF(GF517&lt;=HA530,HA530,0))))))))</f>
        <v>5.31</v>
      </c>
      <c r="HB538" s="2275">
        <f>+IF(GF517&lt;=HB523,HB523,IF(GF517&lt;=HB524,HB524,IF(GF517&lt;=HB525,HB525,IF(GF517&lt;=HB526,HB526,IF(GF517&lt;=HB527,HB527,IF(GF517&lt;=HB528,HB528,IF(GF517&lt;=HB529,HB529,IF(GF517&lt;=HB530,HB530,0))))))))</f>
        <v>5.46</v>
      </c>
      <c r="HC538" s="2275">
        <f>+IF(GF517&lt;=HC523,HC523,IF(GF517&lt;=HC524,HC524,IF(GF517&lt;=HC525,HC525,IF(GF517&lt;=HC526,HC526,IF(GF517&lt;=HC527,HC527,IF(GF517&lt;=HC528,HC528,IF(GF517&lt;=HC529,HC529,IF(GF517&lt;=HC530,HC530,0))))))))</f>
        <v>6</v>
      </c>
      <c r="HD538" s="2275">
        <f>+IF(GF517&lt;=HD523,HD523,IF(GF517&lt;=HD524,HD524,IF(GF517&lt;=HD525,HD525,IF(GF517&lt;=HD526,HD526,IF(GF517&lt;=HD527,HD527,IF(GF517&lt;=HD528,HD528,IF(GF517&lt;=HD529,HD529,IF(GF517&lt;=HD530,HD530,0))))))))</f>
        <v>6.77</v>
      </c>
      <c r="HE538" s="2275">
        <f>+IF(GF517&lt;=HE523,HE523,IF(GF517&lt;=HE524,HE524,IF(GF517&lt;=HE525,HE525,IF(GF517&lt;=HE526,HE526,IF(GF517&lt;=HE527,HE527,IF(GF517&lt;=HE528,HE528,IF(GF517&lt;=HE529,HE529,IF(GF517&lt;=HE530,HE530,0))))))))</f>
        <v>7.54</v>
      </c>
      <c r="HF538" s="2275">
        <f>+IF(GF517&lt;=HF523,HF523,IF(GF517&lt;=HF524,HF524,IF(GF517&lt;=HF525,HF525,IF(GF517&lt;=HF526,HF526,IF(GF517&lt;=HF527,HF527,IF(GF517&lt;=HF528,HF528,IF(GF517&lt;=HF529,HF529,IF(GF517&lt;=HF530,HF530,0))))))))</f>
        <v>8</v>
      </c>
      <c r="HG538" s="2275">
        <f>+IF(GF517&lt;=HG523,HG523,IF(GF517&lt;=HG524,HG524,IF(GF517&lt;=HG525,HG525,IF(GF517&lt;=HG526,HG526,IF(GF517&lt;=HG527,HG527,IF(GF517&lt;=HG528,HG528,IF(GF517&lt;=HG529,HG529,IF(GF517&lt;=HG530,HG530,0))))))))</f>
        <v>9.23</v>
      </c>
      <c r="HH538" s="2275">
        <f>+IF(GF517&lt;=HH523,HH523,IF(GF517&lt;=HH524,HH524,IF(GF517&lt;=HH525,HH525,IF(GF517&lt;=HH526,HH526,IF(GF517&lt;=HH527,HH527,IF(GF517&lt;=HH528,HH528,IF(GF517&lt;=HH529,HH529,IF(GF517&lt;=HH530,HH530,0))))))))</f>
        <v>11</v>
      </c>
      <c r="HI538" s="2275"/>
      <c r="HJ538" s="2275"/>
      <c r="HK538" s="2275"/>
      <c r="HL538" s="2275"/>
      <c r="HM538" s="2275"/>
      <c r="HN538" s="2275"/>
      <c r="HO538" s="2275"/>
      <c r="HP538" s="2275"/>
      <c r="HQ538" s="2275"/>
      <c r="HR538" s="2275"/>
      <c r="HS538" s="2275"/>
      <c r="HT538" s="2250"/>
      <c r="HU538" s="2250"/>
      <c r="HV538" s="2250"/>
      <c r="HW538" s="2250"/>
      <c r="HX538" s="2250"/>
      <c r="HY538" s="2250"/>
      <c r="HZ538" s="2250"/>
      <c r="IA538" s="2250"/>
      <c r="IB538" s="2250"/>
      <c r="IC538" s="2250"/>
      <c r="ID538" s="2250"/>
      <c r="IE538" s="2250"/>
      <c r="IF538" s="2250"/>
      <c r="IG538" s="2250"/>
      <c r="IH538" s="2250"/>
      <c r="II538" s="2250"/>
      <c r="IJ538" s="2250"/>
      <c r="IK538" s="53"/>
      <c r="IL538" s="53"/>
      <c r="IN538" s="277"/>
      <c r="IO538" s="277"/>
    </row>
    <row r="539" spans="2:249" ht="21.95" customHeight="1">
      <c r="B539" s="2275">
        <f>B473</f>
        <v>0.75631178540277322</v>
      </c>
      <c r="C539" s="2275">
        <f>HLOOKUP(B540,D521:AD541,20,0)</f>
        <v>4.38</v>
      </c>
      <c r="D539" s="2275">
        <f>+IF(B517&lt;=D531,D531,IF(B517&lt;=D532,D532,IF(B517&lt;=D533,D533,)))</f>
        <v>39.92</v>
      </c>
      <c r="E539" s="2275">
        <f>+IF(B517&lt;=E531,E531,IF(B517&lt;=E532,E532,IF(B517&lt;=E533,E533,)))</f>
        <v>45</v>
      </c>
      <c r="F539" s="2275">
        <f>+IF(B517&lt;=F531,F531,IF(B517&lt;=F532,F532,IF(B517&lt;=F533,F533,)))</f>
        <v>49.77</v>
      </c>
      <c r="G539" s="2275">
        <f>+IF(B517&lt;=G531,G531,IF(B517&lt;=G532,G532,IF(B517&lt;=G533,G533,)))</f>
        <v>53.77</v>
      </c>
      <c r="H539" s="2275">
        <f>+IF(B517&lt;=H531,H531,IF(B517&lt;=H532,H532,IF(B517&lt;=H533,H533,)))</f>
        <v>53.77</v>
      </c>
      <c r="I539" s="2275">
        <f>+IF(B517&lt;=I531,I531,IF(B517&lt;=I532,I532,IF(B517&lt;=I533,I533,)))</f>
        <v>56.62</v>
      </c>
      <c r="J539" s="2275">
        <f>+IF(B517&lt;=J531,J531,IF(B517&lt;=J532,J532,IF(B517&lt;=J533,J533,)))</f>
        <v>62.77</v>
      </c>
      <c r="K539" s="2275">
        <f>+IF(B517&lt;=K531,K531,IF(B517&lt;=K532,K532,IF(B517&lt;=K533,K533,)))</f>
        <v>66.77</v>
      </c>
      <c r="L539" s="2275">
        <f>+IF(B517&lt;=L531,L531,IF(B517&lt;=L532,L532,IF(B517&lt;=L533,L533,)))</f>
        <v>71.62</v>
      </c>
      <c r="M539" s="2275">
        <f>+IF(B517&lt;=M531,M531,IF(B517&lt;=M532,M532,IF(B517&lt;=M533,M533,)))</f>
        <v>77.69</v>
      </c>
      <c r="N539" s="2275">
        <f>+IF(B517&lt;=N531,N531,IF(B517&lt;=N532,N532,IF(B517&lt;=N533,N533,)))</f>
        <v>79</v>
      </c>
      <c r="O539" s="2275">
        <f>+IF(B517&lt;=O531,O531,IF(B517&lt;=O532,O532,IF(B517&lt;=O533,O533,)))</f>
        <v>89.46</v>
      </c>
      <c r="P539" s="2275">
        <f>+IF(B517&lt;=P531,P531,IF(B517&lt;=P532,P532,IF(B517&lt;=P533,P533,)))</f>
        <v>93.08</v>
      </c>
      <c r="Q539" s="2275">
        <f>+IF(B517&lt;=Q531,Q531,IF(B517&lt;=Q532,Q532,IF(B517&lt;=Q533,Q533,)))</f>
        <v>96.15</v>
      </c>
      <c r="R539" s="2275">
        <f>+IF(B517&lt;=R531,R531,IF(B517&lt;=R532,R532,IF(B517&lt;=R533,R533,)))</f>
        <v>100.62</v>
      </c>
      <c r="S539" s="2275">
        <f>+IF(B517&lt;=S531,S531,IF(B517&lt;=S532,S532,IF(B517&lt;=S533,S533,)))</f>
        <v>110.23</v>
      </c>
      <c r="T539" s="2275">
        <f>+IF(B517&lt;=T531,T531,IF(B517&lt;=T532,T532,IF(B517&lt;=T533,T533,)))</f>
        <v>118.46</v>
      </c>
      <c r="U539" s="2275">
        <f>+IF(B517&lt;=U531,U531,IF(B517&lt;=U532,U532,IF(B517&lt;=U533,U533,)))</f>
        <v>126.77</v>
      </c>
      <c r="V539" s="2275">
        <f>+IF(B517&lt;=V531,V531,IF(B517&lt;=V532,V532,IF(B517&lt;=V533,V533,)))</f>
        <v>129.91999999999999</v>
      </c>
      <c r="W539" s="2275">
        <f>+IF(B517&lt;=W531,W531,IF(B517&lt;=W532,W532,IF(B517&lt;=W533,W533,)))</f>
        <v>146.69</v>
      </c>
      <c r="X539" s="2275">
        <f>+IF(B517&lt;=X531,X531,IF(B517&lt;=X532,X532,IF(B517&lt;=X533,X533,)))</f>
        <v>153.54</v>
      </c>
      <c r="Y539" s="2275">
        <f>+IF(B517&lt;=Y531,Y531,IF(B517&lt;=Y532,Y532,IF(B517&lt;=Y533,Y533,)))</f>
        <v>167.23</v>
      </c>
      <c r="Z539" s="2275">
        <f>+IF(B517&lt;=Z531,Z531,IF(B517&lt;=Z532,Z532,IF(B517&lt;=Z533,Z533,)))</f>
        <v>181.92</v>
      </c>
      <c r="AA539" s="2275">
        <f>+IF(B517&lt;=AA531,AA531,IF(B517&lt;=AA532,AA532,IF(B517&lt;=AA533,AA533,)))</f>
        <v>186.85</v>
      </c>
      <c r="AB539" s="2275">
        <f>+IF(B517&lt;=AB531,AB531,IF(B517&lt;=AB532,AB532,IF(B517&lt;=AB533,AB533,)))</f>
        <v>218.15</v>
      </c>
      <c r="AC539" s="2275">
        <f>+IF(B517&lt;=AC531,AC531,IF(B517&lt;=AC532,AC532,IF(B517&lt;=AC533,AC533,)))</f>
        <v>240.46</v>
      </c>
      <c r="AD539" s="2275">
        <f>+IF(B517&lt;=AD531,AD531,IF(B517&lt;=AD532,AD532,IF(B517&lt;=AD533,AD533,)))</f>
        <v>295.69</v>
      </c>
      <c r="AE539" s="2275"/>
      <c r="AF539" s="2275"/>
      <c r="AG539" s="2275"/>
      <c r="AH539" s="2275"/>
      <c r="AI539" s="2275"/>
      <c r="AJ539" s="2275"/>
      <c r="AK539" s="2275"/>
      <c r="AL539" s="2275"/>
      <c r="AM539" s="2275"/>
      <c r="AN539" s="2275"/>
      <c r="AO539" s="2275"/>
      <c r="AP539" s="2250"/>
      <c r="AQ539" s="2250"/>
      <c r="AR539" s="2250"/>
      <c r="AS539" s="2250"/>
      <c r="AT539" s="2250"/>
      <c r="AU539" s="2250"/>
      <c r="AV539" s="2250"/>
      <c r="AW539" s="2250"/>
      <c r="AX539" s="2250"/>
      <c r="AY539" s="2250"/>
      <c r="AZ539" s="2250"/>
      <c r="BA539" s="2250"/>
      <c r="BB539" s="2250"/>
      <c r="BC539" s="2250"/>
      <c r="BD539" s="2250"/>
      <c r="BE539" s="2250"/>
      <c r="BF539" s="2276"/>
      <c r="BG539" s="2276"/>
      <c r="BH539" s="2250"/>
      <c r="BI539" s="2275"/>
      <c r="BJ539" s="2275">
        <f>BJ473</f>
        <v>0.75631178540277322</v>
      </c>
      <c r="BK539" s="2275">
        <f>HLOOKUP(BJ540,BL521:CL541,20,0)</f>
        <v>4.08</v>
      </c>
      <c r="BL539" s="2275">
        <f>+IF(BJ517&lt;=BL531,BL531,IF(BJ517&lt;=BL532,BL532,IF(BJ517&lt;=BL533,BL533,)))</f>
        <v>39.92</v>
      </c>
      <c r="BM539" s="2275">
        <f>+IF(BJ517&lt;=BM531,BM531,IF(BJ517&lt;=BM532,BM532,IF(BJ517&lt;=BM533,BM533,)))</f>
        <v>45</v>
      </c>
      <c r="BN539" s="2275">
        <f>+IF(BJ517&lt;=BN531,BN531,IF(BJ517&lt;=BN532,BN532,IF(BJ517&lt;=BN533,BN533,)))</f>
        <v>49.77</v>
      </c>
      <c r="BO539" s="2275">
        <f>+IF(BJ517&lt;=BO531,BO531,IF(BJ517&lt;=BO532,BO532,IF(BJ517&lt;=BO533,BO533,)))</f>
        <v>53.77</v>
      </c>
      <c r="BP539" s="2275">
        <f>+IF(BJ517&lt;=BP531,BP531,IF(BJ517&lt;=BP532,BP532,IF(BJ517&lt;=BP533,BP533,)))</f>
        <v>53.77</v>
      </c>
      <c r="BQ539" s="2275">
        <f>+IF(BJ517&lt;=BQ531,BQ531,IF(BJ517&lt;=BQ532,BQ532,IF(BJ517&lt;=BQ533,BQ533,)))</f>
        <v>56.62</v>
      </c>
      <c r="BR539" s="2275">
        <f>+IF(BJ517&lt;=BR531,BR531,IF(BJ517&lt;=BR532,BR532,IF(BJ517&lt;=BR533,BR533,)))</f>
        <v>62.77</v>
      </c>
      <c r="BS539" s="2275">
        <f>+IF(BJ517&lt;=BS531,BS531,IF(BJ517&lt;=BS532,BS532,IF(BJ517&lt;=BS533,BS533,)))</f>
        <v>66.77</v>
      </c>
      <c r="BT539" s="2275">
        <f>+IF(BJ517&lt;=BT531,BT531,IF(BJ517&lt;=BT532,BT532,IF(BJ517&lt;=BT533,BT533,)))</f>
        <v>71.62</v>
      </c>
      <c r="BU539" s="2275">
        <f>+IF(BJ517&lt;=BU531,BU531,IF(BJ517&lt;=BU532,BU532,IF(BJ517&lt;=BU533,BU533,)))</f>
        <v>77.69</v>
      </c>
      <c r="BV539" s="2275">
        <f>+IF(BJ517&lt;=BV531,BV531,IF(BJ517&lt;=BV532,BV532,IF(BJ517&lt;=BV533,BV533,)))</f>
        <v>79</v>
      </c>
      <c r="BW539" s="2275">
        <f>+IF(BJ517&lt;=BW531,BW531,IF(BJ517&lt;=BW532,BW532,IF(BJ517&lt;=BW533,BW533,)))</f>
        <v>89.46</v>
      </c>
      <c r="BX539" s="2275">
        <f>+IF(BJ517&lt;=BX531,BX531,IF(BJ517&lt;=BX532,BX532,IF(BJ517&lt;=BX533,BX533,)))</f>
        <v>93.08</v>
      </c>
      <c r="BY539" s="2275">
        <f>+IF(BJ517&lt;=BY531,BY531,IF(BJ517&lt;=BY532,BY532,IF(BJ517&lt;=BY533,BY533,)))</f>
        <v>96.15</v>
      </c>
      <c r="BZ539" s="2275">
        <f>+IF(BJ517&lt;=BZ531,BZ531,IF(BJ517&lt;=BZ532,BZ532,IF(BJ517&lt;=BZ533,BZ533,)))</f>
        <v>100.62</v>
      </c>
      <c r="CA539" s="2275">
        <f>+IF(BJ517&lt;=CA531,CA531,IF(BJ517&lt;=CA532,CA532,IF(BJ517&lt;=CA533,CA533,)))</f>
        <v>110.23</v>
      </c>
      <c r="CB539" s="2275">
        <f>+IF(BJ517&lt;=CB531,CB531,IF(BJ517&lt;=CB532,CB532,IF(BJ517&lt;=CB533,CB533,)))</f>
        <v>118.46</v>
      </c>
      <c r="CC539" s="2275">
        <f>+IF(BJ517&lt;=CC531,CC531,IF(BJ517&lt;=CC532,CC532,IF(BJ517&lt;=CC533,CC533,)))</f>
        <v>126.77</v>
      </c>
      <c r="CD539" s="2275">
        <f>+IF(BJ517&lt;=CD531,CD531,IF(BJ517&lt;=CD532,CD532,IF(BJ517&lt;=CD533,CD533,)))</f>
        <v>129.91999999999999</v>
      </c>
      <c r="CE539" s="2275">
        <f>+IF(BJ517&lt;=CE531,CE531,IF(BJ517&lt;=CE532,CE532,IF(BJ517&lt;=CE533,CE533,)))</f>
        <v>146.69</v>
      </c>
      <c r="CF539" s="2275">
        <f>+IF(BJ517&lt;=CF531,CF531,IF(BJ517&lt;=CF532,CF532,IF(BJ517&lt;=CF533,CF533,)))</f>
        <v>153.54</v>
      </c>
      <c r="CG539" s="2275">
        <f>+IF(BJ517&lt;=CG531,CG531,IF(BJ517&lt;=CG532,CG532,IF(BJ517&lt;=CG533,CG533,)))</f>
        <v>167.23</v>
      </c>
      <c r="CH539" s="2275">
        <f>+IF(BJ517&lt;=CH531,CH531,IF(BJ517&lt;=CH532,CH532,IF(BJ517&lt;=CH533,CH533,)))</f>
        <v>181.92</v>
      </c>
      <c r="CI539" s="2275">
        <f>+IF(BJ517&lt;=CI531,CI531,IF(BJ517&lt;=CI532,CI532,IF(BJ517&lt;=CI533,CI533,)))</f>
        <v>186.85</v>
      </c>
      <c r="CJ539" s="2275">
        <f>+IF(BJ517&lt;=CJ531,CJ531,IF(BJ517&lt;=CJ532,CJ532,IF(BJ517&lt;=CJ533,CJ533,)))</f>
        <v>218.15</v>
      </c>
      <c r="CK539" s="2275">
        <f>+IF(BJ517&lt;=CK531,CK531,IF(BJ517&lt;=CK532,CK532,IF(BJ517&lt;=CK533,CK533,)))</f>
        <v>240.46</v>
      </c>
      <c r="CL539" s="2275">
        <f>+IF(BJ517&lt;=CL531,CL531,IF(BJ517&lt;=CL532,CL532,IF(BJ517&lt;=CL533,CL533,)))</f>
        <v>295.69</v>
      </c>
      <c r="CM539" s="2275"/>
      <c r="CN539" s="2275"/>
      <c r="CO539" s="2275"/>
      <c r="CP539" s="2275"/>
      <c r="CQ539" s="2275"/>
      <c r="CR539" s="2275"/>
      <c r="CS539" s="2275"/>
      <c r="CT539" s="2275"/>
      <c r="CU539" s="2275"/>
      <c r="CV539" s="2275"/>
      <c r="CW539" s="2275"/>
      <c r="CX539" s="2250"/>
      <c r="CY539" s="2250"/>
      <c r="CZ539" s="2250"/>
      <c r="DA539" s="2250"/>
      <c r="DB539" s="2250"/>
      <c r="DC539" s="2250"/>
      <c r="DD539" s="2250"/>
      <c r="DE539" s="2250"/>
      <c r="DF539" s="2250"/>
      <c r="DG539" s="2250"/>
      <c r="DH539" s="2250"/>
      <c r="DI539" s="2250"/>
      <c r="DJ539" s="2250"/>
      <c r="DK539" s="2250"/>
      <c r="DL539" s="2250"/>
      <c r="DM539" s="2250"/>
      <c r="DN539" s="2250"/>
      <c r="DO539" s="53"/>
      <c r="DP539" s="53"/>
      <c r="DS539" s="277"/>
      <c r="DW539" s="1"/>
      <c r="DX539" s="2275">
        <f>DX473</f>
        <v>1.3354563802212776</v>
      </c>
      <c r="DY539" s="2275">
        <f>HLOOKUP(DX540,DZ521:EZ541,20,0)</f>
        <v>6.77</v>
      </c>
      <c r="DZ539" s="2275">
        <f>+IF(DX517&lt;=DZ531,DZ531,IF(DX517&lt;=DZ532,DZ532,IF(DX517&lt;=DZ533,DZ533,)))</f>
        <v>39.92</v>
      </c>
      <c r="EA539" s="2275">
        <f>+IF(DX517&lt;=EA531,EA531,IF(DX517&lt;=EA532,EA532,IF(DX517&lt;=EA533,EA533,)))</f>
        <v>45</v>
      </c>
      <c r="EB539" s="2275">
        <f>+IF(DX517&lt;=EB531,EB531,IF(DX517&lt;=EB532,EB532,IF(DX517&lt;=EB533,EB533,)))</f>
        <v>49.77</v>
      </c>
      <c r="EC539" s="2275">
        <f>+IF(DX517&lt;=EC531,EC531,IF(DX517&lt;=EC532,EC532,IF(DX517&lt;=EC533,EC533,)))</f>
        <v>53.77</v>
      </c>
      <c r="ED539" s="2275">
        <f>+IF(DX517&lt;=ED531,ED531,IF(DX517&lt;=ED532,ED532,IF(DX517&lt;=ED533,ED533,)))</f>
        <v>53.77</v>
      </c>
      <c r="EE539" s="2275">
        <f>+IF(DX517&lt;=EE531,EE531,IF(DX517&lt;=EE532,EE532,IF(DX517&lt;=EE533,EE533,)))</f>
        <v>56.62</v>
      </c>
      <c r="EF539" s="2275">
        <f>+IF(DX517&lt;=EF531,EF531,IF(DX517&lt;=EF532,EF532,IF(DX517&lt;=EF533,EF533,)))</f>
        <v>62.77</v>
      </c>
      <c r="EG539" s="2275">
        <f>+IF(DX517&lt;=EG531,EG531,IF(DX517&lt;=EG532,EG532,IF(DX517&lt;=EG533,EG533,)))</f>
        <v>66.77</v>
      </c>
      <c r="EH539" s="2275">
        <f>+IF(DX517&lt;=EH531,EH531,IF(DX517&lt;=EH532,EH532,IF(DX517&lt;=EH533,EH533,)))</f>
        <v>71.62</v>
      </c>
      <c r="EI539" s="2275">
        <f>+IF(DX517&lt;=EI531,EI531,IF(DX517&lt;=EI532,EI532,IF(DX517&lt;=EI533,EI533,)))</f>
        <v>77.69</v>
      </c>
      <c r="EJ539" s="2275">
        <f>+IF(DX517&lt;=EJ531,EJ531,IF(DX517&lt;=EJ532,EJ532,IF(DX517&lt;=EJ533,EJ533,)))</f>
        <v>79</v>
      </c>
      <c r="EK539" s="2275">
        <f>+IF(DX517&lt;=EK531,EK531,IF(DX517&lt;=EK532,EK532,IF(DX517&lt;=EK533,EK533,)))</f>
        <v>89.46</v>
      </c>
      <c r="EL539" s="2275">
        <f>+IF(DX517&lt;=EL531,EL531,IF(DX517&lt;=EL532,EL532,IF(DX517&lt;=EL533,EL533,)))</f>
        <v>93.08</v>
      </c>
      <c r="EM539" s="2275">
        <f>+IF(DX517&lt;=EM531,EM531,IF(DX517&lt;=EM532,EM532,IF(DX517&lt;=EM533,EM533,)))</f>
        <v>96.15</v>
      </c>
      <c r="EN539" s="2275">
        <f>+IF(DX517&lt;=EN531,EN531,IF(DX517&lt;=EN532,EN532,IF(DX517&lt;=EN533,EN533,)))</f>
        <v>100.62</v>
      </c>
      <c r="EO539" s="2275">
        <f>+IF(DX517&lt;=EO531,EO531,IF(DX517&lt;=EO532,EO532,IF(DX517&lt;=EO533,EO533,)))</f>
        <v>110.23</v>
      </c>
      <c r="EP539" s="2275">
        <f>+IF(DX517&lt;=EP531,EP531,IF(DX517&lt;=EP532,EP532,IF(DX517&lt;=EP533,EP533,)))</f>
        <v>118.46</v>
      </c>
      <c r="EQ539" s="2275">
        <f>+IF(DX517&lt;=EQ531,EQ531,IF(DX517&lt;=EQ532,EQ532,IF(DX517&lt;=EQ533,EQ533,)))</f>
        <v>126.77</v>
      </c>
      <c r="ER539" s="2275">
        <f>+IF(DX517&lt;=ER531,ER531,IF(DX517&lt;=ER532,ER532,IF(DX517&lt;=ER533,ER533,)))</f>
        <v>129.91999999999999</v>
      </c>
      <c r="ES539" s="2275">
        <f>+IF(DX517&lt;=ES531,ES531,IF(DX517&lt;=ES532,ES532,IF(DX517&lt;=ES533,ES533,)))</f>
        <v>146.69</v>
      </c>
      <c r="ET539" s="2275">
        <f>+IF(DX517&lt;=ET531,ET531,IF(DX517&lt;=ET532,ET532,IF(DX517&lt;=ET533,ET533,)))</f>
        <v>153.54</v>
      </c>
      <c r="EU539" s="2275">
        <f>+IF(DX517&lt;=EU531,EU531,IF(DX517&lt;=EU532,EU532,IF(DX517&lt;=EU533,EU533,)))</f>
        <v>167.23</v>
      </c>
      <c r="EV539" s="2275">
        <f>+IF(DX517&lt;=EV531,EV531,IF(DX517&lt;=EV532,EV532,IF(DX517&lt;=EV533,EV533,)))</f>
        <v>181.92</v>
      </c>
      <c r="EW539" s="2275">
        <f>+IF(DX517&lt;=EW531,EW531,IF(DX517&lt;=EW532,EW532,IF(DX517&lt;=EW533,EW533,)))</f>
        <v>186.85</v>
      </c>
      <c r="EX539" s="2275">
        <f>+IF(DX517&lt;=EX531,EX531,IF(DX517&lt;=EX532,EX532,IF(DX517&lt;=EX533,EX533,)))</f>
        <v>218.15</v>
      </c>
      <c r="EY539" s="2275">
        <f>+IF(DX517&lt;=EY531,EY531,IF(DX517&lt;=EY532,EY532,IF(DX517&lt;=EY533,EY533,)))</f>
        <v>240.46</v>
      </c>
      <c r="EZ539" s="2275">
        <f>+IF(DX517&lt;=EZ531,EZ531,IF(DX517&lt;=EZ532,EZ532,IF(DX517&lt;=EZ533,EZ533,)))</f>
        <v>295.69</v>
      </c>
      <c r="FA539" s="2275"/>
      <c r="FB539" s="2275"/>
      <c r="FC539" s="2275"/>
      <c r="FD539" s="2275"/>
      <c r="FE539" s="2275"/>
      <c r="FF539" s="2275"/>
      <c r="FG539" s="2275"/>
      <c r="FH539" s="2275"/>
      <c r="FI539" s="2275"/>
      <c r="FJ539" s="2275"/>
      <c r="FK539" s="2275"/>
      <c r="FL539" s="2250"/>
      <c r="FM539" s="2250"/>
      <c r="FN539" s="2250"/>
      <c r="FO539" s="2250"/>
      <c r="FP539" s="2250"/>
      <c r="FQ539" s="2250"/>
      <c r="FR539" s="2250"/>
      <c r="FS539" s="2250"/>
      <c r="FT539" s="2250"/>
      <c r="FU539" s="2250"/>
      <c r="FV539" s="2250"/>
      <c r="FW539" s="2250"/>
      <c r="FX539" s="2250"/>
      <c r="FY539" s="2250"/>
      <c r="FZ539" s="2250"/>
      <c r="GA539" s="2250"/>
      <c r="GB539" s="2276"/>
      <c r="GC539" s="2276"/>
      <c r="GD539" s="2250"/>
      <c r="GE539" s="2275"/>
      <c r="GF539" s="2275">
        <f>GF473</f>
        <v>1.3354563802212776</v>
      </c>
      <c r="GG539" s="2275">
        <f>HLOOKUP(GF540,GH521:HH541,20,0)</f>
        <v>6</v>
      </c>
      <c r="GH539" s="2275">
        <f>+IF(GF517&lt;=GH531,GH531,IF(GF517&lt;=GH532,GH532,IF(GF517&lt;=GH533,GH533,)))</f>
        <v>39.92</v>
      </c>
      <c r="GI539" s="2275">
        <f>+IF(GF517&lt;=GI531,GI531,IF(GF517&lt;=GI532,GI532,IF(GF517&lt;=GI533,GI533,)))</f>
        <v>45</v>
      </c>
      <c r="GJ539" s="2275">
        <f>+IF(GF517&lt;=GJ531,GJ531,IF(GF517&lt;=GJ532,GJ532,IF(GF517&lt;=GJ533,GJ533,)))</f>
        <v>49.77</v>
      </c>
      <c r="GK539" s="2275">
        <f>+IF(GF517&lt;=GK531,GK531,IF(GF517&lt;=GK532,GK532,IF(GF517&lt;=GK533,GK533,)))</f>
        <v>53.77</v>
      </c>
      <c r="GL539" s="2275">
        <f>+IF(GF517&lt;=GL531,GL531,IF(GF517&lt;=GL532,GL532,IF(GF517&lt;=GL533,GL533,)))</f>
        <v>53.77</v>
      </c>
      <c r="GM539" s="2275">
        <f>+IF(GF517&lt;=GM531,GM531,IF(GF517&lt;=GM532,GM532,IF(GF517&lt;=GM533,GM533,)))</f>
        <v>56.62</v>
      </c>
      <c r="GN539" s="2275">
        <f>+IF(GF517&lt;=GN531,GN531,IF(GF517&lt;=GN532,GN532,IF(GF517&lt;=GN533,GN533,)))</f>
        <v>62.77</v>
      </c>
      <c r="GO539" s="2275">
        <f>+IF(GF517&lt;=GO531,GO531,IF(GF517&lt;=GO532,GO532,IF(GF517&lt;=GO533,GO533,)))</f>
        <v>66.77</v>
      </c>
      <c r="GP539" s="2275">
        <f>+IF(GF517&lt;=GP531,GP531,IF(GF517&lt;=GP532,GP532,IF(GF517&lt;=GP533,GP533,)))</f>
        <v>71.62</v>
      </c>
      <c r="GQ539" s="2275">
        <f>+IF(GF517&lt;=GQ531,GQ531,IF(GF517&lt;=GQ532,GQ532,IF(GF517&lt;=GQ533,GQ533,)))</f>
        <v>77.69</v>
      </c>
      <c r="GR539" s="2275">
        <f>+IF(GF517&lt;=GR531,GR531,IF(GF517&lt;=GR532,GR532,IF(GF517&lt;=GR533,GR533,)))</f>
        <v>79</v>
      </c>
      <c r="GS539" s="2275">
        <f>+IF(GF517&lt;=GS531,GS531,IF(GF517&lt;=GS532,GS532,IF(GF517&lt;=GS533,GS533,)))</f>
        <v>89.46</v>
      </c>
      <c r="GT539" s="2275">
        <f>+IF(GF517&lt;=GT531,GT531,IF(GF517&lt;=GT532,GT532,IF(GF517&lt;=GT533,GT533,)))</f>
        <v>93.08</v>
      </c>
      <c r="GU539" s="2275">
        <f>+IF(GF517&lt;=GU531,GU531,IF(GF517&lt;=GU532,GU532,IF(GF517&lt;=GU533,GU533,)))</f>
        <v>96.15</v>
      </c>
      <c r="GV539" s="2275">
        <f>+IF(GF517&lt;=GV531,GV531,IF(GF517&lt;=GV532,GV532,IF(GF517&lt;=GV533,GV533,)))</f>
        <v>100.62</v>
      </c>
      <c r="GW539" s="2275">
        <f>+IF(GF517&lt;=GW531,GW531,IF(GF517&lt;=GW532,GW532,IF(GF517&lt;=GW533,GW533,)))</f>
        <v>110.23</v>
      </c>
      <c r="GX539" s="2275">
        <f>+IF(GF517&lt;=GX531,GX531,IF(GF517&lt;=GX532,GX532,IF(GF517&lt;=GX533,GX533,)))</f>
        <v>118.46</v>
      </c>
      <c r="GY539" s="2275">
        <f>+IF(GF517&lt;=GY531,GY531,IF(GF517&lt;=GY532,GY532,IF(GF517&lt;=GY533,GY533,)))</f>
        <v>126.77</v>
      </c>
      <c r="GZ539" s="2275">
        <f>+IF(GF517&lt;=GZ531,GZ531,IF(GF517&lt;=GZ532,GZ532,IF(GF517&lt;=GZ533,GZ533,)))</f>
        <v>129.91999999999999</v>
      </c>
      <c r="HA539" s="2275">
        <f>+IF(GF517&lt;=HA531,HA531,IF(GF517&lt;=HA532,HA532,IF(GF517&lt;=HA533,HA533,)))</f>
        <v>146.69</v>
      </c>
      <c r="HB539" s="2275">
        <f>+IF(GF517&lt;=HB531,HB531,IF(GF517&lt;=HB532,HB532,IF(GF517&lt;=HB533,HB533,)))</f>
        <v>153.54</v>
      </c>
      <c r="HC539" s="2275">
        <f>+IF(GF517&lt;=HC531,HC531,IF(GF517&lt;=HC532,HC532,IF(GF517&lt;=HC533,HC533,)))</f>
        <v>167.23</v>
      </c>
      <c r="HD539" s="2275">
        <f>+IF(GF517&lt;=HD531,HD531,IF(GF517&lt;=HD532,HD532,IF(GF517&lt;=HD533,HD533,)))</f>
        <v>181.92</v>
      </c>
      <c r="HE539" s="2275">
        <f>+IF(GF517&lt;=HE531,HE531,IF(GF517&lt;=HE532,HE532,IF(GF517&lt;=HE533,HE533,)))</f>
        <v>186.85</v>
      </c>
      <c r="HF539" s="2275">
        <f>+IF(GF517&lt;=HF531,HF531,IF(GF517&lt;=HF532,HF532,IF(GF517&lt;=HF533,HF533,)))</f>
        <v>218.15</v>
      </c>
      <c r="HG539" s="2275">
        <f>+IF(GF517&lt;=HG531,HG531,IF(GF517&lt;=HG532,HG532,IF(GF517&lt;=HG533,HG533,)))</f>
        <v>240.46</v>
      </c>
      <c r="HH539" s="2275">
        <f>+IF(GF517&lt;=HH531,HH531,IF(GF517&lt;=HH532,HH532,IF(GF517&lt;=HH533,HH533,)))</f>
        <v>295.69</v>
      </c>
      <c r="HI539" s="2275"/>
      <c r="HJ539" s="2275"/>
      <c r="HK539" s="2275"/>
      <c r="HL539" s="2275"/>
      <c r="HM539" s="2275"/>
      <c r="HN539" s="2275"/>
      <c r="HO539" s="2275"/>
      <c r="HP539" s="2275"/>
      <c r="HQ539" s="2275"/>
      <c r="HR539" s="2275"/>
      <c r="HS539" s="2275"/>
      <c r="HT539" s="2250"/>
      <c r="HU539" s="2250"/>
      <c r="HV539" s="2250"/>
      <c r="HW539" s="2250"/>
      <c r="HX539" s="2250"/>
      <c r="HY539" s="2250"/>
      <c r="HZ539" s="2250"/>
      <c r="IA539" s="2250"/>
      <c r="IB539" s="2250"/>
      <c r="IC539" s="2250"/>
      <c r="ID539" s="2250"/>
      <c r="IE539" s="2250"/>
      <c r="IF539" s="2250"/>
      <c r="IG539" s="2250"/>
      <c r="IH539" s="2250"/>
      <c r="II539" s="2250"/>
      <c r="IJ539" s="2250"/>
      <c r="IK539" s="53"/>
      <c r="IL539" s="53"/>
      <c r="IN539" s="277"/>
      <c r="IO539" s="277"/>
    </row>
    <row r="540" spans="2:249" ht="21.95" customHeight="1">
      <c r="B540" s="2275">
        <f>B474</f>
        <v>68.3</v>
      </c>
      <c r="C540" s="2275">
        <f>HLOOKUP(B540,D521:AD541,21,0)</f>
        <v>475</v>
      </c>
      <c r="D540" s="2250">
        <f t="shared" ref="D540:AD540" si="297">IF(D538=0,D539,D538)</f>
        <v>1.38</v>
      </c>
      <c r="E540" s="2250">
        <f t="shared" si="297"/>
        <v>1.54</v>
      </c>
      <c r="F540" s="2250">
        <f t="shared" si="297"/>
        <v>1.69</v>
      </c>
      <c r="G540" s="2250">
        <f t="shared" si="297"/>
        <v>1.85</v>
      </c>
      <c r="H540" s="2250">
        <f t="shared" si="297"/>
        <v>2.08</v>
      </c>
      <c r="I540" s="2250">
        <f t="shared" si="297"/>
        <v>1.92</v>
      </c>
      <c r="J540" s="2250">
        <f t="shared" si="297"/>
        <v>2.15</v>
      </c>
      <c r="K540" s="2250">
        <f t="shared" si="297"/>
        <v>2.31</v>
      </c>
      <c r="L540" s="2250">
        <f t="shared" si="297"/>
        <v>2.38</v>
      </c>
      <c r="M540" s="2250">
        <f t="shared" si="297"/>
        <v>2.62</v>
      </c>
      <c r="N540" s="2250">
        <f t="shared" si="297"/>
        <v>3.15</v>
      </c>
      <c r="O540" s="2250">
        <f t="shared" si="297"/>
        <v>3.08</v>
      </c>
      <c r="P540" s="2250">
        <f t="shared" si="297"/>
        <v>3.38</v>
      </c>
      <c r="Q540" s="2250">
        <f t="shared" si="297"/>
        <v>3.38</v>
      </c>
      <c r="R540" s="2250">
        <f t="shared" si="297"/>
        <v>3.69</v>
      </c>
      <c r="S540" s="2250">
        <f t="shared" si="297"/>
        <v>3.85</v>
      </c>
      <c r="T540" s="2250">
        <f t="shared" si="297"/>
        <v>4.08</v>
      </c>
      <c r="U540" s="2250">
        <f t="shared" si="297"/>
        <v>4.38</v>
      </c>
      <c r="V540" s="2250">
        <f t="shared" si="297"/>
        <v>4.6900000000000004</v>
      </c>
      <c r="W540" s="2250">
        <f t="shared" si="297"/>
        <v>5.31</v>
      </c>
      <c r="X540" s="2250">
        <f t="shared" si="297"/>
        <v>5.46</v>
      </c>
      <c r="Y540" s="2250">
        <f t="shared" si="297"/>
        <v>6</v>
      </c>
      <c r="Z540" s="2250">
        <f t="shared" si="297"/>
        <v>6.77</v>
      </c>
      <c r="AA540" s="2250">
        <f t="shared" si="297"/>
        <v>7.54</v>
      </c>
      <c r="AB540" s="2250">
        <f t="shared" si="297"/>
        <v>8</v>
      </c>
      <c r="AC540" s="2250">
        <f t="shared" si="297"/>
        <v>9.23</v>
      </c>
      <c r="AD540" s="2250">
        <f t="shared" si="297"/>
        <v>11</v>
      </c>
      <c r="AE540" s="2275"/>
      <c r="AF540" s="2275"/>
      <c r="AG540" s="2275"/>
      <c r="AH540" s="2275"/>
      <c r="AI540" s="2275"/>
      <c r="AJ540" s="2275"/>
      <c r="AK540" s="2275"/>
      <c r="AL540" s="2275"/>
      <c r="AM540" s="2275"/>
      <c r="AN540" s="2275"/>
      <c r="AO540" s="2275"/>
      <c r="AP540" s="2250"/>
      <c r="AQ540" s="2250"/>
      <c r="AR540" s="2250"/>
      <c r="AS540" s="2250"/>
      <c r="AT540" s="2250"/>
      <c r="AU540" s="2250"/>
      <c r="AV540" s="2250"/>
      <c r="AW540" s="2250"/>
      <c r="AX540" s="2250"/>
      <c r="AY540" s="2250"/>
      <c r="AZ540" s="2250"/>
      <c r="BA540" s="2250"/>
      <c r="BB540" s="2250"/>
      <c r="BC540" s="2250"/>
      <c r="BD540" s="2250"/>
      <c r="BE540" s="2250"/>
      <c r="BF540" s="2276"/>
      <c r="BG540" s="2276"/>
      <c r="BH540" s="2250"/>
      <c r="BI540" s="2275"/>
      <c r="BJ540" s="2275">
        <f>BJ474</f>
        <v>73.7</v>
      </c>
      <c r="BK540" s="2275">
        <f>HLOOKUP(BJ540,BL521:CL541,21,0)</f>
        <v>475</v>
      </c>
      <c r="BL540" s="2250">
        <f t="shared" ref="BL540:CL540" si="298">IF(BL538=0,BL539,BL538)</f>
        <v>1.38</v>
      </c>
      <c r="BM540" s="2250">
        <f t="shared" si="298"/>
        <v>1.54</v>
      </c>
      <c r="BN540" s="2250">
        <f t="shared" si="298"/>
        <v>1.69</v>
      </c>
      <c r="BO540" s="2250">
        <f t="shared" si="298"/>
        <v>1.85</v>
      </c>
      <c r="BP540" s="2250">
        <f t="shared" si="298"/>
        <v>2.08</v>
      </c>
      <c r="BQ540" s="2250">
        <f t="shared" si="298"/>
        <v>1.92</v>
      </c>
      <c r="BR540" s="2250">
        <f t="shared" si="298"/>
        <v>2.15</v>
      </c>
      <c r="BS540" s="2250">
        <f t="shared" si="298"/>
        <v>2.31</v>
      </c>
      <c r="BT540" s="2250">
        <f t="shared" si="298"/>
        <v>2.38</v>
      </c>
      <c r="BU540" s="2250">
        <f t="shared" si="298"/>
        <v>2.62</v>
      </c>
      <c r="BV540" s="2250">
        <f t="shared" si="298"/>
        <v>3.15</v>
      </c>
      <c r="BW540" s="2250">
        <f t="shared" si="298"/>
        <v>3.08</v>
      </c>
      <c r="BX540" s="2250">
        <f t="shared" si="298"/>
        <v>3.38</v>
      </c>
      <c r="BY540" s="2250">
        <f t="shared" si="298"/>
        <v>3.38</v>
      </c>
      <c r="BZ540" s="2250">
        <f t="shared" si="298"/>
        <v>3.69</v>
      </c>
      <c r="CA540" s="2250">
        <f t="shared" si="298"/>
        <v>3.85</v>
      </c>
      <c r="CB540" s="2250">
        <f t="shared" si="298"/>
        <v>4.08</v>
      </c>
      <c r="CC540" s="2250">
        <f t="shared" si="298"/>
        <v>4.38</v>
      </c>
      <c r="CD540" s="2250">
        <f t="shared" si="298"/>
        <v>4.6900000000000004</v>
      </c>
      <c r="CE540" s="2250">
        <f t="shared" si="298"/>
        <v>5.31</v>
      </c>
      <c r="CF540" s="2250">
        <f t="shared" si="298"/>
        <v>5.46</v>
      </c>
      <c r="CG540" s="2250">
        <f t="shared" si="298"/>
        <v>6</v>
      </c>
      <c r="CH540" s="2250">
        <f t="shared" si="298"/>
        <v>6.77</v>
      </c>
      <c r="CI540" s="2250">
        <f t="shared" si="298"/>
        <v>7.54</v>
      </c>
      <c r="CJ540" s="2250">
        <f t="shared" si="298"/>
        <v>8</v>
      </c>
      <c r="CK540" s="2250">
        <f t="shared" si="298"/>
        <v>9.23</v>
      </c>
      <c r="CL540" s="2250">
        <f t="shared" si="298"/>
        <v>11</v>
      </c>
      <c r="CM540" s="2275"/>
      <c r="CN540" s="2275"/>
      <c r="CO540" s="2275"/>
      <c r="CP540" s="2275"/>
      <c r="CQ540" s="2275"/>
      <c r="CR540" s="2275"/>
      <c r="CS540" s="2275"/>
      <c r="CT540" s="2275"/>
      <c r="CU540" s="2275"/>
      <c r="CV540" s="2275"/>
      <c r="CW540" s="2275"/>
      <c r="CX540" s="2250"/>
      <c r="CY540" s="2250"/>
      <c r="CZ540" s="2250"/>
      <c r="DA540" s="2250"/>
      <c r="DB540" s="2250"/>
      <c r="DC540" s="2250"/>
      <c r="DD540" s="2250"/>
      <c r="DE540" s="2250"/>
      <c r="DF540" s="2250"/>
      <c r="DG540" s="2250"/>
      <c r="DH540" s="2250"/>
      <c r="DI540" s="2250"/>
      <c r="DJ540" s="2250"/>
      <c r="DK540" s="2250"/>
      <c r="DL540" s="2250"/>
      <c r="DM540" s="2250"/>
      <c r="DN540" s="2250"/>
      <c r="DO540" s="53"/>
      <c r="DP540" s="53"/>
      <c r="DS540" s="277"/>
      <c r="DW540" s="1"/>
      <c r="DX540" s="2275">
        <f>DX474</f>
        <v>43.9</v>
      </c>
      <c r="DY540" s="2275">
        <f>HLOOKUP(DX540,DZ521:EZ541,21,0)</f>
        <v>475</v>
      </c>
      <c r="DZ540" s="2250">
        <f t="shared" ref="DZ540:EZ540" si="299">IF(DZ538=0,DZ539,DZ538)</f>
        <v>1.38</v>
      </c>
      <c r="EA540" s="2250">
        <f t="shared" si="299"/>
        <v>1.54</v>
      </c>
      <c r="EB540" s="2250">
        <f t="shared" si="299"/>
        <v>1.69</v>
      </c>
      <c r="EC540" s="2250">
        <f t="shared" si="299"/>
        <v>1.85</v>
      </c>
      <c r="ED540" s="2250">
        <f t="shared" si="299"/>
        <v>2.08</v>
      </c>
      <c r="EE540" s="2250">
        <f t="shared" si="299"/>
        <v>1.92</v>
      </c>
      <c r="EF540" s="2250">
        <f t="shared" si="299"/>
        <v>2.15</v>
      </c>
      <c r="EG540" s="2250">
        <f t="shared" si="299"/>
        <v>2.31</v>
      </c>
      <c r="EH540" s="2250">
        <f t="shared" si="299"/>
        <v>2.38</v>
      </c>
      <c r="EI540" s="2250">
        <f t="shared" si="299"/>
        <v>2.62</v>
      </c>
      <c r="EJ540" s="2250">
        <f t="shared" si="299"/>
        <v>3.15</v>
      </c>
      <c r="EK540" s="2250">
        <f t="shared" si="299"/>
        <v>3.08</v>
      </c>
      <c r="EL540" s="2250">
        <f t="shared" si="299"/>
        <v>3.38</v>
      </c>
      <c r="EM540" s="2250">
        <f t="shared" si="299"/>
        <v>3.38</v>
      </c>
      <c r="EN540" s="2250">
        <f t="shared" si="299"/>
        <v>3.69</v>
      </c>
      <c r="EO540" s="2250">
        <f t="shared" si="299"/>
        <v>3.85</v>
      </c>
      <c r="EP540" s="2250">
        <f t="shared" si="299"/>
        <v>4.08</v>
      </c>
      <c r="EQ540" s="2250">
        <f t="shared" si="299"/>
        <v>4.38</v>
      </c>
      <c r="ER540" s="2250">
        <f t="shared" si="299"/>
        <v>4.6900000000000004</v>
      </c>
      <c r="ES540" s="2250">
        <f t="shared" si="299"/>
        <v>5.31</v>
      </c>
      <c r="ET540" s="2250">
        <f t="shared" si="299"/>
        <v>5.46</v>
      </c>
      <c r="EU540" s="2250">
        <f t="shared" si="299"/>
        <v>6</v>
      </c>
      <c r="EV540" s="2250">
        <f t="shared" si="299"/>
        <v>6.77</v>
      </c>
      <c r="EW540" s="2250">
        <f t="shared" si="299"/>
        <v>7.54</v>
      </c>
      <c r="EX540" s="2250">
        <f t="shared" si="299"/>
        <v>8</v>
      </c>
      <c r="EY540" s="2250">
        <f t="shared" si="299"/>
        <v>9.23</v>
      </c>
      <c r="EZ540" s="2250">
        <f t="shared" si="299"/>
        <v>11</v>
      </c>
      <c r="FA540" s="2275"/>
      <c r="FB540" s="2275"/>
      <c r="FC540" s="2275"/>
      <c r="FD540" s="2275"/>
      <c r="FE540" s="2275"/>
      <c r="FF540" s="2275"/>
      <c r="FG540" s="2275"/>
      <c r="FH540" s="2275"/>
      <c r="FI540" s="2275"/>
      <c r="FJ540" s="2275"/>
      <c r="FK540" s="2275"/>
      <c r="FL540" s="2250"/>
      <c r="FM540" s="2250"/>
      <c r="FN540" s="2250"/>
      <c r="FO540" s="2250"/>
      <c r="FP540" s="2250"/>
      <c r="FQ540" s="2250"/>
      <c r="FR540" s="2250"/>
      <c r="FS540" s="2250"/>
      <c r="FT540" s="2250"/>
      <c r="FU540" s="2250"/>
      <c r="FV540" s="2250"/>
      <c r="FW540" s="2250"/>
      <c r="FX540" s="2250"/>
      <c r="FY540" s="2250"/>
      <c r="FZ540" s="2250"/>
      <c r="GA540" s="2250"/>
      <c r="GB540" s="2276"/>
      <c r="GC540" s="2276"/>
      <c r="GD540" s="2250"/>
      <c r="GE540" s="2275"/>
      <c r="GF540" s="2275">
        <f>GF474</f>
        <v>48.8</v>
      </c>
      <c r="GG540" s="2275">
        <f>HLOOKUP(GF540,GH521:HH541,21,0)</f>
        <v>475</v>
      </c>
      <c r="GH540" s="2250">
        <f t="shared" ref="GH540:HH540" si="300">IF(GH538=0,GH539,GH538)</f>
        <v>1.38</v>
      </c>
      <c r="GI540" s="2250">
        <f t="shared" si="300"/>
        <v>1.54</v>
      </c>
      <c r="GJ540" s="2250">
        <f t="shared" si="300"/>
        <v>1.69</v>
      </c>
      <c r="GK540" s="2250">
        <f t="shared" si="300"/>
        <v>1.85</v>
      </c>
      <c r="GL540" s="2250">
        <f t="shared" si="300"/>
        <v>2.08</v>
      </c>
      <c r="GM540" s="2250">
        <f t="shared" si="300"/>
        <v>1.92</v>
      </c>
      <c r="GN540" s="2250">
        <f t="shared" si="300"/>
        <v>2.15</v>
      </c>
      <c r="GO540" s="2250">
        <f t="shared" si="300"/>
        <v>2.31</v>
      </c>
      <c r="GP540" s="2250">
        <f t="shared" si="300"/>
        <v>2.38</v>
      </c>
      <c r="GQ540" s="2250">
        <f t="shared" si="300"/>
        <v>2.62</v>
      </c>
      <c r="GR540" s="2250">
        <f t="shared" si="300"/>
        <v>3.15</v>
      </c>
      <c r="GS540" s="2250">
        <f t="shared" si="300"/>
        <v>3.08</v>
      </c>
      <c r="GT540" s="2250">
        <f t="shared" si="300"/>
        <v>3.38</v>
      </c>
      <c r="GU540" s="2250">
        <f t="shared" si="300"/>
        <v>3.38</v>
      </c>
      <c r="GV540" s="2250">
        <f t="shared" si="300"/>
        <v>3.69</v>
      </c>
      <c r="GW540" s="2250">
        <f t="shared" si="300"/>
        <v>3.85</v>
      </c>
      <c r="GX540" s="2250">
        <f t="shared" si="300"/>
        <v>4.08</v>
      </c>
      <c r="GY540" s="2250">
        <f t="shared" si="300"/>
        <v>4.38</v>
      </c>
      <c r="GZ540" s="2250">
        <f t="shared" si="300"/>
        <v>4.6900000000000004</v>
      </c>
      <c r="HA540" s="2250">
        <f t="shared" si="300"/>
        <v>5.31</v>
      </c>
      <c r="HB540" s="2250">
        <f t="shared" si="300"/>
        <v>5.46</v>
      </c>
      <c r="HC540" s="2250">
        <f t="shared" si="300"/>
        <v>6</v>
      </c>
      <c r="HD540" s="2250">
        <f t="shared" si="300"/>
        <v>6.77</v>
      </c>
      <c r="HE540" s="2250">
        <f t="shared" si="300"/>
        <v>7.54</v>
      </c>
      <c r="HF540" s="2250">
        <f t="shared" si="300"/>
        <v>8</v>
      </c>
      <c r="HG540" s="2250">
        <f t="shared" si="300"/>
        <v>9.23</v>
      </c>
      <c r="HH540" s="2250">
        <f t="shared" si="300"/>
        <v>11</v>
      </c>
      <c r="HI540" s="2275"/>
      <c r="HJ540" s="2275"/>
      <c r="HK540" s="2275"/>
      <c r="HL540" s="2275"/>
      <c r="HM540" s="2275"/>
      <c r="HN540" s="2275"/>
      <c r="HO540" s="2275"/>
      <c r="HP540" s="2275"/>
      <c r="HQ540" s="2275"/>
      <c r="HR540" s="2275"/>
      <c r="HS540" s="2275"/>
      <c r="HT540" s="2250"/>
      <c r="HU540" s="2250"/>
      <c r="HV540" s="2250"/>
      <c r="HW540" s="2250"/>
      <c r="HX540" s="2250"/>
      <c r="HY540" s="2250"/>
      <c r="HZ540" s="2250"/>
      <c r="IA540" s="2250"/>
      <c r="IB540" s="2250"/>
      <c r="IC540" s="2250"/>
      <c r="ID540" s="2250"/>
      <c r="IE540" s="2250"/>
      <c r="IF540" s="2250"/>
      <c r="IG540" s="2250"/>
      <c r="IH540" s="2250"/>
      <c r="II540" s="2250"/>
      <c r="IJ540" s="2250"/>
      <c r="IK540" s="53"/>
      <c r="IL540" s="53"/>
      <c r="IN540" s="277"/>
      <c r="IO540" s="277"/>
    </row>
    <row r="541" spans="2:249" ht="21.95" customHeight="1">
      <c r="B541" s="2250"/>
      <c r="C541" s="2250" t="str">
        <f>IF(C539=AH537,IF(C540=AI537,"Right","Wrong"))</f>
        <v>Right</v>
      </c>
      <c r="D541" s="2250">
        <f>VLOOKUP(D540,D523:AE533,28,0)</f>
        <v>475</v>
      </c>
      <c r="E541" s="2250">
        <f>VLOOKUP(E540,E523:AE533,27,0)</f>
        <v>475</v>
      </c>
      <c r="F541" s="2250">
        <f>VLOOKUP(F540,F521:AE533,26,0)</f>
        <v>475</v>
      </c>
      <c r="G541" s="2250">
        <f>VLOOKUP(G540,G521:AE533,25,0)</f>
        <v>475</v>
      </c>
      <c r="H541" s="2250">
        <f>VLOOKUP(H540,H521:AE533,24,0)</f>
        <v>475</v>
      </c>
      <c r="I541" s="2250">
        <f>VLOOKUP(I540,I521:AE533,23,0)</f>
        <v>475</v>
      </c>
      <c r="J541" s="2250">
        <f>VLOOKUP(J540,J521:AE533,22,0)</f>
        <v>475</v>
      </c>
      <c r="K541" s="2250">
        <f>VLOOKUP(K540,K521:AE533,21,0)</f>
        <v>475</v>
      </c>
      <c r="L541" s="2250">
        <f>VLOOKUP(L540,L521:AE533,20,0)</f>
        <v>475</v>
      </c>
      <c r="M541" s="2250">
        <f>VLOOKUP(M540,M521:AE533,19,0)</f>
        <v>475</v>
      </c>
      <c r="N541" s="2250">
        <f>VLOOKUP(N540,N521:AE533,18,0)</f>
        <v>475</v>
      </c>
      <c r="O541" s="2250">
        <f>VLOOKUP(O540,O521:AE533,17,0)</f>
        <v>475</v>
      </c>
      <c r="P541" s="2250">
        <f>VLOOKUP(P540,P521:AE533,16,0)</f>
        <v>475</v>
      </c>
      <c r="Q541" s="2250">
        <f>VLOOKUP(Q540,Q521:AE533,15,0)</f>
        <v>475</v>
      </c>
      <c r="R541" s="2250">
        <f>VLOOKUP(R540,R521:AE533,14,0)</f>
        <v>475</v>
      </c>
      <c r="S541" s="2250">
        <f>VLOOKUP(S540,S521:AE533,13,0)</f>
        <v>475</v>
      </c>
      <c r="T541" s="2250">
        <f>VLOOKUP(T540,T521:AE533,12,0)</f>
        <v>475</v>
      </c>
      <c r="U541" s="2250">
        <f>VLOOKUP(U540,U521:AE533,11,0)</f>
        <v>475</v>
      </c>
      <c r="V541" s="2250">
        <f>VLOOKUP(V540,V521:AE533,10,0)</f>
        <v>475</v>
      </c>
      <c r="W541" s="2250">
        <f>VLOOKUP(W540,W521:AE533,9,0)</f>
        <v>475</v>
      </c>
      <c r="X541" s="2250">
        <f>VLOOKUP(X540,X521:AE533,8,0)</f>
        <v>475</v>
      </c>
      <c r="Y541" s="2250">
        <f>VLOOKUP(Y540,Y521:AE533,7,0)</f>
        <v>475</v>
      </c>
      <c r="Z541" s="2250">
        <f>VLOOKUP(Z540,Z521:AE533,6,0)</f>
        <v>475</v>
      </c>
      <c r="AA541" s="2250">
        <f>VLOOKUP(AA540,AA521:AE533,5,0)</f>
        <v>475</v>
      </c>
      <c r="AB541" s="2250">
        <f>VLOOKUP(AB540,AB521:AE533,4,0)</f>
        <v>475</v>
      </c>
      <c r="AC541" s="2250">
        <f>VLOOKUP(AC540,AC521:AE533,3,0)</f>
        <v>475</v>
      </c>
      <c r="AD541" s="2250">
        <f>VLOOKUP(AD540,AD521:AE533,2,0)</f>
        <v>475</v>
      </c>
      <c r="AE541" s="2275"/>
      <c r="AF541" s="2275"/>
      <c r="AG541" s="2275"/>
      <c r="AH541" s="2275"/>
      <c r="AI541" s="2275"/>
      <c r="AJ541" s="2275"/>
      <c r="AK541" s="2275"/>
      <c r="AL541" s="2275"/>
      <c r="AM541" s="2275"/>
      <c r="AN541" s="2275"/>
      <c r="AO541" s="2275"/>
      <c r="AP541" s="2250"/>
      <c r="AQ541" s="2250"/>
      <c r="AR541" s="2250"/>
      <c r="AS541" s="2250"/>
      <c r="AT541" s="2250"/>
      <c r="AU541" s="2250"/>
      <c r="AV541" s="2250"/>
      <c r="AW541" s="2250"/>
      <c r="AX541" s="2250"/>
      <c r="AY541" s="2250"/>
      <c r="AZ541" s="2250"/>
      <c r="BA541" s="2250"/>
      <c r="BB541" s="2250"/>
      <c r="BC541" s="2250"/>
      <c r="BD541" s="2250"/>
      <c r="BE541" s="2250"/>
      <c r="BF541" s="2276"/>
      <c r="BG541" s="2276"/>
      <c r="BH541" s="2250"/>
      <c r="BI541" s="2275"/>
      <c r="BJ541" s="2250"/>
      <c r="BK541" s="2250" t="str">
        <f>IF(BK539=CP537,IF(BK540=CQ537,"Right","Wrong"))</f>
        <v>Right</v>
      </c>
      <c r="BL541" s="2250">
        <f>VLOOKUP(BL540,BL523:CM533,28,0)</f>
        <v>475</v>
      </c>
      <c r="BM541" s="2250">
        <f>VLOOKUP(BM540,BM523:CM533,27,0)</f>
        <v>475</v>
      </c>
      <c r="BN541" s="2250">
        <f>VLOOKUP(BN540,BN521:CM533,26,0)</f>
        <v>475</v>
      </c>
      <c r="BO541" s="2250">
        <f>VLOOKUP(BO540,BO521:CM533,25,0)</f>
        <v>475</v>
      </c>
      <c r="BP541" s="2250">
        <f>VLOOKUP(BP540,BP521:CM533,24,0)</f>
        <v>475</v>
      </c>
      <c r="BQ541" s="2250">
        <f>VLOOKUP(BQ540,BQ521:CM533,23,0)</f>
        <v>475</v>
      </c>
      <c r="BR541" s="2250">
        <f>VLOOKUP(BR540,BR521:CM533,22,0)</f>
        <v>475</v>
      </c>
      <c r="BS541" s="2250">
        <f>VLOOKUP(BS540,BS521:CM533,21,0)</f>
        <v>475</v>
      </c>
      <c r="BT541" s="2250">
        <f>VLOOKUP(BT540,BT521:CM533,20,0)</f>
        <v>475</v>
      </c>
      <c r="BU541" s="2250">
        <f>VLOOKUP(BU540,BU521:CM533,19,0)</f>
        <v>475</v>
      </c>
      <c r="BV541" s="2250">
        <f>VLOOKUP(BV540,BV521:CM533,18,0)</f>
        <v>475</v>
      </c>
      <c r="BW541" s="2250">
        <f>VLOOKUP(BW540,BW521:CM533,17,0)</f>
        <v>475</v>
      </c>
      <c r="BX541" s="2250">
        <f>VLOOKUP(BX540,BX521:CM533,16,0)</f>
        <v>475</v>
      </c>
      <c r="BY541" s="2250">
        <f>VLOOKUP(BY540,BY521:CM533,15,0)</f>
        <v>475</v>
      </c>
      <c r="BZ541" s="2250">
        <f>VLOOKUP(BZ540,BZ521:CM533,14,0)</f>
        <v>475</v>
      </c>
      <c r="CA541" s="2250">
        <f>VLOOKUP(CA540,CA521:CM533,13,0)</f>
        <v>475</v>
      </c>
      <c r="CB541" s="2250">
        <f>VLOOKUP(CB540,CB521:CM533,12,0)</f>
        <v>475</v>
      </c>
      <c r="CC541" s="2250">
        <f>VLOOKUP(CC540,CC521:CM533,11,0)</f>
        <v>475</v>
      </c>
      <c r="CD541" s="2250">
        <f>VLOOKUP(CD540,CD521:CM533,10,0)</f>
        <v>475</v>
      </c>
      <c r="CE541" s="2250">
        <f>VLOOKUP(CE540,CE521:CM533,9,0)</f>
        <v>475</v>
      </c>
      <c r="CF541" s="2250">
        <f>VLOOKUP(CF540,CF521:CM533,8,0)</f>
        <v>475</v>
      </c>
      <c r="CG541" s="2250">
        <f>VLOOKUP(CG540,CG521:CM533,7,0)</f>
        <v>475</v>
      </c>
      <c r="CH541" s="2250">
        <f>VLOOKUP(CH540,CH521:CM533,6,0)</f>
        <v>475</v>
      </c>
      <c r="CI541" s="2250">
        <f>VLOOKUP(CI540,CI521:CM533,5,0)</f>
        <v>475</v>
      </c>
      <c r="CJ541" s="2250">
        <f>VLOOKUP(CJ540,CJ521:CM533,4,0)</f>
        <v>475</v>
      </c>
      <c r="CK541" s="2250">
        <f>VLOOKUP(CK540,CK521:CM533,3,0)</f>
        <v>475</v>
      </c>
      <c r="CL541" s="2250">
        <f>VLOOKUP(CL540,CL521:CM533,2,0)</f>
        <v>475</v>
      </c>
      <c r="CM541" s="2275"/>
      <c r="CN541" s="2275"/>
      <c r="CO541" s="2275"/>
      <c r="CP541" s="2275"/>
      <c r="CQ541" s="2275"/>
      <c r="CR541" s="2275"/>
      <c r="CS541" s="2275"/>
      <c r="CT541" s="2275"/>
      <c r="CU541" s="2275"/>
      <c r="CV541" s="2275"/>
      <c r="CW541" s="2275"/>
      <c r="CX541" s="2250"/>
      <c r="CY541" s="2250"/>
      <c r="CZ541" s="2250"/>
      <c r="DA541" s="2250"/>
      <c r="DB541" s="2250"/>
      <c r="DC541" s="2250"/>
      <c r="DD541" s="2250"/>
      <c r="DE541" s="2250"/>
      <c r="DF541" s="2250"/>
      <c r="DG541" s="2250"/>
      <c r="DH541" s="2250"/>
      <c r="DI541" s="2250"/>
      <c r="DJ541" s="2250"/>
      <c r="DK541" s="2250"/>
      <c r="DL541" s="2250"/>
      <c r="DM541" s="2250"/>
      <c r="DN541" s="2250"/>
      <c r="DO541" s="53"/>
      <c r="DP541" s="53"/>
      <c r="DS541" s="277"/>
      <c r="DW541" s="1"/>
      <c r="DX541" s="2250"/>
      <c r="DY541" s="2250" t="str">
        <f>IF(DY539=FD537,IF(DY540=FE537,"Right","Wrong"))</f>
        <v>Right</v>
      </c>
      <c r="DZ541" s="2250">
        <f>VLOOKUP(DZ540,DZ523:FA533,28,0)</f>
        <v>475</v>
      </c>
      <c r="EA541" s="2250">
        <f>VLOOKUP(EA540,EA523:FA533,27,0)</f>
        <v>475</v>
      </c>
      <c r="EB541" s="2250">
        <f>VLOOKUP(EB540,EB521:FA533,26,0)</f>
        <v>475</v>
      </c>
      <c r="EC541" s="2250">
        <f>VLOOKUP(EC540,EC521:FA533,25,0)</f>
        <v>475</v>
      </c>
      <c r="ED541" s="2250">
        <f>VLOOKUP(ED540,ED521:FA533,24,0)</f>
        <v>475</v>
      </c>
      <c r="EE541" s="2250">
        <f>VLOOKUP(EE540,EE521:FA533,23,0)</f>
        <v>475</v>
      </c>
      <c r="EF541" s="2250">
        <f>VLOOKUP(EF540,EF521:FA533,22,0)</f>
        <v>475</v>
      </c>
      <c r="EG541" s="2250">
        <f>VLOOKUP(EG540,EG521:FA533,21,0)</f>
        <v>475</v>
      </c>
      <c r="EH541" s="2250">
        <f>VLOOKUP(EH540,EH521:FA533,20,0)</f>
        <v>475</v>
      </c>
      <c r="EI541" s="2250">
        <f>VLOOKUP(EI540,EI521:FA533,19,0)</f>
        <v>475</v>
      </c>
      <c r="EJ541" s="2250">
        <f>VLOOKUP(EJ540,EJ521:FA533,18,0)</f>
        <v>475</v>
      </c>
      <c r="EK541" s="2250">
        <f>VLOOKUP(EK540,EK521:FA533,17,0)</f>
        <v>475</v>
      </c>
      <c r="EL541" s="2250">
        <f>VLOOKUP(EL540,EL521:FA533,16,0)</f>
        <v>475</v>
      </c>
      <c r="EM541" s="2250">
        <f>VLOOKUP(EM540,EM521:FA533,15,0)</f>
        <v>475</v>
      </c>
      <c r="EN541" s="2250">
        <f>VLOOKUP(EN540,EN521:FA533,14,0)</f>
        <v>475</v>
      </c>
      <c r="EO541" s="2250">
        <f>VLOOKUP(EO540,EO521:FA533,13,0)</f>
        <v>475</v>
      </c>
      <c r="EP541" s="2250">
        <f>VLOOKUP(EP540,EP521:FA533,12,0)</f>
        <v>475</v>
      </c>
      <c r="EQ541" s="2250">
        <f>VLOOKUP(EQ540,EQ521:FA533,11,0)</f>
        <v>475</v>
      </c>
      <c r="ER541" s="2250">
        <f>VLOOKUP(ER540,ER521:FA533,10,0)</f>
        <v>475</v>
      </c>
      <c r="ES541" s="2250">
        <f>VLOOKUP(ES540,ES521:FA533,9,0)</f>
        <v>475</v>
      </c>
      <c r="ET541" s="2250">
        <f>VLOOKUP(ET540,ET521:FA533,8,0)</f>
        <v>475</v>
      </c>
      <c r="EU541" s="2250">
        <f>VLOOKUP(EU540,EU521:FA533,7,0)</f>
        <v>475</v>
      </c>
      <c r="EV541" s="2250">
        <f>VLOOKUP(EV540,EV521:FA533,6,0)</f>
        <v>475</v>
      </c>
      <c r="EW541" s="2250">
        <f>VLOOKUP(EW540,EW521:FA533,5,0)</f>
        <v>475</v>
      </c>
      <c r="EX541" s="2250">
        <f>VLOOKUP(EX540,EX521:FA533,4,0)</f>
        <v>475</v>
      </c>
      <c r="EY541" s="2250">
        <f>VLOOKUP(EY540,EY521:FA533,3,0)</f>
        <v>475</v>
      </c>
      <c r="EZ541" s="2250">
        <f>VLOOKUP(EZ540,EZ521:FA533,2,0)</f>
        <v>475</v>
      </c>
      <c r="FA541" s="2275"/>
      <c r="FB541" s="2275"/>
      <c r="FC541" s="2275"/>
      <c r="FD541" s="2275"/>
      <c r="FE541" s="2275"/>
      <c r="FF541" s="2275"/>
      <c r="FG541" s="2275"/>
      <c r="FH541" s="2275"/>
      <c r="FI541" s="2275"/>
      <c r="FJ541" s="2275"/>
      <c r="FK541" s="2275"/>
      <c r="FL541" s="2250"/>
      <c r="FM541" s="2250"/>
      <c r="FN541" s="2250"/>
      <c r="FO541" s="2250"/>
      <c r="FP541" s="2250"/>
      <c r="FQ541" s="2250"/>
      <c r="FR541" s="2250"/>
      <c r="FS541" s="2250"/>
      <c r="FT541" s="2250"/>
      <c r="FU541" s="2250"/>
      <c r="FV541" s="2250"/>
      <c r="FW541" s="2250"/>
      <c r="FX541" s="2250"/>
      <c r="FY541" s="2250"/>
      <c r="FZ541" s="2250"/>
      <c r="GA541" s="2250"/>
      <c r="GB541" s="2276"/>
      <c r="GC541" s="2276"/>
      <c r="GD541" s="2250"/>
      <c r="GE541" s="2275"/>
      <c r="GF541" s="2250"/>
      <c r="GG541" s="2250" t="str">
        <f>IF(GG539=HL537,IF(GG540=HM537,"Right","Wrong"))</f>
        <v>Right</v>
      </c>
      <c r="GH541" s="2250">
        <f>VLOOKUP(GH540,GH523:HI533,28,0)</f>
        <v>475</v>
      </c>
      <c r="GI541" s="2250">
        <f>VLOOKUP(GI540,GI523:HI533,27,0)</f>
        <v>475</v>
      </c>
      <c r="GJ541" s="2250">
        <f>VLOOKUP(GJ540,GJ521:HI533,26,0)</f>
        <v>475</v>
      </c>
      <c r="GK541" s="2250">
        <f>VLOOKUP(GK540,GK521:HI533,25,0)</f>
        <v>475</v>
      </c>
      <c r="GL541" s="2250">
        <f>VLOOKUP(GL540,GL521:HI533,24,0)</f>
        <v>475</v>
      </c>
      <c r="GM541" s="2250">
        <f>VLOOKUP(GM540,GM521:HI533,23,0)</f>
        <v>475</v>
      </c>
      <c r="GN541" s="2250">
        <f>VLOOKUP(GN540,GN521:HI533,22,0)</f>
        <v>475</v>
      </c>
      <c r="GO541" s="2250">
        <f>VLOOKUP(GO540,GO521:HI533,21,0)</f>
        <v>475</v>
      </c>
      <c r="GP541" s="2250">
        <f>VLOOKUP(GP540,GP521:HI533,20,0)</f>
        <v>475</v>
      </c>
      <c r="GQ541" s="2250">
        <f>VLOOKUP(GQ540,GQ521:HI533,19,0)</f>
        <v>475</v>
      </c>
      <c r="GR541" s="2250">
        <f>VLOOKUP(GR540,GR521:HI533,18,0)</f>
        <v>475</v>
      </c>
      <c r="GS541" s="2250">
        <f>VLOOKUP(GS540,GS521:HI533,17,0)</f>
        <v>475</v>
      </c>
      <c r="GT541" s="2250">
        <f>VLOOKUP(GT540,GT521:HI533,16,0)</f>
        <v>475</v>
      </c>
      <c r="GU541" s="2250">
        <f>VLOOKUP(GU540,GU521:HI533,15,0)</f>
        <v>475</v>
      </c>
      <c r="GV541" s="2250">
        <f>VLOOKUP(GV540,GV521:HI533,14,0)</f>
        <v>475</v>
      </c>
      <c r="GW541" s="2250">
        <f>VLOOKUP(GW540,GW521:HI533,13,0)</f>
        <v>475</v>
      </c>
      <c r="GX541" s="2250">
        <f>VLOOKUP(GX540,GX521:HI533,12,0)</f>
        <v>475</v>
      </c>
      <c r="GY541" s="2250">
        <f>VLOOKUP(GY540,GY521:HI533,11,0)</f>
        <v>475</v>
      </c>
      <c r="GZ541" s="2250">
        <f>VLOOKUP(GZ540,GZ521:HI533,10,0)</f>
        <v>475</v>
      </c>
      <c r="HA541" s="2250">
        <f>VLOOKUP(HA540,HA521:HI533,9,0)</f>
        <v>475</v>
      </c>
      <c r="HB541" s="2250">
        <f>VLOOKUP(HB540,HB521:HI533,8,0)</f>
        <v>475</v>
      </c>
      <c r="HC541" s="2250">
        <f>VLOOKUP(HC540,HC521:HI533,7,0)</f>
        <v>475</v>
      </c>
      <c r="HD541" s="2250">
        <f>VLOOKUP(HD540,HD521:HI533,6,0)</f>
        <v>475</v>
      </c>
      <c r="HE541" s="2250">
        <f>VLOOKUP(HE540,HE521:HI533,5,0)</f>
        <v>475</v>
      </c>
      <c r="HF541" s="2250">
        <f>VLOOKUP(HF540,HF521:HI533,4,0)</f>
        <v>475</v>
      </c>
      <c r="HG541" s="2250">
        <f>VLOOKUP(HG540,HG521:HI533,3,0)</f>
        <v>475</v>
      </c>
      <c r="HH541" s="2250">
        <f>VLOOKUP(HH540,HH521:HI533,2,0)</f>
        <v>475</v>
      </c>
      <c r="HI541" s="2275"/>
      <c r="HJ541" s="2275"/>
      <c r="HK541" s="2275"/>
      <c r="HL541" s="2275"/>
      <c r="HM541" s="2275"/>
      <c r="HN541" s="2275"/>
      <c r="HO541" s="2275"/>
      <c r="HP541" s="2275"/>
      <c r="HQ541" s="2275"/>
      <c r="HR541" s="2275"/>
      <c r="HS541" s="2275"/>
      <c r="HT541" s="2250"/>
      <c r="HU541" s="2250"/>
      <c r="HV541" s="2250"/>
      <c r="HW541" s="2250"/>
      <c r="HX541" s="2250"/>
      <c r="HY541" s="2250"/>
      <c r="HZ541" s="2250"/>
      <c r="IA541" s="2250"/>
      <c r="IB541" s="2250"/>
      <c r="IC541" s="2250"/>
      <c r="ID541" s="2250"/>
      <c r="IE541" s="2250"/>
      <c r="IF541" s="2250"/>
      <c r="IG541" s="2250"/>
      <c r="IH541" s="2250"/>
      <c r="II541" s="2250"/>
      <c r="IJ541" s="2250"/>
      <c r="IK541" s="53"/>
      <c r="IL541" s="53"/>
      <c r="IN541" s="277"/>
      <c r="IO541" s="277"/>
    </row>
    <row r="542" spans="2:249" ht="21.95" customHeight="1">
      <c r="B542" s="2275"/>
      <c r="C542" s="2275"/>
      <c r="D542" s="2275"/>
      <c r="E542" s="2275"/>
      <c r="F542" s="2275"/>
      <c r="G542" s="2275"/>
      <c r="H542" s="2275"/>
      <c r="I542" s="2275"/>
      <c r="J542" s="2275"/>
      <c r="K542" s="2275"/>
      <c r="L542" s="2275"/>
      <c r="M542" s="2275"/>
      <c r="N542" s="2275"/>
      <c r="O542" s="2275"/>
      <c r="P542" s="2275"/>
      <c r="Q542" s="2275"/>
      <c r="R542" s="2275"/>
      <c r="S542" s="2275"/>
      <c r="T542" s="2275"/>
      <c r="U542" s="2275"/>
      <c r="V542" s="2275"/>
      <c r="W542" s="2275"/>
      <c r="X542" s="2275"/>
      <c r="Y542" s="2275"/>
      <c r="Z542" s="2275"/>
      <c r="AA542" s="2275"/>
      <c r="AB542" s="2275"/>
      <c r="AC542" s="2275"/>
      <c r="AD542" s="2275"/>
      <c r="AE542" s="2275"/>
      <c r="AF542" s="2275"/>
      <c r="AG542" s="2275"/>
      <c r="AH542" s="2275"/>
      <c r="AI542" s="2275"/>
      <c r="AJ542" s="2275"/>
      <c r="AK542" s="2275"/>
      <c r="AL542" s="2275"/>
      <c r="AM542" s="2275"/>
      <c r="AN542" s="2275"/>
      <c r="AO542" s="2275"/>
      <c r="AP542" s="2250"/>
      <c r="AQ542" s="2250"/>
      <c r="AR542" s="2250"/>
      <c r="AS542" s="2250"/>
      <c r="AT542" s="2250"/>
      <c r="AU542" s="2250"/>
      <c r="AV542" s="2250"/>
      <c r="AW542" s="2250"/>
      <c r="AX542" s="2250"/>
      <c r="AY542" s="2250"/>
      <c r="AZ542" s="2250"/>
      <c r="BA542" s="2250"/>
      <c r="BB542" s="2250"/>
      <c r="BC542" s="2250"/>
      <c r="BD542" s="2250"/>
      <c r="BE542" s="2250"/>
      <c r="BF542" s="2276"/>
      <c r="BG542" s="2276"/>
      <c r="BH542" s="2250"/>
      <c r="BI542" s="2275"/>
      <c r="BJ542" s="2275"/>
      <c r="BK542" s="2275"/>
      <c r="BL542" s="2275"/>
      <c r="BM542" s="2275"/>
      <c r="BN542" s="2275"/>
      <c r="BO542" s="2275"/>
      <c r="BP542" s="2275"/>
      <c r="BQ542" s="2275"/>
      <c r="BR542" s="2275"/>
      <c r="BS542" s="2275"/>
      <c r="BT542" s="2275"/>
      <c r="BU542" s="2275"/>
      <c r="BV542" s="2275"/>
      <c r="BW542" s="2275"/>
      <c r="BX542" s="2275"/>
      <c r="BY542" s="2275"/>
      <c r="BZ542" s="2275"/>
      <c r="CA542" s="2275"/>
      <c r="CB542" s="2275"/>
      <c r="CC542" s="2275"/>
      <c r="CD542" s="2275"/>
      <c r="CE542" s="2275"/>
      <c r="CF542" s="2275"/>
      <c r="CG542" s="2275"/>
      <c r="CH542" s="2275"/>
      <c r="CI542" s="2275"/>
      <c r="CJ542" s="2275"/>
      <c r="CK542" s="2275"/>
      <c r="CL542" s="2275"/>
      <c r="CM542" s="2275"/>
      <c r="CN542" s="2275"/>
      <c r="CO542" s="2275"/>
      <c r="CP542" s="2275"/>
      <c r="CQ542" s="2275"/>
      <c r="CR542" s="2275"/>
      <c r="CS542" s="2275"/>
      <c r="CT542" s="2275"/>
      <c r="CU542" s="2275"/>
      <c r="CV542" s="2275"/>
      <c r="CW542" s="2275"/>
      <c r="CX542" s="2250"/>
      <c r="CY542" s="2250"/>
      <c r="CZ542" s="2250"/>
      <c r="DA542" s="2250"/>
      <c r="DB542" s="2250"/>
      <c r="DC542" s="2250"/>
      <c r="DD542" s="2250"/>
      <c r="DE542" s="2250"/>
      <c r="DF542" s="2250"/>
      <c r="DG542" s="2250"/>
      <c r="DH542" s="2250"/>
      <c r="DI542" s="2250"/>
      <c r="DJ542" s="2250"/>
      <c r="DK542" s="2250"/>
      <c r="DL542" s="2250"/>
      <c r="DM542" s="2250"/>
      <c r="DN542" s="2250"/>
      <c r="DO542" s="53"/>
      <c r="DP542" s="53"/>
      <c r="DS542" s="277"/>
      <c r="DW542" s="1"/>
      <c r="DX542" s="2275"/>
      <c r="DY542" s="2275"/>
      <c r="DZ542" s="2275"/>
      <c r="EA542" s="2275"/>
      <c r="EB542" s="2275"/>
      <c r="EC542" s="2275"/>
      <c r="ED542" s="2275"/>
      <c r="EE542" s="2275"/>
      <c r="EF542" s="2275"/>
      <c r="EG542" s="2275"/>
      <c r="EH542" s="2275"/>
      <c r="EI542" s="2275"/>
      <c r="EJ542" s="2275"/>
      <c r="EK542" s="2275"/>
      <c r="EL542" s="2275"/>
      <c r="EM542" s="2275"/>
      <c r="EN542" s="2275"/>
      <c r="EO542" s="2275"/>
      <c r="EP542" s="2275"/>
      <c r="EQ542" s="2275"/>
      <c r="ER542" s="2275"/>
      <c r="ES542" s="2275"/>
      <c r="ET542" s="2275"/>
      <c r="EU542" s="2275"/>
      <c r="EV542" s="2275"/>
      <c r="EW542" s="2275"/>
      <c r="EX542" s="2275"/>
      <c r="EY542" s="2275"/>
      <c r="EZ542" s="2275"/>
      <c r="FA542" s="2275"/>
      <c r="FB542" s="2275"/>
      <c r="FC542" s="2275"/>
      <c r="FD542" s="2275"/>
      <c r="FE542" s="2275"/>
      <c r="FF542" s="2275"/>
      <c r="FG542" s="2275"/>
      <c r="FH542" s="2275"/>
      <c r="FI542" s="2275"/>
      <c r="FJ542" s="2275"/>
      <c r="FK542" s="2275"/>
      <c r="FL542" s="2250"/>
      <c r="FM542" s="2250"/>
      <c r="FN542" s="2250"/>
      <c r="FO542" s="2250"/>
      <c r="FP542" s="2250"/>
      <c r="FQ542" s="2250"/>
      <c r="FR542" s="2250"/>
      <c r="FS542" s="2250"/>
      <c r="FT542" s="2250"/>
      <c r="FU542" s="2250"/>
      <c r="FV542" s="2250"/>
      <c r="FW542" s="2250"/>
      <c r="FX542" s="2250"/>
      <c r="FY542" s="2250"/>
      <c r="FZ542" s="2250"/>
      <c r="GA542" s="2250"/>
      <c r="GB542" s="2276"/>
      <c r="GC542" s="2276"/>
      <c r="GD542" s="2250"/>
      <c r="GE542" s="2275"/>
      <c r="GF542" s="2275"/>
      <c r="GG542" s="2275"/>
      <c r="GH542" s="2275"/>
      <c r="GI542" s="2275"/>
      <c r="GJ542" s="2275"/>
      <c r="GK542" s="2275"/>
      <c r="GL542" s="2275"/>
      <c r="GM542" s="2275"/>
      <c r="GN542" s="2275"/>
      <c r="GO542" s="2275"/>
      <c r="GP542" s="2275"/>
      <c r="GQ542" s="2275"/>
      <c r="GR542" s="2275"/>
      <c r="GS542" s="2275"/>
      <c r="GT542" s="2275"/>
      <c r="GU542" s="2275"/>
      <c r="GV542" s="2275"/>
      <c r="GW542" s="2275"/>
      <c r="GX542" s="2275"/>
      <c r="GY542" s="2275"/>
      <c r="GZ542" s="2275"/>
      <c r="HA542" s="2275"/>
      <c r="HB542" s="2275"/>
      <c r="HC542" s="2275"/>
      <c r="HD542" s="2275"/>
      <c r="HE542" s="2275"/>
      <c r="HF542" s="2275"/>
      <c r="HG542" s="2275"/>
      <c r="HH542" s="2275"/>
      <c r="HI542" s="2275"/>
      <c r="HJ542" s="2275"/>
      <c r="HK542" s="2275"/>
      <c r="HL542" s="2275"/>
      <c r="HM542" s="2275"/>
      <c r="HN542" s="2275"/>
      <c r="HO542" s="2275"/>
      <c r="HP542" s="2275"/>
      <c r="HQ542" s="2275"/>
      <c r="HR542" s="2275"/>
      <c r="HS542" s="2275"/>
      <c r="HT542" s="2250"/>
      <c r="HU542" s="2250"/>
      <c r="HV542" s="2250"/>
      <c r="HW542" s="2250"/>
      <c r="HX542" s="2250"/>
      <c r="HY542" s="2250"/>
      <c r="HZ542" s="2250"/>
      <c r="IA542" s="2250"/>
      <c r="IB542" s="2250"/>
      <c r="IC542" s="2250"/>
      <c r="ID542" s="2250"/>
      <c r="IE542" s="2250"/>
      <c r="IF542" s="2250"/>
      <c r="IG542" s="2250"/>
      <c r="IH542" s="2250"/>
      <c r="II542" s="2250"/>
      <c r="IJ542" s="2250"/>
      <c r="IK542" s="53"/>
      <c r="IL542" s="53"/>
      <c r="IN542" s="277"/>
      <c r="IO542" s="277"/>
    </row>
    <row r="543" spans="2:249" ht="21.95" customHeight="1">
      <c r="B543" s="2275"/>
      <c r="C543" s="2275"/>
      <c r="D543" s="2275"/>
      <c r="E543" s="2275"/>
      <c r="F543" s="2275"/>
      <c r="G543" s="2275"/>
      <c r="H543" s="2275"/>
      <c r="I543" s="2275"/>
      <c r="J543" s="2275"/>
      <c r="K543" s="2275"/>
      <c r="L543" s="2275"/>
      <c r="M543" s="2275"/>
      <c r="N543" s="2275"/>
      <c r="O543" s="2275"/>
      <c r="P543" s="2275"/>
      <c r="Q543" s="2275"/>
      <c r="R543" s="2275"/>
      <c r="S543" s="2275"/>
      <c r="T543" s="2275"/>
      <c r="U543" s="2275"/>
      <c r="V543" s="2275"/>
      <c r="W543" s="2275"/>
      <c r="X543" s="2275"/>
      <c r="Y543" s="2275"/>
      <c r="Z543" s="2275"/>
      <c r="AA543" s="2275"/>
      <c r="AB543" s="2275"/>
      <c r="AC543" s="2275"/>
      <c r="AD543" s="2275"/>
      <c r="AE543" s="2275"/>
      <c r="AF543" s="2275"/>
      <c r="AG543" s="2275"/>
      <c r="AH543" s="2275"/>
      <c r="AI543" s="2275"/>
      <c r="AJ543" s="2275"/>
      <c r="AK543" s="2275"/>
      <c r="AL543" s="2275"/>
      <c r="AM543" s="2275"/>
      <c r="AN543" s="2275"/>
      <c r="AO543" s="2275"/>
      <c r="AP543" s="2250"/>
      <c r="AQ543" s="2250"/>
      <c r="AR543" s="2250"/>
      <c r="AS543" s="2250"/>
      <c r="AT543" s="2250"/>
      <c r="AU543" s="2250"/>
      <c r="AV543" s="2250"/>
      <c r="AW543" s="2250"/>
      <c r="AX543" s="2250"/>
      <c r="AY543" s="2250"/>
      <c r="AZ543" s="2250"/>
      <c r="BA543" s="2250"/>
      <c r="BB543" s="2250"/>
      <c r="BC543" s="2250"/>
      <c r="BD543" s="2250"/>
      <c r="BE543" s="2250"/>
      <c r="BF543" s="2276"/>
      <c r="BG543" s="2276"/>
      <c r="BH543" s="2250"/>
      <c r="BI543" s="2275"/>
      <c r="BJ543" s="2275"/>
      <c r="BK543" s="2275"/>
      <c r="BL543" s="2275"/>
      <c r="BM543" s="2275"/>
      <c r="BN543" s="2275"/>
      <c r="BO543" s="2275"/>
      <c r="BP543" s="2275"/>
      <c r="BQ543" s="2275"/>
      <c r="BR543" s="2275"/>
      <c r="BS543" s="2275"/>
      <c r="BT543" s="2275"/>
      <c r="BU543" s="2275"/>
      <c r="BV543" s="2275"/>
      <c r="BW543" s="2275"/>
      <c r="BX543" s="2275"/>
      <c r="BY543" s="2275"/>
      <c r="BZ543" s="2275"/>
      <c r="CA543" s="2275"/>
      <c r="CB543" s="2275"/>
      <c r="CC543" s="2275"/>
      <c r="CD543" s="2275"/>
      <c r="CE543" s="2275"/>
      <c r="CF543" s="2275"/>
      <c r="CG543" s="2275"/>
      <c r="CH543" s="2275"/>
      <c r="CI543" s="2275"/>
      <c r="CJ543" s="2275"/>
      <c r="CK543" s="2275"/>
      <c r="CL543" s="2275"/>
      <c r="CM543" s="2275"/>
      <c r="CN543" s="2275"/>
      <c r="CO543" s="2275"/>
      <c r="CP543" s="2275"/>
      <c r="CQ543" s="2275"/>
      <c r="CR543" s="2275"/>
      <c r="CS543" s="2275"/>
      <c r="CT543" s="2275"/>
      <c r="CU543" s="2275"/>
      <c r="CV543" s="2275"/>
      <c r="CW543" s="2275"/>
      <c r="CX543" s="2250"/>
      <c r="CY543" s="2250"/>
      <c r="CZ543" s="2250"/>
      <c r="DA543" s="2250"/>
      <c r="DB543" s="2250"/>
      <c r="DC543" s="2250"/>
      <c r="DD543" s="2250"/>
      <c r="DE543" s="2250"/>
      <c r="DF543" s="2250"/>
      <c r="DG543" s="2250"/>
      <c r="DH543" s="2250"/>
      <c r="DI543" s="2250"/>
      <c r="DJ543" s="2250"/>
      <c r="DK543" s="2250"/>
      <c r="DL543" s="2250"/>
      <c r="DM543" s="2250"/>
      <c r="DN543" s="2250"/>
      <c r="DO543" s="53"/>
      <c r="DP543" s="53"/>
      <c r="DS543" s="277"/>
      <c r="DW543" s="1"/>
      <c r="DX543" s="2275"/>
      <c r="DY543" s="2275"/>
      <c r="DZ543" s="2275"/>
      <c r="EA543" s="2275"/>
      <c r="EB543" s="2275"/>
      <c r="EC543" s="2275"/>
      <c r="ED543" s="2275"/>
      <c r="EE543" s="2275"/>
      <c r="EF543" s="2275"/>
      <c r="EG543" s="2275"/>
      <c r="EH543" s="2275"/>
      <c r="EI543" s="2275"/>
      <c r="EJ543" s="2275"/>
      <c r="EK543" s="2275"/>
      <c r="EL543" s="2275"/>
      <c r="EM543" s="2275"/>
      <c r="EN543" s="2275"/>
      <c r="EO543" s="2275"/>
      <c r="EP543" s="2275"/>
      <c r="EQ543" s="2275"/>
      <c r="ER543" s="2275"/>
      <c r="ES543" s="2275"/>
      <c r="ET543" s="2275"/>
      <c r="EU543" s="2275"/>
      <c r="EV543" s="2275"/>
      <c r="EW543" s="2275"/>
      <c r="EX543" s="2275"/>
      <c r="EY543" s="2275"/>
      <c r="EZ543" s="2275"/>
      <c r="FA543" s="2275"/>
      <c r="FB543" s="2275"/>
      <c r="FC543" s="2275"/>
      <c r="FD543" s="2275"/>
      <c r="FE543" s="2275"/>
      <c r="FF543" s="2275"/>
      <c r="FG543" s="2275"/>
      <c r="FH543" s="2275"/>
      <c r="FI543" s="2275"/>
      <c r="FJ543" s="2275"/>
      <c r="FK543" s="2275"/>
      <c r="FL543" s="2250"/>
      <c r="FM543" s="2250"/>
      <c r="FN543" s="2250"/>
      <c r="FO543" s="2250"/>
      <c r="FP543" s="2250"/>
      <c r="FQ543" s="2250"/>
      <c r="FR543" s="2250"/>
      <c r="FS543" s="2250"/>
      <c r="FT543" s="2250"/>
      <c r="FU543" s="2250"/>
      <c r="FV543" s="2250"/>
      <c r="FW543" s="2250"/>
      <c r="FX543" s="2250"/>
      <c r="FY543" s="2250"/>
      <c r="FZ543" s="2250"/>
      <c r="GA543" s="2250"/>
      <c r="GB543" s="2276"/>
      <c r="GC543" s="2276"/>
      <c r="GD543" s="2250"/>
      <c r="GE543" s="2275"/>
      <c r="GF543" s="2275"/>
      <c r="GG543" s="2275"/>
      <c r="GH543" s="2275"/>
      <c r="GI543" s="2275"/>
      <c r="GJ543" s="2275"/>
      <c r="GK543" s="2275"/>
      <c r="GL543" s="2275"/>
      <c r="GM543" s="2275"/>
      <c r="GN543" s="2275"/>
      <c r="GO543" s="2275"/>
      <c r="GP543" s="2275"/>
      <c r="GQ543" s="2275"/>
      <c r="GR543" s="2275"/>
      <c r="GS543" s="2275"/>
      <c r="GT543" s="2275"/>
      <c r="GU543" s="2275"/>
      <c r="GV543" s="2275"/>
      <c r="GW543" s="2275"/>
      <c r="GX543" s="2275"/>
      <c r="GY543" s="2275"/>
      <c r="GZ543" s="2275"/>
      <c r="HA543" s="2275"/>
      <c r="HB543" s="2275"/>
      <c r="HC543" s="2275"/>
      <c r="HD543" s="2275"/>
      <c r="HE543" s="2275"/>
      <c r="HF543" s="2275"/>
      <c r="HG543" s="2275"/>
      <c r="HH543" s="2275"/>
      <c r="HI543" s="2275"/>
      <c r="HJ543" s="2275"/>
      <c r="HK543" s="2275"/>
      <c r="HL543" s="2275"/>
      <c r="HM543" s="2275"/>
      <c r="HN543" s="2275"/>
      <c r="HO543" s="2275"/>
      <c r="HP543" s="2275"/>
      <c r="HQ543" s="2275"/>
      <c r="HR543" s="2275"/>
      <c r="HS543" s="2275"/>
      <c r="HT543" s="2250"/>
      <c r="HU543" s="2250"/>
      <c r="HV543" s="2250"/>
      <c r="HW543" s="2250"/>
      <c r="HX543" s="2250"/>
      <c r="HY543" s="2250"/>
      <c r="HZ543" s="2250"/>
      <c r="IA543" s="2250"/>
      <c r="IB543" s="2250"/>
      <c r="IC543" s="2250"/>
      <c r="ID543" s="2250"/>
      <c r="IE543" s="2250"/>
      <c r="IF543" s="2250"/>
      <c r="IG543" s="2250"/>
      <c r="IH543" s="2250"/>
      <c r="II543" s="2250"/>
      <c r="IJ543" s="2250"/>
      <c r="IK543" s="53"/>
      <c r="IL543" s="53"/>
      <c r="IN543" s="277"/>
      <c r="IO543" s="277"/>
    </row>
    <row r="544" spans="2:249" ht="21.95" customHeight="1">
      <c r="B544" s="2275"/>
      <c r="C544" s="2275"/>
      <c r="D544" s="2275"/>
      <c r="E544" s="2275"/>
      <c r="F544" s="2275"/>
      <c r="G544" s="2275"/>
      <c r="H544" s="2275"/>
      <c r="I544" s="2275"/>
      <c r="J544" s="2275"/>
      <c r="K544" s="2275"/>
      <c r="L544" s="2275"/>
      <c r="M544" s="2275"/>
      <c r="N544" s="2275"/>
      <c r="O544" s="2275"/>
      <c r="P544" s="2275"/>
      <c r="Q544" s="2275"/>
      <c r="R544" s="2275"/>
      <c r="S544" s="2275"/>
      <c r="T544" s="2275"/>
      <c r="U544" s="2275"/>
      <c r="V544" s="2275"/>
      <c r="W544" s="2275"/>
      <c r="X544" s="2275"/>
      <c r="Y544" s="2275"/>
      <c r="Z544" s="2275"/>
      <c r="AA544" s="2275"/>
      <c r="AB544" s="2275"/>
      <c r="AC544" s="2275"/>
      <c r="AD544" s="2275"/>
      <c r="AE544" s="2275"/>
      <c r="AF544" s="2275"/>
      <c r="AG544" s="2275"/>
      <c r="AH544" s="2275"/>
      <c r="AI544" s="2275"/>
      <c r="AJ544" s="2275"/>
      <c r="AK544" s="2275"/>
      <c r="AL544" s="2275"/>
      <c r="AM544" s="2275"/>
      <c r="AN544" s="2275"/>
      <c r="AO544" s="2275"/>
      <c r="AP544" s="2250"/>
      <c r="AQ544" s="2250"/>
      <c r="AR544" s="2250"/>
      <c r="AS544" s="2250"/>
      <c r="AT544" s="2250"/>
      <c r="AU544" s="2250"/>
      <c r="AV544" s="2250"/>
      <c r="AW544" s="2250"/>
      <c r="AX544" s="2250"/>
      <c r="AY544" s="2250"/>
      <c r="AZ544" s="2250"/>
      <c r="BA544" s="2250"/>
      <c r="BB544" s="2250"/>
      <c r="BC544" s="2250"/>
      <c r="BD544" s="2250"/>
      <c r="BE544" s="2250"/>
      <c r="BF544" s="2276"/>
      <c r="BG544" s="2276"/>
      <c r="BH544" s="2250"/>
      <c r="BI544" s="2250"/>
      <c r="BJ544" s="2250"/>
      <c r="BK544" s="2250"/>
      <c r="BL544" s="2250"/>
      <c r="BM544" s="2250"/>
      <c r="BN544" s="2250"/>
      <c r="BO544" s="2250"/>
      <c r="BP544" s="2250"/>
      <c r="BQ544" s="2250"/>
      <c r="BR544" s="2250"/>
      <c r="BS544" s="2250"/>
      <c r="BT544" s="2250"/>
      <c r="BU544" s="2250"/>
      <c r="BV544" s="2250"/>
      <c r="BW544" s="2250"/>
      <c r="BX544" s="2250"/>
      <c r="BY544" s="2250"/>
      <c r="BZ544" s="2250"/>
      <c r="CA544" s="2250"/>
      <c r="CB544" s="2250"/>
      <c r="CC544" s="2250"/>
      <c r="CD544" s="2250"/>
      <c r="CE544" s="2250"/>
      <c r="CF544" s="2250"/>
      <c r="CG544" s="2250"/>
      <c r="CH544" s="2250"/>
      <c r="CI544" s="2250"/>
      <c r="CJ544" s="2250"/>
      <c r="CK544" s="2250"/>
      <c r="CL544" s="2250"/>
      <c r="CM544" s="2250"/>
      <c r="CN544" s="2250"/>
      <c r="CO544" s="2250"/>
      <c r="CP544" s="2250"/>
      <c r="CQ544" s="2250"/>
      <c r="CR544" s="2250"/>
      <c r="CS544" s="2250"/>
      <c r="CT544" s="2250"/>
      <c r="CU544" s="2250"/>
      <c r="CV544" s="2250"/>
      <c r="CW544" s="2250"/>
      <c r="CX544" s="2250"/>
      <c r="CY544" s="2250"/>
      <c r="CZ544" s="2250"/>
      <c r="DA544" s="2250"/>
      <c r="DB544" s="2250"/>
      <c r="DC544" s="2250"/>
      <c r="DD544" s="2250"/>
      <c r="DE544" s="2250"/>
      <c r="DF544" s="2250"/>
      <c r="DG544" s="2250"/>
      <c r="DH544" s="2250"/>
      <c r="DI544" s="2250"/>
      <c r="DJ544" s="2250"/>
      <c r="DK544" s="2250"/>
      <c r="DL544" s="2250"/>
      <c r="DM544" s="2250"/>
      <c r="DN544" s="2250"/>
      <c r="DO544" s="53"/>
      <c r="DP544" s="53"/>
      <c r="DS544" s="277"/>
      <c r="DW544" s="1"/>
      <c r="DX544" s="2275"/>
      <c r="DY544" s="2275"/>
      <c r="DZ544" s="2275"/>
      <c r="EA544" s="2275"/>
      <c r="EB544" s="2275"/>
      <c r="EC544" s="2275"/>
      <c r="ED544" s="2275"/>
      <c r="EE544" s="2275"/>
      <c r="EF544" s="2275"/>
      <c r="EG544" s="2275"/>
      <c r="EH544" s="2275"/>
      <c r="EI544" s="2275"/>
      <c r="EJ544" s="2275"/>
      <c r="EK544" s="2275"/>
      <c r="EL544" s="2275"/>
      <c r="EM544" s="2275"/>
      <c r="EN544" s="2275"/>
      <c r="EO544" s="2275"/>
      <c r="EP544" s="2275"/>
      <c r="EQ544" s="2275"/>
      <c r="ER544" s="2275"/>
      <c r="ES544" s="2275"/>
      <c r="ET544" s="2275"/>
      <c r="EU544" s="2275"/>
      <c r="EV544" s="2275"/>
      <c r="EW544" s="2275"/>
      <c r="EX544" s="2275"/>
      <c r="EY544" s="2275"/>
      <c r="EZ544" s="2275"/>
      <c r="FA544" s="2275"/>
      <c r="FB544" s="2275"/>
      <c r="FC544" s="2275"/>
      <c r="FD544" s="2275"/>
      <c r="FE544" s="2275"/>
      <c r="FF544" s="2275"/>
      <c r="FG544" s="2275"/>
      <c r="FH544" s="2275"/>
      <c r="FI544" s="2275"/>
      <c r="FJ544" s="2275"/>
      <c r="FK544" s="2275"/>
      <c r="FL544" s="2250"/>
      <c r="FM544" s="2250"/>
      <c r="FN544" s="2250"/>
      <c r="FO544" s="2250"/>
      <c r="FP544" s="2250"/>
      <c r="FQ544" s="2250"/>
      <c r="FR544" s="2250"/>
      <c r="FS544" s="2250"/>
      <c r="FT544" s="2250"/>
      <c r="FU544" s="2250"/>
      <c r="FV544" s="2250"/>
      <c r="FW544" s="2250"/>
      <c r="FX544" s="2250"/>
      <c r="FY544" s="2250"/>
      <c r="FZ544" s="2250"/>
      <c r="GA544" s="2250"/>
      <c r="GB544" s="2276"/>
      <c r="GC544" s="2276"/>
      <c r="GD544" s="2250"/>
      <c r="GE544" s="2250"/>
      <c r="GF544" s="2250"/>
      <c r="GG544" s="2250"/>
      <c r="GH544" s="2250"/>
      <c r="GI544" s="2250"/>
      <c r="GJ544" s="2250"/>
      <c r="GK544" s="2250"/>
      <c r="GL544" s="2250"/>
      <c r="GM544" s="2250"/>
      <c r="GN544" s="2250"/>
      <c r="GO544" s="2250"/>
      <c r="GP544" s="2250"/>
      <c r="GQ544" s="2250"/>
      <c r="GR544" s="2250"/>
      <c r="GS544" s="2250"/>
      <c r="GT544" s="2250"/>
      <c r="GU544" s="2250"/>
      <c r="GV544" s="2250"/>
      <c r="GW544" s="2250"/>
      <c r="GX544" s="2250"/>
      <c r="GY544" s="2250"/>
      <c r="GZ544" s="2250"/>
      <c r="HA544" s="2250"/>
      <c r="HB544" s="2250"/>
      <c r="HC544" s="2250"/>
      <c r="HD544" s="2250"/>
      <c r="HE544" s="2250"/>
      <c r="HF544" s="2250"/>
      <c r="HG544" s="2250"/>
      <c r="HH544" s="2250"/>
      <c r="HI544" s="2250"/>
      <c r="HJ544" s="2250"/>
      <c r="HK544" s="2250"/>
      <c r="HL544" s="2250"/>
      <c r="HM544" s="2250"/>
      <c r="HN544" s="2250"/>
      <c r="HO544" s="2250"/>
      <c r="HP544" s="2250"/>
      <c r="HQ544" s="2250"/>
      <c r="HR544" s="2250"/>
      <c r="HS544" s="2250"/>
      <c r="HT544" s="2250"/>
      <c r="HU544" s="2250"/>
      <c r="HV544" s="2250"/>
      <c r="HW544" s="2250"/>
      <c r="HX544" s="2250"/>
      <c r="HY544" s="2250"/>
      <c r="HZ544" s="2250"/>
      <c r="IA544" s="2250"/>
      <c r="IB544" s="2250"/>
      <c r="IC544" s="2250"/>
      <c r="ID544" s="2250"/>
      <c r="IE544" s="2250"/>
      <c r="IF544" s="2250"/>
      <c r="IG544" s="2250"/>
      <c r="IH544" s="2250"/>
      <c r="II544" s="2250"/>
      <c r="IJ544" s="2250"/>
      <c r="IK544" s="53"/>
      <c r="IL544" s="53"/>
      <c r="IN544" s="277"/>
      <c r="IO544" s="277"/>
    </row>
    <row r="545" spans="2:249" ht="21.95" customHeight="1">
      <c r="B545" s="2275"/>
      <c r="C545" s="2275"/>
      <c r="D545" s="2275"/>
      <c r="E545" s="2275"/>
      <c r="F545" s="2275"/>
      <c r="G545" s="2275"/>
      <c r="H545" s="2275"/>
      <c r="I545" s="2275"/>
      <c r="J545" s="2275"/>
      <c r="K545" s="2275"/>
      <c r="L545" s="2275"/>
      <c r="M545" s="2275"/>
      <c r="N545" s="2275"/>
      <c r="O545" s="2275"/>
      <c r="P545" s="2275"/>
      <c r="Q545" s="2275"/>
      <c r="R545" s="2275"/>
      <c r="S545" s="2275"/>
      <c r="T545" s="2275"/>
      <c r="U545" s="2275"/>
      <c r="V545" s="2275"/>
      <c r="W545" s="2275"/>
      <c r="X545" s="2275"/>
      <c r="Y545" s="2275"/>
      <c r="Z545" s="2275"/>
      <c r="AA545" s="2275"/>
      <c r="AB545" s="2275"/>
      <c r="AC545" s="2275"/>
      <c r="AD545" s="2275"/>
      <c r="AE545" s="2275"/>
      <c r="AF545" s="2275"/>
      <c r="AG545" s="2275"/>
      <c r="AH545" s="2275"/>
      <c r="AI545" s="2275"/>
      <c r="AJ545" s="2275"/>
      <c r="AK545" s="2275"/>
      <c r="AL545" s="2275"/>
      <c r="AM545" s="2275"/>
      <c r="AN545" s="2275"/>
      <c r="AO545" s="2275"/>
      <c r="AP545" s="2250"/>
      <c r="AQ545" s="2250"/>
      <c r="AR545" s="2250"/>
      <c r="AS545" s="2250"/>
      <c r="AT545" s="2250"/>
      <c r="AU545" s="2250"/>
      <c r="AV545" s="2250"/>
      <c r="AW545" s="2250"/>
      <c r="AX545" s="2250"/>
      <c r="AY545" s="2250"/>
      <c r="AZ545" s="2250"/>
      <c r="BA545" s="2250"/>
      <c r="BB545" s="2250"/>
      <c r="BC545" s="2250"/>
      <c r="BD545" s="2250"/>
      <c r="BE545" s="2250"/>
      <c r="BF545" s="2276"/>
      <c r="BG545" s="2276"/>
      <c r="BH545" s="2250"/>
      <c r="BI545" s="2250"/>
      <c r="BJ545" s="2278"/>
      <c r="BK545" s="2250"/>
      <c r="BL545" s="2250"/>
      <c r="BM545" s="2250"/>
      <c r="BN545" s="2250"/>
      <c r="BO545" s="2250"/>
      <c r="BP545" s="2250"/>
      <c r="BQ545" s="2250"/>
      <c r="BR545" s="2250"/>
      <c r="BS545" s="2250"/>
      <c r="BT545" s="2250"/>
      <c r="BU545" s="2250"/>
      <c r="BV545" s="2250"/>
      <c r="BW545" s="2250"/>
      <c r="BX545" s="2250"/>
      <c r="BY545" s="2250"/>
      <c r="BZ545" s="2250"/>
      <c r="CA545" s="2250"/>
      <c r="CB545" s="2250"/>
      <c r="CC545" s="2250"/>
      <c r="CD545" s="2250"/>
      <c r="CE545" s="2250"/>
      <c r="CF545" s="2250"/>
      <c r="CG545" s="2250"/>
      <c r="CH545" s="2250"/>
      <c r="CI545" s="2250"/>
      <c r="CJ545" s="2250"/>
      <c r="CK545" s="2250"/>
      <c r="CL545" s="2250"/>
      <c r="CM545" s="2250"/>
      <c r="CN545" s="2250"/>
      <c r="CO545" s="2250"/>
      <c r="CP545" s="2250"/>
      <c r="CQ545" s="2250"/>
      <c r="CR545" s="2250"/>
      <c r="CS545" s="2250"/>
      <c r="CT545" s="2250"/>
      <c r="CU545" s="2250"/>
      <c r="CV545" s="2250"/>
      <c r="CW545" s="2250"/>
      <c r="CX545" s="2250"/>
      <c r="CY545" s="2250"/>
      <c r="CZ545" s="2250"/>
      <c r="DA545" s="2250"/>
      <c r="DB545" s="2250"/>
      <c r="DC545" s="2250"/>
      <c r="DD545" s="2250"/>
      <c r="DE545" s="2250"/>
      <c r="DF545" s="2250"/>
      <c r="DG545" s="2250"/>
      <c r="DH545" s="2250"/>
      <c r="DI545" s="2250"/>
      <c r="DJ545" s="2250"/>
      <c r="DK545" s="2250"/>
      <c r="DL545" s="2250"/>
      <c r="DM545" s="2250"/>
      <c r="DN545" s="2250"/>
      <c r="DO545" s="53"/>
      <c r="DP545" s="53"/>
      <c r="DS545" s="277"/>
      <c r="DW545" s="1"/>
      <c r="DX545" s="2275"/>
      <c r="DY545" s="2275"/>
      <c r="DZ545" s="2275"/>
      <c r="EA545" s="2275"/>
      <c r="EB545" s="2275"/>
      <c r="EC545" s="2275"/>
      <c r="ED545" s="2275"/>
      <c r="EE545" s="2275"/>
      <c r="EF545" s="2275"/>
      <c r="EG545" s="2275"/>
      <c r="EH545" s="2275"/>
      <c r="EI545" s="2275"/>
      <c r="EJ545" s="2275"/>
      <c r="EK545" s="2275"/>
      <c r="EL545" s="2275"/>
      <c r="EM545" s="2275"/>
      <c r="EN545" s="2275"/>
      <c r="EO545" s="2275"/>
      <c r="EP545" s="2275"/>
      <c r="EQ545" s="2275"/>
      <c r="ER545" s="2275"/>
      <c r="ES545" s="2275"/>
      <c r="ET545" s="2275"/>
      <c r="EU545" s="2275"/>
      <c r="EV545" s="2275"/>
      <c r="EW545" s="2275"/>
      <c r="EX545" s="2275"/>
      <c r="EY545" s="2275"/>
      <c r="EZ545" s="2275"/>
      <c r="FA545" s="2275"/>
      <c r="FB545" s="2275"/>
      <c r="FC545" s="2275"/>
      <c r="FD545" s="2275"/>
      <c r="FE545" s="2275"/>
      <c r="FF545" s="2275"/>
      <c r="FG545" s="2275"/>
      <c r="FH545" s="2275"/>
      <c r="FI545" s="2275"/>
      <c r="FJ545" s="2275"/>
      <c r="FK545" s="2275"/>
      <c r="FL545" s="2250"/>
      <c r="FM545" s="2250"/>
      <c r="FN545" s="2250"/>
      <c r="FO545" s="2250"/>
      <c r="FP545" s="2250"/>
      <c r="FQ545" s="2250"/>
      <c r="FR545" s="2250"/>
      <c r="FS545" s="2250"/>
      <c r="FT545" s="2250"/>
      <c r="FU545" s="2250"/>
      <c r="FV545" s="2250"/>
      <c r="FW545" s="2250"/>
      <c r="FX545" s="2250"/>
      <c r="FY545" s="2250"/>
      <c r="FZ545" s="2250"/>
      <c r="GA545" s="2250"/>
      <c r="GB545" s="2276"/>
      <c r="GC545" s="2276"/>
      <c r="GD545" s="2250"/>
      <c r="GE545" s="2250"/>
      <c r="GF545" s="2278"/>
      <c r="GG545" s="2250"/>
      <c r="GH545" s="2250"/>
      <c r="GI545" s="2250"/>
      <c r="GJ545" s="2250"/>
      <c r="GK545" s="2250"/>
      <c r="GL545" s="2250"/>
      <c r="GM545" s="2250"/>
      <c r="GN545" s="2250"/>
      <c r="GO545" s="2250"/>
      <c r="GP545" s="2250"/>
      <c r="GQ545" s="2250"/>
      <c r="GR545" s="2250"/>
      <c r="GS545" s="2250"/>
      <c r="GT545" s="2250"/>
      <c r="GU545" s="2250"/>
      <c r="GV545" s="2250"/>
      <c r="GW545" s="2250"/>
      <c r="GX545" s="2250"/>
      <c r="GY545" s="2250"/>
      <c r="GZ545" s="2250"/>
      <c r="HA545" s="2250"/>
      <c r="HB545" s="2250"/>
      <c r="HC545" s="2250"/>
      <c r="HD545" s="2250"/>
      <c r="HE545" s="2250"/>
      <c r="HF545" s="2250"/>
      <c r="HG545" s="2250"/>
      <c r="HH545" s="2250"/>
      <c r="HI545" s="2250"/>
      <c r="HJ545" s="2250"/>
      <c r="HK545" s="2250"/>
      <c r="HL545" s="2250"/>
      <c r="HM545" s="2250"/>
      <c r="HN545" s="2250"/>
      <c r="HO545" s="2250"/>
      <c r="HP545" s="2250"/>
      <c r="HQ545" s="2250"/>
      <c r="HR545" s="2250"/>
      <c r="HS545" s="2250"/>
      <c r="HT545" s="2250"/>
      <c r="HU545" s="2250"/>
      <c r="HV545" s="2250"/>
      <c r="HW545" s="2250"/>
      <c r="HX545" s="2250"/>
      <c r="HY545" s="2250"/>
      <c r="HZ545" s="2250"/>
      <c r="IA545" s="2250"/>
      <c r="IB545" s="2250"/>
      <c r="IC545" s="2250"/>
      <c r="ID545" s="2250"/>
      <c r="IE545" s="2250"/>
      <c r="IF545" s="2250"/>
      <c r="IG545" s="2250"/>
      <c r="IH545" s="2250"/>
      <c r="II545" s="2250"/>
      <c r="IJ545" s="2250"/>
      <c r="IK545" s="53"/>
      <c r="IL545" s="53"/>
      <c r="IN545" s="277"/>
      <c r="IO545" s="277"/>
    </row>
    <row r="546" spans="2:249" ht="21.95" customHeight="1">
      <c r="S546" s="286"/>
      <c r="T546" s="286"/>
      <c r="AO546" s="286"/>
      <c r="BF546" s="2176"/>
      <c r="BG546" s="2176"/>
      <c r="BI546" s="286"/>
      <c r="BJ546" s="286"/>
      <c r="DS546" s="277"/>
      <c r="DW546" s="1"/>
      <c r="EO546" s="286"/>
      <c r="EP546" s="286"/>
      <c r="FK546" s="286"/>
      <c r="GB546" s="2176"/>
      <c r="GC546" s="2176"/>
      <c r="GE546" s="286"/>
      <c r="GF546" s="286"/>
      <c r="IN546" s="277"/>
      <c r="IO546" s="277"/>
    </row>
    <row r="547" spans="2:249" ht="21.95" customHeight="1">
      <c r="B547" s="1684"/>
      <c r="C547" s="1684"/>
      <c r="D547" s="1684"/>
      <c r="E547" s="1684"/>
      <c r="F547" s="1684"/>
      <c r="G547" s="1684"/>
      <c r="H547" s="1684"/>
      <c r="I547" s="1684"/>
      <c r="J547" s="1684"/>
      <c r="K547" s="1684"/>
      <c r="L547" s="1684"/>
      <c r="M547" s="1684"/>
      <c r="N547" s="1684"/>
      <c r="O547" s="1684"/>
      <c r="P547" s="1684"/>
      <c r="Q547" s="1684"/>
      <c r="R547" s="1684"/>
      <c r="S547" s="1684"/>
      <c r="T547" s="1684"/>
      <c r="U547" s="1684"/>
      <c r="V547" s="1684"/>
      <c r="W547" s="1684"/>
      <c r="X547" s="1684"/>
      <c r="Y547" s="1684"/>
      <c r="Z547" s="1684"/>
      <c r="AA547" s="1684"/>
      <c r="AB547" s="1684"/>
      <c r="AC547" s="1684"/>
      <c r="AD547" s="1684"/>
      <c r="AE547" s="1684"/>
      <c r="AF547" s="1684"/>
      <c r="AG547" s="1684"/>
      <c r="AH547" s="1684"/>
      <c r="AI547" s="1684"/>
      <c r="AJ547" s="1684"/>
      <c r="AK547" s="1684"/>
      <c r="AL547" s="1684"/>
      <c r="AM547" s="1684"/>
      <c r="AN547" s="1684"/>
      <c r="AO547" s="462"/>
      <c r="BF547" s="2176"/>
      <c r="BG547" s="2176"/>
      <c r="BI547" s="286"/>
      <c r="BJ547" s="286"/>
      <c r="DS547" s="277"/>
      <c r="DW547" s="1"/>
      <c r="DX547" s="1684"/>
      <c r="DY547" s="1684"/>
      <c r="DZ547" s="1684"/>
      <c r="EA547" s="1684"/>
      <c r="EB547" s="1684"/>
      <c r="EC547" s="1684"/>
      <c r="ED547" s="1684"/>
      <c r="EE547" s="1684"/>
      <c r="EF547" s="1684"/>
      <c r="EG547" s="1684"/>
      <c r="EH547" s="1684"/>
      <c r="EI547" s="1684"/>
      <c r="EJ547" s="1684"/>
      <c r="EK547" s="1684"/>
      <c r="EL547" s="1684"/>
      <c r="EM547" s="1684"/>
      <c r="EN547" s="1684"/>
      <c r="EO547" s="1684"/>
      <c r="EP547" s="1684"/>
      <c r="EQ547" s="1684"/>
      <c r="ER547" s="1684"/>
      <c r="ES547" s="1684"/>
      <c r="ET547" s="1684"/>
      <c r="EU547" s="1684"/>
      <c r="EV547" s="1684"/>
      <c r="EW547" s="1684"/>
      <c r="EX547" s="1684"/>
      <c r="EY547" s="1684"/>
      <c r="EZ547" s="1684"/>
      <c r="FA547" s="1684"/>
      <c r="FB547" s="1684"/>
      <c r="FC547" s="1684"/>
      <c r="FD547" s="1684"/>
      <c r="FE547" s="1684"/>
      <c r="FF547" s="1684"/>
      <c r="FG547" s="1684"/>
      <c r="FH547" s="1684"/>
      <c r="FI547" s="1684"/>
      <c r="FJ547" s="1684"/>
      <c r="FK547" s="462"/>
      <c r="GB547" s="2176"/>
      <c r="GC547" s="2176"/>
      <c r="GE547" s="286"/>
      <c r="GF547" s="286"/>
      <c r="IN547" s="277"/>
      <c r="IO547" s="277"/>
    </row>
    <row r="548" spans="2:249" ht="21.95" customHeight="1">
      <c r="B548" s="1684"/>
      <c r="C548" s="1684"/>
      <c r="D548" s="1684"/>
      <c r="E548" s="2371"/>
      <c r="F548" s="2371"/>
      <c r="G548" s="2371"/>
      <c r="H548" s="1684"/>
      <c r="I548" s="1684"/>
      <c r="J548" s="1684"/>
      <c r="K548" s="1684"/>
      <c r="L548" s="1684"/>
      <c r="M548" s="1684"/>
      <c r="N548" s="1684"/>
      <c r="O548" s="1684"/>
      <c r="P548" s="1684"/>
      <c r="Q548" s="1684"/>
      <c r="R548" s="1684"/>
      <c r="S548" s="1684"/>
      <c r="T548" s="1684"/>
      <c r="U548" s="1684"/>
      <c r="V548" s="1684"/>
      <c r="W548" s="1684"/>
      <c r="X548" s="1684"/>
      <c r="Y548" s="1684"/>
      <c r="Z548" s="1684"/>
      <c r="AA548" s="1684"/>
      <c r="AB548" s="1684"/>
      <c r="AC548" s="1684"/>
      <c r="AD548" s="1684"/>
      <c r="AE548" s="1684"/>
      <c r="AF548" s="1684"/>
      <c r="AG548" s="1684"/>
      <c r="AH548" s="1684"/>
      <c r="AI548" s="1684"/>
      <c r="AJ548" s="1684"/>
      <c r="AK548" s="1684"/>
      <c r="AL548" s="1684"/>
      <c r="AM548" s="1684"/>
      <c r="AN548" s="1684"/>
      <c r="AO548" s="462"/>
      <c r="BF548" s="2176"/>
      <c r="BG548" s="2176"/>
      <c r="BI548" s="286"/>
      <c r="BJ548" s="2236"/>
      <c r="BK548" s="2275"/>
      <c r="BL548" s="2275"/>
      <c r="BM548" s="2275"/>
      <c r="BN548" s="2275"/>
      <c r="BO548" s="2275"/>
      <c r="BP548" s="2275"/>
      <c r="BQ548" s="2275"/>
      <c r="BR548" s="2275"/>
      <c r="BS548" s="2275"/>
      <c r="BT548" s="2275"/>
      <c r="BU548" s="2275"/>
      <c r="BV548" s="2275"/>
      <c r="BW548" s="2275"/>
      <c r="BX548" s="2275"/>
      <c r="BY548" s="2275"/>
      <c r="BZ548" s="2275"/>
      <c r="CA548" s="2275"/>
      <c r="CB548" s="2275"/>
      <c r="CC548" s="2275"/>
      <c r="CD548" s="2275"/>
      <c r="CE548" s="2275"/>
      <c r="CF548" s="2275"/>
      <c r="CG548" s="2275"/>
      <c r="CH548" s="2275"/>
      <c r="CI548" s="2275"/>
      <c r="CJ548" s="2275"/>
      <c r="CK548" s="2275"/>
      <c r="CL548" s="2275"/>
      <c r="CM548" s="2275"/>
      <c r="CN548" s="2275"/>
      <c r="CO548" s="2275"/>
      <c r="CP548" s="2275"/>
      <c r="CQ548" s="2275"/>
      <c r="CR548" s="2275"/>
      <c r="CS548" s="2275"/>
      <c r="CT548" s="2275"/>
      <c r="CU548" s="2275"/>
      <c r="CV548" s="2275"/>
      <c r="CW548" s="2275"/>
      <c r="CX548" s="2275"/>
      <c r="CY548" s="2250"/>
      <c r="DS548" s="277"/>
      <c r="DW548" s="1"/>
      <c r="DX548" s="1684"/>
      <c r="DY548" s="1684"/>
      <c r="DZ548" s="1684"/>
      <c r="EA548" s="2371"/>
      <c r="EB548" s="2371"/>
      <c r="EC548" s="2371"/>
      <c r="ED548" s="1684"/>
      <c r="EE548" s="1684"/>
      <c r="EF548" s="1684"/>
      <c r="EG548" s="1684"/>
      <c r="EH548" s="1684"/>
      <c r="EI548" s="1684"/>
      <c r="EJ548" s="1684"/>
      <c r="EK548" s="1684"/>
      <c r="EL548" s="1684"/>
      <c r="EM548" s="1684"/>
      <c r="EN548" s="1684"/>
      <c r="EO548" s="1684"/>
      <c r="EP548" s="1684"/>
      <c r="EQ548" s="1684"/>
      <c r="ER548" s="1684"/>
      <c r="ES548" s="1684"/>
      <c r="ET548" s="1684"/>
      <c r="EU548" s="1684"/>
      <c r="EV548" s="1684"/>
      <c r="EW548" s="1684"/>
      <c r="EX548" s="1684"/>
      <c r="EY548" s="1684"/>
      <c r="EZ548" s="1684"/>
      <c r="FA548" s="1684"/>
      <c r="FB548" s="1684"/>
      <c r="FC548" s="1684"/>
      <c r="FD548" s="1684"/>
      <c r="FE548" s="1684"/>
      <c r="FF548" s="1684"/>
      <c r="FG548" s="1684"/>
      <c r="FH548" s="1684"/>
      <c r="FI548" s="1684"/>
      <c r="FJ548" s="1684"/>
      <c r="FK548" s="462"/>
      <c r="GB548" s="2176"/>
      <c r="GC548" s="2176"/>
      <c r="GE548" s="286"/>
      <c r="GF548" s="2236"/>
      <c r="GG548" s="2275"/>
      <c r="GH548" s="2275"/>
      <c r="GI548" s="2275"/>
      <c r="GJ548" s="2275"/>
      <c r="GK548" s="2275"/>
      <c r="GL548" s="2275"/>
      <c r="GM548" s="2275"/>
      <c r="GN548" s="2275"/>
      <c r="GO548" s="2275"/>
      <c r="GP548" s="2275"/>
      <c r="GQ548" s="2275"/>
      <c r="GR548" s="2275"/>
      <c r="GS548" s="2275"/>
      <c r="GT548" s="2275"/>
      <c r="GU548" s="2275"/>
      <c r="GV548" s="2275"/>
      <c r="GW548" s="2275"/>
      <c r="GX548" s="2275"/>
      <c r="GY548" s="2275"/>
      <c r="GZ548" s="2275"/>
      <c r="HA548" s="2275"/>
      <c r="HB548" s="2275"/>
      <c r="HC548" s="2275"/>
      <c r="HD548" s="2275"/>
      <c r="HE548" s="2275"/>
      <c r="HF548" s="2275"/>
      <c r="HG548" s="2275"/>
      <c r="HH548" s="2275"/>
      <c r="HI548" s="2275"/>
      <c r="HJ548" s="2275"/>
      <c r="HK548" s="2275"/>
      <c r="HL548" s="2275"/>
      <c r="HM548" s="2275"/>
      <c r="HN548" s="2275"/>
      <c r="HO548" s="2275"/>
      <c r="HP548" s="2275"/>
      <c r="HQ548" s="2275"/>
      <c r="HR548" s="2275"/>
      <c r="HS548" s="2275"/>
      <c r="HT548" s="2275"/>
      <c r="HU548" s="2250"/>
      <c r="IN548" s="277"/>
      <c r="IO548" s="277"/>
    </row>
    <row r="549" spans="2:249" ht="21.95" customHeight="1">
      <c r="B549" s="1684"/>
      <c r="C549" s="1684"/>
      <c r="D549" s="1684"/>
      <c r="E549" s="2372"/>
      <c r="F549" s="2372"/>
      <c r="G549" s="2371"/>
      <c r="H549" s="1684"/>
      <c r="I549" s="1684"/>
      <c r="J549" s="1684"/>
      <c r="K549" s="1684"/>
      <c r="L549" s="1684"/>
      <c r="M549" s="1684"/>
      <c r="N549" s="1684"/>
      <c r="O549" s="1684"/>
      <c r="P549" s="1684"/>
      <c r="Q549" s="1684"/>
      <c r="R549" s="1684"/>
      <c r="S549" s="1684"/>
      <c r="T549" s="1684"/>
      <c r="U549" s="1684"/>
      <c r="V549" s="1684"/>
      <c r="W549" s="1684"/>
      <c r="X549" s="1684"/>
      <c r="Y549" s="1684"/>
      <c r="Z549" s="1684"/>
      <c r="AA549" s="1684"/>
      <c r="AB549" s="1684"/>
      <c r="AC549" s="1684"/>
      <c r="AD549" s="1684"/>
      <c r="AE549" s="1684"/>
      <c r="AF549" s="1684"/>
      <c r="AG549" s="1684"/>
      <c r="AH549" s="1684"/>
      <c r="AI549" s="1684"/>
      <c r="AJ549" s="1684"/>
      <c r="AK549" s="1684"/>
      <c r="AL549" s="1684"/>
      <c r="AM549" s="1684"/>
      <c r="AN549" s="1684"/>
      <c r="AO549" s="462"/>
      <c r="BF549" s="2176"/>
      <c r="BG549" s="2176"/>
      <c r="BI549" s="286"/>
      <c r="BJ549" s="2236"/>
      <c r="CB549" s="286"/>
      <c r="CC549" s="286"/>
      <c r="CX549" s="286"/>
      <c r="DS549" s="277"/>
      <c r="DW549" s="1"/>
      <c r="DX549" s="1684"/>
      <c r="DY549" s="1684"/>
      <c r="DZ549" s="1684"/>
      <c r="EA549" s="2372"/>
      <c r="EB549" s="2372"/>
      <c r="EC549" s="2371"/>
      <c r="ED549" s="1684"/>
      <c r="EE549" s="1684"/>
      <c r="EF549" s="1684"/>
      <c r="EG549" s="1684"/>
      <c r="EH549" s="1684"/>
      <c r="EI549" s="1684"/>
      <c r="EJ549" s="1684"/>
      <c r="EK549" s="1684"/>
      <c r="EL549" s="1684"/>
      <c r="EM549" s="1684"/>
      <c r="EN549" s="1684"/>
      <c r="EO549" s="1684"/>
      <c r="EP549" s="1684"/>
      <c r="EQ549" s="1684"/>
      <c r="ER549" s="1684"/>
      <c r="ES549" s="1684"/>
      <c r="ET549" s="1684"/>
      <c r="EU549" s="1684"/>
      <c r="EV549" s="1684"/>
      <c r="EW549" s="1684"/>
      <c r="EX549" s="1684"/>
      <c r="EY549" s="1684"/>
      <c r="EZ549" s="1684"/>
      <c r="FA549" s="1684"/>
      <c r="FB549" s="1684"/>
      <c r="FC549" s="1684"/>
      <c r="FD549" s="1684"/>
      <c r="FE549" s="1684"/>
      <c r="FF549" s="1684"/>
      <c r="FG549" s="1684"/>
      <c r="FH549" s="1684"/>
      <c r="FI549" s="1684"/>
      <c r="FJ549" s="1684"/>
      <c r="FK549" s="462"/>
      <c r="GB549" s="2176"/>
      <c r="GC549" s="2176"/>
      <c r="GE549" s="286"/>
      <c r="GF549" s="2236"/>
      <c r="GX549" s="286"/>
      <c r="GY549" s="286"/>
      <c r="HT549" s="286"/>
      <c r="IN549" s="277"/>
      <c r="IO549" s="277"/>
    </row>
    <row r="550" spans="2:249" ht="21.95" customHeight="1" thickBot="1">
      <c r="B550" s="1684"/>
      <c r="C550" s="1684"/>
      <c r="D550" s="1684"/>
      <c r="E550" s="2372"/>
      <c r="F550" s="2372"/>
      <c r="G550" s="2371"/>
      <c r="H550" s="1684"/>
      <c r="I550" s="1684"/>
      <c r="J550" s="1684"/>
      <c r="K550" s="1684"/>
      <c r="L550" s="1684"/>
      <c r="M550" s="1684"/>
      <c r="N550" s="1684"/>
      <c r="O550" s="1684"/>
      <c r="P550" s="1684"/>
      <c r="Q550" s="1684"/>
      <c r="R550" s="1684"/>
      <c r="S550" s="1684"/>
      <c r="T550" s="1684"/>
      <c r="U550" s="1684"/>
      <c r="V550" s="1684"/>
      <c r="W550" s="1684"/>
      <c r="X550" s="1684"/>
      <c r="Y550" s="1684"/>
      <c r="Z550" s="1684"/>
      <c r="AA550" s="1684"/>
      <c r="AB550" s="1684"/>
      <c r="AC550" s="1684"/>
      <c r="AD550" s="1684"/>
      <c r="AE550" s="1684"/>
      <c r="AF550" s="1684"/>
      <c r="AG550" s="1684"/>
      <c r="AH550" s="1684"/>
      <c r="AI550" s="1684"/>
      <c r="AJ550" s="1684"/>
      <c r="AK550" s="1684"/>
      <c r="AL550" s="1684"/>
      <c r="AM550" s="1684"/>
      <c r="AN550" s="1684"/>
      <c r="AO550" s="462"/>
      <c r="BF550" s="2176"/>
      <c r="BG550" s="2176"/>
      <c r="BI550" s="286"/>
      <c r="BJ550" s="1"/>
      <c r="BK550" s="1684"/>
      <c r="BL550" s="1684"/>
      <c r="BM550" s="1684"/>
      <c r="BN550" s="1684"/>
      <c r="BO550" s="1684"/>
      <c r="BP550" s="1684"/>
      <c r="BQ550" s="1684"/>
      <c r="BR550" s="1684"/>
      <c r="BS550" s="1684"/>
      <c r="BT550" s="1684"/>
      <c r="BU550" s="1684"/>
      <c r="BV550" s="1684"/>
      <c r="BW550" s="1684"/>
      <c r="BX550" s="1684"/>
      <c r="BY550" s="1684"/>
      <c r="BZ550" s="1684"/>
      <c r="CA550" s="1684"/>
      <c r="CB550" s="1684"/>
      <c r="CC550" s="1684"/>
      <c r="CD550" s="1684"/>
      <c r="CE550" s="1684"/>
      <c r="CF550" s="1684"/>
      <c r="CG550" s="1684"/>
      <c r="CH550" s="1684"/>
      <c r="CI550" s="1684"/>
      <c r="CJ550" s="1684"/>
      <c r="CK550" s="1684"/>
      <c r="CL550" s="1684"/>
      <c r="CM550" s="1684"/>
      <c r="CN550" s="1684"/>
      <c r="CO550" s="1684"/>
      <c r="CP550" s="1684"/>
      <c r="CQ550" s="1684"/>
      <c r="CR550" s="1684"/>
      <c r="CS550" s="1684"/>
      <c r="CT550" s="1684"/>
      <c r="CU550" s="1684"/>
      <c r="CV550" s="1684"/>
      <c r="CW550" s="1684"/>
      <c r="CX550" s="462"/>
      <c r="DS550" s="277"/>
      <c r="DW550" s="1"/>
      <c r="DX550" s="1684"/>
      <c r="DY550" s="1684"/>
      <c r="DZ550" s="1684"/>
      <c r="EA550" s="2372"/>
      <c r="EB550" s="2372"/>
      <c r="EC550" s="2371"/>
      <c r="ED550" s="1684"/>
      <c r="EE550" s="1684"/>
      <c r="EF550" s="1684"/>
      <c r="EG550" s="1684"/>
      <c r="EH550" s="1684"/>
      <c r="EI550" s="1684"/>
      <c r="EJ550" s="1684"/>
      <c r="EK550" s="1684"/>
      <c r="EL550" s="1684"/>
      <c r="EM550" s="1684"/>
      <c r="EN550" s="1684"/>
      <c r="EO550" s="1684"/>
      <c r="EP550" s="1684"/>
      <c r="EQ550" s="1684"/>
      <c r="ER550" s="1684"/>
      <c r="ES550" s="1684"/>
      <c r="ET550" s="1684"/>
      <c r="EU550" s="1684"/>
      <c r="EV550" s="1684"/>
      <c r="EW550" s="1684"/>
      <c r="EX550" s="1684"/>
      <c r="EY550" s="1684"/>
      <c r="EZ550" s="1684"/>
      <c r="FA550" s="1684"/>
      <c r="FB550" s="1684"/>
      <c r="FC550" s="1684"/>
      <c r="FD550" s="1684"/>
      <c r="FE550" s="1684"/>
      <c r="FF550" s="1684"/>
      <c r="FG550" s="1684"/>
      <c r="FH550" s="1684"/>
      <c r="FI550" s="1684"/>
      <c r="FJ550" s="1684"/>
      <c r="FK550" s="462"/>
      <c r="GB550" s="2176"/>
      <c r="GC550" s="2176"/>
      <c r="GE550" s="286"/>
      <c r="GF550" s="1"/>
      <c r="GG550" s="1684"/>
      <c r="GH550" s="1684"/>
      <c r="GI550" s="1684"/>
      <c r="GJ550" s="1684"/>
      <c r="GK550" s="1684"/>
      <c r="GL550" s="1684"/>
      <c r="GM550" s="1684"/>
      <c r="GN550" s="1684"/>
      <c r="GO550" s="1684"/>
      <c r="GP550" s="1684"/>
      <c r="GQ550" s="1684"/>
      <c r="GR550" s="1684"/>
      <c r="GS550" s="1684"/>
      <c r="GT550" s="1684"/>
      <c r="GU550" s="1684"/>
      <c r="GV550" s="1684"/>
      <c r="GW550" s="1684"/>
      <c r="GX550" s="1684"/>
      <c r="GY550" s="1684"/>
      <c r="GZ550" s="1684"/>
      <c r="HA550" s="1684"/>
      <c r="HB550" s="1684"/>
      <c r="HC550" s="1684"/>
      <c r="HD550" s="1684"/>
      <c r="HE550" s="1684"/>
      <c r="HF550" s="1684"/>
      <c r="HG550" s="1684"/>
      <c r="HH550" s="1684"/>
      <c r="HI550" s="1684"/>
      <c r="HJ550" s="1684"/>
      <c r="HK550" s="1684"/>
      <c r="HL550" s="1684"/>
      <c r="HM550" s="1684"/>
      <c r="HN550" s="1684"/>
      <c r="HO550" s="1684"/>
      <c r="HP550" s="1684"/>
      <c r="HQ550" s="1684"/>
      <c r="HR550" s="1684"/>
      <c r="HS550" s="1684"/>
      <c r="HT550" s="462"/>
      <c r="IN550" s="277"/>
      <c r="IO550" s="277"/>
    </row>
    <row r="551" spans="2:249" ht="21.95" customHeight="1" thickBot="1">
      <c r="B551" s="2391" t="s">
        <v>2266</v>
      </c>
      <c r="C551" s="2295">
        <f>E375</f>
        <v>0.75631178540277322</v>
      </c>
      <c r="D551" s="1684"/>
      <c r="E551" s="2371"/>
      <c r="F551" s="2372"/>
      <c r="G551" s="2371"/>
      <c r="H551" s="1684"/>
      <c r="I551" s="1684"/>
      <c r="J551" s="1684"/>
      <c r="K551" s="1684"/>
      <c r="L551" s="1684"/>
      <c r="M551" s="1684"/>
      <c r="N551" s="1684"/>
      <c r="O551" s="1684"/>
      <c r="P551" s="1684"/>
      <c r="Q551" s="1684"/>
      <c r="R551" s="1684"/>
      <c r="S551" s="1684"/>
      <c r="T551" s="1684"/>
      <c r="U551" s="1684"/>
      <c r="V551" s="1684"/>
      <c r="W551" s="1684"/>
      <c r="X551" s="1684"/>
      <c r="Y551" s="1684"/>
      <c r="Z551" s="1684"/>
      <c r="AA551" s="1684"/>
      <c r="AB551" s="1684"/>
      <c r="AC551" s="1684"/>
      <c r="AD551" s="1684"/>
      <c r="AE551" s="1684"/>
      <c r="AF551" s="1684"/>
      <c r="AG551" s="1684"/>
      <c r="AH551" s="1684"/>
      <c r="AI551" s="1684"/>
      <c r="AJ551" s="1684"/>
      <c r="AK551" s="1684"/>
      <c r="AL551" s="1684"/>
      <c r="AM551" s="1684"/>
      <c r="AN551" s="1684"/>
      <c r="AO551" s="462"/>
      <c r="BF551" s="2176"/>
      <c r="BG551" s="2176"/>
      <c r="BI551" s="286"/>
      <c r="BJ551" s="1"/>
      <c r="BK551" s="1684"/>
      <c r="BL551" s="1684"/>
      <c r="BM551" s="1684"/>
      <c r="BN551" s="2371"/>
      <c r="BO551" s="2371"/>
      <c r="BP551" s="2371"/>
      <c r="BQ551" s="1684"/>
      <c r="BR551" s="1684"/>
      <c r="BS551" s="1684"/>
      <c r="BT551" s="1684"/>
      <c r="BU551" s="1684"/>
      <c r="BV551" s="1684"/>
      <c r="BW551" s="1684"/>
      <c r="BX551" s="1684"/>
      <c r="BY551" s="1684"/>
      <c r="BZ551" s="1684"/>
      <c r="CA551" s="1684"/>
      <c r="CB551" s="1684"/>
      <c r="CC551" s="1684"/>
      <c r="CD551" s="1684"/>
      <c r="CE551" s="1684"/>
      <c r="CF551" s="1684"/>
      <c r="CG551" s="1684"/>
      <c r="CH551" s="1684"/>
      <c r="CI551" s="1684"/>
      <c r="CJ551" s="1684"/>
      <c r="CK551" s="1684"/>
      <c r="CL551" s="1684"/>
      <c r="CM551" s="1684"/>
      <c r="CN551" s="1684"/>
      <c r="CO551" s="1684"/>
      <c r="CP551" s="1684"/>
      <c r="CQ551" s="1684"/>
      <c r="CR551" s="1684"/>
      <c r="CS551" s="1684"/>
      <c r="CT551" s="1684"/>
      <c r="CU551" s="1684"/>
      <c r="CV551" s="1684"/>
      <c r="CW551" s="1684"/>
      <c r="CX551" s="462"/>
      <c r="DS551" s="277"/>
      <c r="DW551" s="1"/>
      <c r="DX551" s="2391" t="s">
        <v>2266</v>
      </c>
      <c r="DY551" s="2295">
        <f>EA375</f>
        <v>1.3354563802212776</v>
      </c>
      <c r="DZ551" s="1684"/>
      <c r="EA551" s="2371"/>
      <c r="EB551" s="2372"/>
      <c r="EC551" s="2371"/>
      <c r="ED551" s="1684"/>
      <c r="EE551" s="1684"/>
      <c r="EF551" s="1684"/>
      <c r="EG551" s="1684"/>
      <c r="EH551" s="1684"/>
      <c r="EI551" s="1684"/>
      <c r="EJ551" s="1684"/>
      <c r="EK551" s="1684"/>
      <c r="EL551" s="1684"/>
      <c r="EM551" s="1684"/>
      <c r="EN551" s="1684"/>
      <c r="EO551" s="1684"/>
      <c r="EP551" s="1684"/>
      <c r="EQ551" s="1684"/>
      <c r="ER551" s="1684"/>
      <c r="ES551" s="1684"/>
      <c r="ET551" s="1684"/>
      <c r="EU551" s="1684"/>
      <c r="EV551" s="1684"/>
      <c r="EW551" s="1684"/>
      <c r="EX551" s="1684"/>
      <c r="EY551" s="1684"/>
      <c r="EZ551" s="1684"/>
      <c r="FA551" s="1684"/>
      <c r="FB551" s="1684"/>
      <c r="FC551" s="1684"/>
      <c r="FD551" s="1684"/>
      <c r="FE551" s="1684"/>
      <c r="FF551" s="1684"/>
      <c r="FG551" s="1684"/>
      <c r="FH551" s="1684"/>
      <c r="FI551" s="1684"/>
      <c r="FJ551" s="1684"/>
      <c r="FK551" s="462"/>
      <c r="GB551" s="2176"/>
      <c r="GC551" s="2176"/>
      <c r="GE551" s="286"/>
      <c r="GF551" s="1"/>
      <c r="GG551" s="1684"/>
      <c r="GH551" s="1684"/>
      <c r="GI551" s="1684"/>
      <c r="GJ551" s="2371"/>
      <c r="GK551" s="2371"/>
      <c r="GL551" s="2371"/>
      <c r="GM551" s="1684"/>
      <c r="GN551" s="1684"/>
      <c r="GO551" s="1684"/>
      <c r="GP551" s="1684"/>
      <c r="GQ551" s="1684"/>
      <c r="GR551" s="1684"/>
      <c r="GS551" s="1684"/>
      <c r="GT551" s="1684"/>
      <c r="GU551" s="1684"/>
      <c r="GV551" s="1684"/>
      <c r="GW551" s="1684"/>
      <c r="GX551" s="1684"/>
      <c r="GY551" s="1684"/>
      <c r="GZ551" s="1684"/>
      <c r="HA551" s="1684"/>
      <c r="HB551" s="1684"/>
      <c r="HC551" s="1684"/>
      <c r="HD551" s="1684"/>
      <c r="HE551" s="1684"/>
      <c r="HF551" s="1684"/>
      <c r="HG551" s="1684"/>
      <c r="HH551" s="1684"/>
      <c r="HI551" s="1684"/>
      <c r="HJ551" s="1684"/>
      <c r="HK551" s="1684"/>
      <c r="HL551" s="1684"/>
      <c r="HM551" s="1684"/>
      <c r="HN551" s="1684"/>
      <c r="HO551" s="1684"/>
      <c r="HP551" s="1684"/>
      <c r="HQ551" s="1684"/>
      <c r="HR551" s="1684"/>
      <c r="HS551" s="1684"/>
      <c r="HT551" s="462"/>
      <c r="IN551" s="277"/>
      <c r="IO551" s="277"/>
    </row>
    <row r="552" spans="2:249" ht="21.95" customHeight="1" thickBot="1">
      <c r="B552" s="2391" t="s">
        <v>2267</v>
      </c>
      <c r="C552" s="2295">
        <f>BF416</f>
        <v>68.3</v>
      </c>
      <c r="D552" s="1684"/>
      <c r="E552" s="2371"/>
      <c r="F552" s="2371"/>
      <c r="G552" s="2371"/>
      <c r="H552" s="1684"/>
      <c r="I552" s="1684"/>
      <c r="J552" s="1684"/>
      <c r="K552" s="1684"/>
      <c r="L552" s="1684"/>
      <c r="M552" s="1684"/>
      <c r="N552" s="1684"/>
      <c r="O552" s="1684"/>
      <c r="P552" s="1684"/>
      <c r="Q552" s="1684"/>
      <c r="R552" s="1684"/>
      <c r="S552" s="1684"/>
      <c r="T552" s="1684"/>
      <c r="U552" s="1684"/>
      <c r="V552" s="1684"/>
      <c r="W552" s="1684"/>
      <c r="X552" s="1684"/>
      <c r="Y552" s="1684"/>
      <c r="Z552" s="1684"/>
      <c r="AA552" s="1684"/>
      <c r="AB552" s="1684"/>
      <c r="AC552" s="1684"/>
      <c r="AD552" s="1684"/>
      <c r="AE552" s="1684"/>
      <c r="AF552" s="1684"/>
      <c r="AG552" s="1684"/>
      <c r="AH552" s="1684"/>
      <c r="AI552" s="1684"/>
      <c r="AJ552" s="1684"/>
      <c r="AK552" s="1684"/>
      <c r="AL552" s="1684"/>
      <c r="AM552" s="1684"/>
      <c r="AN552" s="1684"/>
      <c r="AO552" s="462"/>
      <c r="BF552" s="2176"/>
      <c r="BG552" s="2176"/>
      <c r="BI552" s="286"/>
      <c r="BJ552" s="1"/>
      <c r="BK552" s="1684"/>
      <c r="BL552" s="1684"/>
      <c r="BM552" s="1684"/>
      <c r="BN552" s="2372"/>
      <c r="BO552" s="2372"/>
      <c r="BP552" s="2371"/>
      <c r="BQ552" s="1684"/>
      <c r="BR552" s="1684"/>
      <c r="BS552" s="1684"/>
      <c r="BT552" s="1684"/>
      <c r="BU552" s="1684"/>
      <c r="BV552" s="1684"/>
      <c r="BW552" s="1684"/>
      <c r="BX552" s="1684"/>
      <c r="BY552" s="1684"/>
      <c r="BZ552" s="1684"/>
      <c r="CA552" s="1684"/>
      <c r="CB552" s="1684"/>
      <c r="CC552" s="1684"/>
      <c r="CD552" s="1684"/>
      <c r="CE552" s="1684"/>
      <c r="CF552" s="1684"/>
      <c r="CG552" s="1684"/>
      <c r="CH552" s="1684"/>
      <c r="CI552" s="1684"/>
      <c r="CJ552" s="1684"/>
      <c r="CK552" s="1684"/>
      <c r="CL552" s="1684"/>
      <c r="CM552" s="1684"/>
      <c r="CN552" s="1684"/>
      <c r="CO552" s="1684"/>
      <c r="CP552" s="1684"/>
      <c r="CQ552" s="1684"/>
      <c r="CR552" s="1684"/>
      <c r="CS552" s="1684"/>
      <c r="CT552" s="1684"/>
      <c r="CU552" s="1684"/>
      <c r="CV552" s="1684"/>
      <c r="CW552" s="1684"/>
      <c r="CX552" s="462"/>
      <c r="DS552" s="277"/>
      <c r="DW552" s="1"/>
      <c r="DX552" s="2391" t="s">
        <v>2267</v>
      </c>
      <c r="DY552" s="2295">
        <f>GB416</f>
        <v>43.9</v>
      </c>
      <c r="DZ552" s="1684"/>
      <c r="EA552" s="2371"/>
      <c r="EB552" s="2371"/>
      <c r="EC552" s="2371"/>
      <c r="ED552" s="1684"/>
      <c r="EE552" s="1684"/>
      <c r="EF552" s="1684"/>
      <c r="EG552" s="1684"/>
      <c r="EH552" s="1684"/>
      <c r="EI552" s="1684"/>
      <c r="EJ552" s="1684"/>
      <c r="EK552" s="1684"/>
      <c r="EL552" s="1684"/>
      <c r="EM552" s="1684"/>
      <c r="EN552" s="1684"/>
      <c r="EO552" s="1684"/>
      <c r="EP552" s="1684"/>
      <c r="EQ552" s="1684"/>
      <c r="ER552" s="1684"/>
      <c r="ES552" s="1684"/>
      <c r="ET552" s="1684"/>
      <c r="EU552" s="1684"/>
      <c r="EV552" s="1684"/>
      <c r="EW552" s="1684"/>
      <c r="EX552" s="1684"/>
      <c r="EY552" s="1684"/>
      <c r="EZ552" s="1684"/>
      <c r="FA552" s="1684"/>
      <c r="FB552" s="1684"/>
      <c r="FC552" s="1684"/>
      <c r="FD552" s="1684"/>
      <c r="FE552" s="1684"/>
      <c r="FF552" s="1684"/>
      <c r="FG552" s="1684"/>
      <c r="FH552" s="1684"/>
      <c r="FI552" s="1684"/>
      <c r="FJ552" s="1684"/>
      <c r="FK552" s="462"/>
      <c r="GB552" s="2176"/>
      <c r="GC552" s="2176"/>
      <c r="GE552" s="286"/>
      <c r="GF552" s="1"/>
      <c r="GG552" s="1684"/>
      <c r="GH552" s="1684"/>
      <c r="GI552" s="1684"/>
      <c r="GJ552" s="2372"/>
      <c r="GK552" s="2372"/>
      <c r="GL552" s="2371"/>
      <c r="GM552" s="1684"/>
      <c r="GN552" s="1684"/>
      <c r="GO552" s="1684"/>
      <c r="GP552" s="1684"/>
      <c r="GQ552" s="1684"/>
      <c r="GR552" s="1684"/>
      <c r="GS552" s="1684"/>
      <c r="GT552" s="1684"/>
      <c r="GU552" s="1684"/>
      <c r="GV552" s="1684"/>
      <c r="GW552" s="1684"/>
      <c r="GX552" s="1684"/>
      <c r="GY552" s="1684"/>
      <c r="GZ552" s="1684"/>
      <c r="HA552" s="1684"/>
      <c r="HB552" s="1684"/>
      <c r="HC552" s="1684"/>
      <c r="HD552" s="1684"/>
      <c r="HE552" s="1684"/>
      <c r="HF552" s="1684"/>
      <c r="HG552" s="1684"/>
      <c r="HH552" s="1684"/>
      <c r="HI552" s="1684"/>
      <c r="HJ552" s="1684"/>
      <c r="HK552" s="1684"/>
      <c r="HL552" s="1684"/>
      <c r="HM552" s="1684"/>
      <c r="HN552" s="1684"/>
      <c r="HO552" s="1684"/>
      <c r="HP552" s="1684"/>
      <c r="HQ552" s="1684"/>
      <c r="HR552" s="1684"/>
      <c r="HS552" s="1684"/>
      <c r="HT552" s="462"/>
      <c r="IN552" s="277"/>
      <c r="IO552" s="277"/>
    </row>
    <row r="553" spans="2:249" ht="21.95" customHeight="1" thickBot="1">
      <c r="B553" s="1684"/>
      <c r="C553" s="1684"/>
      <c r="D553" s="1684"/>
      <c r="E553" s="2371"/>
      <c r="F553" s="2371"/>
      <c r="G553" s="2371"/>
      <c r="H553" s="1684"/>
      <c r="I553" s="1684"/>
      <c r="J553" s="1684"/>
      <c r="K553" s="1684"/>
      <c r="L553" s="1684"/>
      <c r="M553" s="1684"/>
      <c r="N553" s="1684"/>
      <c r="O553" s="1684"/>
      <c r="P553" s="1684"/>
      <c r="Q553" s="1684"/>
      <c r="R553" s="1684"/>
      <c r="S553" s="1684"/>
      <c r="T553" s="1684"/>
      <c r="U553" s="1684"/>
      <c r="V553" s="1684"/>
      <c r="W553" s="1684"/>
      <c r="X553" s="1684"/>
      <c r="Y553" s="1684"/>
      <c r="Z553" s="1684"/>
      <c r="AA553" s="1684"/>
      <c r="AB553" s="1684"/>
      <c r="AC553" s="1684"/>
      <c r="AD553" s="1684"/>
      <c r="AE553" s="1684"/>
      <c r="AF553" s="1684"/>
      <c r="AG553" s="1684"/>
      <c r="AH553" s="1684"/>
      <c r="AI553" s="1684"/>
      <c r="AJ553" s="1684"/>
      <c r="AK553" s="1684"/>
      <c r="AL553" s="1684"/>
      <c r="AM553" s="1684"/>
      <c r="AN553" s="1684"/>
      <c r="AO553" s="462"/>
      <c r="BF553" s="2176"/>
      <c r="BG553" s="2176"/>
      <c r="BI553" s="286"/>
      <c r="BJ553" s="1"/>
      <c r="BK553" s="1684"/>
      <c r="BL553" s="1684"/>
      <c r="BM553" s="1684"/>
      <c r="BN553" s="2372"/>
      <c r="BO553" s="2372"/>
      <c r="BP553" s="2371"/>
      <c r="BQ553" s="1684"/>
      <c r="BR553" s="1684"/>
      <c r="BS553" s="1684"/>
      <c r="BT553" s="1684"/>
      <c r="BU553" s="1684"/>
      <c r="BV553" s="1684"/>
      <c r="BW553" s="1684"/>
      <c r="BX553" s="1684"/>
      <c r="BY553" s="1684"/>
      <c r="BZ553" s="1684"/>
      <c r="CA553" s="1684"/>
      <c r="CB553" s="1684"/>
      <c r="CC553" s="1684"/>
      <c r="CD553" s="1684"/>
      <c r="CE553" s="1684"/>
      <c r="CF553" s="1684"/>
      <c r="CG553" s="1684"/>
      <c r="CH553" s="1684"/>
      <c r="CI553" s="1684"/>
      <c r="CJ553" s="1684"/>
      <c r="CK553" s="1684"/>
      <c r="CL553" s="1684"/>
      <c r="CM553" s="1684"/>
      <c r="CN553" s="1684"/>
      <c r="CO553" s="1684"/>
      <c r="CP553" s="1684"/>
      <c r="CQ553" s="1684"/>
      <c r="CR553" s="1684"/>
      <c r="CS553" s="1684"/>
      <c r="CT553" s="1684"/>
      <c r="CU553" s="1684"/>
      <c r="CV553" s="1684"/>
      <c r="CW553" s="1684"/>
      <c r="CX553" s="462"/>
      <c r="DS553" s="277"/>
      <c r="DW553" s="1"/>
      <c r="DX553" s="1684"/>
      <c r="DY553" s="1684"/>
      <c r="DZ553" s="1684"/>
      <c r="EA553" s="2371"/>
      <c r="EB553" s="2371"/>
      <c r="EC553" s="2371"/>
      <c r="ED553" s="1684"/>
      <c r="EE553" s="1684"/>
      <c r="EF553" s="1684"/>
      <c r="EG553" s="1684"/>
      <c r="EH553" s="1684"/>
      <c r="EI553" s="1684"/>
      <c r="EJ553" s="1684"/>
      <c r="EK553" s="1684"/>
      <c r="EL553" s="1684"/>
      <c r="EM553" s="1684"/>
      <c r="EN553" s="1684"/>
      <c r="EO553" s="1684"/>
      <c r="EP553" s="1684"/>
      <c r="EQ553" s="1684"/>
      <c r="ER553" s="1684"/>
      <c r="ES553" s="1684"/>
      <c r="ET553" s="1684"/>
      <c r="EU553" s="1684"/>
      <c r="EV553" s="1684"/>
      <c r="EW553" s="1684"/>
      <c r="EX553" s="1684"/>
      <c r="EY553" s="1684"/>
      <c r="EZ553" s="1684"/>
      <c r="FA553" s="1684"/>
      <c r="FB553" s="1684"/>
      <c r="FC553" s="1684"/>
      <c r="FD553" s="1684"/>
      <c r="FE553" s="1684"/>
      <c r="FF553" s="1684"/>
      <c r="FG553" s="1684"/>
      <c r="FH553" s="1684"/>
      <c r="FI553" s="1684"/>
      <c r="FJ553" s="1684"/>
      <c r="FK553" s="462"/>
      <c r="GB553" s="2176"/>
      <c r="GC553" s="2176"/>
      <c r="GE553" s="286"/>
      <c r="GF553" s="1"/>
      <c r="GG553" s="1684"/>
      <c r="GH553" s="1684"/>
      <c r="GI553" s="1684"/>
      <c r="GJ553" s="2372"/>
      <c r="GK553" s="2372"/>
      <c r="GL553" s="2371"/>
      <c r="GM553" s="1684"/>
      <c r="GN553" s="1684"/>
      <c r="GO553" s="1684"/>
      <c r="GP553" s="1684"/>
      <c r="GQ553" s="1684"/>
      <c r="GR553" s="1684"/>
      <c r="GS553" s="1684"/>
      <c r="GT553" s="1684"/>
      <c r="GU553" s="1684"/>
      <c r="GV553" s="1684"/>
      <c r="GW553" s="1684"/>
      <c r="GX553" s="1684"/>
      <c r="GY553" s="1684"/>
      <c r="GZ553" s="1684"/>
      <c r="HA553" s="1684"/>
      <c r="HB553" s="1684"/>
      <c r="HC553" s="1684"/>
      <c r="HD553" s="1684"/>
      <c r="HE553" s="1684"/>
      <c r="HF553" s="1684"/>
      <c r="HG553" s="1684"/>
      <c r="HH553" s="1684"/>
      <c r="HI553" s="1684"/>
      <c r="HJ553" s="1684"/>
      <c r="HK553" s="1684"/>
      <c r="HL553" s="1684"/>
      <c r="HM553" s="1684"/>
      <c r="HN553" s="1684"/>
      <c r="HO553" s="1684"/>
      <c r="HP553" s="1684"/>
      <c r="HQ553" s="1684"/>
      <c r="HR553" s="1684"/>
      <c r="HS553" s="1684"/>
      <c r="HT553" s="462"/>
      <c r="IN553" s="277"/>
      <c r="IO553" s="277"/>
    </row>
    <row r="554" spans="2:249" ht="21.95" customHeight="1" thickBot="1">
      <c r="B554" s="2373">
        <v>4137</v>
      </c>
      <c r="C554" s="1684"/>
      <c r="D554" s="1684"/>
      <c r="E554" s="1684"/>
      <c r="F554" s="1684"/>
      <c r="G554" s="1684"/>
      <c r="H554" s="1684"/>
      <c r="I554" s="1684"/>
      <c r="J554" s="1684"/>
      <c r="K554" s="1684"/>
      <c r="L554" s="2373">
        <v>4137</v>
      </c>
      <c r="M554" s="1684"/>
      <c r="N554" s="1684"/>
      <c r="O554" s="1684"/>
      <c r="P554" s="1684"/>
      <c r="Q554" s="1684"/>
      <c r="R554" s="1684"/>
      <c r="S554" s="1684"/>
      <c r="T554" s="1684"/>
      <c r="U554" s="1684"/>
      <c r="V554" s="2373">
        <v>4137</v>
      </c>
      <c r="W554" s="1684"/>
      <c r="X554" s="1684"/>
      <c r="Y554" s="1684"/>
      <c r="Z554" s="1684"/>
      <c r="AA554" s="1684"/>
      <c r="AB554" s="1684"/>
      <c r="AC554" s="1684"/>
      <c r="AD554" s="1684"/>
      <c r="AE554" s="1684"/>
      <c r="AF554" s="2373">
        <v>4137</v>
      </c>
      <c r="AG554" s="1684"/>
      <c r="AH554" s="1684"/>
      <c r="AI554" s="1684"/>
      <c r="AJ554" s="1684"/>
      <c r="AK554" s="1684"/>
      <c r="AL554" s="1684"/>
      <c r="AM554" s="1684"/>
      <c r="AN554" s="1684"/>
      <c r="AO554" s="462"/>
      <c r="BF554" s="2176"/>
      <c r="BG554" s="2176"/>
      <c r="BI554" s="286"/>
      <c r="BJ554" s="1"/>
      <c r="BK554" s="2391" t="s">
        <v>2266</v>
      </c>
      <c r="BL554" s="2295">
        <f>E375</f>
        <v>0.75631178540277322</v>
      </c>
      <c r="BM554" s="1684"/>
      <c r="BN554" s="2371"/>
      <c r="BO554" s="2372"/>
      <c r="BP554" s="2371"/>
      <c r="BQ554" s="1684"/>
      <c r="BR554" s="1684"/>
      <c r="BS554" s="1684"/>
      <c r="BT554" s="1684"/>
      <c r="BU554" s="1684"/>
      <c r="BV554" s="1684"/>
      <c r="BW554" s="1684"/>
      <c r="BX554" s="1684"/>
      <c r="BY554" s="1684"/>
      <c r="BZ554" s="1684"/>
      <c r="CA554" s="1684"/>
      <c r="CB554" s="1684"/>
      <c r="CC554" s="1684"/>
      <c r="CD554" s="1684"/>
      <c r="CE554" s="1684"/>
      <c r="CF554" s="1684"/>
      <c r="CG554" s="1684"/>
      <c r="CH554" s="1684"/>
      <c r="CI554" s="1684"/>
      <c r="CJ554" s="1684"/>
      <c r="CK554" s="1684"/>
      <c r="CL554" s="1684"/>
      <c r="CM554" s="1684"/>
      <c r="CN554" s="1684"/>
      <c r="CO554" s="1684"/>
      <c r="CP554" s="1684"/>
      <c r="CQ554" s="1684"/>
      <c r="CR554" s="1684"/>
      <c r="CS554" s="1684"/>
      <c r="CT554" s="1684"/>
      <c r="CU554" s="1684"/>
      <c r="CV554" s="1684"/>
      <c r="CW554" s="1684"/>
      <c r="CX554" s="462"/>
      <c r="DS554" s="277"/>
      <c r="DW554" s="1"/>
      <c r="DX554" s="2373">
        <v>4137</v>
      </c>
      <c r="DY554" s="1684"/>
      <c r="DZ554" s="1684"/>
      <c r="EA554" s="1684"/>
      <c r="EB554" s="1684"/>
      <c r="EC554" s="1684"/>
      <c r="ED554" s="1684"/>
      <c r="EE554" s="1684"/>
      <c r="EF554" s="1684"/>
      <c r="EG554" s="1684"/>
      <c r="EH554" s="2373">
        <v>4137</v>
      </c>
      <c r="EI554" s="1684"/>
      <c r="EJ554" s="1684"/>
      <c r="EK554" s="1684"/>
      <c r="EL554" s="1684"/>
      <c r="EM554" s="1684"/>
      <c r="EN554" s="1684"/>
      <c r="EO554" s="1684"/>
      <c r="EP554" s="1684"/>
      <c r="EQ554" s="1684"/>
      <c r="ER554" s="2373">
        <v>4137</v>
      </c>
      <c r="ES554" s="1684"/>
      <c r="ET554" s="1684"/>
      <c r="EU554" s="1684"/>
      <c r="EV554" s="1684"/>
      <c r="EW554" s="1684"/>
      <c r="EX554" s="1684"/>
      <c r="EY554" s="1684"/>
      <c r="EZ554" s="1684"/>
      <c r="FA554" s="1684"/>
      <c r="FB554" s="2373">
        <v>4137</v>
      </c>
      <c r="FC554" s="1684"/>
      <c r="FD554" s="1684"/>
      <c r="FE554" s="1684"/>
      <c r="FF554" s="1684"/>
      <c r="FG554" s="1684"/>
      <c r="FH554" s="1684"/>
      <c r="FI554" s="1684"/>
      <c r="FJ554" s="1684"/>
      <c r="FK554" s="462"/>
      <c r="GB554" s="2176"/>
      <c r="GC554" s="2176"/>
      <c r="GE554" s="286"/>
      <c r="GF554" s="1"/>
      <c r="GG554" s="2391" t="s">
        <v>2266</v>
      </c>
      <c r="GH554" s="2295">
        <f>EA375</f>
        <v>1.3354563802212776</v>
      </c>
      <c r="GI554" s="1684"/>
      <c r="GJ554" s="2371"/>
      <c r="GK554" s="2372"/>
      <c r="GL554" s="2371"/>
      <c r="GM554" s="1684"/>
      <c r="GN554" s="1684"/>
      <c r="GO554" s="1684"/>
      <c r="GP554" s="1684"/>
      <c r="GQ554" s="1684"/>
      <c r="GR554" s="1684"/>
      <c r="GS554" s="1684"/>
      <c r="GT554" s="1684"/>
      <c r="GU554" s="1684"/>
      <c r="GV554" s="1684"/>
      <c r="GW554" s="1684"/>
      <c r="GX554" s="1684"/>
      <c r="GY554" s="1684"/>
      <c r="GZ554" s="1684"/>
      <c r="HA554" s="1684"/>
      <c r="HB554" s="1684"/>
      <c r="HC554" s="1684"/>
      <c r="HD554" s="1684"/>
      <c r="HE554" s="1684"/>
      <c r="HF554" s="1684"/>
      <c r="HG554" s="1684"/>
      <c r="HH554" s="1684"/>
      <c r="HI554" s="1684"/>
      <c r="HJ554" s="1684"/>
      <c r="HK554" s="1684"/>
      <c r="HL554" s="1684"/>
      <c r="HM554" s="1684"/>
      <c r="HN554" s="1684"/>
      <c r="HO554" s="1684"/>
      <c r="HP554" s="1684"/>
      <c r="HQ554" s="1684"/>
      <c r="HR554" s="1684"/>
      <c r="HS554" s="1684"/>
      <c r="HT554" s="462"/>
      <c r="IN554" s="277"/>
      <c r="IO554" s="277"/>
    </row>
    <row r="555" spans="2:249" ht="21.95" customHeight="1" thickBot="1">
      <c r="B555" s="4670" t="s">
        <v>732</v>
      </c>
      <c r="C555" s="4670"/>
      <c r="D555" s="1684"/>
      <c r="E555" s="1684"/>
      <c r="F555" s="1684"/>
      <c r="G555" s="1684"/>
      <c r="H555" s="1684"/>
      <c r="I555" s="1684"/>
      <c r="J555" s="1684"/>
      <c r="K555" s="1684"/>
      <c r="L555" s="4670" t="s">
        <v>733</v>
      </c>
      <c r="M555" s="4670"/>
      <c r="N555" s="1684"/>
      <c r="O555" s="1684"/>
      <c r="P555" s="1684"/>
      <c r="Q555" s="1684"/>
      <c r="R555" s="1684"/>
      <c r="S555" s="1684"/>
      <c r="T555" s="1684"/>
      <c r="U555" s="1684"/>
      <c r="V555" s="4670" t="s">
        <v>734</v>
      </c>
      <c r="W555" s="4670"/>
      <c r="X555" s="1684"/>
      <c r="Y555" s="1684"/>
      <c r="Z555" s="1684"/>
      <c r="AA555" s="1684"/>
      <c r="AB555" s="1684"/>
      <c r="AC555" s="1684"/>
      <c r="AD555" s="1684"/>
      <c r="AE555" s="1684"/>
      <c r="AF555" s="4670" t="s">
        <v>735</v>
      </c>
      <c r="AG555" s="4670"/>
      <c r="AH555" s="1684"/>
      <c r="AI555" s="1684"/>
      <c r="AJ555" s="1684"/>
      <c r="AK555" s="1684"/>
      <c r="AL555" s="1684"/>
      <c r="AM555" s="1684"/>
      <c r="AN555" s="1684"/>
      <c r="AO555" s="462"/>
      <c r="BF555" s="2176"/>
      <c r="BG555" s="2176"/>
      <c r="BI555" s="286"/>
      <c r="BJ555" s="1"/>
      <c r="BK555" s="2391" t="s">
        <v>2267</v>
      </c>
      <c r="BL555" s="2295">
        <f>BG416</f>
        <v>73.7</v>
      </c>
      <c r="BM555" s="1684"/>
      <c r="BN555" s="2371"/>
      <c r="BO555" s="2371"/>
      <c r="BP555" s="2371"/>
      <c r="BQ555" s="1684"/>
      <c r="BR555" s="1684"/>
      <c r="BS555" s="1684"/>
      <c r="BT555" s="1684"/>
      <c r="BU555" s="1684"/>
      <c r="BV555" s="1684"/>
      <c r="BW555" s="1684"/>
      <c r="BX555" s="1684"/>
      <c r="BY555" s="1684"/>
      <c r="BZ555" s="1684"/>
      <c r="CA555" s="1684"/>
      <c r="CB555" s="1684"/>
      <c r="CC555" s="1684"/>
      <c r="CD555" s="1684"/>
      <c r="CE555" s="1684"/>
      <c r="CF555" s="1684"/>
      <c r="CG555" s="1684"/>
      <c r="CH555" s="1684"/>
      <c r="CI555" s="1684"/>
      <c r="CJ555" s="1684"/>
      <c r="CK555" s="1684"/>
      <c r="CL555" s="1684"/>
      <c r="CM555" s="1684"/>
      <c r="CN555" s="1684"/>
      <c r="CO555" s="1684"/>
      <c r="CP555" s="1684"/>
      <c r="CQ555" s="1684"/>
      <c r="CR555" s="1684"/>
      <c r="CS555" s="1684"/>
      <c r="CT555" s="1684"/>
      <c r="CU555" s="1684"/>
      <c r="CV555" s="1684"/>
      <c r="CW555" s="1684"/>
      <c r="CX555" s="462"/>
      <c r="DS555" s="277"/>
      <c r="DW555" s="1"/>
      <c r="DX555" s="4670" t="s">
        <v>732</v>
      </c>
      <c r="DY555" s="4670"/>
      <c r="DZ555" s="1684"/>
      <c r="EA555" s="1684"/>
      <c r="EB555" s="1684"/>
      <c r="EC555" s="1684"/>
      <c r="ED555" s="1684"/>
      <c r="EE555" s="1684"/>
      <c r="EF555" s="1684"/>
      <c r="EG555" s="1684"/>
      <c r="EH555" s="4670" t="s">
        <v>733</v>
      </c>
      <c r="EI555" s="4670"/>
      <c r="EJ555" s="1684"/>
      <c r="EK555" s="1684"/>
      <c r="EL555" s="1684"/>
      <c r="EM555" s="1684"/>
      <c r="EN555" s="1684"/>
      <c r="EO555" s="1684"/>
      <c r="EP555" s="1684"/>
      <c r="EQ555" s="1684"/>
      <c r="ER555" s="4670" t="s">
        <v>734</v>
      </c>
      <c r="ES555" s="4670"/>
      <c r="ET555" s="1684"/>
      <c r="EU555" s="1684"/>
      <c r="EV555" s="1684"/>
      <c r="EW555" s="1684"/>
      <c r="EX555" s="1684"/>
      <c r="EY555" s="1684"/>
      <c r="EZ555" s="1684"/>
      <c r="FA555" s="1684"/>
      <c r="FB555" s="4670" t="s">
        <v>735</v>
      </c>
      <c r="FC555" s="4670"/>
      <c r="FD555" s="1684"/>
      <c r="FE555" s="1684"/>
      <c r="FF555" s="1684"/>
      <c r="FG555" s="1684"/>
      <c r="FH555" s="1684"/>
      <c r="FI555" s="1684"/>
      <c r="FJ555" s="1684"/>
      <c r="FK555" s="462"/>
      <c r="GB555" s="2176"/>
      <c r="GC555" s="2176"/>
      <c r="GE555" s="286"/>
      <c r="GF555" s="1"/>
      <c r="GG555" s="2391" t="s">
        <v>2267</v>
      </c>
      <c r="GH555" s="2295">
        <f>GC416</f>
        <v>48.8</v>
      </c>
      <c r="GI555" s="1684"/>
      <c r="GJ555" s="2371"/>
      <c r="GK555" s="2371"/>
      <c r="GL555" s="2371"/>
      <c r="GM555" s="1684"/>
      <c r="GN555" s="1684"/>
      <c r="GO555" s="1684"/>
      <c r="GP555" s="1684"/>
      <c r="GQ555" s="1684"/>
      <c r="GR555" s="1684"/>
      <c r="GS555" s="1684"/>
      <c r="GT555" s="1684"/>
      <c r="GU555" s="1684"/>
      <c r="GV555" s="1684"/>
      <c r="GW555" s="1684"/>
      <c r="GX555" s="1684"/>
      <c r="GY555" s="1684"/>
      <c r="GZ555" s="1684"/>
      <c r="HA555" s="1684"/>
      <c r="HB555" s="1684"/>
      <c r="HC555" s="1684"/>
      <c r="HD555" s="1684"/>
      <c r="HE555" s="1684"/>
      <c r="HF555" s="1684"/>
      <c r="HG555" s="1684"/>
      <c r="HH555" s="1684"/>
      <c r="HI555" s="1684"/>
      <c r="HJ555" s="1684"/>
      <c r="HK555" s="1684"/>
      <c r="HL555" s="1684"/>
      <c r="HM555" s="1684"/>
      <c r="HN555" s="1684"/>
      <c r="HO555" s="1684"/>
      <c r="HP555" s="1684"/>
      <c r="HQ555" s="1684"/>
      <c r="HR555" s="1684"/>
      <c r="HS555" s="1684"/>
      <c r="HT555" s="462"/>
      <c r="IN555" s="277"/>
      <c r="IO555" s="277"/>
    </row>
    <row r="556" spans="2:249" ht="21.95" customHeight="1">
      <c r="B556" s="2374" t="s">
        <v>736</v>
      </c>
      <c r="C556" s="2375">
        <v>275</v>
      </c>
      <c r="D556" s="2375">
        <v>300</v>
      </c>
      <c r="E556" s="2375">
        <v>350</v>
      </c>
      <c r="F556" s="2374">
        <v>400</v>
      </c>
      <c r="G556" s="2374">
        <v>450</v>
      </c>
      <c r="H556" s="2374">
        <v>500</v>
      </c>
      <c r="I556" s="2374">
        <v>600</v>
      </c>
      <c r="J556" s="1684"/>
      <c r="K556" s="1684"/>
      <c r="L556" s="2374" t="s">
        <v>736</v>
      </c>
      <c r="M556" s="2375">
        <v>275</v>
      </c>
      <c r="N556" s="2375">
        <v>300</v>
      </c>
      <c r="O556" s="2375">
        <v>350</v>
      </c>
      <c r="P556" s="2374">
        <v>400</v>
      </c>
      <c r="Q556" s="2374">
        <v>450</v>
      </c>
      <c r="R556" s="2374">
        <v>500</v>
      </c>
      <c r="S556" s="2374">
        <v>600</v>
      </c>
      <c r="T556" s="1684"/>
      <c r="U556" s="1684"/>
      <c r="V556" s="2374" t="s">
        <v>736</v>
      </c>
      <c r="W556" s="2375">
        <v>275</v>
      </c>
      <c r="X556" s="2375">
        <v>300</v>
      </c>
      <c r="Y556" s="2375">
        <v>350</v>
      </c>
      <c r="Z556" s="2374">
        <v>400</v>
      </c>
      <c r="AA556" s="2374">
        <v>450</v>
      </c>
      <c r="AB556" s="2374">
        <v>500</v>
      </c>
      <c r="AC556" s="2374">
        <v>600</v>
      </c>
      <c r="AD556" s="1684"/>
      <c r="AE556" s="1684"/>
      <c r="AF556" s="2374" t="s">
        <v>736</v>
      </c>
      <c r="AG556" s="2375">
        <v>275</v>
      </c>
      <c r="AH556" s="2375">
        <v>300</v>
      </c>
      <c r="AI556" s="2375">
        <v>350</v>
      </c>
      <c r="AJ556" s="2374">
        <v>400</v>
      </c>
      <c r="AK556" s="2374">
        <v>450</v>
      </c>
      <c r="AL556" s="2374">
        <v>500</v>
      </c>
      <c r="AM556" s="2374">
        <v>600</v>
      </c>
      <c r="AN556" s="1684"/>
      <c r="AO556" s="462"/>
      <c r="BF556" s="2176"/>
      <c r="BG556" s="2176"/>
      <c r="BI556" s="286"/>
      <c r="BJ556" s="1"/>
      <c r="BK556" s="1684"/>
      <c r="BL556" s="1684"/>
      <c r="BM556" s="1684"/>
      <c r="BN556" s="2371"/>
      <c r="BO556" s="2371"/>
      <c r="BP556" s="2371"/>
      <c r="BQ556" s="1684"/>
      <c r="BR556" s="1684"/>
      <c r="BS556" s="1684"/>
      <c r="BT556" s="1684"/>
      <c r="BU556" s="1684"/>
      <c r="BV556" s="1684"/>
      <c r="BW556" s="1684"/>
      <c r="BX556" s="1684"/>
      <c r="BY556" s="1684"/>
      <c r="BZ556" s="1684"/>
      <c r="CA556" s="1684"/>
      <c r="CB556" s="1684"/>
      <c r="CC556" s="1684"/>
      <c r="CD556" s="1684"/>
      <c r="CE556" s="1684"/>
      <c r="CF556" s="1684"/>
      <c r="CG556" s="1684"/>
      <c r="CH556" s="1684"/>
      <c r="CI556" s="1684"/>
      <c r="CJ556" s="1684"/>
      <c r="CK556" s="1684"/>
      <c r="CL556" s="1684"/>
      <c r="CM556" s="1684"/>
      <c r="CN556" s="1684"/>
      <c r="CO556" s="1684"/>
      <c r="CP556" s="1684"/>
      <c r="CQ556" s="1684"/>
      <c r="CR556" s="1684"/>
      <c r="CS556" s="1684"/>
      <c r="CT556" s="1684"/>
      <c r="CU556" s="1684"/>
      <c r="CV556" s="1684"/>
      <c r="CW556" s="1684"/>
      <c r="CX556" s="462"/>
      <c r="DS556" s="277"/>
      <c r="DW556" s="1"/>
      <c r="DX556" s="2374" t="s">
        <v>736</v>
      </c>
      <c r="DY556" s="2375">
        <v>275</v>
      </c>
      <c r="DZ556" s="2375">
        <v>300</v>
      </c>
      <c r="EA556" s="2375">
        <v>350</v>
      </c>
      <c r="EB556" s="2374">
        <v>400</v>
      </c>
      <c r="EC556" s="2374">
        <v>450</v>
      </c>
      <c r="ED556" s="2374">
        <v>500</v>
      </c>
      <c r="EE556" s="2374">
        <v>600</v>
      </c>
      <c r="EF556" s="1684"/>
      <c r="EG556" s="1684"/>
      <c r="EH556" s="2374" t="s">
        <v>736</v>
      </c>
      <c r="EI556" s="2375">
        <v>275</v>
      </c>
      <c r="EJ556" s="2375">
        <v>300</v>
      </c>
      <c r="EK556" s="2375">
        <v>350</v>
      </c>
      <c r="EL556" s="2374">
        <v>400</v>
      </c>
      <c r="EM556" s="2374">
        <v>450</v>
      </c>
      <c r="EN556" s="2374">
        <v>500</v>
      </c>
      <c r="EO556" s="2374">
        <v>600</v>
      </c>
      <c r="EP556" s="1684"/>
      <c r="EQ556" s="1684"/>
      <c r="ER556" s="2374" t="s">
        <v>736</v>
      </c>
      <c r="ES556" s="2375">
        <v>275</v>
      </c>
      <c r="ET556" s="2375">
        <v>300</v>
      </c>
      <c r="EU556" s="2375">
        <v>350</v>
      </c>
      <c r="EV556" s="2374">
        <v>400</v>
      </c>
      <c r="EW556" s="2374">
        <v>450</v>
      </c>
      <c r="EX556" s="2374">
        <v>500</v>
      </c>
      <c r="EY556" s="2374">
        <v>600</v>
      </c>
      <c r="EZ556" s="1684"/>
      <c r="FA556" s="1684"/>
      <c r="FB556" s="2374" t="s">
        <v>736</v>
      </c>
      <c r="FC556" s="2375">
        <v>275</v>
      </c>
      <c r="FD556" s="2375">
        <v>300</v>
      </c>
      <c r="FE556" s="2375">
        <v>350</v>
      </c>
      <c r="FF556" s="2374">
        <v>400</v>
      </c>
      <c r="FG556" s="2374">
        <v>450</v>
      </c>
      <c r="FH556" s="2374">
        <v>500</v>
      </c>
      <c r="FI556" s="2374">
        <v>600</v>
      </c>
      <c r="FJ556" s="1684"/>
      <c r="FK556" s="462"/>
      <c r="GB556" s="2176"/>
      <c r="GC556" s="2176"/>
      <c r="GE556" s="286"/>
      <c r="GF556" s="1"/>
      <c r="GG556" s="1684"/>
      <c r="GH556" s="1684"/>
      <c r="GI556" s="1684"/>
      <c r="GJ556" s="2371"/>
      <c r="GK556" s="2371"/>
      <c r="GL556" s="2371"/>
      <c r="GM556" s="1684"/>
      <c r="GN556" s="1684"/>
      <c r="GO556" s="1684"/>
      <c r="GP556" s="1684"/>
      <c r="GQ556" s="1684"/>
      <c r="GR556" s="1684"/>
      <c r="GS556" s="1684"/>
      <c r="GT556" s="1684"/>
      <c r="GU556" s="1684"/>
      <c r="GV556" s="1684"/>
      <c r="GW556" s="1684"/>
      <c r="GX556" s="1684"/>
      <c r="GY556" s="1684"/>
      <c r="GZ556" s="1684"/>
      <c r="HA556" s="1684"/>
      <c r="HB556" s="1684"/>
      <c r="HC556" s="1684"/>
      <c r="HD556" s="1684"/>
      <c r="HE556" s="1684"/>
      <c r="HF556" s="1684"/>
      <c r="HG556" s="1684"/>
      <c r="HH556" s="1684"/>
      <c r="HI556" s="1684"/>
      <c r="HJ556" s="1684"/>
      <c r="HK556" s="1684"/>
      <c r="HL556" s="1684"/>
      <c r="HM556" s="1684"/>
      <c r="HN556" s="1684"/>
      <c r="HO556" s="1684"/>
      <c r="HP556" s="1684"/>
      <c r="HQ556" s="1684"/>
      <c r="HR556" s="1684"/>
      <c r="HS556" s="1684"/>
      <c r="HT556" s="462"/>
      <c r="IN556" s="277"/>
      <c r="IO556" s="277"/>
    </row>
    <row r="557" spans="2:249" ht="21.95" customHeight="1">
      <c r="B557" s="2374">
        <v>23.6</v>
      </c>
      <c r="C557" s="2376">
        <v>8.1199999999999992</v>
      </c>
      <c r="D557" s="2376">
        <v>13.96</v>
      </c>
      <c r="E557" s="2376">
        <v>22.67</v>
      </c>
      <c r="F557" s="2376">
        <v>40.200000000000003</v>
      </c>
      <c r="G557" s="2376">
        <v>54.16</v>
      </c>
      <c r="H557" s="2376">
        <v>77.52</v>
      </c>
      <c r="I557" s="2376">
        <v>129.01</v>
      </c>
      <c r="J557" s="1684"/>
      <c r="K557" s="1684"/>
      <c r="L557" s="2374">
        <v>23.6</v>
      </c>
      <c r="M557" s="2376">
        <v>5.64</v>
      </c>
      <c r="N557" s="2376">
        <v>9.31</v>
      </c>
      <c r="O557" s="2376">
        <v>14.36</v>
      </c>
      <c r="P557" s="2376">
        <v>25.15</v>
      </c>
      <c r="Q557" s="2376">
        <v>32.97</v>
      </c>
      <c r="R557" s="2376">
        <v>47.03</v>
      </c>
      <c r="S557" s="2376">
        <v>78.61</v>
      </c>
      <c r="T557" s="1684"/>
      <c r="U557" s="1684"/>
      <c r="V557" s="2374">
        <v>23.6</v>
      </c>
      <c r="W557" s="2376">
        <v>4.46</v>
      </c>
      <c r="X557" s="2376">
        <v>6.83</v>
      </c>
      <c r="Y557" s="2376">
        <v>10.59</v>
      </c>
      <c r="Z557" s="2376">
        <v>18.32</v>
      </c>
      <c r="AA557" s="2376">
        <v>24.26</v>
      </c>
      <c r="AB557" s="2376">
        <v>34.46</v>
      </c>
      <c r="AC557" s="2376">
        <v>57.82</v>
      </c>
      <c r="AD557" s="1684"/>
      <c r="AE557" s="1684"/>
      <c r="AF557" s="2374">
        <v>23.6</v>
      </c>
      <c r="AG557" s="2376">
        <v>3.17</v>
      </c>
      <c r="AH557" s="2376">
        <v>5.15</v>
      </c>
      <c r="AI557" s="2376">
        <v>8.02</v>
      </c>
      <c r="AJ557" s="2376">
        <v>13.96</v>
      </c>
      <c r="AK557" s="2376">
        <v>18.32</v>
      </c>
      <c r="AL557" s="2376">
        <v>26.14</v>
      </c>
      <c r="AM557" s="2376">
        <v>43.76</v>
      </c>
      <c r="AN557" s="1684"/>
      <c r="AO557" s="462"/>
      <c r="BF557" s="2176"/>
      <c r="BG557" s="2176"/>
      <c r="BI557" s="286"/>
      <c r="BJ557" s="1"/>
      <c r="BK557" s="2373">
        <v>4137</v>
      </c>
      <c r="BL557" s="1684"/>
      <c r="BM557" s="1684"/>
      <c r="BN557" s="1684"/>
      <c r="BO557" s="1684"/>
      <c r="BP557" s="1684"/>
      <c r="BQ557" s="1684"/>
      <c r="BR557" s="1684"/>
      <c r="BS557" s="1684"/>
      <c r="BT557" s="1684"/>
      <c r="BU557" s="2373">
        <v>4137</v>
      </c>
      <c r="BV557" s="1684"/>
      <c r="BW557" s="1684"/>
      <c r="BX557" s="1684"/>
      <c r="BY557" s="1684"/>
      <c r="BZ557" s="1684"/>
      <c r="CA557" s="1684"/>
      <c r="CB557" s="1684"/>
      <c r="CC557" s="1684"/>
      <c r="CD557" s="1684"/>
      <c r="CE557" s="2373">
        <v>4137</v>
      </c>
      <c r="CF557" s="1684"/>
      <c r="CG557" s="1684"/>
      <c r="CH557" s="1684"/>
      <c r="CI557" s="1684"/>
      <c r="CJ557" s="1684"/>
      <c r="CK557" s="1684"/>
      <c r="CL557" s="1684"/>
      <c r="CM557" s="1684"/>
      <c r="CN557" s="1684"/>
      <c r="CO557" s="2373">
        <v>4137</v>
      </c>
      <c r="CP557" s="1684"/>
      <c r="CQ557" s="1684"/>
      <c r="CR557" s="1684"/>
      <c r="CS557" s="1684"/>
      <c r="CT557" s="1684"/>
      <c r="CU557" s="1684"/>
      <c r="CV557" s="1684"/>
      <c r="CW557" s="1684"/>
      <c r="CX557" s="462"/>
      <c r="DS557" s="277"/>
      <c r="DW557" s="1"/>
      <c r="DX557" s="2374">
        <v>23.6</v>
      </c>
      <c r="DY557" s="2376">
        <v>8.1199999999999992</v>
      </c>
      <c r="DZ557" s="2376">
        <v>13.96</v>
      </c>
      <c r="EA557" s="2376">
        <v>22.67</v>
      </c>
      <c r="EB557" s="2376">
        <v>40.200000000000003</v>
      </c>
      <c r="EC557" s="2376">
        <v>54.16</v>
      </c>
      <c r="ED557" s="2376">
        <v>77.52</v>
      </c>
      <c r="EE557" s="2376">
        <v>129.01</v>
      </c>
      <c r="EF557" s="1684"/>
      <c r="EG557" s="1684"/>
      <c r="EH557" s="2374">
        <v>23.6</v>
      </c>
      <c r="EI557" s="2376">
        <v>5.64</v>
      </c>
      <c r="EJ557" s="2376">
        <v>9.31</v>
      </c>
      <c r="EK557" s="2376">
        <v>14.36</v>
      </c>
      <c r="EL557" s="2376">
        <v>25.15</v>
      </c>
      <c r="EM557" s="2376">
        <v>32.97</v>
      </c>
      <c r="EN557" s="2376">
        <v>47.03</v>
      </c>
      <c r="EO557" s="2376">
        <v>78.61</v>
      </c>
      <c r="EP557" s="1684"/>
      <c r="EQ557" s="1684"/>
      <c r="ER557" s="2374">
        <v>23.6</v>
      </c>
      <c r="ES557" s="2376">
        <v>4.46</v>
      </c>
      <c r="ET557" s="2376">
        <v>6.83</v>
      </c>
      <c r="EU557" s="2376">
        <v>10.59</v>
      </c>
      <c r="EV557" s="2376">
        <v>18.32</v>
      </c>
      <c r="EW557" s="2376">
        <v>24.26</v>
      </c>
      <c r="EX557" s="2376">
        <v>34.46</v>
      </c>
      <c r="EY557" s="2376">
        <v>57.82</v>
      </c>
      <c r="EZ557" s="1684"/>
      <c r="FA557" s="1684"/>
      <c r="FB557" s="2374">
        <v>23.6</v>
      </c>
      <c r="FC557" s="2376">
        <v>3.17</v>
      </c>
      <c r="FD557" s="2376">
        <v>5.15</v>
      </c>
      <c r="FE557" s="2376">
        <v>8.02</v>
      </c>
      <c r="FF557" s="2376">
        <v>13.96</v>
      </c>
      <c r="FG557" s="2376">
        <v>18.32</v>
      </c>
      <c r="FH557" s="2376">
        <v>26.14</v>
      </c>
      <c r="FI557" s="2376">
        <v>43.76</v>
      </c>
      <c r="FJ557" s="1684"/>
      <c r="FK557" s="462"/>
      <c r="GB557" s="2176"/>
      <c r="GC557" s="2176"/>
      <c r="GE557" s="286"/>
      <c r="GF557" s="1"/>
      <c r="GG557" s="2373">
        <v>4137</v>
      </c>
      <c r="GH557" s="1684"/>
      <c r="GI557" s="1684"/>
      <c r="GJ557" s="1684"/>
      <c r="GK557" s="1684"/>
      <c r="GL557" s="1684"/>
      <c r="GM557" s="1684"/>
      <c r="GN557" s="1684"/>
      <c r="GO557" s="1684"/>
      <c r="GP557" s="1684"/>
      <c r="GQ557" s="2373">
        <v>4137</v>
      </c>
      <c r="GR557" s="1684"/>
      <c r="GS557" s="1684"/>
      <c r="GT557" s="1684"/>
      <c r="GU557" s="1684"/>
      <c r="GV557" s="1684"/>
      <c r="GW557" s="1684"/>
      <c r="GX557" s="1684"/>
      <c r="GY557" s="1684"/>
      <c r="GZ557" s="1684"/>
      <c r="HA557" s="2373">
        <v>4137</v>
      </c>
      <c r="HB557" s="1684"/>
      <c r="HC557" s="1684"/>
      <c r="HD557" s="1684"/>
      <c r="HE557" s="1684"/>
      <c r="HF557" s="1684"/>
      <c r="HG557" s="1684"/>
      <c r="HH557" s="1684"/>
      <c r="HI557" s="1684"/>
      <c r="HJ557" s="1684"/>
      <c r="HK557" s="2373">
        <v>4137</v>
      </c>
      <c r="HL557" s="1684"/>
      <c r="HM557" s="1684"/>
      <c r="HN557" s="1684"/>
      <c r="HO557" s="1684"/>
      <c r="HP557" s="1684"/>
      <c r="HQ557" s="1684"/>
      <c r="HR557" s="1684"/>
      <c r="HS557" s="1684"/>
      <c r="HT557" s="462"/>
      <c r="IN557" s="277"/>
      <c r="IO557" s="277"/>
    </row>
    <row r="558" spans="2:249" ht="21.95" customHeight="1">
      <c r="B558" s="2374">
        <v>18.8</v>
      </c>
      <c r="C558" s="2376">
        <v>9.6999999999999993</v>
      </c>
      <c r="D558" s="2376">
        <v>16.239999999999998</v>
      </c>
      <c r="E558" s="2376">
        <v>27.03</v>
      </c>
      <c r="F558" s="2376">
        <v>50.79</v>
      </c>
      <c r="G558" s="2376">
        <v>66.040000000000006</v>
      </c>
      <c r="H558" s="2376">
        <v>91.78</v>
      </c>
      <c r="I558" s="2376">
        <v>156.13999999999999</v>
      </c>
      <c r="J558" s="1684"/>
      <c r="K558" s="1684"/>
      <c r="L558" s="2374">
        <v>18.8</v>
      </c>
      <c r="M558" s="2376">
        <v>6.53</v>
      </c>
      <c r="N558" s="2376">
        <v>11.39</v>
      </c>
      <c r="O558" s="2376">
        <v>17.329999999999998</v>
      </c>
      <c r="P558" s="2376">
        <v>31.19</v>
      </c>
      <c r="Q558" s="2376">
        <v>40.200000000000003</v>
      </c>
      <c r="R558" s="2376">
        <v>56.14</v>
      </c>
      <c r="S558" s="2376">
        <v>94.75</v>
      </c>
      <c r="T558" s="1684"/>
      <c r="U558" s="1684"/>
      <c r="V558" s="2374">
        <v>18.8</v>
      </c>
      <c r="W558" s="2376">
        <v>4.75</v>
      </c>
      <c r="X558" s="2376">
        <v>8.42</v>
      </c>
      <c r="Y558" s="2376">
        <v>12.57</v>
      </c>
      <c r="Z558" s="2376">
        <v>22.38</v>
      </c>
      <c r="AA558" s="2376">
        <v>29.7</v>
      </c>
      <c r="AB558" s="2376">
        <v>40.299999999999997</v>
      </c>
      <c r="AC558" s="2376">
        <v>68.91</v>
      </c>
      <c r="AD558" s="1684"/>
      <c r="AE558" s="1684"/>
      <c r="AF558" s="2374">
        <v>18.8</v>
      </c>
      <c r="AG558" s="2376">
        <v>3.66</v>
      </c>
      <c r="AH558" s="2376">
        <v>6.44</v>
      </c>
      <c r="AI558" s="2376">
        <v>9.6</v>
      </c>
      <c r="AJ558" s="2376">
        <v>17.43</v>
      </c>
      <c r="AK558" s="2376">
        <v>22.57</v>
      </c>
      <c r="AL558" s="2376">
        <v>31.19</v>
      </c>
      <c r="AM558" s="2376">
        <v>52.77</v>
      </c>
      <c r="AN558" s="1684"/>
      <c r="AO558" s="462"/>
      <c r="BF558" s="2176"/>
      <c r="BG558" s="2176"/>
      <c r="BI558" s="286"/>
      <c r="BJ558" s="1"/>
      <c r="BK558" s="2392" t="s">
        <v>732</v>
      </c>
      <c r="BL558" s="2392"/>
      <c r="BM558" s="1684"/>
      <c r="BN558" s="1684"/>
      <c r="BO558" s="1684"/>
      <c r="BP558" s="1684"/>
      <c r="BQ558" s="1684"/>
      <c r="BR558" s="1684"/>
      <c r="BS558" s="1684"/>
      <c r="BT558" s="1684"/>
      <c r="BU558" s="2392" t="s">
        <v>733</v>
      </c>
      <c r="BV558" s="2392"/>
      <c r="BW558" s="1684"/>
      <c r="BX558" s="1684"/>
      <c r="BY558" s="1684"/>
      <c r="BZ558" s="1684"/>
      <c r="CA558" s="1684"/>
      <c r="CB558" s="1684"/>
      <c r="CC558" s="1684"/>
      <c r="CD558" s="1684"/>
      <c r="CE558" s="2392" t="s">
        <v>734</v>
      </c>
      <c r="CF558" s="2392"/>
      <c r="CG558" s="1684"/>
      <c r="CH558" s="1684"/>
      <c r="CI558" s="1684"/>
      <c r="CJ558" s="1684"/>
      <c r="CK558" s="1684"/>
      <c r="CL558" s="1684"/>
      <c r="CM558" s="1684"/>
      <c r="CN558" s="1684"/>
      <c r="CO558" s="2392" t="s">
        <v>735</v>
      </c>
      <c r="CP558" s="2392"/>
      <c r="CQ558" s="1684"/>
      <c r="CR558" s="1684"/>
      <c r="CS558" s="1684"/>
      <c r="CT558" s="1684"/>
      <c r="CU558" s="1684"/>
      <c r="CV558" s="1684"/>
      <c r="CW558" s="1684"/>
      <c r="CX558" s="462"/>
      <c r="DS558" s="277"/>
      <c r="DW558" s="1"/>
      <c r="DX558" s="2374">
        <v>18.8</v>
      </c>
      <c r="DY558" s="2376">
        <v>9.6999999999999993</v>
      </c>
      <c r="DZ558" s="2376">
        <v>16.239999999999998</v>
      </c>
      <c r="EA558" s="2376">
        <v>27.03</v>
      </c>
      <c r="EB558" s="2376">
        <v>50.79</v>
      </c>
      <c r="EC558" s="2376">
        <v>66.040000000000006</v>
      </c>
      <c r="ED558" s="2376">
        <v>91.78</v>
      </c>
      <c r="EE558" s="2376">
        <v>156.13999999999999</v>
      </c>
      <c r="EF558" s="1684"/>
      <c r="EG558" s="1684"/>
      <c r="EH558" s="2374">
        <v>18.8</v>
      </c>
      <c r="EI558" s="2376">
        <v>6.53</v>
      </c>
      <c r="EJ558" s="2376">
        <v>11.39</v>
      </c>
      <c r="EK558" s="2376">
        <v>17.329999999999998</v>
      </c>
      <c r="EL558" s="2376">
        <v>31.19</v>
      </c>
      <c r="EM558" s="2376">
        <v>40.200000000000003</v>
      </c>
      <c r="EN558" s="2376">
        <v>56.14</v>
      </c>
      <c r="EO558" s="2376">
        <v>94.75</v>
      </c>
      <c r="EP558" s="1684"/>
      <c r="EQ558" s="1684"/>
      <c r="ER558" s="2374">
        <v>18.8</v>
      </c>
      <c r="ES558" s="2376">
        <v>4.75</v>
      </c>
      <c r="ET558" s="2376">
        <v>8.42</v>
      </c>
      <c r="EU558" s="2376">
        <v>12.57</v>
      </c>
      <c r="EV558" s="2376">
        <v>22.38</v>
      </c>
      <c r="EW558" s="2376">
        <v>29.7</v>
      </c>
      <c r="EX558" s="2376">
        <v>40.299999999999997</v>
      </c>
      <c r="EY558" s="2376">
        <v>68.91</v>
      </c>
      <c r="EZ558" s="1684"/>
      <c r="FA558" s="1684"/>
      <c r="FB558" s="2374">
        <v>18.8</v>
      </c>
      <c r="FC558" s="2376">
        <v>3.66</v>
      </c>
      <c r="FD558" s="2376">
        <v>6.44</v>
      </c>
      <c r="FE558" s="2376">
        <v>9.6</v>
      </c>
      <c r="FF558" s="2376">
        <v>17.43</v>
      </c>
      <c r="FG558" s="2376">
        <v>22.57</v>
      </c>
      <c r="FH558" s="2376">
        <v>31.19</v>
      </c>
      <c r="FI558" s="2376">
        <v>52.77</v>
      </c>
      <c r="FJ558" s="1684"/>
      <c r="FK558" s="462"/>
      <c r="GB558" s="2176"/>
      <c r="GC558" s="2176"/>
      <c r="GE558" s="286"/>
      <c r="GF558" s="1"/>
      <c r="GG558" s="2392" t="s">
        <v>732</v>
      </c>
      <c r="GH558" s="2392"/>
      <c r="GI558" s="1684"/>
      <c r="GJ558" s="1684"/>
      <c r="GK558" s="1684"/>
      <c r="GL558" s="1684"/>
      <c r="GM558" s="1684"/>
      <c r="GN558" s="1684"/>
      <c r="GO558" s="1684"/>
      <c r="GP558" s="1684"/>
      <c r="GQ558" s="2392" t="s">
        <v>733</v>
      </c>
      <c r="GR558" s="2392"/>
      <c r="GS558" s="1684"/>
      <c r="GT558" s="1684"/>
      <c r="GU558" s="1684"/>
      <c r="GV558" s="1684"/>
      <c r="GW558" s="1684"/>
      <c r="GX558" s="1684"/>
      <c r="GY558" s="1684"/>
      <c r="GZ558" s="1684"/>
      <c r="HA558" s="2392" t="s">
        <v>734</v>
      </c>
      <c r="HB558" s="2392"/>
      <c r="HC558" s="1684"/>
      <c r="HD558" s="1684"/>
      <c r="HE558" s="1684"/>
      <c r="HF558" s="1684"/>
      <c r="HG558" s="1684"/>
      <c r="HH558" s="1684"/>
      <c r="HI558" s="1684"/>
      <c r="HJ558" s="1684"/>
      <c r="HK558" s="2392" t="s">
        <v>735</v>
      </c>
      <c r="HL558" s="2392"/>
      <c r="HM558" s="1684"/>
      <c r="HN558" s="1684"/>
      <c r="HO558" s="1684"/>
      <c r="HP558" s="1684"/>
      <c r="HQ558" s="1684"/>
      <c r="HR558" s="1684"/>
      <c r="HS558" s="1684"/>
      <c r="HT558" s="462"/>
      <c r="IN558" s="277"/>
      <c r="IO558" s="277"/>
    </row>
    <row r="559" spans="2:249" ht="21.95" customHeight="1">
      <c r="B559" s="2374">
        <v>15</v>
      </c>
      <c r="C559" s="2376">
        <v>12.08</v>
      </c>
      <c r="D559" s="2376">
        <v>19.5</v>
      </c>
      <c r="E559" s="2376">
        <v>33.17</v>
      </c>
      <c r="F559" s="2376">
        <v>53.47</v>
      </c>
      <c r="G559" s="2376">
        <v>82.38</v>
      </c>
      <c r="H559" s="2376">
        <v>106.83</v>
      </c>
      <c r="I559" s="2376">
        <v>195.74</v>
      </c>
      <c r="J559" s="1684"/>
      <c r="K559" s="1684"/>
      <c r="L559" s="2374">
        <v>15</v>
      </c>
      <c r="M559" s="2376">
        <v>8.61</v>
      </c>
      <c r="N559" s="2376">
        <v>14.65</v>
      </c>
      <c r="O559" s="2376">
        <v>23.17</v>
      </c>
      <c r="P559" s="2376">
        <v>40.200000000000003</v>
      </c>
      <c r="Q559" s="2376">
        <v>54.06</v>
      </c>
      <c r="R559" s="2376">
        <v>74.75</v>
      </c>
      <c r="S559" s="2376">
        <v>126.63</v>
      </c>
      <c r="T559" s="1684"/>
      <c r="U559" s="1684"/>
      <c r="V559" s="2374">
        <v>15</v>
      </c>
      <c r="W559" s="2376">
        <v>6.14</v>
      </c>
      <c r="X559" s="2376">
        <v>10.79</v>
      </c>
      <c r="Y559" s="2376">
        <v>16.63</v>
      </c>
      <c r="Z559" s="2376">
        <v>28.81</v>
      </c>
      <c r="AA559" s="2376">
        <v>40</v>
      </c>
      <c r="AB559" s="2376">
        <v>54.16</v>
      </c>
      <c r="AC559" s="2376">
        <v>91.29</v>
      </c>
      <c r="AD559" s="1684"/>
      <c r="AE559" s="1684"/>
      <c r="AF559" s="2374">
        <v>15</v>
      </c>
      <c r="AG559" s="2376">
        <v>4.75</v>
      </c>
      <c r="AH559" s="2376">
        <v>8.2200000000000006</v>
      </c>
      <c r="AI559" s="2376">
        <v>12.97</v>
      </c>
      <c r="AJ559" s="2376">
        <v>22.28</v>
      </c>
      <c r="AK559" s="2376">
        <v>30.4</v>
      </c>
      <c r="AL559" s="2376">
        <v>41.98</v>
      </c>
      <c r="AM559" s="2376">
        <v>70.989999999999995</v>
      </c>
      <c r="AN559" s="1684"/>
      <c r="AO559" s="462"/>
      <c r="BF559" s="2176"/>
      <c r="BG559" s="2176"/>
      <c r="BI559" s="286"/>
      <c r="BJ559" s="1"/>
      <c r="BK559" s="2374" t="s">
        <v>736</v>
      </c>
      <c r="BL559" s="2375">
        <v>275</v>
      </c>
      <c r="BM559" s="2375">
        <v>300</v>
      </c>
      <c r="BN559" s="2375">
        <v>350</v>
      </c>
      <c r="BO559" s="2374">
        <v>400</v>
      </c>
      <c r="BP559" s="2374">
        <v>450</v>
      </c>
      <c r="BQ559" s="2374">
        <v>500</v>
      </c>
      <c r="BR559" s="2374">
        <v>600</v>
      </c>
      <c r="BS559" s="1684"/>
      <c r="BT559" s="1684"/>
      <c r="BU559" s="2374" t="s">
        <v>736</v>
      </c>
      <c r="BV559" s="2375">
        <v>275</v>
      </c>
      <c r="BW559" s="2375">
        <v>300</v>
      </c>
      <c r="BX559" s="2375">
        <v>350</v>
      </c>
      <c r="BY559" s="2374">
        <v>400</v>
      </c>
      <c r="BZ559" s="2374">
        <v>450</v>
      </c>
      <c r="CA559" s="2374">
        <v>500</v>
      </c>
      <c r="CB559" s="2374">
        <v>600</v>
      </c>
      <c r="CC559" s="1684"/>
      <c r="CD559" s="1684"/>
      <c r="CE559" s="2374" t="s">
        <v>736</v>
      </c>
      <c r="CF559" s="2375">
        <v>275</v>
      </c>
      <c r="CG559" s="2375">
        <v>300</v>
      </c>
      <c r="CH559" s="2375">
        <v>350</v>
      </c>
      <c r="CI559" s="2374">
        <v>400</v>
      </c>
      <c r="CJ559" s="2374">
        <v>450</v>
      </c>
      <c r="CK559" s="2374">
        <v>500</v>
      </c>
      <c r="CL559" s="2374">
        <v>600</v>
      </c>
      <c r="CM559" s="1684"/>
      <c r="CN559" s="1684"/>
      <c r="CO559" s="2374" t="s">
        <v>736</v>
      </c>
      <c r="CP559" s="2375">
        <v>275</v>
      </c>
      <c r="CQ559" s="2375">
        <v>300</v>
      </c>
      <c r="CR559" s="2375">
        <v>350</v>
      </c>
      <c r="CS559" s="2374">
        <v>400</v>
      </c>
      <c r="CT559" s="2374">
        <v>450</v>
      </c>
      <c r="CU559" s="2374">
        <v>500</v>
      </c>
      <c r="CV559" s="2374">
        <v>600</v>
      </c>
      <c r="CW559" s="1684"/>
      <c r="CX559" s="462"/>
      <c r="DS559" s="277"/>
      <c r="DW559" s="1"/>
      <c r="DX559" s="2374">
        <v>15</v>
      </c>
      <c r="DY559" s="2376">
        <v>12.08</v>
      </c>
      <c r="DZ559" s="2376">
        <v>19.5</v>
      </c>
      <c r="EA559" s="2376">
        <v>33.17</v>
      </c>
      <c r="EB559" s="2376">
        <v>53.47</v>
      </c>
      <c r="EC559" s="2376">
        <v>82.38</v>
      </c>
      <c r="ED559" s="2376">
        <v>106.83</v>
      </c>
      <c r="EE559" s="2376">
        <v>195.74</v>
      </c>
      <c r="EF559" s="1684"/>
      <c r="EG559" s="1684"/>
      <c r="EH559" s="2374">
        <v>15</v>
      </c>
      <c r="EI559" s="2376">
        <v>8.61</v>
      </c>
      <c r="EJ559" s="2376">
        <v>14.65</v>
      </c>
      <c r="EK559" s="2376">
        <v>23.17</v>
      </c>
      <c r="EL559" s="2376">
        <v>40.200000000000003</v>
      </c>
      <c r="EM559" s="2376">
        <v>54.06</v>
      </c>
      <c r="EN559" s="2376">
        <v>74.75</v>
      </c>
      <c r="EO559" s="2376">
        <v>126.63</v>
      </c>
      <c r="EP559" s="1684"/>
      <c r="EQ559" s="1684"/>
      <c r="ER559" s="2374">
        <v>15</v>
      </c>
      <c r="ES559" s="2376">
        <v>6.14</v>
      </c>
      <c r="ET559" s="2376">
        <v>10.79</v>
      </c>
      <c r="EU559" s="2376">
        <v>16.63</v>
      </c>
      <c r="EV559" s="2376">
        <v>28.81</v>
      </c>
      <c r="EW559" s="2376">
        <v>40</v>
      </c>
      <c r="EX559" s="2376">
        <v>54.16</v>
      </c>
      <c r="EY559" s="2376">
        <v>91.29</v>
      </c>
      <c r="EZ559" s="1684"/>
      <c r="FA559" s="1684"/>
      <c r="FB559" s="2374">
        <v>15</v>
      </c>
      <c r="FC559" s="2376">
        <v>4.75</v>
      </c>
      <c r="FD559" s="2376">
        <v>8.2200000000000006</v>
      </c>
      <c r="FE559" s="2376">
        <v>12.97</v>
      </c>
      <c r="FF559" s="2376">
        <v>22.28</v>
      </c>
      <c r="FG559" s="2376">
        <v>30.4</v>
      </c>
      <c r="FH559" s="2376">
        <v>41.98</v>
      </c>
      <c r="FI559" s="2376">
        <v>70.989999999999995</v>
      </c>
      <c r="FJ559" s="1684"/>
      <c r="FK559" s="462"/>
      <c r="GB559" s="2176"/>
      <c r="GC559" s="2176"/>
      <c r="GE559" s="286"/>
      <c r="GF559" s="1"/>
      <c r="GG559" s="2374" t="s">
        <v>736</v>
      </c>
      <c r="GH559" s="2375">
        <v>275</v>
      </c>
      <c r="GI559" s="2375">
        <v>300</v>
      </c>
      <c r="GJ559" s="2375">
        <v>350</v>
      </c>
      <c r="GK559" s="2374">
        <v>400</v>
      </c>
      <c r="GL559" s="2374">
        <v>450</v>
      </c>
      <c r="GM559" s="2374">
        <v>500</v>
      </c>
      <c r="GN559" s="2374">
        <v>600</v>
      </c>
      <c r="GO559" s="1684"/>
      <c r="GP559" s="1684"/>
      <c r="GQ559" s="2374" t="s">
        <v>736</v>
      </c>
      <c r="GR559" s="2375">
        <v>275</v>
      </c>
      <c r="GS559" s="2375">
        <v>300</v>
      </c>
      <c r="GT559" s="2375">
        <v>350</v>
      </c>
      <c r="GU559" s="2374">
        <v>400</v>
      </c>
      <c r="GV559" s="2374">
        <v>450</v>
      </c>
      <c r="GW559" s="2374">
        <v>500</v>
      </c>
      <c r="GX559" s="2374">
        <v>600</v>
      </c>
      <c r="GY559" s="1684"/>
      <c r="GZ559" s="1684"/>
      <c r="HA559" s="2374" t="s">
        <v>736</v>
      </c>
      <c r="HB559" s="2375">
        <v>275</v>
      </c>
      <c r="HC559" s="2375">
        <v>300</v>
      </c>
      <c r="HD559" s="2375">
        <v>350</v>
      </c>
      <c r="HE559" s="2374">
        <v>400</v>
      </c>
      <c r="HF559" s="2374">
        <v>450</v>
      </c>
      <c r="HG559" s="2374">
        <v>500</v>
      </c>
      <c r="HH559" s="2374">
        <v>600</v>
      </c>
      <c r="HI559" s="1684"/>
      <c r="HJ559" s="1684"/>
      <c r="HK559" s="2374" t="s">
        <v>736</v>
      </c>
      <c r="HL559" s="2375">
        <v>275</v>
      </c>
      <c r="HM559" s="2375">
        <v>300</v>
      </c>
      <c r="HN559" s="2375">
        <v>350</v>
      </c>
      <c r="HO559" s="2374">
        <v>400</v>
      </c>
      <c r="HP559" s="2374">
        <v>450</v>
      </c>
      <c r="HQ559" s="2374">
        <v>500</v>
      </c>
      <c r="HR559" s="2374">
        <v>600</v>
      </c>
      <c r="HS559" s="1684"/>
      <c r="HT559" s="462"/>
      <c r="IN559" s="277"/>
      <c r="IO559" s="277"/>
    </row>
    <row r="560" spans="2:249" ht="21.95" customHeight="1">
      <c r="B560" s="1684"/>
      <c r="C560" s="1684"/>
      <c r="D560" s="1684"/>
      <c r="E560" s="1684"/>
      <c r="F560" s="1684"/>
      <c r="G560" s="1684"/>
      <c r="H560" s="1684"/>
      <c r="I560" s="1684"/>
      <c r="J560" s="1684"/>
      <c r="K560" s="1684"/>
      <c r="L560" s="1684"/>
      <c r="M560" s="1684"/>
      <c r="N560" s="1684"/>
      <c r="O560" s="1684"/>
      <c r="P560" s="1684"/>
      <c r="Q560" s="1684"/>
      <c r="R560" s="1684"/>
      <c r="S560" s="1684"/>
      <c r="T560" s="1684"/>
      <c r="U560" s="1684"/>
      <c r="V560" s="1684"/>
      <c r="W560" s="1684"/>
      <c r="X560" s="1684"/>
      <c r="Y560" s="1684"/>
      <c r="Z560" s="1684"/>
      <c r="AA560" s="1684"/>
      <c r="AB560" s="1684"/>
      <c r="AC560" s="1684"/>
      <c r="AD560" s="1684"/>
      <c r="AE560" s="1684"/>
      <c r="AF560" s="1684"/>
      <c r="AG560" s="1684"/>
      <c r="AH560" s="1684"/>
      <c r="AI560" s="1684"/>
      <c r="AJ560" s="1684"/>
      <c r="AK560" s="1684"/>
      <c r="AL560" s="1684"/>
      <c r="AM560" s="1684"/>
      <c r="AN560" s="1684"/>
      <c r="AO560" s="462"/>
      <c r="BF560" s="2176"/>
      <c r="BG560" s="2176"/>
      <c r="BI560" s="286"/>
      <c r="BJ560" s="1"/>
      <c r="BK560" s="2374">
        <v>23.6</v>
      </c>
      <c r="BL560" s="2376">
        <v>8.1199999999999992</v>
      </c>
      <c r="BM560" s="2376">
        <v>13.96</v>
      </c>
      <c r="BN560" s="2376">
        <v>22.67</v>
      </c>
      <c r="BO560" s="2376">
        <v>40.200000000000003</v>
      </c>
      <c r="BP560" s="2376">
        <v>54.16</v>
      </c>
      <c r="BQ560" s="2376">
        <v>77.52</v>
      </c>
      <c r="BR560" s="2376">
        <v>129.01</v>
      </c>
      <c r="BS560" s="1684"/>
      <c r="BT560" s="1684"/>
      <c r="BU560" s="2374">
        <v>23.6</v>
      </c>
      <c r="BV560" s="2376">
        <v>5.64</v>
      </c>
      <c r="BW560" s="2376">
        <v>9.31</v>
      </c>
      <c r="BX560" s="2376">
        <v>14.36</v>
      </c>
      <c r="BY560" s="2376">
        <v>25.15</v>
      </c>
      <c r="BZ560" s="2376">
        <v>32.97</v>
      </c>
      <c r="CA560" s="2376">
        <v>47.03</v>
      </c>
      <c r="CB560" s="2376">
        <v>78.61</v>
      </c>
      <c r="CC560" s="1684"/>
      <c r="CD560" s="1684"/>
      <c r="CE560" s="2374">
        <v>23.6</v>
      </c>
      <c r="CF560" s="2376">
        <v>4.46</v>
      </c>
      <c r="CG560" s="2376">
        <v>6.83</v>
      </c>
      <c r="CH560" s="2376">
        <v>10.59</v>
      </c>
      <c r="CI560" s="2376">
        <v>18.32</v>
      </c>
      <c r="CJ560" s="2376">
        <v>24.26</v>
      </c>
      <c r="CK560" s="2376">
        <v>34.46</v>
      </c>
      <c r="CL560" s="2376">
        <v>57.82</v>
      </c>
      <c r="CM560" s="1684"/>
      <c r="CN560" s="1684"/>
      <c r="CO560" s="2374">
        <v>23.6</v>
      </c>
      <c r="CP560" s="2376">
        <v>3.17</v>
      </c>
      <c r="CQ560" s="2376">
        <v>5.15</v>
      </c>
      <c r="CR560" s="2376">
        <v>8.02</v>
      </c>
      <c r="CS560" s="2376">
        <v>13.96</v>
      </c>
      <c r="CT560" s="2376">
        <v>18.32</v>
      </c>
      <c r="CU560" s="2376">
        <v>26.14</v>
      </c>
      <c r="CV560" s="2376">
        <v>43.76</v>
      </c>
      <c r="CW560" s="1684"/>
      <c r="CX560" s="462"/>
      <c r="DS560" s="277"/>
      <c r="DW560" s="1"/>
      <c r="DX560" s="1684"/>
      <c r="DY560" s="1684"/>
      <c r="DZ560" s="1684"/>
      <c r="EA560" s="1684"/>
      <c r="EB560" s="1684"/>
      <c r="EC560" s="1684"/>
      <c r="ED560" s="1684"/>
      <c r="EE560" s="1684"/>
      <c r="EF560" s="1684"/>
      <c r="EG560" s="1684"/>
      <c r="EH560" s="1684"/>
      <c r="EI560" s="1684"/>
      <c r="EJ560" s="1684"/>
      <c r="EK560" s="1684"/>
      <c r="EL560" s="1684"/>
      <c r="EM560" s="1684"/>
      <c r="EN560" s="1684"/>
      <c r="EO560" s="1684"/>
      <c r="EP560" s="1684"/>
      <c r="EQ560" s="1684"/>
      <c r="ER560" s="1684"/>
      <c r="ES560" s="1684"/>
      <c r="ET560" s="1684"/>
      <c r="EU560" s="1684"/>
      <c r="EV560" s="1684"/>
      <c r="EW560" s="1684"/>
      <c r="EX560" s="1684"/>
      <c r="EY560" s="1684"/>
      <c r="EZ560" s="1684"/>
      <c r="FA560" s="1684"/>
      <c r="FB560" s="1684"/>
      <c r="FC560" s="1684"/>
      <c r="FD560" s="1684"/>
      <c r="FE560" s="1684"/>
      <c r="FF560" s="1684"/>
      <c r="FG560" s="1684"/>
      <c r="FH560" s="1684"/>
      <c r="FI560" s="1684"/>
      <c r="FJ560" s="1684"/>
      <c r="FK560" s="462"/>
      <c r="GB560" s="2176"/>
      <c r="GC560" s="2176"/>
      <c r="GE560" s="286"/>
      <c r="GF560" s="1"/>
      <c r="GG560" s="2374">
        <v>23.6</v>
      </c>
      <c r="GH560" s="2376">
        <v>8.1199999999999992</v>
      </c>
      <c r="GI560" s="2376">
        <v>13.96</v>
      </c>
      <c r="GJ560" s="2376">
        <v>22.67</v>
      </c>
      <c r="GK560" s="2376">
        <v>40.200000000000003</v>
      </c>
      <c r="GL560" s="2376">
        <v>54.16</v>
      </c>
      <c r="GM560" s="2376">
        <v>77.52</v>
      </c>
      <c r="GN560" s="2376">
        <v>129.01</v>
      </c>
      <c r="GO560" s="1684"/>
      <c r="GP560" s="1684"/>
      <c r="GQ560" s="2374">
        <v>23.6</v>
      </c>
      <c r="GR560" s="2376">
        <v>5.64</v>
      </c>
      <c r="GS560" s="2376">
        <v>9.31</v>
      </c>
      <c r="GT560" s="2376">
        <v>14.36</v>
      </c>
      <c r="GU560" s="2376">
        <v>25.15</v>
      </c>
      <c r="GV560" s="2376">
        <v>32.97</v>
      </c>
      <c r="GW560" s="2376">
        <v>47.03</v>
      </c>
      <c r="GX560" s="2376">
        <v>78.61</v>
      </c>
      <c r="GY560" s="1684"/>
      <c r="GZ560" s="1684"/>
      <c r="HA560" s="2374">
        <v>23.6</v>
      </c>
      <c r="HB560" s="2376">
        <v>4.46</v>
      </c>
      <c r="HC560" s="2376">
        <v>6.83</v>
      </c>
      <c r="HD560" s="2376">
        <v>10.59</v>
      </c>
      <c r="HE560" s="2376">
        <v>18.32</v>
      </c>
      <c r="HF560" s="2376">
        <v>24.26</v>
      </c>
      <c r="HG560" s="2376">
        <v>34.46</v>
      </c>
      <c r="HH560" s="2376">
        <v>57.82</v>
      </c>
      <c r="HI560" s="1684"/>
      <c r="HJ560" s="1684"/>
      <c r="HK560" s="2374">
        <v>23.6</v>
      </c>
      <c r="HL560" s="2376">
        <v>3.17</v>
      </c>
      <c r="HM560" s="2376">
        <v>5.15</v>
      </c>
      <c r="HN560" s="2376">
        <v>8.02</v>
      </c>
      <c r="HO560" s="2376">
        <v>13.96</v>
      </c>
      <c r="HP560" s="2376">
        <v>18.32</v>
      </c>
      <c r="HQ560" s="2376">
        <v>26.14</v>
      </c>
      <c r="HR560" s="2376">
        <v>43.76</v>
      </c>
      <c r="HS560" s="1684"/>
      <c r="HT560" s="462"/>
      <c r="IN560" s="277"/>
      <c r="IO560" s="277"/>
    </row>
    <row r="561" spans="2:249" ht="21.95" customHeight="1">
      <c r="B561" s="284" t="s">
        <v>2183</v>
      </c>
      <c r="C561" s="2377">
        <f>C551</f>
        <v>0.75631178540277322</v>
      </c>
      <c r="D561" s="1684"/>
      <c r="E561" s="2378" t="e">
        <f>IF(B570="Right","Right",IF(B569="Right","Right","Wrong"))</f>
        <v>#N/A</v>
      </c>
      <c r="F561" s="1684"/>
      <c r="G561" s="1684"/>
      <c r="H561" s="1684"/>
      <c r="I561" s="1684"/>
      <c r="J561" s="2374"/>
      <c r="K561" s="1684"/>
      <c r="L561" s="284" t="s">
        <v>2183</v>
      </c>
      <c r="M561" s="2377">
        <f>C561</f>
        <v>0.75631178540277322</v>
      </c>
      <c r="N561" s="1684"/>
      <c r="O561" s="2378" t="e">
        <f>IF(L570="Right","Right",IF(L569="Right","Right","Wrong"))</f>
        <v>#N/A</v>
      </c>
      <c r="P561" s="1684"/>
      <c r="Q561" s="1684"/>
      <c r="R561" s="1684"/>
      <c r="S561" s="1684"/>
      <c r="T561" s="1684"/>
      <c r="U561" s="1684"/>
      <c r="V561" s="284" t="s">
        <v>2183</v>
      </c>
      <c r="W561" s="2377">
        <f>+C561</f>
        <v>0.75631178540277322</v>
      </c>
      <c r="X561" s="1684"/>
      <c r="Y561" s="2378" t="e">
        <f>IF(V570="Right","Right",IF(V569="Right","Right","Wrong"))</f>
        <v>#N/A</v>
      </c>
      <c r="Z561" s="1684"/>
      <c r="AA561" s="1684"/>
      <c r="AB561" s="1684"/>
      <c r="AC561" s="1684"/>
      <c r="AD561" s="1684"/>
      <c r="AE561" s="1684"/>
      <c r="AF561" s="284" t="s">
        <v>2183</v>
      </c>
      <c r="AG561" s="2377">
        <f>+C561</f>
        <v>0.75631178540277322</v>
      </c>
      <c r="AH561" s="1684"/>
      <c r="AI561" s="2378" t="e">
        <f>IF(AF570="Right","Right",IF(AF569="Right","Right","Wrong"))</f>
        <v>#N/A</v>
      </c>
      <c r="AJ561" s="1684"/>
      <c r="AK561" s="1684"/>
      <c r="AL561" s="1684"/>
      <c r="AM561" s="1684"/>
      <c r="AN561" s="1684"/>
      <c r="AO561" s="462"/>
      <c r="BF561" s="2176"/>
      <c r="BG561" s="2176"/>
      <c r="BI561" s="286"/>
      <c r="BJ561" s="1"/>
      <c r="BK561" s="2374">
        <v>18.8</v>
      </c>
      <c r="BL561" s="2376">
        <v>9.6999999999999993</v>
      </c>
      <c r="BM561" s="2376">
        <v>16.239999999999998</v>
      </c>
      <c r="BN561" s="2376">
        <v>27.03</v>
      </c>
      <c r="BO561" s="2376">
        <v>50.79</v>
      </c>
      <c r="BP561" s="2376">
        <v>66.040000000000006</v>
      </c>
      <c r="BQ561" s="2376">
        <v>91.78</v>
      </c>
      <c r="BR561" s="2376">
        <v>156.13999999999999</v>
      </c>
      <c r="BS561" s="1684"/>
      <c r="BT561" s="1684"/>
      <c r="BU561" s="2374">
        <v>18.8</v>
      </c>
      <c r="BV561" s="2376">
        <v>6.53</v>
      </c>
      <c r="BW561" s="2376">
        <v>11.39</v>
      </c>
      <c r="BX561" s="2376">
        <v>17.329999999999998</v>
      </c>
      <c r="BY561" s="2376">
        <v>31.19</v>
      </c>
      <c r="BZ561" s="2376">
        <v>40.200000000000003</v>
      </c>
      <c r="CA561" s="2376">
        <v>56.14</v>
      </c>
      <c r="CB561" s="2376">
        <v>94.75</v>
      </c>
      <c r="CC561" s="1684"/>
      <c r="CD561" s="1684"/>
      <c r="CE561" s="2374">
        <v>18.8</v>
      </c>
      <c r="CF561" s="2376">
        <v>4.75</v>
      </c>
      <c r="CG561" s="2376">
        <v>8.42</v>
      </c>
      <c r="CH561" s="2376">
        <v>12.57</v>
      </c>
      <c r="CI561" s="2376">
        <v>22.38</v>
      </c>
      <c r="CJ561" s="2376">
        <v>29.7</v>
      </c>
      <c r="CK561" s="2376">
        <v>40.299999999999997</v>
      </c>
      <c r="CL561" s="2376">
        <v>68.91</v>
      </c>
      <c r="CM561" s="1684"/>
      <c r="CN561" s="1684"/>
      <c r="CO561" s="2374">
        <v>18.8</v>
      </c>
      <c r="CP561" s="2376">
        <v>3.66</v>
      </c>
      <c r="CQ561" s="2376">
        <v>6.44</v>
      </c>
      <c r="CR561" s="2376">
        <v>9.6</v>
      </c>
      <c r="CS561" s="2376">
        <v>17.43</v>
      </c>
      <c r="CT561" s="2376">
        <v>22.57</v>
      </c>
      <c r="CU561" s="2376">
        <v>31.19</v>
      </c>
      <c r="CV561" s="2376">
        <v>52.77</v>
      </c>
      <c r="CW561" s="1684"/>
      <c r="CX561" s="462"/>
      <c r="DS561" s="277"/>
      <c r="DW561" s="1"/>
      <c r="DX561" s="284" t="s">
        <v>2183</v>
      </c>
      <c r="DY561" s="2377">
        <f>DY551</f>
        <v>1.3354563802212776</v>
      </c>
      <c r="DZ561" s="1684"/>
      <c r="EA561" s="2378" t="e">
        <f>IF(DX570="Right","Right",IF(DX569="Right","Right","Wrong"))</f>
        <v>#N/A</v>
      </c>
      <c r="EB561" s="1684"/>
      <c r="EC561" s="1684"/>
      <c r="ED561" s="1684"/>
      <c r="EE561" s="1684"/>
      <c r="EF561" s="2374"/>
      <c r="EG561" s="1684"/>
      <c r="EH561" s="284" t="s">
        <v>2183</v>
      </c>
      <c r="EI561" s="2377">
        <f>DY561</f>
        <v>1.3354563802212776</v>
      </c>
      <c r="EJ561" s="1684"/>
      <c r="EK561" s="2378" t="e">
        <f>IF(EH570="Right","Right",IF(EH569="Right","Right","Wrong"))</f>
        <v>#N/A</v>
      </c>
      <c r="EL561" s="1684"/>
      <c r="EM561" s="1684"/>
      <c r="EN561" s="1684"/>
      <c r="EO561" s="1684"/>
      <c r="EP561" s="1684"/>
      <c r="EQ561" s="1684"/>
      <c r="ER561" s="284" t="s">
        <v>2183</v>
      </c>
      <c r="ES561" s="2377">
        <f>+DY561</f>
        <v>1.3354563802212776</v>
      </c>
      <c r="ET561" s="1684"/>
      <c r="EU561" s="2378" t="e">
        <f>IF(ER570="Right","Right",IF(ER569="Right","Right","Wrong"))</f>
        <v>#N/A</v>
      </c>
      <c r="EV561" s="1684"/>
      <c r="EW561" s="1684"/>
      <c r="EX561" s="1684"/>
      <c r="EY561" s="1684"/>
      <c r="EZ561" s="1684"/>
      <c r="FA561" s="1684"/>
      <c r="FB561" s="284" t="s">
        <v>2183</v>
      </c>
      <c r="FC561" s="2377">
        <f>+DY561</f>
        <v>1.3354563802212776</v>
      </c>
      <c r="FD561" s="1684"/>
      <c r="FE561" s="2378" t="e">
        <f>IF(FB570="Right","Right",IF(FB569="Right","Right","Wrong"))</f>
        <v>#N/A</v>
      </c>
      <c r="FF561" s="1684"/>
      <c r="FG561" s="1684"/>
      <c r="FH561" s="1684"/>
      <c r="FI561" s="1684"/>
      <c r="FJ561" s="1684"/>
      <c r="FK561" s="462"/>
      <c r="GB561" s="2176"/>
      <c r="GC561" s="2176"/>
      <c r="GE561" s="286"/>
      <c r="GF561" s="1"/>
      <c r="GG561" s="2374">
        <v>18.8</v>
      </c>
      <c r="GH561" s="2376">
        <v>9.6999999999999993</v>
      </c>
      <c r="GI561" s="2376">
        <v>16.239999999999998</v>
      </c>
      <c r="GJ561" s="2376">
        <v>27.03</v>
      </c>
      <c r="GK561" s="2376">
        <v>50.79</v>
      </c>
      <c r="GL561" s="2376">
        <v>66.040000000000006</v>
      </c>
      <c r="GM561" s="2376">
        <v>91.78</v>
      </c>
      <c r="GN561" s="2376">
        <v>156.13999999999999</v>
      </c>
      <c r="GO561" s="1684"/>
      <c r="GP561" s="1684"/>
      <c r="GQ561" s="2374">
        <v>18.8</v>
      </c>
      <c r="GR561" s="2376">
        <v>6.53</v>
      </c>
      <c r="GS561" s="2376">
        <v>11.39</v>
      </c>
      <c r="GT561" s="2376">
        <v>17.329999999999998</v>
      </c>
      <c r="GU561" s="2376">
        <v>31.19</v>
      </c>
      <c r="GV561" s="2376">
        <v>40.200000000000003</v>
      </c>
      <c r="GW561" s="2376">
        <v>56.14</v>
      </c>
      <c r="GX561" s="2376">
        <v>94.75</v>
      </c>
      <c r="GY561" s="1684"/>
      <c r="GZ561" s="1684"/>
      <c r="HA561" s="2374">
        <v>18.8</v>
      </c>
      <c r="HB561" s="2376">
        <v>4.75</v>
      </c>
      <c r="HC561" s="2376">
        <v>8.42</v>
      </c>
      <c r="HD561" s="2376">
        <v>12.57</v>
      </c>
      <c r="HE561" s="2376">
        <v>22.38</v>
      </c>
      <c r="HF561" s="2376">
        <v>29.7</v>
      </c>
      <c r="HG561" s="2376">
        <v>40.299999999999997</v>
      </c>
      <c r="HH561" s="2376">
        <v>68.91</v>
      </c>
      <c r="HI561" s="1684"/>
      <c r="HJ561" s="1684"/>
      <c r="HK561" s="2374">
        <v>18.8</v>
      </c>
      <c r="HL561" s="2376">
        <v>3.66</v>
      </c>
      <c r="HM561" s="2376">
        <v>6.44</v>
      </c>
      <c r="HN561" s="2376">
        <v>9.6</v>
      </c>
      <c r="HO561" s="2376">
        <v>17.43</v>
      </c>
      <c r="HP561" s="2376">
        <v>22.57</v>
      </c>
      <c r="HQ561" s="2376">
        <v>31.19</v>
      </c>
      <c r="HR561" s="2376">
        <v>52.77</v>
      </c>
      <c r="HS561" s="1684"/>
      <c r="HT561" s="462"/>
      <c r="IN561" s="277"/>
      <c r="IO561" s="277"/>
    </row>
    <row r="562" spans="2:249" ht="21.95" customHeight="1">
      <c r="B562" s="284" t="s">
        <v>2184</v>
      </c>
      <c r="C562" s="2377">
        <f>+C552</f>
        <v>68.3</v>
      </c>
      <c r="D562" s="1684"/>
      <c r="E562" s="1684"/>
      <c r="F562" s="1684"/>
      <c r="G562" s="1684"/>
      <c r="H562" s="1684"/>
      <c r="I562" s="1684"/>
      <c r="J562" s="2374"/>
      <c r="K562" s="1684"/>
      <c r="L562" s="284" t="s">
        <v>2184</v>
      </c>
      <c r="M562" s="2379">
        <f>C562</f>
        <v>68.3</v>
      </c>
      <c r="N562" s="1684"/>
      <c r="O562" s="1684"/>
      <c r="P562" s="1684"/>
      <c r="Q562" s="1684"/>
      <c r="R562" s="1684"/>
      <c r="S562" s="1684"/>
      <c r="T562" s="1684"/>
      <c r="U562" s="1684"/>
      <c r="V562" s="284" t="s">
        <v>2184</v>
      </c>
      <c r="W562" s="2379">
        <f>+C562</f>
        <v>68.3</v>
      </c>
      <c r="X562" s="1684"/>
      <c r="Y562" s="1684"/>
      <c r="Z562" s="1684"/>
      <c r="AA562" s="1684"/>
      <c r="AB562" s="1684"/>
      <c r="AC562" s="1684"/>
      <c r="AD562" s="1684"/>
      <c r="AE562" s="1684"/>
      <c r="AF562" s="284" t="s">
        <v>2184</v>
      </c>
      <c r="AG562" s="2379">
        <f>+C562</f>
        <v>68.3</v>
      </c>
      <c r="AH562" s="1684"/>
      <c r="AI562" s="1684"/>
      <c r="AJ562" s="1684"/>
      <c r="AK562" s="1684"/>
      <c r="AL562" s="1684"/>
      <c r="AM562" s="1684"/>
      <c r="AN562" s="1684"/>
      <c r="AO562" s="462"/>
      <c r="BF562" s="2176"/>
      <c r="BG562" s="2176"/>
      <c r="BI562" s="286"/>
      <c r="BJ562" s="1"/>
      <c r="BK562" s="2374">
        <v>15</v>
      </c>
      <c r="BL562" s="2376">
        <v>12.08</v>
      </c>
      <c r="BM562" s="2376">
        <v>19.5</v>
      </c>
      <c r="BN562" s="2376">
        <v>33.17</v>
      </c>
      <c r="BO562" s="2376">
        <v>53.47</v>
      </c>
      <c r="BP562" s="2376">
        <v>82.38</v>
      </c>
      <c r="BQ562" s="2376">
        <v>106.83</v>
      </c>
      <c r="BR562" s="2376">
        <v>195.74</v>
      </c>
      <c r="BS562" s="1684"/>
      <c r="BT562" s="1684"/>
      <c r="BU562" s="2374">
        <v>15</v>
      </c>
      <c r="BV562" s="2376">
        <v>8.61</v>
      </c>
      <c r="BW562" s="2376">
        <v>14.65</v>
      </c>
      <c r="BX562" s="2376">
        <v>23.17</v>
      </c>
      <c r="BY562" s="2376">
        <v>40.200000000000003</v>
      </c>
      <c r="BZ562" s="2376">
        <v>54.06</v>
      </c>
      <c r="CA562" s="2376">
        <v>74.75</v>
      </c>
      <c r="CB562" s="2376">
        <v>126.63</v>
      </c>
      <c r="CC562" s="1684"/>
      <c r="CD562" s="1684"/>
      <c r="CE562" s="2374">
        <v>15</v>
      </c>
      <c r="CF562" s="2376">
        <v>6.14</v>
      </c>
      <c r="CG562" s="2376">
        <v>10.79</v>
      </c>
      <c r="CH562" s="2376">
        <v>16.63</v>
      </c>
      <c r="CI562" s="2376">
        <v>28.81</v>
      </c>
      <c r="CJ562" s="2376">
        <v>40</v>
      </c>
      <c r="CK562" s="2376">
        <v>54.16</v>
      </c>
      <c r="CL562" s="2376">
        <v>91.29</v>
      </c>
      <c r="CM562" s="1684"/>
      <c r="CN562" s="1684"/>
      <c r="CO562" s="2374">
        <v>15</v>
      </c>
      <c r="CP562" s="2376">
        <v>4.75</v>
      </c>
      <c r="CQ562" s="2376">
        <v>8.2200000000000006</v>
      </c>
      <c r="CR562" s="2376">
        <v>12.97</v>
      </c>
      <c r="CS562" s="2376">
        <v>22.28</v>
      </c>
      <c r="CT562" s="2376">
        <v>30.4</v>
      </c>
      <c r="CU562" s="2376">
        <v>41.98</v>
      </c>
      <c r="CV562" s="2376">
        <v>70.989999999999995</v>
      </c>
      <c r="CW562" s="1684"/>
      <c r="CX562" s="462"/>
      <c r="DS562" s="277"/>
      <c r="DW562" s="1"/>
      <c r="DX562" s="284" t="s">
        <v>2184</v>
      </c>
      <c r="DY562" s="2377">
        <f>+DY552</f>
        <v>43.9</v>
      </c>
      <c r="DZ562" s="1684"/>
      <c r="EA562" s="1684"/>
      <c r="EB562" s="1684"/>
      <c r="EC562" s="1684"/>
      <c r="ED562" s="1684"/>
      <c r="EE562" s="1684"/>
      <c r="EF562" s="2374"/>
      <c r="EG562" s="1684"/>
      <c r="EH562" s="284" t="s">
        <v>2184</v>
      </c>
      <c r="EI562" s="2379">
        <f>DY562</f>
        <v>43.9</v>
      </c>
      <c r="EJ562" s="1684"/>
      <c r="EK562" s="1684"/>
      <c r="EL562" s="1684"/>
      <c r="EM562" s="1684"/>
      <c r="EN562" s="1684"/>
      <c r="EO562" s="1684"/>
      <c r="EP562" s="1684"/>
      <c r="EQ562" s="1684"/>
      <c r="ER562" s="284" t="s">
        <v>2184</v>
      </c>
      <c r="ES562" s="2379">
        <f>+DY562</f>
        <v>43.9</v>
      </c>
      <c r="ET562" s="1684"/>
      <c r="EU562" s="1684"/>
      <c r="EV562" s="1684"/>
      <c r="EW562" s="1684"/>
      <c r="EX562" s="1684"/>
      <c r="EY562" s="1684"/>
      <c r="EZ562" s="1684"/>
      <c r="FA562" s="1684"/>
      <c r="FB562" s="284" t="s">
        <v>2184</v>
      </c>
      <c r="FC562" s="2379">
        <f>+DY562</f>
        <v>43.9</v>
      </c>
      <c r="FD562" s="1684"/>
      <c r="FE562" s="1684"/>
      <c r="FF562" s="1684"/>
      <c r="FG562" s="1684"/>
      <c r="FH562" s="1684"/>
      <c r="FI562" s="1684"/>
      <c r="FJ562" s="1684"/>
      <c r="FK562" s="462"/>
      <c r="GB562" s="2176"/>
      <c r="GC562" s="2176"/>
      <c r="GE562" s="286"/>
      <c r="GF562" s="1"/>
      <c r="GG562" s="2374">
        <v>15</v>
      </c>
      <c r="GH562" s="2376">
        <v>12.08</v>
      </c>
      <c r="GI562" s="2376">
        <v>19.5</v>
      </c>
      <c r="GJ562" s="2376">
        <v>33.17</v>
      </c>
      <c r="GK562" s="2376">
        <v>53.47</v>
      </c>
      <c r="GL562" s="2376">
        <v>82.38</v>
      </c>
      <c r="GM562" s="2376">
        <v>106.83</v>
      </c>
      <c r="GN562" s="2376">
        <v>195.74</v>
      </c>
      <c r="GO562" s="1684"/>
      <c r="GP562" s="1684"/>
      <c r="GQ562" s="2374">
        <v>15</v>
      </c>
      <c r="GR562" s="2376">
        <v>8.61</v>
      </c>
      <c r="GS562" s="2376">
        <v>14.65</v>
      </c>
      <c r="GT562" s="2376">
        <v>23.17</v>
      </c>
      <c r="GU562" s="2376">
        <v>40.200000000000003</v>
      </c>
      <c r="GV562" s="2376">
        <v>54.06</v>
      </c>
      <c r="GW562" s="2376">
        <v>74.75</v>
      </c>
      <c r="GX562" s="2376">
        <v>126.63</v>
      </c>
      <c r="GY562" s="1684"/>
      <c r="GZ562" s="1684"/>
      <c r="HA562" s="2374">
        <v>15</v>
      </c>
      <c r="HB562" s="2376">
        <v>6.14</v>
      </c>
      <c r="HC562" s="2376">
        <v>10.79</v>
      </c>
      <c r="HD562" s="2376">
        <v>16.63</v>
      </c>
      <c r="HE562" s="2376">
        <v>28.81</v>
      </c>
      <c r="HF562" s="2376">
        <v>40</v>
      </c>
      <c r="HG562" s="2376">
        <v>54.16</v>
      </c>
      <c r="HH562" s="2376">
        <v>91.29</v>
      </c>
      <c r="HI562" s="1684"/>
      <c r="HJ562" s="1684"/>
      <c r="HK562" s="2374">
        <v>15</v>
      </c>
      <c r="HL562" s="2376">
        <v>4.75</v>
      </c>
      <c r="HM562" s="2376">
        <v>8.2200000000000006</v>
      </c>
      <c r="HN562" s="2376">
        <v>12.97</v>
      </c>
      <c r="HO562" s="2376">
        <v>22.28</v>
      </c>
      <c r="HP562" s="2376">
        <v>30.4</v>
      </c>
      <c r="HQ562" s="2376">
        <v>41.98</v>
      </c>
      <c r="HR562" s="2376">
        <v>70.989999999999995</v>
      </c>
      <c r="HS562" s="1684"/>
      <c r="HT562" s="462"/>
      <c r="IN562" s="277"/>
      <c r="IO562" s="277"/>
    </row>
    <row r="563" spans="2:249" ht="21.95" customHeight="1">
      <c r="B563" s="1684">
        <v>0</v>
      </c>
      <c r="C563" s="1684" t="b">
        <f>IF(C562=B557,C557,IF(C562=B558,C558,IF(C562=B559,C559)))</f>
        <v>0</v>
      </c>
      <c r="D563" s="1684" t="b">
        <f>IF(C562=B557,D557,IF(C562=B558,D558,IF(C562=B559,D559)))</f>
        <v>0</v>
      </c>
      <c r="E563" s="1684" t="b">
        <f>IF(C562=B557,E557,IF(C562=B558,E558,IF(C562=B559,E559)))</f>
        <v>0</v>
      </c>
      <c r="F563" s="1684" t="b">
        <f>IF(C562=B557,F557,IF(C562=B558,F558,IF(C562=B559,F559)))</f>
        <v>0</v>
      </c>
      <c r="G563" s="1684" t="b">
        <f>IF(C562=B557,G557,IF(C562=B558,G558,IF(C562=B559,G559)))</f>
        <v>0</v>
      </c>
      <c r="H563" s="1684" t="b">
        <f>IF(C562=B557,H557,IF(C562=B558,H558,IF(C562=B559,H559)))</f>
        <v>0</v>
      </c>
      <c r="I563" s="1684" t="b">
        <f>IF(C562=B557,I557,IF(C562=B558,I558,IF(C562=B559,I559)))</f>
        <v>0</v>
      </c>
      <c r="J563" s="2374"/>
      <c r="K563" s="1684"/>
      <c r="L563" s="1684">
        <v>0</v>
      </c>
      <c r="M563" s="1684" t="b">
        <f>IF(M562=L557,M557,IF(M562=L558,M558,IF(M562=L559,M559)))</f>
        <v>0</v>
      </c>
      <c r="N563" s="1684" t="b">
        <f>IF(M562=L557,N557,IF(M562=L558,N558,IF(M562=L559,N559)))</f>
        <v>0</v>
      </c>
      <c r="O563" s="1684" t="b">
        <f>IF(M562=L557,O557,IF(M562=L558,O558,IF(M562=L559,O559)))</f>
        <v>0</v>
      </c>
      <c r="P563" s="1684" t="b">
        <f>IF(M562=L557,P557,IF(M562=L558,P558,IF(M562=L559,P559)))</f>
        <v>0</v>
      </c>
      <c r="Q563" s="1684" t="b">
        <f>IF(M562=L557,Q557,IF(M562=L558,Q558,IF(M562=L559,Q559)))</f>
        <v>0</v>
      </c>
      <c r="R563" s="1684" t="b">
        <f>IF(M562=L557,R557,IF(M562=L558,R558,IF(M562=L559,R559)))</f>
        <v>0</v>
      </c>
      <c r="S563" s="1684" t="b">
        <f>IF(M562=L557,S557,IF(M562=L558,S558,IF(M562=L559,S559)))</f>
        <v>0</v>
      </c>
      <c r="T563" s="1684"/>
      <c r="U563" s="1684"/>
      <c r="V563" s="1684">
        <v>0</v>
      </c>
      <c r="W563" s="1684" t="b">
        <f>IF(W562=V557,W557,IF(W562=V558,W558,IF(W562=V559,W559)))</f>
        <v>0</v>
      </c>
      <c r="X563" s="1684" t="b">
        <f>IF(W562=V557,X557,IF(W562=V558,X558,IF(W562=V559,X559)))</f>
        <v>0</v>
      </c>
      <c r="Y563" s="1684" t="b">
        <f>IF(W562=V557,Y557,IF(W562=V558,Y558,IF(W562=V559,Y559)))</f>
        <v>0</v>
      </c>
      <c r="Z563" s="1684" t="b">
        <f>IF(W562=V557,Z557,IF(W562=V558,Z558,IF(W562=V559,Z559)))</f>
        <v>0</v>
      </c>
      <c r="AA563" s="1684" t="b">
        <f>IF(W562=V557,AA557,IF(W562=V558,AA558,IF(W562=V559,AA559)))</f>
        <v>0</v>
      </c>
      <c r="AB563" s="1684" t="b">
        <f>IF(W562=V557,AB557,IF(W562=V558,AB558,IF(W562=V559,AB559)))</f>
        <v>0</v>
      </c>
      <c r="AC563" s="1684" t="b">
        <f>IF(W562=V557,AC557,IF(W562=V558,AC558,IF(W562=V559,AC559)))</f>
        <v>0</v>
      </c>
      <c r="AD563" s="1684"/>
      <c r="AE563" s="1684"/>
      <c r="AF563" s="1684">
        <v>0</v>
      </c>
      <c r="AG563" s="1684" t="b">
        <f>IF(AG562=AF557,AG557,IF(AG562=AF558,AG558,IF(AG562=AF559,AG559)))</f>
        <v>0</v>
      </c>
      <c r="AH563" s="1684" t="b">
        <f>IF(AG562=AF557,AH557,IF(AG562=AF558,AH558,IF(AG562=AF559,AH559)))</f>
        <v>0</v>
      </c>
      <c r="AI563" s="1684" t="b">
        <f>IF(AG562=AF557,AI557,IF(AG562=AF558,AI558,IF(AG562=AF559,AI559)))</f>
        <v>0</v>
      </c>
      <c r="AJ563" s="1684" t="b">
        <f>IF(AG562=AF557,AJ557,IF(AG562=AF558,AJ558,IF(AG562=AF559,AJ559)))</f>
        <v>0</v>
      </c>
      <c r="AK563" s="1684" t="b">
        <f>IF(AG562=AF557,AK557,IF(AG562=AF558,AK558,IF(AG562=AF559,AK559)))</f>
        <v>0</v>
      </c>
      <c r="AL563" s="1684" t="b">
        <f>IF(AG562=AF557,AL557,IF(AG562=AF558,AL558,IF(AG562=AF559,AL559)))</f>
        <v>0</v>
      </c>
      <c r="AM563" s="1684" t="b">
        <f>IF(AG562=AF557,AM557,IF(AG562=AF558,AM558,IF(AG562=AF559,AM559)))</f>
        <v>0</v>
      </c>
      <c r="AN563" s="1684"/>
      <c r="AO563" s="462"/>
      <c r="BF563" s="2176"/>
      <c r="BG563" s="2176"/>
      <c r="BI563" s="286"/>
      <c r="BJ563" s="1"/>
      <c r="BK563" s="1684"/>
      <c r="BL563" s="1684"/>
      <c r="BM563" s="1684"/>
      <c r="BN563" s="1684"/>
      <c r="BO563" s="1684"/>
      <c r="BP563" s="1684"/>
      <c r="BQ563" s="1684"/>
      <c r="BR563" s="1684"/>
      <c r="BS563" s="1684"/>
      <c r="BT563" s="1684"/>
      <c r="BU563" s="1684"/>
      <c r="BV563" s="1684"/>
      <c r="BW563" s="1684"/>
      <c r="BX563" s="1684"/>
      <c r="BY563" s="1684"/>
      <c r="BZ563" s="1684"/>
      <c r="CA563" s="1684"/>
      <c r="CB563" s="1684"/>
      <c r="CC563" s="1684"/>
      <c r="CD563" s="1684"/>
      <c r="CE563" s="1684"/>
      <c r="CF563" s="1684"/>
      <c r="CG563" s="1684"/>
      <c r="CH563" s="1684"/>
      <c r="CI563" s="1684"/>
      <c r="CJ563" s="1684"/>
      <c r="CK563" s="1684"/>
      <c r="CL563" s="1684"/>
      <c r="CM563" s="1684"/>
      <c r="CN563" s="1684"/>
      <c r="CO563" s="1684"/>
      <c r="CP563" s="1684"/>
      <c r="CQ563" s="1684"/>
      <c r="CR563" s="1684"/>
      <c r="CS563" s="1684"/>
      <c r="CT563" s="1684"/>
      <c r="CU563" s="1684"/>
      <c r="CV563" s="1684"/>
      <c r="CW563" s="1684"/>
      <c r="CX563" s="462"/>
      <c r="DS563" s="277"/>
      <c r="DW563" s="1"/>
      <c r="DX563" s="1684">
        <v>0</v>
      </c>
      <c r="DY563" s="1684" t="b">
        <f>IF(DY562=DX557,DY557,IF(DY562=DX558,DY558,IF(DY562=DX559,DY559)))</f>
        <v>0</v>
      </c>
      <c r="DZ563" s="1684" t="b">
        <f>IF(DY562=DX557,DZ557,IF(DY562=DX558,DZ558,IF(DY562=DX559,DZ559)))</f>
        <v>0</v>
      </c>
      <c r="EA563" s="1684" t="b">
        <f>IF(DY562=DX557,EA557,IF(DY562=DX558,EA558,IF(DY562=DX559,EA559)))</f>
        <v>0</v>
      </c>
      <c r="EB563" s="1684" t="b">
        <f>IF(DY562=DX557,EB557,IF(DY562=DX558,EB558,IF(DY562=DX559,EB559)))</f>
        <v>0</v>
      </c>
      <c r="EC563" s="1684" t="b">
        <f>IF(DY562=DX557,EC557,IF(DY562=DX558,EC558,IF(DY562=DX559,EC559)))</f>
        <v>0</v>
      </c>
      <c r="ED563" s="1684" t="b">
        <f>IF(DY562=DX557,ED557,IF(DY562=DX558,ED558,IF(DY562=DX559,ED559)))</f>
        <v>0</v>
      </c>
      <c r="EE563" s="1684" t="b">
        <f>IF(DY562=DX557,EE557,IF(DY562=DX558,EE558,IF(DY562=DX559,EE559)))</f>
        <v>0</v>
      </c>
      <c r="EF563" s="2374"/>
      <c r="EG563" s="1684"/>
      <c r="EH563" s="1684">
        <v>0</v>
      </c>
      <c r="EI563" s="1684" t="b">
        <f>IF(EI562=EH557,EI557,IF(EI562=EH558,EI558,IF(EI562=EH559,EI559)))</f>
        <v>0</v>
      </c>
      <c r="EJ563" s="1684" t="b">
        <f>IF(EI562=EH557,EJ557,IF(EI562=EH558,EJ558,IF(EI562=EH559,EJ559)))</f>
        <v>0</v>
      </c>
      <c r="EK563" s="1684" t="b">
        <f>IF(EI562=EH557,EK557,IF(EI562=EH558,EK558,IF(EI562=EH559,EK559)))</f>
        <v>0</v>
      </c>
      <c r="EL563" s="1684" t="b">
        <f>IF(EI562=EH557,EL557,IF(EI562=EH558,EL558,IF(EI562=EH559,EL559)))</f>
        <v>0</v>
      </c>
      <c r="EM563" s="1684" t="b">
        <f>IF(EI562=EH557,EM557,IF(EI562=EH558,EM558,IF(EI562=EH559,EM559)))</f>
        <v>0</v>
      </c>
      <c r="EN563" s="1684" t="b">
        <f>IF(EI562=EH557,EN557,IF(EI562=EH558,EN558,IF(EI562=EH559,EN559)))</f>
        <v>0</v>
      </c>
      <c r="EO563" s="1684" t="b">
        <f>IF(EI562=EH557,EO557,IF(EI562=EH558,EO558,IF(EI562=EH559,EO559)))</f>
        <v>0</v>
      </c>
      <c r="EP563" s="1684"/>
      <c r="EQ563" s="1684"/>
      <c r="ER563" s="1684">
        <v>0</v>
      </c>
      <c r="ES563" s="1684" t="b">
        <f>IF(ES562=ER557,ES557,IF(ES562=ER558,ES558,IF(ES562=ER559,ES559)))</f>
        <v>0</v>
      </c>
      <c r="ET563" s="1684" t="b">
        <f>IF(ES562=ER557,ET557,IF(ES562=ER558,ET558,IF(ES562=ER559,ET559)))</f>
        <v>0</v>
      </c>
      <c r="EU563" s="1684" t="b">
        <f>IF(ES562=ER557,EU557,IF(ES562=ER558,EU558,IF(ES562=ER559,EU559)))</f>
        <v>0</v>
      </c>
      <c r="EV563" s="1684" t="b">
        <f>IF(ES562=ER557,EV557,IF(ES562=ER558,EV558,IF(ES562=ER559,EV559)))</f>
        <v>0</v>
      </c>
      <c r="EW563" s="1684" t="b">
        <f>IF(ES562=ER557,EW557,IF(ES562=ER558,EW558,IF(ES562=ER559,EW559)))</f>
        <v>0</v>
      </c>
      <c r="EX563" s="1684" t="b">
        <f>IF(ES562=ER557,EX557,IF(ES562=ER558,EX558,IF(ES562=ER559,EX559)))</f>
        <v>0</v>
      </c>
      <c r="EY563" s="1684" t="b">
        <f>IF(ES562=ER557,EY557,IF(ES562=ER558,EY558,IF(ES562=ER559,EY559)))</f>
        <v>0</v>
      </c>
      <c r="EZ563" s="1684"/>
      <c r="FA563" s="1684"/>
      <c r="FB563" s="1684">
        <v>0</v>
      </c>
      <c r="FC563" s="1684" t="b">
        <f>IF(FC562=FB557,FC557,IF(FC562=FB558,FC558,IF(FC562=FB559,FC559)))</f>
        <v>0</v>
      </c>
      <c r="FD563" s="1684" t="b">
        <f>IF(FC562=FB557,FD557,IF(FC562=FB558,FD558,IF(FC562=FB559,FD559)))</f>
        <v>0</v>
      </c>
      <c r="FE563" s="1684" t="b">
        <f>IF(FC562=FB557,FE557,IF(FC562=FB558,FE558,IF(FC562=FB559,FE559)))</f>
        <v>0</v>
      </c>
      <c r="FF563" s="1684" t="b">
        <f>IF(FC562=FB557,FF557,IF(FC562=FB558,FF558,IF(FC562=FB559,FF559)))</f>
        <v>0</v>
      </c>
      <c r="FG563" s="1684" t="b">
        <f>IF(FC562=FB557,FG557,IF(FC562=FB558,FG558,IF(FC562=FB559,FG559)))</f>
        <v>0</v>
      </c>
      <c r="FH563" s="1684" t="b">
        <f>IF(FC562=FB557,FH557,IF(FC562=FB558,FH558,IF(FC562=FB559,FH559)))</f>
        <v>0</v>
      </c>
      <c r="FI563" s="1684" t="b">
        <f>IF(FC562=FB557,FI557,IF(FC562=FB558,FI558,IF(FC562=FB559,FI559)))</f>
        <v>0</v>
      </c>
      <c r="FJ563" s="1684"/>
      <c r="FK563" s="462"/>
      <c r="GB563" s="2176"/>
      <c r="GC563" s="2176"/>
      <c r="GE563" s="286"/>
      <c r="GF563" s="1"/>
      <c r="GG563" s="1684"/>
      <c r="GH563" s="1684"/>
      <c r="GI563" s="1684"/>
      <c r="GJ563" s="1684"/>
      <c r="GK563" s="1684"/>
      <c r="GL563" s="1684"/>
      <c r="GM563" s="1684"/>
      <c r="GN563" s="1684"/>
      <c r="GO563" s="1684"/>
      <c r="GP563" s="1684"/>
      <c r="GQ563" s="1684"/>
      <c r="GR563" s="1684"/>
      <c r="GS563" s="1684"/>
      <c r="GT563" s="1684"/>
      <c r="GU563" s="1684"/>
      <c r="GV563" s="1684"/>
      <c r="GW563" s="1684"/>
      <c r="GX563" s="1684"/>
      <c r="GY563" s="1684"/>
      <c r="GZ563" s="1684"/>
      <c r="HA563" s="1684"/>
      <c r="HB563" s="1684"/>
      <c r="HC563" s="1684"/>
      <c r="HD563" s="1684"/>
      <c r="HE563" s="1684"/>
      <c r="HF563" s="1684"/>
      <c r="HG563" s="1684"/>
      <c r="HH563" s="1684"/>
      <c r="HI563" s="1684"/>
      <c r="HJ563" s="1684"/>
      <c r="HK563" s="1684"/>
      <c r="HL563" s="1684"/>
      <c r="HM563" s="1684"/>
      <c r="HN563" s="1684"/>
      <c r="HO563" s="1684"/>
      <c r="HP563" s="1684"/>
      <c r="HQ563" s="1684"/>
      <c r="HR563" s="1684"/>
      <c r="HS563" s="1684"/>
      <c r="HT563" s="462"/>
      <c r="IN563" s="277"/>
      <c r="IO563" s="277"/>
    </row>
    <row r="564" spans="2:249" ht="21.95" customHeight="1">
      <c r="B564" s="1684" t="b">
        <f t="shared" ref="B564:H564" si="301">+C563</f>
        <v>0</v>
      </c>
      <c r="C564" s="1684" t="b">
        <f t="shared" si="301"/>
        <v>0</v>
      </c>
      <c r="D564" s="1684" t="b">
        <f t="shared" si="301"/>
        <v>0</v>
      </c>
      <c r="E564" s="1684" t="b">
        <f t="shared" si="301"/>
        <v>0</v>
      </c>
      <c r="F564" s="1684" t="b">
        <f t="shared" si="301"/>
        <v>0</v>
      </c>
      <c r="G564" s="1684" t="b">
        <f t="shared" si="301"/>
        <v>0</v>
      </c>
      <c r="H564" s="1684" t="b">
        <f t="shared" si="301"/>
        <v>0</v>
      </c>
      <c r="I564" s="1684" t="b">
        <f>+H564</f>
        <v>0</v>
      </c>
      <c r="J564" s="2374"/>
      <c r="K564" s="1684"/>
      <c r="L564" s="1684" t="b">
        <f t="shared" ref="L564:R564" si="302">+M563</f>
        <v>0</v>
      </c>
      <c r="M564" s="1684" t="b">
        <f t="shared" si="302"/>
        <v>0</v>
      </c>
      <c r="N564" s="1684" t="b">
        <f t="shared" si="302"/>
        <v>0</v>
      </c>
      <c r="O564" s="1684" t="b">
        <f t="shared" si="302"/>
        <v>0</v>
      </c>
      <c r="P564" s="1684" t="b">
        <f t="shared" si="302"/>
        <v>0</v>
      </c>
      <c r="Q564" s="1684" t="b">
        <f t="shared" si="302"/>
        <v>0</v>
      </c>
      <c r="R564" s="1684" t="b">
        <f t="shared" si="302"/>
        <v>0</v>
      </c>
      <c r="S564" s="1684" t="b">
        <f>+R564</f>
        <v>0</v>
      </c>
      <c r="T564" s="1684"/>
      <c r="U564" s="1684"/>
      <c r="V564" s="1684" t="b">
        <f t="shared" ref="V564:AB564" si="303">+W563</f>
        <v>0</v>
      </c>
      <c r="W564" s="1684" t="b">
        <f t="shared" si="303"/>
        <v>0</v>
      </c>
      <c r="X564" s="1684" t="b">
        <f t="shared" si="303"/>
        <v>0</v>
      </c>
      <c r="Y564" s="1684" t="b">
        <f t="shared" si="303"/>
        <v>0</v>
      </c>
      <c r="Z564" s="1684" t="b">
        <f t="shared" si="303"/>
        <v>0</v>
      </c>
      <c r="AA564" s="1684" t="b">
        <f t="shared" si="303"/>
        <v>0</v>
      </c>
      <c r="AB564" s="1684" t="b">
        <f t="shared" si="303"/>
        <v>0</v>
      </c>
      <c r="AC564" s="1684" t="b">
        <f>+AB564</f>
        <v>0</v>
      </c>
      <c r="AD564" s="1684"/>
      <c r="AE564" s="1684"/>
      <c r="AF564" s="1684" t="b">
        <f t="shared" ref="AF564:AL564" si="304">+AG563</f>
        <v>0</v>
      </c>
      <c r="AG564" s="1684" t="b">
        <f t="shared" si="304"/>
        <v>0</v>
      </c>
      <c r="AH564" s="1684" t="b">
        <f t="shared" si="304"/>
        <v>0</v>
      </c>
      <c r="AI564" s="1684" t="b">
        <f t="shared" si="304"/>
        <v>0</v>
      </c>
      <c r="AJ564" s="1684" t="b">
        <f t="shared" si="304"/>
        <v>0</v>
      </c>
      <c r="AK564" s="1684" t="b">
        <f t="shared" si="304"/>
        <v>0</v>
      </c>
      <c r="AL564" s="1684" t="b">
        <f t="shared" si="304"/>
        <v>0</v>
      </c>
      <c r="AM564" s="1684" t="b">
        <f>+AL564</f>
        <v>0</v>
      </c>
      <c r="AN564" s="1684"/>
      <c r="AO564" s="462"/>
      <c r="BF564" s="2176"/>
      <c r="BG564" s="2176"/>
      <c r="BI564" s="286"/>
      <c r="BJ564" s="1"/>
      <c r="BK564" s="284" t="s">
        <v>2183</v>
      </c>
      <c r="BL564" s="2377">
        <f>BL554</f>
        <v>0.75631178540277322</v>
      </c>
      <c r="BM564" s="1684"/>
      <c r="BN564" s="2378" t="e">
        <f>IF(BK573="Right","Right",IF(BK572="Right","Right","Wrong"))</f>
        <v>#N/A</v>
      </c>
      <c r="BO564" s="1684"/>
      <c r="BP564" s="1684"/>
      <c r="BQ564" s="1684"/>
      <c r="BR564" s="1684"/>
      <c r="BS564" s="2374"/>
      <c r="BT564" s="1684"/>
      <c r="BU564" s="284" t="s">
        <v>2183</v>
      </c>
      <c r="BV564" s="2377">
        <f>BL564</f>
        <v>0.75631178540277322</v>
      </c>
      <c r="BW564" s="1684"/>
      <c r="BX564" s="2378" t="e">
        <f>IF(BU573="Right","Right",IF(BU572="Right","Right","Wrong"))</f>
        <v>#N/A</v>
      </c>
      <c r="BY564" s="1684"/>
      <c r="BZ564" s="1684"/>
      <c r="CA564" s="1684"/>
      <c r="CB564" s="1684"/>
      <c r="CC564" s="1684"/>
      <c r="CD564" s="1684"/>
      <c r="CE564" s="284" t="s">
        <v>2183</v>
      </c>
      <c r="CF564" s="2377">
        <f>+BL564</f>
        <v>0.75631178540277322</v>
      </c>
      <c r="CG564" s="1684"/>
      <c r="CH564" s="2378" t="e">
        <f>IF(CE573="Right","Right",IF(CE572="Right","Right","Wrong"))</f>
        <v>#N/A</v>
      </c>
      <c r="CI564" s="1684"/>
      <c r="CJ564" s="1684"/>
      <c r="CK564" s="1684"/>
      <c r="CL564" s="1684"/>
      <c r="CM564" s="1684"/>
      <c r="CN564" s="1684"/>
      <c r="CO564" s="284" t="s">
        <v>2183</v>
      </c>
      <c r="CP564" s="2377">
        <f>+BL564</f>
        <v>0.75631178540277322</v>
      </c>
      <c r="CQ564" s="1684"/>
      <c r="CR564" s="2378" t="e">
        <f>IF(CO573="Right","Right",IF(CO572="Right","Right","Wrong"))</f>
        <v>#N/A</v>
      </c>
      <c r="CS564" s="1684"/>
      <c r="CT564" s="1684"/>
      <c r="CU564" s="1684"/>
      <c r="CV564" s="1684"/>
      <c r="CW564" s="1684"/>
      <c r="CX564" s="462"/>
      <c r="DS564" s="277"/>
      <c r="DW564" s="1"/>
      <c r="DX564" s="1684" t="b">
        <f t="shared" ref="DX564:ED564" si="305">+DY563</f>
        <v>0</v>
      </c>
      <c r="DY564" s="1684" t="b">
        <f t="shared" si="305"/>
        <v>0</v>
      </c>
      <c r="DZ564" s="1684" t="b">
        <f t="shared" si="305"/>
        <v>0</v>
      </c>
      <c r="EA564" s="1684" t="b">
        <f t="shared" si="305"/>
        <v>0</v>
      </c>
      <c r="EB564" s="1684" t="b">
        <f t="shared" si="305"/>
        <v>0</v>
      </c>
      <c r="EC564" s="1684" t="b">
        <f t="shared" si="305"/>
        <v>0</v>
      </c>
      <c r="ED564" s="1684" t="b">
        <f t="shared" si="305"/>
        <v>0</v>
      </c>
      <c r="EE564" s="1684" t="b">
        <f>+ED564</f>
        <v>0</v>
      </c>
      <c r="EF564" s="2374"/>
      <c r="EG564" s="1684"/>
      <c r="EH564" s="1684" t="b">
        <f t="shared" ref="EH564:EN564" si="306">+EI563</f>
        <v>0</v>
      </c>
      <c r="EI564" s="1684" t="b">
        <f t="shared" si="306"/>
        <v>0</v>
      </c>
      <c r="EJ564" s="1684" t="b">
        <f t="shared" si="306"/>
        <v>0</v>
      </c>
      <c r="EK564" s="1684" t="b">
        <f t="shared" si="306"/>
        <v>0</v>
      </c>
      <c r="EL564" s="1684" t="b">
        <f t="shared" si="306"/>
        <v>0</v>
      </c>
      <c r="EM564" s="1684" t="b">
        <f t="shared" si="306"/>
        <v>0</v>
      </c>
      <c r="EN564" s="1684" t="b">
        <f t="shared" si="306"/>
        <v>0</v>
      </c>
      <c r="EO564" s="1684" t="b">
        <f>+EN564</f>
        <v>0</v>
      </c>
      <c r="EP564" s="1684"/>
      <c r="EQ564" s="1684"/>
      <c r="ER564" s="1684" t="b">
        <f t="shared" ref="ER564:EX564" si="307">+ES563</f>
        <v>0</v>
      </c>
      <c r="ES564" s="1684" t="b">
        <f t="shared" si="307"/>
        <v>0</v>
      </c>
      <c r="ET564" s="1684" t="b">
        <f t="shared" si="307"/>
        <v>0</v>
      </c>
      <c r="EU564" s="1684" t="b">
        <f t="shared" si="307"/>
        <v>0</v>
      </c>
      <c r="EV564" s="1684" t="b">
        <f t="shared" si="307"/>
        <v>0</v>
      </c>
      <c r="EW564" s="1684" t="b">
        <f t="shared" si="307"/>
        <v>0</v>
      </c>
      <c r="EX564" s="1684" t="b">
        <f t="shared" si="307"/>
        <v>0</v>
      </c>
      <c r="EY564" s="1684" t="b">
        <f>+EX564</f>
        <v>0</v>
      </c>
      <c r="EZ564" s="1684"/>
      <c r="FA564" s="1684"/>
      <c r="FB564" s="1684" t="b">
        <f t="shared" ref="FB564:FH564" si="308">+FC563</f>
        <v>0</v>
      </c>
      <c r="FC564" s="1684" t="b">
        <f t="shared" si="308"/>
        <v>0</v>
      </c>
      <c r="FD564" s="1684" t="b">
        <f t="shared" si="308"/>
        <v>0</v>
      </c>
      <c r="FE564" s="1684" t="b">
        <f t="shared" si="308"/>
        <v>0</v>
      </c>
      <c r="FF564" s="1684" t="b">
        <f t="shared" si="308"/>
        <v>0</v>
      </c>
      <c r="FG564" s="1684" t="b">
        <f t="shared" si="308"/>
        <v>0</v>
      </c>
      <c r="FH564" s="1684" t="b">
        <f t="shared" si="308"/>
        <v>0</v>
      </c>
      <c r="FI564" s="1684" t="b">
        <f>+FH564</f>
        <v>0</v>
      </c>
      <c r="FJ564" s="1684"/>
      <c r="FK564" s="462"/>
      <c r="GB564" s="2176"/>
      <c r="GC564" s="2176"/>
      <c r="GE564" s="286"/>
      <c r="GF564" s="1"/>
      <c r="GG564" s="284" t="s">
        <v>2183</v>
      </c>
      <c r="GH564" s="2377">
        <f>GH554</f>
        <v>1.3354563802212776</v>
      </c>
      <c r="GI564" s="1684"/>
      <c r="GJ564" s="2378" t="e">
        <f>IF(GG573="Right","Right",IF(GG572="Right","Right","Wrong"))</f>
        <v>#N/A</v>
      </c>
      <c r="GK564" s="1684"/>
      <c r="GL564" s="1684"/>
      <c r="GM564" s="1684"/>
      <c r="GN564" s="1684"/>
      <c r="GO564" s="2374"/>
      <c r="GP564" s="1684"/>
      <c r="GQ564" s="284" t="s">
        <v>2183</v>
      </c>
      <c r="GR564" s="2377">
        <f>GH564</f>
        <v>1.3354563802212776</v>
      </c>
      <c r="GS564" s="1684"/>
      <c r="GT564" s="2378" t="e">
        <f>IF(GQ573="Right","Right",IF(GQ572="Right","Right","Wrong"))</f>
        <v>#N/A</v>
      </c>
      <c r="GU564" s="1684"/>
      <c r="GV564" s="1684"/>
      <c r="GW564" s="1684"/>
      <c r="GX564" s="1684"/>
      <c r="GY564" s="1684"/>
      <c r="GZ564" s="1684"/>
      <c r="HA564" s="284" t="s">
        <v>2183</v>
      </c>
      <c r="HB564" s="2377">
        <f>+GH564</f>
        <v>1.3354563802212776</v>
      </c>
      <c r="HC564" s="1684"/>
      <c r="HD564" s="2378" t="e">
        <f>IF(HA573="Right","Right",IF(HA572="Right","Right","Wrong"))</f>
        <v>#N/A</v>
      </c>
      <c r="HE564" s="1684"/>
      <c r="HF564" s="1684"/>
      <c r="HG564" s="1684"/>
      <c r="HH564" s="1684"/>
      <c r="HI564" s="1684"/>
      <c r="HJ564" s="1684"/>
      <c r="HK564" s="284" t="s">
        <v>2183</v>
      </c>
      <c r="HL564" s="2377">
        <f>+GH564</f>
        <v>1.3354563802212776</v>
      </c>
      <c r="HM564" s="1684"/>
      <c r="HN564" s="2378" t="e">
        <f>IF(HK573="Right","Right",IF(HK572="Right","Right","Wrong"))</f>
        <v>#N/A</v>
      </c>
      <c r="HO564" s="1684"/>
      <c r="HP564" s="1684"/>
      <c r="HQ564" s="1684"/>
      <c r="HR564" s="1684"/>
      <c r="HS564" s="1684"/>
      <c r="HT564" s="462"/>
      <c r="IN564" s="277"/>
      <c r="IO564" s="277"/>
    </row>
    <row r="565" spans="2:249" ht="21.95" customHeight="1">
      <c r="B565" s="2375">
        <v>275</v>
      </c>
      <c r="C565" s="2375">
        <v>300</v>
      </c>
      <c r="D565" s="2375">
        <v>350</v>
      </c>
      <c r="E565" s="2374">
        <v>400</v>
      </c>
      <c r="F565" s="2374">
        <v>450</v>
      </c>
      <c r="G565" s="2374">
        <v>500</v>
      </c>
      <c r="H565" s="2374">
        <v>600</v>
      </c>
      <c r="I565" s="2374">
        <v>600</v>
      </c>
      <c r="J565" s="2374"/>
      <c r="K565" s="1684"/>
      <c r="L565" s="2375">
        <v>275</v>
      </c>
      <c r="M565" s="2375">
        <v>300</v>
      </c>
      <c r="N565" s="2375">
        <v>350</v>
      </c>
      <c r="O565" s="2374">
        <v>400</v>
      </c>
      <c r="P565" s="2374">
        <v>450</v>
      </c>
      <c r="Q565" s="2374">
        <v>500</v>
      </c>
      <c r="R565" s="2374">
        <v>600</v>
      </c>
      <c r="S565" s="2374">
        <v>600</v>
      </c>
      <c r="T565" s="1684"/>
      <c r="U565" s="1684"/>
      <c r="V565" s="2375">
        <v>275</v>
      </c>
      <c r="W565" s="2375">
        <v>300</v>
      </c>
      <c r="X565" s="2375">
        <v>350</v>
      </c>
      <c r="Y565" s="2374">
        <v>400</v>
      </c>
      <c r="Z565" s="2374">
        <v>450</v>
      </c>
      <c r="AA565" s="2374">
        <v>500</v>
      </c>
      <c r="AB565" s="2374">
        <v>600</v>
      </c>
      <c r="AC565" s="2374">
        <v>600</v>
      </c>
      <c r="AD565" s="1684"/>
      <c r="AE565" s="1684"/>
      <c r="AF565" s="2375">
        <v>275</v>
      </c>
      <c r="AG565" s="2375">
        <v>300</v>
      </c>
      <c r="AH565" s="2375">
        <v>350</v>
      </c>
      <c r="AI565" s="2374">
        <v>400</v>
      </c>
      <c r="AJ565" s="2374">
        <v>450</v>
      </c>
      <c r="AK565" s="2374">
        <v>500</v>
      </c>
      <c r="AL565" s="2374">
        <v>600</v>
      </c>
      <c r="AM565" s="2374">
        <v>600</v>
      </c>
      <c r="AN565" s="1684"/>
      <c r="AO565" s="462"/>
      <c r="BF565" s="2176"/>
      <c r="BG565" s="2176"/>
      <c r="BI565" s="286"/>
      <c r="BJ565" s="1"/>
      <c r="BK565" s="284" t="s">
        <v>2184</v>
      </c>
      <c r="BL565" s="2377">
        <f>BL555</f>
        <v>73.7</v>
      </c>
      <c r="BM565" s="1684"/>
      <c r="BN565" s="1684"/>
      <c r="BO565" s="1684"/>
      <c r="BP565" s="1684"/>
      <c r="BQ565" s="1684"/>
      <c r="BR565" s="1684"/>
      <c r="BS565" s="2374"/>
      <c r="BT565" s="1684"/>
      <c r="BU565" s="284" t="s">
        <v>2184</v>
      </c>
      <c r="BV565" s="2377">
        <f>BL565</f>
        <v>73.7</v>
      </c>
      <c r="BW565" s="1684"/>
      <c r="BX565" s="1684"/>
      <c r="BY565" s="1684"/>
      <c r="BZ565" s="1684"/>
      <c r="CA565" s="1684"/>
      <c r="CB565" s="1684"/>
      <c r="CC565" s="1684"/>
      <c r="CD565" s="1684"/>
      <c r="CE565" s="284" t="s">
        <v>2184</v>
      </c>
      <c r="CF565" s="2379">
        <f>+BL565</f>
        <v>73.7</v>
      </c>
      <c r="CG565" s="1684"/>
      <c r="CH565" s="1684"/>
      <c r="CI565" s="1684"/>
      <c r="CJ565" s="1684"/>
      <c r="CK565" s="1684"/>
      <c r="CL565" s="1684"/>
      <c r="CM565" s="1684"/>
      <c r="CN565" s="1684"/>
      <c r="CO565" s="284" t="s">
        <v>2184</v>
      </c>
      <c r="CP565" s="2379">
        <f>+BL565</f>
        <v>73.7</v>
      </c>
      <c r="CQ565" s="1684"/>
      <c r="CR565" s="1684"/>
      <c r="CS565" s="1684"/>
      <c r="CT565" s="1684"/>
      <c r="CU565" s="1684"/>
      <c r="CV565" s="1684"/>
      <c r="CW565" s="1684"/>
      <c r="CX565" s="462"/>
      <c r="DS565" s="277"/>
      <c r="DW565" s="1"/>
      <c r="DX565" s="2375">
        <v>275</v>
      </c>
      <c r="DY565" s="2375">
        <v>300</v>
      </c>
      <c r="DZ565" s="2375">
        <v>350</v>
      </c>
      <c r="EA565" s="2374">
        <v>400</v>
      </c>
      <c r="EB565" s="2374">
        <v>450</v>
      </c>
      <c r="EC565" s="2374">
        <v>500</v>
      </c>
      <c r="ED565" s="2374">
        <v>600</v>
      </c>
      <c r="EE565" s="2374">
        <v>600</v>
      </c>
      <c r="EF565" s="2374"/>
      <c r="EG565" s="1684"/>
      <c r="EH565" s="2375">
        <v>275</v>
      </c>
      <c r="EI565" s="2375">
        <v>300</v>
      </c>
      <c r="EJ565" s="2375">
        <v>350</v>
      </c>
      <c r="EK565" s="2374">
        <v>400</v>
      </c>
      <c r="EL565" s="2374">
        <v>450</v>
      </c>
      <c r="EM565" s="2374">
        <v>500</v>
      </c>
      <c r="EN565" s="2374">
        <v>600</v>
      </c>
      <c r="EO565" s="2374">
        <v>600</v>
      </c>
      <c r="EP565" s="1684"/>
      <c r="EQ565" s="1684"/>
      <c r="ER565" s="2375">
        <v>275</v>
      </c>
      <c r="ES565" s="2375">
        <v>300</v>
      </c>
      <c r="ET565" s="2375">
        <v>350</v>
      </c>
      <c r="EU565" s="2374">
        <v>400</v>
      </c>
      <c r="EV565" s="2374">
        <v>450</v>
      </c>
      <c r="EW565" s="2374">
        <v>500</v>
      </c>
      <c r="EX565" s="2374">
        <v>600</v>
      </c>
      <c r="EY565" s="2374">
        <v>600</v>
      </c>
      <c r="EZ565" s="1684"/>
      <c r="FA565" s="1684"/>
      <c r="FB565" s="2375">
        <v>275</v>
      </c>
      <c r="FC565" s="2375">
        <v>300</v>
      </c>
      <c r="FD565" s="2375">
        <v>350</v>
      </c>
      <c r="FE565" s="2374">
        <v>400</v>
      </c>
      <c r="FF565" s="2374">
        <v>450</v>
      </c>
      <c r="FG565" s="2374">
        <v>500</v>
      </c>
      <c r="FH565" s="2374">
        <v>600</v>
      </c>
      <c r="FI565" s="2374">
        <v>600</v>
      </c>
      <c r="FJ565" s="1684"/>
      <c r="FK565" s="462"/>
      <c r="GB565" s="2176"/>
      <c r="GC565" s="2176"/>
      <c r="GE565" s="286"/>
      <c r="GF565" s="1"/>
      <c r="GG565" s="284" t="s">
        <v>2184</v>
      </c>
      <c r="GH565" s="2377">
        <f>GH555</f>
        <v>48.8</v>
      </c>
      <c r="GI565" s="1684"/>
      <c r="GJ565" s="1684"/>
      <c r="GK565" s="1684"/>
      <c r="GL565" s="1684"/>
      <c r="GM565" s="1684"/>
      <c r="GN565" s="1684"/>
      <c r="GO565" s="2374"/>
      <c r="GP565" s="1684"/>
      <c r="GQ565" s="284" t="s">
        <v>2184</v>
      </c>
      <c r="GR565" s="2377">
        <f>GH565</f>
        <v>48.8</v>
      </c>
      <c r="GS565" s="1684"/>
      <c r="GT565" s="1684"/>
      <c r="GU565" s="1684"/>
      <c r="GV565" s="1684"/>
      <c r="GW565" s="1684"/>
      <c r="GX565" s="1684"/>
      <c r="GY565" s="1684"/>
      <c r="GZ565" s="1684"/>
      <c r="HA565" s="284" t="s">
        <v>2184</v>
      </c>
      <c r="HB565" s="2379">
        <f>+GH565</f>
        <v>48.8</v>
      </c>
      <c r="HC565" s="1684"/>
      <c r="HD565" s="1684"/>
      <c r="HE565" s="1684"/>
      <c r="HF565" s="1684"/>
      <c r="HG565" s="1684"/>
      <c r="HH565" s="1684"/>
      <c r="HI565" s="1684"/>
      <c r="HJ565" s="1684"/>
      <c r="HK565" s="284" t="s">
        <v>2184</v>
      </c>
      <c r="HL565" s="2379">
        <f>+GH565</f>
        <v>48.8</v>
      </c>
      <c r="HM565" s="1684"/>
      <c r="HN565" s="1684"/>
      <c r="HO565" s="1684"/>
      <c r="HP565" s="1684"/>
      <c r="HQ565" s="1684"/>
      <c r="HR565" s="1684"/>
      <c r="HS565" s="1684"/>
      <c r="HT565" s="462"/>
      <c r="IN565" s="277"/>
      <c r="IO565" s="277"/>
    </row>
    <row r="566" spans="2:249" ht="21.95" customHeight="1">
      <c r="B566" s="1684"/>
      <c r="C566" s="1684"/>
      <c r="D566" s="1684"/>
      <c r="E566" s="1684"/>
      <c r="F566" s="1684"/>
      <c r="G566" s="1684"/>
      <c r="H566" s="1684"/>
      <c r="I566" s="1684"/>
      <c r="J566" s="2374"/>
      <c r="K566" s="1684"/>
      <c r="L566" s="1684"/>
      <c r="M566" s="1684"/>
      <c r="N566" s="1684"/>
      <c r="O566" s="1684"/>
      <c r="P566" s="1684"/>
      <c r="Q566" s="1684"/>
      <c r="R566" s="1684"/>
      <c r="S566" s="1684"/>
      <c r="T566" s="1684"/>
      <c r="U566" s="1684"/>
      <c r="V566" s="1684"/>
      <c r="W566" s="1684"/>
      <c r="X566" s="1684"/>
      <c r="Y566" s="1684"/>
      <c r="Z566" s="1684"/>
      <c r="AA566" s="1684"/>
      <c r="AB566" s="1684"/>
      <c r="AC566" s="1684"/>
      <c r="AD566" s="1684"/>
      <c r="AE566" s="1684"/>
      <c r="AF566" s="1684"/>
      <c r="AG566" s="1684"/>
      <c r="AH566" s="1684"/>
      <c r="AI566" s="1684"/>
      <c r="AJ566" s="1684"/>
      <c r="AK566" s="1684"/>
      <c r="AL566" s="1684"/>
      <c r="AM566" s="1684"/>
      <c r="AN566" s="1684"/>
      <c r="AO566" s="462"/>
      <c r="BF566" s="2176"/>
      <c r="BG566" s="2176"/>
      <c r="BI566" s="286"/>
      <c r="BJ566" s="1"/>
      <c r="BK566" s="1684">
        <v>0</v>
      </c>
      <c r="BL566" s="1684" t="b">
        <f>IF(BL565=BK560,BL560,IF(BL565=BK561,BL561,IF(BL565=BK562,BL562)))</f>
        <v>0</v>
      </c>
      <c r="BM566" s="1684" t="b">
        <f>IF(BL565=BK560,BM560,IF(BL565=BK561,BM561,IF(BL565=BK562,BM562)))</f>
        <v>0</v>
      </c>
      <c r="BN566" s="1684" t="b">
        <f>IF(BL565=BK560,BN560,IF(BL565=BK561,BN561,IF(BL565=BK562,BN562)))</f>
        <v>0</v>
      </c>
      <c r="BO566" s="1684" t="b">
        <f>IF(BL565=BK560,BO560,IF(BL565=BK561,BO561,IF(BL565=BK562,BO562)))</f>
        <v>0</v>
      </c>
      <c r="BP566" s="1684" t="b">
        <f>IF(BL565=BK560,BP560,IF(BL565=BK561,BP561,IF(BL565=BK562,BP562)))</f>
        <v>0</v>
      </c>
      <c r="BQ566" s="1684" t="b">
        <f>IF(BL565=BK560,BQ560,IF(BL565=BK561,BQ561,IF(BL565=BK562,BQ562)))</f>
        <v>0</v>
      </c>
      <c r="BR566" s="1684" t="b">
        <f>IF(BL565=BK560,BR560,IF(BL565=BK561,BR561,IF(BL565=BK562,BR562)))</f>
        <v>0</v>
      </c>
      <c r="BS566" s="2374"/>
      <c r="BT566" s="1684"/>
      <c r="BU566" s="1684">
        <v>0</v>
      </c>
      <c r="BV566" s="1684" t="b">
        <f>IF(BV565=BU560,BV560,IF(BV565=BU561,BV561,IF(BV565=BU562,BV562)))</f>
        <v>0</v>
      </c>
      <c r="BW566" s="1684" t="b">
        <f>IF(BV565=BU560,BW560,IF(BV565=BU561,BW561,IF(BV565=BU562,BW562)))</f>
        <v>0</v>
      </c>
      <c r="BX566" s="1684" t="b">
        <f>IF(BV565=BU560,BX560,IF(BV565=BU561,BX561,IF(BV565=BU562,BX562)))</f>
        <v>0</v>
      </c>
      <c r="BY566" s="1684" t="b">
        <f>IF(BV565=BU560,BY560,IF(BV565=BU561,BY561,IF(BV565=BU562,BY562)))</f>
        <v>0</v>
      </c>
      <c r="BZ566" s="1684" t="b">
        <f>IF(BV565=BU560,BZ560,IF(BV565=BU561,BZ561,IF(BV565=BU562,BZ562)))</f>
        <v>0</v>
      </c>
      <c r="CA566" s="1684" t="b">
        <f>IF(BV565=BU560,CA560,IF(BV565=BU561,CA561,IF(BV565=BU562,CA562)))</f>
        <v>0</v>
      </c>
      <c r="CB566" s="1684" t="b">
        <f>IF(BV565=BU560,CB560,IF(BV565=BU561,CB561,IF(BV565=BU562,CB562)))</f>
        <v>0</v>
      </c>
      <c r="CC566" s="1684"/>
      <c r="CD566" s="1684"/>
      <c r="CE566" s="1684">
        <v>0</v>
      </c>
      <c r="CF566" s="1684" t="b">
        <f>IF(CF565=CE560,CF560,IF(CF565=CE561,CF561,IF(CF565=CE562,CF562)))</f>
        <v>0</v>
      </c>
      <c r="CG566" s="1684" t="b">
        <f>IF(CF565=CE560,CG560,IF(CF565=CE561,CG561,IF(CF565=CE562,CG562)))</f>
        <v>0</v>
      </c>
      <c r="CH566" s="1684" t="b">
        <f>IF(CF565=CE560,CH560,IF(CF565=CE561,CH561,IF(CF565=CE562,CH562)))</f>
        <v>0</v>
      </c>
      <c r="CI566" s="1684" t="b">
        <f>IF(CF565=CE560,CI560,IF(CF565=CE561,CI561,IF(CF565=CE562,CI562)))</f>
        <v>0</v>
      </c>
      <c r="CJ566" s="1684" t="b">
        <f>IF(CF565=CE560,CJ560,IF(CF565=CE561,CJ561,IF(CF565=CE562,CJ562)))</f>
        <v>0</v>
      </c>
      <c r="CK566" s="1684" t="b">
        <f>IF(CF565=CE560,CK560,IF(CF565=CE561,CK561,IF(CF565=CE562,CK562)))</f>
        <v>0</v>
      </c>
      <c r="CL566" s="1684" t="b">
        <f>IF(CF565=CE560,CL560,IF(CF565=CE561,CL561,IF(CF565=CE562,CL562)))</f>
        <v>0</v>
      </c>
      <c r="CM566" s="1684"/>
      <c r="CN566" s="1684"/>
      <c r="CO566" s="1684">
        <v>0</v>
      </c>
      <c r="CP566" s="1684" t="b">
        <f>IF(CP565=CO560,CP560,IF(CP565=CO561,CP561,IF(CP565=CO562,CP562)))</f>
        <v>0</v>
      </c>
      <c r="CQ566" s="1684" t="b">
        <f>IF(CP565=CO560,CQ560,IF(CP565=CO561,CQ561,IF(CP565=CO562,CQ562)))</f>
        <v>0</v>
      </c>
      <c r="CR566" s="1684" t="b">
        <f>IF(CP565=CO560,CR560,IF(CP565=CO561,CR561,IF(CP565=CO562,CR562)))</f>
        <v>0</v>
      </c>
      <c r="CS566" s="1684" t="b">
        <f>IF(CP565=CO560,CS560,IF(CP565=CO561,CS561,IF(CP565=CO562,CS562)))</f>
        <v>0</v>
      </c>
      <c r="CT566" s="1684" t="b">
        <f>IF(CP565=CO560,CT560,IF(CP565=CO561,CT561,IF(CP565=CO562,CT562)))</f>
        <v>0</v>
      </c>
      <c r="CU566" s="1684" t="b">
        <f>IF(CP565=CO560,CU560,IF(CP565=CO561,CU561,IF(CP565=CO562,CU562)))</f>
        <v>0</v>
      </c>
      <c r="CV566" s="1684" t="b">
        <f>IF(CP565=CO560,CV560,IF(CP565=CO561,CV561,IF(CP565=CO562,CV562)))</f>
        <v>0</v>
      </c>
      <c r="CW566" s="1684"/>
      <c r="CX566" s="462"/>
      <c r="DS566" s="277"/>
      <c r="DW566" s="1"/>
      <c r="DX566" s="1684"/>
      <c r="DY566" s="1684"/>
      <c r="DZ566" s="1684"/>
      <c r="EA566" s="1684"/>
      <c r="EB566" s="1684"/>
      <c r="EC566" s="1684"/>
      <c r="ED566" s="1684"/>
      <c r="EE566" s="1684"/>
      <c r="EF566" s="2374"/>
      <c r="EG566" s="1684"/>
      <c r="EH566" s="1684"/>
      <c r="EI566" s="1684"/>
      <c r="EJ566" s="1684"/>
      <c r="EK566" s="1684"/>
      <c r="EL566" s="1684"/>
      <c r="EM566" s="1684"/>
      <c r="EN566" s="1684"/>
      <c r="EO566" s="1684"/>
      <c r="EP566" s="1684"/>
      <c r="EQ566" s="1684"/>
      <c r="ER566" s="1684"/>
      <c r="ES566" s="1684"/>
      <c r="ET566" s="1684"/>
      <c r="EU566" s="1684"/>
      <c r="EV566" s="1684"/>
      <c r="EW566" s="1684"/>
      <c r="EX566" s="1684"/>
      <c r="EY566" s="1684"/>
      <c r="EZ566" s="1684"/>
      <c r="FA566" s="1684"/>
      <c r="FB566" s="1684"/>
      <c r="FC566" s="1684"/>
      <c r="FD566" s="1684"/>
      <c r="FE566" s="1684"/>
      <c r="FF566" s="1684"/>
      <c r="FG566" s="1684"/>
      <c r="FH566" s="1684"/>
      <c r="FI566" s="1684"/>
      <c r="FJ566" s="1684"/>
      <c r="FK566" s="462"/>
      <c r="GB566" s="2176"/>
      <c r="GC566" s="2176"/>
      <c r="GE566" s="286"/>
      <c r="GF566" s="1"/>
      <c r="GG566" s="1684">
        <v>0</v>
      </c>
      <c r="GH566" s="1684" t="b">
        <f>IF(GH565=GG560,GH560,IF(GH565=GG561,GH561,IF(GH565=GG562,GH562)))</f>
        <v>0</v>
      </c>
      <c r="GI566" s="1684" t="b">
        <f>IF(GH565=GG560,GI560,IF(GH565=GG561,GI561,IF(GH565=GG562,GI562)))</f>
        <v>0</v>
      </c>
      <c r="GJ566" s="1684" t="b">
        <f>IF(GH565=GG560,GJ560,IF(GH565=GG561,GJ561,IF(GH565=GG562,GJ562)))</f>
        <v>0</v>
      </c>
      <c r="GK566" s="1684" t="b">
        <f>IF(GH565=GG560,GK560,IF(GH565=GG561,GK561,IF(GH565=GG562,GK562)))</f>
        <v>0</v>
      </c>
      <c r="GL566" s="1684" t="b">
        <f>IF(GH565=GG560,GL560,IF(GH565=GG561,GL561,IF(GH565=GG562,GL562)))</f>
        <v>0</v>
      </c>
      <c r="GM566" s="1684" t="b">
        <f>IF(GH565=GG560,GM560,IF(GH565=GG561,GM561,IF(GH565=GG562,GM562)))</f>
        <v>0</v>
      </c>
      <c r="GN566" s="1684" t="b">
        <f>IF(GH565=GG560,GN560,IF(GH565=GG561,GN561,IF(GH565=GG562,GN562)))</f>
        <v>0</v>
      </c>
      <c r="GO566" s="2374"/>
      <c r="GP566" s="1684"/>
      <c r="GQ566" s="1684">
        <v>0</v>
      </c>
      <c r="GR566" s="1684" t="b">
        <f>IF(GR565=GQ560,GR560,IF(GR565=GQ561,GR561,IF(GR565=GQ562,GR562)))</f>
        <v>0</v>
      </c>
      <c r="GS566" s="1684" t="b">
        <f>IF(GR565=GQ560,GS560,IF(GR565=GQ561,GS561,IF(GR565=GQ562,GS562)))</f>
        <v>0</v>
      </c>
      <c r="GT566" s="1684" t="b">
        <f>IF(GR565=GQ560,GT560,IF(GR565=GQ561,GT561,IF(GR565=GQ562,GT562)))</f>
        <v>0</v>
      </c>
      <c r="GU566" s="1684" t="b">
        <f>IF(GR565=GQ560,GU560,IF(GR565=GQ561,GU561,IF(GR565=GQ562,GU562)))</f>
        <v>0</v>
      </c>
      <c r="GV566" s="1684" t="b">
        <f>IF(GR565=GQ560,GV560,IF(GR565=GQ561,GV561,IF(GR565=GQ562,GV562)))</f>
        <v>0</v>
      </c>
      <c r="GW566" s="1684" t="b">
        <f>IF(GR565=GQ560,GW560,IF(GR565=GQ561,GW561,IF(GR565=GQ562,GW562)))</f>
        <v>0</v>
      </c>
      <c r="GX566" s="1684" t="b">
        <f>IF(GR565=GQ560,GX560,IF(GR565=GQ561,GX561,IF(GR565=GQ562,GX562)))</f>
        <v>0</v>
      </c>
      <c r="GY566" s="1684"/>
      <c r="GZ566" s="1684"/>
      <c r="HA566" s="1684">
        <v>0</v>
      </c>
      <c r="HB566" s="1684" t="b">
        <f>IF(HB565=HA560,HB560,IF(HB565=HA561,HB561,IF(HB565=HA562,HB562)))</f>
        <v>0</v>
      </c>
      <c r="HC566" s="1684" t="b">
        <f>IF(HB565=HA560,HC560,IF(HB565=HA561,HC561,IF(HB565=HA562,HC562)))</f>
        <v>0</v>
      </c>
      <c r="HD566" s="1684" t="b">
        <f>IF(HB565=HA560,HD560,IF(HB565=HA561,HD561,IF(HB565=HA562,HD562)))</f>
        <v>0</v>
      </c>
      <c r="HE566" s="1684" t="b">
        <f>IF(HB565=HA560,HE560,IF(HB565=HA561,HE561,IF(HB565=HA562,HE562)))</f>
        <v>0</v>
      </c>
      <c r="HF566" s="1684" t="b">
        <f>IF(HB565=HA560,HF560,IF(HB565=HA561,HF561,IF(HB565=HA562,HF562)))</f>
        <v>0</v>
      </c>
      <c r="HG566" s="1684" t="b">
        <f>IF(HB565=HA560,HG560,IF(HB565=HA561,HG561,IF(HB565=HA562,HG562)))</f>
        <v>0</v>
      </c>
      <c r="HH566" s="1684" t="b">
        <f>IF(HB565=HA560,HH560,IF(HB565=HA561,HH561,IF(HB565=HA562,HH562)))</f>
        <v>0</v>
      </c>
      <c r="HI566" s="1684"/>
      <c r="HJ566" s="1684"/>
      <c r="HK566" s="1684">
        <v>0</v>
      </c>
      <c r="HL566" s="1684" t="b">
        <f>IF(HL565=HK560,HL560,IF(HL565=HK561,HL561,IF(HL565=HK562,HL562)))</f>
        <v>0</v>
      </c>
      <c r="HM566" s="1684" t="b">
        <f>IF(HL565=HK560,HM560,IF(HL565=HK561,HM561,IF(HL565=HK562,HM562)))</f>
        <v>0</v>
      </c>
      <c r="HN566" s="1684" t="b">
        <f>IF(HL565=HK560,HN560,IF(HL565=HK561,HN561,IF(HL565=HK562,HN562)))</f>
        <v>0</v>
      </c>
      <c r="HO566" s="1684" t="b">
        <f>IF(HL565=HK560,HO560,IF(HL565=HK561,HO561,IF(HL565=HK562,HO562)))</f>
        <v>0</v>
      </c>
      <c r="HP566" s="1684" t="b">
        <f>IF(HL565=HK560,HP560,IF(HL565=HK561,HP561,IF(HL565=HK562,HP562)))</f>
        <v>0</v>
      </c>
      <c r="HQ566" s="1684" t="b">
        <f>IF(HL565=HK560,HQ560,IF(HL565=HK561,HQ561,IF(HL565=HK562,HQ562)))</f>
        <v>0</v>
      </c>
      <c r="HR566" s="1684" t="b">
        <f>IF(HL565=HK560,HR560,IF(HL565=HK561,HR561,IF(HL565=HK562,HR562)))</f>
        <v>0</v>
      </c>
      <c r="HS566" s="1684"/>
      <c r="HT566" s="462"/>
      <c r="IN566" s="277"/>
      <c r="IO566" s="277"/>
    </row>
    <row r="567" spans="2:249" ht="21.95" customHeight="1">
      <c r="B567" s="2378">
        <f>HLOOKUP(C561,B563:I563,1)</f>
        <v>0</v>
      </c>
      <c r="C567" s="2378" t="b">
        <f>HLOOKUP(B567,B563:I564,2,0)</f>
        <v>0</v>
      </c>
      <c r="D567" s="1684"/>
      <c r="E567" s="1684"/>
      <c r="F567" s="1684"/>
      <c r="G567" s="1684"/>
      <c r="H567" s="1684"/>
      <c r="I567" s="1684"/>
      <c r="J567" s="2374"/>
      <c r="K567" s="1684"/>
      <c r="L567" s="2378">
        <f>HLOOKUP(M561,L563:S563,1)</f>
        <v>0</v>
      </c>
      <c r="M567" s="2378" t="b">
        <f>HLOOKUP(L567,L563:S564,2,0)</f>
        <v>0</v>
      </c>
      <c r="N567" s="1684"/>
      <c r="O567" s="1684"/>
      <c r="P567" s="1684"/>
      <c r="Q567" s="1684"/>
      <c r="R567" s="1684"/>
      <c r="S567" s="1684"/>
      <c r="T567" s="1684"/>
      <c r="U567" s="1684"/>
      <c r="V567" s="2378">
        <f>HLOOKUP(W561,V563:AC563,1)</f>
        <v>0</v>
      </c>
      <c r="W567" s="2378" t="b">
        <f>HLOOKUP(V567,V563:AC564,2,0)</f>
        <v>0</v>
      </c>
      <c r="X567" s="1684"/>
      <c r="Y567" s="1684"/>
      <c r="Z567" s="1684"/>
      <c r="AA567" s="1684"/>
      <c r="AB567" s="1684"/>
      <c r="AC567" s="1684"/>
      <c r="AD567" s="1684"/>
      <c r="AE567" s="1684"/>
      <c r="AF567" s="2378">
        <f>HLOOKUP(AG561,AF563:AM563,1)</f>
        <v>0</v>
      </c>
      <c r="AG567" s="2378" t="b">
        <f>HLOOKUP(AF567,AF563:AM564,2,0)</f>
        <v>0</v>
      </c>
      <c r="AH567" s="1684"/>
      <c r="AI567" s="1684"/>
      <c r="AJ567" s="1684"/>
      <c r="AK567" s="1684"/>
      <c r="AL567" s="1684"/>
      <c r="AM567" s="1684"/>
      <c r="AN567" s="1684"/>
      <c r="AO567" s="462"/>
      <c r="BF567" s="2176"/>
      <c r="BG567" s="2176"/>
      <c r="BI567" s="286"/>
      <c r="BJ567" s="1"/>
      <c r="BK567" s="1684" t="b">
        <f t="shared" ref="BK567" si="309">+BL566</f>
        <v>0</v>
      </c>
      <c r="BL567" s="1684" t="b">
        <f t="shared" ref="BL567" si="310">+BM566</f>
        <v>0</v>
      </c>
      <c r="BM567" s="1684" t="b">
        <f t="shared" ref="BM567" si="311">+BN566</f>
        <v>0</v>
      </c>
      <c r="BN567" s="1684" t="b">
        <f t="shared" ref="BN567" si="312">+BO566</f>
        <v>0</v>
      </c>
      <c r="BO567" s="1684" t="b">
        <f t="shared" ref="BO567" si="313">+BP566</f>
        <v>0</v>
      </c>
      <c r="BP567" s="1684" t="b">
        <f t="shared" ref="BP567" si="314">+BQ566</f>
        <v>0</v>
      </c>
      <c r="BQ567" s="1684" t="b">
        <f t="shared" ref="BQ567" si="315">+BR566</f>
        <v>0</v>
      </c>
      <c r="BR567" s="1684" t="b">
        <f>+BQ567</f>
        <v>0</v>
      </c>
      <c r="BS567" s="2374"/>
      <c r="BT567" s="1684"/>
      <c r="BU567" s="1684" t="b">
        <f t="shared" ref="BU567" si="316">+BV566</f>
        <v>0</v>
      </c>
      <c r="BV567" s="1684" t="b">
        <f t="shared" ref="BV567" si="317">+BW566</f>
        <v>0</v>
      </c>
      <c r="BW567" s="1684" t="b">
        <f t="shared" ref="BW567" si="318">+BX566</f>
        <v>0</v>
      </c>
      <c r="BX567" s="1684" t="b">
        <f t="shared" ref="BX567" si="319">+BY566</f>
        <v>0</v>
      </c>
      <c r="BY567" s="1684" t="b">
        <f t="shared" ref="BY567" si="320">+BZ566</f>
        <v>0</v>
      </c>
      <c r="BZ567" s="1684" t="b">
        <f t="shared" ref="BZ567" si="321">+CA566</f>
        <v>0</v>
      </c>
      <c r="CA567" s="1684" t="b">
        <f t="shared" ref="CA567" si="322">+CB566</f>
        <v>0</v>
      </c>
      <c r="CB567" s="1684" t="b">
        <f>+CA567</f>
        <v>0</v>
      </c>
      <c r="CC567" s="1684"/>
      <c r="CD567" s="1684"/>
      <c r="CE567" s="1684" t="b">
        <f t="shared" ref="CE567" si="323">+CF566</f>
        <v>0</v>
      </c>
      <c r="CF567" s="1684" t="b">
        <f t="shared" ref="CF567" si="324">+CG566</f>
        <v>0</v>
      </c>
      <c r="CG567" s="1684" t="b">
        <f t="shared" ref="CG567" si="325">+CH566</f>
        <v>0</v>
      </c>
      <c r="CH567" s="1684" t="b">
        <f t="shared" ref="CH567" si="326">+CI566</f>
        <v>0</v>
      </c>
      <c r="CI567" s="1684" t="b">
        <f t="shared" ref="CI567" si="327">+CJ566</f>
        <v>0</v>
      </c>
      <c r="CJ567" s="1684" t="b">
        <f t="shared" ref="CJ567" si="328">+CK566</f>
        <v>0</v>
      </c>
      <c r="CK567" s="1684" t="b">
        <f t="shared" ref="CK567" si="329">+CL566</f>
        <v>0</v>
      </c>
      <c r="CL567" s="1684" t="b">
        <f>+CK567</f>
        <v>0</v>
      </c>
      <c r="CM567" s="1684"/>
      <c r="CN567" s="1684"/>
      <c r="CO567" s="1684" t="b">
        <f t="shared" ref="CO567" si="330">+CP566</f>
        <v>0</v>
      </c>
      <c r="CP567" s="1684" t="b">
        <f t="shared" ref="CP567" si="331">+CQ566</f>
        <v>0</v>
      </c>
      <c r="CQ567" s="1684" t="b">
        <f t="shared" ref="CQ567" si="332">+CR566</f>
        <v>0</v>
      </c>
      <c r="CR567" s="1684" t="b">
        <f t="shared" ref="CR567" si="333">+CS566</f>
        <v>0</v>
      </c>
      <c r="CS567" s="1684" t="b">
        <f t="shared" ref="CS567" si="334">+CT566</f>
        <v>0</v>
      </c>
      <c r="CT567" s="1684" t="b">
        <f t="shared" ref="CT567" si="335">+CU566</f>
        <v>0</v>
      </c>
      <c r="CU567" s="1684" t="b">
        <f t="shared" ref="CU567" si="336">+CV566</f>
        <v>0</v>
      </c>
      <c r="CV567" s="1684" t="b">
        <f>+CU567</f>
        <v>0</v>
      </c>
      <c r="CW567" s="1684"/>
      <c r="CX567" s="462"/>
      <c r="DS567" s="277"/>
      <c r="DW567" s="1"/>
      <c r="DX567" s="2378">
        <f>HLOOKUP(DY561,DX563:EE563,1)</f>
        <v>0</v>
      </c>
      <c r="DY567" s="2378" t="b">
        <f>HLOOKUP(DX567,DX563:EE564,2,0)</f>
        <v>0</v>
      </c>
      <c r="DZ567" s="1684"/>
      <c r="EA567" s="1684"/>
      <c r="EB567" s="1684"/>
      <c r="EC567" s="1684"/>
      <c r="ED567" s="1684"/>
      <c r="EE567" s="1684"/>
      <c r="EF567" s="2374"/>
      <c r="EG567" s="1684"/>
      <c r="EH567" s="2378">
        <f>HLOOKUP(EI561,EH563:EO563,1)</f>
        <v>0</v>
      </c>
      <c r="EI567" s="2378" t="b">
        <f>HLOOKUP(EH567,EH563:EO564,2,0)</f>
        <v>0</v>
      </c>
      <c r="EJ567" s="1684"/>
      <c r="EK567" s="1684"/>
      <c r="EL567" s="1684"/>
      <c r="EM567" s="1684"/>
      <c r="EN567" s="1684"/>
      <c r="EO567" s="1684"/>
      <c r="EP567" s="1684"/>
      <c r="EQ567" s="1684"/>
      <c r="ER567" s="2378">
        <f>HLOOKUP(ES561,ER563:EY563,1)</f>
        <v>0</v>
      </c>
      <c r="ES567" s="2378" t="b">
        <f>HLOOKUP(ER567,ER563:EY564,2,0)</f>
        <v>0</v>
      </c>
      <c r="ET567" s="1684"/>
      <c r="EU567" s="1684"/>
      <c r="EV567" s="1684"/>
      <c r="EW567" s="1684"/>
      <c r="EX567" s="1684"/>
      <c r="EY567" s="1684"/>
      <c r="EZ567" s="1684"/>
      <c r="FA567" s="1684"/>
      <c r="FB567" s="2378">
        <f>HLOOKUP(FC561,FB563:FI563,1)</f>
        <v>0</v>
      </c>
      <c r="FC567" s="2378" t="b">
        <f>HLOOKUP(FB567,FB563:FI564,2,0)</f>
        <v>0</v>
      </c>
      <c r="FD567" s="1684"/>
      <c r="FE567" s="1684"/>
      <c r="FF567" s="1684"/>
      <c r="FG567" s="1684"/>
      <c r="FH567" s="1684"/>
      <c r="FI567" s="1684"/>
      <c r="FJ567" s="1684"/>
      <c r="FK567" s="462"/>
      <c r="GB567" s="2176"/>
      <c r="GC567" s="2176"/>
      <c r="GE567" s="286"/>
      <c r="GF567" s="1"/>
      <c r="GG567" s="1684" t="b">
        <f t="shared" ref="GG567:GM567" si="337">+GH566</f>
        <v>0</v>
      </c>
      <c r="GH567" s="1684" t="b">
        <f t="shared" si="337"/>
        <v>0</v>
      </c>
      <c r="GI567" s="1684" t="b">
        <f t="shared" si="337"/>
        <v>0</v>
      </c>
      <c r="GJ567" s="1684" t="b">
        <f t="shared" si="337"/>
        <v>0</v>
      </c>
      <c r="GK567" s="1684" t="b">
        <f t="shared" si="337"/>
        <v>0</v>
      </c>
      <c r="GL567" s="1684" t="b">
        <f t="shared" si="337"/>
        <v>0</v>
      </c>
      <c r="GM567" s="1684" t="b">
        <f t="shared" si="337"/>
        <v>0</v>
      </c>
      <c r="GN567" s="1684" t="b">
        <f>+GM567</f>
        <v>0</v>
      </c>
      <c r="GO567" s="2374"/>
      <c r="GP567" s="1684"/>
      <c r="GQ567" s="1684" t="b">
        <f t="shared" ref="GQ567:GW567" si="338">+GR566</f>
        <v>0</v>
      </c>
      <c r="GR567" s="1684" t="b">
        <f t="shared" si="338"/>
        <v>0</v>
      </c>
      <c r="GS567" s="1684" t="b">
        <f t="shared" si="338"/>
        <v>0</v>
      </c>
      <c r="GT567" s="1684" t="b">
        <f t="shared" si="338"/>
        <v>0</v>
      </c>
      <c r="GU567" s="1684" t="b">
        <f t="shared" si="338"/>
        <v>0</v>
      </c>
      <c r="GV567" s="1684" t="b">
        <f t="shared" si="338"/>
        <v>0</v>
      </c>
      <c r="GW567" s="1684" t="b">
        <f t="shared" si="338"/>
        <v>0</v>
      </c>
      <c r="GX567" s="1684" t="b">
        <f>+GW567</f>
        <v>0</v>
      </c>
      <c r="GY567" s="1684"/>
      <c r="GZ567" s="1684"/>
      <c r="HA567" s="1684" t="b">
        <f t="shared" ref="HA567:HG567" si="339">+HB566</f>
        <v>0</v>
      </c>
      <c r="HB567" s="1684" t="b">
        <f t="shared" si="339"/>
        <v>0</v>
      </c>
      <c r="HC567" s="1684" t="b">
        <f t="shared" si="339"/>
        <v>0</v>
      </c>
      <c r="HD567" s="1684" t="b">
        <f t="shared" si="339"/>
        <v>0</v>
      </c>
      <c r="HE567" s="1684" t="b">
        <f t="shared" si="339"/>
        <v>0</v>
      </c>
      <c r="HF567" s="1684" t="b">
        <f t="shared" si="339"/>
        <v>0</v>
      </c>
      <c r="HG567" s="1684" t="b">
        <f t="shared" si="339"/>
        <v>0</v>
      </c>
      <c r="HH567" s="1684" t="b">
        <f>+HG567</f>
        <v>0</v>
      </c>
      <c r="HI567" s="1684"/>
      <c r="HJ567" s="1684"/>
      <c r="HK567" s="1684" t="b">
        <f t="shared" ref="HK567:HQ567" si="340">+HL566</f>
        <v>0</v>
      </c>
      <c r="HL567" s="1684" t="b">
        <f t="shared" si="340"/>
        <v>0</v>
      </c>
      <c r="HM567" s="1684" t="b">
        <f t="shared" si="340"/>
        <v>0</v>
      </c>
      <c r="HN567" s="1684" t="b">
        <f t="shared" si="340"/>
        <v>0</v>
      </c>
      <c r="HO567" s="1684" t="b">
        <f t="shared" si="340"/>
        <v>0</v>
      </c>
      <c r="HP567" s="1684" t="b">
        <f t="shared" si="340"/>
        <v>0</v>
      </c>
      <c r="HQ567" s="1684" t="b">
        <f t="shared" si="340"/>
        <v>0</v>
      </c>
      <c r="HR567" s="1684" t="b">
        <f>+HQ567</f>
        <v>0</v>
      </c>
      <c r="HS567" s="1684"/>
      <c r="HT567" s="462"/>
      <c r="IN567" s="277"/>
      <c r="IO567" s="277"/>
    </row>
    <row r="568" spans="2:249" ht="21.95" customHeight="1">
      <c r="B568" s="2378">
        <f>IFERROR(HLOOKUP(C561,B563:I563,1,0),0)</f>
        <v>0</v>
      </c>
      <c r="C568" s="2378" t="b">
        <f>IF(B568&gt;0,B568,C567)</f>
        <v>0</v>
      </c>
      <c r="D568" s="1684"/>
      <c r="E568" s="1684"/>
      <c r="F568" s="1684"/>
      <c r="G568" s="1684"/>
      <c r="H568" s="1684"/>
      <c r="I568" s="1684"/>
      <c r="J568" s="2374"/>
      <c r="K568" s="1684"/>
      <c r="L568" s="2378">
        <f>IFERROR(HLOOKUP(M561,L563:S563,1,0),0)</f>
        <v>0</v>
      </c>
      <c r="M568" s="2378" t="b">
        <f>IF(L568&gt;0,L568,M567)</f>
        <v>0</v>
      </c>
      <c r="N568" s="1684"/>
      <c r="O568" s="1684"/>
      <c r="P568" s="1684"/>
      <c r="Q568" s="1684"/>
      <c r="R568" s="1684"/>
      <c r="S568" s="1684"/>
      <c r="T568" s="1684"/>
      <c r="U568" s="1684"/>
      <c r="V568" s="2378">
        <f>IFERROR(HLOOKUP(W561,V563:AC563,1,0),0)</f>
        <v>0</v>
      </c>
      <c r="W568" s="2378" t="b">
        <f>IF(V568&gt;0,V568,W567)</f>
        <v>0</v>
      </c>
      <c r="X568" s="1684"/>
      <c r="Y568" s="1684"/>
      <c r="Z568" s="1684"/>
      <c r="AA568" s="1684"/>
      <c r="AB568" s="1684"/>
      <c r="AC568" s="1684"/>
      <c r="AD568" s="1684"/>
      <c r="AE568" s="1684"/>
      <c r="AF568" s="2378">
        <f>IFERROR(HLOOKUP(AG561,AF563:AM563,1,0),0)</f>
        <v>0</v>
      </c>
      <c r="AG568" s="2378" t="b">
        <f>IF(AF568&gt;0,AF568,AG567)</f>
        <v>0</v>
      </c>
      <c r="AH568" s="1684"/>
      <c r="AI568" s="1684"/>
      <c r="AJ568" s="1684"/>
      <c r="AK568" s="1684"/>
      <c r="AL568" s="1684"/>
      <c r="AM568" s="1684"/>
      <c r="AN568" s="1684"/>
      <c r="AO568" s="462"/>
      <c r="BF568" s="2176"/>
      <c r="BG568" s="2176"/>
      <c r="BI568" s="286"/>
      <c r="BJ568" s="1"/>
      <c r="BK568" s="2375">
        <v>275</v>
      </c>
      <c r="BL568" s="2375">
        <v>300</v>
      </c>
      <c r="BM568" s="2375">
        <v>350</v>
      </c>
      <c r="BN568" s="2374">
        <v>400</v>
      </c>
      <c r="BO568" s="2374">
        <v>450</v>
      </c>
      <c r="BP568" s="2374">
        <v>500</v>
      </c>
      <c r="BQ568" s="2374">
        <v>600</v>
      </c>
      <c r="BR568" s="2374">
        <v>600</v>
      </c>
      <c r="BS568" s="2374"/>
      <c r="BT568" s="1684"/>
      <c r="BU568" s="2375">
        <v>275</v>
      </c>
      <c r="BV568" s="2375">
        <v>300</v>
      </c>
      <c r="BW568" s="2375">
        <v>350</v>
      </c>
      <c r="BX568" s="2374">
        <v>400</v>
      </c>
      <c r="BY568" s="2374">
        <v>450</v>
      </c>
      <c r="BZ568" s="2374">
        <v>500</v>
      </c>
      <c r="CA568" s="2374">
        <v>600</v>
      </c>
      <c r="CB568" s="2374">
        <v>600</v>
      </c>
      <c r="CC568" s="1684"/>
      <c r="CD568" s="1684"/>
      <c r="CE568" s="2375">
        <v>275</v>
      </c>
      <c r="CF568" s="2375">
        <v>300</v>
      </c>
      <c r="CG568" s="2375">
        <v>350</v>
      </c>
      <c r="CH568" s="2374">
        <v>400</v>
      </c>
      <c r="CI568" s="2374">
        <v>450</v>
      </c>
      <c r="CJ568" s="2374">
        <v>500</v>
      </c>
      <c r="CK568" s="2374">
        <v>600</v>
      </c>
      <c r="CL568" s="2374">
        <v>600</v>
      </c>
      <c r="CM568" s="1684"/>
      <c r="CN568" s="1684"/>
      <c r="CO568" s="2375">
        <v>275</v>
      </c>
      <c r="CP568" s="2375">
        <v>300</v>
      </c>
      <c r="CQ568" s="2375">
        <v>350</v>
      </c>
      <c r="CR568" s="2374">
        <v>400</v>
      </c>
      <c r="CS568" s="2374">
        <v>450</v>
      </c>
      <c r="CT568" s="2374">
        <v>500</v>
      </c>
      <c r="CU568" s="2374">
        <v>600</v>
      </c>
      <c r="CV568" s="2374">
        <v>600</v>
      </c>
      <c r="CW568" s="1684"/>
      <c r="CX568" s="462"/>
      <c r="DS568" s="277"/>
      <c r="DW568" s="1"/>
      <c r="DX568" s="2378">
        <f>IFERROR(HLOOKUP(DY561,DX563:EE563,1,0),0)</f>
        <v>0</v>
      </c>
      <c r="DY568" s="2378" t="b">
        <f>IF(DX568&gt;0,DX568,DY567)</f>
        <v>0</v>
      </c>
      <c r="DZ568" s="1684"/>
      <c r="EA568" s="1684"/>
      <c r="EB568" s="1684"/>
      <c r="EC568" s="1684"/>
      <c r="ED568" s="1684"/>
      <c r="EE568" s="1684"/>
      <c r="EF568" s="2374"/>
      <c r="EG568" s="1684"/>
      <c r="EH568" s="2378">
        <f>IFERROR(HLOOKUP(EI561,EH563:EO563,1,0),0)</f>
        <v>0</v>
      </c>
      <c r="EI568" s="2378" t="b">
        <f>IF(EH568&gt;0,EH568,EI567)</f>
        <v>0</v>
      </c>
      <c r="EJ568" s="1684"/>
      <c r="EK568" s="1684"/>
      <c r="EL568" s="1684"/>
      <c r="EM568" s="1684"/>
      <c r="EN568" s="1684"/>
      <c r="EO568" s="1684"/>
      <c r="EP568" s="1684"/>
      <c r="EQ568" s="1684"/>
      <c r="ER568" s="2378">
        <f>IFERROR(HLOOKUP(ES561,ER563:EY563,1,0),0)</f>
        <v>0</v>
      </c>
      <c r="ES568" s="2378" t="b">
        <f>IF(ER568&gt;0,ER568,ES567)</f>
        <v>0</v>
      </c>
      <c r="ET568" s="1684"/>
      <c r="EU568" s="1684"/>
      <c r="EV568" s="1684"/>
      <c r="EW568" s="1684"/>
      <c r="EX568" s="1684"/>
      <c r="EY568" s="1684"/>
      <c r="EZ568" s="1684"/>
      <c r="FA568" s="1684"/>
      <c r="FB568" s="2378">
        <f>IFERROR(HLOOKUP(FC561,FB563:FI563,1,0),0)</f>
        <v>0</v>
      </c>
      <c r="FC568" s="2378" t="b">
        <f>IF(FB568&gt;0,FB568,FC567)</f>
        <v>0</v>
      </c>
      <c r="FD568" s="1684"/>
      <c r="FE568" s="1684"/>
      <c r="FF568" s="1684"/>
      <c r="FG568" s="1684"/>
      <c r="FH568" s="1684"/>
      <c r="FI568" s="1684"/>
      <c r="FJ568" s="1684"/>
      <c r="FK568" s="462"/>
      <c r="GB568" s="2176"/>
      <c r="GC568" s="2176"/>
      <c r="GE568" s="286"/>
      <c r="GF568" s="1"/>
      <c r="GG568" s="2375">
        <v>275</v>
      </c>
      <c r="GH568" s="2375">
        <v>300</v>
      </c>
      <c r="GI568" s="2375">
        <v>350</v>
      </c>
      <c r="GJ568" s="2374">
        <v>400</v>
      </c>
      <c r="GK568" s="2374">
        <v>450</v>
      </c>
      <c r="GL568" s="2374">
        <v>500</v>
      </c>
      <c r="GM568" s="2374">
        <v>600</v>
      </c>
      <c r="GN568" s="2374">
        <v>600</v>
      </c>
      <c r="GO568" s="2374"/>
      <c r="GP568" s="1684"/>
      <c r="GQ568" s="2375">
        <v>275</v>
      </c>
      <c r="GR568" s="2375">
        <v>300</v>
      </c>
      <c r="GS568" s="2375">
        <v>350</v>
      </c>
      <c r="GT568" s="2374">
        <v>400</v>
      </c>
      <c r="GU568" s="2374">
        <v>450</v>
      </c>
      <c r="GV568" s="2374">
        <v>500</v>
      </c>
      <c r="GW568" s="2374">
        <v>600</v>
      </c>
      <c r="GX568" s="2374">
        <v>600</v>
      </c>
      <c r="GY568" s="1684"/>
      <c r="GZ568" s="1684"/>
      <c r="HA568" s="2375">
        <v>275</v>
      </c>
      <c r="HB568" s="2375">
        <v>300</v>
      </c>
      <c r="HC568" s="2375">
        <v>350</v>
      </c>
      <c r="HD568" s="2374">
        <v>400</v>
      </c>
      <c r="HE568" s="2374">
        <v>450</v>
      </c>
      <c r="HF568" s="2374">
        <v>500</v>
      </c>
      <c r="HG568" s="2374">
        <v>600</v>
      </c>
      <c r="HH568" s="2374">
        <v>600</v>
      </c>
      <c r="HI568" s="1684"/>
      <c r="HJ568" s="1684"/>
      <c r="HK568" s="2375">
        <v>275</v>
      </c>
      <c r="HL568" s="2375">
        <v>300</v>
      </c>
      <c r="HM568" s="2375">
        <v>350</v>
      </c>
      <c r="HN568" s="2374">
        <v>400</v>
      </c>
      <c r="HO568" s="2374">
        <v>450</v>
      </c>
      <c r="HP568" s="2374">
        <v>500</v>
      </c>
      <c r="HQ568" s="2374">
        <v>600</v>
      </c>
      <c r="HR568" s="2374">
        <v>600</v>
      </c>
      <c r="HS568" s="1684"/>
      <c r="HT568" s="462"/>
      <c r="IN568" s="277"/>
      <c r="IO568" s="277"/>
    </row>
    <row r="569" spans="2:249" ht="21.95" customHeight="1">
      <c r="B569" s="2378" t="e">
        <f>IF(C569=E586,"Right","Wrong")</f>
        <v>#N/A</v>
      </c>
      <c r="C569" s="2378">
        <f>HLOOKUP(C568,B564:I565,2,0)</f>
        <v>275</v>
      </c>
      <c r="D569" s="1684"/>
      <c r="E569" s="1684"/>
      <c r="F569" s="1684"/>
      <c r="G569" s="1684"/>
      <c r="H569" s="1684"/>
      <c r="I569" s="1684"/>
      <c r="J569" s="2374"/>
      <c r="K569" s="1684"/>
      <c r="L569" s="2378" t="e">
        <f>IF(M569=O586,"Right","Wrong")</f>
        <v>#N/A</v>
      </c>
      <c r="M569" s="2378">
        <f>HLOOKUP(M568,L564:S565,2,0)</f>
        <v>275</v>
      </c>
      <c r="N569" s="1684"/>
      <c r="O569" s="1684"/>
      <c r="P569" s="1684"/>
      <c r="Q569" s="1684"/>
      <c r="R569" s="1684"/>
      <c r="S569" s="1684"/>
      <c r="T569" s="1684"/>
      <c r="U569" s="1684"/>
      <c r="V569" s="2378" t="e">
        <f>IF(W569=Y586,"Right","Wrong")</f>
        <v>#N/A</v>
      </c>
      <c r="W569" s="2378">
        <f>HLOOKUP(W568,V564:AC565,2,0)</f>
        <v>275</v>
      </c>
      <c r="X569" s="1684"/>
      <c r="Y569" s="1684"/>
      <c r="Z569" s="1684"/>
      <c r="AA569" s="1684"/>
      <c r="AB569" s="1684"/>
      <c r="AC569" s="1684"/>
      <c r="AD569" s="1684"/>
      <c r="AE569" s="1684"/>
      <c r="AF569" s="2378" t="e">
        <f>IF(AG569=AI586,"Right","Wrong")</f>
        <v>#N/A</v>
      </c>
      <c r="AG569" s="2378">
        <f>HLOOKUP(AG568,AF564:AM565,2,0)</f>
        <v>275</v>
      </c>
      <c r="AH569" s="1684"/>
      <c r="AI569" s="1684"/>
      <c r="AJ569" s="1684"/>
      <c r="AK569" s="1684"/>
      <c r="AL569" s="1684"/>
      <c r="AM569" s="1684"/>
      <c r="AN569" s="1684"/>
      <c r="AO569" s="462"/>
      <c r="BF569" s="2176"/>
      <c r="BG569" s="2176"/>
      <c r="BI569" s="286"/>
      <c r="BJ569" s="1"/>
      <c r="BK569" s="1684"/>
      <c r="BL569" s="1684"/>
      <c r="BM569" s="1684"/>
      <c r="BN569" s="1684"/>
      <c r="BO569" s="1684"/>
      <c r="BP569" s="1684"/>
      <c r="BQ569" s="1684"/>
      <c r="BR569" s="1684"/>
      <c r="BS569" s="2374"/>
      <c r="BT569" s="1684"/>
      <c r="BU569" s="1684"/>
      <c r="BV569" s="1684"/>
      <c r="BW569" s="1684"/>
      <c r="BX569" s="1684"/>
      <c r="BY569" s="1684"/>
      <c r="BZ569" s="1684"/>
      <c r="CA569" s="1684"/>
      <c r="CB569" s="1684"/>
      <c r="CC569" s="1684"/>
      <c r="CD569" s="1684"/>
      <c r="CE569" s="1684"/>
      <c r="CF569" s="1684"/>
      <c r="CG569" s="1684"/>
      <c r="CH569" s="1684"/>
      <c r="CI569" s="1684"/>
      <c r="CJ569" s="1684"/>
      <c r="CK569" s="1684"/>
      <c r="CL569" s="1684"/>
      <c r="CM569" s="1684"/>
      <c r="CN569" s="1684"/>
      <c r="CO569" s="1684"/>
      <c r="CP569" s="1684"/>
      <c r="CQ569" s="1684"/>
      <c r="CR569" s="1684"/>
      <c r="CS569" s="1684"/>
      <c r="CT569" s="1684"/>
      <c r="CU569" s="1684"/>
      <c r="CV569" s="1684"/>
      <c r="CW569" s="1684"/>
      <c r="CX569" s="462"/>
      <c r="DS569" s="277"/>
      <c r="DW569" s="1"/>
      <c r="DX569" s="2378" t="e">
        <f>IF(DY569=EA586,"Right","Wrong")</f>
        <v>#N/A</v>
      </c>
      <c r="DY569" s="2378">
        <f>HLOOKUP(DY568,DX564:EE565,2,0)</f>
        <v>275</v>
      </c>
      <c r="DZ569" s="1684"/>
      <c r="EA569" s="1684"/>
      <c r="EB569" s="1684"/>
      <c r="EC569" s="1684"/>
      <c r="ED569" s="1684"/>
      <c r="EE569" s="1684"/>
      <c r="EF569" s="2374"/>
      <c r="EG569" s="1684"/>
      <c r="EH569" s="2378" t="e">
        <f>IF(EI569=EK586,"Right","Wrong")</f>
        <v>#N/A</v>
      </c>
      <c r="EI569" s="2378">
        <f>HLOOKUP(EI568,EH564:EO565,2,0)</f>
        <v>275</v>
      </c>
      <c r="EJ569" s="1684"/>
      <c r="EK569" s="1684"/>
      <c r="EL569" s="1684"/>
      <c r="EM569" s="1684"/>
      <c r="EN569" s="1684"/>
      <c r="EO569" s="1684"/>
      <c r="EP569" s="1684"/>
      <c r="EQ569" s="1684"/>
      <c r="ER569" s="2378" t="e">
        <f>IF(ES569=EU586,"Right","Wrong")</f>
        <v>#N/A</v>
      </c>
      <c r="ES569" s="2378">
        <f>HLOOKUP(ES568,ER564:EY565,2,0)</f>
        <v>275</v>
      </c>
      <c r="ET569" s="1684"/>
      <c r="EU569" s="1684"/>
      <c r="EV569" s="1684"/>
      <c r="EW569" s="1684"/>
      <c r="EX569" s="1684"/>
      <c r="EY569" s="1684"/>
      <c r="EZ569" s="1684"/>
      <c r="FA569" s="1684"/>
      <c r="FB569" s="2378" t="e">
        <f>IF(FC569=FE586,"Right","Wrong")</f>
        <v>#N/A</v>
      </c>
      <c r="FC569" s="2378">
        <f>HLOOKUP(FC568,FB564:FI565,2,0)</f>
        <v>275</v>
      </c>
      <c r="FD569" s="1684"/>
      <c r="FE569" s="1684"/>
      <c r="FF569" s="1684"/>
      <c r="FG569" s="1684"/>
      <c r="FH569" s="1684"/>
      <c r="FI569" s="1684"/>
      <c r="FJ569" s="1684"/>
      <c r="FK569" s="462"/>
      <c r="GB569" s="2176"/>
      <c r="GC569" s="2176"/>
      <c r="GE569" s="286"/>
      <c r="GF569" s="1"/>
      <c r="GG569" s="1684"/>
      <c r="GH569" s="1684"/>
      <c r="GI569" s="1684"/>
      <c r="GJ569" s="1684"/>
      <c r="GK569" s="1684"/>
      <c r="GL569" s="1684"/>
      <c r="GM569" s="1684"/>
      <c r="GN569" s="1684"/>
      <c r="GO569" s="2374"/>
      <c r="GP569" s="1684"/>
      <c r="GQ569" s="1684"/>
      <c r="GR569" s="1684"/>
      <c r="GS569" s="1684"/>
      <c r="GT569" s="1684"/>
      <c r="GU569" s="1684"/>
      <c r="GV569" s="1684"/>
      <c r="GW569" s="1684"/>
      <c r="GX569" s="1684"/>
      <c r="GY569" s="1684"/>
      <c r="GZ569" s="1684"/>
      <c r="HA569" s="1684"/>
      <c r="HB569" s="1684"/>
      <c r="HC569" s="1684"/>
      <c r="HD569" s="1684"/>
      <c r="HE569" s="1684"/>
      <c r="HF569" s="1684"/>
      <c r="HG569" s="1684"/>
      <c r="HH569" s="1684"/>
      <c r="HI569" s="1684"/>
      <c r="HJ569" s="1684"/>
      <c r="HK569" s="1684"/>
      <c r="HL569" s="1684"/>
      <c r="HM569" s="1684"/>
      <c r="HN569" s="1684"/>
      <c r="HO569" s="1684"/>
      <c r="HP569" s="1684"/>
      <c r="HQ569" s="1684"/>
      <c r="HR569" s="1684"/>
      <c r="HS569" s="1684"/>
      <c r="HT569" s="462"/>
      <c r="IN569" s="277"/>
      <c r="IO569" s="277"/>
    </row>
    <row r="570" spans="2:249" ht="21.95" customHeight="1">
      <c r="B570" s="2378" t="e">
        <f>IF(C568=D586,"Right","Wrong")</f>
        <v>#N/A</v>
      </c>
      <c r="C570" s="2380"/>
      <c r="D570" s="1684"/>
      <c r="E570" s="1684"/>
      <c r="F570" s="1684"/>
      <c r="G570" s="1684"/>
      <c r="H570" s="1684"/>
      <c r="I570" s="1684"/>
      <c r="J570" s="2374"/>
      <c r="K570" s="1684"/>
      <c r="L570" s="2378" t="e">
        <f>IF(M568=N586,"Right","Wrong")</f>
        <v>#N/A</v>
      </c>
      <c r="M570" s="2380"/>
      <c r="N570" s="1684"/>
      <c r="O570" s="1684"/>
      <c r="P570" s="1684"/>
      <c r="Q570" s="1684"/>
      <c r="R570" s="1684"/>
      <c r="S570" s="1684"/>
      <c r="T570" s="1684"/>
      <c r="U570" s="1684"/>
      <c r="V570" s="2378" t="e">
        <f>IF(W568=X586,"Right","Wrong")</f>
        <v>#N/A</v>
      </c>
      <c r="W570" s="2380"/>
      <c r="X570" s="1684"/>
      <c r="Y570" s="1684"/>
      <c r="Z570" s="1684"/>
      <c r="AA570" s="1684"/>
      <c r="AB570" s="1684"/>
      <c r="AC570" s="1684"/>
      <c r="AD570" s="1684"/>
      <c r="AE570" s="1684"/>
      <c r="AF570" s="2378" t="e">
        <f>IF(AG568=AH586,"Right","Wrong")</f>
        <v>#N/A</v>
      </c>
      <c r="AG570" s="2380"/>
      <c r="AH570" s="1684"/>
      <c r="AI570" s="1684"/>
      <c r="AJ570" s="1684"/>
      <c r="AK570" s="1684"/>
      <c r="AL570" s="1684"/>
      <c r="AM570" s="1684"/>
      <c r="AN570" s="1684"/>
      <c r="AO570" s="462"/>
      <c r="BF570" s="2176"/>
      <c r="BG570" s="2176"/>
      <c r="BI570" s="286"/>
      <c r="BJ570" s="1"/>
      <c r="BK570" s="2378">
        <f>HLOOKUP(BL564,BK566:BR566,1)</f>
        <v>0</v>
      </c>
      <c r="BL570" s="2378" t="b">
        <f>HLOOKUP(BK570,BK566:BR567,2,0)</f>
        <v>0</v>
      </c>
      <c r="BM570" s="1684"/>
      <c r="BN570" s="1684"/>
      <c r="BO570" s="1684"/>
      <c r="BP570" s="1684"/>
      <c r="BQ570" s="1684"/>
      <c r="BR570" s="1684"/>
      <c r="BS570" s="2374"/>
      <c r="BT570" s="1684"/>
      <c r="BU570" s="2378">
        <f>HLOOKUP(BV564,BU566:CB566,1)</f>
        <v>0</v>
      </c>
      <c r="BV570" s="2378" t="b">
        <f>HLOOKUP(BU570,BU566:CB567,2,0)</f>
        <v>0</v>
      </c>
      <c r="BW570" s="1684"/>
      <c r="BX570" s="1684"/>
      <c r="BY570" s="1684"/>
      <c r="BZ570" s="1684"/>
      <c r="CA570" s="1684"/>
      <c r="CB570" s="1684"/>
      <c r="CC570" s="1684"/>
      <c r="CD570" s="1684"/>
      <c r="CE570" s="2378">
        <f>HLOOKUP(CF564,CE566:CL566,1)</f>
        <v>0</v>
      </c>
      <c r="CF570" s="2378" t="b">
        <f>HLOOKUP(CE570,CE566:CL567,2,0)</f>
        <v>0</v>
      </c>
      <c r="CG570" s="1684"/>
      <c r="CH570" s="1684"/>
      <c r="CI570" s="1684"/>
      <c r="CJ570" s="1684"/>
      <c r="CK570" s="1684"/>
      <c r="CL570" s="1684"/>
      <c r="CM570" s="1684"/>
      <c r="CN570" s="1684"/>
      <c r="CO570" s="2378">
        <f>HLOOKUP(CP564,CO566:CV566,1)</f>
        <v>0</v>
      </c>
      <c r="CP570" s="2378" t="b">
        <f>HLOOKUP(CO570,CO566:CV567,2,0)</f>
        <v>0</v>
      </c>
      <c r="CQ570" s="1684"/>
      <c r="CR570" s="1684"/>
      <c r="CS570" s="1684"/>
      <c r="CT570" s="1684"/>
      <c r="CU570" s="1684"/>
      <c r="CV570" s="1684"/>
      <c r="CW570" s="1684"/>
      <c r="CX570" s="462"/>
      <c r="DS570" s="277"/>
      <c r="DW570" s="1"/>
      <c r="DX570" s="2378" t="e">
        <f>IF(DY568=DZ586,"Right","Wrong")</f>
        <v>#N/A</v>
      </c>
      <c r="DY570" s="2380"/>
      <c r="DZ570" s="1684"/>
      <c r="EA570" s="1684"/>
      <c r="EB570" s="1684"/>
      <c r="EC570" s="1684"/>
      <c r="ED570" s="1684"/>
      <c r="EE570" s="1684"/>
      <c r="EF570" s="2374"/>
      <c r="EG570" s="1684"/>
      <c r="EH570" s="2378" t="e">
        <f>IF(EI568=EJ586,"Right","Wrong")</f>
        <v>#N/A</v>
      </c>
      <c r="EI570" s="2380"/>
      <c r="EJ570" s="1684"/>
      <c r="EK570" s="1684"/>
      <c r="EL570" s="1684"/>
      <c r="EM570" s="1684"/>
      <c r="EN570" s="1684"/>
      <c r="EO570" s="1684"/>
      <c r="EP570" s="1684"/>
      <c r="EQ570" s="1684"/>
      <c r="ER570" s="2378" t="e">
        <f>IF(ES568=ET586,"Right","Wrong")</f>
        <v>#N/A</v>
      </c>
      <c r="ES570" s="2380"/>
      <c r="ET570" s="1684"/>
      <c r="EU570" s="1684"/>
      <c r="EV570" s="1684"/>
      <c r="EW570" s="1684"/>
      <c r="EX570" s="1684"/>
      <c r="EY570" s="1684"/>
      <c r="EZ570" s="1684"/>
      <c r="FA570" s="1684"/>
      <c r="FB570" s="2378" t="e">
        <f>IF(FC568=FD586,"Right","Wrong")</f>
        <v>#N/A</v>
      </c>
      <c r="FC570" s="2380"/>
      <c r="FD570" s="1684"/>
      <c r="FE570" s="1684"/>
      <c r="FF570" s="1684"/>
      <c r="FG570" s="1684"/>
      <c r="FH570" s="1684"/>
      <c r="FI570" s="1684"/>
      <c r="FJ570" s="1684"/>
      <c r="FK570" s="462"/>
      <c r="GB570" s="2176"/>
      <c r="GC570" s="2176"/>
      <c r="GE570" s="286"/>
      <c r="GF570" s="1"/>
      <c r="GG570" s="2378">
        <f>HLOOKUP(GH564,GG566:GN566,1)</f>
        <v>0</v>
      </c>
      <c r="GH570" s="2378" t="b">
        <f>HLOOKUP(GG570,GG566:GN567,2,0)</f>
        <v>0</v>
      </c>
      <c r="GI570" s="1684"/>
      <c r="GJ570" s="1684"/>
      <c r="GK570" s="1684"/>
      <c r="GL570" s="1684"/>
      <c r="GM570" s="1684"/>
      <c r="GN570" s="1684"/>
      <c r="GO570" s="2374"/>
      <c r="GP570" s="1684"/>
      <c r="GQ570" s="2378">
        <f>HLOOKUP(GR564,GQ566:GX566,1)</f>
        <v>0</v>
      </c>
      <c r="GR570" s="2378" t="b">
        <f>HLOOKUP(GQ570,GQ566:GX567,2,0)</f>
        <v>0</v>
      </c>
      <c r="GS570" s="1684"/>
      <c r="GT570" s="1684"/>
      <c r="GU570" s="1684"/>
      <c r="GV570" s="1684"/>
      <c r="GW570" s="1684"/>
      <c r="GX570" s="1684"/>
      <c r="GY570" s="1684"/>
      <c r="GZ570" s="1684"/>
      <c r="HA570" s="2378">
        <f>HLOOKUP(HB564,HA566:HH566,1)</f>
        <v>0</v>
      </c>
      <c r="HB570" s="2378" t="b">
        <f>HLOOKUP(HA570,HA566:HH567,2,0)</f>
        <v>0</v>
      </c>
      <c r="HC570" s="1684"/>
      <c r="HD570" s="1684"/>
      <c r="HE570" s="1684"/>
      <c r="HF570" s="1684"/>
      <c r="HG570" s="1684"/>
      <c r="HH570" s="1684"/>
      <c r="HI570" s="1684"/>
      <c r="HJ570" s="1684"/>
      <c r="HK570" s="2378">
        <f>HLOOKUP(HL564,HK566:HR566,1)</f>
        <v>0</v>
      </c>
      <c r="HL570" s="2378" t="b">
        <f>HLOOKUP(HK570,HK566:HR567,2,0)</f>
        <v>0</v>
      </c>
      <c r="HM570" s="1684"/>
      <c r="HN570" s="1684"/>
      <c r="HO570" s="1684"/>
      <c r="HP570" s="1684"/>
      <c r="HQ570" s="1684"/>
      <c r="HR570" s="1684"/>
      <c r="HS570" s="1684"/>
      <c r="HT570" s="462"/>
      <c r="IN570" s="277"/>
      <c r="IO570" s="277"/>
    </row>
    <row r="571" spans="2:249" ht="21.95" customHeight="1">
      <c r="B571" s="1684"/>
      <c r="C571" s="1684"/>
      <c r="D571" s="1684"/>
      <c r="E571" s="1684"/>
      <c r="F571" s="1684"/>
      <c r="G571" s="1684"/>
      <c r="H571" s="1684"/>
      <c r="I571" s="1684"/>
      <c r="J571" s="2374"/>
      <c r="K571" s="1684"/>
      <c r="L571" s="1684"/>
      <c r="M571" s="1684"/>
      <c r="N571" s="1684"/>
      <c r="O571" s="1684"/>
      <c r="P571" s="1684"/>
      <c r="Q571" s="1684"/>
      <c r="R571" s="1684"/>
      <c r="S571" s="1684"/>
      <c r="T571" s="1684"/>
      <c r="U571" s="1684"/>
      <c r="V571" s="1684"/>
      <c r="W571" s="1684"/>
      <c r="X571" s="1684"/>
      <c r="Y571" s="1684"/>
      <c r="Z571" s="1684"/>
      <c r="AA571" s="1684"/>
      <c r="AB571" s="1684"/>
      <c r="AC571" s="1684"/>
      <c r="AD571" s="1684"/>
      <c r="AE571" s="1684"/>
      <c r="AF571" s="1684"/>
      <c r="AG571" s="1684"/>
      <c r="AH571" s="1684"/>
      <c r="AI571" s="1684"/>
      <c r="AJ571" s="1684"/>
      <c r="AK571" s="1684"/>
      <c r="AL571" s="1684"/>
      <c r="AM571" s="1684"/>
      <c r="AN571" s="1684"/>
      <c r="AO571" s="462"/>
      <c r="BF571" s="2176"/>
      <c r="BG571" s="2176"/>
      <c r="BI571" s="286"/>
      <c r="BJ571" s="1"/>
      <c r="BK571" s="2378">
        <f>IFERROR(HLOOKUP(BL564,BK566:BR566,1,0),0)</f>
        <v>0</v>
      </c>
      <c r="BL571" s="2378" t="b">
        <f>IF(BK571&gt;0,BK571,BL570)</f>
        <v>0</v>
      </c>
      <c r="BM571" s="1684"/>
      <c r="BN571" s="1684"/>
      <c r="BO571" s="1684"/>
      <c r="BP571" s="1684"/>
      <c r="BQ571" s="1684"/>
      <c r="BR571" s="1684"/>
      <c r="BS571" s="2374"/>
      <c r="BT571" s="1684"/>
      <c r="BU571" s="2378">
        <f>IFERROR(HLOOKUP(BV564,BU566:CB566,1,0),0)</f>
        <v>0</v>
      </c>
      <c r="BV571" s="2378" t="b">
        <f>IF(BU571&gt;0,BU571,BV570)</f>
        <v>0</v>
      </c>
      <c r="BW571" s="1684"/>
      <c r="BX571" s="1684"/>
      <c r="BY571" s="1684"/>
      <c r="BZ571" s="1684"/>
      <c r="CA571" s="1684"/>
      <c r="CB571" s="1684"/>
      <c r="CC571" s="1684"/>
      <c r="CD571" s="1684"/>
      <c r="CE571" s="2378">
        <f>IFERROR(HLOOKUP(CF564,CE566:CL566,1,0),0)</f>
        <v>0</v>
      </c>
      <c r="CF571" s="2378" t="b">
        <f>IF(CE571&gt;0,CE571,CF570)</f>
        <v>0</v>
      </c>
      <c r="CG571" s="1684"/>
      <c r="CH571" s="1684"/>
      <c r="CI571" s="1684"/>
      <c r="CJ571" s="1684"/>
      <c r="CK571" s="1684"/>
      <c r="CL571" s="1684"/>
      <c r="CM571" s="1684"/>
      <c r="CN571" s="1684"/>
      <c r="CO571" s="2378">
        <f>IFERROR(HLOOKUP(CP564,CO566:CV566,1,0),0)</f>
        <v>0</v>
      </c>
      <c r="CP571" s="2378" t="b">
        <f>IF(CO571&gt;0,CO571,CP570)</f>
        <v>0</v>
      </c>
      <c r="CQ571" s="1684"/>
      <c r="CR571" s="1684"/>
      <c r="CS571" s="1684"/>
      <c r="CT571" s="1684"/>
      <c r="CU571" s="1684"/>
      <c r="CV571" s="1684"/>
      <c r="CW571" s="1684"/>
      <c r="CX571" s="462"/>
      <c r="DS571" s="277"/>
      <c r="DW571" s="1"/>
      <c r="DX571" s="1684"/>
      <c r="DY571" s="1684"/>
      <c r="DZ571" s="1684"/>
      <c r="EA571" s="1684"/>
      <c r="EB571" s="1684"/>
      <c r="EC571" s="1684"/>
      <c r="ED571" s="1684"/>
      <c r="EE571" s="1684"/>
      <c r="EF571" s="2374"/>
      <c r="EG571" s="1684"/>
      <c r="EH571" s="1684"/>
      <c r="EI571" s="1684"/>
      <c r="EJ571" s="1684"/>
      <c r="EK571" s="1684"/>
      <c r="EL571" s="1684"/>
      <c r="EM571" s="1684"/>
      <c r="EN571" s="1684"/>
      <c r="EO571" s="1684"/>
      <c r="EP571" s="1684"/>
      <c r="EQ571" s="1684"/>
      <c r="ER571" s="1684"/>
      <c r="ES571" s="1684"/>
      <c r="ET571" s="1684"/>
      <c r="EU571" s="1684"/>
      <c r="EV571" s="1684"/>
      <c r="EW571" s="1684"/>
      <c r="EX571" s="1684"/>
      <c r="EY571" s="1684"/>
      <c r="EZ571" s="1684"/>
      <c r="FA571" s="1684"/>
      <c r="FB571" s="1684"/>
      <c r="FC571" s="1684"/>
      <c r="FD571" s="1684"/>
      <c r="FE571" s="1684"/>
      <c r="FF571" s="1684"/>
      <c r="FG571" s="1684"/>
      <c r="FH571" s="1684"/>
      <c r="FI571" s="1684"/>
      <c r="FJ571" s="1684"/>
      <c r="FK571" s="462"/>
      <c r="GB571" s="2176"/>
      <c r="GC571" s="2176"/>
      <c r="GE571" s="286"/>
      <c r="GF571" s="1"/>
      <c r="GG571" s="2378">
        <f>IFERROR(HLOOKUP(GH564,GG566:GN566,1,0),0)</f>
        <v>0</v>
      </c>
      <c r="GH571" s="2378" t="b">
        <f>IF(GG571&gt;0,GG571,GH570)</f>
        <v>0</v>
      </c>
      <c r="GI571" s="1684"/>
      <c r="GJ571" s="1684"/>
      <c r="GK571" s="1684"/>
      <c r="GL571" s="1684"/>
      <c r="GM571" s="1684"/>
      <c r="GN571" s="1684"/>
      <c r="GO571" s="2374"/>
      <c r="GP571" s="1684"/>
      <c r="GQ571" s="2378">
        <f>IFERROR(HLOOKUP(GR564,GQ566:GX566,1,0),0)</f>
        <v>0</v>
      </c>
      <c r="GR571" s="2378" t="b">
        <f>IF(GQ571&gt;0,GQ571,GR570)</f>
        <v>0</v>
      </c>
      <c r="GS571" s="1684"/>
      <c r="GT571" s="1684"/>
      <c r="GU571" s="1684"/>
      <c r="GV571" s="1684"/>
      <c r="GW571" s="1684"/>
      <c r="GX571" s="1684"/>
      <c r="GY571" s="1684"/>
      <c r="GZ571" s="1684"/>
      <c r="HA571" s="2378">
        <f>IFERROR(HLOOKUP(HB564,HA566:HH566,1,0),0)</f>
        <v>0</v>
      </c>
      <c r="HB571" s="2378" t="b">
        <f>IF(HA571&gt;0,HA571,HB570)</f>
        <v>0</v>
      </c>
      <c r="HC571" s="1684"/>
      <c r="HD571" s="1684"/>
      <c r="HE571" s="1684"/>
      <c r="HF571" s="1684"/>
      <c r="HG571" s="1684"/>
      <c r="HH571" s="1684"/>
      <c r="HI571" s="1684"/>
      <c r="HJ571" s="1684"/>
      <c r="HK571" s="2378">
        <f>IFERROR(HLOOKUP(HL564,HK566:HR566,1,0),0)</f>
        <v>0</v>
      </c>
      <c r="HL571" s="2378" t="b">
        <f>IF(HK571&gt;0,HK571,HL570)</f>
        <v>0</v>
      </c>
      <c r="HM571" s="1684"/>
      <c r="HN571" s="1684"/>
      <c r="HO571" s="1684"/>
      <c r="HP571" s="1684"/>
      <c r="HQ571" s="1684"/>
      <c r="HR571" s="1684"/>
      <c r="HS571" s="1684"/>
      <c r="HT571" s="462"/>
      <c r="IN571" s="277"/>
      <c r="IO571" s="277"/>
    </row>
    <row r="572" spans="2:249" ht="21.95" customHeight="1">
      <c r="B572" s="284" t="s">
        <v>2183</v>
      </c>
      <c r="C572" s="2381">
        <f>C561</f>
        <v>0.75631178540277322</v>
      </c>
      <c r="D572" s="2251"/>
      <c r="E572" s="2251"/>
      <c r="F572" s="1684"/>
      <c r="G572" s="1684"/>
      <c r="H572" s="1684"/>
      <c r="I572" s="1684"/>
      <c r="J572" s="2374"/>
      <c r="K572" s="1684"/>
      <c r="L572" s="284" t="s">
        <v>2183</v>
      </c>
      <c r="M572" s="2381">
        <f>M561</f>
        <v>0.75631178540277322</v>
      </c>
      <c r="N572" s="2251"/>
      <c r="O572" s="2251"/>
      <c r="P572" s="1684"/>
      <c r="Q572" s="1684"/>
      <c r="R572" s="1684"/>
      <c r="S572" s="1684"/>
      <c r="T572" s="1684"/>
      <c r="U572" s="1684"/>
      <c r="V572" s="284" t="s">
        <v>2183</v>
      </c>
      <c r="W572" s="2381">
        <f>W561</f>
        <v>0.75631178540277322</v>
      </c>
      <c r="X572" s="2251"/>
      <c r="Y572" s="2251"/>
      <c r="Z572" s="1684"/>
      <c r="AA572" s="1684"/>
      <c r="AB572" s="1684"/>
      <c r="AC572" s="1684"/>
      <c r="AD572" s="1684"/>
      <c r="AE572" s="1684"/>
      <c r="AF572" s="284" t="s">
        <v>2183</v>
      </c>
      <c r="AG572" s="2381">
        <f>AG561</f>
        <v>0.75631178540277322</v>
      </c>
      <c r="AH572" s="2251"/>
      <c r="AI572" s="2251"/>
      <c r="AJ572" s="1684"/>
      <c r="AK572" s="1684"/>
      <c r="AL572" s="1684"/>
      <c r="AM572" s="1684"/>
      <c r="AN572" s="1684"/>
      <c r="AO572" s="462"/>
      <c r="BF572" s="2176"/>
      <c r="BG572" s="2176"/>
      <c r="BI572" s="286"/>
      <c r="BJ572" s="1"/>
      <c r="BK572" s="2378" t="e">
        <f>IF(BL572=BN589,"Right","Wrong")</f>
        <v>#N/A</v>
      </c>
      <c r="BL572" s="2378">
        <f>HLOOKUP(BL571,BK567:BR568,2,0)</f>
        <v>275</v>
      </c>
      <c r="BM572" s="1684"/>
      <c r="BN572" s="1684"/>
      <c r="BO572" s="1684"/>
      <c r="BP572" s="1684"/>
      <c r="BQ572" s="1684"/>
      <c r="BR572" s="1684"/>
      <c r="BS572" s="2374"/>
      <c r="BT572" s="1684"/>
      <c r="BU572" s="2378" t="e">
        <f>IF(BV572=BX589,"Right","Wrong")</f>
        <v>#N/A</v>
      </c>
      <c r="BV572" s="2378">
        <f>HLOOKUP(BV571,BU567:CB568,2,0)</f>
        <v>275</v>
      </c>
      <c r="BW572" s="1684"/>
      <c r="BX572" s="1684"/>
      <c r="BY572" s="1684"/>
      <c r="BZ572" s="1684"/>
      <c r="CA572" s="1684"/>
      <c r="CB572" s="1684"/>
      <c r="CC572" s="1684"/>
      <c r="CD572" s="1684"/>
      <c r="CE572" s="2378" t="e">
        <f>IF(CF572=CH589,"Right","Wrong")</f>
        <v>#N/A</v>
      </c>
      <c r="CF572" s="2378">
        <f>HLOOKUP(CF571,CE567:CL568,2,0)</f>
        <v>275</v>
      </c>
      <c r="CG572" s="1684"/>
      <c r="CH572" s="1684"/>
      <c r="CI572" s="1684"/>
      <c r="CJ572" s="1684"/>
      <c r="CK572" s="1684"/>
      <c r="CL572" s="1684"/>
      <c r="CM572" s="1684"/>
      <c r="CN572" s="1684"/>
      <c r="CO572" s="2378" t="e">
        <f>IF(CP572=CR589,"Right","Wrong")</f>
        <v>#N/A</v>
      </c>
      <c r="CP572" s="2378">
        <f>HLOOKUP(CP571,CO567:CV568,2,0)</f>
        <v>275</v>
      </c>
      <c r="CQ572" s="1684"/>
      <c r="CR572" s="1684"/>
      <c r="CS572" s="1684"/>
      <c r="CT572" s="1684"/>
      <c r="CU572" s="1684"/>
      <c r="CV572" s="1684"/>
      <c r="CW572" s="1684"/>
      <c r="CX572" s="462"/>
      <c r="DS572" s="277"/>
      <c r="DW572" s="1"/>
      <c r="DX572" s="284" t="s">
        <v>2183</v>
      </c>
      <c r="DY572" s="2381">
        <f>DY561</f>
        <v>1.3354563802212776</v>
      </c>
      <c r="DZ572" s="2251"/>
      <c r="EA572" s="2251"/>
      <c r="EB572" s="1684"/>
      <c r="EC572" s="1684"/>
      <c r="ED572" s="1684"/>
      <c r="EE572" s="1684"/>
      <c r="EF572" s="2374"/>
      <c r="EG572" s="1684"/>
      <c r="EH572" s="284" t="s">
        <v>2183</v>
      </c>
      <c r="EI572" s="2381">
        <f>EI561</f>
        <v>1.3354563802212776</v>
      </c>
      <c r="EJ572" s="2251"/>
      <c r="EK572" s="2251"/>
      <c r="EL572" s="1684"/>
      <c r="EM572" s="1684"/>
      <c r="EN572" s="1684"/>
      <c r="EO572" s="1684"/>
      <c r="EP572" s="1684"/>
      <c r="EQ572" s="1684"/>
      <c r="ER572" s="284" t="s">
        <v>2183</v>
      </c>
      <c r="ES572" s="2381">
        <f>ES561</f>
        <v>1.3354563802212776</v>
      </c>
      <c r="ET572" s="2251"/>
      <c r="EU572" s="2251"/>
      <c r="EV572" s="1684"/>
      <c r="EW572" s="1684"/>
      <c r="EX572" s="1684"/>
      <c r="EY572" s="1684"/>
      <c r="EZ572" s="1684"/>
      <c r="FA572" s="1684"/>
      <c r="FB572" s="284" t="s">
        <v>2183</v>
      </c>
      <c r="FC572" s="2381">
        <f>FC561</f>
        <v>1.3354563802212776</v>
      </c>
      <c r="FD572" s="2251"/>
      <c r="FE572" s="2251"/>
      <c r="FF572" s="1684"/>
      <c r="FG572" s="1684"/>
      <c r="FH572" s="1684"/>
      <c r="FI572" s="1684"/>
      <c r="FJ572" s="1684"/>
      <c r="FK572" s="462"/>
      <c r="GB572" s="2176"/>
      <c r="GC572" s="2176"/>
      <c r="GE572" s="286"/>
      <c r="GF572" s="1"/>
      <c r="GG572" s="2378" t="e">
        <f>IF(GH572=GJ589,"Right","Wrong")</f>
        <v>#N/A</v>
      </c>
      <c r="GH572" s="2378">
        <f>HLOOKUP(GH571,GG567:GN568,2,0)</f>
        <v>275</v>
      </c>
      <c r="GI572" s="1684"/>
      <c r="GJ572" s="1684"/>
      <c r="GK572" s="1684"/>
      <c r="GL572" s="1684"/>
      <c r="GM572" s="1684"/>
      <c r="GN572" s="1684"/>
      <c r="GO572" s="2374"/>
      <c r="GP572" s="1684"/>
      <c r="GQ572" s="2378" t="e">
        <f>IF(GR572=GT589,"Right","Wrong")</f>
        <v>#N/A</v>
      </c>
      <c r="GR572" s="2378">
        <f>HLOOKUP(GR571,GQ567:GX568,2,0)</f>
        <v>275</v>
      </c>
      <c r="GS572" s="1684"/>
      <c r="GT572" s="1684"/>
      <c r="GU572" s="1684"/>
      <c r="GV572" s="1684"/>
      <c r="GW572" s="1684"/>
      <c r="GX572" s="1684"/>
      <c r="GY572" s="1684"/>
      <c r="GZ572" s="1684"/>
      <c r="HA572" s="2378" t="e">
        <f>IF(HB572=HD589,"Right","Wrong")</f>
        <v>#N/A</v>
      </c>
      <c r="HB572" s="2378">
        <f>HLOOKUP(HB571,HA567:HH568,2,0)</f>
        <v>275</v>
      </c>
      <c r="HC572" s="1684"/>
      <c r="HD572" s="1684"/>
      <c r="HE572" s="1684"/>
      <c r="HF572" s="1684"/>
      <c r="HG572" s="1684"/>
      <c r="HH572" s="1684"/>
      <c r="HI572" s="1684"/>
      <c r="HJ572" s="1684"/>
      <c r="HK572" s="2378" t="e">
        <f>IF(HL572=HN589,"Right","Wrong")</f>
        <v>#N/A</v>
      </c>
      <c r="HL572" s="2378">
        <f>HLOOKUP(HL571,HK567:HR568,2,0)</f>
        <v>275</v>
      </c>
      <c r="HM572" s="1684"/>
      <c r="HN572" s="1684"/>
      <c r="HO572" s="1684"/>
      <c r="HP572" s="1684"/>
      <c r="HQ572" s="1684"/>
      <c r="HR572" s="1684"/>
      <c r="HS572" s="1684"/>
      <c r="HT572" s="462"/>
      <c r="IN572" s="277"/>
      <c r="IO572" s="277"/>
    </row>
    <row r="573" spans="2:249" ht="21.95" customHeight="1">
      <c r="B573" s="284" t="s">
        <v>2184</v>
      </c>
      <c r="C573" s="2381">
        <f>C562</f>
        <v>68.3</v>
      </c>
      <c r="D573" s="2251"/>
      <c r="E573" s="2251"/>
      <c r="F573" s="1684"/>
      <c r="G573" s="1684"/>
      <c r="H573" s="1684"/>
      <c r="I573" s="1684"/>
      <c r="J573" s="2374"/>
      <c r="K573" s="1684"/>
      <c r="L573" s="284" t="s">
        <v>2184</v>
      </c>
      <c r="M573" s="2381">
        <f>M562</f>
        <v>68.3</v>
      </c>
      <c r="N573" s="2251"/>
      <c r="O573" s="2251"/>
      <c r="P573" s="1684"/>
      <c r="Q573" s="1684"/>
      <c r="R573" s="1684"/>
      <c r="S573" s="1684"/>
      <c r="T573" s="1684"/>
      <c r="U573" s="1684"/>
      <c r="V573" s="284" t="s">
        <v>2184</v>
      </c>
      <c r="W573" s="2381">
        <f>W562</f>
        <v>68.3</v>
      </c>
      <c r="X573" s="2251"/>
      <c r="Y573" s="2251"/>
      <c r="Z573" s="1684"/>
      <c r="AA573" s="1684"/>
      <c r="AB573" s="1684"/>
      <c r="AC573" s="1684"/>
      <c r="AD573" s="1684"/>
      <c r="AE573" s="1684"/>
      <c r="AF573" s="284" t="s">
        <v>2184</v>
      </c>
      <c r="AG573" s="2381">
        <f>AG562</f>
        <v>68.3</v>
      </c>
      <c r="AH573" s="2251"/>
      <c r="AI573" s="2251"/>
      <c r="AJ573" s="1684"/>
      <c r="AK573" s="1684"/>
      <c r="AL573" s="1684"/>
      <c r="AM573" s="1684"/>
      <c r="AN573" s="1684"/>
      <c r="AO573" s="462"/>
      <c r="BF573" s="2176"/>
      <c r="BG573" s="2176"/>
      <c r="BI573" s="286"/>
      <c r="BJ573" s="1"/>
      <c r="BK573" s="2378" t="e">
        <f>IF(BL571=BM589,"Right","Wrong")</f>
        <v>#N/A</v>
      </c>
      <c r="BL573" s="2380"/>
      <c r="BM573" s="1684"/>
      <c r="BN573" s="1684"/>
      <c r="BO573" s="1684"/>
      <c r="BP573" s="1684"/>
      <c r="BQ573" s="1684"/>
      <c r="BR573" s="1684"/>
      <c r="BS573" s="2374"/>
      <c r="BT573" s="1684"/>
      <c r="BU573" s="2378" t="e">
        <f>IF(BV571=BW589,"Right","Wrong")</f>
        <v>#N/A</v>
      </c>
      <c r="BV573" s="2380"/>
      <c r="BW573" s="1684"/>
      <c r="BX573" s="1684"/>
      <c r="BY573" s="1684"/>
      <c r="BZ573" s="1684"/>
      <c r="CA573" s="1684"/>
      <c r="CB573" s="1684"/>
      <c r="CC573" s="1684"/>
      <c r="CD573" s="1684"/>
      <c r="CE573" s="2378" t="e">
        <f>IF(CF571=CG589,"Right","Wrong")</f>
        <v>#N/A</v>
      </c>
      <c r="CF573" s="2380"/>
      <c r="CG573" s="1684"/>
      <c r="CH573" s="1684"/>
      <c r="CI573" s="1684"/>
      <c r="CJ573" s="1684"/>
      <c r="CK573" s="1684"/>
      <c r="CL573" s="1684"/>
      <c r="CM573" s="1684"/>
      <c r="CN573" s="1684"/>
      <c r="CO573" s="2378" t="e">
        <f>IF(CP571=CQ589,"Right","Wrong")</f>
        <v>#N/A</v>
      </c>
      <c r="CP573" s="2380"/>
      <c r="CQ573" s="1684"/>
      <c r="CR573" s="1684"/>
      <c r="CS573" s="1684"/>
      <c r="CT573" s="1684"/>
      <c r="CU573" s="1684"/>
      <c r="CV573" s="1684"/>
      <c r="CW573" s="1684"/>
      <c r="CX573" s="462"/>
      <c r="DS573" s="277"/>
      <c r="DW573" s="1"/>
      <c r="DX573" s="284" t="s">
        <v>2184</v>
      </c>
      <c r="DY573" s="2381">
        <f>DY562</f>
        <v>43.9</v>
      </c>
      <c r="DZ573" s="2251"/>
      <c r="EA573" s="2251"/>
      <c r="EB573" s="1684"/>
      <c r="EC573" s="1684"/>
      <c r="ED573" s="1684"/>
      <c r="EE573" s="1684"/>
      <c r="EF573" s="2374"/>
      <c r="EG573" s="1684"/>
      <c r="EH573" s="284" t="s">
        <v>2184</v>
      </c>
      <c r="EI573" s="2381">
        <f>EI562</f>
        <v>43.9</v>
      </c>
      <c r="EJ573" s="2251"/>
      <c r="EK573" s="2251"/>
      <c r="EL573" s="1684"/>
      <c r="EM573" s="1684"/>
      <c r="EN573" s="1684"/>
      <c r="EO573" s="1684"/>
      <c r="EP573" s="1684"/>
      <c r="EQ573" s="1684"/>
      <c r="ER573" s="284" t="s">
        <v>2184</v>
      </c>
      <c r="ES573" s="2381">
        <f>ES562</f>
        <v>43.9</v>
      </c>
      <c r="ET573" s="2251"/>
      <c r="EU573" s="2251"/>
      <c r="EV573" s="1684"/>
      <c r="EW573" s="1684"/>
      <c r="EX573" s="1684"/>
      <c r="EY573" s="1684"/>
      <c r="EZ573" s="1684"/>
      <c r="FA573" s="1684"/>
      <c r="FB573" s="284" t="s">
        <v>2184</v>
      </c>
      <c r="FC573" s="2381">
        <f>FC562</f>
        <v>43.9</v>
      </c>
      <c r="FD573" s="2251"/>
      <c r="FE573" s="2251"/>
      <c r="FF573" s="1684"/>
      <c r="FG573" s="1684"/>
      <c r="FH573" s="1684"/>
      <c r="FI573" s="1684"/>
      <c r="FJ573" s="1684"/>
      <c r="FK573" s="462"/>
      <c r="GB573" s="2176"/>
      <c r="GC573" s="2176"/>
      <c r="GE573" s="286"/>
      <c r="GF573" s="1"/>
      <c r="GG573" s="2378" t="e">
        <f>IF(GH571=GI589,"Right","Wrong")</f>
        <v>#N/A</v>
      </c>
      <c r="GH573" s="2380"/>
      <c r="GI573" s="1684"/>
      <c r="GJ573" s="1684"/>
      <c r="GK573" s="1684"/>
      <c r="GL573" s="1684"/>
      <c r="GM573" s="1684"/>
      <c r="GN573" s="1684"/>
      <c r="GO573" s="2374"/>
      <c r="GP573" s="1684"/>
      <c r="GQ573" s="2378" t="e">
        <f>IF(GR571=GS589,"Right","Wrong")</f>
        <v>#N/A</v>
      </c>
      <c r="GR573" s="2380"/>
      <c r="GS573" s="1684"/>
      <c r="GT573" s="1684"/>
      <c r="GU573" s="1684"/>
      <c r="GV573" s="1684"/>
      <c r="GW573" s="1684"/>
      <c r="GX573" s="1684"/>
      <c r="GY573" s="1684"/>
      <c r="GZ573" s="1684"/>
      <c r="HA573" s="2378" t="e">
        <f>IF(HB571=HC589,"Right","Wrong")</f>
        <v>#N/A</v>
      </c>
      <c r="HB573" s="2380"/>
      <c r="HC573" s="1684"/>
      <c r="HD573" s="1684"/>
      <c r="HE573" s="1684"/>
      <c r="HF573" s="1684"/>
      <c r="HG573" s="1684"/>
      <c r="HH573" s="1684"/>
      <c r="HI573" s="1684"/>
      <c r="HJ573" s="1684"/>
      <c r="HK573" s="2378" t="e">
        <f>IF(HL571=HM589,"Right","Wrong")</f>
        <v>#N/A</v>
      </c>
      <c r="HL573" s="2380"/>
      <c r="HM573" s="1684"/>
      <c r="HN573" s="1684"/>
      <c r="HO573" s="1684"/>
      <c r="HP573" s="1684"/>
      <c r="HQ573" s="1684"/>
      <c r="HR573" s="1684"/>
      <c r="HS573" s="1684"/>
      <c r="HT573" s="462"/>
      <c r="IN573" s="277"/>
      <c r="IO573" s="277"/>
    </row>
    <row r="574" spans="2:249" ht="21.95" customHeight="1">
      <c r="B574" s="2251"/>
      <c r="C574" s="2251"/>
      <c r="D574" s="2251"/>
      <c r="E574" s="284" t="s">
        <v>707</v>
      </c>
      <c r="F574" s="1684"/>
      <c r="G574" s="1684"/>
      <c r="H574" s="1684"/>
      <c r="I574" s="1684"/>
      <c r="J574" s="2374"/>
      <c r="K574" s="1684"/>
      <c r="L574" s="2251"/>
      <c r="M574" s="2251"/>
      <c r="N574" s="2251"/>
      <c r="O574" s="284" t="s">
        <v>707</v>
      </c>
      <c r="P574" s="1684"/>
      <c r="Q574" s="1684"/>
      <c r="R574" s="1684"/>
      <c r="S574" s="1684"/>
      <c r="T574" s="1684"/>
      <c r="U574" s="1684"/>
      <c r="V574" s="2251"/>
      <c r="W574" s="2251"/>
      <c r="X574" s="2251"/>
      <c r="Y574" s="284" t="s">
        <v>707</v>
      </c>
      <c r="Z574" s="1684"/>
      <c r="AA574" s="1684"/>
      <c r="AB574" s="1684"/>
      <c r="AC574" s="1684"/>
      <c r="AD574" s="1684"/>
      <c r="AE574" s="1684"/>
      <c r="AF574" s="2251"/>
      <c r="AG574" s="2251"/>
      <c r="AH574" s="2251"/>
      <c r="AI574" s="284" t="s">
        <v>707</v>
      </c>
      <c r="AJ574" s="1684"/>
      <c r="AK574" s="1684"/>
      <c r="AL574" s="1684"/>
      <c r="AM574" s="1684"/>
      <c r="AN574" s="1684"/>
      <c r="AO574" s="462"/>
      <c r="BF574" s="2176"/>
      <c r="BG574" s="2176"/>
      <c r="BI574" s="286"/>
      <c r="BJ574" s="1"/>
      <c r="BK574" s="1684"/>
      <c r="BL574" s="1684"/>
      <c r="BM574" s="1684"/>
      <c r="BN574" s="1684"/>
      <c r="BO574" s="1684"/>
      <c r="BP574" s="1684"/>
      <c r="BQ574" s="1684"/>
      <c r="BR574" s="1684"/>
      <c r="BS574" s="2374"/>
      <c r="BT574" s="1684"/>
      <c r="BU574" s="1684"/>
      <c r="BV574" s="1684"/>
      <c r="BW574" s="1684"/>
      <c r="BX574" s="1684"/>
      <c r="BY574" s="1684"/>
      <c r="BZ574" s="1684"/>
      <c r="CA574" s="1684"/>
      <c r="CB574" s="1684"/>
      <c r="CC574" s="1684"/>
      <c r="CD574" s="1684"/>
      <c r="CE574" s="1684"/>
      <c r="CF574" s="1684"/>
      <c r="CG574" s="1684"/>
      <c r="CH574" s="1684"/>
      <c r="CI574" s="1684"/>
      <c r="CJ574" s="1684"/>
      <c r="CK574" s="1684"/>
      <c r="CL574" s="1684"/>
      <c r="CM574" s="1684"/>
      <c r="CN574" s="1684"/>
      <c r="CO574" s="1684"/>
      <c r="CP574" s="1684"/>
      <c r="CQ574" s="1684"/>
      <c r="CR574" s="1684"/>
      <c r="CS574" s="1684"/>
      <c r="CT574" s="1684"/>
      <c r="CU574" s="1684"/>
      <c r="CV574" s="1684"/>
      <c r="CW574" s="1684"/>
      <c r="CX574" s="462"/>
      <c r="DS574" s="277"/>
      <c r="DW574" s="1"/>
      <c r="DX574" s="2251"/>
      <c r="DY574" s="2251"/>
      <c r="DZ574" s="2251"/>
      <c r="EA574" s="284" t="s">
        <v>707</v>
      </c>
      <c r="EB574" s="1684"/>
      <c r="EC574" s="1684"/>
      <c r="ED574" s="1684"/>
      <c r="EE574" s="1684"/>
      <c r="EF574" s="2374"/>
      <c r="EG574" s="1684"/>
      <c r="EH574" s="2251"/>
      <c r="EI574" s="2251"/>
      <c r="EJ574" s="2251"/>
      <c r="EK574" s="284" t="s">
        <v>707</v>
      </c>
      <c r="EL574" s="1684"/>
      <c r="EM574" s="1684"/>
      <c r="EN574" s="1684"/>
      <c r="EO574" s="1684"/>
      <c r="EP574" s="1684"/>
      <c r="EQ574" s="1684"/>
      <c r="ER574" s="2251"/>
      <c r="ES574" s="2251"/>
      <c r="ET574" s="2251"/>
      <c r="EU574" s="284" t="s">
        <v>707</v>
      </c>
      <c r="EV574" s="1684"/>
      <c r="EW574" s="1684"/>
      <c r="EX574" s="1684"/>
      <c r="EY574" s="1684"/>
      <c r="EZ574" s="1684"/>
      <c r="FA574" s="1684"/>
      <c r="FB574" s="2251"/>
      <c r="FC574" s="2251"/>
      <c r="FD574" s="2251"/>
      <c r="FE574" s="284" t="s">
        <v>707</v>
      </c>
      <c r="FF574" s="1684"/>
      <c r="FG574" s="1684"/>
      <c r="FH574" s="1684"/>
      <c r="FI574" s="1684"/>
      <c r="FJ574" s="1684"/>
      <c r="FK574" s="462"/>
      <c r="GB574" s="2176"/>
      <c r="GC574" s="2176"/>
      <c r="GE574" s="286"/>
      <c r="GF574" s="1"/>
      <c r="GG574" s="1684"/>
      <c r="GH574" s="1684"/>
      <c r="GI574" s="1684"/>
      <c r="GJ574" s="1684"/>
      <c r="GK574" s="1684"/>
      <c r="GL574" s="1684"/>
      <c r="GM574" s="1684"/>
      <c r="GN574" s="1684"/>
      <c r="GO574" s="2374"/>
      <c r="GP574" s="1684"/>
      <c r="GQ574" s="1684"/>
      <c r="GR574" s="1684"/>
      <c r="GS574" s="1684"/>
      <c r="GT574" s="1684"/>
      <c r="GU574" s="1684"/>
      <c r="GV574" s="1684"/>
      <c r="GW574" s="1684"/>
      <c r="GX574" s="1684"/>
      <c r="GY574" s="1684"/>
      <c r="GZ574" s="1684"/>
      <c r="HA574" s="1684"/>
      <c r="HB574" s="1684"/>
      <c r="HC574" s="1684"/>
      <c r="HD574" s="1684"/>
      <c r="HE574" s="1684"/>
      <c r="HF574" s="1684"/>
      <c r="HG574" s="1684"/>
      <c r="HH574" s="1684"/>
      <c r="HI574" s="1684"/>
      <c r="HJ574" s="1684"/>
      <c r="HK574" s="1684"/>
      <c r="HL574" s="1684"/>
      <c r="HM574" s="1684"/>
      <c r="HN574" s="1684"/>
      <c r="HO574" s="1684"/>
      <c r="HP574" s="1684"/>
      <c r="HQ574" s="1684"/>
      <c r="HR574" s="1684"/>
      <c r="HS574" s="1684"/>
      <c r="HT574" s="462"/>
      <c r="IN574" s="277"/>
      <c r="IO574" s="277"/>
    </row>
    <row r="575" spans="2:249" ht="21.95" customHeight="1">
      <c r="B575" s="284" t="s">
        <v>707</v>
      </c>
      <c r="C575" s="284">
        <v>0</v>
      </c>
      <c r="D575" s="284" t="e">
        <f>+C576</f>
        <v>#N/A</v>
      </c>
      <c r="E575" s="284">
        <v>275</v>
      </c>
      <c r="F575" s="1684"/>
      <c r="L575" s="284" t="s">
        <v>707</v>
      </c>
      <c r="M575" s="284">
        <v>0</v>
      </c>
      <c r="N575" s="284" t="e">
        <f>+M576</f>
        <v>#N/A</v>
      </c>
      <c r="O575" s="284">
        <v>275</v>
      </c>
      <c r="P575" s="1684"/>
      <c r="Q575" s="1684"/>
      <c r="R575" s="1684"/>
      <c r="S575" s="1684"/>
      <c r="T575" s="1684"/>
      <c r="U575" s="1684"/>
      <c r="V575" s="284" t="s">
        <v>707</v>
      </c>
      <c r="W575" s="284">
        <v>0</v>
      </c>
      <c r="X575" s="284" t="e">
        <f>+W576</f>
        <v>#N/A</v>
      </c>
      <c r="Y575" s="284">
        <v>275</v>
      </c>
      <c r="Z575" s="1684"/>
      <c r="AA575" s="1684"/>
      <c r="AB575" s="1684"/>
      <c r="AC575" s="1684"/>
      <c r="AD575" s="1684"/>
      <c r="AE575" s="1684"/>
      <c r="AF575" s="284" t="s">
        <v>707</v>
      </c>
      <c r="AG575" s="284">
        <v>0</v>
      </c>
      <c r="AH575" s="284" t="e">
        <f>+AG576</f>
        <v>#N/A</v>
      </c>
      <c r="AI575" s="284">
        <v>275</v>
      </c>
      <c r="AJ575" s="1684"/>
      <c r="AK575" s="1684"/>
      <c r="AL575" s="1684"/>
      <c r="AM575" s="1684"/>
      <c r="AN575" s="1684"/>
      <c r="AO575" s="462"/>
      <c r="BF575" s="2176"/>
      <c r="BG575" s="2176"/>
      <c r="BI575" s="286"/>
      <c r="BJ575" s="1"/>
      <c r="BK575" s="284" t="s">
        <v>2183</v>
      </c>
      <c r="BL575" s="2381">
        <f>BL564</f>
        <v>0.75631178540277322</v>
      </c>
      <c r="BM575" s="2251"/>
      <c r="BN575" s="2251"/>
      <c r="BO575" s="1684"/>
      <c r="BP575" s="1684"/>
      <c r="BQ575" s="1684"/>
      <c r="BR575" s="1684"/>
      <c r="BS575" s="2374"/>
      <c r="BT575" s="1684"/>
      <c r="BU575" s="284" t="s">
        <v>2183</v>
      </c>
      <c r="BV575" s="2381">
        <f>BV564</f>
        <v>0.75631178540277322</v>
      </c>
      <c r="BW575" s="2251"/>
      <c r="BX575" s="2251"/>
      <c r="BY575" s="1684"/>
      <c r="BZ575" s="1684"/>
      <c r="CA575" s="1684"/>
      <c r="CB575" s="1684"/>
      <c r="CC575" s="1684"/>
      <c r="CD575" s="1684"/>
      <c r="CE575" s="284" t="s">
        <v>2183</v>
      </c>
      <c r="CF575" s="2381">
        <f>CF564</f>
        <v>0.75631178540277322</v>
      </c>
      <c r="CG575" s="2251"/>
      <c r="CH575" s="2251"/>
      <c r="CI575" s="1684"/>
      <c r="CJ575" s="1684"/>
      <c r="CK575" s="1684"/>
      <c r="CL575" s="1684"/>
      <c r="CM575" s="1684"/>
      <c r="CN575" s="1684"/>
      <c r="CO575" s="284" t="s">
        <v>2183</v>
      </c>
      <c r="CP575" s="2381">
        <f>CP564</f>
        <v>0.75631178540277322</v>
      </c>
      <c r="CQ575" s="2251"/>
      <c r="CR575" s="2251"/>
      <c r="CS575" s="1684"/>
      <c r="CT575" s="1684"/>
      <c r="CU575" s="1684"/>
      <c r="CV575" s="1684"/>
      <c r="CW575" s="1684"/>
      <c r="CX575" s="462"/>
      <c r="DS575" s="277"/>
      <c r="DW575" s="1"/>
      <c r="DX575" s="284" t="s">
        <v>707</v>
      </c>
      <c r="DY575" s="284">
        <v>0</v>
      </c>
      <c r="DZ575" s="284" t="e">
        <f t="shared" ref="DZ575:DZ581" si="341">+DY576</f>
        <v>#N/A</v>
      </c>
      <c r="EA575" s="284">
        <v>275</v>
      </c>
      <c r="EB575" s="1684"/>
      <c r="EH575" s="284" t="s">
        <v>707</v>
      </c>
      <c r="EI575" s="284">
        <v>0</v>
      </c>
      <c r="EJ575" s="284" t="e">
        <f t="shared" ref="EJ575:EJ581" si="342">+EI576</f>
        <v>#N/A</v>
      </c>
      <c r="EK575" s="284">
        <v>275</v>
      </c>
      <c r="EL575" s="1684"/>
      <c r="EM575" s="1684"/>
      <c r="EN575" s="1684"/>
      <c r="EO575" s="1684"/>
      <c r="EP575" s="1684"/>
      <c r="EQ575" s="1684"/>
      <c r="ER575" s="284" t="s">
        <v>707</v>
      </c>
      <c r="ES575" s="284">
        <v>0</v>
      </c>
      <c r="ET575" s="284" t="e">
        <f t="shared" ref="ET575:ET581" si="343">+ES576</f>
        <v>#N/A</v>
      </c>
      <c r="EU575" s="284">
        <v>275</v>
      </c>
      <c r="EV575" s="1684"/>
      <c r="EW575" s="1684"/>
      <c r="EX575" s="1684"/>
      <c r="EY575" s="1684"/>
      <c r="EZ575" s="1684"/>
      <c r="FA575" s="1684"/>
      <c r="FB575" s="284" t="s">
        <v>707</v>
      </c>
      <c r="FC575" s="284">
        <v>0</v>
      </c>
      <c r="FD575" s="284" t="e">
        <f t="shared" ref="FD575:FD581" si="344">+FC576</f>
        <v>#N/A</v>
      </c>
      <c r="FE575" s="284">
        <v>275</v>
      </c>
      <c r="FF575" s="1684"/>
      <c r="FG575" s="1684"/>
      <c r="FH575" s="1684"/>
      <c r="FI575" s="1684"/>
      <c r="FJ575" s="1684"/>
      <c r="FK575" s="462"/>
      <c r="GB575" s="2176"/>
      <c r="GC575" s="2176"/>
      <c r="GE575" s="286"/>
      <c r="GF575" s="1"/>
      <c r="GG575" s="284" t="s">
        <v>2183</v>
      </c>
      <c r="GH575" s="2381">
        <f>GH564</f>
        <v>1.3354563802212776</v>
      </c>
      <c r="GI575" s="2251"/>
      <c r="GJ575" s="2251"/>
      <c r="GK575" s="1684"/>
      <c r="GL575" s="1684"/>
      <c r="GM575" s="1684"/>
      <c r="GN575" s="1684"/>
      <c r="GO575" s="2374"/>
      <c r="GP575" s="1684"/>
      <c r="GQ575" s="284" t="s">
        <v>2183</v>
      </c>
      <c r="GR575" s="2381">
        <f>GR564</f>
        <v>1.3354563802212776</v>
      </c>
      <c r="GS575" s="2251"/>
      <c r="GT575" s="2251"/>
      <c r="GU575" s="1684"/>
      <c r="GV575" s="1684"/>
      <c r="GW575" s="1684"/>
      <c r="GX575" s="1684"/>
      <c r="GY575" s="1684"/>
      <c r="GZ575" s="1684"/>
      <c r="HA575" s="284" t="s">
        <v>2183</v>
      </c>
      <c r="HB575" s="2381">
        <f>HB564</f>
        <v>1.3354563802212776</v>
      </c>
      <c r="HC575" s="2251"/>
      <c r="HD575" s="2251"/>
      <c r="HE575" s="1684"/>
      <c r="HF575" s="1684"/>
      <c r="HG575" s="1684"/>
      <c r="HH575" s="1684"/>
      <c r="HI575" s="1684"/>
      <c r="HJ575" s="1684"/>
      <c r="HK575" s="284" t="s">
        <v>2183</v>
      </c>
      <c r="HL575" s="2381">
        <f>HL564</f>
        <v>1.3354563802212776</v>
      </c>
      <c r="HM575" s="2251"/>
      <c r="HN575" s="2251"/>
      <c r="HO575" s="1684"/>
      <c r="HP575" s="1684"/>
      <c r="HQ575" s="1684"/>
      <c r="HR575" s="1684"/>
      <c r="HS575" s="1684"/>
      <c r="HT575" s="462"/>
      <c r="IN575" s="277"/>
      <c r="IO575" s="277"/>
    </row>
    <row r="576" spans="2:249" ht="21.95" customHeight="1">
      <c r="B576" s="284">
        <v>275</v>
      </c>
      <c r="C576" s="284" t="e">
        <f>VLOOKUP(C573,B557:I559,2,0)</f>
        <v>#N/A</v>
      </c>
      <c r="D576" s="284" t="e">
        <f t="shared" ref="D576:D581" si="345">+C577</f>
        <v>#N/A</v>
      </c>
      <c r="E576" s="284">
        <v>300</v>
      </c>
      <c r="F576" s="1684"/>
      <c r="L576" s="284">
        <v>275</v>
      </c>
      <c r="M576" s="284" t="e">
        <f>VLOOKUP(M573,L557:S559,2,0)</f>
        <v>#N/A</v>
      </c>
      <c r="N576" s="284" t="e">
        <f t="shared" ref="N576:N581" si="346">+M577</f>
        <v>#N/A</v>
      </c>
      <c r="O576" s="284">
        <v>300</v>
      </c>
      <c r="P576" s="1684"/>
      <c r="Q576" s="1684"/>
      <c r="R576" s="1684"/>
      <c r="S576" s="1684"/>
      <c r="T576" s="1684"/>
      <c r="U576" s="1684"/>
      <c r="V576" s="284">
        <v>275</v>
      </c>
      <c r="W576" s="284" t="e">
        <f>VLOOKUP(W573,V557:AC559,2,0)</f>
        <v>#N/A</v>
      </c>
      <c r="X576" s="284" t="e">
        <f t="shared" ref="X576:X581" si="347">+W577</f>
        <v>#N/A</v>
      </c>
      <c r="Y576" s="284">
        <v>300</v>
      </c>
      <c r="Z576" s="1684"/>
      <c r="AA576" s="1684"/>
      <c r="AB576" s="1684"/>
      <c r="AC576" s="1684"/>
      <c r="AD576" s="1684"/>
      <c r="AE576" s="1684"/>
      <c r="AF576" s="284">
        <v>275</v>
      </c>
      <c r="AG576" s="284" t="e">
        <f>VLOOKUP(AG573,AF557:AM559,2,0)</f>
        <v>#N/A</v>
      </c>
      <c r="AH576" s="284" t="e">
        <f t="shared" ref="AH576:AH581" si="348">+AG577</f>
        <v>#N/A</v>
      </c>
      <c r="AI576" s="284">
        <v>300</v>
      </c>
      <c r="AJ576" s="1684"/>
      <c r="AK576" s="1684"/>
      <c r="AL576" s="1684"/>
      <c r="AM576" s="1684"/>
      <c r="AN576" s="1684"/>
      <c r="AO576" s="462"/>
      <c r="BF576" s="2176"/>
      <c r="BG576" s="2176"/>
      <c r="BI576" s="286"/>
      <c r="BJ576" s="1"/>
      <c r="BK576" s="284" t="s">
        <v>2184</v>
      </c>
      <c r="BL576" s="2381">
        <f>BL565</f>
        <v>73.7</v>
      </c>
      <c r="BM576" s="2251"/>
      <c r="BN576" s="2251"/>
      <c r="BO576" s="1684"/>
      <c r="BP576" s="1684"/>
      <c r="BQ576" s="1684"/>
      <c r="BR576" s="1684"/>
      <c r="BS576" s="2374"/>
      <c r="BT576" s="1684"/>
      <c r="BU576" s="284" t="s">
        <v>2184</v>
      </c>
      <c r="BV576" s="2381">
        <f>BV565</f>
        <v>73.7</v>
      </c>
      <c r="BW576" s="2251"/>
      <c r="BX576" s="2251"/>
      <c r="BY576" s="1684"/>
      <c r="BZ576" s="1684"/>
      <c r="CA576" s="1684"/>
      <c r="CB576" s="1684"/>
      <c r="CC576" s="1684"/>
      <c r="CD576" s="1684"/>
      <c r="CE576" s="284" t="s">
        <v>2184</v>
      </c>
      <c r="CF576" s="2381">
        <f>CF565</f>
        <v>73.7</v>
      </c>
      <c r="CG576" s="2251"/>
      <c r="CH576" s="2251"/>
      <c r="CI576" s="1684"/>
      <c r="CJ576" s="1684"/>
      <c r="CK576" s="1684"/>
      <c r="CL576" s="1684"/>
      <c r="CM576" s="1684"/>
      <c r="CN576" s="1684"/>
      <c r="CO576" s="284" t="s">
        <v>2184</v>
      </c>
      <c r="CP576" s="2381">
        <f>CP565</f>
        <v>73.7</v>
      </c>
      <c r="CQ576" s="2251"/>
      <c r="CR576" s="2251"/>
      <c r="CS576" s="1684"/>
      <c r="CT576" s="1684"/>
      <c r="CU576" s="1684"/>
      <c r="CV576" s="1684"/>
      <c r="CW576" s="1684"/>
      <c r="CX576" s="462"/>
      <c r="DS576" s="277"/>
      <c r="DW576" s="1"/>
      <c r="DX576" s="284">
        <v>275</v>
      </c>
      <c r="DY576" s="284" t="e">
        <f>VLOOKUP(DY573,DX557:EE559,2,0)</f>
        <v>#N/A</v>
      </c>
      <c r="DZ576" s="284" t="e">
        <f t="shared" si="341"/>
        <v>#N/A</v>
      </c>
      <c r="EA576" s="284">
        <v>300</v>
      </c>
      <c r="EB576" s="1684"/>
      <c r="EH576" s="284">
        <v>275</v>
      </c>
      <c r="EI576" s="284" t="e">
        <f>VLOOKUP(EI573,EH557:EO559,2,0)</f>
        <v>#N/A</v>
      </c>
      <c r="EJ576" s="284" t="e">
        <f t="shared" si="342"/>
        <v>#N/A</v>
      </c>
      <c r="EK576" s="284">
        <v>300</v>
      </c>
      <c r="EL576" s="1684"/>
      <c r="EM576" s="1684"/>
      <c r="EN576" s="1684"/>
      <c r="EO576" s="1684"/>
      <c r="EP576" s="1684"/>
      <c r="EQ576" s="1684"/>
      <c r="ER576" s="284">
        <v>275</v>
      </c>
      <c r="ES576" s="284" t="e">
        <f>VLOOKUP(ES573,ER557:EY559,2,0)</f>
        <v>#N/A</v>
      </c>
      <c r="ET576" s="284" t="e">
        <f t="shared" si="343"/>
        <v>#N/A</v>
      </c>
      <c r="EU576" s="284">
        <v>300</v>
      </c>
      <c r="EV576" s="1684"/>
      <c r="EW576" s="1684"/>
      <c r="EX576" s="1684"/>
      <c r="EY576" s="1684"/>
      <c r="EZ576" s="1684"/>
      <c r="FA576" s="1684"/>
      <c r="FB576" s="284">
        <v>275</v>
      </c>
      <c r="FC576" s="284" t="e">
        <f>VLOOKUP(FC573,FB557:FI559,2,0)</f>
        <v>#N/A</v>
      </c>
      <c r="FD576" s="284" t="e">
        <f t="shared" si="344"/>
        <v>#N/A</v>
      </c>
      <c r="FE576" s="284">
        <v>300</v>
      </c>
      <c r="FF576" s="1684"/>
      <c r="FG576" s="1684"/>
      <c r="FH576" s="1684"/>
      <c r="FI576" s="1684"/>
      <c r="FJ576" s="1684"/>
      <c r="FK576" s="462"/>
      <c r="GB576" s="2176"/>
      <c r="GC576" s="2176"/>
      <c r="GE576" s="286"/>
      <c r="GF576" s="1"/>
      <c r="GG576" s="284" t="s">
        <v>2184</v>
      </c>
      <c r="GH576" s="2381">
        <f>GH565</f>
        <v>48.8</v>
      </c>
      <c r="GI576" s="2251"/>
      <c r="GJ576" s="2251"/>
      <c r="GK576" s="1684"/>
      <c r="GL576" s="1684"/>
      <c r="GM576" s="1684"/>
      <c r="GN576" s="1684"/>
      <c r="GO576" s="2374"/>
      <c r="GP576" s="1684"/>
      <c r="GQ576" s="284" t="s">
        <v>2184</v>
      </c>
      <c r="GR576" s="2381">
        <f>GR565</f>
        <v>48.8</v>
      </c>
      <c r="GS576" s="2251"/>
      <c r="GT576" s="2251"/>
      <c r="GU576" s="1684"/>
      <c r="GV576" s="1684"/>
      <c r="GW576" s="1684"/>
      <c r="GX576" s="1684"/>
      <c r="GY576" s="1684"/>
      <c r="GZ576" s="1684"/>
      <c r="HA576" s="284" t="s">
        <v>2184</v>
      </c>
      <c r="HB576" s="2381">
        <f>HB565</f>
        <v>48.8</v>
      </c>
      <c r="HC576" s="2251"/>
      <c r="HD576" s="2251"/>
      <c r="HE576" s="1684"/>
      <c r="HF576" s="1684"/>
      <c r="HG576" s="1684"/>
      <c r="HH576" s="1684"/>
      <c r="HI576" s="1684"/>
      <c r="HJ576" s="1684"/>
      <c r="HK576" s="284" t="s">
        <v>2184</v>
      </c>
      <c r="HL576" s="2381">
        <f>HL565</f>
        <v>48.8</v>
      </c>
      <c r="HM576" s="2251"/>
      <c r="HN576" s="2251"/>
      <c r="HO576" s="1684"/>
      <c r="HP576" s="1684"/>
      <c r="HQ576" s="1684"/>
      <c r="HR576" s="1684"/>
      <c r="HS576" s="1684"/>
      <c r="HT576" s="462"/>
      <c r="IN576" s="277"/>
      <c r="IO576" s="277"/>
    </row>
    <row r="577" spans="2:249" ht="21.95" customHeight="1">
      <c r="B577" s="284">
        <v>300</v>
      </c>
      <c r="C577" s="284" t="e">
        <f>VLOOKUP(C573,B557:I559,3,0)</f>
        <v>#N/A</v>
      </c>
      <c r="D577" s="284" t="e">
        <f t="shared" si="345"/>
        <v>#N/A</v>
      </c>
      <c r="E577" s="284">
        <v>350</v>
      </c>
      <c r="F577" s="1684"/>
      <c r="L577" s="284">
        <v>300</v>
      </c>
      <c r="M577" s="284" t="e">
        <f>VLOOKUP(M573,L557:S559,3,0)</f>
        <v>#N/A</v>
      </c>
      <c r="N577" s="284" t="e">
        <f t="shared" si="346"/>
        <v>#N/A</v>
      </c>
      <c r="O577" s="284">
        <v>350</v>
      </c>
      <c r="P577" s="1684"/>
      <c r="Q577" s="1684"/>
      <c r="R577" s="1684"/>
      <c r="S577" s="1684"/>
      <c r="T577" s="1684"/>
      <c r="U577" s="1684"/>
      <c r="V577" s="284">
        <v>300</v>
      </c>
      <c r="W577" s="284" t="e">
        <f>VLOOKUP(W573,V557:AC559,3,0)</f>
        <v>#N/A</v>
      </c>
      <c r="X577" s="284" t="e">
        <f t="shared" si="347"/>
        <v>#N/A</v>
      </c>
      <c r="Y577" s="284">
        <v>350</v>
      </c>
      <c r="Z577" s="1684"/>
      <c r="AA577" s="1684"/>
      <c r="AB577" s="1684"/>
      <c r="AC577" s="1684"/>
      <c r="AD577" s="1684"/>
      <c r="AE577" s="1684"/>
      <c r="AF577" s="284">
        <v>300</v>
      </c>
      <c r="AG577" s="284" t="e">
        <f>VLOOKUP(AG573,AF557:AM559,3,0)</f>
        <v>#N/A</v>
      </c>
      <c r="AH577" s="284" t="e">
        <f t="shared" si="348"/>
        <v>#N/A</v>
      </c>
      <c r="AI577" s="284">
        <v>350</v>
      </c>
      <c r="AJ577" s="1684"/>
      <c r="AK577" s="1684"/>
      <c r="AL577" s="1684"/>
      <c r="AM577" s="1684"/>
      <c r="AN577" s="1684"/>
      <c r="AO577" s="462"/>
      <c r="BF577" s="2176"/>
      <c r="BG577" s="2176"/>
      <c r="BI577" s="286"/>
      <c r="BJ577" s="1"/>
      <c r="BK577" s="2251"/>
      <c r="BL577" s="2251"/>
      <c r="BM577" s="2251"/>
      <c r="BN577" s="284" t="s">
        <v>707</v>
      </c>
      <c r="BO577" s="1684"/>
      <c r="BP577" s="1684"/>
      <c r="BQ577" s="1684"/>
      <c r="BR577" s="1684"/>
      <c r="BS577" s="2374"/>
      <c r="BT577" s="1684"/>
      <c r="BU577" s="2251"/>
      <c r="BV577" s="2251"/>
      <c r="BW577" s="2251"/>
      <c r="BX577" s="284" t="s">
        <v>707</v>
      </c>
      <c r="BY577" s="1684"/>
      <c r="BZ577" s="1684"/>
      <c r="CA577" s="1684"/>
      <c r="CB577" s="1684"/>
      <c r="CC577" s="1684"/>
      <c r="CD577" s="1684"/>
      <c r="CE577" s="2251"/>
      <c r="CF577" s="2251"/>
      <c r="CG577" s="2251"/>
      <c r="CH577" s="284" t="s">
        <v>707</v>
      </c>
      <c r="CI577" s="1684"/>
      <c r="CJ577" s="1684"/>
      <c r="CK577" s="1684"/>
      <c r="CL577" s="1684"/>
      <c r="CM577" s="1684"/>
      <c r="CN577" s="1684"/>
      <c r="CO577" s="2251"/>
      <c r="CP577" s="2251"/>
      <c r="CQ577" s="2251"/>
      <c r="CR577" s="284" t="s">
        <v>707</v>
      </c>
      <c r="CS577" s="1684"/>
      <c r="CT577" s="1684"/>
      <c r="CU577" s="1684"/>
      <c r="CV577" s="1684"/>
      <c r="CW577" s="1684"/>
      <c r="CX577" s="462"/>
      <c r="DS577" s="277"/>
      <c r="DW577" s="1"/>
      <c r="DX577" s="284">
        <v>300</v>
      </c>
      <c r="DY577" s="284" t="e">
        <f>VLOOKUP(DY573,DX557:EE559,3,0)</f>
        <v>#N/A</v>
      </c>
      <c r="DZ577" s="284" t="e">
        <f t="shared" si="341"/>
        <v>#N/A</v>
      </c>
      <c r="EA577" s="284">
        <v>350</v>
      </c>
      <c r="EB577" s="1684"/>
      <c r="EH577" s="284">
        <v>300</v>
      </c>
      <c r="EI577" s="284" t="e">
        <f>VLOOKUP(EI573,EH557:EO559,3,0)</f>
        <v>#N/A</v>
      </c>
      <c r="EJ577" s="284" t="e">
        <f t="shared" si="342"/>
        <v>#N/A</v>
      </c>
      <c r="EK577" s="284">
        <v>350</v>
      </c>
      <c r="EL577" s="1684"/>
      <c r="EM577" s="1684"/>
      <c r="EN577" s="1684"/>
      <c r="EO577" s="1684"/>
      <c r="EP577" s="1684"/>
      <c r="EQ577" s="1684"/>
      <c r="ER577" s="284">
        <v>300</v>
      </c>
      <c r="ES577" s="284" t="e">
        <f>VLOOKUP(ES573,ER557:EY559,3,0)</f>
        <v>#N/A</v>
      </c>
      <c r="ET577" s="284" t="e">
        <f t="shared" si="343"/>
        <v>#N/A</v>
      </c>
      <c r="EU577" s="284">
        <v>350</v>
      </c>
      <c r="EV577" s="1684"/>
      <c r="EW577" s="1684"/>
      <c r="EX577" s="1684"/>
      <c r="EY577" s="1684"/>
      <c r="EZ577" s="1684"/>
      <c r="FA577" s="1684"/>
      <c r="FB577" s="284">
        <v>300</v>
      </c>
      <c r="FC577" s="284" t="e">
        <f>VLOOKUP(FC573,FB557:FI559,3,0)</f>
        <v>#N/A</v>
      </c>
      <c r="FD577" s="284" t="e">
        <f t="shared" si="344"/>
        <v>#N/A</v>
      </c>
      <c r="FE577" s="284">
        <v>350</v>
      </c>
      <c r="FF577" s="1684"/>
      <c r="FG577" s="1684"/>
      <c r="FH577" s="1684"/>
      <c r="FI577" s="1684"/>
      <c r="FJ577" s="1684"/>
      <c r="FK577" s="462"/>
      <c r="GB577" s="2176"/>
      <c r="GC577" s="2176"/>
      <c r="GE577" s="286"/>
      <c r="GF577" s="1"/>
      <c r="GG577" s="2251"/>
      <c r="GH577" s="2251"/>
      <c r="GI577" s="2251"/>
      <c r="GJ577" s="284" t="s">
        <v>707</v>
      </c>
      <c r="GK577" s="1684"/>
      <c r="GL577" s="1684"/>
      <c r="GM577" s="1684"/>
      <c r="GN577" s="1684"/>
      <c r="GO577" s="2374"/>
      <c r="GP577" s="1684"/>
      <c r="GQ577" s="2251"/>
      <c r="GR577" s="2251"/>
      <c r="GS577" s="2251"/>
      <c r="GT577" s="284" t="s">
        <v>707</v>
      </c>
      <c r="GU577" s="1684"/>
      <c r="GV577" s="1684"/>
      <c r="GW577" s="1684"/>
      <c r="GX577" s="1684"/>
      <c r="GY577" s="1684"/>
      <c r="GZ577" s="1684"/>
      <c r="HA577" s="2251"/>
      <c r="HB577" s="2251"/>
      <c r="HC577" s="2251"/>
      <c r="HD577" s="284" t="s">
        <v>707</v>
      </c>
      <c r="HE577" s="1684"/>
      <c r="HF577" s="1684"/>
      <c r="HG577" s="1684"/>
      <c r="HH577" s="1684"/>
      <c r="HI577" s="1684"/>
      <c r="HJ577" s="1684"/>
      <c r="HK577" s="2251"/>
      <c r="HL577" s="2251"/>
      <c r="HM577" s="2251"/>
      <c r="HN577" s="284" t="s">
        <v>707</v>
      </c>
      <c r="HO577" s="1684"/>
      <c r="HP577" s="1684"/>
      <c r="HQ577" s="1684"/>
      <c r="HR577" s="1684"/>
      <c r="HS577" s="1684"/>
      <c r="HT577" s="462"/>
      <c r="IN577" s="277"/>
      <c r="IO577" s="277"/>
    </row>
    <row r="578" spans="2:249" ht="21.95" customHeight="1">
      <c r="B578" s="284">
        <v>350</v>
      </c>
      <c r="C578" s="284" t="e">
        <f>VLOOKUP(C573,B557:I559,4,0)</f>
        <v>#N/A</v>
      </c>
      <c r="D578" s="284" t="e">
        <f t="shared" si="345"/>
        <v>#N/A</v>
      </c>
      <c r="E578" s="284">
        <v>400</v>
      </c>
      <c r="F578" s="1684"/>
      <c r="L578" s="284">
        <v>350</v>
      </c>
      <c r="M578" s="284" t="e">
        <f>VLOOKUP(M573,L557:S559,4,0)</f>
        <v>#N/A</v>
      </c>
      <c r="N578" s="284" t="e">
        <f t="shared" si="346"/>
        <v>#N/A</v>
      </c>
      <c r="O578" s="284">
        <v>400</v>
      </c>
      <c r="P578" s="1684"/>
      <c r="Q578" s="1684"/>
      <c r="R578" s="1684"/>
      <c r="S578" s="1684"/>
      <c r="T578" s="1684"/>
      <c r="U578" s="1684"/>
      <c r="V578" s="284">
        <v>350</v>
      </c>
      <c r="W578" s="284" t="e">
        <f>VLOOKUP(W573,V557:AC559,4,0)</f>
        <v>#N/A</v>
      </c>
      <c r="X578" s="284" t="e">
        <f t="shared" si="347"/>
        <v>#N/A</v>
      </c>
      <c r="Y578" s="284">
        <v>400</v>
      </c>
      <c r="Z578" s="1684"/>
      <c r="AA578" s="1684"/>
      <c r="AB578" s="1684"/>
      <c r="AC578" s="1684"/>
      <c r="AD578" s="1684"/>
      <c r="AE578" s="1684"/>
      <c r="AF578" s="284">
        <v>350</v>
      </c>
      <c r="AG578" s="284" t="e">
        <f>VLOOKUP(AG573,AF557:AM559,4,0)</f>
        <v>#N/A</v>
      </c>
      <c r="AH578" s="284" t="e">
        <f t="shared" si="348"/>
        <v>#N/A</v>
      </c>
      <c r="AI578" s="284">
        <v>400</v>
      </c>
      <c r="AJ578" s="1684"/>
      <c r="AK578" s="1684"/>
      <c r="AL578" s="1684"/>
      <c r="AM578" s="1684"/>
      <c r="AN578" s="1684"/>
      <c r="AO578" s="462"/>
      <c r="BF578" s="2176"/>
      <c r="BG578" s="2176"/>
      <c r="BI578" s="286"/>
      <c r="BJ578" s="1"/>
      <c r="BK578" s="284" t="s">
        <v>707</v>
      </c>
      <c r="BL578" s="284">
        <v>0</v>
      </c>
      <c r="BM578" s="284" t="e">
        <f>+BL579</f>
        <v>#N/A</v>
      </c>
      <c r="BN578" s="284">
        <v>275</v>
      </c>
      <c r="BO578" s="1684"/>
      <c r="BU578" s="284" t="s">
        <v>707</v>
      </c>
      <c r="BV578" s="284">
        <v>0</v>
      </c>
      <c r="BW578" s="284" t="e">
        <f>+BV579</f>
        <v>#N/A</v>
      </c>
      <c r="BX578" s="284">
        <v>275</v>
      </c>
      <c r="BY578" s="1684"/>
      <c r="BZ578" s="1684"/>
      <c r="CA578" s="1684"/>
      <c r="CB578" s="1684"/>
      <c r="CC578" s="1684"/>
      <c r="CD578" s="1684"/>
      <c r="CE578" s="284" t="s">
        <v>707</v>
      </c>
      <c r="CF578" s="284">
        <v>0</v>
      </c>
      <c r="CG578" s="284" t="e">
        <f>+CF579</f>
        <v>#N/A</v>
      </c>
      <c r="CH578" s="284">
        <v>275</v>
      </c>
      <c r="CI578" s="1684"/>
      <c r="CJ578" s="1684"/>
      <c r="CK578" s="1684"/>
      <c r="CL578" s="1684"/>
      <c r="CM578" s="1684"/>
      <c r="CN578" s="1684"/>
      <c r="CO578" s="284" t="s">
        <v>707</v>
      </c>
      <c r="CP578" s="284">
        <v>0</v>
      </c>
      <c r="CQ578" s="284" t="e">
        <f>+CP579</f>
        <v>#N/A</v>
      </c>
      <c r="CR578" s="284">
        <v>275</v>
      </c>
      <c r="CS578" s="1684"/>
      <c r="CT578" s="1684"/>
      <c r="CU578" s="1684"/>
      <c r="CV578" s="1684"/>
      <c r="CW578" s="1684"/>
      <c r="CX578" s="462"/>
      <c r="DS578" s="277"/>
      <c r="DW578" s="1"/>
      <c r="DX578" s="284">
        <v>350</v>
      </c>
      <c r="DY578" s="284" t="e">
        <f>VLOOKUP(DY573,DX557:EE559,4,0)</f>
        <v>#N/A</v>
      </c>
      <c r="DZ578" s="284" t="e">
        <f t="shared" si="341"/>
        <v>#N/A</v>
      </c>
      <c r="EA578" s="284">
        <v>400</v>
      </c>
      <c r="EB578" s="1684"/>
      <c r="EH578" s="284">
        <v>350</v>
      </c>
      <c r="EI578" s="284" t="e">
        <f>VLOOKUP(EI573,EH557:EO559,4,0)</f>
        <v>#N/A</v>
      </c>
      <c r="EJ578" s="284" t="e">
        <f t="shared" si="342"/>
        <v>#N/A</v>
      </c>
      <c r="EK578" s="284">
        <v>400</v>
      </c>
      <c r="EL578" s="1684"/>
      <c r="EM578" s="1684"/>
      <c r="EN578" s="1684"/>
      <c r="EO578" s="1684"/>
      <c r="EP578" s="1684"/>
      <c r="EQ578" s="1684"/>
      <c r="ER578" s="284">
        <v>350</v>
      </c>
      <c r="ES578" s="284" t="e">
        <f>VLOOKUP(ES573,ER557:EY559,4,0)</f>
        <v>#N/A</v>
      </c>
      <c r="ET578" s="284" t="e">
        <f t="shared" si="343"/>
        <v>#N/A</v>
      </c>
      <c r="EU578" s="284">
        <v>400</v>
      </c>
      <c r="EV578" s="1684"/>
      <c r="EW578" s="1684"/>
      <c r="EX578" s="1684"/>
      <c r="EY578" s="1684"/>
      <c r="EZ578" s="1684"/>
      <c r="FA578" s="1684"/>
      <c r="FB578" s="284">
        <v>350</v>
      </c>
      <c r="FC578" s="284" t="e">
        <f>VLOOKUP(FC573,FB557:FI559,4,0)</f>
        <v>#N/A</v>
      </c>
      <c r="FD578" s="284" t="e">
        <f t="shared" si="344"/>
        <v>#N/A</v>
      </c>
      <c r="FE578" s="284">
        <v>400</v>
      </c>
      <c r="FF578" s="1684"/>
      <c r="FG578" s="1684"/>
      <c r="FH578" s="1684"/>
      <c r="FI578" s="1684"/>
      <c r="FJ578" s="1684"/>
      <c r="FK578" s="462"/>
      <c r="GB578" s="2176"/>
      <c r="GC578" s="2176"/>
      <c r="GE578" s="286"/>
      <c r="GF578" s="1"/>
      <c r="GG578" s="284" t="s">
        <v>707</v>
      </c>
      <c r="GH578" s="284">
        <v>0</v>
      </c>
      <c r="GI578" s="284" t="e">
        <f t="shared" ref="GI578:GI584" si="349">+GH579</f>
        <v>#N/A</v>
      </c>
      <c r="GJ578" s="284">
        <v>275</v>
      </c>
      <c r="GK578" s="1684"/>
      <c r="GQ578" s="284" t="s">
        <v>707</v>
      </c>
      <c r="GR578" s="284">
        <v>0</v>
      </c>
      <c r="GS578" s="284" t="e">
        <f t="shared" ref="GS578:GS584" si="350">+GR579</f>
        <v>#N/A</v>
      </c>
      <c r="GT578" s="284">
        <v>275</v>
      </c>
      <c r="GU578" s="1684"/>
      <c r="GV578" s="1684"/>
      <c r="GW578" s="1684"/>
      <c r="GX578" s="1684"/>
      <c r="GY578" s="1684"/>
      <c r="GZ578" s="1684"/>
      <c r="HA578" s="284" t="s">
        <v>707</v>
      </c>
      <c r="HB578" s="284">
        <v>0</v>
      </c>
      <c r="HC578" s="284" t="e">
        <f t="shared" ref="HC578:HC584" si="351">+HB579</f>
        <v>#N/A</v>
      </c>
      <c r="HD578" s="284">
        <v>275</v>
      </c>
      <c r="HE578" s="1684"/>
      <c r="HF578" s="1684"/>
      <c r="HG578" s="1684"/>
      <c r="HH578" s="1684"/>
      <c r="HI578" s="1684"/>
      <c r="HJ578" s="1684"/>
      <c r="HK578" s="284" t="s">
        <v>707</v>
      </c>
      <c r="HL578" s="284">
        <v>0</v>
      </c>
      <c r="HM578" s="284" t="e">
        <f t="shared" ref="HM578:HM584" si="352">+HL579</f>
        <v>#N/A</v>
      </c>
      <c r="HN578" s="284">
        <v>275</v>
      </c>
      <c r="HO578" s="1684"/>
      <c r="HP578" s="1684"/>
      <c r="HQ578" s="1684"/>
      <c r="HR578" s="1684"/>
      <c r="HS578" s="1684"/>
      <c r="HT578" s="462"/>
      <c r="IN578" s="277"/>
      <c r="IO578" s="277"/>
    </row>
    <row r="579" spans="2:249" ht="21.95" customHeight="1">
      <c r="B579" s="284">
        <v>400</v>
      </c>
      <c r="C579" s="284" t="e">
        <f>VLOOKUP(C573,B557:I559,5,0)</f>
        <v>#N/A</v>
      </c>
      <c r="D579" s="284" t="e">
        <f t="shared" si="345"/>
        <v>#N/A</v>
      </c>
      <c r="E579" s="284">
        <v>450</v>
      </c>
      <c r="F579" s="1684"/>
      <c r="L579" s="284">
        <v>400</v>
      </c>
      <c r="M579" s="284" t="e">
        <f>VLOOKUP(M573,L557:S559,5,0)</f>
        <v>#N/A</v>
      </c>
      <c r="N579" s="284" t="e">
        <f t="shared" si="346"/>
        <v>#N/A</v>
      </c>
      <c r="O579" s="284">
        <v>450</v>
      </c>
      <c r="P579" s="1684"/>
      <c r="Q579" s="1684"/>
      <c r="R579" s="1684"/>
      <c r="S579" s="1684"/>
      <c r="T579" s="1684"/>
      <c r="U579" s="1684"/>
      <c r="V579" s="284">
        <v>400</v>
      </c>
      <c r="W579" s="284" t="e">
        <f>VLOOKUP(W573,V557:AC559,5,0)</f>
        <v>#N/A</v>
      </c>
      <c r="X579" s="284" t="e">
        <f t="shared" si="347"/>
        <v>#N/A</v>
      </c>
      <c r="Y579" s="284">
        <v>450</v>
      </c>
      <c r="Z579" s="1684"/>
      <c r="AA579" s="1684"/>
      <c r="AB579" s="1684"/>
      <c r="AC579" s="1684"/>
      <c r="AD579" s="1684"/>
      <c r="AE579" s="1684"/>
      <c r="AF579" s="284">
        <v>400</v>
      </c>
      <c r="AG579" s="284" t="e">
        <f>VLOOKUP(AG573,AF557:AM559,5,0)</f>
        <v>#N/A</v>
      </c>
      <c r="AH579" s="284" t="e">
        <f t="shared" si="348"/>
        <v>#N/A</v>
      </c>
      <c r="AI579" s="284">
        <v>450</v>
      </c>
      <c r="AJ579" s="1684"/>
      <c r="AK579" s="1684"/>
      <c r="AL579" s="1684"/>
      <c r="AM579" s="1684"/>
      <c r="AN579" s="1684"/>
      <c r="AO579" s="462"/>
      <c r="BF579" s="2176"/>
      <c r="BG579" s="2176"/>
      <c r="BI579" s="286"/>
      <c r="BJ579" s="1"/>
      <c r="BK579" s="284">
        <v>275</v>
      </c>
      <c r="BL579" s="284" t="e">
        <f>VLOOKUP(BL576,BK560:BR562,2,0)</f>
        <v>#N/A</v>
      </c>
      <c r="BM579" s="284" t="e">
        <f t="shared" ref="BM579:BM584" si="353">+BL580</f>
        <v>#N/A</v>
      </c>
      <c r="BN579" s="284">
        <v>300</v>
      </c>
      <c r="BO579" s="1684"/>
      <c r="BU579" s="284">
        <v>275</v>
      </c>
      <c r="BV579" s="284" t="e">
        <f>VLOOKUP(BV576,BU560:CB562,2,0)</f>
        <v>#N/A</v>
      </c>
      <c r="BW579" s="284" t="e">
        <f t="shared" ref="BW579:BW584" si="354">+BV580</f>
        <v>#N/A</v>
      </c>
      <c r="BX579" s="284">
        <v>300</v>
      </c>
      <c r="BY579" s="1684"/>
      <c r="BZ579" s="1684"/>
      <c r="CA579" s="1684"/>
      <c r="CB579" s="1684"/>
      <c r="CC579" s="1684"/>
      <c r="CD579" s="1684"/>
      <c r="CE579" s="284">
        <v>275</v>
      </c>
      <c r="CF579" s="284" t="e">
        <f>VLOOKUP(CF576,CE560:CL562,2,0)</f>
        <v>#N/A</v>
      </c>
      <c r="CG579" s="284" t="e">
        <f t="shared" ref="CG579:CG584" si="355">+CF580</f>
        <v>#N/A</v>
      </c>
      <c r="CH579" s="284">
        <v>300</v>
      </c>
      <c r="CI579" s="1684"/>
      <c r="CJ579" s="1684"/>
      <c r="CK579" s="1684"/>
      <c r="CL579" s="1684"/>
      <c r="CM579" s="1684"/>
      <c r="CN579" s="1684"/>
      <c r="CO579" s="284">
        <v>275</v>
      </c>
      <c r="CP579" s="284" t="e">
        <f>VLOOKUP(CP576,CO560:CV562,2,0)</f>
        <v>#N/A</v>
      </c>
      <c r="CQ579" s="284" t="e">
        <f t="shared" ref="CQ579:CQ584" si="356">+CP580</f>
        <v>#N/A</v>
      </c>
      <c r="CR579" s="284">
        <v>300</v>
      </c>
      <c r="CS579" s="1684"/>
      <c r="CT579" s="1684"/>
      <c r="CU579" s="1684"/>
      <c r="CV579" s="1684"/>
      <c r="CW579" s="1684"/>
      <c r="CX579" s="462"/>
      <c r="DS579" s="277"/>
      <c r="DW579" s="1"/>
      <c r="DX579" s="284">
        <v>400</v>
      </c>
      <c r="DY579" s="284" t="e">
        <f>VLOOKUP(DY573,DX557:EE559,5,0)</f>
        <v>#N/A</v>
      </c>
      <c r="DZ579" s="284" t="e">
        <f t="shared" si="341"/>
        <v>#N/A</v>
      </c>
      <c r="EA579" s="284">
        <v>450</v>
      </c>
      <c r="EB579" s="1684"/>
      <c r="EH579" s="284">
        <v>400</v>
      </c>
      <c r="EI579" s="284" t="e">
        <f>VLOOKUP(EI573,EH557:EO559,5,0)</f>
        <v>#N/A</v>
      </c>
      <c r="EJ579" s="284" t="e">
        <f t="shared" si="342"/>
        <v>#N/A</v>
      </c>
      <c r="EK579" s="284">
        <v>450</v>
      </c>
      <c r="EL579" s="1684"/>
      <c r="EM579" s="1684"/>
      <c r="EN579" s="1684"/>
      <c r="EO579" s="1684"/>
      <c r="EP579" s="1684"/>
      <c r="EQ579" s="1684"/>
      <c r="ER579" s="284">
        <v>400</v>
      </c>
      <c r="ES579" s="284" t="e">
        <f>VLOOKUP(ES573,ER557:EY559,5,0)</f>
        <v>#N/A</v>
      </c>
      <c r="ET579" s="284" t="e">
        <f t="shared" si="343"/>
        <v>#N/A</v>
      </c>
      <c r="EU579" s="284">
        <v>450</v>
      </c>
      <c r="EV579" s="1684"/>
      <c r="EW579" s="1684"/>
      <c r="EX579" s="1684"/>
      <c r="EY579" s="1684"/>
      <c r="EZ579" s="1684"/>
      <c r="FA579" s="1684"/>
      <c r="FB579" s="284">
        <v>400</v>
      </c>
      <c r="FC579" s="284" t="e">
        <f>VLOOKUP(FC573,FB557:FI559,5,0)</f>
        <v>#N/A</v>
      </c>
      <c r="FD579" s="284" t="e">
        <f t="shared" si="344"/>
        <v>#N/A</v>
      </c>
      <c r="FE579" s="284">
        <v>450</v>
      </c>
      <c r="FF579" s="1684"/>
      <c r="FG579" s="1684"/>
      <c r="FH579" s="1684"/>
      <c r="FI579" s="1684"/>
      <c r="FJ579" s="1684"/>
      <c r="FK579" s="462"/>
      <c r="GB579" s="2176"/>
      <c r="GC579" s="2176"/>
      <c r="GE579" s="286"/>
      <c r="GF579" s="1"/>
      <c r="GG579" s="284">
        <v>275</v>
      </c>
      <c r="GH579" s="284" t="e">
        <f>VLOOKUP(GH576,GG560:GN562,2,0)</f>
        <v>#N/A</v>
      </c>
      <c r="GI579" s="284" t="e">
        <f t="shared" si="349"/>
        <v>#N/A</v>
      </c>
      <c r="GJ579" s="284">
        <v>300</v>
      </c>
      <c r="GK579" s="1684"/>
      <c r="GQ579" s="284">
        <v>275</v>
      </c>
      <c r="GR579" s="284" t="e">
        <f>VLOOKUP(GR576,GQ560:GX562,2,0)</f>
        <v>#N/A</v>
      </c>
      <c r="GS579" s="284" t="e">
        <f t="shared" si="350"/>
        <v>#N/A</v>
      </c>
      <c r="GT579" s="284">
        <v>300</v>
      </c>
      <c r="GU579" s="1684"/>
      <c r="GV579" s="1684"/>
      <c r="GW579" s="1684"/>
      <c r="GX579" s="1684"/>
      <c r="GY579" s="1684"/>
      <c r="GZ579" s="1684"/>
      <c r="HA579" s="284">
        <v>275</v>
      </c>
      <c r="HB579" s="284" t="e">
        <f>VLOOKUP(HB576,HA560:HH562,2,0)</f>
        <v>#N/A</v>
      </c>
      <c r="HC579" s="284" t="e">
        <f t="shared" si="351"/>
        <v>#N/A</v>
      </c>
      <c r="HD579" s="284">
        <v>300</v>
      </c>
      <c r="HE579" s="1684"/>
      <c r="HF579" s="1684"/>
      <c r="HG579" s="1684"/>
      <c r="HH579" s="1684"/>
      <c r="HI579" s="1684"/>
      <c r="HJ579" s="1684"/>
      <c r="HK579" s="284">
        <v>275</v>
      </c>
      <c r="HL579" s="284" t="e">
        <f>VLOOKUP(HL576,HK560:HR562,2,0)</f>
        <v>#N/A</v>
      </c>
      <c r="HM579" s="284" t="e">
        <f t="shared" si="352"/>
        <v>#N/A</v>
      </c>
      <c r="HN579" s="284">
        <v>300</v>
      </c>
      <c r="HO579" s="1684"/>
      <c r="HP579" s="1684"/>
      <c r="HQ579" s="1684"/>
      <c r="HR579" s="1684"/>
      <c r="HS579" s="1684"/>
      <c r="HT579" s="462"/>
      <c r="IN579" s="277"/>
      <c r="IO579" s="277"/>
    </row>
    <row r="580" spans="2:249" ht="21.95" customHeight="1">
      <c r="B580" s="284">
        <v>450</v>
      </c>
      <c r="C580" s="284" t="e">
        <f>VLOOKUP(C573,B557:I559,6,0)</f>
        <v>#N/A</v>
      </c>
      <c r="D580" s="284" t="e">
        <f t="shared" si="345"/>
        <v>#N/A</v>
      </c>
      <c r="E580" s="284">
        <v>500</v>
      </c>
      <c r="F580" s="1684"/>
      <c r="L580" s="284">
        <v>450</v>
      </c>
      <c r="M580" s="284" t="e">
        <f>VLOOKUP(M573,L557:S559,6,0)</f>
        <v>#N/A</v>
      </c>
      <c r="N580" s="284" t="e">
        <f t="shared" si="346"/>
        <v>#N/A</v>
      </c>
      <c r="O580" s="284">
        <v>500</v>
      </c>
      <c r="P580" s="1684"/>
      <c r="Q580" s="1684"/>
      <c r="R580" s="1684"/>
      <c r="S580" s="1684"/>
      <c r="T580" s="1684"/>
      <c r="U580" s="1684"/>
      <c r="V580" s="284">
        <v>450</v>
      </c>
      <c r="W580" s="284" t="e">
        <f>VLOOKUP(W573,V557:AC559,6,0)</f>
        <v>#N/A</v>
      </c>
      <c r="X580" s="284" t="e">
        <f t="shared" si="347"/>
        <v>#N/A</v>
      </c>
      <c r="Y580" s="284">
        <v>500</v>
      </c>
      <c r="Z580" s="1684"/>
      <c r="AA580" s="1684"/>
      <c r="AB580" s="1684"/>
      <c r="AC580" s="1684"/>
      <c r="AD580" s="1684"/>
      <c r="AE580" s="1684"/>
      <c r="AF580" s="284">
        <v>450</v>
      </c>
      <c r="AG580" s="284" t="e">
        <f>VLOOKUP(AG573,AF557:AM559,6,0)</f>
        <v>#N/A</v>
      </c>
      <c r="AH580" s="284" t="e">
        <f t="shared" si="348"/>
        <v>#N/A</v>
      </c>
      <c r="AI580" s="284">
        <v>500</v>
      </c>
      <c r="AJ580" s="1684"/>
      <c r="AK580" s="1684"/>
      <c r="AL580" s="1684"/>
      <c r="AM580" s="1684"/>
      <c r="AN580" s="1684"/>
      <c r="AO580" s="462"/>
      <c r="BF580" s="2176"/>
      <c r="BG580" s="2176"/>
      <c r="BI580" s="286"/>
      <c r="BJ580" s="1"/>
      <c r="BK580" s="284">
        <v>300</v>
      </c>
      <c r="BL580" s="284" t="e">
        <f>VLOOKUP(BL576,BK560:BR562,3,0)</f>
        <v>#N/A</v>
      </c>
      <c r="BM580" s="284" t="e">
        <f t="shared" si="353"/>
        <v>#N/A</v>
      </c>
      <c r="BN580" s="284">
        <v>350</v>
      </c>
      <c r="BO580" s="1684"/>
      <c r="BU580" s="284">
        <v>300</v>
      </c>
      <c r="BV580" s="284" t="e">
        <f>VLOOKUP(BV576,BU560:CB562,3,0)</f>
        <v>#N/A</v>
      </c>
      <c r="BW580" s="284" t="e">
        <f t="shared" si="354"/>
        <v>#N/A</v>
      </c>
      <c r="BX580" s="284">
        <v>350</v>
      </c>
      <c r="BY580" s="1684"/>
      <c r="BZ580" s="1684"/>
      <c r="CA580" s="1684"/>
      <c r="CB580" s="1684"/>
      <c r="CC580" s="1684"/>
      <c r="CD580" s="1684"/>
      <c r="CE580" s="284">
        <v>300</v>
      </c>
      <c r="CF580" s="284" t="e">
        <f>VLOOKUP(CF576,CE560:CL562,3,0)</f>
        <v>#N/A</v>
      </c>
      <c r="CG580" s="284" t="e">
        <f t="shared" si="355"/>
        <v>#N/A</v>
      </c>
      <c r="CH580" s="284">
        <v>350</v>
      </c>
      <c r="CI580" s="1684"/>
      <c r="CJ580" s="1684"/>
      <c r="CK580" s="1684"/>
      <c r="CL580" s="1684"/>
      <c r="CM580" s="1684"/>
      <c r="CN580" s="1684"/>
      <c r="CO580" s="284">
        <v>300</v>
      </c>
      <c r="CP580" s="284" t="e">
        <f>VLOOKUP(CP576,CO560:CV562,3,0)</f>
        <v>#N/A</v>
      </c>
      <c r="CQ580" s="284" t="e">
        <f t="shared" si="356"/>
        <v>#N/A</v>
      </c>
      <c r="CR580" s="284">
        <v>350</v>
      </c>
      <c r="CS580" s="1684"/>
      <c r="CT580" s="1684"/>
      <c r="CU580" s="1684"/>
      <c r="CV580" s="1684"/>
      <c r="CW580" s="1684"/>
      <c r="CX580" s="462"/>
      <c r="DS580" s="277"/>
      <c r="DW580" s="1"/>
      <c r="DX580" s="284">
        <v>450</v>
      </c>
      <c r="DY580" s="284" t="e">
        <f>VLOOKUP(DY573,DX557:EE559,6,0)</f>
        <v>#N/A</v>
      </c>
      <c r="DZ580" s="284" t="e">
        <f t="shared" si="341"/>
        <v>#N/A</v>
      </c>
      <c r="EA580" s="284">
        <v>500</v>
      </c>
      <c r="EB580" s="1684"/>
      <c r="EH580" s="284">
        <v>450</v>
      </c>
      <c r="EI580" s="284" t="e">
        <f>VLOOKUP(EI573,EH557:EO559,6,0)</f>
        <v>#N/A</v>
      </c>
      <c r="EJ580" s="284" t="e">
        <f t="shared" si="342"/>
        <v>#N/A</v>
      </c>
      <c r="EK580" s="284">
        <v>500</v>
      </c>
      <c r="EL580" s="1684"/>
      <c r="EM580" s="1684"/>
      <c r="EN580" s="1684"/>
      <c r="EO580" s="1684"/>
      <c r="EP580" s="1684"/>
      <c r="EQ580" s="1684"/>
      <c r="ER580" s="284">
        <v>450</v>
      </c>
      <c r="ES580" s="284" t="e">
        <f>VLOOKUP(ES573,ER557:EY559,6,0)</f>
        <v>#N/A</v>
      </c>
      <c r="ET580" s="284" t="e">
        <f t="shared" si="343"/>
        <v>#N/A</v>
      </c>
      <c r="EU580" s="284">
        <v>500</v>
      </c>
      <c r="EV580" s="1684"/>
      <c r="EW580" s="1684"/>
      <c r="EX580" s="1684"/>
      <c r="EY580" s="1684"/>
      <c r="EZ580" s="1684"/>
      <c r="FA580" s="1684"/>
      <c r="FB580" s="284">
        <v>450</v>
      </c>
      <c r="FC580" s="284" t="e">
        <f>VLOOKUP(FC573,FB557:FI559,6,0)</f>
        <v>#N/A</v>
      </c>
      <c r="FD580" s="284" t="e">
        <f t="shared" si="344"/>
        <v>#N/A</v>
      </c>
      <c r="FE580" s="284">
        <v>500</v>
      </c>
      <c r="FF580" s="1684"/>
      <c r="FG580" s="1684"/>
      <c r="FH580" s="1684"/>
      <c r="FI580" s="1684"/>
      <c r="FJ580" s="1684"/>
      <c r="FK580" s="462"/>
      <c r="GB580" s="2176"/>
      <c r="GC580" s="2176"/>
      <c r="GE580" s="286"/>
      <c r="GF580" s="1"/>
      <c r="GG580" s="284">
        <v>300</v>
      </c>
      <c r="GH580" s="284" t="e">
        <f>VLOOKUP(GH576,GG560:GN562,3,0)</f>
        <v>#N/A</v>
      </c>
      <c r="GI580" s="284" t="e">
        <f t="shared" si="349"/>
        <v>#N/A</v>
      </c>
      <c r="GJ580" s="284">
        <v>350</v>
      </c>
      <c r="GK580" s="1684"/>
      <c r="GQ580" s="284">
        <v>300</v>
      </c>
      <c r="GR580" s="284" t="e">
        <f>VLOOKUP(GR576,GQ560:GX562,3,0)</f>
        <v>#N/A</v>
      </c>
      <c r="GS580" s="284" t="e">
        <f t="shared" si="350"/>
        <v>#N/A</v>
      </c>
      <c r="GT580" s="284">
        <v>350</v>
      </c>
      <c r="GU580" s="1684"/>
      <c r="GV580" s="1684"/>
      <c r="GW580" s="1684"/>
      <c r="GX580" s="1684"/>
      <c r="GY580" s="1684"/>
      <c r="GZ580" s="1684"/>
      <c r="HA580" s="284">
        <v>300</v>
      </c>
      <c r="HB580" s="284" t="e">
        <f>VLOOKUP(HB576,HA560:HH562,3,0)</f>
        <v>#N/A</v>
      </c>
      <c r="HC580" s="284" t="e">
        <f t="shared" si="351"/>
        <v>#N/A</v>
      </c>
      <c r="HD580" s="284">
        <v>350</v>
      </c>
      <c r="HE580" s="1684"/>
      <c r="HF580" s="1684"/>
      <c r="HG580" s="1684"/>
      <c r="HH580" s="1684"/>
      <c r="HI580" s="1684"/>
      <c r="HJ580" s="1684"/>
      <c r="HK580" s="284">
        <v>300</v>
      </c>
      <c r="HL580" s="284" t="e">
        <f>VLOOKUP(HL576,HK560:HR562,3,0)</f>
        <v>#N/A</v>
      </c>
      <c r="HM580" s="284" t="e">
        <f t="shared" si="352"/>
        <v>#N/A</v>
      </c>
      <c r="HN580" s="284">
        <v>350</v>
      </c>
      <c r="HO580" s="1684"/>
      <c r="HP580" s="1684"/>
      <c r="HQ580" s="1684"/>
      <c r="HR580" s="1684"/>
      <c r="HS580" s="1684"/>
      <c r="HT580" s="462"/>
      <c r="IN580" s="277"/>
      <c r="IO580" s="277"/>
    </row>
    <row r="581" spans="2:249" ht="21.95" customHeight="1">
      <c r="B581" s="284">
        <v>500</v>
      </c>
      <c r="C581" s="284" t="e">
        <f>VLOOKUP(C573,B557:I559,7,0)</f>
        <v>#N/A</v>
      </c>
      <c r="D581" s="284" t="e">
        <f t="shared" si="345"/>
        <v>#N/A</v>
      </c>
      <c r="E581" s="284">
        <v>600</v>
      </c>
      <c r="F581" s="1684"/>
      <c r="G581" s="1684"/>
      <c r="H581" s="1684"/>
      <c r="I581" s="1684"/>
      <c r="J581" s="2374"/>
      <c r="K581" s="1684"/>
      <c r="L581" s="284">
        <v>500</v>
      </c>
      <c r="M581" s="284" t="e">
        <f>VLOOKUP(M573,L557:S559,7,0)</f>
        <v>#N/A</v>
      </c>
      <c r="N581" s="284" t="e">
        <f t="shared" si="346"/>
        <v>#N/A</v>
      </c>
      <c r="O581" s="284">
        <v>600</v>
      </c>
      <c r="P581" s="1684"/>
      <c r="Q581" s="1684"/>
      <c r="R581" s="1684"/>
      <c r="S581" s="1684"/>
      <c r="T581" s="1684"/>
      <c r="U581" s="1684"/>
      <c r="V581" s="284">
        <v>500</v>
      </c>
      <c r="W581" s="284" t="e">
        <f>VLOOKUP(W573,V557:AC559,7,0)</f>
        <v>#N/A</v>
      </c>
      <c r="X581" s="284" t="e">
        <f t="shared" si="347"/>
        <v>#N/A</v>
      </c>
      <c r="Y581" s="284">
        <v>600</v>
      </c>
      <c r="Z581" s="1684"/>
      <c r="AA581" s="1684"/>
      <c r="AB581" s="1684"/>
      <c r="AC581" s="1684"/>
      <c r="AD581" s="1684"/>
      <c r="AE581" s="1684"/>
      <c r="AF581" s="284">
        <v>500</v>
      </c>
      <c r="AG581" s="284" t="e">
        <f>VLOOKUP(AG573,AF557:AM559,7,0)</f>
        <v>#N/A</v>
      </c>
      <c r="AH581" s="284" t="e">
        <f t="shared" si="348"/>
        <v>#N/A</v>
      </c>
      <c r="AI581" s="284">
        <v>600</v>
      </c>
      <c r="AJ581" s="1684"/>
      <c r="AK581" s="1684"/>
      <c r="AL581" s="1684"/>
      <c r="AM581" s="1684"/>
      <c r="AN581" s="1684"/>
      <c r="AO581" s="462"/>
      <c r="BF581" s="2176"/>
      <c r="BG581" s="2176"/>
      <c r="BI581" s="286"/>
      <c r="BJ581" s="1"/>
      <c r="BK581" s="284">
        <v>350</v>
      </c>
      <c r="BL581" s="284" t="e">
        <f>VLOOKUP(BL576,BK560:BR562,4,0)</f>
        <v>#N/A</v>
      </c>
      <c r="BM581" s="284" t="e">
        <f t="shared" si="353"/>
        <v>#N/A</v>
      </c>
      <c r="BN581" s="284">
        <v>400</v>
      </c>
      <c r="BO581" s="1684"/>
      <c r="BU581" s="284">
        <v>350</v>
      </c>
      <c r="BV581" s="284" t="e">
        <f>VLOOKUP(BV576,BU560:CB562,4,0)</f>
        <v>#N/A</v>
      </c>
      <c r="BW581" s="284" t="e">
        <f t="shared" si="354"/>
        <v>#N/A</v>
      </c>
      <c r="BX581" s="284">
        <v>400</v>
      </c>
      <c r="BY581" s="1684"/>
      <c r="BZ581" s="1684"/>
      <c r="CA581" s="1684"/>
      <c r="CB581" s="1684"/>
      <c r="CC581" s="1684"/>
      <c r="CD581" s="1684"/>
      <c r="CE581" s="284">
        <v>350</v>
      </c>
      <c r="CF581" s="284" t="e">
        <f>VLOOKUP(CF576,CE560:CL562,4,0)</f>
        <v>#N/A</v>
      </c>
      <c r="CG581" s="284" t="e">
        <f t="shared" si="355"/>
        <v>#N/A</v>
      </c>
      <c r="CH581" s="284">
        <v>400</v>
      </c>
      <c r="CI581" s="1684"/>
      <c r="CJ581" s="1684"/>
      <c r="CK581" s="1684"/>
      <c r="CL581" s="1684"/>
      <c r="CM581" s="1684"/>
      <c r="CN581" s="1684"/>
      <c r="CO581" s="284">
        <v>350</v>
      </c>
      <c r="CP581" s="284" t="e">
        <f>VLOOKUP(CP576,CO560:CV562,4,0)</f>
        <v>#N/A</v>
      </c>
      <c r="CQ581" s="284" t="e">
        <f t="shared" si="356"/>
        <v>#N/A</v>
      </c>
      <c r="CR581" s="284">
        <v>400</v>
      </c>
      <c r="CS581" s="1684"/>
      <c r="CT581" s="1684"/>
      <c r="CU581" s="1684"/>
      <c r="CV581" s="1684"/>
      <c r="CW581" s="1684"/>
      <c r="CX581" s="462"/>
      <c r="DS581" s="277"/>
      <c r="DW581" s="1"/>
      <c r="DX581" s="284">
        <v>500</v>
      </c>
      <c r="DY581" s="284" t="e">
        <f>VLOOKUP(DY573,DX557:EE559,7,0)</f>
        <v>#N/A</v>
      </c>
      <c r="DZ581" s="284" t="e">
        <f t="shared" si="341"/>
        <v>#N/A</v>
      </c>
      <c r="EA581" s="284">
        <v>600</v>
      </c>
      <c r="EB581" s="1684"/>
      <c r="EC581" s="1684"/>
      <c r="ED581" s="1684"/>
      <c r="EE581" s="1684"/>
      <c r="EF581" s="2374"/>
      <c r="EG581" s="1684"/>
      <c r="EH581" s="284">
        <v>500</v>
      </c>
      <c r="EI581" s="284" t="e">
        <f>VLOOKUP(EI573,EH557:EO559,7,0)</f>
        <v>#N/A</v>
      </c>
      <c r="EJ581" s="284" t="e">
        <f t="shared" si="342"/>
        <v>#N/A</v>
      </c>
      <c r="EK581" s="284">
        <v>600</v>
      </c>
      <c r="EL581" s="1684"/>
      <c r="EM581" s="1684"/>
      <c r="EN581" s="1684"/>
      <c r="EO581" s="1684"/>
      <c r="EP581" s="1684"/>
      <c r="EQ581" s="1684"/>
      <c r="ER581" s="284">
        <v>500</v>
      </c>
      <c r="ES581" s="284" t="e">
        <f>VLOOKUP(ES573,ER557:EY559,7,0)</f>
        <v>#N/A</v>
      </c>
      <c r="ET581" s="284" t="e">
        <f t="shared" si="343"/>
        <v>#N/A</v>
      </c>
      <c r="EU581" s="284">
        <v>600</v>
      </c>
      <c r="EV581" s="1684"/>
      <c r="EW581" s="1684"/>
      <c r="EX581" s="1684"/>
      <c r="EY581" s="1684"/>
      <c r="EZ581" s="1684"/>
      <c r="FA581" s="1684"/>
      <c r="FB581" s="284">
        <v>500</v>
      </c>
      <c r="FC581" s="284" t="e">
        <f>VLOOKUP(FC573,FB557:FI559,7,0)</f>
        <v>#N/A</v>
      </c>
      <c r="FD581" s="284" t="e">
        <f t="shared" si="344"/>
        <v>#N/A</v>
      </c>
      <c r="FE581" s="284">
        <v>600</v>
      </c>
      <c r="FF581" s="1684"/>
      <c r="FG581" s="1684"/>
      <c r="FH581" s="1684"/>
      <c r="FI581" s="1684"/>
      <c r="FJ581" s="1684"/>
      <c r="FK581" s="462"/>
      <c r="GB581" s="2176"/>
      <c r="GC581" s="2176"/>
      <c r="GE581" s="286"/>
      <c r="GF581" s="1"/>
      <c r="GG581" s="284">
        <v>350</v>
      </c>
      <c r="GH581" s="284" t="e">
        <f>VLOOKUP(GH576,GG560:GN562,4,0)</f>
        <v>#N/A</v>
      </c>
      <c r="GI581" s="284" t="e">
        <f t="shared" si="349"/>
        <v>#N/A</v>
      </c>
      <c r="GJ581" s="284">
        <v>400</v>
      </c>
      <c r="GK581" s="1684"/>
      <c r="GQ581" s="284">
        <v>350</v>
      </c>
      <c r="GR581" s="284" t="e">
        <f>VLOOKUP(GR576,GQ560:GX562,4,0)</f>
        <v>#N/A</v>
      </c>
      <c r="GS581" s="284" t="e">
        <f t="shared" si="350"/>
        <v>#N/A</v>
      </c>
      <c r="GT581" s="284">
        <v>400</v>
      </c>
      <c r="GU581" s="1684"/>
      <c r="GV581" s="1684"/>
      <c r="GW581" s="1684"/>
      <c r="GX581" s="1684"/>
      <c r="GY581" s="1684"/>
      <c r="GZ581" s="1684"/>
      <c r="HA581" s="284">
        <v>350</v>
      </c>
      <c r="HB581" s="284" t="e">
        <f>VLOOKUP(HB576,HA560:HH562,4,0)</f>
        <v>#N/A</v>
      </c>
      <c r="HC581" s="284" t="e">
        <f t="shared" si="351"/>
        <v>#N/A</v>
      </c>
      <c r="HD581" s="284">
        <v>400</v>
      </c>
      <c r="HE581" s="1684"/>
      <c r="HF581" s="1684"/>
      <c r="HG581" s="1684"/>
      <c r="HH581" s="1684"/>
      <c r="HI581" s="1684"/>
      <c r="HJ581" s="1684"/>
      <c r="HK581" s="284">
        <v>350</v>
      </c>
      <c r="HL581" s="284" t="e">
        <f>VLOOKUP(HL576,HK560:HR562,4,0)</f>
        <v>#N/A</v>
      </c>
      <c r="HM581" s="284" t="e">
        <f t="shared" si="352"/>
        <v>#N/A</v>
      </c>
      <c r="HN581" s="284">
        <v>400</v>
      </c>
      <c r="HO581" s="1684"/>
      <c r="HP581" s="1684"/>
      <c r="HQ581" s="1684"/>
      <c r="HR581" s="1684"/>
      <c r="HS581" s="1684"/>
      <c r="HT581" s="462"/>
      <c r="IN581" s="277"/>
      <c r="IO581" s="277"/>
    </row>
    <row r="582" spans="2:249" ht="21.95" customHeight="1">
      <c r="B582" s="284">
        <v>600</v>
      </c>
      <c r="C582" s="284" t="e">
        <f>VLOOKUP(C573,B557:I559,8,0)</f>
        <v>#N/A</v>
      </c>
      <c r="D582" s="284">
        <v>0</v>
      </c>
      <c r="E582" s="284"/>
      <c r="F582" s="1684"/>
      <c r="G582" s="1684"/>
      <c r="H582" s="1684"/>
      <c r="I582" s="1684"/>
      <c r="J582" s="2374"/>
      <c r="K582" s="1684"/>
      <c r="L582" s="284">
        <v>600</v>
      </c>
      <c r="M582" s="284" t="e">
        <f>VLOOKUP(M573,L557:S559,8,0)</f>
        <v>#N/A</v>
      </c>
      <c r="N582" s="284">
        <v>0</v>
      </c>
      <c r="O582" s="284"/>
      <c r="P582" s="1684"/>
      <c r="Q582" s="1684"/>
      <c r="R582" s="1684"/>
      <c r="S582" s="1684"/>
      <c r="T582" s="1684"/>
      <c r="U582" s="1684"/>
      <c r="V582" s="284">
        <v>600</v>
      </c>
      <c r="W582" s="284" t="e">
        <f>VLOOKUP(W573,V557:AC559,8,0)</f>
        <v>#N/A</v>
      </c>
      <c r="X582" s="284">
        <v>0</v>
      </c>
      <c r="Y582" s="284"/>
      <c r="Z582" s="1684"/>
      <c r="AA582" s="1684"/>
      <c r="AB582" s="1684"/>
      <c r="AC582" s="1684"/>
      <c r="AD582" s="1684"/>
      <c r="AE582" s="1684"/>
      <c r="AF582" s="284">
        <v>600</v>
      </c>
      <c r="AG582" s="284" t="e">
        <f>VLOOKUP(AG573,AF557:AM559,8,0)</f>
        <v>#N/A</v>
      </c>
      <c r="AH582" s="284">
        <v>0</v>
      </c>
      <c r="AI582" s="284"/>
      <c r="AJ582" s="1684"/>
      <c r="AK582" s="1684"/>
      <c r="AL582" s="1684"/>
      <c r="AM582" s="1684"/>
      <c r="AN582" s="1684"/>
      <c r="AO582" s="462"/>
      <c r="BF582" s="2176"/>
      <c r="BG582" s="2176"/>
      <c r="BI582" s="286"/>
      <c r="BJ582" s="1"/>
      <c r="BK582" s="284">
        <v>400</v>
      </c>
      <c r="BL582" s="284" t="e">
        <f>VLOOKUP(BL576,BK560:BR562,5,0)</f>
        <v>#N/A</v>
      </c>
      <c r="BM582" s="284" t="e">
        <f t="shared" si="353"/>
        <v>#N/A</v>
      </c>
      <c r="BN582" s="284">
        <v>450</v>
      </c>
      <c r="BO582" s="1684"/>
      <c r="BU582" s="284">
        <v>400</v>
      </c>
      <c r="BV582" s="284" t="e">
        <f>VLOOKUP(BV576,BU560:CB562,5,0)</f>
        <v>#N/A</v>
      </c>
      <c r="BW582" s="284" t="e">
        <f t="shared" si="354"/>
        <v>#N/A</v>
      </c>
      <c r="BX582" s="284">
        <v>450</v>
      </c>
      <c r="BY582" s="1684"/>
      <c r="BZ582" s="1684"/>
      <c r="CA582" s="1684"/>
      <c r="CB582" s="1684"/>
      <c r="CC582" s="1684"/>
      <c r="CD582" s="1684"/>
      <c r="CE582" s="284">
        <v>400</v>
      </c>
      <c r="CF582" s="284" t="e">
        <f>VLOOKUP(CF576,CE560:CL562,5,0)</f>
        <v>#N/A</v>
      </c>
      <c r="CG582" s="284" t="e">
        <f t="shared" si="355"/>
        <v>#N/A</v>
      </c>
      <c r="CH582" s="284">
        <v>450</v>
      </c>
      <c r="CI582" s="1684"/>
      <c r="CJ582" s="1684"/>
      <c r="CK582" s="1684"/>
      <c r="CL582" s="1684"/>
      <c r="CM582" s="1684"/>
      <c r="CN582" s="1684"/>
      <c r="CO582" s="284">
        <v>400</v>
      </c>
      <c r="CP582" s="284" t="e">
        <f>VLOOKUP(CP576,CO560:CV562,5,0)</f>
        <v>#N/A</v>
      </c>
      <c r="CQ582" s="284" t="e">
        <f t="shared" si="356"/>
        <v>#N/A</v>
      </c>
      <c r="CR582" s="284">
        <v>450</v>
      </c>
      <c r="CS582" s="1684"/>
      <c r="CT582" s="1684"/>
      <c r="CU582" s="1684"/>
      <c r="CV582" s="1684"/>
      <c r="CW582" s="1684"/>
      <c r="CX582" s="462"/>
      <c r="DS582" s="277"/>
      <c r="DW582" s="1"/>
      <c r="DX582" s="284">
        <v>600</v>
      </c>
      <c r="DY582" s="284" t="e">
        <f>VLOOKUP(DY573,DX557:EE559,8,0)</f>
        <v>#N/A</v>
      </c>
      <c r="DZ582" s="284">
        <v>0</v>
      </c>
      <c r="EA582" s="284"/>
      <c r="EB582" s="1684"/>
      <c r="EC582" s="1684"/>
      <c r="ED582" s="1684"/>
      <c r="EE582" s="1684"/>
      <c r="EF582" s="2374"/>
      <c r="EG582" s="1684"/>
      <c r="EH582" s="284">
        <v>600</v>
      </c>
      <c r="EI582" s="284" t="e">
        <f>VLOOKUP(EI573,EH557:EO559,8,0)</f>
        <v>#N/A</v>
      </c>
      <c r="EJ582" s="284">
        <v>0</v>
      </c>
      <c r="EK582" s="284"/>
      <c r="EL582" s="1684"/>
      <c r="EM582" s="1684"/>
      <c r="EN582" s="1684"/>
      <c r="EO582" s="1684"/>
      <c r="EP582" s="1684"/>
      <c r="EQ582" s="1684"/>
      <c r="ER582" s="284">
        <v>600</v>
      </c>
      <c r="ES582" s="284" t="e">
        <f>VLOOKUP(ES573,ER557:EY559,8,0)</f>
        <v>#N/A</v>
      </c>
      <c r="ET582" s="284">
        <v>0</v>
      </c>
      <c r="EU582" s="284"/>
      <c r="EV582" s="1684"/>
      <c r="EW582" s="1684"/>
      <c r="EX582" s="1684"/>
      <c r="EY582" s="1684"/>
      <c r="EZ582" s="1684"/>
      <c r="FA582" s="1684"/>
      <c r="FB582" s="284">
        <v>600</v>
      </c>
      <c r="FC582" s="284" t="e">
        <f>VLOOKUP(FC573,FB557:FI559,8,0)</f>
        <v>#N/A</v>
      </c>
      <c r="FD582" s="284">
        <v>0</v>
      </c>
      <c r="FE582" s="284"/>
      <c r="FF582" s="1684"/>
      <c r="FG582" s="1684"/>
      <c r="FH582" s="1684"/>
      <c r="FI582" s="1684"/>
      <c r="FJ582" s="1684"/>
      <c r="FK582" s="462"/>
      <c r="GB582" s="2176"/>
      <c r="GC582" s="2176"/>
      <c r="GE582" s="286"/>
      <c r="GF582" s="1"/>
      <c r="GG582" s="284">
        <v>400</v>
      </c>
      <c r="GH582" s="284" t="e">
        <f>VLOOKUP(GH576,GG560:GN562,5,0)</f>
        <v>#N/A</v>
      </c>
      <c r="GI582" s="284" t="e">
        <f t="shared" si="349"/>
        <v>#N/A</v>
      </c>
      <c r="GJ582" s="284">
        <v>450</v>
      </c>
      <c r="GK582" s="1684"/>
      <c r="GQ582" s="284">
        <v>400</v>
      </c>
      <c r="GR582" s="284" t="e">
        <f>VLOOKUP(GR576,GQ560:GX562,5,0)</f>
        <v>#N/A</v>
      </c>
      <c r="GS582" s="284" t="e">
        <f t="shared" si="350"/>
        <v>#N/A</v>
      </c>
      <c r="GT582" s="284">
        <v>450</v>
      </c>
      <c r="GU582" s="1684"/>
      <c r="GV582" s="1684"/>
      <c r="GW582" s="1684"/>
      <c r="GX582" s="1684"/>
      <c r="GY582" s="1684"/>
      <c r="GZ582" s="1684"/>
      <c r="HA582" s="284">
        <v>400</v>
      </c>
      <c r="HB582" s="284" t="e">
        <f>VLOOKUP(HB576,HA560:HH562,5,0)</f>
        <v>#N/A</v>
      </c>
      <c r="HC582" s="284" t="e">
        <f t="shared" si="351"/>
        <v>#N/A</v>
      </c>
      <c r="HD582" s="284">
        <v>450</v>
      </c>
      <c r="HE582" s="1684"/>
      <c r="HF582" s="1684"/>
      <c r="HG582" s="1684"/>
      <c r="HH582" s="1684"/>
      <c r="HI582" s="1684"/>
      <c r="HJ582" s="1684"/>
      <c r="HK582" s="284">
        <v>400</v>
      </c>
      <c r="HL582" s="284" t="e">
        <f>VLOOKUP(HL576,HK560:HR562,5,0)</f>
        <v>#N/A</v>
      </c>
      <c r="HM582" s="284" t="e">
        <f t="shared" si="352"/>
        <v>#N/A</v>
      </c>
      <c r="HN582" s="284">
        <v>450</v>
      </c>
      <c r="HO582" s="1684"/>
      <c r="HP582" s="1684"/>
      <c r="HQ582" s="1684"/>
      <c r="HR582" s="1684"/>
      <c r="HS582" s="1684"/>
      <c r="HT582" s="462"/>
      <c r="IN582" s="277"/>
      <c r="IO582" s="277"/>
    </row>
    <row r="583" spans="2:249" ht="21.95" customHeight="1">
      <c r="B583" s="284"/>
      <c r="C583" s="284"/>
      <c r="D583" s="284"/>
      <c r="E583" s="284"/>
      <c r="F583" s="1684"/>
      <c r="G583" s="1684"/>
      <c r="H583" s="1684"/>
      <c r="I583" s="1684"/>
      <c r="J583" s="2374"/>
      <c r="K583" s="1684"/>
      <c r="L583" s="284"/>
      <c r="M583" s="284"/>
      <c r="N583" s="284"/>
      <c r="O583" s="284"/>
      <c r="P583" s="1684"/>
      <c r="Q583" s="1684"/>
      <c r="R583" s="1684"/>
      <c r="S583" s="1684"/>
      <c r="T583" s="1684"/>
      <c r="U583" s="1684"/>
      <c r="V583" s="284"/>
      <c r="W583" s="284"/>
      <c r="X583" s="284"/>
      <c r="Y583" s="284"/>
      <c r="Z583" s="1684"/>
      <c r="AA583" s="1684"/>
      <c r="AB583" s="1684"/>
      <c r="AC583" s="1684"/>
      <c r="AD583" s="1684"/>
      <c r="AE583" s="1684"/>
      <c r="AF583" s="284"/>
      <c r="AG583" s="284"/>
      <c r="AH583" s="284"/>
      <c r="AI583" s="284"/>
      <c r="AJ583" s="1684"/>
      <c r="AK583" s="1684"/>
      <c r="AL583" s="1684"/>
      <c r="AM583" s="1684"/>
      <c r="AN583" s="1684"/>
      <c r="AO583" s="462"/>
      <c r="BF583" s="2176"/>
      <c r="BG583" s="2176"/>
      <c r="BI583" s="286"/>
      <c r="BJ583" s="1"/>
      <c r="BK583" s="284">
        <v>450</v>
      </c>
      <c r="BL583" s="284" t="e">
        <f>VLOOKUP(BL576,BK560:BR562,6,0)</f>
        <v>#N/A</v>
      </c>
      <c r="BM583" s="284" t="e">
        <f t="shared" si="353"/>
        <v>#N/A</v>
      </c>
      <c r="BN583" s="284">
        <v>500</v>
      </c>
      <c r="BO583" s="1684"/>
      <c r="BU583" s="284">
        <v>450</v>
      </c>
      <c r="BV583" s="284" t="e">
        <f>VLOOKUP(BV576,BU560:CB562,6,0)</f>
        <v>#N/A</v>
      </c>
      <c r="BW583" s="284" t="e">
        <f t="shared" si="354"/>
        <v>#N/A</v>
      </c>
      <c r="BX583" s="284">
        <v>500</v>
      </c>
      <c r="BY583" s="1684"/>
      <c r="BZ583" s="1684"/>
      <c r="CA583" s="1684"/>
      <c r="CB583" s="1684"/>
      <c r="CC583" s="1684"/>
      <c r="CD583" s="1684"/>
      <c r="CE583" s="284">
        <v>450</v>
      </c>
      <c r="CF583" s="284" t="e">
        <f>VLOOKUP(CF576,CE560:CL562,6,0)</f>
        <v>#N/A</v>
      </c>
      <c r="CG583" s="284" t="e">
        <f t="shared" si="355"/>
        <v>#N/A</v>
      </c>
      <c r="CH583" s="284">
        <v>500</v>
      </c>
      <c r="CI583" s="1684"/>
      <c r="CJ583" s="1684"/>
      <c r="CK583" s="1684"/>
      <c r="CL583" s="1684"/>
      <c r="CM583" s="1684"/>
      <c r="CN583" s="1684"/>
      <c r="CO583" s="284">
        <v>450</v>
      </c>
      <c r="CP583" s="284" t="e">
        <f>VLOOKUP(CP576,CO560:CV562,6,0)</f>
        <v>#N/A</v>
      </c>
      <c r="CQ583" s="284" t="e">
        <f t="shared" si="356"/>
        <v>#N/A</v>
      </c>
      <c r="CR583" s="284">
        <v>500</v>
      </c>
      <c r="CS583" s="1684"/>
      <c r="CT583" s="1684"/>
      <c r="CU583" s="1684"/>
      <c r="CV583" s="1684"/>
      <c r="CW583" s="1684"/>
      <c r="CX583" s="462"/>
      <c r="DS583" s="277"/>
      <c r="DW583" s="1"/>
      <c r="DX583" s="284"/>
      <c r="DY583" s="284"/>
      <c r="DZ583" s="284"/>
      <c r="EA583" s="284"/>
      <c r="EB583" s="1684"/>
      <c r="EC583" s="1684"/>
      <c r="ED583" s="1684"/>
      <c r="EE583" s="1684"/>
      <c r="EF583" s="2374"/>
      <c r="EG583" s="1684"/>
      <c r="EH583" s="284"/>
      <c r="EI583" s="284"/>
      <c r="EJ583" s="284"/>
      <c r="EK583" s="284"/>
      <c r="EL583" s="1684"/>
      <c r="EM583" s="1684"/>
      <c r="EN583" s="1684"/>
      <c r="EO583" s="1684"/>
      <c r="EP583" s="1684"/>
      <c r="EQ583" s="1684"/>
      <c r="ER583" s="284"/>
      <c r="ES583" s="284"/>
      <c r="ET583" s="284"/>
      <c r="EU583" s="284"/>
      <c r="EV583" s="1684"/>
      <c r="EW583" s="1684"/>
      <c r="EX583" s="1684"/>
      <c r="EY583" s="1684"/>
      <c r="EZ583" s="1684"/>
      <c r="FA583" s="1684"/>
      <c r="FB583" s="284"/>
      <c r="FC583" s="284"/>
      <c r="FD583" s="284"/>
      <c r="FE583" s="284"/>
      <c r="FF583" s="1684"/>
      <c r="FG583" s="1684"/>
      <c r="FH583" s="1684"/>
      <c r="FI583" s="1684"/>
      <c r="FJ583" s="1684"/>
      <c r="FK583" s="462"/>
      <c r="GB583" s="2176"/>
      <c r="GC583" s="2176"/>
      <c r="GE583" s="286"/>
      <c r="GF583" s="1"/>
      <c r="GG583" s="284">
        <v>450</v>
      </c>
      <c r="GH583" s="284" t="e">
        <f>VLOOKUP(GH576,GG560:GN562,6,0)</f>
        <v>#N/A</v>
      </c>
      <c r="GI583" s="284" t="e">
        <f t="shared" si="349"/>
        <v>#N/A</v>
      </c>
      <c r="GJ583" s="284">
        <v>500</v>
      </c>
      <c r="GK583" s="1684"/>
      <c r="GQ583" s="284">
        <v>450</v>
      </c>
      <c r="GR583" s="284" t="e">
        <f>VLOOKUP(GR576,GQ560:GX562,6,0)</f>
        <v>#N/A</v>
      </c>
      <c r="GS583" s="284" t="e">
        <f t="shared" si="350"/>
        <v>#N/A</v>
      </c>
      <c r="GT583" s="284">
        <v>500</v>
      </c>
      <c r="GU583" s="1684"/>
      <c r="GV583" s="1684"/>
      <c r="GW583" s="1684"/>
      <c r="GX583" s="1684"/>
      <c r="GY583" s="1684"/>
      <c r="GZ583" s="1684"/>
      <c r="HA583" s="284">
        <v>450</v>
      </c>
      <c r="HB583" s="284" t="e">
        <f>VLOOKUP(HB576,HA560:HH562,6,0)</f>
        <v>#N/A</v>
      </c>
      <c r="HC583" s="284" t="e">
        <f t="shared" si="351"/>
        <v>#N/A</v>
      </c>
      <c r="HD583" s="284">
        <v>500</v>
      </c>
      <c r="HE583" s="1684"/>
      <c r="HF583" s="1684"/>
      <c r="HG583" s="1684"/>
      <c r="HH583" s="1684"/>
      <c r="HI583" s="1684"/>
      <c r="HJ583" s="1684"/>
      <c r="HK583" s="284">
        <v>450</v>
      </c>
      <c r="HL583" s="284" t="e">
        <f>VLOOKUP(HL576,HK560:HR562,6,0)</f>
        <v>#N/A</v>
      </c>
      <c r="HM583" s="284" t="e">
        <f t="shared" si="352"/>
        <v>#N/A</v>
      </c>
      <c r="HN583" s="284">
        <v>500</v>
      </c>
      <c r="HO583" s="1684"/>
      <c r="HP583" s="1684"/>
      <c r="HQ583" s="1684"/>
      <c r="HR583" s="1684"/>
      <c r="HS583" s="1684"/>
      <c r="HT583" s="462"/>
      <c r="IN583" s="277"/>
      <c r="IO583" s="277"/>
    </row>
    <row r="584" spans="2:249" ht="21.95" customHeight="1">
      <c r="B584" s="284"/>
      <c r="C584" s="284">
        <f>VLOOKUP(C572,C575:C582,1)</f>
        <v>0</v>
      </c>
      <c r="D584" s="284" t="e">
        <f>VLOOKUP(C584,C575:D582,2,0)</f>
        <v>#N/A</v>
      </c>
      <c r="E584" s="284"/>
      <c r="F584" s="1684"/>
      <c r="G584" s="1684"/>
      <c r="H584" s="1684"/>
      <c r="I584" s="1684"/>
      <c r="J584" s="2374"/>
      <c r="K584" s="1684"/>
      <c r="L584" s="284"/>
      <c r="M584" s="284">
        <f>VLOOKUP(M572,M575:M582,1)</f>
        <v>0</v>
      </c>
      <c r="N584" s="284" t="e">
        <f>VLOOKUP(M584,M575:N582,2,0)</f>
        <v>#N/A</v>
      </c>
      <c r="O584" s="284"/>
      <c r="P584" s="1684"/>
      <c r="Q584" s="1684"/>
      <c r="R584" s="1684"/>
      <c r="S584" s="1684"/>
      <c r="T584" s="1684"/>
      <c r="U584" s="1684"/>
      <c r="V584" s="284"/>
      <c r="W584" s="284">
        <f>VLOOKUP(W572,W575:W582,1)</f>
        <v>0</v>
      </c>
      <c r="X584" s="284" t="e">
        <f>VLOOKUP(W584,W575:X582,2,0)</f>
        <v>#N/A</v>
      </c>
      <c r="Y584" s="284"/>
      <c r="Z584" s="1684"/>
      <c r="AA584" s="1684"/>
      <c r="AB584" s="1684"/>
      <c r="AC584" s="1684"/>
      <c r="AD584" s="1684"/>
      <c r="AE584" s="1684"/>
      <c r="AF584" s="284"/>
      <c r="AG584" s="284">
        <f>VLOOKUP(AG572,AG575:AG582,1)</f>
        <v>0</v>
      </c>
      <c r="AH584" s="284" t="e">
        <f>VLOOKUP(AG584,AG575:AH582,2,0)</f>
        <v>#N/A</v>
      </c>
      <c r="AI584" s="284"/>
      <c r="AJ584" s="1684"/>
      <c r="AK584" s="1684"/>
      <c r="AL584" s="1684"/>
      <c r="AM584" s="1684"/>
      <c r="AN584" s="1684"/>
      <c r="AO584" s="462"/>
      <c r="BF584" s="2176"/>
      <c r="BG584" s="2176"/>
      <c r="BI584" s="286"/>
      <c r="BJ584" s="1"/>
      <c r="BK584" s="284">
        <v>500</v>
      </c>
      <c r="BL584" s="284" t="e">
        <f>VLOOKUP(BL576,BK560:BR562,7,0)</f>
        <v>#N/A</v>
      </c>
      <c r="BM584" s="284" t="e">
        <f t="shared" si="353"/>
        <v>#N/A</v>
      </c>
      <c r="BN584" s="284">
        <v>600</v>
      </c>
      <c r="BO584" s="1684"/>
      <c r="BP584" s="1684"/>
      <c r="BQ584" s="1684"/>
      <c r="BR584" s="1684"/>
      <c r="BS584" s="2374"/>
      <c r="BT584" s="1684"/>
      <c r="BU584" s="284">
        <v>500</v>
      </c>
      <c r="BV584" s="284" t="e">
        <f>VLOOKUP(BV576,BU560:CB562,7,0)</f>
        <v>#N/A</v>
      </c>
      <c r="BW584" s="284" t="e">
        <f t="shared" si="354"/>
        <v>#N/A</v>
      </c>
      <c r="BX584" s="284">
        <v>600</v>
      </c>
      <c r="BY584" s="1684"/>
      <c r="BZ584" s="1684"/>
      <c r="CA584" s="1684"/>
      <c r="CB584" s="1684"/>
      <c r="CC584" s="1684"/>
      <c r="CD584" s="1684"/>
      <c r="CE584" s="284">
        <v>500</v>
      </c>
      <c r="CF584" s="284" t="e">
        <f>VLOOKUP(CF576,CE560:CL562,7,0)</f>
        <v>#N/A</v>
      </c>
      <c r="CG584" s="284" t="e">
        <f t="shared" si="355"/>
        <v>#N/A</v>
      </c>
      <c r="CH584" s="284">
        <v>600</v>
      </c>
      <c r="CI584" s="1684"/>
      <c r="CJ584" s="1684"/>
      <c r="CK584" s="1684"/>
      <c r="CL584" s="1684"/>
      <c r="CM584" s="1684"/>
      <c r="CN584" s="1684"/>
      <c r="CO584" s="284">
        <v>500</v>
      </c>
      <c r="CP584" s="284" t="e">
        <f>VLOOKUP(CP576,CO560:CV562,7,0)</f>
        <v>#N/A</v>
      </c>
      <c r="CQ584" s="284" t="e">
        <f t="shared" si="356"/>
        <v>#N/A</v>
      </c>
      <c r="CR584" s="284">
        <v>600</v>
      </c>
      <c r="CS584" s="1684"/>
      <c r="CT584" s="1684"/>
      <c r="CU584" s="1684"/>
      <c r="CV584" s="1684"/>
      <c r="CW584" s="1684"/>
      <c r="CX584" s="462"/>
      <c r="DS584" s="277"/>
      <c r="DW584" s="1"/>
      <c r="DX584" s="284"/>
      <c r="DY584" s="284">
        <f>VLOOKUP(DY572,DY575:DY582,1)</f>
        <v>0</v>
      </c>
      <c r="DZ584" s="284" t="e">
        <f>VLOOKUP(DY584,DY575:DZ582,2,0)</f>
        <v>#N/A</v>
      </c>
      <c r="EA584" s="284"/>
      <c r="EB584" s="1684"/>
      <c r="EC584" s="1684"/>
      <c r="ED584" s="1684"/>
      <c r="EE584" s="1684"/>
      <c r="EF584" s="2374"/>
      <c r="EG584" s="1684"/>
      <c r="EH584" s="284"/>
      <c r="EI584" s="284">
        <f>VLOOKUP(EI572,EI575:EI582,1)</f>
        <v>0</v>
      </c>
      <c r="EJ584" s="284" t="e">
        <f>VLOOKUP(EI584,EI575:EJ582,2,0)</f>
        <v>#N/A</v>
      </c>
      <c r="EK584" s="284"/>
      <c r="EL584" s="1684"/>
      <c r="EM584" s="1684"/>
      <c r="EN584" s="1684"/>
      <c r="EO584" s="1684"/>
      <c r="EP584" s="1684"/>
      <c r="EQ584" s="1684"/>
      <c r="ER584" s="284"/>
      <c r="ES584" s="284">
        <f>VLOOKUP(ES572,ES575:ES582,1)</f>
        <v>0</v>
      </c>
      <c r="ET584" s="284" t="e">
        <f>VLOOKUP(ES584,ES575:ET582,2,0)</f>
        <v>#N/A</v>
      </c>
      <c r="EU584" s="284"/>
      <c r="EV584" s="1684"/>
      <c r="EW584" s="1684"/>
      <c r="EX584" s="1684"/>
      <c r="EY584" s="1684"/>
      <c r="EZ584" s="1684"/>
      <c r="FA584" s="1684"/>
      <c r="FB584" s="284"/>
      <c r="FC584" s="284">
        <f>VLOOKUP(FC572,FC575:FC582,1)</f>
        <v>0</v>
      </c>
      <c r="FD584" s="284" t="e">
        <f>VLOOKUP(FC584,FC575:FD582,2,0)</f>
        <v>#N/A</v>
      </c>
      <c r="FE584" s="284"/>
      <c r="FF584" s="1684"/>
      <c r="FG584" s="1684"/>
      <c r="FH584" s="1684"/>
      <c r="FI584" s="1684"/>
      <c r="FJ584" s="1684"/>
      <c r="FK584" s="462"/>
      <c r="GB584" s="2176"/>
      <c r="GC584" s="2176"/>
      <c r="GE584" s="286"/>
      <c r="GF584" s="1"/>
      <c r="GG584" s="284">
        <v>500</v>
      </c>
      <c r="GH584" s="284" t="e">
        <f>VLOOKUP(GH576,GG560:GN562,7,0)</f>
        <v>#N/A</v>
      </c>
      <c r="GI584" s="284" t="e">
        <f t="shared" si="349"/>
        <v>#N/A</v>
      </c>
      <c r="GJ584" s="284">
        <v>600</v>
      </c>
      <c r="GK584" s="1684"/>
      <c r="GL584" s="1684"/>
      <c r="GM584" s="1684"/>
      <c r="GN584" s="1684"/>
      <c r="GO584" s="2374"/>
      <c r="GP584" s="1684"/>
      <c r="GQ584" s="284">
        <v>500</v>
      </c>
      <c r="GR584" s="284" t="e">
        <f>VLOOKUP(GR576,GQ560:GX562,7,0)</f>
        <v>#N/A</v>
      </c>
      <c r="GS584" s="284" t="e">
        <f t="shared" si="350"/>
        <v>#N/A</v>
      </c>
      <c r="GT584" s="284">
        <v>600</v>
      </c>
      <c r="GU584" s="1684"/>
      <c r="GV584" s="1684"/>
      <c r="GW584" s="1684"/>
      <c r="GX584" s="1684"/>
      <c r="GY584" s="1684"/>
      <c r="GZ584" s="1684"/>
      <c r="HA584" s="284">
        <v>500</v>
      </c>
      <c r="HB584" s="284" t="e">
        <f>VLOOKUP(HB576,HA560:HH562,7,0)</f>
        <v>#N/A</v>
      </c>
      <c r="HC584" s="284" t="e">
        <f t="shared" si="351"/>
        <v>#N/A</v>
      </c>
      <c r="HD584" s="284">
        <v>600</v>
      </c>
      <c r="HE584" s="1684"/>
      <c r="HF584" s="1684"/>
      <c r="HG584" s="1684"/>
      <c r="HH584" s="1684"/>
      <c r="HI584" s="1684"/>
      <c r="HJ584" s="1684"/>
      <c r="HK584" s="284">
        <v>500</v>
      </c>
      <c r="HL584" s="284" t="e">
        <f>VLOOKUP(HL576,HK560:HR562,7,0)</f>
        <v>#N/A</v>
      </c>
      <c r="HM584" s="284" t="e">
        <f t="shared" si="352"/>
        <v>#N/A</v>
      </c>
      <c r="HN584" s="284">
        <v>600</v>
      </c>
      <c r="HO584" s="1684"/>
      <c r="HP584" s="1684"/>
      <c r="HQ584" s="1684"/>
      <c r="HR584" s="1684"/>
      <c r="HS584" s="1684"/>
      <c r="HT584" s="462"/>
      <c r="IN584" s="277"/>
      <c r="IO584" s="277"/>
    </row>
    <row r="585" spans="2:249" ht="21.95" customHeight="1" thickBot="1">
      <c r="B585" s="284"/>
      <c r="C585" s="284">
        <f>IFERROR(VLOOKUP(C572,C575:C582,1,0),0)</f>
        <v>0</v>
      </c>
      <c r="D585" s="2322" t="e">
        <f>IF(C585&gt;0,C585,D584)</f>
        <v>#N/A</v>
      </c>
      <c r="E585" s="2322" t="e">
        <f>VLOOKUP(D585,D575:E582,2,0)</f>
        <v>#N/A</v>
      </c>
      <c r="F585" s="1684"/>
      <c r="G585" s="1684"/>
      <c r="H585" s="1684"/>
      <c r="I585" s="1684"/>
      <c r="J585" s="2374"/>
      <c r="K585" s="1684"/>
      <c r="L585" s="284"/>
      <c r="M585" s="284">
        <f>IFERROR(VLOOKUP(M572,M575:M582,1,0),0)</f>
        <v>0</v>
      </c>
      <c r="N585" s="2322" t="e">
        <f>IF(M585&gt;0,M585,N584)</f>
        <v>#N/A</v>
      </c>
      <c r="O585" s="2322" t="e">
        <f>VLOOKUP(N585,N575:O582,2,0)</f>
        <v>#N/A</v>
      </c>
      <c r="P585" s="1684"/>
      <c r="Q585" s="1684"/>
      <c r="R585" s="1684"/>
      <c r="S585" s="1684"/>
      <c r="T585" s="1684"/>
      <c r="U585" s="1684"/>
      <c r="V585" s="284"/>
      <c r="W585" s="284">
        <f>IFERROR(VLOOKUP(W572,W575:W582,1,0),0)</f>
        <v>0</v>
      </c>
      <c r="X585" s="2322" t="e">
        <f>IF(W585&gt;0,W585,X584)</f>
        <v>#N/A</v>
      </c>
      <c r="Y585" s="2322" t="e">
        <f>VLOOKUP(X585,X575:Y582,2,0)</f>
        <v>#N/A</v>
      </c>
      <c r="Z585" s="1684"/>
      <c r="AA585" s="1684"/>
      <c r="AB585" s="1684"/>
      <c r="AC585" s="1684"/>
      <c r="AD585" s="1684"/>
      <c r="AE585" s="1684"/>
      <c r="AF585" s="284"/>
      <c r="AG585" s="284">
        <f>IFERROR(VLOOKUP(AG572,AG575:AG582,1,0),0)</f>
        <v>0</v>
      </c>
      <c r="AH585" s="2322" t="e">
        <f>IF(AG585&gt;0,AG585,AH584)</f>
        <v>#N/A</v>
      </c>
      <c r="AI585" s="2322" t="e">
        <f>VLOOKUP(AH585,AH575:AI582,2,0)</f>
        <v>#N/A</v>
      </c>
      <c r="AJ585" s="1684"/>
      <c r="AK585" s="1684"/>
      <c r="AL585" s="1684"/>
      <c r="AM585" s="1684"/>
      <c r="AN585" s="1684"/>
      <c r="AO585" s="462"/>
      <c r="BF585" s="2176"/>
      <c r="BG585" s="2176"/>
      <c r="BI585" s="286"/>
      <c r="BJ585" s="1"/>
      <c r="BK585" s="284">
        <v>600</v>
      </c>
      <c r="BL585" s="284" t="e">
        <f>VLOOKUP(BL576,BK560:BR562,8,0)</f>
        <v>#N/A</v>
      </c>
      <c r="BM585" s="284">
        <v>0</v>
      </c>
      <c r="BN585" s="284"/>
      <c r="BO585" s="1684"/>
      <c r="BP585" s="1684"/>
      <c r="BQ585" s="1684"/>
      <c r="BR585" s="1684"/>
      <c r="BS585" s="2374"/>
      <c r="BT585" s="1684"/>
      <c r="BU585" s="284">
        <v>600</v>
      </c>
      <c r="BV585" s="284" t="e">
        <f>VLOOKUP(BV576,BU560:CB562,8,0)</f>
        <v>#N/A</v>
      </c>
      <c r="BW585" s="284">
        <v>0</v>
      </c>
      <c r="BX585" s="284"/>
      <c r="BY585" s="1684"/>
      <c r="BZ585" s="1684"/>
      <c r="CA585" s="1684"/>
      <c r="CB585" s="1684"/>
      <c r="CC585" s="1684"/>
      <c r="CD585" s="1684"/>
      <c r="CE585" s="284">
        <v>600</v>
      </c>
      <c r="CF585" s="284" t="e">
        <f>VLOOKUP(CF576,CE560:CL562,8,0)</f>
        <v>#N/A</v>
      </c>
      <c r="CG585" s="284">
        <v>0</v>
      </c>
      <c r="CH585" s="284"/>
      <c r="CI585" s="1684"/>
      <c r="CJ585" s="1684"/>
      <c r="CK585" s="1684"/>
      <c r="CL585" s="1684"/>
      <c r="CM585" s="1684"/>
      <c r="CN585" s="1684"/>
      <c r="CO585" s="284">
        <v>600</v>
      </c>
      <c r="CP585" s="284" t="e">
        <f>VLOOKUP(CP576,CO560:CV562,8,0)</f>
        <v>#N/A</v>
      </c>
      <c r="CQ585" s="284">
        <v>0</v>
      </c>
      <c r="CR585" s="284"/>
      <c r="CS585" s="1684"/>
      <c r="CT585" s="1684"/>
      <c r="CU585" s="1684"/>
      <c r="CV585" s="1684"/>
      <c r="CW585" s="1684"/>
      <c r="CX585" s="462"/>
      <c r="DS585" s="277"/>
      <c r="DW585" s="1"/>
      <c r="DX585" s="284"/>
      <c r="DY585" s="284">
        <f>IFERROR(VLOOKUP(DY572,DY575:DY582,1,0),0)</f>
        <v>0</v>
      </c>
      <c r="DZ585" s="2322" t="e">
        <f>IF(DY585&gt;0,DY585,DZ584)</f>
        <v>#N/A</v>
      </c>
      <c r="EA585" s="2322" t="e">
        <f>VLOOKUP(DZ585,DZ575:EA582,2,0)</f>
        <v>#N/A</v>
      </c>
      <c r="EB585" s="1684"/>
      <c r="EC585" s="1684"/>
      <c r="ED585" s="1684"/>
      <c r="EE585" s="1684"/>
      <c r="EF585" s="2374"/>
      <c r="EG585" s="1684"/>
      <c r="EH585" s="284"/>
      <c r="EI585" s="284">
        <f>IFERROR(VLOOKUP(EI572,EI575:EI582,1,0),0)</f>
        <v>0</v>
      </c>
      <c r="EJ585" s="2322" t="e">
        <f>IF(EI585&gt;0,EI585,EJ584)</f>
        <v>#N/A</v>
      </c>
      <c r="EK585" s="2322" t="e">
        <f>VLOOKUP(EJ585,EJ575:EK582,2,0)</f>
        <v>#N/A</v>
      </c>
      <c r="EL585" s="1684"/>
      <c r="EM585" s="1684"/>
      <c r="EN585" s="1684"/>
      <c r="EO585" s="1684"/>
      <c r="EP585" s="1684"/>
      <c r="EQ585" s="1684"/>
      <c r="ER585" s="284"/>
      <c r="ES585" s="284">
        <f>IFERROR(VLOOKUP(ES572,ES575:ES582,1,0),0)</f>
        <v>0</v>
      </c>
      <c r="ET585" s="2322" t="e">
        <f>IF(ES585&gt;0,ES585,ET584)</f>
        <v>#N/A</v>
      </c>
      <c r="EU585" s="2322" t="e">
        <f>VLOOKUP(ET585,ET575:EU582,2,0)</f>
        <v>#N/A</v>
      </c>
      <c r="EV585" s="1684"/>
      <c r="EW585" s="1684"/>
      <c r="EX585" s="1684"/>
      <c r="EY585" s="1684"/>
      <c r="EZ585" s="1684"/>
      <c r="FA585" s="1684"/>
      <c r="FB585" s="284"/>
      <c r="FC585" s="284">
        <f>IFERROR(VLOOKUP(FC572,FC575:FC582,1,0),0)</f>
        <v>0</v>
      </c>
      <c r="FD585" s="2322" t="e">
        <f>IF(FC585&gt;0,FC585,FD584)</f>
        <v>#N/A</v>
      </c>
      <c r="FE585" s="2322" t="e">
        <f>VLOOKUP(FD585,FD575:FE582,2,0)</f>
        <v>#N/A</v>
      </c>
      <c r="FF585" s="1684"/>
      <c r="FG585" s="1684"/>
      <c r="FH585" s="1684"/>
      <c r="FI585" s="1684"/>
      <c r="FJ585" s="1684"/>
      <c r="FK585" s="462"/>
      <c r="GB585" s="2176"/>
      <c r="GC585" s="2176"/>
      <c r="GE585" s="286"/>
      <c r="GF585" s="1"/>
      <c r="GG585" s="284">
        <v>600</v>
      </c>
      <c r="GH585" s="284" t="e">
        <f>VLOOKUP(GH576,GG560:GN562,8,0)</f>
        <v>#N/A</v>
      </c>
      <c r="GI585" s="284">
        <v>0</v>
      </c>
      <c r="GJ585" s="284"/>
      <c r="GK585" s="1684"/>
      <c r="GL585" s="1684"/>
      <c r="GM585" s="1684"/>
      <c r="GN585" s="1684"/>
      <c r="GO585" s="2374"/>
      <c r="GP585" s="1684"/>
      <c r="GQ585" s="284">
        <v>600</v>
      </c>
      <c r="GR585" s="284" t="e">
        <f>VLOOKUP(GR576,GQ560:GX562,8,0)</f>
        <v>#N/A</v>
      </c>
      <c r="GS585" s="284">
        <v>0</v>
      </c>
      <c r="GT585" s="284"/>
      <c r="GU585" s="1684"/>
      <c r="GV585" s="1684"/>
      <c r="GW585" s="1684"/>
      <c r="GX585" s="1684"/>
      <c r="GY585" s="1684"/>
      <c r="GZ585" s="1684"/>
      <c r="HA585" s="284">
        <v>600</v>
      </c>
      <c r="HB585" s="284" t="e">
        <f>VLOOKUP(HB576,HA560:HH562,8,0)</f>
        <v>#N/A</v>
      </c>
      <c r="HC585" s="284">
        <v>0</v>
      </c>
      <c r="HD585" s="284"/>
      <c r="HE585" s="1684"/>
      <c r="HF585" s="1684"/>
      <c r="HG585" s="1684"/>
      <c r="HH585" s="1684"/>
      <c r="HI585" s="1684"/>
      <c r="HJ585" s="1684"/>
      <c r="HK585" s="284">
        <v>600</v>
      </c>
      <c r="HL585" s="284" t="e">
        <f>VLOOKUP(HL576,HK560:HR562,8,0)</f>
        <v>#N/A</v>
      </c>
      <c r="HM585" s="284">
        <v>0</v>
      </c>
      <c r="HN585" s="284"/>
      <c r="HO585" s="1684"/>
      <c r="HP585" s="1684"/>
      <c r="HQ585" s="1684"/>
      <c r="HR585" s="1684"/>
      <c r="HS585" s="1684"/>
      <c r="HT585" s="462"/>
      <c r="IN585" s="277"/>
      <c r="IO585" s="277"/>
    </row>
    <row r="586" spans="2:249" ht="21.95" customHeight="1" thickBot="1">
      <c r="B586" s="2382" t="s">
        <v>714</v>
      </c>
      <c r="C586" s="2383"/>
      <c r="D586" s="2383" t="e">
        <f>D585</f>
        <v>#N/A</v>
      </c>
      <c r="E586" s="2384" t="e">
        <f>E585</f>
        <v>#N/A</v>
      </c>
      <c r="F586" s="1684"/>
      <c r="G586" s="1684"/>
      <c r="H586" s="1684"/>
      <c r="I586" s="1684"/>
      <c r="J586" s="2374"/>
      <c r="K586" s="1684"/>
      <c r="L586" s="2382" t="s">
        <v>714</v>
      </c>
      <c r="M586" s="2383"/>
      <c r="N586" s="2383" t="e">
        <f>N585</f>
        <v>#N/A</v>
      </c>
      <c r="O586" s="2384" t="e">
        <f>O585</f>
        <v>#N/A</v>
      </c>
      <c r="P586" s="1684"/>
      <c r="Q586" s="1684"/>
      <c r="R586" s="1684"/>
      <c r="S586" s="1684"/>
      <c r="T586" s="1684"/>
      <c r="U586" s="1684"/>
      <c r="V586" s="2382" t="s">
        <v>714</v>
      </c>
      <c r="W586" s="2383"/>
      <c r="X586" s="2383" t="e">
        <f>X585</f>
        <v>#N/A</v>
      </c>
      <c r="Y586" s="2384" t="e">
        <f>Y585</f>
        <v>#N/A</v>
      </c>
      <c r="Z586" s="1684"/>
      <c r="AA586" s="1684"/>
      <c r="AB586" s="1684"/>
      <c r="AC586" s="1684"/>
      <c r="AD586" s="1684"/>
      <c r="AE586" s="1684"/>
      <c r="AF586" s="2382" t="s">
        <v>714</v>
      </c>
      <c r="AG586" s="2383"/>
      <c r="AH586" s="2383" t="e">
        <f>AH585</f>
        <v>#N/A</v>
      </c>
      <c r="AI586" s="2384" t="e">
        <f>AI585</f>
        <v>#N/A</v>
      </c>
      <c r="AJ586" s="1684"/>
      <c r="AK586" s="1684"/>
      <c r="AL586" s="1684"/>
      <c r="AM586" s="1684"/>
      <c r="AN586" s="1684"/>
      <c r="AO586" s="462"/>
      <c r="BF586" s="2176"/>
      <c r="BG586" s="2176"/>
      <c r="BI586" s="286"/>
      <c r="BJ586" s="1"/>
      <c r="BK586" s="284"/>
      <c r="BL586" s="284"/>
      <c r="BM586" s="284"/>
      <c r="BN586" s="284"/>
      <c r="BO586" s="1684"/>
      <c r="BP586" s="1684"/>
      <c r="BQ586" s="1684"/>
      <c r="BR586" s="1684"/>
      <c r="BS586" s="2374"/>
      <c r="BT586" s="1684"/>
      <c r="BU586" s="284"/>
      <c r="BV586" s="284"/>
      <c r="BW586" s="284"/>
      <c r="BX586" s="284"/>
      <c r="BY586" s="1684"/>
      <c r="BZ586" s="1684"/>
      <c r="CA586" s="1684"/>
      <c r="CB586" s="1684"/>
      <c r="CC586" s="1684"/>
      <c r="CD586" s="1684"/>
      <c r="CE586" s="284"/>
      <c r="CF586" s="284"/>
      <c r="CG586" s="284"/>
      <c r="CH586" s="284"/>
      <c r="CI586" s="1684"/>
      <c r="CJ586" s="1684"/>
      <c r="CK586" s="1684"/>
      <c r="CL586" s="1684"/>
      <c r="CM586" s="1684"/>
      <c r="CN586" s="1684"/>
      <c r="CO586" s="284"/>
      <c r="CP586" s="284"/>
      <c r="CQ586" s="284"/>
      <c r="CR586" s="284"/>
      <c r="CS586" s="1684"/>
      <c r="CT586" s="1684"/>
      <c r="CU586" s="1684"/>
      <c r="CV586" s="1684"/>
      <c r="CW586" s="1684"/>
      <c r="CX586" s="462"/>
      <c r="DS586" s="277"/>
      <c r="DW586" s="1"/>
      <c r="DX586" s="2382" t="s">
        <v>714</v>
      </c>
      <c r="DY586" s="2383"/>
      <c r="DZ586" s="2383" t="e">
        <f>DZ585</f>
        <v>#N/A</v>
      </c>
      <c r="EA586" s="2384" t="e">
        <f>EA585</f>
        <v>#N/A</v>
      </c>
      <c r="EB586" s="1684"/>
      <c r="EC586" s="1684"/>
      <c r="ED586" s="1684"/>
      <c r="EE586" s="1684"/>
      <c r="EF586" s="2374"/>
      <c r="EG586" s="1684"/>
      <c r="EH586" s="2382" t="s">
        <v>714</v>
      </c>
      <c r="EI586" s="2383"/>
      <c r="EJ586" s="2383" t="e">
        <f>EJ585</f>
        <v>#N/A</v>
      </c>
      <c r="EK586" s="2384" t="e">
        <f>EK585</f>
        <v>#N/A</v>
      </c>
      <c r="EL586" s="1684"/>
      <c r="EM586" s="1684"/>
      <c r="EN586" s="1684"/>
      <c r="EO586" s="1684"/>
      <c r="EP586" s="1684"/>
      <c r="EQ586" s="1684"/>
      <c r="ER586" s="2382" t="s">
        <v>714</v>
      </c>
      <c r="ES586" s="2383"/>
      <c r="ET586" s="2383" t="e">
        <f>ET585</f>
        <v>#N/A</v>
      </c>
      <c r="EU586" s="2384" t="e">
        <f>EU585</f>
        <v>#N/A</v>
      </c>
      <c r="EV586" s="1684"/>
      <c r="EW586" s="1684"/>
      <c r="EX586" s="1684"/>
      <c r="EY586" s="1684"/>
      <c r="EZ586" s="1684"/>
      <c r="FA586" s="1684"/>
      <c r="FB586" s="2382" t="s">
        <v>714</v>
      </c>
      <c r="FC586" s="2383"/>
      <c r="FD586" s="2383" t="e">
        <f>FD585</f>
        <v>#N/A</v>
      </c>
      <c r="FE586" s="2384" t="e">
        <f>FE585</f>
        <v>#N/A</v>
      </c>
      <c r="FF586" s="1684"/>
      <c r="FG586" s="1684"/>
      <c r="FH586" s="1684"/>
      <c r="FI586" s="1684"/>
      <c r="FJ586" s="1684"/>
      <c r="FK586" s="462"/>
      <c r="GB586" s="2176"/>
      <c r="GC586" s="2176"/>
      <c r="GE586" s="286"/>
      <c r="GF586" s="1"/>
      <c r="GG586" s="284"/>
      <c r="GH586" s="284"/>
      <c r="GI586" s="284"/>
      <c r="GJ586" s="284"/>
      <c r="GK586" s="1684"/>
      <c r="GL586" s="1684"/>
      <c r="GM586" s="1684"/>
      <c r="GN586" s="1684"/>
      <c r="GO586" s="2374"/>
      <c r="GP586" s="1684"/>
      <c r="GQ586" s="284"/>
      <c r="GR586" s="284"/>
      <c r="GS586" s="284"/>
      <c r="GT586" s="284"/>
      <c r="GU586" s="1684"/>
      <c r="GV586" s="1684"/>
      <c r="GW586" s="1684"/>
      <c r="GX586" s="1684"/>
      <c r="GY586" s="1684"/>
      <c r="GZ586" s="1684"/>
      <c r="HA586" s="284"/>
      <c r="HB586" s="284"/>
      <c r="HC586" s="284"/>
      <c r="HD586" s="284"/>
      <c r="HE586" s="1684"/>
      <c r="HF586" s="1684"/>
      <c r="HG586" s="1684"/>
      <c r="HH586" s="1684"/>
      <c r="HI586" s="1684"/>
      <c r="HJ586" s="1684"/>
      <c r="HK586" s="284"/>
      <c r="HL586" s="284"/>
      <c r="HM586" s="284"/>
      <c r="HN586" s="284"/>
      <c r="HO586" s="1684"/>
      <c r="HP586" s="1684"/>
      <c r="HQ586" s="1684"/>
      <c r="HR586" s="1684"/>
      <c r="HS586" s="1684"/>
      <c r="HT586" s="462"/>
      <c r="IN586" s="277"/>
      <c r="IO586" s="277"/>
    </row>
    <row r="587" spans="2:249" ht="21.95" customHeight="1">
      <c r="B587" s="1684"/>
      <c r="C587" s="1684"/>
      <c r="D587" s="1684"/>
      <c r="E587" s="1684"/>
      <c r="F587" s="1684"/>
      <c r="G587" s="1684"/>
      <c r="H587" s="1684"/>
      <c r="I587" s="1684"/>
      <c r="J587" s="2374"/>
      <c r="K587" s="1684"/>
      <c r="L587" s="1684"/>
      <c r="M587" s="1684"/>
      <c r="N587" s="1684"/>
      <c r="O587" s="1684"/>
      <c r="P587" s="1684"/>
      <c r="Q587" s="1684"/>
      <c r="R587" s="1684"/>
      <c r="S587" s="1684"/>
      <c r="T587" s="1684"/>
      <c r="U587" s="1684"/>
      <c r="V587" s="1684"/>
      <c r="W587" s="1684"/>
      <c r="X587" s="1684"/>
      <c r="Y587" s="1684"/>
      <c r="Z587" s="1684"/>
      <c r="AA587" s="1684"/>
      <c r="AB587" s="1684"/>
      <c r="AC587" s="1684"/>
      <c r="AD587" s="1684"/>
      <c r="AE587" s="1684"/>
      <c r="AF587" s="1684"/>
      <c r="AG587" s="1684"/>
      <c r="AH587" s="1684"/>
      <c r="AI587" s="1684"/>
      <c r="AJ587" s="1684"/>
      <c r="AK587" s="1684"/>
      <c r="AL587" s="1684"/>
      <c r="AM587" s="1684"/>
      <c r="AN587" s="1684"/>
      <c r="AO587" s="462"/>
      <c r="BF587" s="2176"/>
      <c r="BG587" s="2176"/>
      <c r="BI587" s="286"/>
      <c r="BJ587" s="1"/>
      <c r="BK587" s="284"/>
      <c r="BL587" s="284">
        <f>VLOOKUP(BL575,BL578:BL585,1)</f>
        <v>0</v>
      </c>
      <c r="BM587" s="284" t="e">
        <f>VLOOKUP(BL587,BL578:BM585,2,0)</f>
        <v>#N/A</v>
      </c>
      <c r="BN587" s="284"/>
      <c r="BO587" s="1684"/>
      <c r="BP587" s="1684"/>
      <c r="BQ587" s="1684"/>
      <c r="BR587" s="1684"/>
      <c r="BS587" s="2374"/>
      <c r="BT587" s="1684"/>
      <c r="BU587" s="284"/>
      <c r="BV587" s="284">
        <f>VLOOKUP(BV575,BV578:BV585,1)</f>
        <v>0</v>
      </c>
      <c r="BW587" s="284" t="e">
        <f>VLOOKUP(BV587,BV578:BW585,2,0)</f>
        <v>#N/A</v>
      </c>
      <c r="BX587" s="284"/>
      <c r="BY587" s="1684"/>
      <c r="BZ587" s="1684"/>
      <c r="CA587" s="1684"/>
      <c r="CB587" s="1684"/>
      <c r="CC587" s="1684"/>
      <c r="CD587" s="1684"/>
      <c r="CE587" s="284"/>
      <c r="CF587" s="284">
        <f>VLOOKUP(CF575,CF578:CF585,1)</f>
        <v>0</v>
      </c>
      <c r="CG587" s="284" t="e">
        <f>VLOOKUP(CF587,CF578:CG585,2,0)</f>
        <v>#N/A</v>
      </c>
      <c r="CH587" s="284"/>
      <c r="CI587" s="1684"/>
      <c r="CJ587" s="1684"/>
      <c r="CK587" s="1684"/>
      <c r="CL587" s="1684"/>
      <c r="CM587" s="1684"/>
      <c r="CN587" s="1684"/>
      <c r="CO587" s="284"/>
      <c r="CP587" s="284">
        <f>VLOOKUP(CP575,CP578:CP585,1)</f>
        <v>0</v>
      </c>
      <c r="CQ587" s="284" t="e">
        <f>VLOOKUP(CP587,CP578:CQ585,2,0)</f>
        <v>#N/A</v>
      </c>
      <c r="CR587" s="284"/>
      <c r="CS587" s="1684"/>
      <c r="CT587" s="1684"/>
      <c r="CU587" s="1684"/>
      <c r="CV587" s="1684"/>
      <c r="CW587" s="1684"/>
      <c r="CX587" s="462"/>
      <c r="DS587" s="277"/>
      <c r="DW587" s="1"/>
      <c r="DX587" s="1684"/>
      <c r="DY587" s="1684"/>
      <c r="DZ587" s="1684"/>
      <c r="EA587" s="1684"/>
      <c r="EB587" s="1684"/>
      <c r="EC587" s="1684"/>
      <c r="ED587" s="1684"/>
      <c r="EE587" s="1684"/>
      <c r="EF587" s="2374"/>
      <c r="EG587" s="1684"/>
      <c r="EH587" s="1684"/>
      <c r="EI587" s="1684"/>
      <c r="EJ587" s="1684"/>
      <c r="EK587" s="1684"/>
      <c r="EL587" s="1684"/>
      <c r="EM587" s="1684"/>
      <c r="EN587" s="1684"/>
      <c r="EO587" s="1684"/>
      <c r="EP587" s="1684"/>
      <c r="EQ587" s="1684"/>
      <c r="ER587" s="1684"/>
      <c r="ES587" s="1684"/>
      <c r="ET587" s="1684"/>
      <c r="EU587" s="1684"/>
      <c r="EV587" s="1684"/>
      <c r="EW587" s="1684"/>
      <c r="EX587" s="1684"/>
      <c r="EY587" s="1684"/>
      <c r="EZ587" s="1684"/>
      <c r="FA587" s="1684"/>
      <c r="FB587" s="1684"/>
      <c r="FC587" s="1684"/>
      <c r="FD587" s="1684"/>
      <c r="FE587" s="1684"/>
      <c r="FF587" s="1684"/>
      <c r="FG587" s="1684"/>
      <c r="FH587" s="1684"/>
      <c r="FI587" s="1684"/>
      <c r="FJ587" s="1684"/>
      <c r="FK587" s="462"/>
      <c r="GB587" s="2176"/>
      <c r="GC587" s="2176"/>
      <c r="GE587" s="286"/>
      <c r="GF587" s="1"/>
      <c r="GG587" s="284"/>
      <c r="GH587" s="284">
        <f>VLOOKUP(GH575,GH578:GH585,1)</f>
        <v>0</v>
      </c>
      <c r="GI587" s="284" t="e">
        <f>VLOOKUP(GH587,GH578:GI585,2,0)</f>
        <v>#N/A</v>
      </c>
      <c r="GJ587" s="284"/>
      <c r="GK587" s="1684"/>
      <c r="GL587" s="1684"/>
      <c r="GM587" s="1684"/>
      <c r="GN587" s="1684"/>
      <c r="GO587" s="2374"/>
      <c r="GP587" s="1684"/>
      <c r="GQ587" s="284"/>
      <c r="GR587" s="284">
        <f>VLOOKUP(GR575,GR578:GR585,1)</f>
        <v>0</v>
      </c>
      <c r="GS587" s="284" t="e">
        <f>VLOOKUP(GR587,GR578:GS585,2,0)</f>
        <v>#N/A</v>
      </c>
      <c r="GT587" s="284"/>
      <c r="GU587" s="1684"/>
      <c r="GV587" s="1684"/>
      <c r="GW587" s="1684"/>
      <c r="GX587" s="1684"/>
      <c r="GY587" s="1684"/>
      <c r="GZ587" s="1684"/>
      <c r="HA587" s="284"/>
      <c r="HB587" s="284">
        <f>VLOOKUP(HB575,HB578:HB585,1)</f>
        <v>0</v>
      </c>
      <c r="HC587" s="284" t="e">
        <f>VLOOKUP(HB587,HB578:HC585,2,0)</f>
        <v>#N/A</v>
      </c>
      <c r="HD587" s="284"/>
      <c r="HE587" s="1684"/>
      <c r="HF587" s="1684"/>
      <c r="HG587" s="1684"/>
      <c r="HH587" s="1684"/>
      <c r="HI587" s="1684"/>
      <c r="HJ587" s="1684"/>
      <c r="HK587" s="284"/>
      <c r="HL587" s="284">
        <f>VLOOKUP(HL575,HL578:HL585,1)</f>
        <v>0</v>
      </c>
      <c r="HM587" s="284" t="e">
        <f>VLOOKUP(HL587,HL578:HM585,2,0)</f>
        <v>#N/A</v>
      </c>
      <c r="HN587" s="284"/>
      <c r="HO587" s="1684"/>
      <c r="HP587" s="1684"/>
      <c r="HQ587" s="1684"/>
      <c r="HR587" s="1684"/>
      <c r="HS587" s="1684"/>
      <c r="HT587" s="462"/>
      <c r="IN587" s="277"/>
      <c r="IO587" s="277"/>
    </row>
    <row r="588" spans="2:249" ht="21.95" customHeight="1" thickBot="1">
      <c r="B588" s="1684"/>
      <c r="C588" s="1684"/>
      <c r="D588" s="1684"/>
      <c r="E588" s="1684"/>
      <c r="F588" s="1684"/>
      <c r="G588" s="1684"/>
      <c r="H588" s="1684"/>
      <c r="I588" s="1684"/>
      <c r="J588" s="2374"/>
      <c r="K588" s="1684"/>
      <c r="L588" s="1684"/>
      <c r="M588" s="1684"/>
      <c r="N588" s="1684"/>
      <c r="O588" s="1684"/>
      <c r="P588" s="1684"/>
      <c r="Q588" s="1684"/>
      <c r="R588" s="1684"/>
      <c r="S588" s="1684"/>
      <c r="T588" s="1684"/>
      <c r="U588" s="1684"/>
      <c r="V588" s="1684"/>
      <c r="W588" s="1684"/>
      <c r="X588" s="1684"/>
      <c r="Y588" s="1684"/>
      <c r="Z588" s="1684"/>
      <c r="AA588" s="1684"/>
      <c r="AB588" s="1684"/>
      <c r="AC588" s="1684"/>
      <c r="AD588" s="1684"/>
      <c r="AE588" s="1684"/>
      <c r="AF588" s="1684"/>
      <c r="AG588" s="1684"/>
      <c r="AH588" s="1684"/>
      <c r="AI588" s="1684"/>
      <c r="AJ588" s="1684"/>
      <c r="AK588" s="1684"/>
      <c r="AL588" s="1684"/>
      <c r="AM588" s="1684"/>
      <c r="AN588" s="1684"/>
      <c r="AO588" s="462"/>
      <c r="BF588" s="2176"/>
      <c r="BG588" s="2176"/>
      <c r="BI588" s="286"/>
      <c r="BJ588" s="1"/>
      <c r="BK588" s="284"/>
      <c r="BL588" s="284">
        <f>IFERROR(VLOOKUP(BL575,BL578:BL585,1,0),0)</f>
        <v>0</v>
      </c>
      <c r="BM588" s="2322" t="e">
        <f>IF(BL588&gt;0,BL588,BM587)</f>
        <v>#N/A</v>
      </c>
      <c r="BN588" s="2322" t="e">
        <f>VLOOKUP(BM588,BM578:BN585,2,0)</f>
        <v>#N/A</v>
      </c>
      <c r="BO588" s="1684"/>
      <c r="BP588" s="1684"/>
      <c r="BQ588" s="1684"/>
      <c r="BR588" s="1684"/>
      <c r="BS588" s="2374"/>
      <c r="BT588" s="1684"/>
      <c r="BU588" s="284"/>
      <c r="BV588" s="284">
        <f>IFERROR(VLOOKUP(BV575,BV578:BV585,1,0),0)</f>
        <v>0</v>
      </c>
      <c r="BW588" s="2322" t="e">
        <f>IF(BV588&gt;0,BV588,BW587)</f>
        <v>#N/A</v>
      </c>
      <c r="BX588" s="2322" t="e">
        <f>VLOOKUP(BW588,BW578:BX585,2,0)</f>
        <v>#N/A</v>
      </c>
      <c r="BY588" s="1684"/>
      <c r="BZ588" s="1684"/>
      <c r="CA588" s="1684"/>
      <c r="CB588" s="1684"/>
      <c r="CC588" s="1684"/>
      <c r="CD588" s="1684"/>
      <c r="CE588" s="284"/>
      <c r="CF588" s="284">
        <f>IFERROR(VLOOKUP(CF575,CF578:CF585,1,0),0)</f>
        <v>0</v>
      </c>
      <c r="CG588" s="2322" t="e">
        <f>IF(CF588&gt;0,CF588,CG587)</f>
        <v>#N/A</v>
      </c>
      <c r="CH588" s="2322" t="e">
        <f>VLOOKUP(CG588,CG578:CH585,2,0)</f>
        <v>#N/A</v>
      </c>
      <c r="CI588" s="1684"/>
      <c r="CJ588" s="1684"/>
      <c r="CK588" s="1684"/>
      <c r="CL588" s="1684"/>
      <c r="CM588" s="1684"/>
      <c r="CN588" s="1684"/>
      <c r="CO588" s="284"/>
      <c r="CP588" s="284">
        <f>IFERROR(VLOOKUP(CP575,CP578:CP585,1,0),0)</f>
        <v>0</v>
      </c>
      <c r="CQ588" s="2322" t="e">
        <f>IF(CP588&gt;0,CP588,CQ587)</f>
        <v>#N/A</v>
      </c>
      <c r="CR588" s="2322" t="e">
        <f>VLOOKUP(CQ588,CQ578:CR585,2,0)</f>
        <v>#N/A</v>
      </c>
      <c r="CS588" s="1684"/>
      <c r="CT588" s="1684"/>
      <c r="CU588" s="1684"/>
      <c r="CV588" s="1684"/>
      <c r="CW588" s="1684"/>
      <c r="CX588" s="462"/>
      <c r="DS588" s="277"/>
      <c r="DW588" s="1"/>
      <c r="DX588" s="1684"/>
      <c r="DY588" s="1684"/>
      <c r="DZ588" s="1684"/>
      <c r="EA588" s="1684"/>
      <c r="EB588" s="1684"/>
      <c r="EC588" s="1684"/>
      <c r="ED588" s="1684"/>
      <c r="EE588" s="1684"/>
      <c r="EF588" s="2374"/>
      <c r="EG588" s="1684"/>
      <c r="EH588" s="1684"/>
      <c r="EI588" s="1684"/>
      <c r="EJ588" s="1684"/>
      <c r="EK588" s="1684"/>
      <c r="EL588" s="1684"/>
      <c r="EM588" s="1684"/>
      <c r="EN588" s="1684"/>
      <c r="EO588" s="1684"/>
      <c r="EP588" s="1684"/>
      <c r="EQ588" s="1684"/>
      <c r="ER588" s="1684"/>
      <c r="ES588" s="1684"/>
      <c r="ET588" s="1684"/>
      <c r="EU588" s="1684"/>
      <c r="EV588" s="1684"/>
      <c r="EW588" s="1684"/>
      <c r="EX588" s="1684"/>
      <c r="EY588" s="1684"/>
      <c r="EZ588" s="1684"/>
      <c r="FA588" s="1684"/>
      <c r="FB588" s="1684"/>
      <c r="FC588" s="1684"/>
      <c r="FD588" s="1684"/>
      <c r="FE588" s="1684"/>
      <c r="FF588" s="1684"/>
      <c r="FG588" s="1684"/>
      <c r="FH588" s="1684"/>
      <c r="FI588" s="1684"/>
      <c r="FJ588" s="1684"/>
      <c r="FK588" s="462"/>
      <c r="GB588" s="2176"/>
      <c r="GC588" s="2176"/>
      <c r="GE588" s="286"/>
      <c r="GF588" s="1"/>
      <c r="GG588" s="284"/>
      <c r="GH588" s="284">
        <f>IFERROR(VLOOKUP(GH575,GH578:GH585,1,0),0)</f>
        <v>0</v>
      </c>
      <c r="GI588" s="2322" t="e">
        <f>IF(GH588&gt;0,GH588,GI587)</f>
        <v>#N/A</v>
      </c>
      <c r="GJ588" s="2322" t="e">
        <f>VLOOKUP(GI588,GI578:GJ585,2,0)</f>
        <v>#N/A</v>
      </c>
      <c r="GK588" s="1684"/>
      <c r="GL588" s="1684"/>
      <c r="GM588" s="1684"/>
      <c r="GN588" s="1684"/>
      <c r="GO588" s="2374"/>
      <c r="GP588" s="1684"/>
      <c r="GQ588" s="284"/>
      <c r="GR588" s="284">
        <f>IFERROR(VLOOKUP(GR575,GR578:GR585,1,0),0)</f>
        <v>0</v>
      </c>
      <c r="GS588" s="2322" t="e">
        <f>IF(GR588&gt;0,GR588,GS587)</f>
        <v>#N/A</v>
      </c>
      <c r="GT588" s="2322" t="e">
        <f>VLOOKUP(GS588,GS578:GT585,2,0)</f>
        <v>#N/A</v>
      </c>
      <c r="GU588" s="1684"/>
      <c r="GV588" s="1684"/>
      <c r="GW588" s="1684"/>
      <c r="GX588" s="1684"/>
      <c r="GY588" s="1684"/>
      <c r="GZ588" s="1684"/>
      <c r="HA588" s="284"/>
      <c r="HB588" s="284">
        <f>IFERROR(VLOOKUP(HB575,HB578:HB585,1,0),0)</f>
        <v>0</v>
      </c>
      <c r="HC588" s="2322" t="e">
        <f>IF(HB588&gt;0,HB588,HC587)</f>
        <v>#N/A</v>
      </c>
      <c r="HD588" s="2322" t="e">
        <f>VLOOKUP(HC588,HC578:HD585,2,0)</f>
        <v>#N/A</v>
      </c>
      <c r="HE588" s="1684"/>
      <c r="HF588" s="1684"/>
      <c r="HG588" s="1684"/>
      <c r="HH588" s="1684"/>
      <c r="HI588" s="1684"/>
      <c r="HJ588" s="1684"/>
      <c r="HK588" s="284"/>
      <c r="HL588" s="284">
        <f>IFERROR(VLOOKUP(HL575,HL578:HL585,1,0),0)</f>
        <v>0</v>
      </c>
      <c r="HM588" s="2322" t="e">
        <f>IF(HL588&gt;0,HL588,HM587)</f>
        <v>#N/A</v>
      </c>
      <c r="HN588" s="2322" t="e">
        <f>VLOOKUP(HM588,HM578:HN585,2,0)</f>
        <v>#N/A</v>
      </c>
      <c r="HO588" s="1684"/>
      <c r="HP588" s="1684"/>
      <c r="HQ588" s="1684"/>
      <c r="HR588" s="1684"/>
      <c r="HS588" s="1684"/>
      <c r="HT588" s="462"/>
      <c r="IN588" s="277"/>
      <c r="IO588" s="277"/>
    </row>
    <row r="589" spans="2:249" ht="21.95" customHeight="1" thickBot="1">
      <c r="B589" s="1684"/>
      <c r="C589" s="1684"/>
      <c r="D589" s="1684"/>
      <c r="E589" s="1684"/>
      <c r="F589" s="1684"/>
      <c r="G589" s="1684"/>
      <c r="H589" s="1684"/>
      <c r="I589" s="1684"/>
      <c r="J589" s="1684"/>
      <c r="K589" s="1684"/>
      <c r="L589" s="1465"/>
      <c r="M589" s="1465"/>
      <c r="N589" s="1465"/>
      <c r="O589" s="1465"/>
      <c r="P589" s="1465"/>
      <c r="Q589" s="1465"/>
      <c r="R589" s="1465"/>
      <c r="S589" s="462"/>
      <c r="T589" s="1684"/>
      <c r="U589" s="1684"/>
      <c r="V589" s="1684"/>
      <c r="W589" s="1684"/>
      <c r="X589" s="1684"/>
      <c r="Y589" s="1684"/>
      <c r="Z589" s="1684"/>
      <c r="AA589" s="1684"/>
      <c r="AB589" s="1684"/>
      <c r="AC589" s="462"/>
      <c r="AD589" s="1684"/>
      <c r="AE589" s="1684"/>
      <c r="AF589" s="1684"/>
      <c r="AG589" s="1684"/>
      <c r="AH589" s="1684"/>
      <c r="AI589" s="1684"/>
      <c r="AJ589" s="1684"/>
      <c r="AK589" s="1684"/>
      <c r="AL589" s="1684"/>
      <c r="AM589" s="462"/>
      <c r="AN589" s="1684"/>
      <c r="AO589" s="462"/>
      <c r="BF589" s="2176"/>
      <c r="BG589" s="2176"/>
      <c r="BI589" s="286"/>
      <c r="BJ589" s="1"/>
      <c r="BK589" s="2382" t="s">
        <v>714</v>
      </c>
      <c r="BL589" s="2383"/>
      <c r="BM589" s="2383" t="e">
        <f>BM588</f>
        <v>#N/A</v>
      </c>
      <c r="BN589" s="2384" t="e">
        <f>BN588</f>
        <v>#N/A</v>
      </c>
      <c r="BO589" s="1684"/>
      <c r="BP589" s="1684"/>
      <c r="BQ589" s="1684"/>
      <c r="BR589" s="1684"/>
      <c r="BS589" s="2374"/>
      <c r="BT589" s="1684"/>
      <c r="BU589" s="2382" t="s">
        <v>714</v>
      </c>
      <c r="BV589" s="2383"/>
      <c r="BW589" s="2383" t="e">
        <f>BW588</f>
        <v>#N/A</v>
      </c>
      <c r="BX589" s="2384" t="e">
        <f>BX588</f>
        <v>#N/A</v>
      </c>
      <c r="BY589" s="1684"/>
      <c r="BZ589" s="1684"/>
      <c r="CA589" s="1684"/>
      <c r="CB589" s="1684"/>
      <c r="CC589" s="1684"/>
      <c r="CD589" s="1684"/>
      <c r="CE589" s="2382" t="s">
        <v>714</v>
      </c>
      <c r="CF589" s="2383"/>
      <c r="CG589" s="2383" t="e">
        <f>CG588</f>
        <v>#N/A</v>
      </c>
      <c r="CH589" s="2384" t="e">
        <f>CH588</f>
        <v>#N/A</v>
      </c>
      <c r="CI589" s="1684"/>
      <c r="CJ589" s="1684"/>
      <c r="CK589" s="1684"/>
      <c r="CL589" s="1684"/>
      <c r="CM589" s="1684"/>
      <c r="CN589" s="1684"/>
      <c r="CO589" s="2382" t="s">
        <v>714</v>
      </c>
      <c r="CP589" s="2383"/>
      <c r="CQ589" s="2383" t="e">
        <f>CQ588</f>
        <v>#N/A</v>
      </c>
      <c r="CR589" s="2384" t="e">
        <f>CR588</f>
        <v>#N/A</v>
      </c>
      <c r="CS589" s="1684"/>
      <c r="CT589" s="1684"/>
      <c r="CU589" s="1684"/>
      <c r="CV589" s="1684"/>
      <c r="CW589" s="1684"/>
      <c r="CX589" s="462"/>
      <c r="DS589" s="277"/>
      <c r="DW589" s="1"/>
      <c r="DX589" s="1684"/>
      <c r="DY589" s="1684"/>
      <c r="DZ589" s="1684"/>
      <c r="EA589" s="1684"/>
      <c r="EB589" s="1684"/>
      <c r="EC589" s="1684"/>
      <c r="ED589" s="1684"/>
      <c r="EE589" s="1684"/>
      <c r="EF589" s="1684"/>
      <c r="EG589" s="1684"/>
      <c r="EH589" s="1465"/>
      <c r="EI589" s="1465"/>
      <c r="EJ589" s="1465"/>
      <c r="EK589" s="1465"/>
      <c r="EL589" s="1465"/>
      <c r="EM589" s="1465"/>
      <c r="EN589" s="1465"/>
      <c r="EO589" s="462"/>
      <c r="EP589" s="1684"/>
      <c r="EQ589" s="1684"/>
      <c r="ER589" s="1684"/>
      <c r="ES589" s="1684"/>
      <c r="ET589" s="1684"/>
      <c r="EU589" s="1684"/>
      <c r="EV589" s="1684"/>
      <c r="EW589" s="1684"/>
      <c r="EX589" s="1684"/>
      <c r="EY589" s="462"/>
      <c r="EZ589" s="1684"/>
      <c r="FA589" s="1684"/>
      <c r="FB589" s="1684"/>
      <c r="FC589" s="1684"/>
      <c r="FD589" s="1684"/>
      <c r="FE589" s="1684"/>
      <c r="FF589" s="1684"/>
      <c r="FG589" s="1684"/>
      <c r="FH589" s="1684"/>
      <c r="FI589" s="462"/>
      <c r="FJ589" s="1684"/>
      <c r="FK589" s="462"/>
      <c r="GB589" s="2176"/>
      <c r="GC589" s="2176"/>
      <c r="GE589" s="286"/>
      <c r="GF589" s="1"/>
      <c r="GG589" s="2382" t="s">
        <v>714</v>
      </c>
      <c r="GH589" s="2383"/>
      <c r="GI589" s="2383" t="e">
        <f>GI588</f>
        <v>#N/A</v>
      </c>
      <c r="GJ589" s="2384" t="e">
        <f>GJ588</f>
        <v>#N/A</v>
      </c>
      <c r="GK589" s="1684"/>
      <c r="GL589" s="1684"/>
      <c r="GM589" s="1684"/>
      <c r="GN589" s="1684"/>
      <c r="GO589" s="2374"/>
      <c r="GP589" s="1684"/>
      <c r="GQ589" s="2382" t="s">
        <v>714</v>
      </c>
      <c r="GR589" s="2383"/>
      <c r="GS589" s="2383" t="e">
        <f>GS588</f>
        <v>#N/A</v>
      </c>
      <c r="GT589" s="2384" t="e">
        <f>GT588</f>
        <v>#N/A</v>
      </c>
      <c r="GU589" s="1684"/>
      <c r="GV589" s="1684"/>
      <c r="GW589" s="1684"/>
      <c r="GX589" s="1684"/>
      <c r="GY589" s="1684"/>
      <c r="GZ589" s="1684"/>
      <c r="HA589" s="2382" t="s">
        <v>714</v>
      </c>
      <c r="HB589" s="2383"/>
      <c r="HC589" s="2383" t="e">
        <f>HC588</f>
        <v>#N/A</v>
      </c>
      <c r="HD589" s="2384" t="e">
        <f>HD588</f>
        <v>#N/A</v>
      </c>
      <c r="HE589" s="1684"/>
      <c r="HF589" s="1684"/>
      <c r="HG589" s="1684"/>
      <c r="HH589" s="1684"/>
      <c r="HI589" s="1684"/>
      <c r="HJ589" s="1684"/>
      <c r="HK589" s="2382" t="s">
        <v>714</v>
      </c>
      <c r="HL589" s="2383"/>
      <c r="HM589" s="2383" t="e">
        <f>HM588</f>
        <v>#N/A</v>
      </c>
      <c r="HN589" s="2384" t="e">
        <f>HN588</f>
        <v>#N/A</v>
      </c>
      <c r="HO589" s="1684"/>
      <c r="HP589" s="1684"/>
      <c r="HQ589" s="1684"/>
      <c r="HR589" s="1684"/>
      <c r="HS589" s="1684"/>
      <c r="HT589" s="462"/>
      <c r="IN589" s="277"/>
      <c r="IO589" s="277"/>
    </row>
    <row r="590" spans="2:249" ht="21.95" customHeight="1" thickBot="1">
      <c r="B590" s="1684"/>
      <c r="C590" s="1684"/>
      <c r="D590" s="1684"/>
      <c r="E590" s="2374" t="e">
        <f>IF(F595="Right","Right",IF(F594="Right","Right",IF(F593="Right","Right",IF(F592="Right","Right","Wrong"))))</f>
        <v>#N/A</v>
      </c>
      <c r="F590" s="1684"/>
      <c r="BF590" s="2176"/>
      <c r="BG590" s="2176"/>
      <c r="BI590" s="286"/>
      <c r="BJ590" s="1"/>
      <c r="BK590" s="1684"/>
      <c r="BL590" s="1684"/>
      <c r="BM590" s="1684"/>
      <c r="BN590" s="1684"/>
      <c r="BO590" s="1684"/>
      <c r="BP590" s="1684"/>
      <c r="BQ590" s="1684"/>
      <c r="BR590" s="1684"/>
      <c r="BS590" s="2374"/>
      <c r="BT590" s="1684"/>
      <c r="BU590" s="1684"/>
      <c r="BV590" s="1684"/>
      <c r="BW590" s="1684"/>
      <c r="BX590" s="1684"/>
      <c r="BY590" s="1684"/>
      <c r="BZ590" s="1684"/>
      <c r="CA590" s="1684"/>
      <c r="CB590" s="1684"/>
      <c r="CC590" s="1684"/>
      <c r="CD590" s="1684"/>
      <c r="CE590" s="1684"/>
      <c r="CF590" s="1684"/>
      <c r="CG590" s="1684"/>
      <c r="CH590" s="1684"/>
      <c r="CI590" s="1684"/>
      <c r="CJ590" s="1684"/>
      <c r="CK590" s="1684"/>
      <c r="CL590" s="1684"/>
      <c r="CM590" s="1684"/>
      <c r="CN590" s="1684"/>
      <c r="CO590" s="1684"/>
      <c r="CP590" s="1684"/>
      <c r="CQ590" s="1684"/>
      <c r="CR590" s="1684"/>
      <c r="CS590" s="1684"/>
      <c r="CT590" s="1684"/>
      <c r="CU590" s="1684"/>
      <c r="CV590" s="1684"/>
      <c r="CW590" s="1684"/>
      <c r="CX590" s="462"/>
      <c r="DS590" s="277"/>
      <c r="DW590" s="1"/>
      <c r="DX590" s="1684"/>
      <c r="DY590" s="1684"/>
      <c r="DZ590" s="1684"/>
      <c r="EA590" s="2374" t="e">
        <f>IF(EB595="Right","Right",IF(EB594="Right","Right",IF(EB593="Right","Right",IF(EB592="Right","Right","Wrong"))))</f>
        <v>#N/A</v>
      </c>
      <c r="EB590" s="1684"/>
      <c r="EO590" s="2176"/>
      <c r="EP590" s="2176"/>
      <c r="FK590" s="2174"/>
      <c r="GB590" s="2176"/>
      <c r="GC590" s="2176"/>
      <c r="GE590" s="286"/>
      <c r="GF590" s="1"/>
      <c r="GG590" s="1684"/>
      <c r="GH590" s="1684"/>
      <c r="GI590" s="1684"/>
      <c r="GJ590" s="1684"/>
      <c r="GK590" s="1684"/>
      <c r="GL590" s="1684"/>
      <c r="GM590" s="1684"/>
      <c r="GN590" s="1684"/>
      <c r="GO590" s="2374"/>
      <c r="GP590" s="1684"/>
      <c r="GQ590" s="1684"/>
      <c r="GR590" s="1684"/>
      <c r="GS590" s="1684"/>
      <c r="GT590" s="1684"/>
      <c r="GU590" s="1684"/>
      <c r="GV590" s="1684"/>
      <c r="GW590" s="1684"/>
      <c r="GX590" s="1684"/>
      <c r="GY590" s="1684"/>
      <c r="GZ590" s="1684"/>
      <c r="HA590" s="1684"/>
      <c r="HB590" s="1684"/>
      <c r="HC590" s="1684"/>
      <c r="HD590" s="1684"/>
      <c r="HE590" s="1684"/>
      <c r="HF590" s="1684"/>
      <c r="HG590" s="1684"/>
      <c r="HH590" s="1684"/>
      <c r="HI590" s="1684"/>
      <c r="HJ590" s="1684"/>
      <c r="HK590" s="1684"/>
      <c r="HL590" s="1684"/>
      <c r="HM590" s="1684"/>
      <c r="HN590" s="1684"/>
      <c r="HO590" s="1684"/>
      <c r="HP590" s="1684"/>
      <c r="HQ590" s="1684"/>
      <c r="HR590" s="1684"/>
      <c r="HS590" s="1684"/>
      <c r="HT590" s="462"/>
      <c r="IN590" s="277"/>
      <c r="IO590" s="277"/>
    </row>
    <row r="591" spans="2:249" ht="21.95" customHeight="1" thickBot="1">
      <c r="B591" s="4696" t="s">
        <v>646</v>
      </c>
      <c r="C591" s="4697"/>
      <c r="D591" s="2296" t="s">
        <v>706</v>
      </c>
      <c r="E591" s="2297" t="s">
        <v>2185</v>
      </c>
      <c r="F591" s="1684"/>
      <c r="BF591" s="2176"/>
      <c r="BG591" s="2176"/>
      <c r="BI591" s="286"/>
      <c r="BJ591" s="1"/>
      <c r="BK591" s="1684"/>
      <c r="BL591" s="1684"/>
      <c r="BM591" s="1684"/>
      <c r="BN591" s="1684"/>
      <c r="BO591" s="1684"/>
      <c r="BP591" s="1684"/>
      <c r="BQ591" s="1684"/>
      <c r="BR591" s="1684"/>
      <c r="BS591" s="2374"/>
      <c r="BT591" s="1684"/>
      <c r="BU591" s="1684"/>
      <c r="BV591" s="1684"/>
      <c r="BW591" s="1684"/>
      <c r="BX591" s="1684"/>
      <c r="BY591" s="1684"/>
      <c r="BZ591" s="1684"/>
      <c r="CA591" s="1684"/>
      <c r="CB591" s="1684"/>
      <c r="CC591" s="1684"/>
      <c r="CD591" s="1684"/>
      <c r="CE591" s="1684"/>
      <c r="CF591" s="1684"/>
      <c r="CG591" s="1684"/>
      <c r="CH591" s="1684"/>
      <c r="CI591" s="1684"/>
      <c r="CJ591" s="1684"/>
      <c r="CK591" s="1684"/>
      <c r="CL591" s="1684"/>
      <c r="CM591" s="1684"/>
      <c r="CN591" s="1684"/>
      <c r="CO591" s="1684"/>
      <c r="CP591" s="1684"/>
      <c r="CQ591" s="1684"/>
      <c r="CR591" s="1684"/>
      <c r="CS591" s="1684"/>
      <c r="CT591" s="1684"/>
      <c r="CU591" s="1684"/>
      <c r="CV591" s="1684"/>
      <c r="CW591" s="1684"/>
      <c r="CX591" s="462"/>
      <c r="DS591" s="277"/>
      <c r="DW591" s="1"/>
      <c r="DX591" s="4696" t="s">
        <v>646</v>
      </c>
      <c r="DY591" s="4697"/>
      <c r="DZ591" s="2296" t="s">
        <v>706</v>
      </c>
      <c r="EA591" s="2297" t="s">
        <v>2185</v>
      </c>
      <c r="EB591" s="1684"/>
      <c r="EO591" s="2176"/>
      <c r="EP591" s="2176"/>
      <c r="FK591" s="2174"/>
      <c r="GB591" s="2176"/>
      <c r="GC591" s="2176"/>
      <c r="GE591" s="286"/>
      <c r="GF591" s="1"/>
      <c r="GG591" s="1684"/>
      <c r="GH591" s="1684"/>
      <c r="GI591" s="1684"/>
      <c r="GJ591" s="1684"/>
      <c r="GK591" s="1684"/>
      <c r="GL591" s="1684"/>
      <c r="GM591" s="1684"/>
      <c r="GN591" s="1684"/>
      <c r="GO591" s="2374"/>
      <c r="GP591" s="1684"/>
      <c r="GQ591" s="1684"/>
      <c r="GR591" s="1684"/>
      <c r="GS591" s="1684"/>
      <c r="GT591" s="1684"/>
      <c r="GU591" s="1684"/>
      <c r="GV591" s="1684"/>
      <c r="GW591" s="1684"/>
      <c r="GX591" s="1684"/>
      <c r="GY591" s="1684"/>
      <c r="GZ591" s="1684"/>
      <c r="HA591" s="1684"/>
      <c r="HB591" s="1684"/>
      <c r="HC591" s="1684"/>
      <c r="HD591" s="1684"/>
      <c r="HE591" s="1684"/>
      <c r="HF591" s="1684"/>
      <c r="HG591" s="1684"/>
      <c r="HH591" s="1684"/>
      <c r="HI591" s="1684"/>
      <c r="HJ591" s="1684"/>
      <c r="HK591" s="1684"/>
      <c r="HL591" s="1684"/>
      <c r="HM591" s="1684"/>
      <c r="HN591" s="1684"/>
      <c r="HO591" s="1684"/>
      <c r="HP591" s="1684"/>
      <c r="HQ591" s="1684"/>
      <c r="HR591" s="1684"/>
      <c r="HS591" s="1684"/>
      <c r="HT591" s="462"/>
      <c r="IN591" s="277"/>
      <c r="IO591" s="277"/>
    </row>
    <row r="592" spans="2:249" ht="21.95" customHeight="1">
      <c r="B592" s="4673" t="s">
        <v>732</v>
      </c>
      <c r="C592" s="4674"/>
      <c r="D592" s="2299" t="e">
        <f>D586</f>
        <v>#N/A</v>
      </c>
      <c r="E592" s="2300" t="e">
        <f>E586</f>
        <v>#N/A</v>
      </c>
      <c r="F592" s="1684" t="e">
        <f>E561</f>
        <v>#N/A</v>
      </c>
      <c r="BF592" s="2176"/>
      <c r="BG592" s="2176"/>
      <c r="BI592" s="286"/>
      <c r="BJ592" s="1"/>
      <c r="BK592" s="1684"/>
      <c r="BL592" s="1684"/>
      <c r="BM592" s="1684"/>
      <c r="BN592" s="1684"/>
      <c r="BO592" s="1684"/>
      <c r="BP592" s="1684"/>
      <c r="BQ592" s="1684"/>
      <c r="BR592" s="1684"/>
      <c r="BS592" s="1684"/>
      <c r="BT592" s="1684"/>
      <c r="BU592" s="1465"/>
      <c r="BV592" s="1465"/>
      <c r="BW592" s="1465"/>
      <c r="BX592" s="1465"/>
      <c r="BY592" s="1465"/>
      <c r="BZ592" s="1465"/>
      <c r="CA592" s="1465"/>
      <c r="CB592" s="462"/>
      <c r="CC592" s="1684"/>
      <c r="CD592" s="1684"/>
      <c r="CE592" s="1684"/>
      <c r="CF592" s="1684"/>
      <c r="CG592" s="1684"/>
      <c r="CH592" s="1684"/>
      <c r="CI592" s="1684"/>
      <c r="CJ592" s="1684"/>
      <c r="CK592" s="1684"/>
      <c r="CL592" s="462"/>
      <c r="CM592" s="1684"/>
      <c r="CN592" s="1684"/>
      <c r="CO592" s="1684"/>
      <c r="CP592" s="1684"/>
      <c r="CQ592" s="1684"/>
      <c r="CR592" s="1684"/>
      <c r="CS592" s="1684"/>
      <c r="CT592" s="1684"/>
      <c r="CU592" s="1684"/>
      <c r="CV592" s="462"/>
      <c r="CW592" s="1684"/>
      <c r="CX592" s="462"/>
      <c r="DS592" s="277"/>
      <c r="DW592" s="1"/>
      <c r="DX592" s="4673" t="s">
        <v>732</v>
      </c>
      <c r="DY592" s="4674"/>
      <c r="DZ592" s="2299" t="e">
        <f>DZ586</f>
        <v>#N/A</v>
      </c>
      <c r="EA592" s="2300" t="e">
        <f>EA586</f>
        <v>#N/A</v>
      </c>
      <c r="EB592" s="1684" t="e">
        <f>EA561</f>
        <v>#N/A</v>
      </c>
      <c r="EO592" s="2176"/>
      <c r="EP592" s="2176"/>
      <c r="FK592" s="2174"/>
      <c r="GB592" s="2176"/>
      <c r="GC592" s="2176"/>
      <c r="GE592" s="286"/>
      <c r="GF592" s="1"/>
      <c r="GG592" s="1684"/>
      <c r="GH592" s="1684"/>
      <c r="GI592" s="1684"/>
      <c r="GJ592" s="1684"/>
      <c r="GK592" s="1684"/>
      <c r="GL592" s="1684"/>
      <c r="GM592" s="1684"/>
      <c r="GN592" s="1684"/>
      <c r="GO592" s="1684"/>
      <c r="GP592" s="1684"/>
      <c r="GQ592" s="1465"/>
      <c r="GR592" s="1465"/>
      <c r="GS592" s="1465"/>
      <c r="GT592" s="1465"/>
      <c r="GU592" s="1465"/>
      <c r="GV592" s="1465"/>
      <c r="GW592" s="1465"/>
      <c r="GX592" s="462"/>
      <c r="GY592" s="1684"/>
      <c r="GZ592" s="1684"/>
      <c r="HA592" s="1684"/>
      <c r="HB592" s="1684"/>
      <c r="HC592" s="1684"/>
      <c r="HD592" s="1684"/>
      <c r="HE592" s="1684"/>
      <c r="HF592" s="1684"/>
      <c r="HG592" s="1684"/>
      <c r="HH592" s="462"/>
      <c r="HI592" s="1684"/>
      <c r="HJ592" s="1684"/>
      <c r="HK592" s="1684"/>
      <c r="HL592" s="1684"/>
      <c r="HM592" s="1684"/>
      <c r="HN592" s="1684"/>
      <c r="HO592" s="1684"/>
      <c r="HP592" s="1684"/>
      <c r="HQ592" s="1684"/>
      <c r="HR592" s="462"/>
      <c r="HS592" s="1684"/>
      <c r="HT592" s="462"/>
      <c r="IN592" s="277"/>
      <c r="IO592" s="277"/>
    </row>
    <row r="593" spans="1:249" ht="21.95" customHeight="1" thickBot="1">
      <c r="B593" s="4675" t="s">
        <v>733</v>
      </c>
      <c r="C593" s="4676"/>
      <c r="D593" s="2306" t="e">
        <f>N586</f>
        <v>#N/A</v>
      </c>
      <c r="E593" s="2307" t="e">
        <f>O586</f>
        <v>#N/A</v>
      </c>
      <c r="F593" s="1684" t="e">
        <f>O561</f>
        <v>#N/A</v>
      </c>
      <c r="BF593" s="2176"/>
      <c r="BG593" s="2176"/>
      <c r="BI593" s="286"/>
      <c r="BJ593" s="1"/>
      <c r="BK593" s="1684"/>
      <c r="BL593" s="1684"/>
      <c r="BM593" s="1684"/>
      <c r="BN593" s="2374" t="e">
        <f>IF(BO598="Right","Right",IF(BO597="Right","Right",IF(BO596="Right","Right",IF(BO595="Right","Right","Wrong"))))</f>
        <v>#N/A</v>
      </c>
      <c r="BO593" s="1684"/>
      <c r="CB593" s="2176"/>
      <c r="CC593" s="2176"/>
      <c r="CX593" s="2174"/>
      <c r="DS593" s="277"/>
      <c r="DW593" s="1"/>
      <c r="DX593" s="4675" t="s">
        <v>733</v>
      </c>
      <c r="DY593" s="4676"/>
      <c r="DZ593" s="2306" t="e">
        <f>EJ586</f>
        <v>#N/A</v>
      </c>
      <c r="EA593" s="2307" t="e">
        <f>EK586</f>
        <v>#N/A</v>
      </c>
      <c r="EB593" s="1684" t="e">
        <f>EK561</f>
        <v>#N/A</v>
      </c>
      <c r="EO593" s="2176"/>
      <c r="EP593" s="2176"/>
      <c r="FK593" s="2174"/>
      <c r="GB593" s="2176"/>
      <c r="GC593" s="2176"/>
      <c r="GE593" s="286"/>
      <c r="GF593" s="1"/>
      <c r="GG593" s="1684"/>
      <c r="GH593" s="1684"/>
      <c r="GI593" s="1684"/>
      <c r="GJ593" s="2374" t="e">
        <f>IF(GK598="Right","Right",IF(GK597="Right","Right",IF(GK596="Right","Right",IF(GK595="Right","Right","Wrong"))))</f>
        <v>#N/A</v>
      </c>
      <c r="GK593" s="1684"/>
      <c r="GX593" s="2176"/>
      <c r="GY593" s="2176"/>
      <c r="HT593" s="2174"/>
      <c r="IN593" s="277"/>
      <c r="IO593" s="277"/>
    </row>
    <row r="594" spans="1:249" ht="21.95" customHeight="1" thickBot="1">
      <c r="B594" s="4675" t="s">
        <v>734</v>
      </c>
      <c r="C594" s="4676"/>
      <c r="D594" s="2306" t="e">
        <f>X586</f>
        <v>#N/A</v>
      </c>
      <c r="E594" s="2307" t="e">
        <f>Y586</f>
        <v>#N/A</v>
      </c>
      <c r="F594" s="1684" t="e">
        <f>Y561</f>
        <v>#N/A</v>
      </c>
      <c r="BF594" s="2176"/>
      <c r="BG594" s="2176"/>
      <c r="BI594" s="286"/>
      <c r="BJ594" s="1"/>
      <c r="BK594" s="2393" t="s">
        <v>646</v>
      </c>
      <c r="BL594" s="2313"/>
      <c r="BM594" s="2296" t="s">
        <v>706</v>
      </c>
      <c r="BN594" s="2297" t="s">
        <v>2185</v>
      </c>
      <c r="BO594" s="1684"/>
      <c r="CB594" s="2176"/>
      <c r="CC594" s="2176"/>
      <c r="CX594" s="2174"/>
      <c r="DS594" s="277"/>
      <c r="DW594" s="1"/>
      <c r="DX594" s="4675" t="s">
        <v>734</v>
      </c>
      <c r="DY594" s="4676"/>
      <c r="DZ594" s="2306" t="e">
        <f>ET586</f>
        <v>#N/A</v>
      </c>
      <c r="EA594" s="2307" t="e">
        <f>EU586</f>
        <v>#N/A</v>
      </c>
      <c r="EB594" s="1684" t="e">
        <f>EU561</f>
        <v>#N/A</v>
      </c>
      <c r="EO594" s="2176"/>
      <c r="EP594" s="2176"/>
      <c r="FK594" s="2174"/>
      <c r="GB594" s="2176"/>
      <c r="GC594" s="2176"/>
      <c r="GE594" s="286"/>
      <c r="GF594" s="1"/>
      <c r="GG594" s="2393" t="s">
        <v>646</v>
      </c>
      <c r="GH594" s="2313"/>
      <c r="GI594" s="2296" t="s">
        <v>706</v>
      </c>
      <c r="GJ594" s="2297" t="s">
        <v>2185</v>
      </c>
      <c r="GK594" s="1684"/>
      <c r="GX594" s="2176"/>
      <c r="GY594" s="2176"/>
      <c r="HT594" s="2174"/>
      <c r="IN594" s="277"/>
      <c r="IO594" s="277"/>
    </row>
    <row r="595" spans="1:249" ht="21.95" customHeight="1" thickBot="1">
      <c r="B595" s="4677" t="s">
        <v>735</v>
      </c>
      <c r="C595" s="4678"/>
      <c r="D595" s="2318" t="e">
        <f>AH586</f>
        <v>#N/A</v>
      </c>
      <c r="E595" s="2319" t="e">
        <f>AI586</f>
        <v>#N/A</v>
      </c>
      <c r="F595" s="1684" t="e">
        <f>AI561</f>
        <v>#N/A</v>
      </c>
      <c r="BF595" s="2176"/>
      <c r="BG595" s="2176"/>
      <c r="BI595" s="286"/>
      <c r="BJ595" s="1"/>
      <c r="BK595" s="2394" t="s">
        <v>732</v>
      </c>
      <c r="BL595" s="2395"/>
      <c r="BM595" s="2299" t="e">
        <f>BM589</f>
        <v>#N/A</v>
      </c>
      <c r="BN595" s="2300" t="e">
        <f>BN589</f>
        <v>#N/A</v>
      </c>
      <c r="BO595" s="1684" t="e">
        <f>BN564</f>
        <v>#N/A</v>
      </c>
      <c r="CB595" s="2176"/>
      <c r="CC595" s="2176"/>
      <c r="CX595" s="2174"/>
      <c r="DS595" s="277"/>
      <c r="DW595" s="1"/>
      <c r="DX595" s="4677" t="s">
        <v>735</v>
      </c>
      <c r="DY595" s="4678"/>
      <c r="DZ595" s="2318" t="e">
        <f>FD586</f>
        <v>#N/A</v>
      </c>
      <c r="EA595" s="2319" t="e">
        <f>FE586</f>
        <v>#N/A</v>
      </c>
      <c r="EB595" s="1684" t="e">
        <f>FE561</f>
        <v>#N/A</v>
      </c>
      <c r="EO595" s="2176"/>
      <c r="EP595" s="2176"/>
      <c r="FK595" s="2174"/>
      <c r="GB595" s="2176"/>
      <c r="GC595" s="2176"/>
      <c r="GE595" s="286"/>
      <c r="GF595" s="1"/>
      <c r="GG595" s="2394" t="s">
        <v>732</v>
      </c>
      <c r="GH595" s="2395"/>
      <c r="GI595" s="2299" t="e">
        <f>GI589</f>
        <v>#N/A</v>
      </c>
      <c r="GJ595" s="2300" t="e">
        <f>GJ589</f>
        <v>#N/A</v>
      </c>
      <c r="GK595" s="1684" t="e">
        <f>GJ564</f>
        <v>#N/A</v>
      </c>
      <c r="GX595" s="2176"/>
      <c r="GY595" s="2176"/>
      <c r="HT595" s="2174"/>
      <c r="IN595" s="277"/>
      <c r="IO595" s="277"/>
    </row>
    <row r="596" spans="1:249" ht="21.95" customHeight="1">
      <c r="BF596" s="2176"/>
      <c r="BG596" s="2176"/>
      <c r="BI596" s="286"/>
      <c r="BJ596" s="1"/>
      <c r="BK596" s="2396" t="s">
        <v>733</v>
      </c>
      <c r="BL596" s="2397"/>
      <c r="BM596" s="2306" t="e">
        <f>BW589</f>
        <v>#N/A</v>
      </c>
      <c r="BN596" s="2307" t="e">
        <f>BX589</f>
        <v>#N/A</v>
      </c>
      <c r="BO596" s="1684" t="e">
        <f>BX564</f>
        <v>#N/A</v>
      </c>
      <c r="CB596" s="2176"/>
      <c r="CC596" s="2176"/>
      <c r="CX596" s="2174"/>
      <c r="DS596" s="277"/>
      <c r="DW596" s="1"/>
      <c r="EO596" s="2176"/>
      <c r="EP596" s="2176"/>
      <c r="FK596" s="2174"/>
      <c r="GB596" s="2176"/>
      <c r="GC596" s="2176"/>
      <c r="GE596" s="286"/>
      <c r="GF596" s="1"/>
      <c r="GG596" s="2396" t="s">
        <v>733</v>
      </c>
      <c r="GH596" s="2397"/>
      <c r="GI596" s="2306" t="e">
        <f>GS589</f>
        <v>#N/A</v>
      </c>
      <c r="GJ596" s="2307" t="e">
        <f>GT589</f>
        <v>#N/A</v>
      </c>
      <c r="GK596" s="1684" t="e">
        <f>GT564</f>
        <v>#N/A</v>
      </c>
      <c r="GX596" s="2176"/>
      <c r="GY596" s="2176"/>
      <c r="HT596" s="2174"/>
      <c r="IN596" s="277"/>
      <c r="IO596" s="277"/>
    </row>
    <row r="597" spans="1:249" ht="21.95" customHeight="1">
      <c r="BF597" s="2176"/>
      <c r="BG597" s="2176"/>
      <c r="BI597" s="286"/>
      <c r="BJ597" s="1"/>
      <c r="BK597" s="2396" t="s">
        <v>734</v>
      </c>
      <c r="BL597" s="2397"/>
      <c r="BM597" s="2306" t="e">
        <f>CG589</f>
        <v>#N/A</v>
      </c>
      <c r="BN597" s="2307" t="e">
        <f>CH589</f>
        <v>#N/A</v>
      </c>
      <c r="BO597" s="1684" t="e">
        <f>CH564</f>
        <v>#N/A</v>
      </c>
      <c r="CB597" s="2176"/>
      <c r="CC597" s="2176"/>
      <c r="CX597" s="2174"/>
      <c r="DS597" s="277"/>
      <c r="DW597" s="1"/>
      <c r="EO597" s="2176"/>
      <c r="EP597" s="2176"/>
      <c r="FK597" s="2174"/>
      <c r="GB597" s="2176"/>
      <c r="GC597" s="2176"/>
      <c r="GE597" s="286"/>
      <c r="GF597" s="1"/>
      <c r="GG597" s="2396" t="s">
        <v>734</v>
      </c>
      <c r="GH597" s="2397"/>
      <c r="GI597" s="2306" t="e">
        <f>HC589</f>
        <v>#N/A</v>
      </c>
      <c r="GJ597" s="2307" t="e">
        <f>HD589</f>
        <v>#N/A</v>
      </c>
      <c r="GK597" s="1684" t="e">
        <f>HD564</f>
        <v>#N/A</v>
      </c>
      <c r="GX597" s="2176"/>
      <c r="GY597" s="2176"/>
      <c r="HT597" s="2174"/>
      <c r="IN597" s="277"/>
      <c r="IO597" s="277"/>
    </row>
    <row r="598" spans="1:249" ht="21.95" customHeight="1" thickBot="1">
      <c r="BF598" s="2176"/>
      <c r="BG598" s="2176"/>
      <c r="BI598" s="286"/>
      <c r="BJ598" s="1"/>
      <c r="BK598" s="2398" t="s">
        <v>735</v>
      </c>
      <c r="BL598" s="2399"/>
      <c r="BM598" s="2318" t="e">
        <f>CQ589</f>
        <v>#N/A</v>
      </c>
      <c r="BN598" s="2319" t="e">
        <f>CR589</f>
        <v>#N/A</v>
      </c>
      <c r="BO598" s="1684" t="e">
        <f>CR564</f>
        <v>#N/A</v>
      </c>
      <c r="CB598" s="2176"/>
      <c r="CC598" s="2176"/>
      <c r="CX598" s="2174"/>
      <c r="DS598" s="277"/>
      <c r="DW598" s="1"/>
      <c r="EO598" s="2176"/>
      <c r="EP598" s="2176"/>
      <c r="FK598" s="2174"/>
      <c r="GB598" s="2176"/>
      <c r="GC598" s="2176"/>
      <c r="GE598" s="286"/>
      <c r="GF598" s="1"/>
      <c r="GG598" s="2398" t="s">
        <v>735</v>
      </c>
      <c r="GH598" s="2399"/>
      <c r="GI598" s="2318" t="e">
        <f>HM589</f>
        <v>#N/A</v>
      </c>
      <c r="GJ598" s="2319" t="e">
        <f>HN589</f>
        <v>#N/A</v>
      </c>
      <c r="GK598" s="1684" t="e">
        <f>HN564</f>
        <v>#N/A</v>
      </c>
      <c r="GX598" s="2176"/>
      <c r="GY598" s="2176"/>
      <c r="HT598" s="2174"/>
      <c r="IN598" s="277"/>
      <c r="IO598" s="277"/>
    </row>
    <row r="599" spans="1:249" s="2172" customFormat="1" ht="21.95" customHeight="1">
      <c r="A599" s="2400"/>
      <c r="BJ599" s="2400"/>
      <c r="DW599" s="2400"/>
      <c r="GF599" s="2400"/>
    </row>
    <row r="600" spans="1:249" s="2172" customFormat="1" ht="21.95" customHeight="1">
      <c r="A600" s="2400"/>
      <c r="BJ600" s="2400"/>
      <c r="DW600" s="2400"/>
      <c r="GF600" s="2400"/>
    </row>
    <row r="601" spans="1:249" ht="21.95" customHeight="1">
      <c r="BF601" s="2176"/>
      <c r="BG601" s="2176"/>
      <c r="BI601" s="286"/>
      <c r="BJ601" s="1"/>
      <c r="CB601" s="2176"/>
      <c r="CC601" s="2176"/>
      <c r="CX601" s="2174"/>
      <c r="DS601" s="277"/>
      <c r="IN601" s="277"/>
      <c r="IO601" s="277"/>
    </row>
    <row r="602" spans="1:249" ht="21.95" customHeight="1">
      <c r="BF602" s="2176"/>
      <c r="BG602" s="2176"/>
      <c r="BI602" s="286"/>
      <c r="BJ602" s="286"/>
      <c r="DS602" s="277"/>
      <c r="IN602" s="277"/>
      <c r="IO602" s="277"/>
    </row>
    <row r="603" spans="1:249" ht="21.95" customHeight="1">
      <c r="BF603" s="2176"/>
      <c r="BG603" s="2176"/>
      <c r="BI603" s="286"/>
      <c r="BJ603" s="286"/>
      <c r="DS603" s="277"/>
      <c r="IN603" s="277"/>
      <c r="IO603" s="277"/>
    </row>
    <row r="604" spans="1:249" ht="21.95" customHeight="1">
      <c r="BF604" s="2176"/>
      <c r="BG604" s="2176"/>
      <c r="BI604" s="286"/>
      <c r="BJ604" s="286"/>
      <c r="DS604" s="277"/>
      <c r="IN604" s="277"/>
      <c r="IO604" s="277"/>
    </row>
    <row r="605" spans="1:249" ht="21.95" customHeight="1">
      <c r="BF605" s="2176"/>
      <c r="BG605" s="2176"/>
      <c r="BI605" s="286"/>
      <c r="BJ605" s="286"/>
      <c r="DS605" s="277"/>
      <c r="IN605" s="277"/>
      <c r="IO605" s="277"/>
    </row>
    <row r="606" spans="1:249" ht="21.95" customHeight="1">
      <c r="BF606" s="2176"/>
      <c r="BG606" s="2176"/>
      <c r="BI606" s="286"/>
      <c r="BJ606" s="286"/>
      <c r="DS606" s="277"/>
      <c r="IN606" s="277"/>
      <c r="IO606" s="277"/>
    </row>
    <row r="607" spans="1:249" ht="21.95" customHeight="1">
      <c r="BF607" s="2176"/>
      <c r="BG607" s="2176"/>
      <c r="BI607" s="286"/>
      <c r="BJ607" s="286"/>
      <c r="DS607" s="277"/>
      <c r="IN607" s="277"/>
      <c r="IO607" s="277"/>
    </row>
    <row r="608" spans="1:249" ht="21.95" customHeight="1">
      <c r="BF608" s="2176"/>
      <c r="BG608" s="2176"/>
      <c r="BI608" s="286"/>
      <c r="BJ608" s="286"/>
      <c r="DS608" s="277"/>
      <c r="IN608" s="277"/>
      <c r="IO608" s="277"/>
    </row>
    <row r="609" spans="58:249" ht="21.95" customHeight="1">
      <c r="BF609" s="2176"/>
      <c r="BG609" s="2176"/>
      <c r="BI609" s="286"/>
      <c r="BJ609" s="286"/>
      <c r="DS609" s="277"/>
      <c r="IN609" s="277"/>
      <c r="IO609" s="277"/>
    </row>
    <row r="610" spans="58:249" ht="21.95" customHeight="1">
      <c r="BF610" s="2176"/>
      <c r="BG610" s="2176"/>
      <c r="BI610" s="286"/>
      <c r="BJ610" s="286"/>
      <c r="DS610" s="277"/>
      <c r="IN610" s="277"/>
      <c r="IO610" s="277"/>
    </row>
    <row r="611" spans="58:249" ht="21.95" customHeight="1">
      <c r="BF611" s="2176"/>
      <c r="BG611" s="2176"/>
      <c r="BI611" s="286"/>
      <c r="BJ611" s="286"/>
      <c r="DS611" s="277"/>
      <c r="IN611" s="277"/>
      <c r="IO611" s="277"/>
    </row>
    <row r="612" spans="58:249" ht="21.95" customHeight="1">
      <c r="BF612" s="2176"/>
      <c r="BG612" s="2176"/>
      <c r="BI612" s="286"/>
      <c r="BJ612" s="286"/>
      <c r="DS612" s="277"/>
      <c r="IN612" s="277"/>
      <c r="IO612" s="277"/>
    </row>
    <row r="613" spans="58:249" ht="21.95" customHeight="1">
      <c r="BF613" s="2176"/>
      <c r="BG613" s="2176"/>
      <c r="BI613" s="286"/>
      <c r="BJ613" s="286"/>
      <c r="DS613" s="277"/>
      <c r="IN613" s="277"/>
      <c r="IO613" s="277"/>
    </row>
    <row r="614" spans="58:249" ht="21.95" customHeight="1">
      <c r="BF614" s="2176"/>
      <c r="BG614" s="2176"/>
      <c r="BI614" s="286"/>
      <c r="BJ614" s="286"/>
      <c r="DS614" s="277"/>
      <c r="IN614" s="277"/>
      <c r="IO614" s="277"/>
    </row>
    <row r="615" spans="58:249" ht="21.95" customHeight="1">
      <c r="BF615" s="2176"/>
      <c r="BG615" s="2176"/>
      <c r="BI615" s="286"/>
      <c r="BJ615" s="286"/>
      <c r="DS615" s="277"/>
      <c r="IN615" s="277"/>
      <c r="IO615" s="277"/>
    </row>
    <row r="616" spans="58:249" ht="21.95" customHeight="1">
      <c r="BF616" s="2176"/>
      <c r="BG616" s="2176"/>
      <c r="BI616" s="286"/>
      <c r="BJ616" s="286"/>
      <c r="DS616" s="277"/>
      <c r="IN616" s="277"/>
      <c r="IO616" s="277"/>
    </row>
    <row r="617" spans="58:249" ht="21.95" customHeight="1">
      <c r="BF617" s="2176"/>
      <c r="BG617" s="2176"/>
      <c r="BI617" s="286"/>
      <c r="BJ617" s="286"/>
      <c r="DS617" s="277"/>
      <c r="IN617" s="277"/>
      <c r="IO617" s="277"/>
    </row>
    <row r="618" spans="58:249" ht="21.95" customHeight="1">
      <c r="BF618" s="2176"/>
      <c r="BG618" s="2176"/>
      <c r="BI618" s="286"/>
      <c r="BJ618" s="286"/>
      <c r="DS618" s="277"/>
      <c r="IN618" s="277"/>
      <c r="IO618" s="277"/>
    </row>
    <row r="619" spans="58:249" ht="21.95" customHeight="1">
      <c r="BF619" s="2176"/>
      <c r="BG619" s="2176"/>
      <c r="BI619" s="286"/>
      <c r="BJ619" s="286"/>
      <c r="DS619" s="277"/>
      <c r="IN619" s="277"/>
      <c r="IO619" s="277"/>
    </row>
    <row r="620" spans="58:249" ht="21.95" customHeight="1">
      <c r="BF620" s="2176"/>
      <c r="BG620" s="2176"/>
      <c r="BI620" s="286"/>
      <c r="BJ620" s="286"/>
      <c r="DS620" s="277"/>
      <c r="IN620" s="277"/>
      <c r="IO620" s="277"/>
    </row>
    <row r="621" spans="58:249" ht="21.95" customHeight="1">
      <c r="BF621" s="2176"/>
      <c r="BG621" s="2176"/>
      <c r="BI621" s="286"/>
      <c r="BJ621" s="286"/>
      <c r="DS621" s="277"/>
      <c r="IN621" s="277"/>
      <c r="IO621" s="277"/>
    </row>
    <row r="622" spans="58:249" ht="21.95" customHeight="1">
      <c r="BF622" s="2176"/>
      <c r="BG622" s="2176"/>
      <c r="BI622" s="286"/>
      <c r="BJ622" s="286"/>
      <c r="DS622" s="277"/>
      <c r="IN622" s="277"/>
      <c r="IO622" s="277"/>
    </row>
    <row r="623" spans="58:249" ht="21.95" customHeight="1">
      <c r="BF623" s="2176"/>
      <c r="BG623" s="2176"/>
      <c r="BI623" s="286"/>
      <c r="BJ623" s="286"/>
      <c r="DS623" s="277"/>
      <c r="IN623" s="277"/>
      <c r="IO623" s="277"/>
    </row>
    <row r="624" spans="58:249" ht="21.95" customHeight="1">
      <c r="BF624" s="2176"/>
      <c r="BG624" s="2176"/>
      <c r="BI624" s="286"/>
      <c r="BJ624" s="286"/>
      <c r="DS624" s="277"/>
      <c r="IN624" s="277"/>
      <c r="IO624" s="277"/>
    </row>
    <row r="625" spans="58:249" ht="21.95" customHeight="1">
      <c r="BF625" s="2176"/>
      <c r="BG625" s="2176"/>
      <c r="BI625" s="286"/>
      <c r="BJ625" s="286"/>
      <c r="DS625" s="277"/>
      <c r="IN625" s="277"/>
      <c r="IO625" s="277"/>
    </row>
    <row r="626" spans="58:249" ht="21.95" customHeight="1">
      <c r="BF626" s="2176"/>
      <c r="BG626" s="2176"/>
      <c r="BI626" s="286"/>
      <c r="BJ626" s="286"/>
      <c r="DS626" s="277"/>
      <c r="IN626" s="277"/>
      <c r="IO626" s="277"/>
    </row>
    <row r="627" spans="58:249" ht="21.95" customHeight="1">
      <c r="BF627" s="2176"/>
      <c r="BG627" s="2176"/>
      <c r="BI627" s="286"/>
      <c r="BJ627" s="286"/>
      <c r="DS627" s="277"/>
      <c r="IN627" s="277"/>
      <c r="IO627" s="277"/>
    </row>
    <row r="628" spans="58:249" ht="21.95" customHeight="1">
      <c r="BF628" s="2176"/>
      <c r="BG628" s="2176"/>
      <c r="BI628" s="286"/>
      <c r="BJ628" s="286"/>
      <c r="DS628" s="277"/>
      <c r="IN628" s="277"/>
      <c r="IO628" s="277"/>
    </row>
    <row r="629" spans="58:249" ht="21.95" customHeight="1">
      <c r="BF629" s="2176"/>
      <c r="BG629" s="2176"/>
      <c r="BI629" s="286"/>
      <c r="BJ629" s="286"/>
      <c r="DS629" s="277"/>
      <c r="IN629" s="277"/>
      <c r="IO629" s="277"/>
    </row>
    <row r="630" spans="58:249" ht="21.95" customHeight="1">
      <c r="BF630" s="2176"/>
      <c r="BG630" s="2176"/>
      <c r="BI630" s="286"/>
      <c r="BJ630" s="286"/>
      <c r="DS630" s="277"/>
      <c r="IN630" s="277"/>
      <c r="IO630" s="277"/>
    </row>
    <row r="631" spans="58:249" ht="21.95" customHeight="1">
      <c r="BF631" s="2176"/>
      <c r="BG631" s="2176"/>
      <c r="BI631" s="286"/>
      <c r="BJ631" s="286"/>
      <c r="DS631" s="277"/>
      <c r="IN631" s="277"/>
      <c r="IO631" s="277"/>
    </row>
    <row r="632" spans="58:249" ht="21.95" customHeight="1">
      <c r="BF632" s="2176"/>
      <c r="BG632" s="2176"/>
      <c r="BI632" s="286"/>
      <c r="BJ632" s="286"/>
      <c r="DS632" s="277"/>
      <c r="IN632" s="277"/>
      <c r="IO632" s="277"/>
    </row>
    <row r="633" spans="58:249" ht="21.95" customHeight="1">
      <c r="BF633" s="2176"/>
      <c r="BG633" s="2176"/>
      <c r="BI633" s="286"/>
      <c r="BJ633" s="286"/>
      <c r="DS633" s="277"/>
      <c r="IN633" s="277"/>
      <c r="IO633" s="277"/>
    </row>
    <row r="634" spans="58:249" ht="21.95" customHeight="1">
      <c r="BF634" s="2176"/>
      <c r="BG634" s="2176"/>
      <c r="BI634" s="286"/>
      <c r="BJ634" s="286"/>
      <c r="DS634" s="277"/>
      <c r="IN634" s="277"/>
      <c r="IO634" s="277"/>
    </row>
    <row r="635" spans="58:249" ht="21.95" customHeight="1">
      <c r="BF635" s="2176"/>
      <c r="BG635" s="2176"/>
      <c r="BI635" s="286"/>
      <c r="BJ635" s="286"/>
      <c r="DS635" s="277"/>
      <c r="IN635" s="277"/>
      <c r="IO635" s="277"/>
    </row>
    <row r="636" spans="58:249" ht="21.95" customHeight="1">
      <c r="BF636" s="2176"/>
      <c r="BG636" s="2176"/>
      <c r="BI636" s="286"/>
      <c r="BJ636" s="286"/>
      <c r="DS636" s="277"/>
      <c r="IN636" s="277"/>
      <c r="IO636" s="277"/>
    </row>
    <row r="637" spans="58:249" ht="21.95" customHeight="1">
      <c r="BF637" s="2176"/>
      <c r="BG637" s="2176"/>
      <c r="BI637" s="286"/>
      <c r="BJ637" s="286"/>
      <c r="DS637" s="277"/>
      <c r="IN637" s="277"/>
      <c r="IO637" s="277"/>
    </row>
    <row r="638" spans="58:249" ht="21.95" customHeight="1">
      <c r="BF638" s="2176"/>
      <c r="BG638" s="2176"/>
      <c r="BI638" s="286"/>
      <c r="BJ638" s="286"/>
      <c r="DS638" s="277"/>
      <c r="IN638" s="277"/>
      <c r="IO638" s="277"/>
    </row>
    <row r="639" spans="58:249" ht="21.95" customHeight="1">
      <c r="BF639" s="2176"/>
      <c r="BG639" s="2176"/>
      <c r="BI639" s="286"/>
      <c r="BJ639" s="286"/>
      <c r="DS639" s="277"/>
      <c r="IN639" s="277"/>
      <c r="IO639" s="277"/>
    </row>
    <row r="640" spans="58:249" ht="21.95" customHeight="1">
      <c r="BF640" s="2176"/>
      <c r="BG640" s="2176"/>
      <c r="BI640" s="286"/>
      <c r="BJ640" s="286"/>
      <c r="DS640" s="277"/>
      <c r="IN640" s="277"/>
      <c r="IO640" s="277"/>
    </row>
    <row r="641" spans="58:249" ht="21.95" customHeight="1">
      <c r="BF641" s="2176"/>
      <c r="BG641" s="2176"/>
      <c r="BI641" s="286"/>
      <c r="BJ641" s="286"/>
      <c r="DS641" s="277"/>
      <c r="IN641" s="277"/>
      <c r="IO641" s="277"/>
    </row>
    <row r="642" spans="58:249" ht="21.95" customHeight="1">
      <c r="BF642" s="2176"/>
      <c r="BG642" s="2176"/>
      <c r="BI642" s="286"/>
      <c r="BJ642" s="286"/>
      <c r="DS642" s="277"/>
      <c r="IN642" s="277"/>
      <c r="IO642" s="277"/>
    </row>
    <row r="643" spans="58:249" ht="21.95" customHeight="1">
      <c r="BF643" s="2176"/>
      <c r="BG643" s="2176"/>
      <c r="BI643" s="286"/>
      <c r="BJ643" s="286"/>
      <c r="DS643" s="277"/>
      <c r="IN643" s="277"/>
      <c r="IO643" s="277"/>
    </row>
    <row r="644" spans="58:249" ht="21.95" customHeight="1">
      <c r="BF644" s="2176"/>
      <c r="BG644" s="2176"/>
      <c r="BI644" s="286"/>
      <c r="BJ644" s="286"/>
      <c r="DS644" s="277"/>
      <c r="IN644" s="277"/>
      <c r="IO644" s="277"/>
    </row>
    <row r="645" spans="58:249" ht="21.95" customHeight="1">
      <c r="BF645" s="2176"/>
      <c r="BG645" s="2176"/>
      <c r="BI645" s="286"/>
      <c r="BJ645" s="286"/>
      <c r="DS645" s="277"/>
      <c r="IN645" s="277"/>
      <c r="IO645" s="277"/>
    </row>
    <row r="646" spans="58:249" ht="21.95" customHeight="1">
      <c r="BF646" s="2176"/>
      <c r="BG646" s="2176"/>
      <c r="BI646" s="286"/>
      <c r="BJ646" s="286"/>
      <c r="DS646" s="277"/>
      <c r="IN646" s="277"/>
      <c r="IO646" s="277"/>
    </row>
    <row r="647" spans="58:249" ht="21.95" customHeight="1">
      <c r="BF647" s="2176"/>
      <c r="BG647" s="2176"/>
      <c r="BI647" s="286"/>
      <c r="BJ647" s="286"/>
      <c r="DS647" s="277"/>
      <c r="IN647" s="277"/>
      <c r="IO647" s="277"/>
    </row>
    <row r="648" spans="58:249" ht="21.95" customHeight="1">
      <c r="BF648" s="2176"/>
      <c r="BG648" s="2176"/>
      <c r="BI648" s="286"/>
      <c r="BJ648" s="286"/>
      <c r="DS648" s="277"/>
      <c r="IN648" s="277"/>
      <c r="IO648" s="277"/>
    </row>
    <row r="649" spans="58:249" ht="21.95" customHeight="1">
      <c r="BF649" s="2176"/>
      <c r="BG649" s="2176"/>
      <c r="BI649" s="286"/>
      <c r="BJ649" s="286"/>
      <c r="DS649" s="277"/>
      <c r="IN649" s="277"/>
      <c r="IO649" s="277"/>
    </row>
    <row r="650" spans="58:249" ht="21.95" customHeight="1">
      <c r="BF650" s="2176"/>
      <c r="BG650" s="2176"/>
      <c r="BI650" s="286"/>
      <c r="BJ650" s="286"/>
      <c r="DS650" s="277"/>
      <c r="IN650" s="277"/>
      <c r="IO650" s="277"/>
    </row>
    <row r="651" spans="58:249" ht="21.95" customHeight="1">
      <c r="BF651" s="2176"/>
      <c r="BG651" s="2176"/>
      <c r="BI651" s="286"/>
      <c r="BJ651" s="286"/>
      <c r="DS651" s="277"/>
      <c r="IN651" s="277"/>
      <c r="IO651" s="277"/>
    </row>
    <row r="652" spans="58:249" ht="21.95" customHeight="1">
      <c r="BF652" s="2176"/>
      <c r="BG652" s="2176"/>
      <c r="BI652" s="286"/>
      <c r="BJ652" s="286"/>
      <c r="DS652" s="277"/>
      <c r="IN652" s="277"/>
      <c r="IO652" s="277"/>
    </row>
    <row r="653" spans="58:249" ht="21.95" customHeight="1">
      <c r="BF653" s="2176"/>
      <c r="BG653" s="2176"/>
      <c r="BI653" s="286"/>
      <c r="BJ653" s="286"/>
      <c r="DS653" s="277"/>
      <c r="IN653" s="277"/>
      <c r="IO653" s="277"/>
    </row>
    <row r="654" spans="58:249" ht="21.95" customHeight="1">
      <c r="BF654" s="2176"/>
      <c r="BG654" s="2176"/>
      <c r="BI654" s="286"/>
      <c r="BJ654" s="286"/>
      <c r="DS654" s="277"/>
      <c r="IN654" s="277"/>
      <c r="IO654" s="277"/>
    </row>
    <row r="655" spans="58:249" ht="21.95" customHeight="1">
      <c r="BF655" s="2176"/>
      <c r="BG655" s="2176"/>
      <c r="BI655" s="286"/>
      <c r="BJ655" s="286"/>
      <c r="DS655" s="277"/>
      <c r="IN655" s="277"/>
      <c r="IO655" s="277"/>
    </row>
    <row r="656" spans="58:249" ht="21.95" customHeight="1">
      <c r="BF656" s="2176"/>
      <c r="BG656" s="2176"/>
      <c r="BI656" s="286"/>
      <c r="BJ656" s="286"/>
      <c r="DS656" s="277"/>
      <c r="IN656" s="277"/>
      <c r="IO656" s="277"/>
    </row>
    <row r="657" spans="58:249" ht="21.95" customHeight="1">
      <c r="BF657" s="2176"/>
      <c r="BG657" s="2176"/>
      <c r="BI657" s="286"/>
      <c r="BJ657" s="286"/>
      <c r="DS657" s="277"/>
      <c r="IN657" s="277"/>
      <c r="IO657" s="277"/>
    </row>
    <row r="658" spans="58:249" ht="21.95" customHeight="1">
      <c r="BF658" s="2176"/>
      <c r="BG658" s="2176"/>
      <c r="BI658" s="286"/>
      <c r="BJ658" s="286"/>
      <c r="DS658" s="277"/>
      <c r="IN658" s="277"/>
      <c r="IO658" s="277"/>
    </row>
    <row r="659" spans="58:249" ht="21.95" customHeight="1">
      <c r="BF659" s="2176"/>
      <c r="BG659" s="2176"/>
      <c r="BI659" s="286"/>
      <c r="BJ659" s="286"/>
      <c r="DS659" s="277"/>
      <c r="IN659" s="277"/>
      <c r="IO659" s="277"/>
    </row>
    <row r="660" spans="58:249" ht="21.95" customHeight="1">
      <c r="BF660" s="2176"/>
      <c r="BG660" s="2176"/>
      <c r="BI660" s="286"/>
      <c r="BJ660" s="286"/>
      <c r="DS660" s="277"/>
      <c r="IN660" s="277"/>
      <c r="IO660" s="277"/>
    </row>
    <row r="661" spans="58:249" ht="21.95" customHeight="1">
      <c r="BF661" s="2176"/>
      <c r="BG661" s="2176"/>
      <c r="BI661" s="286"/>
      <c r="BJ661" s="286"/>
      <c r="DS661" s="277"/>
      <c r="IN661" s="277"/>
      <c r="IO661" s="277"/>
    </row>
    <row r="662" spans="58:249" ht="21.95" customHeight="1">
      <c r="BF662" s="2176"/>
      <c r="BG662" s="2176"/>
      <c r="BI662" s="286"/>
      <c r="BJ662" s="286"/>
      <c r="DS662" s="277"/>
      <c r="IN662" s="277"/>
      <c r="IO662" s="277"/>
    </row>
    <row r="663" spans="58:249" ht="21.95" customHeight="1">
      <c r="BF663" s="2176"/>
      <c r="BG663" s="2176"/>
      <c r="BI663" s="286"/>
      <c r="BJ663" s="286"/>
      <c r="DS663" s="277"/>
      <c r="IN663" s="277"/>
      <c r="IO663" s="277"/>
    </row>
    <row r="664" spans="58:249" ht="21.95" customHeight="1">
      <c r="BF664" s="2176"/>
      <c r="BG664" s="2176"/>
      <c r="BI664" s="286"/>
      <c r="BJ664" s="286"/>
      <c r="DS664" s="277"/>
      <c r="IN664" s="277"/>
      <c r="IO664" s="277"/>
    </row>
    <row r="665" spans="58:249" ht="21.95" customHeight="1">
      <c r="BF665" s="2176"/>
      <c r="BG665" s="2176"/>
      <c r="BI665" s="286"/>
      <c r="BJ665" s="286"/>
      <c r="DS665" s="277"/>
      <c r="IN665" s="277"/>
      <c r="IO665" s="277"/>
    </row>
    <row r="666" spans="58:249" ht="21.95" customHeight="1">
      <c r="BF666" s="2176"/>
      <c r="BG666" s="2176"/>
      <c r="BI666" s="286"/>
      <c r="BJ666" s="286"/>
      <c r="DS666" s="277"/>
      <c r="IN666" s="277"/>
      <c r="IO666" s="277"/>
    </row>
    <row r="667" spans="58:249" ht="21.95" customHeight="1">
      <c r="BF667" s="2176"/>
      <c r="BG667" s="2176"/>
      <c r="BI667" s="286"/>
      <c r="BJ667" s="286"/>
      <c r="DS667" s="277"/>
      <c r="IN667" s="277"/>
      <c r="IO667" s="277"/>
    </row>
    <row r="668" spans="58:249" ht="21.95" customHeight="1">
      <c r="BF668" s="2176"/>
      <c r="BG668" s="2176"/>
      <c r="BI668" s="286"/>
      <c r="BJ668" s="286"/>
      <c r="DS668" s="277"/>
      <c r="IN668" s="277"/>
      <c r="IO668" s="277"/>
    </row>
    <row r="669" spans="58:249" ht="21.95" customHeight="1">
      <c r="BF669" s="2176"/>
      <c r="BG669" s="2176"/>
      <c r="BI669" s="286"/>
      <c r="BJ669" s="286"/>
      <c r="DS669" s="277"/>
      <c r="IN669" s="277"/>
      <c r="IO669" s="277"/>
    </row>
    <row r="670" spans="58:249" ht="21.95" customHeight="1">
      <c r="BF670" s="2176"/>
      <c r="BG670" s="2176"/>
      <c r="BI670" s="286"/>
      <c r="BJ670" s="286"/>
      <c r="DS670" s="277"/>
      <c r="IN670" s="277"/>
      <c r="IO670" s="277"/>
    </row>
    <row r="671" spans="58:249" ht="21.95" customHeight="1">
      <c r="BF671" s="2176"/>
      <c r="BG671" s="2176"/>
      <c r="BI671" s="286"/>
      <c r="BJ671" s="286"/>
      <c r="DS671" s="277"/>
      <c r="IN671" s="277"/>
      <c r="IO671" s="277"/>
    </row>
    <row r="672" spans="58:249" ht="21.95" customHeight="1">
      <c r="BF672" s="2176"/>
      <c r="BG672" s="2176"/>
      <c r="BI672" s="286"/>
      <c r="BJ672" s="286"/>
      <c r="DS672" s="277"/>
      <c r="IN672" s="277"/>
      <c r="IO672" s="277"/>
    </row>
    <row r="673" spans="58:249" ht="21.95" customHeight="1">
      <c r="BF673" s="2176"/>
      <c r="BG673" s="2176"/>
      <c r="BI673" s="286"/>
      <c r="BJ673" s="286"/>
      <c r="DS673" s="277"/>
      <c r="IN673" s="277"/>
      <c r="IO673" s="277"/>
    </row>
    <row r="674" spans="58:249" ht="21.95" customHeight="1">
      <c r="BF674" s="2176"/>
      <c r="BG674" s="2176"/>
      <c r="BI674" s="286"/>
      <c r="BJ674" s="286"/>
      <c r="DS674" s="277"/>
      <c r="IN674" s="277"/>
      <c r="IO674" s="277"/>
    </row>
    <row r="675" spans="58:249" ht="21.95" customHeight="1">
      <c r="BF675" s="2176"/>
      <c r="BG675" s="2176"/>
      <c r="BI675" s="286"/>
      <c r="BJ675" s="286"/>
      <c r="DS675" s="277"/>
      <c r="IN675" s="277"/>
      <c r="IO675" s="277"/>
    </row>
    <row r="676" spans="58:249" ht="21.95" customHeight="1">
      <c r="BF676" s="2176"/>
      <c r="BG676" s="2176"/>
      <c r="BI676" s="286"/>
      <c r="BJ676" s="286"/>
      <c r="DS676" s="277"/>
      <c r="IN676" s="277"/>
      <c r="IO676" s="277"/>
    </row>
    <row r="677" spans="58:249" ht="21.95" customHeight="1">
      <c r="BF677" s="2176"/>
      <c r="BG677" s="2176"/>
      <c r="BI677" s="286"/>
      <c r="BJ677" s="286"/>
      <c r="DS677" s="277"/>
      <c r="IN677" s="277"/>
      <c r="IO677" s="277"/>
    </row>
    <row r="678" spans="58:249" ht="21.95" customHeight="1">
      <c r="BF678" s="2176"/>
      <c r="BG678" s="2176"/>
      <c r="BI678" s="286"/>
      <c r="BJ678" s="286"/>
      <c r="DS678" s="277"/>
      <c r="IN678" s="277"/>
      <c r="IO678" s="277"/>
    </row>
    <row r="679" spans="58:249" ht="21.95" customHeight="1">
      <c r="BF679" s="2176"/>
      <c r="BG679" s="2176"/>
      <c r="BI679" s="286"/>
      <c r="BJ679" s="286"/>
      <c r="DS679" s="277"/>
      <c r="IN679" s="277"/>
      <c r="IO679" s="277"/>
    </row>
    <row r="680" spans="58:249" ht="21.95" customHeight="1">
      <c r="BF680" s="2176"/>
      <c r="BG680" s="2176"/>
      <c r="BI680" s="286"/>
      <c r="BJ680" s="286"/>
      <c r="DS680" s="277"/>
      <c r="IN680" s="277"/>
      <c r="IO680" s="277"/>
    </row>
    <row r="681" spans="58:249" ht="21.95" customHeight="1">
      <c r="BF681" s="2176"/>
      <c r="BG681" s="2176"/>
      <c r="BI681" s="286"/>
      <c r="BJ681" s="286"/>
      <c r="DS681" s="277"/>
      <c r="IN681" s="277"/>
      <c r="IO681" s="277"/>
    </row>
    <row r="682" spans="58:249" ht="21.95" customHeight="1">
      <c r="BF682" s="2176"/>
      <c r="BG682" s="2176"/>
      <c r="BI682" s="286"/>
      <c r="BJ682" s="286"/>
      <c r="DS682" s="277"/>
      <c r="IN682" s="277"/>
      <c r="IO682" s="277"/>
    </row>
    <row r="683" spans="58:249" ht="21.95" customHeight="1">
      <c r="BF683" s="2176"/>
      <c r="BG683" s="2176"/>
      <c r="BI683" s="286"/>
      <c r="BJ683" s="286"/>
      <c r="DS683" s="277"/>
      <c r="IN683" s="277"/>
      <c r="IO683" s="277"/>
    </row>
    <row r="684" spans="58:249" ht="21.95" customHeight="1">
      <c r="BF684" s="2176"/>
      <c r="BG684" s="2176"/>
      <c r="BI684" s="286"/>
      <c r="BJ684" s="286"/>
      <c r="DS684" s="277"/>
      <c r="IN684" s="277"/>
      <c r="IO684" s="277"/>
    </row>
    <row r="685" spans="58:249" ht="21.95" customHeight="1">
      <c r="BF685" s="2176"/>
      <c r="BG685" s="2176"/>
      <c r="BI685" s="286"/>
      <c r="BJ685" s="286"/>
      <c r="DS685" s="277"/>
      <c r="IN685" s="277"/>
      <c r="IO685" s="277"/>
    </row>
    <row r="686" spans="58:249" ht="21.95" customHeight="1">
      <c r="BF686" s="2176"/>
      <c r="BG686" s="2176"/>
      <c r="BI686" s="286"/>
      <c r="BJ686" s="286"/>
      <c r="DS686" s="277"/>
      <c r="IN686" s="277"/>
      <c r="IO686" s="277"/>
    </row>
    <row r="687" spans="58:249" ht="21.95" customHeight="1">
      <c r="BF687" s="2176"/>
      <c r="BG687" s="2176"/>
      <c r="BI687" s="286"/>
      <c r="BJ687" s="286"/>
      <c r="DS687" s="277"/>
      <c r="IN687" s="277"/>
      <c r="IO687" s="277"/>
    </row>
    <row r="688" spans="58:249" ht="21.95" customHeight="1">
      <c r="BF688" s="2176"/>
      <c r="BG688" s="2176"/>
      <c r="BI688" s="286"/>
      <c r="BJ688" s="286"/>
      <c r="DS688" s="277"/>
      <c r="IN688" s="277"/>
      <c r="IO688" s="277"/>
    </row>
    <row r="689" spans="58:249" ht="21.95" customHeight="1">
      <c r="BF689" s="2176"/>
      <c r="BG689" s="2176"/>
      <c r="BI689" s="286"/>
      <c r="BJ689" s="286"/>
      <c r="DS689" s="277"/>
      <c r="IN689" s="277"/>
      <c r="IO689" s="277"/>
    </row>
    <row r="690" spans="58:249" ht="21.95" customHeight="1">
      <c r="BF690" s="2176"/>
      <c r="BG690" s="2176"/>
      <c r="BI690" s="286"/>
      <c r="BJ690" s="286"/>
      <c r="DS690" s="277"/>
      <c r="IN690" s="277"/>
      <c r="IO690" s="277"/>
    </row>
    <row r="691" spans="58:249" ht="21.95" customHeight="1">
      <c r="BF691" s="2176"/>
      <c r="BG691" s="2176"/>
      <c r="BI691" s="286"/>
      <c r="BJ691" s="286"/>
      <c r="DS691" s="277"/>
      <c r="IN691" s="277"/>
      <c r="IO691" s="277"/>
    </row>
    <row r="692" spans="58:249" ht="21.95" customHeight="1">
      <c r="BF692" s="2176"/>
      <c r="BG692" s="2176"/>
      <c r="BI692" s="286"/>
      <c r="BJ692" s="286"/>
      <c r="DS692" s="277"/>
      <c r="IN692" s="277"/>
      <c r="IO692" s="277"/>
    </row>
    <row r="693" spans="58:249" ht="21.95" customHeight="1">
      <c r="BF693" s="2176"/>
      <c r="BG693" s="2176"/>
      <c r="BI693" s="286"/>
      <c r="BJ693" s="286"/>
      <c r="DS693" s="277"/>
      <c r="IN693" s="277"/>
      <c r="IO693" s="277"/>
    </row>
    <row r="694" spans="58:249" ht="21.95" customHeight="1">
      <c r="BF694" s="2176"/>
      <c r="BG694" s="2176"/>
      <c r="BI694" s="286"/>
      <c r="BJ694" s="286"/>
      <c r="DS694" s="277"/>
      <c r="IN694" s="277"/>
      <c r="IO694" s="277"/>
    </row>
    <row r="695" spans="58:249" ht="21.95" customHeight="1">
      <c r="BF695" s="2176"/>
      <c r="BG695" s="2176"/>
      <c r="BI695" s="286"/>
      <c r="BJ695" s="286"/>
      <c r="DS695" s="277"/>
      <c r="IN695" s="277"/>
      <c r="IO695" s="277"/>
    </row>
    <row r="696" spans="58:249" ht="21.95" customHeight="1">
      <c r="BF696" s="2176"/>
      <c r="BG696" s="2176"/>
      <c r="BI696" s="286"/>
      <c r="BJ696" s="286"/>
      <c r="DS696" s="277"/>
      <c r="IN696" s="277"/>
      <c r="IO696" s="277"/>
    </row>
    <row r="697" spans="58:249" ht="21.95" customHeight="1">
      <c r="BF697" s="2176"/>
      <c r="BG697" s="2176"/>
      <c r="BI697" s="286"/>
      <c r="BJ697" s="286"/>
      <c r="DS697" s="277"/>
      <c r="IN697" s="277"/>
      <c r="IO697" s="277"/>
    </row>
    <row r="698" spans="58:249" ht="21.95" customHeight="1">
      <c r="BF698" s="2176"/>
      <c r="BG698" s="2176"/>
      <c r="BI698" s="286"/>
      <c r="BJ698" s="286"/>
      <c r="DS698" s="277"/>
      <c r="IN698" s="277"/>
      <c r="IO698" s="277"/>
    </row>
    <row r="699" spans="58:249" ht="21.95" customHeight="1">
      <c r="BF699" s="2176"/>
      <c r="BG699" s="2176"/>
      <c r="BI699" s="286"/>
      <c r="BJ699" s="286"/>
      <c r="DS699" s="277"/>
      <c r="IN699" s="277"/>
      <c r="IO699" s="277"/>
    </row>
    <row r="700" spans="58:249" ht="21.95" customHeight="1">
      <c r="BF700" s="2176"/>
      <c r="BG700" s="2176"/>
      <c r="BI700" s="286"/>
      <c r="BJ700" s="286"/>
      <c r="DS700" s="277"/>
      <c r="IN700" s="277"/>
      <c r="IO700" s="277"/>
    </row>
    <row r="701" spans="58:249" ht="21.95" customHeight="1">
      <c r="BF701" s="2176"/>
      <c r="BG701" s="2176"/>
      <c r="BI701" s="286"/>
      <c r="BJ701" s="286"/>
      <c r="DS701" s="277"/>
      <c r="IN701" s="277"/>
      <c r="IO701" s="277"/>
    </row>
    <row r="702" spans="58:249" ht="21.95" customHeight="1">
      <c r="BF702" s="2176"/>
      <c r="BG702" s="2176"/>
      <c r="BI702" s="286"/>
      <c r="BJ702" s="286"/>
      <c r="DS702" s="277"/>
      <c r="IN702" s="277"/>
      <c r="IO702" s="277"/>
    </row>
    <row r="703" spans="58:249" ht="21.95" customHeight="1">
      <c r="BF703" s="2176"/>
      <c r="BG703" s="2176"/>
      <c r="BI703" s="286"/>
      <c r="BJ703" s="286"/>
      <c r="DS703" s="277"/>
      <c r="IN703" s="277"/>
      <c r="IO703" s="277"/>
    </row>
    <row r="704" spans="58:249" ht="21.95" customHeight="1">
      <c r="BF704" s="2176"/>
      <c r="BG704" s="2176"/>
      <c r="BI704" s="286"/>
      <c r="BJ704" s="286"/>
      <c r="DS704" s="277"/>
      <c r="IN704" s="277"/>
      <c r="IO704" s="277"/>
    </row>
    <row r="705" spans="58:249" ht="21.95" customHeight="1">
      <c r="BF705" s="2176"/>
      <c r="BG705" s="2176"/>
      <c r="BI705" s="286"/>
      <c r="BJ705" s="286"/>
      <c r="DS705" s="277"/>
      <c r="IN705" s="277"/>
      <c r="IO705" s="277"/>
    </row>
    <row r="706" spans="58:249" ht="21.95" customHeight="1">
      <c r="BF706" s="2176"/>
      <c r="BG706" s="2176"/>
      <c r="BI706" s="286"/>
      <c r="BJ706" s="286"/>
      <c r="DS706" s="277"/>
      <c r="IN706" s="277"/>
      <c r="IO706" s="277"/>
    </row>
    <row r="707" spans="58:249" ht="21.95" customHeight="1">
      <c r="BF707" s="2176"/>
      <c r="BG707" s="2176"/>
      <c r="BI707" s="286"/>
      <c r="BJ707" s="286"/>
      <c r="DS707" s="277"/>
      <c r="IN707" s="277"/>
      <c r="IO707" s="277"/>
    </row>
    <row r="708" spans="58:249" ht="21.95" customHeight="1">
      <c r="BF708" s="2176"/>
      <c r="BG708" s="2176"/>
      <c r="BI708" s="286"/>
      <c r="BJ708" s="286"/>
      <c r="DS708" s="277"/>
      <c r="IN708" s="277"/>
      <c r="IO708" s="277"/>
    </row>
    <row r="709" spans="58:249" ht="21.95" customHeight="1">
      <c r="BF709" s="2176"/>
      <c r="BG709" s="2176"/>
      <c r="BI709" s="286"/>
      <c r="BJ709" s="286"/>
      <c r="DS709" s="277"/>
      <c r="IN709" s="277"/>
      <c r="IO709" s="277"/>
    </row>
    <row r="710" spans="58:249" ht="21.95" customHeight="1">
      <c r="BF710" s="2176"/>
      <c r="BG710" s="2176"/>
      <c r="BI710" s="286"/>
      <c r="BJ710" s="286"/>
      <c r="DS710" s="277"/>
      <c r="IN710" s="277"/>
      <c r="IO710" s="277"/>
    </row>
    <row r="711" spans="58:249" ht="21.95" customHeight="1">
      <c r="BF711" s="2176"/>
      <c r="BG711" s="2176"/>
      <c r="BI711" s="286"/>
      <c r="BJ711" s="286"/>
      <c r="DS711" s="277"/>
      <c r="IN711" s="277"/>
      <c r="IO711" s="277"/>
    </row>
    <row r="712" spans="58:249" ht="21.95" customHeight="1">
      <c r="BF712" s="2176"/>
      <c r="BG712" s="2176"/>
      <c r="BI712" s="286"/>
      <c r="BJ712" s="286"/>
      <c r="DS712" s="277"/>
      <c r="IN712" s="277"/>
      <c r="IO712" s="277"/>
    </row>
    <row r="713" spans="58:249" ht="21.95" customHeight="1">
      <c r="BF713" s="2176"/>
      <c r="BG713" s="2176"/>
      <c r="BI713" s="286"/>
      <c r="BJ713" s="286"/>
      <c r="DS713" s="277"/>
      <c r="IN713" s="277"/>
      <c r="IO713" s="277"/>
    </row>
    <row r="714" spans="58:249" ht="21.95" customHeight="1">
      <c r="BF714" s="2176"/>
      <c r="BG714" s="2176"/>
      <c r="BI714" s="286"/>
      <c r="BJ714" s="286"/>
      <c r="DS714" s="277"/>
      <c r="IN714" s="277"/>
      <c r="IO714" s="277"/>
    </row>
    <row r="715" spans="58:249" ht="21.95" customHeight="1">
      <c r="BF715" s="2176"/>
      <c r="BG715" s="2176"/>
      <c r="BI715" s="286"/>
      <c r="BJ715" s="286"/>
      <c r="DS715" s="277"/>
      <c r="IN715" s="277"/>
      <c r="IO715" s="277"/>
    </row>
    <row r="716" spans="58:249" ht="21.95" customHeight="1">
      <c r="BF716" s="2176"/>
      <c r="BG716" s="2176"/>
      <c r="BI716" s="286"/>
      <c r="BJ716" s="286"/>
      <c r="DS716" s="277"/>
      <c r="IN716" s="277"/>
      <c r="IO716" s="277"/>
    </row>
    <row r="717" spans="58:249" ht="21.95" customHeight="1">
      <c r="BF717" s="2176"/>
      <c r="BG717" s="2176"/>
      <c r="BI717" s="286"/>
      <c r="BJ717" s="286"/>
      <c r="DS717" s="277"/>
      <c r="IN717" s="277"/>
      <c r="IO717" s="277"/>
    </row>
    <row r="718" spans="58:249" ht="21.95" customHeight="1">
      <c r="BF718" s="2176"/>
      <c r="BG718" s="2176"/>
      <c r="BI718" s="286"/>
      <c r="BJ718" s="286"/>
      <c r="DS718" s="277"/>
      <c r="IN718" s="277"/>
      <c r="IO718" s="277"/>
    </row>
    <row r="719" spans="58:249" ht="21.95" customHeight="1">
      <c r="BF719" s="2176"/>
      <c r="BG719" s="2176"/>
      <c r="BI719" s="286"/>
      <c r="BJ719" s="286"/>
      <c r="DS719" s="277"/>
      <c r="IN719" s="277"/>
      <c r="IO719" s="277"/>
    </row>
    <row r="720" spans="58:249" ht="21.95" customHeight="1">
      <c r="BF720" s="2176"/>
      <c r="BG720" s="2176"/>
      <c r="BI720" s="286"/>
      <c r="BJ720" s="286"/>
      <c r="DS720" s="277"/>
      <c r="IN720" s="277"/>
      <c r="IO720" s="277"/>
    </row>
    <row r="721" spans="58:249" ht="21.95" customHeight="1">
      <c r="BF721" s="2176"/>
      <c r="BG721" s="2176"/>
      <c r="BI721" s="286"/>
      <c r="BJ721" s="286"/>
      <c r="DS721" s="277"/>
      <c r="IN721" s="277"/>
      <c r="IO721" s="277"/>
    </row>
    <row r="722" spans="58:249" ht="21.95" customHeight="1">
      <c r="BF722" s="2176"/>
      <c r="BG722" s="2176"/>
      <c r="BI722" s="286"/>
      <c r="BJ722" s="286"/>
      <c r="DS722" s="277"/>
      <c r="IN722" s="277"/>
      <c r="IO722" s="277"/>
    </row>
    <row r="723" spans="58:249" ht="21.95" customHeight="1">
      <c r="BF723" s="2176"/>
      <c r="BG723" s="2176"/>
      <c r="BI723" s="286"/>
      <c r="BJ723" s="286"/>
      <c r="DS723" s="277"/>
      <c r="IN723" s="277"/>
      <c r="IO723" s="277"/>
    </row>
    <row r="724" spans="58:249" ht="21.95" customHeight="1">
      <c r="BF724" s="2176"/>
      <c r="BG724" s="2176"/>
      <c r="BI724" s="286"/>
      <c r="BJ724" s="286"/>
      <c r="DS724" s="277"/>
      <c r="IN724" s="277"/>
      <c r="IO724" s="277"/>
    </row>
    <row r="725" spans="58:249" ht="21.95" customHeight="1">
      <c r="BF725" s="2176"/>
      <c r="BG725" s="2176"/>
      <c r="BI725" s="286"/>
      <c r="BJ725" s="286"/>
      <c r="DS725" s="277"/>
      <c r="IN725" s="277"/>
      <c r="IO725" s="277"/>
    </row>
    <row r="726" spans="58:249" ht="21.95" customHeight="1">
      <c r="BF726" s="2176"/>
      <c r="BG726" s="2176"/>
      <c r="BI726" s="286"/>
      <c r="BJ726" s="286"/>
      <c r="DS726" s="277"/>
      <c r="IN726" s="277"/>
      <c r="IO726" s="277"/>
    </row>
    <row r="727" spans="58:249" ht="21.95" customHeight="1">
      <c r="BF727" s="2176"/>
      <c r="BG727" s="2176"/>
      <c r="BI727" s="286"/>
      <c r="BJ727" s="286"/>
      <c r="DS727" s="277"/>
      <c r="IN727" s="277"/>
      <c r="IO727" s="277"/>
    </row>
    <row r="728" spans="58:249" ht="21.95" customHeight="1">
      <c r="BF728" s="2176"/>
      <c r="BG728" s="2176"/>
      <c r="BI728" s="286"/>
      <c r="BJ728" s="286"/>
      <c r="DS728" s="277"/>
      <c r="IN728" s="277"/>
      <c r="IO728" s="277"/>
    </row>
    <row r="729" spans="58:249" ht="21.95" customHeight="1">
      <c r="BF729" s="2176"/>
      <c r="BG729" s="2176"/>
      <c r="BI729" s="286"/>
      <c r="BJ729" s="286"/>
      <c r="DS729" s="277"/>
      <c r="IN729" s="277"/>
      <c r="IO729" s="277"/>
    </row>
    <row r="730" spans="58:249" ht="21.95" customHeight="1">
      <c r="BF730" s="2176"/>
      <c r="BG730" s="2176"/>
      <c r="BI730" s="286"/>
      <c r="BJ730" s="286"/>
      <c r="DS730" s="277"/>
      <c r="IN730" s="277"/>
      <c r="IO730" s="277"/>
    </row>
    <row r="731" spans="58:249" ht="21.95" customHeight="1">
      <c r="BF731" s="2176"/>
      <c r="BG731" s="2176"/>
      <c r="BI731" s="286"/>
      <c r="BJ731" s="286"/>
      <c r="DS731" s="277"/>
      <c r="IN731" s="277"/>
      <c r="IO731" s="277"/>
    </row>
    <row r="732" spans="58:249" ht="21.95" customHeight="1">
      <c r="BF732" s="2176"/>
      <c r="BG732" s="2176"/>
      <c r="BI732" s="286"/>
      <c r="BJ732" s="286"/>
      <c r="DS732" s="277"/>
      <c r="IN732" s="277"/>
      <c r="IO732" s="277"/>
    </row>
    <row r="733" spans="58:249" ht="21.95" customHeight="1">
      <c r="BF733" s="2176"/>
      <c r="BG733" s="2176"/>
      <c r="BI733" s="286"/>
      <c r="BJ733" s="286"/>
      <c r="DS733" s="277"/>
      <c r="IN733" s="277"/>
      <c r="IO733" s="277"/>
    </row>
    <row r="734" spans="58:249" ht="21.95" customHeight="1">
      <c r="BF734" s="2176"/>
      <c r="BG734" s="2176"/>
      <c r="BI734" s="286"/>
      <c r="BJ734" s="286"/>
      <c r="DS734" s="277"/>
      <c r="IN734" s="277"/>
      <c r="IO734" s="277"/>
    </row>
    <row r="735" spans="58:249" ht="21.95" customHeight="1">
      <c r="BF735" s="2176"/>
      <c r="BG735" s="2176"/>
      <c r="BI735" s="286"/>
      <c r="BJ735" s="286"/>
      <c r="DS735" s="277"/>
      <c r="IN735" s="277"/>
      <c r="IO735" s="277"/>
    </row>
    <row r="736" spans="58:249" ht="21.95" customHeight="1">
      <c r="BF736" s="2176"/>
      <c r="BG736" s="2176"/>
      <c r="BI736" s="286"/>
      <c r="BJ736" s="286"/>
      <c r="DS736" s="277"/>
      <c r="IN736" s="277"/>
      <c r="IO736" s="277"/>
    </row>
    <row r="737" spans="58:249" ht="21.95" customHeight="1">
      <c r="BF737" s="2176"/>
      <c r="BG737" s="2176"/>
      <c r="BI737" s="286"/>
      <c r="BJ737" s="286"/>
      <c r="DS737" s="277"/>
      <c r="IN737" s="277"/>
      <c r="IO737" s="277"/>
    </row>
    <row r="738" spans="58:249" ht="21.95" customHeight="1">
      <c r="BF738" s="2176"/>
      <c r="BG738" s="2176"/>
      <c r="BI738" s="286"/>
      <c r="BJ738" s="286"/>
      <c r="DS738" s="277"/>
      <c r="IN738" s="277"/>
      <c r="IO738" s="277"/>
    </row>
    <row r="739" spans="58:249" ht="21.95" customHeight="1">
      <c r="BF739" s="2176"/>
      <c r="BG739" s="2176"/>
      <c r="BI739" s="286"/>
      <c r="BJ739" s="286"/>
      <c r="DS739" s="277"/>
      <c r="IN739" s="277"/>
      <c r="IO739" s="277"/>
    </row>
    <row r="740" spans="58:249" ht="21.95" customHeight="1">
      <c r="BF740" s="2176"/>
      <c r="BG740" s="2176"/>
      <c r="BI740" s="286"/>
      <c r="BJ740" s="286"/>
      <c r="DS740" s="277"/>
      <c r="IN740" s="277"/>
      <c r="IO740" s="277"/>
    </row>
    <row r="741" spans="58:249" ht="21.95" customHeight="1">
      <c r="BF741" s="2176"/>
      <c r="BG741" s="2176"/>
      <c r="BI741" s="286"/>
      <c r="BJ741" s="286"/>
      <c r="DS741" s="277"/>
      <c r="IN741" s="277"/>
      <c r="IO741" s="277"/>
    </row>
    <row r="742" spans="58:249" ht="21.95" customHeight="1">
      <c r="BF742" s="2176"/>
      <c r="BG742" s="2176"/>
      <c r="BI742" s="286"/>
      <c r="BJ742" s="286"/>
      <c r="DS742" s="277"/>
      <c r="IN742" s="277"/>
      <c r="IO742" s="277"/>
    </row>
    <row r="743" spans="58:249" ht="21.95" customHeight="1">
      <c r="BF743" s="2176"/>
      <c r="BG743" s="2176"/>
      <c r="BI743" s="286"/>
      <c r="BJ743" s="286"/>
      <c r="DS743" s="277"/>
      <c r="IN743" s="277"/>
      <c r="IO743" s="277"/>
    </row>
    <row r="744" spans="58:249" ht="21.95" customHeight="1">
      <c r="BF744" s="2176"/>
      <c r="BG744" s="2176"/>
      <c r="BI744" s="286"/>
      <c r="BJ744" s="286"/>
      <c r="DS744" s="277"/>
      <c r="IN744" s="277"/>
      <c r="IO744" s="277"/>
    </row>
    <row r="745" spans="58:249" ht="21.95" customHeight="1">
      <c r="BF745" s="2176"/>
      <c r="BG745" s="2176"/>
      <c r="BI745" s="286"/>
      <c r="BJ745" s="286"/>
      <c r="DS745" s="277"/>
      <c r="IN745" s="277"/>
      <c r="IO745" s="277"/>
    </row>
    <row r="746" spans="58:249" ht="21.95" customHeight="1">
      <c r="BF746" s="2176"/>
      <c r="BG746" s="2176"/>
      <c r="BI746" s="286"/>
      <c r="BJ746" s="286"/>
      <c r="DS746" s="277"/>
      <c r="IN746" s="277"/>
      <c r="IO746" s="277"/>
    </row>
    <row r="747" spans="58:249" ht="21.95" customHeight="1">
      <c r="BF747" s="2176"/>
      <c r="BG747" s="2176"/>
      <c r="BI747" s="286"/>
      <c r="BJ747" s="286"/>
      <c r="DS747" s="277"/>
      <c r="IN747" s="277"/>
      <c r="IO747" s="277"/>
    </row>
    <row r="748" spans="58:249" ht="21.95" customHeight="1">
      <c r="BF748" s="2176"/>
      <c r="BG748" s="2176"/>
      <c r="BI748" s="286"/>
      <c r="BJ748" s="286"/>
      <c r="DS748" s="277"/>
      <c r="IN748" s="277"/>
      <c r="IO748" s="277"/>
    </row>
    <row r="749" spans="58:249" ht="21.95" customHeight="1">
      <c r="BF749" s="2176"/>
      <c r="BG749" s="2176"/>
      <c r="BI749" s="286"/>
      <c r="BJ749" s="286"/>
      <c r="DS749" s="277"/>
      <c r="IN749" s="277"/>
      <c r="IO749" s="277"/>
    </row>
    <row r="750" spans="58:249" ht="21.95" customHeight="1">
      <c r="BF750" s="2176"/>
      <c r="BG750" s="2176"/>
      <c r="BI750" s="286"/>
      <c r="BJ750" s="286"/>
      <c r="DS750" s="277"/>
      <c r="IN750" s="277"/>
      <c r="IO750" s="277"/>
    </row>
    <row r="751" spans="58:249" ht="21.95" customHeight="1">
      <c r="BF751" s="2176"/>
      <c r="BG751" s="2176"/>
      <c r="BI751" s="286"/>
      <c r="BJ751" s="286"/>
      <c r="DS751" s="277"/>
      <c r="IN751" s="277"/>
      <c r="IO751" s="277"/>
    </row>
    <row r="752" spans="58:249" ht="21.95" customHeight="1">
      <c r="BF752" s="2176"/>
      <c r="BG752" s="2176"/>
      <c r="BI752" s="286"/>
      <c r="BJ752" s="286"/>
      <c r="DS752" s="277"/>
      <c r="IN752" s="277"/>
      <c r="IO752" s="277"/>
    </row>
    <row r="753" spans="58:249" ht="21.95" customHeight="1">
      <c r="BF753" s="2176"/>
      <c r="BG753" s="2176"/>
      <c r="BI753" s="286"/>
      <c r="BJ753" s="286"/>
      <c r="DS753" s="277"/>
      <c r="IN753" s="277"/>
      <c r="IO753" s="277"/>
    </row>
    <row r="754" spans="58:249" ht="21.95" customHeight="1">
      <c r="BF754" s="2176"/>
      <c r="BG754" s="2176"/>
      <c r="BI754" s="286"/>
      <c r="BJ754" s="286"/>
      <c r="DS754" s="277"/>
      <c r="IN754" s="277"/>
      <c r="IO754" s="277"/>
    </row>
    <row r="755" spans="58:249" ht="21.95" customHeight="1">
      <c r="BF755" s="2176"/>
      <c r="BG755" s="2176"/>
      <c r="BI755" s="286"/>
      <c r="BJ755" s="286"/>
      <c r="DS755" s="277"/>
      <c r="IN755" s="277"/>
      <c r="IO755" s="277"/>
    </row>
    <row r="756" spans="58:249" ht="21.95" customHeight="1">
      <c r="BF756" s="2176"/>
      <c r="BG756" s="2176"/>
      <c r="BI756" s="286"/>
      <c r="BJ756" s="286"/>
      <c r="DS756" s="277"/>
      <c r="IN756" s="277"/>
      <c r="IO756" s="277"/>
    </row>
    <row r="757" spans="58:249" ht="21.95" customHeight="1">
      <c r="BF757" s="2176"/>
      <c r="BG757" s="2176"/>
      <c r="BI757" s="286"/>
      <c r="BJ757" s="286"/>
      <c r="DS757" s="277"/>
      <c r="IN757" s="277"/>
      <c r="IO757" s="277"/>
    </row>
    <row r="758" spans="58:249" ht="21.95" customHeight="1">
      <c r="BI758" s="286"/>
      <c r="BJ758" s="286"/>
      <c r="DS758" s="277"/>
      <c r="IN758" s="277"/>
      <c r="IO758" s="277"/>
    </row>
    <row r="759" spans="58:249" ht="21.95" customHeight="1">
      <c r="BI759" s="286"/>
      <c r="BJ759" s="286"/>
      <c r="DS759" s="277"/>
      <c r="IN759" s="277"/>
      <c r="IO759" s="277"/>
    </row>
    <row r="760" spans="58:249" ht="21.95" customHeight="1">
      <c r="BI760" s="286"/>
      <c r="BJ760" s="286"/>
      <c r="DS760" s="277"/>
      <c r="IN760" s="277"/>
      <c r="IO760" s="277"/>
    </row>
    <row r="761" spans="58:249" ht="21.95" customHeight="1">
      <c r="BI761" s="286"/>
      <c r="BJ761" s="286"/>
      <c r="DS761" s="277"/>
      <c r="IN761" s="277"/>
      <c r="IO761" s="277"/>
    </row>
    <row r="762" spans="58:249" ht="21.95" customHeight="1">
      <c r="BI762" s="286"/>
      <c r="BJ762" s="286"/>
      <c r="DS762" s="277"/>
      <c r="IN762" s="277"/>
      <c r="IO762" s="277"/>
    </row>
    <row r="763" spans="58:249" ht="21.95" customHeight="1">
      <c r="BI763" s="286"/>
      <c r="BJ763" s="286"/>
      <c r="DS763" s="277"/>
      <c r="IN763" s="277"/>
      <c r="IO763" s="277"/>
    </row>
    <row r="764" spans="58:249" ht="21.95" customHeight="1">
      <c r="BI764" s="286"/>
      <c r="BJ764" s="286"/>
      <c r="DS764" s="277"/>
      <c r="IN764" s="277"/>
      <c r="IO764" s="277"/>
    </row>
    <row r="765" spans="58:249" ht="21.95" customHeight="1">
      <c r="BI765" s="286"/>
      <c r="BJ765" s="286"/>
      <c r="DS765" s="277"/>
      <c r="IN765" s="277"/>
      <c r="IO765" s="277"/>
    </row>
    <row r="766" spans="58:249" ht="21.95" customHeight="1">
      <c r="BI766" s="286"/>
      <c r="BJ766" s="286"/>
      <c r="DS766" s="277"/>
      <c r="IN766" s="277"/>
      <c r="IO766" s="277"/>
    </row>
    <row r="767" spans="58:249" ht="21.95" customHeight="1">
      <c r="BI767" s="286"/>
      <c r="BJ767" s="286"/>
      <c r="DS767" s="277"/>
      <c r="IN767" s="277"/>
      <c r="IO767" s="277"/>
    </row>
    <row r="768" spans="58:249" ht="21.95" customHeight="1">
      <c r="BI768" s="286"/>
      <c r="BJ768" s="286"/>
      <c r="DS768" s="277"/>
      <c r="IN768" s="277"/>
      <c r="IO768" s="277"/>
    </row>
    <row r="769" spans="61:249" ht="21.95" customHeight="1">
      <c r="BI769" s="286"/>
      <c r="BJ769" s="286"/>
      <c r="DS769" s="277"/>
      <c r="IN769" s="277"/>
      <c r="IO769" s="277"/>
    </row>
    <row r="770" spans="61:249" ht="21.95" customHeight="1">
      <c r="BI770" s="286"/>
      <c r="BJ770" s="286"/>
      <c r="DS770" s="277"/>
      <c r="IN770" s="277"/>
      <c r="IO770" s="277"/>
    </row>
    <row r="771" spans="61:249" ht="21.95" customHeight="1">
      <c r="BI771" s="286"/>
      <c r="BJ771" s="286"/>
      <c r="DS771" s="277"/>
      <c r="IN771" s="277"/>
      <c r="IO771" s="277"/>
    </row>
    <row r="772" spans="61:249" ht="21.95" customHeight="1">
      <c r="BI772" s="286"/>
      <c r="BJ772" s="286"/>
      <c r="DS772" s="277"/>
      <c r="IN772" s="277"/>
      <c r="IO772" s="277"/>
    </row>
    <row r="773" spans="61:249" ht="21.95" customHeight="1">
      <c r="BI773" s="286"/>
      <c r="BJ773" s="286"/>
      <c r="DS773" s="277"/>
      <c r="IN773" s="277"/>
      <c r="IO773" s="277"/>
    </row>
    <row r="774" spans="61:249" ht="21.95" customHeight="1">
      <c r="BI774" s="286"/>
      <c r="BJ774" s="286"/>
      <c r="DS774" s="277"/>
      <c r="IN774" s="277"/>
      <c r="IO774" s="277"/>
    </row>
    <row r="775" spans="61:249" ht="21.95" customHeight="1">
      <c r="BI775" s="286"/>
      <c r="BJ775" s="286"/>
      <c r="DS775" s="277"/>
      <c r="IN775" s="277"/>
      <c r="IO775" s="277"/>
    </row>
    <row r="776" spans="61:249" ht="21.95" customHeight="1">
      <c r="BI776" s="286"/>
      <c r="BJ776" s="286"/>
      <c r="DS776" s="277"/>
      <c r="IN776" s="277"/>
      <c r="IO776" s="277"/>
    </row>
    <row r="777" spans="61:249" ht="21.95" customHeight="1">
      <c r="BI777" s="286"/>
      <c r="BJ777" s="286"/>
      <c r="DS777" s="277"/>
      <c r="IN777" s="277"/>
      <c r="IO777" s="277"/>
    </row>
    <row r="778" spans="61:249" ht="21.95" customHeight="1">
      <c r="BI778" s="286"/>
      <c r="BJ778" s="286"/>
      <c r="DS778" s="277"/>
      <c r="IN778" s="277"/>
      <c r="IO778" s="277"/>
    </row>
    <row r="779" spans="61:249" ht="21.95" customHeight="1">
      <c r="BI779" s="286"/>
      <c r="BJ779" s="286"/>
      <c r="DS779" s="277"/>
      <c r="IN779" s="277"/>
      <c r="IO779" s="277"/>
    </row>
    <row r="780" spans="61:249" ht="21.95" customHeight="1">
      <c r="BI780" s="286"/>
      <c r="BJ780" s="286"/>
      <c r="DS780" s="277"/>
      <c r="IN780" s="277"/>
      <c r="IO780" s="277"/>
    </row>
    <row r="781" spans="61:249" ht="21.95" customHeight="1">
      <c r="BI781" s="286"/>
      <c r="BJ781" s="286"/>
      <c r="DS781" s="277"/>
      <c r="IN781" s="277"/>
      <c r="IO781" s="277"/>
    </row>
    <row r="782" spans="61:249" ht="21.95" customHeight="1">
      <c r="BI782" s="286"/>
      <c r="BJ782" s="286"/>
      <c r="DS782" s="277"/>
      <c r="IN782" s="277"/>
      <c r="IO782" s="277"/>
    </row>
    <row r="783" spans="61:249" ht="21.95" customHeight="1">
      <c r="BI783" s="286"/>
      <c r="BJ783" s="286"/>
      <c r="DS783" s="277"/>
      <c r="IN783" s="277"/>
      <c r="IO783" s="277"/>
    </row>
    <row r="784" spans="61:249" ht="21.95" customHeight="1">
      <c r="BI784" s="286"/>
      <c r="BJ784" s="286"/>
      <c r="DS784" s="277"/>
      <c r="IN784" s="277"/>
      <c r="IO784" s="277"/>
    </row>
    <row r="785" spans="61:249" ht="21.95" customHeight="1">
      <c r="BI785" s="286"/>
      <c r="BJ785" s="286"/>
      <c r="DS785" s="277"/>
      <c r="IN785" s="277"/>
      <c r="IO785" s="277"/>
    </row>
    <row r="786" spans="61:249" ht="21.95" customHeight="1">
      <c r="BI786" s="286"/>
      <c r="BJ786" s="286"/>
      <c r="DS786" s="277"/>
      <c r="IN786" s="277"/>
      <c r="IO786" s="277"/>
    </row>
    <row r="787" spans="61:249" ht="21.95" customHeight="1">
      <c r="BI787" s="286"/>
      <c r="BJ787" s="286"/>
      <c r="DS787" s="277"/>
      <c r="IN787" s="277"/>
      <c r="IO787" s="277"/>
    </row>
    <row r="788" spans="61:249" ht="21.95" customHeight="1">
      <c r="BI788" s="286"/>
      <c r="BJ788" s="286"/>
      <c r="DS788" s="277"/>
      <c r="IN788" s="277"/>
      <c r="IO788" s="277"/>
    </row>
    <row r="789" spans="61:249" ht="21.95" customHeight="1">
      <c r="BI789" s="286"/>
      <c r="BJ789" s="286"/>
      <c r="DS789" s="277"/>
      <c r="IN789" s="277"/>
      <c r="IO789" s="277"/>
    </row>
    <row r="790" spans="61:249" ht="21.95" customHeight="1">
      <c r="BI790" s="286"/>
      <c r="BJ790" s="286"/>
      <c r="DS790" s="277"/>
      <c r="IN790" s="277"/>
      <c r="IO790" s="277"/>
    </row>
    <row r="791" spans="61:249" ht="21.95" customHeight="1">
      <c r="BI791" s="286"/>
      <c r="BJ791" s="286"/>
      <c r="DS791" s="277"/>
      <c r="IN791" s="277"/>
      <c r="IO791" s="277"/>
    </row>
    <row r="792" spans="61:249" ht="21.95" customHeight="1">
      <c r="BI792" s="286"/>
      <c r="BJ792" s="286"/>
      <c r="DS792" s="277"/>
      <c r="IN792" s="277"/>
      <c r="IO792" s="277"/>
    </row>
    <row r="793" spans="61:249" ht="21.95" customHeight="1">
      <c r="BI793" s="286"/>
      <c r="BJ793" s="286"/>
      <c r="DS793" s="277"/>
      <c r="IN793" s="277"/>
      <c r="IO793" s="277"/>
    </row>
    <row r="794" spans="61:249" ht="21.95" customHeight="1">
      <c r="BI794" s="286"/>
      <c r="BJ794" s="286"/>
      <c r="DS794" s="277"/>
      <c r="IN794" s="277"/>
      <c r="IO794" s="277"/>
    </row>
    <row r="795" spans="61:249" ht="21.95" customHeight="1">
      <c r="BI795" s="286"/>
      <c r="BJ795" s="286"/>
      <c r="DS795" s="277"/>
      <c r="IN795" s="277"/>
      <c r="IO795" s="277"/>
    </row>
    <row r="796" spans="61:249" ht="21.95" customHeight="1">
      <c r="BI796" s="286"/>
      <c r="BJ796" s="286"/>
      <c r="DS796" s="277"/>
      <c r="IN796" s="277"/>
      <c r="IO796" s="277"/>
    </row>
    <row r="797" spans="61:249" ht="21.95" customHeight="1">
      <c r="BI797" s="286"/>
      <c r="BJ797" s="286"/>
      <c r="DS797" s="277"/>
      <c r="IN797" s="277"/>
      <c r="IO797" s="277"/>
    </row>
    <row r="798" spans="61:249" ht="21.95" customHeight="1">
      <c r="BI798" s="286"/>
      <c r="BJ798" s="286"/>
      <c r="DS798" s="277"/>
      <c r="IN798" s="277"/>
      <c r="IO798" s="277"/>
    </row>
    <row r="799" spans="61:249" ht="21.95" customHeight="1">
      <c r="BI799" s="286"/>
      <c r="BJ799" s="286"/>
      <c r="DS799" s="277"/>
      <c r="IN799" s="277"/>
      <c r="IO799" s="277"/>
    </row>
    <row r="800" spans="61:249" ht="21.95" customHeight="1">
      <c r="BI800" s="286"/>
      <c r="BJ800" s="286"/>
      <c r="DS800" s="277"/>
      <c r="IN800" s="277"/>
      <c r="IO800" s="277"/>
    </row>
    <row r="801" spans="61:249" ht="21.95" customHeight="1">
      <c r="BI801" s="286"/>
      <c r="BJ801" s="286"/>
      <c r="DS801" s="277"/>
      <c r="IN801" s="277"/>
      <c r="IO801" s="277"/>
    </row>
    <row r="802" spans="61:249" ht="21.95" customHeight="1">
      <c r="BI802" s="286"/>
      <c r="BJ802" s="286"/>
      <c r="DS802" s="277"/>
      <c r="IN802" s="277"/>
      <c r="IO802" s="277"/>
    </row>
    <row r="803" spans="61:249" ht="21.95" customHeight="1">
      <c r="BI803" s="286"/>
      <c r="BJ803" s="286"/>
      <c r="DS803" s="277"/>
      <c r="IN803" s="277"/>
      <c r="IO803" s="277"/>
    </row>
    <row r="804" spans="61:249" ht="21.95" customHeight="1">
      <c r="BI804" s="286"/>
      <c r="BJ804" s="286"/>
      <c r="DS804" s="277"/>
      <c r="IN804" s="277"/>
      <c r="IO804" s="277"/>
    </row>
    <row r="805" spans="61:249" ht="21.95" customHeight="1">
      <c r="BI805" s="286"/>
      <c r="BJ805" s="286"/>
      <c r="DS805" s="277"/>
      <c r="IN805" s="277"/>
      <c r="IO805" s="277"/>
    </row>
    <row r="806" spans="61:249" ht="21.95" customHeight="1">
      <c r="BI806" s="286"/>
      <c r="BJ806" s="286"/>
      <c r="DS806" s="277"/>
      <c r="IN806" s="277"/>
      <c r="IO806" s="277"/>
    </row>
    <row r="807" spans="61:249" ht="21.95" customHeight="1">
      <c r="BI807" s="286"/>
      <c r="BJ807" s="286"/>
      <c r="DS807" s="277"/>
      <c r="IN807" s="277"/>
      <c r="IO807" s="277"/>
    </row>
    <row r="808" spans="61:249" ht="21.95" customHeight="1">
      <c r="BI808" s="286"/>
      <c r="BJ808" s="286"/>
      <c r="DS808" s="277"/>
      <c r="IN808" s="277"/>
      <c r="IO808" s="277"/>
    </row>
    <row r="809" spans="61:249" ht="21.95" customHeight="1">
      <c r="BI809" s="286"/>
      <c r="BJ809" s="286"/>
      <c r="DS809" s="277"/>
      <c r="IN809" s="277"/>
      <c r="IO809" s="277"/>
    </row>
    <row r="810" spans="61:249" ht="21.95" customHeight="1">
      <c r="BI810" s="286"/>
      <c r="BJ810" s="286"/>
      <c r="DS810" s="277"/>
      <c r="IN810" s="277"/>
      <c r="IO810" s="277"/>
    </row>
    <row r="811" spans="61:249" ht="21.95" customHeight="1">
      <c r="BI811" s="286"/>
      <c r="BJ811" s="286"/>
      <c r="DS811" s="277"/>
      <c r="IN811" s="277"/>
      <c r="IO811" s="277"/>
    </row>
    <row r="812" spans="61:249" ht="21.95" customHeight="1">
      <c r="BI812" s="286"/>
      <c r="BJ812" s="286"/>
      <c r="DS812" s="277"/>
      <c r="IN812" s="277"/>
      <c r="IO812" s="277"/>
    </row>
    <row r="813" spans="61:249" ht="21.95" customHeight="1">
      <c r="BI813" s="286"/>
      <c r="BJ813" s="286"/>
      <c r="DS813" s="277"/>
      <c r="IN813" s="277"/>
      <c r="IO813" s="277"/>
    </row>
    <row r="814" spans="61:249" ht="21.95" customHeight="1">
      <c r="BI814" s="286"/>
      <c r="BJ814" s="286"/>
      <c r="DS814" s="277"/>
      <c r="IN814" s="277"/>
      <c r="IO814" s="277"/>
    </row>
    <row r="815" spans="61:249" ht="21.95" customHeight="1">
      <c r="BI815" s="286"/>
      <c r="BJ815" s="286"/>
      <c r="DS815" s="277"/>
      <c r="IN815" s="277"/>
      <c r="IO815" s="277"/>
    </row>
    <row r="816" spans="61:249" ht="21.95" customHeight="1">
      <c r="BI816" s="286"/>
      <c r="BJ816" s="286"/>
      <c r="DS816" s="277"/>
      <c r="IN816" s="277"/>
      <c r="IO816" s="277"/>
    </row>
    <row r="817" spans="61:249" ht="21.95" customHeight="1">
      <c r="BI817" s="286"/>
      <c r="BJ817" s="286"/>
      <c r="DS817" s="277"/>
      <c r="IN817" s="277"/>
      <c r="IO817" s="277"/>
    </row>
    <row r="818" spans="61:249" ht="21.95" customHeight="1">
      <c r="BI818" s="286"/>
      <c r="BJ818" s="286"/>
      <c r="DS818" s="277"/>
      <c r="IN818" s="277"/>
      <c r="IO818" s="277"/>
    </row>
    <row r="819" spans="61:249" ht="21.95" customHeight="1">
      <c r="BI819" s="286"/>
      <c r="BJ819" s="286"/>
      <c r="DS819" s="277"/>
      <c r="IN819" s="277"/>
      <c r="IO819" s="277"/>
    </row>
    <row r="820" spans="61:249" ht="21.95" customHeight="1">
      <c r="BI820" s="286"/>
      <c r="BJ820" s="286"/>
      <c r="DS820" s="277"/>
      <c r="IN820" s="277"/>
      <c r="IO820" s="277"/>
    </row>
    <row r="821" spans="61:249" ht="21.95" customHeight="1">
      <c r="BI821" s="286"/>
      <c r="BJ821" s="286"/>
      <c r="DS821" s="277"/>
      <c r="IN821" s="277"/>
      <c r="IO821" s="277"/>
    </row>
    <row r="822" spans="61:249" ht="21.95" customHeight="1">
      <c r="BI822" s="286"/>
      <c r="BJ822" s="286"/>
      <c r="DS822" s="277"/>
      <c r="IN822" s="277"/>
      <c r="IO822" s="277"/>
    </row>
    <row r="823" spans="61:249" ht="21.95" customHeight="1">
      <c r="BI823" s="286"/>
      <c r="BJ823" s="286"/>
      <c r="DS823" s="277"/>
      <c r="IN823" s="277"/>
      <c r="IO823" s="277"/>
    </row>
    <row r="824" spans="61:249" ht="21.95" customHeight="1">
      <c r="BI824" s="286"/>
      <c r="BJ824" s="286"/>
      <c r="DS824" s="277"/>
      <c r="IN824" s="277"/>
      <c r="IO824" s="277"/>
    </row>
    <row r="825" spans="61:249" ht="21.95" customHeight="1">
      <c r="BI825" s="286"/>
      <c r="BJ825" s="286"/>
      <c r="DS825" s="277"/>
      <c r="IN825" s="277"/>
      <c r="IO825" s="277"/>
    </row>
    <row r="826" spans="61:249" ht="21.95" customHeight="1">
      <c r="BI826" s="286"/>
      <c r="BJ826" s="286"/>
      <c r="DS826" s="277"/>
      <c r="IN826" s="277"/>
      <c r="IO826" s="277"/>
    </row>
    <row r="827" spans="61:249" ht="21.95" customHeight="1">
      <c r="BI827" s="286"/>
      <c r="BJ827" s="286"/>
      <c r="DS827" s="277"/>
      <c r="IN827" s="277"/>
      <c r="IO827" s="277"/>
    </row>
    <row r="828" spans="61:249" ht="21.95" customHeight="1">
      <c r="BI828" s="286"/>
      <c r="BJ828" s="286"/>
      <c r="DS828" s="277"/>
      <c r="IN828" s="277"/>
      <c r="IO828" s="277"/>
    </row>
    <row r="829" spans="61:249" ht="21.95" customHeight="1">
      <c r="BI829" s="286"/>
      <c r="BJ829" s="286"/>
      <c r="DS829" s="277"/>
      <c r="IN829" s="277"/>
      <c r="IO829" s="277"/>
    </row>
    <row r="830" spans="61:249" ht="21.95" customHeight="1">
      <c r="BI830" s="286"/>
      <c r="BJ830" s="286"/>
      <c r="DS830" s="277"/>
      <c r="IN830" s="277"/>
      <c r="IO830" s="277"/>
    </row>
    <row r="831" spans="61:249" ht="21.95" customHeight="1">
      <c r="BI831" s="286"/>
      <c r="BJ831" s="286"/>
      <c r="DS831" s="277"/>
      <c r="IN831" s="277"/>
      <c r="IO831" s="277"/>
    </row>
    <row r="832" spans="61:249" ht="21.95" customHeight="1">
      <c r="BI832" s="286"/>
      <c r="BJ832" s="286"/>
      <c r="DS832" s="277"/>
      <c r="IN832" s="277"/>
      <c r="IO832" s="277"/>
    </row>
    <row r="833" spans="61:249" ht="21.95" customHeight="1">
      <c r="BI833" s="286"/>
      <c r="BJ833" s="286"/>
      <c r="DS833" s="277"/>
      <c r="IN833" s="277"/>
      <c r="IO833" s="277"/>
    </row>
    <row r="834" spans="61:249" ht="21.95" customHeight="1">
      <c r="BI834" s="286"/>
      <c r="BJ834" s="286"/>
      <c r="DS834" s="277"/>
      <c r="IN834" s="277"/>
      <c r="IO834" s="277"/>
    </row>
    <row r="835" spans="61:249" ht="21.95" customHeight="1">
      <c r="BI835" s="286"/>
      <c r="BJ835" s="286"/>
      <c r="DS835" s="277"/>
      <c r="IN835" s="277"/>
      <c r="IO835" s="277"/>
    </row>
    <row r="836" spans="61:249" ht="21.95" customHeight="1">
      <c r="BI836" s="286"/>
      <c r="BJ836" s="286"/>
      <c r="DS836" s="277"/>
      <c r="IN836" s="277"/>
      <c r="IO836" s="277"/>
    </row>
    <row r="837" spans="61:249" ht="21.95" customHeight="1">
      <c r="BI837" s="286"/>
      <c r="BJ837" s="286"/>
      <c r="DS837" s="277"/>
      <c r="IN837" s="277"/>
      <c r="IO837" s="277"/>
    </row>
    <row r="838" spans="61:249" ht="21.95" customHeight="1">
      <c r="BI838" s="286"/>
      <c r="BJ838" s="286"/>
      <c r="DS838" s="277"/>
      <c r="IN838" s="277"/>
      <c r="IO838" s="277"/>
    </row>
    <row r="839" spans="61:249" ht="21.95" customHeight="1">
      <c r="BI839" s="286"/>
      <c r="BJ839" s="286"/>
      <c r="DS839" s="277"/>
      <c r="IN839" s="277"/>
      <c r="IO839" s="277"/>
    </row>
    <row r="840" spans="61:249" ht="21.95" customHeight="1">
      <c r="BI840" s="286"/>
      <c r="BJ840" s="286"/>
      <c r="DS840" s="277"/>
      <c r="IN840" s="277"/>
      <c r="IO840" s="277"/>
    </row>
    <row r="841" spans="61:249" ht="21.95" customHeight="1">
      <c r="BI841" s="286"/>
      <c r="BJ841" s="286"/>
      <c r="DS841" s="277"/>
      <c r="IN841" s="277"/>
      <c r="IO841" s="277"/>
    </row>
    <row r="842" spans="61:249" ht="21.95" customHeight="1">
      <c r="BI842" s="286"/>
      <c r="BJ842" s="286"/>
      <c r="DS842" s="277"/>
      <c r="IN842" s="277"/>
      <c r="IO842" s="277"/>
    </row>
    <row r="843" spans="61:249" ht="21.95" customHeight="1">
      <c r="BI843" s="286"/>
      <c r="BJ843" s="286"/>
      <c r="DS843" s="277"/>
      <c r="IN843" s="277"/>
      <c r="IO843" s="277"/>
    </row>
    <row r="844" spans="61:249" ht="21.95" customHeight="1">
      <c r="BI844" s="286"/>
      <c r="BJ844" s="286"/>
      <c r="DS844" s="277"/>
      <c r="IN844" s="277"/>
      <c r="IO844" s="277"/>
    </row>
    <row r="845" spans="61:249" ht="21.95" customHeight="1">
      <c r="BI845" s="286"/>
      <c r="BJ845" s="286"/>
      <c r="DS845" s="277"/>
      <c r="IN845" s="277"/>
      <c r="IO845" s="277"/>
    </row>
    <row r="846" spans="61:249" ht="21.95" customHeight="1">
      <c r="BI846" s="286"/>
      <c r="BJ846" s="286"/>
      <c r="DS846" s="277"/>
      <c r="IN846" s="277"/>
      <c r="IO846" s="277"/>
    </row>
    <row r="847" spans="61:249" ht="21.95" customHeight="1">
      <c r="BI847" s="286"/>
      <c r="BJ847" s="286"/>
      <c r="DS847" s="277"/>
      <c r="IN847" s="277"/>
      <c r="IO847" s="277"/>
    </row>
    <row r="848" spans="61:249" ht="21.95" customHeight="1">
      <c r="BI848" s="286"/>
      <c r="BJ848" s="286"/>
      <c r="DS848" s="277"/>
      <c r="IN848" s="277"/>
      <c r="IO848" s="277"/>
    </row>
    <row r="849" spans="61:249" ht="21.95" customHeight="1">
      <c r="BI849" s="286"/>
      <c r="BJ849" s="286"/>
      <c r="DS849" s="277"/>
      <c r="IN849" s="277"/>
      <c r="IO849" s="277"/>
    </row>
    <row r="850" spans="61:249" ht="21.95" customHeight="1">
      <c r="BI850" s="286"/>
      <c r="BJ850" s="286"/>
      <c r="DS850" s="277"/>
      <c r="IN850" s="277"/>
      <c r="IO850" s="277"/>
    </row>
    <row r="851" spans="61:249" ht="21.95" customHeight="1">
      <c r="BI851" s="286"/>
      <c r="BJ851" s="286"/>
      <c r="DS851" s="277"/>
      <c r="IN851" s="277"/>
      <c r="IO851" s="277"/>
    </row>
    <row r="852" spans="61:249" ht="21.95" customHeight="1">
      <c r="BI852" s="286"/>
      <c r="BJ852" s="286"/>
      <c r="DS852" s="277"/>
      <c r="IN852" s="277"/>
      <c r="IO852" s="277"/>
    </row>
    <row r="853" spans="61:249" ht="21.95" customHeight="1">
      <c r="BI853" s="286"/>
      <c r="BJ853" s="286"/>
      <c r="DS853" s="277"/>
      <c r="IN853" s="277"/>
      <c r="IO853" s="277"/>
    </row>
    <row r="854" spans="61:249" ht="21.95" customHeight="1">
      <c r="BI854" s="286"/>
      <c r="BJ854" s="286"/>
      <c r="DS854" s="277"/>
      <c r="IN854" s="277"/>
      <c r="IO854" s="277"/>
    </row>
    <row r="855" spans="61:249" ht="21.95" customHeight="1">
      <c r="BI855" s="286"/>
      <c r="BJ855" s="286"/>
      <c r="DS855" s="277"/>
      <c r="IN855" s="277"/>
      <c r="IO855" s="277"/>
    </row>
    <row r="856" spans="61:249" ht="21.95" customHeight="1">
      <c r="BI856" s="286"/>
      <c r="BJ856" s="286"/>
      <c r="DS856" s="277"/>
      <c r="IN856" s="277"/>
      <c r="IO856" s="277"/>
    </row>
    <row r="857" spans="61:249" ht="21.95" customHeight="1">
      <c r="BI857" s="286"/>
      <c r="BJ857" s="286"/>
      <c r="DS857" s="277"/>
      <c r="IN857" s="277"/>
      <c r="IO857" s="277"/>
    </row>
    <row r="858" spans="61:249" ht="21.95" customHeight="1">
      <c r="BI858" s="286"/>
      <c r="BJ858" s="286"/>
      <c r="DS858" s="277"/>
      <c r="IN858" s="277"/>
      <c r="IO858" s="277"/>
    </row>
    <row r="859" spans="61:249" ht="21.95" customHeight="1">
      <c r="BI859" s="286"/>
      <c r="BJ859" s="286"/>
      <c r="DS859" s="277"/>
      <c r="IN859" s="277"/>
      <c r="IO859" s="277"/>
    </row>
    <row r="860" spans="61:249" ht="21.95" customHeight="1">
      <c r="BI860" s="286"/>
      <c r="BJ860" s="286"/>
      <c r="DS860" s="277"/>
      <c r="IN860" s="277"/>
      <c r="IO860" s="277"/>
    </row>
    <row r="861" spans="61:249" ht="21.95" customHeight="1">
      <c r="BI861" s="286"/>
      <c r="BJ861" s="286"/>
      <c r="DS861" s="277"/>
      <c r="IN861" s="277"/>
      <c r="IO861" s="277"/>
    </row>
    <row r="862" spans="61:249" ht="21.95" customHeight="1">
      <c r="BI862" s="286"/>
      <c r="BJ862" s="286"/>
      <c r="DS862" s="277"/>
      <c r="IN862" s="277"/>
      <c r="IO862" s="277"/>
    </row>
    <row r="863" spans="61:249" ht="21.95" customHeight="1">
      <c r="BI863" s="286"/>
      <c r="BJ863" s="286"/>
      <c r="DS863" s="277"/>
      <c r="IN863" s="277"/>
      <c r="IO863" s="277"/>
    </row>
    <row r="864" spans="61:249" ht="21.95" customHeight="1">
      <c r="BI864" s="286"/>
      <c r="BJ864" s="286"/>
      <c r="DS864" s="277"/>
      <c r="IN864" s="277"/>
      <c r="IO864" s="277"/>
    </row>
    <row r="865" spans="61:249" ht="21.95" customHeight="1">
      <c r="BI865" s="286"/>
      <c r="BJ865" s="286"/>
      <c r="DS865" s="277"/>
      <c r="IN865" s="277"/>
      <c r="IO865" s="277"/>
    </row>
    <row r="866" spans="61:249" ht="21.95" customHeight="1">
      <c r="BI866" s="286"/>
      <c r="BJ866" s="286"/>
      <c r="DS866" s="277"/>
      <c r="IN866" s="277"/>
      <c r="IO866" s="277"/>
    </row>
    <row r="867" spans="61:249" ht="21.95" customHeight="1">
      <c r="BI867" s="286"/>
      <c r="BJ867" s="286"/>
      <c r="DS867" s="277"/>
      <c r="IN867" s="277"/>
      <c r="IO867" s="277"/>
    </row>
    <row r="868" spans="61:249" ht="21.95" customHeight="1">
      <c r="BI868" s="286"/>
      <c r="BJ868" s="286"/>
      <c r="DS868" s="277"/>
      <c r="IN868" s="277"/>
      <c r="IO868" s="277"/>
    </row>
    <row r="869" spans="61:249" ht="21.95" customHeight="1">
      <c r="BI869" s="286"/>
      <c r="BJ869" s="286"/>
      <c r="DS869" s="277"/>
      <c r="IN869" s="277"/>
      <c r="IO869" s="277"/>
    </row>
    <row r="870" spans="61:249" ht="21.95" customHeight="1">
      <c r="BI870" s="286"/>
      <c r="BJ870" s="286"/>
      <c r="DS870" s="277"/>
      <c r="IN870" s="277"/>
      <c r="IO870" s="277"/>
    </row>
    <row r="871" spans="61:249" ht="21.95" customHeight="1">
      <c r="BI871" s="286"/>
      <c r="BJ871" s="286"/>
      <c r="DS871" s="277"/>
      <c r="IN871" s="277"/>
      <c r="IO871" s="277"/>
    </row>
    <row r="872" spans="61:249" ht="21.95" customHeight="1">
      <c r="BI872" s="286"/>
      <c r="BJ872" s="286"/>
      <c r="DS872" s="277"/>
      <c r="IN872" s="277"/>
      <c r="IO872" s="277"/>
    </row>
    <row r="873" spans="61:249" ht="21.95" customHeight="1">
      <c r="BI873" s="286"/>
      <c r="BJ873" s="286"/>
      <c r="DS873" s="277"/>
      <c r="IN873" s="277"/>
      <c r="IO873" s="277"/>
    </row>
    <row r="874" spans="61:249" ht="21.95" customHeight="1">
      <c r="BI874" s="286"/>
      <c r="BJ874" s="286"/>
      <c r="DS874" s="277"/>
      <c r="IN874" s="277"/>
      <c r="IO874" s="277"/>
    </row>
    <row r="875" spans="61:249" ht="21.95" customHeight="1">
      <c r="BI875" s="286"/>
      <c r="BJ875" s="286"/>
      <c r="DS875" s="277"/>
      <c r="IN875" s="277"/>
      <c r="IO875" s="277"/>
    </row>
    <row r="876" spans="61:249" ht="21.95" customHeight="1">
      <c r="BI876" s="286"/>
      <c r="BJ876" s="286"/>
      <c r="DS876" s="277"/>
      <c r="IN876" s="277"/>
      <c r="IO876" s="277"/>
    </row>
    <row r="877" spans="61:249" ht="21.95" customHeight="1">
      <c r="BI877" s="286"/>
      <c r="BJ877" s="286"/>
      <c r="DS877" s="277"/>
      <c r="IN877" s="277"/>
      <c r="IO877" s="277"/>
    </row>
    <row r="878" spans="61:249" ht="21.95" customHeight="1">
      <c r="BI878" s="286"/>
      <c r="BJ878" s="286"/>
      <c r="DS878" s="277"/>
      <c r="IN878" s="277"/>
      <c r="IO878" s="277"/>
    </row>
    <row r="879" spans="61:249" ht="21.95" customHeight="1">
      <c r="BI879" s="286"/>
      <c r="BJ879" s="286"/>
      <c r="DS879" s="277"/>
      <c r="IN879" s="277"/>
      <c r="IO879" s="277"/>
    </row>
    <row r="880" spans="61:249" ht="21.95" customHeight="1">
      <c r="BI880" s="286"/>
      <c r="BJ880" s="286"/>
      <c r="DS880" s="277"/>
      <c r="IN880" s="277"/>
      <c r="IO880" s="277"/>
    </row>
    <row r="881" spans="61:249" ht="21.95" customHeight="1">
      <c r="BI881" s="286"/>
      <c r="BJ881" s="286"/>
      <c r="DS881" s="277"/>
      <c r="IN881" s="277"/>
      <c r="IO881" s="277"/>
    </row>
    <row r="882" spans="61:249" ht="21.95" customHeight="1">
      <c r="BI882" s="286"/>
      <c r="BJ882" s="286"/>
      <c r="DS882" s="277"/>
      <c r="IN882" s="277"/>
      <c r="IO882" s="277"/>
    </row>
    <row r="883" spans="61:249" ht="21.95" customHeight="1">
      <c r="BI883" s="286"/>
      <c r="BJ883" s="286"/>
      <c r="DS883" s="277"/>
      <c r="IN883" s="277"/>
      <c r="IO883" s="277"/>
    </row>
    <row r="884" spans="61:249" ht="21.95" customHeight="1">
      <c r="BI884" s="286"/>
      <c r="BJ884" s="286"/>
      <c r="DS884" s="277"/>
      <c r="IN884" s="277"/>
      <c r="IO884" s="277"/>
    </row>
    <row r="885" spans="61:249" ht="21.95" customHeight="1">
      <c r="BI885" s="286"/>
      <c r="BJ885" s="286"/>
      <c r="DS885" s="277"/>
      <c r="IN885" s="277"/>
      <c r="IO885" s="277"/>
    </row>
    <row r="886" spans="61:249" ht="21.95" customHeight="1">
      <c r="BI886" s="286"/>
      <c r="BJ886" s="286"/>
      <c r="DS886" s="277"/>
      <c r="IN886" s="277"/>
      <c r="IO886" s="277"/>
    </row>
    <row r="887" spans="61:249" ht="21.95" customHeight="1">
      <c r="BI887" s="286"/>
      <c r="BJ887" s="286"/>
      <c r="DS887" s="277"/>
      <c r="IN887" s="277"/>
      <c r="IO887" s="277"/>
    </row>
    <row r="888" spans="61:249" ht="21.95" customHeight="1">
      <c r="BI888" s="286"/>
      <c r="BJ888" s="286"/>
      <c r="DS888" s="277"/>
      <c r="IN888" s="277"/>
      <c r="IO888" s="277"/>
    </row>
    <row r="889" spans="61:249" ht="21.95" customHeight="1">
      <c r="BI889" s="286"/>
      <c r="BJ889" s="286"/>
      <c r="DS889" s="277"/>
      <c r="IN889" s="277"/>
      <c r="IO889" s="277"/>
    </row>
    <row r="890" spans="61:249" ht="21.95" customHeight="1">
      <c r="BI890" s="286"/>
      <c r="BJ890" s="286"/>
      <c r="DS890" s="277"/>
      <c r="IN890" s="277"/>
      <c r="IO890" s="277"/>
    </row>
    <row r="891" spans="61:249" ht="21.95" customHeight="1">
      <c r="BI891" s="286"/>
      <c r="BJ891" s="286"/>
      <c r="DS891" s="277"/>
      <c r="IN891" s="277"/>
      <c r="IO891" s="277"/>
    </row>
    <row r="892" spans="61:249" ht="21.95" customHeight="1">
      <c r="BI892" s="286"/>
      <c r="BJ892" s="286"/>
      <c r="DS892" s="277"/>
      <c r="IN892" s="277"/>
      <c r="IO892" s="277"/>
    </row>
    <row r="893" spans="61:249" ht="21.95" customHeight="1">
      <c r="BI893" s="286"/>
      <c r="BJ893" s="286"/>
      <c r="DS893" s="277"/>
      <c r="IN893" s="277"/>
      <c r="IO893" s="277"/>
    </row>
    <row r="894" spans="61:249" ht="21.95" customHeight="1">
      <c r="BI894" s="286"/>
      <c r="BJ894" s="286"/>
      <c r="DS894" s="277"/>
      <c r="IN894" s="277"/>
      <c r="IO894" s="277"/>
    </row>
    <row r="895" spans="61:249" ht="21.95" customHeight="1">
      <c r="BI895" s="286"/>
      <c r="BJ895" s="286"/>
      <c r="DS895" s="277"/>
      <c r="IN895" s="277"/>
      <c r="IO895" s="277"/>
    </row>
    <row r="896" spans="61:249" ht="21.95" customHeight="1">
      <c r="BI896" s="286"/>
      <c r="BJ896" s="286"/>
      <c r="DS896" s="277"/>
      <c r="IN896" s="277"/>
      <c r="IO896" s="277"/>
    </row>
    <row r="897" spans="61:249" ht="21.95" customHeight="1">
      <c r="BI897" s="286"/>
      <c r="BJ897" s="286"/>
      <c r="DS897" s="277"/>
      <c r="IN897" s="277"/>
      <c r="IO897" s="277"/>
    </row>
    <row r="898" spans="61:249" ht="21.95" customHeight="1">
      <c r="BI898" s="286"/>
      <c r="BJ898" s="286"/>
      <c r="DS898" s="277"/>
      <c r="IN898" s="277"/>
      <c r="IO898" s="277"/>
    </row>
    <row r="899" spans="61:249" ht="21.95" customHeight="1">
      <c r="BI899" s="286"/>
      <c r="BJ899" s="286"/>
      <c r="DS899" s="277"/>
      <c r="IN899" s="277"/>
      <c r="IO899" s="277"/>
    </row>
    <row r="900" spans="61:249" ht="21.95" customHeight="1">
      <c r="BI900" s="286"/>
      <c r="BJ900" s="286"/>
      <c r="DS900" s="277"/>
      <c r="IN900" s="277"/>
      <c r="IO900" s="277"/>
    </row>
    <row r="901" spans="61:249" ht="21.95" customHeight="1">
      <c r="BI901" s="286"/>
      <c r="BJ901" s="286"/>
      <c r="DS901" s="277"/>
      <c r="IN901" s="277"/>
      <c r="IO901" s="277"/>
    </row>
    <row r="902" spans="61:249" ht="21.95" customHeight="1">
      <c r="BI902" s="286"/>
      <c r="BJ902" s="286"/>
      <c r="DS902" s="277"/>
      <c r="IN902" s="277"/>
      <c r="IO902" s="277"/>
    </row>
    <row r="903" spans="61:249" ht="21.95" customHeight="1">
      <c r="BI903" s="286"/>
      <c r="BJ903" s="286"/>
      <c r="DS903" s="277"/>
      <c r="IN903" s="277"/>
      <c r="IO903" s="277"/>
    </row>
    <row r="904" spans="61:249" ht="21.95" customHeight="1">
      <c r="BI904" s="286"/>
      <c r="BJ904" s="286"/>
      <c r="DS904" s="277"/>
      <c r="IN904" s="277"/>
      <c r="IO904" s="277"/>
    </row>
    <row r="905" spans="61:249" ht="21.95" customHeight="1">
      <c r="BI905" s="286"/>
      <c r="BJ905" s="286"/>
      <c r="DS905" s="277"/>
      <c r="IN905" s="277"/>
      <c r="IO905" s="277"/>
    </row>
    <row r="906" spans="61:249" ht="21.95" customHeight="1">
      <c r="BI906" s="286"/>
      <c r="BJ906" s="286"/>
      <c r="DS906" s="277"/>
      <c r="IN906" s="277"/>
      <c r="IO906" s="277"/>
    </row>
    <row r="907" spans="61:249" ht="21.95" customHeight="1">
      <c r="BI907" s="286"/>
      <c r="BJ907" s="286"/>
      <c r="DS907" s="277"/>
      <c r="IN907" s="277"/>
      <c r="IO907" s="277"/>
    </row>
    <row r="908" spans="61:249" ht="21.95" customHeight="1">
      <c r="BI908" s="286"/>
      <c r="BJ908" s="286"/>
      <c r="DS908" s="277"/>
      <c r="IN908" s="277"/>
      <c r="IO908" s="277"/>
    </row>
    <row r="909" spans="61:249" ht="21.95" customHeight="1">
      <c r="BI909" s="286"/>
      <c r="BJ909" s="286"/>
      <c r="DS909" s="277"/>
      <c r="IN909" s="277"/>
      <c r="IO909" s="277"/>
    </row>
    <row r="910" spans="61:249" ht="21.95" customHeight="1">
      <c r="BI910" s="286"/>
      <c r="BJ910" s="286"/>
    </row>
    <row r="911" spans="61:249" ht="21.95" customHeight="1">
      <c r="BI911" s="286"/>
      <c r="BJ911" s="286"/>
    </row>
    <row r="912" spans="61:249" ht="21.95" customHeight="1">
      <c r="BI912" s="286"/>
      <c r="BJ912" s="286"/>
    </row>
    <row r="913" spans="61:62" ht="21.95" customHeight="1">
      <c r="BI913" s="286"/>
      <c r="BJ913" s="286"/>
    </row>
    <row r="914" spans="61:62" ht="21.95" customHeight="1">
      <c r="BI914" s="286"/>
      <c r="BJ914" s="286"/>
    </row>
    <row r="915" spans="61:62" ht="21.95" customHeight="1">
      <c r="BI915" s="286"/>
      <c r="BJ915" s="286"/>
    </row>
    <row r="916" spans="61:62" ht="21.95" customHeight="1">
      <c r="BI916" s="286"/>
      <c r="BJ916" s="286"/>
    </row>
    <row r="917" spans="61:62" ht="21.95" customHeight="1">
      <c r="BI917" s="286"/>
      <c r="BJ917" s="286"/>
    </row>
    <row r="918" spans="61:62" ht="21.95" customHeight="1">
      <c r="BI918" s="286"/>
      <c r="BJ918" s="286"/>
    </row>
    <row r="919" spans="61:62" ht="21.95" customHeight="1">
      <c r="BI919" s="286"/>
      <c r="BJ919" s="286"/>
    </row>
    <row r="920" spans="61:62" ht="21.95" customHeight="1">
      <c r="BI920" s="286"/>
      <c r="BJ920" s="286"/>
    </row>
    <row r="921" spans="61:62" ht="21.95" customHeight="1">
      <c r="BI921" s="286"/>
      <c r="BJ921" s="286"/>
    </row>
    <row r="922" spans="61:62" ht="21.95" customHeight="1">
      <c r="BI922" s="286"/>
      <c r="BJ922" s="286"/>
    </row>
    <row r="923" spans="61:62" ht="21.95" customHeight="1">
      <c r="BI923" s="286"/>
      <c r="BJ923" s="286"/>
    </row>
    <row r="924" spans="61:62" ht="21.95" customHeight="1">
      <c r="BI924" s="286"/>
      <c r="BJ924" s="286"/>
    </row>
    <row r="925" spans="61:62" ht="21.95" customHeight="1">
      <c r="BI925" s="286"/>
      <c r="BJ925" s="286"/>
    </row>
    <row r="926" spans="61:62" ht="21.95" customHeight="1">
      <c r="BI926" s="286"/>
      <c r="BJ926" s="286"/>
    </row>
    <row r="927" spans="61:62" ht="21.95" customHeight="1">
      <c r="BI927" s="286"/>
      <c r="BJ927" s="286"/>
    </row>
    <row r="928" spans="61:62" ht="21.95" customHeight="1">
      <c r="BI928" s="286"/>
      <c r="BJ928" s="286"/>
    </row>
    <row r="929" spans="61:62" ht="21.95" customHeight="1">
      <c r="BI929" s="286"/>
      <c r="BJ929" s="286"/>
    </row>
    <row r="930" spans="61:62" ht="21.95" customHeight="1">
      <c r="BI930" s="286"/>
      <c r="BJ930" s="286"/>
    </row>
    <row r="931" spans="61:62" ht="21.95" customHeight="1">
      <c r="BI931" s="286"/>
      <c r="BJ931" s="286"/>
    </row>
    <row r="932" spans="61:62" ht="21.95" customHeight="1">
      <c r="BI932" s="286"/>
      <c r="BJ932" s="286"/>
    </row>
    <row r="933" spans="61:62" ht="21.95" customHeight="1">
      <c r="BI933" s="286"/>
      <c r="BJ933" s="286"/>
    </row>
    <row r="934" spans="61:62" ht="21.95" customHeight="1">
      <c r="BI934" s="286"/>
      <c r="BJ934" s="286"/>
    </row>
    <row r="935" spans="61:62" ht="21.95" customHeight="1">
      <c r="BI935" s="286"/>
      <c r="BJ935" s="286"/>
    </row>
    <row r="936" spans="61:62" ht="21.95" customHeight="1">
      <c r="BI936" s="286"/>
      <c r="BJ936" s="286"/>
    </row>
    <row r="937" spans="61:62" ht="21.95" customHeight="1">
      <c r="BI937" s="286"/>
      <c r="BJ937" s="286"/>
    </row>
    <row r="938" spans="61:62" ht="21.95" customHeight="1">
      <c r="BI938" s="286"/>
      <c r="BJ938" s="286"/>
    </row>
    <row r="939" spans="61:62" ht="21.95" customHeight="1">
      <c r="BI939" s="286"/>
      <c r="BJ939" s="286"/>
    </row>
    <row r="940" spans="61:62" ht="21.95" customHeight="1">
      <c r="BI940" s="286"/>
      <c r="BJ940" s="286"/>
    </row>
    <row r="941" spans="61:62" ht="21.95" customHeight="1">
      <c r="BI941" s="286"/>
      <c r="BJ941" s="286"/>
    </row>
    <row r="942" spans="61:62" ht="21.95" customHeight="1">
      <c r="BI942" s="286"/>
      <c r="BJ942" s="286"/>
    </row>
    <row r="943" spans="61:62" ht="21.95" customHeight="1">
      <c r="BI943" s="286"/>
      <c r="BJ943" s="286"/>
    </row>
    <row r="944" spans="61:62" ht="21.95" customHeight="1">
      <c r="BI944" s="286"/>
      <c r="BJ944" s="286"/>
    </row>
    <row r="945" spans="61:62" ht="21.95" customHeight="1">
      <c r="BI945" s="286"/>
      <c r="BJ945" s="286"/>
    </row>
    <row r="946" spans="61:62" ht="21.95" customHeight="1">
      <c r="BI946" s="286"/>
      <c r="BJ946" s="286"/>
    </row>
    <row r="947" spans="61:62" ht="21.95" customHeight="1">
      <c r="BI947" s="286"/>
      <c r="BJ947" s="286"/>
    </row>
    <row r="948" spans="61:62" ht="21.95" customHeight="1">
      <c r="BI948" s="286"/>
      <c r="BJ948" s="286"/>
    </row>
    <row r="949" spans="61:62" ht="21.95" customHeight="1">
      <c r="BI949" s="286"/>
      <c r="BJ949" s="286"/>
    </row>
    <row r="950" spans="61:62" ht="21.95" customHeight="1">
      <c r="BI950" s="286"/>
      <c r="BJ950" s="286"/>
    </row>
    <row r="951" spans="61:62" ht="21.95" customHeight="1">
      <c r="BI951" s="286"/>
      <c r="BJ951" s="286"/>
    </row>
    <row r="952" spans="61:62" ht="21.95" customHeight="1">
      <c r="BI952" s="286"/>
      <c r="BJ952" s="286"/>
    </row>
    <row r="953" spans="61:62" ht="21.95" customHeight="1">
      <c r="BI953" s="286"/>
      <c r="BJ953" s="286"/>
    </row>
    <row r="954" spans="61:62" ht="21.95" customHeight="1">
      <c r="BI954" s="286"/>
      <c r="BJ954" s="286"/>
    </row>
    <row r="955" spans="61:62" ht="21.95" customHeight="1">
      <c r="BI955" s="286"/>
      <c r="BJ955" s="286"/>
    </row>
    <row r="956" spans="61:62" ht="21.95" customHeight="1">
      <c r="BI956" s="286"/>
      <c r="BJ956" s="286"/>
    </row>
    <row r="957" spans="61:62" ht="21.95" customHeight="1">
      <c r="BI957" s="286"/>
      <c r="BJ957" s="286"/>
    </row>
    <row r="958" spans="61:62" ht="21.95" customHeight="1">
      <c r="BI958" s="286"/>
      <c r="BJ958" s="286"/>
    </row>
    <row r="959" spans="61:62" ht="21.95" customHeight="1">
      <c r="BI959" s="286"/>
      <c r="BJ959" s="286"/>
    </row>
    <row r="960" spans="61:62" ht="21.95" customHeight="1">
      <c r="BI960" s="286"/>
      <c r="BJ960" s="286"/>
    </row>
    <row r="961" spans="61:62" ht="21.95" customHeight="1">
      <c r="BI961" s="286"/>
      <c r="BJ961" s="286"/>
    </row>
    <row r="962" spans="61:62" ht="21.95" customHeight="1">
      <c r="BI962" s="286"/>
      <c r="BJ962" s="286"/>
    </row>
    <row r="963" spans="61:62" ht="21.95" customHeight="1">
      <c r="BI963" s="286"/>
      <c r="BJ963" s="286"/>
    </row>
    <row r="964" spans="61:62" ht="21.95" customHeight="1">
      <c r="BI964" s="286"/>
      <c r="BJ964" s="286"/>
    </row>
    <row r="965" spans="61:62" ht="21.95" customHeight="1">
      <c r="BI965" s="286"/>
      <c r="BJ965" s="286"/>
    </row>
    <row r="966" spans="61:62" ht="21.95" customHeight="1">
      <c r="BI966" s="286"/>
      <c r="BJ966" s="286"/>
    </row>
    <row r="967" spans="61:62" ht="21.95" customHeight="1">
      <c r="BI967" s="286"/>
      <c r="BJ967" s="286"/>
    </row>
    <row r="968" spans="61:62" ht="21.95" customHeight="1">
      <c r="BI968" s="286"/>
      <c r="BJ968" s="286"/>
    </row>
    <row r="969" spans="61:62" ht="21.95" customHeight="1">
      <c r="BI969" s="286"/>
      <c r="BJ969" s="286"/>
    </row>
    <row r="970" spans="61:62" ht="21.95" customHeight="1">
      <c r="BI970" s="286"/>
      <c r="BJ970" s="286"/>
    </row>
    <row r="971" spans="61:62" ht="21.95" customHeight="1">
      <c r="BI971" s="286"/>
      <c r="BJ971" s="286"/>
    </row>
    <row r="972" spans="61:62" ht="21.95" customHeight="1">
      <c r="BI972" s="286"/>
      <c r="BJ972" s="286"/>
    </row>
    <row r="973" spans="61:62" ht="21.95" customHeight="1">
      <c r="BI973" s="286"/>
      <c r="BJ973" s="286"/>
    </row>
    <row r="974" spans="61:62" ht="21.95" customHeight="1">
      <c r="BI974" s="286"/>
      <c r="BJ974" s="286"/>
    </row>
    <row r="975" spans="61:62" ht="21.95" customHeight="1">
      <c r="BI975" s="286"/>
      <c r="BJ975" s="286"/>
    </row>
    <row r="976" spans="61:62" ht="21.95" customHeight="1">
      <c r="BI976" s="286"/>
      <c r="BJ976" s="286"/>
    </row>
    <row r="977" spans="61:62" ht="21.95" customHeight="1">
      <c r="BI977" s="286"/>
      <c r="BJ977" s="286"/>
    </row>
    <row r="978" spans="61:62" ht="21.95" customHeight="1">
      <c r="BI978" s="286"/>
      <c r="BJ978" s="286"/>
    </row>
    <row r="979" spans="61:62" ht="21.95" customHeight="1">
      <c r="BI979" s="286"/>
      <c r="BJ979" s="286"/>
    </row>
    <row r="980" spans="61:62" ht="21.95" customHeight="1">
      <c r="BI980" s="286"/>
      <c r="BJ980" s="286"/>
    </row>
    <row r="981" spans="61:62" ht="21.95" customHeight="1">
      <c r="BI981" s="286"/>
      <c r="BJ981" s="286"/>
    </row>
    <row r="982" spans="61:62" ht="21.95" customHeight="1">
      <c r="BI982" s="286"/>
      <c r="BJ982" s="286"/>
    </row>
    <row r="983" spans="61:62" ht="21.95" customHeight="1">
      <c r="BI983" s="286"/>
      <c r="BJ983" s="286"/>
    </row>
    <row r="984" spans="61:62" ht="21.95" customHeight="1">
      <c r="BI984" s="286"/>
      <c r="BJ984" s="286"/>
    </row>
    <row r="985" spans="61:62" ht="21.95" customHeight="1">
      <c r="BI985" s="286"/>
      <c r="BJ985" s="286"/>
    </row>
    <row r="986" spans="61:62" ht="21.95" customHeight="1">
      <c r="BI986" s="286"/>
      <c r="BJ986" s="286"/>
    </row>
    <row r="987" spans="61:62" ht="21.95" customHeight="1">
      <c r="BI987" s="286"/>
      <c r="BJ987" s="286"/>
    </row>
    <row r="988" spans="61:62" ht="21.95" customHeight="1">
      <c r="BI988" s="286"/>
      <c r="BJ988" s="286"/>
    </row>
    <row r="989" spans="61:62" ht="21.95" customHeight="1">
      <c r="BI989" s="286"/>
      <c r="BJ989" s="286"/>
    </row>
    <row r="990" spans="61:62" ht="21.95" customHeight="1">
      <c r="BI990" s="286"/>
      <c r="BJ990" s="286"/>
    </row>
    <row r="991" spans="61:62" ht="21.95" customHeight="1">
      <c r="BI991" s="286"/>
      <c r="BJ991" s="286"/>
    </row>
    <row r="992" spans="61:62" ht="21.95" customHeight="1">
      <c r="BI992" s="286"/>
      <c r="BJ992" s="286"/>
    </row>
    <row r="993" spans="61:62" ht="21.95" customHeight="1">
      <c r="BI993" s="286"/>
      <c r="BJ993" s="286"/>
    </row>
    <row r="994" spans="61:62" ht="21.95" customHeight="1">
      <c r="BI994" s="286"/>
      <c r="BJ994" s="286"/>
    </row>
    <row r="995" spans="61:62" ht="21.95" customHeight="1">
      <c r="BI995" s="286"/>
      <c r="BJ995" s="286"/>
    </row>
    <row r="996" spans="61:62" ht="21.95" customHeight="1">
      <c r="BI996" s="286"/>
      <c r="BJ996" s="286"/>
    </row>
    <row r="997" spans="61:62" ht="21.95" customHeight="1">
      <c r="BI997" s="286"/>
      <c r="BJ997" s="286"/>
    </row>
    <row r="998" spans="61:62" ht="21.95" customHeight="1">
      <c r="BI998" s="286"/>
      <c r="BJ998" s="286"/>
    </row>
    <row r="999" spans="61:62" ht="21.95" customHeight="1">
      <c r="BI999" s="286"/>
      <c r="BJ999" s="286"/>
    </row>
    <row r="1000" spans="61:62" ht="21.95" customHeight="1">
      <c r="BI1000" s="286"/>
      <c r="BJ1000" s="286"/>
    </row>
    <row r="1001" spans="61:62" ht="21.95" customHeight="1">
      <c r="BI1001" s="286"/>
      <c r="BJ1001" s="286"/>
    </row>
    <row r="1002" spans="61:62" ht="21.95" customHeight="1">
      <c r="BI1002" s="286"/>
      <c r="BJ1002" s="286"/>
    </row>
    <row r="1003" spans="61:62" ht="21.95" customHeight="1">
      <c r="BI1003" s="286"/>
      <c r="BJ1003" s="286"/>
    </row>
    <row r="1004" spans="61:62" ht="21.95" customHeight="1">
      <c r="BI1004" s="286"/>
      <c r="BJ1004" s="286"/>
    </row>
    <row r="1005" spans="61:62" ht="21.95" customHeight="1">
      <c r="BI1005" s="286"/>
      <c r="BJ1005" s="286"/>
    </row>
    <row r="1006" spans="61:62" ht="21.95" customHeight="1">
      <c r="BI1006" s="286"/>
      <c r="BJ1006" s="286"/>
    </row>
    <row r="1007" spans="61:62" ht="21.95" customHeight="1">
      <c r="BI1007" s="286"/>
      <c r="BJ1007" s="286"/>
    </row>
    <row r="1008" spans="61:62" ht="21.95" customHeight="1">
      <c r="BI1008" s="286"/>
      <c r="BJ1008" s="286"/>
    </row>
    <row r="1009" spans="61:62" ht="21.95" customHeight="1">
      <c r="BI1009" s="286"/>
      <c r="BJ1009" s="286"/>
    </row>
    <row r="1010" spans="61:62" ht="21.95" customHeight="1">
      <c r="BI1010" s="286"/>
      <c r="BJ1010" s="286"/>
    </row>
    <row r="1011" spans="61:62" ht="21.95" customHeight="1">
      <c r="BI1011" s="286"/>
      <c r="BJ1011" s="286"/>
    </row>
    <row r="1012" spans="61:62" ht="21.95" customHeight="1">
      <c r="BI1012" s="286"/>
      <c r="BJ1012" s="286"/>
    </row>
    <row r="1013" spans="61:62" ht="21.95" customHeight="1">
      <c r="BI1013" s="286"/>
      <c r="BJ1013" s="286"/>
    </row>
    <row r="1014" spans="61:62" ht="21.95" customHeight="1">
      <c r="BI1014" s="286"/>
      <c r="BJ1014" s="286"/>
    </row>
    <row r="1015" spans="61:62" ht="21.95" customHeight="1">
      <c r="BI1015" s="286"/>
      <c r="BJ1015" s="286"/>
    </row>
    <row r="1016" spans="61:62" ht="21.95" customHeight="1">
      <c r="BI1016" s="286"/>
      <c r="BJ1016" s="286"/>
    </row>
    <row r="1017" spans="61:62" ht="21.95" customHeight="1">
      <c r="BI1017" s="286"/>
      <c r="BJ1017" s="286"/>
    </row>
    <row r="1018" spans="61:62" ht="21.95" customHeight="1">
      <c r="BI1018" s="286"/>
      <c r="BJ1018" s="286"/>
    </row>
    <row r="1019" spans="61:62" ht="21.95" customHeight="1">
      <c r="BI1019" s="286"/>
      <c r="BJ1019" s="286"/>
    </row>
    <row r="1020" spans="61:62" ht="21.95" customHeight="1">
      <c r="BI1020" s="286"/>
      <c r="BJ1020" s="286"/>
    </row>
    <row r="1021" spans="61:62" ht="21.95" customHeight="1">
      <c r="BI1021" s="286"/>
      <c r="BJ1021" s="286"/>
    </row>
    <row r="1022" spans="61:62" ht="21.95" customHeight="1">
      <c r="BI1022" s="286"/>
      <c r="BJ1022" s="286"/>
    </row>
    <row r="1023" spans="61:62" ht="21.95" customHeight="1">
      <c r="BI1023" s="286"/>
      <c r="BJ1023" s="286"/>
    </row>
    <row r="1024" spans="61:62" ht="21.95" customHeight="1">
      <c r="BI1024" s="286"/>
      <c r="BJ1024" s="286"/>
    </row>
    <row r="1025" spans="61:62" ht="21.95" customHeight="1">
      <c r="BI1025" s="286"/>
      <c r="BJ1025" s="286"/>
    </row>
    <row r="1026" spans="61:62" ht="21.95" customHeight="1">
      <c r="BI1026" s="286"/>
      <c r="BJ1026" s="286"/>
    </row>
    <row r="1027" spans="61:62" ht="21.95" customHeight="1">
      <c r="BI1027" s="286"/>
      <c r="BJ1027" s="286"/>
    </row>
    <row r="1028" spans="61:62" ht="21.95" customHeight="1">
      <c r="BI1028" s="286"/>
      <c r="BJ1028" s="286"/>
    </row>
    <row r="1029" spans="61:62" ht="21.95" customHeight="1">
      <c r="BI1029" s="286"/>
      <c r="BJ1029" s="286"/>
    </row>
    <row r="1030" spans="61:62" ht="21.95" customHeight="1">
      <c r="BI1030" s="286"/>
      <c r="BJ1030" s="286"/>
    </row>
    <row r="1031" spans="61:62" ht="21.95" customHeight="1">
      <c r="BI1031" s="286"/>
      <c r="BJ1031" s="286"/>
    </row>
    <row r="1032" spans="61:62" ht="21.95" customHeight="1">
      <c r="BI1032" s="286"/>
      <c r="BJ1032" s="286"/>
    </row>
    <row r="1033" spans="61:62" ht="21.95" customHeight="1">
      <c r="BI1033" s="286"/>
      <c r="BJ1033" s="286"/>
    </row>
    <row r="1034" spans="61:62" ht="21.95" customHeight="1">
      <c r="BI1034" s="286"/>
      <c r="BJ1034" s="286"/>
    </row>
    <row r="1035" spans="61:62" ht="21.95" customHeight="1">
      <c r="BI1035" s="286"/>
      <c r="BJ1035" s="286"/>
    </row>
    <row r="1036" spans="61:62" ht="21.95" customHeight="1">
      <c r="BI1036" s="286"/>
      <c r="BJ1036" s="286"/>
    </row>
    <row r="1037" spans="61:62" ht="21.95" customHeight="1">
      <c r="BI1037" s="286"/>
      <c r="BJ1037" s="286"/>
    </row>
    <row r="1038" spans="61:62" ht="21.95" customHeight="1">
      <c r="BI1038" s="286"/>
      <c r="BJ1038" s="286"/>
    </row>
    <row r="1039" spans="61:62" ht="21.95" customHeight="1">
      <c r="BI1039" s="286"/>
      <c r="BJ1039" s="286"/>
    </row>
    <row r="1040" spans="61:62" ht="21.95" customHeight="1">
      <c r="BI1040" s="286"/>
      <c r="BJ1040" s="286"/>
    </row>
    <row r="1041" spans="61:62" ht="21.95" customHeight="1">
      <c r="BI1041" s="286"/>
      <c r="BJ1041" s="286"/>
    </row>
    <row r="1042" spans="61:62" ht="21.95" customHeight="1">
      <c r="BI1042" s="286"/>
      <c r="BJ1042" s="286"/>
    </row>
    <row r="1043" spans="61:62" ht="21.95" customHeight="1">
      <c r="BI1043" s="286"/>
      <c r="BJ1043" s="286"/>
    </row>
    <row r="1044" spans="61:62" ht="21.95" customHeight="1">
      <c r="BI1044" s="286"/>
      <c r="BJ1044" s="286"/>
    </row>
    <row r="1045" spans="61:62" ht="21.95" customHeight="1">
      <c r="BI1045" s="286"/>
      <c r="BJ1045" s="286"/>
    </row>
    <row r="1046" spans="61:62" ht="21.95" customHeight="1">
      <c r="BI1046" s="286"/>
      <c r="BJ1046" s="286"/>
    </row>
    <row r="1047" spans="61:62" ht="21.95" customHeight="1">
      <c r="BI1047" s="286"/>
      <c r="BJ1047" s="286"/>
    </row>
    <row r="1048" spans="61:62" ht="21.95" customHeight="1">
      <c r="BI1048" s="286"/>
      <c r="BJ1048" s="286"/>
    </row>
    <row r="1049" spans="61:62" ht="21.95" customHeight="1">
      <c r="BI1049" s="286"/>
      <c r="BJ1049" s="286"/>
    </row>
    <row r="1050" spans="61:62" ht="21.95" customHeight="1">
      <c r="BI1050" s="286"/>
      <c r="BJ1050" s="286"/>
    </row>
    <row r="1051" spans="61:62" ht="21.95" customHeight="1">
      <c r="BI1051" s="286"/>
      <c r="BJ1051" s="286"/>
    </row>
    <row r="1052" spans="61:62" ht="21.95" customHeight="1">
      <c r="BI1052" s="286"/>
      <c r="BJ1052" s="286"/>
    </row>
    <row r="1053" spans="61:62" ht="21.95" customHeight="1">
      <c r="BI1053" s="286"/>
      <c r="BJ1053" s="286"/>
    </row>
    <row r="1054" spans="61:62" ht="21.95" customHeight="1">
      <c r="BI1054" s="286"/>
      <c r="BJ1054" s="286"/>
    </row>
    <row r="1055" spans="61:62" ht="21.95" customHeight="1">
      <c r="BI1055" s="286"/>
      <c r="BJ1055" s="286"/>
    </row>
    <row r="1056" spans="61:62" ht="21.95" customHeight="1">
      <c r="BI1056" s="286"/>
      <c r="BJ1056" s="286"/>
    </row>
    <row r="1057" spans="61:62" ht="21.95" customHeight="1">
      <c r="BI1057" s="286"/>
      <c r="BJ1057" s="286"/>
    </row>
    <row r="1058" spans="61:62" ht="21.95" customHeight="1">
      <c r="BI1058" s="286"/>
      <c r="BJ1058" s="286"/>
    </row>
    <row r="1059" spans="61:62" ht="21.95" customHeight="1">
      <c r="BI1059" s="286"/>
      <c r="BJ1059" s="286"/>
    </row>
    <row r="1060" spans="61:62" ht="21.95" customHeight="1">
      <c r="BI1060" s="286"/>
      <c r="BJ1060" s="286"/>
    </row>
    <row r="1061" spans="61:62" ht="21.95" customHeight="1">
      <c r="BI1061" s="286"/>
      <c r="BJ1061" s="286"/>
    </row>
    <row r="1062" spans="61:62" ht="21.95" customHeight="1">
      <c r="BI1062" s="286"/>
      <c r="BJ1062" s="286"/>
    </row>
    <row r="1063" spans="61:62" ht="21.95" customHeight="1">
      <c r="BI1063" s="286"/>
      <c r="BJ1063" s="286"/>
    </row>
    <row r="1064" spans="61:62" ht="21.95" customHeight="1">
      <c r="BI1064" s="286"/>
      <c r="BJ1064" s="286"/>
    </row>
    <row r="1065" spans="61:62" ht="21.95" customHeight="1">
      <c r="BI1065" s="286"/>
      <c r="BJ1065" s="286"/>
    </row>
    <row r="1066" spans="61:62" ht="21.95" customHeight="1">
      <c r="BI1066" s="286"/>
      <c r="BJ1066" s="286"/>
    </row>
    <row r="1067" spans="61:62" ht="21.95" customHeight="1">
      <c r="BI1067" s="286"/>
      <c r="BJ1067" s="286"/>
    </row>
    <row r="1068" spans="61:62" ht="21.95" customHeight="1">
      <c r="BI1068" s="286"/>
      <c r="BJ1068" s="286"/>
    </row>
    <row r="1069" spans="61:62" ht="21.95" customHeight="1">
      <c r="BI1069" s="286"/>
      <c r="BJ1069" s="286"/>
    </row>
    <row r="1070" spans="61:62" ht="21.95" customHeight="1">
      <c r="BI1070" s="286"/>
      <c r="BJ1070" s="286"/>
    </row>
    <row r="1071" spans="61:62" ht="21.95" customHeight="1">
      <c r="BI1071" s="286"/>
      <c r="BJ1071" s="286"/>
    </row>
    <row r="1072" spans="61:62" ht="21.95" customHeight="1">
      <c r="BI1072" s="286"/>
      <c r="BJ1072" s="286"/>
    </row>
    <row r="1073" spans="61:62" ht="21.95" customHeight="1">
      <c r="BI1073" s="286"/>
      <c r="BJ1073" s="286"/>
    </row>
    <row r="1074" spans="61:62" ht="21.95" customHeight="1">
      <c r="BI1074" s="286"/>
      <c r="BJ1074" s="286"/>
    </row>
    <row r="1075" spans="61:62" ht="21.95" customHeight="1">
      <c r="BI1075" s="286"/>
      <c r="BJ1075" s="286"/>
    </row>
    <row r="1076" spans="61:62" ht="21.95" customHeight="1">
      <c r="BI1076" s="286"/>
      <c r="BJ1076" s="286"/>
    </row>
    <row r="1077" spans="61:62" ht="21.95" customHeight="1">
      <c r="BI1077" s="286"/>
      <c r="BJ1077" s="286"/>
    </row>
    <row r="1078" spans="61:62" ht="21.95" customHeight="1">
      <c r="BI1078" s="286"/>
      <c r="BJ1078" s="286"/>
    </row>
    <row r="1079" spans="61:62" ht="21.95" customHeight="1">
      <c r="BI1079" s="286"/>
      <c r="BJ1079" s="286"/>
    </row>
    <row r="1080" spans="61:62" ht="21.95" customHeight="1">
      <c r="BI1080" s="286"/>
      <c r="BJ1080" s="286"/>
    </row>
    <row r="1081" spans="61:62" ht="21.95" customHeight="1">
      <c r="BI1081" s="286"/>
      <c r="BJ1081" s="286"/>
    </row>
    <row r="1082" spans="61:62" ht="21.95" customHeight="1">
      <c r="BI1082" s="286"/>
      <c r="BJ1082" s="286"/>
    </row>
    <row r="1083" spans="61:62" ht="21.95" customHeight="1">
      <c r="BI1083" s="286"/>
      <c r="BJ1083" s="286"/>
    </row>
  </sheetData>
  <sheetProtection selectLockedCells="1"/>
  <mergeCells count="292">
    <mergeCell ref="B317:C317"/>
    <mergeCell ref="L317:M317"/>
    <mergeCell ref="V317:W317"/>
    <mergeCell ref="AF317:AG317"/>
    <mergeCell ref="D354:E354"/>
    <mergeCell ref="D355:E355"/>
    <mergeCell ref="D356:E356"/>
    <mergeCell ref="B593:C593"/>
    <mergeCell ref="B594:C594"/>
    <mergeCell ref="AF555:AG555"/>
    <mergeCell ref="D357:E357"/>
    <mergeCell ref="D358:E358"/>
    <mergeCell ref="AG523:AI523"/>
    <mergeCell ref="AG457:AI457"/>
    <mergeCell ref="B595:C595"/>
    <mergeCell ref="S376:T376"/>
    <mergeCell ref="S377:T377"/>
    <mergeCell ref="S378:T378"/>
    <mergeCell ref="S379:T379"/>
    <mergeCell ref="S380:T380"/>
    <mergeCell ref="B555:C555"/>
    <mergeCell ref="L555:M555"/>
    <mergeCell ref="V555:W555"/>
    <mergeCell ref="B591:C591"/>
    <mergeCell ref="B592:C592"/>
    <mergeCell ref="B523:B525"/>
    <mergeCell ref="B457:B459"/>
    <mergeCell ref="C386:D386"/>
    <mergeCell ref="F386:K386"/>
    <mergeCell ref="Q386:R386"/>
    <mergeCell ref="T386:Y386"/>
    <mergeCell ref="BJ523:BJ525"/>
    <mergeCell ref="CO523:CQ523"/>
    <mergeCell ref="B501:B503"/>
    <mergeCell ref="AG501:AI501"/>
    <mergeCell ref="BJ501:BJ503"/>
    <mergeCell ref="CO501:CQ501"/>
    <mergeCell ref="B482:B487"/>
    <mergeCell ref="BJ482:BJ487"/>
    <mergeCell ref="B460:B465"/>
    <mergeCell ref="BJ460:BJ465"/>
    <mergeCell ref="B479:B481"/>
    <mergeCell ref="AG479:AI479"/>
    <mergeCell ref="BJ479:BJ481"/>
    <mergeCell ref="CO479:CQ479"/>
    <mergeCell ref="BJ457:BJ459"/>
    <mergeCell ref="CO457:CQ457"/>
    <mergeCell ref="DA386:DB386"/>
    <mergeCell ref="BK386:BL386"/>
    <mergeCell ref="BN386:BS386"/>
    <mergeCell ref="BY386:BZ386"/>
    <mergeCell ref="CB386:CG386"/>
    <mergeCell ref="CM386:CN386"/>
    <mergeCell ref="BM358:BN358"/>
    <mergeCell ref="B291:B293"/>
    <mergeCell ref="AG291:AI291"/>
    <mergeCell ref="BJ291:BJ293"/>
    <mergeCell ref="CO291:CQ291"/>
    <mergeCell ref="A313:B313"/>
    <mergeCell ref="A314:B314"/>
    <mergeCell ref="BJ313:BK313"/>
    <mergeCell ref="BJ314:BK314"/>
    <mergeCell ref="AE386:AF386"/>
    <mergeCell ref="AS386:AT386"/>
    <mergeCell ref="Q371:R371"/>
    <mergeCell ref="V374:Y374"/>
    <mergeCell ref="Q372:R372"/>
    <mergeCell ref="Q369:R369"/>
    <mergeCell ref="Q370:R370"/>
    <mergeCell ref="Q368:R368"/>
    <mergeCell ref="BK317:BL317"/>
    <mergeCell ref="BU317:BV317"/>
    <mergeCell ref="CE317:CF317"/>
    <mergeCell ref="CO317:CP317"/>
    <mergeCell ref="BM354:BN354"/>
    <mergeCell ref="BM355:BN355"/>
    <mergeCell ref="BM356:BN356"/>
    <mergeCell ref="BM357:BN357"/>
    <mergeCell ref="B269:B271"/>
    <mergeCell ref="AG269:AI269"/>
    <mergeCell ref="BJ269:BJ271"/>
    <mergeCell ref="CO269:CQ269"/>
    <mergeCell ref="B250:B255"/>
    <mergeCell ref="BJ250:BJ255"/>
    <mergeCell ref="B228:B233"/>
    <mergeCell ref="BJ228:BJ233"/>
    <mergeCell ref="B247:B249"/>
    <mergeCell ref="AG247:AI247"/>
    <mergeCell ref="BJ247:BJ249"/>
    <mergeCell ref="CO247:CQ247"/>
    <mergeCell ref="B225:B227"/>
    <mergeCell ref="AG225:AI225"/>
    <mergeCell ref="BJ225:BJ227"/>
    <mergeCell ref="CO225:CQ225"/>
    <mergeCell ref="BF151:BG151"/>
    <mergeCell ref="BK154:BL154"/>
    <mergeCell ref="BN154:BS154"/>
    <mergeCell ref="BY154:BZ154"/>
    <mergeCell ref="CB154:CG154"/>
    <mergeCell ref="CM154:CN154"/>
    <mergeCell ref="C154:D154"/>
    <mergeCell ref="F154:K154"/>
    <mergeCell ref="Q154:R154"/>
    <mergeCell ref="T154:Y154"/>
    <mergeCell ref="AE154:AF154"/>
    <mergeCell ref="AS154:AT154"/>
    <mergeCell ref="V145:W145"/>
    <mergeCell ref="CB145:CC145"/>
    <mergeCell ref="V146:W146"/>
    <mergeCell ref="CB146:CC146"/>
    <mergeCell ref="V147:W147"/>
    <mergeCell ref="CB147:CC147"/>
    <mergeCell ref="V144:W144"/>
    <mergeCell ref="CB144:CC144"/>
    <mergeCell ref="V142:Y142"/>
    <mergeCell ref="CB142:CE142"/>
    <mergeCell ref="V143:W143"/>
    <mergeCell ref="CB143:CC143"/>
    <mergeCell ref="V141:W141"/>
    <mergeCell ref="X141:Y141"/>
    <mergeCell ref="CB141:CC141"/>
    <mergeCell ref="CD141:CE141"/>
    <mergeCell ref="AK3:AL3"/>
    <mergeCell ref="V140:W140"/>
    <mergeCell ref="X140:Y140"/>
    <mergeCell ref="CB140:CC140"/>
    <mergeCell ref="CD140:CE140"/>
    <mergeCell ref="DA154:DB154"/>
    <mergeCell ref="V375:W375"/>
    <mergeCell ref="V376:W376"/>
    <mergeCell ref="V377:W377"/>
    <mergeCell ref="V378:W378"/>
    <mergeCell ref="V379:W379"/>
    <mergeCell ref="CD375:CE375"/>
    <mergeCell ref="CD376:CE376"/>
    <mergeCell ref="CD377:CE377"/>
    <mergeCell ref="CD378:CE378"/>
    <mergeCell ref="CD379:CE379"/>
    <mergeCell ref="CD373:CE373"/>
    <mergeCell ref="CD372:CE372"/>
    <mergeCell ref="CF372:CG372"/>
    <mergeCell ref="CF373:CG373"/>
    <mergeCell ref="V373:W373"/>
    <mergeCell ref="X373:Y373"/>
    <mergeCell ref="V372:W372"/>
    <mergeCell ref="X372:Y372"/>
    <mergeCell ref="ER142:EU142"/>
    <mergeCell ref="GX142:HA142"/>
    <mergeCell ref="ER143:ES143"/>
    <mergeCell ref="GX143:GY143"/>
    <mergeCell ref="ER144:ES144"/>
    <mergeCell ref="GX144:GY144"/>
    <mergeCell ref="FG3:FH3"/>
    <mergeCell ref="ER140:ES140"/>
    <mergeCell ref="ET140:EU140"/>
    <mergeCell ref="GX140:GY140"/>
    <mergeCell ref="GZ140:HA140"/>
    <mergeCell ref="ER141:ES141"/>
    <mergeCell ref="ET141:EU141"/>
    <mergeCell ref="GX141:GY141"/>
    <mergeCell ref="GZ141:HA141"/>
    <mergeCell ref="HW154:HX154"/>
    <mergeCell ref="GB151:GC151"/>
    <mergeCell ref="DY154:DZ154"/>
    <mergeCell ref="EB154:EG154"/>
    <mergeCell ref="EM154:EN154"/>
    <mergeCell ref="EP154:EU154"/>
    <mergeCell ref="FA154:FB154"/>
    <mergeCell ref="FO154:FP154"/>
    <mergeCell ref="ER145:ES145"/>
    <mergeCell ref="GX145:GY145"/>
    <mergeCell ref="ER146:ES146"/>
    <mergeCell ref="GX146:GY146"/>
    <mergeCell ref="ER147:ES147"/>
    <mergeCell ref="GX147:GY147"/>
    <mergeCell ref="DX225:DX227"/>
    <mergeCell ref="FC225:FE225"/>
    <mergeCell ref="GF225:GF227"/>
    <mergeCell ref="HK225:HM225"/>
    <mergeCell ref="DX228:DX233"/>
    <mergeCell ref="GF228:GF233"/>
    <mergeCell ref="GG154:GH154"/>
    <mergeCell ref="GJ154:GO154"/>
    <mergeCell ref="GU154:GV154"/>
    <mergeCell ref="GX154:HC154"/>
    <mergeCell ref="HI154:HJ154"/>
    <mergeCell ref="DX269:DX271"/>
    <mergeCell ref="FC269:FE269"/>
    <mergeCell ref="GF269:GF271"/>
    <mergeCell ref="HK269:HM269"/>
    <mergeCell ref="DX291:DX293"/>
    <mergeCell ref="FC291:FE291"/>
    <mergeCell ref="GF291:GF293"/>
    <mergeCell ref="HK291:HM291"/>
    <mergeCell ref="DX247:DX249"/>
    <mergeCell ref="FC247:FE247"/>
    <mergeCell ref="GF247:GF249"/>
    <mergeCell ref="HK247:HM247"/>
    <mergeCell ref="DX250:DX255"/>
    <mergeCell ref="GF250:GF255"/>
    <mergeCell ref="DW313:DX313"/>
    <mergeCell ref="GF313:GG313"/>
    <mergeCell ref="DW314:DX314"/>
    <mergeCell ref="GF314:GG314"/>
    <mergeCell ref="DX317:DY317"/>
    <mergeCell ref="EH317:EI317"/>
    <mergeCell ref="ER317:ES317"/>
    <mergeCell ref="FB317:FC317"/>
    <mergeCell ref="GG317:GH317"/>
    <mergeCell ref="DZ356:EA356"/>
    <mergeCell ref="GI356:GJ356"/>
    <mergeCell ref="DZ357:EA357"/>
    <mergeCell ref="GI357:GJ357"/>
    <mergeCell ref="DZ358:EA358"/>
    <mergeCell ref="GI358:GJ358"/>
    <mergeCell ref="GQ317:GR317"/>
    <mergeCell ref="HA317:HB317"/>
    <mergeCell ref="HK317:HL317"/>
    <mergeCell ref="DZ354:EA354"/>
    <mergeCell ref="GI354:GJ354"/>
    <mergeCell ref="DZ355:EA355"/>
    <mergeCell ref="GI355:GJ355"/>
    <mergeCell ref="ET372:EU372"/>
    <mergeCell ref="GZ372:HA372"/>
    <mergeCell ref="HB372:HC372"/>
    <mergeCell ref="ER373:ES373"/>
    <mergeCell ref="ET373:EU373"/>
    <mergeCell ref="GZ373:HA373"/>
    <mergeCell ref="HB373:HC373"/>
    <mergeCell ref="EM368:EN368"/>
    <mergeCell ref="EM369:EN369"/>
    <mergeCell ref="EM370:EN370"/>
    <mergeCell ref="EM371:EN371"/>
    <mergeCell ref="EM372:EN372"/>
    <mergeCell ref="ER372:ES372"/>
    <mergeCell ref="EO377:EP377"/>
    <mergeCell ref="ER377:ES377"/>
    <mergeCell ref="GZ377:HA377"/>
    <mergeCell ref="EO378:EP378"/>
    <mergeCell ref="ER378:ES378"/>
    <mergeCell ref="GZ378:HA378"/>
    <mergeCell ref="ER374:EU374"/>
    <mergeCell ref="ER375:ES375"/>
    <mergeCell ref="GZ375:HA375"/>
    <mergeCell ref="EO376:EP376"/>
    <mergeCell ref="ER376:ES376"/>
    <mergeCell ref="GZ376:HA376"/>
    <mergeCell ref="HW386:HX386"/>
    <mergeCell ref="EO379:EP379"/>
    <mergeCell ref="ER379:ES379"/>
    <mergeCell ref="GZ379:HA379"/>
    <mergeCell ref="EO380:EP380"/>
    <mergeCell ref="DY386:DZ386"/>
    <mergeCell ref="EB386:EG386"/>
    <mergeCell ref="EM386:EN386"/>
    <mergeCell ref="EP386:EU386"/>
    <mergeCell ref="FA386:FB386"/>
    <mergeCell ref="FO386:FP386"/>
    <mergeCell ref="DX457:DX459"/>
    <mergeCell ref="FC457:FE457"/>
    <mergeCell ref="GF457:GF459"/>
    <mergeCell ref="HK457:HM457"/>
    <mergeCell ref="DX460:DX465"/>
    <mergeCell ref="GF460:GF465"/>
    <mergeCell ref="GG386:GH386"/>
    <mergeCell ref="GJ386:GO386"/>
    <mergeCell ref="GU386:GV386"/>
    <mergeCell ref="GX386:HC386"/>
    <mergeCell ref="HI386:HJ386"/>
    <mergeCell ref="DX501:DX503"/>
    <mergeCell ref="FC501:FE501"/>
    <mergeCell ref="GF501:GF503"/>
    <mergeCell ref="HK501:HM501"/>
    <mergeCell ref="DX523:DX525"/>
    <mergeCell ref="FC523:FE523"/>
    <mergeCell ref="GF523:GF525"/>
    <mergeCell ref="HK523:HM523"/>
    <mergeCell ref="DX479:DX481"/>
    <mergeCell ref="FC479:FE479"/>
    <mergeCell ref="GF479:GF481"/>
    <mergeCell ref="HK479:HM479"/>
    <mergeCell ref="DX482:DX487"/>
    <mergeCell ref="GF482:GF487"/>
    <mergeCell ref="DX593:DY593"/>
    <mergeCell ref="DX594:DY594"/>
    <mergeCell ref="DX595:DY595"/>
    <mergeCell ref="DX555:DY555"/>
    <mergeCell ref="EH555:EI555"/>
    <mergeCell ref="ER555:ES555"/>
    <mergeCell ref="FB555:FC555"/>
    <mergeCell ref="DX591:DY591"/>
    <mergeCell ref="DX592:DY592"/>
  </mergeCells>
  <dataValidations disablePrompts="1" count="1">
    <dataValidation type="list" allowBlank="1" showInputMessage="1" showErrorMessage="1" sqref="C3 DY3" xr:uid="{00000000-0002-0000-1000-000000000000}">
      <formula1>$C$9:$C$12</formula1>
    </dataValidation>
  </dataValidations>
  <pageMargins left="0.24" right="0.7" top="0.17" bottom="0.2" header="0.3" footer="0.3"/>
  <pageSetup paperSize="8" scale="60" orientation="landscape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R65"/>
  <sheetViews>
    <sheetView view="pageBreakPreview" zoomScale="115" zoomScaleSheetLayoutView="115" workbookViewId="0">
      <selection activeCell="E24" sqref="E24"/>
    </sheetView>
  </sheetViews>
  <sheetFormatPr defaultColWidth="9.1328125" defaultRowHeight="14.25"/>
  <cols>
    <col min="1" max="4" width="9.1328125" style="22"/>
    <col min="5" max="8" width="12.86328125" style="22"/>
    <col min="9" max="16384" width="9.1328125" style="22"/>
  </cols>
  <sheetData>
    <row r="1" spans="1:18">
      <c r="A1" s="4743" t="s">
        <v>1831</v>
      </c>
      <c r="B1" s="4743"/>
      <c r="C1" s="4743"/>
      <c r="D1" s="4743"/>
      <c r="E1" s="4743"/>
      <c r="F1" s="4743"/>
      <c r="G1" s="4743"/>
      <c r="H1" s="4743"/>
      <c r="I1" s="4743"/>
      <c r="J1" s="835"/>
      <c r="K1" s="123"/>
      <c r="L1" s="123"/>
      <c r="M1" s="123"/>
      <c r="N1" s="123"/>
      <c r="O1" s="17"/>
      <c r="P1" s="17"/>
      <c r="Q1" s="17"/>
      <c r="R1" s="17"/>
    </row>
    <row r="2" spans="1:18">
      <c r="A2" s="2403" t="s">
        <v>1832</v>
      </c>
      <c r="B2" s="4744" t="s">
        <v>1833</v>
      </c>
      <c r="C2" s="4744"/>
      <c r="D2" s="4744"/>
      <c r="E2" s="4744"/>
      <c r="F2" s="4744"/>
      <c r="G2" s="4744"/>
      <c r="H2" s="4744"/>
      <c r="I2" s="4744"/>
      <c r="J2" s="835"/>
      <c r="K2" s="123"/>
      <c r="L2" s="123"/>
      <c r="M2" s="123"/>
      <c r="N2" s="123"/>
      <c r="O2" s="17"/>
      <c r="P2" s="17"/>
      <c r="Q2" s="17"/>
      <c r="R2" s="17"/>
    </row>
    <row r="3" spans="1:18">
      <c r="A3" s="835"/>
      <c r="B3" s="835"/>
      <c r="C3" s="2406"/>
      <c r="D3" s="2406"/>
      <c r="E3" s="2407"/>
      <c r="F3" s="2406"/>
      <c r="G3" s="835"/>
      <c r="H3" s="835"/>
      <c r="I3" s="835"/>
      <c r="J3" s="835"/>
      <c r="K3" s="123"/>
      <c r="L3" s="123"/>
      <c r="M3" s="123"/>
      <c r="N3" s="123"/>
      <c r="O3" s="17"/>
      <c r="P3" s="17"/>
      <c r="Q3" s="17"/>
      <c r="R3" s="17"/>
    </row>
    <row r="4" spans="1:18">
      <c r="A4" s="835"/>
      <c r="B4" s="838" t="s">
        <v>1834</v>
      </c>
      <c r="C4" s="2406"/>
      <c r="D4" s="2406"/>
      <c r="E4" s="835"/>
      <c r="F4" s="2401">
        <f>'E Data'!D44*1000</f>
        <v>5000</v>
      </c>
      <c r="G4" s="1429" t="s">
        <v>1835</v>
      </c>
      <c r="H4" s="2408"/>
      <c r="I4" s="835"/>
      <c r="J4" s="835"/>
      <c r="K4" s="123"/>
      <c r="L4" s="123"/>
      <c r="M4" s="123"/>
      <c r="N4" s="123"/>
      <c r="O4" s="17"/>
      <c r="P4" s="17"/>
      <c r="Q4" s="17"/>
      <c r="R4" s="17"/>
    </row>
    <row r="5" spans="1:18">
      <c r="A5" s="835"/>
      <c r="B5" s="838" t="s">
        <v>872</v>
      </c>
      <c r="C5" s="835"/>
      <c r="D5" s="835"/>
      <c r="E5" s="835"/>
      <c r="F5" s="2402">
        <f>'E Data'!D13*1000</f>
        <v>25000</v>
      </c>
      <c r="G5" s="1429" t="s">
        <v>1835</v>
      </c>
      <c r="H5" s="835"/>
      <c r="I5" s="835"/>
      <c r="J5" s="835"/>
      <c r="K5" s="123"/>
      <c r="L5" s="123"/>
      <c r="M5" s="123"/>
      <c r="N5" s="123"/>
      <c r="O5" s="17"/>
      <c r="P5" s="17"/>
      <c r="Q5" s="17"/>
      <c r="R5" s="17"/>
    </row>
    <row r="6" spans="1:18">
      <c r="A6" s="835"/>
      <c r="B6" s="838" t="s">
        <v>1836</v>
      </c>
      <c r="C6" s="835"/>
      <c r="D6" s="835"/>
      <c r="E6" s="835"/>
      <c r="F6" s="950">
        <f>F4+F5</f>
        <v>30000</v>
      </c>
      <c r="G6" s="1429" t="s">
        <v>1835</v>
      </c>
      <c r="H6" s="835"/>
      <c r="I6" s="835"/>
      <c r="J6" s="835"/>
      <c r="K6" s="123"/>
      <c r="L6" s="123"/>
      <c r="M6" s="123"/>
      <c r="N6" s="123"/>
      <c r="O6" s="17"/>
      <c r="P6" s="17"/>
      <c r="Q6" s="17"/>
      <c r="R6" s="17"/>
    </row>
    <row r="7" spans="1:18">
      <c r="A7" s="835"/>
      <c r="B7" s="838" t="s">
        <v>1837</v>
      </c>
      <c r="C7" s="2406"/>
      <c r="D7" s="931"/>
      <c r="E7" s="835"/>
      <c r="F7" s="2401">
        <f>'E Data'!D38</f>
        <v>20</v>
      </c>
      <c r="G7" s="838" t="s">
        <v>1309</v>
      </c>
      <c r="H7" s="835"/>
      <c r="I7" s="835"/>
      <c r="J7" s="835"/>
      <c r="K7" s="123"/>
      <c r="L7" s="123"/>
      <c r="M7" s="123"/>
      <c r="N7" s="123"/>
      <c r="O7" s="17"/>
      <c r="P7" s="17"/>
      <c r="Q7" s="17"/>
      <c r="R7" s="17"/>
    </row>
    <row r="8" spans="1:18">
      <c r="A8" s="835"/>
      <c r="B8" s="838" t="s">
        <v>1838</v>
      </c>
      <c r="C8" s="2406"/>
      <c r="D8" s="931"/>
      <c r="E8" s="2409"/>
      <c r="F8" s="2403">
        <f>F7*0.5</f>
        <v>10</v>
      </c>
      <c r="G8" s="838" t="s">
        <v>1309</v>
      </c>
      <c r="H8" s="835"/>
      <c r="I8" s="835"/>
      <c r="J8" s="2410"/>
      <c r="K8" s="123"/>
      <c r="L8" s="123"/>
      <c r="M8" s="123"/>
      <c r="N8" s="123"/>
      <c r="O8" s="17"/>
      <c r="P8" s="17"/>
      <c r="Q8" s="17"/>
      <c r="R8" s="17"/>
    </row>
    <row r="9" spans="1:18">
      <c r="A9" s="835"/>
      <c r="B9" s="838" t="s">
        <v>1839</v>
      </c>
      <c r="C9" s="835"/>
      <c r="D9" s="835"/>
      <c r="E9" s="835"/>
      <c r="F9" s="2404">
        <f>F8/60</f>
        <v>0.16666666666666666</v>
      </c>
      <c r="G9" s="838" t="s">
        <v>1840</v>
      </c>
      <c r="H9" s="835"/>
      <c r="I9" s="835"/>
      <c r="J9" s="2409"/>
      <c r="K9" s="123"/>
      <c r="L9" s="123"/>
      <c r="M9" s="123"/>
      <c r="N9" s="123"/>
      <c r="O9" s="17"/>
      <c r="P9" s="17"/>
      <c r="Q9" s="17"/>
      <c r="R9" s="17"/>
    </row>
    <row r="10" spans="1:18">
      <c r="A10" s="835"/>
      <c r="B10" s="1429" t="s">
        <v>1841</v>
      </c>
      <c r="C10" s="2403"/>
      <c r="D10" s="2411"/>
      <c r="E10" s="2403"/>
      <c r="F10" s="2403">
        <v>9.81</v>
      </c>
      <c r="G10" s="838" t="s">
        <v>1842</v>
      </c>
      <c r="H10" s="835"/>
      <c r="I10" s="835"/>
      <c r="J10" s="835"/>
      <c r="K10" s="123"/>
      <c r="L10" s="123"/>
      <c r="M10" s="123"/>
      <c r="N10" s="123"/>
      <c r="O10" s="17"/>
      <c r="P10" s="17"/>
      <c r="R10" s="17"/>
    </row>
    <row r="11" spans="1:18">
      <c r="A11" s="835"/>
      <c r="B11" s="835"/>
      <c r="C11" s="2403"/>
      <c r="D11" s="2411"/>
      <c r="E11" s="2403"/>
      <c r="F11" s="835"/>
      <c r="G11" s="835"/>
      <c r="H11" s="835"/>
      <c r="I11" s="835"/>
      <c r="J11" s="835"/>
      <c r="K11" s="123"/>
      <c r="L11" s="123"/>
      <c r="M11" s="123"/>
      <c r="N11" s="123"/>
      <c r="O11" s="17"/>
      <c r="P11" s="17" t="s">
        <v>2555</v>
      </c>
      <c r="Q11" s="2405">
        <v>0</v>
      </c>
      <c r="R11" s="17"/>
    </row>
    <row r="12" spans="1:18">
      <c r="A12" s="835"/>
      <c r="B12" s="838" t="s">
        <v>1843</v>
      </c>
      <c r="C12" s="835"/>
      <c r="D12" s="835"/>
      <c r="E12" s="835"/>
      <c r="F12" s="2407" t="s">
        <v>1844</v>
      </c>
      <c r="G12" s="835"/>
      <c r="H12" s="835"/>
      <c r="I12" s="835"/>
      <c r="J12" s="835"/>
      <c r="K12" s="4740" t="s">
        <v>1845</v>
      </c>
      <c r="L12" s="4740" t="s">
        <v>1846</v>
      </c>
      <c r="M12" s="4740" t="s">
        <v>1847</v>
      </c>
      <c r="N12" s="4740" t="s">
        <v>400</v>
      </c>
      <c r="O12" s="4741" t="s">
        <v>968</v>
      </c>
      <c r="P12" s="4741" t="s">
        <v>1848</v>
      </c>
      <c r="Q12" s="4742" t="s">
        <v>1849</v>
      </c>
      <c r="R12" s="17"/>
    </row>
    <row r="13" spans="1:18">
      <c r="A13" s="835"/>
      <c r="B13" s="835"/>
      <c r="C13" s="2403"/>
      <c r="D13" s="2403"/>
      <c r="E13" s="2403"/>
      <c r="F13" s="835" t="s">
        <v>1850</v>
      </c>
      <c r="G13" s="835"/>
      <c r="H13" s="835"/>
      <c r="I13" s="835"/>
      <c r="J13" s="835"/>
      <c r="K13" s="4740"/>
      <c r="L13" s="4740"/>
      <c r="M13" s="4740"/>
      <c r="N13" s="4740"/>
      <c r="O13" s="4741"/>
      <c r="P13" s="4741"/>
      <c r="Q13" s="4742"/>
      <c r="R13" s="17"/>
    </row>
    <row r="14" spans="1:18">
      <c r="A14" s="835"/>
      <c r="B14" s="2406"/>
      <c r="C14" s="2406"/>
      <c r="D14" s="2407"/>
      <c r="E14" s="2406" t="s">
        <v>160</v>
      </c>
      <c r="F14" s="835">
        <f>(F6*F9*F9)/(2*F10)</f>
        <v>42.473666326877328</v>
      </c>
      <c r="G14" s="835" t="s">
        <v>1851</v>
      </c>
      <c r="H14" s="835"/>
      <c r="I14" s="835"/>
      <c r="J14" s="835"/>
      <c r="K14" s="2412" t="s">
        <v>1852</v>
      </c>
      <c r="L14" s="2412">
        <v>1500</v>
      </c>
      <c r="M14" s="2412">
        <v>55</v>
      </c>
      <c r="N14" s="2412">
        <v>48</v>
      </c>
      <c r="O14" s="2412">
        <v>256</v>
      </c>
      <c r="P14" s="2412">
        <v>150</v>
      </c>
      <c r="Q14" s="2412">
        <f>1100*(1+Q11)</f>
        <v>1100</v>
      </c>
      <c r="R14" s="17"/>
    </row>
    <row r="15" spans="1:18">
      <c r="A15" s="835"/>
      <c r="B15" s="2406"/>
      <c r="C15" s="2406"/>
      <c r="D15" s="2407"/>
      <c r="E15" s="2406"/>
      <c r="F15" s="835"/>
      <c r="G15" s="835"/>
      <c r="H15" s="835"/>
      <c r="I15" s="835"/>
      <c r="J15" s="462"/>
      <c r="K15" s="2412" t="s">
        <v>1853</v>
      </c>
      <c r="L15" s="2412">
        <v>5000</v>
      </c>
      <c r="M15" s="2412">
        <v>70</v>
      </c>
      <c r="N15" s="2412">
        <v>58</v>
      </c>
      <c r="O15" s="2412">
        <v>305</v>
      </c>
      <c r="P15" s="2412">
        <v>200</v>
      </c>
      <c r="Q15" s="2412">
        <f>1600*(1+Q11)</f>
        <v>1600</v>
      </c>
      <c r="R15" s="17"/>
    </row>
    <row r="16" spans="1:18">
      <c r="A16" s="835"/>
      <c r="B16" s="2406" t="s">
        <v>1854</v>
      </c>
      <c r="C16" s="2406"/>
      <c r="D16" s="2407"/>
      <c r="E16" s="2406"/>
      <c r="F16" s="835"/>
      <c r="G16" s="835"/>
      <c r="H16" s="835"/>
      <c r="I16" s="835"/>
      <c r="J16" s="462"/>
      <c r="K16" s="2412" t="s">
        <v>1855</v>
      </c>
      <c r="L16" s="2412">
        <v>10000</v>
      </c>
      <c r="M16" s="2412">
        <v>100</v>
      </c>
      <c r="N16" s="2412">
        <v>73</v>
      </c>
      <c r="O16" s="2412">
        <v>431</v>
      </c>
      <c r="P16" s="2412">
        <v>250</v>
      </c>
      <c r="Q16" s="2412">
        <f>3000*(1+Q11)</f>
        <v>3000</v>
      </c>
      <c r="R16" s="17"/>
    </row>
    <row r="17" spans="1:18">
      <c r="A17" s="835"/>
      <c r="B17" s="2406"/>
      <c r="C17" s="2406"/>
      <c r="D17" s="2407"/>
      <c r="E17" s="2406"/>
      <c r="F17" s="835"/>
      <c r="G17" s="835"/>
      <c r="H17" s="835"/>
      <c r="I17" s="835"/>
      <c r="J17" s="17"/>
      <c r="K17" s="2412" t="s">
        <v>1856</v>
      </c>
      <c r="L17" s="2412">
        <v>25000</v>
      </c>
      <c r="M17" s="2412">
        <v>150</v>
      </c>
      <c r="N17" s="2412">
        <v>98</v>
      </c>
      <c r="O17" s="2412">
        <v>596</v>
      </c>
      <c r="P17" s="2412">
        <v>300</v>
      </c>
      <c r="Q17" s="2412">
        <f>7000*(1+Q11)</f>
        <v>7000</v>
      </c>
      <c r="R17" s="17"/>
    </row>
    <row r="18" spans="1:18">
      <c r="A18" s="835"/>
      <c r="B18" s="2406"/>
      <c r="C18" s="2406" t="s">
        <v>1857</v>
      </c>
      <c r="D18" s="2407"/>
      <c r="E18" s="2406">
        <f>F14</f>
        <v>42.473666326877328</v>
      </c>
      <c r="F18" s="835" t="s">
        <v>160</v>
      </c>
      <c r="G18" s="835">
        <f>E18/E19</f>
        <v>21.236833163438664</v>
      </c>
      <c r="H18" s="835" t="s">
        <v>1858</v>
      </c>
      <c r="I18" s="835"/>
      <c r="J18" s="462"/>
      <c r="K18" s="2412" t="s">
        <v>1859</v>
      </c>
      <c r="L18" s="2412">
        <v>45000</v>
      </c>
      <c r="M18" s="2412">
        <v>175</v>
      </c>
      <c r="N18" s="2412">
        <v>123</v>
      </c>
      <c r="O18" s="2412">
        <v>703</v>
      </c>
      <c r="P18" s="2412">
        <v>350</v>
      </c>
      <c r="Q18" s="2412">
        <f>12000*(1+Q11)</f>
        <v>12000</v>
      </c>
      <c r="R18" s="17"/>
    </row>
    <row r="19" spans="1:18">
      <c r="A19" s="835"/>
      <c r="B19" s="2406"/>
      <c r="C19" s="2406"/>
      <c r="D19" s="2407"/>
      <c r="E19" s="2406">
        <v>2</v>
      </c>
      <c r="F19" s="835"/>
      <c r="G19" s="835"/>
      <c r="H19" s="835"/>
      <c r="I19" s="835"/>
      <c r="J19" s="2413"/>
      <c r="K19" s="2412" t="s">
        <v>1860</v>
      </c>
      <c r="L19" s="2412">
        <v>75000</v>
      </c>
      <c r="M19" s="2412">
        <v>200</v>
      </c>
      <c r="N19" s="2412">
        <v>123</v>
      </c>
      <c r="O19" s="2412">
        <v>758</v>
      </c>
      <c r="P19" s="2412">
        <v>350</v>
      </c>
      <c r="Q19" s="2412">
        <f>19000*(1+Q11)</f>
        <v>19000</v>
      </c>
      <c r="R19" s="17"/>
    </row>
    <row r="20" spans="1:18">
      <c r="A20" s="835"/>
      <c r="B20" s="2406"/>
      <c r="C20" s="2406"/>
      <c r="D20" s="2407"/>
      <c r="E20" s="2406"/>
      <c r="F20" s="835" t="s">
        <v>160</v>
      </c>
      <c r="G20" s="835">
        <f>G18*100</f>
        <v>2123.6833163438664</v>
      </c>
      <c r="H20" s="835" t="s">
        <v>1861</v>
      </c>
      <c r="I20" s="835"/>
      <c r="J20" s="2413"/>
      <c r="K20" s="2412" t="s">
        <v>1862</v>
      </c>
      <c r="L20" s="2412">
        <v>100000</v>
      </c>
      <c r="M20" s="2412">
        <v>225</v>
      </c>
      <c r="N20" s="2412">
        <v>123</v>
      </c>
      <c r="O20" s="2412">
        <v>1085</v>
      </c>
      <c r="P20" s="2412">
        <v>400</v>
      </c>
      <c r="Q20" s="2412">
        <f>24000*(1+Q11)</f>
        <v>24000</v>
      </c>
      <c r="R20" s="17"/>
    </row>
    <row r="21" spans="1:18">
      <c r="A21" s="835"/>
      <c r="B21" s="2406" t="s">
        <v>525</v>
      </c>
      <c r="C21" s="2406"/>
      <c r="D21" s="2407"/>
      <c r="E21" s="2406"/>
      <c r="F21" s="835"/>
      <c r="G21" s="835"/>
      <c r="H21" s="835"/>
      <c r="I21" s="835"/>
      <c r="J21" s="123"/>
      <c r="K21" s="123"/>
      <c r="L21" s="123"/>
      <c r="M21" s="123"/>
      <c r="N21" s="17"/>
      <c r="O21" s="17"/>
      <c r="P21" s="17"/>
      <c r="Q21" s="17"/>
      <c r="R21" s="17"/>
    </row>
    <row r="22" spans="1:18">
      <c r="A22" s="838"/>
      <c r="B22" s="2406" t="s">
        <v>1863</v>
      </c>
      <c r="C22" s="2406"/>
      <c r="D22" s="2407"/>
      <c r="E22" s="2406">
        <f>VLOOKUP(C28,K14:M20,3,0)</f>
        <v>70</v>
      </c>
      <c r="F22" s="835" t="s">
        <v>466</v>
      </c>
      <c r="G22" s="835"/>
      <c r="H22" s="835"/>
      <c r="I22" s="835"/>
      <c r="J22" s="123"/>
      <c r="K22" s="123"/>
      <c r="L22" s="123"/>
      <c r="M22" s="123"/>
      <c r="N22" s="17"/>
      <c r="O22" s="17"/>
      <c r="P22" s="17"/>
      <c r="Q22" s="17"/>
      <c r="R22" s="17"/>
    </row>
    <row r="23" spans="1:18">
      <c r="A23" s="835"/>
      <c r="B23" s="2406"/>
      <c r="C23" s="2406"/>
      <c r="D23" s="2407"/>
      <c r="E23" s="2406"/>
      <c r="F23" s="835"/>
      <c r="G23" s="835"/>
      <c r="H23" s="835"/>
      <c r="I23" s="835"/>
      <c r="J23" s="123"/>
      <c r="K23" s="123"/>
      <c r="L23" s="123"/>
      <c r="M23" s="123"/>
      <c r="N23" s="17"/>
      <c r="O23" s="17"/>
      <c r="P23" s="17"/>
      <c r="Q23" s="17"/>
      <c r="R23" s="17"/>
    </row>
    <row r="24" spans="1:18">
      <c r="A24" s="835"/>
      <c r="B24" s="2406" t="s">
        <v>1864</v>
      </c>
      <c r="C24" s="2406"/>
      <c r="D24" s="2407"/>
      <c r="E24" s="2406" t="s">
        <v>1865</v>
      </c>
      <c r="F24" s="835"/>
      <c r="G24" s="835" t="s">
        <v>160</v>
      </c>
      <c r="H24" s="835">
        <f>G18/(E22/1000)</f>
        <v>303.38333090626662</v>
      </c>
      <c r="I24" s="835" t="s">
        <v>276</v>
      </c>
      <c r="J24" s="123"/>
      <c r="K24" s="123"/>
      <c r="L24" s="123"/>
      <c r="M24" s="123"/>
      <c r="N24" s="17"/>
      <c r="O24" s="17"/>
      <c r="P24" s="17"/>
      <c r="Q24" s="17"/>
      <c r="R24" s="17"/>
    </row>
    <row r="25" spans="1:18">
      <c r="A25" s="835"/>
      <c r="B25" s="2406"/>
      <c r="C25" s="2406"/>
      <c r="D25" s="2407"/>
      <c r="E25" s="2406" t="s">
        <v>1866</v>
      </c>
      <c r="F25" s="835"/>
      <c r="G25" s="835"/>
      <c r="H25" s="835"/>
      <c r="I25" s="835"/>
      <c r="J25" s="123"/>
      <c r="K25" s="123"/>
      <c r="L25" s="123"/>
      <c r="M25" s="123"/>
      <c r="N25" s="17"/>
      <c r="O25" s="17"/>
      <c r="P25" s="17"/>
      <c r="Q25" s="17"/>
      <c r="R25" s="17"/>
    </row>
    <row r="26" spans="1:18">
      <c r="A26" s="835"/>
      <c r="B26" s="2406"/>
      <c r="C26" s="2406"/>
      <c r="D26" s="2407"/>
      <c r="E26" s="2406"/>
      <c r="F26" s="835"/>
      <c r="G26" s="835"/>
      <c r="H26" s="835"/>
      <c r="I26" s="835"/>
      <c r="J26" s="462"/>
      <c r="K26" s="462"/>
      <c r="L26" s="462"/>
      <c r="M26" s="462"/>
      <c r="N26" s="462"/>
      <c r="O26" s="462"/>
      <c r="P26" s="462"/>
      <c r="Q26" s="462"/>
      <c r="R26" s="462"/>
    </row>
    <row r="27" spans="1:18">
      <c r="A27" s="835"/>
      <c r="B27" s="2406"/>
      <c r="C27" s="2406"/>
      <c r="D27" s="2407" t="s">
        <v>1867</v>
      </c>
      <c r="E27" s="2406"/>
      <c r="F27" s="835"/>
      <c r="G27" s="835" t="s">
        <v>1868</v>
      </c>
      <c r="H27" s="835"/>
      <c r="I27" s="835"/>
      <c r="J27" s="123"/>
      <c r="K27" s="123"/>
      <c r="L27" s="123"/>
      <c r="M27" s="123"/>
      <c r="N27" s="17"/>
      <c r="O27" s="17"/>
      <c r="P27" s="17"/>
      <c r="Q27" s="17"/>
      <c r="R27" s="17"/>
    </row>
    <row r="28" spans="1:18">
      <c r="A28" s="835"/>
      <c r="B28" s="2406"/>
      <c r="C28" s="2406" t="str">
        <f>IF(G20&lt;=1500,"RSB 1",IF(G20&lt;=5000,"RSB 2",IF(G20&lt;=10000,"RSB 3",IF(G20&lt;=25000,"RSB 4",IF(G20&lt;=45000,"RSB 5",IF(G20&lt;=75000,"RSB 6",IF(G20&lt;=100000,"RSB 7",0)))))))</f>
        <v>RSB 2</v>
      </c>
      <c r="D28" s="2407">
        <f>VLOOKUP(C28,K14:L20,2,0)</f>
        <v>5000</v>
      </c>
      <c r="E28" s="2406" t="s">
        <v>1869</v>
      </c>
      <c r="F28" s="835" t="s">
        <v>1870</v>
      </c>
      <c r="G28" s="2414">
        <f>G20</f>
        <v>2123.6833163438664</v>
      </c>
      <c r="H28" s="835" t="s">
        <v>1861</v>
      </c>
      <c r="I28" s="835"/>
      <c r="J28" s="462"/>
      <c r="K28" s="462" t="str">
        <f>IF(G28&lt;=1500,"RSB 1",IF(G28&lt;=5000,"RSB 2",IF(G28&lt;=10000,"RSB 3",IF(G28&lt;=25000,"RSB 4",IF(G28&lt;=45000,"RSB 5",IF(G28&lt;=75000,"RSB 6",IF(G28&lt;=100000,"RSB 7",0)))))))</f>
        <v>RSB 2</v>
      </c>
      <c r="L28" s="123"/>
      <c r="M28" s="123"/>
      <c r="N28" s="123"/>
      <c r="O28" s="17"/>
      <c r="P28" s="17"/>
      <c r="Q28" s="17"/>
      <c r="R28" s="17"/>
    </row>
    <row r="29" spans="1:18">
      <c r="A29" s="835"/>
      <c r="B29" s="2406"/>
      <c r="C29" s="2406"/>
      <c r="D29" s="2407"/>
      <c r="E29" s="2406"/>
      <c r="F29" s="835"/>
      <c r="G29" s="835"/>
      <c r="H29" s="835"/>
      <c r="I29" s="835"/>
      <c r="J29" s="462"/>
      <c r="K29" s="462"/>
      <c r="L29" s="462"/>
      <c r="M29" s="462"/>
      <c r="N29" s="462"/>
      <c r="O29" s="462"/>
      <c r="P29" s="462"/>
      <c r="Q29" s="462"/>
      <c r="R29" s="462"/>
    </row>
    <row r="30" spans="1:18">
      <c r="A30" s="835"/>
      <c r="B30" s="2406"/>
      <c r="C30" s="2406" t="s">
        <v>473</v>
      </c>
      <c r="D30" s="2407" t="str">
        <f>IF(D28&gt;G28,"Buffer Is SAFE","Buffer Is Not SAFE")</f>
        <v>Buffer Is SAFE</v>
      </c>
      <c r="E30" s="2406"/>
      <c r="F30" s="835"/>
      <c r="G30" s="835" t="s">
        <v>1871</v>
      </c>
      <c r="H30" s="835">
        <f>VLOOKUP(C28,K14:Q20,7,0)</f>
        <v>1600</v>
      </c>
      <c r="I30" s="835" t="s">
        <v>1872</v>
      </c>
      <c r="J30" s="123">
        <f>H30*4</f>
        <v>6400</v>
      </c>
      <c r="K30" s="123"/>
      <c r="L30" s="123"/>
      <c r="M30" s="123"/>
      <c r="N30" s="123"/>
      <c r="O30" s="17"/>
      <c r="P30" s="17"/>
      <c r="Q30" s="17"/>
      <c r="R30" s="17"/>
    </row>
    <row r="31" spans="1:18">
      <c r="A31" s="835"/>
      <c r="B31" s="2406"/>
      <c r="C31" s="2406"/>
      <c r="D31" s="2407"/>
      <c r="E31" s="2406"/>
      <c r="F31" s="835"/>
      <c r="G31" s="835"/>
      <c r="H31" s="835"/>
      <c r="I31" s="835"/>
      <c r="J31" s="123">
        <f>H63*4</f>
        <v>6400</v>
      </c>
      <c r="K31" s="123"/>
      <c r="L31" s="123"/>
      <c r="M31" s="123"/>
      <c r="N31" s="123"/>
      <c r="O31" s="17"/>
      <c r="P31" s="17"/>
      <c r="Q31" s="17"/>
      <c r="R31" s="17"/>
    </row>
    <row r="32" spans="1:18">
      <c r="A32" s="835"/>
      <c r="B32" s="2406" t="str">
        <f>"Hence"&amp;C28&amp;" Buffer with "&amp;D28&amp;" Kg-Cm."</f>
        <v>HenceRSB 2 Buffer with 5000 Kg-Cm.</v>
      </c>
      <c r="C32" s="2406"/>
      <c r="D32" s="2407"/>
      <c r="E32" s="2406"/>
      <c r="F32" s="835"/>
      <c r="G32" s="835"/>
      <c r="H32" s="835"/>
      <c r="I32" s="835"/>
      <c r="J32" s="123">
        <f>J31+J30</f>
        <v>12800</v>
      </c>
      <c r="K32" s="123"/>
      <c r="L32" s="123"/>
      <c r="M32" s="123"/>
      <c r="N32" s="123"/>
      <c r="O32" s="17"/>
      <c r="P32" s="17"/>
      <c r="Q32" s="17"/>
      <c r="R32" s="17"/>
    </row>
    <row r="33" spans="1:18">
      <c r="A33" s="835"/>
      <c r="B33" s="2406"/>
      <c r="C33" s="2406"/>
      <c r="D33" s="2407"/>
      <c r="E33" s="2406"/>
      <c r="F33" s="835"/>
      <c r="G33" s="835"/>
      <c r="H33" s="835"/>
      <c r="I33" s="835"/>
      <c r="J33" s="123"/>
      <c r="K33" s="123"/>
      <c r="L33" s="123"/>
      <c r="M33" s="123"/>
      <c r="N33" s="17"/>
      <c r="O33" s="17"/>
      <c r="P33" s="17"/>
      <c r="Q33" s="17"/>
      <c r="R33" s="17"/>
    </row>
    <row r="34" spans="1:18">
      <c r="A34" s="835"/>
      <c r="B34" s="2406"/>
      <c r="C34" s="2406"/>
      <c r="D34" s="2407"/>
      <c r="E34" s="2406"/>
      <c r="F34" s="835"/>
      <c r="G34" s="835"/>
      <c r="H34" s="835"/>
      <c r="I34" s="835"/>
      <c r="J34" s="462"/>
      <c r="K34" s="462"/>
      <c r="L34" s="462"/>
      <c r="M34" s="462"/>
      <c r="N34" s="462"/>
      <c r="O34" s="462"/>
      <c r="P34" s="462"/>
      <c r="Q34" s="462"/>
      <c r="R34" s="462"/>
    </row>
    <row r="35" spans="1:18">
      <c r="A35" s="835" t="s">
        <v>1873</v>
      </c>
      <c r="B35" s="2406" t="s">
        <v>1874</v>
      </c>
      <c r="C35" s="2406"/>
      <c r="D35" s="2407"/>
      <c r="E35" s="2406"/>
      <c r="F35" s="835"/>
      <c r="G35" s="835"/>
      <c r="H35" s="835"/>
      <c r="I35" s="835"/>
      <c r="J35" s="123"/>
      <c r="K35" s="123"/>
      <c r="L35" s="123"/>
      <c r="M35" s="123"/>
      <c r="N35" s="17"/>
      <c r="O35" s="17"/>
      <c r="P35" s="17"/>
      <c r="Q35" s="17"/>
      <c r="R35" s="17"/>
    </row>
    <row r="36" spans="1:18">
      <c r="A36" s="835"/>
      <c r="B36" s="2406"/>
      <c r="C36" s="2406"/>
      <c r="D36" s="2407"/>
      <c r="E36" s="2406"/>
      <c r="F36" s="835"/>
      <c r="G36" s="835"/>
      <c r="H36" s="835"/>
      <c r="I36" s="835"/>
      <c r="J36" s="123"/>
      <c r="K36" s="123"/>
      <c r="L36" s="123"/>
      <c r="M36" s="123"/>
      <c r="N36" s="17"/>
      <c r="O36" s="17"/>
      <c r="P36" s="17"/>
      <c r="Q36" s="17"/>
      <c r="R36" s="17"/>
    </row>
    <row r="37" spans="1:18">
      <c r="A37" s="835"/>
      <c r="B37" s="2406" t="s">
        <v>1875</v>
      </c>
      <c r="C37" s="2406"/>
      <c r="D37" s="2407"/>
      <c r="E37" s="2406"/>
      <c r="F37" s="835">
        <f>'E Data'!D43*1000</f>
        <v>17000</v>
      </c>
      <c r="G37" s="835" t="s">
        <v>1835</v>
      </c>
      <c r="H37" s="835"/>
      <c r="I37" s="835"/>
      <c r="J37" s="123"/>
      <c r="K37" s="123"/>
      <c r="L37" s="123"/>
      <c r="M37" s="123"/>
      <c r="N37" s="17"/>
      <c r="O37" s="17"/>
      <c r="P37" s="17"/>
      <c r="Q37" s="17"/>
      <c r="R37" s="17"/>
    </row>
    <row r="38" spans="1:18">
      <c r="A38" s="835"/>
      <c r="B38" s="2406" t="s">
        <v>872</v>
      </c>
      <c r="C38" s="2406"/>
      <c r="D38" s="2407"/>
      <c r="E38" s="2406"/>
      <c r="F38" s="835">
        <f>F5</f>
        <v>25000</v>
      </c>
      <c r="G38" s="835" t="s">
        <v>1835</v>
      </c>
      <c r="H38" s="835"/>
      <c r="I38" s="835"/>
      <c r="J38" s="123"/>
      <c r="K38" s="123"/>
      <c r="L38" s="123"/>
      <c r="M38" s="123"/>
      <c r="N38" s="17"/>
      <c r="O38" s="17"/>
      <c r="P38" s="17"/>
      <c r="Q38" s="17"/>
      <c r="R38" s="17"/>
    </row>
    <row r="39" spans="1:18">
      <c r="A39" s="835"/>
      <c r="B39" s="2406" t="s">
        <v>1876</v>
      </c>
      <c r="C39" s="2406"/>
      <c r="D39" s="2407"/>
      <c r="E39" s="2406"/>
      <c r="F39" s="835">
        <f>F37+F38</f>
        <v>42000</v>
      </c>
      <c r="G39" s="835" t="s">
        <v>1835</v>
      </c>
      <c r="H39" s="835"/>
      <c r="I39" s="835"/>
      <c r="J39" s="123"/>
      <c r="K39" s="123"/>
      <c r="L39" s="123"/>
      <c r="M39" s="123"/>
      <c r="N39" s="17"/>
      <c r="O39" s="17"/>
      <c r="P39" s="17"/>
      <c r="Q39" s="17"/>
      <c r="R39" s="17"/>
    </row>
    <row r="40" spans="1:18">
      <c r="A40" s="835"/>
      <c r="B40" s="2406" t="s">
        <v>1837</v>
      </c>
      <c r="C40" s="2406"/>
      <c r="D40" s="2407"/>
      <c r="E40" s="2406"/>
      <c r="F40" s="835">
        <f>'E Data'!D39</f>
        <v>25</v>
      </c>
      <c r="G40" s="835" t="s">
        <v>1309</v>
      </c>
      <c r="H40" s="835"/>
      <c r="I40" s="835"/>
      <c r="J40" s="123"/>
      <c r="K40" s="123"/>
      <c r="L40" s="123"/>
      <c r="M40" s="123"/>
      <c r="N40" s="17"/>
      <c r="O40" s="17"/>
      <c r="P40" s="17"/>
      <c r="Q40" s="17"/>
      <c r="R40" s="17"/>
    </row>
    <row r="41" spans="1:18">
      <c r="A41" s="835"/>
      <c r="B41" s="2406" t="s">
        <v>1838</v>
      </c>
      <c r="C41" s="2406"/>
      <c r="D41" s="2407"/>
      <c r="E41" s="2406"/>
      <c r="F41" s="835">
        <f>F40*0.5</f>
        <v>12.5</v>
      </c>
      <c r="G41" s="835" t="s">
        <v>1309</v>
      </c>
      <c r="H41" s="835"/>
      <c r="I41" s="835"/>
      <c r="J41" s="462"/>
      <c r="K41" s="462"/>
      <c r="L41" s="123">
        <f>H30*4</f>
        <v>6400</v>
      </c>
      <c r="M41" s="123"/>
      <c r="N41" s="123"/>
      <c r="O41" s="17"/>
      <c r="P41" s="17"/>
      <c r="Q41" s="17"/>
      <c r="R41" s="17"/>
    </row>
    <row r="42" spans="1:18">
      <c r="A42" s="835"/>
      <c r="B42" s="2406" t="s">
        <v>1839</v>
      </c>
      <c r="C42" s="2406"/>
      <c r="D42" s="2407"/>
      <c r="E42" s="2406"/>
      <c r="F42" s="835">
        <f>F41/60</f>
        <v>0.20833333333333334</v>
      </c>
      <c r="G42" s="835" t="s">
        <v>1840</v>
      </c>
      <c r="H42" s="835"/>
      <c r="I42" s="835"/>
      <c r="J42" s="123"/>
      <c r="K42" s="123"/>
      <c r="L42" s="123"/>
      <c r="M42" s="123"/>
      <c r="N42" s="17"/>
      <c r="O42" s="17"/>
      <c r="P42" s="17"/>
      <c r="Q42" s="17"/>
      <c r="R42" s="17"/>
    </row>
    <row r="43" spans="1:18">
      <c r="A43" s="835"/>
      <c r="B43" s="2406" t="s">
        <v>1841</v>
      </c>
      <c r="C43" s="2406"/>
      <c r="D43" s="2407"/>
      <c r="E43" s="2406"/>
      <c r="F43" s="835">
        <v>9.81</v>
      </c>
      <c r="G43" s="835" t="s">
        <v>1842</v>
      </c>
      <c r="H43" s="835"/>
      <c r="I43" s="835"/>
      <c r="J43" s="462"/>
      <c r="K43" s="462"/>
      <c r="L43" s="123">
        <f>H63*4</f>
        <v>6400</v>
      </c>
      <c r="M43" s="123">
        <f>L43+L41*2</f>
        <v>19200</v>
      </c>
      <c r="N43" s="123"/>
      <c r="O43" s="17"/>
      <c r="P43" s="17"/>
      <c r="Q43" s="17"/>
      <c r="R43" s="17"/>
    </row>
    <row r="44" spans="1:18">
      <c r="A44" s="835"/>
      <c r="B44" s="2406"/>
      <c r="C44" s="2406"/>
      <c r="D44" s="2407"/>
      <c r="E44" s="2406"/>
      <c r="F44" s="835"/>
      <c r="G44" s="835"/>
      <c r="H44" s="835"/>
      <c r="I44" s="835"/>
      <c r="J44" s="123"/>
      <c r="K44" s="123"/>
      <c r="L44" s="123"/>
      <c r="M44" s="123"/>
      <c r="N44" s="17"/>
      <c r="O44" s="17"/>
      <c r="P44" s="17"/>
      <c r="Q44" s="17"/>
      <c r="R44" s="17"/>
    </row>
    <row r="45" spans="1:18">
      <c r="A45" s="835"/>
      <c r="B45" s="2406" t="s">
        <v>1843</v>
      </c>
      <c r="C45" s="2406"/>
      <c r="D45" s="2407"/>
      <c r="E45" s="2406"/>
      <c r="F45" s="2415" t="s">
        <v>1844</v>
      </c>
      <c r="G45" s="835"/>
      <c r="H45" s="835"/>
      <c r="I45" s="835"/>
      <c r="J45" s="123"/>
      <c r="K45" s="123"/>
      <c r="L45" s="123"/>
      <c r="M45" s="123"/>
      <c r="N45" s="17"/>
      <c r="O45" s="17"/>
      <c r="P45" s="17"/>
      <c r="Q45" s="17"/>
      <c r="R45" s="17"/>
    </row>
    <row r="46" spans="1:18">
      <c r="A46" s="835"/>
      <c r="B46" s="2406"/>
      <c r="C46" s="2406"/>
      <c r="D46" s="2407"/>
      <c r="E46" s="2406"/>
      <c r="F46" s="835" t="s">
        <v>1850</v>
      </c>
      <c r="G46" s="835"/>
      <c r="H46" s="835"/>
      <c r="I46" s="835"/>
      <c r="J46" s="123"/>
      <c r="K46" s="123"/>
      <c r="L46" s="123"/>
      <c r="M46" s="123"/>
      <c r="N46" s="17"/>
      <c r="O46" s="17"/>
      <c r="P46" s="17"/>
      <c r="Q46" s="17"/>
      <c r="R46" s="17"/>
    </row>
    <row r="47" spans="1:18">
      <c r="A47" s="835"/>
      <c r="B47" s="2406"/>
      <c r="C47" s="2406"/>
      <c r="D47" s="2407"/>
      <c r="E47" s="2406" t="s">
        <v>160</v>
      </c>
      <c r="F47" s="835">
        <f>(F39*F42*F42)/(2*F43)</f>
        <v>92.911145090044172</v>
      </c>
      <c r="G47" s="835" t="s">
        <v>1851</v>
      </c>
      <c r="H47" s="835"/>
      <c r="I47" s="835"/>
      <c r="J47" s="123"/>
      <c r="K47" s="123"/>
      <c r="L47" s="123"/>
      <c r="M47" s="123"/>
      <c r="N47" s="17"/>
      <c r="O47" s="17"/>
      <c r="P47" s="17"/>
      <c r="Q47" s="17"/>
      <c r="R47" s="17"/>
    </row>
    <row r="48" spans="1:18">
      <c r="A48" s="835"/>
      <c r="B48" s="2406"/>
      <c r="C48" s="2406"/>
      <c r="D48" s="2407"/>
      <c r="E48" s="2406"/>
      <c r="F48" s="835"/>
      <c r="G48" s="835"/>
      <c r="H48" s="835"/>
      <c r="I48" s="835"/>
      <c r="J48" s="123"/>
      <c r="K48" s="123"/>
      <c r="L48" s="123"/>
      <c r="M48" s="123"/>
      <c r="N48" s="17"/>
      <c r="O48" s="17"/>
      <c r="P48" s="17"/>
      <c r="Q48" s="17"/>
      <c r="R48" s="17"/>
    </row>
    <row r="49" spans="1:18">
      <c r="A49" s="835"/>
      <c r="B49" s="2406" t="s">
        <v>1854</v>
      </c>
      <c r="C49" s="2406"/>
      <c r="D49" s="2407"/>
      <c r="E49" s="2406"/>
      <c r="F49" s="835"/>
      <c r="G49" s="835"/>
      <c r="H49" s="835"/>
      <c r="I49" s="835"/>
      <c r="J49" s="123"/>
      <c r="K49" s="123"/>
      <c r="L49" s="123"/>
      <c r="M49" s="123"/>
      <c r="N49" s="17"/>
      <c r="O49" s="17"/>
      <c r="P49" s="17"/>
      <c r="Q49" s="17"/>
      <c r="R49" s="17"/>
    </row>
    <row r="50" spans="1:18">
      <c r="A50" s="835"/>
      <c r="B50" s="2406"/>
      <c r="C50" s="2406"/>
      <c r="D50" s="2407"/>
      <c r="E50" s="2406"/>
      <c r="F50" s="835"/>
      <c r="G50" s="835"/>
      <c r="H50" s="835"/>
      <c r="I50" s="835"/>
      <c r="J50" s="462"/>
      <c r="K50" s="462"/>
      <c r="L50" s="462"/>
      <c r="M50" s="462"/>
      <c r="N50" s="462"/>
      <c r="O50" s="462"/>
      <c r="P50" s="462"/>
      <c r="Q50" s="462"/>
      <c r="R50" s="462"/>
    </row>
    <row r="51" spans="1:18">
      <c r="A51" s="835"/>
      <c r="B51" s="2406"/>
      <c r="C51" s="2406" t="s">
        <v>1857</v>
      </c>
      <c r="D51" s="2407"/>
      <c r="E51" s="2406">
        <f>F47</f>
        <v>92.911145090044172</v>
      </c>
      <c r="F51" s="835" t="s">
        <v>160</v>
      </c>
      <c r="G51" s="835">
        <f>E51/E52</f>
        <v>46.455572545022086</v>
      </c>
      <c r="H51" s="835" t="s">
        <v>1858</v>
      </c>
      <c r="I51" s="835"/>
      <c r="J51" s="123"/>
      <c r="K51" s="123"/>
      <c r="L51" s="123"/>
      <c r="M51" s="123"/>
      <c r="N51" s="17"/>
      <c r="O51" s="17"/>
      <c r="P51" s="17"/>
      <c r="Q51" s="17"/>
      <c r="R51" s="17"/>
    </row>
    <row r="52" spans="1:18">
      <c r="A52" s="835"/>
      <c r="B52" s="2406"/>
      <c r="C52" s="2406"/>
      <c r="D52" s="2407"/>
      <c r="E52" s="2406">
        <v>2</v>
      </c>
      <c r="F52" s="835"/>
      <c r="G52" s="835"/>
      <c r="H52" s="835"/>
      <c r="I52" s="835"/>
      <c r="J52" s="123"/>
      <c r="K52" s="123"/>
      <c r="L52" s="123"/>
      <c r="M52" s="123"/>
      <c r="N52" s="17"/>
      <c r="O52" s="17"/>
      <c r="P52" s="17"/>
      <c r="Q52" s="17"/>
      <c r="R52" s="17"/>
    </row>
    <row r="53" spans="1:18">
      <c r="A53" s="835"/>
      <c r="B53" s="2406"/>
      <c r="C53" s="2406"/>
      <c r="D53" s="2407"/>
      <c r="E53" s="2406"/>
      <c r="F53" s="835" t="s">
        <v>160</v>
      </c>
      <c r="G53" s="835">
        <f>G51*100</f>
        <v>4645.5572545022087</v>
      </c>
      <c r="H53" s="835" t="s">
        <v>1861</v>
      </c>
      <c r="I53" s="835"/>
      <c r="J53" s="462"/>
      <c r="K53" s="462"/>
      <c r="L53" s="123">
        <v>12000</v>
      </c>
      <c r="M53" s="123"/>
      <c r="N53" s="123"/>
      <c r="O53" s="17"/>
      <c r="P53" s="17"/>
      <c r="Q53" s="17"/>
      <c r="R53" s="17"/>
    </row>
    <row r="54" spans="1:18">
      <c r="A54" s="835"/>
      <c r="B54" s="2406" t="s">
        <v>525</v>
      </c>
      <c r="C54" s="2406"/>
      <c r="D54" s="2407"/>
      <c r="E54" s="2406"/>
      <c r="F54" s="835"/>
      <c r="G54" s="835"/>
      <c r="H54" s="835"/>
      <c r="I54" s="835"/>
      <c r="J54" s="462"/>
      <c r="K54" s="462"/>
      <c r="L54" s="123">
        <f>1100*4</f>
        <v>4400</v>
      </c>
      <c r="M54" s="123"/>
      <c r="N54" s="123"/>
      <c r="O54" s="17"/>
      <c r="P54" s="17"/>
      <c r="Q54" s="17"/>
      <c r="R54" s="17"/>
    </row>
    <row r="55" spans="1:18">
      <c r="A55" s="835"/>
      <c r="B55" s="2406" t="s">
        <v>1863</v>
      </c>
      <c r="C55" s="2406"/>
      <c r="D55" s="2407"/>
      <c r="E55" s="2406">
        <f>VLOOKUP(C61,K14:M20,3,0)</f>
        <v>70</v>
      </c>
      <c r="F55" s="835" t="s">
        <v>466</v>
      </c>
      <c r="G55" s="835"/>
      <c r="H55" s="835"/>
      <c r="I55" s="835"/>
      <c r="J55" s="462"/>
      <c r="K55" s="462"/>
      <c r="L55" s="123">
        <f>L54+L53</f>
        <v>16400</v>
      </c>
      <c r="M55" s="123"/>
      <c r="N55" s="123"/>
      <c r="O55" s="17"/>
      <c r="P55" s="17"/>
      <c r="Q55" s="17"/>
      <c r="R55" s="17"/>
    </row>
    <row r="56" spans="1:18">
      <c r="A56" s="835"/>
      <c r="B56" s="2406"/>
      <c r="C56" s="2406"/>
      <c r="D56" s="2407"/>
      <c r="E56" s="2406"/>
      <c r="F56" s="835"/>
      <c r="G56" s="835"/>
      <c r="H56" s="835"/>
      <c r="I56" s="835"/>
      <c r="J56" s="123"/>
      <c r="K56" s="123"/>
      <c r="L56" s="123"/>
      <c r="M56" s="123"/>
      <c r="N56" s="17"/>
      <c r="O56" s="17"/>
      <c r="P56" s="17"/>
      <c r="Q56" s="17"/>
      <c r="R56" s="17"/>
    </row>
    <row r="57" spans="1:18">
      <c r="A57" s="835"/>
      <c r="B57" s="2406" t="s">
        <v>1864</v>
      </c>
      <c r="C57" s="2406"/>
      <c r="D57" s="2407"/>
      <c r="E57" s="2406" t="s">
        <v>1865</v>
      </c>
      <c r="F57" s="2407"/>
      <c r="G57" s="835" t="s">
        <v>160</v>
      </c>
      <c r="H57" s="835">
        <f>G51/(E55/1000)</f>
        <v>663.65103635745834</v>
      </c>
      <c r="I57" s="835" t="s">
        <v>276</v>
      </c>
      <c r="J57" s="123"/>
      <c r="K57" s="123"/>
      <c r="L57" s="123"/>
      <c r="M57" s="123"/>
      <c r="N57" s="17"/>
      <c r="O57" s="17"/>
      <c r="P57" s="17"/>
      <c r="Q57" s="17"/>
      <c r="R57" s="17"/>
    </row>
    <row r="58" spans="1:18">
      <c r="A58" s="835"/>
      <c r="B58" s="2406"/>
      <c r="C58" s="2406"/>
      <c r="D58" s="2416"/>
      <c r="E58" s="2417" t="s">
        <v>1877</v>
      </c>
      <c r="F58" s="2418"/>
      <c r="G58" s="835"/>
      <c r="H58" s="835"/>
      <c r="I58" s="835"/>
      <c r="J58" s="123"/>
      <c r="K58" s="123"/>
      <c r="L58" s="123"/>
      <c r="M58" s="123"/>
      <c r="N58" s="17"/>
      <c r="O58" s="17"/>
      <c r="P58" s="17"/>
      <c r="Q58" s="17"/>
      <c r="R58" s="17"/>
    </row>
    <row r="59" spans="1:18">
      <c r="A59" s="835"/>
      <c r="B59" s="2406"/>
      <c r="C59" s="2406"/>
      <c r="D59" s="2407"/>
      <c r="E59" s="2406"/>
      <c r="F59" s="835"/>
      <c r="G59" s="835"/>
      <c r="H59" s="835"/>
      <c r="I59" s="835"/>
      <c r="J59" s="462"/>
      <c r="K59" s="462"/>
      <c r="L59" s="462"/>
      <c r="M59" s="462"/>
      <c r="N59" s="462"/>
      <c r="O59" s="462"/>
      <c r="P59" s="462"/>
      <c r="Q59" s="462"/>
      <c r="R59" s="462"/>
    </row>
    <row r="60" spans="1:18">
      <c r="A60" s="835"/>
      <c r="B60" s="2406"/>
      <c r="C60" s="2406"/>
      <c r="D60" s="2407" t="s">
        <v>1867</v>
      </c>
      <c r="E60" s="2406"/>
      <c r="F60" s="835"/>
      <c r="G60" s="835" t="s">
        <v>1868</v>
      </c>
      <c r="H60" s="835"/>
      <c r="I60" s="835"/>
      <c r="J60" s="123"/>
      <c r="K60" s="123"/>
      <c r="L60" s="123"/>
      <c r="M60" s="123"/>
      <c r="N60" s="17"/>
      <c r="O60" s="17"/>
      <c r="P60" s="17"/>
      <c r="Q60" s="17"/>
      <c r="R60" s="17"/>
    </row>
    <row r="61" spans="1:18">
      <c r="A61" s="835"/>
      <c r="B61" s="2406"/>
      <c r="C61" s="2144" t="str">
        <f>IF(G53&lt;=1500,"RSB 1",IF(G53&lt;=5000,"RSB 2",IF(G53&lt;=10000,"RSB 3",IF(G53&lt;=25000,"RSB 4",IF(G53&lt;=45000,"RSB 5",IF(G53&lt;=75000,"RSB 6",IF(G53&lt;=100000,"RSB 7",0)))))))</f>
        <v>RSB 2</v>
      </c>
      <c r="D61" s="2407">
        <f>VLOOKUP(C61,K14:L20,2,0)</f>
        <v>5000</v>
      </c>
      <c r="E61" s="2406" t="s">
        <v>1869</v>
      </c>
      <c r="F61" s="835" t="s">
        <v>1870</v>
      </c>
      <c r="G61" s="2414">
        <f>G53</f>
        <v>4645.5572545022087</v>
      </c>
      <c r="H61" s="835" t="s">
        <v>1861</v>
      </c>
      <c r="I61" s="835"/>
      <c r="J61" s="123"/>
      <c r="K61" s="123"/>
      <c r="L61" s="123"/>
      <c r="M61" s="123"/>
      <c r="N61" s="17"/>
      <c r="O61" s="17"/>
      <c r="P61" s="17"/>
      <c r="Q61" s="17"/>
      <c r="R61" s="17"/>
    </row>
    <row r="62" spans="1:18">
      <c r="A62" s="835"/>
      <c r="B62" s="2406"/>
      <c r="C62" s="2406"/>
      <c r="D62" s="2407"/>
      <c r="E62" s="2406"/>
      <c r="F62" s="835"/>
      <c r="G62" s="835"/>
      <c r="H62" s="835"/>
      <c r="I62" s="835"/>
      <c r="J62" s="462"/>
      <c r="K62" s="462"/>
      <c r="L62" s="462"/>
      <c r="M62" s="462"/>
      <c r="N62" s="462"/>
      <c r="O62" s="462"/>
      <c r="P62" s="462"/>
      <c r="Q62" s="462"/>
      <c r="R62" s="462"/>
    </row>
    <row r="63" spans="1:18">
      <c r="A63" s="835"/>
      <c r="B63" s="2406"/>
      <c r="C63" s="2406" t="s">
        <v>473</v>
      </c>
      <c r="D63" s="2407" t="str">
        <f>IF(D61&gt;G61,"Buffer Is SAFE","Buffer Is Not SAFE")</f>
        <v>Buffer Is SAFE</v>
      </c>
      <c r="E63" s="2406"/>
      <c r="F63" s="835"/>
      <c r="G63" s="835" t="s">
        <v>1871</v>
      </c>
      <c r="H63" s="835">
        <f>VLOOKUP(C61,K14:Q20,7,0)</f>
        <v>1600</v>
      </c>
      <c r="I63" s="835" t="s">
        <v>1872</v>
      </c>
      <c r="J63" s="123"/>
      <c r="K63" s="123"/>
      <c r="L63" s="123"/>
      <c r="M63" s="123"/>
      <c r="N63" s="17"/>
      <c r="O63" s="17"/>
      <c r="P63" s="17"/>
      <c r="Q63" s="17"/>
      <c r="R63" s="17"/>
    </row>
    <row r="64" spans="1:18">
      <c r="A64" s="835"/>
      <c r="B64" s="2406"/>
      <c r="C64" s="2406"/>
      <c r="D64" s="2407"/>
      <c r="E64" s="2406"/>
      <c r="F64" s="835"/>
      <c r="G64" s="835"/>
      <c r="H64" s="835"/>
      <c r="I64" s="835"/>
      <c r="J64" s="462"/>
      <c r="K64" s="462"/>
      <c r="L64" s="462"/>
      <c r="M64" s="462"/>
      <c r="N64" s="462"/>
      <c r="O64" s="462"/>
      <c r="P64" s="462"/>
      <c r="Q64" s="462"/>
      <c r="R64" s="462"/>
    </row>
    <row r="65" spans="1:18">
      <c r="A65" s="835"/>
      <c r="B65" s="2406" t="str">
        <f>"Hence "&amp;C61&amp;" Buffer with "&amp;D61&amp;" Kg-Cm."</f>
        <v>Hence RSB 2 Buffer with 5000 Kg-Cm.</v>
      </c>
      <c r="C65" s="2406"/>
      <c r="D65" s="2407"/>
      <c r="E65" s="2406"/>
      <c r="F65" s="835"/>
      <c r="G65" s="835"/>
      <c r="H65" s="835"/>
      <c r="I65" s="835"/>
      <c r="J65" s="123"/>
      <c r="K65" s="123"/>
      <c r="L65" s="123"/>
      <c r="M65" s="123"/>
      <c r="N65" s="17"/>
      <c r="O65" s="17"/>
      <c r="P65" s="17"/>
      <c r="Q65" s="17"/>
      <c r="R65" s="17"/>
    </row>
  </sheetData>
  <mergeCells count="9">
    <mergeCell ref="N12:N13"/>
    <mergeCell ref="O12:O13"/>
    <mergeCell ref="P12:P13"/>
    <mergeCell ref="Q12:Q13"/>
    <mergeCell ref="A1:I1"/>
    <mergeCell ref="B2:I2"/>
    <mergeCell ref="K12:K13"/>
    <mergeCell ref="L12:L13"/>
    <mergeCell ref="M12:M13"/>
  </mergeCells>
  <pageMargins left="0.75" right="0.75" top="1" bottom="1" header="0.51041666666666696" footer="0.51041666666666696"/>
  <pageSetup paperSize="9" scale="73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290"/>
  <sheetViews>
    <sheetView view="pageBreakPreview" topLeftCell="A34" zoomScale="115" zoomScaleSheetLayoutView="115" workbookViewId="0">
      <selection activeCell="E24" sqref="E24"/>
    </sheetView>
  </sheetViews>
  <sheetFormatPr defaultColWidth="9.1328125" defaultRowHeight="14.25"/>
  <cols>
    <col min="1" max="2" width="9.1328125" style="22"/>
    <col min="3" max="3" width="12.53125" style="22"/>
    <col min="4" max="4" width="9.1328125" style="22"/>
    <col min="5" max="5" width="14.86328125" style="22"/>
    <col min="6" max="6" width="9.1328125" style="22"/>
    <col min="7" max="7" width="12.1328125" style="22"/>
    <col min="8" max="8" width="16.33203125" style="22"/>
    <col min="9" max="16384" width="9.1328125" style="22"/>
  </cols>
  <sheetData>
    <row r="1" spans="1:10">
      <c r="A1" s="88"/>
      <c r="B1" s="88"/>
      <c r="C1" s="20"/>
      <c r="D1" s="20"/>
      <c r="E1" s="20"/>
      <c r="F1" s="20"/>
      <c r="G1" s="67"/>
      <c r="H1" s="20"/>
      <c r="I1" s="19"/>
      <c r="J1" s="20"/>
    </row>
    <row r="2" spans="1:10">
      <c r="A2" s="88"/>
      <c r="B2" s="88"/>
      <c r="C2" s="20"/>
      <c r="D2" s="20"/>
      <c r="E2" s="20"/>
      <c r="F2" s="20"/>
      <c r="G2" s="67"/>
      <c r="H2" s="20"/>
      <c r="I2" s="19"/>
      <c r="J2" s="20"/>
    </row>
    <row r="3" spans="1:10">
      <c r="A3" s="88"/>
      <c r="B3" s="88"/>
      <c r="C3" s="20"/>
      <c r="D3" s="20"/>
      <c r="E3" s="19"/>
      <c r="F3" s="19"/>
      <c r="G3" s="19"/>
      <c r="H3" s="19"/>
      <c r="I3" s="17"/>
      <c r="J3" s="19"/>
    </row>
    <row r="4" spans="1:10">
      <c r="A4" s="3791" t="s">
        <v>2789</v>
      </c>
      <c r="B4" s="3791"/>
      <c r="C4" s="3791"/>
      <c r="D4" s="3791"/>
      <c r="E4" s="3791"/>
      <c r="F4" s="3791"/>
      <c r="G4" s="3791"/>
      <c r="H4" s="3791"/>
      <c r="I4" s="3791"/>
      <c r="J4" s="3791"/>
    </row>
    <row r="5" spans="1:10">
      <c r="A5" s="88"/>
      <c r="B5" s="88"/>
      <c r="C5" s="20"/>
      <c r="D5" s="19"/>
      <c r="E5" s="17"/>
      <c r="F5" s="67"/>
      <c r="G5" s="19"/>
      <c r="H5" s="17"/>
      <c r="I5" s="19"/>
      <c r="J5" s="19"/>
    </row>
    <row r="6" spans="1:10">
      <c r="A6" s="88"/>
      <c r="B6" s="88"/>
      <c r="C6" s="20"/>
      <c r="D6" s="19"/>
      <c r="E6" s="17"/>
      <c r="F6" s="67"/>
      <c r="G6" s="19"/>
      <c r="H6" s="17"/>
      <c r="I6" s="19"/>
      <c r="J6" s="19"/>
    </row>
    <row r="7" spans="1:10">
      <c r="A7" s="88"/>
      <c r="B7" s="88"/>
      <c r="C7" s="20"/>
      <c r="D7" s="19"/>
      <c r="E7" s="17"/>
      <c r="F7" s="67"/>
      <c r="G7" s="19"/>
      <c r="H7" s="17"/>
      <c r="I7" s="19"/>
      <c r="J7" s="19"/>
    </row>
    <row r="8" spans="1:10">
      <c r="A8" s="88"/>
      <c r="B8" s="88"/>
      <c r="C8" s="20"/>
      <c r="D8" s="19"/>
      <c r="E8" s="17"/>
      <c r="F8" s="67"/>
      <c r="G8" s="19"/>
      <c r="H8" s="17"/>
      <c r="I8" s="19"/>
      <c r="J8" s="19"/>
    </row>
    <row r="9" spans="1:10">
      <c r="A9" s="3791" t="s">
        <v>1878</v>
      </c>
      <c r="B9" s="3791"/>
      <c r="C9" s="3791"/>
      <c r="D9" s="3791"/>
      <c r="E9" s="3791"/>
      <c r="F9" s="3791"/>
      <c r="G9" s="3791"/>
      <c r="H9" s="3791"/>
      <c r="I9" s="3791"/>
      <c r="J9" s="3791"/>
    </row>
    <row r="10" spans="1:10">
      <c r="A10" s="3791" t="s">
        <v>1879</v>
      </c>
      <c r="B10" s="3791"/>
      <c r="C10" s="3791"/>
      <c r="D10" s="3791"/>
      <c r="E10" s="3791"/>
      <c r="F10" s="3791"/>
      <c r="G10" s="3791"/>
      <c r="H10" s="3791"/>
      <c r="I10" s="3791"/>
      <c r="J10" s="3791"/>
    </row>
    <row r="11" spans="1:10">
      <c r="A11" s="88"/>
      <c r="B11" s="88"/>
      <c r="C11" s="20"/>
      <c r="D11" s="19"/>
      <c r="E11" s="20"/>
      <c r="F11" s="17"/>
      <c r="G11" s="19"/>
      <c r="H11" s="19"/>
      <c r="I11" s="17"/>
      <c r="J11" s="19"/>
    </row>
    <row r="12" spans="1:10">
      <c r="A12" s="3695" t="s">
        <v>0</v>
      </c>
      <c r="B12" s="3695"/>
      <c r="C12" s="3695"/>
      <c r="D12" s="3695"/>
      <c r="E12" s="3695"/>
      <c r="F12" s="3695"/>
      <c r="G12" s="3695"/>
      <c r="H12" s="3695"/>
      <c r="I12" s="3695"/>
      <c r="J12" s="3695"/>
    </row>
    <row r="13" spans="1:10">
      <c r="A13" s="3791" t="str">
        <f>input!G6</f>
        <v>25/15T X 15M Span</v>
      </c>
      <c r="B13" s="3791"/>
      <c r="C13" s="3791"/>
      <c r="D13" s="3791"/>
      <c r="E13" s="3791"/>
      <c r="F13" s="3791"/>
      <c r="G13" s="3791"/>
      <c r="H13" s="3791"/>
      <c r="I13" s="3791"/>
      <c r="J13" s="3791"/>
    </row>
    <row r="14" spans="1:10">
      <c r="A14" s="3791">
        <f>input!I6</f>
        <v>0</v>
      </c>
      <c r="B14" s="3791"/>
      <c r="C14" s="3791"/>
      <c r="D14" s="3791"/>
      <c r="E14" s="3791"/>
      <c r="F14" s="3791"/>
      <c r="G14" s="3791"/>
      <c r="H14" s="3791"/>
      <c r="I14" s="3791"/>
      <c r="J14" s="3791"/>
    </row>
    <row r="15" spans="1:10">
      <c r="A15" s="88"/>
      <c r="B15" s="88"/>
      <c r="C15" s="20"/>
      <c r="D15" s="20"/>
      <c r="E15" s="20"/>
      <c r="F15" s="20"/>
      <c r="G15" s="19"/>
      <c r="H15" s="19"/>
      <c r="I15" s="17"/>
      <c r="J15" s="19"/>
    </row>
    <row r="16" spans="1:10">
      <c r="A16" s="88"/>
      <c r="B16" s="19"/>
      <c r="C16" s="88"/>
      <c r="D16" s="20"/>
      <c r="E16" s="20"/>
      <c r="F16" s="17"/>
      <c r="G16" s="20"/>
      <c r="H16" s="19"/>
      <c r="I16" s="20"/>
      <c r="J16" s="20"/>
    </row>
    <row r="17" spans="1:10">
      <c r="A17" s="88"/>
      <c r="B17" s="88"/>
      <c r="C17" s="19"/>
      <c r="D17" s="19"/>
      <c r="E17" s="20"/>
      <c r="F17" s="17"/>
      <c r="G17" s="20"/>
      <c r="H17" s="19"/>
      <c r="I17" s="20"/>
      <c r="J17" s="20"/>
    </row>
    <row r="18" spans="1:10">
      <c r="A18" s="88"/>
      <c r="B18" s="88"/>
      <c r="C18" s="19"/>
      <c r="D18" s="19"/>
      <c r="E18" s="19"/>
      <c r="F18" s="17"/>
      <c r="G18" s="20"/>
      <c r="H18" s="19"/>
      <c r="I18" s="20"/>
      <c r="J18" s="20"/>
    </row>
    <row r="19" spans="1:10">
      <c r="A19" s="88"/>
      <c r="B19" s="88"/>
      <c r="C19" s="193" t="s">
        <v>1515</v>
      </c>
      <c r="D19" s="51" t="s">
        <v>1880</v>
      </c>
      <c r="E19" s="193">
        <f>'E Data'!D7</f>
        <v>0</v>
      </c>
      <c r="F19" s="17"/>
      <c r="G19" s="20"/>
      <c r="H19" s="19"/>
      <c r="I19" s="20"/>
      <c r="J19" s="20"/>
    </row>
    <row r="20" spans="1:10">
      <c r="A20" s="88"/>
      <c r="B20" s="88"/>
      <c r="C20" s="51"/>
      <c r="D20" s="51"/>
      <c r="E20" s="51"/>
      <c r="F20" s="67"/>
      <c r="G20" s="20"/>
      <c r="H20" s="19"/>
      <c r="I20" s="20"/>
      <c r="J20" s="20"/>
    </row>
    <row r="21" spans="1:10">
      <c r="A21" s="88"/>
      <c r="B21" s="88"/>
      <c r="C21" s="51" t="s">
        <v>1881</v>
      </c>
      <c r="D21" s="51" t="s">
        <v>1880</v>
      </c>
      <c r="E21" s="193"/>
      <c r="F21" s="67"/>
      <c r="G21" s="20"/>
      <c r="H21" s="19"/>
      <c r="I21" s="20"/>
      <c r="J21" s="20"/>
    </row>
    <row r="22" spans="1:10">
      <c r="A22" s="88"/>
      <c r="B22" s="88"/>
      <c r="C22" s="182"/>
      <c r="D22" s="51"/>
      <c r="E22" s="51"/>
      <c r="F22" s="19"/>
      <c r="G22" s="20"/>
      <c r="H22" s="19"/>
      <c r="I22" s="20"/>
      <c r="J22" s="20"/>
    </row>
    <row r="23" spans="1:10">
      <c r="A23" s="88"/>
      <c r="B23" s="88"/>
      <c r="C23" s="182" t="s">
        <v>1882</v>
      </c>
      <c r="D23" s="51" t="s">
        <v>1880</v>
      </c>
      <c r="E23" s="2419"/>
      <c r="F23" s="19"/>
      <c r="G23" s="20"/>
      <c r="H23" s="19"/>
      <c r="I23" s="20"/>
      <c r="J23" s="20"/>
    </row>
    <row r="24" spans="1:10">
      <c r="A24" s="88"/>
      <c r="B24" s="88"/>
      <c r="C24" s="182"/>
      <c r="D24" s="51"/>
      <c r="E24" s="51"/>
      <c r="F24" s="67"/>
      <c r="G24" s="20"/>
      <c r="H24" s="19"/>
      <c r="I24" s="20"/>
      <c r="J24" s="20"/>
    </row>
    <row r="25" spans="1:10">
      <c r="A25" s="88"/>
      <c r="B25" s="88"/>
      <c r="C25" s="182" t="str">
        <f>input!J2</f>
        <v>Rev No:-</v>
      </c>
      <c r="D25" s="51" t="s">
        <v>1880</v>
      </c>
      <c r="E25" s="2419" t="str">
        <f>'E Data'!B4</f>
        <v>R00</v>
      </c>
      <c r="F25" s="67"/>
      <c r="G25" s="20"/>
      <c r="H25" s="19"/>
      <c r="I25" s="20"/>
      <c r="J25" s="20"/>
    </row>
    <row r="26" spans="1:10">
      <c r="A26" s="88"/>
      <c r="B26" s="88"/>
      <c r="C26" s="182"/>
      <c r="D26" s="51"/>
      <c r="E26" s="2419"/>
      <c r="F26" s="67"/>
      <c r="G26" s="20"/>
      <c r="H26" s="19"/>
      <c r="I26" s="20"/>
      <c r="J26" s="20"/>
    </row>
    <row r="27" spans="1:10">
      <c r="A27" s="88"/>
      <c r="B27" s="88"/>
      <c r="C27" s="182" t="s">
        <v>1883</v>
      </c>
      <c r="D27" s="51" t="s">
        <v>1880</v>
      </c>
      <c r="E27" s="2420">
        <f>'E Data'!E6</f>
        <v>0</v>
      </c>
      <c r="F27" s="67"/>
      <c r="G27" s="20"/>
      <c r="H27" s="19"/>
      <c r="I27" s="20"/>
      <c r="J27" s="20"/>
    </row>
    <row r="28" spans="1:10">
      <c r="A28" s="88"/>
      <c r="B28" s="88"/>
      <c r="C28" s="20"/>
      <c r="D28" s="19"/>
      <c r="E28" s="19"/>
      <c r="F28" s="19"/>
      <c r="G28" s="20"/>
      <c r="H28" s="19"/>
      <c r="I28" s="20"/>
      <c r="J28" s="20"/>
    </row>
    <row r="29" spans="1:10">
      <c r="A29" s="88"/>
      <c r="B29" s="88"/>
      <c r="C29" s="20"/>
      <c r="D29" s="20"/>
      <c r="E29" s="20"/>
      <c r="F29" s="20"/>
      <c r="G29" s="67"/>
      <c r="H29" s="20"/>
      <c r="I29" s="19"/>
      <c r="J29" s="20"/>
    </row>
    <row r="30" spans="1:10">
      <c r="A30" s="88"/>
      <c r="B30" s="88"/>
      <c r="C30" s="20"/>
      <c r="D30" s="20"/>
      <c r="E30" s="20"/>
      <c r="F30" s="20"/>
      <c r="G30" s="67"/>
      <c r="H30" s="20"/>
      <c r="I30" s="19"/>
      <c r="J30" s="20"/>
    </row>
    <row r="31" spans="1:10">
      <c r="A31" s="88"/>
      <c r="B31" s="88"/>
      <c r="C31" s="20"/>
      <c r="D31" s="20"/>
      <c r="E31" s="20"/>
      <c r="F31" s="20"/>
      <c r="G31" s="67"/>
      <c r="H31" s="20"/>
      <c r="I31" s="19"/>
      <c r="J31" s="20"/>
    </row>
    <row r="32" spans="1:10">
      <c r="A32" s="88"/>
      <c r="B32" s="88"/>
      <c r="C32" s="20"/>
      <c r="D32" s="20"/>
      <c r="E32" s="20"/>
      <c r="F32" s="20"/>
      <c r="G32" s="67"/>
      <c r="H32" s="20"/>
      <c r="I32" s="19"/>
      <c r="J32" s="20"/>
    </row>
    <row r="33" spans="1:10">
      <c r="A33" s="88"/>
      <c r="B33" s="88"/>
      <c r="C33" s="20"/>
      <c r="D33" s="20"/>
      <c r="E33" s="20"/>
      <c r="F33" s="20"/>
      <c r="G33" s="67"/>
      <c r="H33" s="20"/>
      <c r="I33" s="19"/>
      <c r="J33" s="20"/>
    </row>
    <row r="34" spans="1:10">
      <c r="A34" s="88"/>
      <c r="B34" s="88"/>
      <c r="C34" s="20"/>
      <c r="D34" s="20"/>
      <c r="E34" s="193" t="s">
        <v>4</v>
      </c>
      <c r="F34" s="67"/>
      <c r="G34" s="20"/>
      <c r="H34" s="19"/>
      <c r="I34" s="20"/>
      <c r="J34" s="20"/>
    </row>
    <row r="35" spans="1:10">
      <c r="A35" s="88"/>
      <c r="B35" s="88"/>
      <c r="C35" s="20"/>
      <c r="D35" s="20"/>
      <c r="E35" s="20"/>
      <c r="F35" s="20"/>
      <c r="G35" s="67"/>
      <c r="H35" s="20"/>
      <c r="I35" s="19"/>
      <c r="J35" s="20"/>
    </row>
    <row r="36" spans="1:10">
      <c r="A36" s="88"/>
      <c r="B36" s="88"/>
      <c r="C36" s="20"/>
      <c r="D36" s="20"/>
      <c r="E36" s="20"/>
      <c r="F36" s="20"/>
      <c r="G36" s="67"/>
      <c r="H36" s="20"/>
      <c r="I36" s="19"/>
      <c r="J36" s="20"/>
    </row>
    <row r="37" spans="1:10">
      <c r="A37" s="88"/>
      <c r="B37" s="88"/>
      <c r="C37" s="88" t="s">
        <v>1884</v>
      </c>
      <c r="D37" s="88"/>
      <c r="E37" s="20"/>
      <c r="F37" s="20"/>
      <c r="G37" s="20"/>
      <c r="H37" s="19"/>
      <c r="I37" s="20"/>
      <c r="J37" s="20"/>
    </row>
    <row r="38" spans="1:10">
      <c r="A38" s="88"/>
      <c r="B38" s="88"/>
      <c r="C38" s="88"/>
      <c r="D38" s="88"/>
      <c r="E38" s="20"/>
      <c r="F38" s="20"/>
      <c r="G38" s="20"/>
      <c r="H38" s="19"/>
      <c r="I38" s="20"/>
      <c r="J38" s="20"/>
    </row>
    <row r="39" spans="1:10">
      <c r="A39" s="88"/>
      <c r="B39" s="88"/>
      <c r="C39" s="88" t="s">
        <v>1885</v>
      </c>
      <c r="D39" s="88"/>
      <c r="E39" s="20"/>
      <c r="F39" s="20"/>
      <c r="G39" s="20"/>
      <c r="H39" s="19"/>
      <c r="I39" s="20"/>
      <c r="J39" s="20"/>
    </row>
    <row r="40" spans="1:10">
      <c r="A40" s="88"/>
      <c r="B40" s="88"/>
      <c r="C40" s="88"/>
      <c r="D40" s="88"/>
      <c r="E40" s="20"/>
      <c r="F40" s="20"/>
      <c r="G40" s="20"/>
      <c r="H40" s="19"/>
      <c r="I40" s="20"/>
      <c r="J40" s="20"/>
    </row>
    <row r="41" spans="1:10">
      <c r="A41" s="88"/>
      <c r="B41" s="88"/>
      <c r="C41" s="88" t="s">
        <v>1886</v>
      </c>
      <c r="D41" s="88"/>
      <c r="E41" s="20"/>
      <c r="F41" s="20"/>
      <c r="G41" s="20"/>
      <c r="H41" s="19"/>
      <c r="I41" s="20"/>
      <c r="J41" s="20"/>
    </row>
    <row r="42" spans="1:10">
      <c r="A42" s="88"/>
      <c r="B42" s="88"/>
      <c r="C42" s="88"/>
      <c r="D42" s="88"/>
      <c r="E42" s="20"/>
      <c r="F42" s="20"/>
      <c r="G42" s="20"/>
      <c r="H42" s="19"/>
      <c r="I42" s="20"/>
      <c r="J42" s="20"/>
    </row>
    <row r="43" spans="1:10">
      <c r="A43" s="88"/>
      <c r="B43" s="88"/>
      <c r="C43" s="88" t="s">
        <v>1887</v>
      </c>
      <c r="D43" s="88"/>
      <c r="E43" s="20"/>
      <c r="F43" s="20"/>
      <c r="G43" s="20"/>
      <c r="H43" s="19"/>
      <c r="I43" s="20"/>
      <c r="J43" s="20"/>
    </row>
    <row r="44" spans="1:10">
      <c r="A44" s="88"/>
      <c r="B44" s="88"/>
      <c r="C44" s="88"/>
      <c r="D44" s="88"/>
      <c r="E44" s="20"/>
      <c r="F44" s="20"/>
      <c r="G44" s="20"/>
      <c r="H44" s="19"/>
      <c r="I44" s="20"/>
      <c r="J44" s="20"/>
    </row>
    <row r="45" spans="1:10">
      <c r="A45" s="88"/>
      <c r="B45" s="88"/>
      <c r="C45" s="88" t="s">
        <v>1888</v>
      </c>
      <c r="D45" s="88"/>
      <c r="E45" s="20"/>
      <c r="F45" s="20"/>
      <c r="G45" s="20"/>
      <c r="H45" s="19"/>
      <c r="I45" s="20"/>
      <c r="J45" s="20"/>
    </row>
    <row r="46" spans="1:10">
      <c r="A46" s="88"/>
      <c r="B46" s="88"/>
      <c r="C46" s="88"/>
      <c r="D46" s="88"/>
      <c r="E46" s="20"/>
      <c r="F46" s="20"/>
      <c r="G46" s="20"/>
      <c r="H46" s="19"/>
      <c r="I46" s="20"/>
      <c r="J46" s="20"/>
    </row>
    <row r="47" spans="1:10">
      <c r="A47" s="88"/>
      <c r="B47" s="88"/>
      <c r="C47" s="88" t="s">
        <v>1889</v>
      </c>
      <c r="D47" s="88"/>
      <c r="E47" s="20"/>
      <c r="F47" s="20"/>
      <c r="G47" s="20"/>
      <c r="H47" s="19"/>
      <c r="I47" s="20"/>
      <c r="J47" s="20"/>
    </row>
    <row r="48" spans="1:10">
      <c r="A48" s="88"/>
      <c r="B48" s="88"/>
      <c r="C48" s="88"/>
      <c r="D48" s="88"/>
      <c r="E48" s="20"/>
      <c r="F48" s="20"/>
      <c r="G48" s="20"/>
      <c r="H48" s="19"/>
      <c r="I48" s="20"/>
      <c r="J48" s="20"/>
    </row>
    <row r="49" spans="1:10">
      <c r="A49" s="88"/>
      <c r="B49" s="88"/>
      <c r="C49" s="88" t="s">
        <v>1890</v>
      </c>
      <c r="D49" s="88"/>
      <c r="E49" s="20"/>
      <c r="F49" s="20"/>
      <c r="G49" s="20"/>
      <c r="H49" s="19"/>
      <c r="I49" s="20"/>
      <c r="J49" s="20"/>
    </row>
    <row r="50" spans="1:10">
      <c r="A50" s="88"/>
      <c r="B50" s="88"/>
      <c r="C50" s="88"/>
      <c r="D50" s="88"/>
      <c r="E50" s="20"/>
      <c r="F50" s="20"/>
      <c r="G50" s="20"/>
      <c r="H50" s="19"/>
      <c r="I50" s="20"/>
      <c r="J50" s="20"/>
    </row>
    <row r="51" spans="1:10">
      <c r="A51" s="88"/>
      <c r="B51" s="88"/>
      <c r="C51" s="88" t="s">
        <v>1891</v>
      </c>
      <c r="D51" s="88"/>
      <c r="E51" s="20"/>
      <c r="F51" s="20"/>
      <c r="G51" s="20"/>
      <c r="H51" s="19"/>
      <c r="I51" s="20"/>
      <c r="J51" s="20"/>
    </row>
    <row r="52" spans="1:10">
      <c r="A52" s="88"/>
      <c r="B52" s="88"/>
      <c r="C52" s="88"/>
      <c r="D52" s="88"/>
      <c r="E52" s="20"/>
      <c r="F52" s="20"/>
      <c r="G52" s="20"/>
      <c r="H52" s="19"/>
      <c r="I52" s="20"/>
      <c r="J52" s="20"/>
    </row>
    <row r="53" spans="1:10">
      <c r="A53" s="88"/>
      <c r="B53" s="88"/>
      <c r="C53" s="88"/>
      <c r="D53" s="88"/>
      <c r="E53" s="20"/>
      <c r="F53" s="67"/>
      <c r="G53" s="20"/>
      <c r="H53" s="19"/>
      <c r="I53" s="20"/>
      <c r="J53" s="20"/>
    </row>
    <row r="54" spans="1:10">
      <c r="A54" s="88"/>
      <c r="B54" s="88"/>
      <c r="C54" s="20"/>
      <c r="D54" s="20"/>
      <c r="E54" s="20"/>
      <c r="F54" s="20"/>
      <c r="G54" s="67"/>
      <c r="H54" s="20"/>
      <c r="I54" s="19"/>
      <c r="J54" s="20"/>
    </row>
    <row r="55" spans="1:10">
      <c r="A55" s="193" t="s">
        <v>1892</v>
      </c>
      <c r="B55" s="88"/>
      <c r="C55" s="20"/>
      <c r="D55" s="20"/>
      <c r="E55" s="20"/>
      <c r="F55" s="67"/>
      <c r="G55" s="20"/>
      <c r="H55" s="19"/>
      <c r="I55" s="20"/>
      <c r="J55" s="20"/>
    </row>
    <row r="56" spans="1:10">
      <c r="A56" s="88"/>
      <c r="B56" s="88"/>
      <c r="C56" s="20"/>
      <c r="D56" s="20"/>
      <c r="E56" s="20"/>
      <c r="F56" s="20"/>
      <c r="G56" s="67"/>
      <c r="H56" s="20"/>
      <c r="I56" s="19"/>
      <c r="J56" s="20"/>
    </row>
    <row r="57" spans="1:10">
      <c r="A57" s="88"/>
      <c r="B57" s="88"/>
      <c r="C57" s="20"/>
      <c r="D57" s="20"/>
      <c r="E57" s="20"/>
      <c r="F57" s="20"/>
      <c r="G57" s="67"/>
      <c r="H57" s="20"/>
      <c r="I57" s="19"/>
      <c r="J57" s="20"/>
    </row>
    <row r="58" spans="1:10">
      <c r="A58" s="88" t="s">
        <v>1893</v>
      </c>
      <c r="B58" s="88"/>
      <c r="C58" s="20"/>
      <c r="D58" s="20"/>
      <c r="E58" s="20"/>
      <c r="F58" s="20"/>
      <c r="G58" s="67"/>
      <c r="H58" s="20"/>
      <c r="I58" s="19"/>
      <c r="J58" s="20"/>
    </row>
    <row r="59" spans="1:10">
      <c r="A59" s="88"/>
      <c r="B59" s="88"/>
      <c r="C59" s="20"/>
      <c r="D59" s="20"/>
      <c r="E59" s="20"/>
      <c r="F59" s="20"/>
      <c r="G59" s="67"/>
      <c r="H59" s="20"/>
      <c r="I59" s="19"/>
      <c r="J59" s="20"/>
    </row>
    <row r="60" spans="1:10">
      <c r="A60" s="88" t="s">
        <v>1894</v>
      </c>
      <c r="B60" s="88"/>
      <c r="C60" s="20"/>
      <c r="D60" s="20"/>
      <c r="E60" s="20"/>
      <c r="F60" s="20"/>
      <c r="G60" s="67"/>
      <c r="H60" s="20"/>
      <c r="I60" s="19"/>
      <c r="J60" s="20"/>
    </row>
    <row r="61" spans="1:10">
      <c r="A61" s="88" t="s">
        <v>1895</v>
      </c>
      <c r="B61" s="88"/>
      <c r="C61" s="20"/>
      <c r="D61" s="20"/>
      <c r="E61" s="20"/>
      <c r="F61" s="20"/>
      <c r="G61" s="67"/>
      <c r="H61" s="20"/>
      <c r="I61" s="19"/>
      <c r="J61" s="20"/>
    </row>
    <row r="62" spans="1:10">
      <c r="A62" s="88"/>
      <c r="B62" s="88"/>
      <c r="C62" s="20"/>
      <c r="D62" s="20"/>
      <c r="E62" s="20"/>
      <c r="F62" s="20"/>
      <c r="G62" s="67"/>
      <c r="H62" s="20"/>
      <c r="I62" s="19"/>
      <c r="J62" s="20"/>
    </row>
    <row r="63" spans="1:10">
      <c r="A63" s="88" t="s">
        <v>1896</v>
      </c>
      <c r="B63" s="88"/>
      <c r="C63" s="20"/>
      <c r="D63" s="20"/>
      <c r="E63" s="20"/>
      <c r="F63" s="20"/>
      <c r="G63" s="67"/>
      <c r="H63" s="20"/>
      <c r="I63" s="19"/>
      <c r="J63" s="20"/>
    </row>
    <row r="64" spans="1:10">
      <c r="A64" s="88"/>
      <c r="B64" s="88"/>
      <c r="C64" s="20"/>
      <c r="D64" s="20"/>
      <c r="E64" s="20"/>
      <c r="F64" s="20"/>
      <c r="G64" s="67"/>
      <c r="H64" s="20"/>
      <c r="I64" s="19"/>
      <c r="J64" s="20"/>
    </row>
    <row r="65" spans="1:10">
      <c r="A65" s="88" t="s">
        <v>1885</v>
      </c>
      <c r="B65" s="88"/>
      <c r="C65" s="20"/>
      <c r="D65" s="20"/>
      <c r="E65" s="20"/>
      <c r="F65" s="20"/>
      <c r="G65" s="67"/>
      <c r="H65" s="20"/>
      <c r="I65" s="19"/>
      <c r="J65" s="20"/>
    </row>
    <row r="66" spans="1:10">
      <c r="A66" s="88"/>
      <c r="B66" s="88"/>
      <c r="C66" s="20"/>
      <c r="D66" s="20"/>
      <c r="E66" s="20"/>
      <c r="F66" s="20"/>
      <c r="G66" s="67"/>
      <c r="H66" s="20"/>
      <c r="I66" s="19"/>
      <c r="J66" s="20"/>
    </row>
    <row r="67" spans="1:10">
      <c r="A67" s="88">
        <v>2</v>
      </c>
      <c r="B67" s="88" t="s">
        <v>1897</v>
      </c>
      <c r="C67" s="20"/>
      <c r="D67" s="20"/>
      <c r="E67" s="20"/>
      <c r="F67" s="20"/>
      <c r="G67" s="67"/>
      <c r="H67" s="88" t="e">
        <f>input!ESt</f>
        <v>#NAME?</v>
      </c>
      <c r="I67" s="19"/>
      <c r="J67" s="20"/>
    </row>
    <row r="68" spans="1:10">
      <c r="A68" s="88">
        <v>2.1</v>
      </c>
      <c r="B68" s="88" t="s">
        <v>1898</v>
      </c>
      <c r="C68" s="20"/>
      <c r="D68" s="20"/>
      <c r="E68" s="20"/>
      <c r="F68" s="20"/>
      <c r="G68" s="67"/>
      <c r="H68" s="67">
        <f>input!H10</f>
        <v>1500</v>
      </c>
      <c r="I68" s="19" t="s">
        <v>1524</v>
      </c>
      <c r="J68" s="20"/>
    </row>
    <row r="69" spans="1:10">
      <c r="A69" s="88">
        <v>2.2000000000000002</v>
      </c>
      <c r="B69" s="88" t="s">
        <v>1899</v>
      </c>
      <c r="C69" s="20"/>
      <c r="D69" s="20"/>
      <c r="E69" s="20"/>
      <c r="F69" s="20"/>
      <c r="G69" s="67"/>
      <c r="H69" s="67">
        <f>input!H11</f>
        <v>25624.999999999996</v>
      </c>
      <c r="I69" s="19" t="s">
        <v>276</v>
      </c>
      <c r="J69" s="20"/>
    </row>
    <row r="70" spans="1:10">
      <c r="A70" s="88">
        <v>2.2999999999999998</v>
      </c>
      <c r="B70" s="88" t="s">
        <v>1900</v>
      </c>
      <c r="C70" s="20"/>
      <c r="D70" s="88" t="str">
        <f>input!F12</f>
        <v>M5</v>
      </c>
      <c r="E70" s="20"/>
      <c r="F70" s="20"/>
      <c r="G70" s="67"/>
      <c r="H70" s="2421">
        <f>input!H13</f>
        <v>1.32</v>
      </c>
      <c r="I70" s="19"/>
      <c r="J70" s="20"/>
    </row>
    <row r="71" spans="1:10">
      <c r="A71" s="88">
        <v>2.4</v>
      </c>
      <c r="B71" s="88" t="s">
        <v>1901</v>
      </c>
      <c r="C71" s="20"/>
      <c r="D71" s="20"/>
      <c r="E71" s="20"/>
      <c r="F71" s="20"/>
      <c r="G71" s="67"/>
      <c r="H71" s="67">
        <f>input!H14</f>
        <v>4375</v>
      </c>
      <c r="I71" s="19" t="s">
        <v>276</v>
      </c>
      <c r="J71" s="20"/>
    </row>
    <row r="72" spans="1:10">
      <c r="A72" s="88" t="s">
        <v>1902</v>
      </c>
      <c r="B72" s="88" t="s">
        <v>1536</v>
      </c>
      <c r="C72" s="20"/>
      <c r="D72" s="20"/>
      <c r="E72" s="20"/>
      <c r="F72" s="20"/>
      <c r="G72" s="67"/>
      <c r="H72" s="67">
        <f>input!H15</f>
        <v>150</v>
      </c>
      <c r="I72" s="19" t="s">
        <v>1524</v>
      </c>
      <c r="J72" s="20"/>
    </row>
    <row r="73" spans="1:10">
      <c r="A73" s="88">
        <v>2.5</v>
      </c>
      <c r="B73" s="88" t="s">
        <v>1903</v>
      </c>
      <c r="C73" s="20"/>
      <c r="D73" s="20"/>
      <c r="E73" s="20"/>
      <c r="F73" s="20"/>
      <c r="G73" s="67"/>
      <c r="H73" s="67">
        <f>input!H16</f>
        <v>4</v>
      </c>
      <c r="I73" s="19" t="s">
        <v>1539</v>
      </c>
      <c r="J73" s="20"/>
    </row>
    <row r="74" spans="1:10">
      <c r="A74" s="88">
        <v>2.6</v>
      </c>
      <c r="B74" s="88" t="s">
        <v>1904</v>
      </c>
      <c r="C74" s="20"/>
      <c r="D74" s="20"/>
      <c r="E74" s="20"/>
      <c r="F74" s="20"/>
      <c r="G74" s="67"/>
      <c r="H74" s="67">
        <f>input!H17</f>
        <v>140</v>
      </c>
      <c r="I74" s="19" t="s">
        <v>1524</v>
      </c>
      <c r="J74" s="20"/>
    </row>
    <row r="75" spans="1:10">
      <c r="A75" s="88">
        <v>2.8</v>
      </c>
      <c r="B75" s="88" t="s">
        <v>1542</v>
      </c>
      <c r="C75" s="20"/>
      <c r="D75" s="20"/>
      <c r="E75" s="20"/>
      <c r="F75" s="20"/>
      <c r="G75" s="67"/>
      <c r="H75" s="67">
        <f>input!H18</f>
        <v>5</v>
      </c>
      <c r="I75" s="19" t="s">
        <v>571</v>
      </c>
      <c r="J75" s="20"/>
    </row>
    <row r="76" spans="1:10">
      <c r="A76" s="88">
        <v>2.9</v>
      </c>
      <c r="B76" s="88" t="s">
        <v>1905</v>
      </c>
      <c r="C76" s="20"/>
      <c r="D76" s="20"/>
      <c r="E76" s="20"/>
      <c r="F76" s="20"/>
      <c r="G76" s="67"/>
      <c r="H76" s="67">
        <f>input!H19</f>
        <v>4</v>
      </c>
      <c r="I76" s="19" t="s">
        <v>1539</v>
      </c>
      <c r="J76" s="20"/>
    </row>
    <row r="77" spans="1:10" ht="15.75">
      <c r="A77" s="88" t="s">
        <v>1906</v>
      </c>
      <c r="B77" s="88" t="s">
        <v>1907</v>
      </c>
      <c r="C77" s="20"/>
      <c r="D77" s="20"/>
      <c r="E77" s="20"/>
      <c r="F77" s="20"/>
      <c r="G77" s="67"/>
      <c r="H77" s="67">
        <v>2500</v>
      </c>
      <c r="I77" s="19" t="s">
        <v>2764</v>
      </c>
      <c r="J77" s="20"/>
    </row>
    <row r="78" spans="1:10">
      <c r="A78" s="88">
        <v>2.11</v>
      </c>
      <c r="B78" s="88" t="s">
        <v>1908</v>
      </c>
      <c r="C78" s="20"/>
      <c r="D78" s="20"/>
      <c r="E78" s="20"/>
      <c r="F78" s="20"/>
      <c r="G78" s="67"/>
      <c r="H78" s="67"/>
      <c r="I78" s="19"/>
      <c r="J78" s="20"/>
    </row>
    <row r="79" spans="1:10">
      <c r="A79" s="88"/>
      <c r="B79" s="88"/>
      <c r="C79" s="20"/>
      <c r="D79" s="20"/>
      <c r="E79" s="20"/>
      <c r="F79" s="20"/>
      <c r="G79" s="67"/>
      <c r="H79" s="67"/>
      <c r="I79" s="19"/>
      <c r="J79" s="20"/>
    </row>
    <row r="80" spans="1:10" ht="15.75">
      <c r="A80" s="88"/>
      <c r="B80" s="88" t="s">
        <v>1909</v>
      </c>
      <c r="C80" s="20"/>
      <c r="D80" s="20"/>
      <c r="E80" s="20"/>
      <c r="F80" s="20"/>
      <c r="G80" s="67"/>
      <c r="H80" s="67">
        <v>1650</v>
      </c>
      <c r="I80" s="19" t="s">
        <v>2764</v>
      </c>
      <c r="J80" s="20"/>
    </row>
    <row r="81" spans="1:10" ht="15.75">
      <c r="A81" s="88"/>
      <c r="B81" s="20" t="s">
        <v>1910</v>
      </c>
      <c r="C81" s="20"/>
      <c r="D81" s="20"/>
      <c r="E81" s="20"/>
      <c r="F81" s="20"/>
      <c r="G81" s="67"/>
      <c r="H81" s="67">
        <v>1000</v>
      </c>
      <c r="I81" s="19" t="s">
        <v>2764</v>
      </c>
      <c r="J81" s="20"/>
    </row>
    <row r="82" spans="1:10" ht="15.75">
      <c r="A82" s="88"/>
      <c r="B82" s="20" t="s">
        <v>1911</v>
      </c>
      <c r="C82" s="20"/>
      <c r="D82" s="20"/>
      <c r="E82" s="20"/>
      <c r="F82" s="20"/>
      <c r="G82" s="67"/>
      <c r="H82" s="67">
        <v>2250</v>
      </c>
      <c r="I82" s="19" t="s">
        <v>2764</v>
      </c>
      <c r="J82" s="20"/>
    </row>
    <row r="83" spans="1:10">
      <c r="A83" s="88"/>
      <c r="B83" s="88"/>
      <c r="C83" s="20"/>
      <c r="D83" s="20"/>
      <c r="E83" s="20"/>
      <c r="F83" s="20"/>
      <c r="G83" s="67"/>
      <c r="H83" s="67"/>
      <c r="I83" s="19"/>
      <c r="J83" s="20"/>
    </row>
    <row r="84" spans="1:10">
      <c r="A84" s="88"/>
      <c r="B84" s="88"/>
      <c r="C84" s="20"/>
      <c r="D84" s="20"/>
      <c r="E84" s="20"/>
      <c r="F84" s="20"/>
      <c r="G84" s="67"/>
      <c r="H84" s="67"/>
      <c r="I84" s="19"/>
      <c r="J84" s="20"/>
    </row>
    <row r="85" spans="1:10">
      <c r="A85" s="88"/>
      <c r="B85" s="88"/>
      <c r="C85" s="20"/>
      <c r="D85" s="20"/>
      <c r="E85" s="20"/>
      <c r="F85" s="20"/>
      <c r="G85" s="67"/>
      <c r="H85" s="67"/>
      <c r="I85" s="20"/>
      <c r="J85" s="20"/>
    </row>
    <row r="86" spans="1:10">
      <c r="A86" s="88">
        <v>3</v>
      </c>
      <c r="B86" s="88" t="s">
        <v>1912</v>
      </c>
      <c r="C86" s="20"/>
      <c r="D86" s="20"/>
      <c r="E86" s="20"/>
      <c r="F86" s="67"/>
      <c r="G86" s="17"/>
      <c r="H86" s="67"/>
      <c r="I86" s="20"/>
      <c r="J86" s="20"/>
    </row>
    <row r="87" spans="1:10">
      <c r="A87" s="88"/>
      <c r="B87" s="88"/>
      <c r="C87" s="20"/>
      <c r="D87" s="20"/>
      <c r="E87" s="20"/>
      <c r="F87" s="20"/>
      <c r="G87" s="67"/>
      <c r="H87" s="67"/>
      <c r="I87" s="20"/>
      <c r="J87" s="20"/>
    </row>
    <row r="88" spans="1:10">
      <c r="A88" s="88"/>
      <c r="B88" s="88"/>
      <c r="C88" s="20"/>
      <c r="D88" s="20"/>
      <c r="E88" s="20"/>
      <c r="F88" s="20"/>
      <c r="G88" s="67"/>
      <c r="H88" s="67"/>
      <c r="I88" s="20"/>
      <c r="J88" s="20"/>
    </row>
    <row r="89" spans="1:10">
      <c r="A89" s="88">
        <v>3.1</v>
      </c>
      <c r="B89" s="88" t="s">
        <v>1913</v>
      </c>
      <c r="C89" s="20"/>
      <c r="D89" s="20"/>
      <c r="E89" s="20"/>
      <c r="F89" s="20"/>
      <c r="G89" s="67"/>
      <c r="H89" s="67"/>
      <c r="I89" s="19"/>
      <c r="J89" s="20"/>
    </row>
    <row r="90" spans="1:10">
      <c r="A90" s="88"/>
      <c r="B90" s="88"/>
      <c r="C90" s="20"/>
      <c r="D90" s="20"/>
      <c r="E90" s="20"/>
      <c r="F90" s="20"/>
      <c r="G90" s="67"/>
      <c r="H90" s="67"/>
      <c r="I90" s="19"/>
      <c r="J90" s="20"/>
    </row>
    <row r="91" spans="1:10">
      <c r="A91" s="88" t="s">
        <v>1914</v>
      </c>
      <c r="B91" s="88" t="s">
        <v>1915</v>
      </c>
      <c r="C91" s="20"/>
      <c r="D91" s="20"/>
      <c r="E91" s="20"/>
      <c r="F91" s="20"/>
      <c r="G91" s="67"/>
      <c r="H91" s="2422">
        <f>'E CALCU'!I16</f>
        <v>264.23100000000005</v>
      </c>
      <c r="I91" s="19" t="s">
        <v>1558</v>
      </c>
      <c r="J91" s="20"/>
    </row>
    <row r="92" spans="1:10">
      <c r="A92" s="88"/>
      <c r="B92" s="88"/>
      <c r="C92" s="88"/>
      <c r="D92" s="20"/>
      <c r="E92" s="20"/>
      <c r="F92" s="20"/>
      <c r="G92" s="67"/>
      <c r="H92" s="67"/>
      <c r="I92" s="19"/>
      <c r="J92" s="20"/>
    </row>
    <row r="93" spans="1:10">
      <c r="A93" s="88" t="s">
        <v>1916</v>
      </c>
      <c r="B93" s="88" t="s">
        <v>1557</v>
      </c>
      <c r="C93" s="88"/>
      <c r="D93" s="20"/>
      <c r="E93" s="20"/>
      <c r="F93" s="20"/>
      <c r="G93" s="67"/>
      <c r="H93" s="67">
        <f>input!H22</f>
        <v>100</v>
      </c>
      <c r="I93" s="19" t="s">
        <v>1558</v>
      </c>
      <c r="J93" s="20"/>
    </row>
    <row r="94" spans="1:10">
      <c r="A94" s="88"/>
      <c r="B94" s="88"/>
      <c r="C94" s="88"/>
      <c r="D94" s="20"/>
      <c r="E94" s="20"/>
      <c r="F94" s="20"/>
      <c r="G94" s="67"/>
      <c r="H94" s="67"/>
      <c r="I94" s="19"/>
      <c r="J94" s="20"/>
    </row>
    <row r="95" spans="1:10">
      <c r="A95" s="88" t="s">
        <v>1917</v>
      </c>
      <c r="B95" s="88" t="s">
        <v>1559</v>
      </c>
      <c r="C95" s="88"/>
      <c r="D95" s="20"/>
      <c r="E95" s="20"/>
      <c r="F95" s="20"/>
      <c r="G95" s="67"/>
      <c r="H95" s="67"/>
      <c r="I95" s="19"/>
      <c r="J95" s="20"/>
    </row>
    <row r="96" spans="1:10">
      <c r="A96" s="88"/>
      <c r="B96" s="88"/>
      <c r="C96" s="88"/>
      <c r="D96" s="20"/>
      <c r="E96" s="20"/>
      <c r="F96" s="20"/>
      <c r="G96" s="67"/>
      <c r="H96" s="67"/>
      <c r="I96" s="19"/>
      <c r="J96" s="20"/>
    </row>
    <row r="97" spans="1:10">
      <c r="A97" s="88" t="s">
        <v>1918</v>
      </c>
      <c r="B97" s="88" t="s">
        <v>1561</v>
      </c>
      <c r="C97" s="88"/>
      <c r="D97" s="20"/>
      <c r="E97" s="20"/>
      <c r="F97" s="20"/>
      <c r="G97" s="67"/>
      <c r="H97" s="67">
        <f>input!H24</f>
        <v>700</v>
      </c>
      <c r="I97" s="19" t="s">
        <v>380</v>
      </c>
      <c r="J97" s="20"/>
    </row>
    <row r="98" spans="1:10">
      <c r="A98" s="88"/>
      <c r="B98" s="88"/>
      <c r="C98" s="88"/>
      <c r="D98" s="20"/>
      <c r="E98" s="20"/>
      <c r="F98" s="20"/>
      <c r="G98" s="67"/>
      <c r="H98" s="67"/>
      <c r="I98" s="19"/>
      <c r="J98" s="20"/>
    </row>
    <row r="99" spans="1:10">
      <c r="A99" s="88">
        <v>3.2</v>
      </c>
      <c r="B99" s="88" t="s">
        <v>1562</v>
      </c>
      <c r="C99" s="88"/>
      <c r="D99" s="20"/>
      <c r="E99" s="20"/>
      <c r="F99" s="20"/>
      <c r="G99" s="67"/>
      <c r="H99" s="67"/>
      <c r="I99" s="19"/>
      <c r="J99" s="20"/>
    </row>
    <row r="100" spans="1:10">
      <c r="A100" s="88"/>
      <c r="B100" s="88"/>
      <c r="C100" s="88"/>
      <c r="D100" s="20"/>
      <c r="E100" s="20"/>
      <c r="F100" s="20"/>
      <c r="G100" s="67"/>
      <c r="H100" s="67"/>
      <c r="I100" s="19"/>
      <c r="J100" s="20"/>
    </row>
    <row r="101" spans="1:10">
      <c r="A101" s="88" t="s">
        <v>1919</v>
      </c>
      <c r="B101" s="88" t="s">
        <v>1563</v>
      </c>
      <c r="C101" s="88"/>
      <c r="D101" s="20"/>
      <c r="E101" s="20"/>
      <c r="F101" s="20"/>
      <c r="G101" s="67"/>
      <c r="H101" s="67">
        <f>input!H27</f>
        <v>4375</v>
      </c>
      <c r="I101" s="19" t="s">
        <v>380</v>
      </c>
      <c r="J101" s="20"/>
    </row>
    <row r="102" spans="1:10">
      <c r="A102" s="88"/>
      <c r="B102" s="88" t="s">
        <v>1920</v>
      </c>
      <c r="C102" s="88"/>
      <c r="D102" s="20"/>
      <c r="E102" s="20"/>
      <c r="F102" s="20"/>
      <c r="G102" s="67"/>
      <c r="H102" s="67">
        <f>H101*0.25</f>
        <v>1093.75</v>
      </c>
      <c r="I102" s="19" t="s">
        <v>380</v>
      </c>
      <c r="J102" s="20"/>
    </row>
    <row r="103" spans="1:10">
      <c r="A103" s="88"/>
      <c r="B103" s="88"/>
      <c r="C103" s="88"/>
      <c r="D103" s="20"/>
      <c r="E103" s="20"/>
      <c r="F103" s="20"/>
      <c r="G103" s="67"/>
      <c r="H103" s="67"/>
      <c r="I103" s="19"/>
      <c r="J103" s="20"/>
    </row>
    <row r="104" spans="1:10">
      <c r="A104" s="88" t="s">
        <v>1921</v>
      </c>
      <c r="B104" s="88" t="s">
        <v>1564</v>
      </c>
      <c r="C104" s="88"/>
      <c r="D104" s="20"/>
      <c r="E104" s="20"/>
      <c r="F104" s="20"/>
      <c r="G104" s="67"/>
      <c r="H104" s="67">
        <f>input!H28</f>
        <v>25624.999999999996</v>
      </c>
      <c r="I104" s="19" t="s">
        <v>380</v>
      </c>
      <c r="J104" s="20"/>
    </row>
    <row r="105" spans="1:10">
      <c r="A105" s="88"/>
      <c r="B105" s="88"/>
      <c r="C105" s="88"/>
      <c r="D105" s="20"/>
      <c r="E105" s="20"/>
      <c r="F105" s="20"/>
      <c r="G105" s="67"/>
      <c r="H105" s="67"/>
      <c r="I105" s="19"/>
      <c r="J105" s="20"/>
    </row>
    <row r="106" spans="1:10">
      <c r="A106" s="88" t="s">
        <v>1922</v>
      </c>
      <c r="B106" s="88" t="s">
        <v>1923</v>
      </c>
      <c r="C106" s="88"/>
      <c r="D106" s="20"/>
      <c r="E106" s="20"/>
      <c r="F106" s="20"/>
      <c r="G106" s="67"/>
      <c r="H106" s="67"/>
      <c r="I106" s="19"/>
      <c r="J106" s="20"/>
    </row>
    <row r="107" spans="1:10">
      <c r="A107" s="88"/>
      <c r="B107" s="88" t="s">
        <v>1924</v>
      </c>
      <c r="C107" s="88"/>
      <c r="D107" s="20"/>
      <c r="E107" s="20"/>
      <c r="F107" s="20"/>
      <c r="G107" s="67"/>
      <c r="H107" s="67">
        <f>((0.6*H104/2)+(H101/4))</f>
        <v>8781.2499999999982</v>
      </c>
      <c r="I107" s="19" t="s">
        <v>380</v>
      </c>
      <c r="J107" s="20"/>
    </row>
    <row r="108" spans="1:10">
      <c r="A108" s="88"/>
      <c r="B108" s="88"/>
      <c r="C108" s="88"/>
      <c r="D108" s="20"/>
      <c r="E108" s="20"/>
      <c r="F108" s="20"/>
      <c r="G108" s="67"/>
      <c r="H108" s="67"/>
      <c r="I108" s="19"/>
      <c r="J108" s="20"/>
    </row>
    <row r="109" spans="1:10">
      <c r="A109" s="88"/>
      <c r="B109" s="88" t="s">
        <v>1925</v>
      </c>
      <c r="C109" s="88"/>
      <c r="D109" s="20"/>
      <c r="E109" s="20"/>
      <c r="F109" s="20"/>
      <c r="G109" s="67"/>
      <c r="H109" s="67">
        <f>((0.4*H104/2)+(H101/4))</f>
        <v>6218.75</v>
      </c>
      <c r="I109" s="19" t="s">
        <v>380</v>
      </c>
      <c r="J109" s="20"/>
    </row>
    <row r="110" spans="1:10">
      <c r="A110" s="88"/>
      <c r="B110" s="88"/>
      <c r="C110" s="88"/>
      <c r="D110" s="20"/>
      <c r="E110" s="20"/>
      <c r="F110" s="20"/>
      <c r="G110" s="67"/>
      <c r="H110" s="20"/>
      <c r="I110" s="19"/>
      <c r="J110" s="20"/>
    </row>
    <row r="111" spans="1:10">
      <c r="A111" s="88" t="s">
        <v>1926</v>
      </c>
      <c r="B111" s="88" t="s">
        <v>1927</v>
      </c>
      <c r="C111" s="88"/>
      <c r="D111" s="20"/>
      <c r="E111" s="20"/>
      <c r="F111" s="20"/>
      <c r="G111" s="67"/>
      <c r="H111" s="20"/>
      <c r="I111" s="19"/>
      <c r="J111" s="20"/>
    </row>
    <row r="112" spans="1:10">
      <c r="A112" s="88"/>
      <c r="B112" s="88"/>
      <c r="C112" s="88"/>
      <c r="D112" s="20"/>
      <c r="E112" s="20"/>
      <c r="F112" s="20"/>
      <c r="G112" s="67"/>
      <c r="H112" s="20"/>
      <c r="I112" s="19"/>
      <c r="J112" s="20"/>
    </row>
    <row r="113" spans="1:10">
      <c r="A113" s="88"/>
      <c r="B113" s="88" t="s">
        <v>1928</v>
      </c>
      <c r="C113" s="88"/>
      <c r="D113" s="20"/>
      <c r="E113" s="20"/>
      <c r="F113" s="20"/>
      <c r="G113" s="67"/>
      <c r="H113" s="2423">
        <f>input!H13</f>
        <v>1.32</v>
      </c>
      <c r="I113" s="19"/>
      <c r="J113" s="20"/>
    </row>
    <row r="114" spans="1:10">
      <c r="A114" s="88"/>
      <c r="B114" s="88"/>
      <c r="C114" s="88"/>
      <c r="D114" s="20"/>
      <c r="E114" s="20"/>
      <c r="F114" s="20"/>
      <c r="G114" s="67"/>
      <c r="H114" s="20"/>
      <c r="I114" s="19"/>
      <c r="J114" s="20"/>
    </row>
    <row r="115" spans="1:10">
      <c r="A115" s="88"/>
      <c r="B115" s="88" t="s">
        <v>1929</v>
      </c>
      <c r="C115" s="88"/>
      <c r="D115" s="20"/>
      <c r="E115" s="20"/>
      <c r="F115" s="20"/>
      <c r="G115" s="67"/>
      <c r="H115" s="67">
        <f>((input!H13*0.6*H104/2)+(H101/4))</f>
        <v>11241.249999999998</v>
      </c>
      <c r="I115" s="19" t="s">
        <v>380</v>
      </c>
      <c r="J115" s="20"/>
    </row>
    <row r="116" spans="1:10">
      <c r="A116" s="88"/>
      <c r="B116" s="88"/>
      <c r="C116" s="88"/>
      <c r="D116" s="20"/>
      <c r="E116" s="20"/>
      <c r="F116" s="20"/>
      <c r="G116" s="67"/>
      <c r="H116" s="67"/>
      <c r="I116" s="19"/>
      <c r="J116" s="20"/>
    </row>
    <row r="117" spans="1:10">
      <c r="A117" s="88"/>
      <c r="B117" s="88" t="s">
        <v>1930</v>
      </c>
      <c r="C117" s="88"/>
      <c r="D117" s="20"/>
      <c r="E117" s="20"/>
      <c r="F117" s="20"/>
      <c r="G117" s="67"/>
      <c r="H117" s="67">
        <f>((input!H13*0.4*H104/2)+(H101/4))</f>
        <v>7858.7499999999991</v>
      </c>
      <c r="I117" s="19" t="s">
        <v>380</v>
      </c>
      <c r="J117" s="20"/>
    </row>
    <row r="118" spans="1:10">
      <c r="A118" s="88"/>
      <c r="B118" s="88"/>
      <c r="C118" s="88"/>
      <c r="D118" s="20"/>
      <c r="E118" s="20"/>
      <c r="F118" s="20"/>
      <c r="G118" s="67"/>
      <c r="H118" s="20"/>
      <c r="I118" s="19"/>
      <c r="J118" s="20"/>
    </row>
    <row r="119" spans="1:10">
      <c r="A119" s="88" t="s">
        <v>1931</v>
      </c>
      <c r="B119" s="88" t="s">
        <v>1932</v>
      </c>
      <c r="C119" s="88"/>
      <c r="D119" s="20"/>
      <c r="E119" s="20"/>
      <c r="F119" s="20"/>
      <c r="G119" s="67"/>
      <c r="H119" s="20"/>
      <c r="I119" s="19"/>
      <c r="J119" s="20"/>
    </row>
    <row r="120" spans="1:10">
      <c r="A120" s="88"/>
      <c r="B120" s="88"/>
      <c r="C120" s="88"/>
      <c r="D120" s="20"/>
      <c r="E120" s="20"/>
      <c r="F120" s="20"/>
      <c r="G120" s="67"/>
      <c r="H120" s="20"/>
      <c r="I120" s="19"/>
      <c r="J120" s="20"/>
    </row>
    <row r="121" spans="1:10">
      <c r="A121" s="88"/>
      <c r="B121" s="88" t="s">
        <v>1933</v>
      </c>
      <c r="C121" s="88"/>
      <c r="D121" s="20"/>
      <c r="E121" s="20"/>
      <c r="F121" s="20"/>
      <c r="G121" s="67"/>
      <c r="H121" s="20">
        <f>(0.05*(H104+H101))</f>
        <v>1500</v>
      </c>
      <c r="I121" s="19" t="s">
        <v>380</v>
      </c>
      <c r="J121" s="20"/>
    </row>
    <row r="122" spans="1:10">
      <c r="A122" s="88"/>
      <c r="B122" s="88"/>
      <c r="C122" s="88"/>
      <c r="D122" s="20"/>
      <c r="E122" s="20"/>
      <c r="F122" s="20"/>
      <c r="G122" s="67"/>
      <c r="H122" s="20"/>
      <c r="I122" s="19"/>
      <c r="J122" s="20"/>
    </row>
    <row r="123" spans="1:10">
      <c r="A123" s="88"/>
      <c r="B123" s="88" t="s">
        <v>1934</v>
      </c>
      <c r="C123" s="88"/>
      <c r="D123" s="20"/>
      <c r="E123" s="20"/>
      <c r="F123" s="20"/>
      <c r="G123" s="67"/>
      <c r="H123" s="20">
        <f>H121*0.6/2</f>
        <v>450</v>
      </c>
      <c r="I123" s="19" t="s">
        <v>380</v>
      </c>
      <c r="J123" s="20"/>
    </row>
    <row r="124" spans="1:10">
      <c r="A124" s="88"/>
      <c r="B124" s="88"/>
      <c r="C124" s="88"/>
      <c r="D124" s="20"/>
      <c r="E124" s="20"/>
      <c r="F124" s="20"/>
      <c r="G124" s="67"/>
      <c r="H124" s="20"/>
      <c r="I124" s="19"/>
      <c r="J124" s="20"/>
    </row>
    <row r="125" spans="1:10">
      <c r="A125" s="88"/>
      <c r="B125" s="88" t="s">
        <v>1935</v>
      </c>
      <c r="C125" s="88"/>
      <c r="D125" s="20"/>
      <c r="E125" s="20"/>
      <c r="F125" s="20"/>
      <c r="G125" s="67"/>
      <c r="H125" s="20">
        <f>H121*0.4/2</f>
        <v>300</v>
      </c>
      <c r="I125" s="19" t="s">
        <v>380</v>
      </c>
      <c r="J125" s="20"/>
    </row>
    <row r="126" spans="1:10">
      <c r="A126" s="88"/>
      <c r="B126" s="88"/>
      <c r="C126" s="88"/>
      <c r="D126" s="20"/>
      <c r="E126" s="20"/>
      <c r="F126" s="20"/>
      <c r="G126" s="67"/>
      <c r="H126" s="20"/>
      <c r="I126" s="19"/>
      <c r="J126" s="20"/>
    </row>
    <row r="127" spans="1:10">
      <c r="A127" s="88"/>
      <c r="B127" s="88" t="s">
        <v>1936</v>
      </c>
      <c r="C127" s="88"/>
      <c r="D127" s="20"/>
      <c r="E127" s="20"/>
      <c r="F127" s="20"/>
      <c r="G127" s="67"/>
      <c r="H127" s="20"/>
      <c r="I127" s="19"/>
      <c r="J127" s="20"/>
    </row>
    <row r="128" spans="1:10">
      <c r="A128" s="88"/>
      <c r="B128" s="88" t="s">
        <v>1937</v>
      </c>
      <c r="C128" s="88"/>
      <c r="D128" s="20"/>
      <c r="E128" s="20"/>
      <c r="F128" s="20"/>
      <c r="G128" s="67"/>
      <c r="H128" s="20">
        <f>(H123+H125)*(H75+'E CALCU'!I18)</f>
        <v>34522.058823529413</v>
      </c>
      <c r="I128" s="19" t="s">
        <v>1938</v>
      </c>
      <c r="J128" s="20"/>
    </row>
    <row r="129" spans="1:10">
      <c r="A129" s="88"/>
      <c r="B129" s="88"/>
      <c r="C129" s="20"/>
      <c r="D129" s="20"/>
      <c r="E129" s="20"/>
      <c r="F129" s="20"/>
      <c r="G129" s="67"/>
      <c r="H129" s="20"/>
      <c r="I129" s="19"/>
      <c r="J129" s="20"/>
    </row>
    <row r="130" spans="1:10">
      <c r="A130" s="88"/>
      <c r="B130" s="88"/>
      <c r="C130" s="20"/>
      <c r="D130" s="20"/>
      <c r="E130" s="20"/>
      <c r="F130" s="20"/>
      <c r="G130" s="67"/>
      <c r="H130" s="20"/>
      <c r="I130" s="19"/>
      <c r="J130" s="20"/>
    </row>
    <row r="131" spans="1:10">
      <c r="A131" s="88">
        <v>4</v>
      </c>
      <c r="B131" s="193" t="s">
        <v>1939</v>
      </c>
      <c r="C131" s="20"/>
      <c r="D131" s="20"/>
      <c r="E131" s="20"/>
      <c r="F131" s="20"/>
      <c r="G131" s="67"/>
      <c r="H131" s="20"/>
      <c r="I131" s="19"/>
      <c r="J131" s="20"/>
    </row>
    <row r="132" spans="1:10">
      <c r="A132" s="88"/>
      <c r="B132" s="88"/>
      <c r="C132" s="20"/>
      <c r="D132" s="20"/>
      <c r="E132" s="20"/>
      <c r="F132" s="20"/>
      <c r="G132" s="67"/>
      <c r="H132" s="20"/>
      <c r="I132" s="19"/>
      <c r="J132" s="20"/>
    </row>
    <row r="133" spans="1:10">
      <c r="A133" s="88">
        <v>4.0999999999999996</v>
      </c>
      <c r="B133" s="88" t="s">
        <v>1940</v>
      </c>
      <c r="C133" s="20"/>
      <c r="D133" s="20"/>
      <c r="E133" s="20"/>
      <c r="F133" s="20"/>
      <c r="G133" s="67"/>
      <c r="H133" s="20"/>
      <c r="I133" s="19"/>
      <c r="J133" s="20"/>
    </row>
    <row r="134" spans="1:10">
      <c r="A134" s="88"/>
      <c r="B134" s="88" t="s">
        <v>1941</v>
      </c>
      <c r="C134" s="20"/>
      <c r="D134" s="20"/>
      <c r="E134" s="20"/>
      <c r="F134" s="20"/>
      <c r="G134" s="67"/>
      <c r="H134" s="20"/>
      <c r="I134" s="19"/>
      <c r="J134" s="20"/>
    </row>
    <row r="135" spans="1:10">
      <c r="A135" s="88"/>
      <c r="B135" s="88"/>
      <c r="C135" s="20"/>
      <c r="D135" s="20"/>
      <c r="E135" s="20"/>
      <c r="F135" s="20"/>
      <c r="G135" s="67"/>
      <c r="H135" s="20"/>
      <c r="I135" s="19"/>
      <c r="J135" s="20"/>
    </row>
    <row r="136" spans="1:10">
      <c r="A136" s="88">
        <v>4.2</v>
      </c>
      <c r="B136" s="88" t="s">
        <v>1942</v>
      </c>
      <c r="C136" s="20"/>
      <c r="D136" s="20"/>
      <c r="E136" s="20"/>
      <c r="F136" s="20"/>
      <c r="G136" s="67"/>
      <c r="H136" s="20"/>
      <c r="I136" s="19"/>
      <c r="J136" s="20"/>
    </row>
    <row r="137" spans="1:10">
      <c r="A137" s="88"/>
      <c r="B137" s="88" t="s">
        <v>1943</v>
      </c>
      <c r="C137" s="20"/>
      <c r="D137" s="20"/>
      <c r="E137" s="20"/>
      <c r="F137" s="20"/>
      <c r="G137" s="67"/>
      <c r="H137" s="20"/>
      <c r="I137" s="19"/>
      <c r="J137" s="20"/>
    </row>
    <row r="138" spans="1:10">
      <c r="A138" s="88"/>
      <c r="B138" s="88"/>
      <c r="C138" s="20"/>
      <c r="D138" s="20"/>
      <c r="E138" s="20"/>
      <c r="F138" s="20"/>
      <c r="G138" s="67"/>
      <c r="H138" s="20"/>
      <c r="I138" s="19"/>
      <c r="J138" s="20"/>
    </row>
    <row r="139" spans="1:10">
      <c r="A139" s="88">
        <v>4.3</v>
      </c>
      <c r="B139" s="88" t="s">
        <v>1944</v>
      </c>
      <c r="C139" s="20"/>
      <c r="D139" s="20"/>
      <c r="E139" s="20"/>
      <c r="F139" s="20"/>
      <c r="G139" s="67"/>
      <c r="H139" s="20"/>
      <c r="I139" s="19"/>
      <c r="J139" s="20"/>
    </row>
    <row r="140" spans="1:10">
      <c r="A140" s="88"/>
      <c r="B140" s="88" t="s">
        <v>1945</v>
      </c>
      <c r="C140" s="20"/>
      <c r="D140" s="20"/>
      <c r="E140" s="20"/>
      <c r="F140" s="20"/>
      <c r="G140" s="67"/>
      <c r="H140" s="20"/>
      <c r="I140" s="19"/>
      <c r="J140" s="20"/>
    </row>
    <row r="141" spans="1:10">
      <c r="A141" s="88"/>
      <c r="B141" s="88"/>
      <c r="C141" s="20"/>
      <c r="D141" s="20"/>
      <c r="E141" s="20"/>
      <c r="F141" s="20"/>
      <c r="G141" s="67"/>
      <c r="H141" s="20"/>
      <c r="I141" s="19"/>
      <c r="J141" s="20"/>
    </row>
    <row r="142" spans="1:10">
      <c r="A142" s="88">
        <v>4.4000000000000004</v>
      </c>
      <c r="B142" s="88" t="s">
        <v>1946</v>
      </c>
      <c r="C142" s="20"/>
      <c r="D142" s="20"/>
      <c r="E142" s="20"/>
      <c r="F142" s="20"/>
      <c r="G142" s="67"/>
      <c r="H142" s="20"/>
      <c r="I142" s="19"/>
      <c r="J142" s="20"/>
    </row>
    <row r="143" spans="1:10">
      <c r="A143" s="88"/>
      <c r="B143" s="88" t="s">
        <v>1947</v>
      </c>
      <c r="C143" s="20"/>
      <c r="D143" s="20"/>
      <c r="E143" s="20"/>
      <c r="F143" s="20"/>
      <c r="G143" s="67"/>
      <c r="H143" s="20"/>
      <c r="I143" s="19"/>
      <c r="J143" s="20"/>
    </row>
    <row r="144" spans="1:10">
      <c r="A144" s="88"/>
      <c r="B144" s="88"/>
      <c r="C144" s="20"/>
      <c r="D144" s="20"/>
      <c r="E144" s="20"/>
      <c r="F144" s="20"/>
      <c r="G144" s="67"/>
      <c r="H144" s="20"/>
      <c r="I144" s="19"/>
      <c r="J144" s="20"/>
    </row>
    <row r="145" spans="1:10">
      <c r="A145" s="88">
        <v>4.5</v>
      </c>
      <c r="B145" s="88" t="s">
        <v>1948</v>
      </c>
      <c r="C145" s="20"/>
      <c r="D145" s="20"/>
      <c r="E145" s="20"/>
      <c r="F145" s="20"/>
      <c r="G145" s="67"/>
      <c r="H145" s="20"/>
      <c r="I145" s="19"/>
      <c r="J145" s="20"/>
    </row>
    <row r="146" spans="1:10">
      <c r="A146" s="88"/>
      <c r="B146" s="88"/>
      <c r="C146" s="20"/>
      <c r="D146" s="20"/>
      <c r="E146" s="20"/>
      <c r="F146" s="20"/>
      <c r="G146" s="67"/>
      <c r="H146" s="20"/>
      <c r="I146" s="19"/>
      <c r="J146" s="20"/>
    </row>
    <row r="147" spans="1:10">
      <c r="A147" s="88"/>
      <c r="B147" s="88" t="s">
        <v>1949</v>
      </c>
      <c r="C147" s="20"/>
      <c r="D147" s="20"/>
      <c r="E147" s="20"/>
      <c r="F147" s="20"/>
      <c r="G147" s="67"/>
      <c r="H147" s="20"/>
      <c r="I147" s="19"/>
      <c r="J147" s="20"/>
    </row>
    <row r="148" spans="1:10">
      <c r="A148" s="88"/>
      <c r="B148" s="88"/>
      <c r="C148" s="20"/>
      <c r="D148" s="20"/>
      <c r="E148" s="20"/>
      <c r="F148" s="20"/>
      <c r="G148" s="67"/>
      <c r="H148" s="20"/>
      <c r="I148" s="19"/>
      <c r="J148" s="20"/>
    </row>
    <row r="149" spans="1:10">
      <c r="A149" s="88">
        <v>4.5999999999999996</v>
      </c>
      <c r="B149" s="88" t="s">
        <v>1950</v>
      </c>
      <c r="C149" s="20"/>
      <c r="D149" s="20"/>
      <c r="E149" s="20"/>
      <c r="F149" s="20"/>
      <c r="G149" s="67"/>
      <c r="H149" s="20"/>
      <c r="I149" s="19"/>
      <c r="J149" s="20"/>
    </row>
    <row r="150" spans="1:10">
      <c r="A150" s="88"/>
      <c r="B150" s="88" t="s">
        <v>1951</v>
      </c>
      <c r="C150" s="20"/>
      <c r="D150" s="20"/>
      <c r="E150" s="20"/>
      <c r="F150" s="20"/>
      <c r="G150" s="67"/>
      <c r="H150" s="20"/>
      <c r="I150" s="19"/>
      <c r="J150" s="20"/>
    </row>
    <row r="151" spans="1:10">
      <c r="A151" s="88"/>
      <c r="B151" s="88"/>
      <c r="C151" s="20"/>
      <c r="D151" s="20"/>
      <c r="E151" s="20"/>
      <c r="F151" s="20"/>
      <c r="G151" s="67"/>
      <c r="H151" s="20"/>
      <c r="I151" s="19"/>
      <c r="J151" s="20"/>
    </row>
    <row r="152" spans="1:10">
      <c r="A152" s="88"/>
      <c r="B152" s="88" t="s">
        <v>1952</v>
      </c>
      <c r="C152" s="20"/>
      <c r="D152" s="20"/>
      <c r="E152" s="20"/>
      <c r="F152" s="20"/>
      <c r="G152" s="67"/>
      <c r="H152" s="20"/>
      <c r="I152" s="19"/>
      <c r="J152" s="20"/>
    </row>
    <row r="153" spans="1:10">
      <c r="A153" s="88"/>
      <c r="B153" s="88" t="s">
        <v>1953</v>
      </c>
      <c r="C153" s="20"/>
      <c r="D153" s="20"/>
      <c r="E153" s="20"/>
      <c r="F153" s="20"/>
      <c r="G153" s="67"/>
      <c r="H153" s="20"/>
      <c r="I153" s="19"/>
      <c r="J153" s="20"/>
    </row>
    <row r="154" spans="1:10">
      <c r="A154" s="88"/>
      <c r="B154" s="88"/>
      <c r="C154" s="20"/>
      <c r="D154" s="20"/>
      <c r="E154" s="20"/>
      <c r="F154" s="20"/>
      <c r="G154" s="67"/>
      <c r="H154" s="20"/>
      <c r="I154" s="19"/>
      <c r="J154" s="20"/>
    </row>
    <row r="155" spans="1:10">
      <c r="A155" s="88"/>
      <c r="B155" s="88" t="s">
        <v>1949</v>
      </c>
      <c r="C155" s="20"/>
      <c r="D155" s="20"/>
      <c r="E155" s="20"/>
      <c r="F155" s="20"/>
      <c r="G155" s="67"/>
      <c r="H155" s="20"/>
      <c r="I155" s="19"/>
      <c r="J155" s="20"/>
    </row>
    <row r="156" spans="1:10">
      <c r="A156" s="88"/>
      <c r="B156" s="88"/>
      <c r="C156" s="20"/>
      <c r="D156" s="20"/>
      <c r="E156" s="20"/>
      <c r="F156" s="20"/>
      <c r="G156" s="67"/>
      <c r="H156" s="20"/>
      <c r="I156" s="19"/>
      <c r="J156" s="20"/>
    </row>
    <row r="157" spans="1:10">
      <c r="A157" s="88">
        <v>4.7</v>
      </c>
      <c r="B157" s="88" t="s">
        <v>1954</v>
      </c>
      <c r="C157" s="20"/>
      <c r="D157" s="20"/>
      <c r="E157" s="20"/>
      <c r="F157" s="20"/>
      <c r="G157" s="67"/>
      <c r="H157" s="20"/>
      <c r="I157" s="19"/>
      <c r="J157" s="20"/>
    </row>
    <row r="158" spans="1:10">
      <c r="A158" s="88"/>
      <c r="B158" s="88" t="s">
        <v>1955</v>
      </c>
      <c r="C158" s="20"/>
      <c r="D158" s="20"/>
      <c r="E158" s="20"/>
      <c r="F158" s="20"/>
      <c r="G158" s="67"/>
      <c r="H158" s="20"/>
      <c r="I158" s="19"/>
      <c r="J158" s="20"/>
    </row>
    <row r="159" spans="1:10">
      <c r="A159" s="88"/>
      <c r="B159" s="88" t="s">
        <v>1956</v>
      </c>
      <c r="C159" s="20"/>
      <c r="D159" s="20"/>
      <c r="E159" s="20"/>
      <c r="F159" s="20"/>
      <c r="G159" s="67"/>
      <c r="H159" s="20"/>
      <c r="I159" s="19"/>
      <c r="J159" s="20"/>
    </row>
    <row r="160" spans="1:10">
      <c r="A160" s="88"/>
      <c r="B160" s="88"/>
      <c r="C160" s="20"/>
      <c r="D160" s="20"/>
      <c r="E160" s="20"/>
      <c r="F160" s="20"/>
      <c r="G160" s="67"/>
      <c r="H160" s="20"/>
      <c r="I160" s="19"/>
      <c r="J160" s="20"/>
    </row>
    <row r="161" spans="1:10">
      <c r="A161" s="88"/>
      <c r="B161" s="88"/>
      <c r="C161" s="20"/>
      <c r="D161" s="20"/>
      <c r="E161" s="20"/>
      <c r="F161" s="20"/>
      <c r="G161" s="67"/>
      <c r="H161" s="20"/>
      <c r="I161" s="19"/>
      <c r="J161" s="20"/>
    </row>
    <row r="162" spans="1:10">
      <c r="A162" s="88"/>
      <c r="B162" s="88"/>
      <c r="C162" s="20"/>
      <c r="D162" s="20"/>
      <c r="E162" s="20"/>
      <c r="F162" s="20"/>
      <c r="G162" s="67"/>
      <c r="H162" s="20"/>
      <c r="I162" s="19"/>
      <c r="J162" s="20"/>
    </row>
    <row r="163" spans="1:10">
      <c r="A163" s="88"/>
      <c r="B163" s="20"/>
      <c r="C163" s="20" t="s">
        <v>1957</v>
      </c>
      <c r="D163" s="19">
        <f>'E CALCU'!D57</f>
        <v>11241.249999999998</v>
      </c>
      <c r="E163" s="19">
        <f>'E CALCU'!E57</f>
        <v>19099.999999999996</v>
      </c>
      <c r="F163" s="19">
        <f>'E CALCU'!F57</f>
        <v>7858.7499999999991</v>
      </c>
      <c r="G163" s="20"/>
      <c r="H163" s="20"/>
      <c r="I163" s="19"/>
      <c r="J163" s="20"/>
    </row>
    <row r="164" spans="1:10">
      <c r="A164" s="88" t="s">
        <v>1958</v>
      </c>
      <c r="B164" s="20"/>
      <c r="C164" s="20" t="s">
        <v>1959</v>
      </c>
      <c r="D164" s="19">
        <f>'E CALCU'!D58</f>
        <v>8781.2499999999982</v>
      </c>
      <c r="E164" s="19">
        <f>'E CALCU'!E58</f>
        <v>14999.999999999998</v>
      </c>
      <c r="F164" s="19">
        <f>'E CALCU'!F58</f>
        <v>6218.75</v>
      </c>
      <c r="G164" s="20"/>
      <c r="H164" s="20"/>
      <c r="I164" s="19"/>
      <c r="J164" s="20"/>
    </row>
    <row r="165" spans="1:10">
      <c r="A165" s="88"/>
      <c r="B165" s="20"/>
      <c r="C165" s="20"/>
      <c r="D165" s="20"/>
      <c r="E165" s="20"/>
      <c r="F165" s="20"/>
      <c r="G165" s="20"/>
      <c r="H165" s="20"/>
      <c r="I165" s="19"/>
      <c r="J165" s="20"/>
    </row>
    <row r="166" spans="1:10">
      <c r="A166" s="88"/>
      <c r="B166" s="20"/>
      <c r="C166" s="20"/>
      <c r="D166" s="20"/>
      <c r="E166" s="20"/>
      <c r="F166" s="20"/>
      <c r="G166" s="20"/>
      <c r="H166" s="20"/>
      <c r="I166" s="19"/>
      <c r="J166" s="20"/>
    </row>
    <row r="167" spans="1:10">
      <c r="A167" s="88"/>
      <c r="B167" s="19" t="s">
        <v>1960</v>
      </c>
      <c r="C167" s="20"/>
      <c r="D167" s="67" t="s">
        <v>1961</v>
      </c>
      <c r="E167" s="20"/>
      <c r="F167" s="20"/>
      <c r="G167" s="20"/>
      <c r="H167" s="19" t="s">
        <v>1962</v>
      </c>
      <c r="I167" s="19"/>
      <c r="J167" s="20"/>
    </row>
    <row r="168" spans="1:10">
      <c r="A168" s="88"/>
      <c r="B168" s="20"/>
      <c r="C168" s="67" t="s">
        <v>1963</v>
      </c>
      <c r="D168" s="20">
        <f>ROUNDDOWN('E CALCU'!D65,0)</f>
        <v>62</v>
      </c>
      <c r="E168" s="20">
        <f>ROUNDUP('E CALCU'!E62,0)</f>
        <v>150</v>
      </c>
      <c r="F168" s="20"/>
      <c r="G168" s="20"/>
      <c r="H168" s="20"/>
      <c r="I168" s="19"/>
      <c r="J168" s="20"/>
    </row>
    <row r="169" spans="1:10">
      <c r="A169" s="88"/>
      <c r="B169" s="20"/>
      <c r="C169" s="20"/>
      <c r="D169" s="67" t="s">
        <v>1964</v>
      </c>
      <c r="E169" s="20"/>
      <c r="F169" s="20"/>
      <c r="G169" s="20"/>
      <c r="H169" s="20"/>
      <c r="I169" s="19"/>
      <c r="J169" s="20"/>
    </row>
    <row r="170" spans="1:10">
      <c r="A170" s="88"/>
      <c r="B170" s="20"/>
      <c r="C170" s="20"/>
      <c r="D170" s="20"/>
      <c r="E170" s="19" t="str">
        <f>"(C1)"&amp;D168+E168</f>
        <v>(C1)212</v>
      </c>
      <c r="F170" s="20"/>
      <c r="G170" s="20"/>
      <c r="H170" s="20"/>
      <c r="I170" s="19"/>
      <c r="J170" s="20"/>
    </row>
    <row r="171" spans="1:10">
      <c r="A171" s="88"/>
      <c r="B171" s="20"/>
      <c r="C171" s="20"/>
      <c r="D171" s="20"/>
      <c r="E171" s="20"/>
      <c r="F171" s="20"/>
      <c r="G171" s="20"/>
      <c r="H171" s="20"/>
      <c r="I171" s="19"/>
      <c r="J171" s="20"/>
    </row>
    <row r="172" spans="1:10">
      <c r="A172" s="88"/>
      <c r="B172" s="88"/>
      <c r="C172" s="20"/>
      <c r="D172" s="20"/>
      <c r="E172" s="19">
        <f>'E CALCU'!E66</f>
        <v>1500</v>
      </c>
      <c r="F172" s="20"/>
      <c r="G172" s="67"/>
      <c r="H172" s="20"/>
      <c r="I172" s="19"/>
      <c r="J172" s="20"/>
    </row>
    <row r="173" spans="1:10">
      <c r="A173" s="88"/>
      <c r="B173" s="88"/>
      <c r="C173" s="20"/>
      <c r="D173" s="20"/>
      <c r="E173" s="19"/>
      <c r="F173" s="20"/>
      <c r="G173" s="67"/>
      <c r="H173" s="20"/>
      <c r="I173" s="19"/>
      <c r="J173" s="20"/>
    </row>
    <row r="174" spans="1:10">
      <c r="A174" s="88"/>
      <c r="B174" s="88"/>
      <c r="C174" s="67" t="s">
        <v>1965</v>
      </c>
      <c r="D174" s="646" t="s">
        <v>1966</v>
      </c>
      <c r="E174" s="20"/>
      <c r="F174" s="20"/>
      <c r="G174" s="67"/>
      <c r="H174" s="20"/>
      <c r="I174" s="19"/>
      <c r="J174" s="20"/>
    </row>
    <row r="175" spans="1:10">
      <c r="A175" s="88"/>
      <c r="B175" s="88"/>
      <c r="C175" s="20"/>
      <c r="D175" s="2424">
        <v>2</v>
      </c>
      <c r="E175" s="20"/>
      <c r="F175" s="20"/>
      <c r="G175" s="67"/>
      <c r="H175" s="20"/>
      <c r="I175" s="19"/>
      <c r="J175" s="20"/>
    </row>
    <row r="176" spans="1:10">
      <c r="A176" s="88"/>
      <c r="B176" s="88"/>
      <c r="C176" s="20"/>
      <c r="D176" s="634"/>
      <c r="E176" s="20"/>
      <c r="F176" s="20"/>
      <c r="G176" s="67"/>
      <c r="H176" s="20"/>
      <c r="I176" s="19"/>
      <c r="J176" s="20"/>
    </row>
    <row r="177" spans="1:10">
      <c r="A177" s="88"/>
      <c r="B177" s="88"/>
      <c r="C177" s="67" t="s">
        <v>160</v>
      </c>
      <c r="D177" s="2424">
        <f>'E CALCU'!E71</f>
        <v>718.90625</v>
      </c>
      <c r="E177" s="20" t="s">
        <v>571</v>
      </c>
      <c r="F177" s="20"/>
      <c r="G177" s="67"/>
      <c r="H177" s="20"/>
      <c r="I177" s="19"/>
      <c r="J177" s="20"/>
    </row>
    <row r="178" spans="1:10">
      <c r="A178" s="88"/>
      <c r="B178" s="88"/>
      <c r="C178" s="67"/>
      <c r="D178" s="2424"/>
      <c r="E178" s="20"/>
      <c r="F178" s="20"/>
      <c r="G178" s="67"/>
      <c r="H178" s="20"/>
      <c r="I178" s="19"/>
      <c r="J178" s="20"/>
    </row>
    <row r="179" spans="1:10">
      <c r="A179" s="88"/>
      <c r="B179" s="88"/>
      <c r="C179" s="20"/>
      <c r="D179" s="20"/>
      <c r="E179" s="20"/>
      <c r="F179" s="20"/>
      <c r="G179" s="67"/>
      <c r="H179" s="20"/>
      <c r="I179" s="19"/>
      <c r="J179" s="20"/>
    </row>
    <row r="180" spans="1:10">
      <c r="A180" s="88"/>
      <c r="B180" s="88"/>
      <c r="C180" s="20"/>
      <c r="D180" s="20"/>
      <c r="E180" s="20"/>
      <c r="F180" s="20"/>
      <c r="G180" s="67"/>
      <c r="H180" s="20"/>
      <c r="I180" s="19"/>
      <c r="J180" s="20"/>
    </row>
    <row r="181" spans="1:10">
      <c r="A181" s="88"/>
      <c r="B181" s="88"/>
      <c r="C181" s="20"/>
      <c r="D181" s="20"/>
      <c r="E181" s="20"/>
      <c r="F181" s="20"/>
      <c r="G181" s="67"/>
      <c r="H181" s="20"/>
      <c r="I181" s="19"/>
      <c r="J181" s="20"/>
    </row>
    <row r="182" spans="1:10">
      <c r="A182" s="88">
        <v>5</v>
      </c>
      <c r="B182" s="88" t="s">
        <v>1967</v>
      </c>
      <c r="C182" s="20"/>
      <c r="D182" s="20"/>
      <c r="E182" s="20"/>
      <c r="F182" s="20"/>
      <c r="G182" s="67"/>
      <c r="H182" s="20"/>
      <c r="I182" s="19"/>
      <c r="J182" s="20"/>
    </row>
    <row r="183" spans="1:10">
      <c r="A183" s="88"/>
      <c r="B183" s="88"/>
      <c r="C183" s="20"/>
      <c r="D183" s="20"/>
      <c r="E183" s="20"/>
      <c r="F183" s="20"/>
      <c r="G183" s="67"/>
      <c r="H183" s="20"/>
      <c r="I183" s="19"/>
      <c r="J183" s="20"/>
    </row>
    <row r="184" spans="1:10">
      <c r="A184" s="88"/>
      <c r="B184" s="88"/>
      <c r="C184" s="20"/>
      <c r="D184" s="20"/>
      <c r="E184" s="20"/>
      <c r="F184" s="20"/>
      <c r="G184" s="67"/>
      <c r="H184" s="20"/>
      <c r="I184" s="19"/>
      <c r="J184" s="20"/>
    </row>
    <row r="185" spans="1:10" ht="15.75">
      <c r="A185" s="88"/>
      <c r="B185" s="88">
        <f>'E CALCU'!F8*10</f>
        <v>20</v>
      </c>
      <c r="C185" s="19">
        <f>'E CALCU'!F6*10</f>
        <v>610</v>
      </c>
      <c r="D185" s="20"/>
      <c r="E185" s="20"/>
      <c r="F185" s="67" t="s">
        <v>1968</v>
      </c>
      <c r="G185" s="2425">
        <f>'E CALCU'!$I8</f>
        <v>336.6</v>
      </c>
      <c r="H185" s="88" t="s">
        <v>2765</v>
      </c>
      <c r="I185" s="19"/>
      <c r="J185" s="20"/>
    </row>
    <row r="186" spans="1:10">
      <c r="A186" s="88"/>
      <c r="B186" s="20"/>
      <c r="C186" s="20"/>
      <c r="D186" s="20"/>
      <c r="E186" s="20"/>
      <c r="F186" s="67" t="s">
        <v>1969</v>
      </c>
      <c r="G186" s="2426">
        <f>'E CALCU'!$I9</f>
        <v>57.970588235294116</v>
      </c>
      <c r="H186" s="88" t="s">
        <v>1569</v>
      </c>
      <c r="I186" s="19"/>
      <c r="J186" s="20"/>
    </row>
    <row r="187" spans="1:10" ht="15.75">
      <c r="A187" s="88"/>
      <c r="B187" s="20"/>
      <c r="C187" s="20"/>
      <c r="D187" s="20"/>
      <c r="E187" s="20"/>
      <c r="F187" s="67" t="s">
        <v>1970</v>
      </c>
      <c r="G187" s="2425">
        <f>'E CALCU'!$I10</f>
        <v>514972.69359861594</v>
      </c>
      <c r="H187" s="88" t="s">
        <v>2766</v>
      </c>
      <c r="I187" s="19"/>
      <c r="J187" s="20"/>
    </row>
    <row r="188" spans="1:10" ht="15.75">
      <c r="A188" s="88"/>
      <c r="B188" s="19"/>
      <c r="C188" s="88">
        <f>'E CALCU'!F10*10</f>
        <v>8</v>
      </c>
      <c r="D188" s="67" t="s">
        <v>1572</v>
      </c>
      <c r="E188" s="20"/>
      <c r="F188" s="67" t="s">
        <v>1971</v>
      </c>
      <c r="G188" s="2425">
        <f>'E CALCU'!$I11</f>
        <v>180302.38133333332</v>
      </c>
      <c r="H188" s="88" t="s">
        <v>2766</v>
      </c>
      <c r="I188" s="19"/>
      <c r="J188" s="20"/>
    </row>
    <row r="189" spans="1:10" ht="21">
      <c r="A189" s="88"/>
      <c r="B189" s="1780">
        <f>('E CALCU'!F11*10)</f>
        <v>960</v>
      </c>
      <c r="C189" s="20"/>
      <c r="D189" s="1780">
        <f>'E CALCU'!F7*10</f>
        <v>990</v>
      </c>
      <c r="E189" s="20"/>
      <c r="F189" s="67" t="s">
        <v>1972</v>
      </c>
      <c r="G189" s="2425">
        <f>'E CALCU'!$I12</f>
        <v>8883.3442832840901</v>
      </c>
      <c r="H189" s="88" t="s">
        <v>2767</v>
      </c>
      <c r="I189" s="19"/>
      <c r="J189" s="20"/>
    </row>
    <row r="190" spans="1:10" ht="15.75">
      <c r="A190" s="88"/>
      <c r="B190" s="20"/>
      <c r="C190" s="20"/>
      <c r="D190" s="20"/>
      <c r="E190" s="20"/>
      <c r="F190" s="67" t="s">
        <v>1973</v>
      </c>
      <c r="G190" s="2425">
        <f>'E CALCU'!$I13</f>
        <v>12551.305793801392</v>
      </c>
      <c r="H190" s="88" t="s">
        <v>2767</v>
      </c>
      <c r="I190" s="19"/>
      <c r="J190" s="20"/>
    </row>
    <row r="191" spans="1:10" ht="15.75">
      <c r="A191" s="88"/>
      <c r="B191" s="20"/>
      <c r="C191" s="20"/>
      <c r="D191" s="67" t="s">
        <v>1580</v>
      </c>
      <c r="E191" s="20"/>
      <c r="F191" s="67" t="s">
        <v>1974</v>
      </c>
      <c r="G191" s="2425">
        <f>'E CALCU'!$I14</f>
        <v>5911.5534863387975</v>
      </c>
      <c r="H191" s="88" t="s">
        <v>2767</v>
      </c>
      <c r="I191" s="19"/>
      <c r="J191" s="20"/>
    </row>
    <row r="192" spans="1:10" ht="15.75">
      <c r="A192" s="88"/>
      <c r="B192" s="20"/>
      <c r="C192" s="20"/>
      <c r="D192" s="20"/>
      <c r="E192" s="20"/>
      <c r="F192" s="67" t="s">
        <v>2768</v>
      </c>
      <c r="G192" s="2426">
        <f>'E CALCU'!$I15</f>
        <v>23.14428003965924</v>
      </c>
      <c r="H192" s="88" t="s">
        <v>1569</v>
      </c>
      <c r="I192" s="19"/>
      <c r="J192" s="20"/>
    </row>
    <row r="193" spans="1:10">
      <c r="A193" s="88"/>
      <c r="B193" s="20"/>
      <c r="C193" s="20"/>
      <c r="D193" s="20"/>
      <c r="E193" s="20"/>
      <c r="F193" s="67" t="s">
        <v>287</v>
      </c>
      <c r="G193" s="2425">
        <f>'E CALCU'!$I16</f>
        <v>264.23100000000005</v>
      </c>
      <c r="H193" s="88" t="s">
        <v>1975</v>
      </c>
      <c r="I193" s="19"/>
      <c r="J193" s="20"/>
    </row>
    <row r="194" spans="1:10">
      <c r="A194" s="88"/>
      <c r="B194" s="88">
        <f>'E CALCU'!F9*10</f>
        <v>10</v>
      </c>
      <c r="C194" s="20"/>
      <c r="D194" s="20"/>
      <c r="E194" s="20"/>
      <c r="F194" s="67"/>
      <c r="G194" s="2425"/>
      <c r="H194" s="88"/>
      <c r="I194" s="19"/>
      <c r="J194" s="20"/>
    </row>
    <row r="195" spans="1:10">
      <c r="A195" s="88"/>
      <c r="B195" s="19"/>
      <c r="C195" s="20"/>
      <c r="D195" s="20"/>
      <c r="E195" s="20"/>
      <c r="F195" s="67" t="s">
        <v>1976</v>
      </c>
      <c r="G195" s="2426">
        <f>'E CALCU'!$I18</f>
        <v>41.029411764705884</v>
      </c>
      <c r="H195" s="88" t="s">
        <v>1569</v>
      </c>
      <c r="I195" s="19"/>
      <c r="J195" s="20"/>
    </row>
    <row r="196" spans="1:10">
      <c r="A196" s="88"/>
      <c r="B196" s="19"/>
      <c r="C196" s="20"/>
      <c r="D196" s="20"/>
      <c r="E196" s="20"/>
      <c r="F196" s="67" t="s">
        <v>1977</v>
      </c>
      <c r="G196" s="2426">
        <f>'E CALCU'!$I19</f>
        <v>57.970588235294116</v>
      </c>
      <c r="H196" s="88" t="s">
        <v>1569</v>
      </c>
      <c r="I196" s="19"/>
      <c r="J196" s="20"/>
    </row>
    <row r="197" spans="1:10" ht="15.75">
      <c r="A197" s="88"/>
      <c r="B197" s="88"/>
      <c r="C197" s="20"/>
      <c r="D197" s="20"/>
      <c r="E197" s="20"/>
      <c r="F197" s="67" t="s">
        <v>1978</v>
      </c>
      <c r="G197" s="1752">
        <f>'E CALCU'!$I20</f>
        <v>158.4</v>
      </c>
      <c r="H197" s="88" t="s">
        <v>2769</v>
      </c>
      <c r="I197" s="19"/>
      <c r="J197" s="20"/>
    </row>
    <row r="198" spans="1:10" ht="15.75">
      <c r="A198" s="88"/>
      <c r="B198" s="88"/>
      <c r="C198" s="20"/>
      <c r="D198" s="20"/>
      <c r="E198" s="20"/>
      <c r="F198" s="67" t="s">
        <v>1979</v>
      </c>
      <c r="G198" s="2425">
        <f>'E CALCU'!$I21</f>
        <v>353058.99133737379</v>
      </c>
      <c r="H198" s="88" t="s">
        <v>2766</v>
      </c>
      <c r="I198" s="19"/>
      <c r="J198" s="20"/>
    </row>
    <row r="199" spans="1:10" ht="15.75">
      <c r="A199" s="88"/>
      <c r="B199" s="88"/>
      <c r="C199" s="20"/>
      <c r="D199" s="20"/>
      <c r="E199" s="20"/>
      <c r="F199" s="67" t="s">
        <v>1980</v>
      </c>
      <c r="G199" s="2425">
        <f>'E CALCU'!$I22</f>
        <v>9261.5452254983156</v>
      </c>
      <c r="H199" s="88" t="s">
        <v>2767</v>
      </c>
      <c r="I199" s="19"/>
      <c r="J199" s="20"/>
    </row>
    <row r="200" spans="1:10">
      <c r="A200" s="88"/>
      <c r="B200" s="88"/>
      <c r="C200" s="20"/>
      <c r="D200" s="20"/>
      <c r="E200" s="20"/>
      <c r="F200" s="67"/>
      <c r="G200" s="25"/>
      <c r="H200" s="20"/>
      <c r="I200" s="19"/>
      <c r="J200" s="20"/>
    </row>
    <row r="201" spans="1:10">
      <c r="A201" s="88"/>
      <c r="B201" s="88"/>
      <c r="C201" s="20"/>
      <c r="D201" s="20"/>
      <c r="E201" s="20"/>
      <c r="F201" s="67"/>
      <c r="G201" s="25"/>
      <c r="H201" s="20"/>
      <c r="I201" s="19"/>
      <c r="J201" s="20"/>
    </row>
    <row r="202" spans="1:10">
      <c r="A202" s="88"/>
      <c r="B202" s="88"/>
      <c r="C202" s="20"/>
      <c r="D202" s="20"/>
      <c r="E202" s="20"/>
      <c r="F202" s="17"/>
      <c r="G202" s="20"/>
      <c r="H202" s="20"/>
      <c r="I202" s="19"/>
      <c r="J202" s="20"/>
    </row>
    <row r="203" spans="1:10">
      <c r="A203" s="88">
        <v>5.0999999999999996</v>
      </c>
      <c r="B203" s="20" t="s">
        <v>1981</v>
      </c>
      <c r="C203" s="20"/>
      <c r="D203" s="20"/>
      <c r="E203" s="20"/>
      <c r="F203" s="20"/>
      <c r="G203" s="67"/>
      <c r="H203" s="20"/>
      <c r="I203" s="19"/>
      <c r="J203" s="20"/>
    </row>
    <row r="204" spans="1:10">
      <c r="A204" s="88"/>
      <c r="B204" s="20" t="s">
        <v>1982</v>
      </c>
      <c r="C204" s="20"/>
      <c r="D204" s="20"/>
      <c r="E204" s="20"/>
      <c r="F204" s="20"/>
      <c r="G204" s="67"/>
      <c r="H204" s="20"/>
      <c r="I204" s="19"/>
      <c r="J204" s="20"/>
    </row>
    <row r="205" spans="1:10">
      <c r="A205" s="88"/>
      <c r="B205" s="20"/>
      <c r="C205" s="20"/>
      <c r="D205" s="20"/>
      <c r="E205" s="20"/>
      <c r="F205" s="20"/>
      <c r="G205" s="67"/>
      <c r="H205" s="20"/>
      <c r="I205" s="19"/>
      <c r="J205" s="20"/>
    </row>
    <row r="206" spans="1:10">
      <c r="A206" s="88"/>
      <c r="B206" s="20" t="s">
        <v>1983</v>
      </c>
      <c r="C206" s="20"/>
      <c r="D206" s="20"/>
      <c r="E206" s="20"/>
      <c r="F206" s="20"/>
      <c r="G206" s="67"/>
      <c r="H206" s="20"/>
      <c r="I206" s="19"/>
      <c r="J206" s="20"/>
    </row>
    <row r="207" spans="1:10">
      <c r="A207" s="88"/>
      <c r="B207" s="20"/>
      <c r="C207" s="20"/>
      <c r="D207" s="20"/>
      <c r="E207" s="20"/>
      <c r="F207" s="20"/>
      <c r="G207" s="67"/>
      <c r="H207" s="20"/>
      <c r="I207" s="19"/>
      <c r="J207" s="20"/>
    </row>
    <row r="208" spans="1:10">
      <c r="A208" s="88"/>
      <c r="B208" s="20" t="s">
        <v>1984</v>
      </c>
      <c r="C208" s="20"/>
      <c r="D208" s="20"/>
      <c r="E208" s="20"/>
      <c r="F208" s="20"/>
      <c r="G208" s="67"/>
      <c r="H208" s="20"/>
      <c r="I208" s="19"/>
      <c r="J208" s="20"/>
    </row>
    <row r="209" spans="1:10">
      <c r="A209" s="88"/>
      <c r="B209" s="20"/>
      <c r="C209" s="20"/>
      <c r="D209" s="20"/>
      <c r="E209" s="20"/>
      <c r="F209" s="20"/>
      <c r="G209" s="67"/>
      <c r="H209" s="20"/>
      <c r="I209" s="19"/>
      <c r="J209" s="20"/>
    </row>
    <row r="210" spans="1:10">
      <c r="A210" s="88"/>
      <c r="B210" s="20" t="s">
        <v>1985</v>
      </c>
      <c r="C210" s="20"/>
      <c r="D210" s="20"/>
      <c r="E210" s="20"/>
      <c r="F210" s="20"/>
      <c r="G210" s="67"/>
      <c r="H210" s="20"/>
      <c r="I210" s="19"/>
      <c r="J210" s="20"/>
    </row>
    <row r="211" spans="1:10">
      <c r="A211" s="88"/>
      <c r="B211" s="20"/>
      <c r="C211" s="20"/>
      <c r="D211" s="20"/>
      <c r="E211" s="20"/>
      <c r="F211" s="20"/>
      <c r="G211" s="67"/>
      <c r="H211" s="20"/>
      <c r="I211" s="19"/>
      <c r="J211" s="20"/>
    </row>
    <row r="212" spans="1:10">
      <c r="A212" s="88"/>
      <c r="B212" s="20" t="s">
        <v>1986</v>
      </c>
      <c r="C212" s="20"/>
      <c r="D212" s="20"/>
      <c r="E212" s="20"/>
      <c r="F212" s="20"/>
      <c r="G212" s="67"/>
      <c r="H212" s="67">
        <f>0.85*H68</f>
        <v>1275</v>
      </c>
      <c r="I212" s="19" t="s">
        <v>1987</v>
      </c>
      <c r="J212" s="20"/>
    </row>
    <row r="213" spans="1:10">
      <c r="A213" s="88"/>
      <c r="B213" s="20" t="s">
        <v>1988</v>
      </c>
      <c r="C213" s="20"/>
      <c r="D213" s="20"/>
      <c r="E213" s="20"/>
      <c r="F213" s="20"/>
      <c r="G213" s="67"/>
      <c r="H213" s="2421">
        <f>(2650000/(POWER(H215,2)))</f>
        <v>873.19824754697311</v>
      </c>
      <c r="I213" s="19" t="s">
        <v>1989</v>
      </c>
      <c r="J213" s="20"/>
    </row>
    <row r="214" spans="1:10">
      <c r="A214" s="88"/>
      <c r="B214" s="20" t="s">
        <v>1990</v>
      </c>
      <c r="C214" s="20"/>
      <c r="D214" s="20"/>
      <c r="E214" s="20"/>
      <c r="F214" s="20"/>
      <c r="G214" s="67"/>
      <c r="H214" s="2421">
        <f>'E CALCU'!I15</f>
        <v>23.14428003965924</v>
      </c>
      <c r="I214" s="19" t="s">
        <v>571</v>
      </c>
      <c r="J214" s="20"/>
    </row>
    <row r="215" spans="1:10">
      <c r="A215" s="88"/>
      <c r="B215" s="20" t="s">
        <v>1991</v>
      </c>
      <c r="C215" s="20"/>
      <c r="D215" s="20"/>
      <c r="E215" s="20"/>
      <c r="F215" s="20"/>
      <c r="G215" s="67"/>
      <c r="H215" s="2421">
        <f>H212/H214</f>
        <v>55.089205532218067</v>
      </c>
      <c r="I215" s="19"/>
      <c r="J215" s="20"/>
    </row>
    <row r="216" spans="1:10">
      <c r="A216" s="88"/>
      <c r="B216" s="20" t="s">
        <v>1992</v>
      </c>
      <c r="C216" s="20"/>
      <c r="D216" s="20"/>
      <c r="E216" s="20"/>
      <c r="F216" s="20"/>
      <c r="G216" s="67"/>
      <c r="H216" s="2427">
        <f>(H212*'E CALCU'!F8)/(H214*'E CALCU'!F7)</f>
        <v>1.1129132430751125</v>
      </c>
      <c r="I216" s="19"/>
      <c r="J216" s="20"/>
    </row>
    <row r="217" spans="1:10">
      <c r="A217" s="88"/>
      <c r="B217" s="20" t="s">
        <v>1993</v>
      </c>
      <c r="C217" s="20"/>
      <c r="D217" s="20"/>
      <c r="E217" s="20"/>
      <c r="F217" s="20"/>
      <c r="G217" s="67"/>
      <c r="H217" s="2421">
        <f>H213*SQRT((1+(0.05*(POWER(H216,2)))))</f>
        <v>899.8301773633342</v>
      </c>
      <c r="I217" s="19" t="s">
        <v>1989</v>
      </c>
      <c r="J217" s="20"/>
    </row>
    <row r="218" spans="1:10">
      <c r="A218" s="88"/>
      <c r="B218" s="20" t="s">
        <v>1994</v>
      </c>
      <c r="C218" s="20"/>
      <c r="D218" s="20"/>
      <c r="E218" s="20"/>
      <c r="F218" s="20"/>
      <c r="G218" s="67"/>
      <c r="H218" s="67">
        <v>1</v>
      </c>
      <c r="I218" s="19"/>
      <c r="J218" s="20"/>
    </row>
    <row r="219" spans="1:10">
      <c r="A219" s="88"/>
      <c r="B219" s="20" t="s">
        <v>1995</v>
      </c>
      <c r="C219" s="20"/>
      <c r="D219" s="20"/>
      <c r="E219" s="20"/>
      <c r="F219" s="20"/>
      <c r="G219" s="67"/>
      <c r="H219" s="67">
        <v>1</v>
      </c>
      <c r="I219" s="19"/>
      <c r="J219" s="20"/>
    </row>
    <row r="220" spans="1:10">
      <c r="A220" s="88"/>
      <c r="B220" s="20" t="s">
        <v>1996</v>
      </c>
      <c r="C220" s="20"/>
      <c r="D220" s="20"/>
      <c r="E220" s="20"/>
      <c r="F220" s="20"/>
      <c r="G220" s="67"/>
      <c r="H220" s="67">
        <v>0.05</v>
      </c>
      <c r="I220" s="19"/>
      <c r="J220" s="20"/>
    </row>
    <row r="221" spans="1:10">
      <c r="A221" s="88"/>
      <c r="B221" s="20" t="s">
        <v>1997</v>
      </c>
      <c r="C221" s="20"/>
      <c r="D221" s="20"/>
      <c r="E221" s="20"/>
      <c r="F221" s="20"/>
      <c r="G221" s="67"/>
      <c r="H221" s="54">
        <f>H219*(H217+(H220*H213))</f>
        <v>943.49008974068283</v>
      </c>
      <c r="I221" s="19" t="s">
        <v>1989</v>
      </c>
      <c r="J221" s="20"/>
    </row>
    <row r="222" spans="1:10">
      <c r="A222" s="88"/>
      <c r="B222" s="20"/>
      <c r="C222" s="20"/>
      <c r="D222" s="20"/>
      <c r="E222" s="20"/>
      <c r="F222" s="20"/>
      <c r="G222" s="67"/>
      <c r="H222" s="20"/>
      <c r="I222" s="19"/>
      <c r="J222" s="20"/>
    </row>
    <row r="223" spans="1:10">
      <c r="A223" s="88"/>
      <c r="B223" s="20" t="s">
        <v>1998</v>
      </c>
      <c r="C223" s="20"/>
      <c r="D223" s="20"/>
      <c r="E223" s="20"/>
      <c r="F223" s="20"/>
      <c r="G223" s="67"/>
      <c r="H223" s="20"/>
      <c r="I223" s="19"/>
      <c r="J223" s="20"/>
    </row>
    <row r="224" spans="1:10">
      <c r="A224" s="88"/>
      <c r="B224" s="20"/>
      <c r="C224" s="20"/>
      <c r="D224" s="20"/>
      <c r="E224" s="20"/>
      <c r="F224" s="20"/>
      <c r="G224" s="67"/>
      <c r="H224" s="20"/>
      <c r="I224" s="19"/>
      <c r="J224" s="20"/>
    </row>
    <row r="225" spans="1:10" ht="15.75">
      <c r="A225" s="88"/>
      <c r="B225" s="20" t="s">
        <v>1999</v>
      </c>
      <c r="C225" s="20"/>
      <c r="D225" s="20"/>
      <c r="E225" s="20"/>
      <c r="F225" s="20"/>
      <c r="G225" s="67"/>
      <c r="H225" s="25">
        <f>(0.66*H221*250)/((POWER((POWER(H221,1.4))+(POWER(250,1.4)),0.714)))</f>
        <v>149.20509569867627</v>
      </c>
      <c r="I225" s="19" t="s">
        <v>2770</v>
      </c>
      <c r="J225" s="20"/>
    </row>
    <row r="226" spans="1:10" ht="15.75">
      <c r="A226" s="88"/>
      <c r="B226" s="20"/>
      <c r="C226" s="20"/>
      <c r="D226" s="20"/>
      <c r="E226" s="20"/>
      <c r="F226" s="20"/>
      <c r="G226" s="67"/>
      <c r="H226" s="25">
        <f>ROUND(H225*100/9.81,0)</f>
        <v>1521</v>
      </c>
      <c r="I226" s="88" t="s">
        <v>2764</v>
      </c>
      <c r="J226" s="20"/>
    </row>
    <row r="227" spans="1:10">
      <c r="A227" s="88"/>
      <c r="B227" s="20"/>
      <c r="C227" s="20"/>
      <c r="D227" s="20"/>
      <c r="E227" s="20"/>
      <c r="F227" s="20"/>
      <c r="G227" s="67"/>
      <c r="H227" s="25"/>
      <c r="I227" s="19"/>
      <c r="J227" s="20"/>
    </row>
    <row r="228" spans="1:10">
      <c r="A228" s="88"/>
      <c r="B228" s="20"/>
      <c r="C228" s="20"/>
      <c r="D228" s="20"/>
      <c r="E228" s="20"/>
      <c r="F228" s="20"/>
      <c r="G228" s="67"/>
      <c r="H228" s="20"/>
      <c r="I228" s="19"/>
      <c r="J228" s="20"/>
    </row>
    <row r="229" spans="1:10">
      <c r="A229" s="88"/>
      <c r="B229" s="20"/>
      <c r="C229" s="20"/>
      <c r="D229" s="20"/>
      <c r="E229" s="20"/>
      <c r="F229" s="20"/>
      <c r="G229" s="67"/>
      <c r="H229" s="20"/>
      <c r="I229" s="19"/>
      <c r="J229" s="20"/>
    </row>
    <row r="230" spans="1:10">
      <c r="A230" s="88"/>
      <c r="B230" s="20"/>
      <c r="C230" s="20"/>
      <c r="D230" s="20"/>
      <c r="E230" s="20"/>
      <c r="F230" s="20"/>
      <c r="G230" s="67"/>
      <c r="H230" s="20"/>
      <c r="I230" s="19"/>
      <c r="J230" s="20"/>
    </row>
    <row r="231" spans="1:10">
      <c r="A231" s="88">
        <v>6</v>
      </c>
      <c r="B231" s="88" t="s">
        <v>2000</v>
      </c>
      <c r="C231" s="20"/>
      <c r="D231" s="20"/>
      <c r="E231" s="20"/>
      <c r="F231" s="20"/>
      <c r="G231" s="67"/>
      <c r="H231" s="20"/>
      <c r="I231" s="19"/>
      <c r="J231" s="20"/>
    </row>
    <row r="232" spans="1:10">
      <c r="A232" s="88"/>
      <c r="B232" s="20"/>
      <c r="C232" s="20"/>
      <c r="D232" s="20"/>
      <c r="E232" s="20"/>
      <c r="F232" s="20"/>
      <c r="G232" s="67"/>
      <c r="H232" s="20"/>
      <c r="I232" s="19"/>
      <c r="J232" s="20"/>
    </row>
    <row r="233" spans="1:10">
      <c r="A233" s="88"/>
      <c r="B233" s="20" t="s">
        <v>2001</v>
      </c>
      <c r="C233" s="20"/>
      <c r="D233" s="20"/>
      <c r="E233" s="20"/>
      <c r="F233" s="20"/>
      <c r="G233" s="67"/>
      <c r="H233" s="20"/>
      <c r="I233" s="19"/>
      <c r="J233" s="20"/>
    </row>
    <row r="234" spans="1:10" ht="15.75">
      <c r="A234" s="88"/>
      <c r="B234" s="20" t="s">
        <v>2002</v>
      </c>
      <c r="C234" s="67"/>
      <c r="D234" s="20"/>
      <c r="E234" s="20"/>
      <c r="F234" s="20"/>
      <c r="G234" s="67"/>
      <c r="H234" s="25">
        <f>'E CALCU'!I8</f>
        <v>336.6</v>
      </c>
      <c r="I234" s="19" t="s">
        <v>2769</v>
      </c>
      <c r="J234" s="20"/>
    </row>
    <row r="235" spans="1:10" ht="15.75">
      <c r="A235" s="88"/>
      <c r="B235" s="20" t="s">
        <v>2003</v>
      </c>
      <c r="C235" s="67"/>
      <c r="D235" s="20"/>
      <c r="E235" s="20"/>
      <c r="F235" s="20"/>
      <c r="G235" s="67"/>
      <c r="H235" s="20">
        <f>'E CALCU'!I20</f>
        <v>158.4</v>
      </c>
      <c r="I235" s="19" t="s">
        <v>2769</v>
      </c>
      <c r="J235" s="20"/>
    </row>
    <row r="236" spans="1:10" ht="15.75">
      <c r="A236" s="88"/>
      <c r="B236" s="20" t="s">
        <v>2004</v>
      </c>
      <c r="C236" s="67"/>
      <c r="D236" s="20"/>
      <c r="E236" s="20"/>
      <c r="F236" s="20"/>
      <c r="G236" s="67"/>
      <c r="H236" s="25">
        <f>'E CALCU'!I12</f>
        <v>8883.3442832840901</v>
      </c>
      <c r="I236" s="19" t="s">
        <v>2724</v>
      </c>
      <c r="J236" s="20"/>
    </row>
    <row r="237" spans="1:10" ht="15.75">
      <c r="A237" s="88"/>
      <c r="B237" s="20" t="s">
        <v>2005</v>
      </c>
      <c r="C237" s="67"/>
      <c r="D237" s="20"/>
      <c r="E237" s="20"/>
      <c r="F237" s="20"/>
      <c r="G237" s="67"/>
      <c r="H237" s="25">
        <f>'E CALCU'!I13</f>
        <v>12551.305793801392</v>
      </c>
      <c r="I237" s="19" t="s">
        <v>2724</v>
      </c>
      <c r="J237" s="20"/>
    </row>
    <row r="238" spans="1:10" ht="15.75">
      <c r="A238" s="88"/>
      <c r="B238" s="20" t="s">
        <v>2006</v>
      </c>
      <c r="C238" s="67"/>
      <c r="D238" s="20"/>
      <c r="E238" s="20"/>
      <c r="F238" s="20"/>
      <c r="G238" s="67"/>
      <c r="H238" s="25">
        <f>'E CALCU'!I14</f>
        <v>5911.5534863387975</v>
      </c>
      <c r="I238" s="19" t="s">
        <v>2724</v>
      </c>
      <c r="J238" s="20"/>
    </row>
    <row r="239" spans="1:10" ht="15.75">
      <c r="A239" s="88"/>
      <c r="B239" s="20" t="s">
        <v>2007</v>
      </c>
      <c r="C239" s="67"/>
      <c r="D239" s="20"/>
      <c r="E239" s="20"/>
      <c r="F239" s="20"/>
      <c r="G239" s="67"/>
      <c r="H239" s="25">
        <f>'E CALCU'!H250</f>
        <v>9261.5452254983156</v>
      </c>
      <c r="I239" s="19" t="s">
        <v>2724</v>
      </c>
      <c r="J239" s="20"/>
    </row>
    <row r="240" spans="1:10">
      <c r="A240" s="88"/>
      <c r="B240" s="20"/>
      <c r="C240" s="67"/>
      <c r="D240" s="20"/>
      <c r="E240" s="20"/>
      <c r="F240" s="20"/>
      <c r="G240" s="67"/>
      <c r="H240" s="25"/>
      <c r="I240" s="19"/>
      <c r="J240" s="20"/>
    </row>
    <row r="241" spans="1:10">
      <c r="A241" s="88"/>
      <c r="B241" s="20"/>
      <c r="C241" s="20"/>
      <c r="D241" s="20"/>
      <c r="E241" s="20"/>
      <c r="F241" s="20"/>
      <c r="G241" s="67"/>
      <c r="H241" s="20"/>
      <c r="I241" s="19"/>
      <c r="J241" s="20"/>
    </row>
    <row r="242" spans="1:10">
      <c r="A242" s="88"/>
      <c r="B242" s="20" t="s">
        <v>2008</v>
      </c>
      <c r="C242" s="20"/>
      <c r="D242" s="20"/>
      <c r="E242" s="20"/>
      <c r="F242" s="20" t="s">
        <v>2009</v>
      </c>
      <c r="G242" s="67"/>
      <c r="H242" s="20"/>
      <c r="I242" s="19"/>
      <c r="J242" s="20"/>
    </row>
    <row r="243" spans="1:10">
      <c r="A243" s="88"/>
      <c r="B243" s="20"/>
      <c r="C243" s="20"/>
      <c r="D243" s="20"/>
      <c r="E243" s="20"/>
      <c r="F243" s="20"/>
      <c r="G243" s="67"/>
      <c r="H243" s="20"/>
      <c r="I243" s="19"/>
      <c r="J243" s="20"/>
    </row>
    <row r="244" spans="1:10">
      <c r="A244" s="67"/>
      <c r="B244" s="67" t="s">
        <v>2010</v>
      </c>
      <c r="C244" s="20">
        <f>((H104*1.3)+H101)*0.05</f>
        <v>1884.375</v>
      </c>
      <c r="D244" s="20" t="s">
        <v>380</v>
      </c>
      <c r="E244" s="20"/>
      <c r="F244" s="20" t="s">
        <v>2011</v>
      </c>
      <c r="G244" s="67"/>
      <c r="H244" s="20"/>
      <c r="I244" s="19"/>
      <c r="J244" s="20"/>
    </row>
    <row r="245" spans="1:10">
      <c r="A245" s="67"/>
      <c r="B245" s="20"/>
      <c r="C245" s="20"/>
      <c r="D245" s="20"/>
      <c r="E245" s="20"/>
      <c r="F245" s="20"/>
      <c r="G245" s="67"/>
      <c r="H245" s="20"/>
      <c r="I245" s="19"/>
      <c r="J245" s="20"/>
    </row>
    <row r="246" spans="1:10">
      <c r="A246" s="88"/>
      <c r="B246" s="67" t="s">
        <v>2012</v>
      </c>
      <c r="C246" s="25">
        <f>'E CALCU'!E202</f>
        <v>20151.648583333332</v>
      </c>
      <c r="D246" s="20" t="s">
        <v>380</v>
      </c>
      <c r="E246" s="20"/>
      <c r="F246" s="20"/>
      <c r="G246" s="67"/>
      <c r="H246" s="20"/>
      <c r="I246" s="19"/>
      <c r="J246" s="20"/>
    </row>
    <row r="247" spans="1:10">
      <c r="A247" s="88"/>
      <c r="B247" s="20"/>
      <c r="C247" s="25"/>
      <c r="D247" s="20"/>
      <c r="E247" s="20"/>
      <c r="F247" s="20"/>
      <c r="G247" s="67"/>
      <c r="H247" s="20"/>
      <c r="I247" s="19"/>
      <c r="J247" s="20"/>
    </row>
    <row r="248" spans="1:10">
      <c r="A248" s="88"/>
      <c r="B248" s="20" t="s">
        <v>2013</v>
      </c>
      <c r="C248" s="25">
        <f>'E CALCU'!E175</f>
        <v>7327681.25</v>
      </c>
      <c r="D248" s="20" t="s">
        <v>2014</v>
      </c>
      <c r="E248" s="20"/>
      <c r="F248" s="20" t="s">
        <v>2015</v>
      </c>
      <c r="G248" s="67"/>
      <c r="H248" s="2425">
        <f>'E CALCU'!E217</f>
        <v>834.34618059070965</v>
      </c>
      <c r="I248" s="2424" t="str">
        <f>"&lt;"&amp;H226</f>
        <v>&lt;1521</v>
      </c>
      <c r="J248" s="20" t="s">
        <v>1598</v>
      </c>
    </row>
    <row r="249" spans="1:10">
      <c r="A249" s="88"/>
      <c r="B249" s="20"/>
      <c r="C249" s="25"/>
      <c r="D249" s="20"/>
      <c r="E249" s="20"/>
      <c r="F249" s="20"/>
      <c r="G249" s="67"/>
      <c r="H249" s="25"/>
      <c r="I249" s="2424"/>
      <c r="J249" s="20"/>
    </row>
    <row r="250" spans="1:10">
      <c r="A250" s="88"/>
      <c r="B250" s="20" t="s">
        <v>2016</v>
      </c>
      <c r="C250" s="25">
        <f>'E CALCU'!H88</f>
        <v>413460.95703124994</v>
      </c>
      <c r="D250" s="20" t="s">
        <v>2014</v>
      </c>
      <c r="E250" s="20"/>
      <c r="F250" s="88" t="s">
        <v>2017</v>
      </c>
      <c r="G250" s="67"/>
      <c r="H250" s="2425">
        <f>'E CALCU'!E219</f>
        <v>143.69551848877438</v>
      </c>
      <c r="I250" s="19" t="s">
        <v>1602</v>
      </c>
      <c r="J250" s="20" t="s">
        <v>1598</v>
      </c>
    </row>
    <row r="251" spans="1:10">
      <c r="A251" s="88"/>
      <c r="B251" s="20"/>
      <c r="C251" s="25"/>
      <c r="D251" s="20"/>
      <c r="E251" s="20"/>
      <c r="F251" s="20"/>
      <c r="G251" s="67"/>
      <c r="H251" s="25"/>
      <c r="I251" s="19"/>
      <c r="J251" s="20"/>
    </row>
    <row r="252" spans="1:10">
      <c r="A252" s="88"/>
      <c r="B252" s="20" t="s">
        <v>2018</v>
      </c>
      <c r="C252" s="25">
        <f>'E CALCU'!D168</f>
        <v>152588.72549019608</v>
      </c>
      <c r="D252" s="20" t="s">
        <v>2014</v>
      </c>
      <c r="E252" s="20"/>
      <c r="F252" s="20" t="s">
        <v>2019</v>
      </c>
      <c r="G252" s="67"/>
      <c r="H252" s="2425">
        <f>'E CALCU'!E221</f>
        <v>870.67718194953181</v>
      </c>
      <c r="I252" s="19" t="s">
        <v>1606</v>
      </c>
      <c r="J252" s="20" t="s">
        <v>1598</v>
      </c>
    </row>
    <row r="253" spans="1:10">
      <c r="A253" s="88"/>
      <c r="B253" s="20"/>
      <c r="C253" s="20"/>
      <c r="D253" s="20"/>
      <c r="E253" s="20"/>
      <c r="F253" s="20"/>
      <c r="G253" s="67"/>
      <c r="H253" s="20"/>
      <c r="I253" s="19"/>
      <c r="J253" s="20"/>
    </row>
    <row r="254" spans="1:10">
      <c r="A254" s="88"/>
      <c r="B254" s="20"/>
      <c r="C254" s="20"/>
      <c r="D254" s="20"/>
      <c r="E254" s="20"/>
      <c r="F254" s="20"/>
      <c r="G254" s="67"/>
      <c r="H254" s="20"/>
      <c r="I254" s="19"/>
      <c r="J254" s="20"/>
    </row>
    <row r="255" spans="1:10">
      <c r="A255" s="88"/>
      <c r="B255" s="20"/>
      <c r="C255" s="20"/>
      <c r="D255" s="20"/>
      <c r="E255" s="20"/>
      <c r="F255" s="20"/>
      <c r="G255" s="67"/>
      <c r="H255" s="20"/>
      <c r="I255" s="19"/>
      <c r="J255" s="20"/>
    </row>
    <row r="256" spans="1:10">
      <c r="A256" s="88">
        <v>7</v>
      </c>
      <c r="B256" s="20" t="s">
        <v>2020</v>
      </c>
      <c r="C256" s="20"/>
      <c r="D256" s="20"/>
      <c r="E256" s="20"/>
      <c r="F256" s="20"/>
      <c r="G256" s="67"/>
      <c r="H256" s="20"/>
      <c r="I256" s="19"/>
      <c r="J256" s="20"/>
    </row>
    <row r="257" spans="1:10">
      <c r="A257" s="88"/>
      <c r="B257" s="20"/>
      <c r="C257" s="20"/>
      <c r="D257" s="20"/>
      <c r="E257" s="20"/>
      <c r="F257" s="20"/>
      <c r="G257" s="67"/>
      <c r="H257" s="20"/>
      <c r="I257" s="19"/>
      <c r="J257" s="20"/>
    </row>
    <row r="258" spans="1:10">
      <c r="A258" s="88">
        <v>7.1</v>
      </c>
      <c r="B258" s="88" t="s">
        <v>2021</v>
      </c>
      <c r="C258" s="20"/>
      <c r="D258" s="20"/>
      <c r="E258" s="20"/>
      <c r="F258" s="20"/>
      <c r="G258" s="2421">
        <f>H68/900*10</f>
        <v>16.666666666666668</v>
      </c>
      <c r="H258" s="20" t="s">
        <v>466</v>
      </c>
      <c r="I258" s="19"/>
      <c r="J258" s="20"/>
    </row>
    <row r="259" spans="1:10">
      <c r="A259" s="88"/>
      <c r="B259" s="88"/>
      <c r="C259" s="20"/>
      <c r="D259" s="20"/>
      <c r="E259" s="20"/>
      <c r="F259" s="20"/>
      <c r="G259" s="2421"/>
      <c r="H259" s="20"/>
      <c r="I259" s="19"/>
      <c r="J259" s="20"/>
    </row>
    <row r="260" spans="1:10">
      <c r="A260" s="88">
        <v>7.2</v>
      </c>
      <c r="B260" s="88" t="s">
        <v>2022</v>
      </c>
      <c r="C260" s="20"/>
      <c r="D260" s="20"/>
      <c r="E260" s="20"/>
      <c r="F260" s="20"/>
      <c r="G260" s="2421">
        <f>'E CALCU'!C271</f>
        <v>9.5429727552282912</v>
      </c>
      <c r="H260" s="20" t="s">
        <v>466</v>
      </c>
      <c r="I260" s="19"/>
      <c r="J260" s="20"/>
    </row>
    <row r="261" spans="1:10">
      <c r="A261" s="88"/>
      <c r="B261" s="88"/>
      <c r="C261" s="20" t="s">
        <v>2023</v>
      </c>
      <c r="D261" s="20"/>
      <c r="E261" s="20"/>
      <c r="F261" s="20"/>
      <c r="G261" s="2421"/>
      <c r="H261" s="20"/>
      <c r="I261" s="19"/>
      <c r="J261" s="20"/>
    </row>
    <row r="262" spans="1:10">
      <c r="A262" s="88"/>
      <c r="B262" s="88"/>
      <c r="C262" s="20"/>
      <c r="D262" s="20"/>
      <c r="E262" s="20"/>
      <c r="F262" s="20"/>
      <c r="G262" s="67"/>
      <c r="H262" s="20"/>
      <c r="I262" s="19"/>
      <c r="J262" s="20"/>
    </row>
    <row r="263" spans="1:10">
      <c r="A263" s="88"/>
      <c r="B263" s="88"/>
      <c r="C263" s="20"/>
      <c r="D263" s="20"/>
      <c r="E263" s="20"/>
      <c r="F263" s="20"/>
      <c r="G263" s="67"/>
      <c r="H263" s="20"/>
      <c r="I263" s="19"/>
      <c r="J263" s="20"/>
    </row>
    <row r="264" spans="1:10">
      <c r="A264" s="88">
        <v>8</v>
      </c>
      <c r="B264" s="88" t="s">
        <v>2024</v>
      </c>
      <c r="C264" s="20"/>
      <c r="D264" s="20"/>
      <c r="E264" s="20"/>
      <c r="F264" s="20"/>
      <c r="G264" s="67"/>
      <c r="H264" s="20"/>
      <c r="I264" s="19"/>
      <c r="J264" s="20"/>
    </row>
    <row r="265" spans="1:10">
      <c r="A265" s="88"/>
      <c r="B265" s="88"/>
      <c r="C265" s="20"/>
      <c r="D265" s="20"/>
      <c r="E265" s="20"/>
      <c r="F265" s="20"/>
      <c r="G265" s="67"/>
      <c r="H265" s="20"/>
      <c r="I265" s="19"/>
      <c r="J265" s="20"/>
    </row>
    <row r="266" spans="1:10">
      <c r="A266" s="88">
        <v>8.1</v>
      </c>
      <c r="B266" s="88" t="s">
        <v>2025</v>
      </c>
      <c r="C266" s="20"/>
      <c r="D266" s="20"/>
      <c r="E266" s="20"/>
      <c r="F266" s="20"/>
      <c r="G266" s="67">
        <f>H68/1000*10</f>
        <v>15</v>
      </c>
      <c r="H266" s="20" t="s">
        <v>466</v>
      </c>
      <c r="I266" s="19"/>
      <c r="J266" s="20"/>
    </row>
    <row r="267" spans="1:10">
      <c r="A267" s="88"/>
      <c r="B267" s="88"/>
      <c r="C267" s="20"/>
      <c r="D267" s="20"/>
      <c r="E267" s="20"/>
      <c r="F267" s="20"/>
      <c r="G267" s="67"/>
      <c r="H267" s="20"/>
      <c r="I267" s="19"/>
      <c r="J267" s="20"/>
    </row>
    <row r="268" spans="1:10">
      <c r="A268" s="88">
        <v>8.1999999999999993</v>
      </c>
      <c r="B268" s="88" t="s">
        <v>2026</v>
      </c>
      <c r="C268" s="20"/>
      <c r="D268" s="20"/>
      <c r="E268" s="20"/>
      <c r="F268" s="20"/>
      <c r="G268" s="2421">
        <f>'E CALCU'!D278</f>
        <v>1.6105866265930593</v>
      </c>
      <c r="H268" s="20" t="s">
        <v>466</v>
      </c>
      <c r="I268" s="19"/>
      <c r="J268" s="20"/>
    </row>
    <row r="269" spans="1:10">
      <c r="A269" s="88"/>
      <c r="B269" s="88"/>
      <c r="C269" s="20"/>
      <c r="D269" s="20"/>
      <c r="E269" s="20"/>
      <c r="F269" s="20"/>
      <c r="G269" s="2421"/>
      <c r="H269" s="20"/>
      <c r="I269" s="19"/>
      <c r="J269" s="20"/>
    </row>
    <row r="270" spans="1:10">
      <c r="A270" s="88">
        <v>8.3000000000000007</v>
      </c>
      <c r="B270" s="88" t="s">
        <v>2027</v>
      </c>
      <c r="C270" s="20"/>
      <c r="D270" s="20"/>
      <c r="E270" s="20"/>
      <c r="F270" s="20"/>
      <c r="G270" s="67"/>
      <c r="H270" s="20"/>
      <c r="I270" s="19"/>
      <c r="J270" s="20"/>
    </row>
    <row r="271" spans="1:10">
      <c r="A271" s="88"/>
      <c r="B271" s="88"/>
      <c r="C271" s="20"/>
      <c r="D271" s="20"/>
      <c r="E271" s="20"/>
      <c r="F271" s="20"/>
      <c r="G271" s="67"/>
      <c r="H271" s="20"/>
      <c r="I271" s="19"/>
      <c r="J271" s="20"/>
    </row>
    <row r="272" spans="1:10">
      <c r="A272" s="88"/>
      <c r="B272" s="88" t="s">
        <v>2028</v>
      </c>
      <c r="C272" s="20"/>
      <c r="D272" s="20"/>
      <c r="E272" s="20"/>
      <c r="F272" s="20"/>
      <c r="G272" s="2421">
        <f>'E CALCU'!D285</f>
        <v>6.3820730042072054</v>
      </c>
      <c r="H272" s="20" t="s">
        <v>466</v>
      </c>
      <c r="I272" s="19"/>
      <c r="J272" s="20"/>
    </row>
    <row r="273" spans="1:10">
      <c r="A273" s="88"/>
      <c r="B273" s="88"/>
      <c r="C273" s="20"/>
      <c r="D273" s="20"/>
      <c r="E273" s="20"/>
      <c r="F273" s="20"/>
      <c r="G273" s="2421"/>
      <c r="H273" s="20"/>
      <c r="I273" s="19"/>
      <c r="J273" s="20"/>
    </row>
    <row r="274" spans="1:10">
      <c r="A274" s="88">
        <v>8.4</v>
      </c>
      <c r="B274" s="88" t="s">
        <v>2029</v>
      </c>
      <c r="C274" s="20"/>
      <c r="D274" s="20"/>
      <c r="E274" s="20"/>
      <c r="F274" s="20"/>
      <c r="G274" s="67">
        <f>ROUNDUP(G272+(G266-G272)/2,0)</f>
        <v>11</v>
      </c>
      <c r="H274" s="20" t="s">
        <v>466</v>
      </c>
      <c r="I274" s="19"/>
      <c r="J274" s="20"/>
    </row>
    <row r="275" spans="1:10">
      <c r="A275" s="88"/>
      <c r="B275" s="88"/>
      <c r="C275" s="20"/>
      <c r="D275" s="20"/>
      <c r="E275" s="20"/>
      <c r="F275" s="20"/>
      <c r="G275" s="67"/>
      <c r="H275" s="20"/>
      <c r="I275" s="19"/>
      <c r="J275" s="20"/>
    </row>
    <row r="276" spans="1:10">
      <c r="A276" s="88"/>
      <c r="B276" s="88"/>
      <c r="C276" s="20"/>
      <c r="D276" s="20"/>
      <c r="E276" s="20"/>
      <c r="F276" s="20"/>
      <c r="G276" s="67"/>
      <c r="H276" s="20"/>
      <c r="I276" s="19"/>
      <c r="J276" s="20"/>
    </row>
    <row r="277" spans="1:10">
      <c r="A277" s="88"/>
      <c r="B277" s="88"/>
      <c r="C277" s="20"/>
      <c r="D277" s="20"/>
      <c r="E277" s="20"/>
      <c r="F277" s="20"/>
      <c r="G277" s="67"/>
      <c r="H277" s="20"/>
      <c r="I277" s="19"/>
      <c r="J277" s="20"/>
    </row>
    <row r="278" spans="1:10">
      <c r="A278" s="88" t="s">
        <v>2030</v>
      </c>
      <c r="B278" s="88"/>
      <c r="C278" s="20"/>
      <c r="D278" s="20"/>
      <c r="E278" s="20"/>
      <c r="F278" s="20"/>
      <c r="G278" s="67"/>
      <c r="H278" s="20"/>
      <c r="I278" s="19"/>
      <c r="J278" s="20"/>
    </row>
    <row r="279" spans="1:10">
      <c r="A279" s="88"/>
      <c r="B279" s="88"/>
      <c r="C279" s="20"/>
      <c r="D279" s="20"/>
      <c r="E279" s="20"/>
      <c r="F279" s="20"/>
      <c r="G279" s="67"/>
      <c r="H279" s="20"/>
      <c r="I279" s="19"/>
      <c r="J279" s="20"/>
    </row>
    <row r="280" spans="1:10">
      <c r="A280" s="88"/>
      <c r="B280" s="2428" t="s">
        <v>2031</v>
      </c>
      <c r="C280" s="1752"/>
      <c r="D280" s="1752"/>
      <c r="E280" s="1752"/>
      <c r="F280" s="1752"/>
      <c r="G280" s="67"/>
      <c r="H280" s="20"/>
      <c r="I280" s="19"/>
      <c r="J280" s="20"/>
    </row>
    <row r="281" spans="1:10">
      <c r="A281" s="88"/>
      <c r="B281" s="88"/>
      <c r="C281" s="20"/>
      <c r="D281" s="20"/>
      <c r="E281" s="20"/>
      <c r="F281" s="20"/>
      <c r="G281" s="67"/>
      <c r="H281" s="20"/>
      <c r="I281" s="19"/>
      <c r="J281" s="20"/>
    </row>
    <row r="282" spans="1:10">
      <c r="A282" s="88"/>
      <c r="B282" s="88"/>
      <c r="C282" s="20"/>
      <c r="D282" s="20"/>
      <c r="E282" s="20"/>
      <c r="F282" s="20"/>
      <c r="G282" s="67"/>
      <c r="H282" s="20"/>
      <c r="I282" s="19"/>
      <c r="J282" s="20"/>
    </row>
    <row r="283" spans="1:10">
      <c r="A283" s="88"/>
      <c r="B283" s="88"/>
      <c r="C283" s="20"/>
      <c r="D283" s="20"/>
      <c r="E283" s="20"/>
      <c r="F283" s="20"/>
      <c r="G283" s="67"/>
      <c r="H283" s="20"/>
      <c r="I283" s="19"/>
      <c r="J283" s="20"/>
    </row>
    <row r="284" spans="1:10">
      <c r="A284" s="88"/>
      <c r="B284" s="88"/>
      <c r="C284" s="20"/>
      <c r="D284" s="20"/>
      <c r="E284" s="20"/>
      <c r="F284" s="20"/>
      <c r="G284" s="67"/>
      <c r="H284" s="20"/>
      <c r="I284" s="19"/>
      <c r="J284" s="20"/>
    </row>
    <row r="285" spans="1:10">
      <c r="A285" s="88"/>
      <c r="B285" s="88"/>
      <c r="C285" s="20"/>
      <c r="D285" s="20"/>
      <c r="E285" s="20"/>
      <c r="F285" s="20"/>
      <c r="G285" s="67"/>
      <c r="H285" s="20"/>
      <c r="I285" s="19"/>
      <c r="J285" s="20"/>
    </row>
    <row r="286" spans="1:10">
      <c r="A286" s="88"/>
      <c r="B286" s="88"/>
      <c r="C286" s="20"/>
      <c r="D286" s="20"/>
      <c r="E286" s="20"/>
      <c r="F286" s="20"/>
      <c r="G286" s="67"/>
      <c r="H286" s="20"/>
      <c r="I286" s="19"/>
      <c r="J286" s="20"/>
    </row>
    <row r="287" spans="1:10">
      <c r="A287" s="88"/>
      <c r="B287" s="67" t="s">
        <v>2032</v>
      </c>
      <c r="C287" s="88" t="s">
        <v>2033</v>
      </c>
      <c r="D287" s="20"/>
      <c r="E287" s="20"/>
      <c r="F287" s="20"/>
      <c r="G287" s="67" t="s">
        <v>2034</v>
      </c>
      <c r="H287" s="20" t="s">
        <v>2035</v>
      </c>
      <c r="I287" s="20"/>
      <c r="J287" s="20"/>
    </row>
    <row r="288" spans="1:10">
      <c r="A288" s="88"/>
      <c r="B288" s="67"/>
      <c r="C288" s="88"/>
      <c r="D288" s="20"/>
      <c r="E288" s="20"/>
      <c r="F288" s="20"/>
      <c r="G288" s="67"/>
      <c r="H288" s="20"/>
      <c r="I288" s="20"/>
      <c r="J288" s="20"/>
    </row>
    <row r="289" spans="1:10">
      <c r="A289" s="88"/>
      <c r="B289" s="67" t="s">
        <v>2036</v>
      </c>
      <c r="C289" s="88"/>
      <c r="D289" s="20"/>
      <c r="E289" s="20"/>
      <c r="F289" s="20"/>
      <c r="G289" s="67" t="s">
        <v>2036</v>
      </c>
      <c r="H289" s="20"/>
      <c r="I289" s="20"/>
      <c r="J289" s="20"/>
    </row>
    <row r="290" spans="1:10">
      <c r="A290" s="88"/>
      <c r="B290" s="67" t="s">
        <v>1883</v>
      </c>
      <c r="C290" s="655">
        <f>input!G8</f>
        <v>0</v>
      </c>
      <c r="D290" s="20"/>
      <c r="E290" s="20"/>
      <c r="F290" s="20"/>
      <c r="G290" s="67" t="s">
        <v>1883</v>
      </c>
      <c r="H290" s="655">
        <f>C290</f>
        <v>0</v>
      </c>
      <c r="I290" s="20"/>
      <c r="J290" s="20"/>
    </row>
  </sheetData>
  <mergeCells count="6">
    <mergeCell ref="A14:J14"/>
    <mergeCell ref="A4:J4"/>
    <mergeCell ref="A9:J9"/>
    <mergeCell ref="A10:J10"/>
    <mergeCell ref="A12:J12"/>
    <mergeCell ref="A13:J13"/>
  </mergeCells>
  <pageMargins left="0.75" right="0.75" top="1" bottom="1" header="0.51041666666666696" footer="0.51041666666666696"/>
  <pageSetup paperSize="9" scale="73" orientation="portrait" r:id="rId1"/>
  <headerFooter alignWithMargins="0"/>
  <rowBreaks count="2" manualBreakCount="2">
    <brk id="118" max="16383" man="1"/>
    <brk id="181" max="16383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N286"/>
  <sheetViews>
    <sheetView view="pageBreakPreview" zoomScale="115" zoomScaleSheetLayoutView="115" workbookViewId="0">
      <selection activeCell="E24" sqref="E24"/>
    </sheetView>
  </sheetViews>
  <sheetFormatPr defaultColWidth="9.1328125" defaultRowHeight="14.25"/>
  <cols>
    <col min="1" max="1" width="4" style="22" customWidth="1"/>
    <col min="2" max="3" width="9.1328125" style="22"/>
    <col min="4" max="4" width="9.53125" style="22"/>
    <col min="5" max="5" width="14.53125" style="22"/>
    <col min="6" max="7" width="9.1328125" style="22"/>
    <col min="8" max="8" width="14.53125" style="22"/>
    <col min="9" max="9" width="9.1328125" style="22"/>
    <col min="10" max="10" width="9.53125" style="22"/>
    <col min="11" max="11" width="9.1328125" style="22"/>
    <col min="12" max="13" width="10.6640625" style="22"/>
    <col min="14" max="16384" width="9.1328125" style="22"/>
  </cols>
  <sheetData>
    <row r="1" spans="1:14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</row>
    <row r="2" spans="1:14">
      <c r="A2" s="20" t="s">
        <v>1832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17"/>
      <c r="M2" s="17"/>
      <c r="N2" s="17"/>
    </row>
    <row r="3" spans="1:14">
      <c r="A3" s="20"/>
      <c r="B3" s="20"/>
      <c r="C3" s="20"/>
      <c r="D3" s="20"/>
      <c r="E3" s="20">
        <f>(2*((F11^3)*F10/12))+(F6*((F9^3)/12))+(F6*((F8^3)/12))+(F6*F8*(((I18-(F8/2))^2)))+((F6*F9)*(((I19-(F9/2))^2)))</f>
        <v>514972.69359861594</v>
      </c>
      <c r="F3" s="20"/>
      <c r="G3" s="20"/>
      <c r="H3" s="20"/>
      <c r="I3" s="20"/>
      <c r="J3" s="20"/>
      <c r="K3" s="20" t="s">
        <v>2037</v>
      </c>
      <c r="L3" s="2429"/>
      <c r="M3" s="17"/>
      <c r="N3" s="17"/>
    </row>
    <row r="4" spans="1:14">
      <c r="A4" s="20"/>
      <c r="B4" s="20"/>
      <c r="C4" s="20"/>
      <c r="D4" s="20"/>
      <c r="E4" s="20"/>
      <c r="F4" s="20"/>
      <c r="G4" s="20"/>
      <c r="H4" s="20"/>
      <c r="I4" s="25"/>
      <c r="J4" s="20"/>
      <c r="K4" s="20" t="s">
        <v>2038</v>
      </c>
      <c r="L4" s="2430"/>
      <c r="M4" s="17"/>
      <c r="N4" s="17"/>
    </row>
    <row r="5" spans="1:14">
      <c r="A5" s="20"/>
      <c r="B5" s="88">
        <f>F8*10</f>
        <v>20</v>
      </c>
      <c r="C5" s="19">
        <f>F6*10</f>
        <v>610</v>
      </c>
      <c r="D5" s="20"/>
      <c r="E5" s="20"/>
      <c r="F5" s="20"/>
      <c r="G5" s="20"/>
      <c r="H5" s="20"/>
      <c r="I5" s="20"/>
      <c r="J5" s="20"/>
      <c r="K5" s="17"/>
      <c r="L5" s="17"/>
      <c r="M5" s="17"/>
      <c r="N5" s="17"/>
    </row>
    <row r="6" spans="1:14">
      <c r="A6" s="20"/>
      <c r="B6" s="20"/>
      <c r="C6" s="20"/>
      <c r="D6" s="20"/>
      <c r="E6" s="19" t="s">
        <v>1568</v>
      </c>
      <c r="F6" s="2429">
        <f>input!G31</f>
        <v>61</v>
      </c>
      <c r="G6" s="20" t="s">
        <v>1569</v>
      </c>
      <c r="H6" s="20" t="s">
        <v>2039</v>
      </c>
      <c r="I6" s="20"/>
      <c r="J6" s="20"/>
      <c r="K6" s="20"/>
      <c r="L6" s="17"/>
      <c r="M6" s="17"/>
      <c r="N6" s="17"/>
    </row>
    <row r="7" spans="1:14">
      <c r="A7" s="20"/>
      <c r="B7" s="20"/>
      <c r="C7" s="20"/>
      <c r="D7" s="20"/>
      <c r="E7" s="19" t="s">
        <v>1571</v>
      </c>
      <c r="F7" s="2429">
        <f>input!G33</f>
        <v>99</v>
      </c>
      <c r="G7" s="20" t="s">
        <v>1569</v>
      </c>
      <c r="H7" s="20"/>
      <c r="I7" s="20"/>
      <c r="J7" s="20"/>
      <c r="K7" s="17"/>
      <c r="L7" s="17"/>
      <c r="M7" s="17"/>
      <c r="N7" s="17"/>
    </row>
    <row r="8" spans="1:14" ht="15.75">
      <c r="A8" s="20"/>
      <c r="B8" s="67">
        <f>F10*10</f>
        <v>8</v>
      </c>
      <c r="C8" s="577">
        <f>F6*10-(2*F10*10)-(input!E45*2)</f>
        <v>506</v>
      </c>
      <c r="D8" s="67" t="s">
        <v>1572</v>
      </c>
      <c r="E8" s="19" t="s">
        <v>1573</v>
      </c>
      <c r="F8" s="2429">
        <f>input!G34</f>
        <v>2</v>
      </c>
      <c r="G8" s="20" t="s">
        <v>1569</v>
      </c>
      <c r="H8" s="20" t="s">
        <v>1968</v>
      </c>
      <c r="I8" s="2431">
        <f>(F6*F8)+(F6*F9)+(F7-F8-F9)*2*F10</f>
        <v>336.6</v>
      </c>
      <c r="J8" s="20" t="s">
        <v>2765</v>
      </c>
      <c r="K8" s="20"/>
      <c r="L8" s="17"/>
      <c r="M8" s="17"/>
      <c r="N8" s="17"/>
    </row>
    <row r="9" spans="1:14" ht="21">
      <c r="A9" s="20"/>
      <c r="B9" s="1780">
        <f>(F7-F8-F9)*10</f>
        <v>960</v>
      </c>
      <c r="C9" s="17"/>
      <c r="D9" s="1780">
        <f>F7*10</f>
        <v>990</v>
      </c>
      <c r="E9" s="19" t="s">
        <v>1575</v>
      </c>
      <c r="F9" s="2429">
        <f>input!G35</f>
        <v>1</v>
      </c>
      <c r="G9" s="20" t="s">
        <v>1569</v>
      </c>
      <c r="H9" s="20" t="s">
        <v>1969</v>
      </c>
      <c r="I9" s="2432">
        <f>(F6*F8*(F7-F8/2)+F11*2*F10*(F7-F8-F11/2)+F6*F9*F9/2)/I8</f>
        <v>57.970588235294116</v>
      </c>
      <c r="J9" s="20" t="s">
        <v>1569</v>
      </c>
      <c r="L9" s="20">
        <f>(F6*F8)</f>
        <v>122</v>
      </c>
      <c r="M9" s="20">
        <f>61*1.2</f>
        <v>73.2</v>
      </c>
      <c r="N9" s="17"/>
    </row>
    <row r="10" spans="1:14" ht="15.75">
      <c r="A10" s="20"/>
      <c r="B10" s="20"/>
      <c r="C10" s="20"/>
      <c r="D10" s="20"/>
      <c r="E10" s="19" t="s">
        <v>1577</v>
      </c>
      <c r="F10" s="2429">
        <f>input!G36</f>
        <v>0.8</v>
      </c>
      <c r="G10" s="20" t="s">
        <v>1569</v>
      </c>
      <c r="H10" s="20" t="s">
        <v>1970</v>
      </c>
      <c r="I10" s="2433">
        <f>(2*((F11^3)*F10/12))+(F6*((F9^3)/12))+(F6*((F8^3)/12))+(F6*F8*(((I18-(F8/2))^2)))+((F6*F9)*(((I19-(F9/2))^2)))</f>
        <v>514972.69359861594</v>
      </c>
      <c r="J10" s="20" t="s">
        <v>2766</v>
      </c>
      <c r="L10" s="20">
        <f>+(F6*F9)</f>
        <v>61</v>
      </c>
      <c r="M10" s="20">
        <f>1*61</f>
        <v>61</v>
      </c>
      <c r="N10" s="17"/>
    </row>
    <row r="11" spans="1:14" ht="15.75">
      <c r="A11" s="20"/>
      <c r="B11" s="20"/>
      <c r="C11" s="20"/>
      <c r="D11" s="67" t="s">
        <v>1580</v>
      </c>
      <c r="E11" s="20" t="s">
        <v>1581</v>
      </c>
      <c r="F11" s="2429">
        <f>input!G38</f>
        <v>96</v>
      </c>
      <c r="G11" s="20" t="s">
        <v>1569</v>
      </c>
      <c r="H11" s="20" t="s">
        <v>1971</v>
      </c>
      <c r="I11" s="2434">
        <f>(2*((F6^3)*F8/12))+(2*F11*((F10^3)/12))+(2*F11*F10*((((F6/2)-(F10/2)-D18/10)^2)))</f>
        <v>180302.38133333332</v>
      </c>
      <c r="J11" s="20" t="s">
        <v>2766</v>
      </c>
      <c r="L11" s="20">
        <f>(F7-F8-F9)*2*F10</f>
        <v>153.60000000000002</v>
      </c>
      <c r="M11" s="20">
        <f>(180-1.2-1)*0.8*2</f>
        <v>284.48</v>
      </c>
      <c r="N11" s="17"/>
    </row>
    <row r="12" spans="1:14" ht="15.75">
      <c r="A12" s="20"/>
      <c r="B12" s="20"/>
      <c r="C12" s="20"/>
      <c r="D12" s="20"/>
      <c r="E12" s="20"/>
      <c r="F12" s="20"/>
      <c r="G12" s="20"/>
      <c r="H12" s="20" t="s">
        <v>1972</v>
      </c>
      <c r="I12" s="2433">
        <f>I10/I19</f>
        <v>8883.3442832840901</v>
      </c>
      <c r="J12" s="20" t="s">
        <v>2767</v>
      </c>
      <c r="L12" s="17"/>
      <c r="M12" s="17"/>
      <c r="N12" s="17"/>
    </row>
    <row r="13" spans="1:14" ht="15.75">
      <c r="A13" s="20"/>
      <c r="B13" s="20"/>
      <c r="C13" s="20"/>
      <c r="D13" s="20"/>
      <c r="E13" s="20"/>
      <c r="F13" s="20"/>
      <c r="G13" s="20"/>
      <c r="H13" s="20" t="s">
        <v>1973</v>
      </c>
      <c r="I13" s="2433">
        <f>I10/I18</f>
        <v>12551.305793801392</v>
      </c>
      <c r="J13" s="20" t="s">
        <v>2767</v>
      </c>
      <c r="L13" s="17"/>
      <c r="M13" s="17"/>
      <c r="N13" s="17"/>
    </row>
    <row r="14" spans="1:14" ht="15.75">
      <c r="A14" s="20"/>
      <c r="B14" s="88">
        <f>F9*10</f>
        <v>10</v>
      </c>
      <c r="C14" s="20"/>
      <c r="D14" s="20"/>
      <c r="E14" s="20"/>
      <c r="F14" s="20"/>
      <c r="G14" s="17"/>
      <c r="H14" s="20" t="s">
        <v>1974</v>
      </c>
      <c r="I14" s="2433">
        <f>I11/((F6/2))</f>
        <v>5911.5534863387975</v>
      </c>
      <c r="J14" s="20" t="s">
        <v>2767</v>
      </c>
      <c r="L14" s="17"/>
      <c r="M14" s="20">
        <f>418.68</f>
        <v>418.68</v>
      </c>
      <c r="N14" s="17"/>
    </row>
    <row r="15" spans="1:14" ht="15.75">
      <c r="A15" s="20"/>
      <c r="B15" s="19"/>
      <c r="C15" s="20"/>
      <c r="D15" s="20"/>
      <c r="E15" s="20"/>
      <c r="F15" s="20"/>
      <c r="G15" s="17"/>
      <c r="H15" s="20" t="s">
        <v>2768</v>
      </c>
      <c r="I15" s="2431">
        <f>SQRT(I11/I8)</f>
        <v>23.14428003965924</v>
      </c>
      <c r="J15" s="20" t="s">
        <v>1569</v>
      </c>
      <c r="L15" s="17"/>
      <c r="M15" s="20">
        <v>0.78500000000000003</v>
      </c>
      <c r="N15" s="17"/>
    </row>
    <row r="16" spans="1:14">
      <c r="A16" s="20"/>
      <c r="B16" s="19"/>
      <c r="C16" s="20" t="s">
        <v>1588</v>
      </c>
      <c r="D16" s="20"/>
      <c r="E16" s="20"/>
      <c r="F16" s="20"/>
      <c r="G16" s="17"/>
      <c r="H16" s="20" t="s">
        <v>287</v>
      </c>
      <c r="I16" s="2433">
        <f>(I8)*0.785</f>
        <v>264.23100000000005</v>
      </c>
      <c r="J16" s="20" t="s">
        <v>1975</v>
      </c>
      <c r="L16" s="17"/>
      <c r="M16" s="20">
        <f>M14*M15</f>
        <v>328.66380000000004</v>
      </c>
      <c r="N16" s="17"/>
    </row>
    <row r="17" spans="1:14">
      <c r="A17" s="20"/>
      <c r="B17" s="20"/>
      <c r="C17" s="67" t="s">
        <v>1589</v>
      </c>
      <c r="D17" s="2435">
        <f>input!D44</f>
        <v>80.5</v>
      </c>
      <c r="E17" s="20" t="s">
        <v>1569</v>
      </c>
      <c r="F17" s="20"/>
      <c r="G17" s="20"/>
      <c r="H17" s="17"/>
      <c r="I17" s="2429"/>
      <c r="J17" s="20"/>
      <c r="K17" s="20"/>
      <c r="L17" s="17"/>
      <c r="M17" s="17"/>
      <c r="N17" s="17"/>
    </row>
    <row r="18" spans="1:14">
      <c r="A18" s="20"/>
      <c r="B18" s="20"/>
      <c r="C18" s="20"/>
      <c r="D18" s="334">
        <f>input!D45</f>
        <v>40</v>
      </c>
      <c r="E18" s="20" t="s">
        <v>1592</v>
      </c>
      <c r="F18" s="20"/>
      <c r="G18" s="17"/>
      <c r="H18" s="20" t="s">
        <v>1976</v>
      </c>
      <c r="I18" s="2431">
        <f>F7-I9</f>
        <v>41.029411764705884</v>
      </c>
      <c r="J18" s="20" t="s">
        <v>1569</v>
      </c>
      <c r="K18" s="20"/>
      <c r="L18" s="17"/>
      <c r="M18" s="17"/>
      <c r="N18" s="17"/>
    </row>
    <row r="19" spans="1:14">
      <c r="A19" s="20"/>
      <c r="B19" s="20"/>
      <c r="C19" s="20"/>
      <c r="D19" s="20"/>
      <c r="E19" s="20"/>
      <c r="F19" s="20"/>
      <c r="G19" s="20"/>
      <c r="H19" s="20" t="s">
        <v>1977</v>
      </c>
      <c r="I19" s="2431">
        <f>I9</f>
        <v>57.970588235294116</v>
      </c>
      <c r="J19" s="20" t="s">
        <v>1569</v>
      </c>
      <c r="K19" s="20"/>
      <c r="L19" s="17"/>
      <c r="M19" s="17"/>
      <c r="N19" s="17"/>
    </row>
    <row r="20" spans="1:14" ht="15.75">
      <c r="A20" s="20"/>
      <c r="B20" s="20"/>
      <c r="C20" s="20"/>
      <c r="D20" s="20"/>
      <c r="E20" s="20"/>
      <c r="F20" s="20"/>
      <c r="G20" s="20"/>
      <c r="H20" s="20" t="s">
        <v>2040</v>
      </c>
      <c r="I20" s="2429">
        <f>F10*2*F7</f>
        <v>158.4</v>
      </c>
      <c r="J20" s="20" t="s">
        <v>2769</v>
      </c>
      <c r="K20" s="20"/>
      <c r="L20" s="17"/>
      <c r="M20" s="17"/>
      <c r="N20" s="17"/>
    </row>
    <row r="21" spans="1:14" ht="15.75">
      <c r="A21" s="20"/>
      <c r="B21" s="20"/>
      <c r="C21" s="20"/>
      <c r="D21" s="20"/>
      <c r="E21" s="20"/>
      <c r="F21" s="20"/>
      <c r="G21" s="20"/>
      <c r="H21" s="20" t="s">
        <v>1979</v>
      </c>
      <c r="I21" s="2433">
        <f>I231</f>
        <v>353058.99133737379</v>
      </c>
      <c r="J21" s="20" t="s">
        <v>2766</v>
      </c>
      <c r="K21" s="20"/>
      <c r="L21" s="17"/>
      <c r="M21" s="17"/>
      <c r="N21" s="17"/>
    </row>
    <row r="22" spans="1:14" ht="15.75">
      <c r="A22" s="20"/>
      <c r="B22" s="20"/>
      <c r="C22" s="20"/>
      <c r="D22" s="20"/>
      <c r="E22" s="20"/>
      <c r="F22" s="20"/>
      <c r="G22" s="20"/>
      <c r="H22" s="20" t="s">
        <v>1980</v>
      </c>
      <c r="I22" s="2433">
        <f>H250</f>
        <v>9261.5452254983156</v>
      </c>
      <c r="J22" s="20" t="s">
        <v>2767</v>
      </c>
      <c r="K22" s="20"/>
      <c r="L22" s="17"/>
      <c r="M22" s="17"/>
      <c r="N22" s="17"/>
    </row>
    <row r="23" spans="1:14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</row>
    <row r="24" spans="1:14">
      <c r="A24" s="20" t="s">
        <v>1873</v>
      </c>
      <c r="B24" s="17"/>
      <c r="C24" s="20" t="s">
        <v>2041</v>
      </c>
      <c r="D24" s="20"/>
      <c r="E24" s="20"/>
      <c r="F24" s="20"/>
      <c r="G24" s="20"/>
      <c r="H24" s="20"/>
      <c r="I24" s="20"/>
      <c r="J24" s="20"/>
      <c r="K24" s="17"/>
      <c r="L24" s="17"/>
      <c r="M24" s="17"/>
      <c r="N24" s="17"/>
    </row>
    <row r="25" spans="1:14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</row>
    <row r="26" spans="1:14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14">
      <c r="A27" s="20"/>
      <c r="B27" s="20"/>
      <c r="C27" s="25">
        <f>E40</f>
        <v>11241.249999999998</v>
      </c>
      <c r="D27" s="25">
        <f>E41</f>
        <v>7858.7499999999991</v>
      </c>
      <c r="E27" s="20" t="s">
        <v>1957</v>
      </c>
      <c r="F27" s="20"/>
      <c r="G27" s="20"/>
      <c r="H27" s="20"/>
      <c r="I27" s="20"/>
      <c r="J27" s="20"/>
      <c r="K27" s="17"/>
      <c r="L27" s="17"/>
      <c r="M27" s="17"/>
      <c r="N27" s="17"/>
    </row>
    <row r="28" spans="1:14">
      <c r="A28" s="20"/>
      <c r="B28" s="20"/>
      <c r="C28" s="20">
        <f>D40</f>
        <v>8781.2499999999982</v>
      </c>
      <c r="D28" s="20">
        <f>D41</f>
        <v>6218.75</v>
      </c>
      <c r="E28" s="20" t="s">
        <v>2042</v>
      </c>
      <c r="F28" s="20"/>
      <c r="G28" s="20"/>
      <c r="H28" s="20"/>
      <c r="I28" s="20"/>
      <c r="J28" s="20"/>
      <c r="K28" s="17"/>
      <c r="L28" s="17"/>
      <c r="M28" s="17"/>
      <c r="N28" s="17"/>
    </row>
    <row r="29" spans="1:14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</row>
    <row r="30" spans="1:14">
      <c r="A30" s="20"/>
      <c r="B30" s="20"/>
      <c r="C30" s="88">
        <f>D38</f>
        <v>44</v>
      </c>
      <c r="D30" s="88">
        <f>D39</f>
        <v>150</v>
      </c>
      <c r="E30" s="17"/>
      <c r="F30" s="20">
        <f>D37-D38-D39</f>
        <v>1306</v>
      </c>
      <c r="G30" s="20"/>
      <c r="H30" s="20"/>
      <c r="I30" s="20"/>
      <c r="J30" s="20"/>
      <c r="K30" s="17"/>
      <c r="L30" s="17"/>
      <c r="M30" s="17"/>
      <c r="N30" s="17"/>
    </row>
    <row r="31" spans="1:14" ht="15.75">
      <c r="A31" s="20"/>
      <c r="B31" s="19" t="s">
        <v>2771</v>
      </c>
      <c r="C31" s="20"/>
      <c r="D31" s="20"/>
      <c r="E31" s="20"/>
      <c r="F31" s="20"/>
      <c r="G31" s="17"/>
      <c r="H31" s="19" t="s">
        <v>2772</v>
      </c>
      <c r="I31" s="20"/>
      <c r="J31" s="20"/>
      <c r="K31" s="20"/>
      <c r="L31" s="17"/>
      <c r="M31" s="17"/>
      <c r="N31" s="17"/>
    </row>
    <row r="32" spans="1:14">
      <c r="A32" s="20"/>
      <c r="B32" s="20"/>
      <c r="C32" s="19">
        <f>D42</f>
        <v>140</v>
      </c>
      <c r="D32" s="88"/>
      <c r="E32" s="17"/>
      <c r="F32" s="88">
        <f>D37-D42</f>
        <v>1360</v>
      </c>
      <c r="G32" s="20"/>
      <c r="H32" s="20"/>
      <c r="I32" s="20"/>
      <c r="J32" s="20"/>
      <c r="K32" s="17"/>
      <c r="L32" s="17"/>
      <c r="M32" s="17"/>
      <c r="N32" s="17"/>
    </row>
    <row r="33" spans="1:14">
      <c r="A33" s="20"/>
      <c r="B33" s="20"/>
      <c r="C33" s="20"/>
      <c r="D33" s="20"/>
      <c r="E33" s="20">
        <f>D37</f>
        <v>1500</v>
      </c>
      <c r="F33" s="20"/>
      <c r="G33" s="20"/>
      <c r="H33" s="20"/>
      <c r="I33" s="20"/>
      <c r="J33" s="20"/>
      <c r="K33" s="17"/>
      <c r="L33" s="17"/>
      <c r="M33" s="17"/>
      <c r="N33" s="17"/>
    </row>
    <row r="34" spans="1:14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</row>
    <row r="35" spans="1:14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</row>
    <row r="36" spans="1:14">
      <c r="A36" s="20"/>
      <c r="B36" s="20"/>
      <c r="C36" s="20"/>
      <c r="D36" s="20"/>
      <c r="E36" s="20"/>
      <c r="F36" s="20"/>
      <c r="G36" s="20" t="s">
        <v>2042</v>
      </c>
      <c r="H36" s="20"/>
      <c r="I36" s="20"/>
      <c r="J36" s="20"/>
      <c r="K36" s="17"/>
      <c r="L36" s="17"/>
      <c r="M36" s="17"/>
      <c r="N36" s="17"/>
    </row>
    <row r="37" spans="1:14" ht="15.75">
      <c r="A37" s="20"/>
      <c r="B37" s="20" t="s">
        <v>2043</v>
      </c>
      <c r="C37" s="17"/>
      <c r="D37" s="2429">
        <f>'E OUTPUT'!H68</f>
        <v>1500</v>
      </c>
      <c r="E37" s="17"/>
      <c r="F37" s="67" t="s">
        <v>2773</v>
      </c>
      <c r="G37" s="583">
        <f>(((D40*(D37-D38))+(D41*(D37-D38-D39)))/D37)</f>
        <v>13938.125</v>
      </c>
      <c r="H37" s="20" t="s">
        <v>2044</v>
      </c>
      <c r="I37" s="577"/>
      <c r="J37" s="20"/>
      <c r="K37" s="20"/>
      <c r="L37" s="17"/>
      <c r="M37" s="17"/>
      <c r="N37" s="17"/>
    </row>
    <row r="38" spans="1:14">
      <c r="A38" s="20"/>
      <c r="B38" s="20" t="s">
        <v>1591</v>
      </c>
      <c r="C38" s="17"/>
      <c r="D38" s="2429">
        <f>input!E45</f>
        <v>44</v>
      </c>
      <c r="E38" s="20"/>
      <c r="F38" s="20"/>
      <c r="G38" s="20"/>
      <c r="H38" s="20"/>
      <c r="I38" s="20"/>
      <c r="J38" s="20"/>
      <c r="K38" s="17"/>
      <c r="L38" s="17"/>
      <c r="M38" s="17"/>
      <c r="N38" s="17"/>
    </row>
    <row r="39" spans="1:14" ht="15.75">
      <c r="A39" s="20"/>
      <c r="B39" s="20" t="s">
        <v>2045</v>
      </c>
      <c r="C39" s="17"/>
      <c r="D39" s="2429">
        <f>'E OUTPUT'!H72</f>
        <v>150</v>
      </c>
      <c r="E39" s="17"/>
      <c r="F39" s="67" t="s">
        <v>2774</v>
      </c>
      <c r="G39" s="583">
        <f>D40+D41-G37</f>
        <v>1061.8749999999982</v>
      </c>
      <c r="H39" s="20" t="s">
        <v>2044</v>
      </c>
      <c r="I39" s="577"/>
      <c r="J39" s="20"/>
      <c r="K39" s="20"/>
      <c r="L39" s="17"/>
      <c r="M39" s="17"/>
      <c r="N39" s="17"/>
    </row>
    <row r="40" spans="1:14">
      <c r="A40" s="20"/>
      <c r="B40" s="20" t="s">
        <v>2046</v>
      </c>
      <c r="C40" s="17"/>
      <c r="D40" s="2429">
        <f>'E OUTPUT'!H107</f>
        <v>8781.2499999999982</v>
      </c>
      <c r="E40" s="2433">
        <f>'E OUTPUT'!H115</f>
        <v>11241.249999999998</v>
      </c>
      <c r="F40" s="20"/>
      <c r="G40" s="20"/>
      <c r="H40" s="20"/>
      <c r="I40" s="20"/>
      <c r="J40" s="20"/>
      <c r="K40" s="17"/>
      <c r="L40" s="17"/>
      <c r="M40" s="17"/>
      <c r="N40" s="17"/>
    </row>
    <row r="41" spans="1:14">
      <c r="A41" s="20"/>
      <c r="B41" s="20" t="s">
        <v>2047</v>
      </c>
      <c r="C41" s="17"/>
      <c r="D41" s="2429">
        <f>'E OUTPUT'!H109</f>
        <v>6218.75</v>
      </c>
      <c r="E41" s="2433">
        <f>'E OUTPUT'!H117</f>
        <v>7858.7499999999991</v>
      </c>
      <c r="F41" s="20"/>
      <c r="G41" s="20"/>
      <c r="H41" s="20"/>
      <c r="I41" s="20"/>
      <c r="J41" s="20"/>
      <c r="K41" s="17"/>
      <c r="L41" s="17"/>
      <c r="M41" s="17"/>
      <c r="N41" s="17"/>
    </row>
    <row r="42" spans="1:14">
      <c r="A42" s="20"/>
      <c r="B42" s="20" t="s">
        <v>2048</v>
      </c>
      <c r="C42" s="17"/>
      <c r="D42" s="2429">
        <f>'E OUTPUT'!H74</f>
        <v>140</v>
      </c>
      <c r="E42" s="20"/>
      <c r="F42" s="20"/>
      <c r="G42" s="20"/>
      <c r="H42" s="20"/>
      <c r="I42" s="20"/>
      <c r="J42" s="20"/>
      <c r="K42" s="17"/>
      <c r="L42" s="17"/>
      <c r="M42" s="17"/>
      <c r="N42" s="17"/>
    </row>
    <row r="43" spans="1:14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</row>
    <row r="44" spans="1:14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</row>
    <row r="45" spans="1:14">
      <c r="A45" s="20" t="s">
        <v>2049</v>
      </c>
      <c r="B45" s="17"/>
      <c r="C45" s="20" t="s">
        <v>2050</v>
      </c>
      <c r="D45" s="20"/>
      <c r="E45" s="20"/>
      <c r="F45" s="20"/>
      <c r="G45" s="20"/>
      <c r="H45" s="20"/>
      <c r="I45" s="20"/>
      <c r="J45" s="20"/>
      <c r="K45" s="17"/>
      <c r="L45" s="17"/>
      <c r="M45" s="17"/>
      <c r="N45" s="17"/>
    </row>
    <row r="46" spans="1:14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</row>
    <row r="47" spans="1:14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</row>
    <row r="48" spans="1:14" ht="15.75">
      <c r="A48" s="20"/>
      <c r="B48" s="20"/>
      <c r="C48" s="20"/>
      <c r="D48" s="20"/>
      <c r="E48" s="20"/>
      <c r="F48" s="67" t="s">
        <v>2773</v>
      </c>
      <c r="G48" s="583">
        <f>(((E40*(D37-D38))+(E41*(D37-D38-D39)))/D37)</f>
        <v>17753.85833333333</v>
      </c>
      <c r="H48" s="20" t="s">
        <v>2044</v>
      </c>
      <c r="I48" s="20"/>
      <c r="J48" s="20"/>
      <c r="K48" s="20"/>
      <c r="L48" s="17"/>
      <c r="M48" s="17"/>
      <c r="N48" s="17"/>
    </row>
    <row r="49" spans="1:14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</row>
    <row r="50" spans="1:14" ht="15.75">
      <c r="A50" s="20"/>
      <c r="B50" s="20"/>
      <c r="C50" s="20"/>
      <c r="D50" s="20"/>
      <c r="E50" s="20"/>
      <c r="F50" s="67" t="s">
        <v>2774</v>
      </c>
      <c r="G50" s="583">
        <f>E40+E41-G48</f>
        <v>1346.1416666666664</v>
      </c>
      <c r="H50" s="20" t="s">
        <v>2044</v>
      </c>
      <c r="I50" s="20"/>
      <c r="J50" s="20"/>
      <c r="K50" s="20"/>
      <c r="L50" s="17"/>
      <c r="M50" s="17"/>
      <c r="N50" s="17"/>
    </row>
    <row r="51" spans="1:14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</row>
    <row r="52" spans="1:14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</row>
    <row r="53" spans="1:14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</row>
    <row r="54" spans="1:14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</row>
    <row r="55" spans="1:14">
      <c r="A55" s="20" t="s">
        <v>2051</v>
      </c>
      <c r="B55" s="17"/>
      <c r="C55" s="20" t="s">
        <v>2052</v>
      </c>
      <c r="D55" s="20"/>
      <c r="E55" s="20"/>
      <c r="F55" s="20"/>
      <c r="G55" s="20"/>
      <c r="H55" s="20"/>
      <c r="I55" s="20"/>
      <c r="J55" s="20"/>
      <c r="K55" s="17"/>
      <c r="L55" s="17"/>
      <c r="M55" s="17"/>
      <c r="N55" s="17"/>
    </row>
    <row r="56" spans="1:14">
      <c r="A56" s="20"/>
      <c r="B56" s="20"/>
      <c r="C56" s="20"/>
      <c r="D56" s="19" t="s">
        <v>2053</v>
      </c>
      <c r="E56" s="19" t="s">
        <v>1865</v>
      </c>
      <c r="F56" s="19" t="s">
        <v>2054</v>
      </c>
      <c r="G56" s="20"/>
      <c r="H56" s="20"/>
      <c r="I56" s="20"/>
      <c r="J56" s="20"/>
      <c r="K56" s="17"/>
      <c r="L56" s="17"/>
      <c r="M56" s="17"/>
      <c r="N56" s="17"/>
    </row>
    <row r="57" spans="1:14">
      <c r="A57" s="20"/>
      <c r="B57" s="20"/>
      <c r="C57" s="20" t="s">
        <v>2055</v>
      </c>
      <c r="D57" s="19">
        <f>E40</f>
        <v>11241.249999999998</v>
      </c>
      <c r="E57" s="19">
        <f>E40+F57</f>
        <v>19099.999999999996</v>
      </c>
      <c r="F57" s="19">
        <f>E41</f>
        <v>7858.7499999999991</v>
      </c>
      <c r="G57" s="20"/>
      <c r="H57" s="20"/>
      <c r="I57" s="20"/>
      <c r="J57" s="20"/>
      <c r="K57" s="17"/>
      <c r="L57" s="17"/>
      <c r="M57" s="17"/>
      <c r="N57" s="17"/>
    </row>
    <row r="58" spans="1:14">
      <c r="A58" s="20"/>
      <c r="B58" s="20"/>
      <c r="C58" s="20" t="s">
        <v>2056</v>
      </c>
      <c r="D58" s="19">
        <f>D40</f>
        <v>8781.2499999999982</v>
      </c>
      <c r="E58" s="19">
        <f>D40+D41</f>
        <v>14999.999999999998</v>
      </c>
      <c r="F58" s="19">
        <f>D41</f>
        <v>6218.75</v>
      </c>
      <c r="G58" s="20"/>
      <c r="H58" s="20"/>
      <c r="I58" s="20"/>
      <c r="J58" s="20"/>
      <c r="K58" s="17"/>
      <c r="L58" s="17"/>
      <c r="M58" s="17"/>
      <c r="N58" s="17"/>
    </row>
    <row r="59" spans="1:14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</row>
    <row r="60" spans="1:14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</row>
    <row r="61" spans="1:14">
      <c r="A61" s="20"/>
      <c r="B61" s="19" t="s">
        <v>1960</v>
      </c>
      <c r="C61" s="17"/>
      <c r="D61" s="67"/>
      <c r="E61" s="20"/>
      <c r="F61" s="20"/>
      <c r="G61" s="17"/>
      <c r="H61" s="19" t="s">
        <v>1962</v>
      </c>
      <c r="I61" s="20"/>
      <c r="J61" s="20"/>
      <c r="K61" s="20"/>
      <c r="L61" s="17"/>
      <c r="M61" s="17"/>
      <c r="N61" s="17"/>
    </row>
    <row r="62" spans="1:14">
      <c r="A62" s="20"/>
      <c r="B62" s="20"/>
      <c r="C62" s="2436">
        <f>E71</f>
        <v>718.90625</v>
      </c>
      <c r="D62" s="17"/>
      <c r="E62" s="19">
        <f>ROUNDUP(D39,0)</f>
        <v>150</v>
      </c>
      <c r="F62" s="17"/>
      <c r="G62" s="2437">
        <f>E66-E71-E62</f>
        <v>631.09375</v>
      </c>
      <c r="H62" s="20"/>
      <c r="I62" s="20"/>
      <c r="J62" s="20"/>
      <c r="K62" s="17"/>
      <c r="L62" s="17"/>
      <c r="M62" s="17"/>
      <c r="N62" s="17"/>
    </row>
    <row r="63" spans="1:14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</row>
    <row r="64" spans="1:14">
      <c r="A64" s="20"/>
      <c r="B64" s="20"/>
      <c r="C64" s="20"/>
      <c r="D64" s="3695" t="s">
        <v>2057</v>
      </c>
      <c r="E64" s="3695"/>
      <c r="F64" s="20"/>
      <c r="G64" s="20"/>
      <c r="H64" s="20"/>
      <c r="I64" s="20"/>
      <c r="J64" s="20"/>
      <c r="K64" s="17"/>
      <c r="L64" s="17"/>
      <c r="M64" s="17"/>
      <c r="N64" s="17"/>
    </row>
    <row r="65" spans="1:14">
      <c r="A65" s="20"/>
      <c r="B65" s="20"/>
      <c r="C65" s="20"/>
      <c r="D65" s="634">
        <f>D69</f>
        <v>62.187500000000007</v>
      </c>
      <c r="E65" s="20"/>
      <c r="F65" s="20"/>
      <c r="G65" s="20"/>
      <c r="H65" s="20"/>
      <c r="I65" s="20"/>
      <c r="J65" s="20"/>
      <c r="K65" s="17"/>
      <c r="L65" s="17"/>
      <c r="M65" s="17"/>
      <c r="N65" s="17"/>
    </row>
    <row r="66" spans="1:14">
      <c r="A66" s="20"/>
      <c r="B66" s="20"/>
      <c r="C66" s="20"/>
      <c r="D66" s="20"/>
      <c r="E66" s="19">
        <f>D37</f>
        <v>1500</v>
      </c>
      <c r="F66" s="20"/>
      <c r="G66" s="20"/>
      <c r="H66" s="20"/>
      <c r="I66" s="20"/>
      <c r="J66" s="20"/>
      <c r="K66" s="17"/>
      <c r="L66" s="17"/>
      <c r="M66" s="17"/>
      <c r="N66" s="17"/>
    </row>
    <row r="67" spans="1:14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</row>
    <row r="68" spans="1:14">
      <c r="A68" s="20"/>
      <c r="B68" s="20"/>
      <c r="C68" s="20" t="s">
        <v>2058</v>
      </c>
      <c r="D68" s="20"/>
      <c r="E68" s="20"/>
      <c r="F68" s="20"/>
      <c r="G68" s="20"/>
      <c r="H68" s="20"/>
      <c r="I68" s="20"/>
      <c r="J68" s="20"/>
      <c r="K68" s="17"/>
      <c r="L68" s="17"/>
      <c r="M68" s="17"/>
      <c r="N68" s="17"/>
    </row>
    <row r="69" spans="1:14">
      <c r="A69" s="20"/>
      <c r="B69" s="20"/>
      <c r="C69" s="67" t="s">
        <v>2059</v>
      </c>
      <c r="D69" s="619">
        <f>F58*E62/(D58+F58)</f>
        <v>62.187500000000007</v>
      </c>
      <c r="E69" s="20" t="s">
        <v>1987</v>
      </c>
      <c r="F69" s="20"/>
      <c r="G69" s="20"/>
      <c r="H69" s="20"/>
      <c r="I69" s="20"/>
      <c r="J69" s="20"/>
      <c r="K69" s="17"/>
      <c r="L69" s="17"/>
      <c r="M69" s="17"/>
      <c r="N69" s="17"/>
    </row>
    <row r="70" spans="1:14">
      <c r="A70" s="20"/>
      <c r="B70" s="20"/>
      <c r="C70" s="20" t="s">
        <v>2060</v>
      </c>
      <c r="D70" s="20"/>
      <c r="E70" s="20"/>
      <c r="F70" s="20"/>
      <c r="G70" s="20"/>
      <c r="H70" s="20"/>
      <c r="I70" s="20"/>
      <c r="J70" s="20"/>
      <c r="K70" s="17"/>
      <c r="L70" s="17"/>
      <c r="M70" s="17"/>
      <c r="N70" s="17"/>
    </row>
    <row r="71" spans="1:14">
      <c r="A71" s="20"/>
      <c r="B71" s="20"/>
      <c r="C71" s="67" t="s">
        <v>1993</v>
      </c>
      <c r="D71" s="20" t="s">
        <v>2061</v>
      </c>
      <c r="E71" s="2438">
        <f>(E66-D65)/2</f>
        <v>718.90625</v>
      </c>
      <c r="F71" s="20" t="s">
        <v>1569</v>
      </c>
      <c r="G71" s="20"/>
      <c r="H71" s="20"/>
      <c r="I71" s="20"/>
      <c r="J71" s="20"/>
      <c r="K71" s="17"/>
      <c r="L71" s="17"/>
      <c r="M71" s="17"/>
      <c r="N71" s="17"/>
    </row>
    <row r="72" spans="1:14">
      <c r="A72" s="20"/>
      <c r="B72" s="20"/>
      <c r="C72" s="20"/>
      <c r="D72" s="88">
        <v>2</v>
      </c>
      <c r="E72" s="88"/>
      <c r="F72" s="20"/>
      <c r="G72" s="20"/>
      <c r="H72" s="20"/>
      <c r="I72" s="20"/>
      <c r="J72" s="20"/>
      <c r="K72" s="17"/>
      <c r="L72" s="17"/>
      <c r="M72" s="17"/>
      <c r="N72" s="17"/>
    </row>
    <row r="73" spans="1:14">
      <c r="A73" s="20"/>
      <c r="B73" s="20"/>
      <c r="C73" s="20"/>
      <c r="D73" s="88"/>
      <c r="E73" s="20"/>
      <c r="F73" s="20"/>
      <c r="G73" s="20"/>
      <c r="H73" s="20"/>
      <c r="I73" s="20"/>
      <c r="J73" s="20"/>
      <c r="K73" s="17"/>
      <c r="L73" s="17"/>
      <c r="M73" s="17"/>
      <c r="N73" s="17"/>
    </row>
    <row r="74" spans="1:14">
      <c r="A74" s="20"/>
      <c r="B74" s="20"/>
      <c r="C74" s="20" t="s">
        <v>2062</v>
      </c>
      <c r="D74" s="20"/>
      <c r="E74" s="20"/>
      <c r="F74" s="20"/>
      <c r="G74" s="20"/>
      <c r="H74" s="20"/>
      <c r="I74" s="20"/>
      <c r="J74" s="20"/>
      <c r="K74" s="17"/>
      <c r="L74" s="17"/>
      <c r="M74" s="17"/>
      <c r="N74" s="17"/>
    </row>
    <row r="75" spans="1:14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</row>
    <row r="76" spans="1:14">
      <c r="A76" s="20"/>
      <c r="B76" s="20"/>
      <c r="C76" s="20" t="s">
        <v>2063</v>
      </c>
      <c r="D76" s="20" t="s">
        <v>2064</v>
      </c>
      <c r="E76" s="20"/>
      <c r="F76" s="20"/>
      <c r="G76" s="20"/>
      <c r="H76" s="20"/>
      <c r="I76" s="20"/>
      <c r="J76" s="20"/>
      <c r="K76" s="17"/>
      <c r="L76" s="17"/>
      <c r="M76" s="17"/>
      <c r="N76" s="17"/>
    </row>
    <row r="77" spans="1:14">
      <c r="A77" s="20"/>
      <c r="B77" s="20"/>
      <c r="C77" s="20"/>
      <c r="D77" s="20" t="s">
        <v>2065</v>
      </c>
      <c r="E77" s="20"/>
      <c r="F77" s="20"/>
      <c r="G77" s="17"/>
      <c r="H77" s="20" t="s">
        <v>2066</v>
      </c>
      <c r="I77" s="20"/>
      <c r="J77" s="20"/>
      <c r="K77" s="20"/>
      <c r="L77" s="17"/>
      <c r="M77" s="17"/>
      <c r="N77" s="17"/>
    </row>
    <row r="78" spans="1:14">
      <c r="A78" s="20"/>
      <c r="B78" s="20"/>
      <c r="C78" s="20" t="s">
        <v>2067</v>
      </c>
      <c r="D78" s="2439">
        <f>(D57*(E66-C62)+(F57*G62))/E66</f>
        <v>9160.0520833333303</v>
      </c>
      <c r="E78" s="20" t="s">
        <v>2044</v>
      </c>
      <c r="F78" s="17"/>
      <c r="G78" s="20" t="s">
        <v>2067</v>
      </c>
      <c r="H78" s="2439">
        <f>(D58*(E66-C62)+(F58*G62))/E66</f>
        <v>7189.0624999999991</v>
      </c>
      <c r="I78" s="20"/>
      <c r="J78" s="20"/>
      <c r="K78" s="20"/>
      <c r="L78" s="17"/>
      <c r="M78" s="17"/>
      <c r="N78" s="17"/>
    </row>
    <row r="79" spans="1:14">
      <c r="A79" s="20"/>
      <c r="B79" s="20"/>
      <c r="C79" s="20"/>
      <c r="D79" s="2424"/>
      <c r="E79" s="20"/>
      <c r="F79" s="20"/>
      <c r="G79" s="20"/>
      <c r="H79" s="20"/>
      <c r="I79" s="20"/>
      <c r="J79" s="20"/>
      <c r="K79" s="17"/>
      <c r="L79" s="17"/>
      <c r="M79" s="17"/>
      <c r="N79" s="17"/>
    </row>
    <row r="80" spans="1:14">
      <c r="A80" s="20"/>
      <c r="B80" s="20"/>
      <c r="C80" s="20" t="s">
        <v>2068</v>
      </c>
      <c r="D80" s="2439">
        <f>E57-D78</f>
        <v>9939.9479166666661</v>
      </c>
      <c r="E80" s="20" t="s">
        <v>2044</v>
      </c>
      <c r="F80" s="17"/>
      <c r="G80" s="20" t="s">
        <v>2069</v>
      </c>
      <c r="H80" s="2439">
        <f>E58-H78</f>
        <v>7810.9374999999991</v>
      </c>
      <c r="I80" s="20"/>
      <c r="J80" s="20"/>
      <c r="K80" s="20"/>
      <c r="L80" s="17"/>
      <c r="M80" s="17"/>
      <c r="N80" s="17"/>
    </row>
    <row r="81" spans="1:14">
      <c r="A81" s="20"/>
      <c r="B81" s="20"/>
      <c r="C81" s="20"/>
      <c r="D81" s="2424"/>
      <c r="E81" s="20"/>
      <c r="F81" s="20"/>
      <c r="G81" s="20"/>
      <c r="H81" s="20"/>
      <c r="I81" s="20"/>
      <c r="J81" s="20"/>
      <c r="K81" s="17"/>
      <c r="L81" s="17"/>
      <c r="M81" s="17"/>
      <c r="N81" s="17"/>
    </row>
    <row r="82" spans="1:14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</row>
    <row r="83" spans="1:14">
      <c r="A83" s="20"/>
      <c r="B83" s="20"/>
      <c r="C83" s="20" t="s">
        <v>2070</v>
      </c>
      <c r="D83" s="20" t="s">
        <v>2071</v>
      </c>
      <c r="E83" s="20"/>
      <c r="F83" s="20"/>
      <c r="G83" s="20"/>
      <c r="H83" s="20"/>
      <c r="I83" s="20"/>
      <c r="J83" s="20"/>
      <c r="K83" s="17"/>
      <c r="L83" s="17"/>
      <c r="M83" s="17"/>
      <c r="N83" s="17"/>
    </row>
    <row r="84" spans="1:14">
      <c r="A84" s="20"/>
      <c r="B84" s="20"/>
      <c r="C84" s="20"/>
      <c r="D84" s="20" t="s">
        <v>2065</v>
      </c>
      <c r="E84" s="20"/>
      <c r="F84" s="20"/>
      <c r="G84" s="20"/>
      <c r="H84" s="20"/>
      <c r="I84" s="20"/>
      <c r="J84" s="20"/>
      <c r="K84" s="17"/>
      <c r="L84" s="17"/>
      <c r="M84" s="17"/>
      <c r="N84" s="17"/>
    </row>
    <row r="85" spans="1:14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</row>
    <row r="86" spans="1:14">
      <c r="A86" s="20"/>
      <c r="B86" s="20"/>
      <c r="C86" s="67" t="s">
        <v>2072</v>
      </c>
      <c r="D86" s="2433">
        <f>ROUND(D78,0)*C62</f>
        <v>6585181.25</v>
      </c>
      <c r="E86" s="20" t="s">
        <v>2073</v>
      </c>
      <c r="F86" s="17"/>
      <c r="G86" s="20" t="s">
        <v>2074</v>
      </c>
      <c r="H86" s="2440">
        <f>H78*E71</f>
        <v>5168261.9628906241</v>
      </c>
      <c r="I86" s="20" t="s">
        <v>2073</v>
      </c>
      <c r="J86" s="20"/>
      <c r="K86" s="20"/>
      <c r="L86" s="17"/>
      <c r="M86" s="17"/>
      <c r="N86" s="17"/>
    </row>
    <row r="87" spans="1:14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</row>
    <row r="88" spans="1:14">
      <c r="A88" s="20"/>
      <c r="B88" s="20"/>
      <c r="C88" s="20"/>
      <c r="D88" s="2424"/>
      <c r="E88" s="17"/>
      <c r="F88" s="2441"/>
      <c r="G88" s="2441" t="s">
        <v>2075</v>
      </c>
      <c r="H88" s="2442">
        <f>H86*0.08</f>
        <v>413460.95703124994</v>
      </c>
      <c r="I88" s="2441" t="s">
        <v>2073</v>
      </c>
      <c r="J88" s="20"/>
      <c r="K88" s="20"/>
      <c r="L88" s="17"/>
      <c r="M88" s="17"/>
      <c r="N88" s="17"/>
    </row>
    <row r="89" spans="1:14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</row>
    <row r="90" spans="1:14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</row>
    <row r="91" spans="1:14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</row>
    <row r="92" spans="1:14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</row>
    <row r="93" spans="1:14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</row>
    <row r="94" spans="1:14">
      <c r="A94" s="20" t="s">
        <v>2076</v>
      </c>
      <c r="B94" s="17"/>
      <c r="C94" s="20" t="s">
        <v>2077</v>
      </c>
      <c r="D94" s="20"/>
      <c r="E94" s="20"/>
      <c r="F94" s="20"/>
      <c r="G94" s="20"/>
      <c r="H94" s="20"/>
      <c r="I94" s="20"/>
      <c r="J94" s="20"/>
      <c r="K94" s="17"/>
      <c r="L94" s="17"/>
      <c r="M94" s="17"/>
      <c r="N94" s="17"/>
    </row>
    <row r="95" spans="1:14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</row>
    <row r="96" spans="1:14">
      <c r="A96" s="20"/>
      <c r="B96" s="20"/>
      <c r="C96" s="20"/>
      <c r="D96" s="19"/>
      <c r="E96" s="19"/>
      <c r="F96" s="19"/>
      <c r="G96" s="20"/>
      <c r="H96" s="20"/>
      <c r="I96" s="20"/>
      <c r="J96" s="20"/>
      <c r="K96" s="17"/>
      <c r="L96" s="17"/>
      <c r="M96" s="17"/>
      <c r="N96" s="17"/>
    </row>
    <row r="97" spans="1:14">
      <c r="A97" s="20"/>
      <c r="B97" s="20"/>
      <c r="C97" s="20"/>
      <c r="D97" s="19"/>
      <c r="E97" s="19">
        <f>E113</f>
        <v>700</v>
      </c>
      <c r="F97" s="19"/>
      <c r="G97" s="577">
        <f>E106</f>
        <v>264.23100000000005</v>
      </c>
      <c r="H97" s="20" t="s">
        <v>1975</v>
      </c>
      <c r="I97" s="20"/>
      <c r="J97" s="20"/>
      <c r="K97" s="20"/>
      <c r="L97" s="17"/>
      <c r="M97" s="17"/>
      <c r="N97" s="17"/>
    </row>
    <row r="98" spans="1:14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</row>
    <row r="99" spans="1:14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</row>
    <row r="100" spans="1:14">
      <c r="A100" s="20"/>
      <c r="B100" s="19" t="s">
        <v>1960</v>
      </c>
      <c r="C100" s="17"/>
      <c r="D100" s="67"/>
      <c r="E100" s="20"/>
      <c r="F100" s="20"/>
      <c r="G100" s="17"/>
      <c r="H100" s="19" t="s">
        <v>1962</v>
      </c>
      <c r="I100" s="20"/>
      <c r="J100" s="20"/>
      <c r="K100" s="20"/>
      <c r="L100" s="17"/>
      <c r="M100" s="17"/>
      <c r="N100" s="17"/>
    </row>
    <row r="101" spans="1:14">
      <c r="A101" s="20"/>
      <c r="B101" s="20"/>
      <c r="C101" s="67"/>
      <c r="D101" s="20"/>
      <c r="E101" s="20"/>
      <c r="F101" s="20"/>
      <c r="G101" s="20"/>
      <c r="H101" s="20"/>
      <c r="I101" s="20"/>
      <c r="J101" s="20"/>
      <c r="K101" s="17"/>
      <c r="L101" s="17"/>
      <c r="M101" s="17"/>
      <c r="N101" s="17"/>
    </row>
    <row r="102" spans="1:14">
      <c r="A102" s="20"/>
      <c r="B102" s="20"/>
      <c r="C102" s="20"/>
      <c r="D102" s="20"/>
      <c r="E102" s="19">
        <f>input!H10</f>
        <v>1500</v>
      </c>
      <c r="F102" s="20"/>
      <c r="G102" s="20"/>
      <c r="H102" s="20"/>
      <c r="I102" s="20"/>
      <c r="J102" s="20"/>
      <c r="K102" s="17"/>
      <c r="L102" s="17"/>
      <c r="M102" s="17"/>
      <c r="N102" s="17"/>
    </row>
    <row r="103" spans="1:14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</row>
    <row r="104" spans="1:14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</row>
    <row r="105" spans="1:14">
      <c r="A105" s="20"/>
      <c r="B105" s="20"/>
      <c r="C105" s="20" t="s">
        <v>1235</v>
      </c>
      <c r="D105" s="17"/>
      <c r="E105" s="2429">
        <f>E102</f>
        <v>1500</v>
      </c>
      <c r="F105" s="20" t="s">
        <v>1569</v>
      </c>
      <c r="G105" s="20"/>
      <c r="H105" s="20"/>
      <c r="I105" s="20"/>
      <c r="J105" s="20"/>
      <c r="K105" s="17"/>
      <c r="L105" s="17"/>
      <c r="M105" s="17"/>
      <c r="N105" s="17"/>
    </row>
    <row r="106" spans="1:14">
      <c r="A106" s="20"/>
      <c r="B106" s="20"/>
      <c r="C106" s="20" t="s">
        <v>2078</v>
      </c>
      <c r="D106" s="17"/>
      <c r="E106" s="2433">
        <f>I16</f>
        <v>264.23100000000005</v>
      </c>
      <c r="F106" s="20" t="s">
        <v>1975</v>
      </c>
      <c r="G106" s="20"/>
      <c r="H106" s="20"/>
      <c r="I106" s="20"/>
      <c r="J106" s="20"/>
      <c r="K106" s="17"/>
      <c r="L106" s="17"/>
      <c r="M106" s="17"/>
      <c r="N106" s="17"/>
    </row>
    <row r="107" spans="1:14">
      <c r="A107" s="20"/>
      <c r="B107" s="20"/>
      <c r="C107" s="20" t="s">
        <v>2079</v>
      </c>
      <c r="D107" s="17"/>
      <c r="E107" s="2431">
        <f>'E OUTPUT'!H93</f>
        <v>100</v>
      </c>
      <c r="F107" s="20" t="s">
        <v>1975</v>
      </c>
      <c r="G107" s="20"/>
      <c r="H107" s="20"/>
      <c r="I107" s="20"/>
      <c r="J107" s="20"/>
      <c r="K107" s="17"/>
      <c r="L107" s="17"/>
      <c r="M107" s="17"/>
      <c r="N107" s="17"/>
    </row>
    <row r="108" spans="1:14">
      <c r="A108" s="20"/>
      <c r="B108" s="20"/>
      <c r="C108" s="20"/>
      <c r="D108" s="20"/>
      <c r="E108" s="2432">
        <f>E107/100</f>
        <v>1</v>
      </c>
      <c r="F108" s="20" t="s">
        <v>2080</v>
      </c>
      <c r="G108" s="20"/>
      <c r="H108" s="20"/>
      <c r="I108" s="20"/>
      <c r="J108" s="20"/>
      <c r="K108" s="17"/>
      <c r="L108" s="17"/>
      <c r="M108" s="17"/>
      <c r="N108" s="17"/>
    </row>
    <row r="109" spans="1:14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</row>
    <row r="110" spans="1:14">
      <c r="A110" s="20"/>
      <c r="B110" s="20"/>
      <c r="C110" s="20"/>
      <c r="D110" s="20"/>
      <c r="E110" s="2429">
        <f>ROUND(E106*0.01,2)</f>
        <v>2.64</v>
      </c>
      <c r="F110" s="20" t="s">
        <v>2080</v>
      </c>
      <c r="G110" s="20"/>
      <c r="H110" s="20"/>
      <c r="I110" s="20"/>
      <c r="J110" s="20"/>
      <c r="K110" s="17"/>
      <c r="L110" s="17"/>
      <c r="M110" s="17"/>
      <c r="N110" s="17"/>
    </row>
    <row r="111" spans="1:14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</row>
    <row r="112" spans="1:14">
      <c r="A112" s="20"/>
      <c r="B112" s="20"/>
      <c r="C112" s="88" t="s">
        <v>2081</v>
      </c>
      <c r="D112" s="20"/>
      <c r="E112" s="20"/>
      <c r="F112" s="20"/>
      <c r="G112" s="20"/>
      <c r="H112" s="20"/>
      <c r="I112" s="20"/>
      <c r="J112" s="20"/>
      <c r="K112" s="17"/>
      <c r="L112" s="17"/>
      <c r="M112" s="17"/>
      <c r="N112" s="17"/>
    </row>
    <row r="113" spans="1:14">
      <c r="A113" s="20"/>
      <c r="B113" s="20"/>
      <c r="C113" s="20" t="s">
        <v>2082</v>
      </c>
      <c r="D113" s="17"/>
      <c r="E113" s="2429">
        <f>'E OUTPUT'!H97</f>
        <v>700</v>
      </c>
      <c r="F113" s="20" t="s">
        <v>2044</v>
      </c>
      <c r="G113" s="20"/>
      <c r="H113" s="20"/>
      <c r="I113" s="20"/>
      <c r="J113" s="20"/>
      <c r="K113" s="17"/>
      <c r="L113" s="17"/>
      <c r="M113" s="17"/>
      <c r="N113" s="17"/>
    </row>
    <row r="114" spans="1:14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17"/>
      <c r="L114" s="17"/>
      <c r="M114" s="17"/>
      <c r="N114" s="17"/>
    </row>
    <row r="115" spans="1:14">
      <c r="A115" s="20"/>
      <c r="B115" s="20"/>
      <c r="C115" s="20" t="s">
        <v>2077</v>
      </c>
      <c r="D115" s="20"/>
      <c r="E115" s="20"/>
      <c r="F115" s="20"/>
      <c r="G115" s="17"/>
      <c r="H115" s="20" t="s">
        <v>2083</v>
      </c>
      <c r="I115" s="20"/>
      <c r="J115" s="20"/>
      <c r="K115" s="20"/>
      <c r="L115" s="17"/>
      <c r="M115" s="17"/>
      <c r="N115" s="17"/>
    </row>
    <row r="116" spans="1:14">
      <c r="A116" s="20"/>
      <c r="B116" s="20"/>
      <c r="C116" s="67" t="s">
        <v>2084</v>
      </c>
      <c r="D116" s="2439">
        <f>((G97*((E102*0.01)+0.5))/2)</f>
        <v>2047.7902500000005</v>
      </c>
      <c r="E116" s="20" t="s">
        <v>2044</v>
      </c>
      <c r="F116" s="20"/>
      <c r="G116" s="17"/>
      <c r="H116" s="67" t="s">
        <v>2084</v>
      </c>
      <c r="I116" s="2439">
        <f>E113/2</f>
        <v>350</v>
      </c>
      <c r="J116" s="20" t="s">
        <v>2044</v>
      </c>
      <c r="K116" s="20"/>
      <c r="L116" s="17"/>
      <c r="M116" s="17"/>
      <c r="N116" s="17"/>
    </row>
    <row r="117" spans="1:14">
      <c r="A117" s="20"/>
      <c r="B117" s="20"/>
      <c r="C117" s="67" t="s">
        <v>2085</v>
      </c>
      <c r="D117" s="2439">
        <f>D116</f>
        <v>2047.7902500000005</v>
      </c>
      <c r="E117" s="20" t="s">
        <v>2044</v>
      </c>
      <c r="F117" s="20"/>
      <c r="G117" s="17"/>
      <c r="H117" s="67" t="s">
        <v>2085</v>
      </c>
      <c r="I117" s="2439">
        <f>I116</f>
        <v>350</v>
      </c>
      <c r="J117" s="20" t="s">
        <v>2044</v>
      </c>
      <c r="K117" s="20"/>
      <c r="L117" s="17"/>
      <c r="M117" s="17"/>
      <c r="N117" s="17"/>
    </row>
    <row r="118" spans="1:14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</row>
    <row r="119" spans="1:14">
      <c r="A119" s="20" t="s">
        <v>2086</v>
      </c>
      <c r="B119" s="17"/>
      <c r="C119" s="20" t="s">
        <v>2087</v>
      </c>
      <c r="D119" s="20"/>
      <c r="E119" s="20"/>
      <c r="F119" s="20"/>
      <c r="G119" s="20"/>
      <c r="H119" s="20"/>
      <c r="I119" s="20"/>
      <c r="J119" s="20"/>
      <c r="K119" s="17"/>
      <c r="L119" s="17"/>
      <c r="M119" s="17"/>
      <c r="N119" s="17"/>
    </row>
    <row r="120" spans="1:14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</row>
    <row r="121" spans="1:14">
      <c r="A121" s="20"/>
      <c r="B121" s="20"/>
      <c r="C121" s="67" t="s">
        <v>160</v>
      </c>
      <c r="D121" s="2443" t="s">
        <v>2088</v>
      </c>
      <c r="E121" s="20"/>
      <c r="F121" s="20"/>
      <c r="G121" s="20"/>
      <c r="H121" s="20"/>
      <c r="I121" s="20"/>
      <c r="J121" s="20"/>
      <c r="K121" s="17"/>
      <c r="L121" s="17"/>
      <c r="M121" s="17"/>
      <c r="N121" s="17"/>
    </row>
    <row r="122" spans="1:14">
      <c r="A122" s="20"/>
      <c r="B122" s="20"/>
      <c r="C122" s="67"/>
      <c r="D122" s="19">
        <v>8</v>
      </c>
      <c r="E122" s="20"/>
      <c r="F122" s="20"/>
      <c r="G122" s="20"/>
      <c r="H122" s="20"/>
      <c r="I122" s="20"/>
      <c r="J122" s="20"/>
      <c r="K122" s="17"/>
      <c r="L122" s="17"/>
      <c r="M122" s="17"/>
      <c r="N122" s="17"/>
    </row>
    <row r="123" spans="1:14">
      <c r="A123" s="20"/>
      <c r="B123" s="20"/>
      <c r="C123" s="67"/>
      <c r="D123" s="20"/>
      <c r="E123" s="20"/>
      <c r="F123" s="20"/>
      <c r="G123" s="20"/>
      <c r="H123" s="20"/>
      <c r="I123" s="20"/>
      <c r="J123" s="20"/>
      <c r="K123" s="17"/>
      <c r="L123" s="17"/>
      <c r="M123" s="17"/>
      <c r="N123" s="17"/>
    </row>
    <row r="124" spans="1:14">
      <c r="A124" s="20"/>
      <c r="B124" s="20"/>
      <c r="C124" s="67" t="s">
        <v>2089</v>
      </c>
      <c r="D124" s="2439">
        <f>E110*E105*E105/8</f>
        <v>742500</v>
      </c>
      <c r="E124" s="20" t="s">
        <v>2073</v>
      </c>
      <c r="F124" s="17"/>
      <c r="G124" s="20" t="s">
        <v>2090</v>
      </c>
      <c r="H124" s="2433">
        <f>D124*0.08</f>
        <v>59400</v>
      </c>
      <c r="I124" s="20"/>
      <c r="J124" s="20"/>
      <c r="K124" s="20"/>
      <c r="L124" s="17"/>
      <c r="M124" s="17"/>
      <c r="N124" s="17"/>
    </row>
    <row r="125" spans="1:14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</row>
    <row r="126" spans="1:14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</row>
    <row r="127" spans="1:14">
      <c r="A127" s="20" t="s">
        <v>2091</v>
      </c>
      <c r="B127" s="17"/>
      <c r="C127" s="20" t="s">
        <v>2092</v>
      </c>
      <c r="D127" s="20"/>
      <c r="E127" s="20"/>
      <c r="F127" s="20"/>
      <c r="G127" s="20"/>
      <c r="H127" s="20"/>
      <c r="I127" s="20"/>
      <c r="J127" s="20"/>
      <c r="K127" s="17"/>
      <c r="L127" s="17"/>
      <c r="M127" s="17"/>
      <c r="N127" s="17"/>
    </row>
    <row r="128" spans="1:14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</row>
    <row r="129" spans="1:14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</row>
    <row r="130" spans="1:14">
      <c r="A130" s="20"/>
      <c r="B130" s="20"/>
      <c r="C130" s="67" t="s">
        <v>2093</v>
      </c>
      <c r="D130" s="388" t="s">
        <v>2094</v>
      </c>
      <c r="E130" s="20"/>
      <c r="F130" s="20"/>
      <c r="G130" s="20"/>
      <c r="H130" s="20"/>
      <c r="I130" s="20"/>
      <c r="J130" s="20"/>
      <c r="K130" s="17"/>
      <c r="L130" s="17"/>
      <c r="M130" s="17"/>
      <c r="N130" s="17"/>
    </row>
    <row r="131" spans="1:14">
      <c r="A131" s="20"/>
      <c r="B131" s="20"/>
      <c r="C131" s="67"/>
      <c r="D131" s="19">
        <v>3</v>
      </c>
      <c r="E131" s="20"/>
      <c r="F131" s="20"/>
      <c r="G131" s="20"/>
      <c r="H131" s="20"/>
      <c r="I131" s="20"/>
      <c r="J131" s="20"/>
      <c r="K131" s="17"/>
      <c r="L131" s="17"/>
      <c r="M131" s="17"/>
      <c r="N131" s="17"/>
    </row>
    <row r="132" spans="1:14">
      <c r="A132" s="20"/>
      <c r="B132" s="20"/>
      <c r="C132" s="67"/>
      <c r="D132" s="20"/>
      <c r="E132" s="20"/>
      <c r="F132" s="20"/>
      <c r="G132" s="20"/>
      <c r="H132" s="20"/>
      <c r="I132" s="20"/>
      <c r="J132" s="20"/>
      <c r="K132" s="17"/>
      <c r="L132" s="17"/>
      <c r="M132" s="17"/>
      <c r="N132" s="17"/>
    </row>
    <row r="133" spans="1:14">
      <c r="A133" s="20"/>
      <c r="B133" s="20"/>
      <c r="C133" s="67" t="s">
        <v>160</v>
      </c>
      <c r="D133" s="2439">
        <f>D17*E113*2/3</f>
        <v>37566.666666666664</v>
      </c>
      <c r="E133" s="20" t="s">
        <v>2073</v>
      </c>
      <c r="F133" s="20"/>
      <c r="G133" s="20"/>
      <c r="H133" s="20"/>
      <c r="I133" s="20"/>
      <c r="J133" s="20"/>
      <c r="K133" s="17"/>
      <c r="L133" s="17"/>
      <c r="M133" s="17"/>
      <c r="N133" s="17"/>
    </row>
    <row r="134" spans="1:14">
      <c r="A134" s="20"/>
      <c r="B134" s="20"/>
      <c r="C134" s="67"/>
      <c r="D134" s="2424"/>
      <c r="E134" s="20"/>
      <c r="F134" s="20"/>
      <c r="G134" s="20"/>
      <c r="H134" s="20"/>
      <c r="I134" s="20"/>
      <c r="J134" s="20"/>
      <c r="K134" s="17"/>
      <c r="L134" s="17"/>
      <c r="M134" s="17"/>
      <c r="N134" s="17"/>
    </row>
    <row r="135" spans="1:14">
      <c r="A135" s="20" t="s">
        <v>2095</v>
      </c>
      <c r="B135" s="17"/>
      <c r="C135" s="20" t="s">
        <v>2096</v>
      </c>
      <c r="D135" s="20"/>
      <c r="E135" s="20"/>
      <c r="F135" s="20"/>
      <c r="G135" s="20"/>
      <c r="H135" s="20"/>
      <c r="I135" s="20"/>
      <c r="J135" s="20"/>
      <c r="K135" s="17"/>
      <c r="L135" s="17"/>
      <c r="M135" s="17"/>
      <c r="N135" s="17"/>
    </row>
    <row r="136" spans="1:14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</row>
    <row r="137" spans="1:14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</row>
    <row r="138" spans="1:14">
      <c r="A138" s="20"/>
      <c r="B138" s="20"/>
      <c r="C138" s="67" t="s">
        <v>2097</v>
      </c>
      <c r="D138" s="388" t="s">
        <v>2098</v>
      </c>
      <c r="E138" s="20"/>
      <c r="F138" s="20"/>
      <c r="G138" s="20"/>
      <c r="H138" s="20"/>
      <c r="I138" s="20"/>
      <c r="J138" s="20"/>
      <c r="K138" s="17"/>
      <c r="L138" s="17"/>
      <c r="M138" s="17"/>
      <c r="N138" s="17"/>
    </row>
    <row r="139" spans="1:14">
      <c r="A139" s="20"/>
      <c r="B139" s="20"/>
      <c r="C139" s="67"/>
      <c r="D139" s="19">
        <v>3</v>
      </c>
      <c r="E139" s="20"/>
      <c r="F139" s="20"/>
      <c r="G139" s="20"/>
      <c r="H139" s="20"/>
      <c r="I139" s="20"/>
      <c r="J139" s="20"/>
      <c r="K139" s="17"/>
      <c r="L139" s="17"/>
      <c r="M139" s="17"/>
      <c r="N139" s="17"/>
    </row>
    <row r="140" spans="1:14">
      <c r="A140" s="20"/>
      <c r="B140" s="20"/>
      <c r="C140" s="67"/>
      <c r="D140" s="20"/>
      <c r="E140" s="20"/>
      <c r="F140" s="20"/>
      <c r="G140" s="20"/>
      <c r="H140" s="20"/>
      <c r="I140" s="20"/>
      <c r="J140" s="20"/>
      <c r="K140" s="17"/>
      <c r="L140" s="17"/>
      <c r="M140" s="17"/>
      <c r="N140" s="17"/>
    </row>
    <row r="141" spans="1:14">
      <c r="A141" s="20"/>
      <c r="B141" s="20"/>
      <c r="C141" s="67" t="s">
        <v>160</v>
      </c>
      <c r="D141" s="2439">
        <f>D17*E113/3</f>
        <v>18783.333333333332</v>
      </c>
      <c r="E141" s="20" t="s">
        <v>2073</v>
      </c>
      <c r="F141" s="20"/>
      <c r="G141" s="20"/>
      <c r="H141" s="20"/>
      <c r="I141" s="20"/>
      <c r="J141" s="20"/>
      <c r="K141" s="17"/>
      <c r="L141" s="17"/>
      <c r="M141" s="17"/>
      <c r="N141" s="17"/>
    </row>
    <row r="142" spans="1:14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</row>
    <row r="143" spans="1:14">
      <c r="A143" s="20" t="s">
        <v>35</v>
      </c>
      <c r="B143" s="17"/>
      <c r="C143" s="20" t="s">
        <v>2099</v>
      </c>
      <c r="D143" s="20"/>
      <c r="E143" s="20"/>
      <c r="F143" s="20"/>
      <c r="G143" s="20"/>
      <c r="H143" s="20"/>
      <c r="I143" s="20"/>
      <c r="J143" s="20"/>
      <c r="K143" s="17"/>
      <c r="L143" s="17"/>
      <c r="M143" s="17"/>
      <c r="N143" s="17"/>
    </row>
    <row r="144" spans="1:14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</row>
    <row r="145" spans="1:14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</row>
    <row r="146" spans="1:14">
      <c r="A146" s="20"/>
      <c r="B146" s="20"/>
      <c r="C146" s="67" t="s">
        <v>2093</v>
      </c>
      <c r="D146" s="388" t="s">
        <v>2094</v>
      </c>
      <c r="E146" s="20"/>
      <c r="F146" s="20"/>
      <c r="G146" s="20"/>
      <c r="H146" s="20"/>
      <c r="I146" s="20"/>
      <c r="J146" s="20"/>
      <c r="K146" s="17"/>
      <c r="L146" s="17"/>
      <c r="M146" s="17"/>
      <c r="N146" s="17"/>
    </row>
    <row r="147" spans="1:14">
      <c r="A147" s="20"/>
      <c r="B147" s="20"/>
      <c r="C147" s="67"/>
      <c r="D147" s="19">
        <v>3</v>
      </c>
      <c r="E147" s="20"/>
      <c r="F147" s="20"/>
      <c r="G147" s="20"/>
      <c r="H147" s="20"/>
      <c r="I147" s="20"/>
      <c r="J147" s="20"/>
      <c r="K147" s="17"/>
      <c r="L147" s="17"/>
      <c r="M147" s="17"/>
      <c r="N147" s="17"/>
    </row>
    <row r="148" spans="1:14">
      <c r="A148" s="20"/>
      <c r="B148" s="20"/>
      <c r="C148" s="67"/>
      <c r="D148" s="20"/>
      <c r="E148" s="20"/>
      <c r="F148" s="20"/>
      <c r="G148" s="20"/>
      <c r="H148" s="20"/>
      <c r="I148" s="20"/>
      <c r="J148" s="20"/>
      <c r="K148" s="17"/>
      <c r="L148" s="17"/>
      <c r="M148" s="17"/>
      <c r="N148" s="17"/>
    </row>
    <row r="149" spans="1:14">
      <c r="A149" s="20"/>
      <c r="B149" s="20"/>
      <c r="C149" s="67" t="s">
        <v>160</v>
      </c>
      <c r="D149" s="2439">
        <f>E108*E105*D17*2/3</f>
        <v>80500</v>
      </c>
      <c r="E149" s="20" t="s">
        <v>2073</v>
      </c>
      <c r="F149" s="20"/>
      <c r="G149" s="20"/>
      <c r="H149" s="20"/>
      <c r="I149" s="20"/>
      <c r="J149" s="20"/>
      <c r="K149" s="17"/>
      <c r="L149" s="17"/>
      <c r="M149" s="17"/>
      <c r="N149" s="17"/>
    </row>
    <row r="150" spans="1:14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</row>
    <row r="151" spans="1:14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</row>
    <row r="152" spans="1:14">
      <c r="A152" s="20" t="s">
        <v>2100</v>
      </c>
      <c r="B152" s="17"/>
      <c r="C152" s="20" t="s">
        <v>2101</v>
      </c>
      <c r="D152" s="20"/>
      <c r="E152" s="20"/>
      <c r="F152" s="20"/>
      <c r="G152" s="20"/>
      <c r="H152" s="20"/>
      <c r="I152" s="20"/>
      <c r="J152" s="20"/>
      <c r="K152" s="17"/>
      <c r="L152" s="17"/>
      <c r="M152" s="17"/>
      <c r="N152" s="17"/>
    </row>
    <row r="153" spans="1:14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</row>
    <row r="154" spans="1:14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</row>
    <row r="155" spans="1:14">
      <c r="A155" s="20"/>
      <c r="B155" s="20"/>
      <c r="C155" s="67" t="s">
        <v>2097</v>
      </c>
      <c r="D155" s="388" t="s">
        <v>2098</v>
      </c>
      <c r="E155" s="20"/>
      <c r="F155" s="20"/>
      <c r="G155" s="20"/>
      <c r="H155" s="20"/>
      <c r="I155" s="20"/>
      <c r="J155" s="20"/>
      <c r="K155" s="17"/>
      <c r="L155" s="17"/>
      <c r="M155" s="17"/>
      <c r="N155" s="17"/>
    </row>
    <row r="156" spans="1:14">
      <c r="A156" s="20"/>
      <c r="B156" s="20"/>
      <c r="C156" s="67"/>
      <c r="D156" s="19">
        <v>3</v>
      </c>
      <c r="E156" s="20"/>
      <c r="F156" s="20"/>
      <c r="G156" s="20"/>
      <c r="H156" s="20"/>
      <c r="I156" s="20"/>
      <c r="J156" s="20"/>
      <c r="K156" s="17"/>
      <c r="L156" s="17"/>
      <c r="M156" s="17"/>
      <c r="N156" s="17"/>
    </row>
    <row r="157" spans="1:14">
      <c r="A157" s="20"/>
      <c r="B157" s="20"/>
      <c r="C157" s="67"/>
      <c r="D157" s="20"/>
      <c r="E157" s="20"/>
      <c r="F157" s="20"/>
      <c r="G157" s="20"/>
      <c r="H157" s="20"/>
      <c r="I157" s="20"/>
      <c r="J157" s="20"/>
      <c r="K157" s="17"/>
      <c r="L157" s="17"/>
      <c r="M157" s="17"/>
      <c r="N157" s="17"/>
    </row>
    <row r="158" spans="1:14">
      <c r="A158" s="20"/>
      <c r="B158" s="20"/>
      <c r="C158" s="67" t="s">
        <v>160</v>
      </c>
      <c r="D158" s="2439">
        <f>E108*E105*D17/3</f>
        <v>40250</v>
      </c>
      <c r="E158" s="20" t="s">
        <v>2073</v>
      </c>
      <c r="F158" s="20"/>
      <c r="G158" s="20"/>
      <c r="H158" s="20"/>
      <c r="I158" s="20"/>
      <c r="J158" s="20"/>
      <c r="K158" s="17"/>
      <c r="L158" s="17"/>
      <c r="M158" s="17"/>
      <c r="N158" s="17"/>
    </row>
    <row r="159" spans="1:14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</row>
    <row r="160" spans="1:14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</row>
    <row r="161" spans="1:14">
      <c r="A161" s="20" t="s">
        <v>35</v>
      </c>
      <c r="B161" s="17"/>
      <c r="C161" s="20" t="s">
        <v>2102</v>
      </c>
      <c r="D161" s="20"/>
      <c r="E161" s="20"/>
      <c r="F161" s="20"/>
      <c r="G161" s="20"/>
      <c r="H161" s="20"/>
      <c r="I161" s="20"/>
      <c r="J161" s="20"/>
      <c r="K161" s="17"/>
      <c r="L161" s="17"/>
      <c r="M161" s="17"/>
      <c r="N161" s="17"/>
    </row>
    <row r="162" spans="1:14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</row>
    <row r="163" spans="1:14">
      <c r="A163" s="20"/>
      <c r="B163" s="20"/>
      <c r="C163" s="20" t="s">
        <v>2103</v>
      </c>
      <c r="D163" s="2439">
        <f>'E OUTPUT'!H128</f>
        <v>34522.058823529413</v>
      </c>
      <c r="E163" s="20" t="s">
        <v>2073</v>
      </c>
      <c r="F163" s="20"/>
      <c r="G163" s="20"/>
      <c r="H163" s="20"/>
      <c r="I163" s="20"/>
      <c r="J163" s="20"/>
      <c r="K163" s="17"/>
      <c r="L163" s="17"/>
      <c r="M163" s="17"/>
      <c r="N163" s="17"/>
    </row>
    <row r="164" spans="1:14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</row>
    <row r="165" spans="1:14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</row>
    <row r="166" spans="1:14">
      <c r="A166" s="20" t="s">
        <v>2100</v>
      </c>
      <c r="B166" s="17"/>
      <c r="C166" s="20" t="s">
        <v>2104</v>
      </c>
      <c r="D166" s="20"/>
      <c r="E166" s="20"/>
      <c r="F166" s="20"/>
      <c r="G166" s="20"/>
      <c r="H166" s="20"/>
      <c r="I166" s="20"/>
      <c r="J166" s="20"/>
      <c r="K166" s="17"/>
      <c r="L166" s="17"/>
      <c r="M166" s="17"/>
      <c r="N166" s="17"/>
    </row>
    <row r="167" spans="1:14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</row>
    <row r="168" spans="1:14">
      <c r="A168" s="20"/>
      <c r="B168" s="20"/>
      <c r="C168" s="20" t="s">
        <v>2103</v>
      </c>
      <c r="D168" s="2439">
        <f>D149+D133+D163</f>
        <v>152588.72549019608</v>
      </c>
      <c r="E168" s="20" t="s">
        <v>2073</v>
      </c>
      <c r="F168" s="20"/>
      <c r="G168" s="20"/>
      <c r="H168" s="20"/>
      <c r="I168" s="20"/>
      <c r="J168" s="20"/>
      <c r="K168" s="17"/>
      <c r="L168" s="17"/>
      <c r="M168" s="17"/>
      <c r="N168" s="17"/>
    </row>
    <row r="169" spans="1:14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</row>
    <row r="170" spans="1:14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</row>
    <row r="171" spans="1:14">
      <c r="A171" s="20" t="s">
        <v>2105</v>
      </c>
      <c r="B171" s="17"/>
      <c r="C171" s="20" t="s">
        <v>2106</v>
      </c>
      <c r="D171" s="20"/>
      <c r="E171" s="20"/>
      <c r="F171" s="20"/>
      <c r="G171" s="20"/>
      <c r="H171" s="20"/>
      <c r="I171" s="20"/>
      <c r="J171" s="20"/>
      <c r="K171" s="17"/>
      <c r="L171" s="17"/>
      <c r="M171" s="17"/>
      <c r="N171" s="17"/>
    </row>
    <row r="172" spans="1:14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</row>
    <row r="173" spans="1:14">
      <c r="A173" s="20"/>
      <c r="B173" s="20"/>
      <c r="C173" s="20" t="s">
        <v>2107</v>
      </c>
      <c r="D173" s="67"/>
      <c r="E173" s="20" t="s">
        <v>2108</v>
      </c>
      <c r="F173" s="20"/>
      <c r="G173" s="20"/>
      <c r="H173" s="20"/>
      <c r="I173" s="20"/>
      <c r="J173" s="20"/>
      <c r="K173" s="17"/>
      <c r="L173" s="17"/>
      <c r="M173" s="17"/>
      <c r="N173" s="17"/>
    </row>
    <row r="174" spans="1:14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</row>
    <row r="175" spans="1:14">
      <c r="A175" s="20"/>
      <c r="B175" s="20"/>
      <c r="C175" s="20"/>
      <c r="D175" s="67" t="s">
        <v>160</v>
      </c>
      <c r="E175" s="2444">
        <f>D86+D124</f>
        <v>7327681.25</v>
      </c>
      <c r="F175" s="20"/>
      <c r="G175" s="20"/>
      <c r="H175" s="20"/>
      <c r="I175" s="20"/>
      <c r="J175" s="20"/>
      <c r="K175" s="17"/>
      <c r="L175" s="17"/>
      <c r="M175" s="17"/>
      <c r="N175" s="17"/>
    </row>
    <row r="176" spans="1:14">
      <c r="A176" s="20"/>
      <c r="B176" s="20"/>
      <c r="C176" s="20"/>
      <c r="D176" s="20"/>
      <c r="E176" s="583">
        <f>I12</f>
        <v>8883.3442832840901</v>
      </c>
      <c r="F176" s="20"/>
      <c r="G176" s="20"/>
      <c r="H176" s="20"/>
      <c r="I176" s="20"/>
      <c r="J176" s="20"/>
      <c r="K176" s="17"/>
      <c r="L176" s="17"/>
      <c r="M176" s="17"/>
      <c r="N176" s="17"/>
    </row>
    <row r="177" spans="1:14">
      <c r="A177" s="20"/>
      <c r="B177" s="20"/>
      <c r="C177" s="20"/>
      <c r="D177" s="88"/>
      <c r="E177" s="20"/>
      <c r="F177" s="20"/>
      <c r="G177" s="20"/>
      <c r="H177" s="20"/>
      <c r="I177" s="20"/>
      <c r="J177" s="20"/>
      <c r="K177" s="17"/>
      <c r="L177" s="17"/>
      <c r="M177" s="17"/>
      <c r="N177" s="17"/>
    </row>
    <row r="178" spans="1:14" ht="15.75">
      <c r="A178" s="20"/>
      <c r="B178" s="20"/>
      <c r="C178" s="20"/>
      <c r="D178" s="67" t="s">
        <v>160</v>
      </c>
      <c r="E178" s="2445">
        <f>E175/E176</f>
        <v>824.87867365318687</v>
      </c>
      <c r="F178" s="20" t="s">
        <v>2775</v>
      </c>
      <c r="G178" s="20"/>
      <c r="H178" s="20"/>
      <c r="I178" s="20"/>
      <c r="J178" s="20"/>
      <c r="K178" s="17"/>
      <c r="L178" s="17"/>
      <c r="M178" s="17"/>
      <c r="N178" s="17"/>
    </row>
    <row r="179" spans="1:14">
      <c r="A179" s="20"/>
      <c r="B179" s="20"/>
      <c r="C179" s="20"/>
      <c r="D179" s="20"/>
      <c r="E179" s="2424"/>
      <c r="F179" s="20"/>
      <c r="G179" s="20"/>
      <c r="H179" s="20"/>
      <c r="I179" s="20"/>
      <c r="J179" s="20"/>
      <c r="K179" s="17"/>
      <c r="L179" s="17"/>
      <c r="M179" s="17"/>
      <c r="N179" s="17"/>
    </row>
    <row r="180" spans="1:14">
      <c r="A180" s="20" t="s">
        <v>2109</v>
      </c>
      <c r="B180" s="17"/>
      <c r="C180" s="20" t="s">
        <v>2110</v>
      </c>
      <c r="D180" s="20"/>
      <c r="E180" s="20"/>
      <c r="F180" s="20"/>
      <c r="G180" s="20"/>
      <c r="H180" s="20"/>
      <c r="I180" s="20"/>
      <c r="J180" s="20"/>
      <c r="K180" s="17"/>
      <c r="L180" s="17"/>
      <c r="M180" s="17"/>
      <c r="N180" s="17"/>
    </row>
    <row r="181" spans="1:14">
      <c r="A181" s="20"/>
      <c r="B181" s="20"/>
      <c r="C181" s="20" t="s">
        <v>2051</v>
      </c>
      <c r="D181" s="20"/>
      <c r="E181" s="20"/>
      <c r="F181" s="20"/>
      <c r="G181" s="20"/>
      <c r="H181" s="20"/>
      <c r="I181" s="20"/>
      <c r="J181" s="20"/>
      <c r="K181" s="17"/>
      <c r="L181" s="17"/>
      <c r="M181" s="17"/>
      <c r="N181" s="17"/>
    </row>
    <row r="182" spans="1:14">
      <c r="A182" s="20"/>
      <c r="B182" s="20"/>
      <c r="C182" s="20"/>
      <c r="D182" s="20" t="s">
        <v>160</v>
      </c>
      <c r="E182" s="20" t="s">
        <v>2111</v>
      </c>
      <c r="F182" s="20"/>
      <c r="G182" s="20"/>
      <c r="H182" s="20"/>
      <c r="I182" s="20"/>
      <c r="J182" s="20"/>
      <c r="K182" s="17"/>
      <c r="L182" s="17"/>
      <c r="M182" s="17"/>
      <c r="N182" s="17"/>
    </row>
    <row r="183" spans="1:14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</row>
    <row r="184" spans="1:14">
      <c r="A184" s="20"/>
      <c r="B184" s="20"/>
      <c r="C184" s="20"/>
      <c r="D184" s="20" t="s">
        <v>160</v>
      </c>
      <c r="E184" s="2444">
        <f>(H88+H124)</f>
        <v>472860.95703124994</v>
      </c>
      <c r="F184" s="20"/>
      <c r="G184" s="20"/>
      <c r="H184" s="20"/>
      <c r="I184" s="20"/>
      <c r="J184" s="20"/>
      <c r="K184" s="17"/>
      <c r="L184" s="17"/>
      <c r="M184" s="17"/>
      <c r="N184" s="17"/>
    </row>
    <row r="185" spans="1:14">
      <c r="A185" s="20"/>
      <c r="B185" s="20"/>
      <c r="C185" s="20"/>
      <c r="D185" s="20"/>
      <c r="E185" s="2433">
        <f>I14</f>
        <v>5911.5534863387975</v>
      </c>
      <c r="F185" s="20"/>
      <c r="G185" s="20"/>
      <c r="H185" s="20"/>
      <c r="I185" s="20"/>
      <c r="J185" s="20"/>
      <c r="K185" s="17"/>
      <c r="L185" s="17"/>
      <c r="M185" s="17"/>
      <c r="N185" s="17"/>
    </row>
    <row r="186" spans="1:14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</row>
    <row r="187" spans="1:14" ht="15.75">
      <c r="A187" s="20"/>
      <c r="B187" s="20"/>
      <c r="C187" s="20"/>
      <c r="D187" s="20" t="s">
        <v>160</v>
      </c>
      <c r="E187" s="2445">
        <f>E184/I14</f>
        <v>79.989288454210865</v>
      </c>
      <c r="F187" s="20" t="s">
        <v>2775</v>
      </c>
      <c r="G187" s="20"/>
      <c r="H187" s="20"/>
      <c r="I187" s="20"/>
      <c r="J187" s="20"/>
      <c r="K187" s="17"/>
      <c r="L187" s="17"/>
      <c r="M187" s="17"/>
      <c r="N187" s="17"/>
    </row>
    <row r="188" spans="1:14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</row>
    <row r="189" spans="1:14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</row>
    <row r="190" spans="1:14">
      <c r="A190" s="20" t="s">
        <v>2112</v>
      </c>
      <c r="B190" s="17"/>
      <c r="C190" s="20" t="s">
        <v>2113</v>
      </c>
      <c r="D190" s="20"/>
      <c r="E190" s="20"/>
      <c r="F190" s="20"/>
      <c r="G190" s="20"/>
      <c r="H190" s="20"/>
      <c r="I190" s="20"/>
      <c r="J190" s="20"/>
      <c r="K190" s="17"/>
      <c r="L190" s="17"/>
      <c r="M190" s="17"/>
      <c r="N190" s="17"/>
    </row>
    <row r="191" spans="1:14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</row>
    <row r="192" spans="1:14">
      <c r="A192" s="20"/>
      <c r="B192" s="20"/>
      <c r="C192" s="20"/>
      <c r="D192" s="67" t="s">
        <v>160</v>
      </c>
      <c r="E192" s="20" t="s">
        <v>2114</v>
      </c>
      <c r="F192" s="20"/>
      <c r="G192" s="20"/>
      <c r="H192" s="20"/>
      <c r="I192" s="20"/>
      <c r="J192" s="20"/>
      <c r="K192" s="17"/>
      <c r="L192" s="17"/>
      <c r="M192" s="17"/>
      <c r="N192" s="17"/>
    </row>
    <row r="193" spans="1:14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</row>
    <row r="194" spans="1:14">
      <c r="A194" s="20"/>
      <c r="B194" s="20"/>
      <c r="C194" s="20"/>
      <c r="D194" s="20" t="s">
        <v>160</v>
      </c>
      <c r="E194" s="2446">
        <f>D168</f>
        <v>152588.72549019608</v>
      </c>
      <c r="F194" s="20"/>
      <c r="G194" s="20"/>
      <c r="H194" s="20"/>
      <c r="I194" s="20"/>
      <c r="J194" s="20"/>
      <c r="K194" s="17"/>
      <c r="L194" s="17"/>
      <c r="M194" s="17"/>
      <c r="N194" s="17"/>
    </row>
    <row r="195" spans="1:14">
      <c r="A195" s="20"/>
      <c r="B195" s="20"/>
      <c r="C195" s="20"/>
      <c r="D195" s="20"/>
      <c r="E195" s="2433">
        <f>H250</f>
        <v>9261.5452254983156</v>
      </c>
      <c r="F195" s="20"/>
      <c r="G195" s="20"/>
      <c r="H195" s="20"/>
      <c r="I195" s="20"/>
      <c r="J195" s="20"/>
      <c r="K195" s="17"/>
      <c r="L195" s="17"/>
      <c r="M195" s="17"/>
      <c r="N195" s="17"/>
    </row>
    <row r="196" spans="1:14">
      <c r="A196" s="20"/>
      <c r="B196" s="20"/>
      <c r="C196" s="20"/>
      <c r="D196" s="20"/>
      <c r="E196" s="25"/>
      <c r="F196" s="20"/>
      <c r="G196" s="20"/>
      <c r="H196" s="20"/>
      <c r="I196" s="20"/>
      <c r="J196" s="20"/>
      <c r="K196" s="17"/>
      <c r="L196" s="17"/>
      <c r="M196" s="17"/>
      <c r="N196" s="17"/>
    </row>
    <row r="197" spans="1:14" ht="15.75">
      <c r="A197" s="20"/>
      <c r="B197" s="20"/>
      <c r="C197" s="20" t="s">
        <v>2115</v>
      </c>
      <c r="D197" s="67" t="s">
        <v>160</v>
      </c>
      <c r="E197" s="2445">
        <f>D168/H250</f>
        <v>16.47551480611445</v>
      </c>
      <c r="F197" s="20" t="s">
        <v>2775</v>
      </c>
      <c r="G197" s="20"/>
      <c r="H197" s="20"/>
      <c r="I197" s="20"/>
      <c r="J197" s="20"/>
      <c r="K197" s="17"/>
      <c r="L197" s="17"/>
      <c r="M197" s="17"/>
      <c r="N197" s="17"/>
    </row>
    <row r="198" spans="1:14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</row>
    <row r="199" spans="1:14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</row>
    <row r="200" spans="1:14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</row>
    <row r="201" spans="1:14">
      <c r="A201" s="20" t="s">
        <v>2116</v>
      </c>
      <c r="B201" s="17"/>
      <c r="C201" s="20" t="s">
        <v>2117</v>
      </c>
      <c r="D201" s="20"/>
      <c r="E201" s="20"/>
      <c r="F201" s="20"/>
      <c r="G201" s="20"/>
      <c r="H201" s="20"/>
      <c r="I201" s="20"/>
      <c r="J201" s="20"/>
      <c r="K201" s="17"/>
      <c r="L201" s="17"/>
      <c r="M201" s="17"/>
      <c r="N201" s="17"/>
    </row>
    <row r="202" spans="1:14">
      <c r="A202" s="20"/>
      <c r="B202" s="20"/>
      <c r="C202" s="20"/>
      <c r="D202" s="67" t="s">
        <v>2118</v>
      </c>
      <c r="E202" s="2444">
        <f>G48+D116+I116</f>
        <v>20151.648583333332</v>
      </c>
      <c r="F202" s="20"/>
      <c r="G202" s="20"/>
      <c r="H202" s="20"/>
      <c r="I202" s="20"/>
      <c r="J202" s="20"/>
      <c r="K202" s="17"/>
      <c r="L202" s="17"/>
      <c r="M202" s="17"/>
      <c r="N202" s="17"/>
    </row>
    <row r="203" spans="1:14">
      <c r="A203" s="20"/>
      <c r="B203" s="20"/>
      <c r="C203" s="20"/>
      <c r="D203" s="20"/>
      <c r="E203" s="2429">
        <f>I20</f>
        <v>158.4</v>
      </c>
      <c r="F203" s="20"/>
      <c r="G203" s="20"/>
      <c r="H203" s="20"/>
      <c r="I203" s="20"/>
      <c r="J203" s="20"/>
      <c r="K203" s="17"/>
      <c r="L203" s="17"/>
      <c r="M203" s="17"/>
      <c r="N203" s="17"/>
    </row>
    <row r="204" spans="1:14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</row>
    <row r="205" spans="1:14" ht="15.75">
      <c r="A205" s="20"/>
      <c r="B205" s="20"/>
      <c r="C205" s="20"/>
      <c r="D205" s="67" t="s">
        <v>160</v>
      </c>
      <c r="E205" s="2445">
        <f>E202/E203</f>
        <v>127.22000368265992</v>
      </c>
      <c r="F205" s="20" t="s">
        <v>2775</v>
      </c>
      <c r="G205" s="20"/>
      <c r="H205" s="20"/>
      <c r="I205" s="20"/>
      <c r="J205" s="20"/>
      <c r="K205" s="17"/>
      <c r="L205" s="17"/>
      <c r="M205" s="17"/>
      <c r="N205" s="17"/>
    </row>
    <row r="206" spans="1:14">
      <c r="A206" s="20"/>
      <c r="B206" s="20"/>
      <c r="C206" s="20" t="s">
        <v>2119</v>
      </c>
      <c r="D206" s="20"/>
      <c r="E206" s="20"/>
      <c r="F206" s="20"/>
      <c r="G206" s="20"/>
      <c r="H206" s="20"/>
      <c r="I206" s="20"/>
      <c r="J206" s="20"/>
      <c r="K206" s="17"/>
      <c r="L206" s="17"/>
      <c r="M206" s="17"/>
      <c r="N206" s="17"/>
    </row>
    <row r="207" spans="1:14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</row>
    <row r="208" spans="1:14">
      <c r="A208" s="20" t="s">
        <v>1865</v>
      </c>
      <c r="B208" s="20" t="s">
        <v>2120</v>
      </c>
      <c r="C208" s="17"/>
      <c r="D208" s="2429">
        <f>'E OUTPUT'!C244</f>
        <v>1884.375</v>
      </c>
      <c r="E208" s="20" t="s">
        <v>449</v>
      </c>
      <c r="F208" s="20"/>
      <c r="G208" s="20"/>
      <c r="H208" s="20"/>
      <c r="I208" s="20"/>
      <c r="J208" s="20"/>
      <c r="K208" s="17"/>
      <c r="L208" s="17"/>
      <c r="M208" s="17"/>
      <c r="N208" s="17"/>
    </row>
    <row r="209" spans="1:14" ht="15.75">
      <c r="A209" s="20"/>
      <c r="B209" s="20" t="s">
        <v>2121</v>
      </c>
      <c r="C209" s="17"/>
      <c r="D209" s="2433">
        <f>D208/I8</f>
        <v>5.5982620320855609</v>
      </c>
      <c r="E209" s="20" t="s">
        <v>2775</v>
      </c>
      <c r="F209" s="20"/>
      <c r="G209" s="20"/>
      <c r="H209" s="20"/>
      <c r="I209" s="20"/>
      <c r="J209" s="20"/>
      <c r="K209" s="17"/>
      <c r="L209" s="17"/>
      <c r="M209" s="17"/>
      <c r="N209" s="17"/>
    </row>
    <row r="210" spans="1:14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</row>
    <row r="211" spans="1:14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</row>
    <row r="212" spans="1:14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</row>
    <row r="213" spans="1:14" ht="15.75">
      <c r="A213" s="20" t="s">
        <v>1865</v>
      </c>
      <c r="B213" s="17"/>
      <c r="C213" s="20" t="s">
        <v>2776</v>
      </c>
      <c r="D213" s="20"/>
      <c r="E213" s="20"/>
      <c r="F213" s="20"/>
      <c r="G213" s="20"/>
      <c r="H213" s="20"/>
      <c r="I213" s="20"/>
      <c r="J213" s="20"/>
      <c r="K213" s="17"/>
      <c r="L213" s="17"/>
      <c r="M213" s="17"/>
      <c r="N213" s="17"/>
    </row>
    <row r="214" spans="1:14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</row>
    <row r="215" spans="1:14">
      <c r="A215" s="20"/>
      <c r="B215" s="20"/>
      <c r="C215" s="20"/>
      <c r="D215" s="20" t="s">
        <v>2122</v>
      </c>
      <c r="E215" s="2447">
        <f>((E178^2+E187^2)^(1/2))</f>
        <v>828.74791855862406</v>
      </c>
      <c r="F215" s="17"/>
      <c r="G215" s="25"/>
      <c r="H215" s="20"/>
      <c r="I215" s="20"/>
      <c r="J215" s="20"/>
      <c r="K215" s="17"/>
      <c r="L215" s="17"/>
      <c r="M215" s="17"/>
      <c r="N215" s="17"/>
    </row>
    <row r="216" spans="1:14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</row>
    <row r="217" spans="1:14" ht="15.75">
      <c r="A217" s="20"/>
      <c r="B217" s="20"/>
      <c r="C217" s="20"/>
      <c r="D217" s="20" t="s">
        <v>2123</v>
      </c>
      <c r="E217" s="2447">
        <f>E215+D209</f>
        <v>834.34618059070965</v>
      </c>
      <c r="F217" s="67"/>
      <c r="G217" s="25" t="str">
        <f>'E OUTPUT'!I248</f>
        <v>&lt;1521</v>
      </c>
      <c r="H217" s="20" t="s">
        <v>2775</v>
      </c>
      <c r="I217" s="20"/>
      <c r="J217" s="20"/>
      <c r="K217" s="20"/>
      <c r="L217" s="17"/>
      <c r="M217" s="17"/>
      <c r="N217" s="17"/>
    </row>
    <row r="218" spans="1:14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17"/>
      <c r="L218" s="17"/>
      <c r="M218" s="17"/>
      <c r="N218" s="17"/>
    </row>
    <row r="219" spans="1:14" ht="15.75">
      <c r="A219" s="20"/>
      <c r="B219" s="20"/>
      <c r="C219" s="20"/>
      <c r="D219" s="20" t="s">
        <v>2124</v>
      </c>
      <c r="E219" s="2447">
        <f>E205+E197</f>
        <v>143.69551848877438</v>
      </c>
      <c r="F219" s="17"/>
      <c r="G219" s="20" t="s">
        <v>1602</v>
      </c>
      <c r="H219" s="20" t="s">
        <v>2775</v>
      </c>
      <c r="I219" s="20"/>
      <c r="J219" s="20"/>
      <c r="K219" s="20"/>
      <c r="L219" s="17"/>
      <c r="M219" s="17"/>
      <c r="N219" s="17"/>
    </row>
    <row r="220" spans="1:14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17"/>
      <c r="L220" s="17"/>
      <c r="M220" s="17"/>
      <c r="N220" s="17"/>
    </row>
    <row r="221" spans="1:14" ht="15.75">
      <c r="A221" s="20"/>
      <c r="B221" s="20"/>
      <c r="C221" s="20"/>
      <c r="D221" s="20" t="s">
        <v>2125</v>
      </c>
      <c r="E221" s="2447">
        <f>SQRT(POWER(E217,2)+(3*POWER(E219,2)))</f>
        <v>870.67718194953181</v>
      </c>
      <c r="F221" s="17"/>
      <c r="G221" s="20" t="s">
        <v>1606</v>
      </c>
      <c r="H221" s="20" t="s">
        <v>2775</v>
      </c>
      <c r="I221" s="20"/>
      <c r="J221" s="20"/>
      <c r="K221" s="20"/>
      <c r="L221" s="17"/>
      <c r="M221" s="17"/>
      <c r="N221" s="17"/>
    </row>
    <row r="222" spans="1:14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</row>
    <row r="223" spans="1:14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</row>
    <row r="224" spans="1:14">
      <c r="A224" s="20" t="s">
        <v>2126</v>
      </c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17"/>
      <c r="M224" s="17"/>
      <c r="N224" s="17"/>
    </row>
    <row r="225" spans="1:14">
      <c r="A225" s="20"/>
      <c r="B225" s="20"/>
      <c r="C225" s="20" t="s">
        <v>2127</v>
      </c>
      <c r="D225" s="20"/>
      <c r="E225" s="20"/>
      <c r="F225" s="20"/>
      <c r="G225" s="20"/>
      <c r="H225" s="20"/>
      <c r="I225" s="20"/>
      <c r="J225" s="20"/>
      <c r="K225" s="17"/>
      <c r="L225" s="17"/>
      <c r="M225" s="17"/>
      <c r="N225" s="17"/>
    </row>
    <row r="226" spans="1:14">
      <c r="A226" s="20"/>
      <c r="B226" s="20"/>
      <c r="C226" s="20" t="s">
        <v>2128</v>
      </c>
      <c r="D226" s="20"/>
      <c r="E226" s="20"/>
      <c r="F226" s="20"/>
      <c r="G226" s="20"/>
      <c r="H226" s="20"/>
      <c r="I226" s="20"/>
      <c r="J226" s="20"/>
      <c r="K226" s="17"/>
      <c r="L226" s="17"/>
      <c r="M226" s="17"/>
      <c r="N226" s="17"/>
    </row>
    <row r="227" spans="1:14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</row>
    <row r="228" spans="1:14">
      <c r="A228" s="20"/>
      <c r="B228" s="20"/>
      <c r="C228" s="20" t="s">
        <v>2129</v>
      </c>
      <c r="D228" s="20"/>
      <c r="E228" s="20"/>
      <c r="F228" s="20"/>
      <c r="G228" s="20"/>
      <c r="H228" s="20"/>
      <c r="I228" s="20"/>
      <c r="J228" s="20"/>
      <c r="K228" s="17"/>
      <c r="L228" s="17"/>
      <c r="M228" s="17"/>
      <c r="N228" s="17"/>
    </row>
    <row r="229" spans="1:14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</row>
    <row r="230" spans="1:14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</row>
    <row r="231" spans="1:14" ht="15.75">
      <c r="A231" s="20"/>
      <c r="B231" s="20"/>
      <c r="C231" s="20" t="s">
        <v>2130</v>
      </c>
      <c r="D231" s="20"/>
      <c r="E231" s="17"/>
      <c r="F231" s="407" t="s">
        <v>2777</v>
      </c>
      <c r="G231" s="20" t="s">
        <v>2131</v>
      </c>
      <c r="H231" s="17"/>
      <c r="I231" s="2433">
        <f>((POWER(J235,3)*J236)/3)+(2*J238*J237)</f>
        <v>353058.99133737379</v>
      </c>
      <c r="J231" s="20" t="s">
        <v>2132</v>
      </c>
      <c r="K231" s="20"/>
      <c r="L231" s="17"/>
      <c r="M231" s="17"/>
      <c r="N231" s="17"/>
    </row>
    <row r="232" spans="1:14">
      <c r="A232" s="20"/>
      <c r="B232" s="20"/>
      <c r="C232" s="20"/>
      <c r="D232" s="20"/>
      <c r="E232" s="20"/>
      <c r="F232" s="19">
        <v>3</v>
      </c>
      <c r="G232" s="20"/>
      <c r="H232" s="20"/>
      <c r="I232" s="20"/>
      <c r="J232" s="20"/>
      <c r="K232" s="17"/>
      <c r="L232" s="17"/>
      <c r="M232" s="17"/>
      <c r="N232" s="17"/>
    </row>
    <row r="233" spans="1:14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</row>
    <row r="234" spans="1:14">
      <c r="A234" s="20"/>
      <c r="B234" s="20"/>
      <c r="C234" s="20" t="s">
        <v>2133</v>
      </c>
      <c r="D234" s="20" t="s">
        <v>2134</v>
      </c>
      <c r="E234" s="20"/>
      <c r="F234" s="20"/>
      <c r="G234" s="20"/>
      <c r="H234" s="17"/>
      <c r="I234" s="17"/>
      <c r="J234" s="2433">
        <f>I10</f>
        <v>514972.69359861594</v>
      </c>
      <c r="K234" s="20" t="s">
        <v>2132</v>
      </c>
      <c r="L234" s="17"/>
      <c r="M234" s="17"/>
      <c r="N234" s="17"/>
    </row>
    <row r="235" spans="1:14">
      <c r="A235" s="20"/>
      <c r="B235" s="20"/>
      <c r="C235" s="20"/>
      <c r="D235" s="20" t="s">
        <v>2135</v>
      </c>
      <c r="E235" s="20"/>
      <c r="F235" s="20"/>
      <c r="G235" s="20"/>
      <c r="H235" s="17"/>
      <c r="I235" s="17"/>
      <c r="J235" s="2429">
        <f>F10</f>
        <v>0.8</v>
      </c>
      <c r="K235" s="20" t="s">
        <v>571</v>
      </c>
      <c r="L235" s="17"/>
      <c r="M235" s="17"/>
      <c r="N235" s="17"/>
    </row>
    <row r="236" spans="1:14">
      <c r="A236" s="20"/>
      <c r="B236" s="20"/>
      <c r="C236" s="20"/>
      <c r="D236" s="20" t="s">
        <v>2136</v>
      </c>
      <c r="E236" s="20"/>
      <c r="F236" s="20"/>
      <c r="G236" s="20"/>
      <c r="H236" s="17"/>
      <c r="I236" s="17"/>
      <c r="J236" s="2429">
        <f>2*((F6-F10)+(F7-F10))</f>
        <v>316.8</v>
      </c>
      <c r="K236" s="20" t="s">
        <v>571</v>
      </c>
      <c r="L236" s="17"/>
      <c r="M236" s="17"/>
      <c r="N236" s="17"/>
    </row>
    <row r="237" spans="1:14">
      <c r="A237" s="20"/>
      <c r="B237" s="20"/>
      <c r="C237" s="20"/>
      <c r="D237" s="20" t="s">
        <v>2137</v>
      </c>
      <c r="E237" s="20"/>
      <c r="F237" s="20"/>
      <c r="G237" s="20"/>
      <c r="H237" s="17"/>
      <c r="I237" s="17"/>
      <c r="J237" s="2429">
        <f>((F6-F10)*(F7-F10))</f>
        <v>5911.64</v>
      </c>
      <c r="K237" s="20" t="s">
        <v>2138</v>
      </c>
      <c r="L237" s="17"/>
      <c r="M237" s="17"/>
      <c r="N237" s="17"/>
    </row>
    <row r="238" spans="1:14">
      <c r="A238" s="20"/>
      <c r="B238" s="20"/>
      <c r="C238" s="20"/>
      <c r="D238" s="20" t="s">
        <v>2139</v>
      </c>
      <c r="E238" s="20"/>
      <c r="F238" s="20"/>
      <c r="G238" s="20"/>
      <c r="H238" s="17"/>
      <c r="I238" s="17"/>
      <c r="J238" s="2431">
        <f>2*J237*J235/J236</f>
        <v>29.856767676767682</v>
      </c>
      <c r="K238" s="20"/>
      <c r="L238" s="17"/>
      <c r="M238" s="17"/>
      <c r="N238" s="17"/>
    </row>
    <row r="239" spans="1:14">
      <c r="A239" s="20"/>
      <c r="B239" s="20"/>
      <c r="C239" s="20"/>
      <c r="D239" s="20" t="s">
        <v>2140</v>
      </c>
      <c r="E239" s="20"/>
      <c r="F239" s="20"/>
      <c r="G239" s="20"/>
      <c r="H239" s="20"/>
      <c r="I239" s="20"/>
      <c r="J239" s="20"/>
      <c r="K239" s="17"/>
      <c r="L239" s="17"/>
      <c r="M239" s="17"/>
      <c r="N239" s="17"/>
    </row>
    <row r="240" spans="1:14">
      <c r="A240" s="20"/>
      <c r="B240" s="20"/>
      <c r="C240" s="20"/>
      <c r="D240" s="20" t="s">
        <v>2141</v>
      </c>
      <c r="E240" s="20"/>
      <c r="F240" s="20"/>
      <c r="G240" s="20"/>
      <c r="H240" s="20"/>
      <c r="I240" s="20"/>
      <c r="J240" s="20"/>
      <c r="K240" s="17"/>
      <c r="L240" s="17"/>
      <c r="M240" s="17"/>
      <c r="N240" s="17"/>
    </row>
    <row r="241" spans="1:14">
      <c r="A241" s="20"/>
      <c r="B241" s="20"/>
      <c r="C241" s="20"/>
      <c r="D241" s="20" t="s">
        <v>2142</v>
      </c>
      <c r="E241" s="20"/>
      <c r="F241" s="20"/>
      <c r="G241" s="20"/>
      <c r="H241" s="20"/>
      <c r="I241" s="20"/>
      <c r="J241" s="20"/>
      <c r="K241" s="17"/>
      <c r="L241" s="17"/>
      <c r="M241" s="17"/>
      <c r="N241" s="17"/>
    </row>
    <row r="242" spans="1:14">
      <c r="A242" s="20"/>
      <c r="B242" s="20"/>
      <c r="C242" s="20" t="s">
        <v>2143</v>
      </c>
      <c r="D242" s="20"/>
      <c r="E242" s="20"/>
      <c r="F242" s="20"/>
      <c r="G242" s="20"/>
      <c r="H242" s="20"/>
      <c r="I242" s="20"/>
      <c r="J242" s="20"/>
      <c r="K242" s="17"/>
      <c r="L242" s="17"/>
      <c r="M242" s="17"/>
      <c r="N242" s="17"/>
    </row>
    <row r="243" spans="1:14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</row>
    <row r="244" spans="1:14">
      <c r="A244" s="20"/>
      <c r="B244" s="20"/>
      <c r="C244" s="20" t="s">
        <v>2127</v>
      </c>
      <c r="D244" s="20"/>
      <c r="E244" s="20"/>
      <c r="F244" s="20"/>
      <c r="G244" s="20"/>
      <c r="H244" s="20"/>
      <c r="I244" s="20"/>
      <c r="J244" s="20"/>
      <c r="K244" s="17"/>
      <c r="L244" s="17"/>
      <c r="M244" s="17"/>
      <c r="N244" s="17"/>
    </row>
    <row r="245" spans="1:14">
      <c r="A245" s="20"/>
      <c r="B245" s="20"/>
      <c r="C245" s="20"/>
      <c r="D245" s="20" t="s">
        <v>2144</v>
      </c>
      <c r="E245" s="20"/>
      <c r="F245" s="20"/>
      <c r="G245" s="20"/>
      <c r="H245" s="20"/>
      <c r="I245" s="20"/>
      <c r="J245" s="20"/>
      <c r="K245" s="17"/>
      <c r="L245" s="17"/>
      <c r="M245" s="17"/>
      <c r="N245" s="17"/>
    </row>
    <row r="246" spans="1:14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</row>
    <row r="247" spans="1:14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</row>
    <row r="248" spans="1:14">
      <c r="A248" s="20"/>
      <c r="B248" s="20"/>
      <c r="C248" s="20" t="s">
        <v>2129</v>
      </c>
      <c r="D248" s="20"/>
      <c r="E248" s="20"/>
      <c r="F248" s="20"/>
      <c r="G248" s="20"/>
      <c r="H248" s="20"/>
      <c r="I248" s="20"/>
      <c r="J248" s="20"/>
      <c r="K248" s="17"/>
      <c r="L248" s="17"/>
      <c r="M248" s="17"/>
      <c r="N248" s="17"/>
    </row>
    <row r="249" spans="1:14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</row>
    <row r="250" spans="1:14">
      <c r="A250" s="20"/>
      <c r="B250" s="20"/>
      <c r="C250" s="20"/>
      <c r="D250" s="20" t="s">
        <v>2145</v>
      </c>
      <c r="E250" s="20"/>
      <c r="F250" s="20"/>
      <c r="G250" s="17"/>
      <c r="H250" s="2433">
        <f>(I231/(J235+(J238/J235)))</f>
        <v>9261.5452254983156</v>
      </c>
      <c r="I250" s="20" t="s">
        <v>2146</v>
      </c>
      <c r="J250" s="20"/>
      <c r="K250" s="20"/>
      <c r="L250" s="17"/>
      <c r="M250" s="17"/>
      <c r="N250" s="17"/>
    </row>
    <row r="251" spans="1:14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</row>
    <row r="252" spans="1:14">
      <c r="A252" s="20"/>
      <c r="B252" s="20"/>
      <c r="C252" s="20" t="s">
        <v>2133</v>
      </c>
      <c r="D252" s="20"/>
      <c r="E252" s="20"/>
      <c r="F252" s="20"/>
      <c r="G252" s="20"/>
      <c r="H252" s="20"/>
      <c r="I252" s="20"/>
      <c r="J252" s="20"/>
      <c r="K252" s="17"/>
      <c r="L252" s="17"/>
      <c r="M252" s="17"/>
      <c r="N252" s="17"/>
    </row>
    <row r="253" spans="1:14">
      <c r="A253" s="20"/>
      <c r="B253" s="20"/>
      <c r="C253" s="20"/>
      <c r="D253" s="20" t="s">
        <v>2147</v>
      </c>
      <c r="E253" s="20"/>
      <c r="F253" s="20"/>
      <c r="G253" s="20"/>
      <c r="H253" s="20"/>
      <c r="I253" s="20"/>
      <c r="J253" s="20"/>
      <c r="K253" s="17"/>
      <c r="L253" s="17"/>
      <c r="M253" s="17"/>
      <c r="N253" s="17"/>
    </row>
    <row r="254" spans="1:14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</row>
    <row r="255" spans="1:14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</row>
    <row r="256" spans="1:14">
      <c r="A256" s="20"/>
      <c r="B256" s="20" t="s">
        <v>2148</v>
      </c>
      <c r="C256" s="20"/>
      <c r="D256" s="20"/>
      <c r="E256" s="20"/>
      <c r="F256" s="20"/>
      <c r="G256" s="20"/>
      <c r="H256" s="20"/>
      <c r="I256" s="20"/>
      <c r="J256" s="20"/>
      <c r="K256" s="17"/>
      <c r="L256" s="17"/>
      <c r="M256" s="17"/>
      <c r="N256" s="17"/>
    </row>
    <row r="257" spans="1:14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</row>
    <row r="258" spans="1:14">
      <c r="A258" s="20"/>
      <c r="B258" s="20" t="s">
        <v>2149</v>
      </c>
      <c r="C258" s="20"/>
      <c r="D258" s="20"/>
      <c r="E258" s="20"/>
      <c r="F258" s="20"/>
      <c r="G258" s="20"/>
      <c r="H258" s="20"/>
      <c r="I258" s="20"/>
      <c r="J258" s="20"/>
      <c r="K258" s="17"/>
      <c r="L258" s="17"/>
      <c r="M258" s="17"/>
      <c r="N258" s="17"/>
    </row>
    <row r="259" spans="1:14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</row>
    <row r="260" spans="1:14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</row>
    <row r="261" spans="1:14">
      <c r="A261" s="20"/>
      <c r="B261" s="20" t="s">
        <v>2150</v>
      </c>
      <c r="C261" s="459" t="s">
        <v>2151</v>
      </c>
      <c r="D261" s="20"/>
      <c r="E261" s="20"/>
      <c r="F261" s="20"/>
      <c r="G261" s="20"/>
      <c r="H261" s="20"/>
      <c r="I261" s="20"/>
      <c r="J261" s="20"/>
      <c r="K261" s="17"/>
      <c r="L261" s="17"/>
      <c r="M261" s="17"/>
      <c r="N261" s="17"/>
    </row>
    <row r="262" spans="1:14">
      <c r="A262" s="20"/>
      <c r="B262" s="20"/>
      <c r="C262" s="20" t="s">
        <v>2152</v>
      </c>
      <c r="D262" s="20"/>
      <c r="E262" s="20"/>
      <c r="F262" s="20"/>
      <c r="G262" s="20"/>
      <c r="H262" s="20"/>
      <c r="I262" s="20"/>
      <c r="J262" s="20"/>
      <c r="K262" s="17"/>
      <c r="L262" s="17"/>
      <c r="M262" s="17"/>
      <c r="N262" s="17"/>
    </row>
    <row r="263" spans="1:14">
      <c r="A263" s="20"/>
      <c r="B263" s="20"/>
      <c r="C263" s="20"/>
      <c r="D263" s="20"/>
      <c r="E263" s="67" t="s">
        <v>2153</v>
      </c>
      <c r="F263" s="619">
        <f>E71</f>
        <v>718.90625</v>
      </c>
      <c r="G263" s="20"/>
      <c r="H263" s="20"/>
      <c r="I263" s="20"/>
      <c r="J263" s="20"/>
      <c r="K263" s="17"/>
      <c r="L263" s="17"/>
      <c r="M263" s="17"/>
      <c r="N263" s="17"/>
    </row>
    <row r="264" spans="1:14">
      <c r="A264" s="20"/>
      <c r="B264" s="20"/>
      <c r="C264" s="20"/>
      <c r="D264" s="20"/>
      <c r="E264" s="67" t="s">
        <v>2154</v>
      </c>
      <c r="F264" s="577">
        <f>I10</f>
        <v>514972.69359861594</v>
      </c>
      <c r="G264" s="20"/>
      <c r="H264" s="20"/>
      <c r="I264" s="20"/>
      <c r="J264" s="20"/>
      <c r="K264" s="17"/>
      <c r="L264" s="17"/>
      <c r="M264" s="17"/>
      <c r="N264" s="17"/>
    </row>
    <row r="265" spans="1:14">
      <c r="A265" s="20"/>
      <c r="B265" s="20"/>
      <c r="C265" s="20"/>
      <c r="D265" s="20"/>
      <c r="E265" s="67" t="s">
        <v>2155</v>
      </c>
      <c r="F265" s="19">
        <f>D37</f>
        <v>1500</v>
      </c>
      <c r="G265" s="20"/>
      <c r="H265" s="20"/>
      <c r="I265" s="20"/>
      <c r="J265" s="20"/>
      <c r="K265" s="17"/>
      <c r="L265" s="17"/>
      <c r="M265" s="17"/>
      <c r="N265" s="17"/>
    </row>
    <row r="266" spans="1:14">
      <c r="A266" s="20"/>
      <c r="B266" s="67" t="s">
        <v>2156</v>
      </c>
      <c r="C266" s="2448">
        <f>(((F266)*(POWER(F265,3)))*(((3*F263)/(F265))-(4*(POWER((F263/F265),3)))))/(48*21000000/9.81*F264)</f>
        <v>0.55866153004565611</v>
      </c>
      <c r="D266" s="20" t="s">
        <v>571</v>
      </c>
      <c r="E266" s="67" t="s">
        <v>2157</v>
      </c>
      <c r="F266" s="19">
        <f>D40</f>
        <v>8781.2499999999982</v>
      </c>
      <c r="G266" s="20" t="s">
        <v>380</v>
      </c>
      <c r="H266" s="20"/>
      <c r="I266" s="20"/>
      <c r="J266" s="20"/>
      <c r="K266" s="17"/>
      <c r="L266" s="17"/>
      <c r="M266" s="17"/>
      <c r="N266" s="17"/>
    </row>
    <row r="267" spans="1:14">
      <c r="A267" s="20"/>
      <c r="B267" s="67"/>
      <c r="C267" s="20"/>
      <c r="D267" s="17"/>
      <c r="E267" s="67"/>
      <c r="F267" s="19"/>
      <c r="G267" s="20"/>
      <c r="H267" s="20"/>
      <c r="I267" s="20"/>
      <c r="J267" s="20"/>
      <c r="K267" s="17"/>
      <c r="L267" s="17"/>
      <c r="M267" s="17"/>
      <c r="N267" s="17"/>
    </row>
    <row r="268" spans="1:14">
      <c r="A268" s="20"/>
      <c r="B268" s="67" t="s">
        <v>2158</v>
      </c>
      <c r="C268" s="2448">
        <f>(((F268)*(POWER(F265,3)))*(((3*F263)/(F265))-(4*(POWER((F263/F265),3)))))/(48*21000000/9.81*F264)</f>
        <v>0.39563574547717295</v>
      </c>
      <c r="D268" s="20" t="s">
        <v>571</v>
      </c>
      <c r="E268" s="67" t="s">
        <v>244</v>
      </c>
      <c r="F268" s="19">
        <f>D41</f>
        <v>6218.75</v>
      </c>
      <c r="G268" s="20" t="s">
        <v>380</v>
      </c>
      <c r="H268" s="20"/>
      <c r="I268" s="20"/>
      <c r="J268" s="20"/>
      <c r="K268" s="17"/>
      <c r="L268" s="17"/>
      <c r="M268" s="17"/>
      <c r="N268" s="17"/>
    </row>
    <row r="269" spans="1:14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</row>
    <row r="270" spans="1:14">
      <c r="A270" s="20"/>
      <c r="B270" s="20" t="s">
        <v>2150</v>
      </c>
      <c r="C270" s="2449">
        <f>C266+C268</f>
        <v>0.95429727552282906</v>
      </c>
      <c r="D270" s="20" t="s">
        <v>571</v>
      </c>
      <c r="E270" s="20" t="s">
        <v>2159</v>
      </c>
      <c r="F270" s="20"/>
      <c r="G270" s="20"/>
      <c r="H270" s="20"/>
      <c r="I270" s="20"/>
      <c r="J270" s="20"/>
      <c r="K270" s="17"/>
      <c r="L270" s="17"/>
      <c r="M270" s="17"/>
      <c r="N270" s="17"/>
    </row>
    <row r="271" spans="1:14">
      <c r="A271" s="20"/>
      <c r="B271" s="20"/>
      <c r="C271" s="2450">
        <f>C270*10</f>
        <v>9.5429727552282912</v>
      </c>
      <c r="D271" s="20" t="s">
        <v>466</v>
      </c>
      <c r="E271" s="20"/>
      <c r="F271" s="20"/>
      <c r="G271" s="20"/>
      <c r="H271" s="20"/>
      <c r="I271" s="20"/>
      <c r="J271" s="20"/>
      <c r="K271" s="17"/>
      <c r="L271" s="17"/>
      <c r="M271" s="17"/>
      <c r="N271" s="17"/>
    </row>
    <row r="272" spans="1:14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</row>
    <row r="273" spans="1:14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</row>
    <row r="274" spans="1:14">
      <c r="A274" s="20"/>
      <c r="B274" s="20" t="s">
        <v>2160</v>
      </c>
      <c r="C274" s="20"/>
      <c r="D274" s="20"/>
      <c r="E274" s="20"/>
      <c r="F274" s="20"/>
      <c r="G274" s="20"/>
      <c r="H274" s="20"/>
      <c r="I274" s="20"/>
      <c r="J274" s="20"/>
      <c r="K274" s="17"/>
      <c r="L274" s="17"/>
      <c r="M274" s="17"/>
      <c r="N274" s="17"/>
    </row>
    <row r="275" spans="1:14">
      <c r="A275" s="20"/>
      <c r="B275" s="20" t="s">
        <v>2161</v>
      </c>
      <c r="C275" s="20"/>
      <c r="D275" s="20"/>
      <c r="E275" s="20"/>
      <c r="F275" s="20"/>
      <c r="G275" s="20"/>
      <c r="H275" s="20"/>
      <c r="I275" s="20"/>
      <c r="J275" s="20"/>
      <c r="K275" s="17"/>
      <c r="L275" s="17"/>
      <c r="M275" s="17"/>
      <c r="N275" s="17"/>
    </row>
    <row r="276" spans="1:14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</row>
    <row r="277" spans="1:14">
      <c r="A277" s="20"/>
      <c r="B277" s="20"/>
      <c r="C277" s="20"/>
      <c r="D277" s="54">
        <f>(E106*0.01*5*(POWER(D37,4)))/((I10*2100000*384))</f>
        <v>0.16105866265930593</v>
      </c>
      <c r="E277" s="20" t="s">
        <v>1987</v>
      </c>
      <c r="F277" s="20"/>
      <c r="G277" s="20"/>
      <c r="H277" s="20"/>
      <c r="I277" s="20"/>
      <c r="J277" s="20"/>
      <c r="K277" s="17"/>
      <c r="L277" s="17"/>
      <c r="M277" s="17"/>
      <c r="N277" s="17"/>
    </row>
    <row r="278" spans="1:14">
      <c r="A278" s="20"/>
      <c r="B278" s="20"/>
      <c r="C278" s="20"/>
      <c r="D278" s="2450">
        <f>D277*10</f>
        <v>1.6105866265930593</v>
      </c>
      <c r="E278" s="20" t="s">
        <v>466</v>
      </c>
      <c r="F278" s="20"/>
      <c r="G278" s="20"/>
      <c r="H278" s="20"/>
      <c r="I278" s="20"/>
      <c r="J278" s="20"/>
      <c r="K278" s="17"/>
      <c r="L278" s="17"/>
      <c r="M278" s="17"/>
      <c r="N278" s="17"/>
    </row>
    <row r="279" spans="1:14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</row>
    <row r="280" spans="1:14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</row>
    <row r="281" spans="1:14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</row>
    <row r="282" spans="1:14">
      <c r="A282" s="20"/>
      <c r="B282" s="20" t="s">
        <v>2778</v>
      </c>
      <c r="C282" s="20"/>
      <c r="D282" s="20"/>
      <c r="E282" s="20"/>
      <c r="F282" s="20"/>
      <c r="G282" s="20"/>
      <c r="H282" s="20"/>
      <c r="I282" s="20"/>
      <c r="J282" s="20"/>
      <c r="K282" s="17"/>
      <c r="L282" s="17"/>
      <c r="M282" s="17"/>
      <c r="N282" s="17"/>
    </row>
    <row r="283" spans="1:14">
      <c r="A283" s="20"/>
      <c r="B283" s="20"/>
      <c r="C283" s="20"/>
      <c r="D283" s="20"/>
      <c r="E283" s="20"/>
      <c r="F283" s="2451" t="s">
        <v>2162</v>
      </c>
      <c r="G283" s="20"/>
      <c r="H283" s="20"/>
      <c r="I283" s="20"/>
      <c r="J283" s="20"/>
      <c r="K283" s="17"/>
      <c r="L283" s="17"/>
      <c r="M283" s="17"/>
      <c r="N283" s="17"/>
    </row>
    <row r="284" spans="1:14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</row>
    <row r="285" spans="1:14">
      <c r="A285" s="20"/>
      <c r="B285" s="20"/>
      <c r="C285" s="20"/>
      <c r="D285" s="2450">
        <f>D278+(C271/2)</f>
        <v>6.3820730042072054</v>
      </c>
      <c r="E285" s="20" t="s">
        <v>466</v>
      </c>
      <c r="F285" s="20"/>
      <c r="G285" s="20"/>
      <c r="H285" s="20"/>
      <c r="I285" s="20"/>
      <c r="J285" s="20"/>
      <c r="K285" s="17"/>
      <c r="L285" s="17"/>
      <c r="M285" s="17"/>
      <c r="N285" s="17"/>
    </row>
    <row r="286" spans="1:14">
      <c r="A286" s="20"/>
      <c r="B286" s="20"/>
      <c r="C286" s="20"/>
      <c r="D286" s="54"/>
      <c r="E286" s="20"/>
      <c r="F286" s="20"/>
      <c r="G286" s="20"/>
      <c r="H286" s="20"/>
      <c r="I286" s="20"/>
      <c r="J286" s="20"/>
      <c r="K286" s="17"/>
      <c r="L286" s="17"/>
      <c r="M286" s="17"/>
      <c r="N286" s="17"/>
    </row>
  </sheetData>
  <mergeCells count="1">
    <mergeCell ref="D64:E64"/>
  </mergeCells>
  <pageMargins left="0.235416666666667" right="0.196527777777778" top="0.15625" bottom="7.7777777777777807E-2" header="0.15625" footer="0.118055555555556"/>
  <pageSetup paperSize="9" scale="75" orientation="portrait" r:id="rId1"/>
  <headerFooter alignWithMargins="0"/>
  <rowBreaks count="3" manualBreakCount="3">
    <brk id="67" max="16383" man="1"/>
    <brk id="142" max="16383" man="1"/>
    <brk id="212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21</vt:i4>
      </vt:variant>
    </vt:vector>
  </HeadingPairs>
  <TitlesOfParts>
    <vt:vector size="60" baseType="lpstr">
      <vt:lpstr>E Data</vt:lpstr>
      <vt:lpstr>MH</vt:lpstr>
      <vt:lpstr>AH</vt:lpstr>
      <vt:lpstr>CT_HP</vt:lpstr>
      <vt:lpstr>CT_wh</vt:lpstr>
      <vt:lpstr>input</vt:lpstr>
      <vt:lpstr>Girder</vt:lpstr>
      <vt:lpstr>Selection</vt:lpstr>
      <vt:lpstr>LT_HP</vt:lpstr>
      <vt:lpstr>LT_wh</vt:lpstr>
      <vt:lpstr>Tech</vt:lpstr>
      <vt:lpstr>ESt</vt:lpstr>
      <vt:lpstr>E Paint</vt:lpstr>
      <vt:lpstr>E Motor &amp; Drive</vt:lpstr>
      <vt:lpstr>G CALCU</vt:lpstr>
      <vt:lpstr>G OUTPUT</vt:lpstr>
      <vt:lpstr>G Time</vt:lpstr>
      <vt:lpstr>G BUCKLING</vt:lpstr>
      <vt:lpstr>G DIAPHRAGM </vt:lpstr>
      <vt:lpstr>G SEISMIC-1893</vt:lpstr>
      <vt:lpstr>I_REVISED</vt:lpstr>
      <vt:lpstr>CRAB_WT</vt:lpstr>
      <vt:lpstr>Sheet1</vt:lpstr>
      <vt:lpstr>Gantry Girder_cal (2)</vt:lpstr>
      <vt:lpstr>prop+plate  (2)</vt:lpstr>
      <vt:lpstr>prop+plate </vt:lpstr>
      <vt:lpstr>sft</vt:lpstr>
      <vt:lpstr>npcil</vt:lpstr>
      <vt:lpstr>GEAR_COSTING</vt:lpstr>
      <vt:lpstr>GG_cal</vt:lpstr>
      <vt:lpstr>pp</vt:lpstr>
      <vt:lpstr>MTSHAFT</vt:lpstr>
      <vt:lpstr>Sheet2</vt:lpstr>
      <vt:lpstr>Sheet1 (2)</vt:lpstr>
      <vt:lpstr>E Gear B</vt:lpstr>
      <vt:lpstr>E CT_LT</vt:lpstr>
      <vt:lpstr>E Buffer</vt:lpstr>
      <vt:lpstr>E OUTPUT</vt:lpstr>
      <vt:lpstr>E CALCU</vt:lpstr>
      <vt:lpstr>array</vt:lpstr>
      <vt:lpstr>AH!Print_Area</vt:lpstr>
      <vt:lpstr>CT_HP!Print_Area</vt:lpstr>
      <vt:lpstr>CT_wh!Print_Area</vt:lpstr>
      <vt:lpstr>'E Buffer'!Print_Area</vt:lpstr>
      <vt:lpstr>'E Data'!Print_Area</vt:lpstr>
      <vt:lpstr>'E Paint'!Print_Area</vt:lpstr>
      <vt:lpstr>ESt!Print_Area</vt:lpstr>
      <vt:lpstr>'G BUCKLING'!Print_Area</vt:lpstr>
      <vt:lpstr>'G CALCU'!Print_Area</vt:lpstr>
      <vt:lpstr>'G DIAPHRAGM '!Print_Area</vt:lpstr>
      <vt:lpstr>'G OUTPUT'!Print_Area</vt:lpstr>
      <vt:lpstr>'G Time'!Print_Area</vt:lpstr>
      <vt:lpstr>Girder!Print_Area</vt:lpstr>
      <vt:lpstr>input!Print_Area</vt:lpstr>
      <vt:lpstr>LT_HP!Print_Area</vt:lpstr>
      <vt:lpstr>LT_wh!Print_Area</vt:lpstr>
      <vt:lpstr>MH!Print_Area</vt:lpstr>
      <vt:lpstr>Selection!Print_Area</vt:lpstr>
      <vt:lpstr>Tech!Print_Area</vt:lpstr>
      <vt:lpstr>'E Paint'!Print_Titles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Dhrumil Patel</dc:creator>
  <cp:lastModifiedBy>Jaimin</cp:lastModifiedBy>
  <cp:lastPrinted>2020-07-17T10:05:46Z</cp:lastPrinted>
  <dcterms:created xsi:type="dcterms:W3CDTF">2018-09-15T12:14:41Z</dcterms:created>
  <dcterms:modified xsi:type="dcterms:W3CDTF">2023-08-12T11:32:10Z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1033-9.1.0.4550</vt:lpwstr>
  </property>
  <property fmtid="{D5CDD505-2E9C-101B-9397-08002B2CF9AE}" pid="3" name="KSOReadingLayout">
    <vt:bool>false</vt:bool>
  </property>
  <property fmtid="{D5CDD505-2E9C-101B-9397-08002B2CF9AE}" pid="4" name="MSIP_Label_defa4170-0d19-0005-0004-bc88714345d2_Enabled">
    <vt:lpwstr>true</vt:lpwstr>
  </property>
  <property fmtid="{D5CDD505-2E9C-101B-9397-08002B2CF9AE}" pid="5" name="MSIP_Label_defa4170-0d19-0005-0004-bc88714345d2_SetDate">
    <vt:lpwstr>2023-08-12T05:07:49Z</vt:lpwstr>
  </property>
  <property fmtid="{D5CDD505-2E9C-101B-9397-08002B2CF9AE}" pid="6" name="MSIP_Label_defa4170-0d19-0005-0004-bc88714345d2_Method">
    <vt:lpwstr>Standard</vt:lpwstr>
  </property>
  <property fmtid="{D5CDD505-2E9C-101B-9397-08002B2CF9AE}" pid="7" name="MSIP_Label_defa4170-0d19-0005-0004-bc88714345d2_Name">
    <vt:lpwstr>defa4170-0d19-0005-0004-bc88714345d2</vt:lpwstr>
  </property>
  <property fmtid="{D5CDD505-2E9C-101B-9397-08002B2CF9AE}" pid="8" name="MSIP_Label_defa4170-0d19-0005-0004-bc88714345d2_SiteId">
    <vt:lpwstr>7fc3a961-f98d-459b-aa20-212c57f2d1b9</vt:lpwstr>
  </property>
  <property fmtid="{D5CDD505-2E9C-101B-9397-08002B2CF9AE}" pid="9" name="MSIP_Label_defa4170-0d19-0005-0004-bc88714345d2_ActionId">
    <vt:lpwstr>b8c4e590-0c8d-4d3d-8cc5-6bc6bed65c86</vt:lpwstr>
  </property>
  <property fmtid="{D5CDD505-2E9C-101B-9397-08002B2CF9AE}" pid="10" name="MSIP_Label_defa4170-0d19-0005-0004-bc88714345d2_ContentBits">
    <vt:lpwstr>0</vt:lpwstr>
  </property>
</Properties>
</file>